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guerrero.egido\Documents\Mantenimineto Israel\DATA for maintenance\OCS Layouts + Workbooks + Sectioning diagrams\EP11\"/>
    </mc:Choice>
  </mc:AlternateContent>
  <xr:revisionPtr revIDLastSave="0" documentId="13_ncr:1_{9DE9EF94-4824-41DC-B862-41CCD96E5B13}" xr6:coauthVersionLast="47" xr6:coauthVersionMax="47" xr10:uidLastSave="{00000000-0000-0000-0000-000000000000}"/>
  <bookViews>
    <workbookView xWindow="-108" yWindow="-108" windowWidth="23256" windowHeight="13896" tabRatio="904" activeTab="3" xr2:uid="{00000000-000D-0000-FFFF-FFFF00000000}"/>
  </bookViews>
  <sheets>
    <sheet name="Revision Data" sheetId="21403" r:id="rId1"/>
    <sheet name="HR Track 1" sheetId="2" r:id="rId2"/>
    <sheet name="HR Track 2" sheetId="21398" r:id="rId3"/>
    <sheet name="HR Track 1 MOM" sheetId="3" r:id="rId4"/>
    <sheet name="HR Track 4 MOM" sheetId="108" r:id="rId5"/>
    <sheet name="HR Track 4 PMO" sheetId="21400" r:id="rId6"/>
    <sheet name="HR Track 6 PMO" sheetId="21399" r:id="rId7"/>
    <sheet name="Legend" sheetId="21411" r:id="rId8"/>
    <sheet name="Pole_Calc" sheetId="21410" r:id="rId9"/>
    <sheet name="Foundation_Calc" sheetId="21406" r:id="rId10"/>
    <sheet name="Foundation_BOQ" sheetId="21412" r:id="rId11"/>
    <sheet name="Recuento Conjuntos" sheetId="21408" r:id="rId12"/>
    <sheet name="Arms" sheetId="21402" r:id="rId13"/>
  </sheets>
  <functionGroups builtInGroupCount="19"/>
  <definedNames>
    <definedName name="_xlnm._FilterDatabase" localSheetId="1" hidden="1">'HR Track 1'!$A$2:$BD$406</definedName>
    <definedName name="_xlnm._FilterDatabase" localSheetId="3" hidden="1">'HR Track 1 MOM'!$A$2:$BD$800</definedName>
    <definedName name="_xlnm._FilterDatabase" localSheetId="2" hidden="1">'HR Track 2'!$A$2:$BD$406</definedName>
    <definedName name="_xlnm._FilterDatabase" localSheetId="4" hidden="1">'HR Track 4 MOM'!$A$2:$BD$800</definedName>
    <definedName name="_xlnm._FilterDatabase" localSheetId="5" hidden="1">'HR Track 4 PMO'!$A$2:$BD$800</definedName>
    <definedName name="_xlnm._FilterDatabase" localSheetId="6" hidden="1">'HR Track 6 PMO'!$A$2:$BD$800</definedName>
    <definedName name="_xlnm._FilterDatabase" localSheetId="11" hidden="1">'Recuento Conjuntos'!$E$1:$E$1009</definedName>
    <definedName name="_xlnm.Print_Area" localSheetId="10">Foundation_BOQ!$A$1:$K$349</definedName>
    <definedName name="_xlnm.Print_Area" localSheetId="1">'HR Track 1'!$A$1:$BD$406</definedName>
    <definedName name="_xlnm.Print_Area" localSheetId="3">'HR Track 1 MOM'!$A$1:$BD$63</definedName>
    <definedName name="_xlnm.Print_Area" localSheetId="2">'HR Track 2'!$A$1:$BD$406</definedName>
    <definedName name="_xlnm.Print_Area" localSheetId="4">'HR Track 4 MOM'!$A$1:$BD$63</definedName>
    <definedName name="_xlnm.Print_Area" localSheetId="5">'HR Track 4 PMO'!$A$1:$BD$162</definedName>
    <definedName name="_xlnm.Print_Area" localSheetId="6">'HR Track 6 PMO'!$A$1:$BD$163</definedName>
    <definedName name="_xlnm.Print_Area" localSheetId="0">'Revision Data'!$A$1:$D$35</definedName>
    <definedName name="Area_S1">'HR Track 1'!$AJ$11:$AJ$406</definedName>
    <definedName name="Area_S1MOM">'HR Track 1 MOM'!$AJ$4:$AJ$63</definedName>
    <definedName name="Area_S2">'HR Track 2'!$AJ$11:$AJ$406</definedName>
    <definedName name="Area_S4MOM">'HR Track 4 MOM'!$AJ$4:$AJ$63</definedName>
    <definedName name="Area_S4PMO">'HR Track 4 PMO'!$AJ$15:$AJ$163</definedName>
    <definedName name="Area_S6PMO">'HR Track 6 PMO'!$AJ$27:$AJ$163</definedName>
    <definedName name="Area_v1">'HR Track 1'!$A$11:$AM$406</definedName>
    <definedName name="Area_v1_AncFound">'HR Track 1'!$K$11:$K$406</definedName>
    <definedName name="Area_v1MOM">'HR Track 1 MOM'!$A$4:$AM$63</definedName>
    <definedName name="Area_v1MOM_AncFound">'HR Track 1 MOM'!$K$4:$K$63</definedName>
    <definedName name="Area_v2">'HR Track 2'!$A$11:$AM$406</definedName>
    <definedName name="Area_v2_AncFound">'HR Track 2'!$K$11:$K$406</definedName>
    <definedName name="Area_v4_AncFound">'HR Track 4 MOM'!$K$5:$K$800</definedName>
    <definedName name="Area_v4MOM">'HR Track 4 MOM'!$A$4:$AM$63</definedName>
    <definedName name="Area_v4PMO">'HR Track 4 PMO'!$A$15:$AM$163</definedName>
    <definedName name="Area_v4PMO_AncFound">'HR Track 4 PMO'!$K$15:$K$163</definedName>
    <definedName name="Area_v6PMO">'HR Track 6 PMO'!$A$27:$AM$163</definedName>
    <definedName name="Area_v6PMO_AncFound">'HR Track 6 PMO'!$K$27:$K$163</definedName>
    <definedName name="cantones_v1">'HR Track 1'!$I$11:$I$406</definedName>
    <definedName name="cantones_v1MOM">'HR Track 1 MOM'!$I$4:$I$63</definedName>
    <definedName name="cantones_v2">'HR Track 2'!$I$11:$I$406</definedName>
    <definedName name="cantones_v4MOM">'HR Track 4 MOM'!$I$4:$I$63</definedName>
    <definedName name="cantones_v4PMO">'HR Track 4 PMO'!$I$15:$I$163</definedName>
    <definedName name="cantones_v6PMO">'HR Track 6 PMO'!$I$27:$I$163</definedName>
    <definedName name="m2_v1">'HR Track 1'!$O$11:$O$406</definedName>
    <definedName name="m2_v1MOM">'HR Track 1 MOM'!$O$4:$O$63</definedName>
    <definedName name="m2_v2">'HR Track 2'!$O$11:$O$406</definedName>
    <definedName name="m2_v4MOM">'HR Track 4 MOM'!$O$4:$O$63</definedName>
    <definedName name="m2_v4PMO">'HR Track 4 PMO'!$O$15:$O$163</definedName>
    <definedName name="m2_v6PMO">'HR Track 6 PMO'!$O$27:$O$163</definedName>
    <definedName name="Print_Area" localSheetId="1">'HR Track 1'!$A$1:$BA$406</definedName>
    <definedName name="Print_Area" localSheetId="3">'HR Track 1 MOM'!$A$1:$BA$800</definedName>
    <definedName name="Print_Area" localSheetId="2">'HR Track 2'!$A$1:$BA$406</definedName>
    <definedName name="Print_Area" localSheetId="4">'HR Track 4 MOM'!$A$1:$BA$800</definedName>
    <definedName name="Print_Area" localSheetId="5">'HR Track 4 PMO'!$A$1:$BA$800</definedName>
    <definedName name="Print_Area" localSheetId="6">'HR Track 6 PMO'!$A$1:$BA$800</definedName>
    <definedName name="Print_Area" localSheetId="11">'Recuento Conjuntos'!$A$1:$M$374</definedName>
    <definedName name="Print_Area" localSheetId="0">'Revision Data'!$A$1:$C$14</definedName>
    <definedName name="Print_Titles" localSheetId="1">'HR Track 1'!$1:$3</definedName>
    <definedName name="Print_Titles" localSheetId="3">'HR Track 1 MOM'!$1:$3</definedName>
    <definedName name="Print_Titles" localSheetId="2">'HR Track 2'!$1:$3</definedName>
    <definedName name="Print_Titles" localSheetId="4">'HR Track 4 MOM'!$1:$3</definedName>
    <definedName name="Print_Titles" localSheetId="5">'HR Track 4 PMO'!$1:$3</definedName>
    <definedName name="Print_Titles" localSheetId="6">'HR Track 6 PMO'!$1:$3</definedName>
    <definedName name="Print_Titles" localSheetId="11">'Recuento Conjuntos'!$2:$2</definedName>
    <definedName name="_xlnm.Print_Titles" localSheetId="10">Foundation_BOQ!$1:$1</definedName>
    <definedName name="_xlnm.Print_Titles" localSheetId="1">'HR Track 1'!$1:$3</definedName>
    <definedName name="_xlnm.Print_Titles" localSheetId="3">'HR Track 1 MOM'!$1:$3</definedName>
    <definedName name="_xlnm.Print_Titles" localSheetId="2">'HR Track 2'!$1:$3</definedName>
    <definedName name="_xlnm.Print_Titles" localSheetId="4">'HR Track 4 MOM'!$1:$3</definedName>
    <definedName name="_xlnm.Print_Titles" localSheetId="5">'HR Track 4 PMO'!$1:$3</definedName>
    <definedName name="_xlnm.Print_Titles" localSheetId="6">'HR Track 6 PMO'!$1:$3</definedName>
    <definedName name="Vanos_v1">'HR Track 1'!$G$11:$G$406</definedName>
    <definedName name="vanos_v1MOM">'HR Track 1 MOM'!$G$4:$G$63</definedName>
    <definedName name="vanos_v2">'HR Track 2'!$G$11:$G$406</definedName>
    <definedName name="vanos_v4MOM">'HR Track 4 MOM'!$G$4:$G$63</definedName>
    <definedName name="vanos_v4PMO">'HR Track 4 PMO'!$G$15:$G$163</definedName>
    <definedName name="vanos_v6PMO">'HR Track 6 PMO'!$G$27:$G$163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6" i="3" l="1"/>
  <c r="J34" i="108"/>
  <c r="J378" i="21398"/>
  <c r="J377" i="21398"/>
  <c r="C388" i="21398"/>
  <c r="I397" i="2"/>
  <c r="I60" i="3"/>
  <c r="I47" i="3"/>
  <c r="I47" i="108"/>
  <c r="I404" i="21398"/>
  <c r="I404" i="2"/>
  <c r="I341" i="2"/>
  <c r="I341" i="21398"/>
  <c r="I227" i="21398"/>
  <c r="I227" i="2"/>
  <c r="I309" i="21398"/>
  <c r="I309" i="2"/>
  <c r="I279" i="2"/>
  <c r="I279" i="21398"/>
  <c r="I63" i="21398"/>
  <c r="I88" i="21398"/>
  <c r="J93" i="21398"/>
  <c r="AQ87" i="21398"/>
  <c r="AQ91" i="21398"/>
  <c r="AT88" i="2"/>
  <c r="AT86" i="21398"/>
  <c r="AT90" i="21398"/>
  <c r="AQ89" i="21398"/>
  <c r="AT88" i="21398"/>
  <c r="I88" i="2" l="1"/>
  <c r="I63" i="2"/>
  <c r="J93" i="2"/>
  <c r="J65" i="21398"/>
  <c r="J59" i="21398"/>
  <c r="I61" i="21398"/>
  <c r="J65" i="2"/>
  <c r="J59" i="2"/>
  <c r="AC75" i="21398"/>
  <c r="AC73" i="21398"/>
  <c r="AC71" i="21398"/>
  <c r="AC69" i="21398"/>
  <c r="AC75" i="2"/>
  <c r="AC73" i="2"/>
  <c r="AC71" i="2"/>
  <c r="I61" i="2"/>
  <c r="AQ75" i="21398"/>
  <c r="AT70" i="21398"/>
  <c r="AQ69" i="2"/>
  <c r="AT68" i="21398"/>
  <c r="AQ69" i="21398"/>
  <c r="AT72" i="21398"/>
  <c r="AQ67" i="2"/>
  <c r="AT74" i="21398"/>
  <c r="AQ71" i="21398"/>
  <c r="AT68" i="2"/>
  <c r="AT40" i="21398"/>
  <c r="AT70" i="2"/>
  <c r="AT66" i="21398"/>
  <c r="AQ73" i="21398"/>
  <c r="AC74" i="21398" l="1"/>
  <c r="AC72" i="21398"/>
  <c r="AC70" i="21398"/>
  <c r="AC70" i="2"/>
  <c r="J37" i="21398"/>
  <c r="J330" i="2"/>
  <c r="I353" i="2"/>
  <c r="J330" i="21398"/>
  <c r="I353" i="21398"/>
  <c r="J310" i="21398"/>
  <c r="J280" i="21398"/>
  <c r="J300" i="2"/>
  <c r="J270" i="2"/>
  <c r="AQ37" i="21398"/>
  <c r="BD115" i="21398" l="1"/>
  <c r="BA115" i="21398"/>
  <c r="AZ115" i="21398"/>
  <c r="BB115" i="21398" s="1"/>
  <c r="AY115" i="21398"/>
  <c r="AX115" i="21398"/>
  <c r="AW115" i="21398"/>
  <c r="BD114" i="21398"/>
  <c r="AZ114" i="21398"/>
  <c r="BB114" i="21398" s="1"/>
  <c r="AX114" i="21398"/>
  <c r="AY114" i="21398" s="1"/>
  <c r="BA114" i="21398" s="1"/>
  <c r="AW114" i="21398"/>
  <c r="BD113" i="21398"/>
  <c r="BA113" i="21398"/>
  <c r="AZ113" i="21398"/>
  <c r="BB113" i="21398" s="1"/>
  <c r="AY113" i="21398"/>
  <c r="AX113" i="21398"/>
  <c r="AW113" i="21398"/>
  <c r="BD112" i="21398"/>
  <c r="AZ112" i="21398"/>
  <c r="BB112" i="21398" s="1"/>
  <c r="AX112" i="21398"/>
  <c r="AY112" i="21398" s="1"/>
  <c r="BA112" i="21398" s="1"/>
  <c r="AW112" i="21398"/>
  <c r="BD111" i="21398"/>
  <c r="BA111" i="21398"/>
  <c r="AZ111" i="21398"/>
  <c r="BB111" i="21398" s="1"/>
  <c r="AY111" i="21398"/>
  <c r="AX111" i="21398"/>
  <c r="AW111" i="21398"/>
  <c r="BD110" i="21398"/>
  <c r="AZ110" i="21398"/>
  <c r="BB110" i="21398" s="1"/>
  <c r="AX110" i="21398"/>
  <c r="AY110" i="21398" s="1"/>
  <c r="BA110" i="21398" s="1"/>
  <c r="AW110" i="21398"/>
  <c r="M115" i="21398"/>
  <c r="BC115" i="21398" s="1"/>
  <c r="M113" i="21398"/>
  <c r="BC113" i="21398" s="1"/>
  <c r="M112" i="21398"/>
  <c r="BC112" i="21398" s="1"/>
  <c r="M111" i="21398"/>
  <c r="BC111" i="21398" s="1"/>
  <c r="M109" i="21398"/>
  <c r="BD115" i="2"/>
  <c r="BD114" i="2"/>
  <c r="BD113" i="2"/>
  <c r="BD112" i="2"/>
  <c r="BD111" i="2"/>
  <c r="BD110" i="2"/>
  <c r="BD109" i="2"/>
  <c r="BC115" i="2"/>
  <c r="BB115" i="2"/>
  <c r="AZ115" i="2"/>
  <c r="AY115" i="2"/>
  <c r="BA115" i="2" s="1"/>
  <c r="AX115" i="2"/>
  <c r="AW115" i="2"/>
  <c r="BB114" i="2"/>
  <c r="AZ114" i="2"/>
  <c r="AX114" i="2"/>
  <c r="AY114" i="2" s="1"/>
  <c r="BA114" i="2" s="1"/>
  <c r="AW114" i="2"/>
  <c r="BA113" i="2"/>
  <c r="AZ113" i="2"/>
  <c r="BB113" i="2" s="1"/>
  <c r="AY113" i="2"/>
  <c r="AX113" i="2"/>
  <c r="AW113" i="2"/>
  <c r="AZ112" i="2"/>
  <c r="BB112" i="2" s="1"/>
  <c r="AY112" i="2"/>
  <c r="BA112" i="2" s="1"/>
  <c r="AX112" i="2"/>
  <c r="AW112" i="2"/>
  <c r="BC111" i="2"/>
  <c r="BB111" i="2"/>
  <c r="AZ111" i="2"/>
  <c r="AY111" i="2"/>
  <c r="BA111" i="2" s="1"/>
  <c r="AX111" i="2"/>
  <c r="AW111" i="2"/>
  <c r="BB110" i="2"/>
  <c r="AZ110" i="2"/>
  <c r="AX110" i="2"/>
  <c r="AY110" i="2" s="1"/>
  <c r="BA110" i="2" s="1"/>
  <c r="AW110" i="2"/>
  <c r="M115" i="2"/>
  <c r="M113" i="2"/>
  <c r="BC113" i="2" s="1"/>
  <c r="M112" i="2"/>
  <c r="BC112" i="2" s="1"/>
  <c r="M111" i="2"/>
  <c r="M109" i="2"/>
  <c r="J109" i="21398"/>
  <c r="J108" i="21398"/>
  <c r="BD46" i="21399"/>
  <c r="M46" i="21399"/>
  <c r="AZ146" i="21400"/>
  <c r="BB146" i="21400" s="1"/>
  <c r="AY146" i="21400"/>
  <c r="BA146" i="21400" s="1"/>
  <c r="AX146" i="21400"/>
  <c r="AW146" i="21400"/>
  <c r="M146" i="21400"/>
  <c r="BC146" i="21400" s="1"/>
  <c r="AY140" i="21398"/>
  <c r="M140" i="21398"/>
  <c r="AZ138" i="21398"/>
  <c r="AY138" i="21398"/>
  <c r="M138" i="21398"/>
  <c r="AZ140" i="21398"/>
  <c r="BD104" i="21398"/>
  <c r="BD104" i="2"/>
  <c r="J33" i="108"/>
  <c r="J21" i="108"/>
  <c r="AQ113" i="2"/>
  <c r="AT112" i="21398"/>
  <c r="AQ111" i="2"/>
  <c r="AT114" i="21398"/>
  <c r="AQ109" i="2"/>
  <c r="AT112" i="2"/>
  <c r="AQ121" i="21398"/>
  <c r="AT116" i="2"/>
  <c r="AQ117" i="2"/>
  <c r="AT110" i="2"/>
  <c r="M110" i="21398" l="1"/>
  <c r="BC110" i="21398" s="1"/>
  <c r="M114" i="21398"/>
  <c r="BC114" i="21398" s="1"/>
  <c r="AC112" i="21398"/>
  <c r="M110" i="2"/>
  <c r="BC110" i="2" s="1"/>
  <c r="M114" i="2"/>
  <c r="BC114" i="2" s="1"/>
  <c r="BD122" i="21398"/>
  <c r="BD116" i="21398"/>
  <c r="AZ116" i="21398"/>
  <c r="BB116" i="21398" s="1"/>
  <c r="AX116" i="21398"/>
  <c r="AY116" i="21398" s="1"/>
  <c r="BA116" i="21398" s="1"/>
  <c r="AW116" i="21398"/>
  <c r="M116" i="21398"/>
  <c r="BC116" i="21398" s="1"/>
  <c r="C116" i="21398"/>
  <c r="C118" i="21398" s="1"/>
  <c r="C112" i="21398"/>
  <c r="C114" i="21398" s="1"/>
  <c r="AT118" i="21398"/>
  <c r="AT110" i="21398"/>
  <c r="AQ113" i="21398"/>
  <c r="AQ111" i="21398"/>
  <c r="AQ115" i="21398"/>
  <c r="AQ117" i="21398"/>
  <c r="AT116" i="21398"/>
  <c r="AC116" i="21398" l="1"/>
  <c r="BD116" i="2"/>
  <c r="BC116" i="2"/>
  <c r="BB116" i="2"/>
  <c r="BA116" i="2"/>
  <c r="AZ116" i="2"/>
  <c r="AX116" i="2"/>
  <c r="AY116" i="2" s="1"/>
  <c r="AW116" i="2"/>
  <c r="BD122" i="2"/>
  <c r="C116" i="2"/>
  <c r="C118" i="2" s="1"/>
  <c r="C112" i="2"/>
  <c r="C114" i="2" s="1"/>
  <c r="AT114" i="2"/>
  <c r="AT118" i="2"/>
  <c r="AQ115" i="2"/>
  <c r="AC112" i="2" l="1"/>
  <c r="AC116" i="2"/>
  <c r="M116" i="2"/>
  <c r="J109" i="2"/>
  <c r="J108" i="2"/>
  <c r="AZ104" i="21398" l="1"/>
  <c r="AZ156" i="21399"/>
  <c r="AY156" i="21399"/>
  <c r="M156" i="21399"/>
  <c r="AZ158" i="21399"/>
  <c r="AY158" i="21399"/>
  <c r="M158" i="21399"/>
  <c r="AZ150" i="21399"/>
  <c r="AY150" i="21399"/>
  <c r="M150" i="21399"/>
  <c r="AZ46" i="21399"/>
  <c r="AY46" i="21399"/>
  <c r="AZ42" i="21398"/>
  <c r="AQ21" i="108"/>
  <c r="AT20" i="108"/>
  <c r="AT22" i="108"/>
  <c r="AQ23" i="108"/>
  <c r="AT24" i="108"/>
  <c r="AZ15" i="21398" l="1"/>
  <c r="AY15" i="21398"/>
  <c r="AX15" i="21398"/>
  <c r="AW15" i="21398"/>
  <c r="AZ14" i="21398"/>
  <c r="AY14" i="21398"/>
  <c r="AZ13" i="21398"/>
  <c r="AY13" i="21398"/>
  <c r="AZ12" i="21398"/>
  <c r="AY12" i="21398"/>
  <c r="AZ11" i="21398"/>
  <c r="AY11" i="21398"/>
  <c r="AZ15" i="2"/>
  <c r="AY15" i="2"/>
  <c r="AX15" i="2"/>
  <c r="AW15" i="2"/>
  <c r="AZ14" i="2"/>
  <c r="AY14" i="2"/>
  <c r="AZ13" i="2"/>
  <c r="AY13" i="2"/>
  <c r="AX13" i="2"/>
  <c r="AW13" i="2"/>
  <c r="AZ12" i="2"/>
  <c r="AY12" i="2"/>
  <c r="AZ162" i="21399" l="1"/>
  <c r="AY162" i="21399"/>
  <c r="AZ161" i="21399"/>
  <c r="AY161" i="21399"/>
  <c r="AZ160" i="21399"/>
  <c r="AY160" i="21399"/>
  <c r="AZ159" i="21399"/>
  <c r="AY159" i="21399"/>
  <c r="AZ157" i="21399"/>
  <c r="AY157" i="21399"/>
  <c r="AZ155" i="21399"/>
  <c r="AY155" i="21399"/>
  <c r="AZ154" i="21399"/>
  <c r="AY154" i="21399"/>
  <c r="AZ153" i="21399"/>
  <c r="AY153" i="21399"/>
  <c r="AZ152" i="21399"/>
  <c r="AY152" i="21399"/>
  <c r="AZ151" i="21399"/>
  <c r="AY151" i="21399"/>
  <c r="AZ149" i="21399"/>
  <c r="AY149" i="21399"/>
  <c r="AZ148" i="21399"/>
  <c r="AY148" i="21399"/>
  <c r="AZ147" i="21399"/>
  <c r="AY147" i="21399"/>
  <c r="M162" i="21399"/>
  <c r="M161" i="21399"/>
  <c r="M160" i="21399"/>
  <c r="M159" i="21399"/>
  <c r="M157" i="21399"/>
  <c r="M155" i="21399"/>
  <c r="M154" i="21399"/>
  <c r="M153" i="21399"/>
  <c r="M152" i="21399"/>
  <c r="M151" i="21399"/>
  <c r="M149" i="21399"/>
  <c r="M148" i="21399"/>
  <c r="M30" i="21400"/>
  <c r="M29" i="21400"/>
  <c r="M28" i="21400"/>
  <c r="M27" i="21400"/>
  <c r="M25" i="21400"/>
  <c r="M24" i="21400"/>
  <c r="M23" i="21400"/>
  <c r="M22" i="21400"/>
  <c r="M21" i="21400"/>
  <c r="M20" i="21400"/>
  <c r="M19" i="21400"/>
  <c r="M18" i="21400"/>
  <c r="M17" i="21400"/>
  <c r="M16" i="21400"/>
  <c r="M64" i="21400"/>
  <c r="M63" i="21400"/>
  <c r="M62" i="21400"/>
  <c r="M61" i="21400"/>
  <c r="M60" i="21400"/>
  <c r="M59" i="21400"/>
  <c r="M58" i="21400"/>
  <c r="M57" i="21400"/>
  <c r="M56" i="21400"/>
  <c r="M55" i="21400"/>
  <c r="M54" i="21400"/>
  <c r="M53" i="21400"/>
  <c r="M52" i="21400"/>
  <c r="M51" i="21400"/>
  <c r="M50" i="21400"/>
  <c r="M49" i="21400"/>
  <c r="M48" i="21400"/>
  <c r="M47" i="21400"/>
  <c r="M46" i="21400"/>
  <c r="BB148" i="2"/>
  <c r="M124" i="21406"/>
  <c r="AC17" i="3" l="1"/>
  <c r="AC19" i="3"/>
  <c r="AC21" i="3"/>
  <c r="AC23" i="3"/>
  <c r="AC25" i="3"/>
  <c r="AC27" i="3"/>
  <c r="AC29" i="3"/>
  <c r="AC31" i="3"/>
  <c r="AC33" i="3"/>
  <c r="AC35" i="3"/>
  <c r="I211" i="21398" l="1"/>
  <c r="F61" i="21408" l="1"/>
  <c r="F62" i="21408" s="1"/>
  <c r="F32" i="21408" s="1"/>
  <c r="F59" i="21408"/>
  <c r="F60" i="21408" s="1"/>
  <c r="F30" i="21408" s="1"/>
  <c r="F57" i="21408"/>
  <c r="F58" i="21408" s="1"/>
  <c r="F28" i="21408" s="1"/>
  <c r="F55" i="21408"/>
  <c r="F56" i="21408" s="1"/>
  <c r="F26" i="21408" s="1"/>
  <c r="F53" i="21408"/>
  <c r="F54" i="21408" s="1"/>
  <c r="F24" i="21408" s="1"/>
  <c r="F51" i="21408"/>
  <c r="F52" i="21408" s="1"/>
  <c r="F22" i="21408" s="1"/>
  <c r="F49" i="21408"/>
  <c r="F50" i="21408" s="1"/>
  <c r="F20" i="21408" s="1"/>
  <c r="F47" i="21408"/>
  <c r="F48" i="21408" s="1"/>
  <c r="F18" i="21408" s="1"/>
  <c r="F45" i="21408"/>
  <c r="F46" i="21408" s="1"/>
  <c r="F16" i="21408" s="1"/>
  <c r="F43" i="21408"/>
  <c r="F44" i="21408" s="1"/>
  <c r="F14" i="21408" s="1"/>
  <c r="F41" i="21408"/>
  <c r="F42" i="21408" s="1"/>
  <c r="F12" i="21408" s="1"/>
  <c r="F39" i="21408"/>
  <c r="F40" i="21408" s="1"/>
  <c r="F10" i="21408" s="1"/>
  <c r="F37" i="21408"/>
  <c r="F38" i="21408" s="1"/>
  <c r="F8" i="21408" s="1"/>
  <c r="F35" i="21408"/>
  <c r="F36" i="21408" s="1"/>
  <c r="F6" i="21408" s="1"/>
  <c r="F33" i="21408"/>
  <c r="F34" i="21408" s="1"/>
  <c r="F4" i="21408" s="1"/>
  <c r="F5" i="21408" l="1"/>
  <c r="F9" i="21408"/>
  <c r="F13" i="21408"/>
  <c r="F17" i="21408"/>
  <c r="F21" i="21408"/>
  <c r="F25" i="21408"/>
  <c r="F29" i="21408"/>
  <c r="F3" i="21408"/>
  <c r="F7" i="21408"/>
  <c r="F11" i="21408"/>
  <c r="F15" i="21408"/>
  <c r="F19" i="21408"/>
  <c r="F23" i="21408"/>
  <c r="F27" i="21408"/>
  <c r="F31" i="21408"/>
  <c r="AN60" i="21400" l="1"/>
  <c r="AN58" i="21400"/>
  <c r="AN54" i="21400"/>
  <c r="AN56" i="21400" s="1"/>
  <c r="AN28" i="21400"/>
  <c r="AN26" i="21400"/>
  <c r="AN22" i="21400"/>
  <c r="AN24" i="21400" s="1"/>
  <c r="AY27" i="21399" l="1"/>
  <c r="BC146" i="21399"/>
  <c r="BB146" i="21399"/>
  <c r="BA146" i="21399"/>
  <c r="BB145" i="21399"/>
  <c r="BA145" i="21399"/>
  <c r="BC144" i="21399"/>
  <c r="BB144" i="21399"/>
  <c r="BA144" i="21399"/>
  <c r="BB143" i="21399"/>
  <c r="BA143" i="21399"/>
  <c r="BC142" i="21399"/>
  <c r="BB142" i="21399"/>
  <c r="BA142" i="21399"/>
  <c r="BB141" i="21399"/>
  <c r="BA141" i="21399"/>
  <c r="BC140" i="21399"/>
  <c r="BB140" i="21399"/>
  <c r="BA140" i="21399"/>
  <c r="BB139" i="21399"/>
  <c r="BA139" i="21399"/>
  <c r="BC138" i="21399"/>
  <c r="BB138" i="21399"/>
  <c r="BA138" i="21399"/>
  <c r="BB137" i="21399"/>
  <c r="BA137" i="21399"/>
  <c r="BC136" i="21399"/>
  <c r="BB136" i="21399"/>
  <c r="BA136" i="21399"/>
  <c r="BB135" i="21399"/>
  <c r="BA135" i="21399"/>
  <c r="BC134" i="21399"/>
  <c r="BB134" i="21399"/>
  <c r="BA134" i="21399"/>
  <c r="BB133" i="21399"/>
  <c r="BA133" i="21399"/>
  <c r="BC132" i="21399"/>
  <c r="BB132" i="21399"/>
  <c r="BA132" i="21399"/>
  <c r="BB131" i="21399"/>
  <c r="BA131" i="21399"/>
  <c r="BC130" i="21399"/>
  <c r="BB130" i="21399"/>
  <c r="BA130" i="21399"/>
  <c r="BB129" i="21399"/>
  <c r="BA129" i="21399"/>
  <c r="BC128" i="21399"/>
  <c r="BB128" i="21399"/>
  <c r="BA128" i="21399"/>
  <c r="BB127" i="21399"/>
  <c r="BA127" i="21399"/>
  <c r="BC126" i="21399"/>
  <c r="BB126" i="21399"/>
  <c r="BA126" i="21399"/>
  <c r="BB125" i="21399"/>
  <c r="BA125" i="21399"/>
  <c r="BC124" i="21399"/>
  <c r="BB124" i="21399"/>
  <c r="BA124" i="21399"/>
  <c r="BB123" i="21399"/>
  <c r="BA123" i="21399"/>
  <c r="BC122" i="21399"/>
  <c r="BB122" i="21399"/>
  <c r="BA122" i="21399"/>
  <c r="BB121" i="21399"/>
  <c r="BA121" i="21399"/>
  <c r="BC120" i="21399"/>
  <c r="BB120" i="21399"/>
  <c r="BA120" i="21399"/>
  <c r="BB119" i="21399"/>
  <c r="BA119" i="21399"/>
  <c r="BC118" i="21399"/>
  <c r="BB118" i="21399"/>
  <c r="BA118" i="21399"/>
  <c r="BB117" i="21399"/>
  <c r="BA117" i="21399"/>
  <c r="BC116" i="21399"/>
  <c r="BB116" i="21399"/>
  <c r="BA116" i="21399"/>
  <c r="BB115" i="21399"/>
  <c r="BA115" i="21399"/>
  <c r="BC114" i="21399"/>
  <c r="BB114" i="21399"/>
  <c r="BA114" i="21399"/>
  <c r="BB113" i="21399"/>
  <c r="BA113" i="21399"/>
  <c r="BC112" i="21399"/>
  <c r="BB112" i="21399"/>
  <c r="BB111" i="21399"/>
  <c r="BA111" i="21399"/>
  <c r="BC110" i="21399"/>
  <c r="BB110" i="21399"/>
  <c r="BB109" i="21399"/>
  <c r="BA109" i="21399"/>
  <c r="BC108" i="21399"/>
  <c r="BB108" i="21399"/>
  <c r="BB107" i="21399"/>
  <c r="BA107" i="21399"/>
  <c r="BC106" i="21399"/>
  <c r="BB106" i="21399"/>
  <c r="BB105" i="21399"/>
  <c r="BA105" i="21399"/>
  <c r="BC104" i="21399"/>
  <c r="BB104" i="21399"/>
  <c r="BB103" i="21399"/>
  <c r="BA103" i="21399"/>
  <c r="BC102" i="21399"/>
  <c r="BB102" i="21399"/>
  <c r="BA102" i="21399"/>
  <c r="BC101" i="21399"/>
  <c r="BB101" i="21399"/>
  <c r="BA101" i="21399"/>
  <c r="BC100" i="21399"/>
  <c r="BB100" i="21399"/>
  <c r="BA100" i="21399"/>
  <c r="BC99" i="21399"/>
  <c r="BB99" i="21399"/>
  <c r="BA99" i="21399"/>
  <c r="BC98" i="21399"/>
  <c r="BB98" i="21399"/>
  <c r="BA98" i="21399"/>
  <c r="BC97" i="21399"/>
  <c r="BB97" i="21399"/>
  <c r="BA97" i="21399"/>
  <c r="BC96" i="21399"/>
  <c r="BB96" i="21399"/>
  <c r="BA96" i="21399"/>
  <c r="BC95" i="21399"/>
  <c r="BB95" i="21399"/>
  <c r="BA95" i="21399"/>
  <c r="BC94" i="21399"/>
  <c r="BB94" i="21399"/>
  <c r="BA94" i="21399"/>
  <c r="BC93" i="21399"/>
  <c r="BB93" i="21399"/>
  <c r="BA93" i="21399"/>
  <c r="BC92" i="21399"/>
  <c r="BB92" i="21399"/>
  <c r="BA92" i="21399"/>
  <c r="BC91" i="21399"/>
  <c r="BB91" i="21399"/>
  <c r="BA91" i="21399"/>
  <c r="BC90" i="21399"/>
  <c r="BB90" i="21399"/>
  <c r="BA90" i="21399"/>
  <c r="BC89" i="21399"/>
  <c r="BB89" i="21399"/>
  <c r="BA89" i="21399"/>
  <c r="BC88" i="21399"/>
  <c r="BB88" i="21399"/>
  <c r="BA88" i="21399"/>
  <c r="BC87" i="21399"/>
  <c r="BB87" i="21399"/>
  <c r="BA87" i="21399"/>
  <c r="BC86" i="21399"/>
  <c r="BB86" i="21399"/>
  <c r="BA86" i="21399"/>
  <c r="BC85" i="21399"/>
  <c r="BB85" i="21399"/>
  <c r="BA85" i="21399"/>
  <c r="BC84" i="21399"/>
  <c r="BB84" i="21399"/>
  <c r="BA84" i="21399"/>
  <c r="BC83" i="21399"/>
  <c r="BB83" i="21399"/>
  <c r="BA83" i="21399"/>
  <c r="BC82" i="21399"/>
  <c r="BB82" i="21399"/>
  <c r="BA82" i="21399"/>
  <c r="BC81" i="21399"/>
  <c r="BB81" i="21399"/>
  <c r="BA81" i="21399"/>
  <c r="BC80" i="21399"/>
  <c r="BB80" i="21399"/>
  <c r="BA80" i="21399"/>
  <c r="BC79" i="21399"/>
  <c r="BB79" i="21399"/>
  <c r="BA79" i="21399"/>
  <c r="BC78" i="21399"/>
  <c r="BB78" i="21399"/>
  <c r="BA78" i="21399"/>
  <c r="BC77" i="21399"/>
  <c r="BB77" i="21399"/>
  <c r="BA77" i="21399"/>
  <c r="BC76" i="21399"/>
  <c r="BB76" i="21399"/>
  <c r="BA76" i="21399"/>
  <c r="BC75" i="21399"/>
  <c r="BB75" i="21399"/>
  <c r="BA75" i="21399"/>
  <c r="BC74" i="21399"/>
  <c r="BB74" i="21399"/>
  <c r="BA74" i="21399"/>
  <c r="BC73" i="21399"/>
  <c r="BB73" i="21399"/>
  <c r="BA73" i="21399"/>
  <c r="BC72" i="21399"/>
  <c r="BB72" i="21399"/>
  <c r="BA72" i="21399"/>
  <c r="BC71" i="21399"/>
  <c r="BB71" i="21399"/>
  <c r="BA71" i="21399"/>
  <c r="BC70" i="21399"/>
  <c r="BB70" i="21399"/>
  <c r="BA70" i="21399"/>
  <c r="BC69" i="21399"/>
  <c r="BB69" i="21399"/>
  <c r="BA69" i="21399"/>
  <c r="BC68" i="21399"/>
  <c r="BB68" i="21399"/>
  <c r="BA68" i="21399"/>
  <c r="BC67" i="21399"/>
  <c r="BB67" i="21399"/>
  <c r="BA67" i="21399"/>
  <c r="BC66" i="21399"/>
  <c r="BB66" i="21399"/>
  <c r="BA66" i="21399"/>
  <c r="BC65" i="21399"/>
  <c r="BB65" i="21399"/>
  <c r="BA65" i="21399"/>
  <c r="BC64" i="21399"/>
  <c r="BB64" i="21399"/>
  <c r="BA64" i="21399"/>
  <c r="BC63" i="21399"/>
  <c r="BB63" i="21399"/>
  <c r="BA63" i="21399"/>
  <c r="M61" i="21399"/>
  <c r="M59" i="21399"/>
  <c r="M57" i="21399"/>
  <c r="M55" i="21399"/>
  <c r="M53" i="21399"/>
  <c r="M51" i="21399"/>
  <c r="M49" i="21399"/>
  <c r="M47" i="21399"/>
  <c r="M45" i="21399"/>
  <c r="M43" i="21399"/>
  <c r="M41" i="21399"/>
  <c r="M39" i="21399"/>
  <c r="M37" i="21399"/>
  <c r="M35" i="21399"/>
  <c r="M33" i="21399"/>
  <c r="M31" i="21399"/>
  <c r="AZ62" i="21399"/>
  <c r="AZ61" i="21399"/>
  <c r="AY61" i="21399"/>
  <c r="AX61" i="21399"/>
  <c r="AW61" i="21399"/>
  <c r="AZ60" i="21399"/>
  <c r="AY59" i="21399"/>
  <c r="AZ58" i="21399"/>
  <c r="AZ57" i="21399"/>
  <c r="AY57" i="21399"/>
  <c r="AX57" i="21399"/>
  <c r="AW57" i="21399"/>
  <c r="AZ56" i="21399"/>
  <c r="AZ55" i="21399"/>
  <c r="AY55" i="21399"/>
  <c r="AX55" i="21399"/>
  <c r="AW55" i="21399"/>
  <c r="AY53" i="21399"/>
  <c r="AZ52" i="21399"/>
  <c r="AZ51" i="21399"/>
  <c r="AY51" i="21399"/>
  <c r="AX51" i="21399"/>
  <c r="AW51" i="21399"/>
  <c r="AZ50" i="21399"/>
  <c r="AZ49" i="21399"/>
  <c r="AY49" i="21399"/>
  <c r="AX49" i="21399"/>
  <c r="AW49" i="21399"/>
  <c r="AZ48" i="21399"/>
  <c r="AZ47" i="21399"/>
  <c r="AY47" i="21399"/>
  <c r="AX47" i="21399"/>
  <c r="AW47" i="21399"/>
  <c r="AZ45" i="21399"/>
  <c r="AY45" i="21399"/>
  <c r="AX45" i="21399"/>
  <c r="AW45" i="21399"/>
  <c r="AZ44" i="21399"/>
  <c r="AY43" i="21399"/>
  <c r="AZ42" i="21399"/>
  <c r="AZ41" i="21399"/>
  <c r="AY41" i="21399"/>
  <c r="AX41" i="21399"/>
  <c r="AW41" i="21399"/>
  <c r="AZ40" i="21399"/>
  <c r="AZ39" i="21399"/>
  <c r="AY39" i="21399"/>
  <c r="AX39" i="21399"/>
  <c r="AW39" i="21399"/>
  <c r="AZ38" i="21399"/>
  <c r="AZ37" i="21399"/>
  <c r="AY37" i="21399"/>
  <c r="AX37" i="21399"/>
  <c r="AW37" i="21399"/>
  <c r="AZ36" i="21399"/>
  <c r="AZ35" i="21399"/>
  <c r="AY35" i="21399"/>
  <c r="AX35" i="21399"/>
  <c r="AW35" i="21399"/>
  <c r="AZ34" i="21399"/>
  <c r="AZ33" i="21399"/>
  <c r="AY33" i="21399"/>
  <c r="AX33" i="21399"/>
  <c r="AW33" i="21399"/>
  <c r="AZ32" i="21399"/>
  <c r="AY31" i="21399"/>
  <c r="BD232" i="21399"/>
  <c r="BD231" i="21399"/>
  <c r="BD230" i="21399"/>
  <c r="BD229" i="21399"/>
  <c r="BD228" i="21399"/>
  <c r="BD227" i="21399"/>
  <c r="BD226" i="21399"/>
  <c r="BD225" i="21399"/>
  <c r="BD224" i="21399"/>
  <c r="BD223" i="21399"/>
  <c r="BD222" i="21399"/>
  <c r="BD221" i="21399"/>
  <c r="BD220" i="21399"/>
  <c r="BD219" i="21399"/>
  <c r="BD218" i="21399"/>
  <c r="BD217" i="21399"/>
  <c r="BD216" i="21399"/>
  <c r="BD215" i="21399"/>
  <c r="BD214" i="21399"/>
  <c r="BD213" i="21399"/>
  <c r="BD212" i="21399"/>
  <c r="BD211" i="21399"/>
  <c r="BD210" i="21399"/>
  <c r="BD209" i="21399"/>
  <c r="BD208" i="21399"/>
  <c r="BD207" i="21399"/>
  <c r="BD206" i="21399"/>
  <c r="BD205" i="21399"/>
  <c r="BD204" i="21399"/>
  <c r="BD203" i="21399"/>
  <c r="BD202" i="21399"/>
  <c r="BD201" i="21399"/>
  <c r="BD200" i="21399"/>
  <c r="BD199" i="21399"/>
  <c r="BD198" i="21399"/>
  <c r="BD197" i="21399"/>
  <c r="BD196" i="21399"/>
  <c r="BD195" i="21399"/>
  <c r="BD194" i="21399"/>
  <c r="BD193" i="21399"/>
  <c r="BD192" i="21399"/>
  <c r="BD191" i="21399"/>
  <c r="BD190" i="21399"/>
  <c r="BD189" i="21399"/>
  <c r="BD188" i="21399"/>
  <c r="BD187" i="21399"/>
  <c r="BD186" i="21399"/>
  <c r="BD185" i="21399"/>
  <c r="BD184" i="21399"/>
  <c r="BD183" i="21399"/>
  <c r="BD182" i="21399"/>
  <c r="BD181" i="21399"/>
  <c r="BD180" i="21399"/>
  <c r="BD179" i="21399"/>
  <c r="BD178" i="21399"/>
  <c r="BD177" i="21399"/>
  <c r="BD176" i="21399"/>
  <c r="BD175" i="21399"/>
  <c r="BD174" i="21399"/>
  <c r="BD173" i="21399"/>
  <c r="BD172" i="21399"/>
  <c r="BD171" i="21399"/>
  <c r="BD170" i="21399"/>
  <c r="BD169" i="21399"/>
  <c r="BD168" i="21399"/>
  <c r="BD167" i="21399"/>
  <c r="BD166" i="21399"/>
  <c r="BD165" i="21399"/>
  <c r="BD164" i="21399"/>
  <c r="BD163" i="21399"/>
  <c r="BD161" i="21399"/>
  <c r="BD159" i="21399"/>
  <c r="BD157" i="21399"/>
  <c r="BD155" i="21399"/>
  <c r="BD153" i="21399"/>
  <c r="BD151" i="21399"/>
  <c r="BD149" i="21399"/>
  <c r="BD147" i="21399"/>
  <c r="BD145" i="21399"/>
  <c r="BD143" i="21399"/>
  <c r="BD127" i="21399"/>
  <c r="BD125" i="21399"/>
  <c r="BD123" i="21399"/>
  <c r="BD121" i="21399"/>
  <c r="BD119" i="21399"/>
  <c r="BD117" i="21399"/>
  <c r="BD115" i="21399"/>
  <c r="BD113" i="21399"/>
  <c r="BD111" i="21399"/>
  <c r="BD109" i="21399"/>
  <c r="BD107" i="21399"/>
  <c r="BD105" i="21399"/>
  <c r="BD103" i="21399"/>
  <c r="BD101" i="21399"/>
  <c r="BD99" i="21399"/>
  <c r="BD97" i="21399"/>
  <c r="BD95" i="21399"/>
  <c r="BD93" i="21399"/>
  <c r="BD91" i="21399"/>
  <c r="BD89" i="21399"/>
  <c r="BD87" i="21399"/>
  <c r="BD85" i="21399"/>
  <c r="BD83" i="21399"/>
  <c r="BD81" i="21399"/>
  <c r="BD79" i="21399"/>
  <c r="BD77" i="21399"/>
  <c r="BD75" i="21399"/>
  <c r="BD73" i="21399"/>
  <c r="BD71" i="21399"/>
  <c r="BD69" i="21399"/>
  <c r="BD67" i="21399"/>
  <c r="BD65" i="21399"/>
  <c r="BD63" i="21399"/>
  <c r="BD61" i="21399"/>
  <c r="BD59" i="21399"/>
  <c r="BD57" i="21399"/>
  <c r="BD55" i="21399"/>
  <c r="BD53" i="21399"/>
  <c r="BD51" i="21399"/>
  <c r="BD49" i="21399"/>
  <c r="BD47" i="21399"/>
  <c r="BD45" i="21399"/>
  <c r="BD43" i="21399"/>
  <c r="BD41" i="21399"/>
  <c r="BD39" i="21399"/>
  <c r="BD37" i="21399"/>
  <c r="BD35" i="21399"/>
  <c r="BD33" i="21399"/>
  <c r="BD31" i="21399"/>
  <c r="J28" i="21399"/>
  <c r="J29" i="21399"/>
  <c r="AZ30" i="21399"/>
  <c r="G160" i="21400"/>
  <c r="G158" i="21400"/>
  <c r="BB104" i="21400" l="1"/>
  <c r="BB103" i="21400"/>
  <c r="BB102" i="21400"/>
  <c r="BB101" i="21400"/>
  <c r="BB100" i="21400"/>
  <c r="BB99" i="21400"/>
  <c r="BB98" i="21400"/>
  <c r="BB97" i="21400"/>
  <c r="BB96" i="21400"/>
  <c r="BB95" i="21400"/>
  <c r="BB94" i="21400"/>
  <c r="BB93" i="21400"/>
  <c r="BB92" i="21400"/>
  <c r="BB91" i="21400"/>
  <c r="BB90" i="21400"/>
  <c r="BB89" i="21400"/>
  <c r="BB88" i="21400"/>
  <c r="BB87" i="21400"/>
  <c r="BB86" i="21400"/>
  <c r="BB85" i="21400"/>
  <c r="BB84" i="21400"/>
  <c r="BB83" i="21400"/>
  <c r="BB82" i="21400"/>
  <c r="BB81" i="21400"/>
  <c r="BB80" i="21400"/>
  <c r="BB79" i="21400"/>
  <c r="BB78" i="21400"/>
  <c r="BB77" i="21400"/>
  <c r="BB76" i="21400"/>
  <c r="BB75" i="21400"/>
  <c r="BB74" i="21400"/>
  <c r="BB73" i="21400"/>
  <c r="BB72" i="21400"/>
  <c r="BB71" i="21400"/>
  <c r="BB70" i="21400"/>
  <c r="BB69" i="21400"/>
  <c r="BB68" i="21400"/>
  <c r="BB67" i="21400"/>
  <c r="BB66" i="21400"/>
  <c r="BB154" i="21400"/>
  <c r="BB153" i="21400"/>
  <c r="BA153" i="21400"/>
  <c r="BB145" i="21400"/>
  <c r="BA145" i="21400"/>
  <c r="BB144" i="21400"/>
  <c r="BA144" i="21400"/>
  <c r="BB143" i="21400"/>
  <c r="BA143" i="21400"/>
  <c r="BB142" i="21400"/>
  <c r="BA142" i="21400"/>
  <c r="BB141" i="21400"/>
  <c r="BA141" i="21400"/>
  <c r="BB140" i="21400"/>
  <c r="BA140" i="21400"/>
  <c r="BB139" i="21400"/>
  <c r="BA139" i="21400"/>
  <c r="BB138" i="21400"/>
  <c r="BA138" i="21400"/>
  <c r="BB137" i="21400"/>
  <c r="BA137" i="21400"/>
  <c r="BB136" i="21400"/>
  <c r="BA136" i="21400"/>
  <c r="BB135" i="21400"/>
  <c r="BA135" i="21400"/>
  <c r="BB134" i="21400"/>
  <c r="BA134" i="21400"/>
  <c r="BB133" i="21400"/>
  <c r="BA133" i="21400"/>
  <c r="BB132" i="21400"/>
  <c r="BA132" i="21400"/>
  <c r="BB131" i="21400"/>
  <c r="BA131" i="21400"/>
  <c r="BA129" i="21400"/>
  <c r="BB128" i="21400"/>
  <c r="BA127" i="21400"/>
  <c r="BB125" i="21400"/>
  <c r="BA125" i="21400"/>
  <c r="BB124" i="21400"/>
  <c r="BB123" i="21400"/>
  <c r="BA123" i="21400"/>
  <c r="BB122" i="21400"/>
  <c r="BA121" i="21400"/>
  <c r="BB120" i="21400"/>
  <c r="BA120" i="21400"/>
  <c r="BB119" i="21400"/>
  <c r="BA119" i="21400"/>
  <c r="BB118" i="21400"/>
  <c r="BB117" i="21400"/>
  <c r="BA117" i="21400"/>
  <c r="BB116" i="21400"/>
  <c r="BA115" i="21400"/>
  <c r="BA113" i="21400"/>
  <c r="BB112" i="21400"/>
  <c r="BA111" i="21400"/>
  <c r="BB109" i="21400"/>
  <c r="BA109" i="21400"/>
  <c r="BB108" i="21400"/>
  <c r="BB107" i="21400"/>
  <c r="BA107" i="21400"/>
  <c r="BB106" i="21400"/>
  <c r="BA105" i="21400"/>
  <c r="BC104" i="21400"/>
  <c r="BA103" i="21400"/>
  <c r="BC102" i="21400"/>
  <c r="BA101" i="21400"/>
  <c r="BC100" i="21400"/>
  <c r="BA99" i="21400"/>
  <c r="BC98" i="21400"/>
  <c r="BA97" i="21400"/>
  <c r="BC96" i="21400"/>
  <c r="BA95" i="21400"/>
  <c r="BC94" i="21400"/>
  <c r="BA93" i="21400"/>
  <c r="BC92" i="21400"/>
  <c r="BA91" i="21400"/>
  <c r="BC90" i="21400"/>
  <c r="BA89" i="21400"/>
  <c r="BC88" i="21400"/>
  <c r="BA87" i="21400"/>
  <c r="BC86" i="21400"/>
  <c r="BA85" i="21400"/>
  <c r="BC84" i="21400"/>
  <c r="BA83" i="21400"/>
  <c r="BC82" i="21400"/>
  <c r="BA81" i="21400"/>
  <c r="BC80" i="21400"/>
  <c r="BA79" i="21400"/>
  <c r="BC78" i="21400"/>
  <c r="BA77" i="21400"/>
  <c r="BC76" i="21400"/>
  <c r="BA76" i="21400"/>
  <c r="BA75" i="21400"/>
  <c r="BC74" i="21400"/>
  <c r="BA73" i="21400"/>
  <c r="BC72" i="21400"/>
  <c r="BA71" i="21400"/>
  <c r="BC70" i="21400"/>
  <c r="BC69" i="21400"/>
  <c r="BA69" i="21400"/>
  <c r="BC68" i="21400"/>
  <c r="BA67" i="21400"/>
  <c r="BB44" i="21400"/>
  <c r="BA44" i="21400"/>
  <c r="BB43" i="21400"/>
  <c r="BA43" i="21400"/>
  <c r="BB42" i="21400"/>
  <c r="BA42" i="21400"/>
  <c r="BB41" i="21400"/>
  <c r="BA41" i="21400"/>
  <c r="BB40" i="21400"/>
  <c r="BA40" i="21400"/>
  <c r="BB39" i="21400"/>
  <c r="BA39" i="21400"/>
  <c r="BB38" i="21400"/>
  <c r="BA38" i="21400"/>
  <c r="BB37" i="21400"/>
  <c r="BA37" i="21400"/>
  <c r="BB36" i="21400"/>
  <c r="BA36" i="21400"/>
  <c r="BB35" i="21400"/>
  <c r="BA35" i="21400"/>
  <c r="BB34" i="21400"/>
  <c r="BA34" i="21400"/>
  <c r="BB33" i="21400"/>
  <c r="BA33" i="21400"/>
  <c r="BB32" i="21400"/>
  <c r="BA32" i="21400"/>
  <c r="AY155" i="21400"/>
  <c r="BA155" i="21400" s="1"/>
  <c r="BA154" i="21400"/>
  <c r="BB152" i="21400"/>
  <c r="BA152" i="21400"/>
  <c r="BB151" i="21400"/>
  <c r="BA151" i="21400"/>
  <c r="BB150" i="21400"/>
  <c r="BA150" i="21400"/>
  <c r="BB149" i="21400"/>
  <c r="BA149" i="21400"/>
  <c r="BB148" i="21400"/>
  <c r="BA148" i="21400"/>
  <c r="AY147" i="21400"/>
  <c r="BA147" i="21400" s="1"/>
  <c r="AZ147" i="21400"/>
  <c r="BB147" i="21400" s="1"/>
  <c r="BA130" i="21400"/>
  <c r="BB130" i="21400"/>
  <c r="BB129" i="21400"/>
  <c r="BA128" i="21400"/>
  <c r="BB127" i="21400"/>
  <c r="BA126" i="21400"/>
  <c r="BB126" i="21400"/>
  <c r="BA124" i="21400"/>
  <c r="BA122" i="21400"/>
  <c r="BB121" i="21400"/>
  <c r="BA118" i="21400"/>
  <c r="BA116" i="21400"/>
  <c r="BB115" i="21400"/>
  <c r="BA114" i="21400"/>
  <c r="BB114" i="21400"/>
  <c r="BB113" i="21400"/>
  <c r="BA112" i="21400"/>
  <c r="BB111" i="21400"/>
  <c r="BA110" i="21400"/>
  <c r="BB110" i="21400"/>
  <c r="BA108" i="21400"/>
  <c r="BA106" i="21400"/>
  <c r="BB105" i="21400"/>
  <c r="AZ104" i="21400"/>
  <c r="AY104" i="21400"/>
  <c r="BA104" i="21400" s="1"/>
  <c r="BA102" i="21400"/>
  <c r="BA100" i="21400"/>
  <c r="BA98" i="21400"/>
  <c r="BA96" i="21400"/>
  <c r="BA94" i="21400"/>
  <c r="BA92" i="21400"/>
  <c r="BA90" i="21400"/>
  <c r="BA88" i="21400"/>
  <c r="BA86" i="21400"/>
  <c r="BA84" i="21400"/>
  <c r="BA82" i="21400"/>
  <c r="BA80" i="21400"/>
  <c r="BA78" i="21400"/>
  <c r="BA74" i="21400"/>
  <c r="BA72" i="21400"/>
  <c r="BA70" i="21400"/>
  <c r="BA68" i="21400"/>
  <c r="BA66" i="21400"/>
  <c r="AZ65" i="21400"/>
  <c r="BB65" i="21400" s="1"/>
  <c r="AY65" i="21400"/>
  <c r="BA65" i="21400" s="1"/>
  <c r="AX65" i="21400"/>
  <c r="AW65" i="21400"/>
  <c r="AZ64" i="21400"/>
  <c r="BB64" i="21400" s="1"/>
  <c r="AY63" i="21400"/>
  <c r="BA63" i="21400" s="1"/>
  <c r="AZ62" i="21400"/>
  <c r="BB62" i="21400" s="1"/>
  <c r="AZ61" i="21400"/>
  <c r="BB61" i="21400" s="1"/>
  <c r="AY61" i="21400"/>
  <c r="BA61" i="21400" s="1"/>
  <c r="AX61" i="21400"/>
  <c r="AW61" i="21400"/>
  <c r="AZ60" i="21400"/>
  <c r="BB60" i="21400" s="1"/>
  <c r="AZ59" i="21400"/>
  <c r="BB59" i="21400" s="1"/>
  <c r="AY59" i="21400"/>
  <c r="BA59" i="21400" s="1"/>
  <c r="AX59" i="21400"/>
  <c r="AW59" i="21400"/>
  <c r="AZ58" i="21400"/>
  <c r="BB58" i="21400" s="1"/>
  <c r="AY57" i="21400"/>
  <c r="BA57" i="21400" s="1"/>
  <c r="AZ56" i="21400"/>
  <c r="BB56" i="21400" s="1"/>
  <c r="AZ55" i="21400"/>
  <c r="BB55" i="21400" s="1"/>
  <c r="AY55" i="21400"/>
  <c r="BA55" i="21400" s="1"/>
  <c r="AX55" i="21400"/>
  <c r="AW55" i="21400"/>
  <c r="AZ54" i="21400"/>
  <c r="BB54" i="21400" s="1"/>
  <c r="AY53" i="21400"/>
  <c r="BA53" i="21400" s="1"/>
  <c r="AZ52" i="21400"/>
  <c r="BB52" i="21400" s="1"/>
  <c r="AZ51" i="21400"/>
  <c r="BB51" i="21400" s="1"/>
  <c r="AY51" i="21400"/>
  <c r="BA51" i="21400" s="1"/>
  <c r="AX51" i="21400"/>
  <c r="AW51" i="21400"/>
  <c r="AZ50" i="21400"/>
  <c r="BB50" i="21400" s="1"/>
  <c r="AZ49" i="21400"/>
  <c r="BB49" i="21400" s="1"/>
  <c r="AY49" i="21400"/>
  <c r="BA49" i="21400" s="1"/>
  <c r="AX49" i="21400"/>
  <c r="AW49" i="21400"/>
  <c r="AZ48" i="21400"/>
  <c r="BB48" i="21400" s="1"/>
  <c r="AZ47" i="21400"/>
  <c r="BB47" i="21400" s="1"/>
  <c r="AY47" i="21400"/>
  <c r="BA47" i="21400" s="1"/>
  <c r="AX47" i="21400"/>
  <c r="AW47" i="21400"/>
  <c r="AZ46" i="21400"/>
  <c r="BB46" i="21400" s="1"/>
  <c r="AY45" i="21400"/>
  <c r="BA45" i="21400" s="1"/>
  <c r="AZ31" i="21400"/>
  <c r="BB31" i="21400" s="1"/>
  <c r="AY31" i="21400"/>
  <c r="BA31" i="21400" s="1"/>
  <c r="AX31" i="21400"/>
  <c r="AW31" i="21400"/>
  <c r="BB30" i="21400"/>
  <c r="AZ29" i="21400"/>
  <c r="BB29" i="21400" s="1"/>
  <c r="AY29" i="21400"/>
  <c r="BA29" i="21400" s="1"/>
  <c r="AX29" i="21400"/>
  <c r="AW29" i="21400"/>
  <c r="AY27" i="21400"/>
  <c r="BA27" i="21400" s="1"/>
  <c r="AZ26" i="21400"/>
  <c r="BB26" i="21400" s="1"/>
  <c r="AY25" i="21400"/>
  <c r="BA25" i="21400" s="1"/>
  <c r="AZ24" i="21400"/>
  <c r="BB24" i="21400" s="1"/>
  <c r="AZ23" i="21400"/>
  <c r="BB23" i="21400" s="1"/>
  <c r="AY23" i="21400"/>
  <c r="BA23" i="21400" s="1"/>
  <c r="AX23" i="21400"/>
  <c r="AW23" i="21400"/>
  <c r="AZ22" i="21400"/>
  <c r="BB22" i="21400" s="1"/>
  <c r="AZ21" i="21400"/>
  <c r="BB21" i="21400" s="1"/>
  <c r="AY21" i="21400"/>
  <c r="BA21" i="21400" s="1"/>
  <c r="AX21" i="21400"/>
  <c r="AW21" i="21400"/>
  <c r="AZ20" i="21400"/>
  <c r="BB20" i="21400" s="1"/>
  <c r="AZ19" i="21400"/>
  <c r="BB19" i="21400" s="1"/>
  <c r="AY19" i="21400"/>
  <c r="BA19" i="21400" s="1"/>
  <c r="AX19" i="21400"/>
  <c r="AW19" i="21400"/>
  <c r="AZ18" i="21400"/>
  <c r="BB18" i="21400" s="1"/>
  <c r="AZ17" i="21400"/>
  <c r="BB17" i="21400" s="1"/>
  <c r="AY17" i="21400"/>
  <c r="BA17" i="21400" s="1"/>
  <c r="AX17" i="21400"/>
  <c r="AW17" i="21400"/>
  <c r="BD156" i="21400"/>
  <c r="BD153" i="21400"/>
  <c r="BD147" i="21400"/>
  <c r="BD145" i="21400"/>
  <c r="BD141" i="21400"/>
  <c r="BD139" i="21400"/>
  <c r="BD137" i="21400"/>
  <c r="BD135" i="21400"/>
  <c r="BD133" i="21400"/>
  <c r="BD131" i="21400"/>
  <c r="BD129" i="21400"/>
  <c r="BD127" i="21400"/>
  <c r="BD125" i="21400"/>
  <c r="BD123" i="21400"/>
  <c r="BD121" i="21400"/>
  <c r="BD119" i="21400"/>
  <c r="BD117" i="21400"/>
  <c r="BD115" i="21400"/>
  <c r="BD113" i="21400"/>
  <c r="BD111" i="21400"/>
  <c r="BD109" i="21400"/>
  <c r="BD107" i="21400"/>
  <c r="BD105" i="21400"/>
  <c r="BD103" i="21400"/>
  <c r="BD101" i="21400"/>
  <c r="BD99" i="21400"/>
  <c r="BD97" i="21400"/>
  <c r="BD95" i="21400"/>
  <c r="BD93" i="21400"/>
  <c r="BD91" i="21400"/>
  <c r="BD89" i="21400"/>
  <c r="BD87" i="21400"/>
  <c r="BD85" i="21400"/>
  <c r="BD83" i="21400"/>
  <c r="BD81" i="21400"/>
  <c r="BD79" i="21400"/>
  <c r="BD77" i="21400"/>
  <c r="BD75" i="21400"/>
  <c r="BD73" i="21400"/>
  <c r="BD71" i="21400"/>
  <c r="BD69" i="21400"/>
  <c r="BD67" i="21400"/>
  <c r="BD65" i="21400"/>
  <c r="BD63" i="21400"/>
  <c r="BD61" i="21400"/>
  <c r="BD59" i="21400"/>
  <c r="BD57" i="21400"/>
  <c r="BD55" i="21400"/>
  <c r="BD53" i="21400"/>
  <c r="BD51" i="21400"/>
  <c r="BD49" i="21400"/>
  <c r="BD47" i="21400"/>
  <c r="BD45" i="21400"/>
  <c r="BD33" i="21400"/>
  <c r="BD31" i="21400"/>
  <c r="BD29" i="21400"/>
  <c r="BD27" i="21400"/>
  <c r="BD25" i="21400"/>
  <c r="BD23" i="21400"/>
  <c r="BD21" i="21400"/>
  <c r="BD19" i="21400"/>
  <c r="BD17" i="21400"/>
  <c r="AZ16" i="21400"/>
  <c r="BB16" i="21400" s="1"/>
  <c r="AZ33" i="108" l="1"/>
  <c r="AY33" i="108"/>
  <c r="AX33" i="108"/>
  <c r="AW33" i="108"/>
  <c r="AZ32" i="108"/>
  <c r="AY31" i="108"/>
  <c r="AZ30" i="108"/>
  <c r="AZ29" i="108"/>
  <c r="AY29" i="108"/>
  <c r="AX29" i="108"/>
  <c r="AW29" i="108"/>
  <c r="AZ28" i="108"/>
  <c r="AZ27" i="108"/>
  <c r="AY27" i="108"/>
  <c r="AX27" i="108"/>
  <c r="AW27" i="108"/>
  <c r="AZ26" i="108"/>
  <c r="AY25" i="108"/>
  <c r="AZ24" i="108"/>
  <c r="AZ23" i="108"/>
  <c r="AY23" i="108"/>
  <c r="AX23" i="108"/>
  <c r="AW23" i="108"/>
  <c r="AZ22" i="108"/>
  <c r="AY21" i="108"/>
  <c r="AX21" i="108"/>
  <c r="AZ21" i="108" s="1"/>
  <c r="AW21" i="108"/>
  <c r="AZ20" i="108"/>
  <c r="AY19" i="108"/>
  <c r="AX33" i="3"/>
  <c r="AW33" i="3"/>
  <c r="AX29" i="3"/>
  <c r="AW29" i="3"/>
  <c r="AX27" i="3"/>
  <c r="AW27" i="3"/>
  <c r="AX25" i="3"/>
  <c r="AW25" i="3"/>
  <c r="AX23" i="3"/>
  <c r="AW23" i="3"/>
  <c r="AX21" i="3"/>
  <c r="AW21" i="3"/>
  <c r="BB63" i="3"/>
  <c r="BA63" i="3"/>
  <c r="BB62" i="3"/>
  <c r="BA62" i="3"/>
  <c r="BB61" i="3"/>
  <c r="BA61" i="3"/>
  <c r="BB60" i="3"/>
  <c r="BA60" i="3"/>
  <c r="BB59" i="3"/>
  <c r="BA59" i="3"/>
  <c r="BB58" i="3"/>
  <c r="BA58" i="3"/>
  <c r="BB57" i="3"/>
  <c r="BA57" i="3"/>
  <c r="BB56" i="3"/>
  <c r="BA56" i="3"/>
  <c r="BB55" i="3"/>
  <c r="BA55" i="3"/>
  <c r="BB54" i="3"/>
  <c r="BA54" i="3"/>
  <c r="BB53" i="3"/>
  <c r="BA53" i="3"/>
  <c r="BB52" i="3"/>
  <c r="BA52" i="3"/>
  <c r="BB51" i="3"/>
  <c r="BA51" i="3"/>
  <c r="BB50" i="3"/>
  <c r="BA50" i="3"/>
  <c r="BB49" i="3"/>
  <c r="BA49" i="3"/>
  <c r="BB48" i="3"/>
  <c r="BA48" i="3"/>
  <c r="BB47" i="3"/>
  <c r="BA47" i="3"/>
  <c r="BB46" i="3"/>
  <c r="BA46" i="3"/>
  <c r="BB45" i="3"/>
  <c r="BA45" i="3"/>
  <c r="BB44" i="3"/>
  <c r="BA44" i="3"/>
  <c r="BB43" i="3"/>
  <c r="BA43" i="3"/>
  <c r="BB42" i="3"/>
  <c r="BA42" i="3"/>
  <c r="BB41" i="3"/>
  <c r="BA41" i="3"/>
  <c r="BB40" i="3"/>
  <c r="BA40" i="3"/>
  <c r="BB39" i="3"/>
  <c r="BA39" i="3"/>
  <c r="BB38" i="3"/>
  <c r="BA38" i="3"/>
  <c r="BB37" i="3"/>
  <c r="BA37" i="3"/>
  <c r="BB36" i="3"/>
  <c r="BA36" i="3"/>
  <c r="BB17" i="3"/>
  <c r="BA17" i="3"/>
  <c r="BB16" i="3"/>
  <c r="BA16" i="3"/>
  <c r="BB15" i="3"/>
  <c r="BA15" i="3"/>
  <c r="BB14" i="3"/>
  <c r="BA14" i="3"/>
  <c r="BB13" i="3"/>
  <c r="BA13" i="3"/>
  <c r="BB12" i="3"/>
  <c r="BA12" i="3"/>
  <c r="BB11" i="3"/>
  <c r="BA11" i="3"/>
  <c r="BB10" i="3"/>
  <c r="BA10" i="3"/>
  <c r="BB9" i="3"/>
  <c r="BA9" i="3"/>
  <c r="BB8" i="3"/>
  <c r="BA8" i="3"/>
  <c r="BB7" i="3"/>
  <c r="BA7" i="3"/>
  <c r="BB6" i="3"/>
  <c r="BA6" i="3"/>
  <c r="BB5" i="3"/>
  <c r="BA5" i="3"/>
  <c r="AN248" i="21398"/>
  <c r="AN246" i="21398" s="1"/>
  <c r="AN244" i="21398" s="1"/>
  <c r="AN240" i="21398"/>
  <c r="AN242" i="21398" s="1"/>
  <c r="AN242" i="2"/>
  <c r="AN244" i="2" s="1"/>
  <c r="AN248" i="2"/>
  <c r="AN246" i="2" s="1"/>
  <c r="AN240" i="2"/>
  <c r="AN30" i="2"/>
  <c r="AN26" i="2"/>
  <c r="AN28" i="2" s="1"/>
  <c r="AN30" i="21398"/>
  <c r="AN26" i="21398"/>
  <c r="AN28" i="21398" s="1"/>
  <c r="AZ406" i="21398" l="1"/>
  <c r="AY406" i="21398"/>
  <c r="AZ405" i="21398"/>
  <c r="AY405" i="21398"/>
  <c r="AZ404" i="21398"/>
  <c r="AY404" i="21398"/>
  <c r="AZ403" i="21398"/>
  <c r="AY403" i="21398"/>
  <c r="AZ402" i="21398"/>
  <c r="AY402" i="21398"/>
  <c r="AZ401" i="21398"/>
  <c r="AY401" i="21398"/>
  <c r="AZ400" i="21398"/>
  <c r="AY400" i="21398"/>
  <c r="AZ399" i="21398"/>
  <c r="AY399" i="21398"/>
  <c r="AZ398" i="21398"/>
  <c r="AY398" i="21398"/>
  <c r="AZ397" i="21398"/>
  <c r="AY397" i="21398"/>
  <c r="AZ396" i="21398"/>
  <c r="AY396" i="21398"/>
  <c r="AZ395" i="21398"/>
  <c r="AY395" i="21398"/>
  <c r="AZ394" i="21398"/>
  <c r="AY394" i="21398"/>
  <c r="AZ393" i="21398"/>
  <c r="AY393" i="21398"/>
  <c r="AZ392" i="21398"/>
  <c r="AY392" i="21398"/>
  <c r="AZ391" i="21398"/>
  <c r="AY391" i="21398"/>
  <c r="AZ390" i="21398"/>
  <c r="AY390" i="21398"/>
  <c r="AZ389" i="21398"/>
  <c r="AY389" i="21398"/>
  <c r="AZ388" i="21398"/>
  <c r="AY388" i="21398"/>
  <c r="AZ387" i="21398"/>
  <c r="AY387" i="21398"/>
  <c r="AZ386" i="21398"/>
  <c r="AY386" i="21398"/>
  <c r="AZ385" i="21398"/>
  <c r="AY385" i="21398"/>
  <c r="AZ384" i="21398"/>
  <c r="AY384" i="21398"/>
  <c r="AZ383" i="21398"/>
  <c r="AY383" i="21398"/>
  <c r="AZ382" i="21398"/>
  <c r="AY382" i="21398"/>
  <c r="AZ381" i="21398"/>
  <c r="AY381" i="21398"/>
  <c r="AZ380" i="21398"/>
  <c r="AY380" i="21398"/>
  <c r="AZ379" i="21398"/>
  <c r="AY379" i="21398"/>
  <c r="AZ378" i="21398"/>
  <c r="AY378" i="21398"/>
  <c r="AY377" i="21398"/>
  <c r="AZ376" i="21398"/>
  <c r="AY376" i="21398"/>
  <c r="AZ375" i="21398"/>
  <c r="AY375" i="21398"/>
  <c r="AZ374" i="21398"/>
  <c r="AY374" i="21398"/>
  <c r="AZ373" i="21398"/>
  <c r="AY373" i="21398"/>
  <c r="AZ372" i="21398"/>
  <c r="AY372" i="21398"/>
  <c r="AZ371" i="21398"/>
  <c r="AY371" i="21398"/>
  <c r="AZ370" i="21398"/>
  <c r="AY370" i="21398"/>
  <c r="AZ369" i="21398"/>
  <c r="AY369" i="21398"/>
  <c r="AZ368" i="21398"/>
  <c r="AY368" i="21398"/>
  <c r="AZ367" i="21398"/>
  <c r="AY367" i="21398"/>
  <c r="AZ366" i="21398"/>
  <c r="AY366" i="21398"/>
  <c r="AZ365" i="21398"/>
  <c r="AY365" i="21398"/>
  <c r="AZ364" i="21398"/>
  <c r="AY364" i="21398"/>
  <c r="AZ363" i="21398"/>
  <c r="AY363" i="21398"/>
  <c r="AZ362" i="21398"/>
  <c r="AY362" i="21398"/>
  <c r="AZ361" i="21398"/>
  <c r="AY361" i="21398"/>
  <c r="AZ360" i="21398"/>
  <c r="AY360" i="21398"/>
  <c r="AZ359" i="21398"/>
  <c r="AY359" i="21398"/>
  <c r="AZ358" i="21398"/>
  <c r="AY358" i="21398"/>
  <c r="AZ357" i="21398"/>
  <c r="AY357" i="21398"/>
  <c r="AZ356" i="21398"/>
  <c r="AY356" i="21398"/>
  <c r="AZ355" i="21398"/>
  <c r="AY355" i="21398"/>
  <c r="AZ354" i="21398"/>
  <c r="AY354" i="21398"/>
  <c r="AZ353" i="21398"/>
  <c r="AY353" i="21398"/>
  <c r="AZ352" i="21398"/>
  <c r="AY352" i="21398"/>
  <c r="AZ351" i="21398"/>
  <c r="AY351" i="21398"/>
  <c r="AZ350" i="21398"/>
  <c r="AY350" i="21398"/>
  <c r="AZ349" i="21398"/>
  <c r="AY349" i="21398"/>
  <c r="AZ348" i="21398"/>
  <c r="AY348" i="21398"/>
  <c r="AZ347" i="21398"/>
  <c r="AY347" i="21398"/>
  <c r="AZ346" i="21398"/>
  <c r="AY346" i="21398"/>
  <c r="AZ345" i="21398"/>
  <c r="AY345" i="21398"/>
  <c r="AZ344" i="21398"/>
  <c r="AY344" i="21398"/>
  <c r="AZ343" i="21398"/>
  <c r="AY343" i="21398"/>
  <c r="AZ342" i="21398"/>
  <c r="AY342" i="21398"/>
  <c r="AZ341" i="21398"/>
  <c r="AY341" i="21398"/>
  <c r="AZ340" i="21398"/>
  <c r="AY340" i="21398"/>
  <c r="AZ339" i="21398"/>
  <c r="AY339" i="21398"/>
  <c r="AZ338" i="21398"/>
  <c r="AY338" i="21398"/>
  <c r="AZ337" i="21398"/>
  <c r="AY337" i="21398"/>
  <c r="AZ336" i="21398"/>
  <c r="AY336" i="21398"/>
  <c r="AZ335" i="21398"/>
  <c r="AY335" i="21398"/>
  <c r="AZ334" i="21398"/>
  <c r="AY334" i="21398"/>
  <c r="AZ333" i="21398"/>
  <c r="AY333" i="21398"/>
  <c r="AZ332" i="21398"/>
  <c r="AY332" i="21398"/>
  <c r="AZ331" i="21398"/>
  <c r="AY331" i="21398"/>
  <c r="AZ330" i="21398"/>
  <c r="AY330" i="21398"/>
  <c r="AZ329" i="21398"/>
  <c r="AY329" i="21398"/>
  <c r="AZ328" i="21398"/>
  <c r="AY328" i="21398"/>
  <c r="AZ327" i="21398"/>
  <c r="AY327" i="21398"/>
  <c r="AZ326" i="21398"/>
  <c r="AY326" i="21398"/>
  <c r="AZ325" i="21398"/>
  <c r="AY325" i="21398"/>
  <c r="AZ324" i="21398"/>
  <c r="AY324" i="21398"/>
  <c r="AZ323" i="21398"/>
  <c r="AY323" i="21398"/>
  <c r="AZ322" i="21398"/>
  <c r="AY322" i="21398"/>
  <c r="AZ321" i="21398"/>
  <c r="AY321" i="21398"/>
  <c r="AZ320" i="21398"/>
  <c r="AY320" i="21398"/>
  <c r="AZ319" i="21398"/>
  <c r="AY319" i="21398"/>
  <c r="AZ318" i="21398"/>
  <c r="AY318" i="21398"/>
  <c r="AZ317" i="21398"/>
  <c r="AY317" i="21398"/>
  <c r="AZ316" i="21398"/>
  <c r="AY316" i="21398"/>
  <c r="AZ315" i="21398"/>
  <c r="AY315" i="21398"/>
  <c r="AZ314" i="21398"/>
  <c r="AY314" i="21398"/>
  <c r="AZ313" i="21398"/>
  <c r="AY313" i="21398"/>
  <c r="AZ312" i="21398"/>
  <c r="AY312" i="21398"/>
  <c r="AZ311" i="21398"/>
  <c r="AY311" i="21398"/>
  <c r="AZ310" i="21398"/>
  <c r="AY310" i="21398"/>
  <c r="AZ309" i="21398"/>
  <c r="AY309" i="21398"/>
  <c r="AZ308" i="21398"/>
  <c r="AY308" i="21398"/>
  <c r="AZ307" i="21398"/>
  <c r="AY307" i="21398"/>
  <c r="AZ306" i="21398"/>
  <c r="AY306" i="21398"/>
  <c r="AZ305" i="21398"/>
  <c r="AY305" i="21398"/>
  <c r="AZ304" i="21398"/>
  <c r="AY304" i="21398"/>
  <c r="AZ303" i="21398"/>
  <c r="AY303" i="21398"/>
  <c r="AZ302" i="21398"/>
  <c r="AY302" i="21398"/>
  <c r="AZ301" i="21398"/>
  <c r="AY301" i="21398"/>
  <c r="AZ300" i="21398"/>
  <c r="AY300" i="21398"/>
  <c r="AZ299" i="21398"/>
  <c r="AY299" i="21398"/>
  <c r="AZ298" i="21398"/>
  <c r="AY298" i="21398"/>
  <c r="AZ297" i="21398"/>
  <c r="AY297" i="21398"/>
  <c r="AZ296" i="21398"/>
  <c r="AY296" i="21398"/>
  <c r="AZ295" i="21398"/>
  <c r="AY295" i="21398"/>
  <c r="AZ294" i="21398"/>
  <c r="AY294" i="21398"/>
  <c r="AZ293" i="21398"/>
  <c r="AY293" i="21398"/>
  <c r="AZ292" i="21398"/>
  <c r="AY292" i="21398"/>
  <c r="AZ291" i="21398"/>
  <c r="AY291" i="21398"/>
  <c r="AZ290" i="21398"/>
  <c r="AY290" i="21398"/>
  <c r="AZ289" i="21398"/>
  <c r="AY289" i="21398"/>
  <c r="AZ288" i="21398"/>
  <c r="AY288" i="21398"/>
  <c r="AZ287" i="21398"/>
  <c r="AY287" i="21398"/>
  <c r="AZ286" i="21398"/>
  <c r="AY286" i="21398"/>
  <c r="AZ285" i="21398"/>
  <c r="AY285" i="21398"/>
  <c r="AZ284" i="21398"/>
  <c r="AY284" i="21398"/>
  <c r="AZ283" i="21398"/>
  <c r="AY283" i="21398"/>
  <c r="AZ282" i="21398"/>
  <c r="AY282" i="21398"/>
  <c r="AZ281" i="21398"/>
  <c r="AY281" i="21398"/>
  <c r="AZ280" i="21398"/>
  <c r="AY280" i="21398"/>
  <c r="AZ279" i="21398"/>
  <c r="AY279" i="21398"/>
  <c r="AZ278" i="21398"/>
  <c r="AY278" i="21398"/>
  <c r="AZ277" i="21398"/>
  <c r="AY277" i="21398"/>
  <c r="AZ276" i="21398"/>
  <c r="AY276" i="21398"/>
  <c r="AZ275" i="21398"/>
  <c r="AY275" i="21398"/>
  <c r="AZ274" i="21398"/>
  <c r="AY274" i="21398"/>
  <c r="AZ273" i="21398"/>
  <c r="AY273" i="21398"/>
  <c r="AZ272" i="21398"/>
  <c r="AY272" i="21398"/>
  <c r="AZ271" i="21398"/>
  <c r="AY271" i="21398"/>
  <c r="AZ270" i="21398"/>
  <c r="AY270" i="21398"/>
  <c r="AZ269" i="21398"/>
  <c r="AY269" i="21398"/>
  <c r="AZ268" i="21398"/>
  <c r="AY268" i="21398"/>
  <c r="AZ267" i="21398"/>
  <c r="AY267" i="21398"/>
  <c r="AZ266" i="21398"/>
  <c r="AY266" i="21398"/>
  <c r="AZ265" i="21398"/>
  <c r="AY265" i="21398"/>
  <c r="AZ264" i="21398"/>
  <c r="AY264" i="21398"/>
  <c r="AZ263" i="21398"/>
  <c r="AY263" i="21398"/>
  <c r="AZ262" i="21398"/>
  <c r="AY262" i="21398"/>
  <c r="AZ261" i="21398"/>
  <c r="AY261" i="21398"/>
  <c r="AY260" i="21398"/>
  <c r="AY259" i="21398"/>
  <c r="AZ258" i="21398"/>
  <c r="AZ257" i="21398"/>
  <c r="AY257" i="21398"/>
  <c r="AZ256" i="21398"/>
  <c r="AZ255" i="21398"/>
  <c r="AY255" i="21398"/>
  <c r="AZ254" i="21398"/>
  <c r="AZ253" i="21398"/>
  <c r="AY253" i="21398"/>
  <c r="AZ252" i="21398"/>
  <c r="AZ251" i="21398"/>
  <c r="AY251" i="21398"/>
  <c r="AZ250" i="21398"/>
  <c r="AZ249" i="21398"/>
  <c r="AY249" i="21398"/>
  <c r="AZ248" i="21398"/>
  <c r="AY247" i="21398"/>
  <c r="AZ246" i="21398"/>
  <c r="AZ245" i="21398"/>
  <c r="AY245" i="21398"/>
  <c r="AZ244" i="21398"/>
  <c r="AY243" i="21398"/>
  <c r="AZ242" i="21398"/>
  <c r="AY241" i="21398"/>
  <c r="AZ240" i="21398"/>
  <c r="AY239" i="21398"/>
  <c r="AZ238" i="21398"/>
  <c r="AY237" i="21398"/>
  <c r="AZ236" i="21398"/>
  <c r="AZ235" i="21398"/>
  <c r="AY235" i="21398"/>
  <c r="AZ234" i="21398"/>
  <c r="AY233" i="21398"/>
  <c r="AZ232" i="21398"/>
  <c r="AZ231" i="21398"/>
  <c r="AY231" i="21398"/>
  <c r="AZ230" i="21398"/>
  <c r="AZ229" i="21398"/>
  <c r="AY229" i="21398"/>
  <c r="AZ228" i="21398"/>
  <c r="AZ227" i="21398"/>
  <c r="AY227" i="21398"/>
  <c r="AZ226" i="21398"/>
  <c r="AZ225" i="21398"/>
  <c r="AY225" i="21398"/>
  <c r="AZ224" i="21398"/>
  <c r="AZ223" i="21398"/>
  <c r="AY223" i="21398"/>
  <c r="AZ222" i="21398"/>
  <c r="AZ221" i="21398"/>
  <c r="AY221" i="21398"/>
  <c r="AZ220" i="21398"/>
  <c r="AZ219" i="21398"/>
  <c r="AY219" i="21398"/>
  <c r="AZ218" i="21398"/>
  <c r="AZ217" i="21398"/>
  <c r="AY217" i="21398"/>
  <c r="AZ216" i="21398"/>
  <c r="AZ215" i="21398"/>
  <c r="AY215" i="21398"/>
  <c r="AZ214" i="21398"/>
  <c r="AY213" i="21398"/>
  <c r="AZ212" i="21398"/>
  <c r="AZ211" i="21398"/>
  <c r="AY211" i="21398"/>
  <c r="AZ210" i="21398"/>
  <c r="AZ209" i="21398"/>
  <c r="AY209" i="21398"/>
  <c r="AZ208" i="21398"/>
  <c r="AY207" i="21398"/>
  <c r="AZ206" i="21398"/>
  <c r="AZ205" i="21398"/>
  <c r="AY205" i="21398"/>
  <c r="AZ204" i="21398"/>
  <c r="AZ203" i="21398"/>
  <c r="AY203" i="21398"/>
  <c r="AZ202" i="21398"/>
  <c r="AZ201" i="21398"/>
  <c r="AY201" i="21398"/>
  <c r="AZ200" i="21398"/>
  <c r="AY199" i="21398"/>
  <c r="AZ198" i="21398"/>
  <c r="AZ197" i="21398"/>
  <c r="AY197" i="21398"/>
  <c r="AZ196" i="21398"/>
  <c r="AZ195" i="21398"/>
  <c r="AY195" i="21398"/>
  <c r="AZ194" i="21398"/>
  <c r="AZ193" i="21398"/>
  <c r="AY193" i="21398"/>
  <c r="AZ192" i="21398"/>
  <c r="AY191" i="21398"/>
  <c r="AZ190" i="21398"/>
  <c r="AZ189" i="21398"/>
  <c r="AY189" i="21398"/>
  <c r="AZ188" i="21398"/>
  <c r="AZ187" i="21398"/>
  <c r="AY187" i="21398"/>
  <c r="AZ186" i="21398"/>
  <c r="AZ185" i="21398"/>
  <c r="AY185" i="21398"/>
  <c r="AZ184" i="21398"/>
  <c r="AZ183" i="21398"/>
  <c r="AY183" i="21398"/>
  <c r="AZ182" i="21398"/>
  <c r="AY181" i="21398"/>
  <c r="AZ180" i="21398"/>
  <c r="AZ179" i="21398"/>
  <c r="AY179" i="21398"/>
  <c r="AZ178" i="21398"/>
  <c r="AZ177" i="21398"/>
  <c r="AY177" i="21398"/>
  <c r="AZ176" i="21398"/>
  <c r="AY175" i="21398"/>
  <c r="AZ174" i="21398"/>
  <c r="AZ173" i="21398"/>
  <c r="AY173" i="21398"/>
  <c r="AZ172" i="21398"/>
  <c r="AZ171" i="21398"/>
  <c r="AY171" i="21398"/>
  <c r="AZ170" i="21398"/>
  <c r="AZ169" i="21398"/>
  <c r="AY169" i="21398"/>
  <c r="AZ168" i="21398"/>
  <c r="AZ167" i="21398"/>
  <c r="AY167" i="21398"/>
  <c r="AZ166" i="21398"/>
  <c r="AY165" i="21398"/>
  <c r="AZ164" i="21398"/>
  <c r="AZ163" i="21398"/>
  <c r="AY163" i="21398"/>
  <c r="AZ162" i="21398"/>
  <c r="AZ161" i="21398"/>
  <c r="AY161" i="21398"/>
  <c r="AZ160" i="21398"/>
  <c r="AZ159" i="21398"/>
  <c r="AY159" i="21398"/>
  <c r="AZ158" i="21398"/>
  <c r="AY157" i="21398"/>
  <c r="AZ156" i="21398"/>
  <c r="AZ155" i="21398"/>
  <c r="AY155" i="21398"/>
  <c r="AZ154" i="21398"/>
  <c r="AY153" i="21398"/>
  <c r="AZ152" i="21398"/>
  <c r="AY151" i="21398"/>
  <c r="AZ150" i="21398"/>
  <c r="AZ149" i="21398"/>
  <c r="AY149" i="21398"/>
  <c r="AZ148" i="21398"/>
  <c r="AZ147" i="21398"/>
  <c r="AY147" i="21398"/>
  <c r="AY145" i="21398"/>
  <c r="AZ141" i="21398"/>
  <c r="AY141" i="21398"/>
  <c r="AZ139" i="21398"/>
  <c r="AY139" i="21398"/>
  <c r="AZ137" i="21398"/>
  <c r="AY137" i="21398"/>
  <c r="AZ136" i="21398"/>
  <c r="AZ135" i="21398"/>
  <c r="AY135" i="21398"/>
  <c r="AZ134" i="21398"/>
  <c r="AZ133" i="21398"/>
  <c r="AY133" i="21398"/>
  <c r="AZ132" i="21398"/>
  <c r="AZ131" i="21398"/>
  <c r="AY131" i="21398"/>
  <c r="AZ130" i="21398"/>
  <c r="AZ129" i="21398"/>
  <c r="AY129" i="21398"/>
  <c r="AZ128" i="21398"/>
  <c r="AZ127" i="21398"/>
  <c r="AY127" i="21398"/>
  <c r="AZ126" i="21398"/>
  <c r="AY125" i="21398"/>
  <c r="AZ124" i="21398"/>
  <c r="AZ123" i="21398"/>
  <c r="AY123" i="21398"/>
  <c r="AZ122" i="21398"/>
  <c r="AY109" i="21398"/>
  <c r="AZ107" i="21398"/>
  <c r="AY107" i="21398"/>
  <c r="AZ106" i="21398"/>
  <c r="M406" i="21398"/>
  <c r="M405" i="21398"/>
  <c r="M404" i="21398"/>
  <c r="M403" i="21398"/>
  <c r="M402" i="21398"/>
  <c r="M401" i="21398"/>
  <c r="M400" i="21398"/>
  <c r="M399" i="21398"/>
  <c r="M398" i="21398"/>
  <c r="M397" i="21398"/>
  <c r="M396" i="21398"/>
  <c r="M395" i="21398"/>
  <c r="M394" i="21398"/>
  <c r="M393" i="21398"/>
  <c r="M392" i="21398"/>
  <c r="M391" i="21398"/>
  <c r="M390" i="21398"/>
  <c r="M389" i="21398"/>
  <c r="M388" i="21398"/>
  <c r="M387" i="21398"/>
  <c r="M386" i="21398"/>
  <c r="M385" i="21398"/>
  <c r="M384" i="21398"/>
  <c r="M383" i="21398"/>
  <c r="M382" i="21398"/>
  <c r="M381" i="21398"/>
  <c r="M380" i="21398"/>
  <c r="M379" i="21398"/>
  <c r="M378" i="21398"/>
  <c r="M377" i="21398"/>
  <c r="M376" i="21398"/>
  <c r="M375" i="21398"/>
  <c r="M374" i="21398"/>
  <c r="M373" i="21398"/>
  <c r="M372" i="21398"/>
  <c r="M371" i="21398"/>
  <c r="M370" i="21398"/>
  <c r="M369" i="21398"/>
  <c r="M368" i="21398"/>
  <c r="M367" i="21398"/>
  <c r="M366" i="21398"/>
  <c r="M365" i="21398"/>
  <c r="M364" i="21398"/>
  <c r="M363" i="21398"/>
  <c r="M362" i="21398"/>
  <c r="M361" i="21398"/>
  <c r="M360" i="21398"/>
  <c r="M359" i="21398"/>
  <c r="M358" i="21398"/>
  <c r="M357" i="21398"/>
  <c r="M356" i="21398"/>
  <c r="M355" i="21398"/>
  <c r="M354" i="21398"/>
  <c r="M353" i="21398"/>
  <c r="M352" i="21398"/>
  <c r="M351" i="21398"/>
  <c r="M350" i="21398"/>
  <c r="M349" i="21398"/>
  <c r="M348" i="21398"/>
  <c r="M347" i="21398"/>
  <c r="M346" i="21398"/>
  <c r="M345" i="21398"/>
  <c r="M344" i="21398"/>
  <c r="M343" i="21398"/>
  <c r="M342" i="21398"/>
  <c r="M341" i="21398"/>
  <c r="M340" i="21398"/>
  <c r="M339" i="21398"/>
  <c r="M338" i="21398"/>
  <c r="M337" i="21398"/>
  <c r="M336" i="21398"/>
  <c r="M335" i="21398"/>
  <c r="M334" i="21398"/>
  <c r="M333" i="21398"/>
  <c r="M332" i="21398"/>
  <c r="M331" i="21398"/>
  <c r="M330" i="21398"/>
  <c r="M329" i="21398"/>
  <c r="M328" i="21398"/>
  <c r="M327" i="21398"/>
  <c r="M326" i="21398"/>
  <c r="M325" i="21398"/>
  <c r="M324" i="21398"/>
  <c r="M323" i="21398"/>
  <c r="M322" i="21398"/>
  <c r="M321" i="21398"/>
  <c r="M320" i="21398"/>
  <c r="M319" i="21398"/>
  <c r="M318" i="21398"/>
  <c r="M317" i="21398"/>
  <c r="M316" i="21398"/>
  <c r="M315" i="21398"/>
  <c r="M314" i="21398"/>
  <c r="M313" i="21398"/>
  <c r="M312" i="21398"/>
  <c r="M311" i="21398"/>
  <c r="M310" i="21398"/>
  <c r="M309" i="21398"/>
  <c r="M308" i="21398"/>
  <c r="M307" i="21398"/>
  <c r="M306" i="21398"/>
  <c r="M305" i="21398"/>
  <c r="M304" i="21398"/>
  <c r="M303" i="21398"/>
  <c r="M302" i="21398"/>
  <c r="M301" i="21398"/>
  <c r="M300" i="21398"/>
  <c r="M299" i="21398"/>
  <c r="M298" i="21398"/>
  <c r="M297" i="21398"/>
  <c r="M296" i="21398"/>
  <c r="M295" i="21398"/>
  <c r="M294" i="21398"/>
  <c r="M293" i="21398"/>
  <c r="M292" i="21398"/>
  <c r="M291" i="21398"/>
  <c r="M290" i="21398"/>
  <c r="M289" i="21398"/>
  <c r="M288" i="21398"/>
  <c r="M287" i="21398"/>
  <c r="M286" i="21398"/>
  <c r="M285" i="21398"/>
  <c r="M284" i="21398"/>
  <c r="M283" i="21398"/>
  <c r="M282" i="21398"/>
  <c r="M281" i="21398"/>
  <c r="M280" i="21398"/>
  <c r="M279" i="21398"/>
  <c r="M278" i="21398"/>
  <c r="M277" i="21398"/>
  <c r="M276" i="21398"/>
  <c r="M275" i="21398"/>
  <c r="M274" i="21398"/>
  <c r="M273" i="21398"/>
  <c r="M272" i="21398"/>
  <c r="M271" i="21398"/>
  <c r="M270" i="21398"/>
  <c r="M269" i="21398"/>
  <c r="M268" i="21398"/>
  <c r="M267" i="21398"/>
  <c r="M266" i="21398"/>
  <c r="M265" i="21398"/>
  <c r="M264" i="21398"/>
  <c r="M263" i="21398"/>
  <c r="M262" i="21398"/>
  <c r="M261" i="21398"/>
  <c r="M260" i="21398"/>
  <c r="M259" i="21398"/>
  <c r="M257" i="21398"/>
  <c r="M255" i="21398"/>
  <c r="M253" i="21398"/>
  <c r="M251" i="21398"/>
  <c r="M249" i="21398"/>
  <c r="M247" i="21398"/>
  <c r="M245" i="21398"/>
  <c r="M243" i="21398"/>
  <c r="M241" i="21398"/>
  <c r="M239" i="21398"/>
  <c r="M237" i="21398"/>
  <c r="M235" i="21398"/>
  <c r="M233" i="21398"/>
  <c r="M231" i="21398"/>
  <c r="M229" i="21398"/>
  <c r="M227" i="21398"/>
  <c r="M225" i="21398"/>
  <c r="M223" i="21398"/>
  <c r="M221" i="21398"/>
  <c r="M219" i="21398"/>
  <c r="M217" i="21398"/>
  <c r="M215" i="21398"/>
  <c r="M213" i="21398"/>
  <c r="M211" i="21398"/>
  <c r="M209" i="21398"/>
  <c r="M207" i="21398"/>
  <c r="M205" i="21398"/>
  <c r="M203" i="21398"/>
  <c r="M201" i="21398"/>
  <c r="M199" i="21398"/>
  <c r="M197" i="21398"/>
  <c r="M195" i="21398"/>
  <c r="M193" i="21398"/>
  <c r="M191" i="21398"/>
  <c r="M189" i="21398"/>
  <c r="M187" i="21398"/>
  <c r="M185" i="21398"/>
  <c r="M183" i="21398"/>
  <c r="M181" i="21398"/>
  <c r="M179" i="21398"/>
  <c r="M177" i="21398"/>
  <c r="M175" i="21398"/>
  <c r="M173" i="21398"/>
  <c r="M171" i="21398"/>
  <c r="M169" i="21398"/>
  <c r="M167" i="21398"/>
  <c r="M165" i="21398"/>
  <c r="M163" i="21398"/>
  <c r="M161" i="21398"/>
  <c r="M159" i="21398"/>
  <c r="M157" i="21398"/>
  <c r="M155" i="21398"/>
  <c r="M153" i="21398"/>
  <c r="M151" i="21398"/>
  <c r="M149" i="21398"/>
  <c r="M147" i="21398"/>
  <c r="M145" i="21398"/>
  <c r="M144" i="21398"/>
  <c r="M143" i="21398"/>
  <c r="M142" i="21398"/>
  <c r="M141" i="21398"/>
  <c r="M139" i="21398"/>
  <c r="M137" i="21398"/>
  <c r="M135" i="21398"/>
  <c r="M133" i="21398"/>
  <c r="M131" i="21398"/>
  <c r="M129" i="21398"/>
  <c r="M127" i="21398"/>
  <c r="M125" i="21398"/>
  <c r="M123" i="21398"/>
  <c r="BD257" i="21398"/>
  <c r="BD255" i="21398"/>
  <c r="BD253" i="21398"/>
  <c r="BD251" i="21398"/>
  <c r="BD249" i="21398"/>
  <c r="BD247" i="21398"/>
  <c r="BD245" i="21398"/>
  <c r="BD243" i="21398"/>
  <c r="BD241" i="21398"/>
  <c r="BD239" i="21398"/>
  <c r="BD237" i="21398"/>
  <c r="BD235" i="21398"/>
  <c r="BD233" i="21398"/>
  <c r="BD231" i="21398"/>
  <c r="BD229" i="21398"/>
  <c r="BD227" i="21398"/>
  <c r="BD225" i="21398"/>
  <c r="BD223" i="21398"/>
  <c r="BD221" i="21398"/>
  <c r="BD219" i="21398"/>
  <c r="BD217" i="21398"/>
  <c r="BD215" i="21398"/>
  <c r="BD213" i="21398"/>
  <c r="BD211" i="21398"/>
  <c r="BD209" i="21398"/>
  <c r="BD207" i="21398"/>
  <c r="BD205" i="21398"/>
  <c r="BD203" i="21398"/>
  <c r="BD201" i="21398"/>
  <c r="BD199" i="21398"/>
  <c r="BD197" i="21398"/>
  <c r="BD195" i="21398"/>
  <c r="BD193" i="21398"/>
  <c r="BD191" i="21398"/>
  <c r="BD189" i="21398"/>
  <c r="BD187" i="21398"/>
  <c r="BD185" i="21398"/>
  <c r="BD183" i="21398"/>
  <c r="BD181" i="21398"/>
  <c r="BD179" i="21398"/>
  <c r="BD177" i="21398"/>
  <c r="BD175" i="21398"/>
  <c r="BD173" i="21398"/>
  <c r="BD171" i="21398"/>
  <c r="BD169" i="21398"/>
  <c r="BD167" i="21398"/>
  <c r="BD165" i="21398"/>
  <c r="BD163" i="21398"/>
  <c r="BD161" i="21398"/>
  <c r="BD159" i="21398"/>
  <c r="BD157" i="21398"/>
  <c r="BD155" i="21398"/>
  <c r="BD153" i="21398"/>
  <c r="BD151" i="21398"/>
  <c r="BD149" i="21398"/>
  <c r="BD147" i="21398"/>
  <c r="BD145" i="21398"/>
  <c r="BD143" i="21398"/>
  <c r="BD141" i="21398"/>
  <c r="BD137" i="21398"/>
  <c r="BD135" i="21398"/>
  <c r="BD133" i="21398"/>
  <c r="BD131" i="21398"/>
  <c r="BD129" i="21398"/>
  <c r="BD127" i="21398"/>
  <c r="BD125" i="21398"/>
  <c r="BD123" i="21398"/>
  <c r="BD119" i="21398"/>
  <c r="BD117" i="21398"/>
  <c r="BD109" i="21398"/>
  <c r="BD107" i="21398"/>
  <c r="BD105" i="21398"/>
  <c r="AZ377" i="21398" l="1"/>
  <c r="AZ260" i="21398"/>
  <c r="AZ259" i="21398"/>
  <c r="AX257" i="21398"/>
  <c r="AW257" i="21398"/>
  <c r="AX255" i="21398"/>
  <c r="AW255" i="21398"/>
  <c r="AX253" i="21398"/>
  <c r="AW253" i="21398"/>
  <c r="AX251" i="21398"/>
  <c r="AW251" i="21398"/>
  <c r="AX249" i="21398"/>
  <c r="AW249" i="21398"/>
  <c r="AX245" i="21398"/>
  <c r="AW245" i="21398"/>
  <c r="AX235" i="21398"/>
  <c r="AW235" i="21398"/>
  <c r="AX231" i="21398"/>
  <c r="AW231" i="21398"/>
  <c r="AX229" i="21398"/>
  <c r="AW229" i="21398"/>
  <c r="AX227" i="21398"/>
  <c r="AW227" i="21398"/>
  <c r="AX225" i="21398"/>
  <c r="AW225" i="21398"/>
  <c r="AX223" i="21398"/>
  <c r="AW223" i="21398"/>
  <c r="AX221" i="21398"/>
  <c r="AW221" i="21398"/>
  <c r="AX219" i="21398"/>
  <c r="AW219" i="21398"/>
  <c r="AX217" i="21398"/>
  <c r="AW217" i="21398"/>
  <c r="AX215" i="21398"/>
  <c r="AW215" i="21398"/>
  <c r="AX211" i="21398"/>
  <c r="AW211" i="21398"/>
  <c r="AX209" i="21398"/>
  <c r="AW209" i="21398"/>
  <c r="AX205" i="21398"/>
  <c r="AW205" i="21398"/>
  <c r="AX203" i="21398"/>
  <c r="AW203" i="21398"/>
  <c r="AX201" i="21398"/>
  <c r="AW201" i="21398"/>
  <c r="AX197" i="21398"/>
  <c r="AW197" i="21398"/>
  <c r="AX195" i="21398"/>
  <c r="AW195" i="21398"/>
  <c r="AX193" i="21398"/>
  <c r="AW193" i="21398"/>
  <c r="AX189" i="21398"/>
  <c r="AW189" i="21398"/>
  <c r="AX187" i="21398"/>
  <c r="AW187" i="21398"/>
  <c r="AX185" i="21398"/>
  <c r="AW185" i="21398"/>
  <c r="AX183" i="21398"/>
  <c r="AW183" i="21398"/>
  <c r="AX179" i="21398"/>
  <c r="AW179" i="21398"/>
  <c r="AX177" i="21398"/>
  <c r="AW177" i="21398"/>
  <c r="AX173" i="21398"/>
  <c r="AW173" i="21398"/>
  <c r="AX171" i="21398"/>
  <c r="AW171" i="21398"/>
  <c r="AX169" i="21398"/>
  <c r="AW169" i="21398"/>
  <c r="AX167" i="21398"/>
  <c r="AW167" i="21398"/>
  <c r="AX163" i="21398"/>
  <c r="AW163" i="21398"/>
  <c r="AX161" i="21398"/>
  <c r="AW161" i="21398"/>
  <c r="AX159" i="21398"/>
  <c r="AW159" i="21398"/>
  <c r="AX155" i="21398"/>
  <c r="AW155" i="21398"/>
  <c r="AX149" i="21398"/>
  <c r="AW149" i="21398"/>
  <c r="AX147" i="21398"/>
  <c r="AW147" i="21398"/>
  <c r="AX141" i="21398"/>
  <c r="AW141" i="21398"/>
  <c r="AX139" i="21398"/>
  <c r="AW139" i="21398"/>
  <c r="AX137" i="21398"/>
  <c r="AW137" i="21398"/>
  <c r="AX135" i="21398"/>
  <c r="AW135" i="21398"/>
  <c r="AX133" i="21398"/>
  <c r="AW133" i="21398"/>
  <c r="AX131" i="21398"/>
  <c r="AW131" i="21398"/>
  <c r="AX129" i="21398"/>
  <c r="AW129" i="21398"/>
  <c r="AX127" i="21398"/>
  <c r="AW127" i="21398"/>
  <c r="AX123" i="21398"/>
  <c r="AW123" i="21398"/>
  <c r="AX107" i="21398"/>
  <c r="AW107" i="21398"/>
  <c r="AX105" i="21398"/>
  <c r="AW105" i="21398"/>
  <c r="AZ84" i="21398"/>
  <c r="AY84" i="21398"/>
  <c r="AZ83" i="21398"/>
  <c r="AY83" i="21398"/>
  <c r="AZ82" i="21398"/>
  <c r="AY82" i="21398"/>
  <c r="AZ81" i="21398"/>
  <c r="AY81" i="21398"/>
  <c r="AZ80" i="21398"/>
  <c r="AY80" i="21398"/>
  <c r="AZ79" i="21398"/>
  <c r="AY79" i="21398"/>
  <c r="AZ78" i="21398"/>
  <c r="AY78" i="21398"/>
  <c r="AZ77" i="21398"/>
  <c r="AY77" i="21398"/>
  <c r="AZ76" i="21398"/>
  <c r="AY76" i="21398"/>
  <c r="AZ75" i="21398"/>
  <c r="AY75" i="21398"/>
  <c r="AZ74" i="21398"/>
  <c r="AY74" i="21398"/>
  <c r="AZ73" i="21398"/>
  <c r="AY73" i="21398"/>
  <c r="AZ72" i="21398"/>
  <c r="AY72" i="21398"/>
  <c r="AZ71" i="21398"/>
  <c r="AY71" i="21398"/>
  <c r="AZ70" i="21398"/>
  <c r="AY70" i="21398"/>
  <c r="AZ69" i="21398"/>
  <c r="AY69" i="21398"/>
  <c r="AZ68" i="21398"/>
  <c r="AY68" i="21398"/>
  <c r="AZ67" i="21398"/>
  <c r="AY67" i="21398"/>
  <c r="AZ66" i="21398"/>
  <c r="AY66" i="21398"/>
  <c r="AZ65" i="21398"/>
  <c r="AY65" i="21398"/>
  <c r="AZ64" i="21398"/>
  <c r="AY64" i="21398"/>
  <c r="AZ63" i="21398"/>
  <c r="AY63" i="21398"/>
  <c r="AZ62" i="21398"/>
  <c r="AY62" i="21398"/>
  <c r="AZ61" i="21398"/>
  <c r="AY61" i="21398"/>
  <c r="AZ60" i="21398"/>
  <c r="AY60" i="21398"/>
  <c r="AZ59" i="21398"/>
  <c r="AY59" i="21398"/>
  <c r="AZ58" i="21398"/>
  <c r="AY58" i="21398"/>
  <c r="AZ57" i="21398"/>
  <c r="AY57" i="21398"/>
  <c r="AZ56" i="21398"/>
  <c r="AY56" i="21398"/>
  <c r="AZ55" i="21398"/>
  <c r="AY55" i="21398"/>
  <c r="AZ54" i="21398"/>
  <c r="AY54" i="21398"/>
  <c r="AZ53" i="21398"/>
  <c r="AY53" i="21398"/>
  <c r="AZ52" i="21398"/>
  <c r="AY52" i="21398"/>
  <c r="AZ51" i="21398"/>
  <c r="AY51" i="21398"/>
  <c r="AZ50" i="21398"/>
  <c r="AY50" i="21398"/>
  <c r="AZ49" i="21398"/>
  <c r="AY49" i="21398"/>
  <c r="AX49" i="21398"/>
  <c r="AW49" i="21398"/>
  <c r="AZ48" i="21398"/>
  <c r="AZ47" i="21398"/>
  <c r="AY47" i="21398"/>
  <c r="AX47" i="21398"/>
  <c r="AW47" i="21398"/>
  <c r="AZ46" i="21398"/>
  <c r="AZ45" i="21398"/>
  <c r="AY45" i="21398"/>
  <c r="AX45" i="21398"/>
  <c r="AW45" i="21398"/>
  <c r="AZ44" i="21398"/>
  <c r="AZ43" i="21398"/>
  <c r="AY43" i="21398"/>
  <c r="AX43" i="21398"/>
  <c r="AW43" i="21398"/>
  <c r="AZ41" i="21398"/>
  <c r="AY41" i="21398"/>
  <c r="AX41" i="21398"/>
  <c r="AW41" i="21398"/>
  <c r="AZ40" i="21398"/>
  <c r="AY39" i="21398"/>
  <c r="AZ38" i="21398"/>
  <c r="AY37" i="21398"/>
  <c r="AX37" i="21398"/>
  <c r="AZ37" i="21398" s="1"/>
  <c r="AW37" i="21398"/>
  <c r="AZ36" i="21398"/>
  <c r="AZ35" i="21398"/>
  <c r="AY35" i="21398"/>
  <c r="AX35" i="21398"/>
  <c r="AW35" i="21398"/>
  <c r="AZ34" i="21398"/>
  <c r="AY33" i="21398"/>
  <c r="AZ32" i="21398"/>
  <c r="AZ31" i="21398"/>
  <c r="AY31" i="21398"/>
  <c r="AX31" i="21398"/>
  <c r="AW31" i="21398"/>
  <c r="AZ30" i="21398"/>
  <c r="AZ29" i="21398"/>
  <c r="AY29" i="21398"/>
  <c r="AX29" i="21398"/>
  <c r="AW29" i="21398"/>
  <c r="AZ28" i="21398"/>
  <c r="AZ27" i="21398"/>
  <c r="AY27" i="21398"/>
  <c r="AX27" i="21398"/>
  <c r="AW27" i="21398"/>
  <c r="AZ26" i="21398"/>
  <c r="AY25" i="21398"/>
  <c r="AZ24" i="21398"/>
  <c r="AZ23" i="21398"/>
  <c r="AY23" i="21398"/>
  <c r="AX23" i="21398"/>
  <c r="AW23" i="21398"/>
  <c r="AZ22" i="21398"/>
  <c r="AY21" i="21398"/>
  <c r="AZ20" i="21398"/>
  <c r="AZ19" i="21398"/>
  <c r="AY19" i="21398"/>
  <c r="AX19" i="21398"/>
  <c r="AW19" i="21398"/>
  <c r="AZ18" i="21398"/>
  <c r="AY17" i="21398"/>
  <c r="AZ16" i="21398"/>
  <c r="AX16" i="21398"/>
  <c r="M103" i="21398"/>
  <c r="M101" i="21398"/>
  <c r="M99" i="21398"/>
  <c r="M97" i="21398"/>
  <c r="M95" i="21398"/>
  <c r="M93" i="21398"/>
  <c r="M91" i="21398"/>
  <c r="M89" i="21398"/>
  <c r="M87" i="21398"/>
  <c r="M85" i="21398"/>
  <c r="M51" i="21398"/>
  <c r="M49" i="21398"/>
  <c r="M47" i="21398"/>
  <c r="M45" i="21398"/>
  <c r="M43" i="21398"/>
  <c r="M41" i="21398"/>
  <c r="M39" i="21398"/>
  <c r="M37" i="21398"/>
  <c r="M35" i="21398"/>
  <c r="M33" i="21398"/>
  <c r="M31" i="21398"/>
  <c r="M29" i="21398"/>
  <c r="M27" i="21398"/>
  <c r="M25" i="21398"/>
  <c r="M23" i="21398"/>
  <c r="M21" i="21398"/>
  <c r="M19" i="21398"/>
  <c r="M17" i="21398"/>
  <c r="M15" i="21398"/>
  <c r="M13" i="21398"/>
  <c r="M11" i="21398"/>
  <c r="BD103" i="21398"/>
  <c r="BD101" i="21398"/>
  <c r="BD99" i="21398"/>
  <c r="BD97" i="21398"/>
  <c r="BD95" i="21398"/>
  <c r="BD93" i="21398"/>
  <c r="BD91" i="21398"/>
  <c r="BD89" i="21398"/>
  <c r="BD87" i="21398"/>
  <c r="BD85" i="21398"/>
  <c r="BD83" i="21398"/>
  <c r="BD81" i="21398"/>
  <c r="BD79" i="21398"/>
  <c r="BD77" i="21398"/>
  <c r="BD75" i="21398"/>
  <c r="BD73" i="21398"/>
  <c r="BD71" i="21398"/>
  <c r="BD69" i="21398"/>
  <c r="BD67" i="21398"/>
  <c r="BD65" i="21398"/>
  <c r="BD63" i="21398"/>
  <c r="BD61" i="21398"/>
  <c r="BD59" i="21398"/>
  <c r="BD57" i="21398"/>
  <c r="BD55" i="21398"/>
  <c r="BD53" i="21398"/>
  <c r="BD51" i="21398"/>
  <c r="BD49" i="21398"/>
  <c r="BD47" i="21398"/>
  <c r="BD45" i="21398"/>
  <c r="BD43" i="21398"/>
  <c r="BD41" i="21398"/>
  <c r="BD39" i="21398"/>
  <c r="BD37" i="21398"/>
  <c r="BD35" i="21398"/>
  <c r="BD33" i="21398"/>
  <c r="BD31" i="21398"/>
  <c r="BD29" i="21398"/>
  <c r="BD27" i="21398"/>
  <c r="BD25" i="21398"/>
  <c r="BD23" i="21398"/>
  <c r="BD21" i="21398"/>
  <c r="BD19" i="21398"/>
  <c r="BD17" i="21398"/>
  <c r="BD15" i="21398"/>
  <c r="BD13" i="21398"/>
  <c r="BD11" i="21398"/>
  <c r="BD9" i="21398"/>
  <c r="BD7" i="21398"/>
  <c r="AY362" i="2"/>
  <c r="AZ362" i="2"/>
  <c r="AY363" i="2"/>
  <c r="AZ363" i="2"/>
  <c r="AY364" i="2"/>
  <c r="AZ364" i="2"/>
  <c r="AY365" i="2"/>
  <c r="AZ365" i="2"/>
  <c r="AY366" i="2"/>
  <c r="AZ366" i="2"/>
  <c r="AY367" i="2"/>
  <c r="AZ367" i="2"/>
  <c r="AY368" i="2"/>
  <c r="AZ368" i="2"/>
  <c r="AY369" i="2"/>
  <c r="AZ369" i="2"/>
  <c r="AY370" i="2"/>
  <c r="AZ370" i="2"/>
  <c r="AY371" i="2"/>
  <c r="AZ371" i="2"/>
  <c r="AY372" i="2"/>
  <c r="AZ372" i="2"/>
  <c r="AY373" i="2"/>
  <c r="AZ373" i="2"/>
  <c r="AY374" i="2"/>
  <c r="AZ374" i="2"/>
  <c r="AY375" i="2"/>
  <c r="AZ375" i="2"/>
  <c r="AY376" i="2"/>
  <c r="AZ376" i="2"/>
  <c r="M79" i="2"/>
  <c r="M77" i="2"/>
  <c r="M75" i="2"/>
  <c r="M73" i="2"/>
  <c r="BC73" i="2" s="1"/>
  <c r="M71" i="2"/>
  <c r="M69" i="2"/>
  <c r="M67" i="2"/>
  <c r="BC67" i="2" s="1"/>
  <c r="M65" i="2"/>
  <c r="BC65" i="2" s="1"/>
  <c r="M63" i="2"/>
  <c r="M61" i="2"/>
  <c r="M59" i="2"/>
  <c r="BC59" i="2" s="1"/>
  <c r="M57" i="2"/>
  <c r="BC57" i="2" s="1"/>
  <c r="M55" i="2"/>
  <c r="M53" i="2"/>
  <c r="BC228" i="2"/>
  <c r="BC226" i="2"/>
  <c r="BC224" i="2"/>
  <c r="BC222" i="2"/>
  <c r="BC147" i="2"/>
  <c r="BC144" i="2"/>
  <c r="BC143" i="2"/>
  <c r="BC142" i="2"/>
  <c r="BC140" i="2"/>
  <c r="BC138" i="2"/>
  <c r="BC136" i="2"/>
  <c r="BC134" i="2"/>
  <c r="BC120" i="2"/>
  <c r="BC118" i="2"/>
  <c r="BC84" i="2"/>
  <c r="BC82" i="2"/>
  <c r="BC80" i="2"/>
  <c r="BC79" i="2"/>
  <c r="BC78" i="2"/>
  <c r="BC77" i="2"/>
  <c r="BC76" i="2"/>
  <c r="BC75" i="2"/>
  <c r="BC74" i="2"/>
  <c r="BC72" i="2"/>
  <c r="BC71" i="2"/>
  <c r="BC70" i="2"/>
  <c r="BC69" i="2"/>
  <c r="BC68" i="2"/>
  <c r="BC66" i="2"/>
  <c r="BC64" i="2"/>
  <c r="BC63" i="2"/>
  <c r="BC62" i="2"/>
  <c r="BC61" i="2"/>
  <c r="BC60" i="2"/>
  <c r="BC58" i="2"/>
  <c r="BC56" i="2"/>
  <c r="BC55" i="2"/>
  <c r="BC54" i="2"/>
  <c r="BC53" i="2"/>
  <c r="BC52" i="2"/>
  <c r="BC50" i="2"/>
  <c r="BC16" i="2"/>
  <c r="BC10" i="2"/>
  <c r="AZ44" i="2" l="1"/>
  <c r="BB144" i="2"/>
  <c r="BA144" i="2"/>
  <c r="AY117" i="2"/>
  <c r="AZ117" i="2"/>
  <c r="AY118" i="2"/>
  <c r="AZ118" i="2"/>
  <c r="AY119" i="2"/>
  <c r="AZ119" i="2"/>
  <c r="AY120" i="2"/>
  <c r="AZ120" i="2"/>
  <c r="AY121" i="2"/>
  <c r="AZ121" i="2"/>
  <c r="AZ378" i="2"/>
  <c r="AZ49" i="2"/>
  <c r="AY49" i="2"/>
  <c r="AX49" i="2"/>
  <c r="AW49" i="2"/>
  <c r="AZ48" i="2"/>
  <c r="AZ47" i="2"/>
  <c r="AY47" i="2"/>
  <c r="AX47" i="2"/>
  <c r="AW47" i="2"/>
  <c r="AZ46" i="2"/>
  <c r="AZ45" i="2"/>
  <c r="AY45" i="2"/>
  <c r="AX45" i="2"/>
  <c r="AW45" i="2"/>
  <c r="AZ43" i="2"/>
  <c r="AY43" i="2"/>
  <c r="AX43" i="2"/>
  <c r="AW43" i="2"/>
  <c r="AZ42" i="2"/>
  <c r="AY41" i="2"/>
  <c r="AZ40" i="2"/>
  <c r="AZ39" i="2"/>
  <c r="AY39" i="2"/>
  <c r="AX39" i="2"/>
  <c r="AW39" i="2"/>
  <c r="AZ38" i="2"/>
  <c r="AZ37" i="2"/>
  <c r="AY37" i="2"/>
  <c r="AX37" i="2"/>
  <c r="AW37" i="2"/>
  <c r="AZ36" i="2"/>
  <c r="AZ35" i="2"/>
  <c r="AY35" i="2"/>
  <c r="AX35" i="2"/>
  <c r="AW35" i="2"/>
  <c r="AZ34" i="2"/>
  <c r="AY33" i="2"/>
  <c r="AZ32" i="2"/>
  <c r="AZ31" i="2"/>
  <c r="AY31" i="2"/>
  <c r="AX31" i="2"/>
  <c r="AW31" i="2"/>
  <c r="AZ30" i="2"/>
  <c r="AZ29" i="2"/>
  <c r="AY29" i="2"/>
  <c r="AX29" i="2"/>
  <c r="AW29" i="2"/>
  <c r="AZ28" i="2"/>
  <c r="AZ27" i="2"/>
  <c r="AY27" i="2"/>
  <c r="AX27" i="2"/>
  <c r="AW27" i="2"/>
  <c r="AZ26" i="2"/>
  <c r="AY25" i="2"/>
  <c r="AZ24" i="2"/>
  <c r="AZ23" i="2"/>
  <c r="AY23" i="2"/>
  <c r="AX23" i="2"/>
  <c r="AW23" i="2"/>
  <c r="AZ22" i="2"/>
  <c r="AY21" i="2"/>
  <c r="AZ20" i="2"/>
  <c r="AZ19" i="2"/>
  <c r="AY19" i="2"/>
  <c r="AX19" i="2"/>
  <c r="AW19" i="2"/>
  <c r="AZ18" i="2"/>
  <c r="AY17" i="2"/>
  <c r="AZ16" i="2"/>
  <c r="AX16" i="2"/>
  <c r="AY11" i="2"/>
  <c r="M101" i="2"/>
  <c r="BC101" i="2" s="1"/>
  <c r="M99" i="2"/>
  <c r="BC99" i="2" s="1"/>
  <c r="M97" i="2"/>
  <c r="BC97" i="2" s="1"/>
  <c r="M95" i="2"/>
  <c r="BC95" i="2" s="1"/>
  <c r="M93" i="2"/>
  <c r="BC93" i="2" s="1"/>
  <c r="M91" i="2"/>
  <c r="BC91" i="2" s="1"/>
  <c r="M89" i="2"/>
  <c r="BC89" i="2" s="1"/>
  <c r="M87" i="2"/>
  <c r="BC87" i="2" s="1"/>
  <c r="M85" i="2"/>
  <c r="BC85" i="2" s="1"/>
  <c r="M49" i="2"/>
  <c r="BC49" i="2" s="1"/>
  <c r="M47" i="2"/>
  <c r="BC47" i="2" s="1"/>
  <c r="M45" i="2"/>
  <c r="BC45" i="2" s="1"/>
  <c r="M43" i="2"/>
  <c r="BC43" i="2" s="1"/>
  <c r="M41" i="2"/>
  <c r="BC41" i="2" s="1"/>
  <c r="M39" i="2"/>
  <c r="BC39" i="2" s="1"/>
  <c r="M37" i="2"/>
  <c r="BC37" i="2" s="1"/>
  <c r="M35" i="2"/>
  <c r="BC35" i="2" s="1"/>
  <c r="M33" i="2"/>
  <c r="BC33" i="2" s="1"/>
  <c r="M31" i="2"/>
  <c r="BC31" i="2" s="1"/>
  <c r="M29" i="2"/>
  <c r="BC29" i="2" s="1"/>
  <c r="M27" i="2"/>
  <c r="BC27" i="2" s="1"/>
  <c r="M25" i="2"/>
  <c r="BC25" i="2" s="1"/>
  <c r="M23" i="2"/>
  <c r="BC23" i="2" s="1"/>
  <c r="M21" i="2"/>
  <c r="BC21" i="2" s="1"/>
  <c r="M19" i="2"/>
  <c r="BC19" i="2" s="1"/>
  <c r="M17" i="2"/>
  <c r="BC17" i="2" s="1"/>
  <c r="M15" i="2"/>
  <c r="BC15" i="2" s="1"/>
  <c r="M13" i="2"/>
  <c r="BC13" i="2" s="1"/>
  <c r="BD257" i="2" l="1"/>
  <c r="BD255" i="2"/>
  <c r="BD253" i="2"/>
  <c r="BD251" i="2"/>
  <c r="BD249" i="2"/>
  <c r="BD247" i="2"/>
  <c r="BD245" i="2"/>
  <c r="BD243" i="2"/>
  <c r="BD241" i="2"/>
  <c r="BD239" i="2"/>
  <c r="BD237" i="2"/>
  <c r="BD235" i="2"/>
  <c r="BD233" i="2"/>
  <c r="BD231" i="2"/>
  <c r="BD229" i="2"/>
  <c r="BD227" i="2"/>
  <c r="BD225" i="2"/>
  <c r="BD223" i="2"/>
  <c r="BD221" i="2"/>
  <c r="BD219" i="2"/>
  <c r="BD217" i="2"/>
  <c r="BD215" i="2"/>
  <c r="BD213" i="2"/>
  <c r="BD211" i="2"/>
  <c r="BD209" i="2"/>
  <c r="BD207" i="2"/>
  <c r="BD205" i="2"/>
  <c r="BD203" i="2"/>
  <c r="BD201" i="2"/>
  <c r="BD199" i="2"/>
  <c r="BD197" i="2"/>
  <c r="BD195" i="2"/>
  <c r="BD193" i="2"/>
  <c r="BD191" i="2"/>
  <c r="BD189" i="2"/>
  <c r="BD187" i="2"/>
  <c r="BD185" i="2"/>
  <c r="BD183" i="2"/>
  <c r="BD181" i="2"/>
  <c r="BD179" i="2"/>
  <c r="BD177" i="2"/>
  <c r="BD175" i="2"/>
  <c r="BD173" i="2"/>
  <c r="BD171" i="2"/>
  <c r="BD169" i="2"/>
  <c r="BD167" i="2"/>
  <c r="BD165" i="2"/>
  <c r="BD163" i="2"/>
  <c r="BD161" i="2"/>
  <c r="BD159" i="2"/>
  <c r="BD157" i="2"/>
  <c r="BD155" i="2"/>
  <c r="BD153" i="2"/>
  <c r="BD151" i="2"/>
  <c r="BD149" i="2"/>
  <c r="BD147" i="2"/>
  <c r="BD145" i="2"/>
  <c r="BD141" i="2"/>
  <c r="BD139" i="2"/>
  <c r="BD137" i="2"/>
  <c r="BD135" i="2"/>
  <c r="BD133" i="2"/>
  <c r="BD131" i="2"/>
  <c r="BD129" i="2"/>
  <c r="BD127" i="2"/>
  <c r="BD125" i="2"/>
  <c r="BD123" i="2"/>
  <c r="BD119" i="2"/>
  <c r="BD107" i="2"/>
  <c r="M11" i="2"/>
  <c r="BC11" i="2" s="1"/>
  <c r="BD105" i="2"/>
  <c r="BD103" i="2"/>
  <c r="BD101" i="2"/>
  <c r="BD99" i="2"/>
  <c r="BD97" i="2"/>
  <c r="BD95" i="2"/>
  <c r="BD93" i="2"/>
  <c r="BD91" i="2"/>
  <c r="BD89" i="2"/>
  <c r="BD87" i="2"/>
  <c r="BD85" i="2"/>
  <c r="BD83" i="2"/>
  <c r="BD81" i="2"/>
  <c r="BD79" i="2"/>
  <c r="BD77" i="2"/>
  <c r="BD75" i="2"/>
  <c r="BD73" i="2"/>
  <c r="BD71" i="2"/>
  <c r="BD69" i="2"/>
  <c r="BD67" i="2"/>
  <c r="BD65" i="2"/>
  <c r="BD63" i="2"/>
  <c r="BD61" i="2"/>
  <c r="BD59" i="2"/>
  <c r="BD57" i="2"/>
  <c r="BD55" i="2"/>
  <c r="BD53" i="2"/>
  <c r="BD51" i="2"/>
  <c r="BD49" i="2"/>
  <c r="BD47" i="2"/>
  <c r="BD45" i="2"/>
  <c r="BD43" i="2"/>
  <c r="BD41" i="2"/>
  <c r="BD39" i="2"/>
  <c r="BD37" i="2"/>
  <c r="BD35" i="2"/>
  <c r="BD33" i="2"/>
  <c r="BD31" i="2"/>
  <c r="BD29" i="2"/>
  <c r="BD27" i="2"/>
  <c r="BD25" i="2"/>
  <c r="BD23" i="2"/>
  <c r="BD21" i="2"/>
  <c r="BD19" i="2"/>
  <c r="BD17" i="2"/>
  <c r="BD15" i="2"/>
  <c r="BD13" i="2"/>
  <c r="BD11" i="2"/>
  <c r="BD9" i="2"/>
  <c r="BD7" i="2"/>
  <c r="AX30" i="21399"/>
  <c r="AX16" i="21400"/>
  <c r="AX257" i="2"/>
  <c r="AW257" i="2"/>
  <c r="AX255" i="2"/>
  <c r="AW255" i="2"/>
  <c r="AX253" i="2"/>
  <c r="AW253" i="2"/>
  <c r="AX251" i="2"/>
  <c r="AW251" i="2"/>
  <c r="AX249" i="2"/>
  <c r="AW249" i="2"/>
  <c r="AX245" i="2"/>
  <c r="AW245" i="2"/>
  <c r="AX235" i="2"/>
  <c r="AW235" i="2"/>
  <c r="AX231" i="2"/>
  <c r="AW231" i="2"/>
  <c r="AX229" i="2"/>
  <c r="AW229" i="2"/>
  <c r="AX221" i="2"/>
  <c r="AW221" i="2"/>
  <c r="AX219" i="2"/>
  <c r="AW219" i="2"/>
  <c r="AX217" i="2"/>
  <c r="AW217" i="2"/>
  <c r="AX215" i="2"/>
  <c r="AW215" i="2"/>
  <c r="AX211" i="2"/>
  <c r="AW211" i="2"/>
  <c r="AX209" i="2"/>
  <c r="AW209" i="2"/>
  <c r="AX205" i="2"/>
  <c r="AW205" i="2"/>
  <c r="AX203" i="2"/>
  <c r="AW203" i="2"/>
  <c r="AX201" i="2"/>
  <c r="AW201" i="2"/>
  <c r="AX197" i="2"/>
  <c r="AW197" i="2"/>
  <c r="AX195" i="2"/>
  <c r="AW195" i="2"/>
  <c r="AX193" i="2"/>
  <c r="AW193" i="2"/>
  <c r="AX189" i="2"/>
  <c r="AW189" i="2"/>
  <c r="AX187" i="2"/>
  <c r="AW187" i="2"/>
  <c r="AX185" i="2"/>
  <c r="AW185" i="2"/>
  <c r="AX183" i="2"/>
  <c r="AW183" i="2"/>
  <c r="AX179" i="2"/>
  <c r="AW179" i="2"/>
  <c r="AX177" i="2"/>
  <c r="AW177" i="2"/>
  <c r="AX173" i="2"/>
  <c r="AW173" i="2"/>
  <c r="AX171" i="2"/>
  <c r="AW171" i="2"/>
  <c r="AX169" i="2"/>
  <c r="AW169" i="2"/>
  <c r="AX167" i="2"/>
  <c r="AW167" i="2"/>
  <c r="AX163" i="2"/>
  <c r="AW163" i="2"/>
  <c r="AX157" i="2"/>
  <c r="AW157" i="2"/>
  <c r="AX153" i="2"/>
  <c r="AW153" i="2"/>
  <c r="AX151" i="2"/>
  <c r="AW151" i="2"/>
  <c r="AX149" i="2"/>
  <c r="AW149" i="2"/>
  <c r="AX147" i="2"/>
  <c r="AW147" i="2"/>
  <c r="AX145" i="2"/>
  <c r="AW145" i="2"/>
  <c r="AX143" i="2"/>
  <c r="AW143" i="2"/>
  <c r="AX141" i="2"/>
  <c r="AW141" i="2"/>
  <c r="AX139" i="2"/>
  <c r="AW139" i="2"/>
  <c r="AX137" i="2"/>
  <c r="AW137" i="2"/>
  <c r="AX135" i="2"/>
  <c r="AW135" i="2"/>
  <c r="AX129" i="2"/>
  <c r="AW129" i="2"/>
  <c r="AX127" i="2"/>
  <c r="AW127" i="2"/>
  <c r="AX123" i="2"/>
  <c r="AW123" i="2"/>
  <c r="AX107" i="2"/>
  <c r="AW107" i="2"/>
  <c r="AX105" i="2"/>
  <c r="AW105" i="2"/>
  <c r="L149" i="21406"/>
  <c r="L148" i="21406"/>
  <c r="L147" i="21406"/>
  <c r="L146" i="21406"/>
  <c r="L145" i="21406"/>
  <c r="L144" i="21406"/>
  <c r="L143" i="21406"/>
  <c r="L142" i="21406"/>
  <c r="L141" i="21406"/>
  <c r="L140" i="21406"/>
  <c r="L139" i="21406"/>
  <c r="L138" i="21406"/>
  <c r="L137" i="21406"/>
  <c r="L136" i="21406"/>
  <c r="L135" i="21406"/>
  <c r="L134" i="21406"/>
  <c r="L133" i="21406"/>
  <c r="L132" i="21406"/>
  <c r="L131" i="21406"/>
  <c r="L130" i="21406"/>
  <c r="L129" i="21406"/>
  <c r="L128" i="21406"/>
  <c r="L127" i="21406"/>
  <c r="L126" i="21406"/>
  <c r="L125" i="21406"/>
  <c r="L124" i="21406"/>
  <c r="L123" i="21406"/>
  <c r="L122" i="21406"/>
  <c r="L121" i="21406"/>
  <c r="L120" i="21406"/>
  <c r="L119" i="21406"/>
  <c r="L118" i="21406"/>
  <c r="L117" i="21406"/>
  <c r="L116" i="21406"/>
  <c r="L112" i="21406"/>
  <c r="L111" i="21406"/>
  <c r="L110" i="21406"/>
  <c r="L109" i="21406"/>
  <c r="L108" i="21406"/>
  <c r="L107" i="21406"/>
  <c r="L106" i="21406"/>
  <c r="L105" i="21406"/>
  <c r="L104" i="21406"/>
  <c r="L103" i="21406"/>
  <c r="L102" i="21406"/>
  <c r="L101" i="21406"/>
  <c r="L100" i="21406"/>
  <c r="L99" i="21406"/>
  <c r="L98" i="21406"/>
  <c r="L97" i="21406"/>
  <c r="L96" i="21406"/>
  <c r="L95" i="21406"/>
  <c r="L94" i="21406"/>
  <c r="L93" i="21406"/>
  <c r="L92" i="21406"/>
  <c r="L91" i="21406"/>
  <c r="L90" i="21406"/>
  <c r="L89" i="21406"/>
  <c r="L88" i="21406"/>
  <c r="L87" i="21406"/>
  <c r="L86" i="21406"/>
  <c r="L85" i="21406"/>
  <c r="L84" i="21406"/>
  <c r="L83" i="21406"/>
  <c r="L82" i="21406"/>
  <c r="L81" i="21406"/>
  <c r="L80" i="21406"/>
  <c r="L79" i="21406"/>
  <c r="A24" i="21406"/>
  <c r="AW16" i="21400" s="1"/>
  <c r="A23" i="21406"/>
  <c r="A22" i="21406"/>
  <c r="AW30" i="21399" s="1"/>
  <c r="A21" i="21406"/>
  <c r="R143" i="21406"/>
  <c r="R144" i="21406" s="1"/>
  <c r="Q143" i="21406"/>
  <c r="Q144" i="21406" s="1"/>
  <c r="P143" i="21406"/>
  <c r="P144" i="21406" s="1"/>
  <c r="O143" i="21406"/>
  <c r="O144" i="21406" s="1"/>
  <c r="N143" i="21406"/>
  <c r="N144" i="21406" s="1"/>
  <c r="R130" i="21406"/>
  <c r="Q130" i="21406"/>
  <c r="P130" i="21406"/>
  <c r="O130" i="21406"/>
  <c r="N130" i="21406"/>
  <c r="M130" i="21406"/>
  <c r="R124" i="21406"/>
  <c r="Q124" i="21406"/>
  <c r="P124" i="21406"/>
  <c r="O124" i="21406"/>
  <c r="N124" i="21406"/>
  <c r="R121" i="21406"/>
  <c r="Q121" i="21406"/>
  <c r="P121" i="21406"/>
  <c r="O121" i="21406"/>
  <c r="N121" i="21406"/>
  <c r="M121" i="21406"/>
  <c r="R118" i="21406"/>
  <c r="Q118" i="21406"/>
  <c r="P118" i="21406"/>
  <c r="O118" i="21406"/>
  <c r="N118" i="21406"/>
  <c r="M118" i="21406"/>
  <c r="R93" i="21406"/>
  <c r="Q93" i="21406"/>
  <c r="P93" i="21406"/>
  <c r="O93" i="21406"/>
  <c r="N93" i="21406"/>
  <c r="M93" i="21406"/>
  <c r="R87" i="21406"/>
  <c r="Q87" i="21406"/>
  <c r="P87" i="21406"/>
  <c r="O87" i="21406"/>
  <c r="N87" i="21406"/>
  <c r="M87" i="21406"/>
  <c r="R84" i="21406"/>
  <c r="Q84" i="21406"/>
  <c r="P84" i="21406"/>
  <c r="O84" i="21406"/>
  <c r="N84" i="21406"/>
  <c r="M84" i="21406"/>
  <c r="R81" i="21406"/>
  <c r="Q81" i="21406"/>
  <c r="P81" i="21406"/>
  <c r="O81" i="21406"/>
  <c r="N81" i="21406"/>
  <c r="M81" i="21406"/>
  <c r="M30" i="21399" l="1"/>
  <c r="AY30" i="21399"/>
  <c r="BC16" i="21400"/>
  <c r="AY16" i="21400"/>
  <c r="BA16" i="21400" s="1"/>
  <c r="A237" i="21410"/>
  <c r="A232" i="21410"/>
  <c r="A226" i="21410"/>
  <c r="A225" i="21410"/>
  <c r="A224" i="21410"/>
  <c r="A223" i="21410"/>
  <c r="A222" i="21410"/>
  <c r="A221" i="21410"/>
  <c r="A220" i="21410"/>
  <c r="A219" i="21410"/>
  <c r="A218" i="21410"/>
  <c r="I137" i="21399"/>
  <c r="I135" i="21399"/>
  <c r="I105" i="21399"/>
  <c r="I89" i="21399"/>
  <c r="I87" i="21399"/>
  <c r="I57" i="21399"/>
  <c r="I55" i="21399"/>
  <c r="I25" i="21399"/>
  <c r="J27" i="21399"/>
  <c r="AC26" i="21399"/>
  <c r="J26" i="21399"/>
  <c r="I23" i="21399"/>
  <c r="AC24" i="21399"/>
  <c r="J25" i="21399"/>
  <c r="AC22" i="21399"/>
  <c r="J21" i="21399"/>
  <c r="AC20" i="21399"/>
  <c r="J17" i="21399"/>
  <c r="J15" i="21399"/>
  <c r="BD158" i="21399" l="1"/>
  <c r="AX27" i="21399"/>
  <c r="AZ27" i="21399" s="1"/>
  <c r="AW27" i="21399"/>
  <c r="J11" i="21399"/>
  <c r="J9" i="21399"/>
  <c r="J5" i="21399"/>
  <c r="B154" i="21400"/>
  <c r="I133" i="21400"/>
  <c r="I131" i="21400"/>
  <c r="I111" i="21400"/>
  <c r="I125" i="21400"/>
  <c r="I119" i="21400"/>
  <c r="I91" i="21400"/>
  <c r="I89" i="21400"/>
  <c r="I61" i="21400"/>
  <c r="I59" i="21400"/>
  <c r="I31" i="21400"/>
  <c r="I29" i="21400"/>
  <c r="J15" i="21400"/>
  <c r="J11" i="21400"/>
  <c r="J9" i="21400"/>
  <c r="J5" i="21400"/>
  <c r="J2" i="21408"/>
  <c r="I61" i="108"/>
  <c r="J6" i="108"/>
  <c r="J5" i="108"/>
  <c r="I355" i="21398" l="1"/>
  <c r="I209" i="21398"/>
  <c r="I179" i="21398"/>
  <c r="I177" i="21398"/>
  <c r="I147" i="21398"/>
  <c r="I133" i="21398" l="1"/>
  <c r="I135" i="21398" l="1"/>
  <c r="I123" i="21398"/>
  <c r="I39" i="21398"/>
  <c r="I23" i="21398"/>
  <c r="I19" i="21398"/>
  <c r="I19" i="2"/>
  <c r="J12" i="21398"/>
  <c r="J11" i="21398"/>
  <c r="I355" i="2"/>
  <c r="I211" i="2"/>
  <c r="I209" i="2"/>
  <c r="I179" i="2"/>
  <c r="I177" i="2"/>
  <c r="I163" i="2"/>
  <c r="I129" i="2"/>
  <c r="I131" i="2"/>
  <c r="I127" i="2"/>
  <c r="I39" i="2"/>
  <c r="I23" i="2"/>
  <c r="J12" i="2"/>
  <c r="J11" i="2"/>
  <c r="F30" i="21399"/>
  <c r="AZ11" i="2" l="1"/>
  <c r="C160" i="21399"/>
  <c r="J161" i="21399" s="1"/>
  <c r="C158" i="21399"/>
  <c r="C34" i="21399"/>
  <c r="C32" i="21399"/>
  <c r="C18" i="21400"/>
  <c r="C36" i="21399" l="1"/>
  <c r="AW34" i="21399"/>
  <c r="AX34" i="21399"/>
  <c r="F34" i="21399"/>
  <c r="AX18" i="21400"/>
  <c r="AY18" i="21400" s="1"/>
  <c r="BA18" i="21400" s="1"/>
  <c r="AW18" i="21400"/>
  <c r="C162" i="21399"/>
  <c r="C20" i="21400"/>
  <c r="AX32" i="21399"/>
  <c r="AW32" i="21399"/>
  <c r="J31" i="21399"/>
  <c r="F32" i="21399"/>
  <c r="M12" i="21398"/>
  <c r="M12" i="2"/>
  <c r="BC12" i="2" s="1"/>
  <c r="C8" i="108"/>
  <c r="C10" i="108" s="1"/>
  <c r="C12" i="108" s="1"/>
  <c r="C14" i="108" s="1"/>
  <c r="C16" i="108" s="1"/>
  <c r="C6" i="3"/>
  <c r="C10" i="3"/>
  <c r="C12" i="3" s="1"/>
  <c r="C14" i="3" s="1"/>
  <c r="C16" i="3" s="1"/>
  <c r="C18" i="3" s="1"/>
  <c r="J16" i="108" l="1"/>
  <c r="C18" i="108"/>
  <c r="J18" i="3"/>
  <c r="AX18" i="3"/>
  <c r="C20" i="3"/>
  <c r="J5" i="3"/>
  <c r="J6" i="3"/>
  <c r="C22" i="21400"/>
  <c r="AW20" i="21400"/>
  <c r="AX20" i="21400"/>
  <c r="AY20" i="21400" s="1"/>
  <c r="BA20" i="21400" s="1"/>
  <c r="AY34" i="21399"/>
  <c r="M34" i="21399"/>
  <c r="AX31" i="21399"/>
  <c r="AZ31" i="21399" s="1"/>
  <c r="AW31" i="21399"/>
  <c r="AY32" i="21399"/>
  <c r="M32" i="21399"/>
  <c r="C38" i="21399"/>
  <c r="AX36" i="21399"/>
  <c r="AW36" i="21399"/>
  <c r="A12" i="21406"/>
  <c r="A11" i="21406"/>
  <c r="A10" i="21406"/>
  <c r="A9" i="21406"/>
  <c r="A8" i="21406"/>
  <c r="A7" i="21406"/>
  <c r="A6" i="21406"/>
  <c r="A5" i="21406"/>
  <c r="A4" i="21406"/>
  <c r="AY36" i="21399" l="1"/>
  <c r="M36" i="21399"/>
  <c r="AX18" i="108"/>
  <c r="C20" i="108"/>
  <c r="C24" i="21400"/>
  <c r="AX22" i="21400"/>
  <c r="AY22" i="21400" s="1"/>
  <c r="BA22" i="21400" s="1"/>
  <c r="AW22" i="21400"/>
  <c r="AW16" i="21398"/>
  <c r="C40" i="21399"/>
  <c r="AX38" i="21399"/>
  <c r="AW38" i="21399"/>
  <c r="AW20" i="3"/>
  <c r="AX20" i="3"/>
  <c r="J19" i="3"/>
  <c r="C22" i="3"/>
  <c r="AW16" i="2"/>
  <c r="AW18" i="108"/>
  <c r="AW18" i="3"/>
  <c r="C18" i="21398"/>
  <c r="C14" i="21398"/>
  <c r="C18" i="2"/>
  <c r="C14" i="2"/>
  <c r="AW20" i="108" l="1"/>
  <c r="AX20" i="108"/>
  <c r="AY20" i="108" s="1"/>
  <c r="C22" i="108"/>
  <c r="AW22" i="3"/>
  <c r="AX22" i="3"/>
  <c r="C24" i="3"/>
  <c r="AY38" i="21399"/>
  <c r="M38" i="21399"/>
  <c r="AX19" i="3"/>
  <c r="AW19" i="3"/>
  <c r="C42" i="21399"/>
  <c r="AX40" i="21399"/>
  <c r="AW40" i="21399"/>
  <c r="C26" i="21400"/>
  <c r="AW24" i="21400"/>
  <c r="AX24" i="21400"/>
  <c r="AY24" i="21400" s="1"/>
  <c r="BA24" i="21400" s="1"/>
  <c r="J17" i="21398"/>
  <c r="AX18" i="21398"/>
  <c r="AW18" i="21398"/>
  <c r="J17" i="2"/>
  <c r="AW18" i="2"/>
  <c r="AX18" i="2"/>
  <c r="C20" i="2"/>
  <c r="C20" i="21398"/>
  <c r="C44" i="21399" l="1"/>
  <c r="AW42" i="21399"/>
  <c r="AX42" i="21399"/>
  <c r="J43" i="21399"/>
  <c r="F42" i="21399"/>
  <c r="AW22" i="108"/>
  <c r="AX22" i="108"/>
  <c r="AY22" i="108" s="1"/>
  <c r="C24" i="108"/>
  <c r="C28" i="21400"/>
  <c r="AW26" i="21400"/>
  <c r="AX26" i="21400"/>
  <c r="AW24" i="3"/>
  <c r="AX24" i="3"/>
  <c r="C26" i="3"/>
  <c r="AX19" i="108"/>
  <c r="AZ19" i="108" s="1"/>
  <c r="AW19" i="108"/>
  <c r="AY40" i="21399"/>
  <c r="M40" i="21399"/>
  <c r="M14" i="21398"/>
  <c r="AY18" i="21398"/>
  <c r="M18" i="21398"/>
  <c r="J21" i="21398"/>
  <c r="AX20" i="21398"/>
  <c r="AW20" i="21398"/>
  <c r="C22" i="21398"/>
  <c r="AX17" i="21398"/>
  <c r="AW17" i="21398"/>
  <c r="M14" i="2"/>
  <c r="BC14" i="2" s="1"/>
  <c r="AY18" i="2"/>
  <c r="M18" i="2"/>
  <c r="BC18" i="2" s="1"/>
  <c r="AX20" i="2"/>
  <c r="AW20" i="2"/>
  <c r="AX17" i="2"/>
  <c r="AW17" i="2"/>
  <c r="J21" i="2"/>
  <c r="C22" i="2"/>
  <c r="D349" i="21412"/>
  <c r="D348" i="21412"/>
  <c r="D347" i="21412"/>
  <c r="D346" i="21412"/>
  <c r="D345" i="21412"/>
  <c r="D344" i="21412"/>
  <c r="D343" i="21412"/>
  <c r="D342" i="21412"/>
  <c r="D341" i="21412"/>
  <c r="D340" i="21412"/>
  <c r="D339" i="21412"/>
  <c r="D338" i="21412"/>
  <c r="D337" i="21412"/>
  <c r="D336" i="21412"/>
  <c r="D335" i="21412"/>
  <c r="D334" i="21412"/>
  <c r="D333" i="21412"/>
  <c r="D332" i="21412"/>
  <c r="D331" i="21412"/>
  <c r="D330" i="21412"/>
  <c r="D329" i="21412"/>
  <c r="D328" i="21412"/>
  <c r="D327" i="21412"/>
  <c r="D326" i="21412"/>
  <c r="D319" i="21412"/>
  <c r="D318" i="21412"/>
  <c r="D317" i="21412"/>
  <c r="D316" i="21412"/>
  <c r="D315" i="21412"/>
  <c r="D314" i="21412"/>
  <c r="D307" i="21412"/>
  <c r="D306" i="21412"/>
  <c r="D305" i="21412"/>
  <c r="D304" i="21412"/>
  <c r="D303" i="21412"/>
  <c r="D302" i="21412"/>
  <c r="D325" i="21412"/>
  <c r="D324" i="21412"/>
  <c r="D323" i="21412"/>
  <c r="D322" i="21412"/>
  <c r="D321" i="21412"/>
  <c r="D320" i="21412"/>
  <c r="D313" i="21412"/>
  <c r="D312" i="21412"/>
  <c r="D311" i="21412"/>
  <c r="D310" i="21412"/>
  <c r="D309" i="21412"/>
  <c r="D308" i="21412"/>
  <c r="D301" i="21412"/>
  <c r="D300" i="21412"/>
  <c r="D299" i="21412"/>
  <c r="D298" i="21412"/>
  <c r="D297" i="21412"/>
  <c r="D296" i="21412"/>
  <c r="D295" i="21412"/>
  <c r="D294" i="21412"/>
  <c r="D293" i="21412"/>
  <c r="D292" i="21412"/>
  <c r="D291" i="21412"/>
  <c r="D290" i="21412"/>
  <c r="D283" i="21412"/>
  <c r="D282" i="21412"/>
  <c r="D281" i="21412"/>
  <c r="D280" i="21412"/>
  <c r="D279" i="21412"/>
  <c r="D278" i="21412"/>
  <c r="D265" i="21412"/>
  <c r="D264" i="21412"/>
  <c r="D263" i="21412"/>
  <c r="D262" i="21412"/>
  <c r="D261" i="21412"/>
  <c r="D260" i="21412"/>
  <c r="D271" i="21412"/>
  <c r="D270" i="21412"/>
  <c r="D269" i="21412"/>
  <c r="D268" i="21412"/>
  <c r="D267" i="21412"/>
  <c r="D266" i="21412"/>
  <c r="D259" i="21412"/>
  <c r="D258" i="21412"/>
  <c r="D257" i="21412"/>
  <c r="D256" i="21412"/>
  <c r="D255" i="21412"/>
  <c r="D254" i="21412"/>
  <c r="D253" i="21412"/>
  <c r="D252" i="21412"/>
  <c r="D251" i="21412"/>
  <c r="D250" i="21412"/>
  <c r="D249" i="21412"/>
  <c r="D248" i="21412"/>
  <c r="D241" i="21412"/>
  <c r="D240" i="21412"/>
  <c r="D239" i="21412"/>
  <c r="D238" i="21412"/>
  <c r="D237" i="21412"/>
  <c r="D236" i="21412"/>
  <c r="D247" i="21412"/>
  <c r="D246" i="21412"/>
  <c r="D245" i="21412"/>
  <c r="D244" i="21412"/>
  <c r="D243" i="21412"/>
  <c r="D242" i="21412"/>
  <c r="D235" i="21412"/>
  <c r="D234" i="21412"/>
  <c r="D233" i="21412"/>
  <c r="D232" i="21412"/>
  <c r="D231" i="21412"/>
  <c r="D230" i="21412"/>
  <c r="D229" i="21412"/>
  <c r="D228" i="21412"/>
  <c r="D227" i="21412"/>
  <c r="D226" i="21412"/>
  <c r="D225" i="21412"/>
  <c r="D224" i="21412"/>
  <c r="D217" i="21412"/>
  <c r="D216" i="21412"/>
  <c r="D215" i="21412"/>
  <c r="D214" i="21412"/>
  <c r="D213" i="21412"/>
  <c r="D212" i="21412"/>
  <c r="D223" i="21412"/>
  <c r="D222" i="21412"/>
  <c r="D221" i="21412"/>
  <c r="D220" i="21412"/>
  <c r="D219" i="21412"/>
  <c r="D218" i="21412"/>
  <c r="D211" i="21412"/>
  <c r="D210" i="21412"/>
  <c r="D209" i="21412"/>
  <c r="D208" i="21412"/>
  <c r="D207" i="21412"/>
  <c r="D206" i="21412"/>
  <c r="D205" i="21412"/>
  <c r="D204" i="21412"/>
  <c r="D203" i="21412"/>
  <c r="D202" i="21412"/>
  <c r="D201" i="21412"/>
  <c r="D200" i="21412"/>
  <c r="D193" i="21412"/>
  <c r="D192" i="21412"/>
  <c r="D191" i="21412"/>
  <c r="D190" i="21412"/>
  <c r="D189" i="21412"/>
  <c r="D188" i="21412"/>
  <c r="D199" i="21412"/>
  <c r="D198" i="21412"/>
  <c r="D197" i="21412"/>
  <c r="D196" i="21412"/>
  <c r="D195" i="21412"/>
  <c r="D194" i="21412"/>
  <c r="D187" i="21412"/>
  <c r="D186" i="21412"/>
  <c r="D185" i="21412"/>
  <c r="D184" i="21412"/>
  <c r="D183" i="21412"/>
  <c r="D182" i="21412"/>
  <c r="D181" i="21412"/>
  <c r="D180" i="21412"/>
  <c r="D179" i="21412"/>
  <c r="D178" i="21412"/>
  <c r="D177" i="21412"/>
  <c r="D176" i="21412"/>
  <c r="D169" i="21412"/>
  <c r="D168" i="21412"/>
  <c r="D167" i="21412"/>
  <c r="D166" i="21412"/>
  <c r="D165" i="21412"/>
  <c r="D164" i="21412"/>
  <c r="D175" i="21412"/>
  <c r="D174" i="21412"/>
  <c r="D173" i="21412"/>
  <c r="D172" i="21412"/>
  <c r="D171" i="21412"/>
  <c r="D170" i="21412"/>
  <c r="D163" i="21412"/>
  <c r="D162" i="21412"/>
  <c r="D161" i="21412"/>
  <c r="D160" i="21412"/>
  <c r="D159" i="21412"/>
  <c r="D158" i="21412"/>
  <c r="D157" i="21412"/>
  <c r="D156" i="21412"/>
  <c r="D155" i="21412"/>
  <c r="D154" i="21412"/>
  <c r="D153" i="21412"/>
  <c r="D152" i="21412"/>
  <c r="D145" i="21412"/>
  <c r="D144" i="21412"/>
  <c r="D143" i="21412"/>
  <c r="D142" i="21412"/>
  <c r="D141" i="21412"/>
  <c r="D140" i="21412"/>
  <c r="D151" i="21412"/>
  <c r="D150" i="21412"/>
  <c r="D149" i="21412"/>
  <c r="D148" i="21412"/>
  <c r="D147" i="21412"/>
  <c r="D146" i="21412"/>
  <c r="D139" i="21412"/>
  <c r="D138" i="21412"/>
  <c r="D137" i="21412"/>
  <c r="D136" i="21412"/>
  <c r="D135" i="21412"/>
  <c r="D134" i="21412"/>
  <c r="D133" i="21412"/>
  <c r="D132" i="21412"/>
  <c r="D131" i="21412"/>
  <c r="D130" i="21412"/>
  <c r="D129" i="21412"/>
  <c r="D128" i="21412"/>
  <c r="D121" i="21412"/>
  <c r="D120" i="21412"/>
  <c r="D119" i="21412"/>
  <c r="D118" i="21412"/>
  <c r="D117" i="21412"/>
  <c r="D116" i="21412"/>
  <c r="D127" i="21412"/>
  <c r="D126" i="21412"/>
  <c r="D125" i="21412"/>
  <c r="D124" i="21412"/>
  <c r="D123" i="21412"/>
  <c r="D122" i="21412"/>
  <c r="D115" i="21412"/>
  <c r="D114" i="21412"/>
  <c r="D113" i="21412"/>
  <c r="D112" i="21412"/>
  <c r="D111" i="21412"/>
  <c r="D110" i="21412"/>
  <c r="D109" i="21412"/>
  <c r="D108" i="21412"/>
  <c r="D107" i="21412"/>
  <c r="D106" i="21412"/>
  <c r="D105" i="21412"/>
  <c r="D104" i="21412"/>
  <c r="D97" i="21412"/>
  <c r="D96" i="21412"/>
  <c r="D95" i="21412"/>
  <c r="D94" i="21412"/>
  <c r="D93" i="21412"/>
  <c r="D92" i="21412"/>
  <c r="D103" i="21412"/>
  <c r="D102" i="21412"/>
  <c r="D101" i="21412"/>
  <c r="D100" i="21412"/>
  <c r="D99" i="21412"/>
  <c r="D98" i="21412"/>
  <c r="D91" i="21412"/>
  <c r="D90" i="21412"/>
  <c r="D89" i="21412"/>
  <c r="D88" i="21412"/>
  <c r="D87" i="21412"/>
  <c r="D86" i="21412"/>
  <c r="D85" i="21412"/>
  <c r="D84" i="21412"/>
  <c r="D83" i="21412"/>
  <c r="D82" i="21412"/>
  <c r="D81" i="21412"/>
  <c r="D80" i="21412"/>
  <c r="D73" i="21412"/>
  <c r="D72" i="21412"/>
  <c r="D71" i="21412"/>
  <c r="D70" i="21412"/>
  <c r="D69" i="21412"/>
  <c r="D68" i="21412"/>
  <c r="D79" i="21412"/>
  <c r="D78" i="21412"/>
  <c r="D77" i="21412"/>
  <c r="D76" i="21412"/>
  <c r="D75" i="21412"/>
  <c r="D74" i="21412"/>
  <c r="D67" i="21412"/>
  <c r="D66" i="21412"/>
  <c r="D65" i="21412"/>
  <c r="D64" i="21412"/>
  <c r="D63" i="21412"/>
  <c r="D62" i="21412"/>
  <c r="D61" i="21412"/>
  <c r="D60" i="21412"/>
  <c r="D59" i="21412"/>
  <c r="D58" i="21412"/>
  <c r="D57" i="21412"/>
  <c r="D56" i="21412"/>
  <c r="D49" i="21412"/>
  <c r="D48" i="21412"/>
  <c r="D47" i="21412"/>
  <c r="D46" i="21412"/>
  <c r="D45" i="21412"/>
  <c r="D44" i="21412"/>
  <c r="D55" i="21412"/>
  <c r="D54" i="21412"/>
  <c r="D53" i="21412"/>
  <c r="D52" i="21412"/>
  <c r="D51" i="21412"/>
  <c r="D50" i="21412"/>
  <c r="D43" i="21412"/>
  <c r="D42" i="21412"/>
  <c r="D41" i="21412"/>
  <c r="D40" i="21412"/>
  <c r="D39" i="21412"/>
  <c r="D38" i="21412"/>
  <c r="D37" i="21412"/>
  <c r="D36" i="21412"/>
  <c r="D35" i="21412"/>
  <c r="D34" i="21412"/>
  <c r="D33" i="21412"/>
  <c r="D32" i="21412"/>
  <c r="D31" i="21412"/>
  <c r="D30" i="21412"/>
  <c r="D29" i="21412"/>
  <c r="D28" i="21412"/>
  <c r="D27" i="21412"/>
  <c r="D26" i="21412"/>
  <c r="D25" i="21412"/>
  <c r="D24" i="21412"/>
  <c r="D23" i="21412"/>
  <c r="D22" i="21412"/>
  <c r="D21" i="21412"/>
  <c r="D20" i="21412"/>
  <c r="D19" i="21412"/>
  <c r="D18" i="21412"/>
  <c r="D17" i="21412"/>
  <c r="D16" i="21412"/>
  <c r="D15" i="21412"/>
  <c r="D14" i="21412"/>
  <c r="D13" i="21412"/>
  <c r="D12" i="21412"/>
  <c r="D11" i="21412"/>
  <c r="D10" i="21412"/>
  <c r="D9" i="21412"/>
  <c r="D8" i="21412"/>
  <c r="D7" i="21412"/>
  <c r="D6" i="21412"/>
  <c r="D5" i="21412"/>
  <c r="D4" i="21412"/>
  <c r="D3" i="21412"/>
  <c r="D2" i="21412"/>
  <c r="AY26" i="21400" l="1"/>
  <c r="BA26" i="21400" s="1"/>
  <c r="M26" i="21400"/>
  <c r="AZ17" i="21398"/>
  <c r="AZ17" i="2"/>
  <c r="AX25" i="21400"/>
  <c r="AZ25" i="21400" s="1"/>
  <c r="BB25" i="21400" s="1"/>
  <c r="AW25" i="21400"/>
  <c r="AW24" i="108"/>
  <c r="AX24" i="108"/>
  <c r="AY24" i="108" s="1"/>
  <c r="C26" i="108"/>
  <c r="AX43" i="21399"/>
  <c r="AZ43" i="21399" s="1"/>
  <c r="AW43" i="21399"/>
  <c r="AW26" i="3"/>
  <c r="AX26" i="3"/>
  <c r="C28" i="3"/>
  <c r="AY42" i="21399"/>
  <c r="M42" i="21399"/>
  <c r="AX27" i="21400"/>
  <c r="AZ27" i="21400" s="1"/>
  <c r="BB27" i="21400" s="1"/>
  <c r="AW27" i="21400"/>
  <c r="C30" i="21400"/>
  <c r="AX28" i="21400"/>
  <c r="AW28" i="21400"/>
  <c r="J28" i="21400"/>
  <c r="F28" i="21400"/>
  <c r="C46" i="21399"/>
  <c r="AX44" i="21399"/>
  <c r="AW44" i="21399"/>
  <c r="F44" i="21399"/>
  <c r="C24" i="21398"/>
  <c r="AX22" i="21398"/>
  <c r="AW22" i="21398"/>
  <c r="AY20" i="21398"/>
  <c r="M20" i="21398"/>
  <c r="AX21" i="21398"/>
  <c r="AW21" i="21398"/>
  <c r="C24" i="2"/>
  <c r="AX22" i="2"/>
  <c r="AW22" i="2"/>
  <c r="AX21" i="2"/>
  <c r="AW21" i="2"/>
  <c r="M20" i="2"/>
  <c r="BC20" i="2" s="1"/>
  <c r="AY20" i="2"/>
  <c r="H334" i="21412"/>
  <c r="K334" i="21412"/>
  <c r="G334" i="21412"/>
  <c r="I334" i="21412"/>
  <c r="J334" i="21412"/>
  <c r="F334" i="21412"/>
  <c r="H332" i="21412"/>
  <c r="I332" i="21412"/>
  <c r="K332" i="21412"/>
  <c r="G332" i="21412"/>
  <c r="J332" i="21412"/>
  <c r="F332" i="21412"/>
  <c r="H336" i="21412"/>
  <c r="K336" i="21412"/>
  <c r="G336" i="21412"/>
  <c r="I336" i="21412"/>
  <c r="J336" i="21412"/>
  <c r="F336" i="21412"/>
  <c r="H344" i="21412"/>
  <c r="K344" i="21412"/>
  <c r="G344" i="21412"/>
  <c r="I344" i="21412"/>
  <c r="J344" i="21412"/>
  <c r="F344" i="21412"/>
  <c r="H348" i="21412"/>
  <c r="I348" i="21412"/>
  <c r="K348" i="21412"/>
  <c r="G348" i="21412"/>
  <c r="J348" i="21412"/>
  <c r="F348" i="21412"/>
  <c r="J333" i="21412"/>
  <c r="F333" i="21412"/>
  <c r="I333" i="21412"/>
  <c r="G333" i="21412"/>
  <c r="H333" i="21412"/>
  <c r="K333" i="21412"/>
  <c r="J337" i="21412"/>
  <c r="F337" i="21412"/>
  <c r="K337" i="21412"/>
  <c r="I337" i="21412"/>
  <c r="H337" i="21412"/>
  <c r="G337" i="21412"/>
  <c r="J345" i="21412"/>
  <c r="F345" i="21412"/>
  <c r="G345" i="21412"/>
  <c r="I345" i="21412"/>
  <c r="H345" i="21412"/>
  <c r="K345" i="21412"/>
  <c r="J349" i="21412"/>
  <c r="F349" i="21412"/>
  <c r="I349" i="21412"/>
  <c r="G349" i="21412"/>
  <c r="H349" i="21412"/>
  <c r="K349" i="21412"/>
  <c r="H346" i="21412"/>
  <c r="K346" i="21412"/>
  <c r="G346" i="21412"/>
  <c r="I346" i="21412"/>
  <c r="J346" i="21412"/>
  <c r="F346" i="21412"/>
  <c r="J335" i="21412"/>
  <c r="F335" i="21412"/>
  <c r="G335" i="21412"/>
  <c r="I335" i="21412"/>
  <c r="H335" i="21412"/>
  <c r="K335" i="21412"/>
  <c r="J347" i="21412"/>
  <c r="F347" i="21412"/>
  <c r="G347" i="21412"/>
  <c r="I347" i="21412"/>
  <c r="H347" i="21412"/>
  <c r="K347" i="21412"/>
  <c r="J25" i="2"/>
  <c r="C26" i="2"/>
  <c r="BD800" i="21399"/>
  <c r="BD799" i="21399"/>
  <c r="BD798" i="21399"/>
  <c r="BD797" i="21399"/>
  <c r="BD796" i="21399"/>
  <c r="BD795" i="21399"/>
  <c r="BD794" i="21399"/>
  <c r="BD793" i="21399"/>
  <c r="BD792" i="21399"/>
  <c r="BD791" i="21399"/>
  <c r="BD790" i="21399"/>
  <c r="BD789" i="21399"/>
  <c r="BD788" i="21399"/>
  <c r="BD787" i="21399"/>
  <c r="BD786" i="21399"/>
  <c r="BD785" i="21399"/>
  <c r="BD784" i="21399"/>
  <c r="BD783" i="21399"/>
  <c r="BD782" i="21399"/>
  <c r="BD781" i="21399"/>
  <c r="BD780" i="21399"/>
  <c r="BD779" i="21399"/>
  <c r="BD778" i="21399"/>
  <c r="BD777" i="21399"/>
  <c r="BD776" i="21399"/>
  <c r="BD775" i="21399"/>
  <c r="BD774" i="21399"/>
  <c r="BD773" i="21399"/>
  <c r="BD772" i="21399"/>
  <c r="BD771" i="21399"/>
  <c r="BD770" i="21399"/>
  <c r="BD769" i="21399"/>
  <c r="BD768" i="21399"/>
  <c r="BD767" i="21399"/>
  <c r="BD766" i="21399"/>
  <c r="BD765" i="21399"/>
  <c r="BD764" i="21399"/>
  <c r="BD763" i="21399"/>
  <c r="BD762" i="21399"/>
  <c r="BD761" i="21399"/>
  <c r="BD760" i="21399"/>
  <c r="BD759" i="21399"/>
  <c r="BD758" i="21399"/>
  <c r="BD757" i="21399"/>
  <c r="BD756" i="21399"/>
  <c r="BD755" i="21399"/>
  <c r="BD754" i="21399"/>
  <c r="BD753" i="21399"/>
  <c r="BD752" i="21399"/>
  <c r="BD751" i="21399"/>
  <c r="BD750" i="21399"/>
  <c r="BD749" i="21399"/>
  <c r="BD748" i="21399"/>
  <c r="BD747" i="21399"/>
  <c r="BD746" i="21399"/>
  <c r="BD745" i="21399"/>
  <c r="BD744" i="21399"/>
  <c r="BD743" i="21399"/>
  <c r="BD742" i="21399"/>
  <c r="BD741" i="21399"/>
  <c r="BD740" i="21399"/>
  <c r="BD739" i="21399"/>
  <c r="BD738" i="21399"/>
  <c r="BD737" i="21399"/>
  <c r="BD736" i="21399"/>
  <c r="BD735" i="21399"/>
  <c r="BD734" i="21399"/>
  <c r="BD733" i="21399"/>
  <c r="BD732" i="21399"/>
  <c r="BD731" i="21399"/>
  <c r="BD730" i="21399"/>
  <c r="BD729" i="21399"/>
  <c r="BD728" i="21399"/>
  <c r="BD727" i="21399"/>
  <c r="BD726" i="21399"/>
  <c r="BD725" i="21399"/>
  <c r="BD724" i="21399"/>
  <c r="BD723" i="21399"/>
  <c r="BD722" i="21399"/>
  <c r="BD721" i="21399"/>
  <c r="BD720" i="21399"/>
  <c r="BD719" i="21399"/>
  <c r="BD718" i="21399"/>
  <c r="BD717" i="21399"/>
  <c r="BD716" i="21399"/>
  <c r="BD715" i="21399"/>
  <c r="BD714" i="21399"/>
  <c r="BD713" i="21399"/>
  <c r="BD712" i="21399"/>
  <c r="BD711" i="21399"/>
  <c r="BD710" i="21399"/>
  <c r="BD709" i="21399"/>
  <c r="BD708" i="21399"/>
  <c r="BD707" i="21399"/>
  <c r="BD706" i="21399"/>
  <c r="BD705" i="21399"/>
  <c r="BD704" i="21399"/>
  <c r="BD703" i="21399"/>
  <c r="BD702" i="21399"/>
  <c r="BD701" i="21399"/>
  <c r="BD700" i="21399"/>
  <c r="BD699" i="21399"/>
  <c r="BD698" i="21399"/>
  <c r="BD697" i="21399"/>
  <c r="BD696" i="21399"/>
  <c r="BD695" i="21399"/>
  <c r="BD694" i="21399"/>
  <c r="BD693" i="21399"/>
  <c r="BD692" i="21399"/>
  <c r="BD691" i="21399"/>
  <c r="BD690" i="21399"/>
  <c r="BD689" i="21399"/>
  <c r="BD688" i="21399"/>
  <c r="BD687" i="21399"/>
  <c r="BD686" i="21399"/>
  <c r="BD685" i="21399"/>
  <c r="BD684" i="21399"/>
  <c r="BD683" i="21399"/>
  <c r="BD682" i="21399"/>
  <c r="BD681" i="21399"/>
  <c r="BD680" i="21399"/>
  <c r="BD679" i="21399"/>
  <c r="BD678" i="21399"/>
  <c r="BD677" i="21399"/>
  <c r="BD676" i="21399"/>
  <c r="BD675" i="21399"/>
  <c r="BD674" i="21399"/>
  <c r="BD673" i="21399"/>
  <c r="BD672" i="21399"/>
  <c r="BD671" i="21399"/>
  <c r="BD670" i="21399"/>
  <c r="BD669" i="21399"/>
  <c r="BD668" i="21399"/>
  <c r="BD667" i="21399"/>
  <c r="BD666" i="21399"/>
  <c r="BD665" i="21399"/>
  <c r="BD664" i="21399"/>
  <c r="BD663" i="21399"/>
  <c r="BD662" i="21399"/>
  <c r="BD661" i="21399"/>
  <c r="BD660" i="21399"/>
  <c r="BD659" i="21399"/>
  <c r="BD658" i="21399"/>
  <c r="BD657" i="21399"/>
  <c r="BD656" i="21399"/>
  <c r="BD655" i="21399"/>
  <c r="BD654" i="21399"/>
  <c r="BD653" i="21399"/>
  <c r="BD652" i="21399"/>
  <c r="BD651" i="21399"/>
  <c r="BD650" i="21399"/>
  <c r="BD649" i="21399"/>
  <c r="BD648" i="21399"/>
  <c r="BD647" i="21399"/>
  <c r="BD646" i="21399"/>
  <c r="BD645" i="21399"/>
  <c r="BD644" i="21399"/>
  <c r="BD643" i="21399"/>
  <c r="BD642" i="21399"/>
  <c r="BD641" i="21399"/>
  <c r="BD640" i="21399"/>
  <c r="BD639" i="21399"/>
  <c r="BD638" i="21399"/>
  <c r="BD637" i="21399"/>
  <c r="BD636" i="21399"/>
  <c r="BD635" i="21399"/>
  <c r="BD634" i="21399"/>
  <c r="BD633" i="21399"/>
  <c r="BD632" i="21399"/>
  <c r="BD631" i="21399"/>
  <c r="BD630" i="21399"/>
  <c r="BD629" i="21399"/>
  <c r="BD628" i="21399"/>
  <c r="BD627" i="21399"/>
  <c r="BD626" i="21399"/>
  <c r="BD625" i="21399"/>
  <c r="BD624" i="21399"/>
  <c r="BD623" i="21399"/>
  <c r="BD622" i="21399"/>
  <c r="BD621" i="21399"/>
  <c r="BD620" i="21399"/>
  <c r="BD619" i="21399"/>
  <c r="BD618" i="21399"/>
  <c r="BD617" i="21399"/>
  <c r="BD616" i="21399"/>
  <c r="BD615" i="21399"/>
  <c r="BD614" i="21399"/>
  <c r="BD613" i="21399"/>
  <c r="BD612" i="21399"/>
  <c r="BD611" i="21399"/>
  <c r="BD610" i="21399"/>
  <c r="BD609" i="21399"/>
  <c r="BD608" i="21399"/>
  <c r="BD607" i="21399"/>
  <c r="BD606" i="21399"/>
  <c r="BD605" i="21399"/>
  <c r="BD604" i="21399"/>
  <c r="BD603" i="21399"/>
  <c r="BD602" i="21399"/>
  <c r="BD601" i="21399"/>
  <c r="BD600" i="21399"/>
  <c r="BD599" i="21399"/>
  <c r="BD598" i="21399"/>
  <c r="BD597" i="21399"/>
  <c r="BD596" i="21399"/>
  <c r="BD595" i="21399"/>
  <c r="BD594" i="21399"/>
  <c r="BD593" i="21399"/>
  <c r="BD592" i="21399"/>
  <c r="BD591" i="21399"/>
  <c r="BD590" i="21399"/>
  <c r="BD589" i="21399"/>
  <c r="BD588" i="21399"/>
  <c r="BD587" i="21399"/>
  <c r="BD586" i="21399"/>
  <c r="BD585" i="21399"/>
  <c r="BD584" i="21399"/>
  <c r="BD583" i="21399"/>
  <c r="BD582" i="21399"/>
  <c r="BD581" i="21399"/>
  <c r="BD580" i="21399"/>
  <c r="BD579" i="21399"/>
  <c r="BD578" i="21399"/>
  <c r="BD577" i="21399"/>
  <c r="BD576" i="21399"/>
  <c r="BD575" i="21399"/>
  <c r="BD574" i="21399"/>
  <c r="BD573" i="21399"/>
  <c r="BD572" i="21399"/>
  <c r="BD571" i="21399"/>
  <c r="BD570" i="21399"/>
  <c r="BD569" i="21399"/>
  <c r="BD568" i="21399"/>
  <c r="BD567" i="21399"/>
  <c r="BD566" i="21399"/>
  <c r="BD565" i="21399"/>
  <c r="BD564" i="21399"/>
  <c r="BD563" i="21399"/>
  <c r="BD562" i="21399"/>
  <c r="BD561" i="21399"/>
  <c r="BD560" i="21399"/>
  <c r="BD559" i="21399"/>
  <c r="BD558" i="21399"/>
  <c r="BD557" i="21399"/>
  <c r="BD556" i="21399"/>
  <c r="BD555" i="21399"/>
  <c r="BD554" i="21399"/>
  <c r="BD553" i="21399"/>
  <c r="BD552" i="21399"/>
  <c r="BD551" i="21399"/>
  <c r="BD550" i="21399"/>
  <c r="BD549" i="21399"/>
  <c r="BD548" i="21399"/>
  <c r="BD547" i="21399"/>
  <c r="BD546" i="21399"/>
  <c r="BD545" i="21399"/>
  <c r="BD544" i="21399"/>
  <c r="BD543" i="21399"/>
  <c r="BD542" i="21399"/>
  <c r="BD541" i="21399"/>
  <c r="BD540" i="21399"/>
  <c r="BD539" i="21399"/>
  <c r="BD538" i="21399"/>
  <c r="BD537" i="21399"/>
  <c r="BD536" i="21399"/>
  <c r="BD535" i="21399"/>
  <c r="BD534" i="21399"/>
  <c r="BD533" i="21399"/>
  <c r="BD532" i="21399"/>
  <c r="BD531" i="21399"/>
  <c r="BD530" i="21399"/>
  <c r="BD529" i="21399"/>
  <c r="BD528" i="21399"/>
  <c r="BD527" i="21399"/>
  <c r="BD526" i="21399"/>
  <c r="BD525" i="21399"/>
  <c r="BD524" i="21399"/>
  <c r="BD523" i="21399"/>
  <c r="BD522" i="21399"/>
  <c r="BD521" i="21399"/>
  <c r="BD520" i="21399"/>
  <c r="BD519" i="21399"/>
  <c r="BD518" i="21399"/>
  <c r="BD517" i="21399"/>
  <c r="BD516" i="21399"/>
  <c r="BD515" i="21399"/>
  <c r="BD514" i="21399"/>
  <c r="BD513" i="21399"/>
  <c r="BD512" i="21399"/>
  <c r="BD511" i="21399"/>
  <c r="BD510" i="21399"/>
  <c r="BD509" i="21399"/>
  <c r="BD508" i="21399"/>
  <c r="BD507" i="21399"/>
  <c r="BD506" i="21399"/>
  <c r="BD505" i="21399"/>
  <c r="BD504" i="21399"/>
  <c r="BD503" i="21399"/>
  <c r="BD502" i="21399"/>
  <c r="BD501" i="21399"/>
  <c r="BD500" i="21399"/>
  <c r="BD499" i="21399"/>
  <c r="BD498" i="21399"/>
  <c r="BD497" i="21399"/>
  <c r="BD496" i="21399"/>
  <c r="BD495" i="21399"/>
  <c r="BD494" i="21399"/>
  <c r="BD493" i="21399"/>
  <c r="BD492" i="21399"/>
  <c r="BD491" i="21399"/>
  <c r="BD490" i="21399"/>
  <c r="BD489" i="21399"/>
  <c r="BD488" i="21399"/>
  <c r="BD487" i="21399"/>
  <c r="BD486" i="21399"/>
  <c r="BD485" i="21399"/>
  <c r="BD484" i="21399"/>
  <c r="BD483" i="21399"/>
  <c r="BD482" i="21399"/>
  <c r="BD481" i="21399"/>
  <c r="BD480" i="21399"/>
  <c r="BD479" i="21399"/>
  <c r="BD478" i="21399"/>
  <c r="BD477" i="21399"/>
  <c r="BD476" i="21399"/>
  <c r="BD475" i="21399"/>
  <c r="BD474" i="21399"/>
  <c r="BD473" i="21399"/>
  <c r="BD472" i="21399"/>
  <c r="BD471" i="21399"/>
  <c r="BD470" i="21399"/>
  <c r="BD469" i="21399"/>
  <c r="BD468" i="21399"/>
  <c r="BD467" i="21399"/>
  <c r="BD466" i="21399"/>
  <c r="BD465" i="21399"/>
  <c r="BD464" i="21399"/>
  <c r="BD463" i="21399"/>
  <c r="BD462" i="21399"/>
  <c r="BD461" i="21399"/>
  <c r="BD460" i="21399"/>
  <c r="BD459" i="21399"/>
  <c r="BD458" i="21399"/>
  <c r="BD457" i="21399"/>
  <c r="BD456" i="21399"/>
  <c r="BD455" i="21399"/>
  <c r="BD454" i="21399"/>
  <c r="BD453" i="21399"/>
  <c r="BD452" i="21399"/>
  <c r="BD451" i="21399"/>
  <c r="BD450" i="21399"/>
  <c r="BD449" i="21399"/>
  <c r="BD448" i="21399"/>
  <c r="BD447" i="21399"/>
  <c r="BD446" i="21399"/>
  <c r="BD445" i="21399"/>
  <c r="BD444" i="21399"/>
  <c r="BD443" i="21399"/>
  <c r="BD442" i="21399"/>
  <c r="BD441" i="21399"/>
  <c r="BD440" i="21399"/>
  <c r="BD439" i="21399"/>
  <c r="BD438" i="21399"/>
  <c r="BD437" i="21399"/>
  <c r="BD436" i="21399"/>
  <c r="BD435" i="21399"/>
  <c r="BD434" i="21399"/>
  <c r="BD433" i="21399"/>
  <c r="BD432" i="21399"/>
  <c r="BD431" i="21399"/>
  <c r="BD430" i="21399"/>
  <c r="BD429" i="21399"/>
  <c r="BD428" i="21399"/>
  <c r="BD427" i="21399"/>
  <c r="BD426" i="21399"/>
  <c r="BD425" i="21399"/>
  <c r="BD424" i="21399"/>
  <c r="BD423" i="21399"/>
  <c r="BD422" i="21399"/>
  <c r="BD421" i="21399"/>
  <c r="BD420" i="21399"/>
  <c r="BD419" i="21399"/>
  <c r="BD418" i="21399"/>
  <c r="BD417" i="21399"/>
  <c r="BD416" i="21399"/>
  <c r="BD415" i="21399"/>
  <c r="BD414" i="21399"/>
  <c r="BD413" i="21399"/>
  <c r="BD412" i="21399"/>
  <c r="BD411" i="21399"/>
  <c r="BD410" i="21399"/>
  <c r="BD409" i="21399"/>
  <c r="BD408" i="21399"/>
  <c r="BD407" i="21399"/>
  <c r="BD406" i="21399"/>
  <c r="BD405" i="21399"/>
  <c r="BD404" i="21399"/>
  <c r="BD403" i="21399"/>
  <c r="BD402" i="21399"/>
  <c r="BD401" i="21399"/>
  <c r="BD400" i="21399"/>
  <c r="BD399" i="21399"/>
  <c r="BD398" i="21399"/>
  <c r="BD397" i="21399"/>
  <c r="BD396" i="21399"/>
  <c r="BD395" i="21399"/>
  <c r="BD394" i="21399"/>
  <c r="BD393" i="21399"/>
  <c r="BD392" i="21399"/>
  <c r="BD391" i="21399"/>
  <c r="BD390" i="21399"/>
  <c r="BD389" i="21399"/>
  <c r="BD388" i="21399"/>
  <c r="BD387" i="21399"/>
  <c r="BD386" i="21399"/>
  <c r="BD385" i="21399"/>
  <c r="BD384" i="21399"/>
  <c r="BD383" i="21399"/>
  <c r="BD382" i="21399"/>
  <c r="BD381" i="21399"/>
  <c r="BD380" i="21399"/>
  <c r="BD379" i="21399"/>
  <c r="BD378" i="21399"/>
  <c r="BD377" i="21399"/>
  <c r="BD376" i="21399"/>
  <c r="BD375" i="21399"/>
  <c r="BD374" i="21399"/>
  <c r="BD373" i="21399"/>
  <c r="BD372" i="21399"/>
  <c r="BD371" i="21399"/>
  <c r="BD370" i="21399"/>
  <c r="BD369" i="21399"/>
  <c r="BD368" i="21399"/>
  <c r="BD367" i="21399"/>
  <c r="BD366" i="21399"/>
  <c r="BD365" i="21399"/>
  <c r="BD364" i="21399"/>
  <c r="BD363" i="21399"/>
  <c r="BD362" i="21399"/>
  <c r="BD361" i="21399"/>
  <c r="BD360" i="21399"/>
  <c r="BD359" i="21399"/>
  <c r="BD358" i="21399"/>
  <c r="BD357" i="21399"/>
  <c r="BD356" i="21399"/>
  <c r="BD355" i="21399"/>
  <c r="BD354" i="21399"/>
  <c r="BD353" i="21399"/>
  <c r="BD352" i="21399"/>
  <c r="BD351" i="21399"/>
  <c r="BD350" i="21399"/>
  <c r="BD349" i="21399"/>
  <c r="BD348" i="21399"/>
  <c r="BD347" i="21399"/>
  <c r="BD346" i="21399"/>
  <c r="BD345" i="21399"/>
  <c r="BD344" i="21399"/>
  <c r="BD343" i="21399"/>
  <c r="BD342" i="21399"/>
  <c r="BD341" i="21399"/>
  <c r="BD340" i="21399"/>
  <c r="BD339" i="21399"/>
  <c r="BD338" i="21399"/>
  <c r="BD337" i="21399"/>
  <c r="BD336" i="21399"/>
  <c r="BD335" i="21399"/>
  <c r="BD334" i="21399"/>
  <c r="BD333" i="21399"/>
  <c r="BD332" i="21399"/>
  <c r="BD331" i="21399"/>
  <c r="BD330" i="21399"/>
  <c r="BD329" i="21399"/>
  <c r="BD328" i="21399"/>
  <c r="BD327" i="21399"/>
  <c r="BD326" i="21399"/>
  <c r="BD325" i="21399"/>
  <c r="BD324" i="21399"/>
  <c r="BD323" i="21399"/>
  <c r="BD322" i="21399"/>
  <c r="BD321" i="21399"/>
  <c r="BD320" i="21399"/>
  <c r="BD319" i="21399"/>
  <c r="BD318" i="21399"/>
  <c r="BD317" i="21399"/>
  <c r="BD316" i="21399"/>
  <c r="BD315" i="21399"/>
  <c r="BD314" i="21399"/>
  <c r="BD313" i="21399"/>
  <c r="BD312" i="21399"/>
  <c r="BD311" i="21399"/>
  <c r="BD310" i="21399"/>
  <c r="BD309" i="21399"/>
  <c r="BD308" i="21399"/>
  <c r="BD307" i="21399"/>
  <c r="BD306" i="21399"/>
  <c r="BD305" i="21399"/>
  <c r="BD304" i="21399"/>
  <c r="BD303" i="21399"/>
  <c r="BD302" i="21399"/>
  <c r="BD301" i="21399"/>
  <c r="BD300" i="21399"/>
  <c r="BD299" i="21399"/>
  <c r="BD298" i="21399"/>
  <c r="BD297" i="21399"/>
  <c r="BD296" i="21399"/>
  <c r="BD295" i="21399"/>
  <c r="BD294" i="21399"/>
  <c r="BD293" i="21399"/>
  <c r="BD292" i="21399"/>
  <c r="BD291" i="21399"/>
  <c r="BD290" i="21399"/>
  <c r="BD289" i="21399"/>
  <c r="BD288" i="21399"/>
  <c r="BD287" i="21399"/>
  <c r="BD286" i="21399"/>
  <c r="BD285" i="21399"/>
  <c r="BD284" i="21399"/>
  <c r="BD283" i="21399"/>
  <c r="BD282" i="21399"/>
  <c r="BD281" i="21399"/>
  <c r="BD280" i="21399"/>
  <c r="BD279" i="21399"/>
  <c r="BD278" i="21399"/>
  <c r="BD277" i="21399"/>
  <c r="BD276" i="21399"/>
  <c r="BD275" i="21399"/>
  <c r="BD274" i="21399"/>
  <c r="BD273" i="21399"/>
  <c r="BD272" i="21399"/>
  <c r="BD271" i="21399"/>
  <c r="BD270" i="21399"/>
  <c r="BD269" i="21399"/>
  <c r="BD268" i="21399"/>
  <c r="BD267" i="21399"/>
  <c r="BD266" i="21399"/>
  <c r="BD265" i="21399"/>
  <c r="BD264" i="21399"/>
  <c r="BD263" i="21399"/>
  <c r="BD262" i="21399"/>
  <c r="BD261" i="21399"/>
  <c r="BD260" i="21399"/>
  <c r="BD259" i="21399"/>
  <c r="BD258" i="21399"/>
  <c r="BD257" i="21399"/>
  <c r="BD256" i="21399"/>
  <c r="BD255" i="21399"/>
  <c r="BD254" i="21399"/>
  <c r="BD253" i="21399"/>
  <c r="BD252" i="21399"/>
  <c r="BD251" i="21399"/>
  <c r="BD250" i="21399"/>
  <c r="BD249" i="21399"/>
  <c r="BD248" i="21399"/>
  <c r="BD247" i="21399"/>
  <c r="BD246" i="21399"/>
  <c r="BD245" i="21399"/>
  <c r="BD244" i="21399"/>
  <c r="BD243" i="21399"/>
  <c r="BD242" i="21399"/>
  <c r="BD241" i="21399"/>
  <c r="BD240" i="21399"/>
  <c r="BD239" i="21399"/>
  <c r="BD238" i="21399"/>
  <c r="BD237" i="21399"/>
  <c r="BD236" i="21399"/>
  <c r="BD235" i="21399"/>
  <c r="BD234" i="21399"/>
  <c r="BD233" i="21399"/>
  <c r="BD5" i="21399"/>
  <c r="BD800" i="21400"/>
  <c r="BD799" i="21400"/>
  <c r="BD798" i="21400"/>
  <c r="BD797" i="21400"/>
  <c r="BD796" i="21400"/>
  <c r="BD795" i="21400"/>
  <c r="BD794" i="21400"/>
  <c r="BD793" i="21400"/>
  <c r="BD792" i="21400"/>
  <c r="BD791" i="21400"/>
  <c r="BD790" i="21400"/>
  <c r="BD789" i="21400"/>
  <c r="BD788" i="21400"/>
  <c r="BD787" i="21400"/>
  <c r="BD786" i="21400"/>
  <c r="BD785" i="21400"/>
  <c r="BD784" i="21400"/>
  <c r="BD783" i="21400"/>
  <c r="BD782" i="21400"/>
  <c r="BD781" i="21400"/>
  <c r="BD780" i="21400"/>
  <c r="BD779" i="21400"/>
  <c r="BD778" i="21400"/>
  <c r="BD777" i="21400"/>
  <c r="BD776" i="21400"/>
  <c r="BD775" i="21400"/>
  <c r="BD774" i="21400"/>
  <c r="BD773" i="21400"/>
  <c r="BD772" i="21400"/>
  <c r="BD771" i="21400"/>
  <c r="BD770" i="21400"/>
  <c r="BD769" i="21400"/>
  <c r="BD768" i="21400"/>
  <c r="BD767" i="21400"/>
  <c r="BD766" i="21400"/>
  <c r="BD765" i="21400"/>
  <c r="BD764" i="21400"/>
  <c r="BD763" i="21400"/>
  <c r="BD762" i="21400"/>
  <c r="BD761" i="21400"/>
  <c r="BD760" i="21400"/>
  <c r="BD759" i="21400"/>
  <c r="BD758" i="21400"/>
  <c r="BD757" i="21400"/>
  <c r="BD756" i="21400"/>
  <c r="BD755" i="21400"/>
  <c r="BD754" i="21400"/>
  <c r="BD753" i="21400"/>
  <c r="BD752" i="21400"/>
  <c r="BD751" i="21400"/>
  <c r="BD750" i="21400"/>
  <c r="BD749" i="21400"/>
  <c r="BD748" i="21400"/>
  <c r="BD747" i="21400"/>
  <c r="BD746" i="21400"/>
  <c r="BD745" i="21400"/>
  <c r="BD744" i="21400"/>
  <c r="BD743" i="21400"/>
  <c r="BD742" i="21400"/>
  <c r="BD741" i="21400"/>
  <c r="BD740" i="21400"/>
  <c r="BD739" i="21400"/>
  <c r="BD738" i="21400"/>
  <c r="BD737" i="21400"/>
  <c r="BD736" i="21400"/>
  <c r="BD735" i="21400"/>
  <c r="BD734" i="21400"/>
  <c r="BD733" i="21400"/>
  <c r="BD732" i="21400"/>
  <c r="BD731" i="21400"/>
  <c r="BD730" i="21400"/>
  <c r="BD729" i="21400"/>
  <c r="BD728" i="21400"/>
  <c r="BD727" i="21400"/>
  <c r="BD726" i="21400"/>
  <c r="BD725" i="21400"/>
  <c r="BD724" i="21400"/>
  <c r="BD723" i="21400"/>
  <c r="BD722" i="21400"/>
  <c r="BD721" i="21400"/>
  <c r="BD720" i="21400"/>
  <c r="BD719" i="21400"/>
  <c r="BD718" i="21400"/>
  <c r="BD717" i="21400"/>
  <c r="BD716" i="21400"/>
  <c r="BD715" i="21400"/>
  <c r="BD714" i="21400"/>
  <c r="BD713" i="21400"/>
  <c r="BD712" i="21400"/>
  <c r="BD711" i="21400"/>
  <c r="BD710" i="21400"/>
  <c r="BD709" i="21400"/>
  <c r="BD708" i="21400"/>
  <c r="BD707" i="21400"/>
  <c r="BD706" i="21400"/>
  <c r="BD705" i="21400"/>
  <c r="BD704" i="21400"/>
  <c r="BD703" i="21400"/>
  <c r="BD702" i="21400"/>
  <c r="BD701" i="21400"/>
  <c r="BD700" i="21400"/>
  <c r="BD699" i="21400"/>
  <c r="BD698" i="21400"/>
  <c r="BD697" i="21400"/>
  <c r="BD696" i="21400"/>
  <c r="BD695" i="21400"/>
  <c r="BD694" i="21400"/>
  <c r="BD693" i="21400"/>
  <c r="BD692" i="21400"/>
  <c r="BD691" i="21400"/>
  <c r="BD690" i="21400"/>
  <c r="BD689" i="21400"/>
  <c r="BD688" i="21400"/>
  <c r="BD687" i="21400"/>
  <c r="BD686" i="21400"/>
  <c r="BD685" i="21400"/>
  <c r="BD684" i="21400"/>
  <c r="BD683" i="21400"/>
  <c r="BD682" i="21400"/>
  <c r="BD681" i="21400"/>
  <c r="BD680" i="21400"/>
  <c r="BD679" i="21400"/>
  <c r="BD678" i="21400"/>
  <c r="BD677" i="21400"/>
  <c r="BD676" i="21400"/>
  <c r="BD675" i="21400"/>
  <c r="BD674" i="21400"/>
  <c r="BD673" i="21400"/>
  <c r="BD672" i="21400"/>
  <c r="BD671" i="21400"/>
  <c r="BD670" i="21400"/>
  <c r="BD669" i="21400"/>
  <c r="BD668" i="21400"/>
  <c r="BD667" i="21400"/>
  <c r="BD666" i="21400"/>
  <c r="BD665" i="21400"/>
  <c r="BD664" i="21400"/>
  <c r="BD663" i="21400"/>
  <c r="BD662" i="21400"/>
  <c r="BD661" i="21400"/>
  <c r="BD660" i="21400"/>
  <c r="BD659" i="21400"/>
  <c r="BD658" i="21400"/>
  <c r="BD657" i="21400"/>
  <c r="BD656" i="21400"/>
  <c r="BD655" i="21400"/>
  <c r="BD654" i="21400"/>
  <c r="BD653" i="21400"/>
  <c r="BD652" i="21400"/>
  <c r="BD651" i="21400"/>
  <c r="BD650" i="21400"/>
  <c r="BD649" i="21400"/>
  <c r="BD648" i="21400"/>
  <c r="BD647" i="21400"/>
  <c r="BD646" i="21400"/>
  <c r="BD645" i="21400"/>
  <c r="BD644" i="21400"/>
  <c r="BD643" i="21400"/>
  <c r="BD642" i="21400"/>
  <c r="BD641" i="21400"/>
  <c r="BD640" i="21400"/>
  <c r="BD639" i="21400"/>
  <c r="BD638" i="21400"/>
  <c r="BD637" i="21400"/>
  <c r="BD636" i="21400"/>
  <c r="BD635" i="21400"/>
  <c r="BD634" i="21400"/>
  <c r="BD633" i="21400"/>
  <c r="BD632" i="21400"/>
  <c r="BD631" i="21400"/>
  <c r="BD630" i="21400"/>
  <c r="BD629" i="21400"/>
  <c r="BD628" i="21400"/>
  <c r="BD627" i="21400"/>
  <c r="BD626" i="21400"/>
  <c r="BD625" i="21400"/>
  <c r="BD624" i="21400"/>
  <c r="BD623" i="21400"/>
  <c r="BD622" i="21400"/>
  <c r="BD621" i="21400"/>
  <c r="BD620" i="21400"/>
  <c r="BD619" i="21400"/>
  <c r="BD618" i="21400"/>
  <c r="BD617" i="21400"/>
  <c r="BD616" i="21400"/>
  <c r="BD615" i="21400"/>
  <c r="BD614" i="21400"/>
  <c r="BD613" i="21400"/>
  <c r="BD612" i="21400"/>
  <c r="BD611" i="21400"/>
  <c r="BD610" i="21400"/>
  <c r="BD609" i="21400"/>
  <c r="BD608" i="21400"/>
  <c r="BD607" i="21400"/>
  <c r="BD606" i="21400"/>
  <c r="BD605" i="21400"/>
  <c r="BD604" i="21400"/>
  <c r="BD603" i="21400"/>
  <c r="BD602" i="21400"/>
  <c r="BD601" i="21400"/>
  <c r="BD600" i="21400"/>
  <c r="BD599" i="21400"/>
  <c r="BD598" i="21400"/>
  <c r="BD597" i="21400"/>
  <c r="BD596" i="21400"/>
  <c r="BD595" i="21400"/>
  <c r="BD594" i="21400"/>
  <c r="BD593" i="21400"/>
  <c r="BD592" i="21400"/>
  <c r="BD591" i="21400"/>
  <c r="BD590" i="21400"/>
  <c r="BD589" i="21400"/>
  <c r="BD588" i="21400"/>
  <c r="BD587" i="21400"/>
  <c r="BD586" i="21400"/>
  <c r="BD585" i="21400"/>
  <c r="BD584" i="21400"/>
  <c r="BD583" i="21400"/>
  <c r="BD582" i="21400"/>
  <c r="BD581" i="21400"/>
  <c r="BD580" i="21400"/>
  <c r="BD579" i="21400"/>
  <c r="BD578" i="21400"/>
  <c r="BD577" i="21400"/>
  <c r="BD576" i="21400"/>
  <c r="BD575" i="21400"/>
  <c r="BD574" i="21400"/>
  <c r="BD573" i="21400"/>
  <c r="BD572" i="21400"/>
  <c r="BD571" i="21400"/>
  <c r="BD570" i="21400"/>
  <c r="BD569" i="21400"/>
  <c r="BD568" i="21400"/>
  <c r="BD567" i="21400"/>
  <c r="BD566" i="21400"/>
  <c r="BD565" i="21400"/>
  <c r="BD564" i="21400"/>
  <c r="BD563" i="21400"/>
  <c r="BD562" i="21400"/>
  <c r="BD561" i="21400"/>
  <c r="BD560" i="21400"/>
  <c r="BD559" i="21400"/>
  <c r="BD558" i="21400"/>
  <c r="BD557" i="21400"/>
  <c r="BD556" i="21400"/>
  <c r="BD555" i="21400"/>
  <c r="BD554" i="21400"/>
  <c r="BD553" i="21400"/>
  <c r="BD552" i="21400"/>
  <c r="BD551" i="21400"/>
  <c r="BD550" i="21400"/>
  <c r="BD549" i="21400"/>
  <c r="BD548" i="21400"/>
  <c r="BD547" i="21400"/>
  <c r="BD546" i="21400"/>
  <c r="BD545" i="21400"/>
  <c r="BD544" i="21400"/>
  <c r="BD543" i="21400"/>
  <c r="BD542" i="21400"/>
  <c r="BD541" i="21400"/>
  <c r="BD540" i="21400"/>
  <c r="BD539" i="21400"/>
  <c r="BD538" i="21400"/>
  <c r="BD537" i="21400"/>
  <c r="BD536" i="21400"/>
  <c r="BD535" i="21400"/>
  <c r="BD534" i="21400"/>
  <c r="BD533" i="21400"/>
  <c r="BD532" i="21400"/>
  <c r="BD531" i="21400"/>
  <c r="BD530" i="21400"/>
  <c r="BD529" i="21400"/>
  <c r="BD528" i="21400"/>
  <c r="BD527" i="21400"/>
  <c r="BD526" i="21400"/>
  <c r="BD525" i="21400"/>
  <c r="BD524" i="21400"/>
  <c r="BD523" i="21400"/>
  <c r="BD522" i="21400"/>
  <c r="BD521" i="21400"/>
  <c r="BD520" i="21400"/>
  <c r="BD519" i="21400"/>
  <c r="BD518" i="21400"/>
  <c r="BD517" i="21400"/>
  <c r="BD516" i="21400"/>
  <c r="BD515" i="21400"/>
  <c r="BD514" i="21400"/>
  <c r="BD513" i="21400"/>
  <c r="BD512" i="21400"/>
  <c r="BD511" i="21400"/>
  <c r="BD510" i="21400"/>
  <c r="BD509" i="21400"/>
  <c r="BD508" i="21400"/>
  <c r="BD507" i="21400"/>
  <c r="BD506" i="21400"/>
  <c r="BD505" i="21400"/>
  <c r="BD504" i="21400"/>
  <c r="BD503" i="21400"/>
  <c r="BD502" i="21400"/>
  <c r="BD501" i="21400"/>
  <c r="BD500" i="21400"/>
  <c r="BD499" i="21400"/>
  <c r="BD498" i="21400"/>
  <c r="BD497" i="21400"/>
  <c r="BD496" i="21400"/>
  <c r="BD495" i="21400"/>
  <c r="BD494" i="21400"/>
  <c r="BD493" i="21400"/>
  <c r="BD492" i="21400"/>
  <c r="BD491" i="21400"/>
  <c r="BD490" i="21400"/>
  <c r="BD489" i="21400"/>
  <c r="BD488" i="21400"/>
  <c r="BD487" i="21400"/>
  <c r="BD486" i="21400"/>
  <c r="BD485" i="21400"/>
  <c r="BD484" i="21400"/>
  <c r="BD483" i="21400"/>
  <c r="BD482" i="21400"/>
  <c r="BD481" i="21400"/>
  <c r="BD480" i="21400"/>
  <c r="BD479" i="21400"/>
  <c r="BD478" i="21400"/>
  <c r="BD477" i="21400"/>
  <c r="BD476" i="21400"/>
  <c r="BD475" i="21400"/>
  <c r="BD474" i="21400"/>
  <c r="BD473" i="21400"/>
  <c r="BD472" i="21400"/>
  <c r="BD471" i="21400"/>
  <c r="BD470" i="21400"/>
  <c r="BD469" i="21400"/>
  <c r="BD468" i="21400"/>
  <c r="BD467" i="21400"/>
  <c r="BD466" i="21400"/>
  <c r="BD465" i="21400"/>
  <c r="BD464" i="21400"/>
  <c r="BD463" i="21400"/>
  <c r="BD462" i="21400"/>
  <c r="BD461" i="21400"/>
  <c r="BD460" i="21400"/>
  <c r="BD459" i="21400"/>
  <c r="BD458" i="21400"/>
  <c r="BD457" i="21400"/>
  <c r="BD456" i="21400"/>
  <c r="BD455" i="21400"/>
  <c r="BD454" i="21400"/>
  <c r="BD453" i="21400"/>
  <c r="BD452" i="21400"/>
  <c r="BD451" i="21400"/>
  <c r="BD450" i="21400"/>
  <c r="BD449" i="21400"/>
  <c r="BD448" i="21400"/>
  <c r="BD447" i="21400"/>
  <c r="BD446" i="21400"/>
  <c r="BD445" i="21400"/>
  <c r="BD444" i="21400"/>
  <c r="BD443" i="21400"/>
  <c r="BD442" i="21400"/>
  <c r="BD441" i="21400"/>
  <c r="BD440" i="21400"/>
  <c r="BD439" i="21400"/>
  <c r="BD438" i="21400"/>
  <c r="BD437" i="21400"/>
  <c r="BD436" i="21400"/>
  <c r="BD435" i="21400"/>
  <c r="BD434" i="21400"/>
  <c r="BD433" i="21400"/>
  <c r="BD432" i="21400"/>
  <c r="BD431" i="21400"/>
  <c r="BD430" i="21400"/>
  <c r="BD429" i="21400"/>
  <c r="BD428" i="21400"/>
  <c r="BD427" i="21400"/>
  <c r="BD426" i="21400"/>
  <c r="BD425" i="21400"/>
  <c r="BD424" i="21400"/>
  <c r="BD423" i="21400"/>
  <c r="BD422" i="21400"/>
  <c r="BD421" i="21400"/>
  <c r="BD420" i="21400"/>
  <c r="BD419" i="21400"/>
  <c r="BD418" i="21400"/>
  <c r="BD417" i="21400"/>
  <c r="BD416" i="21400"/>
  <c r="BD415" i="21400"/>
  <c r="BD414" i="21400"/>
  <c r="BD413" i="21400"/>
  <c r="BD412" i="21400"/>
  <c r="BD411" i="21400"/>
  <c r="BD410" i="21400"/>
  <c r="BD409" i="21400"/>
  <c r="BD408" i="21400"/>
  <c r="BD407" i="21400"/>
  <c r="BD406" i="21400"/>
  <c r="BD405" i="21400"/>
  <c r="BD404" i="21400"/>
  <c r="BD403" i="21400"/>
  <c r="BD402" i="21400"/>
  <c r="BD401" i="21400"/>
  <c r="BD400" i="21400"/>
  <c r="BD399" i="21400"/>
  <c r="BD398" i="21400"/>
  <c r="BD397" i="21400"/>
  <c r="BD396" i="21400"/>
  <c r="BD395" i="21400"/>
  <c r="BD394" i="21400"/>
  <c r="BD393" i="21400"/>
  <c r="BD392" i="21400"/>
  <c r="BD391" i="21400"/>
  <c r="BD390" i="21400"/>
  <c r="BD389" i="21400"/>
  <c r="BD388" i="21400"/>
  <c r="BD387" i="21400"/>
  <c r="BD386" i="21400"/>
  <c r="BD385" i="21400"/>
  <c r="BD384" i="21400"/>
  <c r="BD383" i="21400"/>
  <c r="BD382" i="21400"/>
  <c r="BD381" i="21400"/>
  <c r="BD380" i="21400"/>
  <c r="BD379" i="21400"/>
  <c r="BD378" i="21400"/>
  <c r="BD377" i="21400"/>
  <c r="BD376" i="21400"/>
  <c r="BD375" i="21400"/>
  <c r="BD374" i="21400"/>
  <c r="BD373" i="21400"/>
  <c r="BD372" i="21400"/>
  <c r="BD371" i="21400"/>
  <c r="BD370" i="21400"/>
  <c r="BD369" i="21400"/>
  <c r="BD368" i="21400"/>
  <c r="BD367" i="21400"/>
  <c r="BD366" i="21400"/>
  <c r="BD365" i="21400"/>
  <c r="BD364" i="21400"/>
  <c r="BD363" i="21400"/>
  <c r="BD362" i="21400"/>
  <c r="BD361" i="21400"/>
  <c r="BD360" i="21400"/>
  <c r="BD359" i="21400"/>
  <c r="BD358" i="21400"/>
  <c r="BD357" i="21400"/>
  <c r="BD356" i="21400"/>
  <c r="BD355" i="21400"/>
  <c r="BD354" i="21400"/>
  <c r="BD353" i="21400"/>
  <c r="BD352" i="21400"/>
  <c r="BD351" i="21400"/>
  <c r="BD350" i="21400"/>
  <c r="BD349" i="21400"/>
  <c r="BD348" i="21400"/>
  <c r="BD347" i="21400"/>
  <c r="BD346" i="21400"/>
  <c r="BD345" i="21400"/>
  <c r="BD344" i="21400"/>
  <c r="BD343" i="21400"/>
  <c r="BD342" i="21400"/>
  <c r="BD341" i="21400"/>
  <c r="BD340" i="21400"/>
  <c r="BD339" i="21400"/>
  <c r="BD338" i="21400"/>
  <c r="BD337" i="21400"/>
  <c r="BD336" i="21400"/>
  <c r="BD335" i="21400"/>
  <c r="BD334" i="21400"/>
  <c r="BD333" i="21400"/>
  <c r="BD332" i="21400"/>
  <c r="BD331" i="21400"/>
  <c r="BD330" i="21400"/>
  <c r="BD329" i="21400"/>
  <c r="BD328" i="21400"/>
  <c r="BD327" i="21400"/>
  <c r="BD326" i="21400"/>
  <c r="BD325" i="21400"/>
  <c r="BD324" i="21400"/>
  <c r="BD323" i="21400"/>
  <c r="BD322" i="21400"/>
  <c r="BD321" i="21400"/>
  <c r="BD320" i="21400"/>
  <c r="BD319" i="21400"/>
  <c r="BD318" i="21400"/>
  <c r="BD317" i="21400"/>
  <c r="BD316" i="21400"/>
  <c r="BD315" i="21400"/>
  <c r="BD314" i="21400"/>
  <c r="BD313" i="21400"/>
  <c r="BD312" i="21400"/>
  <c r="BD311" i="21400"/>
  <c r="BD310" i="21400"/>
  <c r="BD309" i="21400"/>
  <c r="BD308" i="21400"/>
  <c r="BD307" i="21400"/>
  <c r="BD306" i="21400"/>
  <c r="BD305" i="21400"/>
  <c r="BD304" i="21400"/>
  <c r="BD303" i="21400"/>
  <c r="BD302" i="21400"/>
  <c r="BD301" i="21400"/>
  <c r="BD300" i="21400"/>
  <c r="BD299" i="21400"/>
  <c r="BD298" i="21400"/>
  <c r="BD297" i="21400"/>
  <c r="BD296" i="21400"/>
  <c r="BD295" i="21400"/>
  <c r="BD294" i="21400"/>
  <c r="BD293" i="21400"/>
  <c r="BD292" i="21400"/>
  <c r="BD291" i="21400"/>
  <c r="BD290" i="21400"/>
  <c r="BD289" i="21400"/>
  <c r="BD288" i="21400"/>
  <c r="BD287" i="21400"/>
  <c r="BD286" i="21400"/>
  <c r="BD285" i="21400"/>
  <c r="BD284" i="21400"/>
  <c r="BD283" i="21400"/>
  <c r="BD282" i="21400"/>
  <c r="BD281" i="21400"/>
  <c r="BD280" i="21400"/>
  <c r="BD279" i="21400"/>
  <c r="BD278" i="21400"/>
  <c r="BD277" i="21400"/>
  <c r="BD276" i="21400"/>
  <c r="BD275" i="21400"/>
  <c r="BD274" i="21400"/>
  <c r="BD273" i="21400"/>
  <c r="BD272" i="21400"/>
  <c r="BD271" i="21400"/>
  <c r="BD270" i="21400"/>
  <c r="BD269" i="21400"/>
  <c r="BD268" i="21400"/>
  <c r="BD267" i="21400"/>
  <c r="BD266" i="21400"/>
  <c r="BD265" i="21400"/>
  <c r="BD264" i="21400"/>
  <c r="BD263" i="21400"/>
  <c r="BD262" i="21400"/>
  <c r="BD261" i="21400"/>
  <c r="BD260" i="21400"/>
  <c r="BD259" i="21400"/>
  <c r="BD258" i="21400"/>
  <c r="BD257" i="21400"/>
  <c r="BD256" i="21400"/>
  <c r="BD255" i="21400"/>
  <c r="BD254" i="21400"/>
  <c r="BD253" i="21400"/>
  <c r="BD252" i="21400"/>
  <c r="BD251" i="21400"/>
  <c r="BD250" i="21400"/>
  <c r="BD249" i="21400"/>
  <c r="BD248" i="21400"/>
  <c r="BD247" i="21400"/>
  <c r="BD246" i="21400"/>
  <c r="BD245" i="21400"/>
  <c r="BD244" i="21400"/>
  <c r="BD243" i="21400"/>
  <c r="BD242" i="21400"/>
  <c r="BD241" i="21400"/>
  <c r="BD240" i="21400"/>
  <c r="BD239" i="21400"/>
  <c r="BD238" i="21400"/>
  <c r="BD237" i="21400"/>
  <c r="BD236" i="21400"/>
  <c r="BD235" i="21400"/>
  <c r="BD234" i="21400"/>
  <c r="BD233" i="21400"/>
  <c r="BD232" i="21400"/>
  <c r="BD231" i="21400"/>
  <c r="BD230" i="21400"/>
  <c r="BD229" i="21400"/>
  <c r="BD228" i="21400"/>
  <c r="BD227" i="21400"/>
  <c r="BD226" i="21400"/>
  <c r="BD225" i="21400"/>
  <c r="BD224" i="21400"/>
  <c r="BD223" i="21400"/>
  <c r="BD222" i="21400"/>
  <c r="BD221" i="21400"/>
  <c r="BD220" i="21400"/>
  <c r="BD219" i="21400"/>
  <c r="BD218" i="21400"/>
  <c r="BD217" i="21400"/>
  <c r="BD216" i="21400"/>
  <c r="BD215" i="21400"/>
  <c r="BD214" i="21400"/>
  <c r="BD213" i="21400"/>
  <c r="BD212" i="21400"/>
  <c r="BD211" i="21400"/>
  <c r="BD210" i="21400"/>
  <c r="BD209" i="21400"/>
  <c r="BD208" i="21400"/>
  <c r="BD207" i="21400"/>
  <c r="BD206" i="21400"/>
  <c r="BD205" i="21400"/>
  <c r="BD204" i="21400"/>
  <c r="BD203" i="21400"/>
  <c r="BD202" i="21400"/>
  <c r="BD201" i="21400"/>
  <c r="BD200" i="21400"/>
  <c r="BD199" i="21400"/>
  <c r="BD198" i="21400"/>
  <c r="BD197" i="21400"/>
  <c r="BD196" i="21400"/>
  <c r="BD195" i="21400"/>
  <c r="BD194" i="21400"/>
  <c r="BD193" i="21400"/>
  <c r="BD192" i="21400"/>
  <c r="BD191" i="21400"/>
  <c r="BD190" i="21400"/>
  <c r="BD189" i="21400"/>
  <c r="BD188" i="21400"/>
  <c r="BD187" i="21400"/>
  <c r="BD186" i="21400"/>
  <c r="BD185" i="21400"/>
  <c r="BD184" i="21400"/>
  <c r="BD183" i="21400"/>
  <c r="BD182" i="21400"/>
  <c r="BD181" i="21400"/>
  <c r="BD180" i="21400"/>
  <c r="BD179" i="21400"/>
  <c r="BD178" i="21400"/>
  <c r="BD177" i="21400"/>
  <c r="BD176" i="21400"/>
  <c r="BD175" i="21400"/>
  <c r="BD174" i="21400"/>
  <c r="BD173" i="21400"/>
  <c r="BD172" i="21400"/>
  <c r="BD171" i="21400"/>
  <c r="BD170" i="21400"/>
  <c r="BD169" i="21400"/>
  <c r="BD168" i="21400"/>
  <c r="BD167" i="21400"/>
  <c r="BD166" i="21400"/>
  <c r="BD165" i="21400"/>
  <c r="BD164" i="21400"/>
  <c r="BD163" i="21400"/>
  <c r="BD162" i="21400"/>
  <c r="BD15" i="21400"/>
  <c r="BD800" i="108"/>
  <c r="BD799" i="108"/>
  <c r="BD798" i="108"/>
  <c r="BD797" i="108"/>
  <c r="BD796" i="108"/>
  <c r="BD795" i="108"/>
  <c r="BD794" i="108"/>
  <c r="BD793" i="108"/>
  <c r="BD792" i="108"/>
  <c r="BD791" i="108"/>
  <c r="BD790" i="108"/>
  <c r="BD789" i="108"/>
  <c r="BD788" i="108"/>
  <c r="BD787" i="108"/>
  <c r="BD786" i="108"/>
  <c r="BD785" i="108"/>
  <c r="BD784" i="108"/>
  <c r="BD783" i="108"/>
  <c r="BD782" i="108"/>
  <c r="BD781" i="108"/>
  <c r="BD780" i="108"/>
  <c r="BD779" i="108"/>
  <c r="BD778" i="108"/>
  <c r="BD777" i="108"/>
  <c r="BD776" i="108"/>
  <c r="BD775" i="108"/>
  <c r="BD774" i="108"/>
  <c r="BD773" i="108"/>
  <c r="BD772" i="108"/>
  <c r="BD771" i="108"/>
  <c r="BD770" i="108"/>
  <c r="BD769" i="108"/>
  <c r="BD768" i="108"/>
  <c r="BD767" i="108"/>
  <c r="BD766" i="108"/>
  <c r="BD765" i="108"/>
  <c r="BD764" i="108"/>
  <c r="BD763" i="108"/>
  <c r="BD762" i="108"/>
  <c r="BD761" i="108"/>
  <c r="BD760" i="108"/>
  <c r="BD759" i="108"/>
  <c r="BD758" i="108"/>
  <c r="BD757" i="108"/>
  <c r="BD756" i="108"/>
  <c r="BD755" i="108"/>
  <c r="BD754" i="108"/>
  <c r="BD753" i="108"/>
  <c r="BD752" i="108"/>
  <c r="BD751" i="108"/>
  <c r="BD750" i="108"/>
  <c r="BD749" i="108"/>
  <c r="BD748" i="108"/>
  <c r="BD747" i="108"/>
  <c r="BD746" i="108"/>
  <c r="BD745" i="108"/>
  <c r="BD744" i="108"/>
  <c r="BD743" i="108"/>
  <c r="BD742" i="108"/>
  <c r="BD741" i="108"/>
  <c r="BD740" i="108"/>
  <c r="BD739" i="108"/>
  <c r="BD738" i="108"/>
  <c r="BD737" i="108"/>
  <c r="BD736" i="108"/>
  <c r="BD735" i="108"/>
  <c r="BD734" i="108"/>
  <c r="BD733" i="108"/>
  <c r="BD732" i="108"/>
  <c r="BD731" i="108"/>
  <c r="BD730" i="108"/>
  <c r="BD729" i="108"/>
  <c r="BD728" i="108"/>
  <c r="BD727" i="108"/>
  <c r="BD726" i="108"/>
  <c r="BD725" i="108"/>
  <c r="BD724" i="108"/>
  <c r="BD723" i="108"/>
  <c r="BD722" i="108"/>
  <c r="BD721" i="108"/>
  <c r="BD720" i="108"/>
  <c r="BD719" i="108"/>
  <c r="BD718" i="108"/>
  <c r="BD717" i="108"/>
  <c r="BD716" i="108"/>
  <c r="BD715" i="108"/>
  <c r="BD714" i="108"/>
  <c r="BD713" i="108"/>
  <c r="BD712" i="108"/>
  <c r="BD711" i="108"/>
  <c r="BD710" i="108"/>
  <c r="BD709" i="108"/>
  <c r="BD708" i="108"/>
  <c r="BD707" i="108"/>
  <c r="BD706" i="108"/>
  <c r="BD705" i="108"/>
  <c r="BD704" i="108"/>
  <c r="BD703" i="108"/>
  <c r="BD702" i="108"/>
  <c r="BD701" i="108"/>
  <c r="BD700" i="108"/>
  <c r="BD699" i="108"/>
  <c r="BD698" i="108"/>
  <c r="BD697" i="108"/>
  <c r="BD696" i="108"/>
  <c r="BD695" i="108"/>
  <c r="BD694" i="108"/>
  <c r="BD693" i="108"/>
  <c r="BD692" i="108"/>
  <c r="BD691" i="108"/>
  <c r="BD690" i="108"/>
  <c r="BD689" i="108"/>
  <c r="BD688" i="108"/>
  <c r="BD687" i="108"/>
  <c r="BD686" i="108"/>
  <c r="BD685" i="108"/>
  <c r="BD684" i="108"/>
  <c r="BD683" i="108"/>
  <c r="BD682" i="108"/>
  <c r="BD681" i="108"/>
  <c r="BD680" i="108"/>
  <c r="BD679" i="108"/>
  <c r="BD678" i="108"/>
  <c r="BD677" i="108"/>
  <c r="BD676" i="108"/>
  <c r="BD675" i="108"/>
  <c r="BD674" i="108"/>
  <c r="BD673" i="108"/>
  <c r="BD672" i="108"/>
  <c r="BD671" i="108"/>
  <c r="BD670" i="108"/>
  <c r="BD669" i="108"/>
  <c r="BD668" i="108"/>
  <c r="BD667" i="108"/>
  <c r="BD666" i="108"/>
  <c r="BD665" i="108"/>
  <c r="BD664" i="108"/>
  <c r="BD663" i="108"/>
  <c r="BD662" i="108"/>
  <c r="BD661" i="108"/>
  <c r="BD660" i="108"/>
  <c r="BD659" i="108"/>
  <c r="BD658" i="108"/>
  <c r="BD657" i="108"/>
  <c r="BD656" i="108"/>
  <c r="BD655" i="108"/>
  <c r="BD654" i="108"/>
  <c r="BD653" i="108"/>
  <c r="BD652" i="108"/>
  <c r="BD651" i="108"/>
  <c r="BD650" i="108"/>
  <c r="BD649" i="108"/>
  <c r="BD648" i="108"/>
  <c r="BD647" i="108"/>
  <c r="BD646" i="108"/>
  <c r="BD645" i="108"/>
  <c r="BD644" i="108"/>
  <c r="BD643" i="108"/>
  <c r="BD642" i="108"/>
  <c r="BD641" i="108"/>
  <c r="BD640" i="108"/>
  <c r="BD639" i="108"/>
  <c r="BD638" i="108"/>
  <c r="BD637" i="108"/>
  <c r="BD636" i="108"/>
  <c r="BD635" i="108"/>
  <c r="BD634" i="108"/>
  <c r="BD633" i="108"/>
  <c r="BD632" i="108"/>
  <c r="BD631" i="108"/>
  <c r="BD630" i="108"/>
  <c r="BD629" i="108"/>
  <c r="BD628" i="108"/>
  <c r="BD627" i="108"/>
  <c r="BD626" i="108"/>
  <c r="BD625" i="108"/>
  <c r="BD624" i="108"/>
  <c r="BD623" i="108"/>
  <c r="BD622" i="108"/>
  <c r="BD621" i="108"/>
  <c r="BD620" i="108"/>
  <c r="BD619" i="108"/>
  <c r="BD618" i="108"/>
  <c r="BD617" i="108"/>
  <c r="BD616" i="108"/>
  <c r="BD615" i="108"/>
  <c r="BD614" i="108"/>
  <c r="BD613" i="108"/>
  <c r="BD612" i="108"/>
  <c r="BD611" i="108"/>
  <c r="BD610" i="108"/>
  <c r="BD609" i="108"/>
  <c r="BD608" i="108"/>
  <c r="BD607" i="108"/>
  <c r="BD606" i="108"/>
  <c r="BD605" i="108"/>
  <c r="BD604" i="108"/>
  <c r="BD603" i="108"/>
  <c r="BD602" i="108"/>
  <c r="BD601" i="108"/>
  <c r="BD600" i="108"/>
  <c r="BD599" i="108"/>
  <c r="BD598" i="108"/>
  <c r="BD597" i="108"/>
  <c r="BD596" i="108"/>
  <c r="BD595" i="108"/>
  <c r="BD594" i="108"/>
  <c r="BD593" i="108"/>
  <c r="BD592" i="108"/>
  <c r="BD591" i="108"/>
  <c r="BD590" i="108"/>
  <c r="BD589" i="108"/>
  <c r="BD588" i="108"/>
  <c r="BD587" i="108"/>
  <c r="BD586" i="108"/>
  <c r="BD585" i="108"/>
  <c r="BD584" i="108"/>
  <c r="BD583" i="108"/>
  <c r="BD582" i="108"/>
  <c r="BD581" i="108"/>
  <c r="BD580" i="108"/>
  <c r="BD579" i="108"/>
  <c r="BD578" i="108"/>
  <c r="BD577" i="108"/>
  <c r="BD576" i="108"/>
  <c r="BD575" i="108"/>
  <c r="BD574" i="108"/>
  <c r="BD573" i="108"/>
  <c r="BD572" i="108"/>
  <c r="BD571" i="108"/>
  <c r="BD570" i="108"/>
  <c r="BD569" i="108"/>
  <c r="BD568" i="108"/>
  <c r="BD567" i="108"/>
  <c r="BD566" i="108"/>
  <c r="BD565" i="108"/>
  <c r="BD564" i="108"/>
  <c r="BD563" i="108"/>
  <c r="BD562" i="108"/>
  <c r="BD561" i="108"/>
  <c r="BD560" i="108"/>
  <c r="BD559" i="108"/>
  <c r="BD558" i="108"/>
  <c r="BD557" i="108"/>
  <c r="BD556" i="108"/>
  <c r="BD555" i="108"/>
  <c r="BD554" i="108"/>
  <c r="BD553" i="108"/>
  <c r="BD552" i="108"/>
  <c r="BD551" i="108"/>
  <c r="BD550" i="108"/>
  <c r="BD549" i="108"/>
  <c r="BD548" i="108"/>
  <c r="BD547" i="108"/>
  <c r="BD546" i="108"/>
  <c r="BD545" i="108"/>
  <c r="BD544" i="108"/>
  <c r="BD543" i="108"/>
  <c r="BD542" i="108"/>
  <c r="BD541" i="108"/>
  <c r="BD540" i="108"/>
  <c r="BD539" i="108"/>
  <c r="BD538" i="108"/>
  <c r="BD537" i="108"/>
  <c r="BD536" i="108"/>
  <c r="BD535" i="108"/>
  <c r="BD534" i="108"/>
  <c r="BD533" i="108"/>
  <c r="BD532" i="108"/>
  <c r="BD531" i="108"/>
  <c r="BD530" i="108"/>
  <c r="BD529" i="108"/>
  <c r="BD528" i="108"/>
  <c r="BD527" i="108"/>
  <c r="BD526" i="108"/>
  <c r="BD525" i="108"/>
  <c r="BD524" i="108"/>
  <c r="BD523" i="108"/>
  <c r="BD522" i="108"/>
  <c r="BD521" i="108"/>
  <c r="BD520" i="108"/>
  <c r="BD519" i="108"/>
  <c r="BD518" i="108"/>
  <c r="BD517" i="108"/>
  <c r="BD516" i="108"/>
  <c r="BD515" i="108"/>
  <c r="BD514" i="108"/>
  <c r="BD513" i="108"/>
  <c r="BD512" i="108"/>
  <c r="BD511" i="108"/>
  <c r="BD510" i="108"/>
  <c r="BD509" i="108"/>
  <c r="BD508" i="108"/>
  <c r="BD507" i="108"/>
  <c r="BD506" i="108"/>
  <c r="BD505" i="108"/>
  <c r="BD504" i="108"/>
  <c r="BD503" i="108"/>
  <c r="BD502" i="108"/>
  <c r="BD501" i="108"/>
  <c r="BD500" i="108"/>
  <c r="BD499" i="108"/>
  <c r="BD498" i="108"/>
  <c r="BD497" i="108"/>
  <c r="BD496" i="108"/>
  <c r="BD495" i="108"/>
  <c r="BD494" i="108"/>
  <c r="BD493" i="108"/>
  <c r="BD492" i="108"/>
  <c r="BD491" i="108"/>
  <c r="BD490" i="108"/>
  <c r="BD489" i="108"/>
  <c r="BD488" i="108"/>
  <c r="BD487" i="108"/>
  <c r="BD486" i="108"/>
  <c r="BD485" i="108"/>
  <c r="BD484" i="108"/>
  <c r="BD483" i="108"/>
  <c r="BD482" i="108"/>
  <c r="BD481" i="108"/>
  <c r="BD480" i="108"/>
  <c r="BD479" i="108"/>
  <c r="BD478" i="108"/>
  <c r="BD477" i="108"/>
  <c r="BD476" i="108"/>
  <c r="BD475" i="108"/>
  <c r="BD474" i="108"/>
  <c r="BD473" i="108"/>
  <c r="BD472" i="108"/>
  <c r="BD471" i="108"/>
  <c r="BD470" i="108"/>
  <c r="BD469" i="108"/>
  <c r="BD468" i="108"/>
  <c r="BD467" i="108"/>
  <c r="BD466" i="108"/>
  <c r="BD465" i="108"/>
  <c r="BD464" i="108"/>
  <c r="BD463" i="108"/>
  <c r="BD462" i="108"/>
  <c r="BD461" i="108"/>
  <c r="BD460" i="108"/>
  <c r="BD459" i="108"/>
  <c r="BD458" i="108"/>
  <c r="BD457" i="108"/>
  <c r="BD456" i="108"/>
  <c r="BD455" i="108"/>
  <c r="BD454" i="108"/>
  <c r="BD453" i="108"/>
  <c r="BD452" i="108"/>
  <c r="BD451" i="108"/>
  <c r="BD450" i="108"/>
  <c r="BD449" i="108"/>
  <c r="BD448" i="108"/>
  <c r="BD447" i="108"/>
  <c r="BD446" i="108"/>
  <c r="BD445" i="108"/>
  <c r="BD444" i="108"/>
  <c r="BD443" i="108"/>
  <c r="BD442" i="108"/>
  <c r="BD441" i="108"/>
  <c r="BD440" i="108"/>
  <c r="BD439" i="108"/>
  <c r="BD438" i="108"/>
  <c r="BD437" i="108"/>
  <c r="BD436" i="108"/>
  <c r="BD435" i="108"/>
  <c r="BD434" i="108"/>
  <c r="BD433" i="108"/>
  <c r="BD432" i="108"/>
  <c r="BD431" i="108"/>
  <c r="BD430" i="108"/>
  <c r="BD429" i="108"/>
  <c r="BD428" i="108"/>
  <c r="BD427" i="108"/>
  <c r="BD426" i="108"/>
  <c r="BD425" i="108"/>
  <c r="BD424" i="108"/>
  <c r="BD423" i="108"/>
  <c r="BD422" i="108"/>
  <c r="BD421" i="108"/>
  <c r="BD420" i="108"/>
  <c r="BD419" i="108"/>
  <c r="BD418" i="108"/>
  <c r="BD417" i="108"/>
  <c r="BD416" i="108"/>
  <c r="BD415" i="108"/>
  <c r="BD414" i="108"/>
  <c r="BD413" i="108"/>
  <c r="BD412" i="108"/>
  <c r="BD411" i="108"/>
  <c r="BD410" i="108"/>
  <c r="BD409" i="108"/>
  <c r="BD408" i="108"/>
  <c r="BD407" i="108"/>
  <c r="BD406" i="108"/>
  <c r="BD405" i="108"/>
  <c r="BD404" i="108"/>
  <c r="BD403" i="108"/>
  <c r="BD402" i="108"/>
  <c r="BD401" i="108"/>
  <c r="BD400" i="108"/>
  <c r="BD399" i="108"/>
  <c r="BD398" i="108"/>
  <c r="BD397" i="108"/>
  <c r="BD396" i="108"/>
  <c r="BD395" i="108"/>
  <c r="BD394" i="108"/>
  <c r="BD393" i="108"/>
  <c r="BD392" i="108"/>
  <c r="BD391" i="108"/>
  <c r="BD390" i="108"/>
  <c r="BD389" i="108"/>
  <c r="BD388" i="108"/>
  <c r="BD387" i="108"/>
  <c r="BD386" i="108"/>
  <c r="BD385" i="108"/>
  <c r="BD384" i="108"/>
  <c r="BD383" i="108"/>
  <c r="BD382" i="108"/>
  <c r="BD381" i="108"/>
  <c r="BD380" i="108"/>
  <c r="BD379" i="108"/>
  <c r="BD378" i="108"/>
  <c r="BD377" i="108"/>
  <c r="BD376" i="108"/>
  <c r="BD375" i="108"/>
  <c r="BD374" i="108"/>
  <c r="BD373" i="108"/>
  <c r="BD372" i="108"/>
  <c r="BD371" i="108"/>
  <c r="BD370" i="108"/>
  <c r="BD369" i="108"/>
  <c r="BD368" i="108"/>
  <c r="BD367" i="108"/>
  <c r="BD366" i="108"/>
  <c r="BD365" i="108"/>
  <c r="BD364" i="108"/>
  <c r="BD363" i="108"/>
  <c r="BD362" i="108"/>
  <c r="BD361" i="108"/>
  <c r="BD360" i="108"/>
  <c r="BD359" i="108"/>
  <c r="BD358" i="108"/>
  <c r="BD357" i="108"/>
  <c r="BD356" i="108"/>
  <c r="BD355" i="108"/>
  <c r="BD354" i="108"/>
  <c r="BD353" i="108"/>
  <c r="BD352" i="108"/>
  <c r="BD351" i="108"/>
  <c r="BD350" i="108"/>
  <c r="BD349" i="108"/>
  <c r="BD348" i="108"/>
  <c r="BD347" i="108"/>
  <c r="BD346" i="108"/>
  <c r="BD345" i="108"/>
  <c r="BD344" i="108"/>
  <c r="BD343" i="108"/>
  <c r="BD342" i="108"/>
  <c r="BD341" i="108"/>
  <c r="BD340" i="108"/>
  <c r="BD339" i="108"/>
  <c r="BD338" i="108"/>
  <c r="BD337" i="108"/>
  <c r="BD336" i="108"/>
  <c r="BD335" i="108"/>
  <c r="BD334" i="108"/>
  <c r="BD333" i="108"/>
  <c r="BD332" i="108"/>
  <c r="BD331" i="108"/>
  <c r="BD330" i="108"/>
  <c r="BD329" i="108"/>
  <c r="BD328" i="108"/>
  <c r="BD327" i="108"/>
  <c r="BD326" i="108"/>
  <c r="BD325" i="108"/>
  <c r="BD324" i="108"/>
  <c r="BD323" i="108"/>
  <c r="BD322" i="108"/>
  <c r="BD321" i="108"/>
  <c r="BD320" i="108"/>
  <c r="BD319" i="108"/>
  <c r="BD318" i="108"/>
  <c r="BD317" i="108"/>
  <c r="BD316" i="108"/>
  <c r="BD315" i="108"/>
  <c r="BD314" i="108"/>
  <c r="BD313" i="108"/>
  <c r="BD312" i="108"/>
  <c r="BD311" i="108"/>
  <c r="BD310" i="108"/>
  <c r="BD309" i="108"/>
  <c r="BD308" i="108"/>
  <c r="BD307" i="108"/>
  <c r="BD306" i="108"/>
  <c r="BD305" i="108"/>
  <c r="BD304" i="108"/>
  <c r="BD303" i="108"/>
  <c r="BD302" i="108"/>
  <c r="BD301" i="108"/>
  <c r="BD300" i="108"/>
  <c r="BD299" i="108"/>
  <c r="BD298" i="108"/>
  <c r="BD297" i="108"/>
  <c r="BD296" i="108"/>
  <c r="BD295" i="108"/>
  <c r="BD294" i="108"/>
  <c r="BD293" i="108"/>
  <c r="BD292" i="108"/>
  <c r="BD291" i="108"/>
  <c r="BD290" i="108"/>
  <c r="BD289" i="108"/>
  <c r="BD288" i="108"/>
  <c r="BD287" i="108"/>
  <c r="BD286" i="108"/>
  <c r="BD285" i="108"/>
  <c r="BD284" i="108"/>
  <c r="BD283" i="108"/>
  <c r="BD282" i="108"/>
  <c r="BD281" i="108"/>
  <c r="BD280" i="108"/>
  <c r="BD279" i="108"/>
  <c r="BD278" i="108"/>
  <c r="BD277" i="108"/>
  <c r="BD276" i="108"/>
  <c r="BD275" i="108"/>
  <c r="BD274" i="108"/>
  <c r="BD273" i="108"/>
  <c r="BD272" i="108"/>
  <c r="BD271" i="108"/>
  <c r="BD270" i="108"/>
  <c r="BD269" i="108"/>
  <c r="BD268" i="108"/>
  <c r="BD267" i="108"/>
  <c r="BD266" i="108"/>
  <c r="BD265" i="108"/>
  <c r="BD264" i="108"/>
  <c r="BD263" i="108"/>
  <c r="BD262" i="108"/>
  <c r="BD261" i="108"/>
  <c r="BD260" i="108"/>
  <c r="BD259" i="108"/>
  <c r="BD258" i="108"/>
  <c r="BD257" i="108"/>
  <c r="BD256" i="108"/>
  <c r="BD255" i="108"/>
  <c r="BD254" i="108"/>
  <c r="BD253" i="108"/>
  <c r="BD252" i="108"/>
  <c r="BD251" i="108"/>
  <c r="BD250" i="108"/>
  <c r="BD249" i="108"/>
  <c r="BD248" i="108"/>
  <c r="BD247" i="108"/>
  <c r="BD246" i="108"/>
  <c r="BD245" i="108"/>
  <c r="BD244" i="108"/>
  <c r="BD243" i="108"/>
  <c r="BD242" i="108"/>
  <c r="BD241" i="108"/>
  <c r="BD240" i="108"/>
  <c r="BD239" i="108"/>
  <c r="BD238" i="108"/>
  <c r="BD237" i="108"/>
  <c r="BD236" i="108"/>
  <c r="BD235" i="108"/>
  <c r="BD234" i="108"/>
  <c r="BD233" i="108"/>
  <c r="BD232" i="108"/>
  <c r="BD231" i="108"/>
  <c r="BD230" i="108"/>
  <c r="BD229" i="108"/>
  <c r="BD228" i="108"/>
  <c r="BD227" i="108"/>
  <c r="BD226" i="108"/>
  <c r="BD225" i="108"/>
  <c r="BD224" i="108"/>
  <c r="BD223" i="108"/>
  <c r="BD222" i="108"/>
  <c r="BD221" i="108"/>
  <c r="BD220" i="108"/>
  <c r="BD219" i="108"/>
  <c r="BD218" i="108"/>
  <c r="BD217" i="108"/>
  <c r="BD216" i="108"/>
  <c r="BD215" i="108"/>
  <c r="BD214" i="108"/>
  <c r="BD213" i="108"/>
  <c r="BD212" i="108"/>
  <c r="BD211" i="108"/>
  <c r="BD210" i="108"/>
  <c r="BD209" i="108"/>
  <c r="BD208" i="108"/>
  <c r="BD207" i="108"/>
  <c r="BD206" i="108"/>
  <c r="BD205" i="108"/>
  <c r="BD204" i="108"/>
  <c r="BD203" i="108"/>
  <c r="BD202" i="108"/>
  <c r="BD201" i="108"/>
  <c r="BD200" i="108"/>
  <c r="BD199" i="108"/>
  <c r="BD198" i="108"/>
  <c r="BD197" i="108"/>
  <c r="BD196" i="108"/>
  <c r="BD195" i="108"/>
  <c r="BD194" i="108"/>
  <c r="BD193" i="108"/>
  <c r="BD192" i="108"/>
  <c r="BD191" i="108"/>
  <c r="BD190" i="108"/>
  <c r="BD189" i="108"/>
  <c r="BD188" i="108"/>
  <c r="BD187" i="108"/>
  <c r="BD186" i="108"/>
  <c r="BD185" i="108"/>
  <c r="BD184" i="108"/>
  <c r="BD183" i="108"/>
  <c r="BD182" i="108"/>
  <c r="BD181" i="108"/>
  <c r="BD180" i="108"/>
  <c r="BD179" i="108"/>
  <c r="BD178" i="108"/>
  <c r="BD177" i="108"/>
  <c r="BD176" i="108"/>
  <c r="BD175" i="108"/>
  <c r="BD174" i="108"/>
  <c r="BD173" i="108"/>
  <c r="BD172" i="108"/>
  <c r="BD171" i="108"/>
  <c r="BD170" i="108"/>
  <c r="BD169" i="108"/>
  <c r="BD168" i="108"/>
  <c r="BD167" i="108"/>
  <c r="BD166" i="108"/>
  <c r="BD165" i="108"/>
  <c r="BD164" i="108"/>
  <c r="BD163" i="108"/>
  <c r="BD162" i="108"/>
  <c r="BD161" i="108"/>
  <c r="BD160" i="108"/>
  <c r="BD159" i="108"/>
  <c r="BD158" i="108"/>
  <c r="BD157" i="108"/>
  <c r="BD156" i="108"/>
  <c r="BD155" i="108"/>
  <c r="BD154" i="108"/>
  <c r="BD153" i="108"/>
  <c r="BD152" i="108"/>
  <c r="BD151" i="108"/>
  <c r="BD150" i="108"/>
  <c r="BD149" i="108"/>
  <c r="BD148" i="108"/>
  <c r="BD147" i="108"/>
  <c r="BD146" i="108"/>
  <c r="BD145" i="108"/>
  <c r="BD144" i="108"/>
  <c r="BD143" i="108"/>
  <c r="BD142" i="108"/>
  <c r="BD141" i="108"/>
  <c r="BD140" i="108"/>
  <c r="BD139" i="108"/>
  <c r="BD138" i="108"/>
  <c r="BD137" i="108"/>
  <c r="BD136" i="108"/>
  <c r="BD135" i="108"/>
  <c r="BD134" i="108"/>
  <c r="BD133" i="108"/>
  <c r="BD132" i="108"/>
  <c r="BD131" i="108"/>
  <c r="BD130" i="108"/>
  <c r="BD129" i="108"/>
  <c r="BD128" i="108"/>
  <c r="BD127" i="108"/>
  <c r="BD126" i="108"/>
  <c r="BD125" i="108"/>
  <c r="BD124" i="108"/>
  <c r="BD123" i="108"/>
  <c r="BD122" i="108"/>
  <c r="BD121" i="108"/>
  <c r="BD120" i="108"/>
  <c r="BD119" i="108"/>
  <c r="BD118" i="108"/>
  <c r="BD117" i="108"/>
  <c r="BD116" i="108"/>
  <c r="BD115" i="108"/>
  <c r="BD114" i="108"/>
  <c r="BD113" i="108"/>
  <c r="BD112" i="108"/>
  <c r="BD111" i="108"/>
  <c r="BD110" i="108"/>
  <c r="BD109" i="108"/>
  <c r="BD108" i="108"/>
  <c r="BD107" i="108"/>
  <c r="BD106" i="108"/>
  <c r="BD105" i="108"/>
  <c r="BD104" i="108"/>
  <c r="BD103" i="108"/>
  <c r="BD102" i="108"/>
  <c r="BD101" i="108"/>
  <c r="BD100" i="108"/>
  <c r="BD99" i="108"/>
  <c r="BD98" i="108"/>
  <c r="BD97" i="108"/>
  <c r="BD96" i="108"/>
  <c r="BD95" i="108"/>
  <c r="BD94" i="108"/>
  <c r="BD93" i="108"/>
  <c r="BD92" i="108"/>
  <c r="BD91" i="108"/>
  <c r="BD90" i="108"/>
  <c r="BD89" i="108"/>
  <c r="BD88" i="108"/>
  <c r="BD87" i="108"/>
  <c r="BD86" i="108"/>
  <c r="BD85" i="108"/>
  <c r="BD84" i="108"/>
  <c r="BD83" i="108"/>
  <c r="BD82" i="108"/>
  <c r="BD81" i="108"/>
  <c r="BD80" i="108"/>
  <c r="BD79" i="108"/>
  <c r="BD78" i="108"/>
  <c r="BD77" i="108"/>
  <c r="BD76" i="108"/>
  <c r="BD75" i="108"/>
  <c r="BD74" i="108"/>
  <c r="BD73" i="108"/>
  <c r="BD72" i="108"/>
  <c r="BD71" i="108"/>
  <c r="BD33" i="108"/>
  <c r="BD31" i="108"/>
  <c r="BD29" i="108"/>
  <c r="BD27" i="108"/>
  <c r="BD25" i="108"/>
  <c r="BD23" i="108"/>
  <c r="BD21" i="108"/>
  <c r="BD19" i="108"/>
  <c r="BD5" i="108"/>
  <c r="BD800" i="3"/>
  <c r="BD799" i="3"/>
  <c r="BD798" i="3"/>
  <c r="BD797" i="3"/>
  <c r="BD796" i="3"/>
  <c r="BD795" i="3"/>
  <c r="BD794" i="3"/>
  <c r="BD793" i="3"/>
  <c r="BD792" i="3"/>
  <c r="BD791" i="3"/>
  <c r="BD790" i="3"/>
  <c r="BD789" i="3"/>
  <c r="BD788" i="3"/>
  <c r="BD787" i="3"/>
  <c r="BD786" i="3"/>
  <c r="BD785" i="3"/>
  <c r="BD784" i="3"/>
  <c r="BD783" i="3"/>
  <c r="BD782" i="3"/>
  <c r="BD781" i="3"/>
  <c r="BD780" i="3"/>
  <c r="BD779" i="3"/>
  <c r="BD778" i="3"/>
  <c r="BD777" i="3"/>
  <c r="BD776" i="3"/>
  <c r="BD775" i="3"/>
  <c r="BD774" i="3"/>
  <c r="BD773" i="3"/>
  <c r="BD772" i="3"/>
  <c r="BD771" i="3"/>
  <c r="BD770" i="3"/>
  <c r="BD769" i="3"/>
  <c r="BD768" i="3"/>
  <c r="BD767" i="3"/>
  <c r="BD766" i="3"/>
  <c r="BD765" i="3"/>
  <c r="BD764" i="3"/>
  <c r="BD763" i="3"/>
  <c r="BD762" i="3"/>
  <c r="BD761" i="3"/>
  <c r="BD760" i="3"/>
  <c r="BD759" i="3"/>
  <c r="BD758" i="3"/>
  <c r="BD757" i="3"/>
  <c r="BD756" i="3"/>
  <c r="BD755" i="3"/>
  <c r="BD754" i="3"/>
  <c r="BD753" i="3"/>
  <c r="BD752" i="3"/>
  <c r="BD751" i="3"/>
  <c r="BD750" i="3"/>
  <c r="BD749" i="3"/>
  <c r="BD748" i="3"/>
  <c r="BD747" i="3"/>
  <c r="BD746" i="3"/>
  <c r="BD745" i="3"/>
  <c r="BD744" i="3"/>
  <c r="BD743" i="3"/>
  <c r="BD742" i="3"/>
  <c r="BD741" i="3"/>
  <c r="BD740" i="3"/>
  <c r="BD739" i="3"/>
  <c r="BD738" i="3"/>
  <c r="BD737" i="3"/>
  <c r="BD736" i="3"/>
  <c r="BD735" i="3"/>
  <c r="BD734" i="3"/>
  <c r="BD733" i="3"/>
  <c r="BD732" i="3"/>
  <c r="BD731" i="3"/>
  <c r="BD730" i="3"/>
  <c r="BD729" i="3"/>
  <c r="BD728" i="3"/>
  <c r="BD727" i="3"/>
  <c r="BD726" i="3"/>
  <c r="BD725" i="3"/>
  <c r="BD724" i="3"/>
  <c r="BD723" i="3"/>
  <c r="BD722" i="3"/>
  <c r="BD721" i="3"/>
  <c r="BD720" i="3"/>
  <c r="BD719" i="3"/>
  <c r="BD718" i="3"/>
  <c r="BD717" i="3"/>
  <c r="BD716" i="3"/>
  <c r="BD715" i="3"/>
  <c r="BD714" i="3"/>
  <c r="BD713" i="3"/>
  <c r="BD712" i="3"/>
  <c r="BD711" i="3"/>
  <c r="BD710" i="3"/>
  <c r="BD709" i="3"/>
  <c r="BD708" i="3"/>
  <c r="BD707" i="3"/>
  <c r="BD706" i="3"/>
  <c r="BD705" i="3"/>
  <c r="BD704" i="3"/>
  <c r="BD703" i="3"/>
  <c r="BD702" i="3"/>
  <c r="BD701" i="3"/>
  <c r="BD700" i="3"/>
  <c r="BD699" i="3"/>
  <c r="BD698" i="3"/>
  <c r="BD697" i="3"/>
  <c r="BD696" i="3"/>
  <c r="BD695" i="3"/>
  <c r="BD694" i="3"/>
  <c r="BD693" i="3"/>
  <c r="BD692" i="3"/>
  <c r="BD691" i="3"/>
  <c r="BD690" i="3"/>
  <c r="BD689" i="3"/>
  <c r="BD688" i="3"/>
  <c r="BD687" i="3"/>
  <c r="BD686" i="3"/>
  <c r="BD685" i="3"/>
  <c r="BD684" i="3"/>
  <c r="BD683" i="3"/>
  <c r="BD682" i="3"/>
  <c r="BD681" i="3"/>
  <c r="BD680" i="3"/>
  <c r="BD679" i="3"/>
  <c r="BD678" i="3"/>
  <c r="BD677" i="3"/>
  <c r="BD676" i="3"/>
  <c r="BD675" i="3"/>
  <c r="BD674" i="3"/>
  <c r="BD673" i="3"/>
  <c r="BD672" i="3"/>
  <c r="BD671" i="3"/>
  <c r="BD670" i="3"/>
  <c r="BD669" i="3"/>
  <c r="BD668" i="3"/>
  <c r="BD667" i="3"/>
  <c r="BD666" i="3"/>
  <c r="BD665" i="3"/>
  <c r="BD664" i="3"/>
  <c r="BD663" i="3"/>
  <c r="BD662" i="3"/>
  <c r="BD661" i="3"/>
  <c r="BD660" i="3"/>
  <c r="BD659" i="3"/>
  <c r="BD658" i="3"/>
  <c r="BD657" i="3"/>
  <c r="BD656" i="3"/>
  <c r="BD655" i="3"/>
  <c r="BD654" i="3"/>
  <c r="BD653" i="3"/>
  <c r="BD652" i="3"/>
  <c r="BD651" i="3"/>
  <c r="BD650" i="3"/>
  <c r="BD649" i="3"/>
  <c r="BD648" i="3"/>
  <c r="BD647" i="3"/>
  <c r="BD646" i="3"/>
  <c r="BD645" i="3"/>
  <c r="BD644" i="3"/>
  <c r="BD643" i="3"/>
  <c r="BD642" i="3"/>
  <c r="BD641" i="3"/>
  <c r="BD640" i="3"/>
  <c r="BD639" i="3"/>
  <c r="BD638" i="3"/>
  <c r="BD637" i="3"/>
  <c r="BD636" i="3"/>
  <c r="BD635" i="3"/>
  <c r="BD634" i="3"/>
  <c r="BD633" i="3"/>
  <c r="BD632" i="3"/>
  <c r="BD631" i="3"/>
  <c r="BD630" i="3"/>
  <c r="BD629" i="3"/>
  <c r="BD628" i="3"/>
  <c r="BD627" i="3"/>
  <c r="BD626" i="3"/>
  <c r="BD625" i="3"/>
  <c r="BD624" i="3"/>
  <c r="BD623" i="3"/>
  <c r="BD622" i="3"/>
  <c r="BD621" i="3"/>
  <c r="BD620" i="3"/>
  <c r="BD619" i="3"/>
  <c r="BD618" i="3"/>
  <c r="BD617" i="3"/>
  <c r="BD616" i="3"/>
  <c r="BD615" i="3"/>
  <c r="BD614" i="3"/>
  <c r="BD613" i="3"/>
  <c r="BD612" i="3"/>
  <c r="BD611" i="3"/>
  <c r="BD610" i="3"/>
  <c r="BD609" i="3"/>
  <c r="BD608" i="3"/>
  <c r="BD607" i="3"/>
  <c r="BD606" i="3"/>
  <c r="BD605" i="3"/>
  <c r="BD604" i="3"/>
  <c r="BD603" i="3"/>
  <c r="BD602" i="3"/>
  <c r="BD601" i="3"/>
  <c r="BD600" i="3"/>
  <c r="BD599" i="3"/>
  <c r="BD598" i="3"/>
  <c r="BD597" i="3"/>
  <c r="BD596" i="3"/>
  <c r="BD595" i="3"/>
  <c r="BD594" i="3"/>
  <c r="BD593" i="3"/>
  <c r="BD592" i="3"/>
  <c r="BD591" i="3"/>
  <c r="BD590" i="3"/>
  <c r="BD589" i="3"/>
  <c r="BD588" i="3"/>
  <c r="BD587" i="3"/>
  <c r="BD586" i="3"/>
  <c r="BD585" i="3"/>
  <c r="BD584" i="3"/>
  <c r="BD583" i="3"/>
  <c r="BD582" i="3"/>
  <c r="BD581" i="3"/>
  <c r="BD580" i="3"/>
  <c r="BD579" i="3"/>
  <c r="BD578" i="3"/>
  <c r="BD577" i="3"/>
  <c r="BD576" i="3"/>
  <c r="BD575" i="3"/>
  <c r="BD574" i="3"/>
  <c r="BD573" i="3"/>
  <c r="BD572" i="3"/>
  <c r="BD571" i="3"/>
  <c r="BD570" i="3"/>
  <c r="BD569" i="3"/>
  <c r="BD568" i="3"/>
  <c r="BD567" i="3"/>
  <c r="BD566" i="3"/>
  <c r="BD565" i="3"/>
  <c r="BD564" i="3"/>
  <c r="BD563" i="3"/>
  <c r="BD562" i="3"/>
  <c r="BD561" i="3"/>
  <c r="BD560" i="3"/>
  <c r="BD559" i="3"/>
  <c r="BD558" i="3"/>
  <c r="BD557" i="3"/>
  <c r="BD556" i="3"/>
  <c r="BD555" i="3"/>
  <c r="BD554" i="3"/>
  <c r="BD553" i="3"/>
  <c r="BD552" i="3"/>
  <c r="BD551" i="3"/>
  <c r="BD550" i="3"/>
  <c r="BD549" i="3"/>
  <c r="BD548" i="3"/>
  <c r="BD547" i="3"/>
  <c r="BD546" i="3"/>
  <c r="BD545" i="3"/>
  <c r="BD544" i="3"/>
  <c r="BD543" i="3"/>
  <c r="BD542" i="3"/>
  <c r="BD541" i="3"/>
  <c r="BD540" i="3"/>
  <c r="BD539" i="3"/>
  <c r="BD538" i="3"/>
  <c r="BD537" i="3"/>
  <c r="BD536" i="3"/>
  <c r="BD535" i="3"/>
  <c r="BD534" i="3"/>
  <c r="BD533" i="3"/>
  <c r="BD532" i="3"/>
  <c r="BD531" i="3"/>
  <c r="BD530" i="3"/>
  <c r="BD529" i="3"/>
  <c r="BD528" i="3"/>
  <c r="BD527" i="3"/>
  <c r="BD526" i="3"/>
  <c r="BD525" i="3"/>
  <c r="BD524" i="3"/>
  <c r="BD523" i="3"/>
  <c r="BD522" i="3"/>
  <c r="BD521" i="3"/>
  <c r="BD520" i="3"/>
  <c r="BD519" i="3"/>
  <c r="BD518" i="3"/>
  <c r="BD517" i="3"/>
  <c r="BD516" i="3"/>
  <c r="BD515" i="3"/>
  <c r="BD514" i="3"/>
  <c r="BD513" i="3"/>
  <c r="BD512" i="3"/>
  <c r="BD511" i="3"/>
  <c r="BD510" i="3"/>
  <c r="BD509" i="3"/>
  <c r="BD508" i="3"/>
  <c r="BD507" i="3"/>
  <c r="BD506" i="3"/>
  <c r="BD505" i="3"/>
  <c r="BD504" i="3"/>
  <c r="BD503" i="3"/>
  <c r="BD502" i="3"/>
  <c r="BD501" i="3"/>
  <c r="BD500" i="3"/>
  <c r="BD499" i="3"/>
  <c r="BD498" i="3"/>
  <c r="BD497" i="3"/>
  <c r="BD496" i="3"/>
  <c r="BD495" i="3"/>
  <c r="BD494" i="3"/>
  <c r="BD493" i="3"/>
  <c r="BD492" i="3"/>
  <c r="BD491" i="3"/>
  <c r="BD490" i="3"/>
  <c r="BD489" i="3"/>
  <c r="BD488" i="3"/>
  <c r="BD487" i="3"/>
  <c r="BD486" i="3"/>
  <c r="BD485" i="3"/>
  <c r="BD484" i="3"/>
  <c r="BD483" i="3"/>
  <c r="BD482" i="3"/>
  <c r="BD481" i="3"/>
  <c r="BD480" i="3"/>
  <c r="BD479" i="3"/>
  <c r="BD478" i="3"/>
  <c r="BD477" i="3"/>
  <c r="BD476" i="3"/>
  <c r="BD475" i="3"/>
  <c r="BD474" i="3"/>
  <c r="BD473" i="3"/>
  <c r="BD472" i="3"/>
  <c r="BD471" i="3"/>
  <c r="BD470" i="3"/>
  <c r="BD469" i="3"/>
  <c r="BD468" i="3"/>
  <c r="BD467" i="3"/>
  <c r="BD466" i="3"/>
  <c r="BD465" i="3"/>
  <c r="BD464" i="3"/>
  <c r="BD463" i="3"/>
  <c r="BD462" i="3"/>
  <c r="BD461" i="3"/>
  <c r="BD460" i="3"/>
  <c r="BD459" i="3"/>
  <c r="BD458" i="3"/>
  <c r="BD457" i="3"/>
  <c r="BD456" i="3"/>
  <c r="BD455" i="3"/>
  <c r="BD454" i="3"/>
  <c r="BD453" i="3"/>
  <c r="BD452" i="3"/>
  <c r="BD451" i="3"/>
  <c r="BD450" i="3"/>
  <c r="BD449" i="3"/>
  <c r="BD448" i="3"/>
  <c r="BD447" i="3"/>
  <c r="BD446" i="3"/>
  <c r="BD445" i="3"/>
  <c r="BD444" i="3"/>
  <c r="BD443" i="3"/>
  <c r="BD442" i="3"/>
  <c r="BD441" i="3"/>
  <c r="BD440" i="3"/>
  <c r="BD439" i="3"/>
  <c r="BD438" i="3"/>
  <c r="BD437" i="3"/>
  <c r="BD436" i="3"/>
  <c r="BD435" i="3"/>
  <c r="BD434" i="3"/>
  <c r="BD433" i="3"/>
  <c r="BD432" i="3"/>
  <c r="BD431" i="3"/>
  <c r="BD430" i="3"/>
  <c r="BD429" i="3"/>
  <c r="BD428" i="3"/>
  <c r="BD427" i="3"/>
  <c r="BD426" i="3"/>
  <c r="BD425" i="3"/>
  <c r="BD424" i="3"/>
  <c r="BD423" i="3"/>
  <c r="BD422" i="3"/>
  <c r="BD421" i="3"/>
  <c r="BD420" i="3"/>
  <c r="BD419" i="3"/>
  <c r="BD418" i="3"/>
  <c r="BD417" i="3"/>
  <c r="BD416" i="3"/>
  <c r="BD415" i="3"/>
  <c r="BD414" i="3"/>
  <c r="BD413" i="3"/>
  <c r="BD412" i="3"/>
  <c r="BD411" i="3"/>
  <c r="BD410" i="3"/>
  <c r="BD409" i="3"/>
  <c r="BD408" i="3"/>
  <c r="BD407" i="3"/>
  <c r="BD406" i="3"/>
  <c r="BD405" i="3"/>
  <c r="BD404" i="3"/>
  <c r="BD403" i="3"/>
  <c r="BD402" i="3"/>
  <c r="BD401" i="3"/>
  <c r="BD400" i="3"/>
  <c r="BD399" i="3"/>
  <c r="BD398" i="3"/>
  <c r="BD397" i="3"/>
  <c r="BD396" i="3"/>
  <c r="BD395" i="3"/>
  <c r="BD394" i="3"/>
  <c r="BD393" i="3"/>
  <c r="BD392" i="3"/>
  <c r="BD391" i="3"/>
  <c r="BD390" i="3"/>
  <c r="BD389" i="3"/>
  <c r="BD388" i="3"/>
  <c r="BD387" i="3"/>
  <c r="BD386" i="3"/>
  <c r="BD385" i="3"/>
  <c r="BD384" i="3"/>
  <c r="BD383" i="3"/>
  <c r="BD382" i="3"/>
  <c r="BD381" i="3"/>
  <c r="BD380" i="3"/>
  <c r="BD379" i="3"/>
  <c r="BD378" i="3"/>
  <c r="BD377" i="3"/>
  <c r="BD376" i="3"/>
  <c r="BD375" i="3"/>
  <c r="BD374" i="3"/>
  <c r="BD373" i="3"/>
  <c r="BD372" i="3"/>
  <c r="BD371" i="3"/>
  <c r="BD370" i="3"/>
  <c r="BD369" i="3"/>
  <c r="BD368" i="3"/>
  <c r="BD367" i="3"/>
  <c r="BD366" i="3"/>
  <c r="BD365" i="3"/>
  <c r="BD364" i="3"/>
  <c r="BD363" i="3"/>
  <c r="BD362" i="3"/>
  <c r="BD361" i="3"/>
  <c r="BD360" i="3"/>
  <c r="BD359" i="3"/>
  <c r="BD358" i="3"/>
  <c r="BD357" i="3"/>
  <c r="BD356" i="3"/>
  <c r="BD355" i="3"/>
  <c r="BD354" i="3"/>
  <c r="BD353" i="3"/>
  <c r="BD352" i="3"/>
  <c r="BD351" i="3"/>
  <c r="BD350" i="3"/>
  <c r="BD349" i="3"/>
  <c r="BD348" i="3"/>
  <c r="BD347" i="3"/>
  <c r="BD346" i="3"/>
  <c r="BD345" i="3"/>
  <c r="BD344" i="3"/>
  <c r="BD343" i="3"/>
  <c r="BD342" i="3"/>
  <c r="BD341" i="3"/>
  <c r="BD340" i="3"/>
  <c r="BD339" i="3"/>
  <c r="BD338" i="3"/>
  <c r="BD337" i="3"/>
  <c r="BD336" i="3"/>
  <c r="BD335" i="3"/>
  <c r="BD334" i="3"/>
  <c r="BD333" i="3"/>
  <c r="BD332" i="3"/>
  <c r="BD331" i="3"/>
  <c r="BD330" i="3"/>
  <c r="BD329" i="3"/>
  <c r="BD328" i="3"/>
  <c r="BD327" i="3"/>
  <c r="BD326" i="3"/>
  <c r="BD325" i="3"/>
  <c r="BD324" i="3"/>
  <c r="BD323" i="3"/>
  <c r="BD322" i="3"/>
  <c r="BD321" i="3"/>
  <c r="BD320" i="3"/>
  <c r="BD319" i="3"/>
  <c r="BD318" i="3"/>
  <c r="BD317" i="3"/>
  <c r="BD316" i="3"/>
  <c r="BD315" i="3"/>
  <c r="BD314" i="3"/>
  <c r="BD313" i="3"/>
  <c r="BD312" i="3"/>
  <c r="BD311" i="3"/>
  <c r="BD310" i="3"/>
  <c r="BD309" i="3"/>
  <c r="BD308" i="3"/>
  <c r="BD307" i="3"/>
  <c r="BD306" i="3"/>
  <c r="BD305" i="3"/>
  <c r="BD304" i="3"/>
  <c r="BD303" i="3"/>
  <c r="BD302" i="3"/>
  <c r="BD301" i="3"/>
  <c r="BD300" i="3"/>
  <c r="BD299" i="3"/>
  <c r="BD298" i="3"/>
  <c r="BD297" i="3"/>
  <c r="BD296" i="3"/>
  <c r="BD295" i="3"/>
  <c r="BD294" i="3"/>
  <c r="BD293" i="3"/>
  <c r="BD292" i="3"/>
  <c r="BD291" i="3"/>
  <c r="BD290" i="3"/>
  <c r="BD289" i="3"/>
  <c r="BD288" i="3"/>
  <c r="BD287" i="3"/>
  <c r="BD286" i="3"/>
  <c r="BD285" i="3"/>
  <c r="BD284" i="3"/>
  <c r="BD283" i="3"/>
  <c r="BD282" i="3"/>
  <c r="BD281" i="3"/>
  <c r="BD280" i="3"/>
  <c r="BD279" i="3"/>
  <c r="BD278" i="3"/>
  <c r="BD277" i="3"/>
  <c r="BD276" i="3"/>
  <c r="BD275" i="3"/>
  <c r="BD274" i="3"/>
  <c r="BD273" i="3"/>
  <c r="BD272" i="3"/>
  <c r="BD271" i="3"/>
  <c r="BD270" i="3"/>
  <c r="BD269" i="3"/>
  <c r="BD268" i="3"/>
  <c r="BD267" i="3"/>
  <c r="BD266" i="3"/>
  <c r="BD265" i="3"/>
  <c r="BD264" i="3"/>
  <c r="BD263" i="3"/>
  <c r="BD262" i="3"/>
  <c r="BD261" i="3"/>
  <c r="BD260" i="3"/>
  <c r="BD259" i="3"/>
  <c r="BD258" i="3"/>
  <c r="BD257" i="3"/>
  <c r="BD256" i="3"/>
  <c r="BD255" i="3"/>
  <c r="BD254" i="3"/>
  <c r="BD253" i="3"/>
  <c r="BD252" i="3"/>
  <c r="BD251" i="3"/>
  <c r="BD250" i="3"/>
  <c r="BD249" i="3"/>
  <c r="BD248" i="3"/>
  <c r="BD247" i="3"/>
  <c r="BD246" i="3"/>
  <c r="BD245" i="3"/>
  <c r="BD244" i="3"/>
  <c r="BD243" i="3"/>
  <c r="BD242" i="3"/>
  <c r="BD241" i="3"/>
  <c r="BD240" i="3"/>
  <c r="BD239" i="3"/>
  <c r="BD238" i="3"/>
  <c r="BD237" i="3"/>
  <c r="BD236" i="3"/>
  <c r="BD235" i="3"/>
  <c r="BD234" i="3"/>
  <c r="BD233" i="3"/>
  <c r="BD232" i="3"/>
  <c r="BD231" i="3"/>
  <c r="BD230" i="3"/>
  <c r="BD229" i="3"/>
  <c r="BD228" i="3"/>
  <c r="BD227" i="3"/>
  <c r="BD226" i="3"/>
  <c r="BD225" i="3"/>
  <c r="BD224" i="3"/>
  <c r="BD223" i="3"/>
  <c r="BD222" i="3"/>
  <c r="BD221" i="3"/>
  <c r="BD220" i="3"/>
  <c r="BD219" i="3"/>
  <c r="BD218" i="3"/>
  <c r="BD217" i="3"/>
  <c r="BD216" i="3"/>
  <c r="BD215" i="3"/>
  <c r="BD214" i="3"/>
  <c r="BD213" i="3"/>
  <c r="BD212" i="3"/>
  <c r="BD211" i="3"/>
  <c r="BD210" i="3"/>
  <c r="BD209" i="3"/>
  <c r="BD208" i="3"/>
  <c r="BD207" i="3"/>
  <c r="BD206" i="3"/>
  <c r="BD205" i="3"/>
  <c r="BD204" i="3"/>
  <c r="BD203" i="3"/>
  <c r="BD202" i="3"/>
  <c r="BD201" i="3"/>
  <c r="BD200" i="3"/>
  <c r="BD199" i="3"/>
  <c r="BD198" i="3"/>
  <c r="BD197" i="3"/>
  <c r="BD196" i="3"/>
  <c r="BD195" i="3"/>
  <c r="BD194" i="3"/>
  <c r="BD193" i="3"/>
  <c r="BD192" i="3"/>
  <c r="BD191" i="3"/>
  <c r="BD190" i="3"/>
  <c r="BD189" i="3"/>
  <c r="BD188" i="3"/>
  <c r="BD187" i="3"/>
  <c r="BD186" i="3"/>
  <c r="BD185" i="3"/>
  <c r="BD184" i="3"/>
  <c r="BD183" i="3"/>
  <c r="BD182" i="3"/>
  <c r="BD181" i="3"/>
  <c r="BD180" i="3"/>
  <c r="BD179" i="3"/>
  <c r="BD178" i="3"/>
  <c r="BD177" i="3"/>
  <c r="BD176" i="3"/>
  <c r="BD175" i="3"/>
  <c r="BD174" i="3"/>
  <c r="BD173" i="3"/>
  <c r="BD172" i="3"/>
  <c r="BD171" i="3"/>
  <c r="BD170" i="3"/>
  <c r="BD169" i="3"/>
  <c r="BD168" i="3"/>
  <c r="BD167" i="3"/>
  <c r="BD166" i="3"/>
  <c r="BD165" i="3"/>
  <c r="BD164" i="3"/>
  <c r="BD163" i="3"/>
  <c r="BD162" i="3"/>
  <c r="BD161" i="3"/>
  <c r="BD160" i="3"/>
  <c r="BD159" i="3"/>
  <c r="BD158" i="3"/>
  <c r="BD157" i="3"/>
  <c r="BD156" i="3"/>
  <c r="BD155" i="3"/>
  <c r="BD154" i="3"/>
  <c r="BD153" i="3"/>
  <c r="BD152" i="3"/>
  <c r="BD151" i="3"/>
  <c r="BD150" i="3"/>
  <c r="BD149" i="3"/>
  <c r="BD148" i="3"/>
  <c r="BD147" i="3"/>
  <c r="BD146" i="3"/>
  <c r="BD145" i="3"/>
  <c r="BD144" i="3"/>
  <c r="BD143" i="3"/>
  <c r="BD142" i="3"/>
  <c r="BD141" i="3"/>
  <c r="BD140" i="3"/>
  <c r="BD139" i="3"/>
  <c r="BD138" i="3"/>
  <c r="BD137" i="3"/>
  <c r="BD136" i="3"/>
  <c r="BD135" i="3"/>
  <c r="BD134" i="3"/>
  <c r="BD133" i="3"/>
  <c r="BD132" i="3"/>
  <c r="BD131" i="3"/>
  <c r="BD130" i="3"/>
  <c r="BD129" i="3"/>
  <c r="BD128" i="3"/>
  <c r="BD127" i="3"/>
  <c r="BD126" i="3"/>
  <c r="BD125" i="3"/>
  <c r="BD124" i="3"/>
  <c r="BD123" i="3"/>
  <c r="BD122" i="3"/>
  <c r="BD121" i="3"/>
  <c r="BD120" i="3"/>
  <c r="BD119" i="3"/>
  <c r="BD118" i="3"/>
  <c r="BD117" i="3"/>
  <c r="BD116" i="3"/>
  <c r="BD115" i="3"/>
  <c r="BD114" i="3"/>
  <c r="BD113" i="3"/>
  <c r="BD112" i="3"/>
  <c r="BD111" i="3"/>
  <c r="BD110" i="3"/>
  <c r="BD109" i="3"/>
  <c r="BD108" i="3"/>
  <c r="BD107" i="3"/>
  <c r="BD106" i="3"/>
  <c r="BD105" i="3"/>
  <c r="BD104" i="3"/>
  <c r="BD103" i="3"/>
  <c r="BD102" i="3"/>
  <c r="BD101" i="3"/>
  <c r="BD100" i="3"/>
  <c r="BD99" i="3"/>
  <c r="BD98" i="3"/>
  <c r="BD97" i="3"/>
  <c r="BD96" i="3"/>
  <c r="BD95" i="3"/>
  <c r="BD94" i="3"/>
  <c r="BD93" i="3"/>
  <c r="BD92" i="3"/>
  <c r="BD91" i="3"/>
  <c r="BD90" i="3"/>
  <c r="BD89" i="3"/>
  <c r="BD88" i="3"/>
  <c r="BD87" i="3"/>
  <c r="BD86" i="3"/>
  <c r="BD85" i="3"/>
  <c r="BD84" i="3"/>
  <c r="BD83" i="3"/>
  <c r="BD82" i="3"/>
  <c r="BD81" i="3"/>
  <c r="BD80" i="3"/>
  <c r="BD79" i="3"/>
  <c r="BD78" i="3"/>
  <c r="BD77" i="3"/>
  <c r="BD76" i="3"/>
  <c r="BD75" i="3"/>
  <c r="BD74" i="3"/>
  <c r="BD73" i="3"/>
  <c r="BD72" i="3"/>
  <c r="BD71" i="3"/>
  <c r="BD70" i="3"/>
  <c r="BD69" i="3"/>
  <c r="BD68" i="3"/>
  <c r="BD67" i="3"/>
  <c r="BD66" i="3"/>
  <c r="BD65" i="3"/>
  <c r="BD64" i="3"/>
  <c r="BD63" i="3"/>
  <c r="BD35" i="3"/>
  <c r="BD33" i="3"/>
  <c r="BD31" i="3"/>
  <c r="BD29" i="3"/>
  <c r="BD27" i="3"/>
  <c r="BD25" i="3"/>
  <c r="BD23" i="3"/>
  <c r="BD21" i="3"/>
  <c r="BD19" i="3"/>
  <c r="BD5" i="21398"/>
  <c r="AZ21" i="21398" l="1"/>
  <c r="AZ21" i="2"/>
  <c r="AY44" i="21399"/>
  <c r="M44" i="21399"/>
  <c r="C32" i="21400"/>
  <c r="AW30" i="21400"/>
  <c r="AX30" i="21400"/>
  <c r="AY30" i="21400" s="1"/>
  <c r="BA30" i="21400" s="1"/>
  <c r="F30" i="21400"/>
  <c r="AZ28" i="21400"/>
  <c r="BB28" i="21400" s="1"/>
  <c r="AY28" i="21400"/>
  <c r="BA28" i="21400" s="1"/>
  <c r="C48" i="21399"/>
  <c r="AX46" i="21399"/>
  <c r="AW46" i="21399"/>
  <c r="F46" i="21399"/>
  <c r="AW28" i="3"/>
  <c r="AX28" i="3"/>
  <c r="AY28" i="3" s="1"/>
  <c r="BA28" i="3" s="1"/>
  <c r="C30" i="3"/>
  <c r="AX26" i="108"/>
  <c r="AY26" i="108" s="1"/>
  <c r="BA26" i="108" s="1"/>
  <c r="AW26" i="108"/>
  <c r="C28" i="108"/>
  <c r="M22" i="21398"/>
  <c r="BC22" i="21398" s="1"/>
  <c r="AY22" i="21398"/>
  <c r="AX24" i="21398"/>
  <c r="AW24" i="21398"/>
  <c r="J25" i="21398"/>
  <c r="C26" i="21398"/>
  <c r="AX25" i="2"/>
  <c r="AW25" i="2"/>
  <c r="AY22" i="2"/>
  <c r="BA22" i="2" s="1"/>
  <c r="M22" i="2"/>
  <c r="BC22" i="2" s="1"/>
  <c r="C28" i="2"/>
  <c r="AX26" i="2"/>
  <c r="AW26" i="2"/>
  <c r="AW24" i="2"/>
  <c r="AX24" i="2"/>
  <c r="AZ800" i="3"/>
  <c r="BB800" i="3" s="1"/>
  <c r="AY800" i="3"/>
  <c r="BA800" i="3" s="1"/>
  <c r="AX800" i="3"/>
  <c r="AW800" i="3"/>
  <c r="AC800" i="3"/>
  <c r="M800" i="3"/>
  <c r="BC800" i="3" s="1"/>
  <c r="AZ799" i="3"/>
  <c r="BB799" i="3" s="1"/>
  <c r="AY799" i="3"/>
  <c r="BA799" i="3" s="1"/>
  <c r="AX799" i="3"/>
  <c r="AW799" i="3"/>
  <c r="AC799" i="3"/>
  <c r="M799" i="3"/>
  <c r="BC799" i="3" s="1"/>
  <c r="AZ798" i="3"/>
  <c r="BB798" i="3" s="1"/>
  <c r="AY798" i="3"/>
  <c r="BA798" i="3" s="1"/>
  <c r="AX798" i="3"/>
  <c r="AW798" i="3"/>
  <c r="AC798" i="3"/>
  <c r="M798" i="3"/>
  <c r="BC798" i="3" s="1"/>
  <c r="AZ797" i="3"/>
  <c r="BB797" i="3" s="1"/>
  <c r="AY797" i="3"/>
  <c r="BA797" i="3" s="1"/>
  <c r="AX797" i="3"/>
  <c r="AW797" i="3"/>
  <c r="AC797" i="3"/>
  <c r="M797" i="3"/>
  <c r="BC797" i="3" s="1"/>
  <c r="AZ796" i="3"/>
  <c r="BB796" i="3" s="1"/>
  <c r="AY796" i="3"/>
  <c r="BA796" i="3" s="1"/>
  <c r="AX796" i="3"/>
  <c r="AW796" i="3"/>
  <c r="AC796" i="3"/>
  <c r="M796" i="3"/>
  <c r="BC796" i="3" s="1"/>
  <c r="AZ795" i="3"/>
  <c r="BB795" i="3" s="1"/>
  <c r="AY795" i="3"/>
  <c r="BA795" i="3" s="1"/>
  <c r="AX795" i="3"/>
  <c r="AW795" i="3"/>
  <c r="AC795" i="3"/>
  <c r="M795" i="3"/>
  <c r="BC795" i="3" s="1"/>
  <c r="AZ794" i="3"/>
  <c r="BB794" i="3" s="1"/>
  <c r="AY794" i="3"/>
  <c r="BA794" i="3" s="1"/>
  <c r="AX794" i="3"/>
  <c r="AW794" i="3"/>
  <c r="AC794" i="3"/>
  <c r="M794" i="3"/>
  <c r="BC794" i="3" s="1"/>
  <c r="AZ793" i="3"/>
  <c r="BB793" i="3" s="1"/>
  <c r="AY793" i="3"/>
  <c r="BA793" i="3" s="1"/>
  <c r="AX793" i="3"/>
  <c r="AW793" i="3"/>
  <c r="AC793" i="3"/>
  <c r="M793" i="3"/>
  <c r="BC793" i="3" s="1"/>
  <c r="AZ792" i="3"/>
  <c r="BB792" i="3" s="1"/>
  <c r="AY792" i="3"/>
  <c r="BA792" i="3" s="1"/>
  <c r="AX792" i="3"/>
  <c r="AW792" i="3"/>
  <c r="AC792" i="3"/>
  <c r="M792" i="3"/>
  <c r="BC792" i="3" s="1"/>
  <c r="AZ791" i="3"/>
  <c r="BB791" i="3" s="1"/>
  <c r="AY791" i="3"/>
  <c r="BA791" i="3" s="1"/>
  <c r="AX791" i="3"/>
  <c r="AW791" i="3"/>
  <c r="AC791" i="3"/>
  <c r="M791" i="3"/>
  <c r="BC791" i="3" s="1"/>
  <c r="AZ790" i="3"/>
  <c r="BB790" i="3" s="1"/>
  <c r="AY790" i="3"/>
  <c r="BA790" i="3" s="1"/>
  <c r="AX790" i="3"/>
  <c r="AW790" i="3"/>
  <c r="AC790" i="3"/>
  <c r="M790" i="3"/>
  <c r="BC790" i="3" s="1"/>
  <c r="AZ789" i="3"/>
  <c r="BB789" i="3" s="1"/>
  <c r="AY789" i="3"/>
  <c r="BA789" i="3" s="1"/>
  <c r="AX789" i="3"/>
  <c r="AW789" i="3"/>
  <c r="AC789" i="3"/>
  <c r="M789" i="3"/>
  <c r="BC789" i="3" s="1"/>
  <c r="AZ788" i="3"/>
  <c r="BB788" i="3" s="1"/>
  <c r="AY788" i="3"/>
  <c r="BA788" i="3" s="1"/>
  <c r="AX788" i="3"/>
  <c r="AW788" i="3"/>
  <c r="AC788" i="3"/>
  <c r="M788" i="3"/>
  <c r="BC788" i="3" s="1"/>
  <c r="AZ787" i="3"/>
  <c r="BB787" i="3" s="1"/>
  <c r="AY787" i="3"/>
  <c r="BA787" i="3" s="1"/>
  <c r="AX787" i="3"/>
  <c r="AW787" i="3"/>
  <c r="AC787" i="3"/>
  <c r="M787" i="3"/>
  <c r="BC787" i="3" s="1"/>
  <c r="AZ786" i="3"/>
  <c r="BB786" i="3" s="1"/>
  <c r="AY786" i="3"/>
  <c r="BA786" i="3" s="1"/>
  <c r="AX786" i="3"/>
  <c r="AW786" i="3"/>
  <c r="AC786" i="3"/>
  <c r="M786" i="3"/>
  <c r="BC786" i="3" s="1"/>
  <c r="AZ785" i="3"/>
  <c r="BB785" i="3" s="1"/>
  <c r="AY785" i="3"/>
  <c r="BA785" i="3" s="1"/>
  <c r="AX785" i="3"/>
  <c r="AW785" i="3"/>
  <c r="AC785" i="3"/>
  <c r="M785" i="3"/>
  <c r="BC785" i="3" s="1"/>
  <c r="AZ784" i="3"/>
  <c r="BB784" i="3" s="1"/>
  <c r="AY784" i="3"/>
  <c r="BA784" i="3" s="1"/>
  <c r="AX784" i="3"/>
  <c r="AW784" i="3"/>
  <c r="AC784" i="3"/>
  <c r="M784" i="3"/>
  <c r="BC784" i="3" s="1"/>
  <c r="AZ783" i="3"/>
  <c r="BB783" i="3" s="1"/>
  <c r="AY783" i="3"/>
  <c r="BA783" i="3" s="1"/>
  <c r="AX783" i="3"/>
  <c r="AW783" i="3"/>
  <c r="AC783" i="3"/>
  <c r="M783" i="3"/>
  <c r="BC783" i="3" s="1"/>
  <c r="AZ782" i="3"/>
  <c r="BB782" i="3" s="1"/>
  <c r="AY782" i="3"/>
  <c r="BA782" i="3" s="1"/>
  <c r="AX782" i="3"/>
  <c r="AW782" i="3"/>
  <c r="AC782" i="3"/>
  <c r="M782" i="3"/>
  <c r="BC782" i="3" s="1"/>
  <c r="AZ781" i="3"/>
  <c r="BB781" i="3" s="1"/>
  <c r="AY781" i="3"/>
  <c r="BA781" i="3" s="1"/>
  <c r="AX781" i="3"/>
  <c r="AW781" i="3"/>
  <c r="AC781" i="3"/>
  <c r="M781" i="3"/>
  <c r="BC781" i="3" s="1"/>
  <c r="AZ780" i="3"/>
  <c r="BB780" i="3" s="1"/>
  <c r="AY780" i="3"/>
  <c r="BA780" i="3" s="1"/>
  <c r="AX780" i="3"/>
  <c r="AW780" i="3"/>
  <c r="AC780" i="3"/>
  <c r="M780" i="3"/>
  <c r="BC780" i="3" s="1"/>
  <c r="AZ779" i="3"/>
  <c r="BB779" i="3" s="1"/>
  <c r="AY779" i="3"/>
  <c r="BA779" i="3" s="1"/>
  <c r="AX779" i="3"/>
  <c r="AW779" i="3"/>
  <c r="AC779" i="3"/>
  <c r="M779" i="3"/>
  <c r="BC779" i="3" s="1"/>
  <c r="AZ778" i="3"/>
  <c r="BB778" i="3" s="1"/>
  <c r="AY778" i="3"/>
  <c r="BA778" i="3" s="1"/>
  <c r="AX778" i="3"/>
  <c r="AW778" i="3"/>
  <c r="AC778" i="3"/>
  <c r="M778" i="3"/>
  <c r="BC778" i="3" s="1"/>
  <c r="AZ777" i="3"/>
  <c r="BB777" i="3" s="1"/>
  <c r="AY777" i="3"/>
  <c r="BA777" i="3" s="1"/>
  <c r="AX777" i="3"/>
  <c r="AW777" i="3"/>
  <c r="AC777" i="3"/>
  <c r="M777" i="3"/>
  <c r="BC777" i="3" s="1"/>
  <c r="AZ776" i="3"/>
  <c r="BB776" i="3" s="1"/>
  <c r="AY776" i="3"/>
  <c r="BA776" i="3" s="1"/>
  <c r="AX776" i="3"/>
  <c r="AW776" i="3"/>
  <c r="AC776" i="3"/>
  <c r="M776" i="3"/>
  <c r="BC776" i="3" s="1"/>
  <c r="AZ775" i="3"/>
  <c r="BB775" i="3" s="1"/>
  <c r="AY775" i="3"/>
  <c r="BA775" i="3" s="1"/>
  <c r="AX775" i="3"/>
  <c r="AW775" i="3"/>
  <c r="AC775" i="3"/>
  <c r="M775" i="3"/>
  <c r="BC775" i="3" s="1"/>
  <c r="AZ774" i="3"/>
  <c r="BB774" i="3" s="1"/>
  <c r="AY774" i="3"/>
  <c r="BA774" i="3" s="1"/>
  <c r="AX774" i="3"/>
  <c r="AW774" i="3"/>
  <c r="AC774" i="3"/>
  <c r="M774" i="3"/>
  <c r="BC774" i="3" s="1"/>
  <c r="AZ773" i="3"/>
  <c r="BB773" i="3" s="1"/>
  <c r="AY773" i="3"/>
  <c r="BA773" i="3" s="1"/>
  <c r="AX773" i="3"/>
  <c r="AW773" i="3"/>
  <c r="AC773" i="3"/>
  <c r="M773" i="3"/>
  <c r="BC773" i="3" s="1"/>
  <c r="AZ772" i="3"/>
  <c r="BB772" i="3" s="1"/>
  <c r="AY772" i="3"/>
  <c r="BA772" i="3" s="1"/>
  <c r="AX772" i="3"/>
  <c r="AW772" i="3"/>
  <c r="AC772" i="3"/>
  <c r="M772" i="3"/>
  <c r="BC772" i="3" s="1"/>
  <c r="AZ771" i="3"/>
  <c r="BB771" i="3" s="1"/>
  <c r="AY771" i="3"/>
  <c r="BA771" i="3" s="1"/>
  <c r="AX771" i="3"/>
  <c r="AW771" i="3"/>
  <c r="AC771" i="3"/>
  <c r="M771" i="3"/>
  <c r="BC771" i="3" s="1"/>
  <c r="AZ770" i="3"/>
  <c r="BB770" i="3" s="1"/>
  <c r="AY770" i="3"/>
  <c r="BA770" i="3" s="1"/>
  <c r="AX770" i="3"/>
  <c r="AW770" i="3"/>
  <c r="AC770" i="3"/>
  <c r="M770" i="3"/>
  <c r="BC770" i="3" s="1"/>
  <c r="AZ769" i="3"/>
  <c r="BB769" i="3" s="1"/>
  <c r="AY769" i="3"/>
  <c r="BA769" i="3" s="1"/>
  <c r="AX769" i="3"/>
  <c r="AW769" i="3"/>
  <c r="AC769" i="3"/>
  <c r="M769" i="3"/>
  <c r="BC769" i="3" s="1"/>
  <c r="AZ768" i="3"/>
  <c r="BB768" i="3" s="1"/>
  <c r="AY768" i="3"/>
  <c r="BA768" i="3" s="1"/>
  <c r="AX768" i="3"/>
  <c r="AW768" i="3"/>
  <c r="AC768" i="3"/>
  <c r="M768" i="3"/>
  <c r="BC768" i="3" s="1"/>
  <c r="AZ767" i="3"/>
  <c r="BB767" i="3" s="1"/>
  <c r="AY767" i="3"/>
  <c r="BA767" i="3" s="1"/>
  <c r="AX767" i="3"/>
  <c r="AW767" i="3"/>
  <c r="AC767" i="3"/>
  <c r="M767" i="3"/>
  <c r="BC767" i="3" s="1"/>
  <c r="AZ766" i="3"/>
  <c r="BB766" i="3" s="1"/>
  <c r="AY766" i="3"/>
  <c r="BA766" i="3" s="1"/>
  <c r="AX766" i="3"/>
  <c r="AW766" i="3"/>
  <c r="AC766" i="3"/>
  <c r="M766" i="3"/>
  <c r="BC766" i="3" s="1"/>
  <c r="AZ765" i="3"/>
  <c r="BB765" i="3" s="1"/>
  <c r="AY765" i="3"/>
  <c r="BA765" i="3" s="1"/>
  <c r="AX765" i="3"/>
  <c r="AW765" i="3"/>
  <c r="AC765" i="3"/>
  <c r="M765" i="3"/>
  <c r="BC765" i="3" s="1"/>
  <c r="AZ764" i="3"/>
  <c r="BB764" i="3" s="1"/>
  <c r="AY764" i="3"/>
  <c r="BA764" i="3" s="1"/>
  <c r="AX764" i="3"/>
  <c r="AW764" i="3"/>
  <c r="AC764" i="3"/>
  <c r="M764" i="3"/>
  <c r="BC764" i="3" s="1"/>
  <c r="AZ763" i="3"/>
  <c r="BB763" i="3" s="1"/>
  <c r="AY763" i="3"/>
  <c r="BA763" i="3" s="1"/>
  <c r="AX763" i="3"/>
  <c r="AW763" i="3"/>
  <c r="AC763" i="3"/>
  <c r="M763" i="3"/>
  <c r="BC763" i="3" s="1"/>
  <c r="AZ762" i="3"/>
  <c r="BB762" i="3" s="1"/>
  <c r="AY762" i="3"/>
  <c r="BA762" i="3" s="1"/>
  <c r="AX762" i="3"/>
  <c r="AW762" i="3"/>
  <c r="AC762" i="3"/>
  <c r="M762" i="3"/>
  <c r="BC762" i="3" s="1"/>
  <c r="AZ761" i="3"/>
  <c r="BB761" i="3" s="1"/>
  <c r="AY761" i="3"/>
  <c r="BA761" i="3" s="1"/>
  <c r="AX761" i="3"/>
  <c r="AW761" i="3"/>
  <c r="AC761" i="3"/>
  <c r="M761" i="3"/>
  <c r="BC761" i="3" s="1"/>
  <c r="AZ760" i="3"/>
  <c r="BB760" i="3" s="1"/>
  <c r="AY760" i="3"/>
  <c r="BA760" i="3" s="1"/>
  <c r="AX760" i="3"/>
  <c r="AW760" i="3"/>
  <c r="AC760" i="3"/>
  <c r="M760" i="3"/>
  <c r="BC760" i="3" s="1"/>
  <c r="AZ759" i="3"/>
  <c r="BB759" i="3" s="1"/>
  <c r="AY759" i="3"/>
  <c r="BA759" i="3" s="1"/>
  <c r="AX759" i="3"/>
  <c r="AW759" i="3"/>
  <c r="AC759" i="3"/>
  <c r="M759" i="3"/>
  <c r="BC759" i="3" s="1"/>
  <c r="AZ758" i="3"/>
  <c r="BB758" i="3" s="1"/>
  <c r="AY758" i="3"/>
  <c r="BA758" i="3" s="1"/>
  <c r="AX758" i="3"/>
  <c r="AW758" i="3"/>
  <c r="AC758" i="3"/>
  <c r="M758" i="3"/>
  <c r="BC758" i="3" s="1"/>
  <c r="AZ757" i="3"/>
  <c r="BB757" i="3" s="1"/>
  <c r="AY757" i="3"/>
  <c r="BA757" i="3" s="1"/>
  <c r="AX757" i="3"/>
  <c r="AW757" i="3"/>
  <c r="AC757" i="3"/>
  <c r="M757" i="3"/>
  <c r="BC757" i="3" s="1"/>
  <c r="AZ756" i="3"/>
  <c r="BB756" i="3" s="1"/>
  <c r="AY756" i="3"/>
  <c r="BA756" i="3" s="1"/>
  <c r="AX756" i="3"/>
  <c r="AW756" i="3"/>
  <c r="AC756" i="3"/>
  <c r="M756" i="3"/>
  <c r="BC756" i="3" s="1"/>
  <c r="AZ755" i="3"/>
  <c r="BB755" i="3" s="1"/>
  <c r="AY755" i="3"/>
  <c r="BA755" i="3" s="1"/>
  <c r="AX755" i="3"/>
  <c r="AW755" i="3"/>
  <c r="AC755" i="3"/>
  <c r="M755" i="3"/>
  <c r="BC755" i="3" s="1"/>
  <c r="AZ754" i="3"/>
  <c r="BB754" i="3" s="1"/>
  <c r="AY754" i="3"/>
  <c r="BA754" i="3" s="1"/>
  <c r="AX754" i="3"/>
  <c r="AW754" i="3"/>
  <c r="AC754" i="3"/>
  <c r="M754" i="3"/>
  <c r="BC754" i="3" s="1"/>
  <c r="AZ753" i="3"/>
  <c r="BB753" i="3" s="1"/>
  <c r="AY753" i="3"/>
  <c r="BA753" i="3" s="1"/>
  <c r="AX753" i="3"/>
  <c r="AW753" i="3"/>
  <c r="AC753" i="3"/>
  <c r="M753" i="3"/>
  <c r="BC753" i="3" s="1"/>
  <c r="AZ752" i="3"/>
  <c r="BB752" i="3" s="1"/>
  <c r="AY752" i="3"/>
  <c r="BA752" i="3" s="1"/>
  <c r="AX752" i="3"/>
  <c r="AW752" i="3"/>
  <c r="AC752" i="3"/>
  <c r="M752" i="3"/>
  <c r="BC752" i="3" s="1"/>
  <c r="AZ751" i="3"/>
  <c r="BB751" i="3" s="1"/>
  <c r="AY751" i="3"/>
  <c r="BA751" i="3" s="1"/>
  <c r="AX751" i="3"/>
  <c r="AW751" i="3"/>
  <c r="AC751" i="3"/>
  <c r="M751" i="3"/>
  <c r="BC751" i="3" s="1"/>
  <c r="AZ750" i="3"/>
  <c r="BB750" i="3" s="1"/>
  <c r="AY750" i="3"/>
  <c r="BA750" i="3" s="1"/>
  <c r="AX750" i="3"/>
  <c r="AW750" i="3"/>
  <c r="AC750" i="3"/>
  <c r="M750" i="3"/>
  <c r="BC750" i="3" s="1"/>
  <c r="AZ749" i="3"/>
  <c r="BB749" i="3" s="1"/>
  <c r="AY749" i="3"/>
  <c r="BA749" i="3" s="1"/>
  <c r="AX749" i="3"/>
  <c r="AW749" i="3"/>
  <c r="AC749" i="3"/>
  <c r="M749" i="3"/>
  <c r="BC749" i="3" s="1"/>
  <c r="AZ748" i="3"/>
  <c r="BB748" i="3" s="1"/>
  <c r="AY748" i="3"/>
  <c r="BA748" i="3" s="1"/>
  <c r="AX748" i="3"/>
  <c r="AW748" i="3"/>
  <c r="AC748" i="3"/>
  <c r="M748" i="3"/>
  <c r="BC748" i="3" s="1"/>
  <c r="AZ747" i="3"/>
  <c r="BB747" i="3" s="1"/>
  <c r="AY747" i="3"/>
  <c r="BA747" i="3" s="1"/>
  <c r="AX747" i="3"/>
  <c r="AW747" i="3"/>
  <c r="AC747" i="3"/>
  <c r="M747" i="3"/>
  <c r="BC747" i="3" s="1"/>
  <c r="AZ746" i="3"/>
  <c r="BB746" i="3" s="1"/>
  <c r="AY746" i="3"/>
  <c r="BA746" i="3" s="1"/>
  <c r="AX746" i="3"/>
  <c r="AW746" i="3"/>
  <c r="AC746" i="3"/>
  <c r="M746" i="3"/>
  <c r="BC746" i="3" s="1"/>
  <c r="AZ745" i="3"/>
  <c r="BB745" i="3" s="1"/>
  <c r="AY745" i="3"/>
  <c r="BA745" i="3" s="1"/>
  <c r="AX745" i="3"/>
  <c r="AW745" i="3"/>
  <c r="AC745" i="3"/>
  <c r="M745" i="3"/>
  <c r="BC745" i="3" s="1"/>
  <c r="AZ744" i="3"/>
  <c r="BB744" i="3" s="1"/>
  <c r="AY744" i="3"/>
  <c r="BA744" i="3" s="1"/>
  <c r="AX744" i="3"/>
  <c r="AW744" i="3"/>
  <c r="AC744" i="3"/>
  <c r="M744" i="3"/>
  <c r="BC744" i="3" s="1"/>
  <c r="AZ743" i="3"/>
  <c r="BB743" i="3" s="1"/>
  <c r="AY743" i="3"/>
  <c r="BA743" i="3" s="1"/>
  <c r="AX743" i="3"/>
  <c r="AW743" i="3"/>
  <c r="AC743" i="3"/>
  <c r="M743" i="3"/>
  <c r="BC743" i="3" s="1"/>
  <c r="AZ742" i="3"/>
  <c r="BB742" i="3" s="1"/>
  <c r="AY742" i="3"/>
  <c r="BA742" i="3" s="1"/>
  <c r="AX742" i="3"/>
  <c r="AW742" i="3"/>
  <c r="AC742" i="3"/>
  <c r="M742" i="3"/>
  <c r="BC742" i="3" s="1"/>
  <c r="AZ741" i="3"/>
  <c r="BB741" i="3" s="1"/>
  <c r="AY741" i="3"/>
  <c r="BA741" i="3" s="1"/>
  <c r="AX741" i="3"/>
  <c r="AW741" i="3"/>
  <c r="AC741" i="3"/>
  <c r="M741" i="3"/>
  <c r="BC741" i="3" s="1"/>
  <c r="AZ740" i="3"/>
  <c r="BB740" i="3" s="1"/>
  <c r="AY740" i="3"/>
  <c r="BA740" i="3" s="1"/>
  <c r="AX740" i="3"/>
  <c r="AW740" i="3"/>
  <c r="AC740" i="3"/>
  <c r="M740" i="3"/>
  <c r="BC740" i="3" s="1"/>
  <c r="AZ739" i="3"/>
  <c r="BB739" i="3" s="1"/>
  <c r="AY739" i="3"/>
  <c r="BA739" i="3" s="1"/>
  <c r="AX739" i="3"/>
  <c r="AW739" i="3"/>
  <c r="AC739" i="3"/>
  <c r="M739" i="3"/>
  <c r="BC739" i="3" s="1"/>
  <c r="AZ738" i="3"/>
  <c r="BB738" i="3" s="1"/>
  <c r="AY738" i="3"/>
  <c r="BA738" i="3" s="1"/>
  <c r="AX738" i="3"/>
  <c r="AW738" i="3"/>
  <c r="AC738" i="3"/>
  <c r="M738" i="3"/>
  <c r="BC738" i="3" s="1"/>
  <c r="AZ737" i="3"/>
  <c r="BB737" i="3" s="1"/>
  <c r="AY737" i="3"/>
  <c r="BA737" i="3" s="1"/>
  <c r="AX737" i="3"/>
  <c r="AW737" i="3"/>
  <c r="AC737" i="3"/>
  <c r="M737" i="3"/>
  <c r="BC737" i="3" s="1"/>
  <c r="AZ736" i="3"/>
  <c r="BB736" i="3" s="1"/>
  <c r="AY736" i="3"/>
  <c r="BA736" i="3" s="1"/>
  <c r="AX736" i="3"/>
  <c r="AW736" i="3"/>
  <c r="AC736" i="3"/>
  <c r="M736" i="3"/>
  <c r="BC736" i="3" s="1"/>
  <c r="AZ735" i="3"/>
  <c r="BB735" i="3" s="1"/>
  <c r="AY735" i="3"/>
  <c r="BA735" i="3" s="1"/>
  <c r="AX735" i="3"/>
  <c r="AW735" i="3"/>
  <c r="AC735" i="3"/>
  <c r="M735" i="3"/>
  <c r="BC735" i="3" s="1"/>
  <c r="AZ734" i="3"/>
  <c r="BB734" i="3" s="1"/>
  <c r="AY734" i="3"/>
  <c r="BA734" i="3" s="1"/>
  <c r="AX734" i="3"/>
  <c r="AW734" i="3"/>
  <c r="AC734" i="3"/>
  <c r="M734" i="3"/>
  <c r="BC734" i="3" s="1"/>
  <c r="AZ733" i="3"/>
  <c r="BB733" i="3" s="1"/>
  <c r="AY733" i="3"/>
  <c r="BA733" i="3" s="1"/>
  <c r="AX733" i="3"/>
  <c r="AW733" i="3"/>
  <c r="AC733" i="3"/>
  <c r="M733" i="3"/>
  <c r="BC733" i="3" s="1"/>
  <c r="AZ732" i="3"/>
  <c r="BB732" i="3" s="1"/>
  <c r="AY732" i="3"/>
  <c r="BA732" i="3" s="1"/>
  <c r="AX732" i="3"/>
  <c r="AW732" i="3"/>
  <c r="AC732" i="3"/>
  <c r="M732" i="3"/>
  <c r="BC732" i="3" s="1"/>
  <c r="AZ731" i="3"/>
  <c r="BB731" i="3" s="1"/>
  <c r="AY731" i="3"/>
  <c r="BA731" i="3" s="1"/>
  <c r="AX731" i="3"/>
  <c r="AW731" i="3"/>
  <c r="AC731" i="3"/>
  <c r="M731" i="3"/>
  <c r="BC731" i="3" s="1"/>
  <c r="AZ730" i="3"/>
  <c r="BB730" i="3" s="1"/>
  <c r="AY730" i="3"/>
  <c r="BA730" i="3" s="1"/>
  <c r="AX730" i="3"/>
  <c r="AW730" i="3"/>
  <c r="AC730" i="3"/>
  <c r="M730" i="3"/>
  <c r="BC730" i="3" s="1"/>
  <c r="AZ729" i="3"/>
  <c r="BB729" i="3" s="1"/>
  <c r="AY729" i="3"/>
  <c r="BA729" i="3" s="1"/>
  <c r="AX729" i="3"/>
  <c r="AW729" i="3"/>
  <c r="AC729" i="3"/>
  <c r="M729" i="3"/>
  <c r="BC729" i="3" s="1"/>
  <c r="AZ728" i="3"/>
  <c r="BB728" i="3" s="1"/>
  <c r="AY728" i="3"/>
  <c r="BA728" i="3" s="1"/>
  <c r="AX728" i="3"/>
  <c r="AW728" i="3"/>
  <c r="AC728" i="3"/>
  <c r="M728" i="3"/>
  <c r="BC728" i="3" s="1"/>
  <c r="AZ727" i="3"/>
  <c r="BB727" i="3" s="1"/>
  <c r="AY727" i="3"/>
  <c r="BA727" i="3" s="1"/>
  <c r="AX727" i="3"/>
  <c r="AW727" i="3"/>
  <c r="AC727" i="3"/>
  <c r="M727" i="3"/>
  <c r="BC727" i="3" s="1"/>
  <c r="AZ726" i="3"/>
  <c r="BB726" i="3" s="1"/>
  <c r="AY726" i="3"/>
  <c r="BA726" i="3" s="1"/>
  <c r="AX726" i="3"/>
  <c r="AW726" i="3"/>
  <c r="AC726" i="3"/>
  <c r="M726" i="3"/>
  <c r="BC726" i="3" s="1"/>
  <c r="AZ725" i="3"/>
  <c r="BB725" i="3" s="1"/>
  <c r="AY725" i="3"/>
  <c r="BA725" i="3" s="1"/>
  <c r="AX725" i="3"/>
  <c r="AW725" i="3"/>
  <c r="AC725" i="3"/>
  <c r="M725" i="3"/>
  <c r="BC725" i="3" s="1"/>
  <c r="AZ724" i="3"/>
  <c r="BB724" i="3" s="1"/>
  <c r="AY724" i="3"/>
  <c r="BA724" i="3" s="1"/>
  <c r="AX724" i="3"/>
  <c r="AW724" i="3"/>
  <c r="AC724" i="3"/>
  <c r="M724" i="3"/>
  <c r="BC724" i="3" s="1"/>
  <c r="AZ723" i="3"/>
  <c r="BB723" i="3" s="1"/>
  <c r="AY723" i="3"/>
  <c r="BA723" i="3" s="1"/>
  <c r="AX723" i="3"/>
  <c r="AW723" i="3"/>
  <c r="AC723" i="3"/>
  <c r="M723" i="3"/>
  <c r="BC723" i="3" s="1"/>
  <c r="AZ722" i="3"/>
  <c r="BB722" i="3" s="1"/>
  <c r="AY722" i="3"/>
  <c r="BA722" i="3" s="1"/>
  <c r="AX722" i="3"/>
  <c r="AW722" i="3"/>
  <c r="AC722" i="3"/>
  <c r="M722" i="3"/>
  <c r="BC722" i="3" s="1"/>
  <c r="AZ721" i="3"/>
  <c r="BB721" i="3" s="1"/>
  <c r="AY721" i="3"/>
  <c r="BA721" i="3" s="1"/>
  <c r="AX721" i="3"/>
  <c r="AW721" i="3"/>
  <c r="AC721" i="3"/>
  <c r="M721" i="3"/>
  <c r="BC721" i="3" s="1"/>
  <c r="AZ720" i="3"/>
  <c r="BB720" i="3" s="1"/>
  <c r="AY720" i="3"/>
  <c r="BA720" i="3" s="1"/>
  <c r="AX720" i="3"/>
  <c r="AW720" i="3"/>
  <c r="AC720" i="3"/>
  <c r="M720" i="3"/>
  <c r="BC720" i="3" s="1"/>
  <c r="AZ719" i="3"/>
  <c r="BB719" i="3" s="1"/>
  <c r="AY719" i="3"/>
  <c r="BA719" i="3" s="1"/>
  <c r="AX719" i="3"/>
  <c r="AW719" i="3"/>
  <c r="AC719" i="3"/>
  <c r="M719" i="3"/>
  <c r="BC719" i="3" s="1"/>
  <c r="AZ718" i="3"/>
  <c r="BB718" i="3" s="1"/>
  <c r="AY718" i="3"/>
  <c r="BA718" i="3" s="1"/>
  <c r="AX718" i="3"/>
  <c r="AW718" i="3"/>
  <c r="AC718" i="3"/>
  <c r="M718" i="3"/>
  <c r="BC718" i="3" s="1"/>
  <c r="AZ717" i="3"/>
  <c r="BB717" i="3" s="1"/>
  <c r="AY717" i="3"/>
  <c r="BA717" i="3" s="1"/>
  <c r="AX717" i="3"/>
  <c r="AW717" i="3"/>
  <c r="AC717" i="3"/>
  <c r="M717" i="3"/>
  <c r="BC717" i="3" s="1"/>
  <c r="AZ716" i="3"/>
  <c r="BB716" i="3" s="1"/>
  <c r="AY716" i="3"/>
  <c r="BA716" i="3" s="1"/>
  <c r="AX716" i="3"/>
  <c r="AW716" i="3"/>
  <c r="AC716" i="3"/>
  <c r="M716" i="3"/>
  <c r="BC716" i="3" s="1"/>
  <c r="AZ715" i="3"/>
  <c r="BB715" i="3" s="1"/>
  <c r="AY715" i="3"/>
  <c r="BA715" i="3" s="1"/>
  <c r="AX715" i="3"/>
  <c r="AW715" i="3"/>
  <c r="AC715" i="3"/>
  <c r="M715" i="3"/>
  <c r="BC715" i="3" s="1"/>
  <c r="AZ714" i="3"/>
  <c r="BB714" i="3" s="1"/>
  <c r="AY714" i="3"/>
  <c r="BA714" i="3" s="1"/>
  <c r="AX714" i="3"/>
  <c r="AW714" i="3"/>
  <c r="AC714" i="3"/>
  <c r="M714" i="3"/>
  <c r="BC714" i="3" s="1"/>
  <c r="AZ713" i="3"/>
  <c r="BB713" i="3" s="1"/>
  <c r="AY713" i="3"/>
  <c r="BA713" i="3" s="1"/>
  <c r="AX713" i="3"/>
  <c r="AW713" i="3"/>
  <c r="AC713" i="3"/>
  <c r="M713" i="3"/>
  <c r="BC713" i="3" s="1"/>
  <c r="AZ712" i="3"/>
  <c r="BB712" i="3" s="1"/>
  <c r="AY712" i="3"/>
  <c r="BA712" i="3" s="1"/>
  <c r="AX712" i="3"/>
  <c r="AW712" i="3"/>
  <c r="AC712" i="3"/>
  <c r="M712" i="3"/>
  <c r="BC712" i="3" s="1"/>
  <c r="AZ711" i="3"/>
  <c r="BB711" i="3" s="1"/>
  <c r="AY711" i="3"/>
  <c r="BA711" i="3" s="1"/>
  <c r="AX711" i="3"/>
  <c r="AW711" i="3"/>
  <c r="AC711" i="3"/>
  <c r="M711" i="3"/>
  <c r="BC711" i="3" s="1"/>
  <c r="AZ710" i="3"/>
  <c r="BB710" i="3" s="1"/>
  <c r="AY710" i="3"/>
  <c r="BA710" i="3" s="1"/>
  <c r="AX710" i="3"/>
  <c r="AW710" i="3"/>
  <c r="AC710" i="3"/>
  <c r="M710" i="3"/>
  <c r="BC710" i="3" s="1"/>
  <c r="AZ709" i="3"/>
  <c r="BB709" i="3" s="1"/>
  <c r="AY709" i="3"/>
  <c r="BA709" i="3" s="1"/>
  <c r="AX709" i="3"/>
  <c r="AW709" i="3"/>
  <c r="AC709" i="3"/>
  <c r="M709" i="3"/>
  <c r="BC709" i="3" s="1"/>
  <c r="AZ708" i="3"/>
  <c r="BB708" i="3" s="1"/>
  <c r="AY708" i="3"/>
  <c r="BA708" i="3" s="1"/>
  <c r="AX708" i="3"/>
  <c r="AW708" i="3"/>
  <c r="AC708" i="3"/>
  <c r="M708" i="3"/>
  <c r="BC708" i="3" s="1"/>
  <c r="AZ707" i="3"/>
  <c r="BB707" i="3" s="1"/>
  <c r="AY707" i="3"/>
  <c r="BA707" i="3" s="1"/>
  <c r="AX707" i="3"/>
  <c r="AW707" i="3"/>
  <c r="AC707" i="3"/>
  <c r="M707" i="3"/>
  <c r="BC707" i="3" s="1"/>
  <c r="AZ706" i="3"/>
  <c r="BB706" i="3" s="1"/>
  <c r="AY706" i="3"/>
  <c r="BA706" i="3" s="1"/>
  <c r="AX706" i="3"/>
  <c r="AW706" i="3"/>
  <c r="AC706" i="3"/>
  <c r="M706" i="3"/>
  <c r="BC706" i="3" s="1"/>
  <c r="AZ705" i="3"/>
  <c r="BB705" i="3" s="1"/>
  <c r="AY705" i="3"/>
  <c r="BA705" i="3" s="1"/>
  <c r="AX705" i="3"/>
  <c r="AW705" i="3"/>
  <c r="AC705" i="3"/>
  <c r="M705" i="3"/>
  <c r="BC705" i="3" s="1"/>
  <c r="AZ704" i="3"/>
  <c r="BB704" i="3" s="1"/>
  <c r="AY704" i="3"/>
  <c r="BA704" i="3" s="1"/>
  <c r="AX704" i="3"/>
  <c r="AW704" i="3"/>
  <c r="AC704" i="3"/>
  <c r="M704" i="3"/>
  <c r="BC704" i="3" s="1"/>
  <c r="AZ703" i="3"/>
  <c r="BB703" i="3" s="1"/>
  <c r="AY703" i="3"/>
  <c r="BA703" i="3" s="1"/>
  <c r="AX703" i="3"/>
  <c r="AW703" i="3"/>
  <c r="AC703" i="3"/>
  <c r="M703" i="3"/>
  <c r="BC703" i="3" s="1"/>
  <c r="AZ702" i="3"/>
  <c r="BB702" i="3" s="1"/>
  <c r="AY702" i="3"/>
  <c r="BA702" i="3" s="1"/>
  <c r="AX702" i="3"/>
  <c r="AW702" i="3"/>
  <c r="AC702" i="3"/>
  <c r="M702" i="3"/>
  <c r="BC702" i="3" s="1"/>
  <c r="AZ701" i="3"/>
  <c r="BB701" i="3" s="1"/>
  <c r="AY701" i="3"/>
  <c r="BA701" i="3" s="1"/>
  <c r="AX701" i="3"/>
  <c r="AW701" i="3"/>
  <c r="AC701" i="3"/>
  <c r="M701" i="3"/>
  <c r="BC701" i="3" s="1"/>
  <c r="AZ700" i="3"/>
  <c r="BB700" i="3" s="1"/>
  <c r="AY700" i="3"/>
  <c r="BA700" i="3" s="1"/>
  <c r="AX700" i="3"/>
  <c r="AW700" i="3"/>
  <c r="AC700" i="3"/>
  <c r="M700" i="3"/>
  <c r="BC700" i="3" s="1"/>
  <c r="AZ699" i="3"/>
  <c r="BB699" i="3" s="1"/>
  <c r="AY699" i="3"/>
  <c r="BA699" i="3" s="1"/>
  <c r="AX699" i="3"/>
  <c r="AW699" i="3"/>
  <c r="AC699" i="3"/>
  <c r="M699" i="3"/>
  <c r="BC699" i="3" s="1"/>
  <c r="AZ698" i="3"/>
  <c r="BB698" i="3" s="1"/>
  <c r="AY698" i="3"/>
  <c r="BA698" i="3" s="1"/>
  <c r="AX698" i="3"/>
  <c r="AW698" i="3"/>
  <c r="AC698" i="3"/>
  <c r="M698" i="3"/>
  <c r="BC698" i="3" s="1"/>
  <c r="AZ697" i="3"/>
  <c r="BB697" i="3" s="1"/>
  <c r="AY697" i="3"/>
  <c r="BA697" i="3" s="1"/>
  <c r="AX697" i="3"/>
  <c r="AW697" i="3"/>
  <c r="AC697" i="3"/>
  <c r="M697" i="3"/>
  <c r="BC697" i="3" s="1"/>
  <c r="AZ696" i="3"/>
  <c r="BB696" i="3" s="1"/>
  <c r="AY696" i="3"/>
  <c r="BA696" i="3" s="1"/>
  <c r="AX696" i="3"/>
  <c r="AW696" i="3"/>
  <c r="AC696" i="3"/>
  <c r="M696" i="3"/>
  <c r="BC696" i="3" s="1"/>
  <c r="AZ695" i="3"/>
  <c r="BB695" i="3" s="1"/>
  <c r="AY695" i="3"/>
  <c r="BA695" i="3" s="1"/>
  <c r="AX695" i="3"/>
  <c r="AW695" i="3"/>
  <c r="AC695" i="3"/>
  <c r="M695" i="3"/>
  <c r="BC695" i="3" s="1"/>
  <c r="AZ694" i="3"/>
  <c r="BB694" i="3" s="1"/>
  <c r="AY694" i="3"/>
  <c r="BA694" i="3" s="1"/>
  <c r="AX694" i="3"/>
  <c r="AW694" i="3"/>
  <c r="AC694" i="3"/>
  <c r="M694" i="3"/>
  <c r="BC694" i="3" s="1"/>
  <c r="AZ693" i="3"/>
  <c r="BB693" i="3" s="1"/>
  <c r="AY693" i="3"/>
  <c r="BA693" i="3" s="1"/>
  <c r="AX693" i="3"/>
  <c r="AW693" i="3"/>
  <c r="AC693" i="3"/>
  <c r="M693" i="3"/>
  <c r="BC693" i="3" s="1"/>
  <c r="AZ692" i="3"/>
  <c r="BB692" i="3" s="1"/>
  <c r="AY692" i="3"/>
  <c r="BA692" i="3" s="1"/>
  <c r="AX692" i="3"/>
  <c r="AW692" i="3"/>
  <c r="AC692" i="3"/>
  <c r="M692" i="3"/>
  <c r="BC692" i="3" s="1"/>
  <c r="AZ691" i="3"/>
  <c r="BB691" i="3" s="1"/>
  <c r="AY691" i="3"/>
  <c r="BA691" i="3" s="1"/>
  <c r="AX691" i="3"/>
  <c r="AW691" i="3"/>
  <c r="AC691" i="3"/>
  <c r="M691" i="3"/>
  <c r="BC691" i="3" s="1"/>
  <c r="AZ690" i="3"/>
  <c r="BB690" i="3" s="1"/>
  <c r="AY690" i="3"/>
  <c r="BA690" i="3" s="1"/>
  <c r="AX690" i="3"/>
  <c r="AW690" i="3"/>
  <c r="AC690" i="3"/>
  <c r="M690" i="3"/>
  <c r="BC690" i="3" s="1"/>
  <c r="AZ689" i="3"/>
  <c r="BB689" i="3" s="1"/>
  <c r="AY689" i="3"/>
  <c r="BA689" i="3" s="1"/>
  <c r="AX689" i="3"/>
  <c r="AW689" i="3"/>
  <c r="AC689" i="3"/>
  <c r="M689" i="3"/>
  <c r="BC689" i="3" s="1"/>
  <c r="AZ688" i="3"/>
  <c r="BB688" i="3" s="1"/>
  <c r="AY688" i="3"/>
  <c r="BA688" i="3" s="1"/>
  <c r="AX688" i="3"/>
  <c r="AW688" i="3"/>
  <c r="AC688" i="3"/>
  <c r="M688" i="3"/>
  <c r="BC688" i="3" s="1"/>
  <c r="AZ687" i="3"/>
  <c r="BB687" i="3" s="1"/>
  <c r="AY687" i="3"/>
  <c r="BA687" i="3" s="1"/>
  <c r="AX687" i="3"/>
  <c r="AW687" i="3"/>
  <c r="AC687" i="3"/>
  <c r="M687" i="3"/>
  <c r="BC687" i="3" s="1"/>
  <c r="AZ686" i="3"/>
  <c r="BB686" i="3" s="1"/>
  <c r="AY686" i="3"/>
  <c r="BA686" i="3" s="1"/>
  <c r="AX686" i="3"/>
  <c r="AW686" i="3"/>
  <c r="AC686" i="3"/>
  <c r="M686" i="3"/>
  <c r="BC686" i="3" s="1"/>
  <c r="AZ685" i="3"/>
  <c r="BB685" i="3" s="1"/>
  <c r="AY685" i="3"/>
  <c r="BA685" i="3" s="1"/>
  <c r="AX685" i="3"/>
  <c r="AW685" i="3"/>
  <c r="AC685" i="3"/>
  <c r="M685" i="3"/>
  <c r="BC685" i="3" s="1"/>
  <c r="AZ684" i="3"/>
  <c r="BB684" i="3" s="1"/>
  <c r="AY684" i="3"/>
  <c r="BA684" i="3" s="1"/>
  <c r="AX684" i="3"/>
  <c r="AW684" i="3"/>
  <c r="AC684" i="3"/>
  <c r="M684" i="3"/>
  <c r="BC684" i="3" s="1"/>
  <c r="AZ683" i="3"/>
  <c r="BB683" i="3" s="1"/>
  <c r="AY683" i="3"/>
  <c r="BA683" i="3" s="1"/>
  <c r="AX683" i="3"/>
  <c r="AW683" i="3"/>
  <c r="AC683" i="3"/>
  <c r="M683" i="3"/>
  <c r="BC683" i="3" s="1"/>
  <c r="AZ682" i="3"/>
  <c r="BB682" i="3" s="1"/>
  <c r="AY682" i="3"/>
  <c r="BA682" i="3" s="1"/>
  <c r="AX682" i="3"/>
  <c r="AW682" i="3"/>
  <c r="AC682" i="3"/>
  <c r="M682" i="3"/>
  <c r="BC682" i="3" s="1"/>
  <c r="AZ681" i="3"/>
  <c r="BB681" i="3" s="1"/>
  <c r="AY681" i="3"/>
  <c r="BA681" i="3" s="1"/>
  <c r="AX681" i="3"/>
  <c r="AW681" i="3"/>
  <c r="AC681" i="3"/>
  <c r="M681" i="3"/>
  <c r="BC681" i="3" s="1"/>
  <c r="AZ680" i="3"/>
  <c r="BB680" i="3" s="1"/>
  <c r="AY680" i="3"/>
  <c r="BA680" i="3" s="1"/>
  <c r="AX680" i="3"/>
  <c r="AW680" i="3"/>
  <c r="AC680" i="3"/>
  <c r="M680" i="3"/>
  <c r="BC680" i="3" s="1"/>
  <c r="AZ679" i="3"/>
  <c r="BB679" i="3" s="1"/>
  <c r="AY679" i="3"/>
  <c r="BA679" i="3" s="1"/>
  <c r="AX679" i="3"/>
  <c r="AW679" i="3"/>
  <c r="AC679" i="3"/>
  <c r="M679" i="3"/>
  <c r="BC679" i="3" s="1"/>
  <c r="AZ678" i="3"/>
  <c r="BB678" i="3" s="1"/>
  <c r="AY678" i="3"/>
  <c r="BA678" i="3" s="1"/>
  <c r="AX678" i="3"/>
  <c r="AW678" i="3"/>
  <c r="AC678" i="3"/>
  <c r="M678" i="3"/>
  <c r="BC678" i="3" s="1"/>
  <c r="AZ677" i="3"/>
  <c r="BB677" i="3" s="1"/>
  <c r="AY677" i="3"/>
  <c r="BA677" i="3" s="1"/>
  <c r="AX677" i="3"/>
  <c r="AW677" i="3"/>
  <c r="AC677" i="3"/>
  <c r="M677" i="3"/>
  <c r="BC677" i="3" s="1"/>
  <c r="AZ676" i="3"/>
  <c r="BB676" i="3" s="1"/>
  <c r="AY676" i="3"/>
  <c r="BA676" i="3" s="1"/>
  <c r="AX676" i="3"/>
  <c r="AW676" i="3"/>
  <c r="AC676" i="3"/>
  <c r="M676" i="3"/>
  <c r="BC676" i="3" s="1"/>
  <c r="AZ675" i="3"/>
  <c r="BB675" i="3" s="1"/>
  <c r="AY675" i="3"/>
  <c r="BA675" i="3" s="1"/>
  <c r="AX675" i="3"/>
  <c r="AW675" i="3"/>
  <c r="AC675" i="3"/>
  <c r="M675" i="3"/>
  <c r="BC675" i="3" s="1"/>
  <c r="AZ674" i="3"/>
  <c r="BB674" i="3" s="1"/>
  <c r="AY674" i="3"/>
  <c r="BA674" i="3" s="1"/>
  <c r="AX674" i="3"/>
  <c r="AW674" i="3"/>
  <c r="AC674" i="3"/>
  <c r="M674" i="3"/>
  <c r="BC674" i="3" s="1"/>
  <c r="AZ673" i="3"/>
  <c r="BB673" i="3" s="1"/>
  <c r="AY673" i="3"/>
  <c r="BA673" i="3" s="1"/>
  <c r="AX673" i="3"/>
  <c r="AW673" i="3"/>
  <c r="AC673" i="3"/>
  <c r="M673" i="3"/>
  <c r="BC673" i="3" s="1"/>
  <c r="AZ672" i="3"/>
  <c r="BB672" i="3" s="1"/>
  <c r="AY672" i="3"/>
  <c r="BA672" i="3" s="1"/>
  <c r="AX672" i="3"/>
  <c r="AW672" i="3"/>
  <c r="AC672" i="3"/>
  <c r="M672" i="3"/>
  <c r="BC672" i="3" s="1"/>
  <c r="AZ671" i="3"/>
  <c r="BB671" i="3" s="1"/>
  <c r="AY671" i="3"/>
  <c r="BA671" i="3" s="1"/>
  <c r="AX671" i="3"/>
  <c r="AW671" i="3"/>
  <c r="AC671" i="3"/>
  <c r="M671" i="3"/>
  <c r="BC671" i="3" s="1"/>
  <c r="AZ670" i="3"/>
  <c r="BB670" i="3" s="1"/>
  <c r="AY670" i="3"/>
  <c r="BA670" i="3" s="1"/>
  <c r="AX670" i="3"/>
  <c r="AW670" i="3"/>
  <c r="AC670" i="3"/>
  <c r="M670" i="3"/>
  <c r="BC670" i="3" s="1"/>
  <c r="AZ669" i="3"/>
  <c r="BB669" i="3" s="1"/>
  <c r="AY669" i="3"/>
  <c r="BA669" i="3" s="1"/>
  <c r="AX669" i="3"/>
  <c r="AW669" i="3"/>
  <c r="AC669" i="3"/>
  <c r="M669" i="3"/>
  <c r="BC669" i="3" s="1"/>
  <c r="AZ668" i="3"/>
  <c r="BB668" i="3" s="1"/>
  <c r="AY668" i="3"/>
  <c r="BA668" i="3" s="1"/>
  <c r="AX668" i="3"/>
  <c r="AW668" i="3"/>
  <c r="AC668" i="3"/>
  <c r="M668" i="3"/>
  <c r="BC668" i="3" s="1"/>
  <c r="AZ667" i="3"/>
  <c r="BB667" i="3" s="1"/>
  <c r="AY667" i="3"/>
  <c r="BA667" i="3" s="1"/>
  <c r="AX667" i="3"/>
  <c r="AW667" i="3"/>
  <c r="AC667" i="3"/>
  <c r="M667" i="3"/>
  <c r="BC667" i="3" s="1"/>
  <c r="AZ666" i="3"/>
  <c r="BB666" i="3" s="1"/>
  <c r="AY666" i="3"/>
  <c r="BA666" i="3" s="1"/>
  <c r="AX666" i="3"/>
  <c r="AW666" i="3"/>
  <c r="AC666" i="3"/>
  <c r="M666" i="3"/>
  <c r="BC666" i="3" s="1"/>
  <c r="AZ665" i="3"/>
  <c r="BB665" i="3" s="1"/>
  <c r="AY665" i="3"/>
  <c r="BA665" i="3" s="1"/>
  <c r="AX665" i="3"/>
  <c r="AW665" i="3"/>
  <c r="AC665" i="3"/>
  <c r="M665" i="3"/>
  <c r="BC665" i="3" s="1"/>
  <c r="AZ664" i="3"/>
  <c r="BB664" i="3" s="1"/>
  <c r="AY664" i="3"/>
  <c r="BA664" i="3" s="1"/>
  <c r="AX664" i="3"/>
  <c r="AW664" i="3"/>
  <c r="AC664" i="3"/>
  <c r="M664" i="3"/>
  <c r="BC664" i="3" s="1"/>
  <c r="AZ663" i="3"/>
  <c r="BB663" i="3" s="1"/>
  <c r="AY663" i="3"/>
  <c r="BA663" i="3" s="1"/>
  <c r="AX663" i="3"/>
  <c r="AW663" i="3"/>
  <c r="AC663" i="3"/>
  <c r="M663" i="3"/>
  <c r="BC663" i="3" s="1"/>
  <c r="AZ662" i="3"/>
  <c r="BB662" i="3" s="1"/>
  <c r="AY662" i="3"/>
  <c r="BA662" i="3" s="1"/>
  <c r="AX662" i="3"/>
  <c r="AW662" i="3"/>
  <c r="AC662" i="3"/>
  <c r="M662" i="3"/>
  <c r="BC662" i="3" s="1"/>
  <c r="AZ661" i="3"/>
  <c r="BB661" i="3" s="1"/>
  <c r="AY661" i="3"/>
  <c r="BA661" i="3" s="1"/>
  <c r="AX661" i="3"/>
  <c r="AW661" i="3"/>
  <c r="AC661" i="3"/>
  <c r="M661" i="3"/>
  <c r="BC661" i="3" s="1"/>
  <c r="AZ660" i="3"/>
  <c r="BB660" i="3" s="1"/>
  <c r="AY660" i="3"/>
  <c r="BA660" i="3" s="1"/>
  <c r="AX660" i="3"/>
  <c r="AW660" i="3"/>
  <c r="AC660" i="3"/>
  <c r="M660" i="3"/>
  <c r="BC660" i="3" s="1"/>
  <c r="AZ659" i="3"/>
  <c r="BB659" i="3" s="1"/>
  <c r="AY659" i="3"/>
  <c r="BA659" i="3" s="1"/>
  <c r="AX659" i="3"/>
  <c r="AW659" i="3"/>
  <c r="AC659" i="3"/>
  <c r="M659" i="3"/>
  <c r="BC659" i="3" s="1"/>
  <c r="AZ658" i="3"/>
  <c r="BB658" i="3" s="1"/>
  <c r="AY658" i="3"/>
  <c r="BA658" i="3" s="1"/>
  <c r="AX658" i="3"/>
  <c r="AW658" i="3"/>
  <c r="AC658" i="3"/>
  <c r="M658" i="3"/>
  <c r="BC658" i="3" s="1"/>
  <c r="AZ657" i="3"/>
  <c r="BB657" i="3" s="1"/>
  <c r="AY657" i="3"/>
  <c r="BA657" i="3" s="1"/>
  <c r="AX657" i="3"/>
  <c r="AW657" i="3"/>
  <c r="AC657" i="3"/>
  <c r="M657" i="3"/>
  <c r="BC657" i="3" s="1"/>
  <c r="AZ656" i="3"/>
  <c r="BB656" i="3" s="1"/>
  <c r="AY656" i="3"/>
  <c r="BA656" i="3" s="1"/>
  <c r="AX656" i="3"/>
  <c r="AW656" i="3"/>
  <c r="AC656" i="3"/>
  <c r="M656" i="3"/>
  <c r="BC656" i="3" s="1"/>
  <c r="AZ655" i="3"/>
  <c r="BB655" i="3" s="1"/>
  <c r="AY655" i="3"/>
  <c r="BA655" i="3" s="1"/>
  <c r="AX655" i="3"/>
  <c r="AW655" i="3"/>
  <c r="AC655" i="3"/>
  <c r="M655" i="3"/>
  <c r="BC655" i="3" s="1"/>
  <c r="AZ654" i="3"/>
  <c r="BB654" i="3" s="1"/>
  <c r="AY654" i="3"/>
  <c r="BA654" i="3" s="1"/>
  <c r="AX654" i="3"/>
  <c r="AW654" i="3"/>
  <c r="AC654" i="3"/>
  <c r="M654" i="3"/>
  <c r="BC654" i="3" s="1"/>
  <c r="AZ653" i="3"/>
  <c r="BB653" i="3" s="1"/>
  <c r="AY653" i="3"/>
  <c r="BA653" i="3" s="1"/>
  <c r="AX653" i="3"/>
  <c r="AW653" i="3"/>
  <c r="AC653" i="3"/>
  <c r="M653" i="3"/>
  <c r="BC653" i="3" s="1"/>
  <c r="AZ652" i="3"/>
  <c r="BB652" i="3" s="1"/>
  <c r="AY652" i="3"/>
  <c r="BA652" i="3" s="1"/>
  <c r="AX652" i="3"/>
  <c r="AW652" i="3"/>
  <c r="AC652" i="3"/>
  <c r="M652" i="3"/>
  <c r="BC652" i="3" s="1"/>
  <c r="AZ651" i="3"/>
  <c r="BB651" i="3" s="1"/>
  <c r="AY651" i="3"/>
  <c r="BA651" i="3" s="1"/>
  <c r="AX651" i="3"/>
  <c r="AW651" i="3"/>
  <c r="AC651" i="3"/>
  <c r="M651" i="3"/>
  <c r="BC651" i="3" s="1"/>
  <c r="AZ650" i="3"/>
  <c r="BB650" i="3" s="1"/>
  <c r="AY650" i="3"/>
  <c r="BA650" i="3" s="1"/>
  <c r="AX650" i="3"/>
  <c r="AW650" i="3"/>
  <c r="AC650" i="3"/>
  <c r="M650" i="3"/>
  <c r="BC650" i="3" s="1"/>
  <c r="AZ649" i="3"/>
  <c r="BB649" i="3" s="1"/>
  <c r="AY649" i="3"/>
  <c r="BA649" i="3" s="1"/>
  <c r="AX649" i="3"/>
  <c r="AW649" i="3"/>
  <c r="AC649" i="3"/>
  <c r="M649" i="3"/>
  <c r="BC649" i="3" s="1"/>
  <c r="AZ648" i="3"/>
  <c r="BB648" i="3" s="1"/>
  <c r="AY648" i="3"/>
  <c r="BA648" i="3" s="1"/>
  <c r="AX648" i="3"/>
  <c r="AW648" i="3"/>
  <c r="AC648" i="3"/>
  <c r="M648" i="3"/>
  <c r="BC648" i="3" s="1"/>
  <c r="AZ647" i="3"/>
  <c r="BB647" i="3" s="1"/>
  <c r="AY647" i="3"/>
  <c r="BA647" i="3" s="1"/>
  <c r="AX647" i="3"/>
  <c r="AW647" i="3"/>
  <c r="AC647" i="3"/>
  <c r="M647" i="3"/>
  <c r="BC647" i="3" s="1"/>
  <c r="AZ646" i="3"/>
  <c r="BB646" i="3" s="1"/>
  <c r="AY646" i="3"/>
  <c r="BA646" i="3" s="1"/>
  <c r="AX646" i="3"/>
  <c r="AW646" i="3"/>
  <c r="AC646" i="3"/>
  <c r="M646" i="3"/>
  <c r="BC646" i="3" s="1"/>
  <c r="AZ645" i="3"/>
  <c r="BB645" i="3" s="1"/>
  <c r="AY645" i="3"/>
  <c r="BA645" i="3" s="1"/>
  <c r="AX645" i="3"/>
  <c r="AW645" i="3"/>
  <c r="AC645" i="3"/>
  <c r="M645" i="3"/>
  <c r="BC645" i="3" s="1"/>
  <c r="AZ644" i="3"/>
  <c r="BB644" i="3" s="1"/>
  <c r="AY644" i="3"/>
  <c r="BA644" i="3" s="1"/>
  <c r="AX644" i="3"/>
  <c r="AW644" i="3"/>
  <c r="AC644" i="3"/>
  <c r="M644" i="3"/>
  <c r="BC644" i="3" s="1"/>
  <c r="AZ643" i="3"/>
  <c r="BB643" i="3" s="1"/>
  <c r="AY643" i="3"/>
  <c r="BA643" i="3" s="1"/>
  <c r="AX643" i="3"/>
  <c r="AW643" i="3"/>
  <c r="AC643" i="3"/>
  <c r="M643" i="3"/>
  <c r="BC643" i="3" s="1"/>
  <c r="AZ642" i="3"/>
  <c r="BB642" i="3" s="1"/>
  <c r="AY642" i="3"/>
  <c r="BA642" i="3" s="1"/>
  <c r="AX642" i="3"/>
  <c r="AW642" i="3"/>
  <c r="AC642" i="3"/>
  <c r="M642" i="3"/>
  <c r="BC642" i="3" s="1"/>
  <c r="AZ641" i="3"/>
  <c r="BB641" i="3" s="1"/>
  <c r="AY641" i="3"/>
  <c r="BA641" i="3" s="1"/>
  <c r="AX641" i="3"/>
  <c r="AW641" i="3"/>
  <c r="AC641" i="3"/>
  <c r="M641" i="3"/>
  <c r="BC641" i="3" s="1"/>
  <c r="AZ640" i="3"/>
  <c r="BB640" i="3" s="1"/>
  <c r="AY640" i="3"/>
  <c r="BA640" i="3" s="1"/>
  <c r="AX640" i="3"/>
  <c r="AW640" i="3"/>
  <c r="AC640" i="3"/>
  <c r="M640" i="3"/>
  <c r="BC640" i="3" s="1"/>
  <c r="AZ639" i="3"/>
  <c r="BB639" i="3" s="1"/>
  <c r="AY639" i="3"/>
  <c r="BA639" i="3" s="1"/>
  <c r="AX639" i="3"/>
  <c r="AW639" i="3"/>
  <c r="AC639" i="3"/>
  <c r="M639" i="3"/>
  <c r="BC639" i="3" s="1"/>
  <c r="AZ638" i="3"/>
  <c r="BB638" i="3" s="1"/>
  <c r="AY638" i="3"/>
  <c r="BA638" i="3" s="1"/>
  <c r="AX638" i="3"/>
  <c r="AW638" i="3"/>
  <c r="AC638" i="3"/>
  <c r="M638" i="3"/>
  <c r="BC638" i="3" s="1"/>
  <c r="AZ637" i="3"/>
  <c r="BB637" i="3" s="1"/>
  <c r="AY637" i="3"/>
  <c r="BA637" i="3" s="1"/>
  <c r="AX637" i="3"/>
  <c r="AW637" i="3"/>
  <c r="AC637" i="3"/>
  <c r="M637" i="3"/>
  <c r="BC637" i="3" s="1"/>
  <c r="AZ636" i="3"/>
  <c r="BB636" i="3" s="1"/>
  <c r="AY636" i="3"/>
  <c r="BA636" i="3" s="1"/>
  <c r="AX636" i="3"/>
  <c r="AW636" i="3"/>
  <c r="AC636" i="3"/>
  <c r="M636" i="3"/>
  <c r="BC636" i="3" s="1"/>
  <c r="AZ635" i="3"/>
  <c r="BB635" i="3" s="1"/>
  <c r="AY635" i="3"/>
  <c r="BA635" i="3" s="1"/>
  <c r="AX635" i="3"/>
  <c r="AW635" i="3"/>
  <c r="AC635" i="3"/>
  <c r="M635" i="3"/>
  <c r="BC635" i="3" s="1"/>
  <c r="AZ634" i="3"/>
  <c r="BB634" i="3" s="1"/>
  <c r="AY634" i="3"/>
  <c r="BA634" i="3" s="1"/>
  <c r="AX634" i="3"/>
  <c r="AW634" i="3"/>
  <c r="AC634" i="3"/>
  <c r="M634" i="3"/>
  <c r="BC634" i="3" s="1"/>
  <c r="AZ633" i="3"/>
  <c r="BB633" i="3" s="1"/>
  <c r="AY633" i="3"/>
  <c r="BA633" i="3" s="1"/>
  <c r="AX633" i="3"/>
  <c r="AW633" i="3"/>
  <c r="AC633" i="3"/>
  <c r="M633" i="3"/>
  <c r="BC633" i="3" s="1"/>
  <c r="AZ632" i="3"/>
  <c r="BB632" i="3" s="1"/>
  <c r="AY632" i="3"/>
  <c r="BA632" i="3" s="1"/>
  <c r="AX632" i="3"/>
  <c r="AW632" i="3"/>
  <c r="AC632" i="3"/>
  <c r="M632" i="3"/>
  <c r="BC632" i="3" s="1"/>
  <c r="AZ631" i="3"/>
  <c r="BB631" i="3" s="1"/>
  <c r="AY631" i="3"/>
  <c r="BA631" i="3" s="1"/>
  <c r="AX631" i="3"/>
  <c r="AW631" i="3"/>
  <c r="AC631" i="3"/>
  <c r="M631" i="3"/>
  <c r="BC631" i="3" s="1"/>
  <c r="AZ630" i="3"/>
  <c r="BB630" i="3" s="1"/>
  <c r="AY630" i="3"/>
  <c r="BA630" i="3" s="1"/>
  <c r="AX630" i="3"/>
  <c r="AW630" i="3"/>
  <c r="AC630" i="3"/>
  <c r="M630" i="3"/>
  <c r="BC630" i="3" s="1"/>
  <c r="AZ629" i="3"/>
  <c r="BB629" i="3" s="1"/>
  <c r="AY629" i="3"/>
  <c r="BA629" i="3" s="1"/>
  <c r="AX629" i="3"/>
  <c r="AW629" i="3"/>
  <c r="AC629" i="3"/>
  <c r="M629" i="3"/>
  <c r="BC629" i="3" s="1"/>
  <c r="AZ628" i="3"/>
  <c r="BB628" i="3" s="1"/>
  <c r="AY628" i="3"/>
  <c r="BA628" i="3" s="1"/>
  <c r="AX628" i="3"/>
  <c r="AW628" i="3"/>
  <c r="AC628" i="3"/>
  <c r="M628" i="3"/>
  <c r="BC628" i="3" s="1"/>
  <c r="AZ627" i="3"/>
  <c r="BB627" i="3" s="1"/>
  <c r="AY627" i="3"/>
  <c r="BA627" i="3" s="1"/>
  <c r="AX627" i="3"/>
  <c r="AW627" i="3"/>
  <c r="AC627" i="3"/>
  <c r="M627" i="3"/>
  <c r="BC627" i="3" s="1"/>
  <c r="AZ626" i="3"/>
  <c r="BB626" i="3" s="1"/>
  <c r="AY626" i="3"/>
  <c r="BA626" i="3" s="1"/>
  <c r="AX626" i="3"/>
  <c r="AW626" i="3"/>
  <c r="AC626" i="3"/>
  <c r="M626" i="3"/>
  <c r="BC626" i="3" s="1"/>
  <c r="AZ625" i="3"/>
  <c r="BB625" i="3" s="1"/>
  <c r="AY625" i="3"/>
  <c r="BA625" i="3" s="1"/>
  <c r="AX625" i="3"/>
  <c r="AW625" i="3"/>
  <c r="AC625" i="3"/>
  <c r="M625" i="3"/>
  <c r="BC625" i="3" s="1"/>
  <c r="AZ624" i="3"/>
  <c r="BB624" i="3" s="1"/>
  <c r="AY624" i="3"/>
  <c r="BA624" i="3" s="1"/>
  <c r="AX624" i="3"/>
  <c r="AW624" i="3"/>
  <c r="AC624" i="3"/>
  <c r="M624" i="3"/>
  <c r="BC624" i="3" s="1"/>
  <c r="AZ623" i="3"/>
  <c r="BB623" i="3" s="1"/>
  <c r="AY623" i="3"/>
  <c r="BA623" i="3" s="1"/>
  <c r="AX623" i="3"/>
  <c r="AW623" i="3"/>
  <c r="AC623" i="3"/>
  <c r="M623" i="3"/>
  <c r="BC623" i="3" s="1"/>
  <c r="AZ622" i="3"/>
  <c r="BB622" i="3" s="1"/>
  <c r="AY622" i="3"/>
  <c r="BA622" i="3" s="1"/>
  <c r="AX622" i="3"/>
  <c r="AW622" i="3"/>
  <c r="AC622" i="3"/>
  <c r="M622" i="3"/>
  <c r="BC622" i="3" s="1"/>
  <c r="AZ621" i="3"/>
  <c r="BB621" i="3" s="1"/>
  <c r="AY621" i="3"/>
  <c r="BA621" i="3" s="1"/>
  <c r="AX621" i="3"/>
  <c r="AW621" i="3"/>
  <c r="AC621" i="3"/>
  <c r="M621" i="3"/>
  <c r="BC621" i="3" s="1"/>
  <c r="AZ620" i="3"/>
  <c r="BB620" i="3" s="1"/>
  <c r="AY620" i="3"/>
  <c r="BA620" i="3" s="1"/>
  <c r="AX620" i="3"/>
  <c r="AW620" i="3"/>
  <c r="AC620" i="3"/>
  <c r="M620" i="3"/>
  <c r="BC620" i="3" s="1"/>
  <c r="AZ619" i="3"/>
  <c r="BB619" i="3" s="1"/>
  <c r="AY619" i="3"/>
  <c r="BA619" i="3" s="1"/>
  <c r="AX619" i="3"/>
  <c r="AW619" i="3"/>
  <c r="AC619" i="3"/>
  <c r="M619" i="3"/>
  <c r="BC619" i="3" s="1"/>
  <c r="AZ618" i="3"/>
  <c r="BB618" i="3" s="1"/>
  <c r="AY618" i="3"/>
  <c r="BA618" i="3" s="1"/>
  <c r="AX618" i="3"/>
  <c r="AW618" i="3"/>
  <c r="AC618" i="3"/>
  <c r="M618" i="3"/>
  <c r="BC618" i="3" s="1"/>
  <c r="AZ617" i="3"/>
  <c r="BB617" i="3" s="1"/>
  <c r="AY617" i="3"/>
  <c r="BA617" i="3" s="1"/>
  <c r="AX617" i="3"/>
  <c r="AW617" i="3"/>
  <c r="AC617" i="3"/>
  <c r="M617" i="3"/>
  <c r="BC617" i="3" s="1"/>
  <c r="AZ616" i="3"/>
  <c r="BB616" i="3" s="1"/>
  <c r="AY616" i="3"/>
  <c r="BA616" i="3" s="1"/>
  <c r="AX616" i="3"/>
  <c r="AW616" i="3"/>
  <c r="AC616" i="3"/>
  <c r="M616" i="3"/>
  <c r="BC616" i="3" s="1"/>
  <c r="AZ615" i="3"/>
  <c r="BB615" i="3" s="1"/>
  <c r="AY615" i="3"/>
  <c r="BA615" i="3" s="1"/>
  <c r="AX615" i="3"/>
  <c r="AW615" i="3"/>
  <c r="AC615" i="3"/>
  <c r="M615" i="3"/>
  <c r="BC615" i="3" s="1"/>
  <c r="AZ614" i="3"/>
  <c r="BB614" i="3" s="1"/>
  <c r="AY614" i="3"/>
  <c r="BA614" i="3" s="1"/>
  <c r="AX614" i="3"/>
  <c r="AW614" i="3"/>
  <c r="AC614" i="3"/>
  <c r="M614" i="3"/>
  <c r="BC614" i="3" s="1"/>
  <c r="AZ613" i="3"/>
  <c r="BB613" i="3" s="1"/>
  <c r="AY613" i="3"/>
  <c r="BA613" i="3" s="1"/>
  <c r="AX613" i="3"/>
  <c r="AW613" i="3"/>
  <c r="AC613" i="3"/>
  <c r="M613" i="3"/>
  <c r="BC613" i="3" s="1"/>
  <c r="AZ612" i="3"/>
  <c r="BB612" i="3" s="1"/>
  <c r="AY612" i="3"/>
  <c r="BA612" i="3" s="1"/>
  <c r="AX612" i="3"/>
  <c r="AW612" i="3"/>
  <c r="AC612" i="3"/>
  <c r="M612" i="3"/>
  <c r="BC612" i="3" s="1"/>
  <c r="AZ611" i="3"/>
  <c r="BB611" i="3" s="1"/>
  <c r="AY611" i="3"/>
  <c r="BA611" i="3" s="1"/>
  <c r="AX611" i="3"/>
  <c r="AW611" i="3"/>
  <c r="AC611" i="3"/>
  <c r="M611" i="3"/>
  <c r="BC611" i="3" s="1"/>
  <c r="AZ610" i="3"/>
  <c r="BB610" i="3" s="1"/>
  <c r="AY610" i="3"/>
  <c r="BA610" i="3" s="1"/>
  <c r="AX610" i="3"/>
  <c r="AW610" i="3"/>
  <c r="AC610" i="3"/>
  <c r="M610" i="3"/>
  <c r="BC610" i="3" s="1"/>
  <c r="AZ609" i="3"/>
  <c r="BB609" i="3" s="1"/>
  <c r="AY609" i="3"/>
  <c r="BA609" i="3" s="1"/>
  <c r="AX609" i="3"/>
  <c r="AW609" i="3"/>
  <c r="AC609" i="3"/>
  <c r="M609" i="3"/>
  <c r="BC609" i="3" s="1"/>
  <c r="AZ608" i="3"/>
  <c r="BB608" i="3" s="1"/>
  <c r="AY608" i="3"/>
  <c r="BA608" i="3" s="1"/>
  <c r="AX608" i="3"/>
  <c r="AW608" i="3"/>
  <c r="AC608" i="3"/>
  <c r="M608" i="3"/>
  <c r="BC608" i="3" s="1"/>
  <c r="AZ607" i="3"/>
  <c r="BB607" i="3" s="1"/>
  <c r="AY607" i="3"/>
  <c r="BA607" i="3" s="1"/>
  <c r="AX607" i="3"/>
  <c r="AW607" i="3"/>
  <c r="AC607" i="3"/>
  <c r="M607" i="3"/>
  <c r="BC607" i="3" s="1"/>
  <c r="AZ606" i="3"/>
  <c r="BB606" i="3" s="1"/>
  <c r="AY606" i="3"/>
  <c r="BA606" i="3" s="1"/>
  <c r="AX606" i="3"/>
  <c r="AW606" i="3"/>
  <c r="AC606" i="3"/>
  <c r="M606" i="3"/>
  <c r="BC606" i="3" s="1"/>
  <c r="AZ605" i="3"/>
  <c r="BB605" i="3" s="1"/>
  <c r="AY605" i="3"/>
  <c r="BA605" i="3" s="1"/>
  <c r="AX605" i="3"/>
  <c r="AW605" i="3"/>
  <c r="AC605" i="3"/>
  <c r="M605" i="3"/>
  <c r="BC605" i="3" s="1"/>
  <c r="AZ604" i="3"/>
  <c r="BB604" i="3" s="1"/>
  <c r="AY604" i="3"/>
  <c r="BA604" i="3" s="1"/>
  <c r="AX604" i="3"/>
  <c r="AW604" i="3"/>
  <c r="AC604" i="3"/>
  <c r="M604" i="3"/>
  <c r="BC604" i="3" s="1"/>
  <c r="AZ603" i="3"/>
  <c r="BB603" i="3" s="1"/>
  <c r="AY603" i="3"/>
  <c r="BA603" i="3" s="1"/>
  <c r="AX603" i="3"/>
  <c r="AW603" i="3"/>
  <c r="AC603" i="3"/>
  <c r="M603" i="3"/>
  <c r="BC603" i="3" s="1"/>
  <c r="AZ602" i="3"/>
  <c r="BB602" i="3" s="1"/>
  <c r="AY602" i="3"/>
  <c r="BA602" i="3" s="1"/>
  <c r="AX602" i="3"/>
  <c r="AW602" i="3"/>
  <c r="AC602" i="3"/>
  <c r="M602" i="3"/>
  <c r="BC602" i="3" s="1"/>
  <c r="AZ601" i="3"/>
  <c r="BB601" i="3" s="1"/>
  <c r="AY601" i="3"/>
  <c r="BA601" i="3" s="1"/>
  <c r="AX601" i="3"/>
  <c r="AW601" i="3"/>
  <c r="AC601" i="3"/>
  <c r="M601" i="3"/>
  <c r="BC601" i="3" s="1"/>
  <c r="AZ600" i="3"/>
  <c r="BB600" i="3" s="1"/>
  <c r="AY600" i="3"/>
  <c r="BA600" i="3" s="1"/>
  <c r="AX600" i="3"/>
  <c r="AW600" i="3"/>
  <c r="AC600" i="3"/>
  <c r="M600" i="3"/>
  <c r="BC600" i="3" s="1"/>
  <c r="AZ599" i="3"/>
  <c r="BB599" i="3" s="1"/>
  <c r="AY599" i="3"/>
  <c r="BA599" i="3" s="1"/>
  <c r="AX599" i="3"/>
  <c r="AW599" i="3"/>
  <c r="AC599" i="3"/>
  <c r="M599" i="3"/>
  <c r="BC599" i="3" s="1"/>
  <c r="AZ598" i="3"/>
  <c r="BB598" i="3" s="1"/>
  <c r="AY598" i="3"/>
  <c r="BA598" i="3" s="1"/>
  <c r="AX598" i="3"/>
  <c r="AW598" i="3"/>
  <c r="AC598" i="3"/>
  <c r="M598" i="3"/>
  <c r="BC598" i="3" s="1"/>
  <c r="AZ597" i="3"/>
  <c r="BB597" i="3" s="1"/>
  <c r="AY597" i="3"/>
  <c r="BA597" i="3" s="1"/>
  <c r="AX597" i="3"/>
  <c r="AW597" i="3"/>
  <c r="AC597" i="3"/>
  <c r="M597" i="3"/>
  <c r="BC597" i="3" s="1"/>
  <c r="AZ596" i="3"/>
  <c r="BB596" i="3" s="1"/>
  <c r="AY596" i="3"/>
  <c r="BA596" i="3" s="1"/>
  <c r="AX596" i="3"/>
  <c r="AW596" i="3"/>
  <c r="AC596" i="3"/>
  <c r="M596" i="3"/>
  <c r="BC596" i="3" s="1"/>
  <c r="AZ595" i="3"/>
  <c r="BB595" i="3" s="1"/>
  <c r="AY595" i="3"/>
  <c r="BA595" i="3" s="1"/>
  <c r="AX595" i="3"/>
  <c r="AW595" i="3"/>
  <c r="AC595" i="3"/>
  <c r="M595" i="3"/>
  <c r="BC595" i="3" s="1"/>
  <c r="AZ594" i="3"/>
  <c r="BB594" i="3" s="1"/>
  <c r="AY594" i="3"/>
  <c r="BA594" i="3" s="1"/>
  <c r="AX594" i="3"/>
  <c r="AW594" i="3"/>
  <c r="AC594" i="3"/>
  <c r="M594" i="3"/>
  <c r="BC594" i="3" s="1"/>
  <c r="AZ593" i="3"/>
  <c r="BB593" i="3" s="1"/>
  <c r="AY593" i="3"/>
  <c r="BA593" i="3" s="1"/>
  <c r="AX593" i="3"/>
  <c r="AW593" i="3"/>
  <c r="AC593" i="3"/>
  <c r="M593" i="3"/>
  <c r="BC593" i="3" s="1"/>
  <c r="AZ592" i="3"/>
  <c r="BB592" i="3" s="1"/>
  <c r="AY592" i="3"/>
  <c r="BA592" i="3" s="1"/>
  <c r="AX592" i="3"/>
  <c r="AW592" i="3"/>
  <c r="AC592" i="3"/>
  <c r="M592" i="3"/>
  <c r="BC592" i="3" s="1"/>
  <c r="AZ591" i="3"/>
  <c r="BB591" i="3" s="1"/>
  <c r="AY591" i="3"/>
  <c r="BA591" i="3" s="1"/>
  <c r="AX591" i="3"/>
  <c r="AW591" i="3"/>
  <c r="AC591" i="3"/>
  <c r="M591" i="3"/>
  <c r="BC591" i="3" s="1"/>
  <c r="AZ590" i="3"/>
  <c r="BB590" i="3" s="1"/>
  <c r="AY590" i="3"/>
  <c r="BA590" i="3" s="1"/>
  <c r="AX590" i="3"/>
  <c r="AW590" i="3"/>
  <c r="AC590" i="3"/>
  <c r="M590" i="3"/>
  <c r="BC590" i="3" s="1"/>
  <c r="AZ589" i="3"/>
  <c r="BB589" i="3" s="1"/>
  <c r="AY589" i="3"/>
  <c r="BA589" i="3" s="1"/>
  <c r="AX589" i="3"/>
  <c r="AW589" i="3"/>
  <c r="AC589" i="3"/>
  <c r="M589" i="3"/>
  <c r="BC589" i="3" s="1"/>
  <c r="AZ588" i="3"/>
  <c r="BB588" i="3" s="1"/>
  <c r="AY588" i="3"/>
  <c r="BA588" i="3" s="1"/>
  <c r="AX588" i="3"/>
  <c r="AW588" i="3"/>
  <c r="AC588" i="3"/>
  <c r="M588" i="3"/>
  <c r="BC588" i="3" s="1"/>
  <c r="AZ587" i="3"/>
  <c r="BB587" i="3" s="1"/>
  <c r="AY587" i="3"/>
  <c r="BA587" i="3" s="1"/>
  <c r="AX587" i="3"/>
  <c r="AW587" i="3"/>
  <c r="AC587" i="3"/>
  <c r="M587" i="3"/>
  <c r="BC587" i="3" s="1"/>
  <c r="AZ586" i="3"/>
  <c r="BB586" i="3" s="1"/>
  <c r="AY586" i="3"/>
  <c r="BA586" i="3" s="1"/>
  <c r="AX586" i="3"/>
  <c r="AW586" i="3"/>
  <c r="AC586" i="3"/>
  <c r="M586" i="3"/>
  <c r="BC586" i="3" s="1"/>
  <c r="AZ585" i="3"/>
  <c r="BB585" i="3" s="1"/>
  <c r="AY585" i="3"/>
  <c r="BA585" i="3" s="1"/>
  <c r="AX585" i="3"/>
  <c r="AW585" i="3"/>
  <c r="AC585" i="3"/>
  <c r="M585" i="3"/>
  <c r="BC585" i="3" s="1"/>
  <c r="AZ584" i="3"/>
  <c r="BB584" i="3" s="1"/>
  <c r="AY584" i="3"/>
  <c r="BA584" i="3" s="1"/>
  <c r="AX584" i="3"/>
  <c r="AW584" i="3"/>
  <c r="AC584" i="3"/>
  <c r="M584" i="3"/>
  <c r="BC584" i="3" s="1"/>
  <c r="AZ583" i="3"/>
  <c r="BB583" i="3" s="1"/>
  <c r="AY583" i="3"/>
  <c r="BA583" i="3" s="1"/>
  <c r="AX583" i="3"/>
  <c r="AW583" i="3"/>
  <c r="AC583" i="3"/>
  <c r="M583" i="3"/>
  <c r="BC583" i="3" s="1"/>
  <c r="AZ582" i="3"/>
  <c r="BB582" i="3" s="1"/>
  <c r="AY582" i="3"/>
  <c r="BA582" i="3" s="1"/>
  <c r="AX582" i="3"/>
  <c r="AW582" i="3"/>
  <c r="AC582" i="3"/>
  <c r="M582" i="3"/>
  <c r="BC582" i="3" s="1"/>
  <c r="AZ581" i="3"/>
  <c r="BB581" i="3" s="1"/>
  <c r="AY581" i="3"/>
  <c r="BA581" i="3" s="1"/>
  <c r="AX581" i="3"/>
  <c r="AW581" i="3"/>
  <c r="AC581" i="3"/>
  <c r="M581" i="3"/>
  <c r="BC581" i="3" s="1"/>
  <c r="AZ580" i="3"/>
  <c r="BB580" i="3" s="1"/>
  <c r="AY580" i="3"/>
  <c r="BA580" i="3" s="1"/>
  <c r="AX580" i="3"/>
  <c r="AW580" i="3"/>
  <c r="AC580" i="3"/>
  <c r="M580" i="3"/>
  <c r="BC580" i="3" s="1"/>
  <c r="AZ579" i="3"/>
  <c r="BB579" i="3" s="1"/>
  <c r="AY579" i="3"/>
  <c r="BA579" i="3" s="1"/>
  <c r="AX579" i="3"/>
  <c r="AW579" i="3"/>
  <c r="AC579" i="3"/>
  <c r="M579" i="3"/>
  <c r="BC579" i="3" s="1"/>
  <c r="AZ578" i="3"/>
  <c r="BB578" i="3" s="1"/>
  <c r="AY578" i="3"/>
  <c r="BA578" i="3" s="1"/>
  <c r="AX578" i="3"/>
  <c r="AW578" i="3"/>
  <c r="AC578" i="3"/>
  <c r="M578" i="3"/>
  <c r="BC578" i="3" s="1"/>
  <c r="AZ577" i="3"/>
  <c r="BB577" i="3" s="1"/>
  <c r="AY577" i="3"/>
  <c r="BA577" i="3" s="1"/>
  <c r="AX577" i="3"/>
  <c r="AW577" i="3"/>
  <c r="AC577" i="3"/>
  <c r="M577" i="3"/>
  <c r="BC577" i="3" s="1"/>
  <c r="AZ576" i="3"/>
  <c r="BB576" i="3" s="1"/>
  <c r="AY576" i="3"/>
  <c r="BA576" i="3" s="1"/>
  <c r="AX576" i="3"/>
  <c r="AW576" i="3"/>
  <c r="AC576" i="3"/>
  <c r="M576" i="3"/>
  <c r="BC576" i="3" s="1"/>
  <c r="AZ575" i="3"/>
  <c r="BB575" i="3" s="1"/>
  <c r="AY575" i="3"/>
  <c r="BA575" i="3" s="1"/>
  <c r="AX575" i="3"/>
  <c r="AW575" i="3"/>
  <c r="AC575" i="3"/>
  <c r="M575" i="3"/>
  <c r="BC575" i="3" s="1"/>
  <c r="AZ574" i="3"/>
  <c r="BB574" i="3" s="1"/>
  <c r="AY574" i="3"/>
  <c r="BA574" i="3" s="1"/>
  <c r="AX574" i="3"/>
  <c r="AW574" i="3"/>
  <c r="AC574" i="3"/>
  <c r="M574" i="3"/>
  <c r="BC574" i="3" s="1"/>
  <c r="AZ573" i="3"/>
  <c r="BB573" i="3" s="1"/>
  <c r="AY573" i="3"/>
  <c r="BA573" i="3" s="1"/>
  <c r="AX573" i="3"/>
  <c r="AW573" i="3"/>
  <c r="AC573" i="3"/>
  <c r="M573" i="3"/>
  <c r="BC573" i="3" s="1"/>
  <c r="AZ572" i="3"/>
  <c r="BB572" i="3" s="1"/>
  <c r="AY572" i="3"/>
  <c r="BA572" i="3" s="1"/>
  <c r="AX572" i="3"/>
  <c r="AW572" i="3"/>
  <c r="AC572" i="3"/>
  <c r="M572" i="3"/>
  <c r="BC572" i="3" s="1"/>
  <c r="AZ571" i="3"/>
  <c r="BB571" i="3" s="1"/>
  <c r="AY571" i="3"/>
  <c r="BA571" i="3" s="1"/>
  <c r="AX571" i="3"/>
  <c r="AW571" i="3"/>
  <c r="AC571" i="3"/>
  <c r="M571" i="3"/>
  <c r="BC571" i="3" s="1"/>
  <c r="AZ570" i="3"/>
  <c r="BB570" i="3" s="1"/>
  <c r="AY570" i="3"/>
  <c r="BA570" i="3" s="1"/>
  <c r="AX570" i="3"/>
  <c r="AW570" i="3"/>
  <c r="AC570" i="3"/>
  <c r="M570" i="3"/>
  <c r="BC570" i="3" s="1"/>
  <c r="AZ569" i="3"/>
  <c r="BB569" i="3" s="1"/>
  <c r="AY569" i="3"/>
  <c r="BA569" i="3" s="1"/>
  <c r="AX569" i="3"/>
  <c r="AW569" i="3"/>
  <c r="AC569" i="3"/>
  <c r="M569" i="3"/>
  <c r="BC569" i="3" s="1"/>
  <c r="AZ568" i="3"/>
  <c r="BB568" i="3" s="1"/>
  <c r="AY568" i="3"/>
  <c r="BA568" i="3" s="1"/>
  <c r="AX568" i="3"/>
  <c r="AW568" i="3"/>
  <c r="AC568" i="3"/>
  <c r="M568" i="3"/>
  <c r="BC568" i="3" s="1"/>
  <c r="AZ567" i="3"/>
  <c r="BB567" i="3" s="1"/>
  <c r="AY567" i="3"/>
  <c r="BA567" i="3" s="1"/>
  <c r="AX567" i="3"/>
  <c r="AW567" i="3"/>
  <c r="AC567" i="3"/>
  <c r="M567" i="3"/>
  <c r="BC567" i="3" s="1"/>
  <c r="AZ566" i="3"/>
  <c r="BB566" i="3" s="1"/>
  <c r="AY566" i="3"/>
  <c r="BA566" i="3" s="1"/>
  <c r="AX566" i="3"/>
  <c r="AW566" i="3"/>
  <c r="AC566" i="3"/>
  <c r="M566" i="3"/>
  <c r="BC566" i="3" s="1"/>
  <c r="AZ565" i="3"/>
  <c r="BB565" i="3" s="1"/>
  <c r="AY565" i="3"/>
  <c r="BA565" i="3" s="1"/>
  <c r="AX565" i="3"/>
  <c r="AW565" i="3"/>
  <c r="AC565" i="3"/>
  <c r="M565" i="3"/>
  <c r="BC565" i="3" s="1"/>
  <c r="AZ564" i="3"/>
  <c r="BB564" i="3" s="1"/>
  <c r="AY564" i="3"/>
  <c r="BA564" i="3" s="1"/>
  <c r="AX564" i="3"/>
  <c r="AW564" i="3"/>
  <c r="AC564" i="3"/>
  <c r="M564" i="3"/>
  <c r="BC564" i="3" s="1"/>
  <c r="AZ563" i="3"/>
  <c r="BB563" i="3" s="1"/>
  <c r="AY563" i="3"/>
  <c r="BA563" i="3" s="1"/>
  <c r="AX563" i="3"/>
  <c r="AW563" i="3"/>
  <c r="AC563" i="3"/>
  <c r="M563" i="3"/>
  <c r="BC563" i="3" s="1"/>
  <c r="AZ562" i="3"/>
  <c r="BB562" i="3" s="1"/>
  <c r="AY562" i="3"/>
  <c r="BA562" i="3" s="1"/>
  <c r="AX562" i="3"/>
  <c r="AW562" i="3"/>
  <c r="AC562" i="3"/>
  <c r="M562" i="3"/>
  <c r="BC562" i="3" s="1"/>
  <c r="AZ561" i="3"/>
  <c r="BB561" i="3" s="1"/>
  <c r="AY561" i="3"/>
  <c r="BA561" i="3" s="1"/>
  <c r="AX561" i="3"/>
  <c r="AW561" i="3"/>
  <c r="AC561" i="3"/>
  <c r="M561" i="3"/>
  <c r="BC561" i="3" s="1"/>
  <c r="AZ560" i="3"/>
  <c r="BB560" i="3" s="1"/>
  <c r="AY560" i="3"/>
  <c r="BA560" i="3" s="1"/>
  <c r="AX560" i="3"/>
  <c r="AW560" i="3"/>
  <c r="AC560" i="3"/>
  <c r="M560" i="3"/>
  <c r="BC560" i="3" s="1"/>
  <c r="AZ559" i="3"/>
  <c r="BB559" i="3" s="1"/>
  <c r="AY559" i="3"/>
  <c r="BA559" i="3" s="1"/>
  <c r="AX559" i="3"/>
  <c r="AW559" i="3"/>
  <c r="AC559" i="3"/>
  <c r="M559" i="3"/>
  <c r="BC559" i="3" s="1"/>
  <c r="AZ558" i="3"/>
  <c r="BB558" i="3" s="1"/>
  <c r="AY558" i="3"/>
  <c r="BA558" i="3" s="1"/>
  <c r="AX558" i="3"/>
  <c r="AW558" i="3"/>
  <c r="AC558" i="3"/>
  <c r="M558" i="3"/>
  <c r="BC558" i="3" s="1"/>
  <c r="AZ557" i="3"/>
  <c r="BB557" i="3" s="1"/>
  <c r="AY557" i="3"/>
  <c r="BA557" i="3" s="1"/>
  <c r="AX557" i="3"/>
  <c r="AW557" i="3"/>
  <c r="AC557" i="3"/>
  <c r="M557" i="3"/>
  <c r="BC557" i="3" s="1"/>
  <c r="AZ556" i="3"/>
  <c r="BB556" i="3" s="1"/>
  <c r="AY556" i="3"/>
  <c r="BA556" i="3" s="1"/>
  <c r="AX556" i="3"/>
  <c r="AW556" i="3"/>
  <c r="AC556" i="3"/>
  <c r="M556" i="3"/>
  <c r="BC556" i="3" s="1"/>
  <c r="AZ555" i="3"/>
  <c r="BB555" i="3" s="1"/>
  <c r="AY555" i="3"/>
  <c r="BA555" i="3" s="1"/>
  <c r="AX555" i="3"/>
  <c r="AW555" i="3"/>
  <c r="AC555" i="3"/>
  <c r="M555" i="3"/>
  <c r="BC555" i="3" s="1"/>
  <c r="AZ554" i="3"/>
  <c r="BB554" i="3" s="1"/>
  <c r="AY554" i="3"/>
  <c r="BA554" i="3" s="1"/>
  <c r="AX554" i="3"/>
  <c r="AW554" i="3"/>
  <c r="AC554" i="3"/>
  <c r="M554" i="3"/>
  <c r="BC554" i="3" s="1"/>
  <c r="AZ553" i="3"/>
  <c r="BB553" i="3" s="1"/>
  <c r="AY553" i="3"/>
  <c r="BA553" i="3" s="1"/>
  <c r="AX553" i="3"/>
  <c r="AW553" i="3"/>
  <c r="AC553" i="3"/>
  <c r="M553" i="3"/>
  <c r="BC553" i="3" s="1"/>
  <c r="AZ552" i="3"/>
  <c r="BB552" i="3" s="1"/>
  <c r="AY552" i="3"/>
  <c r="BA552" i="3" s="1"/>
  <c r="AX552" i="3"/>
  <c r="AW552" i="3"/>
  <c r="AC552" i="3"/>
  <c r="M552" i="3"/>
  <c r="BC552" i="3" s="1"/>
  <c r="AZ551" i="3"/>
  <c r="BB551" i="3" s="1"/>
  <c r="AY551" i="3"/>
  <c r="BA551" i="3" s="1"/>
  <c r="AX551" i="3"/>
  <c r="AW551" i="3"/>
  <c r="AC551" i="3"/>
  <c r="M551" i="3"/>
  <c r="BC551" i="3" s="1"/>
  <c r="AZ550" i="3"/>
  <c r="BB550" i="3" s="1"/>
  <c r="AY550" i="3"/>
  <c r="BA550" i="3" s="1"/>
  <c r="AX550" i="3"/>
  <c r="AW550" i="3"/>
  <c r="AC550" i="3"/>
  <c r="M550" i="3"/>
  <c r="BC550" i="3" s="1"/>
  <c r="AZ549" i="3"/>
  <c r="BB549" i="3" s="1"/>
  <c r="AY549" i="3"/>
  <c r="BA549" i="3" s="1"/>
  <c r="AX549" i="3"/>
  <c r="AW549" i="3"/>
  <c r="AC549" i="3"/>
  <c r="M549" i="3"/>
  <c r="BC549" i="3" s="1"/>
  <c r="AZ548" i="3"/>
  <c r="BB548" i="3" s="1"/>
  <c r="AY548" i="3"/>
  <c r="BA548" i="3" s="1"/>
  <c r="AX548" i="3"/>
  <c r="AW548" i="3"/>
  <c r="AC548" i="3"/>
  <c r="M548" i="3"/>
  <c r="BC548" i="3" s="1"/>
  <c r="AZ547" i="3"/>
  <c r="BB547" i="3" s="1"/>
  <c r="AY547" i="3"/>
  <c r="BA547" i="3" s="1"/>
  <c r="AX547" i="3"/>
  <c r="AW547" i="3"/>
  <c r="AC547" i="3"/>
  <c r="M547" i="3"/>
  <c r="BC547" i="3" s="1"/>
  <c r="AZ546" i="3"/>
  <c r="BB546" i="3" s="1"/>
  <c r="AY546" i="3"/>
  <c r="BA546" i="3" s="1"/>
  <c r="AX546" i="3"/>
  <c r="AW546" i="3"/>
  <c r="AC546" i="3"/>
  <c r="M546" i="3"/>
  <c r="BC546" i="3" s="1"/>
  <c r="AZ545" i="3"/>
  <c r="BB545" i="3" s="1"/>
  <c r="AY545" i="3"/>
  <c r="BA545" i="3" s="1"/>
  <c r="AX545" i="3"/>
  <c r="AW545" i="3"/>
  <c r="AC545" i="3"/>
  <c r="M545" i="3"/>
  <c r="BC545" i="3" s="1"/>
  <c r="AZ544" i="3"/>
  <c r="BB544" i="3" s="1"/>
  <c r="AY544" i="3"/>
  <c r="BA544" i="3" s="1"/>
  <c r="AX544" i="3"/>
  <c r="AW544" i="3"/>
  <c r="AC544" i="3"/>
  <c r="M544" i="3"/>
  <c r="BC544" i="3" s="1"/>
  <c r="AZ543" i="3"/>
  <c r="BB543" i="3" s="1"/>
  <c r="AY543" i="3"/>
  <c r="BA543" i="3" s="1"/>
  <c r="AX543" i="3"/>
  <c r="AW543" i="3"/>
  <c r="AC543" i="3"/>
  <c r="M543" i="3"/>
  <c r="BC543" i="3" s="1"/>
  <c r="AZ542" i="3"/>
  <c r="BB542" i="3" s="1"/>
  <c r="AY542" i="3"/>
  <c r="BA542" i="3" s="1"/>
  <c r="AX542" i="3"/>
  <c r="AW542" i="3"/>
  <c r="AC542" i="3"/>
  <c r="M542" i="3"/>
  <c r="BC542" i="3" s="1"/>
  <c r="AZ541" i="3"/>
  <c r="BB541" i="3" s="1"/>
  <c r="AY541" i="3"/>
  <c r="BA541" i="3" s="1"/>
  <c r="AX541" i="3"/>
  <c r="AW541" i="3"/>
  <c r="AC541" i="3"/>
  <c r="M541" i="3"/>
  <c r="BC541" i="3" s="1"/>
  <c r="AZ540" i="3"/>
  <c r="BB540" i="3" s="1"/>
  <c r="AY540" i="3"/>
  <c r="BA540" i="3" s="1"/>
  <c r="AX540" i="3"/>
  <c r="AW540" i="3"/>
  <c r="AC540" i="3"/>
  <c r="M540" i="3"/>
  <c r="BC540" i="3" s="1"/>
  <c r="AZ539" i="3"/>
  <c r="BB539" i="3" s="1"/>
  <c r="AY539" i="3"/>
  <c r="BA539" i="3" s="1"/>
  <c r="AX539" i="3"/>
  <c r="AW539" i="3"/>
  <c r="AC539" i="3"/>
  <c r="M539" i="3"/>
  <c r="BC539" i="3" s="1"/>
  <c r="AZ538" i="3"/>
  <c r="BB538" i="3" s="1"/>
  <c r="AY538" i="3"/>
  <c r="BA538" i="3" s="1"/>
  <c r="AX538" i="3"/>
  <c r="AW538" i="3"/>
  <c r="AC538" i="3"/>
  <c r="M538" i="3"/>
  <c r="BC538" i="3" s="1"/>
  <c r="AZ537" i="3"/>
  <c r="BB537" i="3" s="1"/>
  <c r="AY537" i="3"/>
  <c r="BA537" i="3" s="1"/>
  <c r="AX537" i="3"/>
  <c r="AW537" i="3"/>
  <c r="AC537" i="3"/>
  <c r="M537" i="3"/>
  <c r="BC537" i="3" s="1"/>
  <c r="AZ536" i="3"/>
  <c r="BB536" i="3" s="1"/>
  <c r="AY536" i="3"/>
  <c r="BA536" i="3" s="1"/>
  <c r="AX536" i="3"/>
  <c r="AW536" i="3"/>
  <c r="AC536" i="3"/>
  <c r="M536" i="3"/>
  <c r="BC536" i="3" s="1"/>
  <c r="AZ535" i="3"/>
  <c r="BB535" i="3" s="1"/>
  <c r="AY535" i="3"/>
  <c r="BA535" i="3" s="1"/>
  <c r="AX535" i="3"/>
  <c r="AW535" i="3"/>
  <c r="AC535" i="3"/>
  <c r="M535" i="3"/>
  <c r="BC535" i="3" s="1"/>
  <c r="AZ534" i="3"/>
  <c r="BB534" i="3" s="1"/>
  <c r="AY534" i="3"/>
  <c r="BA534" i="3" s="1"/>
  <c r="AX534" i="3"/>
  <c r="AW534" i="3"/>
  <c r="AC534" i="3"/>
  <c r="M534" i="3"/>
  <c r="BC534" i="3" s="1"/>
  <c r="AZ533" i="3"/>
  <c r="BB533" i="3" s="1"/>
  <c r="AY533" i="3"/>
  <c r="BA533" i="3" s="1"/>
  <c r="AX533" i="3"/>
  <c r="AW533" i="3"/>
  <c r="AC533" i="3"/>
  <c r="M533" i="3"/>
  <c r="BC533" i="3" s="1"/>
  <c r="AZ532" i="3"/>
  <c r="BB532" i="3" s="1"/>
  <c r="AY532" i="3"/>
  <c r="BA532" i="3" s="1"/>
  <c r="AX532" i="3"/>
  <c r="AW532" i="3"/>
  <c r="AC532" i="3"/>
  <c r="M532" i="3"/>
  <c r="BC532" i="3" s="1"/>
  <c r="AZ531" i="3"/>
  <c r="BB531" i="3" s="1"/>
  <c r="AY531" i="3"/>
  <c r="BA531" i="3" s="1"/>
  <c r="AX531" i="3"/>
  <c r="AW531" i="3"/>
  <c r="AC531" i="3"/>
  <c r="M531" i="3"/>
  <c r="BC531" i="3" s="1"/>
  <c r="AZ530" i="3"/>
  <c r="BB530" i="3" s="1"/>
  <c r="AY530" i="3"/>
  <c r="BA530" i="3" s="1"/>
  <c r="AX530" i="3"/>
  <c r="AW530" i="3"/>
  <c r="AC530" i="3"/>
  <c r="M530" i="3"/>
  <c r="BC530" i="3" s="1"/>
  <c r="AZ529" i="3"/>
  <c r="BB529" i="3" s="1"/>
  <c r="AY529" i="3"/>
  <c r="BA529" i="3" s="1"/>
  <c r="AX529" i="3"/>
  <c r="AW529" i="3"/>
  <c r="AC529" i="3"/>
  <c r="M529" i="3"/>
  <c r="BC529" i="3" s="1"/>
  <c r="AZ528" i="3"/>
  <c r="BB528" i="3" s="1"/>
  <c r="AY528" i="3"/>
  <c r="BA528" i="3" s="1"/>
  <c r="AX528" i="3"/>
  <c r="AW528" i="3"/>
  <c r="AC528" i="3"/>
  <c r="M528" i="3"/>
  <c r="BC528" i="3" s="1"/>
  <c r="AZ527" i="3"/>
  <c r="BB527" i="3" s="1"/>
  <c r="AY527" i="3"/>
  <c r="BA527" i="3" s="1"/>
  <c r="AX527" i="3"/>
  <c r="AW527" i="3"/>
  <c r="AC527" i="3"/>
  <c r="M527" i="3"/>
  <c r="BC527" i="3" s="1"/>
  <c r="AZ526" i="3"/>
  <c r="BB526" i="3" s="1"/>
  <c r="AY526" i="3"/>
  <c r="BA526" i="3" s="1"/>
  <c r="AX526" i="3"/>
  <c r="AW526" i="3"/>
  <c r="AC526" i="3"/>
  <c r="M526" i="3"/>
  <c r="BC526" i="3" s="1"/>
  <c r="AZ525" i="3"/>
  <c r="BB525" i="3" s="1"/>
  <c r="AY525" i="3"/>
  <c r="BA525" i="3" s="1"/>
  <c r="AX525" i="3"/>
  <c r="AW525" i="3"/>
  <c r="AC525" i="3"/>
  <c r="M525" i="3"/>
  <c r="BC525" i="3" s="1"/>
  <c r="AZ524" i="3"/>
  <c r="BB524" i="3" s="1"/>
  <c r="AY524" i="3"/>
  <c r="BA524" i="3" s="1"/>
  <c r="AX524" i="3"/>
  <c r="AW524" i="3"/>
  <c r="AC524" i="3"/>
  <c r="M524" i="3"/>
  <c r="BC524" i="3" s="1"/>
  <c r="AZ523" i="3"/>
  <c r="BB523" i="3" s="1"/>
  <c r="AY523" i="3"/>
  <c r="BA523" i="3" s="1"/>
  <c r="AX523" i="3"/>
  <c r="AW523" i="3"/>
  <c r="AC523" i="3"/>
  <c r="M523" i="3"/>
  <c r="BC523" i="3" s="1"/>
  <c r="AZ522" i="3"/>
  <c r="BB522" i="3" s="1"/>
  <c r="AY522" i="3"/>
  <c r="BA522" i="3" s="1"/>
  <c r="AX522" i="3"/>
  <c r="AW522" i="3"/>
  <c r="AC522" i="3"/>
  <c r="M522" i="3"/>
  <c r="BC522" i="3" s="1"/>
  <c r="AZ521" i="3"/>
  <c r="BB521" i="3" s="1"/>
  <c r="AY521" i="3"/>
  <c r="BA521" i="3" s="1"/>
  <c r="AX521" i="3"/>
  <c r="AW521" i="3"/>
  <c r="AC521" i="3"/>
  <c r="M521" i="3"/>
  <c r="BC521" i="3" s="1"/>
  <c r="AZ520" i="3"/>
  <c r="BB520" i="3" s="1"/>
  <c r="AY520" i="3"/>
  <c r="BA520" i="3" s="1"/>
  <c r="AX520" i="3"/>
  <c r="AW520" i="3"/>
  <c r="AC520" i="3"/>
  <c r="M520" i="3"/>
  <c r="BC520" i="3" s="1"/>
  <c r="AZ519" i="3"/>
  <c r="BB519" i="3" s="1"/>
  <c r="AY519" i="3"/>
  <c r="BA519" i="3" s="1"/>
  <c r="AX519" i="3"/>
  <c r="AW519" i="3"/>
  <c r="AC519" i="3"/>
  <c r="M519" i="3"/>
  <c r="BC519" i="3" s="1"/>
  <c r="AZ518" i="3"/>
  <c r="BB518" i="3" s="1"/>
  <c r="AY518" i="3"/>
  <c r="BA518" i="3" s="1"/>
  <c r="AX518" i="3"/>
  <c r="AW518" i="3"/>
  <c r="AC518" i="3"/>
  <c r="M518" i="3"/>
  <c r="BC518" i="3" s="1"/>
  <c r="AZ517" i="3"/>
  <c r="BB517" i="3" s="1"/>
  <c r="AY517" i="3"/>
  <c r="BA517" i="3" s="1"/>
  <c r="AX517" i="3"/>
  <c r="AW517" i="3"/>
  <c r="AC517" i="3"/>
  <c r="M517" i="3"/>
  <c r="BC517" i="3" s="1"/>
  <c r="AZ516" i="3"/>
  <c r="BB516" i="3" s="1"/>
  <c r="AY516" i="3"/>
  <c r="BA516" i="3" s="1"/>
  <c r="AX516" i="3"/>
  <c r="AW516" i="3"/>
  <c r="AC516" i="3"/>
  <c r="M516" i="3"/>
  <c r="BC516" i="3" s="1"/>
  <c r="AZ515" i="3"/>
  <c r="BB515" i="3" s="1"/>
  <c r="AY515" i="3"/>
  <c r="BA515" i="3" s="1"/>
  <c r="AX515" i="3"/>
  <c r="AW515" i="3"/>
  <c r="AC515" i="3"/>
  <c r="M515" i="3"/>
  <c r="BC515" i="3" s="1"/>
  <c r="AZ514" i="3"/>
  <c r="BB514" i="3" s="1"/>
  <c r="AY514" i="3"/>
  <c r="BA514" i="3" s="1"/>
  <c r="AX514" i="3"/>
  <c r="AW514" i="3"/>
  <c r="AC514" i="3"/>
  <c r="M514" i="3"/>
  <c r="BC514" i="3" s="1"/>
  <c r="AZ513" i="3"/>
  <c r="BB513" i="3" s="1"/>
  <c r="AY513" i="3"/>
  <c r="BA513" i="3" s="1"/>
  <c r="AX513" i="3"/>
  <c r="AW513" i="3"/>
  <c r="AC513" i="3"/>
  <c r="M513" i="3"/>
  <c r="BC513" i="3" s="1"/>
  <c r="AZ512" i="3"/>
  <c r="BB512" i="3" s="1"/>
  <c r="AY512" i="3"/>
  <c r="BA512" i="3" s="1"/>
  <c r="AX512" i="3"/>
  <c r="AW512" i="3"/>
  <c r="AC512" i="3"/>
  <c r="M512" i="3"/>
  <c r="BC512" i="3" s="1"/>
  <c r="AZ511" i="3"/>
  <c r="BB511" i="3" s="1"/>
  <c r="AY511" i="3"/>
  <c r="BA511" i="3" s="1"/>
  <c r="AX511" i="3"/>
  <c r="AW511" i="3"/>
  <c r="AC511" i="3"/>
  <c r="M511" i="3"/>
  <c r="BC511" i="3" s="1"/>
  <c r="AZ510" i="3"/>
  <c r="BB510" i="3" s="1"/>
  <c r="AY510" i="3"/>
  <c r="BA510" i="3" s="1"/>
  <c r="AX510" i="3"/>
  <c r="AW510" i="3"/>
  <c r="AC510" i="3"/>
  <c r="M510" i="3"/>
  <c r="BC510" i="3" s="1"/>
  <c r="AZ509" i="3"/>
  <c r="BB509" i="3" s="1"/>
  <c r="AY509" i="3"/>
  <c r="BA509" i="3" s="1"/>
  <c r="AX509" i="3"/>
  <c r="AW509" i="3"/>
  <c r="AC509" i="3"/>
  <c r="M509" i="3"/>
  <c r="BC509" i="3" s="1"/>
  <c r="AZ508" i="3"/>
  <c r="BB508" i="3" s="1"/>
  <c r="AY508" i="3"/>
  <c r="BA508" i="3" s="1"/>
  <c r="AX508" i="3"/>
  <c r="AW508" i="3"/>
  <c r="AC508" i="3"/>
  <c r="M508" i="3"/>
  <c r="BC508" i="3" s="1"/>
  <c r="AZ507" i="3"/>
  <c r="BB507" i="3" s="1"/>
  <c r="AY507" i="3"/>
  <c r="BA507" i="3" s="1"/>
  <c r="AX507" i="3"/>
  <c r="AW507" i="3"/>
  <c r="AC507" i="3"/>
  <c r="M507" i="3"/>
  <c r="BC507" i="3" s="1"/>
  <c r="AZ506" i="3"/>
  <c r="BB506" i="3" s="1"/>
  <c r="AY506" i="3"/>
  <c r="BA506" i="3" s="1"/>
  <c r="AX506" i="3"/>
  <c r="AW506" i="3"/>
  <c r="AC506" i="3"/>
  <c r="M506" i="3"/>
  <c r="BC506" i="3" s="1"/>
  <c r="AZ505" i="3"/>
  <c r="BB505" i="3" s="1"/>
  <c r="AY505" i="3"/>
  <c r="BA505" i="3" s="1"/>
  <c r="AX505" i="3"/>
  <c r="AW505" i="3"/>
  <c r="AC505" i="3"/>
  <c r="M505" i="3"/>
  <c r="BC505" i="3" s="1"/>
  <c r="AZ504" i="3"/>
  <c r="BB504" i="3" s="1"/>
  <c r="AY504" i="3"/>
  <c r="BA504" i="3" s="1"/>
  <c r="AX504" i="3"/>
  <c r="AW504" i="3"/>
  <c r="AC504" i="3"/>
  <c r="M504" i="3"/>
  <c r="BC504" i="3" s="1"/>
  <c r="AZ503" i="3"/>
  <c r="BB503" i="3" s="1"/>
  <c r="AY503" i="3"/>
  <c r="BA503" i="3" s="1"/>
  <c r="AX503" i="3"/>
  <c r="AW503" i="3"/>
  <c r="AC503" i="3"/>
  <c r="M503" i="3"/>
  <c r="BC503" i="3" s="1"/>
  <c r="AZ502" i="3"/>
  <c r="BB502" i="3" s="1"/>
  <c r="AY502" i="3"/>
  <c r="BA502" i="3" s="1"/>
  <c r="AX502" i="3"/>
  <c r="AW502" i="3"/>
  <c r="AC502" i="3"/>
  <c r="M502" i="3"/>
  <c r="BC502" i="3" s="1"/>
  <c r="AZ501" i="3"/>
  <c r="BB501" i="3" s="1"/>
  <c r="AY501" i="3"/>
  <c r="BA501" i="3" s="1"/>
  <c r="AX501" i="3"/>
  <c r="AW501" i="3"/>
  <c r="AC501" i="3"/>
  <c r="M501" i="3"/>
  <c r="BC501" i="3" s="1"/>
  <c r="AZ500" i="3"/>
  <c r="BB500" i="3" s="1"/>
  <c r="AY500" i="3"/>
  <c r="BA500" i="3" s="1"/>
  <c r="AX500" i="3"/>
  <c r="AW500" i="3"/>
  <c r="AC500" i="3"/>
  <c r="M500" i="3"/>
  <c r="BC500" i="3" s="1"/>
  <c r="AZ499" i="3"/>
  <c r="BB499" i="3" s="1"/>
  <c r="AY499" i="3"/>
  <c r="BA499" i="3" s="1"/>
  <c r="AX499" i="3"/>
  <c r="AW499" i="3"/>
  <c r="AC499" i="3"/>
  <c r="M499" i="3"/>
  <c r="BC499" i="3" s="1"/>
  <c r="AZ498" i="3"/>
  <c r="BB498" i="3" s="1"/>
  <c r="AY498" i="3"/>
  <c r="BA498" i="3" s="1"/>
  <c r="AX498" i="3"/>
  <c r="AW498" i="3"/>
  <c r="AC498" i="3"/>
  <c r="M498" i="3"/>
  <c r="BC498" i="3" s="1"/>
  <c r="AZ497" i="3"/>
  <c r="BB497" i="3" s="1"/>
  <c r="AY497" i="3"/>
  <c r="BA497" i="3" s="1"/>
  <c r="AX497" i="3"/>
  <c r="AW497" i="3"/>
  <c r="AC497" i="3"/>
  <c r="M497" i="3"/>
  <c r="BC497" i="3" s="1"/>
  <c r="AZ496" i="3"/>
  <c r="BB496" i="3" s="1"/>
  <c r="AY496" i="3"/>
  <c r="BA496" i="3" s="1"/>
  <c r="AX496" i="3"/>
  <c r="AW496" i="3"/>
  <c r="AC496" i="3"/>
  <c r="M496" i="3"/>
  <c r="BC496" i="3" s="1"/>
  <c r="AZ495" i="3"/>
  <c r="BB495" i="3" s="1"/>
  <c r="AY495" i="3"/>
  <c r="BA495" i="3" s="1"/>
  <c r="AX495" i="3"/>
  <c r="AW495" i="3"/>
  <c r="AC495" i="3"/>
  <c r="M495" i="3"/>
  <c r="BC495" i="3" s="1"/>
  <c r="AZ494" i="3"/>
  <c r="BB494" i="3" s="1"/>
  <c r="AY494" i="3"/>
  <c r="BA494" i="3" s="1"/>
  <c r="AX494" i="3"/>
  <c r="AW494" i="3"/>
  <c r="AC494" i="3"/>
  <c r="M494" i="3"/>
  <c r="BC494" i="3" s="1"/>
  <c r="AZ493" i="3"/>
  <c r="BB493" i="3" s="1"/>
  <c r="AY493" i="3"/>
  <c r="BA493" i="3" s="1"/>
  <c r="AX493" i="3"/>
  <c r="AW493" i="3"/>
  <c r="AC493" i="3"/>
  <c r="M493" i="3"/>
  <c r="BC493" i="3" s="1"/>
  <c r="AZ492" i="3"/>
  <c r="BB492" i="3" s="1"/>
  <c r="AY492" i="3"/>
  <c r="BA492" i="3" s="1"/>
  <c r="AX492" i="3"/>
  <c r="AW492" i="3"/>
  <c r="AC492" i="3"/>
  <c r="M492" i="3"/>
  <c r="BC492" i="3" s="1"/>
  <c r="AZ491" i="3"/>
  <c r="BB491" i="3" s="1"/>
  <c r="AY491" i="3"/>
  <c r="BA491" i="3" s="1"/>
  <c r="AX491" i="3"/>
  <c r="AW491" i="3"/>
  <c r="AC491" i="3"/>
  <c r="M491" i="3"/>
  <c r="BC491" i="3" s="1"/>
  <c r="AZ490" i="3"/>
  <c r="BB490" i="3" s="1"/>
  <c r="AY490" i="3"/>
  <c r="BA490" i="3" s="1"/>
  <c r="AX490" i="3"/>
  <c r="AW490" i="3"/>
  <c r="AC490" i="3"/>
  <c r="M490" i="3"/>
  <c r="BC490" i="3" s="1"/>
  <c r="AZ489" i="3"/>
  <c r="BB489" i="3" s="1"/>
  <c r="AY489" i="3"/>
  <c r="BA489" i="3" s="1"/>
  <c r="AX489" i="3"/>
  <c r="AW489" i="3"/>
  <c r="AC489" i="3"/>
  <c r="M489" i="3"/>
  <c r="BC489" i="3" s="1"/>
  <c r="AZ488" i="3"/>
  <c r="BB488" i="3" s="1"/>
  <c r="AY488" i="3"/>
  <c r="BA488" i="3" s="1"/>
  <c r="AX488" i="3"/>
  <c r="AW488" i="3"/>
  <c r="AC488" i="3"/>
  <c r="M488" i="3"/>
  <c r="BC488" i="3" s="1"/>
  <c r="AZ487" i="3"/>
  <c r="BB487" i="3" s="1"/>
  <c r="AY487" i="3"/>
  <c r="BA487" i="3" s="1"/>
  <c r="AX487" i="3"/>
  <c r="AW487" i="3"/>
  <c r="AC487" i="3"/>
  <c r="M487" i="3"/>
  <c r="BC487" i="3" s="1"/>
  <c r="AZ486" i="3"/>
  <c r="BB486" i="3" s="1"/>
  <c r="AY486" i="3"/>
  <c r="BA486" i="3" s="1"/>
  <c r="AX486" i="3"/>
  <c r="AW486" i="3"/>
  <c r="AC486" i="3"/>
  <c r="M486" i="3"/>
  <c r="BC486" i="3" s="1"/>
  <c r="AZ485" i="3"/>
  <c r="BB485" i="3" s="1"/>
  <c r="AY485" i="3"/>
  <c r="BA485" i="3" s="1"/>
  <c r="AX485" i="3"/>
  <c r="AW485" i="3"/>
  <c r="AC485" i="3"/>
  <c r="M485" i="3"/>
  <c r="BC485" i="3" s="1"/>
  <c r="AZ484" i="3"/>
  <c r="BB484" i="3" s="1"/>
  <c r="AY484" i="3"/>
  <c r="BA484" i="3" s="1"/>
  <c r="AX484" i="3"/>
  <c r="AW484" i="3"/>
  <c r="AC484" i="3"/>
  <c r="M484" i="3"/>
  <c r="BC484" i="3" s="1"/>
  <c r="AZ483" i="3"/>
  <c r="BB483" i="3" s="1"/>
  <c r="AY483" i="3"/>
  <c r="BA483" i="3" s="1"/>
  <c r="AX483" i="3"/>
  <c r="AW483" i="3"/>
  <c r="AC483" i="3"/>
  <c r="M483" i="3"/>
  <c r="BC483" i="3" s="1"/>
  <c r="AZ482" i="3"/>
  <c r="BB482" i="3" s="1"/>
  <c r="AY482" i="3"/>
  <c r="BA482" i="3" s="1"/>
  <c r="AX482" i="3"/>
  <c r="AW482" i="3"/>
  <c r="AC482" i="3"/>
  <c r="M482" i="3"/>
  <c r="BC482" i="3" s="1"/>
  <c r="AZ481" i="3"/>
  <c r="BB481" i="3" s="1"/>
  <c r="AY481" i="3"/>
  <c r="BA481" i="3" s="1"/>
  <c r="AX481" i="3"/>
  <c r="AW481" i="3"/>
  <c r="AC481" i="3"/>
  <c r="M481" i="3"/>
  <c r="BC481" i="3" s="1"/>
  <c r="AZ480" i="3"/>
  <c r="BB480" i="3" s="1"/>
  <c r="AY480" i="3"/>
  <c r="BA480" i="3" s="1"/>
  <c r="AX480" i="3"/>
  <c r="AW480" i="3"/>
  <c r="AC480" i="3"/>
  <c r="M480" i="3"/>
  <c r="BC480" i="3" s="1"/>
  <c r="AZ479" i="3"/>
  <c r="BB479" i="3" s="1"/>
  <c r="AY479" i="3"/>
  <c r="BA479" i="3" s="1"/>
  <c r="AX479" i="3"/>
  <c r="AW479" i="3"/>
  <c r="AC479" i="3"/>
  <c r="M479" i="3"/>
  <c r="BC479" i="3" s="1"/>
  <c r="AZ478" i="3"/>
  <c r="BB478" i="3" s="1"/>
  <c r="AY478" i="3"/>
  <c r="BA478" i="3" s="1"/>
  <c r="AX478" i="3"/>
  <c r="AW478" i="3"/>
  <c r="AC478" i="3"/>
  <c r="M478" i="3"/>
  <c r="BC478" i="3" s="1"/>
  <c r="AZ477" i="3"/>
  <c r="BB477" i="3" s="1"/>
  <c r="AY477" i="3"/>
  <c r="BA477" i="3" s="1"/>
  <c r="AX477" i="3"/>
  <c r="AW477" i="3"/>
  <c r="AC477" i="3"/>
  <c r="M477" i="3"/>
  <c r="BC477" i="3" s="1"/>
  <c r="AZ476" i="3"/>
  <c r="BB476" i="3" s="1"/>
  <c r="AY476" i="3"/>
  <c r="BA476" i="3" s="1"/>
  <c r="AX476" i="3"/>
  <c r="AW476" i="3"/>
  <c r="AC476" i="3"/>
  <c r="M476" i="3"/>
  <c r="BC476" i="3" s="1"/>
  <c r="AZ475" i="3"/>
  <c r="BB475" i="3" s="1"/>
  <c r="AY475" i="3"/>
  <c r="BA475" i="3" s="1"/>
  <c r="AX475" i="3"/>
  <c r="AW475" i="3"/>
  <c r="AC475" i="3"/>
  <c r="M475" i="3"/>
  <c r="BC475" i="3" s="1"/>
  <c r="AZ474" i="3"/>
  <c r="BB474" i="3" s="1"/>
  <c r="AY474" i="3"/>
  <c r="BA474" i="3" s="1"/>
  <c r="AX474" i="3"/>
  <c r="AW474" i="3"/>
  <c r="AC474" i="3"/>
  <c r="M474" i="3"/>
  <c r="BC474" i="3" s="1"/>
  <c r="AZ473" i="3"/>
  <c r="BB473" i="3" s="1"/>
  <c r="AY473" i="3"/>
  <c r="BA473" i="3" s="1"/>
  <c r="AX473" i="3"/>
  <c r="AW473" i="3"/>
  <c r="AC473" i="3"/>
  <c r="M473" i="3"/>
  <c r="BC473" i="3" s="1"/>
  <c r="AZ472" i="3"/>
  <c r="BB472" i="3" s="1"/>
  <c r="AY472" i="3"/>
  <c r="BA472" i="3" s="1"/>
  <c r="AX472" i="3"/>
  <c r="AW472" i="3"/>
  <c r="AC472" i="3"/>
  <c r="M472" i="3"/>
  <c r="BC472" i="3" s="1"/>
  <c r="AZ471" i="3"/>
  <c r="BB471" i="3" s="1"/>
  <c r="AY471" i="3"/>
  <c r="BA471" i="3" s="1"/>
  <c r="AX471" i="3"/>
  <c r="AW471" i="3"/>
  <c r="AC471" i="3"/>
  <c r="M471" i="3"/>
  <c r="BC471" i="3" s="1"/>
  <c r="AZ470" i="3"/>
  <c r="BB470" i="3" s="1"/>
  <c r="AY470" i="3"/>
  <c r="BA470" i="3" s="1"/>
  <c r="AX470" i="3"/>
  <c r="AW470" i="3"/>
  <c r="AC470" i="3"/>
  <c r="M470" i="3"/>
  <c r="BC470" i="3" s="1"/>
  <c r="AZ469" i="3"/>
  <c r="BB469" i="3" s="1"/>
  <c r="AY469" i="3"/>
  <c r="BA469" i="3" s="1"/>
  <c r="AX469" i="3"/>
  <c r="AW469" i="3"/>
  <c r="AC469" i="3"/>
  <c r="M469" i="3"/>
  <c r="BC469" i="3" s="1"/>
  <c r="AZ468" i="3"/>
  <c r="BB468" i="3" s="1"/>
  <c r="AY468" i="3"/>
  <c r="BA468" i="3" s="1"/>
  <c r="AX468" i="3"/>
  <c r="AW468" i="3"/>
  <c r="AC468" i="3"/>
  <c r="M468" i="3"/>
  <c r="BC468" i="3" s="1"/>
  <c r="AZ467" i="3"/>
  <c r="BB467" i="3" s="1"/>
  <c r="AY467" i="3"/>
  <c r="BA467" i="3" s="1"/>
  <c r="AX467" i="3"/>
  <c r="AW467" i="3"/>
  <c r="AC467" i="3"/>
  <c r="M467" i="3"/>
  <c r="BC467" i="3" s="1"/>
  <c r="AZ466" i="3"/>
  <c r="BB466" i="3" s="1"/>
  <c r="AY466" i="3"/>
  <c r="BA466" i="3" s="1"/>
  <c r="AX466" i="3"/>
  <c r="AW466" i="3"/>
  <c r="AC466" i="3"/>
  <c r="M466" i="3"/>
  <c r="BC466" i="3" s="1"/>
  <c r="AZ465" i="3"/>
  <c r="BB465" i="3" s="1"/>
  <c r="AY465" i="3"/>
  <c r="BA465" i="3" s="1"/>
  <c r="AX465" i="3"/>
  <c r="AW465" i="3"/>
  <c r="AC465" i="3"/>
  <c r="M465" i="3"/>
  <c r="BC465" i="3" s="1"/>
  <c r="AZ464" i="3"/>
  <c r="BB464" i="3" s="1"/>
  <c r="AY464" i="3"/>
  <c r="BA464" i="3" s="1"/>
  <c r="AX464" i="3"/>
  <c r="AW464" i="3"/>
  <c r="AC464" i="3"/>
  <c r="M464" i="3"/>
  <c r="BC464" i="3" s="1"/>
  <c r="AZ463" i="3"/>
  <c r="BB463" i="3" s="1"/>
  <c r="AY463" i="3"/>
  <c r="BA463" i="3" s="1"/>
  <c r="AX463" i="3"/>
  <c r="AW463" i="3"/>
  <c r="AC463" i="3"/>
  <c r="M463" i="3"/>
  <c r="BC463" i="3" s="1"/>
  <c r="AZ462" i="3"/>
  <c r="BB462" i="3" s="1"/>
  <c r="AY462" i="3"/>
  <c r="BA462" i="3" s="1"/>
  <c r="AX462" i="3"/>
  <c r="AW462" i="3"/>
  <c r="AC462" i="3"/>
  <c r="M462" i="3"/>
  <c r="BC462" i="3" s="1"/>
  <c r="AZ461" i="3"/>
  <c r="BB461" i="3" s="1"/>
  <c r="AY461" i="3"/>
  <c r="BA461" i="3" s="1"/>
  <c r="AX461" i="3"/>
  <c r="AW461" i="3"/>
  <c r="AC461" i="3"/>
  <c r="M461" i="3"/>
  <c r="BC461" i="3" s="1"/>
  <c r="AZ460" i="3"/>
  <c r="BB460" i="3" s="1"/>
  <c r="AY460" i="3"/>
  <c r="BA460" i="3" s="1"/>
  <c r="AX460" i="3"/>
  <c r="AW460" i="3"/>
  <c r="AC460" i="3"/>
  <c r="M460" i="3"/>
  <c r="BC460" i="3" s="1"/>
  <c r="AZ459" i="3"/>
  <c r="BB459" i="3" s="1"/>
  <c r="AY459" i="3"/>
  <c r="BA459" i="3" s="1"/>
  <c r="AX459" i="3"/>
  <c r="AW459" i="3"/>
  <c r="AC459" i="3"/>
  <c r="M459" i="3"/>
  <c r="BC459" i="3" s="1"/>
  <c r="AZ458" i="3"/>
  <c r="BB458" i="3" s="1"/>
  <c r="AY458" i="3"/>
  <c r="BA458" i="3" s="1"/>
  <c r="AX458" i="3"/>
  <c r="AW458" i="3"/>
  <c r="AC458" i="3"/>
  <c r="M458" i="3"/>
  <c r="BC458" i="3" s="1"/>
  <c r="AZ457" i="3"/>
  <c r="BB457" i="3" s="1"/>
  <c r="AY457" i="3"/>
  <c r="BA457" i="3" s="1"/>
  <c r="AX457" i="3"/>
  <c r="AW457" i="3"/>
  <c r="AC457" i="3"/>
  <c r="M457" i="3"/>
  <c r="BC457" i="3" s="1"/>
  <c r="AZ456" i="3"/>
  <c r="BB456" i="3" s="1"/>
  <c r="AY456" i="3"/>
  <c r="BA456" i="3" s="1"/>
  <c r="AX456" i="3"/>
  <c r="AW456" i="3"/>
  <c r="AC456" i="3"/>
  <c r="M456" i="3"/>
  <c r="BC456" i="3" s="1"/>
  <c r="AZ455" i="3"/>
  <c r="BB455" i="3" s="1"/>
  <c r="AY455" i="3"/>
  <c r="BA455" i="3" s="1"/>
  <c r="AX455" i="3"/>
  <c r="AW455" i="3"/>
  <c r="AC455" i="3"/>
  <c r="M455" i="3"/>
  <c r="BC455" i="3" s="1"/>
  <c r="AZ454" i="3"/>
  <c r="BB454" i="3" s="1"/>
  <c r="AY454" i="3"/>
  <c r="BA454" i="3" s="1"/>
  <c r="AX454" i="3"/>
  <c r="AW454" i="3"/>
  <c r="AC454" i="3"/>
  <c r="M454" i="3"/>
  <c r="BC454" i="3" s="1"/>
  <c r="AZ453" i="3"/>
  <c r="BB453" i="3" s="1"/>
  <c r="AY453" i="3"/>
  <c r="BA453" i="3" s="1"/>
  <c r="AX453" i="3"/>
  <c r="AW453" i="3"/>
  <c r="AC453" i="3"/>
  <c r="M453" i="3"/>
  <c r="BC453" i="3" s="1"/>
  <c r="AZ452" i="3"/>
  <c r="BB452" i="3" s="1"/>
  <c r="AY452" i="3"/>
  <c r="BA452" i="3" s="1"/>
  <c r="AX452" i="3"/>
  <c r="AW452" i="3"/>
  <c r="AC452" i="3"/>
  <c r="M452" i="3"/>
  <c r="BC452" i="3" s="1"/>
  <c r="AZ451" i="3"/>
  <c r="BB451" i="3" s="1"/>
  <c r="AY451" i="3"/>
  <c r="BA451" i="3" s="1"/>
  <c r="AX451" i="3"/>
  <c r="AW451" i="3"/>
  <c r="AC451" i="3"/>
  <c r="M451" i="3"/>
  <c r="BC451" i="3" s="1"/>
  <c r="AZ450" i="3"/>
  <c r="BB450" i="3" s="1"/>
  <c r="AY450" i="3"/>
  <c r="BA450" i="3" s="1"/>
  <c r="AX450" i="3"/>
  <c r="AW450" i="3"/>
  <c r="AC450" i="3"/>
  <c r="M450" i="3"/>
  <c r="BC450" i="3" s="1"/>
  <c r="AZ449" i="3"/>
  <c r="BB449" i="3" s="1"/>
  <c r="AY449" i="3"/>
  <c r="BA449" i="3" s="1"/>
  <c r="AX449" i="3"/>
  <c r="AW449" i="3"/>
  <c r="AC449" i="3"/>
  <c r="M449" i="3"/>
  <c r="BC449" i="3" s="1"/>
  <c r="AZ448" i="3"/>
  <c r="BB448" i="3" s="1"/>
  <c r="AY448" i="3"/>
  <c r="BA448" i="3" s="1"/>
  <c r="AX448" i="3"/>
  <c r="AW448" i="3"/>
  <c r="AC448" i="3"/>
  <c r="M448" i="3"/>
  <c r="BC448" i="3" s="1"/>
  <c r="AZ447" i="3"/>
  <c r="BB447" i="3" s="1"/>
  <c r="AY447" i="3"/>
  <c r="BA447" i="3" s="1"/>
  <c r="AX447" i="3"/>
  <c r="AW447" i="3"/>
  <c r="AC447" i="3"/>
  <c r="M447" i="3"/>
  <c r="BC447" i="3" s="1"/>
  <c r="AZ446" i="3"/>
  <c r="BB446" i="3" s="1"/>
  <c r="AY446" i="3"/>
  <c r="BA446" i="3" s="1"/>
  <c r="AX446" i="3"/>
  <c r="AW446" i="3"/>
  <c r="AC446" i="3"/>
  <c r="M446" i="3"/>
  <c r="BC446" i="3" s="1"/>
  <c r="AZ445" i="3"/>
  <c r="BB445" i="3" s="1"/>
  <c r="AY445" i="3"/>
  <c r="BA445" i="3" s="1"/>
  <c r="AX445" i="3"/>
  <c r="AW445" i="3"/>
  <c r="AC445" i="3"/>
  <c r="M445" i="3"/>
  <c r="BC445" i="3" s="1"/>
  <c r="AZ444" i="3"/>
  <c r="BB444" i="3" s="1"/>
  <c r="AY444" i="3"/>
  <c r="BA444" i="3" s="1"/>
  <c r="AX444" i="3"/>
  <c r="AW444" i="3"/>
  <c r="AC444" i="3"/>
  <c r="M444" i="3"/>
  <c r="BC444" i="3" s="1"/>
  <c r="AZ443" i="3"/>
  <c r="BB443" i="3" s="1"/>
  <c r="AY443" i="3"/>
  <c r="BA443" i="3" s="1"/>
  <c r="AX443" i="3"/>
  <c r="AW443" i="3"/>
  <c r="AC443" i="3"/>
  <c r="M443" i="3"/>
  <c r="BC443" i="3" s="1"/>
  <c r="AZ442" i="3"/>
  <c r="BB442" i="3" s="1"/>
  <c r="AY442" i="3"/>
  <c r="BA442" i="3" s="1"/>
  <c r="AX442" i="3"/>
  <c r="AW442" i="3"/>
  <c r="AC442" i="3"/>
  <c r="M442" i="3"/>
  <c r="BC442" i="3" s="1"/>
  <c r="AZ441" i="3"/>
  <c r="BB441" i="3" s="1"/>
  <c r="AY441" i="3"/>
  <c r="BA441" i="3" s="1"/>
  <c r="AX441" i="3"/>
  <c r="AW441" i="3"/>
  <c r="AC441" i="3"/>
  <c r="M441" i="3"/>
  <c r="BC441" i="3" s="1"/>
  <c r="AZ440" i="3"/>
  <c r="BB440" i="3" s="1"/>
  <c r="AY440" i="3"/>
  <c r="BA440" i="3" s="1"/>
  <c r="AX440" i="3"/>
  <c r="AW440" i="3"/>
  <c r="AC440" i="3"/>
  <c r="M440" i="3"/>
  <c r="BC440" i="3" s="1"/>
  <c r="AZ439" i="3"/>
  <c r="BB439" i="3" s="1"/>
  <c r="AY439" i="3"/>
  <c r="BA439" i="3" s="1"/>
  <c r="AX439" i="3"/>
  <c r="AW439" i="3"/>
  <c r="AC439" i="3"/>
  <c r="M439" i="3"/>
  <c r="BC439" i="3" s="1"/>
  <c r="AZ438" i="3"/>
  <c r="BB438" i="3" s="1"/>
  <c r="AY438" i="3"/>
  <c r="BA438" i="3" s="1"/>
  <c r="AX438" i="3"/>
  <c r="AW438" i="3"/>
  <c r="AC438" i="3"/>
  <c r="M438" i="3"/>
  <c r="BC438" i="3" s="1"/>
  <c r="AZ437" i="3"/>
  <c r="BB437" i="3" s="1"/>
  <c r="AY437" i="3"/>
  <c r="BA437" i="3" s="1"/>
  <c r="AX437" i="3"/>
  <c r="AW437" i="3"/>
  <c r="AC437" i="3"/>
  <c r="M437" i="3"/>
  <c r="BC437" i="3" s="1"/>
  <c r="AZ436" i="3"/>
  <c r="BB436" i="3" s="1"/>
  <c r="AY436" i="3"/>
  <c r="BA436" i="3" s="1"/>
  <c r="AX436" i="3"/>
  <c r="AW436" i="3"/>
  <c r="AC436" i="3"/>
  <c r="M436" i="3"/>
  <c r="BC436" i="3" s="1"/>
  <c r="AZ435" i="3"/>
  <c r="BB435" i="3" s="1"/>
  <c r="AY435" i="3"/>
  <c r="BA435" i="3" s="1"/>
  <c r="AX435" i="3"/>
  <c r="AW435" i="3"/>
  <c r="AC435" i="3"/>
  <c r="M435" i="3"/>
  <c r="BC435" i="3" s="1"/>
  <c r="AZ434" i="3"/>
  <c r="BB434" i="3" s="1"/>
  <c r="AY434" i="3"/>
  <c r="BA434" i="3" s="1"/>
  <c r="AX434" i="3"/>
  <c r="AW434" i="3"/>
  <c r="AC434" i="3"/>
  <c r="M434" i="3"/>
  <c r="BC434" i="3" s="1"/>
  <c r="AZ433" i="3"/>
  <c r="BB433" i="3" s="1"/>
  <c r="AY433" i="3"/>
  <c r="BA433" i="3" s="1"/>
  <c r="AX433" i="3"/>
  <c r="AW433" i="3"/>
  <c r="AC433" i="3"/>
  <c r="M433" i="3"/>
  <c r="BC433" i="3" s="1"/>
  <c r="AZ432" i="3"/>
  <c r="BB432" i="3" s="1"/>
  <c r="AY432" i="3"/>
  <c r="BA432" i="3" s="1"/>
  <c r="AX432" i="3"/>
  <c r="AW432" i="3"/>
  <c r="AC432" i="3"/>
  <c r="M432" i="3"/>
  <c r="BC432" i="3" s="1"/>
  <c r="AZ431" i="3"/>
  <c r="BB431" i="3" s="1"/>
  <c r="AY431" i="3"/>
  <c r="BA431" i="3" s="1"/>
  <c r="AX431" i="3"/>
  <c r="AW431" i="3"/>
  <c r="AC431" i="3"/>
  <c r="M431" i="3"/>
  <c r="BC431" i="3" s="1"/>
  <c r="AZ430" i="3"/>
  <c r="BB430" i="3" s="1"/>
  <c r="AY430" i="3"/>
  <c r="BA430" i="3" s="1"/>
  <c r="AX430" i="3"/>
  <c r="AW430" i="3"/>
  <c r="AC430" i="3"/>
  <c r="M430" i="3"/>
  <c r="BC430" i="3" s="1"/>
  <c r="AZ429" i="3"/>
  <c r="BB429" i="3" s="1"/>
  <c r="AY429" i="3"/>
  <c r="BA429" i="3" s="1"/>
  <c r="AX429" i="3"/>
  <c r="AW429" i="3"/>
  <c r="AC429" i="3"/>
  <c r="M429" i="3"/>
  <c r="BC429" i="3" s="1"/>
  <c r="AZ428" i="3"/>
  <c r="BB428" i="3" s="1"/>
  <c r="AY428" i="3"/>
  <c r="BA428" i="3" s="1"/>
  <c r="AX428" i="3"/>
  <c r="AW428" i="3"/>
  <c r="AC428" i="3"/>
  <c r="M428" i="3"/>
  <c r="BC428" i="3" s="1"/>
  <c r="AZ427" i="3"/>
  <c r="BB427" i="3" s="1"/>
  <c r="AY427" i="3"/>
  <c r="BA427" i="3" s="1"/>
  <c r="AX427" i="3"/>
  <c r="AW427" i="3"/>
  <c r="AC427" i="3"/>
  <c r="M427" i="3"/>
  <c r="BC427" i="3" s="1"/>
  <c r="AZ426" i="3"/>
  <c r="BB426" i="3" s="1"/>
  <c r="AY426" i="3"/>
  <c r="BA426" i="3" s="1"/>
  <c r="AX426" i="3"/>
  <c r="AW426" i="3"/>
  <c r="AC426" i="3"/>
  <c r="M426" i="3"/>
  <c r="BC426" i="3" s="1"/>
  <c r="AZ425" i="3"/>
  <c r="BB425" i="3" s="1"/>
  <c r="AY425" i="3"/>
  <c r="BA425" i="3" s="1"/>
  <c r="AX425" i="3"/>
  <c r="AW425" i="3"/>
  <c r="AC425" i="3"/>
  <c r="M425" i="3"/>
  <c r="BC425" i="3" s="1"/>
  <c r="AZ424" i="3"/>
  <c r="BB424" i="3" s="1"/>
  <c r="AY424" i="3"/>
  <c r="BA424" i="3" s="1"/>
  <c r="AX424" i="3"/>
  <c r="AW424" i="3"/>
  <c r="AC424" i="3"/>
  <c r="M424" i="3"/>
  <c r="BC424" i="3" s="1"/>
  <c r="AZ423" i="3"/>
  <c r="BB423" i="3" s="1"/>
  <c r="AY423" i="3"/>
  <c r="BA423" i="3" s="1"/>
  <c r="AX423" i="3"/>
  <c r="AW423" i="3"/>
  <c r="AC423" i="3"/>
  <c r="M423" i="3"/>
  <c r="BC423" i="3" s="1"/>
  <c r="AZ422" i="3"/>
  <c r="BB422" i="3" s="1"/>
  <c r="AY422" i="3"/>
  <c r="BA422" i="3" s="1"/>
  <c r="AX422" i="3"/>
  <c r="AW422" i="3"/>
  <c r="AC422" i="3"/>
  <c r="M422" i="3"/>
  <c r="BC422" i="3" s="1"/>
  <c r="AZ421" i="3"/>
  <c r="BB421" i="3" s="1"/>
  <c r="AY421" i="3"/>
  <c r="BA421" i="3" s="1"/>
  <c r="AX421" i="3"/>
  <c r="AW421" i="3"/>
  <c r="AC421" i="3"/>
  <c r="M421" i="3"/>
  <c r="BC421" i="3" s="1"/>
  <c r="AZ420" i="3"/>
  <c r="BB420" i="3" s="1"/>
  <c r="AY420" i="3"/>
  <c r="BA420" i="3" s="1"/>
  <c r="AX420" i="3"/>
  <c r="AW420" i="3"/>
  <c r="AC420" i="3"/>
  <c r="M420" i="3"/>
  <c r="BC420" i="3" s="1"/>
  <c r="AZ419" i="3"/>
  <c r="BB419" i="3" s="1"/>
  <c r="AY419" i="3"/>
  <c r="BA419" i="3" s="1"/>
  <c r="AX419" i="3"/>
  <c r="AW419" i="3"/>
  <c r="AC419" i="3"/>
  <c r="M419" i="3"/>
  <c r="BC419" i="3" s="1"/>
  <c r="AZ418" i="3"/>
  <c r="BB418" i="3" s="1"/>
  <c r="AY418" i="3"/>
  <c r="BA418" i="3" s="1"/>
  <c r="AX418" i="3"/>
  <c r="AW418" i="3"/>
  <c r="AC418" i="3"/>
  <c r="M418" i="3"/>
  <c r="BC418" i="3" s="1"/>
  <c r="AZ417" i="3"/>
  <c r="BB417" i="3" s="1"/>
  <c r="AY417" i="3"/>
  <c r="BA417" i="3" s="1"/>
  <c r="AX417" i="3"/>
  <c r="AW417" i="3"/>
  <c r="AC417" i="3"/>
  <c r="M417" i="3"/>
  <c r="BC417" i="3" s="1"/>
  <c r="AZ416" i="3"/>
  <c r="BB416" i="3" s="1"/>
  <c r="AY416" i="3"/>
  <c r="BA416" i="3" s="1"/>
  <c r="AX416" i="3"/>
  <c r="AW416" i="3"/>
  <c r="AC416" i="3"/>
  <c r="M416" i="3"/>
  <c r="BC416" i="3" s="1"/>
  <c r="AZ415" i="3"/>
  <c r="BB415" i="3" s="1"/>
  <c r="AY415" i="3"/>
  <c r="BA415" i="3" s="1"/>
  <c r="AX415" i="3"/>
  <c r="AW415" i="3"/>
  <c r="AC415" i="3"/>
  <c r="M415" i="3"/>
  <c r="BC415" i="3" s="1"/>
  <c r="AZ414" i="3"/>
  <c r="BB414" i="3" s="1"/>
  <c r="AY414" i="3"/>
  <c r="BA414" i="3" s="1"/>
  <c r="AX414" i="3"/>
  <c r="AW414" i="3"/>
  <c r="AC414" i="3"/>
  <c r="M414" i="3"/>
  <c r="BC414" i="3" s="1"/>
  <c r="AZ413" i="3"/>
  <c r="BB413" i="3" s="1"/>
  <c r="AY413" i="3"/>
  <c r="BA413" i="3" s="1"/>
  <c r="AX413" i="3"/>
  <c r="AW413" i="3"/>
  <c r="AC413" i="3"/>
  <c r="M413" i="3"/>
  <c r="BC413" i="3" s="1"/>
  <c r="AZ412" i="3"/>
  <c r="BB412" i="3" s="1"/>
  <c r="AY412" i="3"/>
  <c r="BA412" i="3" s="1"/>
  <c r="AX412" i="3"/>
  <c r="AW412" i="3"/>
  <c r="AC412" i="3"/>
  <c r="M412" i="3"/>
  <c r="BC412" i="3" s="1"/>
  <c r="AZ411" i="3"/>
  <c r="BB411" i="3" s="1"/>
  <c r="AY411" i="3"/>
  <c r="BA411" i="3" s="1"/>
  <c r="AX411" i="3"/>
  <c r="AW411" i="3"/>
  <c r="AC411" i="3"/>
  <c r="M411" i="3"/>
  <c r="BC411" i="3" s="1"/>
  <c r="AZ410" i="3"/>
  <c r="BB410" i="3" s="1"/>
  <c r="AY410" i="3"/>
  <c r="BA410" i="3" s="1"/>
  <c r="AX410" i="3"/>
  <c r="AW410" i="3"/>
  <c r="AC410" i="3"/>
  <c r="M410" i="3"/>
  <c r="BC410" i="3" s="1"/>
  <c r="AZ409" i="3"/>
  <c r="BB409" i="3" s="1"/>
  <c r="AY409" i="3"/>
  <c r="BA409" i="3" s="1"/>
  <c r="AX409" i="3"/>
  <c r="AW409" i="3"/>
  <c r="AC409" i="3"/>
  <c r="M409" i="3"/>
  <c r="BC409" i="3" s="1"/>
  <c r="AZ408" i="3"/>
  <c r="BB408" i="3" s="1"/>
  <c r="AY408" i="3"/>
  <c r="BA408" i="3" s="1"/>
  <c r="AX408" i="3"/>
  <c r="AW408" i="3"/>
  <c r="AC408" i="3"/>
  <c r="M408" i="3"/>
  <c r="BC408" i="3" s="1"/>
  <c r="AZ407" i="3"/>
  <c r="BB407" i="3" s="1"/>
  <c r="AY407" i="3"/>
  <c r="BA407" i="3" s="1"/>
  <c r="AX407" i="3"/>
  <c r="AW407" i="3"/>
  <c r="AC407" i="3"/>
  <c r="M407" i="3"/>
  <c r="BC407" i="3" s="1"/>
  <c r="AZ406" i="3"/>
  <c r="BB406" i="3" s="1"/>
  <c r="AY406" i="3"/>
  <c r="BA406" i="3" s="1"/>
  <c r="AX406" i="3"/>
  <c r="AW406" i="3"/>
  <c r="AC406" i="3"/>
  <c r="M406" i="3"/>
  <c r="BC406" i="3" s="1"/>
  <c r="AZ405" i="3"/>
  <c r="BB405" i="3" s="1"/>
  <c r="AY405" i="3"/>
  <c r="BA405" i="3" s="1"/>
  <c r="AX405" i="3"/>
  <c r="AW405" i="3"/>
  <c r="AC405" i="3"/>
  <c r="M405" i="3"/>
  <c r="BC405" i="3" s="1"/>
  <c r="AZ404" i="3"/>
  <c r="BB404" i="3" s="1"/>
  <c r="AY404" i="3"/>
  <c r="BA404" i="3" s="1"/>
  <c r="AX404" i="3"/>
  <c r="AW404" i="3"/>
  <c r="AC404" i="3"/>
  <c r="M404" i="3"/>
  <c r="BC404" i="3" s="1"/>
  <c r="AZ403" i="3"/>
  <c r="BB403" i="3" s="1"/>
  <c r="AY403" i="3"/>
  <c r="BA403" i="3" s="1"/>
  <c r="AX403" i="3"/>
  <c r="AW403" i="3"/>
  <c r="AC403" i="3"/>
  <c r="M403" i="3"/>
  <c r="BC403" i="3" s="1"/>
  <c r="AZ402" i="3"/>
  <c r="BB402" i="3" s="1"/>
  <c r="AY402" i="3"/>
  <c r="BA402" i="3" s="1"/>
  <c r="AX402" i="3"/>
  <c r="AW402" i="3"/>
  <c r="AC402" i="3"/>
  <c r="M402" i="3"/>
  <c r="BC402" i="3" s="1"/>
  <c r="AZ401" i="3"/>
  <c r="BB401" i="3" s="1"/>
  <c r="AY401" i="3"/>
  <c r="BA401" i="3" s="1"/>
  <c r="AX401" i="3"/>
  <c r="AW401" i="3"/>
  <c r="AC401" i="3"/>
  <c r="M401" i="3"/>
  <c r="BC401" i="3" s="1"/>
  <c r="AZ400" i="3"/>
  <c r="BB400" i="3" s="1"/>
  <c r="AY400" i="3"/>
  <c r="BA400" i="3" s="1"/>
  <c r="AX400" i="3"/>
  <c r="AW400" i="3"/>
  <c r="AC400" i="3"/>
  <c r="M400" i="3"/>
  <c r="BC400" i="3" s="1"/>
  <c r="AZ399" i="3"/>
  <c r="BB399" i="3" s="1"/>
  <c r="AY399" i="3"/>
  <c r="BA399" i="3" s="1"/>
  <c r="AX399" i="3"/>
  <c r="AW399" i="3"/>
  <c r="AC399" i="3"/>
  <c r="M399" i="3"/>
  <c r="BC399" i="3" s="1"/>
  <c r="AZ398" i="3"/>
  <c r="BB398" i="3" s="1"/>
  <c r="AY398" i="3"/>
  <c r="BA398" i="3" s="1"/>
  <c r="AX398" i="3"/>
  <c r="AW398" i="3"/>
  <c r="AC398" i="3"/>
  <c r="M398" i="3"/>
  <c r="BC398" i="3" s="1"/>
  <c r="AZ397" i="3"/>
  <c r="BB397" i="3" s="1"/>
  <c r="AY397" i="3"/>
  <c r="BA397" i="3" s="1"/>
  <c r="AX397" i="3"/>
  <c r="AW397" i="3"/>
  <c r="AC397" i="3"/>
  <c r="M397" i="3"/>
  <c r="BC397" i="3" s="1"/>
  <c r="AZ396" i="3"/>
  <c r="BB396" i="3" s="1"/>
  <c r="AY396" i="3"/>
  <c r="BA396" i="3" s="1"/>
  <c r="AX396" i="3"/>
  <c r="AW396" i="3"/>
  <c r="AC396" i="3"/>
  <c r="M396" i="3"/>
  <c r="BC396" i="3" s="1"/>
  <c r="AZ395" i="3"/>
  <c r="BB395" i="3" s="1"/>
  <c r="AY395" i="3"/>
  <c r="BA395" i="3" s="1"/>
  <c r="AX395" i="3"/>
  <c r="AW395" i="3"/>
  <c r="AC395" i="3"/>
  <c r="M395" i="3"/>
  <c r="BC395" i="3" s="1"/>
  <c r="AZ394" i="3"/>
  <c r="BB394" i="3" s="1"/>
  <c r="AY394" i="3"/>
  <c r="BA394" i="3" s="1"/>
  <c r="AX394" i="3"/>
  <c r="AW394" i="3"/>
  <c r="AC394" i="3"/>
  <c r="M394" i="3"/>
  <c r="BC394" i="3" s="1"/>
  <c r="AZ393" i="3"/>
  <c r="BB393" i="3" s="1"/>
  <c r="AY393" i="3"/>
  <c r="BA393" i="3" s="1"/>
  <c r="AX393" i="3"/>
  <c r="AW393" i="3"/>
  <c r="AC393" i="3"/>
  <c r="M393" i="3"/>
  <c r="BC393" i="3" s="1"/>
  <c r="AZ392" i="3"/>
  <c r="BB392" i="3" s="1"/>
  <c r="AY392" i="3"/>
  <c r="BA392" i="3" s="1"/>
  <c r="AX392" i="3"/>
  <c r="AW392" i="3"/>
  <c r="AC392" i="3"/>
  <c r="M392" i="3"/>
  <c r="BC392" i="3" s="1"/>
  <c r="AZ391" i="3"/>
  <c r="BB391" i="3" s="1"/>
  <c r="AY391" i="3"/>
  <c r="BA391" i="3" s="1"/>
  <c r="AX391" i="3"/>
  <c r="AW391" i="3"/>
  <c r="AC391" i="3"/>
  <c r="M391" i="3"/>
  <c r="BC391" i="3" s="1"/>
  <c r="AZ390" i="3"/>
  <c r="BB390" i="3" s="1"/>
  <c r="AY390" i="3"/>
  <c r="BA390" i="3" s="1"/>
  <c r="AX390" i="3"/>
  <c r="AW390" i="3"/>
  <c r="AC390" i="3"/>
  <c r="M390" i="3"/>
  <c r="BC390" i="3" s="1"/>
  <c r="AZ389" i="3"/>
  <c r="BB389" i="3" s="1"/>
  <c r="AY389" i="3"/>
  <c r="BA389" i="3" s="1"/>
  <c r="AX389" i="3"/>
  <c r="AW389" i="3"/>
  <c r="AC389" i="3"/>
  <c r="M389" i="3"/>
  <c r="BC389" i="3" s="1"/>
  <c r="AZ388" i="3"/>
  <c r="BB388" i="3" s="1"/>
  <c r="AY388" i="3"/>
  <c r="BA388" i="3" s="1"/>
  <c r="AX388" i="3"/>
  <c r="AW388" i="3"/>
  <c r="AC388" i="3"/>
  <c r="M388" i="3"/>
  <c r="BC388" i="3" s="1"/>
  <c r="AZ387" i="3"/>
  <c r="BB387" i="3" s="1"/>
  <c r="AY387" i="3"/>
  <c r="BA387" i="3" s="1"/>
  <c r="AX387" i="3"/>
  <c r="AW387" i="3"/>
  <c r="AC387" i="3"/>
  <c r="M387" i="3"/>
  <c r="BC387" i="3" s="1"/>
  <c r="AZ386" i="3"/>
  <c r="BB386" i="3" s="1"/>
  <c r="AY386" i="3"/>
  <c r="BA386" i="3" s="1"/>
  <c r="AX386" i="3"/>
  <c r="AW386" i="3"/>
  <c r="AC386" i="3"/>
  <c r="M386" i="3"/>
  <c r="BC386" i="3" s="1"/>
  <c r="AZ385" i="3"/>
  <c r="BB385" i="3" s="1"/>
  <c r="AY385" i="3"/>
  <c r="BA385" i="3" s="1"/>
  <c r="AX385" i="3"/>
  <c r="AW385" i="3"/>
  <c r="AC385" i="3"/>
  <c r="M385" i="3"/>
  <c r="BC385" i="3" s="1"/>
  <c r="AZ384" i="3"/>
  <c r="BB384" i="3" s="1"/>
  <c r="AY384" i="3"/>
  <c r="BA384" i="3" s="1"/>
  <c r="AX384" i="3"/>
  <c r="AW384" i="3"/>
  <c r="AC384" i="3"/>
  <c r="M384" i="3"/>
  <c r="BC384" i="3" s="1"/>
  <c r="AZ383" i="3"/>
  <c r="BB383" i="3" s="1"/>
  <c r="AY383" i="3"/>
  <c r="BA383" i="3" s="1"/>
  <c r="AX383" i="3"/>
  <c r="AW383" i="3"/>
  <c r="AC383" i="3"/>
  <c r="M383" i="3"/>
  <c r="BC383" i="3" s="1"/>
  <c r="AZ382" i="3"/>
  <c r="BB382" i="3" s="1"/>
  <c r="AY382" i="3"/>
  <c r="BA382" i="3" s="1"/>
  <c r="AX382" i="3"/>
  <c r="AW382" i="3"/>
  <c r="AC382" i="3"/>
  <c r="M382" i="3"/>
  <c r="BC382" i="3" s="1"/>
  <c r="AZ381" i="3"/>
  <c r="BB381" i="3" s="1"/>
  <c r="AY381" i="3"/>
  <c r="BA381" i="3" s="1"/>
  <c r="AX381" i="3"/>
  <c r="AW381" i="3"/>
  <c r="AC381" i="3"/>
  <c r="M381" i="3"/>
  <c r="BC381" i="3" s="1"/>
  <c r="AZ380" i="3"/>
  <c r="BB380" i="3" s="1"/>
  <c r="AY380" i="3"/>
  <c r="BA380" i="3" s="1"/>
  <c r="AX380" i="3"/>
  <c r="AW380" i="3"/>
  <c r="AC380" i="3"/>
  <c r="M380" i="3"/>
  <c r="BC380" i="3" s="1"/>
  <c r="AZ379" i="3"/>
  <c r="BB379" i="3" s="1"/>
  <c r="AY379" i="3"/>
  <c r="BA379" i="3" s="1"/>
  <c r="AX379" i="3"/>
  <c r="AW379" i="3"/>
  <c r="AC379" i="3"/>
  <c r="M379" i="3"/>
  <c r="BC379" i="3" s="1"/>
  <c r="AZ378" i="3"/>
  <c r="BB378" i="3" s="1"/>
  <c r="AY378" i="3"/>
  <c r="BA378" i="3" s="1"/>
  <c r="AX378" i="3"/>
  <c r="AW378" i="3"/>
  <c r="AC378" i="3"/>
  <c r="M378" i="3"/>
  <c r="BC378" i="3" s="1"/>
  <c r="AZ377" i="3"/>
  <c r="BB377" i="3" s="1"/>
  <c r="AY377" i="3"/>
  <c r="BA377" i="3" s="1"/>
  <c r="AX377" i="3"/>
  <c r="AW377" i="3"/>
  <c r="AC377" i="3"/>
  <c r="M377" i="3"/>
  <c r="BC377" i="3" s="1"/>
  <c r="AZ376" i="3"/>
  <c r="BB376" i="3" s="1"/>
  <c r="AY376" i="3"/>
  <c r="BA376" i="3" s="1"/>
  <c r="AX376" i="3"/>
  <c r="AW376" i="3"/>
  <c r="AC376" i="3"/>
  <c r="M376" i="3"/>
  <c r="BC376" i="3" s="1"/>
  <c r="AZ375" i="3"/>
  <c r="BB375" i="3" s="1"/>
  <c r="AY375" i="3"/>
  <c r="BA375" i="3" s="1"/>
  <c r="AX375" i="3"/>
  <c r="AW375" i="3"/>
  <c r="AC375" i="3"/>
  <c r="M375" i="3"/>
  <c r="BC375" i="3" s="1"/>
  <c r="AZ374" i="3"/>
  <c r="BB374" i="3" s="1"/>
  <c r="AY374" i="3"/>
  <c r="BA374" i="3" s="1"/>
  <c r="AX374" i="3"/>
  <c r="AW374" i="3"/>
  <c r="AC374" i="3"/>
  <c r="M374" i="3"/>
  <c r="BC374" i="3" s="1"/>
  <c r="AZ373" i="3"/>
  <c r="BB373" i="3" s="1"/>
  <c r="AY373" i="3"/>
  <c r="BA373" i="3" s="1"/>
  <c r="AX373" i="3"/>
  <c r="AW373" i="3"/>
  <c r="AC373" i="3"/>
  <c r="M373" i="3"/>
  <c r="BC373" i="3" s="1"/>
  <c r="AZ372" i="3"/>
  <c r="BB372" i="3" s="1"/>
  <c r="AY372" i="3"/>
  <c r="BA372" i="3" s="1"/>
  <c r="AX372" i="3"/>
  <c r="AW372" i="3"/>
  <c r="AC372" i="3"/>
  <c r="M372" i="3"/>
  <c r="BC372" i="3" s="1"/>
  <c r="AZ371" i="3"/>
  <c r="BB371" i="3" s="1"/>
  <c r="AY371" i="3"/>
  <c r="BA371" i="3" s="1"/>
  <c r="AX371" i="3"/>
  <c r="AW371" i="3"/>
  <c r="AC371" i="3"/>
  <c r="M371" i="3"/>
  <c r="BC371" i="3" s="1"/>
  <c r="AZ370" i="3"/>
  <c r="BB370" i="3" s="1"/>
  <c r="AY370" i="3"/>
  <c r="BA370" i="3" s="1"/>
  <c r="AX370" i="3"/>
  <c r="AW370" i="3"/>
  <c r="AC370" i="3"/>
  <c r="M370" i="3"/>
  <c r="BC370" i="3" s="1"/>
  <c r="AZ369" i="3"/>
  <c r="BB369" i="3" s="1"/>
  <c r="AY369" i="3"/>
  <c r="BA369" i="3" s="1"/>
  <c r="AX369" i="3"/>
  <c r="AW369" i="3"/>
  <c r="AC369" i="3"/>
  <c r="M369" i="3"/>
  <c r="BC369" i="3" s="1"/>
  <c r="AZ368" i="3"/>
  <c r="BB368" i="3" s="1"/>
  <c r="AY368" i="3"/>
  <c r="BA368" i="3" s="1"/>
  <c r="AX368" i="3"/>
  <c r="AW368" i="3"/>
  <c r="AC368" i="3"/>
  <c r="M368" i="3"/>
  <c r="BC368" i="3" s="1"/>
  <c r="AZ367" i="3"/>
  <c r="BB367" i="3" s="1"/>
  <c r="AY367" i="3"/>
  <c r="BA367" i="3" s="1"/>
  <c r="AX367" i="3"/>
  <c r="AW367" i="3"/>
  <c r="AC367" i="3"/>
  <c r="M367" i="3"/>
  <c r="BC367" i="3" s="1"/>
  <c r="AZ366" i="3"/>
  <c r="BB366" i="3" s="1"/>
  <c r="AY366" i="3"/>
  <c r="BA366" i="3" s="1"/>
  <c r="AX366" i="3"/>
  <c r="AW366" i="3"/>
  <c r="AC366" i="3"/>
  <c r="M366" i="3"/>
  <c r="BC366" i="3" s="1"/>
  <c r="AZ365" i="3"/>
  <c r="BB365" i="3" s="1"/>
  <c r="AY365" i="3"/>
  <c r="BA365" i="3" s="1"/>
  <c r="AX365" i="3"/>
  <c r="AW365" i="3"/>
  <c r="AC365" i="3"/>
  <c r="M365" i="3"/>
  <c r="BC365" i="3" s="1"/>
  <c r="AZ364" i="3"/>
  <c r="BB364" i="3" s="1"/>
  <c r="AY364" i="3"/>
  <c r="BA364" i="3" s="1"/>
  <c r="AX364" i="3"/>
  <c r="AW364" i="3"/>
  <c r="AC364" i="3"/>
  <c r="M364" i="3"/>
  <c r="BC364" i="3" s="1"/>
  <c r="AZ363" i="3"/>
  <c r="BB363" i="3" s="1"/>
  <c r="AY363" i="3"/>
  <c r="BA363" i="3" s="1"/>
  <c r="AX363" i="3"/>
  <c r="AW363" i="3"/>
  <c r="AC363" i="3"/>
  <c r="M363" i="3"/>
  <c r="BC363" i="3" s="1"/>
  <c r="AZ362" i="3"/>
  <c r="BB362" i="3" s="1"/>
  <c r="AY362" i="3"/>
  <c r="BA362" i="3" s="1"/>
  <c r="AX362" i="3"/>
  <c r="AW362" i="3"/>
  <c r="AC362" i="3"/>
  <c r="M362" i="3"/>
  <c r="BC362" i="3" s="1"/>
  <c r="AZ361" i="3"/>
  <c r="BB361" i="3" s="1"/>
  <c r="AY361" i="3"/>
  <c r="BA361" i="3" s="1"/>
  <c r="AX361" i="3"/>
  <c r="AW361" i="3"/>
  <c r="AC361" i="3"/>
  <c r="M361" i="3"/>
  <c r="BC361" i="3" s="1"/>
  <c r="AZ360" i="3"/>
  <c r="BB360" i="3" s="1"/>
  <c r="AY360" i="3"/>
  <c r="BA360" i="3" s="1"/>
  <c r="AX360" i="3"/>
  <c r="AW360" i="3"/>
  <c r="AC360" i="3"/>
  <c r="M360" i="3"/>
  <c r="BC360" i="3" s="1"/>
  <c r="AZ359" i="3"/>
  <c r="BB359" i="3" s="1"/>
  <c r="AY359" i="3"/>
  <c r="BA359" i="3" s="1"/>
  <c r="AX359" i="3"/>
  <c r="AW359" i="3"/>
  <c r="AC359" i="3"/>
  <c r="M359" i="3"/>
  <c r="BC359" i="3" s="1"/>
  <c r="AZ358" i="3"/>
  <c r="BB358" i="3" s="1"/>
  <c r="AY358" i="3"/>
  <c r="BA358" i="3" s="1"/>
  <c r="AX358" i="3"/>
  <c r="AW358" i="3"/>
  <c r="AC358" i="3"/>
  <c r="M358" i="3"/>
  <c r="BC358" i="3" s="1"/>
  <c r="AZ357" i="3"/>
  <c r="BB357" i="3" s="1"/>
  <c r="AY357" i="3"/>
  <c r="BA357" i="3" s="1"/>
  <c r="AX357" i="3"/>
  <c r="AW357" i="3"/>
  <c r="AC357" i="3"/>
  <c r="M357" i="3"/>
  <c r="BC357" i="3" s="1"/>
  <c r="AZ356" i="3"/>
  <c r="BB356" i="3" s="1"/>
  <c r="AY356" i="3"/>
  <c r="BA356" i="3" s="1"/>
  <c r="AX356" i="3"/>
  <c r="AW356" i="3"/>
  <c r="AC356" i="3"/>
  <c r="M356" i="3"/>
  <c r="BC356" i="3" s="1"/>
  <c r="AZ355" i="3"/>
  <c r="BB355" i="3" s="1"/>
  <c r="AY355" i="3"/>
  <c r="BA355" i="3" s="1"/>
  <c r="AX355" i="3"/>
  <c r="AW355" i="3"/>
  <c r="AC355" i="3"/>
  <c r="M355" i="3"/>
  <c r="BC355" i="3" s="1"/>
  <c r="AZ354" i="3"/>
  <c r="BB354" i="3" s="1"/>
  <c r="AY354" i="3"/>
  <c r="BA354" i="3" s="1"/>
  <c r="AX354" i="3"/>
  <c r="AW354" i="3"/>
  <c r="AC354" i="3"/>
  <c r="M354" i="3"/>
  <c r="BC354" i="3" s="1"/>
  <c r="AZ353" i="3"/>
  <c r="BB353" i="3" s="1"/>
  <c r="AY353" i="3"/>
  <c r="BA353" i="3" s="1"/>
  <c r="AX353" i="3"/>
  <c r="AW353" i="3"/>
  <c r="AC353" i="3"/>
  <c r="M353" i="3"/>
  <c r="BC353" i="3" s="1"/>
  <c r="AZ352" i="3"/>
  <c r="BB352" i="3" s="1"/>
  <c r="AY352" i="3"/>
  <c r="BA352" i="3" s="1"/>
  <c r="AX352" i="3"/>
  <c r="AW352" i="3"/>
  <c r="AC352" i="3"/>
  <c r="M352" i="3"/>
  <c r="BC352" i="3" s="1"/>
  <c r="AZ351" i="3"/>
  <c r="BB351" i="3" s="1"/>
  <c r="AY351" i="3"/>
  <c r="BA351" i="3" s="1"/>
  <c r="AX351" i="3"/>
  <c r="AW351" i="3"/>
  <c r="AC351" i="3"/>
  <c r="M351" i="3"/>
  <c r="BC351" i="3" s="1"/>
  <c r="AZ350" i="3"/>
  <c r="BB350" i="3" s="1"/>
  <c r="AY350" i="3"/>
  <c r="BA350" i="3" s="1"/>
  <c r="AX350" i="3"/>
  <c r="AW350" i="3"/>
  <c r="AC350" i="3"/>
  <c r="M350" i="3"/>
  <c r="BC350" i="3" s="1"/>
  <c r="AZ349" i="3"/>
  <c r="BB349" i="3" s="1"/>
  <c r="AY349" i="3"/>
  <c r="BA349" i="3" s="1"/>
  <c r="AX349" i="3"/>
  <c r="AW349" i="3"/>
  <c r="AC349" i="3"/>
  <c r="M349" i="3"/>
  <c r="BC349" i="3" s="1"/>
  <c r="AZ348" i="3"/>
  <c r="BB348" i="3" s="1"/>
  <c r="AY348" i="3"/>
  <c r="BA348" i="3" s="1"/>
  <c r="AX348" i="3"/>
  <c r="AW348" i="3"/>
  <c r="AC348" i="3"/>
  <c r="M348" i="3"/>
  <c r="BC348" i="3" s="1"/>
  <c r="AZ347" i="3"/>
  <c r="BB347" i="3" s="1"/>
  <c r="AY347" i="3"/>
  <c r="BA347" i="3" s="1"/>
  <c r="AX347" i="3"/>
  <c r="AW347" i="3"/>
  <c r="AC347" i="3"/>
  <c r="M347" i="3"/>
  <c r="BC347" i="3" s="1"/>
  <c r="AZ346" i="3"/>
  <c r="BB346" i="3" s="1"/>
  <c r="AY346" i="3"/>
  <c r="BA346" i="3" s="1"/>
  <c r="AX346" i="3"/>
  <c r="AW346" i="3"/>
  <c r="AC346" i="3"/>
  <c r="M346" i="3"/>
  <c r="BC346" i="3" s="1"/>
  <c r="AZ345" i="3"/>
  <c r="BB345" i="3" s="1"/>
  <c r="AY345" i="3"/>
  <c r="BA345" i="3" s="1"/>
  <c r="AX345" i="3"/>
  <c r="AW345" i="3"/>
  <c r="AC345" i="3"/>
  <c r="M345" i="3"/>
  <c r="BC345" i="3" s="1"/>
  <c r="AZ344" i="3"/>
  <c r="BB344" i="3" s="1"/>
  <c r="AY344" i="3"/>
  <c r="BA344" i="3" s="1"/>
  <c r="AX344" i="3"/>
  <c r="AW344" i="3"/>
  <c r="AC344" i="3"/>
  <c r="M344" i="3"/>
  <c r="BC344" i="3" s="1"/>
  <c r="AZ343" i="3"/>
  <c r="BB343" i="3" s="1"/>
  <c r="AY343" i="3"/>
  <c r="BA343" i="3" s="1"/>
  <c r="AX343" i="3"/>
  <c r="AW343" i="3"/>
  <c r="AC343" i="3"/>
  <c r="M343" i="3"/>
  <c r="BC343" i="3" s="1"/>
  <c r="AZ342" i="3"/>
  <c r="BB342" i="3" s="1"/>
  <c r="AY342" i="3"/>
  <c r="BA342" i="3" s="1"/>
  <c r="AX342" i="3"/>
  <c r="AW342" i="3"/>
  <c r="AC342" i="3"/>
  <c r="M342" i="3"/>
  <c r="BC342" i="3" s="1"/>
  <c r="AZ341" i="3"/>
  <c r="BB341" i="3" s="1"/>
  <c r="AY341" i="3"/>
  <c r="BA341" i="3" s="1"/>
  <c r="AX341" i="3"/>
  <c r="AW341" i="3"/>
  <c r="AC341" i="3"/>
  <c r="M341" i="3"/>
  <c r="BC341" i="3" s="1"/>
  <c r="AZ340" i="3"/>
  <c r="BB340" i="3" s="1"/>
  <c r="AY340" i="3"/>
  <c r="BA340" i="3" s="1"/>
  <c r="AX340" i="3"/>
  <c r="AW340" i="3"/>
  <c r="AC340" i="3"/>
  <c r="M340" i="3"/>
  <c r="BC340" i="3" s="1"/>
  <c r="AZ339" i="3"/>
  <c r="BB339" i="3" s="1"/>
  <c r="AY339" i="3"/>
  <c r="BA339" i="3" s="1"/>
  <c r="AX339" i="3"/>
  <c r="AW339" i="3"/>
  <c r="AC339" i="3"/>
  <c r="M339" i="3"/>
  <c r="BC339" i="3" s="1"/>
  <c r="AZ338" i="3"/>
  <c r="BB338" i="3" s="1"/>
  <c r="AY338" i="3"/>
  <c r="BA338" i="3" s="1"/>
  <c r="AX338" i="3"/>
  <c r="AW338" i="3"/>
  <c r="AC338" i="3"/>
  <c r="M338" i="3"/>
  <c r="BC338" i="3" s="1"/>
  <c r="AZ337" i="3"/>
  <c r="BB337" i="3" s="1"/>
  <c r="AY337" i="3"/>
  <c r="BA337" i="3" s="1"/>
  <c r="AX337" i="3"/>
  <c r="AW337" i="3"/>
  <c r="AC337" i="3"/>
  <c r="M337" i="3"/>
  <c r="BC337" i="3" s="1"/>
  <c r="AZ336" i="3"/>
  <c r="BB336" i="3" s="1"/>
  <c r="AY336" i="3"/>
  <c r="BA336" i="3" s="1"/>
  <c r="AX336" i="3"/>
  <c r="AW336" i="3"/>
  <c r="AC336" i="3"/>
  <c r="M336" i="3"/>
  <c r="BC336" i="3" s="1"/>
  <c r="AZ335" i="3"/>
  <c r="BB335" i="3" s="1"/>
  <c r="AY335" i="3"/>
  <c r="BA335" i="3" s="1"/>
  <c r="AX335" i="3"/>
  <c r="AW335" i="3"/>
  <c r="AC335" i="3"/>
  <c r="M335" i="3"/>
  <c r="BC335" i="3" s="1"/>
  <c r="AZ334" i="3"/>
  <c r="BB334" i="3" s="1"/>
  <c r="AY334" i="3"/>
  <c r="BA334" i="3" s="1"/>
  <c r="AX334" i="3"/>
  <c r="AW334" i="3"/>
  <c r="AC334" i="3"/>
  <c r="M334" i="3"/>
  <c r="BC334" i="3" s="1"/>
  <c r="AZ333" i="3"/>
  <c r="BB333" i="3" s="1"/>
  <c r="AY333" i="3"/>
  <c r="BA333" i="3" s="1"/>
  <c r="AX333" i="3"/>
  <c r="AW333" i="3"/>
  <c r="AC333" i="3"/>
  <c r="M333" i="3"/>
  <c r="BC333" i="3" s="1"/>
  <c r="AZ332" i="3"/>
  <c r="BB332" i="3" s="1"/>
  <c r="AY332" i="3"/>
  <c r="BA332" i="3" s="1"/>
  <c r="AX332" i="3"/>
  <c r="AW332" i="3"/>
  <c r="AC332" i="3"/>
  <c r="M332" i="3"/>
  <c r="BC332" i="3" s="1"/>
  <c r="AZ331" i="3"/>
  <c r="BB331" i="3" s="1"/>
  <c r="AY331" i="3"/>
  <c r="BA331" i="3" s="1"/>
  <c r="AX331" i="3"/>
  <c r="AW331" i="3"/>
  <c r="AC331" i="3"/>
  <c r="M331" i="3"/>
  <c r="BC331" i="3" s="1"/>
  <c r="AZ330" i="3"/>
  <c r="BB330" i="3" s="1"/>
  <c r="AY330" i="3"/>
  <c r="BA330" i="3" s="1"/>
  <c r="AX330" i="3"/>
  <c r="AW330" i="3"/>
  <c r="AC330" i="3"/>
  <c r="M330" i="3"/>
  <c r="BC330" i="3" s="1"/>
  <c r="AZ329" i="3"/>
  <c r="BB329" i="3" s="1"/>
  <c r="AY329" i="3"/>
  <c r="BA329" i="3" s="1"/>
  <c r="AX329" i="3"/>
  <c r="AW329" i="3"/>
  <c r="AC329" i="3"/>
  <c r="M329" i="3"/>
  <c r="BC329" i="3" s="1"/>
  <c r="AZ328" i="3"/>
  <c r="BB328" i="3" s="1"/>
  <c r="AY328" i="3"/>
  <c r="BA328" i="3" s="1"/>
  <c r="AX328" i="3"/>
  <c r="AW328" i="3"/>
  <c r="AC328" i="3"/>
  <c r="M328" i="3"/>
  <c r="BC328" i="3" s="1"/>
  <c r="AZ327" i="3"/>
  <c r="BB327" i="3" s="1"/>
  <c r="AY327" i="3"/>
  <c r="BA327" i="3" s="1"/>
  <c r="AX327" i="3"/>
  <c r="AW327" i="3"/>
  <c r="AC327" i="3"/>
  <c r="M327" i="3"/>
  <c r="BC327" i="3" s="1"/>
  <c r="AZ326" i="3"/>
  <c r="BB326" i="3" s="1"/>
  <c r="AY326" i="3"/>
  <c r="BA326" i="3" s="1"/>
  <c r="AX326" i="3"/>
  <c r="AW326" i="3"/>
  <c r="AC326" i="3"/>
  <c r="M326" i="3"/>
  <c r="BC326" i="3" s="1"/>
  <c r="AZ325" i="3"/>
  <c r="BB325" i="3" s="1"/>
  <c r="AY325" i="3"/>
  <c r="BA325" i="3" s="1"/>
  <c r="AX325" i="3"/>
  <c r="AW325" i="3"/>
  <c r="AC325" i="3"/>
  <c r="M325" i="3"/>
  <c r="BC325" i="3" s="1"/>
  <c r="AZ324" i="3"/>
  <c r="BB324" i="3" s="1"/>
  <c r="AY324" i="3"/>
  <c r="BA324" i="3" s="1"/>
  <c r="AX324" i="3"/>
  <c r="AW324" i="3"/>
  <c r="AC324" i="3"/>
  <c r="M324" i="3"/>
  <c r="BC324" i="3" s="1"/>
  <c r="AZ323" i="3"/>
  <c r="BB323" i="3" s="1"/>
  <c r="AY323" i="3"/>
  <c r="BA323" i="3" s="1"/>
  <c r="AX323" i="3"/>
  <c r="AW323" i="3"/>
  <c r="AC323" i="3"/>
  <c r="M323" i="3"/>
  <c r="BC323" i="3" s="1"/>
  <c r="AZ322" i="3"/>
  <c r="BB322" i="3" s="1"/>
  <c r="AY322" i="3"/>
  <c r="BA322" i="3" s="1"/>
  <c r="AX322" i="3"/>
  <c r="AW322" i="3"/>
  <c r="AC322" i="3"/>
  <c r="M322" i="3"/>
  <c r="BC322" i="3" s="1"/>
  <c r="AZ321" i="3"/>
  <c r="BB321" i="3" s="1"/>
  <c r="AY321" i="3"/>
  <c r="BA321" i="3" s="1"/>
  <c r="AX321" i="3"/>
  <c r="AW321" i="3"/>
  <c r="AC321" i="3"/>
  <c r="M321" i="3"/>
  <c r="BC321" i="3" s="1"/>
  <c r="AZ320" i="3"/>
  <c r="BB320" i="3" s="1"/>
  <c r="AY320" i="3"/>
  <c r="BA320" i="3" s="1"/>
  <c r="AX320" i="3"/>
  <c r="AW320" i="3"/>
  <c r="AC320" i="3"/>
  <c r="M320" i="3"/>
  <c r="BC320" i="3" s="1"/>
  <c r="AZ319" i="3"/>
  <c r="BB319" i="3" s="1"/>
  <c r="AY319" i="3"/>
  <c r="BA319" i="3" s="1"/>
  <c r="AX319" i="3"/>
  <c r="AW319" i="3"/>
  <c r="AC319" i="3"/>
  <c r="M319" i="3"/>
  <c r="BC319" i="3" s="1"/>
  <c r="AZ318" i="3"/>
  <c r="BB318" i="3" s="1"/>
  <c r="AY318" i="3"/>
  <c r="BA318" i="3" s="1"/>
  <c r="AX318" i="3"/>
  <c r="AW318" i="3"/>
  <c r="AC318" i="3"/>
  <c r="M318" i="3"/>
  <c r="BC318" i="3" s="1"/>
  <c r="AZ317" i="3"/>
  <c r="BB317" i="3" s="1"/>
  <c r="AY317" i="3"/>
  <c r="BA317" i="3" s="1"/>
  <c r="AX317" i="3"/>
  <c r="AW317" i="3"/>
  <c r="AC317" i="3"/>
  <c r="M317" i="3"/>
  <c r="BC317" i="3" s="1"/>
  <c r="AZ316" i="3"/>
  <c r="BB316" i="3" s="1"/>
  <c r="AY316" i="3"/>
  <c r="BA316" i="3" s="1"/>
  <c r="AX316" i="3"/>
  <c r="AW316" i="3"/>
  <c r="AC316" i="3"/>
  <c r="M316" i="3"/>
  <c r="BC316" i="3" s="1"/>
  <c r="AZ315" i="3"/>
  <c r="BB315" i="3" s="1"/>
  <c r="AY315" i="3"/>
  <c r="BA315" i="3" s="1"/>
  <c r="AX315" i="3"/>
  <c r="AW315" i="3"/>
  <c r="AC315" i="3"/>
  <c r="M315" i="3"/>
  <c r="BC315" i="3" s="1"/>
  <c r="AZ314" i="3"/>
  <c r="BB314" i="3" s="1"/>
  <c r="AY314" i="3"/>
  <c r="BA314" i="3" s="1"/>
  <c r="AX314" i="3"/>
  <c r="AW314" i="3"/>
  <c r="AC314" i="3"/>
  <c r="M314" i="3"/>
  <c r="BC314" i="3" s="1"/>
  <c r="AZ313" i="3"/>
  <c r="BB313" i="3" s="1"/>
  <c r="AY313" i="3"/>
  <c r="BA313" i="3" s="1"/>
  <c r="AX313" i="3"/>
  <c r="AW313" i="3"/>
  <c r="AC313" i="3"/>
  <c r="M313" i="3"/>
  <c r="BC313" i="3" s="1"/>
  <c r="AZ312" i="3"/>
  <c r="BB312" i="3" s="1"/>
  <c r="AY312" i="3"/>
  <c r="BA312" i="3" s="1"/>
  <c r="AX312" i="3"/>
  <c r="AW312" i="3"/>
  <c r="AC312" i="3"/>
  <c r="M312" i="3"/>
  <c r="BC312" i="3" s="1"/>
  <c r="AZ311" i="3"/>
  <c r="BB311" i="3" s="1"/>
  <c r="AY311" i="3"/>
  <c r="BA311" i="3" s="1"/>
  <c r="AX311" i="3"/>
  <c r="AW311" i="3"/>
  <c r="AC311" i="3"/>
  <c r="M311" i="3"/>
  <c r="BC311" i="3" s="1"/>
  <c r="AZ310" i="3"/>
  <c r="BB310" i="3" s="1"/>
  <c r="AY310" i="3"/>
  <c r="BA310" i="3" s="1"/>
  <c r="AX310" i="3"/>
  <c r="AW310" i="3"/>
  <c r="AC310" i="3"/>
  <c r="M310" i="3"/>
  <c r="BC310" i="3" s="1"/>
  <c r="AZ309" i="3"/>
  <c r="BB309" i="3" s="1"/>
  <c r="AY309" i="3"/>
  <c r="BA309" i="3" s="1"/>
  <c r="AX309" i="3"/>
  <c r="AW309" i="3"/>
  <c r="AC309" i="3"/>
  <c r="M309" i="3"/>
  <c r="BC309" i="3" s="1"/>
  <c r="AZ308" i="3"/>
  <c r="BB308" i="3" s="1"/>
  <c r="AY308" i="3"/>
  <c r="BA308" i="3" s="1"/>
  <c r="AX308" i="3"/>
  <c r="AW308" i="3"/>
  <c r="AC308" i="3"/>
  <c r="M308" i="3"/>
  <c r="BC308" i="3" s="1"/>
  <c r="AZ307" i="3"/>
  <c r="BB307" i="3" s="1"/>
  <c r="AY307" i="3"/>
  <c r="BA307" i="3" s="1"/>
  <c r="AX307" i="3"/>
  <c r="AW307" i="3"/>
  <c r="AC307" i="3"/>
  <c r="M307" i="3"/>
  <c r="BC307" i="3" s="1"/>
  <c r="AZ306" i="3"/>
  <c r="BB306" i="3" s="1"/>
  <c r="AY306" i="3"/>
  <c r="BA306" i="3" s="1"/>
  <c r="AX306" i="3"/>
  <c r="AW306" i="3"/>
  <c r="AC306" i="3"/>
  <c r="M306" i="3"/>
  <c r="BC306" i="3" s="1"/>
  <c r="AZ305" i="3"/>
  <c r="BB305" i="3" s="1"/>
  <c r="AY305" i="3"/>
  <c r="BA305" i="3" s="1"/>
  <c r="AX305" i="3"/>
  <c r="AW305" i="3"/>
  <c r="AC305" i="3"/>
  <c r="M305" i="3"/>
  <c r="BC305" i="3" s="1"/>
  <c r="AZ304" i="3"/>
  <c r="BB304" i="3" s="1"/>
  <c r="AY304" i="3"/>
  <c r="BA304" i="3" s="1"/>
  <c r="AX304" i="3"/>
  <c r="AW304" i="3"/>
  <c r="AC304" i="3"/>
  <c r="M304" i="3"/>
  <c r="BC304" i="3" s="1"/>
  <c r="AZ303" i="3"/>
  <c r="BB303" i="3" s="1"/>
  <c r="AY303" i="3"/>
  <c r="BA303" i="3" s="1"/>
  <c r="AX303" i="3"/>
  <c r="AW303" i="3"/>
  <c r="AC303" i="3"/>
  <c r="M303" i="3"/>
  <c r="BC303" i="3" s="1"/>
  <c r="AZ302" i="3"/>
  <c r="BB302" i="3" s="1"/>
  <c r="AY302" i="3"/>
  <c r="BA302" i="3" s="1"/>
  <c r="AX302" i="3"/>
  <c r="AW302" i="3"/>
  <c r="AC302" i="3"/>
  <c r="M302" i="3"/>
  <c r="BC302" i="3" s="1"/>
  <c r="AZ301" i="3"/>
  <c r="BB301" i="3" s="1"/>
  <c r="AY301" i="3"/>
  <c r="BA301" i="3" s="1"/>
  <c r="AX301" i="3"/>
  <c r="AW301" i="3"/>
  <c r="AC301" i="3"/>
  <c r="M301" i="3"/>
  <c r="BC301" i="3" s="1"/>
  <c r="AZ300" i="3"/>
  <c r="BB300" i="3" s="1"/>
  <c r="AY300" i="3"/>
  <c r="BA300" i="3" s="1"/>
  <c r="AX300" i="3"/>
  <c r="AW300" i="3"/>
  <c r="AC300" i="3"/>
  <c r="M300" i="3"/>
  <c r="BC300" i="3" s="1"/>
  <c r="AZ299" i="3"/>
  <c r="BB299" i="3" s="1"/>
  <c r="AY299" i="3"/>
  <c r="BA299" i="3" s="1"/>
  <c r="AX299" i="3"/>
  <c r="AW299" i="3"/>
  <c r="AC299" i="3"/>
  <c r="M299" i="3"/>
  <c r="BC299" i="3" s="1"/>
  <c r="AZ298" i="3"/>
  <c r="BB298" i="3" s="1"/>
  <c r="AY298" i="3"/>
  <c r="BA298" i="3" s="1"/>
  <c r="AX298" i="3"/>
  <c r="AW298" i="3"/>
  <c r="AC298" i="3"/>
  <c r="M298" i="3"/>
  <c r="BC298" i="3" s="1"/>
  <c r="AZ297" i="3"/>
  <c r="BB297" i="3" s="1"/>
  <c r="AY297" i="3"/>
  <c r="BA297" i="3" s="1"/>
  <c r="AX297" i="3"/>
  <c r="AW297" i="3"/>
  <c r="AC297" i="3"/>
  <c r="M297" i="3"/>
  <c r="BC297" i="3" s="1"/>
  <c r="AZ296" i="3"/>
  <c r="BB296" i="3" s="1"/>
  <c r="AY296" i="3"/>
  <c r="BA296" i="3" s="1"/>
  <c r="AX296" i="3"/>
  <c r="AW296" i="3"/>
  <c r="AC296" i="3"/>
  <c r="M296" i="3"/>
  <c r="BC296" i="3" s="1"/>
  <c r="AZ295" i="3"/>
  <c r="BB295" i="3" s="1"/>
  <c r="AY295" i="3"/>
  <c r="BA295" i="3" s="1"/>
  <c r="AX295" i="3"/>
  <c r="AW295" i="3"/>
  <c r="AC295" i="3"/>
  <c r="M295" i="3"/>
  <c r="BC295" i="3" s="1"/>
  <c r="AZ294" i="3"/>
  <c r="BB294" i="3" s="1"/>
  <c r="AY294" i="3"/>
  <c r="BA294" i="3" s="1"/>
  <c r="AX294" i="3"/>
  <c r="AW294" i="3"/>
  <c r="AC294" i="3"/>
  <c r="M294" i="3"/>
  <c r="BC294" i="3" s="1"/>
  <c r="AZ293" i="3"/>
  <c r="BB293" i="3" s="1"/>
  <c r="AY293" i="3"/>
  <c r="BA293" i="3" s="1"/>
  <c r="AX293" i="3"/>
  <c r="AW293" i="3"/>
  <c r="AC293" i="3"/>
  <c r="M293" i="3"/>
  <c r="BC293" i="3" s="1"/>
  <c r="AZ292" i="3"/>
  <c r="BB292" i="3" s="1"/>
  <c r="AY292" i="3"/>
  <c r="BA292" i="3" s="1"/>
  <c r="AX292" i="3"/>
  <c r="AW292" i="3"/>
  <c r="AC292" i="3"/>
  <c r="M292" i="3"/>
  <c r="BC292" i="3" s="1"/>
  <c r="AZ291" i="3"/>
  <c r="BB291" i="3" s="1"/>
  <c r="AY291" i="3"/>
  <c r="BA291" i="3" s="1"/>
  <c r="AX291" i="3"/>
  <c r="AW291" i="3"/>
  <c r="AC291" i="3"/>
  <c r="M291" i="3"/>
  <c r="BC291" i="3" s="1"/>
  <c r="AZ290" i="3"/>
  <c r="BB290" i="3" s="1"/>
  <c r="AY290" i="3"/>
  <c r="BA290" i="3" s="1"/>
  <c r="AX290" i="3"/>
  <c r="AW290" i="3"/>
  <c r="AC290" i="3"/>
  <c r="M290" i="3"/>
  <c r="BC290" i="3" s="1"/>
  <c r="AZ289" i="3"/>
  <c r="BB289" i="3" s="1"/>
  <c r="AY289" i="3"/>
  <c r="BA289" i="3" s="1"/>
  <c r="AX289" i="3"/>
  <c r="AW289" i="3"/>
  <c r="AC289" i="3"/>
  <c r="M289" i="3"/>
  <c r="BC289" i="3" s="1"/>
  <c r="AZ288" i="3"/>
  <c r="BB288" i="3" s="1"/>
  <c r="AY288" i="3"/>
  <c r="BA288" i="3" s="1"/>
  <c r="AX288" i="3"/>
  <c r="AW288" i="3"/>
  <c r="AC288" i="3"/>
  <c r="M288" i="3"/>
  <c r="BC288" i="3" s="1"/>
  <c r="AZ287" i="3"/>
  <c r="BB287" i="3" s="1"/>
  <c r="AY287" i="3"/>
  <c r="BA287" i="3" s="1"/>
  <c r="AX287" i="3"/>
  <c r="AW287" i="3"/>
  <c r="AC287" i="3"/>
  <c r="M287" i="3"/>
  <c r="BC287" i="3" s="1"/>
  <c r="AZ286" i="3"/>
  <c r="BB286" i="3" s="1"/>
  <c r="AY286" i="3"/>
  <c r="BA286" i="3" s="1"/>
  <c r="AX286" i="3"/>
  <c r="AW286" i="3"/>
  <c r="AC286" i="3"/>
  <c r="M286" i="3"/>
  <c r="BC286" i="3" s="1"/>
  <c r="AZ285" i="3"/>
  <c r="BB285" i="3" s="1"/>
  <c r="AY285" i="3"/>
  <c r="BA285" i="3" s="1"/>
  <c r="AX285" i="3"/>
  <c r="AW285" i="3"/>
  <c r="AC285" i="3"/>
  <c r="M285" i="3"/>
  <c r="BC285" i="3" s="1"/>
  <c r="AZ284" i="3"/>
  <c r="BB284" i="3" s="1"/>
  <c r="AY284" i="3"/>
  <c r="BA284" i="3" s="1"/>
  <c r="AX284" i="3"/>
  <c r="AW284" i="3"/>
  <c r="AC284" i="3"/>
  <c r="M284" i="3"/>
  <c r="BC284" i="3" s="1"/>
  <c r="AZ283" i="3"/>
  <c r="BB283" i="3" s="1"/>
  <c r="AY283" i="3"/>
  <c r="BA283" i="3" s="1"/>
  <c r="AX283" i="3"/>
  <c r="AW283" i="3"/>
  <c r="AC283" i="3"/>
  <c r="M283" i="3"/>
  <c r="BC283" i="3" s="1"/>
  <c r="AZ282" i="3"/>
  <c r="BB282" i="3" s="1"/>
  <c r="AY282" i="3"/>
  <c r="BA282" i="3" s="1"/>
  <c r="AX282" i="3"/>
  <c r="AW282" i="3"/>
  <c r="AC282" i="3"/>
  <c r="M282" i="3"/>
  <c r="BC282" i="3" s="1"/>
  <c r="AZ281" i="3"/>
  <c r="BB281" i="3" s="1"/>
  <c r="AY281" i="3"/>
  <c r="BA281" i="3" s="1"/>
  <c r="AX281" i="3"/>
  <c r="AW281" i="3"/>
  <c r="AC281" i="3"/>
  <c r="M281" i="3"/>
  <c r="BC281" i="3" s="1"/>
  <c r="AZ280" i="3"/>
  <c r="BB280" i="3" s="1"/>
  <c r="AY280" i="3"/>
  <c r="BA280" i="3" s="1"/>
  <c r="AX280" i="3"/>
  <c r="AW280" i="3"/>
  <c r="AC280" i="3"/>
  <c r="M280" i="3"/>
  <c r="BC280" i="3" s="1"/>
  <c r="AZ279" i="3"/>
  <c r="BB279" i="3" s="1"/>
  <c r="AY279" i="3"/>
  <c r="BA279" i="3" s="1"/>
  <c r="AX279" i="3"/>
  <c r="AW279" i="3"/>
  <c r="AC279" i="3"/>
  <c r="M279" i="3"/>
  <c r="BC279" i="3" s="1"/>
  <c r="AZ278" i="3"/>
  <c r="BB278" i="3" s="1"/>
  <c r="AY278" i="3"/>
  <c r="BA278" i="3" s="1"/>
  <c r="AX278" i="3"/>
  <c r="AW278" i="3"/>
  <c r="AC278" i="3"/>
  <c r="M278" i="3"/>
  <c r="BC278" i="3" s="1"/>
  <c r="AZ277" i="3"/>
  <c r="BB277" i="3" s="1"/>
  <c r="AY277" i="3"/>
  <c r="BA277" i="3" s="1"/>
  <c r="AX277" i="3"/>
  <c r="AW277" i="3"/>
  <c r="AC277" i="3"/>
  <c r="M277" i="3"/>
  <c r="BC277" i="3" s="1"/>
  <c r="AZ276" i="3"/>
  <c r="BB276" i="3" s="1"/>
  <c r="AY276" i="3"/>
  <c r="BA276" i="3" s="1"/>
  <c r="AX276" i="3"/>
  <c r="AW276" i="3"/>
  <c r="AC276" i="3"/>
  <c r="M276" i="3"/>
  <c r="BC276" i="3" s="1"/>
  <c r="AZ275" i="3"/>
  <c r="BB275" i="3" s="1"/>
  <c r="AY275" i="3"/>
  <c r="BA275" i="3" s="1"/>
  <c r="AX275" i="3"/>
  <c r="AW275" i="3"/>
  <c r="AC275" i="3"/>
  <c r="M275" i="3"/>
  <c r="BC275" i="3" s="1"/>
  <c r="AZ274" i="3"/>
  <c r="BB274" i="3" s="1"/>
  <c r="AY274" i="3"/>
  <c r="BA274" i="3" s="1"/>
  <c r="AX274" i="3"/>
  <c r="AW274" i="3"/>
  <c r="AC274" i="3"/>
  <c r="M274" i="3"/>
  <c r="BC274" i="3" s="1"/>
  <c r="AZ273" i="3"/>
  <c r="BB273" i="3" s="1"/>
  <c r="AY273" i="3"/>
  <c r="BA273" i="3" s="1"/>
  <c r="AX273" i="3"/>
  <c r="AW273" i="3"/>
  <c r="AC273" i="3"/>
  <c r="M273" i="3"/>
  <c r="BC273" i="3" s="1"/>
  <c r="AZ272" i="3"/>
  <c r="BB272" i="3" s="1"/>
  <c r="AY272" i="3"/>
  <c r="BA272" i="3" s="1"/>
  <c r="AX272" i="3"/>
  <c r="AW272" i="3"/>
  <c r="AC272" i="3"/>
  <c r="M272" i="3"/>
  <c r="BC272" i="3" s="1"/>
  <c r="AZ271" i="3"/>
  <c r="BB271" i="3" s="1"/>
  <c r="AY271" i="3"/>
  <c r="BA271" i="3" s="1"/>
  <c r="AX271" i="3"/>
  <c r="AW271" i="3"/>
  <c r="AC271" i="3"/>
  <c r="M271" i="3"/>
  <c r="BC271" i="3" s="1"/>
  <c r="AZ270" i="3"/>
  <c r="BB270" i="3" s="1"/>
  <c r="AY270" i="3"/>
  <c r="BA270" i="3" s="1"/>
  <c r="AX270" i="3"/>
  <c r="AW270" i="3"/>
  <c r="AC270" i="3"/>
  <c r="M270" i="3"/>
  <c r="BC270" i="3" s="1"/>
  <c r="AZ269" i="3"/>
  <c r="BB269" i="3" s="1"/>
  <c r="AY269" i="3"/>
  <c r="BA269" i="3" s="1"/>
  <c r="AX269" i="3"/>
  <c r="AW269" i="3"/>
  <c r="AC269" i="3"/>
  <c r="M269" i="3"/>
  <c r="BC269" i="3" s="1"/>
  <c r="AZ268" i="3"/>
  <c r="BB268" i="3" s="1"/>
  <c r="AY268" i="3"/>
  <c r="BA268" i="3" s="1"/>
  <c r="AX268" i="3"/>
  <c r="AW268" i="3"/>
  <c r="AC268" i="3"/>
  <c r="M268" i="3"/>
  <c r="BC268" i="3" s="1"/>
  <c r="AZ267" i="3"/>
  <c r="BB267" i="3" s="1"/>
  <c r="AY267" i="3"/>
  <c r="BA267" i="3" s="1"/>
  <c r="AX267" i="3"/>
  <c r="AW267" i="3"/>
  <c r="AC267" i="3"/>
  <c r="M267" i="3"/>
  <c r="BC267" i="3" s="1"/>
  <c r="AZ266" i="3"/>
  <c r="BB266" i="3" s="1"/>
  <c r="AY266" i="3"/>
  <c r="BA266" i="3" s="1"/>
  <c r="AX266" i="3"/>
  <c r="AW266" i="3"/>
  <c r="AC266" i="3"/>
  <c r="M266" i="3"/>
  <c r="BC266" i="3" s="1"/>
  <c r="AZ265" i="3"/>
  <c r="BB265" i="3" s="1"/>
  <c r="AY265" i="3"/>
  <c r="BA265" i="3" s="1"/>
  <c r="AX265" i="3"/>
  <c r="AW265" i="3"/>
  <c r="AC265" i="3"/>
  <c r="M265" i="3"/>
  <c r="BC265" i="3" s="1"/>
  <c r="AZ264" i="3"/>
  <c r="BB264" i="3" s="1"/>
  <c r="AY264" i="3"/>
  <c r="BA264" i="3" s="1"/>
  <c r="AX264" i="3"/>
  <c r="AW264" i="3"/>
  <c r="AC264" i="3"/>
  <c r="M264" i="3"/>
  <c r="BC264" i="3" s="1"/>
  <c r="AZ263" i="3"/>
  <c r="BB263" i="3" s="1"/>
  <c r="AY263" i="3"/>
  <c r="BA263" i="3" s="1"/>
  <c r="AX263" i="3"/>
  <c r="AW263" i="3"/>
  <c r="AC263" i="3"/>
  <c r="M263" i="3"/>
  <c r="BC263" i="3" s="1"/>
  <c r="AZ262" i="3"/>
  <c r="BB262" i="3" s="1"/>
  <c r="AY262" i="3"/>
  <c r="BA262" i="3" s="1"/>
  <c r="AX262" i="3"/>
  <c r="AW262" i="3"/>
  <c r="AC262" i="3"/>
  <c r="M262" i="3"/>
  <c r="BC262" i="3" s="1"/>
  <c r="AZ261" i="3"/>
  <c r="BB261" i="3" s="1"/>
  <c r="AY261" i="3"/>
  <c r="BA261" i="3" s="1"/>
  <c r="AX261" i="3"/>
  <c r="AW261" i="3"/>
  <c r="AC261" i="3"/>
  <c r="M261" i="3"/>
  <c r="BC261" i="3" s="1"/>
  <c r="AZ260" i="3"/>
  <c r="BB260" i="3" s="1"/>
  <c r="AY260" i="3"/>
  <c r="BA260" i="3" s="1"/>
  <c r="AX260" i="3"/>
  <c r="AW260" i="3"/>
  <c r="AC260" i="3"/>
  <c r="M260" i="3"/>
  <c r="BC260" i="3" s="1"/>
  <c r="AZ259" i="3"/>
  <c r="BB259" i="3" s="1"/>
  <c r="AY259" i="3"/>
  <c r="BA259" i="3" s="1"/>
  <c r="AX259" i="3"/>
  <c r="AW259" i="3"/>
  <c r="AC259" i="3"/>
  <c r="M259" i="3"/>
  <c r="BC259" i="3" s="1"/>
  <c r="AZ258" i="3"/>
  <c r="BB258" i="3" s="1"/>
  <c r="AY258" i="3"/>
  <c r="BA258" i="3" s="1"/>
  <c r="AX258" i="3"/>
  <c r="AW258" i="3"/>
  <c r="AC258" i="3"/>
  <c r="M258" i="3"/>
  <c r="BC258" i="3" s="1"/>
  <c r="AZ257" i="3"/>
  <c r="BB257" i="3" s="1"/>
  <c r="AY257" i="3"/>
  <c r="BA257" i="3" s="1"/>
  <c r="AX257" i="3"/>
  <c r="AW257" i="3"/>
  <c r="AC257" i="3"/>
  <c r="M257" i="3"/>
  <c r="BC257" i="3" s="1"/>
  <c r="AZ256" i="3"/>
  <c r="BB256" i="3" s="1"/>
  <c r="AY256" i="3"/>
  <c r="BA256" i="3" s="1"/>
  <c r="AX256" i="3"/>
  <c r="AW256" i="3"/>
  <c r="AC256" i="3"/>
  <c r="M256" i="3"/>
  <c r="BC256" i="3" s="1"/>
  <c r="AZ255" i="3"/>
  <c r="BB255" i="3" s="1"/>
  <c r="AY255" i="3"/>
  <c r="BA255" i="3" s="1"/>
  <c r="AX255" i="3"/>
  <c r="AW255" i="3"/>
  <c r="AC255" i="3"/>
  <c r="M255" i="3"/>
  <c r="BC255" i="3" s="1"/>
  <c r="AZ254" i="3"/>
  <c r="BB254" i="3" s="1"/>
  <c r="AY254" i="3"/>
  <c r="BA254" i="3" s="1"/>
  <c r="AX254" i="3"/>
  <c r="AW254" i="3"/>
  <c r="AC254" i="3"/>
  <c r="M254" i="3"/>
  <c r="BC254" i="3" s="1"/>
  <c r="AZ253" i="3"/>
  <c r="BB253" i="3" s="1"/>
  <c r="AY253" i="3"/>
  <c r="BA253" i="3" s="1"/>
  <c r="AX253" i="3"/>
  <c r="AW253" i="3"/>
  <c r="AC253" i="3"/>
  <c r="M253" i="3"/>
  <c r="BC253" i="3" s="1"/>
  <c r="AZ252" i="3"/>
  <c r="BB252" i="3" s="1"/>
  <c r="AY252" i="3"/>
  <c r="BA252" i="3" s="1"/>
  <c r="AX252" i="3"/>
  <c r="AW252" i="3"/>
  <c r="AC252" i="3"/>
  <c r="M252" i="3"/>
  <c r="BC252" i="3" s="1"/>
  <c r="AZ251" i="3"/>
  <c r="BB251" i="3" s="1"/>
  <c r="AY251" i="3"/>
  <c r="BA251" i="3" s="1"/>
  <c r="AX251" i="3"/>
  <c r="AW251" i="3"/>
  <c r="AC251" i="3"/>
  <c r="M251" i="3"/>
  <c r="BC251" i="3" s="1"/>
  <c r="AZ250" i="3"/>
  <c r="BB250" i="3" s="1"/>
  <c r="AY250" i="3"/>
  <c r="BA250" i="3" s="1"/>
  <c r="AX250" i="3"/>
  <c r="AW250" i="3"/>
  <c r="AC250" i="3"/>
  <c r="M250" i="3"/>
  <c r="BC250" i="3" s="1"/>
  <c r="AZ249" i="3"/>
  <c r="BB249" i="3" s="1"/>
  <c r="AY249" i="3"/>
  <c r="BA249" i="3" s="1"/>
  <c r="AX249" i="3"/>
  <c r="AW249" i="3"/>
  <c r="AC249" i="3"/>
  <c r="M249" i="3"/>
  <c r="BC249" i="3" s="1"/>
  <c r="AZ248" i="3"/>
  <c r="BB248" i="3" s="1"/>
  <c r="AY248" i="3"/>
  <c r="BA248" i="3" s="1"/>
  <c r="AX248" i="3"/>
  <c r="AW248" i="3"/>
  <c r="AC248" i="3"/>
  <c r="M248" i="3"/>
  <c r="BC248" i="3" s="1"/>
  <c r="AZ247" i="3"/>
  <c r="BB247" i="3" s="1"/>
  <c r="AY247" i="3"/>
  <c r="BA247" i="3" s="1"/>
  <c r="AX247" i="3"/>
  <c r="AW247" i="3"/>
  <c r="AC247" i="3"/>
  <c r="M247" i="3"/>
  <c r="BC247" i="3" s="1"/>
  <c r="AZ246" i="3"/>
  <c r="BB246" i="3" s="1"/>
  <c r="AY246" i="3"/>
  <c r="BA246" i="3" s="1"/>
  <c r="AX246" i="3"/>
  <c r="AW246" i="3"/>
  <c r="AC246" i="3"/>
  <c r="M246" i="3"/>
  <c r="BC246" i="3" s="1"/>
  <c r="AZ245" i="3"/>
  <c r="BB245" i="3" s="1"/>
  <c r="AY245" i="3"/>
  <c r="BA245" i="3" s="1"/>
  <c r="AX245" i="3"/>
  <c r="AW245" i="3"/>
  <c r="AC245" i="3"/>
  <c r="M245" i="3"/>
  <c r="BC245" i="3" s="1"/>
  <c r="AZ244" i="3"/>
  <c r="BB244" i="3" s="1"/>
  <c r="AY244" i="3"/>
  <c r="BA244" i="3" s="1"/>
  <c r="AX244" i="3"/>
  <c r="AW244" i="3"/>
  <c r="AC244" i="3"/>
  <c r="M244" i="3"/>
  <c r="BC244" i="3" s="1"/>
  <c r="AZ243" i="3"/>
  <c r="BB243" i="3" s="1"/>
  <c r="AY243" i="3"/>
  <c r="BA243" i="3" s="1"/>
  <c r="AX243" i="3"/>
  <c r="AW243" i="3"/>
  <c r="AC243" i="3"/>
  <c r="M243" i="3"/>
  <c r="BC243" i="3" s="1"/>
  <c r="AZ242" i="3"/>
  <c r="BB242" i="3" s="1"/>
  <c r="AY242" i="3"/>
  <c r="BA242" i="3" s="1"/>
  <c r="AX242" i="3"/>
  <c r="AW242" i="3"/>
  <c r="AC242" i="3"/>
  <c r="M242" i="3"/>
  <c r="BC242" i="3" s="1"/>
  <c r="AZ241" i="3"/>
  <c r="BB241" i="3" s="1"/>
  <c r="AY241" i="3"/>
  <c r="BA241" i="3" s="1"/>
  <c r="AX241" i="3"/>
  <c r="AW241" i="3"/>
  <c r="AC241" i="3"/>
  <c r="M241" i="3"/>
  <c r="BC241" i="3" s="1"/>
  <c r="AZ240" i="3"/>
  <c r="BB240" i="3" s="1"/>
  <c r="AY240" i="3"/>
  <c r="BA240" i="3" s="1"/>
  <c r="AX240" i="3"/>
  <c r="AW240" i="3"/>
  <c r="AC240" i="3"/>
  <c r="M240" i="3"/>
  <c r="BC240" i="3" s="1"/>
  <c r="AZ239" i="3"/>
  <c r="BB239" i="3" s="1"/>
  <c r="AY239" i="3"/>
  <c r="BA239" i="3" s="1"/>
  <c r="AX239" i="3"/>
  <c r="AW239" i="3"/>
  <c r="AC239" i="3"/>
  <c r="M239" i="3"/>
  <c r="BC239" i="3" s="1"/>
  <c r="AZ238" i="3"/>
  <c r="BB238" i="3" s="1"/>
  <c r="AY238" i="3"/>
  <c r="BA238" i="3" s="1"/>
  <c r="AX238" i="3"/>
  <c r="AW238" i="3"/>
  <c r="AC238" i="3"/>
  <c r="M238" i="3"/>
  <c r="BC238" i="3" s="1"/>
  <c r="AZ237" i="3"/>
  <c r="BB237" i="3" s="1"/>
  <c r="AY237" i="3"/>
  <c r="BA237" i="3" s="1"/>
  <c r="AX237" i="3"/>
  <c r="AW237" i="3"/>
  <c r="AC237" i="3"/>
  <c r="M237" i="3"/>
  <c r="BC237" i="3" s="1"/>
  <c r="AZ236" i="3"/>
  <c r="BB236" i="3" s="1"/>
  <c r="AY236" i="3"/>
  <c r="BA236" i="3" s="1"/>
  <c r="AX236" i="3"/>
  <c r="AW236" i="3"/>
  <c r="AC236" i="3"/>
  <c r="M236" i="3"/>
  <c r="BC236" i="3" s="1"/>
  <c r="AZ235" i="3"/>
  <c r="BB235" i="3" s="1"/>
  <c r="AY235" i="3"/>
  <c r="BA235" i="3" s="1"/>
  <c r="AX235" i="3"/>
  <c r="AW235" i="3"/>
  <c r="AC235" i="3"/>
  <c r="M235" i="3"/>
  <c r="BC235" i="3" s="1"/>
  <c r="AZ234" i="3"/>
  <c r="BB234" i="3" s="1"/>
  <c r="AY234" i="3"/>
  <c r="BA234" i="3" s="1"/>
  <c r="AX234" i="3"/>
  <c r="AW234" i="3"/>
  <c r="AC234" i="3"/>
  <c r="M234" i="3"/>
  <c r="BC234" i="3" s="1"/>
  <c r="AZ233" i="3"/>
  <c r="BB233" i="3" s="1"/>
  <c r="AY233" i="3"/>
  <c r="BA233" i="3" s="1"/>
  <c r="AX233" i="3"/>
  <c r="AW233" i="3"/>
  <c r="AC233" i="3"/>
  <c r="M233" i="3"/>
  <c r="BC233" i="3" s="1"/>
  <c r="AZ232" i="3"/>
  <c r="BB232" i="3" s="1"/>
  <c r="AY232" i="3"/>
  <c r="BA232" i="3" s="1"/>
  <c r="AX232" i="3"/>
  <c r="AW232" i="3"/>
  <c r="AC232" i="3"/>
  <c r="M232" i="3"/>
  <c r="BC232" i="3" s="1"/>
  <c r="AZ231" i="3"/>
  <c r="BB231" i="3" s="1"/>
  <c r="AY231" i="3"/>
  <c r="BA231" i="3" s="1"/>
  <c r="AX231" i="3"/>
  <c r="AW231" i="3"/>
  <c r="AC231" i="3"/>
  <c r="M231" i="3"/>
  <c r="BC231" i="3" s="1"/>
  <c r="AZ230" i="3"/>
  <c r="BB230" i="3" s="1"/>
  <c r="AY230" i="3"/>
  <c r="BA230" i="3" s="1"/>
  <c r="AX230" i="3"/>
  <c r="AW230" i="3"/>
  <c r="AC230" i="3"/>
  <c r="M230" i="3"/>
  <c r="BC230" i="3" s="1"/>
  <c r="AZ229" i="3"/>
  <c r="BB229" i="3" s="1"/>
  <c r="AY229" i="3"/>
  <c r="BA229" i="3" s="1"/>
  <c r="AX229" i="3"/>
  <c r="AW229" i="3"/>
  <c r="AC229" i="3"/>
  <c r="M229" i="3"/>
  <c r="BC229" i="3" s="1"/>
  <c r="AZ228" i="3"/>
  <c r="BB228" i="3" s="1"/>
  <c r="AY228" i="3"/>
  <c r="BA228" i="3" s="1"/>
  <c r="AX228" i="3"/>
  <c r="AW228" i="3"/>
  <c r="AC228" i="3"/>
  <c r="M228" i="3"/>
  <c r="BC228" i="3" s="1"/>
  <c r="AZ227" i="3"/>
  <c r="BB227" i="3" s="1"/>
  <c r="AY227" i="3"/>
  <c r="BA227" i="3" s="1"/>
  <c r="AX227" i="3"/>
  <c r="AW227" i="3"/>
  <c r="AC227" i="3"/>
  <c r="M227" i="3"/>
  <c r="BC227" i="3" s="1"/>
  <c r="AZ226" i="3"/>
  <c r="BB226" i="3" s="1"/>
  <c r="AY226" i="3"/>
  <c r="BA226" i="3" s="1"/>
  <c r="AX226" i="3"/>
  <c r="AW226" i="3"/>
  <c r="AC226" i="3"/>
  <c r="M226" i="3"/>
  <c r="BC226" i="3" s="1"/>
  <c r="AZ225" i="3"/>
  <c r="BB225" i="3" s="1"/>
  <c r="AY225" i="3"/>
  <c r="BA225" i="3" s="1"/>
  <c r="AX225" i="3"/>
  <c r="AW225" i="3"/>
  <c r="AC225" i="3"/>
  <c r="M225" i="3"/>
  <c r="BC225" i="3" s="1"/>
  <c r="AZ224" i="3"/>
  <c r="BB224" i="3" s="1"/>
  <c r="AY224" i="3"/>
  <c r="BA224" i="3" s="1"/>
  <c r="AX224" i="3"/>
  <c r="AW224" i="3"/>
  <c r="AC224" i="3"/>
  <c r="M224" i="3"/>
  <c r="BC224" i="3" s="1"/>
  <c r="AZ223" i="3"/>
  <c r="BB223" i="3" s="1"/>
  <c r="AY223" i="3"/>
  <c r="BA223" i="3" s="1"/>
  <c r="AX223" i="3"/>
  <c r="AW223" i="3"/>
  <c r="AC223" i="3"/>
  <c r="M223" i="3"/>
  <c r="BC223" i="3" s="1"/>
  <c r="AZ222" i="3"/>
  <c r="BB222" i="3" s="1"/>
  <c r="AY222" i="3"/>
  <c r="BA222" i="3" s="1"/>
  <c r="AX222" i="3"/>
  <c r="AW222" i="3"/>
  <c r="AC222" i="3"/>
  <c r="M222" i="3"/>
  <c r="BC222" i="3" s="1"/>
  <c r="AZ221" i="3"/>
  <c r="BB221" i="3" s="1"/>
  <c r="AY221" i="3"/>
  <c r="BA221" i="3" s="1"/>
  <c r="AX221" i="3"/>
  <c r="AW221" i="3"/>
  <c r="AC221" i="3"/>
  <c r="M221" i="3"/>
  <c r="BC221" i="3" s="1"/>
  <c r="AZ220" i="3"/>
  <c r="BB220" i="3" s="1"/>
  <c r="AY220" i="3"/>
  <c r="BA220" i="3" s="1"/>
  <c r="AX220" i="3"/>
  <c r="AW220" i="3"/>
  <c r="AC220" i="3"/>
  <c r="M220" i="3"/>
  <c r="BC220" i="3" s="1"/>
  <c r="AZ219" i="3"/>
  <c r="BB219" i="3" s="1"/>
  <c r="AY219" i="3"/>
  <c r="BA219" i="3" s="1"/>
  <c r="AX219" i="3"/>
  <c r="AW219" i="3"/>
  <c r="AC219" i="3"/>
  <c r="M219" i="3"/>
  <c r="BC219" i="3" s="1"/>
  <c r="AZ218" i="3"/>
  <c r="BB218" i="3" s="1"/>
  <c r="AY218" i="3"/>
  <c r="BA218" i="3" s="1"/>
  <c r="AX218" i="3"/>
  <c r="AW218" i="3"/>
  <c r="AC218" i="3"/>
  <c r="M218" i="3"/>
  <c r="BC218" i="3" s="1"/>
  <c r="AZ217" i="3"/>
  <c r="BB217" i="3" s="1"/>
  <c r="AY217" i="3"/>
  <c r="BA217" i="3" s="1"/>
  <c r="AX217" i="3"/>
  <c r="AW217" i="3"/>
  <c r="AC217" i="3"/>
  <c r="M217" i="3"/>
  <c r="BC217" i="3" s="1"/>
  <c r="AZ216" i="3"/>
  <c r="BB216" i="3" s="1"/>
  <c r="AY216" i="3"/>
  <c r="BA216" i="3" s="1"/>
  <c r="AX216" i="3"/>
  <c r="AW216" i="3"/>
  <c r="AC216" i="3"/>
  <c r="M216" i="3"/>
  <c r="BC216" i="3" s="1"/>
  <c r="AZ215" i="3"/>
  <c r="BB215" i="3" s="1"/>
  <c r="AY215" i="3"/>
  <c r="BA215" i="3" s="1"/>
  <c r="AX215" i="3"/>
  <c r="AW215" i="3"/>
  <c r="AC215" i="3"/>
  <c r="M215" i="3"/>
  <c r="BC215" i="3" s="1"/>
  <c r="AZ214" i="3"/>
  <c r="BB214" i="3" s="1"/>
  <c r="AY214" i="3"/>
  <c r="BA214" i="3" s="1"/>
  <c r="AX214" i="3"/>
  <c r="AW214" i="3"/>
  <c r="AC214" i="3"/>
  <c r="M214" i="3"/>
  <c r="BC214" i="3" s="1"/>
  <c r="AZ213" i="3"/>
  <c r="BB213" i="3" s="1"/>
  <c r="AY213" i="3"/>
  <c r="BA213" i="3" s="1"/>
  <c r="AX213" i="3"/>
  <c r="AW213" i="3"/>
  <c r="AC213" i="3"/>
  <c r="M213" i="3"/>
  <c r="BC213" i="3" s="1"/>
  <c r="AZ212" i="3"/>
  <c r="BB212" i="3" s="1"/>
  <c r="AY212" i="3"/>
  <c r="BA212" i="3" s="1"/>
  <c r="AX212" i="3"/>
  <c r="AW212" i="3"/>
  <c r="AC212" i="3"/>
  <c r="M212" i="3"/>
  <c r="BC212" i="3" s="1"/>
  <c r="AZ211" i="3"/>
  <c r="BB211" i="3" s="1"/>
  <c r="AY211" i="3"/>
  <c r="BA211" i="3" s="1"/>
  <c r="AX211" i="3"/>
  <c r="AW211" i="3"/>
  <c r="AC211" i="3"/>
  <c r="M211" i="3"/>
  <c r="BC211" i="3" s="1"/>
  <c r="AZ210" i="3"/>
  <c r="BB210" i="3" s="1"/>
  <c r="AY210" i="3"/>
  <c r="BA210" i="3" s="1"/>
  <c r="AX210" i="3"/>
  <c r="AW210" i="3"/>
  <c r="AC210" i="3"/>
  <c r="M210" i="3"/>
  <c r="BC210" i="3" s="1"/>
  <c r="AZ209" i="3"/>
  <c r="BB209" i="3" s="1"/>
  <c r="AY209" i="3"/>
  <c r="BA209" i="3" s="1"/>
  <c r="AX209" i="3"/>
  <c r="AW209" i="3"/>
  <c r="AC209" i="3"/>
  <c r="M209" i="3"/>
  <c r="BC209" i="3" s="1"/>
  <c r="AZ208" i="3"/>
  <c r="BB208" i="3" s="1"/>
  <c r="AY208" i="3"/>
  <c r="BA208" i="3" s="1"/>
  <c r="AX208" i="3"/>
  <c r="AW208" i="3"/>
  <c r="AC208" i="3"/>
  <c r="M208" i="3"/>
  <c r="BC208" i="3" s="1"/>
  <c r="AZ207" i="3"/>
  <c r="BB207" i="3" s="1"/>
  <c r="AY207" i="3"/>
  <c r="BA207" i="3" s="1"/>
  <c r="AX207" i="3"/>
  <c r="AW207" i="3"/>
  <c r="AC207" i="3"/>
  <c r="M207" i="3"/>
  <c r="BC207" i="3" s="1"/>
  <c r="AZ206" i="3"/>
  <c r="BB206" i="3" s="1"/>
  <c r="AY206" i="3"/>
  <c r="BA206" i="3" s="1"/>
  <c r="AX206" i="3"/>
  <c r="AW206" i="3"/>
  <c r="AC206" i="3"/>
  <c r="M206" i="3"/>
  <c r="BC206" i="3" s="1"/>
  <c r="AZ205" i="3"/>
  <c r="BB205" i="3" s="1"/>
  <c r="AY205" i="3"/>
  <c r="BA205" i="3" s="1"/>
  <c r="AX205" i="3"/>
  <c r="AW205" i="3"/>
  <c r="AC205" i="3"/>
  <c r="M205" i="3"/>
  <c r="BC205" i="3" s="1"/>
  <c r="AZ204" i="3"/>
  <c r="BB204" i="3" s="1"/>
  <c r="AY204" i="3"/>
  <c r="BA204" i="3" s="1"/>
  <c r="AX204" i="3"/>
  <c r="AW204" i="3"/>
  <c r="AC204" i="3"/>
  <c r="M204" i="3"/>
  <c r="BC204" i="3" s="1"/>
  <c r="AZ203" i="3"/>
  <c r="BB203" i="3" s="1"/>
  <c r="AY203" i="3"/>
  <c r="BA203" i="3" s="1"/>
  <c r="AX203" i="3"/>
  <c r="AW203" i="3"/>
  <c r="AC203" i="3"/>
  <c r="M203" i="3"/>
  <c r="BC203" i="3" s="1"/>
  <c r="AZ202" i="3"/>
  <c r="BB202" i="3" s="1"/>
  <c r="AY202" i="3"/>
  <c r="BA202" i="3" s="1"/>
  <c r="AX202" i="3"/>
  <c r="AW202" i="3"/>
  <c r="AC202" i="3"/>
  <c r="M202" i="3"/>
  <c r="BC202" i="3" s="1"/>
  <c r="AZ201" i="3"/>
  <c r="BB201" i="3" s="1"/>
  <c r="AY201" i="3"/>
  <c r="BA201" i="3" s="1"/>
  <c r="AX201" i="3"/>
  <c r="AW201" i="3"/>
  <c r="AC201" i="3"/>
  <c r="M201" i="3"/>
  <c r="BC201" i="3" s="1"/>
  <c r="AZ200" i="3"/>
  <c r="BB200" i="3" s="1"/>
  <c r="AY200" i="3"/>
  <c r="BA200" i="3" s="1"/>
  <c r="AX200" i="3"/>
  <c r="AW200" i="3"/>
  <c r="AC200" i="3"/>
  <c r="M200" i="3"/>
  <c r="BC200" i="3" s="1"/>
  <c r="AZ199" i="3"/>
  <c r="BB199" i="3" s="1"/>
  <c r="AY199" i="3"/>
  <c r="BA199" i="3" s="1"/>
  <c r="AX199" i="3"/>
  <c r="AW199" i="3"/>
  <c r="AC199" i="3"/>
  <c r="M199" i="3"/>
  <c r="BC199" i="3" s="1"/>
  <c r="AZ198" i="3"/>
  <c r="BB198" i="3" s="1"/>
  <c r="AY198" i="3"/>
  <c r="BA198" i="3" s="1"/>
  <c r="AX198" i="3"/>
  <c r="AW198" i="3"/>
  <c r="AC198" i="3"/>
  <c r="M198" i="3"/>
  <c r="BC198" i="3" s="1"/>
  <c r="AZ197" i="3"/>
  <c r="BB197" i="3" s="1"/>
  <c r="AY197" i="3"/>
  <c r="BA197" i="3" s="1"/>
  <c r="AX197" i="3"/>
  <c r="AW197" i="3"/>
  <c r="AC197" i="3"/>
  <c r="M197" i="3"/>
  <c r="BC197" i="3" s="1"/>
  <c r="AZ196" i="3"/>
  <c r="BB196" i="3" s="1"/>
  <c r="AY196" i="3"/>
  <c r="BA196" i="3" s="1"/>
  <c r="AX196" i="3"/>
  <c r="AW196" i="3"/>
  <c r="AC196" i="3"/>
  <c r="M196" i="3"/>
  <c r="BC196" i="3" s="1"/>
  <c r="AZ195" i="3"/>
  <c r="BB195" i="3" s="1"/>
  <c r="AY195" i="3"/>
  <c r="BA195" i="3" s="1"/>
  <c r="AX195" i="3"/>
  <c r="AW195" i="3"/>
  <c r="AC195" i="3"/>
  <c r="M195" i="3"/>
  <c r="BC195" i="3" s="1"/>
  <c r="AZ194" i="3"/>
  <c r="BB194" i="3" s="1"/>
  <c r="AY194" i="3"/>
  <c r="BA194" i="3" s="1"/>
  <c r="AX194" i="3"/>
  <c r="AW194" i="3"/>
  <c r="AC194" i="3"/>
  <c r="M194" i="3"/>
  <c r="BC194" i="3" s="1"/>
  <c r="AZ193" i="3"/>
  <c r="BB193" i="3" s="1"/>
  <c r="AY193" i="3"/>
  <c r="BA193" i="3" s="1"/>
  <c r="AX193" i="3"/>
  <c r="AW193" i="3"/>
  <c r="AC193" i="3"/>
  <c r="M193" i="3"/>
  <c r="BC193" i="3" s="1"/>
  <c r="AZ192" i="3"/>
  <c r="BB192" i="3" s="1"/>
  <c r="AY192" i="3"/>
  <c r="BA192" i="3" s="1"/>
  <c r="AX192" i="3"/>
  <c r="AW192" i="3"/>
  <c r="AC192" i="3"/>
  <c r="M192" i="3"/>
  <c r="BC192" i="3" s="1"/>
  <c r="AZ191" i="3"/>
  <c r="BB191" i="3" s="1"/>
  <c r="AY191" i="3"/>
  <c r="BA191" i="3" s="1"/>
  <c r="AX191" i="3"/>
  <c r="AW191" i="3"/>
  <c r="AC191" i="3"/>
  <c r="M191" i="3"/>
  <c r="BC191" i="3" s="1"/>
  <c r="AZ190" i="3"/>
  <c r="BB190" i="3" s="1"/>
  <c r="AY190" i="3"/>
  <c r="BA190" i="3" s="1"/>
  <c r="AX190" i="3"/>
  <c r="AW190" i="3"/>
  <c r="AC190" i="3"/>
  <c r="M190" i="3"/>
  <c r="BC190" i="3" s="1"/>
  <c r="AZ189" i="3"/>
  <c r="BB189" i="3" s="1"/>
  <c r="AY189" i="3"/>
  <c r="BA189" i="3" s="1"/>
  <c r="AX189" i="3"/>
  <c r="AW189" i="3"/>
  <c r="AC189" i="3"/>
  <c r="M189" i="3"/>
  <c r="BC189" i="3" s="1"/>
  <c r="AZ188" i="3"/>
  <c r="BB188" i="3" s="1"/>
  <c r="AY188" i="3"/>
  <c r="BA188" i="3" s="1"/>
  <c r="AX188" i="3"/>
  <c r="AW188" i="3"/>
  <c r="AC188" i="3"/>
  <c r="M188" i="3"/>
  <c r="BC188" i="3" s="1"/>
  <c r="AZ187" i="3"/>
  <c r="BB187" i="3" s="1"/>
  <c r="AY187" i="3"/>
  <c r="BA187" i="3" s="1"/>
  <c r="AX187" i="3"/>
  <c r="AW187" i="3"/>
  <c r="AC187" i="3"/>
  <c r="M187" i="3"/>
  <c r="BC187" i="3" s="1"/>
  <c r="AZ186" i="3"/>
  <c r="BB186" i="3" s="1"/>
  <c r="AY186" i="3"/>
  <c r="BA186" i="3" s="1"/>
  <c r="AX186" i="3"/>
  <c r="AW186" i="3"/>
  <c r="AC186" i="3"/>
  <c r="M186" i="3"/>
  <c r="BC186" i="3" s="1"/>
  <c r="AZ185" i="3"/>
  <c r="BB185" i="3" s="1"/>
  <c r="AY185" i="3"/>
  <c r="BA185" i="3" s="1"/>
  <c r="AX185" i="3"/>
  <c r="AW185" i="3"/>
  <c r="AC185" i="3"/>
  <c r="M185" i="3"/>
  <c r="BC185" i="3" s="1"/>
  <c r="AZ184" i="3"/>
  <c r="BB184" i="3" s="1"/>
  <c r="AY184" i="3"/>
  <c r="BA184" i="3" s="1"/>
  <c r="AX184" i="3"/>
  <c r="AW184" i="3"/>
  <c r="AC184" i="3"/>
  <c r="M184" i="3"/>
  <c r="BC184" i="3" s="1"/>
  <c r="AZ183" i="3"/>
  <c r="BB183" i="3" s="1"/>
  <c r="AY183" i="3"/>
  <c r="BA183" i="3" s="1"/>
  <c r="AX183" i="3"/>
  <c r="AW183" i="3"/>
  <c r="AC183" i="3"/>
  <c r="M183" i="3"/>
  <c r="BC183" i="3" s="1"/>
  <c r="AZ182" i="3"/>
  <c r="BB182" i="3" s="1"/>
  <c r="AY182" i="3"/>
  <c r="BA182" i="3" s="1"/>
  <c r="AX182" i="3"/>
  <c r="AW182" i="3"/>
  <c r="AC182" i="3"/>
  <c r="M182" i="3"/>
  <c r="BC182" i="3" s="1"/>
  <c r="AZ181" i="3"/>
  <c r="BB181" i="3" s="1"/>
  <c r="AY181" i="3"/>
  <c r="BA181" i="3" s="1"/>
  <c r="AX181" i="3"/>
  <c r="AW181" i="3"/>
  <c r="AC181" i="3"/>
  <c r="M181" i="3"/>
  <c r="BC181" i="3" s="1"/>
  <c r="AZ180" i="3"/>
  <c r="BB180" i="3" s="1"/>
  <c r="AY180" i="3"/>
  <c r="BA180" i="3" s="1"/>
  <c r="AX180" i="3"/>
  <c r="AW180" i="3"/>
  <c r="AC180" i="3"/>
  <c r="M180" i="3"/>
  <c r="BC180" i="3" s="1"/>
  <c r="AZ179" i="3"/>
  <c r="BB179" i="3" s="1"/>
  <c r="AY179" i="3"/>
  <c r="BA179" i="3" s="1"/>
  <c r="AX179" i="3"/>
  <c r="AW179" i="3"/>
  <c r="AC179" i="3"/>
  <c r="M179" i="3"/>
  <c r="BC179" i="3" s="1"/>
  <c r="AZ178" i="3"/>
  <c r="BB178" i="3" s="1"/>
  <c r="AY178" i="3"/>
  <c r="BA178" i="3" s="1"/>
  <c r="AX178" i="3"/>
  <c r="AW178" i="3"/>
  <c r="AC178" i="3"/>
  <c r="M178" i="3"/>
  <c r="BC178" i="3" s="1"/>
  <c r="AZ177" i="3"/>
  <c r="BB177" i="3" s="1"/>
  <c r="AY177" i="3"/>
  <c r="BA177" i="3" s="1"/>
  <c r="AX177" i="3"/>
  <c r="AW177" i="3"/>
  <c r="AC177" i="3"/>
  <c r="M177" i="3"/>
  <c r="BC177" i="3" s="1"/>
  <c r="AZ176" i="3"/>
  <c r="BB176" i="3" s="1"/>
  <c r="AY176" i="3"/>
  <c r="BA176" i="3" s="1"/>
  <c r="AX176" i="3"/>
  <c r="AW176" i="3"/>
  <c r="AC176" i="3"/>
  <c r="M176" i="3"/>
  <c r="BC176" i="3" s="1"/>
  <c r="AZ175" i="3"/>
  <c r="BB175" i="3" s="1"/>
  <c r="AY175" i="3"/>
  <c r="BA175" i="3" s="1"/>
  <c r="AX175" i="3"/>
  <c r="AW175" i="3"/>
  <c r="AC175" i="3"/>
  <c r="M175" i="3"/>
  <c r="BC175" i="3" s="1"/>
  <c r="AZ174" i="3"/>
  <c r="BB174" i="3" s="1"/>
  <c r="AY174" i="3"/>
  <c r="BA174" i="3" s="1"/>
  <c r="AX174" i="3"/>
  <c r="AW174" i="3"/>
  <c r="AC174" i="3"/>
  <c r="M174" i="3"/>
  <c r="BC174" i="3" s="1"/>
  <c r="AZ173" i="3"/>
  <c r="BB173" i="3" s="1"/>
  <c r="AY173" i="3"/>
  <c r="BA173" i="3" s="1"/>
  <c r="AX173" i="3"/>
  <c r="AW173" i="3"/>
  <c r="AC173" i="3"/>
  <c r="M173" i="3"/>
  <c r="BC173" i="3" s="1"/>
  <c r="AZ172" i="3"/>
  <c r="BB172" i="3" s="1"/>
  <c r="AY172" i="3"/>
  <c r="BA172" i="3" s="1"/>
  <c r="AX172" i="3"/>
  <c r="AW172" i="3"/>
  <c r="AC172" i="3"/>
  <c r="M172" i="3"/>
  <c r="BC172" i="3" s="1"/>
  <c r="AZ171" i="3"/>
  <c r="BB171" i="3" s="1"/>
  <c r="AY171" i="3"/>
  <c r="BA171" i="3" s="1"/>
  <c r="AX171" i="3"/>
  <c r="AW171" i="3"/>
  <c r="AC171" i="3"/>
  <c r="M171" i="3"/>
  <c r="BC171" i="3" s="1"/>
  <c r="AZ170" i="3"/>
  <c r="BB170" i="3" s="1"/>
  <c r="AY170" i="3"/>
  <c r="BA170" i="3" s="1"/>
  <c r="AX170" i="3"/>
  <c r="AW170" i="3"/>
  <c r="AC170" i="3"/>
  <c r="M170" i="3"/>
  <c r="BC170" i="3" s="1"/>
  <c r="AZ169" i="3"/>
  <c r="BB169" i="3" s="1"/>
  <c r="AY169" i="3"/>
  <c r="BA169" i="3" s="1"/>
  <c r="AX169" i="3"/>
  <c r="AW169" i="3"/>
  <c r="AC169" i="3"/>
  <c r="M169" i="3"/>
  <c r="BC169" i="3" s="1"/>
  <c r="AZ168" i="3"/>
  <c r="BB168" i="3" s="1"/>
  <c r="AY168" i="3"/>
  <c r="BA168" i="3" s="1"/>
  <c r="AX168" i="3"/>
  <c r="AW168" i="3"/>
  <c r="AC168" i="3"/>
  <c r="M168" i="3"/>
  <c r="BC168" i="3" s="1"/>
  <c r="AZ167" i="3"/>
  <c r="BB167" i="3" s="1"/>
  <c r="AY167" i="3"/>
  <c r="BA167" i="3" s="1"/>
  <c r="AX167" i="3"/>
  <c r="AW167" i="3"/>
  <c r="AC167" i="3"/>
  <c r="M167" i="3"/>
  <c r="BC167" i="3" s="1"/>
  <c r="AZ166" i="3"/>
  <c r="BB166" i="3" s="1"/>
  <c r="AY166" i="3"/>
  <c r="BA166" i="3" s="1"/>
  <c r="AX166" i="3"/>
  <c r="AW166" i="3"/>
  <c r="AC166" i="3"/>
  <c r="M166" i="3"/>
  <c r="BC166" i="3" s="1"/>
  <c r="AZ165" i="3"/>
  <c r="BB165" i="3" s="1"/>
  <c r="AY165" i="3"/>
  <c r="BA165" i="3" s="1"/>
  <c r="AX165" i="3"/>
  <c r="AW165" i="3"/>
  <c r="AC165" i="3"/>
  <c r="M165" i="3"/>
  <c r="BC165" i="3" s="1"/>
  <c r="AZ164" i="3"/>
  <c r="BB164" i="3" s="1"/>
  <c r="AY164" i="3"/>
  <c r="BA164" i="3" s="1"/>
  <c r="AX164" i="3"/>
  <c r="AW164" i="3"/>
  <c r="AC164" i="3"/>
  <c r="M164" i="3"/>
  <c r="BC164" i="3" s="1"/>
  <c r="AZ163" i="3"/>
  <c r="BB163" i="3" s="1"/>
  <c r="AY163" i="3"/>
  <c r="BA163" i="3" s="1"/>
  <c r="AX163" i="3"/>
  <c r="AW163" i="3"/>
  <c r="AC163" i="3"/>
  <c r="M163" i="3"/>
  <c r="BC163" i="3" s="1"/>
  <c r="AZ162" i="3"/>
  <c r="BB162" i="3" s="1"/>
  <c r="AY162" i="3"/>
  <c r="BA162" i="3" s="1"/>
  <c r="AX162" i="3"/>
  <c r="AW162" i="3"/>
  <c r="AC162" i="3"/>
  <c r="M162" i="3"/>
  <c r="BC162" i="3" s="1"/>
  <c r="AZ161" i="3"/>
  <c r="BB161" i="3" s="1"/>
  <c r="AY161" i="3"/>
  <c r="BA161" i="3" s="1"/>
  <c r="AX161" i="3"/>
  <c r="AW161" i="3"/>
  <c r="AC161" i="3"/>
  <c r="M161" i="3"/>
  <c r="BC161" i="3" s="1"/>
  <c r="AZ160" i="3"/>
  <c r="BB160" i="3" s="1"/>
  <c r="AY160" i="3"/>
  <c r="BA160" i="3" s="1"/>
  <c r="AX160" i="3"/>
  <c r="AW160" i="3"/>
  <c r="AC160" i="3"/>
  <c r="M160" i="3"/>
  <c r="BC160" i="3" s="1"/>
  <c r="AZ159" i="3"/>
  <c r="BB159" i="3" s="1"/>
  <c r="AY159" i="3"/>
  <c r="BA159" i="3" s="1"/>
  <c r="AX159" i="3"/>
  <c r="AW159" i="3"/>
  <c r="AC159" i="3"/>
  <c r="M159" i="3"/>
  <c r="BC159" i="3" s="1"/>
  <c r="AZ158" i="3"/>
  <c r="BB158" i="3" s="1"/>
  <c r="AY158" i="3"/>
  <c r="BA158" i="3" s="1"/>
  <c r="AX158" i="3"/>
  <c r="AW158" i="3"/>
  <c r="AC158" i="3"/>
  <c r="M158" i="3"/>
  <c r="BC158" i="3" s="1"/>
  <c r="AZ157" i="3"/>
  <c r="BB157" i="3" s="1"/>
  <c r="AY157" i="3"/>
  <c r="BA157" i="3" s="1"/>
  <c r="AX157" i="3"/>
  <c r="AW157" i="3"/>
  <c r="AC157" i="3"/>
  <c r="M157" i="3"/>
  <c r="BC157" i="3" s="1"/>
  <c r="AZ156" i="3"/>
  <c r="BB156" i="3" s="1"/>
  <c r="AY156" i="3"/>
  <c r="BA156" i="3" s="1"/>
  <c r="AX156" i="3"/>
  <c r="AW156" i="3"/>
  <c r="AC156" i="3"/>
  <c r="M156" i="3"/>
  <c r="BC156" i="3" s="1"/>
  <c r="AZ155" i="3"/>
  <c r="BB155" i="3" s="1"/>
  <c r="AY155" i="3"/>
  <c r="BA155" i="3" s="1"/>
  <c r="AX155" i="3"/>
  <c r="AW155" i="3"/>
  <c r="AC155" i="3"/>
  <c r="M155" i="3"/>
  <c r="BC155" i="3" s="1"/>
  <c r="AZ154" i="3"/>
  <c r="BB154" i="3" s="1"/>
  <c r="AY154" i="3"/>
  <c r="BA154" i="3" s="1"/>
  <c r="AX154" i="3"/>
  <c r="AW154" i="3"/>
  <c r="AC154" i="3"/>
  <c r="M154" i="3"/>
  <c r="BC154" i="3" s="1"/>
  <c r="AZ153" i="3"/>
  <c r="BB153" i="3" s="1"/>
  <c r="AY153" i="3"/>
  <c r="BA153" i="3" s="1"/>
  <c r="AX153" i="3"/>
  <c r="AW153" i="3"/>
  <c r="AC153" i="3"/>
  <c r="M153" i="3"/>
  <c r="BC153" i="3" s="1"/>
  <c r="AZ152" i="3"/>
  <c r="BB152" i="3" s="1"/>
  <c r="AY152" i="3"/>
  <c r="BA152" i="3" s="1"/>
  <c r="AX152" i="3"/>
  <c r="AW152" i="3"/>
  <c r="AC152" i="3"/>
  <c r="M152" i="3"/>
  <c r="BC152" i="3" s="1"/>
  <c r="AZ151" i="3"/>
  <c r="BB151" i="3" s="1"/>
  <c r="AY151" i="3"/>
  <c r="BA151" i="3" s="1"/>
  <c r="AX151" i="3"/>
  <c r="AW151" i="3"/>
  <c r="AC151" i="3"/>
  <c r="M151" i="3"/>
  <c r="BC151" i="3" s="1"/>
  <c r="AZ150" i="3"/>
  <c r="BB150" i="3" s="1"/>
  <c r="AY150" i="3"/>
  <c r="BA150" i="3" s="1"/>
  <c r="AX150" i="3"/>
  <c r="AW150" i="3"/>
  <c r="AC150" i="3"/>
  <c r="M150" i="3"/>
  <c r="BC150" i="3" s="1"/>
  <c r="AZ149" i="3"/>
  <c r="BB149" i="3" s="1"/>
  <c r="AY149" i="3"/>
  <c r="BA149" i="3" s="1"/>
  <c r="AX149" i="3"/>
  <c r="AW149" i="3"/>
  <c r="AC149" i="3"/>
  <c r="M149" i="3"/>
  <c r="BC149" i="3" s="1"/>
  <c r="AZ148" i="3"/>
  <c r="BB148" i="3" s="1"/>
  <c r="AY148" i="3"/>
  <c r="BA148" i="3" s="1"/>
  <c r="AX148" i="3"/>
  <c r="AW148" i="3"/>
  <c r="AC148" i="3"/>
  <c r="M148" i="3"/>
  <c r="BC148" i="3" s="1"/>
  <c r="AZ147" i="3"/>
  <c r="BB147" i="3" s="1"/>
  <c r="AY147" i="3"/>
  <c r="BA147" i="3" s="1"/>
  <c r="AX147" i="3"/>
  <c r="AW147" i="3"/>
  <c r="AC147" i="3"/>
  <c r="M147" i="3"/>
  <c r="BC147" i="3" s="1"/>
  <c r="AZ146" i="3"/>
  <c r="BB146" i="3" s="1"/>
  <c r="AY146" i="3"/>
  <c r="BA146" i="3" s="1"/>
  <c r="AX146" i="3"/>
  <c r="AW146" i="3"/>
  <c r="AC146" i="3"/>
  <c r="M146" i="3"/>
  <c r="BC146" i="3" s="1"/>
  <c r="AZ145" i="3"/>
  <c r="BB145" i="3" s="1"/>
  <c r="AY145" i="3"/>
  <c r="BA145" i="3" s="1"/>
  <c r="AX145" i="3"/>
  <c r="AW145" i="3"/>
  <c r="AC145" i="3"/>
  <c r="M145" i="3"/>
  <c r="BC145" i="3" s="1"/>
  <c r="AZ144" i="3"/>
  <c r="BB144" i="3" s="1"/>
  <c r="AY144" i="3"/>
  <c r="BA144" i="3" s="1"/>
  <c r="AX144" i="3"/>
  <c r="AW144" i="3"/>
  <c r="AC144" i="3"/>
  <c r="M144" i="3"/>
  <c r="BC144" i="3" s="1"/>
  <c r="AZ143" i="3"/>
  <c r="BB143" i="3" s="1"/>
  <c r="AY143" i="3"/>
  <c r="BA143" i="3" s="1"/>
  <c r="AX143" i="3"/>
  <c r="AW143" i="3"/>
  <c r="AC143" i="3"/>
  <c r="M143" i="3"/>
  <c r="BC143" i="3" s="1"/>
  <c r="AZ142" i="3"/>
  <c r="BB142" i="3" s="1"/>
  <c r="AY142" i="3"/>
  <c r="BA142" i="3" s="1"/>
  <c r="AX142" i="3"/>
  <c r="AW142" i="3"/>
  <c r="AC142" i="3"/>
  <c r="M142" i="3"/>
  <c r="BC142" i="3" s="1"/>
  <c r="AZ141" i="3"/>
  <c r="BB141" i="3" s="1"/>
  <c r="AY141" i="3"/>
  <c r="BA141" i="3" s="1"/>
  <c r="AX141" i="3"/>
  <c r="AW141" i="3"/>
  <c r="AC141" i="3"/>
  <c r="M141" i="3"/>
  <c r="BC141" i="3" s="1"/>
  <c r="AZ140" i="3"/>
  <c r="BB140" i="3" s="1"/>
  <c r="AY140" i="3"/>
  <c r="BA140" i="3" s="1"/>
  <c r="AX140" i="3"/>
  <c r="AW140" i="3"/>
  <c r="AC140" i="3"/>
  <c r="M140" i="3"/>
  <c r="BC140" i="3" s="1"/>
  <c r="AZ139" i="3"/>
  <c r="BB139" i="3" s="1"/>
  <c r="AY139" i="3"/>
  <c r="BA139" i="3" s="1"/>
  <c r="AX139" i="3"/>
  <c r="AW139" i="3"/>
  <c r="AC139" i="3"/>
  <c r="M139" i="3"/>
  <c r="BC139" i="3" s="1"/>
  <c r="AZ138" i="3"/>
  <c r="BB138" i="3" s="1"/>
  <c r="AY138" i="3"/>
  <c r="BA138" i="3" s="1"/>
  <c r="AX138" i="3"/>
  <c r="AW138" i="3"/>
  <c r="AC138" i="3"/>
  <c r="M138" i="3"/>
  <c r="BC138" i="3" s="1"/>
  <c r="AZ137" i="3"/>
  <c r="BB137" i="3" s="1"/>
  <c r="AY137" i="3"/>
  <c r="BA137" i="3" s="1"/>
  <c r="AX137" i="3"/>
  <c r="AW137" i="3"/>
  <c r="AC137" i="3"/>
  <c r="M137" i="3"/>
  <c r="BC137" i="3" s="1"/>
  <c r="AZ136" i="3"/>
  <c r="BB136" i="3" s="1"/>
  <c r="AY136" i="3"/>
  <c r="BA136" i="3" s="1"/>
  <c r="AX136" i="3"/>
  <c r="AW136" i="3"/>
  <c r="AC136" i="3"/>
  <c r="M136" i="3"/>
  <c r="BC136" i="3" s="1"/>
  <c r="AZ135" i="3"/>
  <c r="BB135" i="3" s="1"/>
  <c r="AY135" i="3"/>
  <c r="BA135" i="3" s="1"/>
  <c r="AX135" i="3"/>
  <c r="AW135" i="3"/>
  <c r="AC135" i="3"/>
  <c r="M135" i="3"/>
  <c r="BC135" i="3" s="1"/>
  <c r="AZ134" i="3"/>
  <c r="BB134" i="3" s="1"/>
  <c r="AY134" i="3"/>
  <c r="BA134" i="3" s="1"/>
  <c r="AX134" i="3"/>
  <c r="AW134" i="3"/>
  <c r="AC134" i="3"/>
  <c r="M134" i="3"/>
  <c r="BC134" i="3" s="1"/>
  <c r="AZ133" i="3"/>
  <c r="BB133" i="3" s="1"/>
  <c r="AY133" i="3"/>
  <c r="BA133" i="3" s="1"/>
  <c r="AX133" i="3"/>
  <c r="AW133" i="3"/>
  <c r="AC133" i="3"/>
  <c r="M133" i="3"/>
  <c r="BC133" i="3" s="1"/>
  <c r="AZ132" i="3"/>
  <c r="BB132" i="3" s="1"/>
  <c r="AY132" i="3"/>
  <c r="BA132" i="3" s="1"/>
  <c r="AX132" i="3"/>
  <c r="AW132" i="3"/>
  <c r="AC132" i="3"/>
  <c r="M132" i="3"/>
  <c r="BC132" i="3" s="1"/>
  <c r="AZ131" i="3"/>
  <c r="BB131" i="3" s="1"/>
  <c r="AY131" i="3"/>
  <c r="BA131" i="3" s="1"/>
  <c r="AX131" i="3"/>
  <c r="AW131" i="3"/>
  <c r="AC131" i="3"/>
  <c r="M131" i="3"/>
  <c r="BC131" i="3" s="1"/>
  <c r="AZ130" i="3"/>
  <c r="BB130" i="3" s="1"/>
  <c r="AY130" i="3"/>
  <c r="BA130" i="3" s="1"/>
  <c r="AX130" i="3"/>
  <c r="AW130" i="3"/>
  <c r="AC130" i="3"/>
  <c r="M130" i="3"/>
  <c r="BC130" i="3" s="1"/>
  <c r="AZ129" i="3"/>
  <c r="BB129" i="3" s="1"/>
  <c r="AY129" i="3"/>
  <c r="BA129" i="3" s="1"/>
  <c r="AX129" i="3"/>
  <c r="AW129" i="3"/>
  <c r="AC129" i="3"/>
  <c r="M129" i="3"/>
  <c r="BC129" i="3" s="1"/>
  <c r="AZ128" i="3"/>
  <c r="BB128" i="3" s="1"/>
  <c r="AY128" i="3"/>
  <c r="BA128" i="3" s="1"/>
  <c r="AX128" i="3"/>
  <c r="AW128" i="3"/>
  <c r="AC128" i="3"/>
  <c r="M128" i="3"/>
  <c r="BC128" i="3" s="1"/>
  <c r="AZ127" i="3"/>
  <c r="BB127" i="3" s="1"/>
  <c r="AY127" i="3"/>
  <c r="BA127" i="3" s="1"/>
  <c r="AX127" i="3"/>
  <c r="AW127" i="3"/>
  <c r="AC127" i="3"/>
  <c r="M127" i="3"/>
  <c r="BC127" i="3" s="1"/>
  <c r="AZ126" i="3"/>
  <c r="BB126" i="3" s="1"/>
  <c r="AY126" i="3"/>
  <c r="BA126" i="3" s="1"/>
  <c r="AX126" i="3"/>
  <c r="AW126" i="3"/>
  <c r="AC126" i="3"/>
  <c r="M126" i="3"/>
  <c r="BC126" i="3" s="1"/>
  <c r="AZ125" i="3"/>
  <c r="BB125" i="3" s="1"/>
  <c r="AY125" i="3"/>
  <c r="BA125" i="3" s="1"/>
  <c r="AX125" i="3"/>
  <c r="AW125" i="3"/>
  <c r="AC125" i="3"/>
  <c r="M125" i="3"/>
  <c r="BC125" i="3" s="1"/>
  <c r="AZ124" i="3"/>
  <c r="BB124" i="3" s="1"/>
  <c r="AY124" i="3"/>
  <c r="BA124" i="3" s="1"/>
  <c r="AX124" i="3"/>
  <c r="AW124" i="3"/>
  <c r="AC124" i="3"/>
  <c r="M124" i="3"/>
  <c r="BC124" i="3" s="1"/>
  <c r="AZ123" i="3"/>
  <c r="BB123" i="3" s="1"/>
  <c r="AY123" i="3"/>
  <c r="BA123" i="3" s="1"/>
  <c r="AX123" i="3"/>
  <c r="AW123" i="3"/>
  <c r="AC123" i="3"/>
  <c r="M123" i="3"/>
  <c r="BC123" i="3" s="1"/>
  <c r="AZ122" i="3"/>
  <c r="BB122" i="3" s="1"/>
  <c r="AY122" i="3"/>
  <c r="BA122" i="3" s="1"/>
  <c r="AX122" i="3"/>
  <c r="AW122" i="3"/>
  <c r="AC122" i="3"/>
  <c r="M122" i="3"/>
  <c r="BC122" i="3" s="1"/>
  <c r="AZ121" i="3"/>
  <c r="BB121" i="3" s="1"/>
  <c r="AY121" i="3"/>
  <c r="BA121" i="3" s="1"/>
  <c r="AX121" i="3"/>
  <c r="AW121" i="3"/>
  <c r="AC121" i="3"/>
  <c r="M121" i="3"/>
  <c r="BC121" i="3" s="1"/>
  <c r="AZ120" i="3"/>
  <c r="BB120" i="3" s="1"/>
  <c r="AY120" i="3"/>
  <c r="BA120" i="3" s="1"/>
  <c r="AX120" i="3"/>
  <c r="AW120" i="3"/>
  <c r="AC120" i="3"/>
  <c r="M120" i="3"/>
  <c r="BC120" i="3" s="1"/>
  <c r="AZ119" i="3"/>
  <c r="BB119" i="3" s="1"/>
  <c r="AY119" i="3"/>
  <c r="BA119" i="3" s="1"/>
  <c r="AX119" i="3"/>
  <c r="AW119" i="3"/>
  <c r="AC119" i="3"/>
  <c r="M119" i="3"/>
  <c r="BC119" i="3" s="1"/>
  <c r="AZ118" i="3"/>
  <c r="BB118" i="3" s="1"/>
  <c r="AY118" i="3"/>
  <c r="BA118" i="3" s="1"/>
  <c r="AX118" i="3"/>
  <c r="AW118" i="3"/>
  <c r="AC118" i="3"/>
  <c r="M118" i="3"/>
  <c r="BC118" i="3" s="1"/>
  <c r="AZ117" i="3"/>
  <c r="BB117" i="3" s="1"/>
  <c r="AY117" i="3"/>
  <c r="BA117" i="3" s="1"/>
  <c r="AX117" i="3"/>
  <c r="AW117" i="3"/>
  <c r="AC117" i="3"/>
  <c r="M117" i="3"/>
  <c r="BC117" i="3" s="1"/>
  <c r="AZ116" i="3"/>
  <c r="BB116" i="3" s="1"/>
  <c r="AY116" i="3"/>
  <c r="BA116" i="3" s="1"/>
  <c r="AX116" i="3"/>
  <c r="AW116" i="3"/>
  <c r="AC116" i="3"/>
  <c r="M116" i="3"/>
  <c r="BC116" i="3" s="1"/>
  <c r="AZ115" i="3"/>
  <c r="BB115" i="3" s="1"/>
  <c r="AY115" i="3"/>
  <c r="BA115" i="3" s="1"/>
  <c r="AX115" i="3"/>
  <c r="AW115" i="3"/>
  <c r="AC115" i="3"/>
  <c r="M115" i="3"/>
  <c r="BC115" i="3" s="1"/>
  <c r="AZ114" i="3"/>
  <c r="BB114" i="3" s="1"/>
  <c r="AY114" i="3"/>
  <c r="BA114" i="3" s="1"/>
  <c r="AX114" i="3"/>
  <c r="AW114" i="3"/>
  <c r="AC114" i="3"/>
  <c r="M114" i="3"/>
  <c r="BC114" i="3" s="1"/>
  <c r="AZ113" i="3"/>
  <c r="BB113" i="3" s="1"/>
  <c r="AY113" i="3"/>
  <c r="BA113" i="3" s="1"/>
  <c r="AX113" i="3"/>
  <c r="AW113" i="3"/>
  <c r="AC113" i="3"/>
  <c r="M113" i="3"/>
  <c r="BC113" i="3" s="1"/>
  <c r="AZ112" i="3"/>
  <c r="BB112" i="3" s="1"/>
  <c r="AY112" i="3"/>
  <c r="BA112" i="3" s="1"/>
  <c r="AX112" i="3"/>
  <c r="AW112" i="3"/>
  <c r="AC112" i="3"/>
  <c r="M112" i="3"/>
  <c r="BC112" i="3" s="1"/>
  <c r="AZ111" i="3"/>
  <c r="BB111" i="3" s="1"/>
  <c r="AY111" i="3"/>
  <c r="BA111" i="3" s="1"/>
  <c r="AX111" i="3"/>
  <c r="AW111" i="3"/>
  <c r="AC111" i="3"/>
  <c r="M111" i="3"/>
  <c r="BC111" i="3" s="1"/>
  <c r="AZ110" i="3"/>
  <c r="BB110" i="3" s="1"/>
  <c r="AY110" i="3"/>
  <c r="BA110" i="3" s="1"/>
  <c r="AX110" i="3"/>
  <c r="AW110" i="3"/>
  <c r="AC110" i="3"/>
  <c r="M110" i="3"/>
  <c r="BC110" i="3" s="1"/>
  <c r="AZ109" i="3"/>
  <c r="BB109" i="3" s="1"/>
  <c r="AY109" i="3"/>
  <c r="BA109" i="3" s="1"/>
  <c r="AX109" i="3"/>
  <c r="AW109" i="3"/>
  <c r="AC109" i="3"/>
  <c r="M109" i="3"/>
  <c r="BC109" i="3" s="1"/>
  <c r="AZ108" i="3"/>
  <c r="BB108" i="3" s="1"/>
  <c r="AY108" i="3"/>
  <c r="BA108" i="3" s="1"/>
  <c r="AX108" i="3"/>
  <c r="AW108" i="3"/>
  <c r="AC108" i="3"/>
  <c r="M108" i="3"/>
  <c r="BC108" i="3" s="1"/>
  <c r="AZ107" i="3"/>
  <c r="BB107" i="3" s="1"/>
  <c r="AY107" i="3"/>
  <c r="BA107" i="3" s="1"/>
  <c r="AX107" i="3"/>
  <c r="AW107" i="3"/>
  <c r="AC107" i="3"/>
  <c r="M107" i="3"/>
  <c r="BC107" i="3" s="1"/>
  <c r="AZ106" i="3"/>
  <c r="BB106" i="3" s="1"/>
  <c r="AY106" i="3"/>
  <c r="BA106" i="3" s="1"/>
  <c r="AX106" i="3"/>
  <c r="AW106" i="3"/>
  <c r="AC106" i="3"/>
  <c r="M106" i="3"/>
  <c r="BC106" i="3" s="1"/>
  <c r="AZ105" i="3"/>
  <c r="BB105" i="3" s="1"/>
  <c r="AY105" i="3"/>
  <c r="BA105" i="3" s="1"/>
  <c r="AX105" i="3"/>
  <c r="AW105" i="3"/>
  <c r="AC105" i="3"/>
  <c r="M105" i="3"/>
  <c r="BC105" i="3" s="1"/>
  <c r="AZ104" i="3"/>
  <c r="BB104" i="3" s="1"/>
  <c r="AY104" i="3"/>
  <c r="BA104" i="3" s="1"/>
  <c r="AX104" i="3"/>
  <c r="AW104" i="3"/>
  <c r="AC104" i="3"/>
  <c r="M104" i="3"/>
  <c r="BC104" i="3" s="1"/>
  <c r="AZ103" i="3"/>
  <c r="BB103" i="3" s="1"/>
  <c r="AY103" i="3"/>
  <c r="BA103" i="3" s="1"/>
  <c r="AX103" i="3"/>
  <c r="AW103" i="3"/>
  <c r="AC103" i="3"/>
  <c r="M103" i="3"/>
  <c r="BC103" i="3" s="1"/>
  <c r="AZ102" i="3"/>
  <c r="BB102" i="3" s="1"/>
  <c r="AY102" i="3"/>
  <c r="BA102" i="3" s="1"/>
  <c r="AX102" i="3"/>
  <c r="AW102" i="3"/>
  <c r="AC102" i="3"/>
  <c r="M102" i="3"/>
  <c r="BC102" i="3" s="1"/>
  <c r="AZ101" i="3"/>
  <c r="BB101" i="3" s="1"/>
  <c r="AY101" i="3"/>
  <c r="BA101" i="3" s="1"/>
  <c r="AX101" i="3"/>
  <c r="AW101" i="3"/>
  <c r="AC101" i="3"/>
  <c r="M101" i="3"/>
  <c r="BC101" i="3" s="1"/>
  <c r="AZ100" i="3"/>
  <c r="BB100" i="3" s="1"/>
  <c r="AY100" i="3"/>
  <c r="BA100" i="3" s="1"/>
  <c r="AX100" i="3"/>
  <c r="AW100" i="3"/>
  <c r="AC100" i="3"/>
  <c r="M100" i="3"/>
  <c r="BC100" i="3" s="1"/>
  <c r="AZ99" i="3"/>
  <c r="BB99" i="3" s="1"/>
  <c r="AY99" i="3"/>
  <c r="BA99" i="3" s="1"/>
  <c r="AX99" i="3"/>
  <c r="AW99" i="3"/>
  <c r="AC99" i="3"/>
  <c r="M99" i="3"/>
  <c r="BC99" i="3" s="1"/>
  <c r="AZ98" i="3"/>
  <c r="BB98" i="3" s="1"/>
  <c r="AY98" i="3"/>
  <c r="BA98" i="3" s="1"/>
  <c r="AX98" i="3"/>
  <c r="AW98" i="3"/>
  <c r="AC98" i="3"/>
  <c r="M98" i="3"/>
  <c r="BC98" i="3" s="1"/>
  <c r="AZ97" i="3"/>
  <c r="BB97" i="3" s="1"/>
  <c r="AY97" i="3"/>
  <c r="BA97" i="3" s="1"/>
  <c r="AX97" i="3"/>
  <c r="AW97" i="3"/>
  <c r="AC97" i="3"/>
  <c r="M97" i="3"/>
  <c r="BC97" i="3" s="1"/>
  <c r="AZ96" i="3"/>
  <c r="BB96" i="3" s="1"/>
  <c r="AY96" i="3"/>
  <c r="BA96" i="3" s="1"/>
  <c r="AX96" i="3"/>
  <c r="AW96" i="3"/>
  <c r="AC96" i="3"/>
  <c r="M96" i="3"/>
  <c r="BC96" i="3" s="1"/>
  <c r="AZ95" i="3"/>
  <c r="BB95" i="3" s="1"/>
  <c r="AY95" i="3"/>
  <c r="BA95" i="3" s="1"/>
  <c r="AX95" i="3"/>
  <c r="AW95" i="3"/>
  <c r="AC95" i="3"/>
  <c r="M95" i="3"/>
  <c r="BC95" i="3" s="1"/>
  <c r="AZ94" i="3"/>
  <c r="BB94" i="3" s="1"/>
  <c r="AY94" i="3"/>
  <c r="BA94" i="3" s="1"/>
  <c r="AX94" i="3"/>
  <c r="AW94" i="3"/>
  <c r="AC94" i="3"/>
  <c r="M94" i="3"/>
  <c r="BC94" i="3" s="1"/>
  <c r="AZ93" i="3"/>
  <c r="BB93" i="3" s="1"/>
  <c r="AY93" i="3"/>
  <c r="BA93" i="3" s="1"/>
  <c r="AX93" i="3"/>
  <c r="AW93" i="3"/>
  <c r="AC93" i="3"/>
  <c r="M93" i="3"/>
  <c r="BC93" i="3" s="1"/>
  <c r="AZ92" i="3"/>
  <c r="BB92" i="3" s="1"/>
  <c r="AY92" i="3"/>
  <c r="BA92" i="3" s="1"/>
  <c r="AX92" i="3"/>
  <c r="AW92" i="3"/>
  <c r="AC92" i="3"/>
  <c r="M92" i="3"/>
  <c r="BC92" i="3" s="1"/>
  <c r="AZ91" i="3"/>
  <c r="BB91" i="3" s="1"/>
  <c r="AY91" i="3"/>
  <c r="BA91" i="3" s="1"/>
  <c r="AX91" i="3"/>
  <c r="AW91" i="3"/>
  <c r="AC91" i="3"/>
  <c r="M91" i="3"/>
  <c r="BC91" i="3" s="1"/>
  <c r="AZ90" i="3"/>
  <c r="BB90" i="3" s="1"/>
  <c r="AY90" i="3"/>
  <c r="BA90" i="3" s="1"/>
  <c r="AX90" i="3"/>
  <c r="AW90" i="3"/>
  <c r="AC90" i="3"/>
  <c r="M90" i="3"/>
  <c r="BC90" i="3" s="1"/>
  <c r="AZ89" i="3"/>
  <c r="BB89" i="3" s="1"/>
  <c r="AY89" i="3"/>
  <c r="BA89" i="3" s="1"/>
  <c r="AX89" i="3"/>
  <c r="AW89" i="3"/>
  <c r="AC89" i="3"/>
  <c r="M89" i="3"/>
  <c r="BC89" i="3" s="1"/>
  <c r="AZ88" i="3"/>
  <c r="BB88" i="3" s="1"/>
  <c r="AY88" i="3"/>
  <c r="BA88" i="3" s="1"/>
  <c r="AX88" i="3"/>
  <c r="AW88" i="3"/>
  <c r="AC88" i="3"/>
  <c r="M88" i="3"/>
  <c r="BC88" i="3" s="1"/>
  <c r="AZ87" i="3"/>
  <c r="BB87" i="3" s="1"/>
  <c r="AY87" i="3"/>
  <c r="BA87" i="3" s="1"/>
  <c r="AX87" i="3"/>
  <c r="AW87" i="3"/>
  <c r="AC87" i="3"/>
  <c r="M87" i="3"/>
  <c r="BC87" i="3" s="1"/>
  <c r="AZ86" i="3"/>
  <c r="BB86" i="3" s="1"/>
  <c r="AY86" i="3"/>
  <c r="BA86" i="3" s="1"/>
  <c r="AX86" i="3"/>
  <c r="AW86" i="3"/>
  <c r="AC86" i="3"/>
  <c r="M86" i="3"/>
  <c r="BC86" i="3" s="1"/>
  <c r="AZ85" i="3"/>
  <c r="BB85" i="3" s="1"/>
  <c r="AY85" i="3"/>
  <c r="BA85" i="3" s="1"/>
  <c r="AX85" i="3"/>
  <c r="AW85" i="3"/>
  <c r="AC85" i="3"/>
  <c r="M85" i="3"/>
  <c r="BC85" i="3" s="1"/>
  <c r="AZ84" i="3"/>
  <c r="BB84" i="3" s="1"/>
  <c r="AY84" i="3"/>
  <c r="BA84" i="3" s="1"/>
  <c r="AX84" i="3"/>
  <c r="AW84" i="3"/>
  <c r="AC84" i="3"/>
  <c r="M84" i="3"/>
  <c r="BC84" i="3" s="1"/>
  <c r="AZ83" i="3"/>
  <c r="BB83" i="3" s="1"/>
  <c r="AY83" i="3"/>
  <c r="BA83" i="3" s="1"/>
  <c r="AX83" i="3"/>
  <c r="AW83" i="3"/>
  <c r="AC83" i="3"/>
  <c r="M83" i="3"/>
  <c r="BC83" i="3" s="1"/>
  <c r="AZ82" i="3"/>
  <c r="BB82" i="3" s="1"/>
  <c r="AY82" i="3"/>
  <c r="BA82" i="3" s="1"/>
  <c r="AX82" i="3"/>
  <c r="AW82" i="3"/>
  <c r="AC82" i="3"/>
  <c r="M82" i="3"/>
  <c r="BC82" i="3" s="1"/>
  <c r="AZ81" i="3"/>
  <c r="BB81" i="3" s="1"/>
  <c r="AY81" i="3"/>
  <c r="BA81" i="3" s="1"/>
  <c r="AX81" i="3"/>
  <c r="AW81" i="3"/>
  <c r="AC81" i="3"/>
  <c r="M81" i="3"/>
  <c r="BC81" i="3" s="1"/>
  <c r="AZ80" i="3"/>
  <c r="BB80" i="3" s="1"/>
  <c r="AY80" i="3"/>
  <c r="BA80" i="3" s="1"/>
  <c r="AX80" i="3"/>
  <c r="AW80" i="3"/>
  <c r="AC80" i="3"/>
  <c r="M80" i="3"/>
  <c r="BC80" i="3" s="1"/>
  <c r="AZ79" i="3"/>
  <c r="BB79" i="3" s="1"/>
  <c r="AY79" i="3"/>
  <c r="BA79" i="3" s="1"/>
  <c r="AX79" i="3"/>
  <c r="AW79" i="3"/>
  <c r="AC79" i="3"/>
  <c r="M79" i="3"/>
  <c r="BC79" i="3" s="1"/>
  <c r="AZ78" i="3"/>
  <c r="BB78" i="3" s="1"/>
  <c r="AY78" i="3"/>
  <c r="BA78" i="3" s="1"/>
  <c r="AX78" i="3"/>
  <c r="AW78" i="3"/>
  <c r="AC78" i="3"/>
  <c r="M78" i="3"/>
  <c r="BC78" i="3" s="1"/>
  <c r="AZ77" i="3"/>
  <c r="BB77" i="3" s="1"/>
  <c r="AY77" i="3"/>
  <c r="BA77" i="3" s="1"/>
  <c r="AX77" i="3"/>
  <c r="AW77" i="3"/>
  <c r="AC77" i="3"/>
  <c r="M77" i="3"/>
  <c r="BC77" i="3" s="1"/>
  <c r="AZ76" i="3"/>
  <c r="BB76" i="3" s="1"/>
  <c r="AY76" i="3"/>
  <c r="BA76" i="3" s="1"/>
  <c r="AX76" i="3"/>
  <c r="AW76" i="3"/>
  <c r="AC76" i="3"/>
  <c r="M76" i="3"/>
  <c r="BC76" i="3" s="1"/>
  <c r="AZ75" i="3"/>
  <c r="BB75" i="3" s="1"/>
  <c r="AY75" i="3"/>
  <c r="BA75" i="3" s="1"/>
  <c r="AX75" i="3"/>
  <c r="AW75" i="3"/>
  <c r="AC75" i="3"/>
  <c r="M75" i="3"/>
  <c r="BC75" i="3" s="1"/>
  <c r="AZ74" i="3"/>
  <c r="BB74" i="3" s="1"/>
  <c r="AY74" i="3"/>
  <c r="BA74" i="3" s="1"/>
  <c r="AX74" i="3"/>
  <c r="AW74" i="3"/>
  <c r="AC74" i="3"/>
  <c r="M74" i="3"/>
  <c r="BC74" i="3" s="1"/>
  <c r="AZ73" i="3"/>
  <c r="BB73" i="3" s="1"/>
  <c r="AY73" i="3"/>
  <c r="BA73" i="3" s="1"/>
  <c r="AX73" i="3"/>
  <c r="AW73" i="3"/>
  <c r="AC73" i="3"/>
  <c r="M73" i="3"/>
  <c r="BC73" i="3" s="1"/>
  <c r="AZ72" i="3"/>
  <c r="BB72" i="3" s="1"/>
  <c r="AY72" i="3"/>
  <c r="BA72" i="3" s="1"/>
  <c r="AX72" i="3"/>
  <c r="AW72" i="3"/>
  <c r="AC72" i="3"/>
  <c r="M72" i="3"/>
  <c r="BC72" i="3" s="1"/>
  <c r="AZ71" i="3"/>
  <c r="BB71" i="3" s="1"/>
  <c r="AY71" i="3"/>
  <c r="BA71" i="3" s="1"/>
  <c r="AX71" i="3"/>
  <c r="AW71" i="3"/>
  <c r="AC71" i="3"/>
  <c r="M71" i="3"/>
  <c r="BC71" i="3" s="1"/>
  <c r="AZ70" i="3"/>
  <c r="BB70" i="3" s="1"/>
  <c r="AY70" i="3"/>
  <c r="BA70" i="3" s="1"/>
  <c r="AX70" i="3"/>
  <c r="AW70" i="3"/>
  <c r="AC70" i="3"/>
  <c r="M70" i="3"/>
  <c r="BC70" i="3" s="1"/>
  <c r="AZ69" i="3"/>
  <c r="BB69" i="3" s="1"/>
  <c r="AY69" i="3"/>
  <c r="BA69" i="3" s="1"/>
  <c r="AX69" i="3"/>
  <c r="AW69" i="3"/>
  <c r="AC69" i="3"/>
  <c r="M69" i="3"/>
  <c r="BC69" i="3" s="1"/>
  <c r="AZ68" i="3"/>
  <c r="BB68" i="3" s="1"/>
  <c r="AY68" i="3"/>
  <c r="BA68" i="3" s="1"/>
  <c r="AX68" i="3"/>
  <c r="AW68" i="3"/>
  <c r="AC68" i="3"/>
  <c r="M68" i="3"/>
  <c r="BC68" i="3" s="1"/>
  <c r="AZ67" i="3"/>
  <c r="BB67" i="3" s="1"/>
  <c r="AY67" i="3"/>
  <c r="BA67" i="3" s="1"/>
  <c r="AX67" i="3"/>
  <c r="AW67" i="3"/>
  <c r="AC67" i="3"/>
  <c r="M67" i="3"/>
  <c r="BC67" i="3" s="1"/>
  <c r="BB66" i="3"/>
  <c r="BA66" i="3"/>
  <c r="AC66" i="3"/>
  <c r="M66" i="3"/>
  <c r="BC66" i="3" s="1"/>
  <c r="BB65" i="3"/>
  <c r="BA65" i="3"/>
  <c r="AC65" i="3"/>
  <c r="M65" i="3"/>
  <c r="BC65" i="3" s="1"/>
  <c r="BB64" i="3"/>
  <c r="BA64" i="3"/>
  <c r="AC64" i="3"/>
  <c r="M64" i="3"/>
  <c r="BC64" i="3" s="1"/>
  <c r="AC63" i="3"/>
  <c r="M63" i="3"/>
  <c r="BC63" i="3" s="1"/>
  <c r="M62" i="3"/>
  <c r="BC62" i="3" s="1"/>
  <c r="AC61" i="3"/>
  <c r="M61" i="3"/>
  <c r="BC61" i="3" s="1"/>
  <c r="M60" i="3"/>
  <c r="BC60" i="3" s="1"/>
  <c r="M59" i="3"/>
  <c r="BC59" i="3" s="1"/>
  <c r="M58" i="3"/>
  <c r="BC58" i="3" s="1"/>
  <c r="M57" i="3"/>
  <c r="BC57" i="3" s="1"/>
  <c r="M56" i="3"/>
  <c r="BC56" i="3" s="1"/>
  <c r="M55" i="3"/>
  <c r="BC55" i="3" s="1"/>
  <c r="M54" i="3"/>
  <c r="BC54" i="3" s="1"/>
  <c r="M53" i="3"/>
  <c r="BC53" i="3" s="1"/>
  <c r="M52" i="3"/>
  <c r="BC52" i="3" s="1"/>
  <c r="M51" i="3"/>
  <c r="BC51" i="3" s="1"/>
  <c r="M50" i="3"/>
  <c r="BC50" i="3" s="1"/>
  <c r="M49" i="3"/>
  <c r="BC49" i="3" s="1"/>
  <c r="M48" i="3"/>
  <c r="BC48" i="3" s="1"/>
  <c r="M47" i="3"/>
  <c r="BC47" i="3" s="1"/>
  <c r="M46" i="3"/>
  <c r="BC46" i="3" s="1"/>
  <c r="M45" i="3"/>
  <c r="BC45" i="3" s="1"/>
  <c r="M44" i="3"/>
  <c r="BC44" i="3" s="1"/>
  <c r="M43" i="3"/>
  <c r="BC43" i="3" s="1"/>
  <c r="M42" i="3"/>
  <c r="BC42" i="3" s="1"/>
  <c r="M41" i="3"/>
  <c r="BC41" i="3" s="1"/>
  <c r="M40" i="3"/>
  <c r="BC40" i="3" s="1"/>
  <c r="M39" i="3"/>
  <c r="BC39" i="3" s="1"/>
  <c r="M38" i="3"/>
  <c r="BC38" i="3" s="1"/>
  <c r="M37" i="3"/>
  <c r="BC37" i="3" s="1"/>
  <c r="M36" i="3"/>
  <c r="BC36" i="3" s="1"/>
  <c r="AY35" i="3"/>
  <c r="BA35" i="3" s="1"/>
  <c r="M35" i="3"/>
  <c r="BC35" i="3" s="1"/>
  <c r="AZ34" i="3"/>
  <c r="BB34" i="3" s="1"/>
  <c r="AZ33" i="3"/>
  <c r="BB33" i="3" s="1"/>
  <c r="AY33" i="3"/>
  <c r="BA33" i="3" s="1"/>
  <c r="M33" i="3"/>
  <c r="BC33" i="3" s="1"/>
  <c r="AZ32" i="3"/>
  <c r="BB32" i="3" s="1"/>
  <c r="AY31" i="3"/>
  <c r="BA31" i="3" s="1"/>
  <c r="M31" i="3"/>
  <c r="BC31" i="3" s="1"/>
  <c r="AZ30" i="3"/>
  <c r="BB30" i="3" s="1"/>
  <c r="AZ29" i="3"/>
  <c r="BB29" i="3" s="1"/>
  <c r="AY29" i="3"/>
  <c r="BA29" i="3" s="1"/>
  <c r="M29" i="3"/>
  <c r="BC29" i="3" s="1"/>
  <c r="AZ28" i="3"/>
  <c r="BB28" i="3" s="1"/>
  <c r="M28" i="3"/>
  <c r="BC28" i="3" s="1"/>
  <c r="AZ27" i="3"/>
  <c r="BB27" i="3" s="1"/>
  <c r="AY27" i="3"/>
  <c r="BA27" i="3" s="1"/>
  <c r="M27" i="3"/>
  <c r="BC27" i="3" s="1"/>
  <c r="AZ26" i="3"/>
  <c r="BB26" i="3" s="1"/>
  <c r="AY26" i="3"/>
  <c r="BA26" i="3" s="1"/>
  <c r="AZ25" i="3"/>
  <c r="BB25" i="3" s="1"/>
  <c r="AY25" i="3"/>
  <c r="BA25" i="3" s="1"/>
  <c r="M25" i="3"/>
  <c r="BC25" i="3" s="1"/>
  <c r="AZ24" i="3"/>
  <c r="BB24" i="3" s="1"/>
  <c r="AY24" i="3"/>
  <c r="BA24" i="3" s="1"/>
  <c r="M24" i="3"/>
  <c r="BC24" i="3" s="1"/>
  <c r="AZ23" i="3"/>
  <c r="BB23" i="3" s="1"/>
  <c r="AY23" i="3"/>
  <c r="BA23" i="3" s="1"/>
  <c r="M23" i="3"/>
  <c r="BC23" i="3" s="1"/>
  <c r="AZ22" i="3"/>
  <c r="BB22" i="3" s="1"/>
  <c r="AY22" i="3"/>
  <c r="BA22" i="3" s="1"/>
  <c r="M22" i="3"/>
  <c r="BC22" i="3" s="1"/>
  <c r="AZ21" i="3"/>
  <c r="BB21" i="3" s="1"/>
  <c r="AY21" i="3"/>
  <c r="BA21" i="3" s="1"/>
  <c r="M21" i="3"/>
  <c r="BC21" i="3" s="1"/>
  <c r="AZ20" i="3"/>
  <c r="BB20" i="3" s="1"/>
  <c r="AY20" i="3"/>
  <c r="BA20" i="3" s="1"/>
  <c r="M20" i="3"/>
  <c r="BC20" i="3" s="1"/>
  <c r="AY19" i="3"/>
  <c r="BA19" i="3" s="1"/>
  <c r="AZ19" i="3"/>
  <c r="BB19" i="3" s="1"/>
  <c r="M19" i="3"/>
  <c r="BC19" i="3" s="1"/>
  <c r="AY18" i="3"/>
  <c r="BA18" i="3" s="1"/>
  <c r="AZ18" i="3"/>
  <c r="BB18" i="3" s="1"/>
  <c r="M18" i="3"/>
  <c r="M17" i="3"/>
  <c r="BC17" i="3" s="1"/>
  <c r="M16" i="3"/>
  <c r="BC16" i="3" s="1"/>
  <c r="M15" i="3"/>
  <c r="BC15" i="3" s="1"/>
  <c r="M14" i="3"/>
  <c r="BC14" i="3" s="1"/>
  <c r="M13" i="3"/>
  <c r="BC13" i="3" s="1"/>
  <c r="M12" i="3"/>
  <c r="BC12" i="3" s="1"/>
  <c r="M11" i="3"/>
  <c r="BC11" i="3" s="1"/>
  <c r="M10" i="3"/>
  <c r="BC10" i="3" s="1"/>
  <c r="M9" i="3"/>
  <c r="BC9" i="3" s="1"/>
  <c r="M8" i="3"/>
  <c r="BC8" i="3" s="1"/>
  <c r="AC7" i="3"/>
  <c r="M7" i="3"/>
  <c r="BC7" i="3" s="1"/>
  <c r="AC6" i="3"/>
  <c r="M6" i="3"/>
  <c r="BC6" i="3" s="1"/>
  <c r="AZ800" i="108"/>
  <c r="BB800" i="108" s="1"/>
  <c r="AY800" i="108"/>
  <c r="BA800" i="108" s="1"/>
  <c r="AX800" i="108"/>
  <c r="AW800" i="108"/>
  <c r="AC800" i="108"/>
  <c r="M800" i="108"/>
  <c r="BC800" i="108" s="1"/>
  <c r="AZ799" i="108"/>
  <c r="BB799" i="108" s="1"/>
  <c r="AY799" i="108"/>
  <c r="BA799" i="108" s="1"/>
  <c r="AX799" i="108"/>
  <c r="AW799" i="108"/>
  <c r="AC799" i="108"/>
  <c r="M799" i="108"/>
  <c r="BC799" i="108" s="1"/>
  <c r="AZ798" i="108"/>
  <c r="BB798" i="108" s="1"/>
  <c r="AY798" i="108"/>
  <c r="BA798" i="108" s="1"/>
  <c r="AX798" i="108"/>
  <c r="AW798" i="108"/>
  <c r="AC798" i="108"/>
  <c r="M798" i="108"/>
  <c r="BC798" i="108" s="1"/>
  <c r="AZ797" i="108"/>
  <c r="BB797" i="108" s="1"/>
  <c r="AY797" i="108"/>
  <c r="BA797" i="108" s="1"/>
  <c r="AX797" i="108"/>
  <c r="AW797" i="108"/>
  <c r="AC797" i="108"/>
  <c r="M797" i="108"/>
  <c r="BC797" i="108" s="1"/>
  <c r="AZ796" i="108"/>
  <c r="BB796" i="108" s="1"/>
  <c r="AY796" i="108"/>
  <c r="BA796" i="108" s="1"/>
  <c r="AX796" i="108"/>
  <c r="AW796" i="108"/>
  <c r="AC796" i="108"/>
  <c r="M796" i="108"/>
  <c r="BC796" i="108" s="1"/>
  <c r="AZ795" i="108"/>
  <c r="BB795" i="108" s="1"/>
  <c r="AY795" i="108"/>
  <c r="BA795" i="108" s="1"/>
  <c r="AX795" i="108"/>
  <c r="AW795" i="108"/>
  <c r="AC795" i="108"/>
  <c r="M795" i="108"/>
  <c r="BC795" i="108" s="1"/>
  <c r="AZ794" i="108"/>
  <c r="BB794" i="108" s="1"/>
  <c r="AY794" i="108"/>
  <c r="BA794" i="108" s="1"/>
  <c r="AX794" i="108"/>
  <c r="AW794" i="108"/>
  <c r="AC794" i="108"/>
  <c r="M794" i="108"/>
  <c r="BC794" i="108" s="1"/>
  <c r="AZ793" i="108"/>
  <c r="BB793" i="108" s="1"/>
  <c r="AY793" i="108"/>
  <c r="BA793" i="108" s="1"/>
  <c r="AX793" i="108"/>
  <c r="AW793" i="108"/>
  <c r="AC793" i="108"/>
  <c r="M793" i="108"/>
  <c r="BC793" i="108" s="1"/>
  <c r="AZ792" i="108"/>
  <c r="BB792" i="108" s="1"/>
  <c r="AY792" i="108"/>
  <c r="BA792" i="108" s="1"/>
  <c r="AX792" i="108"/>
  <c r="AW792" i="108"/>
  <c r="AC792" i="108"/>
  <c r="M792" i="108"/>
  <c r="BC792" i="108" s="1"/>
  <c r="AZ791" i="108"/>
  <c r="BB791" i="108" s="1"/>
  <c r="AY791" i="108"/>
  <c r="BA791" i="108" s="1"/>
  <c r="AX791" i="108"/>
  <c r="AW791" i="108"/>
  <c r="AC791" i="108"/>
  <c r="M791" i="108"/>
  <c r="BC791" i="108" s="1"/>
  <c r="AZ790" i="108"/>
  <c r="BB790" i="108" s="1"/>
  <c r="AY790" i="108"/>
  <c r="BA790" i="108" s="1"/>
  <c r="AX790" i="108"/>
  <c r="AW790" i="108"/>
  <c r="AC790" i="108"/>
  <c r="M790" i="108"/>
  <c r="BC790" i="108" s="1"/>
  <c r="AZ789" i="108"/>
  <c r="BB789" i="108" s="1"/>
  <c r="AY789" i="108"/>
  <c r="BA789" i="108" s="1"/>
  <c r="AX789" i="108"/>
  <c r="AW789" i="108"/>
  <c r="AC789" i="108"/>
  <c r="M789" i="108"/>
  <c r="BC789" i="108" s="1"/>
  <c r="AZ788" i="108"/>
  <c r="BB788" i="108" s="1"/>
  <c r="AY788" i="108"/>
  <c r="BA788" i="108" s="1"/>
  <c r="AX788" i="108"/>
  <c r="AW788" i="108"/>
  <c r="AC788" i="108"/>
  <c r="M788" i="108"/>
  <c r="BC788" i="108" s="1"/>
  <c r="AZ787" i="108"/>
  <c r="BB787" i="108" s="1"/>
  <c r="AY787" i="108"/>
  <c r="BA787" i="108" s="1"/>
  <c r="AX787" i="108"/>
  <c r="AW787" i="108"/>
  <c r="AC787" i="108"/>
  <c r="M787" i="108"/>
  <c r="BC787" i="108" s="1"/>
  <c r="AZ786" i="108"/>
  <c r="BB786" i="108" s="1"/>
  <c r="AY786" i="108"/>
  <c r="BA786" i="108" s="1"/>
  <c r="AX786" i="108"/>
  <c r="AW786" i="108"/>
  <c r="AC786" i="108"/>
  <c r="M786" i="108"/>
  <c r="BC786" i="108" s="1"/>
  <c r="AZ785" i="108"/>
  <c r="BB785" i="108" s="1"/>
  <c r="AY785" i="108"/>
  <c r="BA785" i="108" s="1"/>
  <c r="AX785" i="108"/>
  <c r="AW785" i="108"/>
  <c r="AC785" i="108"/>
  <c r="M785" i="108"/>
  <c r="BC785" i="108" s="1"/>
  <c r="AZ784" i="108"/>
  <c r="BB784" i="108" s="1"/>
  <c r="AY784" i="108"/>
  <c r="BA784" i="108" s="1"/>
  <c r="AX784" i="108"/>
  <c r="AW784" i="108"/>
  <c r="AC784" i="108"/>
  <c r="M784" i="108"/>
  <c r="BC784" i="108" s="1"/>
  <c r="AZ783" i="108"/>
  <c r="BB783" i="108" s="1"/>
  <c r="AY783" i="108"/>
  <c r="BA783" i="108" s="1"/>
  <c r="AX783" i="108"/>
  <c r="AW783" i="108"/>
  <c r="AC783" i="108"/>
  <c r="M783" i="108"/>
  <c r="BC783" i="108" s="1"/>
  <c r="AZ782" i="108"/>
  <c r="BB782" i="108" s="1"/>
  <c r="AY782" i="108"/>
  <c r="BA782" i="108" s="1"/>
  <c r="AX782" i="108"/>
  <c r="AW782" i="108"/>
  <c r="AC782" i="108"/>
  <c r="M782" i="108"/>
  <c r="BC782" i="108" s="1"/>
  <c r="AZ781" i="108"/>
  <c r="BB781" i="108" s="1"/>
  <c r="AY781" i="108"/>
  <c r="BA781" i="108" s="1"/>
  <c r="AX781" i="108"/>
  <c r="AW781" i="108"/>
  <c r="AC781" i="108"/>
  <c r="M781" i="108"/>
  <c r="BC781" i="108" s="1"/>
  <c r="AZ780" i="108"/>
  <c r="BB780" i="108" s="1"/>
  <c r="AY780" i="108"/>
  <c r="BA780" i="108" s="1"/>
  <c r="AX780" i="108"/>
  <c r="AW780" i="108"/>
  <c r="AC780" i="108"/>
  <c r="M780" i="108"/>
  <c r="BC780" i="108" s="1"/>
  <c r="AZ779" i="108"/>
  <c r="BB779" i="108" s="1"/>
  <c r="AY779" i="108"/>
  <c r="BA779" i="108" s="1"/>
  <c r="AX779" i="108"/>
  <c r="AW779" i="108"/>
  <c r="AC779" i="108"/>
  <c r="M779" i="108"/>
  <c r="BC779" i="108" s="1"/>
  <c r="AZ778" i="108"/>
  <c r="BB778" i="108" s="1"/>
  <c r="AY778" i="108"/>
  <c r="BA778" i="108" s="1"/>
  <c r="AX778" i="108"/>
  <c r="AW778" i="108"/>
  <c r="AC778" i="108"/>
  <c r="M778" i="108"/>
  <c r="BC778" i="108" s="1"/>
  <c r="AZ777" i="108"/>
  <c r="BB777" i="108" s="1"/>
  <c r="AY777" i="108"/>
  <c r="BA777" i="108" s="1"/>
  <c r="AX777" i="108"/>
  <c r="AW777" i="108"/>
  <c r="AC777" i="108"/>
  <c r="M777" i="108"/>
  <c r="BC777" i="108" s="1"/>
  <c r="AZ776" i="108"/>
  <c r="BB776" i="108" s="1"/>
  <c r="AY776" i="108"/>
  <c r="BA776" i="108" s="1"/>
  <c r="AX776" i="108"/>
  <c r="AW776" i="108"/>
  <c r="AC776" i="108"/>
  <c r="M776" i="108"/>
  <c r="BC776" i="108" s="1"/>
  <c r="AZ775" i="108"/>
  <c r="BB775" i="108" s="1"/>
  <c r="AY775" i="108"/>
  <c r="BA775" i="108" s="1"/>
  <c r="AX775" i="108"/>
  <c r="AW775" i="108"/>
  <c r="AC775" i="108"/>
  <c r="M775" i="108"/>
  <c r="BC775" i="108" s="1"/>
  <c r="AZ774" i="108"/>
  <c r="BB774" i="108" s="1"/>
  <c r="AY774" i="108"/>
  <c r="BA774" i="108" s="1"/>
  <c r="AX774" i="108"/>
  <c r="AW774" i="108"/>
  <c r="AC774" i="108"/>
  <c r="M774" i="108"/>
  <c r="BC774" i="108" s="1"/>
  <c r="AZ773" i="108"/>
  <c r="BB773" i="108" s="1"/>
  <c r="AY773" i="108"/>
  <c r="BA773" i="108" s="1"/>
  <c r="AX773" i="108"/>
  <c r="AW773" i="108"/>
  <c r="AC773" i="108"/>
  <c r="M773" i="108"/>
  <c r="BC773" i="108" s="1"/>
  <c r="AZ772" i="108"/>
  <c r="BB772" i="108" s="1"/>
  <c r="AY772" i="108"/>
  <c r="BA772" i="108" s="1"/>
  <c r="AX772" i="108"/>
  <c r="AW772" i="108"/>
  <c r="AC772" i="108"/>
  <c r="M772" i="108"/>
  <c r="BC772" i="108" s="1"/>
  <c r="AZ771" i="108"/>
  <c r="BB771" i="108" s="1"/>
  <c r="AY771" i="108"/>
  <c r="BA771" i="108" s="1"/>
  <c r="AX771" i="108"/>
  <c r="AW771" i="108"/>
  <c r="AC771" i="108"/>
  <c r="M771" i="108"/>
  <c r="BC771" i="108" s="1"/>
  <c r="AZ770" i="108"/>
  <c r="BB770" i="108" s="1"/>
  <c r="AY770" i="108"/>
  <c r="BA770" i="108" s="1"/>
  <c r="AX770" i="108"/>
  <c r="AW770" i="108"/>
  <c r="AC770" i="108"/>
  <c r="M770" i="108"/>
  <c r="BC770" i="108" s="1"/>
  <c r="AZ769" i="108"/>
  <c r="BB769" i="108" s="1"/>
  <c r="AY769" i="108"/>
  <c r="BA769" i="108" s="1"/>
  <c r="AX769" i="108"/>
  <c r="AW769" i="108"/>
  <c r="AC769" i="108"/>
  <c r="M769" i="108"/>
  <c r="BC769" i="108" s="1"/>
  <c r="AZ768" i="108"/>
  <c r="BB768" i="108" s="1"/>
  <c r="AY768" i="108"/>
  <c r="BA768" i="108" s="1"/>
  <c r="AX768" i="108"/>
  <c r="AW768" i="108"/>
  <c r="AC768" i="108"/>
  <c r="M768" i="108"/>
  <c r="BC768" i="108" s="1"/>
  <c r="AZ767" i="108"/>
  <c r="BB767" i="108" s="1"/>
  <c r="AY767" i="108"/>
  <c r="BA767" i="108" s="1"/>
  <c r="AX767" i="108"/>
  <c r="AW767" i="108"/>
  <c r="AC767" i="108"/>
  <c r="M767" i="108"/>
  <c r="BC767" i="108" s="1"/>
  <c r="AZ766" i="108"/>
  <c r="BB766" i="108" s="1"/>
  <c r="AY766" i="108"/>
  <c r="BA766" i="108" s="1"/>
  <c r="AX766" i="108"/>
  <c r="AW766" i="108"/>
  <c r="AC766" i="108"/>
  <c r="M766" i="108"/>
  <c r="BC766" i="108" s="1"/>
  <c r="AZ765" i="108"/>
  <c r="BB765" i="108" s="1"/>
  <c r="AY765" i="108"/>
  <c r="BA765" i="108" s="1"/>
  <c r="AX765" i="108"/>
  <c r="AW765" i="108"/>
  <c r="AC765" i="108"/>
  <c r="M765" i="108"/>
  <c r="BC765" i="108" s="1"/>
  <c r="AZ764" i="108"/>
  <c r="BB764" i="108" s="1"/>
  <c r="AY764" i="108"/>
  <c r="BA764" i="108" s="1"/>
  <c r="AX764" i="108"/>
  <c r="AW764" i="108"/>
  <c r="AC764" i="108"/>
  <c r="M764" i="108"/>
  <c r="BC764" i="108" s="1"/>
  <c r="AZ763" i="108"/>
  <c r="BB763" i="108" s="1"/>
  <c r="AY763" i="108"/>
  <c r="BA763" i="108" s="1"/>
  <c r="AX763" i="108"/>
  <c r="AW763" i="108"/>
  <c r="AC763" i="108"/>
  <c r="M763" i="108"/>
  <c r="BC763" i="108" s="1"/>
  <c r="AZ762" i="108"/>
  <c r="BB762" i="108" s="1"/>
  <c r="AY762" i="108"/>
  <c r="BA762" i="108" s="1"/>
  <c r="AX762" i="108"/>
  <c r="AW762" i="108"/>
  <c r="AC762" i="108"/>
  <c r="M762" i="108"/>
  <c r="BC762" i="108" s="1"/>
  <c r="AZ761" i="108"/>
  <c r="BB761" i="108" s="1"/>
  <c r="AY761" i="108"/>
  <c r="BA761" i="108" s="1"/>
  <c r="AX761" i="108"/>
  <c r="AW761" i="108"/>
  <c r="AC761" i="108"/>
  <c r="M761" i="108"/>
  <c r="BC761" i="108" s="1"/>
  <c r="AZ760" i="108"/>
  <c r="BB760" i="108" s="1"/>
  <c r="AY760" i="108"/>
  <c r="BA760" i="108" s="1"/>
  <c r="AX760" i="108"/>
  <c r="AW760" i="108"/>
  <c r="AC760" i="108"/>
  <c r="M760" i="108"/>
  <c r="BC760" i="108" s="1"/>
  <c r="AZ759" i="108"/>
  <c r="BB759" i="108" s="1"/>
  <c r="AY759" i="108"/>
  <c r="BA759" i="108" s="1"/>
  <c r="AX759" i="108"/>
  <c r="AW759" i="108"/>
  <c r="AC759" i="108"/>
  <c r="M759" i="108"/>
  <c r="BC759" i="108" s="1"/>
  <c r="AZ758" i="108"/>
  <c r="BB758" i="108" s="1"/>
  <c r="AY758" i="108"/>
  <c r="BA758" i="108" s="1"/>
  <c r="AX758" i="108"/>
  <c r="AW758" i="108"/>
  <c r="AC758" i="108"/>
  <c r="M758" i="108"/>
  <c r="BC758" i="108" s="1"/>
  <c r="AZ757" i="108"/>
  <c r="BB757" i="108" s="1"/>
  <c r="AY757" i="108"/>
  <c r="BA757" i="108" s="1"/>
  <c r="AX757" i="108"/>
  <c r="AW757" i="108"/>
  <c r="AC757" i="108"/>
  <c r="M757" i="108"/>
  <c r="BC757" i="108" s="1"/>
  <c r="AZ756" i="108"/>
  <c r="BB756" i="108" s="1"/>
  <c r="AY756" i="108"/>
  <c r="BA756" i="108" s="1"/>
  <c r="AX756" i="108"/>
  <c r="AW756" i="108"/>
  <c r="AC756" i="108"/>
  <c r="M756" i="108"/>
  <c r="BC756" i="108" s="1"/>
  <c r="AZ755" i="108"/>
  <c r="BB755" i="108" s="1"/>
  <c r="AY755" i="108"/>
  <c r="BA755" i="108" s="1"/>
  <c r="AX755" i="108"/>
  <c r="AW755" i="108"/>
  <c r="AC755" i="108"/>
  <c r="M755" i="108"/>
  <c r="BC755" i="108" s="1"/>
  <c r="AZ754" i="108"/>
  <c r="BB754" i="108" s="1"/>
  <c r="AY754" i="108"/>
  <c r="BA754" i="108" s="1"/>
  <c r="AX754" i="108"/>
  <c r="AW754" i="108"/>
  <c r="AC754" i="108"/>
  <c r="M754" i="108"/>
  <c r="BC754" i="108" s="1"/>
  <c r="AZ753" i="108"/>
  <c r="BB753" i="108" s="1"/>
  <c r="AY753" i="108"/>
  <c r="BA753" i="108" s="1"/>
  <c r="AX753" i="108"/>
  <c r="AW753" i="108"/>
  <c r="AC753" i="108"/>
  <c r="M753" i="108"/>
  <c r="BC753" i="108" s="1"/>
  <c r="AZ752" i="108"/>
  <c r="BB752" i="108" s="1"/>
  <c r="AY752" i="108"/>
  <c r="BA752" i="108" s="1"/>
  <c r="AX752" i="108"/>
  <c r="AW752" i="108"/>
  <c r="AC752" i="108"/>
  <c r="M752" i="108"/>
  <c r="BC752" i="108" s="1"/>
  <c r="AZ751" i="108"/>
  <c r="BB751" i="108" s="1"/>
  <c r="AY751" i="108"/>
  <c r="BA751" i="108" s="1"/>
  <c r="AX751" i="108"/>
  <c r="AW751" i="108"/>
  <c r="AC751" i="108"/>
  <c r="M751" i="108"/>
  <c r="BC751" i="108" s="1"/>
  <c r="AZ750" i="108"/>
  <c r="BB750" i="108" s="1"/>
  <c r="AY750" i="108"/>
  <c r="BA750" i="108" s="1"/>
  <c r="AX750" i="108"/>
  <c r="AW750" i="108"/>
  <c r="AC750" i="108"/>
  <c r="M750" i="108"/>
  <c r="BC750" i="108" s="1"/>
  <c r="AZ749" i="108"/>
  <c r="BB749" i="108" s="1"/>
  <c r="AY749" i="108"/>
  <c r="BA749" i="108" s="1"/>
  <c r="AX749" i="108"/>
  <c r="AW749" i="108"/>
  <c r="AC749" i="108"/>
  <c r="M749" i="108"/>
  <c r="BC749" i="108" s="1"/>
  <c r="AZ748" i="108"/>
  <c r="BB748" i="108" s="1"/>
  <c r="AY748" i="108"/>
  <c r="BA748" i="108" s="1"/>
  <c r="AX748" i="108"/>
  <c r="AW748" i="108"/>
  <c r="AC748" i="108"/>
  <c r="M748" i="108"/>
  <c r="BC748" i="108" s="1"/>
  <c r="AZ747" i="108"/>
  <c r="BB747" i="108" s="1"/>
  <c r="AY747" i="108"/>
  <c r="BA747" i="108" s="1"/>
  <c r="AX747" i="108"/>
  <c r="AW747" i="108"/>
  <c r="AC747" i="108"/>
  <c r="M747" i="108"/>
  <c r="BC747" i="108" s="1"/>
  <c r="AZ746" i="108"/>
  <c r="BB746" i="108" s="1"/>
  <c r="AY746" i="108"/>
  <c r="BA746" i="108" s="1"/>
  <c r="AX746" i="108"/>
  <c r="AW746" i="108"/>
  <c r="AC746" i="108"/>
  <c r="M746" i="108"/>
  <c r="BC746" i="108" s="1"/>
  <c r="AZ745" i="108"/>
  <c r="BB745" i="108" s="1"/>
  <c r="AY745" i="108"/>
  <c r="BA745" i="108" s="1"/>
  <c r="AX745" i="108"/>
  <c r="AW745" i="108"/>
  <c r="AC745" i="108"/>
  <c r="M745" i="108"/>
  <c r="BC745" i="108" s="1"/>
  <c r="AZ744" i="108"/>
  <c r="BB744" i="108" s="1"/>
  <c r="AY744" i="108"/>
  <c r="BA744" i="108" s="1"/>
  <c r="AX744" i="108"/>
  <c r="AW744" i="108"/>
  <c r="AC744" i="108"/>
  <c r="M744" i="108"/>
  <c r="BC744" i="108" s="1"/>
  <c r="AZ743" i="108"/>
  <c r="BB743" i="108" s="1"/>
  <c r="AY743" i="108"/>
  <c r="BA743" i="108" s="1"/>
  <c r="AX743" i="108"/>
  <c r="AW743" i="108"/>
  <c r="AC743" i="108"/>
  <c r="M743" i="108"/>
  <c r="BC743" i="108" s="1"/>
  <c r="AZ742" i="108"/>
  <c r="BB742" i="108" s="1"/>
  <c r="AY742" i="108"/>
  <c r="BA742" i="108" s="1"/>
  <c r="AX742" i="108"/>
  <c r="AW742" i="108"/>
  <c r="AC742" i="108"/>
  <c r="M742" i="108"/>
  <c r="BC742" i="108" s="1"/>
  <c r="AZ741" i="108"/>
  <c r="BB741" i="108" s="1"/>
  <c r="AY741" i="108"/>
  <c r="BA741" i="108" s="1"/>
  <c r="AX741" i="108"/>
  <c r="AW741" i="108"/>
  <c r="AC741" i="108"/>
  <c r="M741" i="108"/>
  <c r="BC741" i="108" s="1"/>
  <c r="AZ740" i="108"/>
  <c r="BB740" i="108" s="1"/>
  <c r="AY740" i="108"/>
  <c r="BA740" i="108" s="1"/>
  <c r="AX740" i="108"/>
  <c r="AW740" i="108"/>
  <c r="AC740" i="108"/>
  <c r="M740" i="108"/>
  <c r="BC740" i="108" s="1"/>
  <c r="AZ739" i="108"/>
  <c r="BB739" i="108" s="1"/>
  <c r="AY739" i="108"/>
  <c r="BA739" i="108" s="1"/>
  <c r="AX739" i="108"/>
  <c r="AW739" i="108"/>
  <c r="AC739" i="108"/>
  <c r="M739" i="108"/>
  <c r="BC739" i="108" s="1"/>
  <c r="AZ738" i="108"/>
  <c r="BB738" i="108" s="1"/>
  <c r="AY738" i="108"/>
  <c r="BA738" i="108" s="1"/>
  <c r="AX738" i="108"/>
  <c r="AW738" i="108"/>
  <c r="AC738" i="108"/>
  <c r="M738" i="108"/>
  <c r="BC738" i="108" s="1"/>
  <c r="AZ737" i="108"/>
  <c r="BB737" i="108" s="1"/>
  <c r="AY737" i="108"/>
  <c r="BA737" i="108" s="1"/>
  <c r="AX737" i="108"/>
  <c r="AW737" i="108"/>
  <c r="AC737" i="108"/>
  <c r="M737" i="108"/>
  <c r="BC737" i="108" s="1"/>
  <c r="AZ736" i="108"/>
  <c r="BB736" i="108" s="1"/>
  <c r="AY736" i="108"/>
  <c r="BA736" i="108" s="1"/>
  <c r="AX736" i="108"/>
  <c r="AW736" i="108"/>
  <c r="AC736" i="108"/>
  <c r="M736" i="108"/>
  <c r="BC736" i="108" s="1"/>
  <c r="AZ735" i="108"/>
  <c r="BB735" i="108" s="1"/>
  <c r="AY735" i="108"/>
  <c r="BA735" i="108" s="1"/>
  <c r="AX735" i="108"/>
  <c r="AW735" i="108"/>
  <c r="AC735" i="108"/>
  <c r="M735" i="108"/>
  <c r="BC735" i="108" s="1"/>
  <c r="AZ734" i="108"/>
  <c r="BB734" i="108" s="1"/>
  <c r="AY734" i="108"/>
  <c r="BA734" i="108" s="1"/>
  <c r="AX734" i="108"/>
  <c r="AW734" i="108"/>
  <c r="AC734" i="108"/>
  <c r="M734" i="108"/>
  <c r="BC734" i="108" s="1"/>
  <c r="AZ733" i="108"/>
  <c r="BB733" i="108" s="1"/>
  <c r="AY733" i="108"/>
  <c r="BA733" i="108" s="1"/>
  <c r="AX733" i="108"/>
  <c r="AW733" i="108"/>
  <c r="AC733" i="108"/>
  <c r="M733" i="108"/>
  <c r="BC733" i="108" s="1"/>
  <c r="AZ732" i="108"/>
  <c r="BB732" i="108" s="1"/>
  <c r="AY732" i="108"/>
  <c r="BA732" i="108" s="1"/>
  <c r="AX732" i="108"/>
  <c r="AW732" i="108"/>
  <c r="AC732" i="108"/>
  <c r="M732" i="108"/>
  <c r="BC732" i="108" s="1"/>
  <c r="AZ731" i="108"/>
  <c r="BB731" i="108" s="1"/>
  <c r="AY731" i="108"/>
  <c r="BA731" i="108" s="1"/>
  <c r="AX731" i="108"/>
  <c r="AW731" i="108"/>
  <c r="AC731" i="108"/>
  <c r="M731" i="108"/>
  <c r="BC731" i="108" s="1"/>
  <c r="AZ730" i="108"/>
  <c r="BB730" i="108" s="1"/>
  <c r="AY730" i="108"/>
  <c r="BA730" i="108" s="1"/>
  <c r="AX730" i="108"/>
  <c r="AW730" i="108"/>
  <c r="AC730" i="108"/>
  <c r="M730" i="108"/>
  <c r="BC730" i="108" s="1"/>
  <c r="AZ729" i="108"/>
  <c r="BB729" i="108" s="1"/>
  <c r="AY729" i="108"/>
  <c r="BA729" i="108" s="1"/>
  <c r="AX729" i="108"/>
  <c r="AW729" i="108"/>
  <c r="AC729" i="108"/>
  <c r="M729" i="108"/>
  <c r="BC729" i="108" s="1"/>
  <c r="AZ728" i="108"/>
  <c r="BB728" i="108" s="1"/>
  <c r="AY728" i="108"/>
  <c r="BA728" i="108" s="1"/>
  <c r="AX728" i="108"/>
  <c r="AW728" i="108"/>
  <c r="AC728" i="108"/>
  <c r="M728" i="108"/>
  <c r="BC728" i="108" s="1"/>
  <c r="AZ727" i="108"/>
  <c r="BB727" i="108" s="1"/>
  <c r="AY727" i="108"/>
  <c r="BA727" i="108" s="1"/>
  <c r="AX727" i="108"/>
  <c r="AW727" i="108"/>
  <c r="AC727" i="108"/>
  <c r="M727" i="108"/>
  <c r="BC727" i="108" s="1"/>
  <c r="AZ726" i="108"/>
  <c r="BB726" i="108" s="1"/>
  <c r="AY726" i="108"/>
  <c r="BA726" i="108" s="1"/>
  <c r="AX726" i="108"/>
  <c r="AW726" i="108"/>
  <c r="AC726" i="108"/>
  <c r="M726" i="108"/>
  <c r="BC726" i="108" s="1"/>
  <c r="AZ725" i="108"/>
  <c r="BB725" i="108" s="1"/>
  <c r="AY725" i="108"/>
  <c r="BA725" i="108" s="1"/>
  <c r="AX725" i="108"/>
  <c r="AW725" i="108"/>
  <c r="AC725" i="108"/>
  <c r="M725" i="108"/>
  <c r="BC725" i="108" s="1"/>
  <c r="AZ724" i="108"/>
  <c r="BB724" i="108" s="1"/>
  <c r="AY724" i="108"/>
  <c r="BA724" i="108" s="1"/>
  <c r="AX724" i="108"/>
  <c r="AW724" i="108"/>
  <c r="AC724" i="108"/>
  <c r="M724" i="108"/>
  <c r="BC724" i="108" s="1"/>
  <c r="AZ723" i="108"/>
  <c r="BB723" i="108" s="1"/>
  <c r="AY723" i="108"/>
  <c r="BA723" i="108" s="1"/>
  <c r="AX723" i="108"/>
  <c r="AW723" i="108"/>
  <c r="AC723" i="108"/>
  <c r="M723" i="108"/>
  <c r="BC723" i="108" s="1"/>
  <c r="AZ722" i="108"/>
  <c r="BB722" i="108" s="1"/>
  <c r="AY722" i="108"/>
  <c r="BA722" i="108" s="1"/>
  <c r="AX722" i="108"/>
  <c r="AW722" i="108"/>
  <c r="AC722" i="108"/>
  <c r="M722" i="108"/>
  <c r="BC722" i="108" s="1"/>
  <c r="AZ721" i="108"/>
  <c r="BB721" i="108" s="1"/>
  <c r="AY721" i="108"/>
  <c r="BA721" i="108" s="1"/>
  <c r="AX721" i="108"/>
  <c r="AW721" i="108"/>
  <c r="AC721" i="108"/>
  <c r="M721" i="108"/>
  <c r="BC721" i="108" s="1"/>
  <c r="AZ720" i="108"/>
  <c r="BB720" i="108" s="1"/>
  <c r="AY720" i="108"/>
  <c r="BA720" i="108" s="1"/>
  <c r="AX720" i="108"/>
  <c r="AW720" i="108"/>
  <c r="AC720" i="108"/>
  <c r="M720" i="108"/>
  <c r="BC720" i="108" s="1"/>
  <c r="AZ719" i="108"/>
  <c r="BB719" i="108" s="1"/>
  <c r="AY719" i="108"/>
  <c r="BA719" i="108" s="1"/>
  <c r="AX719" i="108"/>
  <c r="AW719" i="108"/>
  <c r="AC719" i="108"/>
  <c r="M719" i="108"/>
  <c r="BC719" i="108" s="1"/>
  <c r="AZ718" i="108"/>
  <c r="BB718" i="108" s="1"/>
  <c r="AY718" i="108"/>
  <c r="BA718" i="108" s="1"/>
  <c r="AX718" i="108"/>
  <c r="AW718" i="108"/>
  <c r="AC718" i="108"/>
  <c r="M718" i="108"/>
  <c r="BC718" i="108" s="1"/>
  <c r="AZ717" i="108"/>
  <c r="BB717" i="108" s="1"/>
  <c r="AY717" i="108"/>
  <c r="BA717" i="108" s="1"/>
  <c r="AX717" i="108"/>
  <c r="AW717" i="108"/>
  <c r="AC717" i="108"/>
  <c r="M717" i="108"/>
  <c r="BC717" i="108" s="1"/>
  <c r="AZ716" i="108"/>
  <c r="BB716" i="108" s="1"/>
  <c r="AY716" i="108"/>
  <c r="BA716" i="108" s="1"/>
  <c r="AX716" i="108"/>
  <c r="AW716" i="108"/>
  <c r="AC716" i="108"/>
  <c r="M716" i="108"/>
  <c r="BC716" i="108" s="1"/>
  <c r="AZ715" i="108"/>
  <c r="BB715" i="108" s="1"/>
  <c r="AY715" i="108"/>
  <c r="BA715" i="108" s="1"/>
  <c r="AX715" i="108"/>
  <c r="AW715" i="108"/>
  <c r="AC715" i="108"/>
  <c r="M715" i="108"/>
  <c r="BC715" i="108" s="1"/>
  <c r="AZ714" i="108"/>
  <c r="BB714" i="108" s="1"/>
  <c r="AY714" i="108"/>
  <c r="BA714" i="108" s="1"/>
  <c r="AX714" i="108"/>
  <c r="AW714" i="108"/>
  <c r="AC714" i="108"/>
  <c r="M714" i="108"/>
  <c r="BC714" i="108" s="1"/>
  <c r="AZ713" i="108"/>
  <c r="BB713" i="108" s="1"/>
  <c r="AY713" i="108"/>
  <c r="BA713" i="108" s="1"/>
  <c r="AX713" i="108"/>
  <c r="AW713" i="108"/>
  <c r="AC713" i="108"/>
  <c r="M713" i="108"/>
  <c r="BC713" i="108" s="1"/>
  <c r="AZ712" i="108"/>
  <c r="BB712" i="108" s="1"/>
  <c r="AY712" i="108"/>
  <c r="BA712" i="108" s="1"/>
  <c r="AX712" i="108"/>
  <c r="AW712" i="108"/>
  <c r="AC712" i="108"/>
  <c r="M712" i="108"/>
  <c r="BC712" i="108" s="1"/>
  <c r="AZ711" i="108"/>
  <c r="BB711" i="108" s="1"/>
  <c r="AY711" i="108"/>
  <c r="BA711" i="108" s="1"/>
  <c r="AX711" i="108"/>
  <c r="AW711" i="108"/>
  <c r="AC711" i="108"/>
  <c r="M711" i="108"/>
  <c r="BC711" i="108" s="1"/>
  <c r="AZ710" i="108"/>
  <c r="BB710" i="108" s="1"/>
  <c r="AY710" i="108"/>
  <c r="BA710" i="108" s="1"/>
  <c r="AX710" i="108"/>
  <c r="AW710" i="108"/>
  <c r="AC710" i="108"/>
  <c r="M710" i="108"/>
  <c r="BC710" i="108" s="1"/>
  <c r="AZ709" i="108"/>
  <c r="BB709" i="108" s="1"/>
  <c r="AY709" i="108"/>
  <c r="BA709" i="108" s="1"/>
  <c r="AX709" i="108"/>
  <c r="AW709" i="108"/>
  <c r="AC709" i="108"/>
  <c r="M709" i="108"/>
  <c r="BC709" i="108" s="1"/>
  <c r="AZ708" i="108"/>
  <c r="BB708" i="108" s="1"/>
  <c r="AY708" i="108"/>
  <c r="BA708" i="108" s="1"/>
  <c r="AX708" i="108"/>
  <c r="AW708" i="108"/>
  <c r="AC708" i="108"/>
  <c r="M708" i="108"/>
  <c r="BC708" i="108" s="1"/>
  <c r="AZ707" i="108"/>
  <c r="BB707" i="108" s="1"/>
  <c r="AY707" i="108"/>
  <c r="BA707" i="108" s="1"/>
  <c r="AX707" i="108"/>
  <c r="AW707" i="108"/>
  <c r="AC707" i="108"/>
  <c r="M707" i="108"/>
  <c r="BC707" i="108" s="1"/>
  <c r="AZ706" i="108"/>
  <c r="BB706" i="108" s="1"/>
  <c r="AY706" i="108"/>
  <c r="BA706" i="108" s="1"/>
  <c r="AX706" i="108"/>
  <c r="AW706" i="108"/>
  <c r="AC706" i="108"/>
  <c r="M706" i="108"/>
  <c r="BC706" i="108" s="1"/>
  <c r="AZ705" i="108"/>
  <c r="BB705" i="108" s="1"/>
  <c r="AY705" i="108"/>
  <c r="BA705" i="108" s="1"/>
  <c r="AX705" i="108"/>
  <c r="AW705" i="108"/>
  <c r="AC705" i="108"/>
  <c r="M705" i="108"/>
  <c r="BC705" i="108" s="1"/>
  <c r="AZ704" i="108"/>
  <c r="BB704" i="108" s="1"/>
  <c r="AY704" i="108"/>
  <c r="BA704" i="108" s="1"/>
  <c r="AX704" i="108"/>
  <c r="AW704" i="108"/>
  <c r="AC704" i="108"/>
  <c r="M704" i="108"/>
  <c r="BC704" i="108" s="1"/>
  <c r="AZ703" i="108"/>
  <c r="BB703" i="108" s="1"/>
  <c r="AY703" i="108"/>
  <c r="BA703" i="108" s="1"/>
  <c r="AX703" i="108"/>
  <c r="AW703" i="108"/>
  <c r="AC703" i="108"/>
  <c r="M703" i="108"/>
  <c r="BC703" i="108" s="1"/>
  <c r="AZ702" i="108"/>
  <c r="BB702" i="108" s="1"/>
  <c r="AY702" i="108"/>
  <c r="BA702" i="108" s="1"/>
  <c r="AX702" i="108"/>
  <c r="AW702" i="108"/>
  <c r="AC702" i="108"/>
  <c r="M702" i="108"/>
  <c r="BC702" i="108" s="1"/>
  <c r="AZ701" i="108"/>
  <c r="BB701" i="108" s="1"/>
  <c r="AY701" i="108"/>
  <c r="BA701" i="108" s="1"/>
  <c r="AX701" i="108"/>
  <c r="AW701" i="108"/>
  <c r="AC701" i="108"/>
  <c r="M701" i="108"/>
  <c r="BC701" i="108" s="1"/>
  <c r="AZ700" i="108"/>
  <c r="BB700" i="108" s="1"/>
  <c r="AY700" i="108"/>
  <c r="BA700" i="108" s="1"/>
  <c r="AX700" i="108"/>
  <c r="AW700" i="108"/>
  <c r="AC700" i="108"/>
  <c r="M700" i="108"/>
  <c r="BC700" i="108" s="1"/>
  <c r="AZ699" i="108"/>
  <c r="BB699" i="108" s="1"/>
  <c r="AY699" i="108"/>
  <c r="BA699" i="108" s="1"/>
  <c r="AX699" i="108"/>
  <c r="AW699" i="108"/>
  <c r="AC699" i="108"/>
  <c r="M699" i="108"/>
  <c r="BC699" i="108" s="1"/>
  <c r="AZ698" i="108"/>
  <c r="BB698" i="108" s="1"/>
  <c r="AY698" i="108"/>
  <c r="BA698" i="108" s="1"/>
  <c r="AX698" i="108"/>
  <c r="AW698" i="108"/>
  <c r="AC698" i="108"/>
  <c r="M698" i="108"/>
  <c r="BC698" i="108" s="1"/>
  <c r="AZ697" i="108"/>
  <c r="BB697" i="108" s="1"/>
  <c r="AY697" i="108"/>
  <c r="BA697" i="108" s="1"/>
  <c r="AX697" i="108"/>
  <c r="AW697" i="108"/>
  <c r="AC697" i="108"/>
  <c r="M697" i="108"/>
  <c r="BC697" i="108" s="1"/>
  <c r="AZ696" i="108"/>
  <c r="BB696" i="108" s="1"/>
  <c r="AY696" i="108"/>
  <c r="BA696" i="108" s="1"/>
  <c r="AX696" i="108"/>
  <c r="AW696" i="108"/>
  <c r="AC696" i="108"/>
  <c r="M696" i="108"/>
  <c r="BC696" i="108" s="1"/>
  <c r="AZ695" i="108"/>
  <c r="BB695" i="108" s="1"/>
  <c r="AY695" i="108"/>
  <c r="BA695" i="108" s="1"/>
  <c r="AX695" i="108"/>
  <c r="AW695" i="108"/>
  <c r="AC695" i="108"/>
  <c r="M695" i="108"/>
  <c r="BC695" i="108" s="1"/>
  <c r="AZ694" i="108"/>
  <c r="BB694" i="108" s="1"/>
  <c r="AY694" i="108"/>
  <c r="BA694" i="108" s="1"/>
  <c r="AX694" i="108"/>
  <c r="AW694" i="108"/>
  <c r="AC694" i="108"/>
  <c r="M694" i="108"/>
  <c r="BC694" i="108" s="1"/>
  <c r="AZ693" i="108"/>
  <c r="BB693" i="108" s="1"/>
  <c r="AY693" i="108"/>
  <c r="BA693" i="108" s="1"/>
  <c r="AX693" i="108"/>
  <c r="AW693" i="108"/>
  <c r="AC693" i="108"/>
  <c r="M693" i="108"/>
  <c r="BC693" i="108" s="1"/>
  <c r="AZ692" i="108"/>
  <c r="BB692" i="108" s="1"/>
  <c r="AY692" i="108"/>
  <c r="BA692" i="108" s="1"/>
  <c r="AX692" i="108"/>
  <c r="AW692" i="108"/>
  <c r="AC692" i="108"/>
  <c r="M692" i="108"/>
  <c r="BC692" i="108" s="1"/>
  <c r="AZ691" i="108"/>
  <c r="BB691" i="108" s="1"/>
  <c r="AY691" i="108"/>
  <c r="BA691" i="108" s="1"/>
  <c r="AX691" i="108"/>
  <c r="AW691" i="108"/>
  <c r="AC691" i="108"/>
  <c r="M691" i="108"/>
  <c r="BC691" i="108" s="1"/>
  <c r="AZ690" i="108"/>
  <c r="BB690" i="108" s="1"/>
  <c r="AY690" i="108"/>
  <c r="BA690" i="108" s="1"/>
  <c r="AX690" i="108"/>
  <c r="AW690" i="108"/>
  <c r="AC690" i="108"/>
  <c r="M690" i="108"/>
  <c r="BC690" i="108" s="1"/>
  <c r="AZ689" i="108"/>
  <c r="BB689" i="108" s="1"/>
  <c r="AY689" i="108"/>
  <c r="BA689" i="108" s="1"/>
  <c r="AX689" i="108"/>
  <c r="AW689" i="108"/>
  <c r="AC689" i="108"/>
  <c r="M689" i="108"/>
  <c r="BC689" i="108" s="1"/>
  <c r="AZ688" i="108"/>
  <c r="BB688" i="108" s="1"/>
  <c r="AY688" i="108"/>
  <c r="BA688" i="108" s="1"/>
  <c r="AX688" i="108"/>
  <c r="AW688" i="108"/>
  <c r="AC688" i="108"/>
  <c r="M688" i="108"/>
  <c r="BC688" i="108" s="1"/>
  <c r="AZ687" i="108"/>
  <c r="BB687" i="108" s="1"/>
  <c r="AY687" i="108"/>
  <c r="BA687" i="108" s="1"/>
  <c r="AX687" i="108"/>
  <c r="AW687" i="108"/>
  <c r="AC687" i="108"/>
  <c r="M687" i="108"/>
  <c r="BC687" i="108" s="1"/>
  <c r="AZ686" i="108"/>
  <c r="BB686" i="108" s="1"/>
  <c r="AY686" i="108"/>
  <c r="BA686" i="108" s="1"/>
  <c r="AX686" i="108"/>
  <c r="AW686" i="108"/>
  <c r="AC686" i="108"/>
  <c r="M686" i="108"/>
  <c r="BC686" i="108" s="1"/>
  <c r="AZ685" i="108"/>
  <c r="BB685" i="108" s="1"/>
  <c r="AY685" i="108"/>
  <c r="BA685" i="108" s="1"/>
  <c r="AX685" i="108"/>
  <c r="AW685" i="108"/>
  <c r="AC685" i="108"/>
  <c r="M685" i="108"/>
  <c r="BC685" i="108" s="1"/>
  <c r="AZ684" i="108"/>
  <c r="BB684" i="108" s="1"/>
  <c r="AY684" i="108"/>
  <c r="BA684" i="108" s="1"/>
  <c r="AX684" i="108"/>
  <c r="AW684" i="108"/>
  <c r="AC684" i="108"/>
  <c r="M684" i="108"/>
  <c r="BC684" i="108" s="1"/>
  <c r="AZ683" i="108"/>
  <c r="BB683" i="108" s="1"/>
  <c r="AY683" i="108"/>
  <c r="BA683" i="108" s="1"/>
  <c r="AX683" i="108"/>
  <c r="AW683" i="108"/>
  <c r="AC683" i="108"/>
  <c r="M683" i="108"/>
  <c r="BC683" i="108" s="1"/>
  <c r="AZ682" i="108"/>
  <c r="BB682" i="108" s="1"/>
  <c r="AY682" i="108"/>
  <c r="BA682" i="108" s="1"/>
  <c r="AX682" i="108"/>
  <c r="AW682" i="108"/>
  <c r="AC682" i="108"/>
  <c r="M682" i="108"/>
  <c r="BC682" i="108" s="1"/>
  <c r="AZ681" i="108"/>
  <c r="BB681" i="108" s="1"/>
  <c r="AY681" i="108"/>
  <c r="BA681" i="108" s="1"/>
  <c r="AX681" i="108"/>
  <c r="AW681" i="108"/>
  <c r="AC681" i="108"/>
  <c r="M681" i="108"/>
  <c r="BC681" i="108" s="1"/>
  <c r="AZ680" i="108"/>
  <c r="BB680" i="108" s="1"/>
  <c r="AY680" i="108"/>
  <c r="BA680" i="108" s="1"/>
  <c r="AX680" i="108"/>
  <c r="AW680" i="108"/>
  <c r="AC680" i="108"/>
  <c r="M680" i="108"/>
  <c r="BC680" i="108" s="1"/>
  <c r="AZ679" i="108"/>
  <c r="BB679" i="108" s="1"/>
  <c r="AY679" i="108"/>
  <c r="BA679" i="108" s="1"/>
  <c r="AX679" i="108"/>
  <c r="AW679" i="108"/>
  <c r="AC679" i="108"/>
  <c r="M679" i="108"/>
  <c r="BC679" i="108" s="1"/>
  <c r="AZ678" i="108"/>
  <c r="BB678" i="108" s="1"/>
  <c r="AY678" i="108"/>
  <c r="BA678" i="108" s="1"/>
  <c r="AX678" i="108"/>
  <c r="AW678" i="108"/>
  <c r="AC678" i="108"/>
  <c r="M678" i="108"/>
  <c r="BC678" i="108" s="1"/>
  <c r="AZ677" i="108"/>
  <c r="BB677" i="108" s="1"/>
  <c r="AY677" i="108"/>
  <c r="BA677" i="108" s="1"/>
  <c r="AX677" i="108"/>
  <c r="AW677" i="108"/>
  <c r="AC677" i="108"/>
  <c r="M677" i="108"/>
  <c r="BC677" i="108" s="1"/>
  <c r="AZ676" i="108"/>
  <c r="BB676" i="108" s="1"/>
  <c r="AY676" i="108"/>
  <c r="BA676" i="108" s="1"/>
  <c r="AX676" i="108"/>
  <c r="AW676" i="108"/>
  <c r="AC676" i="108"/>
  <c r="M676" i="108"/>
  <c r="BC676" i="108" s="1"/>
  <c r="AZ675" i="108"/>
  <c r="BB675" i="108" s="1"/>
  <c r="AY675" i="108"/>
  <c r="BA675" i="108" s="1"/>
  <c r="AX675" i="108"/>
  <c r="AW675" i="108"/>
  <c r="AC675" i="108"/>
  <c r="M675" i="108"/>
  <c r="BC675" i="108" s="1"/>
  <c r="AZ674" i="108"/>
  <c r="BB674" i="108" s="1"/>
  <c r="AY674" i="108"/>
  <c r="BA674" i="108" s="1"/>
  <c r="AX674" i="108"/>
  <c r="AW674" i="108"/>
  <c r="AC674" i="108"/>
  <c r="M674" i="108"/>
  <c r="BC674" i="108" s="1"/>
  <c r="AZ673" i="108"/>
  <c r="BB673" i="108" s="1"/>
  <c r="AY673" i="108"/>
  <c r="BA673" i="108" s="1"/>
  <c r="AX673" i="108"/>
  <c r="AW673" i="108"/>
  <c r="AC673" i="108"/>
  <c r="M673" i="108"/>
  <c r="BC673" i="108" s="1"/>
  <c r="AZ672" i="108"/>
  <c r="BB672" i="108" s="1"/>
  <c r="AY672" i="108"/>
  <c r="BA672" i="108" s="1"/>
  <c r="AX672" i="108"/>
  <c r="AW672" i="108"/>
  <c r="AC672" i="108"/>
  <c r="M672" i="108"/>
  <c r="BC672" i="108" s="1"/>
  <c r="AZ671" i="108"/>
  <c r="BB671" i="108" s="1"/>
  <c r="AY671" i="108"/>
  <c r="BA671" i="108" s="1"/>
  <c r="AX671" i="108"/>
  <c r="AW671" i="108"/>
  <c r="AC671" i="108"/>
  <c r="M671" i="108"/>
  <c r="BC671" i="108" s="1"/>
  <c r="AZ670" i="108"/>
  <c r="BB670" i="108" s="1"/>
  <c r="AY670" i="108"/>
  <c r="BA670" i="108" s="1"/>
  <c r="AX670" i="108"/>
  <c r="AW670" i="108"/>
  <c r="AC670" i="108"/>
  <c r="M670" i="108"/>
  <c r="BC670" i="108" s="1"/>
  <c r="AZ669" i="108"/>
  <c r="BB669" i="108" s="1"/>
  <c r="AY669" i="108"/>
  <c r="BA669" i="108" s="1"/>
  <c r="AX669" i="108"/>
  <c r="AW669" i="108"/>
  <c r="AC669" i="108"/>
  <c r="M669" i="108"/>
  <c r="BC669" i="108" s="1"/>
  <c r="AZ668" i="108"/>
  <c r="BB668" i="108" s="1"/>
  <c r="AY668" i="108"/>
  <c r="BA668" i="108" s="1"/>
  <c r="AX668" i="108"/>
  <c r="AW668" i="108"/>
  <c r="AC668" i="108"/>
  <c r="M668" i="108"/>
  <c r="BC668" i="108" s="1"/>
  <c r="AZ667" i="108"/>
  <c r="BB667" i="108" s="1"/>
  <c r="AY667" i="108"/>
  <c r="BA667" i="108" s="1"/>
  <c r="AX667" i="108"/>
  <c r="AW667" i="108"/>
  <c r="AC667" i="108"/>
  <c r="M667" i="108"/>
  <c r="BC667" i="108" s="1"/>
  <c r="AZ666" i="108"/>
  <c r="BB666" i="108" s="1"/>
  <c r="AY666" i="108"/>
  <c r="BA666" i="108" s="1"/>
  <c r="AX666" i="108"/>
  <c r="AW666" i="108"/>
  <c r="AC666" i="108"/>
  <c r="M666" i="108"/>
  <c r="BC666" i="108" s="1"/>
  <c r="AZ665" i="108"/>
  <c r="BB665" i="108" s="1"/>
  <c r="AY665" i="108"/>
  <c r="BA665" i="108" s="1"/>
  <c r="AX665" i="108"/>
  <c r="AW665" i="108"/>
  <c r="AC665" i="108"/>
  <c r="M665" i="108"/>
  <c r="BC665" i="108" s="1"/>
  <c r="AZ664" i="108"/>
  <c r="BB664" i="108" s="1"/>
  <c r="AY664" i="108"/>
  <c r="BA664" i="108" s="1"/>
  <c r="AX664" i="108"/>
  <c r="AW664" i="108"/>
  <c r="AC664" i="108"/>
  <c r="M664" i="108"/>
  <c r="BC664" i="108" s="1"/>
  <c r="AZ663" i="108"/>
  <c r="BB663" i="108" s="1"/>
  <c r="AY663" i="108"/>
  <c r="BA663" i="108" s="1"/>
  <c r="AX663" i="108"/>
  <c r="AW663" i="108"/>
  <c r="AC663" i="108"/>
  <c r="M663" i="108"/>
  <c r="BC663" i="108" s="1"/>
  <c r="AZ662" i="108"/>
  <c r="BB662" i="108" s="1"/>
  <c r="AY662" i="108"/>
  <c r="BA662" i="108" s="1"/>
  <c r="AX662" i="108"/>
  <c r="AW662" i="108"/>
  <c r="AC662" i="108"/>
  <c r="M662" i="108"/>
  <c r="BC662" i="108" s="1"/>
  <c r="AZ661" i="108"/>
  <c r="BB661" i="108" s="1"/>
  <c r="AY661" i="108"/>
  <c r="BA661" i="108" s="1"/>
  <c r="AX661" i="108"/>
  <c r="AW661" i="108"/>
  <c r="AC661" i="108"/>
  <c r="M661" i="108"/>
  <c r="BC661" i="108" s="1"/>
  <c r="AZ660" i="108"/>
  <c r="BB660" i="108" s="1"/>
  <c r="AY660" i="108"/>
  <c r="BA660" i="108" s="1"/>
  <c r="AX660" i="108"/>
  <c r="AW660" i="108"/>
  <c r="AC660" i="108"/>
  <c r="M660" i="108"/>
  <c r="BC660" i="108" s="1"/>
  <c r="AZ659" i="108"/>
  <c r="BB659" i="108" s="1"/>
  <c r="AY659" i="108"/>
  <c r="BA659" i="108" s="1"/>
  <c r="AX659" i="108"/>
  <c r="AW659" i="108"/>
  <c r="AC659" i="108"/>
  <c r="M659" i="108"/>
  <c r="BC659" i="108" s="1"/>
  <c r="AZ658" i="108"/>
  <c r="BB658" i="108" s="1"/>
  <c r="AY658" i="108"/>
  <c r="BA658" i="108" s="1"/>
  <c r="AX658" i="108"/>
  <c r="AW658" i="108"/>
  <c r="AC658" i="108"/>
  <c r="M658" i="108"/>
  <c r="BC658" i="108" s="1"/>
  <c r="AZ657" i="108"/>
  <c r="BB657" i="108" s="1"/>
  <c r="AY657" i="108"/>
  <c r="BA657" i="108" s="1"/>
  <c r="AX657" i="108"/>
  <c r="AW657" i="108"/>
  <c r="AC657" i="108"/>
  <c r="M657" i="108"/>
  <c r="BC657" i="108" s="1"/>
  <c r="AZ656" i="108"/>
  <c r="BB656" i="108" s="1"/>
  <c r="AY656" i="108"/>
  <c r="BA656" i="108" s="1"/>
  <c r="AX656" i="108"/>
  <c r="AW656" i="108"/>
  <c r="AC656" i="108"/>
  <c r="M656" i="108"/>
  <c r="BC656" i="108" s="1"/>
  <c r="AZ655" i="108"/>
  <c r="BB655" i="108" s="1"/>
  <c r="AY655" i="108"/>
  <c r="BA655" i="108" s="1"/>
  <c r="AX655" i="108"/>
  <c r="AW655" i="108"/>
  <c r="AC655" i="108"/>
  <c r="M655" i="108"/>
  <c r="BC655" i="108" s="1"/>
  <c r="AZ654" i="108"/>
  <c r="BB654" i="108" s="1"/>
  <c r="AY654" i="108"/>
  <c r="BA654" i="108" s="1"/>
  <c r="AX654" i="108"/>
  <c r="AW654" i="108"/>
  <c r="AC654" i="108"/>
  <c r="M654" i="108"/>
  <c r="BC654" i="108" s="1"/>
  <c r="AZ653" i="108"/>
  <c r="BB653" i="108" s="1"/>
  <c r="AY653" i="108"/>
  <c r="BA653" i="108" s="1"/>
  <c r="AX653" i="108"/>
  <c r="AW653" i="108"/>
  <c r="AC653" i="108"/>
  <c r="M653" i="108"/>
  <c r="BC653" i="108" s="1"/>
  <c r="AZ652" i="108"/>
  <c r="BB652" i="108" s="1"/>
  <c r="AY652" i="108"/>
  <c r="BA652" i="108" s="1"/>
  <c r="AX652" i="108"/>
  <c r="AW652" i="108"/>
  <c r="AC652" i="108"/>
  <c r="M652" i="108"/>
  <c r="BC652" i="108" s="1"/>
  <c r="AZ651" i="108"/>
  <c r="BB651" i="108" s="1"/>
  <c r="AY651" i="108"/>
  <c r="BA651" i="108" s="1"/>
  <c r="AX651" i="108"/>
  <c r="AW651" i="108"/>
  <c r="AC651" i="108"/>
  <c r="M651" i="108"/>
  <c r="BC651" i="108" s="1"/>
  <c r="AZ650" i="108"/>
  <c r="BB650" i="108" s="1"/>
  <c r="AY650" i="108"/>
  <c r="BA650" i="108" s="1"/>
  <c r="AX650" i="108"/>
  <c r="AW650" i="108"/>
  <c r="AC650" i="108"/>
  <c r="M650" i="108"/>
  <c r="BC650" i="108" s="1"/>
  <c r="AZ649" i="108"/>
  <c r="BB649" i="108" s="1"/>
  <c r="AY649" i="108"/>
  <c r="BA649" i="108" s="1"/>
  <c r="AX649" i="108"/>
  <c r="AW649" i="108"/>
  <c r="AC649" i="108"/>
  <c r="M649" i="108"/>
  <c r="BC649" i="108" s="1"/>
  <c r="AZ648" i="108"/>
  <c r="BB648" i="108" s="1"/>
  <c r="AY648" i="108"/>
  <c r="BA648" i="108" s="1"/>
  <c r="AX648" i="108"/>
  <c r="AW648" i="108"/>
  <c r="AC648" i="108"/>
  <c r="M648" i="108"/>
  <c r="BC648" i="108" s="1"/>
  <c r="AZ647" i="108"/>
  <c r="BB647" i="108" s="1"/>
  <c r="AY647" i="108"/>
  <c r="BA647" i="108" s="1"/>
  <c r="AX647" i="108"/>
  <c r="AW647" i="108"/>
  <c r="AC647" i="108"/>
  <c r="M647" i="108"/>
  <c r="BC647" i="108" s="1"/>
  <c r="AZ646" i="108"/>
  <c r="BB646" i="108" s="1"/>
  <c r="AY646" i="108"/>
  <c r="BA646" i="108" s="1"/>
  <c r="AX646" i="108"/>
  <c r="AW646" i="108"/>
  <c r="AC646" i="108"/>
  <c r="M646" i="108"/>
  <c r="BC646" i="108" s="1"/>
  <c r="AZ645" i="108"/>
  <c r="BB645" i="108" s="1"/>
  <c r="AY645" i="108"/>
  <c r="BA645" i="108" s="1"/>
  <c r="AX645" i="108"/>
  <c r="AW645" i="108"/>
  <c r="AC645" i="108"/>
  <c r="M645" i="108"/>
  <c r="BC645" i="108" s="1"/>
  <c r="AZ644" i="108"/>
  <c r="BB644" i="108" s="1"/>
  <c r="AY644" i="108"/>
  <c r="BA644" i="108" s="1"/>
  <c r="AX644" i="108"/>
  <c r="AW644" i="108"/>
  <c r="AC644" i="108"/>
  <c r="M644" i="108"/>
  <c r="BC644" i="108" s="1"/>
  <c r="AZ643" i="108"/>
  <c r="BB643" i="108" s="1"/>
  <c r="AY643" i="108"/>
  <c r="BA643" i="108" s="1"/>
  <c r="AX643" i="108"/>
  <c r="AW643" i="108"/>
  <c r="AC643" i="108"/>
  <c r="M643" i="108"/>
  <c r="BC643" i="108" s="1"/>
  <c r="AZ642" i="108"/>
  <c r="BB642" i="108" s="1"/>
  <c r="AY642" i="108"/>
  <c r="BA642" i="108" s="1"/>
  <c r="AX642" i="108"/>
  <c r="AW642" i="108"/>
  <c r="AC642" i="108"/>
  <c r="M642" i="108"/>
  <c r="BC642" i="108" s="1"/>
  <c r="AZ641" i="108"/>
  <c r="BB641" i="108" s="1"/>
  <c r="AY641" i="108"/>
  <c r="BA641" i="108" s="1"/>
  <c r="AX641" i="108"/>
  <c r="AW641" i="108"/>
  <c r="AC641" i="108"/>
  <c r="M641" i="108"/>
  <c r="BC641" i="108" s="1"/>
  <c r="AZ640" i="108"/>
  <c r="BB640" i="108" s="1"/>
  <c r="AY640" i="108"/>
  <c r="BA640" i="108" s="1"/>
  <c r="AX640" i="108"/>
  <c r="AW640" i="108"/>
  <c r="AC640" i="108"/>
  <c r="M640" i="108"/>
  <c r="BC640" i="108" s="1"/>
  <c r="AZ639" i="108"/>
  <c r="BB639" i="108" s="1"/>
  <c r="AY639" i="108"/>
  <c r="BA639" i="108" s="1"/>
  <c r="AX639" i="108"/>
  <c r="AW639" i="108"/>
  <c r="AC639" i="108"/>
  <c r="M639" i="108"/>
  <c r="BC639" i="108" s="1"/>
  <c r="AZ638" i="108"/>
  <c r="BB638" i="108" s="1"/>
  <c r="AY638" i="108"/>
  <c r="BA638" i="108" s="1"/>
  <c r="AX638" i="108"/>
  <c r="AW638" i="108"/>
  <c r="AC638" i="108"/>
  <c r="M638" i="108"/>
  <c r="BC638" i="108" s="1"/>
  <c r="AZ637" i="108"/>
  <c r="BB637" i="108" s="1"/>
  <c r="AY637" i="108"/>
  <c r="BA637" i="108" s="1"/>
  <c r="AX637" i="108"/>
  <c r="AW637" i="108"/>
  <c r="AC637" i="108"/>
  <c r="M637" i="108"/>
  <c r="BC637" i="108" s="1"/>
  <c r="AZ636" i="108"/>
  <c r="BB636" i="108" s="1"/>
  <c r="AY636" i="108"/>
  <c r="BA636" i="108" s="1"/>
  <c r="AX636" i="108"/>
  <c r="AW636" i="108"/>
  <c r="AC636" i="108"/>
  <c r="M636" i="108"/>
  <c r="BC636" i="108" s="1"/>
  <c r="AZ635" i="108"/>
  <c r="BB635" i="108" s="1"/>
  <c r="AY635" i="108"/>
  <c r="BA635" i="108" s="1"/>
  <c r="AX635" i="108"/>
  <c r="AW635" i="108"/>
  <c r="AC635" i="108"/>
  <c r="M635" i="108"/>
  <c r="BC635" i="108" s="1"/>
  <c r="AZ634" i="108"/>
  <c r="BB634" i="108" s="1"/>
  <c r="AY634" i="108"/>
  <c r="BA634" i="108" s="1"/>
  <c r="AX634" i="108"/>
  <c r="AW634" i="108"/>
  <c r="AC634" i="108"/>
  <c r="M634" i="108"/>
  <c r="BC634" i="108" s="1"/>
  <c r="AZ633" i="108"/>
  <c r="BB633" i="108" s="1"/>
  <c r="AY633" i="108"/>
  <c r="BA633" i="108" s="1"/>
  <c r="AX633" i="108"/>
  <c r="AW633" i="108"/>
  <c r="AC633" i="108"/>
  <c r="M633" i="108"/>
  <c r="BC633" i="108" s="1"/>
  <c r="AZ632" i="108"/>
  <c r="BB632" i="108" s="1"/>
  <c r="AY632" i="108"/>
  <c r="BA632" i="108" s="1"/>
  <c r="AX632" i="108"/>
  <c r="AW632" i="108"/>
  <c r="AC632" i="108"/>
  <c r="M632" i="108"/>
  <c r="BC632" i="108" s="1"/>
  <c r="AZ631" i="108"/>
  <c r="BB631" i="108" s="1"/>
  <c r="AY631" i="108"/>
  <c r="BA631" i="108" s="1"/>
  <c r="AX631" i="108"/>
  <c r="AW631" i="108"/>
  <c r="AC631" i="108"/>
  <c r="M631" i="108"/>
  <c r="BC631" i="108" s="1"/>
  <c r="AZ630" i="108"/>
  <c r="BB630" i="108" s="1"/>
  <c r="AY630" i="108"/>
  <c r="BA630" i="108" s="1"/>
  <c r="AX630" i="108"/>
  <c r="AW630" i="108"/>
  <c r="AC630" i="108"/>
  <c r="M630" i="108"/>
  <c r="BC630" i="108" s="1"/>
  <c r="AZ629" i="108"/>
  <c r="BB629" i="108" s="1"/>
  <c r="AY629" i="108"/>
  <c r="BA629" i="108" s="1"/>
  <c r="AX629" i="108"/>
  <c r="AW629" i="108"/>
  <c r="AC629" i="108"/>
  <c r="M629" i="108"/>
  <c r="BC629" i="108" s="1"/>
  <c r="AZ628" i="108"/>
  <c r="BB628" i="108" s="1"/>
  <c r="AY628" i="108"/>
  <c r="BA628" i="108" s="1"/>
  <c r="AX628" i="108"/>
  <c r="AW628" i="108"/>
  <c r="AC628" i="108"/>
  <c r="M628" i="108"/>
  <c r="BC628" i="108" s="1"/>
  <c r="AZ627" i="108"/>
  <c r="BB627" i="108" s="1"/>
  <c r="AY627" i="108"/>
  <c r="BA627" i="108" s="1"/>
  <c r="AX627" i="108"/>
  <c r="AW627" i="108"/>
  <c r="AC627" i="108"/>
  <c r="M627" i="108"/>
  <c r="BC627" i="108" s="1"/>
  <c r="AZ626" i="108"/>
  <c r="BB626" i="108" s="1"/>
  <c r="AY626" i="108"/>
  <c r="BA626" i="108" s="1"/>
  <c r="AX626" i="108"/>
  <c r="AW626" i="108"/>
  <c r="AC626" i="108"/>
  <c r="M626" i="108"/>
  <c r="BC626" i="108" s="1"/>
  <c r="AZ625" i="108"/>
  <c r="BB625" i="108" s="1"/>
  <c r="AY625" i="108"/>
  <c r="BA625" i="108" s="1"/>
  <c r="AX625" i="108"/>
  <c r="AW625" i="108"/>
  <c r="AC625" i="108"/>
  <c r="M625" i="108"/>
  <c r="BC625" i="108" s="1"/>
  <c r="AZ624" i="108"/>
  <c r="BB624" i="108" s="1"/>
  <c r="AY624" i="108"/>
  <c r="BA624" i="108" s="1"/>
  <c r="AX624" i="108"/>
  <c r="AW624" i="108"/>
  <c r="AC624" i="108"/>
  <c r="M624" i="108"/>
  <c r="BC624" i="108" s="1"/>
  <c r="AZ623" i="108"/>
  <c r="BB623" i="108" s="1"/>
  <c r="AY623" i="108"/>
  <c r="BA623" i="108" s="1"/>
  <c r="AX623" i="108"/>
  <c r="AW623" i="108"/>
  <c r="AC623" i="108"/>
  <c r="M623" i="108"/>
  <c r="BC623" i="108" s="1"/>
  <c r="AZ622" i="108"/>
  <c r="BB622" i="108" s="1"/>
  <c r="AY622" i="108"/>
  <c r="BA622" i="108" s="1"/>
  <c r="AX622" i="108"/>
  <c r="AW622" i="108"/>
  <c r="AC622" i="108"/>
  <c r="M622" i="108"/>
  <c r="BC622" i="108" s="1"/>
  <c r="AZ621" i="108"/>
  <c r="BB621" i="108" s="1"/>
  <c r="AY621" i="108"/>
  <c r="BA621" i="108" s="1"/>
  <c r="AX621" i="108"/>
  <c r="AW621" i="108"/>
  <c r="AC621" i="108"/>
  <c r="M621" i="108"/>
  <c r="BC621" i="108" s="1"/>
  <c r="AZ620" i="108"/>
  <c r="BB620" i="108" s="1"/>
  <c r="AY620" i="108"/>
  <c r="BA620" i="108" s="1"/>
  <c r="AX620" i="108"/>
  <c r="AW620" i="108"/>
  <c r="AC620" i="108"/>
  <c r="M620" i="108"/>
  <c r="BC620" i="108" s="1"/>
  <c r="AZ619" i="108"/>
  <c r="BB619" i="108" s="1"/>
  <c r="AY619" i="108"/>
  <c r="BA619" i="108" s="1"/>
  <c r="AX619" i="108"/>
  <c r="AW619" i="108"/>
  <c r="AC619" i="108"/>
  <c r="M619" i="108"/>
  <c r="BC619" i="108" s="1"/>
  <c r="AZ618" i="108"/>
  <c r="BB618" i="108" s="1"/>
  <c r="AY618" i="108"/>
  <c r="BA618" i="108" s="1"/>
  <c r="AX618" i="108"/>
  <c r="AW618" i="108"/>
  <c r="AC618" i="108"/>
  <c r="M618" i="108"/>
  <c r="BC618" i="108" s="1"/>
  <c r="AZ617" i="108"/>
  <c r="BB617" i="108" s="1"/>
  <c r="AY617" i="108"/>
  <c r="BA617" i="108" s="1"/>
  <c r="AX617" i="108"/>
  <c r="AW617" i="108"/>
  <c r="AC617" i="108"/>
  <c r="M617" i="108"/>
  <c r="BC617" i="108" s="1"/>
  <c r="AZ616" i="108"/>
  <c r="BB616" i="108" s="1"/>
  <c r="AY616" i="108"/>
  <c r="BA616" i="108" s="1"/>
  <c r="AX616" i="108"/>
  <c r="AW616" i="108"/>
  <c r="AC616" i="108"/>
  <c r="M616" i="108"/>
  <c r="BC616" i="108" s="1"/>
  <c r="AZ615" i="108"/>
  <c r="BB615" i="108" s="1"/>
  <c r="AY615" i="108"/>
  <c r="BA615" i="108" s="1"/>
  <c r="AX615" i="108"/>
  <c r="AW615" i="108"/>
  <c r="AC615" i="108"/>
  <c r="M615" i="108"/>
  <c r="BC615" i="108" s="1"/>
  <c r="AZ614" i="108"/>
  <c r="BB614" i="108" s="1"/>
  <c r="AY614" i="108"/>
  <c r="BA614" i="108" s="1"/>
  <c r="AX614" i="108"/>
  <c r="AW614" i="108"/>
  <c r="AC614" i="108"/>
  <c r="M614" i="108"/>
  <c r="BC614" i="108" s="1"/>
  <c r="AZ613" i="108"/>
  <c r="BB613" i="108" s="1"/>
  <c r="AY613" i="108"/>
  <c r="BA613" i="108" s="1"/>
  <c r="AX613" i="108"/>
  <c r="AW613" i="108"/>
  <c r="AC613" i="108"/>
  <c r="M613" i="108"/>
  <c r="BC613" i="108" s="1"/>
  <c r="AZ612" i="108"/>
  <c r="BB612" i="108" s="1"/>
  <c r="AY612" i="108"/>
  <c r="BA612" i="108" s="1"/>
  <c r="AX612" i="108"/>
  <c r="AW612" i="108"/>
  <c r="AC612" i="108"/>
  <c r="M612" i="108"/>
  <c r="BC612" i="108" s="1"/>
  <c r="AZ611" i="108"/>
  <c r="BB611" i="108" s="1"/>
  <c r="AY611" i="108"/>
  <c r="BA611" i="108" s="1"/>
  <c r="AX611" i="108"/>
  <c r="AW611" i="108"/>
  <c r="AC611" i="108"/>
  <c r="M611" i="108"/>
  <c r="BC611" i="108" s="1"/>
  <c r="AZ610" i="108"/>
  <c r="BB610" i="108" s="1"/>
  <c r="AY610" i="108"/>
  <c r="BA610" i="108" s="1"/>
  <c r="AX610" i="108"/>
  <c r="AW610" i="108"/>
  <c r="AC610" i="108"/>
  <c r="M610" i="108"/>
  <c r="BC610" i="108" s="1"/>
  <c r="AZ609" i="108"/>
  <c r="BB609" i="108" s="1"/>
  <c r="AY609" i="108"/>
  <c r="BA609" i="108" s="1"/>
  <c r="AX609" i="108"/>
  <c r="AW609" i="108"/>
  <c r="AC609" i="108"/>
  <c r="M609" i="108"/>
  <c r="BC609" i="108" s="1"/>
  <c r="AZ608" i="108"/>
  <c r="BB608" i="108" s="1"/>
  <c r="AY608" i="108"/>
  <c r="BA608" i="108" s="1"/>
  <c r="AX608" i="108"/>
  <c r="AW608" i="108"/>
  <c r="AC608" i="108"/>
  <c r="M608" i="108"/>
  <c r="BC608" i="108" s="1"/>
  <c r="AZ607" i="108"/>
  <c r="BB607" i="108" s="1"/>
  <c r="AY607" i="108"/>
  <c r="BA607" i="108" s="1"/>
  <c r="AX607" i="108"/>
  <c r="AW607" i="108"/>
  <c r="AC607" i="108"/>
  <c r="M607" i="108"/>
  <c r="BC607" i="108" s="1"/>
  <c r="AZ606" i="108"/>
  <c r="BB606" i="108" s="1"/>
  <c r="AY606" i="108"/>
  <c r="BA606" i="108" s="1"/>
  <c r="AX606" i="108"/>
  <c r="AW606" i="108"/>
  <c r="AC606" i="108"/>
  <c r="M606" i="108"/>
  <c r="BC606" i="108" s="1"/>
  <c r="AZ605" i="108"/>
  <c r="BB605" i="108" s="1"/>
  <c r="AY605" i="108"/>
  <c r="BA605" i="108" s="1"/>
  <c r="AX605" i="108"/>
  <c r="AW605" i="108"/>
  <c r="AC605" i="108"/>
  <c r="M605" i="108"/>
  <c r="BC605" i="108" s="1"/>
  <c r="AZ604" i="108"/>
  <c r="BB604" i="108" s="1"/>
  <c r="AY604" i="108"/>
  <c r="BA604" i="108" s="1"/>
  <c r="AX604" i="108"/>
  <c r="AW604" i="108"/>
  <c r="AC604" i="108"/>
  <c r="M604" i="108"/>
  <c r="BC604" i="108" s="1"/>
  <c r="AZ603" i="108"/>
  <c r="BB603" i="108" s="1"/>
  <c r="AY603" i="108"/>
  <c r="BA603" i="108" s="1"/>
  <c r="AX603" i="108"/>
  <c r="AW603" i="108"/>
  <c r="AC603" i="108"/>
  <c r="M603" i="108"/>
  <c r="BC603" i="108" s="1"/>
  <c r="AZ602" i="108"/>
  <c r="BB602" i="108" s="1"/>
  <c r="AY602" i="108"/>
  <c r="BA602" i="108" s="1"/>
  <c r="AX602" i="108"/>
  <c r="AW602" i="108"/>
  <c r="AC602" i="108"/>
  <c r="M602" i="108"/>
  <c r="BC602" i="108" s="1"/>
  <c r="AZ601" i="108"/>
  <c r="BB601" i="108" s="1"/>
  <c r="AY601" i="108"/>
  <c r="BA601" i="108" s="1"/>
  <c r="AX601" i="108"/>
  <c r="AW601" i="108"/>
  <c r="AC601" i="108"/>
  <c r="M601" i="108"/>
  <c r="BC601" i="108" s="1"/>
  <c r="AZ600" i="108"/>
  <c r="BB600" i="108" s="1"/>
  <c r="AY600" i="108"/>
  <c r="BA600" i="108" s="1"/>
  <c r="AX600" i="108"/>
  <c r="AW600" i="108"/>
  <c r="AC600" i="108"/>
  <c r="M600" i="108"/>
  <c r="BC600" i="108" s="1"/>
  <c r="AZ599" i="108"/>
  <c r="BB599" i="108" s="1"/>
  <c r="AY599" i="108"/>
  <c r="BA599" i="108" s="1"/>
  <c r="AX599" i="108"/>
  <c r="AW599" i="108"/>
  <c r="AC599" i="108"/>
  <c r="M599" i="108"/>
  <c r="BC599" i="108" s="1"/>
  <c r="AZ598" i="108"/>
  <c r="BB598" i="108" s="1"/>
  <c r="AY598" i="108"/>
  <c r="BA598" i="108" s="1"/>
  <c r="AX598" i="108"/>
  <c r="AW598" i="108"/>
  <c r="AC598" i="108"/>
  <c r="M598" i="108"/>
  <c r="BC598" i="108" s="1"/>
  <c r="AZ597" i="108"/>
  <c r="BB597" i="108" s="1"/>
  <c r="AY597" i="108"/>
  <c r="BA597" i="108" s="1"/>
  <c r="AX597" i="108"/>
  <c r="AW597" i="108"/>
  <c r="AC597" i="108"/>
  <c r="M597" i="108"/>
  <c r="BC597" i="108" s="1"/>
  <c r="AZ596" i="108"/>
  <c r="BB596" i="108" s="1"/>
  <c r="AY596" i="108"/>
  <c r="BA596" i="108" s="1"/>
  <c r="AX596" i="108"/>
  <c r="AW596" i="108"/>
  <c r="AC596" i="108"/>
  <c r="M596" i="108"/>
  <c r="BC596" i="108" s="1"/>
  <c r="AZ595" i="108"/>
  <c r="BB595" i="108" s="1"/>
  <c r="AY595" i="108"/>
  <c r="BA595" i="108" s="1"/>
  <c r="AX595" i="108"/>
  <c r="AW595" i="108"/>
  <c r="AC595" i="108"/>
  <c r="M595" i="108"/>
  <c r="BC595" i="108" s="1"/>
  <c r="AZ594" i="108"/>
  <c r="BB594" i="108" s="1"/>
  <c r="AY594" i="108"/>
  <c r="BA594" i="108" s="1"/>
  <c r="AX594" i="108"/>
  <c r="AW594" i="108"/>
  <c r="AC594" i="108"/>
  <c r="M594" i="108"/>
  <c r="BC594" i="108" s="1"/>
  <c r="AZ593" i="108"/>
  <c r="BB593" i="108" s="1"/>
  <c r="AY593" i="108"/>
  <c r="BA593" i="108" s="1"/>
  <c r="AX593" i="108"/>
  <c r="AW593" i="108"/>
  <c r="AC593" i="108"/>
  <c r="M593" i="108"/>
  <c r="BC593" i="108" s="1"/>
  <c r="AZ592" i="108"/>
  <c r="BB592" i="108" s="1"/>
  <c r="AY592" i="108"/>
  <c r="BA592" i="108" s="1"/>
  <c r="AX592" i="108"/>
  <c r="AW592" i="108"/>
  <c r="AC592" i="108"/>
  <c r="M592" i="108"/>
  <c r="BC592" i="108" s="1"/>
  <c r="AZ591" i="108"/>
  <c r="BB591" i="108" s="1"/>
  <c r="AY591" i="108"/>
  <c r="BA591" i="108" s="1"/>
  <c r="AX591" i="108"/>
  <c r="AW591" i="108"/>
  <c r="AC591" i="108"/>
  <c r="M591" i="108"/>
  <c r="BC591" i="108" s="1"/>
  <c r="AZ590" i="108"/>
  <c r="BB590" i="108" s="1"/>
  <c r="AY590" i="108"/>
  <c r="BA590" i="108" s="1"/>
  <c r="AX590" i="108"/>
  <c r="AW590" i="108"/>
  <c r="AC590" i="108"/>
  <c r="M590" i="108"/>
  <c r="BC590" i="108" s="1"/>
  <c r="AZ589" i="108"/>
  <c r="BB589" i="108" s="1"/>
  <c r="AY589" i="108"/>
  <c r="BA589" i="108" s="1"/>
  <c r="AX589" i="108"/>
  <c r="AW589" i="108"/>
  <c r="AC589" i="108"/>
  <c r="M589" i="108"/>
  <c r="BC589" i="108" s="1"/>
  <c r="AZ588" i="108"/>
  <c r="BB588" i="108" s="1"/>
  <c r="AY588" i="108"/>
  <c r="BA588" i="108" s="1"/>
  <c r="AX588" i="108"/>
  <c r="AW588" i="108"/>
  <c r="AC588" i="108"/>
  <c r="M588" i="108"/>
  <c r="BC588" i="108" s="1"/>
  <c r="AZ587" i="108"/>
  <c r="BB587" i="108" s="1"/>
  <c r="AY587" i="108"/>
  <c r="BA587" i="108" s="1"/>
  <c r="AX587" i="108"/>
  <c r="AW587" i="108"/>
  <c r="AC587" i="108"/>
  <c r="M587" i="108"/>
  <c r="BC587" i="108" s="1"/>
  <c r="AZ586" i="108"/>
  <c r="BB586" i="108" s="1"/>
  <c r="AY586" i="108"/>
  <c r="BA586" i="108" s="1"/>
  <c r="AX586" i="108"/>
  <c r="AW586" i="108"/>
  <c r="AC586" i="108"/>
  <c r="M586" i="108"/>
  <c r="BC586" i="108" s="1"/>
  <c r="AZ585" i="108"/>
  <c r="BB585" i="108" s="1"/>
  <c r="AY585" i="108"/>
  <c r="BA585" i="108" s="1"/>
  <c r="AX585" i="108"/>
  <c r="AW585" i="108"/>
  <c r="AC585" i="108"/>
  <c r="M585" i="108"/>
  <c r="BC585" i="108" s="1"/>
  <c r="AZ584" i="108"/>
  <c r="BB584" i="108" s="1"/>
  <c r="AY584" i="108"/>
  <c r="BA584" i="108" s="1"/>
  <c r="AX584" i="108"/>
  <c r="AW584" i="108"/>
  <c r="AC584" i="108"/>
  <c r="M584" i="108"/>
  <c r="BC584" i="108" s="1"/>
  <c r="AZ583" i="108"/>
  <c r="BB583" i="108" s="1"/>
  <c r="AY583" i="108"/>
  <c r="BA583" i="108" s="1"/>
  <c r="AX583" i="108"/>
  <c r="AW583" i="108"/>
  <c r="AC583" i="108"/>
  <c r="M583" i="108"/>
  <c r="BC583" i="108" s="1"/>
  <c r="AZ582" i="108"/>
  <c r="BB582" i="108" s="1"/>
  <c r="AY582" i="108"/>
  <c r="BA582" i="108" s="1"/>
  <c r="AX582" i="108"/>
  <c r="AW582" i="108"/>
  <c r="AC582" i="108"/>
  <c r="M582" i="108"/>
  <c r="BC582" i="108" s="1"/>
  <c r="AZ581" i="108"/>
  <c r="BB581" i="108" s="1"/>
  <c r="AY581" i="108"/>
  <c r="BA581" i="108" s="1"/>
  <c r="AX581" i="108"/>
  <c r="AW581" i="108"/>
  <c r="AC581" i="108"/>
  <c r="M581" i="108"/>
  <c r="BC581" i="108" s="1"/>
  <c r="AZ580" i="108"/>
  <c r="BB580" i="108" s="1"/>
  <c r="AY580" i="108"/>
  <c r="BA580" i="108" s="1"/>
  <c r="AX580" i="108"/>
  <c r="AW580" i="108"/>
  <c r="AC580" i="108"/>
  <c r="M580" i="108"/>
  <c r="BC580" i="108" s="1"/>
  <c r="AZ579" i="108"/>
  <c r="BB579" i="108" s="1"/>
  <c r="AY579" i="108"/>
  <c r="BA579" i="108" s="1"/>
  <c r="AX579" i="108"/>
  <c r="AW579" i="108"/>
  <c r="AC579" i="108"/>
  <c r="M579" i="108"/>
  <c r="BC579" i="108" s="1"/>
  <c r="AZ578" i="108"/>
  <c r="BB578" i="108" s="1"/>
  <c r="AY578" i="108"/>
  <c r="BA578" i="108" s="1"/>
  <c r="AX578" i="108"/>
  <c r="AW578" i="108"/>
  <c r="AC578" i="108"/>
  <c r="M578" i="108"/>
  <c r="BC578" i="108" s="1"/>
  <c r="AZ577" i="108"/>
  <c r="BB577" i="108" s="1"/>
  <c r="AY577" i="108"/>
  <c r="BA577" i="108" s="1"/>
  <c r="AX577" i="108"/>
  <c r="AW577" i="108"/>
  <c r="AC577" i="108"/>
  <c r="M577" i="108"/>
  <c r="BC577" i="108" s="1"/>
  <c r="AZ576" i="108"/>
  <c r="BB576" i="108" s="1"/>
  <c r="AY576" i="108"/>
  <c r="BA576" i="108" s="1"/>
  <c r="AX576" i="108"/>
  <c r="AW576" i="108"/>
  <c r="AC576" i="108"/>
  <c r="M576" i="108"/>
  <c r="BC576" i="108" s="1"/>
  <c r="AZ575" i="108"/>
  <c r="BB575" i="108" s="1"/>
  <c r="AY575" i="108"/>
  <c r="BA575" i="108" s="1"/>
  <c r="AX575" i="108"/>
  <c r="AW575" i="108"/>
  <c r="AC575" i="108"/>
  <c r="M575" i="108"/>
  <c r="BC575" i="108" s="1"/>
  <c r="AZ574" i="108"/>
  <c r="BB574" i="108" s="1"/>
  <c r="AY574" i="108"/>
  <c r="BA574" i="108" s="1"/>
  <c r="AX574" i="108"/>
  <c r="AW574" i="108"/>
  <c r="AC574" i="108"/>
  <c r="M574" i="108"/>
  <c r="BC574" i="108" s="1"/>
  <c r="AZ573" i="108"/>
  <c r="BB573" i="108" s="1"/>
  <c r="AY573" i="108"/>
  <c r="BA573" i="108" s="1"/>
  <c r="AX573" i="108"/>
  <c r="AW573" i="108"/>
  <c r="AC573" i="108"/>
  <c r="M573" i="108"/>
  <c r="BC573" i="108" s="1"/>
  <c r="AZ572" i="108"/>
  <c r="BB572" i="108" s="1"/>
  <c r="AY572" i="108"/>
  <c r="BA572" i="108" s="1"/>
  <c r="AX572" i="108"/>
  <c r="AW572" i="108"/>
  <c r="AC572" i="108"/>
  <c r="M572" i="108"/>
  <c r="BC572" i="108" s="1"/>
  <c r="AZ571" i="108"/>
  <c r="BB571" i="108" s="1"/>
  <c r="AY571" i="108"/>
  <c r="BA571" i="108" s="1"/>
  <c r="AX571" i="108"/>
  <c r="AW571" i="108"/>
  <c r="AC571" i="108"/>
  <c r="M571" i="108"/>
  <c r="BC571" i="108" s="1"/>
  <c r="AZ570" i="108"/>
  <c r="BB570" i="108" s="1"/>
  <c r="AY570" i="108"/>
  <c r="BA570" i="108" s="1"/>
  <c r="AX570" i="108"/>
  <c r="AW570" i="108"/>
  <c r="AC570" i="108"/>
  <c r="M570" i="108"/>
  <c r="BC570" i="108" s="1"/>
  <c r="AZ569" i="108"/>
  <c r="BB569" i="108" s="1"/>
  <c r="AY569" i="108"/>
  <c r="BA569" i="108" s="1"/>
  <c r="AX569" i="108"/>
  <c r="AW569" i="108"/>
  <c r="AC569" i="108"/>
  <c r="M569" i="108"/>
  <c r="BC569" i="108" s="1"/>
  <c r="AZ568" i="108"/>
  <c r="BB568" i="108" s="1"/>
  <c r="AY568" i="108"/>
  <c r="BA568" i="108" s="1"/>
  <c r="AX568" i="108"/>
  <c r="AW568" i="108"/>
  <c r="AC568" i="108"/>
  <c r="M568" i="108"/>
  <c r="BC568" i="108" s="1"/>
  <c r="AZ567" i="108"/>
  <c r="BB567" i="108" s="1"/>
  <c r="AY567" i="108"/>
  <c r="BA567" i="108" s="1"/>
  <c r="AX567" i="108"/>
  <c r="AW567" i="108"/>
  <c r="AC567" i="108"/>
  <c r="M567" i="108"/>
  <c r="BC567" i="108" s="1"/>
  <c r="AZ566" i="108"/>
  <c r="BB566" i="108" s="1"/>
  <c r="AY566" i="108"/>
  <c r="BA566" i="108" s="1"/>
  <c r="AX566" i="108"/>
  <c r="AW566" i="108"/>
  <c r="AC566" i="108"/>
  <c r="M566" i="108"/>
  <c r="BC566" i="108" s="1"/>
  <c r="AZ565" i="108"/>
  <c r="BB565" i="108" s="1"/>
  <c r="AY565" i="108"/>
  <c r="BA565" i="108" s="1"/>
  <c r="AX565" i="108"/>
  <c r="AW565" i="108"/>
  <c r="AC565" i="108"/>
  <c r="M565" i="108"/>
  <c r="BC565" i="108" s="1"/>
  <c r="AZ564" i="108"/>
  <c r="BB564" i="108" s="1"/>
  <c r="AY564" i="108"/>
  <c r="BA564" i="108" s="1"/>
  <c r="AX564" i="108"/>
  <c r="AW564" i="108"/>
  <c r="AC564" i="108"/>
  <c r="M564" i="108"/>
  <c r="BC564" i="108" s="1"/>
  <c r="AZ563" i="108"/>
  <c r="BB563" i="108" s="1"/>
  <c r="AY563" i="108"/>
  <c r="BA563" i="108" s="1"/>
  <c r="AX563" i="108"/>
  <c r="AW563" i="108"/>
  <c r="AC563" i="108"/>
  <c r="M563" i="108"/>
  <c r="BC563" i="108" s="1"/>
  <c r="AZ562" i="108"/>
  <c r="BB562" i="108" s="1"/>
  <c r="AY562" i="108"/>
  <c r="BA562" i="108" s="1"/>
  <c r="AX562" i="108"/>
  <c r="AW562" i="108"/>
  <c r="AC562" i="108"/>
  <c r="M562" i="108"/>
  <c r="BC562" i="108" s="1"/>
  <c r="AZ561" i="108"/>
  <c r="BB561" i="108" s="1"/>
  <c r="AY561" i="108"/>
  <c r="BA561" i="108" s="1"/>
  <c r="AX561" i="108"/>
  <c r="AW561" i="108"/>
  <c r="AC561" i="108"/>
  <c r="M561" i="108"/>
  <c r="BC561" i="108" s="1"/>
  <c r="AZ560" i="108"/>
  <c r="BB560" i="108" s="1"/>
  <c r="AY560" i="108"/>
  <c r="BA560" i="108" s="1"/>
  <c r="AX560" i="108"/>
  <c r="AW560" i="108"/>
  <c r="AC560" i="108"/>
  <c r="M560" i="108"/>
  <c r="BC560" i="108" s="1"/>
  <c r="AZ559" i="108"/>
  <c r="BB559" i="108" s="1"/>
  <c r="AY559" i="108"/>
  <c r="BA559" i="108" s="1"/>
  <c r="AX559" i="108"/>
  <c r="AW559" i="108"/>
  <c r="AC559" i="108"/>
  <c r="M559" i="108"/>
  <c r="BC559" i="108" s="1"/>
  <c r="AZ558" i="108"/>
  <c r="BB558" i="108" s="1"/>
  <c r="AY558" i="108"/>
  <c r="BA558" i="108" s="1"/>
  <c r="AX558" i="108"/>
  <c r="AW558" i="108"/>
  <c r="AC558" i="108"/>
  <c r="M558" i="108"/>
  <c r="BC558" i="108" s="1"/>
  <c r="AZ557" i="108"/>
  <c r="BB557" i="108" s="1"/>
  <c r="AY557" i="108"/>
  <c r="BA557" i="108" s="1"/>
  <c r="AX557" i="108"/>
  <c r="AW557" i="108"/>
  <c r="AC557" i="108"/>
  <c r="M557" i="108"/>
  <c r="BC557" i="108" s="1"/>
  <c r="AZ556" i="108"/>
  <c r="BB556" i="108" s="1"/>
  <c r="AY556" i="108"/>
  <c r="BA556" i="108" s="1"/>
  <c r="AX556" i="108"/>
  <c r="AW556" i="108"/>
  <c r="AC556" i="108"/>
  <c r="M556" i="108"/>
  <c r="BC556" i="108" s="1"/>
  <c r="AZ555" i="108"/>
  <c r="BB555" i="108" s="1"/>
  <c r="AY555" i="108"/>
  <c r="BA555" i="108" s="1"/>
  <c r="AX555" i="108"/>
  <c r="AW555" i="108"/>
  <c r="AC555" i="108"/>
  <c r="M555" i="108"/>
  <c r="BC555" i="108" s="1"/>
  <c r="AZ554" i="108"/>
  <c r="BB554" i="108" s="1"/>
  <c r="AY554" i="108"/>
  <c r="BA554" i="108" s="1"/>
  <c r="AX554" i="108"/>
  <c r="AW554" i="108"/>
  <c r="AC554" i="108"/>
  <c r="M554" i="108"/>
  <c r="BC554" i="108" s="1"/>
  <c r="AZ553" i="108"/>
  <c r="BB553" i="108" s="1"/>
  <c r="AY553" i="108"/>
  <c r="BA553" i="108" s="1"/>
  <c r="AX553" i="108"/>
  <c r="AW553" i="108"/>
  <c r="AC553" i="108"/>
  <c r="M553" i="108"/>
  <c r="BC553" i="108" s="1"/>
  <c r="AZ552" i="108"/>
  <c r="BB552" i="108" s="1"/>
  <c r="AY552" i="108"/>
  <c r="BA552" i="108" s="1"/>
  <c r="AX552" i="108"/>
  <c r="AW552" i="108"/>
  <c r="AC552" i="108"/>
  <c r="M552" i="108"/>
  <c r="BC552" i="108" s="1"/>
  <c r="AZ551" i="108"/>
  <c r="BB551" i="108" s="1"/>
  <c r="AY551" i="108"/>
  <c r="BA551" i="108" s="1"/>
  <c r="AX551" i="108"/>
  <c r="AW551" i="108"/>
  <c r="AC551" i="108"/>
  <c r="M551" i="108"/>
  <c r="BC551" i="108" s="1"/>
  <c r="AZ550" i="108"/>
  <c r="BB550" i="108" s="1"/>
  <c r="AY550" i="108"/>
  <c r="BA550" i="108" s="1"/>
  <c r="AX550" i="108"/>
  <c r="AW550" i="108"/>
  <c r="AC550" i="108"/>
  <c r="M550" i="108"/>
  <c r="BC550" i="108" s="1"/>
  <c r="AZ549" i="108"/>
  <c r="BB549" i="108" s="1"/>
  <c r="AY549" i="108"/>
  <c r="BA549" i="108" s="1"/>
  <c r="AX549" i="108"/>
  <c r="AW549" i="108"/>
  <c r="AC549" i="108"/>
  <c r="M549" i="108"/>
  <c r="BC549" i="108" s="1"/>
  <c r="AZ548" i="108"/>
  <c r="BB548" i="108" s="1"/>
  <c r="AY548" i="108"/>
  <c r="BA548" i="108" s="1"/>
  <c r="AX548" i="108"/>
  <c r="AW548" i="108"/>
  <c r="AC548" i="108"/>
  <c r="M548" i="108"/>
  <c r="BC548" i="108" s="1"/>
  <c r="AZ547" i="108"/>
  <c r="BB547" i="108" s="1"/>
  <c r="AY547" i="108"/>
  <c r="BA547" i="108" s="1"/>
  <c r="AX547" i="108"/>
  <c r="AW547" i="108"/>
  <c r="AC547" i="108"/>
  <c r="M547" i="108"/>
  <c r="BC547" i="108" s="1"/>
  <c r="AZ546" i="108"/>
  <c r="BB546" i="108" s="1"/>
  <c r="AY546" i="108"/>
  <c r="BA546" i="108" s="1"/>
  <c r="AX546" i="108"/>
  <c r="AW546" i="108"/>
  <c r="AC546" i="108"/>
  <c r="M546" i="108"/>
  <c r="BC546" i="108" s="1"/>
  <c r="AZ545" i="108"/>
  <c r="BB545" i="108" s="1"/>
  <c r="AY545" i="108"/>
  <c r="BA545" i="108" s="1"/>
  <c r="AX545" i="108"/>
  <c r="AW545" i="108"/>
  <c r="AC545" i="108"/>
  <c r="M545" i="108"/>
  <c r="BC545" i="108" s="1"/>
  <c r="AZ544" i="108"/>
  <c r="BB544" i="108" s="1"/>
  <c r="AY544" i="108"/>
  <c r="BA544" i="108" s="1"/>
  <c r="AX544" i="108"/>
  <c r="AW544" i="108"/>
  <c r="AC544" i="108"/>
  <c r="M544" i="108"/>
  <c r="BC544" i="108" s="1"/>
  <c r="AZ543" i="108"/>
  <c r="BB543" i="108" s="1"/>
  <c r="AY543" i="108"/>
  <c r="BA543" i="108" s="1"/>
  <c r="AX543" i="108"/>
  <c r="AW543" i="108"/>
  <c r="AC543" i="108"/>
  <c r="M543" i="108"/>
  <c r="BC543" i="108" s="1"/>
  <c r="AZ542" i="108"/>
  <c r="BB542" i="108" s="1"/>
  <c r="AY542" i="108"/>
  <c r="BA542" i="108" s="1"/>
  <c r="AX542" i="108"/>
  <c r="AW542" i="108"/>
  <c r="AC542" i="108"/>
  <c r="M542" i="108"/>
  <c r="BC542" i="108" s="1"/>
  <c r="AZ541" i="108"/>
  <c r="BB541" i="108" s="1"/>
  <c r="AY541" i="108"/>
  <c r="BA541" i="108" s="1"/>
  <c r="AX541" i="108"/>
  <c r="AW541" i="108"/>
  <c r="AC541" i="108"/>
  <c r="M541" i="108"/>
  <c r="BC541" i="108" s="1"/>
  <c r="AZ540" i="108"/>
  <c r="BB540" i="108" s="1"/>
  <c r="AY540" i="108"/>
  <c r="BA540" i="108" s="1"/>
  <c r="AX540" i="108"/>
  <c r="AW540" i="108"/>
  <c r="AC540" i="108"/>
  <c r="M540" i="108"/>
  <c r="BC540" i="108" s="1"/>
  <c r="AZ539" i="108"/>
  <c r="BB539" i="108" s="1"/>
  <c r="AY539" i="108"/>
  <c r="BA539" i="108" s="1"/>
  <c r="AX539" i="108"/>
  <c r="AW539" i="108"/>
  <c r="AC539" i="108"/>
  <c r="M539" i="108"/>
  <c r="BC539" i="108" s="1"/>
  <c r="AZ538" i="108"/>
  <c r="BB538" i="108" s="1"/>
  <c r="AY538" i="108"/>
  <c r="BA538" i="108" s="1"/>
  <c r="AX538" i="108"/>
  <c r="AW538" i="108"/>
  <c r="AC538" i="108"/>
  <c r="M538" i="108"/>
  <c r="BC538" i="108" s="1"/>
  <c r="AZ537" i="108"/>
  <c r="BB537" i="108" s="1"/>
  <c r="AY537" i="108"/>
  <c r="BA537" i="108" s="1"/>
  <c r="AX537" i="108"/>
  <c r="AW537" i="108"/>
  <c r="AC537" i="108"/>
  <c r="M537" i="108"/>
  <c r="BC537" i="108" s="1"/>
  <c r="AZ536" i="108"/>
  <c r="BB536" i="108" s="1"/>
  <c r="AY536" i="108"/>
  <c r="BA536" i="108" s="1"/>
  <c r="AX536" i="108"/>
  <c r="AW536" i="108"/>
  <c r="AC536" i="108"/>
  <c r="M536" i="108"/>
  <c r="BC536" i="108" s="1"/>
  <c r="AZ535" i="108"/>
  <c r="BB535" i="108" s="1"/>
  <c r="AY535" i="108"/>
  <c r="BA535" i="108" s="1"/>
  <c r="AX535" i="108"/>
  <c r="AW535" i="108"/>
  <c r="AC535" i="108"/>
  <c r="M535" i="108"/>
  <c r="BC535" i="108" s="1"/>
  <c r="AZ534" i="108"/>
  <c r="BB534" i="108" s="1"/>
  <c r="AY534" i="108"/>
  <c r="BA534" i="108" s="1"/>
  <c r="AX534" i="108"/>
  <c r="AW534" i="108"/>
  <c r="AC534" i="108"/>
  <c r="M534" i="108"/>
  <c r="BC534" i="108" s="1"/>
  <c r="AZ533" i="108"/>
  <c r="BB533" i="108" s="1"/>
  <c r="AY533" i="108"/>
  <c r="BA533" i="108" s="1"/>
  <c r="AX533" i="108"/>
  <c r="AW533" i="108"/>
  <c r="AC533" i="108"/>
  <c r="M533" i="108"/>
  <c r="BC533" i="108" s="1"/>
  <c r="AZ532" i="108"/>
  <c r="BB532" i="108" s="1"/>
  <c r="AY532" i="108"/>
  <c r="BA532" i="108" s="1"/>
  <c r="AX532" i="108"/>
  <c r="AW532" i="108"/>
  <c r="AC532" i="108"/>
  <c r="M532" i="108"/>
  <c r="BC532" i="108" s="1"/>
  <c r="AZ531" i="108"/>
  <c r="BB531" i="108" s="1"/>
  <c r="AY531" i="108"/>
  <c r="BA531" i="108" s="1"/>
  <c r="AX531" i="108"/>
  <c r="AW531" i="108"/>
  <c r="AC531" i="108"/>
  <c r="M531" i="108"/>
  <c r="BC531" i="108" s="1"/>
  <c r="AZ530" i="108"/>
  <c r="BB530" i="108" s="1"/>
  <c r="AY530" i="108"/>
  <c r="BA530" i="108" s="1"/>
  <c r="AX530" i="108"/>
  <c r="AW530" i="108"/>
  <c r="AC530" i="108"/>
  <c r="M530" i="108"/>
  <c r="BC530" i="108" s="1"/>
  <c r="AZ529" i="108"/>
  <c r="BB529" i="108" s="1"/>
  <c r="AY529" i="108"/>
  <c r="BA529" i="108" s="1"/>
  <c r="AX529" i="108"/>
  <c r="AW529" i="108"/>
  <c r="AC529" i="108"/>
  <c r="M529" i="108"/>
  <c r="BC529" i="108" s="1"/>
  <c r="AZ528" i="108"/>
  <c r="BB528" i="108" s="1"/>
  <c r="AY528" i="108"/>
  <c r="BA528" i="108" s="1"/>
  <c r="AX528" i="108"/>
  <c r="AW528" i="108"/>
  <c r="AC528" i="108"/>
  <c r="M528" i="108"/>
  <c r="BC528" i="108" s="1"/>
  <c r="AZ527" i="108"/>
  <c r="BB527" i="108" s="1"/>
  <c r="AY527" i="108"/>
  <c r="BA527" i="108" s="1"/>
  <c r="AX527" i="108"/>
  <c r="AW527" i="108"/>
  <c r="AC527" i="108"/>
  <c r="M527" i="108"/>
  <c r="BC527" i="108" s="1"/>
  <c r="AZ526" i="108"/>
  <c r="BB526" i="108" s="1"/>
  <c r="AY526" i="108"/>
  <c r="BA526" i="108" s="1"/>
  <c r="AX526" i="108"/>
  <c r="AW526" i="108"/>
  <c r="AC526" i="108"/>
  <c r="M526" i="108"/>
  <c r="BC526" i="108" s="1"/>
  <c r="AZ525" i="108"/>
  <c r="BB525" i="108" s="1"/>
  <c r="AY525" i="108"/>
  <c r="BA525" i="108" s="1"/>
  <c r="AX525" i="108"/>
  <c r="AW525" i="108"/>
  <c r="AC525" i="108"/>
  <c r="M525" i="108"/>
  <c r="BC525" i="108" s="1"/>
  <c r="AZ524" i="108"/>
  <c r="BB524" i="108" s="1"/>
  <c r="AY524" i="108"/>
  <c r="BA524" i="108" s="1"/>
  <c r="AX524" i="108"/>
  <c r="AW524" i="108"/>
  <c r="AC524" i="108"/>
  <c r="M524" i="108"/>
  <c r="BC524" i="108" s="1"/>
  <c r="AZ523" i="108"/>
  <c r="BB523" i="108" s="1"/>
  <c r="AY523" i="108"/>
  <c r="BA523" i="108" s="1"/>
  <c r="AX523" i="108"/>
  <c r="AW523" i="108"/>
  <c r="AC523" i="108"/>
  <c r="M523" i="108"/>
  <c r="BC523" i="108" s="1"/>
  <c r="AZ522" i="108"/>
  <c r="BB522" i="108" s="1"/>
  <c r="AY522" i="108"/>
  <c r="BA522" i="108" s="1"/>
  <c r="AX522" i="108"/>
  <c r="AW522" i="108"/>
  <c r="AC522" i="108"/>
  <c r="M522" i="108"/>
  <c r="BC522" i="108" s="1"/>
  <c r="AZ521" i="108"/>
  <c r="BB521" i="108" s="1"/>
  <c r="AY521" i="108"/>
  <c r="BA521" i="108" s="1"/>
  <c r="AX521" i="108"/>
  <c r="AW521" i="108"/>
  <c r="AC521" i="108"/>
  <c r="M521" i="108"/>
  <c r="BC521" i="108" s="1"/>
  <c r="AZ520" i="108"/>
  <c r="BB520" i="108" s="1"/>
  <c r="AY520" i="108"/>
  <c r="BA520" i="108" s="1"/>
  <c r="AX520" i="108"/>
  <c r="AW520" i="108"/>
  <c r="AC520" i="108"/>
  <c r="M520" i="108"/>
  <c r="BC520" i="108" s="1"/>
  <c r="AZ519" i="108"/>
  <c r="BB519" i="108" s="1"/>
  <c r="AY519" i="108"/>
  <c r="BA519" i="108" s="1"/>
  <c r="AX519" i="108"/>
  <c r="AW519" i="108"/>
  <c r="AC519" i="108"/>
  <c r="M519" i="108"/>
  <c r="BC519" i="108" s="1"/>
  <c r="AZ518" i="108"/>
  <c r="BB518" i="108" s="1"/>
  <c r="AY518" i="108"/>
  <c r="BA518" i="108" s="1"/>
  <c r="AX518" i="108"/>
  <c r="AW518" i="108"/>
  <c r="AC518" i="108"/>
  <c r="M518" i="108"/>
  <c r="BC518" i="108" s="1"/>
  <c r="AZ517" i="108"/>
  <c r="BB517" i="108" s="1"/>
  <c r="AY517" i="108"/>
  <c r="BA517" i="108" s="1"/>
  <c r="AX517" i="108"/>
  <c r="AW517" i="108"/>
  <c r="AC517" i="108"/>
  <c r="M517" i="108"/>
  <c r="BC517" i="108" s="1"/>
  <c r="AZ516" i="108"/>
  <c r="BB516" i="108" s="1"/>
  <c r="AY516" i="108"/>
  <c r="BA516" i="108" s="1"/>
  <c r="AX516" i="108"/>
  <c r="AW516" i="108"/>
  <c r="AC516" i="108"/>
  <c r="M516" i="108"/>
  <c r="BC516" i="108" s="1"/>
  <c r="AZ515" i="108"/>
  <c r="BB515" i="108" s="1"/>
  <c r="AY515" i="108"/>
  <c r="BA515" i="108" s="1"/>
  <c r="AX515" i="108"/>
  <c r="AW515" i="108"/>
  <c r="AC515" i="108"/>
  <c r="M515" i="108"/>
  <c r="BC515" i="108" s="1"/>
  <c r="AZ514" i="108"/>
  <c r="BB514" i="108" s="1"/>
  <c r="AY514" i="108"/>
  <c r="BA514" i="108" s="1"/>
  <c r="AX514" i="108"/>
  <c r="AW514" i="108"/>
  <c r="AC514" i="108"/>
  <c r="M514" i="108"/>
  <c r="BC514" i="108" s="1"/>
  <c r="AZ513" i="108"/>
  <c r="BB513" i="108" s="1"/>
  <c r="AY513" i="108"/>
  <c r="BA513" i="108" s="1"/>
  <c r="AX513" i="108"/>
  <c r="AW513" i="108"/>
  <c r="AC513" i="108"/>
  <c r="M513" i="108"/>
  <c r="BC513" i="108" s="1"/>
  <c r="AZ512" i="108"/>
  <c r="BB512" i="108" s="1"/>
  <c r="AY512" i="108"/>
  <c r="BA512" i="108" s="1"/>
  <c r="AX512" i="108"/>
  <c r="AW512" i="108"/>
  <c r="AC512" i="108"/>
  <c r="M512" i="108"/>
  <c r="BC512" i="108" s="1"/>
  <c r="AZ511" i="108"/>
  <c r="BB511" i="108" s="1"/>
  <c r="AY511" i="108"/>
  <c r="BA511" i="108" s="1"/>
  <c r="AX511" i="108"/>
  <c r="AW511" i="108"/>
  <c r="AC511" i="108"/>
  <c r="M511" i="108"/>
  <c r="BC511" i="108" s="1"/>
  <c r="AZ510" i="108"/>
  <c r="BB510" i="108" s="1"/>
  <c r="AY510" i="108"/>
  <c r="BA510" i="108" s="1"/>
  <c r="AX510" i="108"/>
  <c r="AW510" i="108"/>
  <c r="AC510" i="108"/>
  <c r="M510" i="108"/>
  <c r="BC510" i="108" s="1"/>
  <c r="AZ509" i="108"/>
  <c r="BB509" i="108" s="1"/>
  <c r="AY509" i="108"/>
  <c r="BA509" i="108" s="1"/>
  <c r="AX509" i="108"/>
  <c r="AW509" i="108"/>
  <c r="AC509" i="108"/>
  <c r="M509" i="108"/>
  <c r="BC509" i="108" s="1"/>
  <c r="AZ508" i="108"/>
  <c r="BB508" i="108" s="1"/>
  <c r="AY508" i="108"/>
  <c r="BA508" i="108" s="1"/>
  <c r="AX508" i="108"/>
  <c r="AW508" i="108"/>
  <c r="AC508" i="108"/>
  <c r="M508" i="108"/>
  <c r="BC508" i="108" s="1"/>
  <c r="AZ507" i="108"/>
  <c r="BB507" i="108" s="1"/>
  <c r="AY507" i="108"/>
  <c r="BA507" i="108" s="1"/>
  <c r="AX507" i="108"/>
  <c r="AW507" i="108"/>
  <c r="AC507" i="108"/>
  <c r="M507" i="108"/>
  <c r="BC507" i="108" s="1"/>
  <c r="AZ506" i="108"/>
  <c r="BB506" i="108" s="1"/>
  <c r="AY506" i="108"/>
  <c r="BA506" i="108" s="1"/>
  <c r="AX506" i="108"/>
  <c r="AW506" i="108"/>
  <c r="AC506" i="108"/>
  <c r="M506" i="108"/>
  <c r="BC506" i="108" s="1"/>
  <c r="AZ505" i="108"/>
  <c r="BB505" i="108" s="1"/>
  <c r="AY505" i="108"/>
  <c r="BA505" i="108" s="1"/>
  <c r="AX505" i="108"/>
  <c r="AW505" i="108"/>
  <c r="AC505" i="108"/>
  <c r="M505" i="108"/>
  <c r="BC505" i="108" s="1"/>
  <c r="AZ504" i="108"/>
  <c r="BB504" i="108" s="1"/>
  <c r="AY504" i="108"/>
  <c r="BA504" i="108" s="1"/>
  <c r="AX504" i="108"/>
  <c r="AW504" i="108"/>
  <c r="AC504" i="108"/>
  <c r="M504" i="108"/>
  <c r="BC504" i="108" s="1"/>
  <c r="AZ503" i="108"/>
  <c r="BB503" i="108" s="1"/>
  <c r="AY503" i="108"/>
  <c r="BA503" i="108" s="1"/>
  <c r="AX503" i="108"/>
  <c r="AW503" i="108"/>
  <c r="AC503" i="108"/>
  <c r="M503" i="108"/>
  <c r="BC503" i="108" s="1"/>
  <c r="AZ502" i="108"/>
  <c r="BB502" i="108" s="1"/>
  <c r="AY502" i="108"/>
  <c r="BA502" i="108" s="1"/>
  <c r="AX502" i="108"/>
  <c r="AW502" i="108"/>
  <c r="AC502" i="108"/>
  <c r="M502" i="108"/>
  <c r="BC502" i="108" s="1"/>
  <c r="AZ501" i="108"/>
  <c r="BB501" i="108" s="1"/>
  <c r="AY501" i="108"/>
  <c r="BA501" i="108" s="1"/>
  <c r="AX501" i="108"/>
  <c r="AW501" i="108"/>
  <c r="AC501" i="108"/>
  <c r="M501" i="108"/>
  <c r="BC501" i="108" s="1"/>
  <c r="AZ500" i="108"/>
  <c r="BB500" i="108" s="1"/>
  <c r="AY500" i="108"/>
  <c r="BA500" i="108" s="1"/>
  <c r="AX500" i="108"/>
  <c r="AW500" i="108"/>
  <c r="AC500" i="108"/>
  <c r="M500" i="108"/>
  <c r="BC500" i="108" s="1"/>
  <c r="AZ499" i="108"/>
  <c r="BB499" i="108" s="1"/>
  <c r="AY499" i="108"/>
  <c r="BA499" i="108" s="1"/>
  <c r="AX499" i="108"/>
  <c r="AW499" i="108"/>
  <c r="AC499" i="108"/>
  <c r="M499" i="108"/>
  <c r="BC499" i="108" s="1"/>
  <c r="AZ498" i="108"/>
  <c r="BB498" i="108" s="1"/>
  <c r="AY498" i="108"/>
  <c r="BA498" i="108" s="1"/>
  <c r="AX498" i="108"/>
  <c r="AW498" i="108"/>
  <c r="AC498" i="108"/>
  <c r="M498" i="108"/>
  <c r="BC498" i="108" s="1"/>
  <c r="AZ497" i="108"/>
  <c r="BB497" i="108" s="1"/>
  <c r="AY497" i="108"/>
  <c r="BA497" i="108" s="1"/>
  <c r="AX497" i="108"/>
  <c r="AW497" i="108"/>
  <c r="AC497" i="108"/>
  <c r="M497" i="108"/>
  <c r="BC497" i="108" s="1"/>
  <c r="AZ496" i="108"/>
  <c r="BB496" i="108" s="1"/>
  <c r="AY496" i="108"/>
  <c r="BA496" i="108" s="1"/>
  <c r="AX496" i="108"/>
  <c r="AW496" i="108"/>
  <c r="AC496" i="108"/>
  <c r="M496" i="108"/>
  <c r="BC496" i="108" s="1"/>
  <c r="AZ495" i="108"/>
  <c r="BB495" i="108" s="1"/>
  <c r="AY495" i="108"/>
  <c r="BA495" i="108" s="1"/>
  <c r="AX495" i="108"/>
  <c r="AW495" i="108"/>
  <c r="AC495" i="108"/>
  <c r="M495" i="108"/>
  <c r="BC495" i="108" s="1"/>
  <c r="AZ494" i="108"/>
  <c r="BB494" i="108" s="1"/>
  <c r="AY494" i="108"/>
  <c r="BA494" i="108" s="1"/>
  <c r="AX494" i="108"/>
  <c r="AW494" i="108"/>
  <c r="AC494" i="108"/>
  <c r="M494" i="108"/>
  <c r="BC494" i="108" s="1"/>
  <c r="AZ493" i="108"/>
  <c r="BB493" i="108" s="1"/>
  <c r="AY493" i="108"/>
  <c r="BA493" i="108" s="1"/>
  <c r="AX493" i="108"/>
  <c r="AW493" i="108"/>
  <c r="AC493" i="108"/>
  <c r="M493" i="108"/>
  <c r="BC493" i="108" s="1"/>
  <c r="AZ492" i="108"/>
  <c r="BB492" i="108" s="1"/>
  <c r="AY492" i="108"/>
  <c r="BA492" i="108" s="1"/>
  <c r="AX492" i="108"/>
  <c r="AW492" i="108"/>
  <c r="AC492" i="108"/>
  <c r="M492" i="108"/>
  <c r="BC492" i="108" s="1"/>
  <c r="AZ491" i="108"/>
  <c r="BB491" i="108" s="1"/>
  <c r="AY491" i="108"/>
  <c r="BA491" i="108" s="1"/>
  <c r="AX491" i="108"/>
  <c r="AW491" i="108"/>
  <c r="AC491" i="108"/>
  <c r="M491" i="108"/>
  <c r="BC491" i="108" s="1"/>
  <c r="AZ490" i="108"/>
  <c r="BB490" i="108" s="1"/>
  <c r="AY490" i="108"/>
  <c r="BA490" i="108" s="1"/>
  <c r="AX490" i="108"/>
  <c r="AW490" i="108"/>
  <c r="AC490" i="108"/>
  <c r="M490" i="108"/>
  <c r="BC490" i="108" s="1"/>
  <c r="AZ489" i="108"/>
  <c r="BB489" i="108" s="1"/>
  <c r="AY489" i="108"/>
  <c r="BA489" i="108" s="1"/>
  <c r="AX489" i="108"/>
  <c r="AW489" i="108"/>
  <c r="AC489" i="108"/>
  <c r="M489" i="108"/>
  <c r="BC489" i="108" s="1"/>
  <c r="AZ488" i="108"/>
  <c r="BB488" i="108" s="1"/>
  <c r="AY488" i="108"/>
  <c r="BA488" i="108" s="1"/>
  <c r="AX488" i="108"/>
  <c r="AW488" i="108"/>
  <c r="AC488" i="108"/>
  <c r="M488" i="108"/>
  <c r="BC488" i="108" s="1"/>
  <c r="AZ487" i="108"/>
  <c r="BB487" i="108" s="1"/>
  <c r="AY487" i="108"/>
  <c r="BA487" i="108" s="1"/>
  <c r="AX487" i="108"/>
  <c r="AW487" i="108"/>
  <c r="AC487" i="108"/>
  <c r="M487" i="108"/>
  <c r="BC487" i="108" s="1"/>
  <c r="AZ486" i="108"/>
  <c r="BB486" i="108" s="1"/>
  <c r="AY486" i="108"/>
  <c r="BA486" i="108" s="1"/>
  <c r="AX486" i="108"/>
  <c r="AW486" i="108"/>
  <c r="AC486" i="108"/>
  <c r="M486" i="108"/>
  <c r="BC486" i="108" s="1"/>
  <c r="AZ485" i="108"/>
  <c r="BB485" i="108" s="1"/>
  <c r="AY485" i="108"/>
  <c r="BA485" i="108" s="1"/>
  <c r="AX485" i="108"/>
  <c r="AW485" i="108"/>
  <c r="AC485" i="108"/>
  <c r="M485" i="108"/>
  <c r="BC485" i="108" s="1"/>
  <c r="AZ484" i="108"/>
  <c r="BB484" i="108" s="1"/>
  <c r="AY484" i="108"/>
  <c r="BA484" i="108" s="1"/>
  <c r="AX484" i="108"/>
  <c r="AW484" i="108"/>
  <c r="AC484" i="108"/>
  <c r="M484" i="108"/>
  <c r="BC484" i="108" s="1"/>
  <c r="AZ483" i="108"/>
  <c r="BB483" i="108" s="1"/>
  <c r="AY483" i="108"/>
  <c r="BA483" i="108" s="1"/>
  <c r="AX483" i="108"/>
  <c r="AW483" i="108"/>
  <c r="AC483" i="108"/>
  <c r="M483" i="108"/>
  <c r="BC483" i="108" s="1"/>
  <c r="AZ482" i="108"/>
  <c r="BB482" i="108" s="1"/>
  <c r="AY482" i="108"/>
  <c r="BA482" i="108" s="1"/>
  <c r="AX482" i="108"/>
  <c r="AW482" i="108"/>
  <c r="AC482" i="108"/>
  <c r="M482" i="108"/>
  <c r="BC482" i="108" s="1"/>
  <c r="AZ481" i="108"/>
  <c r="BB481" i="108" s="1"/>
  <c r="AY481" i="108"/>
  <c r="BA481" i="108" s="1"/>
  <c r="AX481" i="108"/>
  <c r="AW481" i="108"/>
  <c r="AC481" i="108"/>
  <c r="M481" i="108"/>
  <c r="BC481" i="108" s="1"/>
  <c r="AZ480" i="108"/>
  <c r="BB480" i="108" s="1"/>
  <c r="AY480" i="108"/>
  <c r="BA480" i="108" s="1"/>
  <c r="AX480" i="108"/>
  <c r="AW480" i="108"/>
  <c r="AC480" i="108"/>
  <c r="M480" i="108"/>
  <c r="BC480" i="108" s="1"/>
  <c r="AZ479" i="108"/>
  <c r="BB479" i="108" s="1"/>
  <c r="AY479" i="108"/>
  <c r="BA479" i="108" s="1"/>
  <c r="AX479" i="108"/>
  <c r="AW479" i="108"/>
  <c r="AC479" i="108"/>
  <c r="M479" i="108"/>
  <c r="BC479" i="108" s="1"/>
  <c r="AZ478" i="108"/>
  <c r="BB478" i="108" s="1"/>
  <c r="AY478" i="108"/>
  <c r="BA478" i="108" s="1"/>
  <c r="AX478" i="108"/>
  <c r="AW478" i="108"/>
  <c r="AC478" i="108"/>
  <c r="M478" i="108"/>
  <c r="BC478" i="108" s="1"/>
  <c r="AZ477" i="108"/>
  <c r="BB477" i="108" s="1"/>
  <c r="AY477" i="108"/>
  <c r="BA477" i="108" s="1"/>
  <c r="AX477" i="108"/>
  <c r="AW477" i="108"/>
  <c r="AC477" i="108"/>
  <c r="M477" i="108"/>
  <c r="BC477" i="108" s="1"/>
  <c r="AZ476" i="108"/>
  <c r="BB476" i="108" s="1"/>
  <c r="AY476" i="108"/>
  <c r="BA476" i="108" s="1"/>
  <c r="AX476" i="108"/>
  <c r="AW476" i="108"/>
  <c r="AC476" i="108"/>
  <c r="M476" i="108"/>
  <c r="BC476" i="108" s="1"/>
  <c r="AZ475" i="108"/>
  <c r="BB475" i="108" s="1"/>
  <c r="AY475" i="108"/>
  <c r="BA475" i="108" s="1"/>
  <c r="AX475" i="108"/>
  <c r="AW475" i="108"/>
  <c r="AC475" i="108"/>
  <c r="M475" i="108"/>
  <c r="BC475" i="108" s="1"/>
  <c r="AZ474" i="108"/>
  <c r="BB474" i="108" s="1"/>
  <c r="AY474" i="108"/>
  <c r="BA474" i="108" s="1"/>
  <c r="AX474" i="108"/>
  <c r="AW474" i="108"/>
  <c r="AC474" i="108"/>
  <c r="M474" i="108"/>
  <c r="BC474" i="108" s="1"/>
  <c r="AZ473" i="108"/>
  <c r="BB473" i="108" s="1"/>
  <c r="AY473" i="108"/>
  <c r="BA473" i="108" s="1"/>
  <c r="AX473" i="108"/>
  <c r="AW473" i="108"/>
  <c r="AC473" i="108"/>
  <c r="M473" i="108"/>
  <c r="BC473" i="108" s="1"/>
  <c r="AZ472" i="108"/>
  <c r="BB472" i="108" s="1"/>
  <c r="AY472" i="108"/>
  <c r="BA472" i="108" s="1"/>
  <c r="AX472" i="108"/>
  <c r="AW472" i="108"/>
  <c r="AC472" i="108"/>
  <c r="M472" i="108"/>
  <c r="BC472" i="108" s="1"/>
  <c r="AZ471" i="108"/>
  <c r="BB471" i="108" s="1"/>
  <c r="AY471" i="108"/>
  <c r="BA471" i="108" s="1"/>
  <c r="AX471" i="108"/>
  <c r="AW471" i="108"/>
  <c r="AC471" i="108"/>
  <c r="M471" i="108"/>
  <c r="BC471" i="108" s="1"/>
  <c r="AZ470" i="108"/>
  <c r="BB470" i="108" s="1"/>
  <c r="AY470" i="108"/>
  <c r="BA470" i="108" s="1"/>
  <c r="AX470" i="108"/>
  <c r="AW470" i="108"/>
  <c r="AC470" i="108"/>
  <c r="M470" i="108"/>
  <c r="BC470" i="108" s="1"/>
  <c r="AZ469" i="108"/>
  <c r="BB469" i="108" s="1"/>
  <c r="AY469" i="108"/>
  <c r="BA469" i="108" s="1"/>
  <c r="AX469" i="108"/>
  <c r="AW469" i="108"/>
  <c r="AC469" i="108"/>
  <c r="M469" i="108"/>
  <c r="BC469" i="108" s="1"/>
  <c r="AZ468" i="108"/>
  <c r="BB468" i="108" s="1"/>
  <c r="AY468" i="108"/>
  <c r="BA468" i="108" s="1"/>
  <c r="AX468" i="108"/>
  <c r="AW468" i="108"/>
  <c r="AC468" i="108"/>
  <c r="M468" i="108"/>
  <c r="BC468" i="108" s="1"/>
  <c r="AZ467" i="108"/>
  <c r="BB467" i="108" s="1"/>
  <c r="AY467" i="108"/>
  <c r="BA467" i="108" s="1"/>
  <c r="AX467" i="108"/>
  <c r="AW467" i="108"/>
  <c r="AC467" i="108"/>
  <c r="M467" i="108"/>
  <c r="BC467" i="108" s="1"/>
  <c r="AZ466" i="108"/>
  <c r="BB466" i="108" s="1"/>
  <c r="AY466" i="108"/>
  <c r="BA466" i="108" s="1"/>
  <c r="AX466" i="108"/>
  <c r="AW466" i="108"/>
  <c r="AC466" i="108"/>
  <c r="M466" i="108"/>
  <c r="BC466" i="108" s="1"/>
  <c r="AZ465" i="108"/>
  <c r="BB465" i="108" s="1"/>
  <c r="AY465" i="108"/>
  <c r="BA465" i="108" s="1"/>
  <c r="AX465" i="108"/>
  <c r="AW465" i="108"/>
  <c r="AC465" i="108"/>
  <c r="M465" i="108"/>
  <c r="BC465" i="108" s="1"/>
  <c r="AZ464" i="108"/>
  <c r="BB464" i="108" s="1"/>
  <c r="AY464" i="108"/>
  <c r="BA464" i="108" s="1"/>
  <c r="AX464" i="108"/>
  <c r="AW464" i="108"/>
  <c r="AC464" i="108"/>
  <c r="M464" i="108"/>
  <c r="BC464" i="108" s="1"/>
  <c r="AZ463" i="108"/>
  <c r="BB463" i="108" s="1"/>
  <c r="AY463" i="108"/>
  <c r="BA463" i="108" s="1"/>
  <c r="AX463" i="108"/>
  <c r="AW463" i="108"/>
  <c r="AC463" i="108"/>
  <c r="M463" i="108"/>
  <c r="BC463" i="108" s="1"/>
  <c r="AZ462" i="108"/>
  <c r="BB462" i="108" s="1"/>
  <c r="AY462" i="108"/>
  <c r="BA462" i="108" s="1"/>
  <c r="AX462" i="108"/>
  <c r="AW462" i="108"/>
  <c r="AC462" i="108"/>
  <c r="M462" i="108"/>
  <c r="BC462" i="108" s="1"/>
  <c r="AZ461" i="108"/>
  <c r="BB461" i="108" s="1"/>
  <c r="AY461" i="108"/>
  <c r="BA461" i="108" s="1"/>
  <c r="AX461" i="108"/>
  <c r="AW461" i="108"/>
  <c r="AC461" i="108"/>
  <c r="M461" i="108"/>
  <c r="BC461" i="108" s="1"/>
  <c r="AZ460" i="108"/>
  <c r="BB460" i="108" s="1"/>
  <c r="AY460" i="108"/>
  <c r="BA460" i="108" s="1"/>
  <c r="AX460" i="108"/>
  <c r="AW460" i="108"/>
  <c r="AC460" i="108"/>
  <c r="M460" i="108"/>
  <c r="BC460" i="108" s="1"/>
  <c r="AZ459" i="108"/>
  <c r="BB459" i="108" s="1"/>
  <c r="AY459" i="108"/>
  <c r="BA459" i="108" s="1"/>
  <c r="AX459" i="108"/>
  <c r="AW459" i="108"/>
  <c r="AC459" i="108"/>
  <c r="M459" i="108"/>
  <c r="BC459" i="108" s="1"/>
  <c r="AZ458" i="108"/>
  <c r="BB458" i="108" s="1"/>
  <c r="AY458" i="108"/>
  <c r="BA458" i="108" s="1"/>
  <c r="AX458" i="108"/>
  <c r="AW458" i="108"/>
  <c r="AC458" i="108"/>
  <c r="M458" i="108"/>
  <c r="BC458" i="108" s="1"/>
  <c r="AZ457" i="108"/>
  <c r="BB457" i="108" s="1"/>
  <c r="AY457" i="108"/>
  <c r="BA457" i="108" s="1"/>
  <c r="AX457" i="108"/>
  <c r="AW457" i="108"/>
  <c r="AC457" i="108"/>
  <c r="M457" i="108"/>
  <c r="BC457" i="108" s="1"/>
  <c r="AZ456" i="108"/>
  <c r="BB456" i="108" s="1"/>
  <c r="AY456" i="108"/>
  <c r="BA456" i="108" s="1"/>
  <c r="AX456" i="108"/>
  <c r="AW456" i="108"/>
  <c r="AC456" i="108"/>
  <c r="M456" i="108"/>
  <c r="BC456" i="108" s="1"/>
  <c r="AZ455" i="108"/>
  <c r="BB455" i="108" s="1"/>
  <c r="AY455" i="108"/>
  <c r="BA455" i="108" s="1"/>
  <c r="AX455" i="108"/>
  <c r="AW455" i="108"/>
  <c r="AC455" i="108"/>
  <c r="M455" i="108"/>
  <c r="BC455" i="108" s="1"/>
  <c r="AZ454" i="108"/>
  <c r="BB454" i="108" s="1"/>
  <c r="AY454" i="108"/>
  <c r="BA454" i="108" s="1"/>
  <c r="AX454" i="108"/>
  <c r="AW454" i="108"/>
  <c r="AC454" i="108"/>
  <c r="M454" i="108"/>
  <c r="BC454" i="108" s="1"/>
  <c r="AZ453" i="108"/>
  <c r="BB453" i="108" s="1"/>
  <c r="AY453" i="108"/>
  <c r="BA453" i="108" s="1"/>
  <c r="AX453" i="108"/>
  <c r="AW453" i="108"/>
  <c r="AC453" i="108"/>
  <c r="M453" i="108"/>
  <c r="BC453" i="108" s="1"/>
  <c r="AZ452" i="108"/>
  <c r="BB452" i="108" s="1"/>
  <c r="AY452" i="108"/>
  <c r="BA452" i="108" s="1"/>
  <c r="AX452" i="108"/>
  <c r="AW452" i="108"/>
  <c r="AC452" i="108"/>
  <c r="M452" i="108"/>
  <c r="BC452" i="108" s="1"/>
  <c r="AZ451" i="108"/>
  <c r="BB451" i="108" s="1"/>
  <c r="AY451" i="108"/>
  <c r="BA451" i="108" s="1"/>
  <c r="AX451" i="108"/>
  <c r="AW451" i="108"/>
  <c r="AC451" i="108"/>
  <c r="M451" i="108"/>
  <c r="BC451" i="108" s="1"/>
  <c r="AZ450" i="108"/>
  <c r="BB450" i="108" s="1"/>
  <c r="AY450" i="108"/>
  <c r="BA450" i="108" s="1"/>
  <c r="AX450" i="108"/>
  <c r="AW450" i="108"/>
  <c r="AC450" i="108"/>
  <c r="M450" i="108"/>
  <c r="BC450" i="108" s="1"/>
  <c r="AZ449" i="108"/>
  <c r="BB449" i="108" s="1"/>
  <c r="AY449" i="108"/>
  <c r="BA449" i="108" s="1"/>
  <c r="AX449" i="108"/>
  <c r="AW449" i="108"/>
  <c r="AC449" i="108"/>
  <c r="M449" i="108"/>
  <c r="BC449" i="108" s="1"/>
  <c r="AZ448" i="108"/>
  <c r="BB448" i="108" s="1"/>
  <c r="AY448" i="108"/>
  <c r="BA448" i="108" s="1"/>
  <c r="AX448" i="108"/>
  <c r="AW448" i="108"/>
  <c r="AC448" i="108"/>
  <c r="M448" i="108"/>
  <c r="BC448" i="108" s="1"/>
  <c r="AZ447" i="108"/>
  <c r="BB447" i="108" s="1"/>
  <c r="AY447" i="108"/>
  <c r="BA447" i="108" s="1"/>
  <c r="AX447" i="108"/>
  <c r="AW447" i="108"/>
  <c r="AC447" i="108"/>
  <c r="M447" i="108"/>
  <c r="BC447" i="108" s="1"/>
  <c r="AZ446" i="108"/>
  <c r="BB446" i="108" s="1"/>
  <c r="AY446" i="108"/>
  <c r="BA446" i="108" s="1"/>
  <c r="AX446" i="108"/>
  <c r="AW446" i="108"/>
  <c r="AC446" i="108"/>
  <c r="M446" i="108"/>
  <c r="BC446" i="108" s="1"/>
  <c r="AZ445" i="108"/>
  <c r="BB445" i="108" s="1"/>
  <c r="AY445" i="108"/>
  <c r="BA445" i="108" s="1"/>
  <c r="AX445" i="108"/>
  <c r="AW445" i="108"/>
  <c r="AC445" i="108"/>
  <c r="M445" i="108"/>
  <c r="BC445" i="108" s="1"/>
  <c r="AZ444" i="108"/>
  <c r="BB444" i="108" s="1"/>
  <c r="AY444" i="108"/>
  <c r="BA444" i="108" s="1"/>
  <c r="AX444" i="108"/>
  <c r="AW444" i="108"/>
  <c r="AC444" i="108"/>
  <c r="M444" i="108"/>
  <c r="BC444" i="108" s="1"/>
  <c r="AZ443" i="108"/>
  <c r="BB443" i="108" s="1"/>
  <c r="AY443" i="108"/>
  <c r="BA443" i="108" s="1"/>
  <c r="AX443" i="108"/>
  <c r="AW443" i="108"/>
  <c r="AC443" i="108"/>
  <c r="M443" i="108"/>
  <c r="BC443" i="108" s="1"/>
  <c r="AZ442" i="108"/>
  <c r="BB442" i="108" s="1"/>
  <c r="AY442" i="108"/>
  <c r="BA442" i="108" s="1"/>
  <c r="AX442" i="108"/>
  <c r="AW442" i="108"/>
  <c r="AC442" i="108"/>
  <c r="M442" i="108"/>
  <c r="BC442" i="108" s="1"/>
  <c r="AZ441" i="108"/>
  <c r="BB441" i="108" s="1"/>
  <c r="AY441" i="108"/>
  <c r="BA441" i="108" s="1"/>
  <c r="AX441" i="108"/>
  <c r="AW441" i="108"/>
  <c r="AC441" i="108"/>
  <c r="M441" i="108"/>
  <c r="BC441" i="108" s="1"/>
  <c r="AZ440" i="108"/>
  <c r="BB440" i="108" s="1"/>
  <c r="AY440" i="108"/>
  <c r="BA440" i="108" s="1"/>
  <c r="AX440" i="108"/>
  <c r="AW440" i="108"/>
  <c r="AC440" i="108"/>
  <c r="M440" i="108"/>
  <c r="BC440" i="108" s="1"/>
  <c r="AZ439" i="108"/>
  <c r="BB439" i="108" s="1"/>
  <c r="AY439" i="108"/>
  <c r="BA439" i="108" s="1"/>
  <c r="AX439" i="108"/>
  <c r="AW439" i="108"/>
  <c r="AC439" i="108"/>
  <c r="M439" i="108"/>
  <c r="BC439" i="108" s="1"/>
  <c r="AZ438" i="108"/>
  <c r="BB438" i="108" s="1"/>
  <c r="AY438" i="108"/>
  <c r="BA438" i="108" s="1"/>
  <c r="AX438" i="108"/>
  <c r="AW438" i="108"/>
  <c r="AC438" i="108"/>
  <c r="M438" i="108"/>
  <c r="BC438" i="108" s="1"/>
  <c r="AZ437" i="108"/>
  <c r="BB437" i="108" s="1"/>
  <c r="AY437" i="108"/>
  <c r="BA437" i="108" s="1"/>
  <c r="AX437" i="108"/>
  <c r="AW437" i="108"/>
  <c r="AC437" i="108"/>
  <c r="M437" i="108"/>
  <c r="BC437" i="108" s="1"/>
  <c r="AZ436" i="108"/>
  <c r="BB436" i="108" s="1"/>
  <c r="AY436" i="108"/>
  <c r="BA436" i="108" s="1"/>
  <c r="AX436" i="108"/>
  <c r="AW436" i="108"/>
  <c r="AC436" i="108"/>
  <c r="M436" i="108"/>
  <c r="BC436" i="108" s="1"/>
  <c r="AZ435" i="108"/>
  <c r="BB435" i="108" s="1"/>
  <c r="AY435" i="108"/>
  <c r="BA435" i="108" s="1"/>
  <c r="AX435" i="108"/>
  <c r="AW435" i="108"/>
  <c r="AC435" i="108"/>
  <c r="M435" i="108"/>
  <c r="BC435" i="108" s="1"/>
  <c r="AZ434" i="108"/>
  <c r="BB434" i="108" s="1"/>
  <c r="AY434" i="108"/>
  <c r="BA434" i="108" s="1"/>
  <c r="AX434" i="108"/>
  <c r="AW434" i="108"/>
  <c r="AC434" i="108"/>
  <c r="M434" i="108"/>
  <c r="BC434" i="108" s="1"/>
  <c r="AZ433" i="108"/>
  <c r="BB433" i="108" s="1"/>
  <c r="AY433" i="108"/>
  <c r="BA433" i="108" s="1"/>
  <c r="AX433" i="108"/>
  <c r="AW433" i="108"/>
  <c r="AC433" i="108"/>
  <c r="M433" i="108"/>
  <c r="BC433" i="108" s="1"/>
  <c r="AZ432" i="108"/>
  <c r="BB432" i="108" s="1"/>
  <c r="AY432" i="108"/>
  <c r="BA432" i="108" s="1"/>
  <c r="AX432" i="108"/>
  <c r="AW432" i="108"/>
  <c r="AC432" i="108"/>
  <c r="M432" i="108"/>
  <c r="BC432" i="108" s="1"/>
  <c r="AZ431" i="108"/>
  <c r="BB431" i="108" s="1"/>
  <c r="AY431" i="108"/>
  <c r="BA431" i="108" s="1"/>
  <c r="AX431" i="108"/>
  <c r="AW431" i="108"/>
  <c r="AC431" i="108"/>
  <c r="M431" i="108"/>
  <c r="BC431" i="108" s="1"/>
  <c r="AZ430" i="108"/>
  <c r="BB430" i="108" s="1"/>
  <c r="AY430" i="108"/>
  <c r="BA430" i="108" s="1"/>
  <c r="AX430" i="108"/>
  <c r="AW430" i="108"/>
  <c r="AC430" i="108"/>
  <c r="M430" i="108"/>
  <c r="BC430" i="108" s="1"/>
  <c r="AZ429" i="108"/>
  <c r="BB429" i="108" s="1"/>
  <c r="AY429" i="108"/>
  <c r="BA429" i="108" s="1"/>
  <c r="AX429" i="108"/>
  <c r="AW429" i="108"/>
  <c r="AC429" i="108"/>
  <c r="M429" i="108"/>
  <c r="BC429" i="108" s="1"/>
  <c r="AZ428" i="108"/>
  <c r="BB428" i="108" s="1"/>
  <c r="AY428" i="108"/>
  <c r="BA428" i="108" s="1"/>
  <c r="AX428" i="108"/>
  <c r="AW428" i="108"/>
  <c r="AC428" i="108"/>
  <c r="M428" i="108"/>
  <c r="BC428" i="108" s="1"/>
  <c r="AZ427" i="108"/>
  <c r="BB427" i="108" s="1"/>
  <c r="AY427" i="108"/>
  <c r="BA427" i="108" s="1"/>
  <c r="AX427" i="108"/>
  <c r="AW427" i="108"/>
  <c r="AC427" i="108"/>
  <c r="M427" i="108"/>
  <c r="BC427" i="108" s="1"/>
  <c r="AZ426" i="108"/>
  <c r="BB426" i="108" s="1"/>
  <c r="AY426" i="108"/>
  <c r="BA426" i="108" s="1"/>
  <c r="AX426" i="108"/>
  <c r="AW426" i="108"/>
  <c r="AC426" i="108"/>
  <c r="M426" i="108"/>
  <c r="BC426" i="108" s="1"/>
  <c r="AZ425" i="108"/>
  <c r="BB425" i="108" s="1"/>
  <c r="AY425" i="108"/>
  <c r="BA425" i="108" s="1"/>
  <c r="AX425" i="108"/>
  <c r="AW425" i="108"/>
  <c r="AC425" i="108"/>
  <c r="M425" i="108"/>
  <c r="BC425" i="108" s="1"/>
  <c r="AZ424" i="108"/>
  <c r="BB424" i="108" s="1"/>
  <c r="AY424" i="108"/>
  <c r="BA424" i="108" s="1"/>
  <c r="AX424" i="108"/>
  <c r="AW424" i="108"/>
  <c r="AC424" i="108"/>
  <c r="M424" i="108"/>
  <c r="BC424" i="108" s="1"/>
  <c r="AZ423" i="108"/>
  <c r="BB423" i="108" s="1"/>
  <c r="AY423" i="108"/>
  <c r="BA423" i="108" s="1"/>
  <c r="AX423" i="108"/>
  <c r="AW423" i="108"/>
  <c r="AC423" i="108"/>
  <c r="M423" i="108"/>
  <c r="BC423" i="108" s="1"/>
  <c r="AZ422" i="108"/>
  <c r="BB422" i="108" s="1"/>
  <c r="AY422" i="108"/>
  <c r="BA422" i="108" s="1"/>
  <c r="AX422" i="108"/>
  <c r="AW422" i="108"/>
  <c r="AC422" i="108"/>
  <c r="M422" i="108"/>
  <c r="BC422" i="108" s="1"/>
  <c r="AZ421" i="108"/>
  <c r="BB421" i="108" s="1"/>
  <c r="AY421" i="108"/>
  <c r="BA421" i="108" s="1"/>
  <c r="AX421" i="108"/>
  <c r="AW421" i="108"/>
  <c r="AC421" i="108"/>
  <c r="M421" i="108"/>
  <c r="BC421" i="108" s="1"/>
  <c r="AZ420" i="108"/>
  <c r="BB420" i="108" s="1"/>
  <c r="AY420" i="108"/>
  <c r="BA420" i="108" s="1"/>
  <c r="AX420" i="108"/>
  <c r="AW420" i="108"/>
  <c r="AC420" i="108"/>
  <c r="M420" i="108"/>
  <c r="BC420" i="108" s="1"/>
  <c r="AZ419" i="108"/>
  <c r="BB419" i="108" s="1"/>
  <c r="AY419" i="108"/>
  <c r="BA419" i="108" s="1"/>
  <c r="AX419" i="108"/>
  <c r="AW419" i="108"/>
  <c r="AC419" i="108"/>
  <c r="M419" i="108"/>
  <c r="BC419" i="108" s="1"/>
  <c r="AZ418" i="108"/>
  <c r="BB418" i="108" s="1"/>
  <c r="AY418" i="108"/>
  <c r="BA418" i="108" s="1"/>
  <c r="AX418" i="108"/>
  <c r="AW418" i="108"/>
  <c r="AC418" i="108"/>
  <c r="M418" i="108"/>
  <c r="BC418" i="108" s="1"/>
  <c r="AZ417" i="108"/>
  <c r="BB417" i="108" s="1"/>
  <c r="AY417" i="108"/>
  <c r="BA417" i="108" s="1"/>
  <c r="AX417" i="108"/>
  <c r="AW417" i="108"/>
  <c r="AC417" i="108"/>
  <c r="M417" i="108"/>
  <c r="BC417" i="108" s="1"/>
  <c r="AZ416" i="108"/>
  <c r="BB416" i="108" s="1"/>
  <c r="AY416" i="108"/>
  <c r="BA416" i="108" s="1"/>
  <c r="AX416" i="108"/>
  <c r="AW416" i="108"/>
  <c r="AC416" i="108"/>
  <c r="M416" i="108"/>
  <c r="BC416" i="108" s="1"/>
  <c r="AZ415" i="108"/>
  <c r="BB415" i="108" s="1"/>
  <c r="AY415" i="108"/>
  <c r="BA415" i="108" s="1"/>
  <c r="AX415" i="108"/>
  <c r="AW415" i="108"/>
  <c r="AC415" i="108"/>
  <c r="M415" i="108"/>
  <c r="BC415" i="108" s="1"/>
  <c r="AZ414" i="108"/>
  <c r="BB414" i="108" s="1"/>
  <c r="AY414" i="108"/>
  <c r="BA414" i="108" s="1"/>
  <c r="AX414" i="108"/>
  <c r="AW414" i="108"/>
  <c r="AC414" i="108"/>
  <c r="M414" i="108"/>
  <c r="BC414" i="108" s="1"/>
  <c r="AZ413" i="108"/>
  <c r="BB413" i="108" s="1"/>
  <c r="AY413" i="108"/>
  <c r="BA413" i="108" s="1"/>
  <c r="AX413" i="108"/>
  <c r="AW413" i="108"/>
  <c r="AC413" i="108"/>
  <c r="M413" i="108"/>
  <c r="BC413" i="108" s="1"/>
  <c r="AZ412" i="108"/>
  <c r="BB412" i="108" s="1"/>
  <c r="AY412" i="108"/>
  <c r="BA412" i="108" s="1"/>
  <c r="AX412" i="108"/>
  <c r="AW412" i="108"/>
  <c r="AC412" i="108"/>
  <c r="M412" i="108"/>
  <c r="BC412" i="108" s="1"/>
  <c r="AZ411" i="108"/>
  <c r="BB411" i="108" s="1"/>
  <c r="AY411" i="108"/>
  <c r="BA411" i="108" s="1"/>
  <c r="AX411" i="108"/>
  <c r="AW411" i="108"/>
  <c r="AC411" i="108"/>
  <c r="M411" i="108"/>
  <c r="BC411" i="108" s="1"/>
  <c r="AZ410" i="108"/>
  <c r="BB410" i="108" s="1"/>
  <c r="AY410" i="108"/>
  <c r="BA410" i="108" s="1"/>
  <c r="AX410" i="108"/>
  <c r="AW410" i="108"/>
  <c r="AC410" i="108"/>
  <c r="M410" i="108"/>
  <c r="BC410" i="108" s="1"/>
  <c r="AZ409" i="108"/>
  <c r="BB409" i="108" s="1"/>
  <c r="AY409" i="108"/>
  <c r="BA409" i="108" s="1"/>
  <c r="AX409" i="108"/>
  <c r="AW409" i="108"/>
  <c r="AC409" i="108"/>
  <c r="M409" i="108"/>
  <c r="BC409" i="108" s="1"/>
  <c r="AZ408" i="108"/>
  <c r="BB408" i="108" s="1"/>
  <c r="AY408" i="108"/>
  <c r="BA408" i="108" s="1"/>
  <c r="AX408" i="108"/>
  <c r="AW408" i="108"/>
  <c r="AC408" i="108"/>
  <c r="M408" i="108"/>
  <c r="BC408" i="108" s="1"/>
  <c r="AZ407" i="108"/>
  <c r="BB407" i="108" s="1"/>
  <c r="AY407" i="108"/>
  <c r="BA407" i="108" s="1"/>
  <c r="AX407" i="108"/>
  <c r="AW407" i="108"/>
  <c r="AC407" i="108"/>
  <c r="M407" i="108"/>
  <c r="BC407" i="108" s="1"/>
  <c r="AZ406" i="108"/>
  <c r="BB406" i="108" s="1"/>
  <c r="AY406" i="108"/>
  <c r="BA406" i="108" s="1"/>
  <c r="AX406" i="108"/>
  <c r="AW406" i="108"/>
  <c r="AC406" i="108"/>
  <c r="M406" i="108"/>
  <c r="BC406" i="108" s="1"/>
  <c r="AZ405" i="108"/>
  <c r="BB405" i="108" s="1"/>
  <c r="AY405" i="108"/>
  <c r="BA405" i="108" s="1"/>
  <c r="AX405" i="108"/>
  <c r="AW405" i="108"/>
  <c r="AC405" i="108"/>
  <c r="M405" i="108"/>
  <c r="BC405" i="108" s="1"/>
  <c r="AZ404" i="108"/>
  <c r="BB404" i="108" s="1"/>
  <c r="AY404" i="108"/>
  <c r="BA404" i="108" s="1"/>
  <c r="AX404" i="108"/>
  <c r="AW404" i="108"/>
  <c r="AC404" i="108"/>
  <c r="M404" i="108"/>
  <c r="BC404" i="108" s="1"/>
  <c r="AZ403" i="108"/>
  <c r="BB403" i="108" s="1"/>
  <c r="AY403" i="108"/>
  <c r="BA403" i="108" s="1"/>
  <c r="AX403" i="108"/>
  <c r="AW403" i="108"/>
  <c r="AC403" i="108"/>
  <c r="M403" i="108"/>
  <c r="BC403" i="108" s="1"/>
  <c r="AZ402" i="108"/>
  <c r="BB402" i="108" s="1"/>
  <c r="AY402" i="108"/>
  <c r="BA402" i="108" s="1"/>
  <c r="AX402" i="108"/>
  <c r="AW402" i="108"/>
  <c r="AC402" i="108"/>
  <c r="M402" i="108"/>
  <c r="BC402" i="108" s="1"/>
  <c r="AZ401" i="108"/>
  <c r="BB401" i="108" s="1"/>
  <c r="AY401" i="108"/>
  <c r="BA401" i="108" s="1"/>
  <c r="AX401" i="108"/>
  <c r="AW401" i="108"/>
  <c r="AC401" i="108"/>
  <c r="M401" i="108"/>
  <c r="BC401" i="108" s="1"/>
  <c r="AZ400" i="108"/>
  <c r="BB400" i="108" s="1"/>
  <c r="AY400" i="108"/>
  <c r="BA400" i="108" s="1"/>
  <c r="AX400" i="108"/>
  <c r="AW400" i="108"/>
  <c r="AC400" i="108"/>
  <c r="M400" i="108"/>
  <c r="BC400" i="108" s="1"/>
  <c r="AZ399" i="108"/>
  <c r="BB399" i="108" s="1"/>
  <c r="AY399" i="108"/>
  <c r="BA399" i="108" s="1"/>
  <c r="AX399" i="108"/>
  <c r="AW399" i="108"/>
  <c r="AC399" i="108"/>
  <c r="M399" i="108"/>
  <c r="BC399" i="108" s="1"/>
  <c r="AZ398" i="108"/>
  <c r="BB398" i="108" s="1"/>
  <c r="AY398" i="108"/>
  <c r="BA398" i="108" s="1"/>
  <c r="AX398" i="108"/>
  <c r="AW398" i="108"/>
  <c r="AC398" i="108"/>
  <c r="M398" i="108"/>
  <c r="BC398" i="108" s="1"/>
  <c r="AZ397" i="108"/>
  <c r="BB397" i="108" s="1"/>
  <c r="AY397" i="108"/>
  <c r="BA397" i="108" s="1"/>
  <c r="AX397" i="108"/>
  <c r="AW397" i="108"/>
  <c r="AC397" i="108"/>
  <c r="M397" i="108"/>
  <c r="BC397" i="108" s="1"/>
  <c r="AZ396" i="108"/>
  <c r="BB396" i="108" s="1"/>
  <c r="AY396" i="108"/>
  <c r="BA396" i="108" s="1"/>
  <c r="AX396" i="108"/>
  <c r="AW396" i="108"/>
  <c r="AC396" i="108"/>
  <c r="M396" i="108"/>
  <c r="BC396" i="108" s="1"/>
  <c r="AZ395" i="108"/>
  <c r="BB395" i="108" s="1"/>
  <c r="AY395" i="108"/>
  <c r="BA395" i="108" s="1"/>
  <c r="AX395" i="108"/>
  <c r="AW395" i="108"/>
  <c r="AC395" i="108"/>
  <c r="M395" i="108"/>
  <c r="BC395" i="108" s="1"/>
  <c r="AZ394" i="108"/>
  <c r="BB394" i="108" s="1"/>
  <c r="AY394" i="108"/>
  <c r="BA394" i="108" s="1"/>
  <c r="AX394" i="108"/>
  <c r="AW394" i="108"/>
  <c r="AC394" i="108"/>
  <c r="M394" i="108"/>
  <c r="BC394" i="108" s="1"/>
  <c r="AZ393" i="108"/>
  <c r="BB393" i="108" s="1"/>
  <c r="AY393" i="108"/>
  <c r="BA393" i="108" s="1"/>
  <c r="AX393" i="108"/>
  <c r="AW393" i="108"/>
  <c r="AC393" i="108"/>
  <c r="M393" i="108"/>
  <c r="BC393" i="108" s="1"/>
  <c r="AZ392" i="108"/>
  <c r="BB392" i="108" s="1"/>
  <c r="AY392" i="108"/>
  <c r="BA392" i="108" s="1"/>
  <c r="AX392" i="108"/>
  <c r="AW392" i="108"/>
  <c r="AC392" i="108"/>
  <c r="M392" i="108"/>
  <c r="BC392" i="108" s="1"/>
  <c r="AZ391" i="108"/>
  <c r="BB391" i="108" s="1"/>
  <c r="AY391" i="108"/>
  <c r="BA391" i="108" s="1"/>
  <c r="AX391" i="108"/>
  <c r="AW391" i="108"/>
  <c r="AC391" i="108"/>
  <c r="M391" i="108"/>
  <c r="BC391" i="108" s="1"/>
  <c r="AZ390" i="108"/>
  <c r="BB390" i="108" s="1"/>
  <c r="AY390" i="108"/>
  <c r="BA390" i="108" s="1"/>
  <c r="AX390" i="108"/>
  <c r="AW390" i="108"/>
  <c r="AC390" i="108"/>
  <c r="M390" i="108"/>
  <c r="BC390" i="108" s="1"/>
  <c r="AZ389" i="108"/>
  <c r="BB389" i="108" s="1"/>
  <c r="AY389" i="108"/>
  <c r="BA389" i="108" s="1"/>
  <c r="AX389" i="108"/>
  <c r="AW389" i="108"/>
  <c r="AC389" i="108"/>
  <c r="M389" i="108"/>
  <c r="BC389" i="108" s="1"/>
  <c r="AZ388" i="108"/>
  <c r="BB388" i="108" s="1"/>
  <c r="AY388" i="108"/>
  <c r="BA388" i="108" s="1"/>
  <c r="AX388" i="108"/>
  <c r="AW388" i="108"/>
  <c r="AC388" i="108"/>
  <c r="M388" i="108"/>
  <c r="BC388" i="108" s="1"/>
  <c r="AZ387" i="108"/>
  <c r="BB387" i="108" s="1"/>
  <c r="AY387" i="108"/>
  <c r="BA387" i="108" s="1"/>
  <c r="AX387" i="108"/>
  <c r="AW387" i="108"/>
  <c r="AC387" i="108"/>
  <c r="M387" i="108"/>
  <c r="BC387" i="108" s="1"/>
  <c r="AZ386" i="108"/>
  <c r="BB386" i="108" s="1"/>
  <c r="AY386" i="108"/>
  <c r="BA386" i="108" s="1"/>
  <c r="AX386" i="108"/>
  <c r="AW386" i="108"/>
  <c r="AC386" i="108"/>
  <c r="M386" i="108"/>
  <c r="BC386" i="108" s="1"/>
  <c r="AZ385" i="108"/>
  <c r="BB385" i="108" s="1"/>
  <c r="AY385" i="108"/>
  <c r="BA385" i="108" s="1"/>
  <c r="AX385" i="108"/>
  <c r="AW385" i="108"/>
  <c r="AC385" i="108"/>
  <c r="M385" i="108"/>
  <c r="BC385" i="108" s="1"/>
  <c r="AZ384" i="108"/>
  <c r="BB384" i="108" s="1"/>
  <c r="AY384" i="108"/>
  <c r="BA384" i="108" s="1"/>
  <c r="AX384" i="108"/>
  <c r="AW384" i="108"/>
  <c r="AC384" i="108"/>
  <c r="M384" i="108"/>
  <c r="BC384" i="108" s="1"/>
  <c r="AZ383" i="108"/>
  <c r="BB383" i="108" s="1"/>
  <c r="AY383" i="108"/>
  <c r="BA383" i="108" s="1"/>
  <c r="AX383" i="108"/>
  <c r="AW383" i="108"/>
  <c r="AC383" i="108"/>
  <c r="M383" i="108"/>
  <c r="BC383" i="108" s="1"/>
  <c r="AZ382" i="108"/>
  <c r="BB382" i="108" s="1"/>
  <c r="AY382" i="108"/>
  <c r="BA382" i="108" s="1"/>
  <c r="AX382" i="108"/>
  <c r="AW382" i="108"/>
  <c r="AC382" i="108"/>
  <c r="M382" i="108"/>
  <c r="BC382" i="108" s="1"/>
  <c r="AZ381" i="108"/>
  <c r="BB381" i="108" s="1"/>
  <c r="AY381" i="108"/>
  <c r="BA381" i="108" s="1"/>
  <c r="AX381" i="108"/>
  <c r="AW381" i="108"/>
  <c r="AC381" i="108"/>
  <c r="M381" i="108"/>
  <c r="BC381" i="108" s="1"/>
  <c r="AZ380" i="108"/>
  <c r="BB380" i="108" s="1"/>
  <c r="AY380" i="108"/>
  <c r="BA380" i="108" s="1"/>
  <c r="AX380" i="108"/>
  <c r="AW380" i="108"/>
  <c r="AC380" i="108"/>
  <c r="M380" i="108"/>
  <c r="BC380" i="108" s="1"/>
  <c r="AZ379" i="108"/>
  <c r="BB379" i="108" s="1"/>
  <c r="AY379" i="108"/>
  <c r="BA379" i="108" s="1"/>
  <c r="AX379" i="108"/>
  <c r="AW379" i="108"/>
  <c r="AC379" i="108"/>
  <c r="M379" i="108"/>
  <c r="BC379" i="108" s="1"/>
  <c r="AZ378" i="108"/>
  <c r="BB378" i="108" s="1"/>
  <c r="AY378" i="108"/>
  <c r="BA378" i="108" s="1"/>
  <c r="AX378" i="108"/>
  <c r="AW378" i="108"/>
  <c r="AC378" i="108"/>
  <c r="M378" i="108"/>
  <c r="BC378" i="108" s="1"/>
  <c r="AZ377" i="108"/>
  <c r="BB377" i="108" s="1"/>
  <c r="AY377" i="108"/>
  <c r="BA377" i="108" s="1"/>
  <c r="AX377" i="108"/>
  <c r="AW377" i="108"/>
  <c r="AC377" i="108"/>
  <c r="M377" i="108"/>
  <c r="BC377" i="108" s="1"/>
  <c r="AZ376" i="108"/>
  <c r="BB376" i="108" s="1"/>
  <c r="AY376" i="108"/>
  <c r="BA376" i="108" s="1"/>
  <c r="AX376" i="108"/>
  <c r="AW376" i="108"/>
  <c r="AC376" i="108"/>
  <c r="M376" i="108"/>
  <c r="BC376" i="108" s="1"/>
  <c r="AZ375" i="108"/>
  <c r="BB375" i="108" s="1"/>
  <c r="AY375" i="108"/>
  <c r="BA375" i="108" s="1"/>
  <c r="AX375" i="108"/>
  <c r="AW375" i="108"/>
  <c r="AC375" i="108"/>
  <c r="M375" i="108"/>
  <c r="BC375" i="108" s="1"/>
  <c r="AZ374" i="108"/>
  <c r="BB374" i="108" s="1"/>
  <c r="AY374" i="108"/>
  <c r="BA374" i="108" s="1"/>
  <c r="AX374" i="108"/>
  <c r="AW374" i="108"/>
  <c r="AC374" i="108"/>
  <c r="M374" i="108"/>
  <c r="BC374" i="108" s="1"/>
  <c r="AZ373" i="108"/>
  <c r="BB373" i="108" s="1"/>
  <c r="AY373" i="108"/>
  <c r="BA373" i="108" s="1"/>
  <c r="AX373" i="108"/>
  <c r="AW373" i="108"/>
  <c r="AC373" i="108"/>
  <c r="M373" i="108"/>
  <c r="BC373" i="108" s="1"/>
  <c r="AZ372" i="108"/>
  <c r="BB372" i="108" s="1"/>
  <c r="AY372" i="108"/>
  <c r="BA372" i="108" s="1"/>
  <c r="AX372" i="108"/>
  <c r="AW372" i="108"/>
  <c r="AC372" i="108"/>
  <c r="M372" i="108"/>
  <c r="BC372" i="108" s="1"/>
  <c r="AZ371" i="108"/>
  <c r="BB371" i="108" s="1"/>
  <c r="AY371" i="108"/>
  <c r="BA371" i="108" s="1"/>
  <c r="AX371" i="108"/>
  <c r="AW371" i="108"/>
  <c r="AC371" i="108"/>
  <c r="M371" i="108"/>
  <c r="BC371" i="108" s="1"/>
  <c r="AZ370" i="108"/>
  <c r="BB370" i="108" s="1"/>
  <c r="AY370" i="108"/>
  <c r="BA370" i="108" s="1"/>
  <c r="AX370" i="108"/>
  <c r="AW370" i="108"/>
  <c r="AC370" i="108"/>
  <c r="M370" i="108"/>
  <c r="BC370" i="108" s="1"/>
  <c r="AZ369" i="108"/>
  <c r="BB369" i="108" s="1"/>
  <c r="AY369" i="108"/>
  <c r="BA369" i="108" s="1"/>
  <c r="AX369" i="108"/>
  <c r="AW369" i="108"/>
  <c r="AC369" i="108"/>
  <c r="M369" i="108"/>
  <c r="BC369" i="108" s="1"/>
  <c r="AZ368" i="108"/>
  <c r="BB368" i="108" s="1"/>
  <c r="AY368" i="108"/>
  <c r="BA368" i="108" s="1"/>
  <c r="AX368" i="108"/>
  <c r="AW368" i="108"/>
  <c r="AC368" i="108"/>
  <c r="M368" i="108"/>
  <c r="BC368" i="108" s="1"/>
  <c r="AZ367" i="108"/>
  <c r="BB367" i="108" s="1"/>
  <c r="AY367" i="108"/>
  <c r="BA367" i="108" s="1"/>
  <c r="AX367" i="108"/>
  <c r="AW367" i="108"/>
  <c r="AC367" i="108"/>
  <c r="M367" i="108"/>
  <c r="BC367" i="108" s="1"/>
  <c r="AZ366" i="108"/>
  <c r="BB366" i="108" s="1"/>
  <c r="AY366" i="108"/>
  <c r="BA366" i="108" s="1"/>
  <c r="AX366" i="108"/>
  <c r="AW366" i="108"/>
  <c r="AC366" i="108"/>
  <c r="M366" i="108"/>
  <c r="BC366" i="108" s="1"/>
  <c r="AZ365" i="108"/>
  <c r="BB365" i="108" s="1"/>
  <c r="AY365" i="108"/>
  <c r="BA365" i="108" s="1"/>
  <c r="AX365" i="108"/>
  <c r="AW365" i="108"/>
  <c r="AC365" i="108"/>
  <c r="M365" i="108"/>
  <c r="BC365" i="108" s="1"/>
  <c r="AZ364" i="108"/>
  <c r="BB364" i="108" s="1"/>
  <c r="AY364" i="108"/>
  <c r="BA364" i="108" s="1"/>
  <c r="AX364" i="108"/>
  <c r="AW364" i="108"/>
  <c r="AC364" i="108"/>
  <c r="M364" i="108"/>
  <c r="BC364" i="108" s="1"/>
  <c r="AZ363" i="108"/>
  <c r="BB363" i="108" s="1"/>
  <c r="AY363" i="108"/>
  <c r="BA363" i="108" s="1"/>
  <c r="AX363" i="108"/>
  <c r="AW363" i="108"/>
  <c r="AC363" i="108"/>
  <c r="M363" i="108"/>
  <c r="BC363" i="108" s="1"/>
  <c r="AZ362" i="108"/>
  <c r="BB362" i="108" s="1"/>
  <c r="AY362" i="108"/>
  <c r="BA362" i="108" s="1"/>
  <c r="AX362" i="108"/>
  <c r="AW362" i="108"/>
  <c r="AC362" i="108"/>
  <c r="M362" i="108"/>
  <c r="BC362" i="108" s="1"/>
  <c r="AZ361" i="108"/>
  <c r="BB361" i="108" s="1"/>
  <c r="AY361" i="108"/>
  <c r="BA361" i="108" s="1"/>
  <c r="AX361" i="108"/>
  <c r="AW361" i="108"/>
  <c r="AC361" i="108"/>
  <c r="M361" i="108"/>
  <c r="BC361" i="108" s="1"/>
  <c r="AZ360" i="108"/>
  <c r="BB360" i="108" s="1"/>
  <c r="AY360" i="108"/>
  <c r="BA360" i="108" s="1"/>
  <c r="AX360" i="108"/>
  <c r="AW360" i="108"/>
  <c r="AC360" i="108"/>
  <c r="M360" i="108"/>
  <c r="BC360" i="108" s="1"/>
  <c r="AZ359" i="108"/>
  <c r="BB359" i="108" s="1"/>
  <c r="AY359" i="108"/>
  <c r="BA359" i="108" s="1"/>
  <c r="AX359" i="108"/>
  <c r="AW359" i="108"/>
  <c r="AC359" i="108"/>
  <c r="M359" i="108"/>
  <c r="BC359" i="108" s="1"/>
  <c r="AZ358" i="108"/>
  <c r="BB358" i="108" s="1"/>
  <c r="AY358" i="108"/>
  <c r="BA358" i="108" s="1"/>
  <c r="AX358" i="108"/>
  <c r="AW358" i="108"/>
  <c r="AC358" i="108"/>
  <c r="M358" i="108"/>
  <c r="BC358" i="108" s="1"/>
  <c r="AZ357" i="108"/>
  <c r="BB357" i="108" s="1"/>
  <c r="AY357" i="108"/>
  <c r="BA357" i="108" s="1"/>
  <c r="AX357" i="108"/>
  <c r="AW357" i="108"/>
  <c r="AC357" i="108"/>
  <c r="M357" i="108"/>
  <c r="BC357" i="108" s="1"/>
  <c r="AZ356" i="108"/>
  <c r="BB356" i="108" s="1"/>
  <c r="AY356" i="108"/>
  <c r="BA356" i="108" s="1"/>
  <c r="AX356" i="108"/>
  <c r="AW356" i="108"/>
  <c r="AC356" i="108"/>
  <c r="M356" i="108"/>
  <c r="BC356" i="108" s="1"/>
  <c r="AZ355" i="108"/>
  <c r="BB355" i="108" s="1"/>
  <c r="AY355" i="108"/>
  <c r="BA355" i="108" s="1"/>
  <c r="AX355" i="108"/>
  <c r="AW355" i="108"/>
  <c r="AC355" i="108"/>
  <c r="M355" i="108"/>
  <c r="BC355" i="108" s="1"/>
  <c r="AZ354" i="108"/>
  <c r="BB354" i="108" s="1"/>
  <c r="AY354" i="108"/>
  <c r="BA354" i="108" s="1"/>
  <c r="AX354" i="108"/>
  <c r="AW354" i="108"/>
  <c r="AC354" i="108"/>
  <c r="M354" i="108"/>
  <c r="BC354" i="108" s="1"/>
  <c r="AZ353" i="108"/>
  <c r="BB353" i="108" s="1"/>
  <c r="AY353" i="108"/>
  <c r="BA353" i="108" s="1"/>
  <c r="AX353" i="108"/>
  <c r="AW353" i="108"/>
  <c r="AC353" i="108"/>
  <c r="M353" i="108"/>
  <c r="BC353" i="108" s="1"/>
  <c r="AZ352" i="108"/>
  <c r="BB352" i="108" s="1"/>
  <c r="AY352" i="108"/>
  <c r="BA352" i="108" s="1"/>
  <c r="AX352" i="108"/>
  <c r="AW352" i="108"/>
  <c r="AC352" i="108"/>
  <c r="M352" i="108"/>
  <c r="BC352" i="108" s="1"/>
  <c r="AZ351" i="108"/>
  <c r="BB351" i="108" s="1"/>
  <c r="AY351" i="108"/>
  <c r="BA351" i="108" s="1"/>
  <c r="AX351" i="108"/>
  <c r="AW351" i="108"/>
  <c r="AC351" i="108"/>
  <c r="M351" i="108"/>
  <c r="BC351" i="108" s="1"/>
  <c r="AZ350" i="108"/>
  <c r="BB350" i="108" s="1"/>
  <c r="AY350" i="108"/>
  <c r="BA350" i="108" s="1"/>
  <c r="AX350" i="108"/>
  <c r="AW350" i="108"/>
  <c r="AC350" i="108"/>
  <c r="M350" i="108"/>
  <c r="BC350" i="108" s="1"/>
  <c r="AZ349" i="108"/>
  <c r="BB349" i="108" s="1"/>
  <c r="AY349" i="108"/>
  <c r="BA349" i="108" s="1"/>
  <c r="AX349" i="108"/>
  <c r="AW349" i="108"/>
  <c r="AC349" i="108"/>
  <c r="M349" i="108"/>
  <c r="BC349" i="108" s="1"/>
  <c r="AZ348" i="108"/>
  <c r="BB348" i="108" s="1"/>
  <c r="AY348" i="108"/>
  <c r="BA348" i="108" s="1"/>
  <c r="AX348" i="108"/>
  <c r="AW348" i="108"/>
  <c r="AC348" i="108"/>
  <c r="M348" i="108"/>
  <c r="BC348" i="108" s="1"/>
  <c r="AZ347" i="108"/>
  <c r="BB347" i="108" s="1"/>
  <c r="AY347" i="108"/>
  <c r="BA347" i="108" s="1"/>
  <c r="AX347" i="108"/>
  <c r="AW347" i="108"/>
  <c r="AC347" i="108"/>
  <c r="M347" i="108"/>
  <c r="BC347" i="108" s="1"/>
  <c r="AZ346" i="108"/>
  <c r="BB346" i="108" s="1"/>
  <c r="AY346" i="108"/>
  <c r="BA346" i="108" s="1"/>
  <c r="AX346" i="108"/>
  <c r="AW346" i="108"/>
  <c r="AC346" i="108"/>
  <c r="M346" i="108"/>
  <c r="BC346" i="108" s="1"/>
  <c r="AZ345" i="108"/>
  <c r="BB345" i="108" s="1"/>
  <c r="AY345" i="108"/>
  <c r="BA345" i="108" s="1"/>
  <c r="AX345" i="108"/>
  <c r="AW345" i="108"/>
  <c r="AC345" i="108"/>
  <c r="M345" i="108"/>
  <c r="BC345" i="108" s="1"/>
  <c r="AZ344" i="108"/>
  <c r="BB344" i="108" s="1"/>
  <c r="AY344" i="108"/>
  <c r="BA344" i="108" s="1"/>
  <c r="AX344" i="108"/>
  <c r="AW344" i="108"/>
  <c r="AC344" i="108"/>
  <c r="M344" i="108"/>
  <c r="BC344" i="108" s="1"/>
  <c r="AZ343" i="108"/>
  <c r="BB343" i="108" s="1"/>
  <c r="AY343" i="108"/>
  <c r="BA343" i="108" s="1"/>
  <c r="AX343" i="108"/>
  <c r="AW343" i="108"/>
  <c r="AC343" i="108"/>
  <c r="M343" i="108"/>
  <c r="BC343" i="108" s="1"/>
  <c r="AZ342" i="108"/>
  <c r="BB342" i="108" s="1"/>
  <c r="AY342" i="108"/>
  <c r="BA342" i="108" s="1"/>
  <c r="AX342" i="108"/>
  <c r="AW342" i="108"/>
  <c r="AC342" i="108"/>
  <c r="M342" i="108"/>
  <c r="BC342" i="108" s="1"/>
  <c r="AZ341" i="108"/>
  <c r="BB341" i="108" s="1"/>
  <c r="AY341" i="108"/>
  <c r="BA341" i="108" s="1"/>
  <c r="AX341" i="108"/>
  <c r="AW341" i="108"/>
  <c r="AC341" i="108"/>
  <c r="M341" i="108"/>
  <c r="BC341" i="108" s="1"/>
  <c r="AZ340" i="108"/>
  <c r="BB340" i="108" s="1"/>
  <c r="AY340" i="108"/>
  <c r="BA340" i="108" s="1"/>
  <c r="AX340" i="108"/>
  <c r="AW340" i="108"/>
  <c r="AC340" i="108"/>
  <c r="M340" i="108"/>
  <c r="BC340" i="108" s="1"/>
  <c r="AZ339" i="108"/>
  <c r="BB339" i="108" s="1"/>
  <c r="AY339" i="108"/>
  <c r="BA339" i="108" s="1"/>
  <c r="AX339" i="108"/>
  <c r="AW339" i="108"/>
  <c r="AC339" i="108"/>
  <c r="M339" i="108"/>
  <c r="BC339" i="108" s="1"/>
  <c r="AZ338" i="108"/>
  <c r="BB338" i="108" s="1"/>
  <c r="AY338" i="108"/>
  <c r="BA338" i="108" s="1"/>
  <c r="AX338" i="108"/>
  <c r="AW338" i="108"/>
  <c r="AC338" i="108"/>
  <c r="M338" i="108"/>
  <c r="BC338" i="108" s="1"/>
  <c r="AZ337" i="108"/>
  <c r="BB337" i="108" s="1"/>
  <c r="AY337" i="108"/>
  <c r="BA337" i="108" s="1"/>
  <c r="AX337" i="108"/>
  <c r="AW337" i="108"/>
  <c r="AC337" i="108"/>
  <c r="M337" i="108"/>
  <c r="BC337" i="108" s="1"/>
  <c r="AZ336" i="108"/>
  <c r="BB336" i="108" s="1"/>
  <c r="AY336" i="108"/>
  <c r="BA336" i="108" s="1"/>
  <c r="AX336" i="108"/>
  <c r="AW336" i="108"/>
  <c r="AC336" i="108"/>
  <c r="M336" i="108"/>
  <c r="BC336" i="108" s="1"/>
  <c r="AZ335" i="108"/>
  <c r="BB335" i="108" s="1"/>
  <c r="AY335" i="108"/>
  <c r="BA335" i="108" s="1"/>
  <c r="AX335" i="108"/>
  <c r="AW335" i="108"/>
  <c r="AC335" i="108"/>
  <c r="M335" i="108"/>
  <c r="BC335" i="108" s="1"/>
  <c r="AZ334" i="108"/>
  <c r="BB334" i="108" s="1"/>
  <c r="AY334" i="108"/>
  <c r="BA334" i="108" s="1"/>
  <c r="AX334" i="108"/>
  <c r="AW334" i="108"/>
  <c r="AC334" i="108"/>
  <c r="M334" i="108"/>
  <c r="BC334" i="108" s="1"/>
  <c r="AZ333" i="108"/>
  <c r="BB333" i="108" s="1"/>
  <c r="AY333" i="108"/>
  <c r="BA333" i="108" s="1"/>
  <c r="AX333" i="108"/>
  <c r="AW333" i="108"/>
  <c r="AC333" i="108"/>
  <c r="M333" i="108"/>
  <c r="BC333" i="108" s="1"/>
  <c r="AZ332" i="108"/>
  <c r="BB332" i="108" s="1"/>
  <c r="AY332" i="108"/>
  <c r="BA332" i="108" s="1"/>
  <c r="AX332" i="108"/>
  <c r="AW332" i="108"/>
  <c r="AC332" i="108"/>
  <c r="M332" i="108"/>
  <c r="BC332" i="108" s="1"/>
  <c r="AZ331" i="108"/>
  <c r="BB331" i="108" s="1"/>
  <c r="AY331" i="108"/>
  <c r="BA331" i="108" s="1"/>
  <c r="AX331" i="108"/>
  <c r="AW331" i="108"/>
  <c r="AC331" i="108"/>
  <c r="M331" i="108"/>
  <c r="BC331" i="108" s="1"/>
  <c r="AZ330" i="108"/>
  <c r="BB330" i="108" s="1"/>
  <c r="AY330" i="108"/>
  <c r="BA330" i="108" s="1"/>
  <c r="AX330" i="108"/>
  <c r="AW330" i="108"/>
  <c r="AC330" i="108"/>
  <c r="M330" i="108"/>
  <c r="BC330" i="108" s="1"/>
  <c r="AZ329" i="108"/>
  <c r="BB329" i="108" s="1"/>
  <c r="AY329" i="108"/>
  <c r="BA329" i="108" s="1"/>
  <c r="AX329" i="108"/>
  <c r="AW329" i="108"/>
  <c r="AC329" i="108"/>
  <c r="M329" i="108"/>
  <c r="BC329" i="108" s="1"/>
  <c r="AZ328" i="108"/>
  <c r="BB328" i="108" s="1"/>
  <c r="AY328" i="108"/>
  <c r="BA328" i="108" s="1"/>
  <c r="AX328" i="108"/>
  <c r="AW328" i="108"/>
  <c r="AC328" i="108"/>
  <c r="M328" i="108"/>
  <c r="BC328" i="108" s="1"/>
  <c r="AZ327" i="108"/>
  <c r="BB327" i="108" s="1"/>
  <c r="AY327" i="108"/>
  <c r="BA327" i="108" s="1"/>
  <c r="AX327" i="108"/>
  <c r="AW327" i="108"/>
  <c r="AC327" i="108"/>
  <c r="M327" i="108"/>
  <c r="BC327" i="108" s="1"/>
  <c r="AZ326" i="108"/>
  <c r="BB326" i="108" s="1"/>
  <c r="AY326" i="108"/>
  <c r="BA326" i="108" s="1"/>
  <c r="AX326" i="108"/>
  <c r="AW326" i="108"/>
  <c r="AC326" i="108"/>
  <c r="M326" i="108"/>
  <c r="BC326" i="108" s="1"/>
  <c r="AZ325" i="108"/>
  <c r="BB325" i="108" s="1"/>
  <c r="AY325" i="108"/>
  <c r="BA325" i="108" s="1"/>
  <c r="AX325" i="108"/>
  <c r="AW325" i="108"/>
  <c r="AC325" i="108"/>
  <c r="M325" i="108"/>
  <c r="BC325" i="108" s="1"/>
  <c r="AZ324" i="108"/>
  <c r="BB324" i="108" s="1"/>
  <c r="AY324" i="108"/>
  <c r="BA324" i="108" s="1"/>
  <c r="AX324" i="108"/>
  <c r="AW324" i="108"/>
  <c r="AC324" i="108"/>
  <c r="M324" i="108"/>
  <c r="BC324" i="108" s="1"/>
  <c r="AZ323" i="108"/>
  <c r="BB323" i="108" s="1"/>
  <c r="AY323" i="108"/>
  <c r="BA323" i="108" s="1"/>
  <c r="AX323" i="108"/>
  <c r="AW323" i="108"/>
  <c r="AC323" i="108"/>
  <c r="M323" i="108"/>
  <c r="BC323" i="108" s="1"/>
  <c r="AZ322" i="108"/>
  <c r="BB322" i="108" s="1"/>
  <c r="AY322" i="108"/>
  <c r="BA322" i="108" s="1"/>
  <c r="AX322" i="108"/>
  <c r="AW322" i="108"/>
  <c r="AC322" i="108"/>
  <c r="M322" i="108"/>
  <c r="BC322" i="108" s="1"/>
  <c r="AZ321" i="108"/>
  <c r="BB321" i="108" s="1"/>
  <c r="AY321" i="108"/>
  <c r="BA321" i="108" s="1"/>
  <c r="AX321" i="108"/>
  <c r="AW321" i="108"/>
  <c r="AC321" i="108"/>
  <c r="M321" i="108"/>
  <c r="BC321" i="108" s="1"/>
  <c r="AZ320" i="108"/>
  <c r="BB320" i="108" s="1"/>
  <c r="AY320" i="108"/>
  <c r="BA320" i="108" s="1"/>
  <c r="AX320" i="108"/>
  <c r="AW320" i="108"/>
  <c r="AC320" i="108"/>
  <c r="M320" i="108"/>
  <c r="BC320" i="108" s="1"/>
  <c r="AZ319" i="108"/>
  <c r="BB319" i="108" s="1"/>
  <c r="AY319" i="108"/>
  <c r="BA319" i="108" s="1"/>
  <c r="AX319" i="108"/>
  <c r="AW319" i="108"/>
  <c r="AC319" i="108"/>
  <c r="M319" i="108"/>
  <c r="BC319" i="108" s="1"/>
  <c r="AZ318" i="108"/>
  <c r="BB318" i="108" s="1"/>
  <c r="AY318" i="108"/>
  <c r="BA318" i="108" s="1"/>
  <c r="AX318" i="108"/>
  <c r="AW318" i="108"/>
  <c r="AC318" i="108"/>
  <c r="M318" i="108"/>
  <c r="BC318" i="108" s="1"/>
  <c r="AZ317" i="108"/>
  <c r="BB317" i="108" s="1"/>
  <c r="AY317" i="108"/>
  <c r="BA317" i="108" s="1"/>
  <c r="AX317" i="108"/>
  <c r="AW317" i="108"/>
  <c r="AC317" i="108"/>
  <c r="M317" i="108"/>
  <c r="BC317" i="108" s="1"/>
  <c r="AZ316" i="108"/>
  <c r="BB316" i="108" s="1"/>
  <c r="AY316" i="108"/>
  <c r="BA316" i="108" s="1"/>
  <c r="AX316" i="108"/>
  <c r="AW316" i="108"/>
  <c r="AC316" i="108"/>
  <c r="M316" i="108"/>
  <c r="BC316" i="108" s="1"/>
  <c r="AZ315" i="108"/>
  <c r="BB315" i="108" s="1"/>
  <c r="AY315" i="108"/>
  <c r="BA315" i="108" s="1"/>
  <c r="AX315" i="108"/>
  <c r="AW315" i="108"/>
  <c r="AC315" i="108"/>
  <c r="M315" i="108"/>
  <c r="BC315" i="108" s="1"/>
  <c r="AZ314" i="108"/>
  <c r="BB314" i="108" s="1"/>
  <c r="AY314" i="108"/>
  <c r="BA314" i="108" s="1"/>
  <c r="AX314" i="108"/>
  <c r="AW314" i="108"/>
  <c r="AC314" i="108"/>
  <c r="M314" i="108"/>
  <c r="BC314" i="108" s="1"/>
  <c r="AZ313" i="108"/>
  <c r="BB313" i="108" s="1"/>
  <c r="AY313" i="108"/>
  <c r="BA313" i="108" s="1"/>
  <c r="AX313" i="108"/>
  <c r="AW313" i="108"/>
  <c r="AC313" i="108"/>
  <c r="M313" i="108"/>
  <c r="BC313" i="108" s="1"/>
  <c r="AZ312" i="108"/>
  <c r="BB312" i="108" s="1"/>
  <c r="AY312" i="108"/>
  <c r="BA312" i="108" s="1"/>
  <c r="AX312" i="108"/>
  <c r="AW312" i="108"/>
  <c r="AC312" i="108"/>
  <c r="M312" i="108"/>
  <c r="BC312" i="108" s="1"/>
  <c r="AZ311" i="108"/>
  <c r="BB311" i="108" s="1"/>
  <c r="AY311" i="108"/>
  <c r="BA311" i="108" s="1"/>
  <c r="AX311" i="108"/>
  <c r="AW311" i="108"/>
  <c r="AC311" i="108"/>
  <c r="M311" i="108"/>
  <c r="BC311" i="108" s="1"/>
  <c r="AZ310" i="108"/>
  <c r="BB310" i="108" s="1"/>
  <c r="AY310" i="108"/>
  <c r="BA310" i="108" s="1"/>
  <c r="AX310" i="108"/>
  <c r="AW310" i="108"/>
  <c r="AC310" i="108"/>
  <c r="M310" i="108"/>
  <c r="BC310" i="108" s="1"/>
  <c r="AZ309" i="108"/>
  <c r="BB309" i="108" s="1"/>
  <c r="AY309" i="108"/>
  <c r="BA309" i="108" s="1"/>
  <c r="AX309" i="108"/>
  <c r="AW309" i="108"/>
  <c r="AC309" i="108"/>
  <c r="M309" i="108"/>
  <c r="BC309" i="108" s="1"/>
  <c r="AZ308" i="108"/>
  <c r="BB308" i="108" s="1"/>
  <c r="AY308" i="108"/>
  <c r="BA308" i="108" s="1"/>
  <c r="AX308" i="108"/>
  <c r="AW308" i="108"/>
  <c r="AC308" i="108"/>
  <c r="M308" i="108"/>
  <c r="BC308" i="108" s="1"/>
  <c r="AZ307" i="108"/>
  <c r="BB307" i="108" s="1"/>
  <c r="AY307" i="108"/>
  <c r="BA307" i="108" s="1"/>
  <c r="AX307" i="108"/>
  <c r="AW307" i="108"/>
  <c r="AC307" i="108"/>
  <c r="M307" i="108"/>
  <c r="BC307" i="108" s="1"/>
  <c r="AZ306" i="108"/>
  <c r="BB306" i="108" s="1"/>
  <c r="AY306" i="108"/>
  <c r="BA306" i="108" s="1"/>
  <c r="AX306" i="108"/>
  <c r="AW306" i="108"/>
  <c r="AC306" i="108"/>
  <c r="M306" i="108"/>
  <c r="BC306" i="108" s="1"/>
  <c r="AZ305" i="108"/>
  <c r="BB305" i="108" s="1"/>
  <c r="AY305" i="108"/>
  <c r="BA305" i="108" s="1"/>
  <c r="AX305" i="108"/>
  <c r="AW305" i="108"/>
  <c r="AC305" i="108"/>
  <c r="M305" i="108"/>
  <c r="BC305" i="108" s="1"/>
  <c r="AZ304" i="108"/>
  <c r="BB304" i="108" s="1"/>
  <c r="AY304" i="108"/>
  <c r="BA304" i="108" s="1"/>
  <c r="AX304" i="108"/>
  <c r="AW304" i="108"/>
  <c r="AC304" i="108"/>
  <c r="M304" i="108"/>
  <c r="BC304" i="108" s="1"/>
  <c r="AZ303" i="108"/>
  <c r="BB303" i="108" s="1"/>
  <c r="AY303" i="108"/>
  <c r="BA303" i="108" s="1"/>
  <c r="AX303" i="108"/>
  <c r="AW303" i="108"/>
  <c r="AC303" i="108"/>
  <c r="M303" i="108"/>
  <c r="BC303" i="108" s="1"/>
  <c r="AZ302" i="108"/>
  <c r="BB302" i="108" s="1"/>
  <c r="AY302" i="108"/>
  <c r="BA302" i="108" s="1"/>
  <c r="AX302" i="108"/>
  <c r="AW302" i="108"/>
  <c r="AC302" i="108"/>
  <c r="M302" i="108"/>
  <c r="BC302" i="108" s="1"/>
  <c r="AZ301" i="108"/>
  <c r="BB301" i="108" s="1"/>
  <c r="AY301" i="108"/>
  <c r="BA301" i="108" s="1"/>
  <c r="AX301" i="108"/>
  <c r="AW301" i="108"/>
  <c r="AC301" i="108"/>
  <c r="M301" i="108"/>
  <c r="BC301" i="108" s="1"/>
  <c r="AZ300" i="108"/>
  <c r="BB300" i="108" s="1"/>
  <c r="AY300" i="108"/>
  <c r="BA300" i="108" s="1"/>
  <c r="AX300" i="108"/>
  <c r="AW300" i="108"/>
  <c r="AC300" i="108"/>
  <c r="M300" i="108"/>
  <c r="BC300" i="108" s="1"/>
  <c r="AZ299" i="108"/>
  <c r="BB299" i="108" s="1"/>
  <c r="AY299" i="108"/>
  <c r="BA299" i="108" s="1"/>
  <c r="AX299" i="108"/>
  <c r="AW299" i="108"/>
  <c r="AC299" i="108"/>
  <c r="M299" i="108"/>
  <c r="BC299" i="108" s="1"/>
  <c r="AZ298" i="108"/>
  <c r="BB298" i="108" s="1"/>
  <c r="AY298" i="108"/>
  <c r="BA298" i="108" s="1"/>
  <c r="AX298" i="108"/>
  <c r="AW298" i="108"/>
  <c r="AC298" i="108"/>
  <c r="M298" i="108"/>
  <c r="BC298" i="108" s="1"/>
  <c r="AZ297" i="108"/>
  <c r="BB297" i="108" s="1"/>
  <c r="AY297" i="108"/>
  <c r="BA297" i="108" s="1"/>
  <c r="AX297" i="108"/>
  <c r="AW297" i="108"/>
  <c r="AC297" i="108"/>
  <c r="M297" i="108"/>
  <c r="BC297" i="108" s="1"/>
  <c r="AZ296" i="108"/>
  <c r="BB296" i="108" s="1"/>
  <c r="AY296" i="108"/>
  <c r="BA296" i="108" s="1"/>
  <c r="AX296" i="108"/>
  <c r="AW296" i="108"/>
  <c r="AC296" i="108"/>
  <c r="M296" i="108"/>
  <c r="BC296" i="108" s="1"/>
  <c r="AZ295" i="108"/>
  <c r="BB295" i="108" s="1"/>
  <c r="AY295" i="108"/>
  <c r="BA295" i="108" s="1"/>
  <c r="AX295" i="108"/>
  <c r="AW295" i="108"/>
  <c r="AC295" i="108"/>
  <c r="M295" i="108"/>
  <c r="BC295" i="108" s="1"/>
  <c r="AZ294" i="108"/>
  <c r="BB294" i="108" s="1"/>
  <c r="AY294" i="108"/>
  <c r="BA294" i="108" s="1"/>
  <c r="AX294" i="108"/>
  <c r="AW294" i="108"/>
  <c r="AC294" i="108"/>
  <c r="M294" i="108"/>
  <c r="BC294" i="108" s="1"/>
  <c r="AZ293" i="108"/>
  <c r="BB293" i="108" s="1"/>
  <c r="AY293" i="108"/>
  <c r="BA293" i="108" s="1"/>
  <c r="AX293" i="108"/>
  <c r="AW293" i="108"/>
  <c r="AC293" i="108"/>
  <c r="M293" i="108"/>
  <c r="BC293" i="108" s="1"/>
  <c r="AZ292" i="108"/>
  <c r="BB292" i="108" s="1"/>
  <c r="AY292" i="108"/>
  <c r="BA292" i="108" s="1"/>
  <c r="AX292" i="108"/>
  <c r="AW292" i="108"/>
  <c r="AC292" i="108"/>
  <c r="M292" i="108"/>
  <c r="BC292" i="108" s="1"/>
  <c r="AZ291" i="108"/>
  <c r="BB291" i="108" s="1"/>
  <c r="AY291" i="108"/>
  <c r="BA291" i="108" s="1"/>
  <c r="AX291" i="108"/>
  <c r="AW291" i="108"/>
  <c r="AC291" i="108"/>
  <c r="M291" i="108"/>
  <c r="BC291" i="108" s="1"/>
  <c r="AZ290" i="108"/>
  <c r="BB290" i="108" s="1"/>
  <c r="AY290" i="108"/>
  <c r="BA290" i="108" s="1"/>
  <c r="AX290" i="108"/>
  <c r="AW290" i="108"/>
  <c r="AC290" i="108"/>
  <c r="M290" i="108"/>
  <c r="BC290" i="108" s="1"/>
  <c r="AZ289" i="108"/>
  <c r="BB289" i="108" s="1"/>
  <c r="AY289" i="108"/>
  <c r="BA289" i="108" s="1"/>
  <c r="AX289" i="108"/>
  <c r="AW289" i="108"/>
  <c r="AC289" i="108"/>
  <c r="M289" i="108"/>
  <c r="BC289" i="108" s="1"/>
  <c r="AZ288" i="108"/>
  <c r="BB288" i="108" s="1"/>
  <c r="AY288" i="108"/>
  <c r="BA288" i="108" s="1"/>
  <c r="AX288" i="108"/>
  <c r="AW288" i="108"/>
  <c r="AC288" i="108"/>
  <c r="M288" i="108"/>
  <c r="BC288" i="108" s="1"/>
  <c r="AZ287" i="108"/>
  <c r="BB287" i="108" s="1"/>
  <c r="AY287" i="108"/>
  <c r="BA287" i="108" s="1"/>
  <c r="AX287" i="108"/>
  <c r="AW287" i="108"/>
  <c r="AC287" i="108"/>
  <c r="M287" i="108"/>
  <c r="BC287" i="108" s="1"/>
  <c r="AZ286" i="108"/>
  <c r="BB286" i="108" s="1"/>
  <c r="AY286" i="108"/>
  <c r="BA286" i="108" s="1"/>
  <c r="AX286" i="108"/>
  <c r="AW286" i="108"/>
  <c r="AC286" i="108"/>
  <c r="M286" i="108"/>
  <c r="BC286" i="108" s="1"/>
  <c r="AZ285" i="108"/>
  <c r="BB285" i="108" s="1"/>
  <c r="AY285" i="108"/>
  <c r="BA285" i="108" s="1"/>
  <c r="AX285" i="108"/>
  <c r="AW285" i="108"/>
  <c r="AC285" i="108"/>
  <c r="M285" i="108"/>
  <c r="BC285" i="108" s="1"/>
  <c r="AZ284" i="108"/>
  <c r="BB284" i="108" s="1"/>
  <c r="AY284" i="108"/>
  <c r="BA284" i="108" s="1"/>
  <c r="AX284" i="108"/>
  <c r="AW284" i="108"/>
  <c r="AC284" i="108"/>
  <c r="M284" i="108"/>
  <c r="BC284" i="108" s="1"/>
  <c r="AZ283" i="108"/>
  <c r="BB283" i="108" s="1"/>
  <c r="AY283" i="108"/>
  <c r="BA283" i="108" s="1"/>
  <c r="AX283" i="108"/>
  <c r="AW283" i="108"/>
  <c r="AC283" i="108"/>
  <c r="M283" i="108"/>
  <c r="BC283" i="108" s="1"/>
  <c r="AZ282" i="108"/>
  <c r="BB282" i="108" s="1"/>
  <c r="AY282" i="108"/>
  <c r="BA282" i="108" s="1"/>
  <c r="AX282" i="108"/>
  <c r="AW282" i="108"/>
  <c r="AC282" i="108"/>
  <c r="M282" i="108"/>
  <c r="BC282" i="108" s="1"/>
  <c r="AZ281" i="108"/>
  <c r="BB281" i="108" s="1"/>
  <c r="AY281" i="108"/>
  <c r="BA281" i="108" s="1"/>
  <c r="AX281" i="108"/>
  <c r="AW281" i="108"/>
  <c r="AC281" i="108"/>
  <c r="M281" i="108"/>
  <c r="BC281" i="108" s="1"/>
  <c r="AZ280" i="108"/>
  <c r="BB280" i="108" s="1"/>
  <c r="AY280" i="108"/>
  <c r="BA280" i="108" s="1"/>
  <c r="AX280" i="108"/>
  <c r="AW280" i="108"/>
  <c r="AC280" i="108"/>
  <c r="M280" i="108"/>
  <c r="BC280" i="108" s="1"/>
  <c r="AZ279" i="108"/>
  <c r="BB279" i="108" s="1"/>
  <c r="AY279" i="108"/>
  <c r="BA279" i="108" s="1"/>
  <c r="AX279" i="108"/>
  <c r="AW279" i="108"/>
  <c r="AC279" i="108"/>
  <c r="M279" i="108"/>
  <c r="BC279" i="108" s="1"/>
  <c r="AZ278" i="108"/>
  <c r="BB278" i="108" s="1"/>
  <c r="AY278" i="108"/>
  <c r="BA278" i="108" s="1"/>
  <c r="AX278" i="108"/>
  <c r="AW278" i="108"/>
  <c r="AC278" i="108"/>
  <c r="M278" i="108"/>
  <c r="BC278" i="108" s="1"/>
  <c r="AZ277" i="108"/>
  <c r="BB277" i="108" s="1"/>
  <c r="AY277" i="108"/>
  <c r="BA277" i="108" s="1"/>
  <c r="AX277" i="108"/>
  <c r="AW277" i="108"/>
  <c r="AC277" i="108"/>
  <c r="M277" i="108"/>
  <c r="BC277" i="108" s="1"/>
  <c r="AZ276" i="108"/>
  <c r="BB276" i="108" s="1"/>
  <c r="AY276" i="108"/>
  <c r="BA276" i="108" s="1"/>
  <c r="AX276" i="108"/>
  <c r="AW276" i="108"/>
  <c r="AC276" i="108"/>
  <c r="M276" i="108"/>
  <c r="BC276" i="108" s="1"/>
  <c r="AZ275" i="108"/>
  <c r="BB275" i="108" s="1"/>
  <c r="AY275" i="108"/>
  <c r="BA275" i="108" s="1"/>
  <c r="AX275" i="108"/>
  <c r="AW275" i="108"/>
  <c r="AC275" i="108"/>
  <c r="M275" i="108"/>
  <c r="BC275" i="108" s="1"/>
  <c r="AZ274" i="108"/>
  <c r="BB274" i="108" s="1"/>
  <c r="AY274" i="108"/>
  <c r="BA274" i="108" s="1"/>
  <c r="AX274" i="108"/>
  <c r="AW274" i="108"/>
  <c r="AC274" i="108"/>
  <c r="M274" i="108"/>
  <c r="BC274" i="108" s="1"/>
  <c r="AZ273" i="108"/>
  <c r="BB273" i="108" s="1"/>
  <c r="AY273" i="108"/>
  <c r="BA273" i="108" s="1"/>
  <c r="AX273" i="108"/>
  <c r="AW273" i="108"/>
  <c r="AC273" i="108"/>
  <c r="M273" i="108"/>
  <c r="BC273" i="108" s="1"/>
  <c r="AZ272" i="108"/>
  <c r="BB272" i="108" s="1"/>
  <c r="AY272" i="108"/>
  <c r="BA272" i="108" s="1"/>
  <c r="AX272" i="108"/>
  <c r="AW272" i="108"/>
  <c r="AC272" i="108"/>
  <c r="M272" i="108"/>
  <c r="BC272" i="108" s="1"/>
  <c r="AZ271" i="108"/>
  <c r="BB271" i="108" s="1"/>
  <c r="AY271" i="108"/>
  <c r="BA271" i="108" s="1"/>
  <c r="AX271" i="108"/>
  <c r="AW271" i="108"/>
  <c r="AC271" i="108"/>
  <c r="M271" i="108"/>
  <c r="BC271" i="108" s="1"/>
  <c r="AZ270" i="108"/>
  <c r="BB270" i="108" s="1"/>
  <c r="AY270" i="108"/>
  <c r="BA270" i="108" s="1"/>
  <c r="AX270" i="108"/>
  <c r="AW270" i="108"/>
  <c r="AC270" i="108"/>
  <c r="M270" i="108"/>
  <c r="BC270" i="108" s="1"/>
  <c r="AZ269" i="108"/>
  <c r="BB269" i="108" s="1"/>
  <c r="AY269" i="108"/>
  <c r="BA269" i="108" s="1"/>
  <c r="AX269" i="108"/>
  <c r="AW269" i="108"/>
  <c r="AC269" i="108"/>
  <c r="M269" i="108"/>
  <c r="BC269" i="108" s="1"/>
  <c r="AZ268" i="108"/>
  <c r="BB268" i="108" s="1"/>
  <c r="AY268" i="108"/>
  <c r="BA268" i="108" s="1"/>
  <c r="AX268" i="108"/>
  <c r="AW268" i="108"/>
  <c r="AC268" i="108"/>
  <c r="M268" i="108"/>
  <c r="BC268" i="108" s="1"/>
  <c r="AZ267" i="108"/>
  <c r="BB267" i="108" s="1"/>
  <c r="AY267" i="108"/>
  <c r="BA267" i="108" s="1"/>
  <c r="AX267" i="108"/>
  <c r="AW267" i="108"/>
  <c r="AC267" i="108"/>
  <c r="M267" i="108"/>
  <c r="BC267" i="108" s="1"/>
  <c r="AZ266" i="108"/>
  <c r="BB266" i="108" s="1"/>
  <c r="AY266" i="108"/>
  <c r="BA266" i="108" s="1"/>
  <c r="AX266" i="108"/>
  <c r="AW266" i="108"/>
  <c r="AC266" i="108"/>
  <c r="M266" i="108"/>
  <c r="BC266" i="108" s="1"/>
  <c r="AZ265" i="108"/>
  <c r="BB265" i="108" s="1"/>
  <c r="AY265" i="108"/>
  <c r="BA265" i="108" s="1"/>
  <c r="AX265" i="108"/>
  <c r="AW265" i="108"/>
  <c r="AC265" i="108"/>
  <c r="M265" i="108"/>
  <c r="BC265" i="108" s="1"/>
  <c r="AZ264" i="108"/>
  <c r="BB264" i="108" s="1"/>
  <c r="AY264" i="108"/>
  <c r="BA264" i="108" s="1"/>
  <c r="AX264" i="108"/>
  <c r="AW264" i="108"/>
  <c r="AC264" i="108"/>
  <c r="M264" i="108"/>
  <c r="BC264" i="108" s="1"/>
  <c r="AZ263" i="108"/>
  <c r="BB263" i="108" s="1"/>
  <c r="AY263" i="108"/>
  <c r="BA263" i="108" s="1"/>
  <c r="AX263" i="108"/>
  <c r="AW263" i="108"/>
  <c r="AC263" i="108"/>
  <c r="M263" i="108"/>
  <c r="BC263" i="108" s="1"/>
  <c r="AZ262" i="108"/>
  <c r="BB262" i="108" s="1"/>
  <c r="AY262" i="108"/>
  <c r="BA262" i="108" s="1"/>
  <c r="AX262" i="108"/>
  <c r="AW262" i="108"/>
  <c r="AC262" i="108"/>
  <c r="M262" i="108"/>
  <c r="BC262" i="108" s="1"/>
  <c r="AZ261" i="108"/>
  <c r="BB261" i="108" s="1"/>
  <c r="AY261" i="108"/>
  <c r="BA261" i="108" s="1"/>
  <c r="AX261" i="108"/>
  <c r="AW261" i="108"/>
  <c r="AC261" i="108"/>
  <c r="M261" i="108"/>
  <c r="BC261" i="108" s="1"/>
  <c r="AZ260" i="108"/>
  <c r="BB260" i="108" s="1"/>
  <c r="AY260" i="108"/>
  <c r="BA260" i="108" s="1"/>
  <c r="AX260" i="108"/>
  <c r="AW260" i="108"/>
  <c r="AC260" i="108"/>
  <c r="M260" i="108"/>
  <c r="BC260" i="108" s="1"/>
  <c r="AZ259" i="108"/>
  <c r="BB259" i="108" s="1"/>
  <c r="AY259" i="108"/>
  <c r="BA259" i="108" s="1"/>
  <c r="AX259" i="108"/>
  <c r="AW259" i="108"/>
  <c r="AC259" i="108"/>
  <c r="M259" i="108"/>
  <c r="BC259" i="108" s="1"/>
  <c r="AZ258" i="108"/>
  <c r="BB258" i="108" s="1"/>
  <c r="AY258" i="108"/>
  <c r="BA258" i="108" s="1"/>
  <c r="AX258" i="108"/>
  <c r="AW258" i="108"/>
  <c r="AC258" i="108"/>
  <c r="M258" i="108"/>
  <c r="BC258" i="108" s="1"/>
  <c r="AZ257" i="108"/>
  <c r="BB257" i="108" s="1"/>
  <c r="AY257" i="108"/>
  <c r="BA257" i="108" s="1"/>
  <c r="AX257" i="108"/>
  <c r="AW257" i="108"/>
  <c r="AC257" i="108"/>
  <c r="M257" i="108"/>
  <c r="BC257" i="108" s="1"/>
  <c r="AZ256" i="108"/>
  <c r="BB256" i="108" s="1"/>
  <c r="AY256" i="108"/>
  <c r="BA256" i="108" s="1"/>
  <c r="AX256" i="108"/>
  <c r="AW256" i="108"/>
  <c r="AC256" i="108"/>
  <c r="M256" i="108"/>
  <c r="BC256" i="108" s="1"/>
  <c r="AZ255" i="108"/>
  <c r="BB255" i="108" s="1"/>
  <c r="AY255" i="108"/>
  <c r="BA255" i="108" s="1"/>
  <c r="AX255" i="108"/>
  <c r="AW255" i="108"/>
  <c r="AC255" i="108"/>
  <c r="M255" i="108"/>
  <c r="BC255" i="108" s="1"/>
  <c r="AZ254" i="108"/>
  <c r="BB254" i="108" s="1"/>
  <c r="AY254" i="108"/>
  <c r="BA254" i="108" s="1"/>
  <c r="AX254" i="108"/>
  <c r="AW254" i="108"/>
  <c r="AC254" i="108"/>
  <c r="M254" i="108"/>
  <c r="BC254" i="108" s="1"/>
  <c r="AZ253" i="108"/>
  <c r="BB253" i="108" s="1"/>
  <c r="AY253" i="108"/>
  <c r="BA253" i="108" s="1"/>
  <c r="AX253" i="108"/>
  <c r="AW253" i="108"/>
  <c r="AC253" i="108"/>
  <c r="M253" i="108"/>
  <c r="BC253" i="108" s="1"/>
  <c r="AZ252" i="108"/>
  <c r="BB252" i="108" s="1"/>
  <c r="AY252" i="108"/>
  <c r="BA252" i="108" s="1"/>
  <c r="AX252" i="108"/>
  <c r="AW252" i="108"/>
  <c r="AC252" i="108"/>
  <c r="M252" i="108"/>
  <c r="BC252" i="108" s="1"/>
  <c r="AZ251" i="108"/>
  <c r="BB251" i="108" s="1"/>
  <c r="AY251" i="108"/>
  <c r="BA251" i="108" s="1"/>
  <c r="AX251" i="108"/>
  <c r="AW251" i="108"/>
  <c r="AC251" i="108"/>
  <c r="M251" i="108"/>
  <c r="BC251" i="108" s="1"/>
  <c r="AZ250" i="108"/>
  <c r="BB250" i="108" s="1"/>
  <c r="AY250" i="108"/>
  <c r="BA250" i="108" s="1"/>
  <c r="AX250" i="108"/>
  <c r="AW250" i="108"/>
  <c r="AC250" i="108"/>
  <c r="M250" i="108"/>
  <c r="BC250" i="108" s="1"/>
  <c r="AZ249" i="108"/>
  <c r="BB249" i="108" s="1"/>
  <c r="AY249" i="108"/>
  <c r="BA249" i="108" s="1"/>
  <c r="AX249" i="108"/>
  <c r="AW249" i="108"/>
  <c r="AC249" i="108"/>
  <c r="M249" i="108"/>
  <c r="BC249" i="108" s="1"/>
  <c r="AZ248" i="108"/>
  <c r="BB248" i="108" s="1"/>
  <c r="AY248" i="108"/>
  <c r="BA248" i="108" s="1"/>
  <c r="AX248" i="108"/>
  <c r="AW248" i="108"/>
  <c r="AC248" i="108"/>
  <c r="M248" i="108"/>
  <c r="BC248" i="108" s="1"/>
  <c r="AZ247" i="108"/>
  <c r="BB247" i="108" s="1"/>
  <c r="AY247" i="108"/>
  <c r="BA247" i="108" s="1"/>
  <c r="AX247" i="108"/>
  <c r="AW247" i="108"/>
  <c r="AC247" i="108"/>
  <c r="M247" i="108"/>
  <c r="BC247" i="108" s="1"/>
  <c r="AZ246" i="108"/>
  <c r="BB246" i="108" s="1"/>
  <c r="AY246" i="108"/>
  <c r="BA246" i="108" s="1"/>
  <c r="AX246" i="108"/>
  <c r="AW246" i="108"/>
  <c r="AC246" i="108"/>
  <c r="M246" i="108"/>
  <c r="BC246" i="108" s="1"/>
  <c r="AZ245" i="108"/>
  <c r="BB245" i="108" s="1"/>
  <c r="AY245" i="108"/>
  <c r="BA245" i="108" s="1"/>
  <c r="AX245" i="108"/>
  <c r="AW245" i="108"/>
  <c r="AC245" i="108"/>
  <c r="M245" i="108"/>
  <c r="BC245" i="108" s="1"/>
  <c r="AZ244" i="108"/>
  <c r="BB244" i="108" s="1"/>
  <c r="AY244" i="108"/>
  <c r="BA244" i="108" s="1"/>
  <c r="AX244" i="108"/>
  <c r="AW244" i="108"/>
  <c r="AC244" i="108"/>
  <c r="M244" i="108"/>
  <c r="BC244" i="108" s="1"/>
  <c r="AZ243" i="108"/>
  <c r="BB243" i="108" s="1"/>
  <c r="AY243" i="108"/>
  <c r="BA243" i="108" s="1"/>
  <c r="AX243" i="108"/>
  <c r="AW243" i="108"/>
  <c r="AC243" i="108"/>
  <c r="M243" i="108"/>
  <c r="BC243" i="108" s="1"/>
  <c r="AZ242" i="108"/>
  <c r="BB242" i="108" s="1"/>
  <c r="AY242" i="108"/>
  <c r="BA242" i="108" s="1"/>
  <c r="AX242" i="108"/>
  <c r="AW242" i="108"/>
  <c r="AC242" i="108"/>
  <c r="M242" i="108"/>
  <c r="BC242" i="108" s="1"/>
  <c r="AZ241" i="108"/>
  <c r="BB241" i="108" s="1"/>
  <c r="AY241" i="108"/>
  <c r="BA241" i="108" s="1"/>
  <c r="AX241" i="108"/>
  <c r="AW241" i="108"/>
  <c r="AC241" i="108"/>
  <c r="M241" i="108"/>
  <c r="BC241" i="108" s="1"/>
  <c r="AZ240" i="108"/>
  <c r="BB240" i="108" s="1"/>
  <c r="AY240" i="108"/>
  <c r="BA240" i="108" s="1"/>
  <c r="AX240" i="108"/>
  <c r="AW240" i="108"/>
  <c r="AC240" i="108"/>
  <c r="M240" i="108"/>
  <c r="BC240" i="108" s="1"/>
  <c r="AZ239" i="108"/>
  <c r="BB239" i="108" s="1"/>
  <c r="AY239" i="108"/>
  <c r="BA239" i="108" s="1"/>
  <c r="AX239" i="108"/>
  <c r="AW239" i="108"/>
  <c r="AC239" i="108"/>
  <c r="M239" i="108"/>
  <c r="BC239" i="108" s="1"/>
  <c r="AZ238" i="108"/>
  <c r="BB238" i="108" s="1"/>
  <c r="AY238" i="108"/>
  <c r="BA238" i="108" s="1"/>
  <c r="AX238" i="108"/>
  <c r="AW238" i="108"/>
  <c r="AC238" i="108"/>
  <c r="M238" i="108"/>
  <c r="BC238" i="108" s="1"/>
  <c r="AZ237" i="108"/>
  <c r="BB237" i="108" s="1"/>
  <c r="AY237" i="108"/>
  <c r="BA237" i="108" s="1"/>
  <c r="AX237" i="108"/>
  <c r="AW237" i="108"/>
  <c r="AC237" i="108"/>
  <c r="M237" i="108"/>
  <c r="BC237" i="108" s="1"/>
  <c r="AZ236" i="108"/>
  <c r="BB236" i="108" s="1"/>
  <c r="AY236" i="108"/>
  <c r="BA236" i="108" s="1"/>
  <c r="AX236" i="108"/>
  <c r="AW236" i="108"/>
  <c r="AC236" i="108"/>
  <c r="M236" i="108"/>
  <c r="BC236" i="108" s="1"/>
  <c r="AZ235" i="108"/>
  <c r="BB235" i="108" s="1"/>
  <c r="AY235" i="108"/>
  <c r="BA235" i="108" s="1"/>
  <c r="AX235" i="108"/>
  <c r="AW235" i="108"/>
  <c r="AC235" i="108"/>
  <c r="M235" i="108"/>
  <c r="BC235" i="108" s="1"/>
  <c r="AZ234" i="108"/>
  <c r="BB234" i="108" s="1"/>
  <c r="AY234" i="108"/>
  <c r="BA234" i="108" s="1"/>
  <c r="AX234" i="108"/>
  <c r="AW234" i="108"/>
  <c r="AC234" i="108"/>
  <c r="M234" i="108"/>
  <c r="BC234" i="108" s="1"/>
  <c r="AZ233" i="108"/>
  <c r="BB233" i="108" s="1"/>
  <c r="AY233" i="108"/>
  <c r="BA233" i="108" s="1"/>
  <c r="AX233" i="108"/>
  <c r="AW233" i="108"/>
  <c r="AC233" i="108"/>
  <c r="M233" i="108"/>
  <c r="BC233" i="108" s="1"/>
  <c r="AZ232" i="108"/>
  <c r="BB232" i="108" s="1"/>
  <c r="AY232" i="108"/>
  <c r="BA232" i="108" s="1"/>
  <c r="AX232" i="108"/>
  <c r="AW232" i="108"/>
  <c r="AC232" i="108"/>
  <c r="M232" i="108"/>
  <c r="BC232" i="108" s="1"/>
  <c r="AZ231" i="108"/>
  <c r="BB231" i="108" s="1"/>
  <c r="AY231" i="108"/>
  <c r="BA231" i="108" s="1"/>
  <c r="AX231" i="108"/>
  <c r="AW231" i="108"/>
  <c r="AC231" i="108"/>
  <c r="M231" i="108"/>
  <c r="BC231" i="108" s="1"/>
  <c r="AZ230" i="108"/>
  <c r="BB230" i="108" s="1"/>
  <c r="AY230" i="108"/>
  <c r="BA230" i="108" s="1"/>
  <c r="AX230" i="108"/>
  <c r="AW230" i="108"/>
  <c r="AC230" i="108"/>
  <c r="M230" i="108"/>
  <c r="BC230" i="108" s="1"/>
  <c r="AZ229" i="108"/>
  <c r="BB229" i="108" s="1"/>
  <c r="AY229" i="108"/>
  <c r="BA229" i="108" s="1"/>
  <c r="AX229" i="108"/>
  <c r="AW229" i="108"/>
  <c r="AC229" i="108"/>
  <c r="M229" i="108"/>
  <c r="BC229" i="108" s="1"/>
  <c r="AZ228" i="108"/>
  <c r="BB228" i="108" s="1"/>
  <c r="AY228" i="108"/>
  <c r="BA228" i="108" s="1"/>
  <c r="AX228" i="108"/>
  <c r="AW228" i="108"/>
  <c r="AC228" i="108"/>
  <c r="M228" i="108"/>
  <c r="BC228" i="108" s="1"/>
  <c r="AZ227" i="108"/>
  <c r="BB227" i="108" s="1"/>
  <c r="AY227" i="108"/>
  <c r="BA227" i="108" s="1"/>
  <c r="AX227" i="108"/>
  <c r="AW227" i="108"/>
  <c r="AC227" i="108"/>
  <c r="M227" i="108"/>
  <c r="BC227" i="108" s="1"/>
  <c r="AZ226" i="108"/>
  <c r="BB226" i="108" s="1"/>
  <c r="AY226" i="108"/>
  <c r="BA226" i="108" s="1"/>
  <c r="AX226" i="108"/>
  <c r="AW226" i="108"/>
  <c r="AC226" i="108"/>
  <c r="M226" i="108"/>
  <c r="BC226" i="108" s="1"/>
  <c r="AZ225" i="108"/>
  <c r="BB225" i="108" s="1"/>
  <c r="AY225" i="108"/>
  <c r="BA225" i="108" s="1"/>
  <c r="AX225" i="108"/>
  <c r="AW225" i="108"/>
  <c r="AC225" i="108"/>
  <c r="M225" i="108"/>
  <c r="BC225" i="108" s="1"/>
  <c r="AZ224" i="108"/>
  <c r="BB224" i="108" s="1"/>
  <c r="AY224" i="108"/>
  <c r="BA224" i="108" s="1"/>
  <c r="AX224" i="108"/>
  <c r="AW224" i="108"/>
  <c r="AC224" i="108"/>
  <c r="M224" i="108"/>
  <c r="BC224" i="108" s="1"/>
  <c r="AZ223" i="108"/>
  <c r="BB223" i="108" s="1"/>
  <c r="AY223" i="108"/>
  <c r="BA223" i="108" s="1"/>
  <c r="AX223" i="108"/>
  <c r="AW223" i="108"/>
  <c r="AC223" i="108"/>
  <c r="M223" i="108"/>
  <c r="BC223" i="108" s="1"/>
  <c r="AZ222" i="108"/>
  <c r="BB222" i="108" s="1"/>
  <c r="AY222" i="108"/>
  <c r="BA222" i="108" s="1"/>
  <c r="AX222" i="108"/>
  <c r="AW222" i="108"/>
  <c r="AC222" i="108"/>
  <c r="M222" i="108"/>
  <c r="BC222" i="108" s="1"/>
  <c r="AZ221" i="108"/>
  <c r="BB221" i="108" s="1"/>
  <c r="AY221" i="108"/>
  <c r="BA221" i="108" s="1"/>
  <c r="AX221" i="108"/>
  <c r="AW221" i="108"/>
  <c r="AC221" i="108"/>
  <c r="M221" i="108"/>
  <c r="BC221" i="108" s="1"/>
  <c r="AZ220" i="108"/>
  <c r="BB220" i="108" s="1"/>
  <c r="AY220" i="108"/>
  <c r="BA220" i="108" s="1"/>
  <c r="AX220" i="108"/>
  <c r="AW220" i="108"/>
  <c r="AC220" i="108"/>
  <c r="M220" i="108"/>
  <c r="BC220" i="108" s="1"/>
  <c r="AZ219" i="108"/>
  <c r="BB219" i="108" s="1"/>
  <c r="AY219" i="108"/>
  <c r="BA219" i="108" s="1"/>
  <c r="AX219" i="108"/>
  <c r="AW219" i="108"/>
  <c r="AC219" i="108"/>
  <c r="M219" i="108"/>
  <c r="BC219" i="108" s="1"/>
  <c r="AZ218" i="108"/>
  <c r="BB218" i="108" s="1"/>
  <c r="AY218" i="108"/>
  <c r="BA218" i="108" s="1"/>
  <c r="AX218" i="108"/>
  <c r="AW218" i="108"/>
  <c r="AC218" i="108"/>
  <c r="M218" i="108"/>
  <c r="BC218" i="108" s="1"/>
  <c r="AZ217" i="108"/>
  <c r="BB217" i="108" s="1"/>
  <c r="AY217" i="108"/>
  <c r="BA217" i="108" s="1"/>
  <c r="AX217" i="108"/>
  <c r="AW217" i="108"/>
  <c r="AC217" i="108"/>
  <c r="M217" i="108"/>
  <c r="BC217" i="108" s="1"/>
  <c r="AZ216" i="108"/>
  <c r="BB216" i="108" s="1"/>
  <c r="AY216" i="108"/>
  <c r="BA216" i="108" s="1"/>
  <c r="AX216" i="108"/>
  <c r="AW216" i="108"/>
  <c r="AC216" i="108"/>
  <c r="M216" i="108"/>
  <c r="BC216" i="108" s="1"/>
  <c r="AZ215" i="108"/>
  <c r="BB215" i="108" s="1"/>
  <c r="AY215" i="108"/>
  <c r="BA215" i="108" s="1"/>
  <c r="AX215" i="108"/>
  <c r="AW215" i="108"/>
  <c r="AC215" i="108"/>
  <c r="M215" i="108"/>
  <c r="BC215" i="108" s="1"/>
  <c r="AZ214" i="108"/>
  <c r="BB214" i="108" s="1"/>
  <c r="AY214" i="108"/>
  <c r="BA214" i="108" s="1"/>
  <c r="AX214" i="108"/>
  <c r="AW214" i="108"/>
  <c r="AC214" i="108"/>
  <c r="M214" i="108"/>
  <c r="BC214" i="108" s="1"/>
  <c r="AZ213" i="108"/>
  <c r="BB213" i="108" s="1"/>
  <c r="AY213" i="108"/>
  <c r="BA213" i="108" s="1"/>
  <c r="AX213" i="108"/>
  <c r="AW213" i="108"/>
  <c r="AC213" i="108"/>
  <c r="M213" i="108"/>
  <c r="BC213" i="108" s="1"/>
  <c r="AZ212" i="108"/>
  <c r="BB212" i="108" s="1"/>
  <c r="AY212" i="108"/>
  <c r="BA212" i="108" s="1"/>
  <c r="AX212" i="108"/>
  <c r="AW212" i="108"/>
  <c r="AC212" i="108"/>
  <c r="M212" i="108"/>
  <c r="BC212" i="108" s="1"/>
  <c r="AZ211" i="108"/>
  <c r="BB211" i="108" s="1"/>
  <c r="AY211" i="108"/>
  <c r="BA211" i="108" s="1"/>
  <c r="AX211" i="108"/>
  <c r="AW211" i="108"/>
  <c r="AC211" i="108"/>
  <c r="M211" i="108"/>
  <c r="BC211" i="108" s="1"/>
  <c r="AZ210" i="108"/>
  <c r="BB210" i="108" s="1"/>
  <c r="AY210" i="108"/>
  <c r="BA210" i="108" s="1"/>
  <c r="AX210" i="108"/>
  <c r="AW210" i="108"/>
  <c r="AC210" i="108"/>
  <c r="M210" i="108"/>
  <c r="BC210" i="108" s="1"/>
  <c r="AZ209" i="108"/>
  <c r="BB209" i="108" s="1"/>
  <c r="AY209" i="108"/>
  <c r="BA209" i="108" s="1"/>
  <c r="AX209" i="108"/>
  <c r="AW209" i="108"/>
  <c r="AC209" i="108"/>
  <c r="M209" i="108"/>
  <c r="BC209" i="108" s="1"/>
  <c r="AZ208" i="108"/>
  <c r="BB208" i="108" s="1"/>
  <c r="AY208" i="108"/>
  <c r="BA208" i="108" s="1"/>
  <c r="AX208" i="108"/>
  <c r="AW208" i="108"/>
  <c r="AC208" i="108"/>
  <c r="M208" i="108"/>
  <c r="BC208" i="108" s="1"/>
  <c r="AZ207" i="108"/>
  <c r="BB207" i="108" s="1"/>
  <c r="AY207" i="108"/>
  <c r="BA207" i="108" s="1"/>
  <c r="AX207" i="108"/>
  <c r="AW207" i="108"/>
  <c r="AC207" i="108"/>
  <c r="M207" i="108"/>
  <c r="BC207" i="108" s="1"/>
  <c r="AZ206" i="108"/>
  <c r="BB206" i="108" s="1"/>
  <c r="AY206" i="108"/>
  <c r="BA206" i="108" s="1"/>
  <c r="AX206" i="108"/>
  <c r="AW206" i="108"/>
  <c r="AC206" i="108"/>
  <c r="M206" i="108"/>
  <c r="BC206" i="108" s="1"/>
  <c r="AZ205" i="108"/>
  <c r="BB205" i="108" s="1"/>
  <c r="AY205" i="108"/>
  <c r="BA205" i="108" s="1"/>
  <c r="AX205" i="108"/>
  <c r="AW205" i="108"/>
  <c r="AC205" i="108"/>
  <c r="M205" i="108"/>
  <c r="BC205" i="108" s="1"/>
  <c r="AZ204" i="108"/>
  <c r="BB204" i="108" s="1"/>
  <c r="AY204" i="108"/>
  <c r="BA204" i="108" s="1"/>
  <c r="AX204" i="108"/>
  <c r="AW204" i="108"/>
  <c r="AC204" i="108"/>
  <c r="M204" i="108"/>
  <c r="BC204" i="108" s="1"/>
  <c r="AZ203" i="108"/>
  <c r="BB203" i="108" s="1"/>
  <c r="AY203" i="108"/>
  <c r="BA203" i="108" s="1"/>
  <c r="AX203" i="108"/>
  <c r="AW203" i="108"/>
  <c r="AC203" i="108"/>
  <c r="M203" i="108"/>
  <c r="BC203" i="108" s="1"/>
  <c r="AZ202" i="108"/>
  <c r="BB202" i="108" s="1"/>
  <c r="AY202" i="108"/>
  <c r="BA202" i="108" s="1"/>
  <c r="AX202" i="108"/>
  <c r="AW202" i="108"/>
  <c r="AC202" i="108"/>
  <c r="M202" i="108"/>
  <c r="BC202" i="108" s="1"/>
  <c r="AZ201" i="108"/>
  <c r="BB201" i="108" s="1"/>
  <c r="AY201" i="108"/>
  <c r="BA201" i="108" s="1"/>
  <c r="AX201" i="108"/>
  <c r="AW201" i="108"/>
  <c r="AC201" i="108"/>
  <c r="M201" i="108"/>
  <c r="BC201" i="108" s="1"/>
  <c r="AZ200" i="108"/>
  <c r="BB200" i="108" s="1"/>
  <c r="AY200" i="108"/>
  <c r="BA200" i="108" s="1"/>
  <c r="AX200" i="108"/>
  <c r="AW200" i="108"/>
  <c r="AC200" i="108"/>
  <c r="M200" i="108"/>
  <c r="BC200" i="108" s="1"/>
  <c r="AZ199" i="108"/>
  <c r="BB199" i="108" s="1"/>
  <c r="AY199" i="108"/>
  <c r="BA199" i="108" s="1"/>
  <c r="AX199" i="108"/>
  <c r="AW199" i="108"/>
  <c r="AC199" i="108"/>
  <c r="M199" i="108"/>
  <c r="BC199" i="108" s="1"/>
  <c r="AZ198" i="108"/>
  <c r="BB198" i="108" s="1"/>
  <c r="AY198" i="108"/>
  <c r="BA198" i="108" s="1"/>
  <c r="AX198" i="108"/>
  <c r="AW198" i="108"/>
  <c r="AC198" i="108"/>
  <c r="M198" i="108"/>
  <c r="BC198" i="108" s="1"/>
  <c r="AZ197" i="108"/>
  <c r="BB197" i="108" s="1"/>
  <c r="AY197" i="108"/>
  <c r="BA197" i="108" s="1"/>
  <c r="AX197" i="108"/>
  <c r="AW197" i="108"/>
  <c r="AC197" i="108"/>
  <c r="M197" i="108"/>
  <c r="BC197" i="108" s="1"/>
  <c r="AZ196" i="108"/>
  <c r="BB196" i="108" s="1"/>
  <c r="AY196" i="108"/>
  <c r="BA196" i="108" s="1"/>
  <c r="AX196" i="108"/>
  <c r="AW196" i="108"/>
  <c r="AC196" i="108"/>
  <c r="M196" i="108"/>
  <c r="BC196" i="108" s="1"/>
  <c r="AZ195" i="108"/>
  <c r="BB195" i="108" s="1"/>
  <c r="AY195" i="108"/>
  <c r="BA195" i="108" s="1"/>
  <c r="AX195" i="108"/>
  <c r="AW195" i="108"/>
  <c r="AC195" i="108"/>
  <c r="M195" i="108"/>
  <c r="BC195" i="108" s="1"/>
  <c r="AZ194" i="108"/>
  <c r="BB194" i="108" s="1"/>
  <c r="AY194" i="108"/>
  <c r="BA194" i="108" s="1"/>
  <c r="AX194" i="108"/>
  <c r="AW194" i="108"/>
  <c r="AC194" i="108"/>
  <c r="M194" i="108"/>
  <c r="BC194" i="108" s="1"/>
  <c r="AZ193" i="108"/>
  <c r="BB193" i="108" s="1"/>
  <c r="AY193" i="108"/>
  <c r="BA193" i="108" s="1"/>
  <c r="AX193" i="108"/>
  <c r="AW193" i="108"/>
  <c r="AC193" i="108"/>
  <c r="M193" i="108"/>
  <c r="BC193" i="108" s="1"/>
  <c r="AZ192" i="108"/>
  <c r="BB192" i="108" s="1"/>
  <c r="AY192" i="108"/>
  <c r="BA192" i="108" s="1"/>
  <c r="AX192" i="108"/>
  <c r="AW192" i="108"/>
  <c r="AC192" i="108"/>
  <c r="M192" i="108"/>
  <c r="BC192" i="108" s="1"/>
  <c r="AZ191" i="108"/>
  <c r="BB191" i="108" s="1"/>
  <c r="AY191" i="108"/>
  <c r="BA191" i="108" s="1"/>
  <c r="AX191" i="108"/>
  <c r="AW191" i="108"/>
  <c r="AC191" i="108"/>
  <c r="M191" i="108"/>
  <c r="BC191" i="108" s="1"/>
  <c r="AZ190" i="108"/>
  <c r="BB190" i="108" s="1"/>
  <c r="AY190" i="108"/>
  <c r="BA190" i="108" s="1"/>
  <c r="AX190" i="108"/>
  <c r="AW190" i="108"/>
  <c r="AC190" i="108"/>
  <c r="M190" i="108"/>
  <c r="BC190" i="108" s="1"/>
  <c r="AZ189" i="108"/>
  <c r="BB189" i="108" s="1"/>
  <c r="AY189" i="108"/>
  <c r="BA189" i="108" s="1"/>
  <c r="AX189" i="108"/>
  <c r="AW189" i="108"/>
  <c r="AC189" i="108"/>
  <c r="M189" i="108"/>
  <c r="BC189" i="108" s="1"/>
  <c r="AZ188" i="108"/>
  <c r="BB188" i="108" s="1"/>
  <c r="AY188" i="108"/>
  <c r="BA188" i="108" s="1"/>
  <c r="AX188" i="108"/>
  <c r="AW188" i="108"/>
  <c r="AC188" i="108"/>
  <c r="M188" i="108"/>
  <c r="BC188" i="108" s="1"/>
  <c r="AZ187" i="108"/>
  <c r="BB187" i="108" s="1"/>
  <c r="AY187" i="108"/>
  <c r="BA187" i="108" s="1"/>
  <c r="AX187" i="108"/>
  <c r="AW187" i="108"/>
  <c r="AC187" i="108"/>
  <c r="M187" i="108"/>
  <c r="BC187" i="108" s="1"/>
  <c r="AZ186" i="108"/>
  <c r="BB186" i="108" s="1"/>
  <c r="AY186" i="108"/>
  <c r="BA186" i="108" s="1"/>
  <c r="AX186" i="108"/>
  <c r="AW186" i="108"/>
  <c r="AC186" i="108"/>
  <c r="M186" i="108"/>
  <c r="BC186" i="108" s="1"/>
  <c r="AZ185" i="108"/>
  <c r="BB185" i="108" s="1"/>
  <c r="AY185" i="108"/>
  <c r="BA185" i="108" s="1"/>
  <c r="AX185" i="108"/>
  <c r="AW185" i="108"/>
  <c r="AC185" i="108"/>
  <c r="M185" i="108"/>
  <c r="BC185" i="108" s="1"/>
  <c r="AZ184" i="108"/>
  <c r="BB184" i="108" s="1"/>
  <c r="AY184" i="108"/>
  <c r="BA184" i="108" s="1"/>
  <c r="AX184" i="108"/>
  <c r="AW184" i="108"/>
  <c r="AC184" i="108"/>
  <c r="M184" i="108"/>
  <c r="BC184" i="108" s="1"/>
  <c r="AZ183" i="108"/>
  <c r="BB183" i="108" s="1"/>
  <c r="AY183" i="108"/>
  <c r="BA183" i="108" s="1"/>
  <c r="AX183" i="108"/>
  <c r="AW183" i="108"/>
  <c r="AC183" i="108"/>
  <c r="M183" i="108"/>
  <c r="BC183" i="108" s="1"/>
  <c r="AZ182" i="108"/>
  <c r="BB182" i="108" s="1"/>
  <c r="AY182" i="108"/>
  <c r="BA182" i="108" s="1"/>
  <c r="AX182" i="108"/>
  <c r="AW182" i="108"/>
  <c r="AC182" i="108"/>
  <c r="M182" i="108"/>
  <c r="BC182" i="108" s="1"/>
  <c r="AZ181" i="108"/>
  <c r="BB181" i="108" s="1"/>
  <c r="AY181" i="108"/>
  <c r="BA181" i="108" s="1"/>
  <c r="AX181" i="108"/>
  <c r="AW181" i="108"/>
  <c r="AC181" i="108"/>
  <c r="M181" i="108"/>
  <c r="BC181" i="108" s="1"/>
  <c r="AZ180" i="108"/>
  <c r="BB180" i="108" s="1"/>
  <c r="AY180" i="108"/>
  <c r="BA180" i="108" s="1"/>
  <c r="AX180" i="108"/>
  <c r="AW180" i="108"/>
  <c r="AC180" i="108"/>
  <c r="M180" i="108"/>
  <c r="BC180" i="108" s="1"/>
  <c r="AZ179" i="108"/>
  <c r="BB179" i="108" s="1"/>
  <c r="AY179" i="108"/>
  <c r="BA179" i="108" s="1"/>
  <c r="AX179" i="108"/>
  <c r="AW179" i="108"/>
  <c r="AC179" i="108"/>
  <c r="M179" i="108"/>
  <c r="BC179" i="108" s="1"/>
  <c r="AZ178" i="108"/>
  <c r="BB178" i="108" s="1"/>
  <c r="AY178" i="108"/>
  <c r="BA178" i="108" s="1"/>
  <c r="AX178" i="108"/>
  <c r="AW178" i="108"/>
  <c r="AC178" i="108"/>
  <c r="M178" i="108"/>
  <c r="BC178" i="108" s="1"/>
  <c r="AZ177" i="108"/>
  <c r="BB177" i="108" s="1"/>
  <c r="AY177" i="108"/>
  <c r="BA177" i="108" s="1"/>
  <c r="AX177" i="108"/>
  <c r="AW177" i="108"/>
  <c r="AC177" i="108"/>
  <c r="M177" i="108"/>
  <c r="BC177" i="108" s="1"/>
  <c r="AZ176" i="108"/>
  <c r="BB176" i="108" s="1"/>
  <c r="AY176" i="108"/>
  <c r="BA176" i="108" s="1"/>
  <c r="AX176" i="108"/>
  <c r="AW176" i="108"/>
  <c r="AC176" i="108"/>
  <c r="M176" i="108"/>
  <c r="BC176" i="108" s="1"/>
  <c r="AZ175" i="108"/>
  <c r="BB175" i="108" s="1"/>
  <c r="AY175" i="108"/>
  <c r="BA175" i="108" s="1"/>
  <c r="AX175" i="108"/>
  <c r="AW175" i="108"/>
  <c r="AC175" i="108"/>
  <c r="M175" i="108"/>
  <c r="BC175" i="108" s="1"/>
  <c r="AZ174" i="108"/>
  <c r="BB174" i="108" s="1"/>
  <c r="AY174" i="108"/>
  <c r="BA174" i="108" s="1"/>
  <c r="AX174" i="108"/>
  <c r="AW174" i="108"/>
  <c r="AC174" i="108"/>
  <c r="M174" i="108"/>
  <c r="BC174" i="108" s="1"/>
  <c r="AZ173" i="108"/>
  <c r="BB173" i="108" s="1"/>
  <c r="AY173" i="108"/>
  <c r="BA173" i="108" s="1"/>
  <c r="AX173" i="108"/>
  <c r="AW173" i="108"/>
  <c r="AC173" i="108"/>
  <c r="M173" i="108"/>
  <c r="BC173" i="108" s="1"/>
  <c r="AZ172" i="108"/>
  <c r="BB172" i="108" s="1"/>
  <c r="AY172" i="108"/>
  <c r="BA172" i="108" s="1"/>
  <c r="AX172" i="108"/>
  <c r="AW172" i="108"/>
  <c r="AC172" i="108"/>
  <c r="M172" i="108"/>
  <c r="BC172" i="108" s="1"/>
  <c r="AZ171" i="108"/>
  <c r="BB171" i="108" s="1"/>
  <c r="AY171" i="108"/>
  <c r="BA171" i="108" s="1"/>
  <c r="AX171" i="108"/>
  <c r="AW171" i="108"/>
  <c r="AC171" i="108"/>
  <c r="M171" i="108"/>
  <c r="BC171" i="108" s="1"/>
  <c r="AZ170" i="108"/>
  <c r="BB170" i="108" s="1"/>
  <c r="AY170" i="108"/>
  <c r="BA170" i="108" s="1"/>
  <c r="AX170" i="108"/>
  <c r="AW170" i="108"/>
  <c r="AC170" i="108"/>
  <c r="M170" i="108"/>
  <c r="BC170" i="108" s="1"/>
  <c r="AZ169" i="108"/>
  <c r="BB169" i="108" s="1"/>
  <c r="AY169" i="108"/>
  <c r="BA169" i="108" s="1"/>
  <c r="AX169" i="108"/>
  <c r="AW169" i="108"/>
  <c r="AC169" i="108"/>
  <c r="M169" i="108"/>
  <c r="BC169" i="108" s="1"/>
  <c r="AZ168" i="108"/>
  <c r="BB168" i="108" s="1"/>
  <c r="AY168" i="108"/>
  <c r="BA168" i="108" s="1"/>
  <c r="AX168" i="108"/>
  <c r="AW168" i="108"/>
  <c r="AC168" i="108"/>
  <c r="M168" i="108"/>
  <c r="BC168" i="108" s="1"/>
  <c r="AZ167" i="108"/>
  <c r="BB167" i="108" s="1"/>
  <c r="AY167" i="108"/>
  <c r="BA167" i="108" s="1"/>
  <c r="AX167" i="108"/>
  <c r="AW167" i="108"/>
  <c r="AC167" i="108"/>
  <c r="M167" i="108"/>
  <c r="BC167" i="108" s="1"/>
  <c r="AZ166" i="108"/>
  <c r="BB166" i="108" s="1"/>
  <c r="AY166" i="108"/>
  <c r="BA166" i="108" s="1"/>
  <c r="AX166" i="108"/>
  <c r="AW166" i="108"/>
  <c r="AC166" i="108"/>
  <c r="M166" i="108"/>
  <c r="BC166" i="108" s="1"/>
  <c r="AZ165" i="108"/>
  <c r="BB165" i="108" s="1"/>
  <c r="AY165" i="108"/>
  <c r="BA165" i="108" s="1"/>
  <c r="AX165" i="108"/>
  <c r="AW165" i="108"/>
  <c r="AC165" i="108"/>
  <c r="M165" i="108"/>
  <c r="BC165" i="108" s="1"/>
  <c r="AZ164" i="108"/>
  <c r="BB164" i="108" s="1"/>
  <c r="AY164" i="108"/>
  <c r="BA164" i="108" s="1"/>
  <c r="AX164" i="108"/>
  <c r="AW164" i="108"/>
  <c r="AC164" i="108"/>
  <c r="M164" i="108"/>
  <c r="BC164" i="108" s="1"/>
  <c r="AZ163" i="108"/>
  <c r="BB163" i="108" s="1"/>
  <c r="AY163" i="108"/>
  <c r="BA163" i="108" s="1"/>
  <c r="AX163" i="108"/>
  <c r="AW163" i="108"/>
  <c r="AC163" i="108"/>
  <c r="M163" i="108"/>
  <c r="BC163" i="108" s="1"/>
  <c r="AZ162" i="108"/>
  <c r="BB162" i="108" s="1"/>
  <c r="AY162" i="108"/>
  <c r="BA162" i="108" s="1"/>
  <c r="AX162" i="108"/>
  <c r="AW162" i="108"/>
  <c r="AC162" i="108"/>
  <c r="M162" i="108"/>
  <c r="BC162" i="108" s="1"/>
  <c r="AZ161" i="108"/>
  <c r="BB161" i="108" s="1"/>
  <c r="AY161" i="108"/>
  <c r="BA161" i="108" s="1"/>
  <c r="AX161" i="108"/>
  <c r="AW161" i="108"/>
  <c r="AC161" i="108"/>
  <c r="M161" i="108"/>
  <c r="BC161" i="108" s="1"/>
  <c r="AZ160" i="108"/>
  <c r="BB160" i="108" s="1"/>
  <c r="AY160" i="108"/>
  <c r="BA160" i="108" s="1"/>
  <c r="AX160" i="108"/>
  <c r="AW160" i="108"/>
  <c r="AC160" i="108"/>
  <c r="M160" i="108"/>
  <c r="BC160" i="108" s="1"/>
  <c r="AZ159" i="108"/>
  <c r="BB159" i="108" s="1"/>
  <c r="AY159" i="108"/>
  <c r="BA159" i="108" s="1"/>
  <c r="AX159" i="108"/>
  <c r="AW159" i="108"/>
  <c r="AC159" i="108"/>
  <c r="M159" i="108"/>
  <c r="BC159" i="108" s="1"/>
  <c r="AZ158" i="108"/>
  <c r="BB158" i="108" s="1"/>
  <c r="AY158" i="108"/>
  <c r="BA158" i="108" s="1"/>
  <c r="AX158" i="108"/>
  <c r="AW158" i="108"/>
  <c r="AC158" i="108"/>
  <c r="M158" i="108"/>
  <c r="BC158" i="108" s="1"/>
  <c r="AZ157" i="108"/>
  <c r="BB157" i="108" s="1"/>
  <c r="AY157" i="108"/>
  <c r="BA157" i="108" s="1"/>
  <c r="AX157" i="108"/>
  <c r="AW157" i="108"/>
  <c r="AC157" i="108"/>
  <c r="M157" i="108"/>
  <c r="BC157" i="108" s="1"/>
  <c r="AZ156" i="108"/>
  <c r="BB156" i="108" s="1"/>
  <c r="AY156" i="108"/>
  <c r="BA156" i="108" s="1"/>
  <c r="AX156" i="108"/>
  <c r="AW156" i="108"/>
  <c r="AC156" i="108"/>
  <c r="M156" i="108"/>
  <c r="BC156" i="108" s="1"/>
  <c r="AZ155" i="108"/>
  <c r="BB155" i="108" s="1"/>
  <c r="AY155" i="108"/>
  <c r="BA155" i="108" s="1"/>
  <c r="AX155" i="108"/>
  <c r="AW155" i="108"/>
  <c r="AC155" i="108"/>
  <c r="M155" i="108"/>
  <c r="BC155" i="108" s="1"/>
  <c r="AZ154" i="108"/>
  <c r="BB154" i="108" s="1"/>
  <c r="AY154" i="108"/>
  <c r="BA154" i="108" s="1"/>
  <c r="AX154" i="108"/>
  <c r="AW154" i="108"/>
  <c r="AC154" i="108"/>
  <c r="M154" i="108"/>
  <c r="BC154" i="108" s="1"/>
  <c r="AZ153" i="108"/>
  <c r="BB153" i="108" s="1"/>
  <c r="AY153" i="108"/>
  <c r="BA153" i="108" s="1"/>
  <c r="AX153" i="108"/>
  <c r="AW153" i="108"/>
  <c r="AC153" i="108"/>
  <c r="M153" i="108"/>
  <c r="BC153" i="108" s="1"/>
  <c r="AZ152" i="108"/>
  <c r="BB152" i="108" s="1"/>
  <c r="AY152" i="108"/>
  <c r="BA152" i="108" s="1"/>
  <c r="AX152" i="108"/>
  <c r="AW152" i="108"/>
  <c r="AC152" i="108"/>
  <c r="M152" i="108"/>
  <c r="BC152" i="108" s="1"/>
  <c r="AZ151" i="108"/>
  <c r="BB151" i="108" s="1"/>
  <c r="AY151" i="108"/>
  <c r="BA151" i="108" s="1"/>
  <c r="AX151" i="108"/>
  <c r="AW151" i="108"/>
  <c r="AC151" i="108"/>
  <c r="M151" i="108"/>
  <c r="BC151" i="108" s="1"/>
  <c r="AZ150" i="108"/>
  <c r="BB150" i="108" s="1"/>
  <c r="AY150" i="108"/>
  <c r="BA150" i="108" s="1"/>
  <c r="AX150" i="108"/>
  <c r="AW150" i="108"/>
  <c r="AC150" i="108"/>
  <c r="M150" i="108"/>
  <c r="BC150" i="108" s="1"/>
  <c r="AZ149" i="108"/>
  <c r="BB149" i="108" s="1"/>
  <c r="AY149" i="108"/>
  <c r="BA149" i="108" s="1"/>
  <c r="AX149" i="108"/>
  <c r="AW149" i="108"/>
  <c r="AC149" i="108"/>
  <c r="M149" i="108"/>
  <c r="BC149" i="108" s="1"/>
  <c r="AZ148" i="108"/>
  <c r="BB148" i="108" s="1"/>
  <c r="AY148" i="108"/>
  <c r="BA148" i="108" s="1"/>
  <c r="AX148" i="108"/>
  <c r="AW148" i="108"/>
  <c r="AC148" i="108"/>
  <c r="M148" i="108"/>
  <c r="BC148" i="108" s="1"/>
  <c r="AZ147" i="108"/>
  <c r="BB147" i="108" s="1"/>
  <c r="AY147" i="108"/>
  <c r="BA147" i="108" s="1"/>
  <c r="AX147" i="108"/>
  <c r="AW147" i="108"/>
  <c r="AC147" i="108"/>
  <c r="M147" i="108"/>
  <c r="BC147" i="108" s="1"/>
  <c r="AZ146" i="108"/>
  <c r="BB146" i="108" s="1"/>
  <c r="AY146" i="108"/>
  <c r="BA146" i="108" s="1"/>
  <c r="AX146" i="108"/>
  <c r="AW146" i="108"/>
  <c r="AC146" i="108"/>
  <c r="M146" i="108"/>
  <c r="BC146" i="108" s="1"/>
  <c r="AZ145" i="108"/>
  <c r="BB145" i="108" s="1"/>
  <c r="AY145" i="108"/>
  <c r="BA145" i="108" s="1"/>
  <c r="AX145" i="108"/>
  <c r="AW145" i="108"/>
  <c r="AC145" i="108"/>
  <c r="M145" i="108"/>
  <c r="BC145" i="108" s="1"/>
  <c r="AZ144" i="108"/>
  <c r="BB144" i="108" s="1"/>
  <c r="AY144" i="108"/>
  <c r="BA144" i="108" s="1"/>
  <c r="AX144" i="108"/>
  <c r="AW144" i="108"/>
  <c r="AC144" i="108"/>
  <c r="M144" i="108"/>
  <c r="BC144" i="108" s="1"/>
  <c r="AZ143" i="108"/>
  <c r="BB143" i="108" s="1"/>
  <c r="AY143" i="108"/>
  <c r="BA143" i="108" s="1"/>
  <c r="AX143" i="108"/>
  <c r="AW143" i="108"/>
  <c r="AC143" i="108"/>
  <c r="M143" i="108"/>
  <c r="BC143" i="108" s="1"/>
  <c r="AZ142" i="108"/>
  <c r="BB142" i="108" s="1"/>
  <c r="AY142" i="108"/>
  <c r="BA142" i="108" s="1"/>
  <c r="AX142" i="108"/>
  <c r="AW142" i="108"/>
  <c r="AC142" i="108"/>
  <c r="M142" i="108"/>
  <c r="BC142" i="108" s="1"/>
  <c r="AZ141" i="108"/>
  <c r="BB141" i="108" s="1"/>
  <c r="AY141" i="108"/>
  <c r="BA141" i="108" s="1"/>
  <c r="AX141" i="108"/>
  <c r="AW141" i="108"/>
  <c r="AC141" i="108"/>
  <c r="M141" i="108"/>
  <c r="BC141" i="108" s="1"/>
  <c r="AZ140" i="108"/>
  <c r="BB140" i="108" s="1"/>
  <c r="AY140" i="108"/>
  <c r="BA140" i="108" s="1"/>
  <c r="AX140" i="108"/>
  <c r="AW140" i="108"/>
  <c r="AC140" i="108"/>
  <c r="M140" i="108"/>
  <c r="BC140" i="108" s="1"/>
  <c r="AZ139" i="108"/>
  <c r="BB139" i="108" s="1"/>
  <c r="AY139" i="108"/>
  <c r="BA139" i="108" s="1"/>
  <c r="AX139" i="108"/>
  <c r="AW139" i="108"/>
  <c r="AC139" i="108"/>
  <c r="M139" i="108"/>
  <c r="BC139" i="108" s="1"/>
  <c r="AZ138" i="108"/>
  <c r="BB138" i="108" s="1"/>
  <c r="AY138" i="108"/>
  <c r="BA138" i="108" s="1"/>
  <c r="AX138" i="108"/>
  <c r="AW138" i="108"/>
  <c r="AC138" i="108"/>
  <c r="M138" i="108"/>
  <c r="BC138" i="108" s="1"/>
  <c r="AZ137" i="108"/>
  <c r="BB137" i="108" s="1"/>
  <c r="AY137" i="108"/>
  <c r="BA137" i="108" s="1"/>
  <c r="AX137" i="108"/>
  <c r="AW137" i="108"/>
  <c r="AC137" i="108"/>
  <c r="M137" i="108"/>
  <c r="BC137" i="108" s="1"/>
  <c r="AZ136" i="108"/>
  <c r="BB136" i="108" s="1"/>
  <c r="AY136" i="108"/>
  <c r="BA136" i="108" s="1"/>
  <c r="AX136" i="108"/>
  <c r="AW136" i="108"/>
  <c r="AC136" i="108"/>
  <c r="M136" i="108"/>
  <c r="BC136" i="108" s="1"/>
  <c r="AZ135" i="108"/>
  <c r="BB135" i="108" s="1"/>
  <c r="AY135" i="108"/>
  <c r="BA135" i="108" s="1"/>
  <c r="AX135" i="108"/>
  <c r="AW135" i="108"/>
  <c r="AC135" i="108"/>
  <c r="M135" i="108"/>
  <c r="BC135" i="108" s="1"/>
  <c r="AZ134" i="108"/>
  <c r="BB134" i="108" s="1"/>
  <c r="AY134" i="108"/>
  <c r="BA134" i="108" s="1"/>
  <c r="AX134" i="108"/>
  <c r="AW134" i="108"/>
  <c r="AC134" i="108"/>
  <c r="M134" i="108"/>
  <c r="BC134" i="108" s="1"/>
  <c r="AZ133" i="108"/>
  <c r="BB133" i="108" s="1"/>
  <c r="AY133" i="108"/>
  <c r="BA133" i="108" s="1"/>
  <c r="AX133" i="108"/>
  <c r="AW133" i="108"/>
  <c r="AC133" i="108"/>
  <c r="M133" i="108"/>
  <c r="BC133" i="108" s="1"/>
  <c r="AZ132" i="108"/>
  <c r="BB132" i="108" s="1"/>
  <c r="AY132" i="108"/>
  <c r="BA132" i="108" s="1"/>
  <c r="AX132" i="108"/>
  <c r="AW132" i="108"/>
  <c r="AC132" i="108"/>
  <c r="M132" i="108"/>
  <c r="BC132" i="108" s="1"/>
  <c r="AZ131" i="108"/>
  <c r="BB131" i="108" s="1"/>
  <c r="AY131" i="108"/>
  <c r="BA131" i="108" s="1"/>
  <c r="AX131" i="108"/>
  <c r="AW131" i="108"/>
  <c r="AC131" i="108"/>
  <c r="M131" i="108"/>
  <c r="BC131" i="108" s="1"/>
  <c r="AZ130" i="108"/>
  <c r="BB130" i="108" s="1"/>
  <c r="AY130" i="108"/>
  <c r="BA130" i="108" s="1"/>
  <c r="AX130" i="108"/>
  <c r="AW130" i="108"/>
  <c r="AC130" i="108"/>
  <c r="M130" i="108"/>
  <c r="BC130" i="108" s="1"/>
  <c r="AZ129" i="108"/>
  <c r="BB129" i="108" s="1"/>
  <c r="AY129" i="108"/>
  <c r="BA129" i="108" s="1"/>
  <c r="AX129" i="108"/>
  <c r="AW129" i="108"/>
  <c r="AC129" i="108"/>
  <c r="M129" i="108"/>
  <c r="BC129" i="108" s="1"/>
  <c r="AZ128" i="108"/>
  <c r="BB128" i="108" s="1"/>
  <c r="AY128" i="108"/>
  <c r="BA128" i="108" s="1"/>
  <c r="AX128" i="108"/>
  <c r="AW128" i="108"/>
  <c r="AC128" i="108"/>
  <c r="M128" i="108"/>
  <c r="BC128" i="108" s="1"/>
  <c r="AZ127" i="108"/>
  <c r="BB127" i="108" s="1"/>
  <c r="AY127" i="108"/>
  <c r="BA127" i="108" s="1"/>
  <c r="AX127" i="108"/>
  <c r="AW127" i="108"/>
  <c r="AC127" i="108"/>
  <c r="M127" i="108"/>
  <c r="BC127" i="108" s="1"/>
  <c r="AZ126" i="108"/>
  <c r="BB126" i="108" s="1"/>
  <c r="AY126" i="108"/>
  <c r="BA126" i="108" s="1"/>
  <c r="AX126" i="108"/>
  <c r="AW126" i="108"/>
  <c r="AC126" i="108"/>
  <c r="M126" i="108"/>
  <c r="BC126" i="108" s="1"/>
  <c r="AZ125" i="108"/>
  <c r="BB125" i="108" s="1"/>
  <c r="AY125" i="108"/>
  <c r="BA125" i="108" s="1"/>
  <c r="AX125" i="108"/>
  <c r="AW125" i="108"/>
  <c r="AC125" i="108"/>
  <c r="M125" i="108"/>
  <c r="BC125" i="108" s="1"/>
  <c r="AZ124" i="108"/>
  <c r="BB124" i="108" s="1"/>
  <c r="AY124" i="108"/>
  <c r="BA124" i="108" s="1"/>
  <c r="AX124" i="108"/>
  <c r="AW124" i="108"/>
  <c r="AC124" i="108"/>
  <c r="M124" i="108"/>
  <c r="BC124" i="108" s="1"/>
  <c r="AZ123" i="108"/>
  <c r="BB123" i="108" s="1"/>
  <c r="AY123" i="108"/>
  <c r="BA123" i="108" s="1"/>
  <c r="AX123" i="108"/>
  <c r="AW123" i="108"/>
  <c r="AC123" i="108"/>
  <c r="M123" i="108"/>
  <c r="BC123" i="108" s="1"/>
  <c r="AZ122" i="108"/>
  <c r="BB122" i="108" s="1"/>
  <c r="AY122" i="108"/>
  <c r="BA122" i="108" s="1"/>
  <c r="AX122" i="108"/>
  <c r="AW122" i="108"/>
  <c r="AC122" i="108"/>
  <c r="M122" i="108"/>
  <c r="BC122" i="108" s="1"/>
  <c r="AZ121" i="108"/>
  <c r="BB121" i="108" s="1"/>
  <c r="AY121" i="108"/>
  <c r="BA121" i="108" s="1"/>
  <c r="AX121" i="108"/>
  <c r="AW121" i="108"/>
  <c r="AC121" i="108"/>
  <c r="M121" i="108"/>
  <c r="BC121" i="108" s="1"/>
  <c r="AZ120" i="108"/>
  <c r="BB120" i="108" s="1"/>
  <c r="AY120" i="108"/>
  <c r="BA120" i="108" s="1"/>
  <c r="AX120" i="108"/>
  <c r="AW120" i="108"/>
  <c r="AC120" i="108"/>
  <c r="M120" i="108"/>
  <c r="BC120" i="108" s="1"/>
  <c r="AZ119" i="108"/>
  <c r="BB119" i="108" s="1"/>
  <c r="AY119" i="108"/>
  <c r="BA119" i="108" s="1"/>
  <c r="AX119" i="108"/>
  <c r="AW119" i="108"/>
  <c r="AC119" i="108"/>
  <c r="M119" i="108"/>
  <c r="BC119" i="108" s="1"/>
  <c r="AZ118" i="108"/>
  <c r="BB118" i="108" s="1"/>
  <c r="AY118" i="108"/>
  <c r="BA118" i="108" s="1"/>
  <c r="AX118" i="108"/>
  <c r="AW118" i="108"/>
  <c r="AC118" i="108"/>
  <c r="M118" i="108"/>
  <c r="BC118" i="108" s="1"/>
  <c r="AZ117" i="108"/>
  <c r="BB117" i="108" s="1"/>
  <c r="AY117" i="108"/>
  <c r="BA117" i="108" s="1"/>
  <c r="AX117" i="108"/>
  <c r="AW117" i="108"/>
  <c r="AC117" i="108"/>
  <c r="M117" i="108"/>
  <c r="BC117" i="108" s="1"/>
  <c r="AZ116" i="108"/>
  <c r="BB116" i="108" s="1"/>
  <c r="AY116" i="108"/>
  <c r="BA116" i="108" s="1"/>
  <c r="AX116" i="108"/>
  <c r="AW116" i="108"/>
  <c r="AC116" i="108"/>
  <c r="M116" i="108"/>
  <c r="BC116" i="108" s="1"/>
  <c r="AZ115" i="108"/>
  <c r="BB115" i="108" s="1"/>
  <c r="AY115" i="108"/>
  <c r="BA115" i="108" s="1"/>
  <c r="AX115" i="108"/>
  <c r="AW115" i="108"/>
  <c r="AC115" i="108"/>
  <c r="M115" i="108"/>
  <c r="BC115" i="108" s="1"/>
  <c r="AZ114" i="108"/>
  <c r="BB114" i="108" s="1"/>
  <c r="AY114" i="108"/>
  <c r="BA114" i="108" s="1"/>
  <c r="AX114" i="108"/>
  <c r="AW114" i="108"/>
  <c r="AC114" i="108"/>
  <c r="M114" i="108"/>
  <c r="BC114" i="108" s="1"/>
  <c r="AZ113" i="108"/>
  <c r="BB113" i="108" s="1"/>
  <c r="AY113" i="108"/>
  <c r="BA113" i="108" s="1"/>
  <c r="AX113" i="108"/>
  <c r="AW113" i="108"/>
  <c r="AC113" i="108"/>
  <c r="M113" i="108"/>
  <c r="BC113" i="108" s="1"/>
  <c r="AZ112" i="108"/>
  <c r="BB112" i="108" s="1"/>
  <c r="AY112" i="108"/>
  <c r="BA112" i="108" s="1"/>
  <c r="AX112" i="108"/>
  <c r="AW112" i="108"/>
  <c r="AC112" i="108"/>
  <c r="M112" i="108"/>
  <c r="BC112" i="108" s="1"/>
  <c r="AZ111" i="108"/>
  <c r="BB111" i="108" s="1"/>
  <c r="AY111" i="108"/>
  <c r="BA111" i="108" s="1"/>
  <c r="AX111" i="108"/>
  <c r="AW111" i="108"/>
  <c r="AC111" i="108"/>
  <c r="M111" i="108"/>
  <c r="BC111" i="108" s="1"/>
  <c r="AZ110" i="108"/>
  <c r="BB110" i="108" s="1"/>
  <c r="AY110" i="108"/>
  <c r="BA110" i="108" s="1"/>
  <c r="AX110" i="108"/>
  <c r="AW110" i="108"/>
  <c r="AC110" i="108"/>
  <c r="M110" i="108"/>
  <c r="BC110" i="108" s="1"/>
  <c r="AZ109" i="108"/>
  <c r="BB109" i="108" s="1"/>
  <c r="AY109" i="108"/>
  <c r="BA109" i="108" s="1"/>
  <c r="AX109" i="108"/>
  <c r="AW109" i="108"/>
  <c r="AC109" i="108"/>
  <c r="M109" i="108"/>
  <c r="BC109" i="108" s="1"/>
  <c r="AZ108" i="108"/>
  <c r="BB108" i="108" s="1"/>
  <c r="AY108" i="108"/>
  <c r="BA108" i="108" s="1"/>
  <c r="AX108" i="108"/>
  <c r="AW108" i="108"/>
  <c r="AC108" i="108"/>
  <c r="M108" i="108"/>
  <c r="BC108" i="108" s="1"/>
  <c r="AZ107" i="108"/>
  <c r="BB107" i="108" s="1"/>
  <c r="AY107" i="108"/>
  <c r="BA107" i="108" s="1"/>
  <c r="AX107" i="108"/>
  <c r="AW107" i="108"/>
  <c r="AC107" i="108"/>
  <c r="M107" i="108"/>
  <c r="BC107" i="108" s="1"/>
  <c r="AZ106" i="108"/>
  <c r="BB106" i="108" s="1"/>
  <c r="AY106" i="108"/>
  <c r="BA106" i="108" s="1"/>
  <c r="AX106" i="108"/>
  <c r="AW106" i="108"/>
  <c r="AC106" i="108"/>
  <c r="M106" i="108"/>
  <c r="BC106" i="108" s="1"/>
  <c r="AZ105" i="108"/>
  <c r="BB105" i="108" s="1"/>
  <c r="AY105" i="108"/>
  <c r="BA105" i="108" s="1"/>
  <c r="AX105" i="108"/>
  <c r="AW105" i="108"/>
  <c r="AC105" i="108"/>
  <c r="M105" i="108"/>
  <c r="BC105" i="108" s="1"/>
  <c r="AZ104" i="108"/>
  <c r="BB104" i="108" s="1"/>
  <c r="AY104" i="108"/>
  <c r="BA104" i="108" s="1"/>
  <c r="AX104" i="108"/>
  <c r="AW104" i="108"/>
  <c r="AC104" i="108"/>
  <c r="M104" i="108"/>
  <c r="BC104" i="108" s="1"/>
  <c r="AZ103" i="108"/>
  <c r="BB103" i="108" s="1"/>
  <c r="AY103" i="108"/>
  <c r="BA103" i="108" s="1"/>
  <c r="AX103" i="108"/>
  <c r="AW103" i="108"/>
  <c r="AC103" i="108"/>
  <c r="M103" i="108"/>
  <c r="BC103" i="108" s="1"/>
  <c r="AZ102" i="108"/>
  <c r="BB102" i="108" s="1"/>
  <c r="AY102" i="108"/>
  <c r="BA102" i="108" s="1"/>
  <c r="AX102" i="108"/>
  <c r="AW102" i="108"/>
  <c r="AC102" i="108"/>
  <c r="M102" i="108"/>
  <c r="BC102" i="108" s="1"/>
  <c r="AZ101" i="108"/>
  <c r="BB101" i="108" s="1"/>
  <c r="AY101" i="108"/>
  <c r="BA101" i="108" s="1"/>
  <c r="AX101" i="108"/>
  <c r="AW101" i="108"/>
  <c r="AC101" i="108"/>
  <c r="M101" i="108"/>
  <c r="BC101" i="108" s="1"/>
  <c r="AZ100" i="108"/>
  <c r="BB100" i="108" s="1"/>
  <c r="AY100" i="108"/>
  <c r="BA100" i="108" s="1"/>
  <c r="AX100" i="108"/>
  <c r="AW100" i="108"/>
  <c r="AC100" i="108"/>
  <c r="M100" i="108"/>
  <c r="BC100" i="108" s="1"/>
  <c r="AZ99" i="108"/>
  <c r="BB99" i="108" s="1"/>
  <c r="AY99" i="108"/>
  <c r="BA99" i="108" s="1"/>
  <c r="AX99" i="108"/>
  <c r="AW99" i="108"/>
  <c r="AC99" i="108"/>
  <c r="M99" i="108"/>
  <c r="BC99" i="108" s="1"/>
  <c r="AZ98" i="108"/>
  <c r="BB98" i="108" s="1"/>
  <c r="AY98" i="108"/>
  <c r="BA98" i="108" s="1"/>
  <c r="AX98" i="108"/>
  <c r="AW98" i="108"/>
  <c r="AC98" i="108"/>
  <c r="M98" i="108"/>
  <c r="BC98" i="108" s="1"/>
  <c r="AZ97" i="108"/>
  <c r="BB97" i="108" s="1"/>
  <c r="AY97" i="108"/>
  <c r="BA97" i="108" s="1"/>
  <c r="AX97" i="108"/>
  <c r="AW97" i="108"/>
  <c r="AC97" i="108"/>
  <c r="M97" i="108"/>
  <c r="BC97" i="108" s="1"/>
  <c r="AZ96" i="108"/>
  <c r="BB96" i="108" s="1"/>
  <c r="AY96" i="108"/>
  <c r="BA96" i="108" s="1"/>
  <c r="AX96" i="108"/>
  <c r="AW96" i="108"/>
  <c r="AC96" i="108"/>
  <c r="M96" i="108"/>
  <c r="BC96" i="108" s="1"/>
  <c r="AZ95" i="108"/>
  <c r="BB95" i="108" s="1"/>
  <c r="AY95" i="108"/>
  <c r="BA95" i="108" s="1"/>
  <c r="AX95" i="108"/>
  <c r="AW95" i="108"/>
  <c r="AC95" i="108"/>
  <c r="M95" i="108"/>
  <c r="BC95" i="108" s="1"/>
  <c r="AZ94" i="108"/>
  <c r="BB94" i="108" s="1"/>
  <c r="AY94" i="108"/>
  <c r="BA94" i="108" s="1"/>
  <c r="AX94" i="108"/>
  <c r="AW94" i="108"/>
  <c r="AC94" i="108"/>
  <c r="M94" i="108"/>
  <c r="BC94" i="108" s="1"/>
  <c r="AZ93" i="108"/>
  <c r="BB93" i="108" s="1"/>
  <c r="AY93" i="108"/>
  <c r="BA93" i="108" s="1"/>
  <c r="AX93" i="108"/>
  <c r="AW93" i="108"/>
  <c r="AC93" i="108"/>
  <c r="M93" i="108"/>
  <c r="BC93" i="108" s="1"/>
  <c r="AZ92" i="108"/>
  <c r="BB92" i="108" s="1"/>
  <c r="AY92" i="108"/>
  <c r="BA92" i="108" s="1"/>
  <c r="AX92" i="108"/>
  <c r="AW92" i="108"/>
  <c r="AC92" i="108"/>
  <c r="M92" i="108"/>
  <c r="BC92" i="108" s="1"/>
  <c r="AZ91" i="108"/>
  <c r="BB91" i="108" s="1"/>
  <c r="AY91" i="108"/>
  <c r="BA91" i="108" s="1"/>
  <c r="AX91" i="108"/>
  <c r="AW91" i="108"/>
  <c r="AC91" i="108"/>
  <c r="M91" i="108"/>
  <c r="BC91" i="108" s="1"/>
  <c r="AZ90" i="108"/>
  <c r="BB90" i="108" s="1"/>
  <c r="AY90" i="108"/>
  <c r="BA90" i="108" s="1"/>
  <c r="AX90" i="108"/>
  <c r="AW90" i="108"/>
  <c r="AC90" i="108"/>
  <c r="M90" i="108"/>
  <c r="BC90" i="108" s="1"/>
  <c r="AZ89" i="108"/>
  <c r="BB89" i="108" s="1"/>
  <c r="AY89" i="108"/>
  <c r="BA89" i="108" s="1"/>
  <c r="AX89" i="108"/>
  <c r="AW89" i="108"/>
  <c r="AC89" i="108"/>
  <c r="M89" i="108"/>
  <c r="BC89" i="108" s="1"/>
  <c r="AZ88" i="108"/>
  <c r="BB88" i="108" s="1"/>
  <c r="AY88" i="108"/>
  <c r="BA88" i="108" s="1"/>
  <c r="AX88" i="108"/>
  <c r="AW88" i="108"/>
  <c r="AC88" i="108"/>
  <c r="M88" i="108"/>
  <c r="BC88" i="108" s="1"/>
  <c r="AZ87" i="108"/>
  <c r="BB87" i="108" s="1"/>
  <c r="AY87" i="108"/>
  <c r="BA87" i="108" s="1"/>
  <c r="AX87" i="108"/>
  <c r="AW87" i="108"/>
  <c r="AC87" i="108"/>
  <c r="M87" i="108"/>
  <c r="BC87" i="108" s="1"/>
  <c r="AZ86" i="108"/>
  <c r="BB86" i="108" s="1"/>
  <c r="AY86" i="108"/>
  <c r="BA86" i="108" s="1"/>
  <c r="AX86" i="108"/>
  <c r="AW86" i="108"/>
  <c r="AC86" i="108"/>
  <c r="M86" i="108"/>
  <c r="BC86" i="108" s="1"/>
  <c r="AZ85" i="108"/>
  <c r="BB85" i="108" s="1"/>
  <c r="AY85" i="108"/>
  <c r="BA85" i="108" s="1"/>
  <c r="AX85" i="108"/>
  <c r="AW85" i="108"/>
  <c r="AC85" i="108"/>
  <c r="M85" i="108"/>
  <c r="BC85" i="108" s="1"/>
  <c r="AZ84" i="108"/>
  <c r="BB84" i="108" s="1"/>
  <c r="AY84" i="108"/>
  <c r="BA84" i="108" s="1"/>
  <c r="AX84" i="108"/>
  <c r="AW84" i="108"/>
  <c r="AC84" i="108"/>
  <c r="M84" i="108"/>
  <c r="BC84" i="108" s="1"/>
  <c r="AZ83" i="108"/>
  <c r="BB83" i="108" s="1"/>
  <c r="AY83" i="108"/>
  <c r="BA83" i="108" s="1"/>
  <c r="AX83" i="108"/>
  <c r="AW83" i="108"/>
  <c r="AC83" i="108"/>
  <c r="M83" i="108"/>
  <c r="BC83" i="108" s="1"/>
  <c r="AZ82" i="108"/>
  <c r="BB82" i="108" s="1"/>
  <c r="AY82" i="108"/>
  <c r="BA82" i="108" s="1"/>
  <c r="AX82" i="108"/>
  <c r="AW82" i="108"/>
  <c r="AC82" i="108"/>
  <c r="M82" i="108"/>
  <c r="BC82" i="108" s="1"/>
  <c r="AZ81" i="108"/>
  <c r="BB81" i="108" s="1"/>
  <c r="AY81" i="108"/>
  <c r="BA81" i="108" s="1"/>
  <c r="AX81" i="108"/>
  <c r="AW81" i="108"/>
  <c r="AC81" i="108"/>
  <c r="M81" i="108"/>
  <c r="BC81" i="108" s="1"/>
  <c r="AZ80" i="108"/>
  <c r="BB80" i="108" s="1"/>
  <c r="AY80" i="108"/>
  <c r="BA80" i="108" s="1"/>
  <c r="AX80" i="108"/>
  <c r="AW80" i="108"/>
  <c r="AC80" i="108"/>
  <c r="M80" i="108"/>
  <c r="BC80" i="108" s="1"/>
  <c r="AZ79" i="108"/>
  <c r="BB79" i="108" s="1"/>
  <c r="AY79" i="108"/>
  <c r="BA79" i="108" s="1"/>
  <c r="AX79" i="108"/>
  <c r="AW79" i="108"/>
  <c r="AC79" i="108"/>
  <c r="M79" i="108"/>
  <c r="BC79" i="108" s="1"/>
  <c r="AZ78" i="108"/>
  <c r="BB78" i="108" s="1"/>
  <c r="AY78" i="108"/>
  <c r="BA78" i="108" s="1"/>
  <c r="AX78" i="108"/>
  <c r="AW78" i="108"/>
  <c r="AC78" i="108"/>
  <c r="M78" i="108"/>
  <c r="BC78" i="108" s="1"/>
  <c r="AZ77" i="108"/>
  <c r="BB77" i="108" s="1"/>
  <c r="AY77" i="108"/>
  <c r="BA77" i="108" s="1"/>
  <c r="AX77" i="108"/>
  <c r="AW77" i="108"/>
  <c r="AC77" i="108"/>
  <c r="M77" i="108"/>
  <c r="BC77" i="108" s="1"/>
  <c r="AZ76" i="108"/>
  <c r="BB76" i="108" s="1"/>
  <c r="AY76" i="108"/>
  <c r="BA76" i="108" s="1"/>
  <c r="AX76" i="108"/>
  <c r="AW76" i="108"/>
  <c r="AC76" i="108"/>
  <c r="M76" i="108"/>
  <c r="BC76" i="108" s="1"/>
  <c r="AZ75" i="108"/>
  <c r="BB75" i="108" s="1"/>
  <c r="AY75" i="108"/>
  <c r="BA75" i="108" s="1"/>
  <c r="AX75" i="108"/>
  <c r="AW75" i="108"/>
  <c r="AC75" i="108"/>
  <c r="M75" i="108"/>
  <c r="BC75" i="108" s="1"/>
  <c r="AZ74" i="108"/>
  <c r="BB74" i="108" s="1"/>
  <c r="AY74" i="108"/>
  <c r="BA74" i="108" s="1"/>
  <c r="AX74" i="108"/>
  <c r="AW74" i="108"/>
  <c r="AC74" i="108"/>
  <c r="M74" i="108"/>
  <c r="BC74" i="108" s="1"/>
  <c r="AZ73" i="108"/>
  <c r="BB73" i="108" s="1"/>
  <c r="AY73" i="108"/>
  <c r="BA73" i="108" s="1"/>
  <c r="AX73" i="108"/>
  <c r="AW73" i="108"/>
  <c r="AC73" i="108"/>
  <c r="M73" i="108"/>
  <c r="BC73" i="108" s="1"/>
  <c r="AZ72" i="108"/>
  <c r="BB72" i="108" s="1"/>
  <c r="AY72" i="108"/>
  <c r="BA72" i="108" s="1"/>
  <c r="AX72" i="108"/>
  <c r="AW72" i="108"/>
  <c r="AC72" i="108"/>
  <c r="M72" i="108"/>
  <c r="BC72" i="108" s="1"/>
  <c r="AZ71" i="108"/>
  <c r="BB71" i="108" s="1"/>
  <c r="AY71" i="108"/>
  <c r="BA71" i="108" s="1"/>
  <c r="AX71" i="108"/>
  <c r="AW71" i="108"/>
  <c r="AC71" i="108"/>
  <c r="M71" i="108"/>
  <c r="BC71" i="108" s="1"/>
  <c r="AZ70" i="108"/>
  <c r="BB70" i="108" s="1"/>
  <c r="AY70" i="108"/>
  <c r="BA70" i="108" s="1"/>
  <c r="AX70" i="108"/>
  <c r="AW70" i="108"/>
  <c r="AC70" i="108"/>
  <c r="M70" i="108"/>
  <c r="BC70" i="108" s="1"/>
  <c r="AZ69" i="108"/>
  <c r="BB69" i="108" s="1"/>
  <c r="AY69" i="108"/>
  <c r="BA69" i="108" s="1"/>
  <c r="AX69" i="108"/>
  <c r="AW69" i="108"/>
  <c r="AC69" i="108"/>
  <c r="M69" i="108"/>
  <c r="BC69" i="108" s="1"/>
  <c r="AZ68" i="108"/>
  <c r="BB68" i="108" s="1"/>
  <c r="AY68" i="108"/>
  <c r="BA68" i="108" s="1"/>
  <c r="AX68" i="108"/>
  <c r="AW68" i="108"/>
  <c r="AC68" i="108"/>
  <c r="M68" i="108"/>
  <c r="BC68" i="108" s="1"/>
  <c r="AZ67" i="108"/>
  <c r="BB67" i="108" s="1"/>
  <c r="AY67" i="108"/>
  <c r="BA67" i="108" s="1"/>
  <c r="AX67" i="108"/>
  <c r="AW67" i="108"/>
  <c r="AC67" i="108"/>
  <c r="M67" i="108"/>
  <c r="BC67" i="108" s="1"/>
  <c r="AZ66" i="108"/>
  <c r="BB66" i="108" s="1"/>
  <c r="AY66" i="108"/>
  <c r="BA66" i="108" s="1"/>
  <c r="AX66" i="108"/>
  <c r="AW66" i="108"/>
  <c r="AC66" i="108"/>
  <c r="M66" i="108"/>
  <c r="BC66" i="108" s="1"/>
  <c r="AZ65" i="108"/>
  <c r="BB65" i="108" s="1"/>
  <c r="AY65" i="108"/>
  <c r="BA65" i="108" s="1"/>
  <c r="AX65" i="108"/>
  <c r="AW65" i="108"/>
  <c r="AC65" i="108"/>
  <c r="M65" i="108"/>
  <c r="BC65" i="108" s="1"/>
  <c r="AZ64" i="108"/>
  <c r="BB64" i="108" s="1"/>
  <c r="AY64" i="108"/>
  <c r="BA64" i="108" s="1"/>
  <c r="AX64" i="108"/>
  <c r="AW64" i="108"/>
  <c r="AC64" i="108"/>
  <c r="M64" i="108"/>
  <c r="BC64" i="108" s="1"/>
  <c r="AZ63" i="108"/>
  <c r="BB63" i="108" s="1"/>
  <c r="AY63" i="108"/>
  <c r="BA63" i="108" s="1"/>
  <c r="AX63" i="108"/>
  <c r="AW63" i="108"/>
  <c r="AC63" i="108"/>
  <c r="M63" i="108"/>
  <c r="BC63" i="108" s="1"/>
  <c r="BA62" i="108"/>
  <c r="BB62" i="108"/>
  <c r="M62" i="108"/>
  <c r="BC62" i="108" s="1"/>
  <c r="BB61" i="108"/>
  <c r="BA61" i="108"/>
  <c r="M61" i="108"/>
  <c r="BC61" i="108" s="1"/>
  <c r="BB60" i="108"/>
  <c r="BA60" i="108"/>
  <c r="M60" i="108"/>
  <c r="BC60" i="108" s="1"/>
  <c r="BB59" i="108"/>
  <c r="BA59" i="108"/>
  <c r="M59" i="108"/>
  <c r="BC59" i="108" s="1"/>
  <c r="BB58" i="108"/>
  <c r="BA58" i="108"/>
  <c r="M58" i="108"/>
  <c r="BC58" i="108" s="1"/>
  <c r="BB57" i="108"/>
  <c r="BA57" i="108"/>
  <c r="M57" i="108"/>
  <c r="BC57" i="108" s="1"/>
  <c r="BB56" i="108"/>
  <c r="BA56" i="108"/>
  <c r="M56" i="108"/>
  <c r="BC56" i="108" s="1"/>
  <c r="BB55" i="108"/>
  <c r="BA55" i="108"/>
  <c r="M55" i="108"/>
  <c r="BC55" i="108" s="1"/>
  <c r="BB54" i="108"/>
  <c r="BA54" i="108"/>
  <c r="M54" i="108"/>
  <c r="BC54" i="108" s="1"/>
  <c r="BB53" i="108"/>
  <c r="BA53" i="108"/>
  <c r="M53" i="108"/>
  <c r="BC53" i="108" s="1"/>
  <c r="BB52" i="108"/>
  <c r="BA52" i="108"/>
  <c r="M52" i="108"/>
  <c r="BC52" i="108" s="1"/>
  <c r="BB51" i="108"/>
  <c r="BA51" i="108"/>
  <c r="M51" i="108"/>
  <c r="BC51" i="108" s="1"/>
  <c r="BB50" i="108"/>
  <c r="BA50" i="108"/>
  <c r="M50" i="108"/>
  <c r="BC50" i="108" s="1"/>
  <c r="BB49" i="108"/>
  <c r="BA49" i="108"/>
  <c r="M49" i="108"/>
  <c r="BC49" i="108" s="1"/>
  <c r="BA48" i="108"/>
  <c r="BB48" i="108"/>
  <c r="M48" i="108"/>
  <c r="BC48" i="108" s="1"/>
  <c r="BB47" i="108"/>
  <c r="BA47" i="108"/>
  <c r="M47" i="108"/>
  <c r="BC47" i="108" s="1"/>
  <c r="BB46" i="108"/>
  <c r="BA46" i="108"/>
  <c r="M46" i="108"/>
  <c r="BC46" i="108" s="1"/>
  <c r="BB45" i="108"/>
  <c r="BA45" i="108"/>
  <c r="M45" i="108"/>
  <c r="BC45" i="108" s="1"/>
  <c r="BB44" i="108"/>
  <c r="BA44" i="108"/>
  <c r="M44" i="108"/>
  <c r="BC44" i="108" s="1"/>
  <c r="BB43" i="108"/>
  <c r="BA43" i="108"/>
  <c r="M43" i="108"/>
  <c r="BC43" i="108" s="1"/>
  <c r="BB42" i="108"/>
  <c r="BA42" i="108"/>
  <c r="M42" i="108"/>
  <c r="BC42" i="108" s="1"/>
  <c r="BB41" i="108"/>
  <c r="BA41" i="108"/>
  <c r="M41" i="108"/>
  <c r="BC41" i="108" s="1"/>
  <c r="BB40" i="108"/>
  <c r="BA40" i="108"/>
  <c r="M40" i="108"/>
  <c r="BC40" i="108" s="1"/>
  <c r="BB39" i="108"/>
  <c r="BA39" i="108"/>
  <c r="M39" i="108"/>
  <c r="BC39" i="108" s="1"/>
  <c r="BA38" i="108"/>
  <c r="BB38" i="108"/>
  <c r="M38" i="108"/>
  <c r="BC38" i="108" s="1"/>
  <c r="BB37" i="108"/>
  <c r="BA37" i="108"/>
  <c r="M37" i="108"/>
  <c r="BC37" i="108" s="1"/>
  <c r="BB36" i="108"/>
  <c r="BA36" i="108"/>
  <c r="M36" i="108"/>
  <c r="BC36" i="108" s="1"/>
  <c r="BB35" i="108"/>
  <c r="BA35" i="108"/>
  <c r="M35" i="108"/>
  <c r="BC35" i="108" s="1"/>
  <c r="BA34" i="108"/>
  <c r="BB34" i="108"/>
  <c r="M34" i="108"/>
  <c r="BC34" i="108" s="1"/>
  <c r="BB33" i="108"/>
  <c r="BA33" i="108"/>
  <c r="M33" i="108"/>
  <c r="BC33" i="108" s="1"/>
  <c r="BB32" i="108"/>
  <c r="BA31" i="108"/>
  <c r="M31" i="108"/>
  <c r="BC31" i="108" s="1"/>
  <c r="BB30" i="108"/>
  <c r="BB29" i="108"/>
  <c r="BA29" i="108"/>
  <c r="M29" i="108"/>
  <c r="BC29" i="108" s="1"/>
  <c r="BB28" i="108"/>
  <c r="BB27" i="108"/>
  <c r="BA27" i="108"/>
  <c r="M27" i="108"/>
  <c r="BC27" i="108" s="1"/>
  <c r="BB26" i="108"/>
  <c r="BA25" i="108"/>
  <c r="M25" i="108"/>
  <c r="BC25" i="108" s="1"/>
  <c r="BB24" i="108"/>
  <c r="BA24" i="108"/>
  <c r="M24" i="108"/>
  <c r="BC24" i="108" s="1"/>
  <c r="BB23" i="108"/>
  <c r="BA23" i="108"/>
  <c r="M23" i="108"/>
  <c r="BC23" i="108" s="1"/>
  <c r="BB22" i="108"/>
  <c r="BA22" i="108"/>
  <c r="M22" i="108"/>
  <c r="BC22" i="108" s="1"/>
  <c r="BB21" i="108"/>
  <c r="BA21" i="108"/>
  <c r="M21" i="108"/>
  <c r="BC21" i="108" s="1"/>
  <c r="BB20" i="108"/>
  <c r="BA20" i="108"/>
  <c r="M20" i="108"/>
  <c r="BC20" i="108" s="1"/>
  <c r="BA19" i="108"/>
  <c r="BB19" i="108"/>
  <c r="M19" i="108"/>
  <c r="BC19" i="108" s="1"/>
  <c r="AZ18" i="108"/>
  <c r="BB18" i="108" s="1"/>
  <c r="AY18" i="108"/>
  <c r="BA18" i="108" s="1"/>
  <c r="M18" i="108"/>
  <c r="BC18" i="108" s="1"/>
  <c r="BB17" i="108"/>
  <c r="BA17" i="108"/>
  <c r="M17" i="108"/>
  <c r="BC17" i="108" s="1"/>
  <c r="BA16" i="108"/>
  <c r="BB16" i="108"/>
  <c r="M16" i="108"/>
  <c r="BC16" i="108" s="1"/>
  <c r="BB15" i="108"/>
  <c r="BA15" i="108"/>
  <c r="M15" i="108"/>
  <c r="BC15" i="108" s="1"/>
  <c r="BB14" i="108"/>
  <c r="BA14" i="108"/>
  <c r="M14" i="108"/>
  <c r="BC14" i="108" s="1"/>
  <c r="BB13" i="108"/>
  <c r="BA13" i="108"/>
  <c r="M13" i="108"/>
  <c r="BC13" i="108" s="1"/>
  <c r="BB12" i="108"/>
  <c r="BA12" i="108"/>
  <c r="M12" i="108"/>
  <c r="BC12" i="108" s="1"/>
  <c r="BB11" i="108"/>
  <c r="BA11" i="108"/>
  <c r="M11" i="108"/>
  <c r="BC11" i="108" s="1"/>
  <c r="BB10" i="108"/>
  <c r="BA10" i="108"/>
  <c r="M10" i="108"/>
  <c r="BC10" i="108" s="1"/>
  <c r="BB9" i="108"/>
  <c r="BA9" i="108"/>
  <c r="M9" i="108"/>
  <c r="BC9" i="108" s="1"/>
  <c r="BB8" i="108"/>
  <c r="BA8" i="108"/>
  <c r="M8" i="108"/>
  <c r="BC8" i="108" s="1"/>
  <c r="BB7" i="108"/>
  <c r="BA7" i="108"/>
  <c r="AC7" i="108"/>
  <c r="M7" i="108"/>
  <c r="BC7" i="108" s="1"/>
  <c r="BA6" i="108"/>
  <c r="BB6" i="108"/>
  <c r="AC6" i="108"/>
  <c r="M6" i="108"/>
  <c r="BC6" i="108" s="1"/>
  <c r="AZ800" i="21400"/>
  <c r="BB800" i="21400" s="1"/>
  <c r="AY800" i="21400"/>
  <c r="BA800" i="21400" s="1"/>
  <c r="AX800" i="21400"/>
  <c r="AW800" i="21400"/>
  <c r="AC800" i="21400"/>
  <c r="M800" i="21400"/>
  <c r="BC800" i="21400" s="1"/>
  <c r="AZ799" i="21400"/>
  <c r="BB799" i="21400" s="1"/>
  <c r="AY799" i="21400"/>
  <c r="BA799" i="21400" s="1"/>
  <c r="AX799" i="21400"/>
  <c r="AW799" i="21400"/>
  <c r="AC799" i="21400"/>
  <c r="M799" i="21400"/>
  <c r="BC799" i="21400" s="1"/>
  <c r="AZ798" i="21400"/>
  <c r="BB798" i="21400" s="1"/>
  <c r="AY798" i="21400"/>
  <c r="BA798" i="21400" s="1"/>
  <c r="AX798" i="21400"/>
  <c r="AW798" i="21400"/>
  <c r="AC798" i="21400"/>
  <c r="M798" i="21400"/>
  <c r="BC798" i="21400" s="1"/>
  <c r="AZ797" i="21400"/>
  <c r="BB797" i="21400" s="1"/>
  <c r="AY797" i="21400"/>
  <c r="BA797" i="21400" s="1"/>
  <c r="AX797" i="21400"/>
  <c r="AW797" i="21400"/>
  <c r="AC797" i="21400"/>
  <c r="M797" i="21400"/>
  <c r="BC797" i="21400" s="1"/>
  <c r="AZ796" i="21400"/>
  <c r="BB796" i="21400" s="1"/>
  <c r="AY796" i="21400"/>
  <c r="BA796" i="21400" s="1"/>
  <c r="AX796" i="21400"/>
  <c r="AW796" i="21400"/>
  <c r="AC796" i="21400"/>
  <c r="M796" i="21400"/>
  <c r="BC796" i="21400" s="1"/>
  <c r="AZ795" i="21400"/>
  <c r="BB795" i="21400" s="1"/>
  <c r="AY795" i="21400"/>
  <c r="BA795" i="21400" s="1"/>
  <c r="AX795" i="21400"/>
  <c r="AW795" i="21400"/>
  <c r="AC795" i="21400"/>
  <c r="M795" i="21400"/>
  <c r="BC795" i="21400" s="1"/>
  <c r="AZ794" i="21400"/>
  <c r="BB794" i="21400" s="1"/>
  <c r="AY794" i="21400"/>
  <c r="BA794" i="21400" s="1"/>
  <c r="AX794" i="21400"/>
  <c r="AW794" i="21400"/>
  <c r="AC794" i="21400"/>
  <c r="M794" i="21400"/>
  <c r="BC794" i="21400" s="1"/>
  <c r="AZ793" i="21400"/>
  <c r="BB793" i="21400" s="1"/>
  <c r="AY793" i="21400"/>
  <c r="BA793" i="21400" s="1"/>
  <c r="AX793" i="21400"/>
  <c r="AW793" i="21400"/>
  <c r="AC793" i="21400"/>
  <c r="M793" i="21400"/>
  <c r="BC793" i="21400" s="1"/>
  <c r="AZ792" i="21400"/>
  <c r="BB792" i="21400" s="1"/>
  <c r="AY792" i="21400"/>
  <c r="BA792" i="21400" s="1"/>
  <c r="AX792" i="21400"/>
  <c r="AW792" i="21400"/>
  <c r="AC792" i="21400"/>
  <c r="M792" i="21400"/>
  <c r="BC792" i="21400" s="1"/>
  <c r="AZ791" i="21400"/>
  <c r="BB791" i="21400" s="1"/>
  <c r="AY791" i="21400"/>
  <c r="BA791" i="21400" s="1"/>
  <c r="AX791" i="21400"/>
  <c r="AW791" i="21400"/>
  <c r="AC791" i="21400"/>
  <c r="M791" i="21400"/>
  <c r="BC791" i="21400" s="1"/>
  <c r="AZ790" i="21400"/>
  <c r="BB790" i="21400" s="1"/>
  <c r="AY790" i="21400"/>
  <c r="BA790" i="21400" s="1"/>
  <c r="AX790" i="21400"/>
  <c r="AW790" i="21400"/>
  <c r="AC790" i="21400"/>
  <c r="M790" i="21400"/>
  <c r="BC790" i="21400" s="1"/>
  <c r="AZ789" i="21400"/>
  <c r="BB789" i="21400" s="1"/>
  <c r="AY789" i="21400"/>
  <c r="BA789" i="21400" s="1"/>
  <c r="AX789" i="21400"/>
  <c r="AW789" i="21400"/>
  <c r="AC789" i="21400"/>
  <c r="M789" i="21400"/>
  <c r="BC789" i="21400" s="1"/>
  <c r="AZ788" i="21400"/>
  <c r="BB788" i="21400" s="1"/>
  <c r="AY788" i="21400"/>
  <c r="BA788" i="21400" s="1"/>
  <c r="AX788" i="21400"/>
  <c r="AW788" i="21400"/>
  <c r="AC788" i="21400"/>
  <c r="M788" i="21400"/>
  <c r="BC788" i="21400" s="1"/>
  <c r="AZ787" i="21400"/>
  <c r="BB787" i="21400" s="1"/>
  <c r="AY787" i="21400"/>
  <c r="BA787" i="21400" s="1"/>
  <c r="AX787" i="21400"/>
  <c r="AW787" i="21400"/>
  <c r="AC787" i="21400"/>
  <c r="M787" i="21400"/>
  <c r="BC787" i="21400" s="1"/>
  <c r="AZ786" i="21400"/>
  <c r="BB786" i="21400" s="1"/>
  <c r="AY786" i="21400"/>
  <c r="BA786" i="21400" s="1"/>
  <c r="AX786" i="21400"/>
  <c r="AW786" i="21400"/>
  <c r="AC786" i="21400"/>
  <c r="M786" i="21400"/>
  <c r="BC786" i="21400" s="1"/>
  <c r="AZ785" i="21400"/>
  <c r="BB785" i="21400" s="1"/>
  <c r="AY785" i="21400"/>
  <c r="BA785" i="21400" s="1"/>
  <c r="AX785" i="21400"/>
  <c r="AW785" i="21400"/>
  <c r="AC785" i="21400"/>
  <c r="M785" i="21400"/>
  <c r="BC785" i="21400" s="1"/>
  <c r="AZ784" i="21400"/>
  <c r="BB784" i="21400" s="1"/>
  <c r="AY784" i="21400"/>
  <c r="BA784" i="21400" s="1"/>
  <c r="AX784" i="21400"/>
  <c r="AW784" i="21400"/>
  <c r="AC784" i="21400"/>
  <c r="M784" i="21400"/>
  <c r="BC784" i="21400" s="1"/>
  <c r="AZ783" i="21400"/>
  <c r="BB783" i="21400" s="1"/>
  <c r="AY783" i="21400"/>
  <c r="BA783" i="21400" s="1"/>
  <c r="AX783" i="21400"/>
  <c r="AW783" i="21400"/>
  <c r="AC783" i="21400"/>
  <c r="M783" i="21400"/>
  <c r="BC783" i="21400" s="1"/>
  <c r="AZ782" i="21400"/>
  <c r="BB782" i="21400" s="1"/>
  <c r="AY782" i="21400"/>
  <c r="BA782" i="21400" s="1"/>
  <c r="AX782" i="21400"/>
  <c r="AW782" i="21400"/>
  <c r="AC782" i="21400"/>
  <c r="M782" i="21400"/>
  <c r="BC782" i="21400" s="1"/>
  <c r="AZ781" i="21400"/>
  <c r="BB781" i="21400" s="1"/>
  <c r="AY781" i="21400"/>
  <c r="BA781" i="21400" s="1"/>
  <c r="AX781" i="21400"/>
  <c r="AW781" i="21400"/>
  <c r="AC781" i="21400"/>
  <c r="M781" i="21400"/>
  <c r="BC781" i="21400" s="1"/>
  <c r="AZ780" i="21400"/>
  <c r="BB780" i="21400" s="1"/>
  <c r="AY780" i="21400"/>
  <c r="BA780" i="21400" s="1"/>
  <c r="AX780" i="21400"/>
  <c r="AW780" i="21400"/>
  <c r="AC780" i="21400"/>
  <c r="M780" i="21400"/>
  <c r="BC780" i="21400" s="1"/>
  <c r="AZ779" i="21400"/>
  <c r="BB779" i="21400" s="1"/>
  <c r="AY779" i="21400"/>
  <c r="BA779" i="21400" s="1"/>
  <c r="AX779" i="21400"/>
  <c r="AW779" i="21400"/>
  <c r="AC779" i="21400"/>
  <c r="M779" i="21400"/>
  <c r="BC779" i="21400" s="1"/>
  <c r="AZ778" i="21400"/>
  <c r="BB778" i="21400" s="1"/>
  <c r="AY778" i="21400"/>
  <c r="BA778" i="21400" s="1"/>
  <c r="AX778" i="21400"/>
  <c r="AW778" i="21400"/>
  <c r="AC778" i="21400"/>
  <c r="M778" i="21400"/>
  <c r="BC778" i="21400" s="1"/>
  <c r="AZ777" i="21400"/>
  <c r="BB777" i="21400" s="1"/>
  <c r="AY777" i="21400"/>
  <c r="BA777" i="21400" s="1"/>
  <c r="AX777" i="21400"/>
  <c r="AW777" i="21400"/>
  <c r="AC777" i="21400"/>
  <c r="M777" i="21400"/>
  <c r="BC777" i="21400" s="1"/>
  <c r="AZ776" i="21400"/>
  <c r="BB776" i="21400" s="1"/>
  <c r="AY776" i="21400"/>
  <c r="BA776" i="21400" s="1"/>
  <c r="AX776" i="21400"/>
  <c r="AW776" i="21400"/>
  <c r="AC776" i="21400"/>
  <c r="M776" i="21400"/>
  <c r="BC776" i="21400" s="1"/>
  <c r="AZ775" i="21400"/>
  <c r="BB775" i="21400" s="1"/>
  <c r="AY775" i="21400"/>
  <c r="BA775" i="21400" s="1"/>
  <c r="AX775" i="21400"/>
  <c r="AW775" i="21400"/>
  <c r="AC775" i="21400"/>
  <c r="M775" i="21400"/>
  <c r="BC775" i="21400" s="1"/>
  <c r="AZ774" i="21400"/>
  <c r="BB774" i="21400" s="1"/>
  <c r="AY774" i="21400"/>
  <c r="BA774" i="21400" s="1"/>
  <c r="AX774" i="21400"/>
  <c r="AW774" i="21400"/>
  <c r="AC774" i="21400"/>
  <c r="M774" i="21400"/>
  <c r="BC774" i="21400" s="1"/>
  <c r="AZ773" i="21400"/>
  <c r="BB773" i="21400" s="1"/>
  <c r="AY773" i="21400"/>
  <c r="BA773" i="21400" s="1"/>
  <c r="AX773" i="21400"/>
  <c r="AW773" i="21400"/>
  <c r="AC773" i="21400"/>
  <c r="M773" i="21400"/>
  <c r="BC773" i="21400" s="1"/>
  <c r="AZ772" i="21400"/>
  <c r="BB772" i="21400" s="1"/>
  <c r="AY772" i="21400"/>
  <c r="BA772" i="21400" s="1"/>
  <c r="AX772" i="21400"/>
  <c r="AW772" i="21400"/>
  <c r="AC772" i="21400"/>
  <c r="M772" i="21400"/>
  <c r="BC772" i="21400" s="1"/>
  <c r="AZ771" i="21400"/>
  <c r="BB771" i="21400" s="1"/>
  <c r="AY771" i="21400"/>
  <c r="BA771" i="21400" s="1"/>
  <c r="AX771" i="21400"/>
  <c r="AW771" i="21400"/>
  <c r="AC771" i="21400"/>
  <c r="M771" i="21400"/>
  <c r="BC771" i="21400" s="1"/>
  <c r="AZ770" i="21400"/>
  <c r="BB770" i="21400" s="1"/>
  <c r="AY770" i="21400"/>
  <c r="BA770" i="21400" s="1"/>
  <c r="AX770" i="21400"/>
  <c r="AW770" i="21400"/>
  <c r="AC770" i="21400"/>
  <c r="M770" i="21400"/>
  <c r="BC770" i="21400" s="1"/>
  <c r="AZ769" i="21400"/>
  <c r="BB769" i="21400" s="1"/>
  <c r="AY769" i="21400"/>
  <c r="BA769" i="21400" s="1"/>
  <c r="AX769" i="21400"/>
  <c r="AW769" i="21400"/>
  <c r="AC769" i="21400"/>
  <c r="M769" i="21400"/>
  <c r="BC769" i="21400" s="1"/>
  <c r="AZ768" i="21400"/>
  <c r="BB768" i="21400" s="1"/>
  <c r="AY768" i="21400"/>
  <c r="BA768" i="21400" s="1"/>
  <c r="AX768" i="21400"/>
  <c r="AW768" i="21400"/>
  <c r="AC768" i="21400"/>
  <c r="M768" i="21400"/>
  <c r="BC768" i="21400" s="1"/>
  <c r="AZ767" i="21400"/>
  <c r="BB767" i="21400" s="1"/>
  <c r="AY767" i="21400"/>
  <c r="BA767" i="21400" s="1"/>
  <c r="AX767" i="21400"/>
  <c r="AW767" i="21400"/>
  <c r="AC767" i="21400"/>
  <c r="M767" i="21400"/>
  <c r="BC767" i="21400" s="1"/>
  <c r="AZ766" i="21400"/>
  <c r="BB766" i="21400" s="1"/>
  <c r="AY766" i="21400"/>
  <c r="BA766" i="21400" s="1"/>
  <c r="AX766" i="21400"/>
  <c r="AW766" i="21400"/>
  <c r="AC766" i="21400"/>
  <c r="M766" i="21400"/>
  <c r="BC766" i="21400" s="1"/>
  <c r="AZ765" i="21400"/>
  <c r="BB765" i="21400" s="1"/>
  <c r="AY765" i="21400"/>
  <c r="BA765" i="21400" s="1"/>
  <c r="AX765" i="21400"/>
  <c r="AW765" i="21400"/>
  <c r="AC765" i="21400"/>
  <c r="M765" i="21400"/>
  <c r="BC765" i="21400" s="1"/>
  <c r="AZ764" i="21400"/>
  <c r="BB764" i="21400" s="1"/>
  <c r="AY764" i="21400"/>
  <c r="BA764" i="21400" s="1"/>
  <c r="AX764" i="21400"/>
  <c r="AW764" i="21400"/>
  <c r="AC764" i="21400"/>
  <c r="M764" i="21400"/>
  <c r="BC764" i="21400" s="1"/>
  <c r="AZ763" i="21400"/>
  <c r="BB763" i="21400" s="1"/>
  <c r="AY763" i="21400"/>
  <c r="BA763" i="21400" s="1"/>
  <c r="AX763" i="21400"/>
  <c r="AW763" i="21400"/>
  <c r="AC763" i="21400"/>
  <c r="M763" i="21400"/>
  <c r="BC763" i="21400" s="1"/>
  <c r="AZ762" i="21400"/>
  <c r="BB762" i="21400" s="1"/>
  <c r="AY762" i="21400"/>
  <c r="BA762" i="21400" s="1"/>
  <c r="AX762" i="21400"/>
  <c r="AW762" i="21400"/>
  <c r="AC762" i="21400"/>
  <c r="M762" i="21400"/>
  <c r="BC762" i="21400" s="1"/>
  <c r="AZ761" i="21400"/>
  <c r="BB761" i="21400" s="1"/>
  <c r="AY761" i="21400"/>
  <c r="BA761" i="21400" s="1"/>
  <c r="AX761" i="21400"/>
  <c r="AW761" i="21400"/>
  <c r="AC761" i="21400"/>
  <c r="M761" i="21400"/>
  <c r="BC761" i="21400" s="1"/>
  <c r="AZ760" i="21400"/>
  <c r="BB760" i="21400" s="1"/>
  <c r="AY760" i="21400"/>
  <c r="BA760" i="21400" s="1"/>
  <c r="AX760" i="21400"/>
  <c r="AW760" i="21400"/>
  <c r="AC760" i="21400"/>
  <c r="M760" i="21400"/>
  <c r="BC760" i="21400" s="1"/>
  <c r="AZ759" i="21400"/>
  <c r="BB759" i="21400" s="1"/>
  <c r="AY759" i="21400"/>
  <c r="BA759" i="21400" s="1"/>
  <c r="AX759" i="21400"/>
  <c r="AW759" i="21400"/>
  <c r="AC759" i="21400"/>
  <c r="M759" i="21400"/>
  <c r="BC759" i="21400" s="1"/>
  <c r="AZ758" i="21400"/>
  <c r="BB758" i="21400" s="1"/>
  <c r="AY758" i="21400"/>
  <c r="BA758" i="21400" s="1"/>
  <c r="AX758" i="21400"/>
  <c r="AW758" i="21400"/>
  <c r="AC758" i="21400"/>
  <c r="M758" i="21400"/>
  <c r="BC758" i="21400" s="1"/>
  <c r="AZ757" i="21400"/>
  <c r="BB757" i="21400" s="1"/>
  <c r="AY757" i="21400"/>
  <c r="BA757" i="21400" s="1"/>
  <c r="AX757" i="21400"/>
  <c r="AW757" i="21400"/>
  <c r="AC757" i="21400"/>
  <c r="M757" i="21400"/>
  <c r="BC757" i="21400" s="1"/>
  <c r="AZ756" i="21400"/>
  <c r="BB756" i="21400" s="1"/>
  <c r="AY756" i="21400"/>
  <c r="BA756" i="21400" s="1"/>
  <c r="AX756" i="21400"/>
  <c r="AW756" i="21400"/>
  <c r="AC756" i="21400"/>
  <c r="M756" i="21400"/>
  <c r="BC756" i="21400" s="1"/>
  <c r="AZ755" i="21400"/>
  <c r="BB755" i="21400" s="1"/>
  <c r="AY755" i="21400"/>
  <c r="BA755" i="21400" s="1"/>
  <c r="AX755" i="21400"/>
  <c r="AW755" i="21400"/>
  <c r="AC755" i="21400"/>
  <c r="M755" i="21400"/>
  <c r="BC755" i="21400" s="1"/>
  <c r="AZ754" i="21400"/>
  <c r="BB754" i="21400" s="1"/>
  <c r="AY754" i="21400"/>
  <c r="BA754" i="21400" s="1"/>
  <c r="AX754" i="21400"/>
  <c r="AW754" i="21400"/>
  <c r="AC754" i="21400"/>
  <c r="M754" i="21400"/>
  <c r="BC754" i="21400" s="1"/>
  <c r="AZ753" i="21400"/>
  <c r="BB753" i="21400" s="1"/>
  <c r="AY753" i="21400"/>
  <c r="BA753" i="21400" s="1"/>
  <c r="AX753" i="21400"/>
  <c r="AW753" i="21400"/>
  <c r="AC753" i="21400"/>
  <c r="M753" i="21400"/>
  <c r="BC753" i="21400" s="1"/>
  <c r="AZ752" i="21400"/>
  <c r="BB752" i="21400" s="1"/>
  <c r="AY752" i="21400"/>
  <c r="BA752" i="21400" s="1"/>
  <c r="AX752" i="21400"/>
  <c r="AW752" i="21400"/>
  <c r="AC752" i="21400"/>
  <c r="M752" i="21400"/>
  <c r="BC752" i="21400" s="1"/>
  <c r="AZ751" i="21400"/>
  <c r="BB751" i="21400" s="1"/>
  <c r="AY751" i="21400"/>
  <c r="BA751" i="21400" s="1"/>
  <c r="AX751" i="21400"/>
  <c r="AW751" i="21400"/>
  <c r="AC751" i="21400"/>
  <c r="M751" i="21400"/>
  <c r="BC751" i="21400" s="1"/>
  <c r="AZ750" i="21400"/>
  <c r="BB750" i="21400" s="1"/>
  <c r="AY750" i="21400"/>
  <c r="BA750" i="21400" s="1"/>
  <c r="AX750" i="21400"/>
  <c r="AW750" i="21400"/>
  <c r="AC750" i="21400"/>
  <c r="M750" i="21400"/>
  <c r="BC750" i="21400" s="1"/>
  <c r="AZ749" i="21400"/>
  <c r="BB749" i="21400" s="1"/>
  <c r="AY749" i="21400"/>
  <c r="BA749" i="21400" s="1"/>
  <c r="AX749" i="21400"/>
  <c r="AW749" i="21400"/>
  <c r="AC749" i="21400"/>
  <c r="M749" i="21400"/>
  <c r="BC749" i="21400" s="1"/>
  <c r="AZ748" i="21400"/>
  <c r="BB748" i="21400" s="1"/>
  <c r="AY748" i="21400"/>
  <c r="BA748" i="21400" s="1"/>
  <c r="AX748" i="21400"/>
  <c r="AW748" i="21400"/>
  <c r="AC748" i="21400"/>
  <c r="M748" i="21400"/>
  <c r="BC748" i="21400" s="1"/>
  <c r="AZ747" i="21400"/>
  <c r="BB747" i="21400" s="1"/>
  <c r="AY747" i="21400"/>
  <c r="BA747" i="21400" s="1"/>
  <c r="AX747" i="21400"/>
  <c r="AW747" i="21400"/>
  <c r="AC747" i="21400"/>
  <c r="M747" i="21400"/>
  <c r="BC747" i="21400" s="1"/>
  <c r="AZ746" i="21400"/>
  <c r="BB746" i="21400" s="1"/>
  <c r="AY746" i="21400"/>
  <c r="BA746" i="21400" s="1"/>
  <c r="AX746" i="21400"/>
  <c r="AW746" i="21400"/>
  <c r="AC746" i="21400"/>
  <c r="M746" i="21400"/>
  <c r="BC746" i="21400" s="1"/>
  <c r="AZ745" i="21400"/>
  <c r="BB745" i="21400" s="1"/>
  <c r="AY745" i="21400"/>
  <c r="BA745" i="21400" s="1"/>
  <c r="AX745" i="21400"/>
  <c r="AW745" i="21400"/>
  <c r="AC745" i="21400"/>
  <c r="M745" i="21400"/>
  <c r="BC745" i="21400" s="1"/>
  <c r="AZ744" i="21400"/>
  <c r="BB744" i="21400" s="1"/>
  <c r="AY744" i="21400"/>
  <c r="BA744" i="21400" s="1"/>
  <c r="AX744" i="21400"/>
  <c r="AW744" i="21400"/>
  <c r="AC744" i="21400"/>
  <c r="M744" i="21400"/>
  <c r="BC744" i="21400" s="1"/>
  <c r="AZ743" i="21400"/>
  <c r="BB743" i="21400" s="1"/>
  <c r="AY743" i="21400"/>
  <c r="BA743" i="21400" s="1"/>
  <c r="AX743" i="21400"/>
  <c r="AW743" i="21400"/>
  <c r="AC743" i="21400"/>
  <c r="M743" i="21400"/>
  <c r="BC743" i="21400" s="1"/>
  <c r="AZ742" i="21400"/>
  <c r="BB742" i="21400" s="1"/>
  <c r="AY742" i="21400"/>
  <c r="BA742" i="21400" s="1"/>
  <c r="AX742" i="21400"/>
  <c r="AW742" i="21400"/>
  <c r="AC742" i="21400"/>
  <c r="M742" i="21400"/>
  <c r="BC742" i="21400" s="1"/>
  <c r="AZ741" i="21400"/>
  <c r="BB741" i="21400" s="1"/>
  <c r="AY741" i="21400"/>
  <c r="BA741" i="21400" s="1"/>
  <c r="AX741" i="21400"/>
  <c r="AW741" i="21400"/>
  <c r="AC741" i="21400"/>
  <c r="M741" i="21400"/>
  <c r="BC741" i="21400" s="1"/>
  <c r="AZ740" i="21400"/>
  <c r="BB740" i="21400" s="1"/>
  <c r="AY740" i="21400"/>
  <c r="BA740" i="21400" s="1"/>
  <c r="AX740" i="21400"/>
  <c r="AW740" i="21400"/>
  <c r="AC740" i="21400"/>
  <c r="M740" i="21400"/>
  <c r="BC740" i="21400" s="1"/>
  <c r="AZ739" i="21400"/>
  <c r="BB739" i="21400" s="1"/>
  <c r="AY739" i="21400"/>
  <c r="BA739" i="21400" s="1"/>
  <c r="AX739" i="21400"/>
  <c r="AW739" i="21400"/>
  <c r="AC739" i="21400"/>
  <c r="M739" i="21400"/>
  <c r="BC739" i="21400" s="1"/>
  <c r="AZ738" i="21400"/>
  <c r="BB738" i="21400" s="1"/>
  <c r="AY738" i="21400"/>
  <c r="BA738" i="21400" s="1"/>
  <c r="AX738" i="21400"/>
  <c r="AW738" i="21400"/>
  <c r="AC738" i="21400"/>
  <c r="M738" i="21400"/>
  <c r="BC738" i="21400" s="1"/>
  <c r="AZ737" i="21400"/>
  <c r="BB737" i="21400" s="1"/>
  <c r="AY737" i="21400"/>
  <c r="BA737" i="21400" s="1"/>
  <c r="AX737" i="21400"/>
  <c r="AW737" i="21400"/>
  <c r="AC737" i="21400"/>
  <c r="M737" i="21400"/>
  <c r="BC737" i="21400" s="1"/>
  <c r="AZ736" i="21400"/>
  <c r="BB736" i="21400" s="1"/>
  <c r="AY736" i="21400"/>
  <c r="BA736" i="21400" s="1"/>
  <c r="AX736" i="21400"/>
  <c r="AW736" i="21400"/>
  <c r="AC736" i="21400"/>
  <c r="M736" i="21400"/>
  <c r="BC736" i="21400" s="1"/>
  <c r="AZ735" i="21400"/>
  <c r="BB735" i="21400" s="1"/>
  <c r="AY735" i="21400"/>
  <c r="BA735" i="21400" s="1"/>
  <c r="AX735" i="21400"/>
  <c r="AW735" i="21400"/>
  <c r="AC735" i="21400"/>
  <c r="M735" i="21400"/>
  <c r="BC735" i="21400" s="1"/>
  <c r="AZ734" i="21400"/>
  <c r="BB734" i="21400" s="1"/>
  <c r="AY734" i="21400"/>
  <c r="BA734" i="21400" s="1"/>
  <c r="AX734" i="21400"/>
  <c r="AW734" i="21400"/>
  <c r="AC734" i="21400"/>
  <c r="M734" i="21400"/>
  <c r="BC734" i="21400" s="1"/>
  <c r="AZ733" i="21400"/>
  <c r="BB733" i="21400" s="1"/>
  <c r="AY733" i="21400"/>
  <c r="BA733" i="21400" s="1"/>
  <c r="AX733" i="21400"/>
  <c r="AW733" i="21400"/>
  <c r="AC733" i="21400"/>
  <c r="M733" i="21400"/>
  <c r="BC733" i="21400" s="1"/>
  <c r="AZ732" i="21400"/>
  <c r="BB732" i="21400" s="1"/>
  <c r="AY732" i="21400"/>
  <c r="BA732" i="21400" s="1"/>
  <c r="AX732" i="21400"/>
  <c r="AW732" i="21400"/>
  <c r="AC732" i="21400"/>
  <c r="M732" i="21400"/>
  <c r="BC732" i="21400" s="1"/>
  <c r="AZ731" i="21400"/>
  <c r="BB731" i="21400" s="1"/>
  <c r="AY731" i="21400"/>
  <c r="BA731" i="21400" s="1"/>
  <c r="AX731" i="21400"/>
  <c r="AW731" i="21400"/>
  <c r="AC731" i="21400"/>
  <c r="M731" i="21400"/>
  <c r="BC731" i="21400" s="1"/>
  <c r="AZ730" i="21400"/>
  <c r="BB730" i="21400" s="1"/>
  <c r="AY730" i="21400"/>
  <c r="BA730" i="21400" s="1"/>
  <c r="AX730" i="21400"/>
  <c r="AW730" i="21400"/>
  <c r="AC730" i="21400"/>
  <c r="M730" i="21400"/>
  <c r="BC730" i="21400" s="1"/>
  <c r="AZ729" i="21400"/>
  <c r="BB729" i="21400" s="1"/>
  <c r="AY729" i="21400"/>
  <c r="BA729" i="21400" s="1"/>
  <c r="AX729" i="21400"/>
  <c r="AW729" i="21400"/>
  <c r="AC729" i="21400"/>
  <c r="M729" i="21400"/>
  <c r="BC729" i="21400" s="1"/>
  <c r="AZ728" i="21400"/>
  <c r="BB728" i="21400" s="1"/>
  <c r="AY728" i="21400"/>
  <c r="BA728" i="21400" s="1"/>
  <c r="AX728" i="21400"/>
  <c r="AW728" i="21400"/>
  <c r="AC728" i="21400"/>
  <c r="M728" i="21400"/>
  <c r="BC728" i="21400" s="1"/>
  <c r="AZ727" i="21400"/>
  <c r="BB727" i="21400" s="1"/>
  <c r="AY727" i="21400"/>
  <c r="BA727" i="21400" s="1"/>
  <c r="AX727" i="21400"/>
  <c r="AW727" i="21400"/>
  <c r="AC727" i="21400"/>
  <c r="M727" i="21400"/>
  <c r="BC727" i="21400" s="1"/>
  <c r="AZ726" i="21400"/>
  <c r="BB726" i="21400" s="1"/>
  <c r="AY726" i="21400"/>
  <c r="BA726" i="21400" s="1"/>
  <c r="AX726" i="21400"/>
  <c r="AW726" i="21400"/>
  <c r="AC726" i="21400"/>
  <c r="M726" i="21400"/>
  <c r="BC726" i="21400" s="1"/>
  <c r="AZ725" i="21400"/>
  <c r="BB725" i="21400" s="1"/>
  <c r="AY725" i="21400"/>
  <c r="BA725" i="21400" s="1"/>
  <c r="AX725" i="21400"/>
  <c r="AW725" i="21400"/>
  <c r="AC725" i="21400"/>
  <c r="M725" i="21400"/>
  <c r="BC725" i="21400" s="1"/>
  <c r="AZ724" i="21400"/>
  <c r="BB724" i="21400" s="1"/>
  <c r="AY724" i="21400"/>
  <c r="BA724" i="21400" s="1"/>
  <c r="AX724" i="21400"/>
  <c r="AW724" i="21400"/>
  <c r="AC724" i="21400"/>
  <c r="M724" i="21400"/>
  <c r="BC724" i="21400" s="1"/>
  <c r="AZ723" i="21400"/>
  <c r="BB723" i="21400" s="1"/>
  <c r="AY723" i="21400"/>
  <c r="BA723" i="21400" s="1"/>
  <c r="AX723" i="21400"/>
  <c r="AW723" i="21400"/>
  <c r="AC723" i="21400"/>
  <c r="M723" i="21400"/>
  <c r="BC723" i="21400" s="1"/>
  <c r="AZ722" i="21400"/>
  <c r="BB722" i="21400" s="1"/>
  <c r="AY722" i="21400"/>
  <c r="BA722" i="21400" s="1"/>
  <c r="AX722" i="21400"/>
  <c r="AW722" i="21400"/>
  <c r="AC722" i="21400"/>
  <c r="M722" i="21400"/>
  <c r="BC722" i="21400" s="1"/>
  <c r="AZ721" i="21400"/>
  <c r="BB721" i="21400" s="1"/>
  <c r="AY721" i="21400"/>
  <c r="BA721" i="21400" s="1"/>
  <c r="AX721" i="21400"/>
  <c r="AW721" i="21400"/>
  <c r="AC721" i="21400"/>
  <c r="M721" i="21400"/>
  <c r="BC721" i="21400" s="1"/>
  <c r="AZ720" i="21400"/>
  <c r="BB720" i="21400" s="1"/>
  <c r="AY720" i="21400"/>
  <c r="BA720" i="21400" s="1"/>
  <c r="AX720" i="21400"/>
  <c r="AW720" i="21400"/>
  <c r="AC720" i="21400"/>
  <c r="M720" i="21400"/>
  <c r="BC720" i="21400" s="1"/>
  <c r="AZ719" i="21400"/>
  <c r="BB719" i="21400" s="1"/>
  <c r="AY719" i="21400"/>
  <c r="BA719" i="21400" s="1"/>
  <c r="AX719" i="21400"/>
  <c r="AW719" i="21400"/>
  <c r="AC719" i="21400"/>
  <c r="M719" i="21400"/>
  <c r="BC719" i="21400" s="1"/>
  <c r="AZ718" i="21400"/>
  <c r="BB718" i="21400" s="1"/>
  <c r="AY718" i="21400"/>
  <c r="BA718" i="21400" s="1"/>
  <c r="AX718" i="21400"/>
  <c r="AW718" i="21400"/>
  <c r="AC718" i="21400"/>
  <c r="M718" i="21400"/>
  <c r="BC718" i="21400" s="1"/>
  <c r="AZ717" i="21400"/>
  <c r="BB717" i="21400" s="1"/>
  <c r="AY717" i="21400"/>
  <c r="BA717" i="21400" s="1"/>
  <c r="AX717" i="21400"/>
  <c r="AW717" i="21400"/>
  <c r="AC717" i="21400"/>
  <c r="M717" i="21400"/>
  <c r="BC717" i="21400" s="1"/>
  <c r="AZ716" i="21400"/>
  <c r="BB716" i="21400" s="1"/>
  <c r="AY716" i="21400"/>
  <c r="BA716" i="21400" s="1"/>
  <c r="AX716" i="21400"/>
  <c r="AW716" i="21400"/>
  <c r="AC716" i="21400"/>
  <c r="M716" i="21400"/>
  <c r="BC716" i="21400" s="1"/>
  <c r="AZ715" i="21400"/>
  <c r="BB715" i="21400" s="1"/>
  <c r="AY715" i="21400"/>
  <c r="BA715" i="21400" s="1"/>
  <c r="AX715" i="21400"/>
  <c r="AW715" i="21400"/>
  <c r="AC715" i="21400"/>
  <c r="M715" i="21400"/>
  <c r="BC715" i="21400" s="1"/>
  <c r="AZ714" i="21400"/>
  <c r="BB714" i="21400" s="1"/>
  <c r="AY714" i="21400"/>
  <c r="BA714" i="21400" s="1"/>
  <c r="AX714" i="21400"/>
  <c r="AW714" i="21400"/>
  <c r="AC714" i="21400"/>
  <c r="M714" i="21400"/>
  <c r="BC714" i="21400" s="1"/>
  <c r="AZ713" i="21400"/>
  <c r="BB713" i="21400" s="1"/>
  <c r="AY713" i="21400"/>
  <c r="BA713" i="21400" s="1"/>
  <c r="AX713" i="21400"/>
  <c r="AW713" i="21400"/>
  <c r="AC713" i="21400"/>
  <c r="M713" i="21400"/>
  <c r="BC713" i="21400" s="1"/>
  <c r="AZ712" i="21400"/>
  <c r="BB712" i="21400" s="1"/>
  <c r="AY712" i="21400"/>
  <c r="BA712" i="21400" s="1"/>
  <c r="AX712" i="21400"/>
  <c r="AW712" i="21400"/>
  <c r="AC712" i="21400"/>
  <c r="M712" i="21400"/>
  <c r="BC712" i="21400" s="1"/>
  <c r="AZ711" i="21400"/>
  <c r="BB711" i="21400" s="1"/>
  <c r="AY711" i="21400"/>
  <c r="BA711" i="21400" s="1"/>
  <c r="AX711" i="21400"/>
  <c r="AW711" i="21400"/>
  <c r="AC711" i="21400"/>
  <c r="M711" i="21400"/>
  <c r="BC711" i="21400" s="1"/>
  <c r="AZ710" i="21400"/>
  <c r="BB710" i="21400" s="1"/>
  <c r="AY710" i="21400"/>
  <c r="BA710" i="21400" s="1"/>
  <c r="AX710" i="21400"/>
  <c r="AW710" i="21400"/>
  <c r="AC710" i="21400"/>
  <c r="M710" i="21400"/>
  <c r="BC710" i="21400" s="1"/>
  <c r="AZ709" i="21400"/>
  <c r="BB709" i="21400" s="1"/>
  <c r="AY709" i="21400"/>
  <c r="BA709" i="21400" s="1"/>
  <c r="AX709" i="21400"/>
  <c r="AW709" i="21400"/>
  <c r="AC709" i="21400"/>
  <c r="M709" i="21400"/>
  <c r="BC709" i="21400" s="1"/>
  <c r="AZ708" i="21400"/>
  <c r="BB708" i="21400" s="1"/>
  <c r="AY708" i="21400"/>
  <c r="BA708" i="21400" s="1"/>
  <c r="AX708" i="21400"/>
  <c r="AW708" i="21400"/>
  <c r="AC708" i="21400"/>
  <c r="M708" i="21400"/>
  <c r="BC708" i="21400" s="1"/>
  <c r="AZ707" i="21400"/>
  <c r="BB707" i="21400" s="1"/>
  <c r="AY707" i="21400"/>
  <c r="BA707" i="21400" s="1"/>
  <c r="AX707" i="21400"/>
  <c r="AW707" i="21400"/>
  <c r="AC707" i="21400"/>
  <c r="M707" i="21400"/>
  <c r="BC707" i="21400" s="1"/>
  <c r="AZ706" i="21400"/>
  <c r="BB706" i="21400" s="1"/>
  <c r="AY706" i="21400"/>
  <c r="BA706" i="21400" s="1"/>
  <c r="AX706" i="21400"/>
  <c r="AW706" i="21400"/>
  <c r="AC706" i="21400"/>
  <c r="M706" i="21400"/>
  <c r="BC706" i="21400" s="1"/>
  <c r="AZ705" i="21400"/>
  <c r="BB705" i="21400" s="1"/>
  <c r="AY705" i="21400"/>
  <c r="BA705" i="21400" s="1"/>
  <c r="AX705" i="21400"/>
  <c r="AW705" i="21400"/>
  <c r="AC705" i="21400"/>
  <c r="M705" i="21400"/>
  <c r="BC705" i="21400" s="1"/>
  <c r="AZ704" i="21400"/>
  <c r="BB704" i="21400" s="1"/>
  <c r="AY704" i="21400"/>
  <c r="BA704" i="21400" s="1"/>
  <c r="AX704" i="21400"/>
  <c r="AW704" i="21400"/>
  <c r="AC704" i="21400"/>
  <c r="M704" i="21400"/>
  <c r="BC704" i="21400" s="1"/>
  <c r="AZ703" i="21400"/>
  <c r="BB703" i="21400" s="1"/>
  <c r="AY703" i="21400"/>
  <c r="BA703" i="21400" s="1"/>
  <c r="AX703" i="21400"/>
  <c r="AW703" i="21400"/>
  <c r="AC703" i="21400"/>
  <c r="M703" i="21400"/>
  <c r="BC703" i="21400" s="1"/>
  <c r="AZ702" i="21400"/>
  <c r="BB702" i="21400" s="1"/>
  <c r="AY702" i="21400"/>
  <c r="BA702" i="21400" s="1"/>
  <c r="AX702" i="21400"/>
  <c r="AW702" i="21400"/>
  <c r="AC702" i="21400"/>
  <c r="M702" i="21400"/>
  <c r="BC702" i="21400" s="1"/>
  <c r="AZ701" i="21400"/>
  <c r="BB701" i="21400" s="1"/>
  <c r="AY701" i="21400"/>
  <c r="BA701" i="21400" s="1"/>
  <c r="AX701" i="21400"/>
  <c r="AW701" i="21400"/>
  <c r="AC701" i="21400"/>
  <c r="M701" i="21400"/>
  <c r="BC701" i="21400" s="1"/>
  <c r="AZ700" i="21400"/>
  <c r="BB700" i="21400" s="1"/>
  <c r="AY700" i="21400"/>
  <c r="BA700" i="21400" s="1"/>
  <c r="AX700" i="21400"/>
  <c r="AW700" i="21400"/>
  <c r="AC700" i="21400"/>
  <c r="M700" i="21400"/>
  <c r="BC700" i="21400" s="1"/>
  <c r="AZ699" i="21400"/>
  <c r="BB699" i="21400" s="1"/>
  <c r="AY699" i="21400"/>
  <c r="BA699" i="21400" s="1"/>
  <c r="AX699" i="21400"/>
  <c r="AW699" i="21400"/>
  <c r="AC699" i="21400"/>
  <c r="M699" i="21400"/>
  <c r="BC699" i="21400" s="1"/>
  <c r="AZ698" i="21400"/>
  <c r="BB698" i="21400" s="1"/>
  <c r="AY698" i="21400"/>
  <c r="BA698" i="21400" s="1"/>
  <c r="AX698" i="21400"/>
  <c r="AW698" i="21400"/>
  <c r="AC698" i="21400"/>
  <c r="M698" i="21400"/>
  <c r="BC698" i="21400" s="1"/>
  <c r="AZ697" i="21400"/>
  <c r="BB697" i="21400" s="1"/>
  <c r="AY697" i="21400"/>
  <c r="BA697" i="21400" s="1"/>
  <c r="AX697" i="21400"/>
  <c r="AW697" i="21400"/>
  <c r="AC697" i="21400"/>
  <c r="M697" i="21400"/>
  <c r="BC697" i="21400" s="1"/>
  <c r="AZ696" i="21400"/>
  <c r="BB696" i="21400" s="1"/>
  <c r="AY696" i="21400"/>
  <c r="BA696" i="21400" s="1"/>
  <c r="AX696" i="21400"/>
  <c r="AW696" i="21400"/>
  <c r="AC696" i="21400"/>
  <c r="M696" i="21400"/>
  <c r="BC696" i="21400" s="1"/>
  <c r="AZ695" i="21400"/>
  <c r="BB695" i="21400" s="1"/>
  <c r="AY695" i="21400"/>
  <c r="BA695" i="21400" s="1"/>
  <c r="AX695" i="21400"/>
  <c r="AW695" i="21400"/>
  <c r="AC695" i="21400"/>
  <c r="M695" i="21400"/>
  <c r="BC695" i="21400" s="1"/>
  <c r="AZ694" i="21400"/>
  <c r="BB694" i="21400" s="1"/>
  <c r="AY694" i="21400"/>
  <c r="BA694" i="21400" s="1"/>
  <c r="AX694" i="21400"/>
  <c r="AW694" i="21400"/>
  <c r="AC694" i="21400"/>
  <c r="M694" i="21400"/>
  <c r="BC694" i="21400" s="1"/>
  <c r="AZ693" i="21400"/>
  <c r="BB693" i="21400" s="1"/>
  <c r="AY693" i="21400"/>
  <c r="BA693" i="21400" s="1"/>
  <c r="AX693" i="21400"/>
  <c r="AW693" i="21400"/>
  <c r="AC693" i="21400"/>
  <c r="M693" i="21400"/>
  <c r="BC693" i="21400" s="1"/>
  <c r="AZ692" i="21400"/>
  <c r="BB692" i="21400" s="1"/>
  <c r="AY692" i="21400"/>
  <c r="BA692" i="21400" s="1"/>
  <c r="AX692" i="21400"/>
  <c r="AW692" i="21400"/>
  <c r="AC692" i="21400"/>
  <c r="M692" i="21400"/>
  <c r="BC692" i="21400" s="1"/>
  <c r="AZ691" i="21400"/>
  <c r="BB691" i="21400" s="1"/>
  <c r="AY691" i="21400"/>
  <c r="BA691" i="21400" s="1"/>
  <c r="AX691" i="21400"/>
  <c r="AW691" i="21400"/>
  <c r="AC691" i="21400"/>
  <c r="M691" i="21400"/>
  <c r="BC691" i="21400" s="1"/>
  <c r="AZ690" i="21400"/>
  <c r="BB690" i="21400" s="1"/>
  <c r="AY690" i="21400"/>
  <c r="BA690" i="21400" s="1"/>
  <c r="AX690" i="21400"/>
  <c r="AW690" i="21400"/>
  <c r="AC690" i="21400"/>
  <c r="M690" i="21400"/>
  <c r="BC690" i="21400" s="1"/>
  <c r="AZ689" i="21400"/>
  <c r="BB689" i="21400" s="1"/>
  <c r="AY689" i="21400"/>
  <c r="BA689" i="21400" s="1"/>
  <c r="AX689" i="21400"/>
  <c r="AW689" i="21400"/>
  <c r="AC689" i="21400"/>
  <c r="M689" i="21400"/>
  <c r="BC689" i="21400" s="1"/>
  <c r="AZ688" i="21400"/>
  <c r="BB688" i="21400" s="1"/>
  <c r="AY688" i="21400"/>
  <c r="BA688" i="21400" s="1"/>
  <c r="AX688" i="21400"/>
  <c r="AW688" i="21400"/>
  <c r="AC688" i="21400"/>
  <c r="M688" i="21400"/>
  <c r="BC688" i="21400" s="1"/>
  <c r="AZ687" i="21400"/>
  <c r="BB687" i="21400" s="1"/>
  <c r="AY687" i="21400"/>
  <c r="BA687" i="21400" s="1"/>
  <c r="AX687" i="21400"/>
  <c r="AW687" i="21400"/>
  <c r="AC687" i="21400"/>
  <c r="M687" i="21400"/>
  <c r="BC687" i="21400" s="1"/>
  <c r="AZ686" i="21400"/>
  <c r="BB686" i="21400" s="1"/>
  <c r="AY686" i="21400"/>
  <c r="BA686" i="21400" s="1"/>
  <c r="AX686" i="21400"/>
  <c r="AW686" i="21400"/>
  <c r="AC686" i="21400"/>
  <c r="M686" i="21400"/>
  <c r="BC686" i="21400" s="1"/>
  <c r="AZ685" i="21400"/>
  <c r="BB685" i="21400" s="1"/>
  <c r="AY685" i="21400"/>
  <c r="BA685" i="21400" s="1"/>
  <c r="AX685" i="21400"/>
  <c r="AW685" i="21400"/>
  <c r="AC685" i="21400"/>
  <c r="M685" i="21400"/>
  <c r="BC685" i="21400" s="1"/>
  <c r="AZ684" i="21400"/>
  <c r="BB684" i="21400" s="1"/>
  <c r="AY684" i="21400"/>
  <c r="BA684" i="21400" s="1"/>
  <c r="AX684" i="21400"/>
  <c r="AW684" i="21400"/>
  <c r="AC684" i="21400"/>
  <c r="M684" i="21400"/>
  <c r="BC684" i="21400" s="1"/>
  <c r="AZ683" i="21400"/>
  <c r="BB683" i="21400" s="1"/>
  <c r="AY683" i="21400"/>
  <c r="BA683" i="21400" s="1"/>
  <c r="AX683" i="21400"/>
  <c r="AW683" i="21400"/>
  <c r="AC683" i="21400"/>
  <c r="M683" i="21400"/>
  <c r="BC683" i="21400" s="1"/>
  <c r="AZ682" i="21400"/>
  <c r="BB682" i="21400" s="1"/>
  <c r="AY682" i="21400"/>
  <c r="BA682" i="21400" s="1"/>
  <c r="AX682" i="21400"/>
  <c r="AW682" i="21400"/>
  <c r="AC682" i="21400"/>
  <c r="M682" i="21400"/>
  <c r="BC682" i="21400" s="1"/>
  <c r="AZ681" i="21400"/>
  <c r="BB681" i="21400" s="1"/>
  <c r="AY681" i="21400"/>
  <c r="BA681" i="21400" s="1"/>
  <c r="AX681" i="21400"/>
  <c r="AW681" i="21400"/>
  <c r="AC681" i="21400"/>
  <c r="M681" i="21400"/>
  <c r="BC681" i="21400" s="1"/>
  <c r="AZ680" i="21400"/>
  <c r="BB680" i="21400" s="1"/>
  <c r="AY680" i="21400"/>
  <c r="BA680" i="21400" s="1"/>
  <c r="AX680" i="21400"/>
  <c r="AW680" i="21400"/>
  <c r="AC680" i="21400"/>
  <c r="M680" i="21400"/>
  <c r="BC680" i="21400" s="1"/>
  <c r="AZ679" i="21400"/>
  <c r="BB679" i="21400" s="1"/>
  <c r="AY679" i="21400"/>
  <c r="BA679" i="21400" s="1"/>
  <c r="AX679" i="21400"/>
  <c r="AW679" i="21400"/>
  <c r="AC679" i="21400"/>
  <c r="M679" i="21400"/>
  <c r="BC679" i="21400" s="1"/>
  <c r="AZ678" i="21400"/>
  <c r="BB678" i="21400" s="1"/>
  <c r="AY678" i="21400"/>
  <c r="BA678" i="21400" s="1"/>
  <c r="AX678" i="21400"/>
  <c r="AW678" i="21400"/>
  <c r="AC678" i="21400"/>
  <c r="M678" i="21400"/>
  <c r="BC678" i="21400" s="1"/>
  <c r="AZ677" i="21400"/>
  <c r="BB677" i="21400" s="1"/>
  <c r="AY677" i="21400"/>
  <c r="BA677" i="21400" s="1"/>
  <c r="AX677" i="21400"/>
  <c r="AW677" i="21400"/>
  <c r="AC677" i="21400"/>
  <c r="M677" i="21400"/>
  <c r="BC677" i="21400" s="1"/>
  <c r="AZ676" i="21400"/>
  <c r="BB676" i="21400" s="1"/>
  <c r="AY676" i="21400"/>
  <c r="BA676" i="21400" s="1"/>
  <c r="AX676" i="21400"/>
  <c r="AW676" i="21400"/>
  <c r="AC676" i="21400"/>
  <c r="M676" i="21400"/>
  <c r="BC676" i="21400" s="1"/>
  <c r="AZ675" i="21400"/>
  <c r="BB675" i="21400" s="1"/>
  <c r="AY675" i="21400"/>
  <c r="BA675" i="21400" s="1"/>
  <c r="AX675" i="21400"/>
  <c r="AW675" i="21400"/>
  <c r="AC675" i="21400"/>
  <c r="M675" i="21400"/>
  <c r="BC675" i="21400" s="1"/>
  <c r="AZ674" i="21400"/>
  <c r="BB674" i="21400" s="1"/>
  <c r="AY674" i="21400"/>
  <c r="BA674" i="21400" s="1"/>
  <c r="AX674" i="21400"/>
  <c r="AW674" i="21400"/>
  <c r="AC674" i="21400"/>
  <c r="M674" i="21400"/>
  <c r="BC674" i="21400" s="1"/>
  <c r="AZ673" i="21400"/>
  <c r="BB673" i="21400" s="1"/>
  <c r="AY673" i="21400"/>
  <c r="BA673" i="21400" s="1"/>
  <c r="AX673" i="21400"/>
  <c r="AW673" i="21400"/>
  <c r="AC673" i="21400"/>
  <c r="M673" i="21400"/>
  <c r="BC673" i="21400" s="1"/>
  <c r="AZ672" i="21400"/>
  <c r="BB672" i="21400" s="1"/>
  <c r="AY672" i="21400"/>
  <c r="BA672" i="21400" s="1"/>
  <c r="AX672" i="21400"/>
  <c r="AW672" i="21400"/>
  <c r="AC672" i="21400"/>
  <c r="M672" i="21400"/>
  <c r="BC672" i="21400" s="1"/>
  <c r="AZ671" i="21400"/>
  <c r="BB671" i="21400" s="1"/>
  <c r="AY671" i="21400"/>
  <c r="BA671" i="21400" s="1"/>
  <c r="AX671" i="21400"/>
  <c r="AW671" i="21400"/>
  <c r="AC671" i="21400"/>
  <c r="M671" i="21400"/>
  <c r="BC671" i="21400" s="1"/>
  <c r="AZ670" i="21400"/>
  <c r="BB670" i="21400" s="1"/>
  <c r="AY670" i="21400"/>
  <c r="BA670" i="21400" s="1"/>
  <c r="AX670" i="21400"/>
  <c r="AW670" i="21400"/>
  <c r="AC670" i="21400"/>
  <c r="M670" i="21400"/>
  <c r="BC670" i="21400" s="1"/>
  <c r="AZ669" i="21400"/>
  <c r="BB669" i="21400" s="1"/>
  <c r="AY669" i="21400"/>
  <c r="BA669" i="21400" s="1"/>
  <c r="AX669" i="21400"/>
  <c r="AW669" i="21400"/>
  <c r="AC669" i="21400"/>
  <c r="M669" i="21400"/>
  <c r="BC669" i="21400" s="1"/>
  <c r="AZ668" i="21400"/>
  <c r="BB668" i="21400" s="1"/>
  <c r="AY668" i="21400"/>
  <c r="BA668" i="21400" s="1"/>
  <c r="AX668" i="21400"/>
  <c r="AW668" i="21400"/>
  <c r="AC668" i="21400"/>
  <c r="M668" i="21400"/>
  <c r="BC668" i="21400" s="1"/>
  <c r="AZ667" i="21400"/>
  <c r="BB667" i="21400" s="1"/>
  <c r="AY667" i="21400"/>
  <c r="BA667" i="21400" s="1"/>
  <c r="AX667" i="21400"/>
  <c r="AW667" i="21400"/>
  <c r="AC667" i="21400"/>
  <c r="M667" i="21400"/>
  <c r="BC667" i="21400" s="1"/>
  <c r="AZ666" i="21400"/>
  <c r="BB666" i="21400" s="1"/>
  <c r="AY666" i="21400"/>
  <c r="BA666" i="21400" s="1"/>
  <c r="AX666" i="21400"/>
  <c r="AW666" i="21400"/>
  <c r="AC666" i="21400"/>
  <c r="M666" i="21400"/>
  <c r="BC666" i="21400" s="1"/>
  <c r="AZ665" i="21400"/>
  <c r="BB665" i="21400" s="1"/>
  <c r="AY665" i="21400"/>
  <c r="BA665" i="21400" s="1"/>
  <c r="AX665" i="21400"/>
  <c r="AW665" i="21400"/>
  <c r="AC665" i="21400"/>
  <c r="M665" i="21400"/>
  <c r="BC665" i="21400" s="1"/>
  <c r="AZ664" i="21400"/>
  <c r="BB664" i="21400" s="1"/>
  <c r="AY664" i="21400"/>
  <c r="BA664" i="21400" s="1"/>
  <c r="AX664" i="21400"/>
  <c r="AW664" i="21400"/>
  <c r="AC664" i="21400"/>
  <c r="M664" i="21400"/>
  <c r="BC664" i="21400" s="1"/>
  <c r="AZ663" i="21400"/>
  <c r="BB663" i="21400" s="1"/>
  <c r="AY663" i="21400"/>
  <c r="BA663" i="21400" s="1"/>
  <c r="AX663" i="21400"/>
  <c r="AW663" i="21400"/>
  <c r="AC663" i="21400"/>
  <c r="M663" i="21400"/>
  <c r="BC663" i="21400" s="1"/>
  <c r="AZ662" i="21400"/>
  <c r="BB662" i="21400" s="1"/>
  <c r="AY662" i="21400"/>
  <c r="BA662" i="21400" s="1"/>
  <c r="AX662" i="21400"/>
  <c r="AW662" i="21400"/>
  <c r="AC662" i="21400"/>
  <c r="M662" i="21400"/>
  <c r="BC662" i="21400" s="1"/>
  <c r="AZ661" i="21400"/>
  <c r="BB661" i="21400" s="1"/>
  <c r="AY661" i="21400"/>
  <c r="BA661" i="21400" s="1"/>
  <c r="AX661" i="21400"/>
  <c r="AW661" i="21400"/>
  <c r="AC661" i="21400"/>
  <c r="M661" i="21400"/>
  <c r="BC661" i="21400" s="1"/>
  <c r="AZ660" i="21400"/>
  <c r="BB660" i="21400" s="1"/>
  <c r="AY660" i="21400"/>
  <c r="BA660" i="21400" s="1"/>
  <c r="AX660" i="21400"/>
  <c r="AW660" i="21400"/>
  <c r="AC660" i="21400"/>
  <c r="M660" i="21400"/>
  <c r="BC660" i="21400" s="1"/>
  <c r="AZ659" i="21400"/>
  <c r="BB659" i="21400" s="1"/>
  <c r="AY659" i="21400"/>
  <c r="BA659" i="21400" s="1"/>
  <c r="AX659" i="21400"/>
  <c r="AW659" i="21400"/>
  <c r="AC659" i="21400"/>
  <c r="M659" i="21400"/>
  <c r="BC659" i="21400" s="1"/>
  <c r="AZ658" i="21400"/>
  <c r="BB658" i="21400" s="1"/>
  <c r="AY658" i="21400"/>
  <c r="BA658" i="21400" s="1"/>
  <c r="AX658" i="21400"/>
  <c r="AW658" i="21400"/>
  <c r="AC658" i="21400"/>
  <c r="M658" i="21400"/>
  <c r="BC658" i="21400" s="1"/>
  <c r="AZ657" i="21400"/>
  <c r="BB657" i="21400" s="1"/>
  <c r="AY657" i="21400"/>
  <c r="BA657" i="21400" s="1"/>
  <c r="AX657" i="21400"/>
  <c r="AW657" i="21400"/>
  <c r="AC657" i="21400"/>
  <c r="M657" i="21400"/>
  <c r="BC657" i="21400" s="1"/>
  <c r="AZ656" i="21400"/>
  <c r="BB656" i="21400" s="1"/>
  <c r="AY656" i="21400"/>
  <c r="BA656" i="21400" s="1"/>
  <c r="AX656" i="21400"/>
  <c r="AW656" i="21400"/>
  <c r="AC656" i="21400"/>
  <c r="M656" i="21400"/>
  <c r="BC656" i="21400" s="1"/>
  <c r="AZ655" i="21400"/>
  <c r="BB655" i="21400" s="1"/>
  <c r="AY655" i="21400"/>
  <c r="BA655" i="21400" s="1"/>
  <c r="AX655" i="21400"/>
  <c r="AW655" i="21400"/>
  <c r="AC655" i="21400"/>
  <c r="M655" i="21400"/>
  <c r="BC655" i="21400" s="1"/>
  <c r="AZ654" i="21400"/>
  <c r="BB654" i="21400" s="1"/>
  <c r="AY654" i="21400"/>
  <c r="BA654" i="21400" s="1"/>
  <c r="AX654" i="21400"/>
  <c r="AW654" i="21400"/>
  <c r="AC654" i="21400"/>
  <c r="M654" i="21400"/>
  <c r="BC654" i="21400" s="1"/>
  <c r="AZ653" i="21400"/>
  <c r="BB653" i="21400" s="1"/>
  <c r="AY653" i="21400"/>
  <c r="BA653" i="21400" s="1"/>
  <c r="AX653" i="21400"/>
  <c r="AW653" i="21400"/>
  <c r="AC653" i="21400"/>
  <c r="M653" i="21400"/>
  <c r="BC653" i="21400" s="1"/>
  <c r="AZ652" i="21400"/>
  <c r="BB652" i="21400" s="1"/>
  <c r="AY652" i="21400"/>
  <c r="BA652" i="21400" s="1"/>
  <c r="AX652" i="21400"/>
  <c r="AW652" i="21400"/>
  <c r="AC652" i="21400"/>
  <c r="M652" i="21400"/>
  <c r="BC652" i="21400" s="1"/>
  <c r="AZ651" i="21400"/>
  <c r="BB651" i="21400" s="1"/>
  <c r="AY651" i="21400"/>
  <c r="BA651" i="21400" s="1"/>
  <c r="AX651" i="21400"/>
  <c r="AW651" i="21400"/>
  <c r="AC651" i="21400"/>
  <c r="M651" i="21400"/>
  <c r="BC651" i="21400" s="1"/>
  <c r="AZ650" i="21400"/>
  <c r="BB650" i="21400" s="1"/>
  <c r="AY650" i="21400"/>
  <c r="BA650" i="21400" s="1"/>
  <c r="AX650" i="21400"/>
  <c r="AW650" i="21400"/>
  <c r="AC650" i="21400"/>
  <c r="M650" i="21400"/>
  <c r="BC650" i="21400" s="1"/>
  <c r="AZ649" i="21400"/>
  <c r="BB649" i="21400" s="1"/>
  <c r="AY649" i="21400"/>
  <c r="BA649" i="21400" s="1"/>
  <c r="AX649" i="21400"/>
  <c r="AW649" i="21400"/>
  <c r="AC649" i="21400"/>
  <c r="M649" i="21400"/>
  <c r="BC649" i="21400" s="1"/>
  <c r="AZ648" i="21400"/>
  <c r="BB648" i="21400" s="1"/>
  <c r="AY648" i="21400"/>
  <c r="BA648" i="21400" s="1"/>
  <c r="AX648" i="21400"/>
  <c r="AW648" i="21400"/>
  <c r="AC648" i="21400"/>
  <c r="M648" i="21400"/>
  <c r="BC648" i="21400" s="1"/>
  <c r="AZ647" i="21400"/>
  <c r="BB647" i="21400" s="1"/>
  <c r="AY647" i="21400"/>
  <c r="BA647" i="21400" s="1"/>
  <c r="AX647" i="21400"/>
  <c r="AW647" i="21400"/>
  <c r="AC647" i="21400"/>
  <c r="M647" i="21400"/>
  <c r="BC647" i="21400" s="1"/>
  <c r="AZ646" i="21400"/>
  <c r="BB646" i="21400" s="1"/>
  <c r="AY646" i="21400"/>
  <c r="BA646" i="21400" s="1"/>
  <c r="AX646" i="21400"/>
  <c r="AW646" i="21400"/>
  <c r="AC646" i="21400"/>
  <c r="M646" i="21400"/>
  <c r="BC646" i="21400" s="1"/>
  <c r="AZ645" i="21400"/>
  <c r="BB645" i="21400" s="1"/>
  <c r="AY645" i="21400"/>
  <c r="BA645" i="21400" s="1"/>
  <c r="AX645" i="21400"/>
  <c r="AW645" i="21400"/>
  <c r="AC645" i="21400"/>
  <c r="M645" i="21400"/>
  <c r="BC645" i="21400" s="1"/>
  <c r="AZ644" i="21400"/>
  <c r="BB644" i="21400" s="1"/>
  <c r="AY644" i="21400"/>
  <c r="BA644" i="21400" s="1"/>
  <c r="AX644" i="21400"/>
  <c r="AW644" i="21400"/>
  <c r="AC644" i="21400"/>
  <c r="M644" i="21400"/>
  <c r="BC644" i="21400" s="1"/>
  <c r="AZ643" i="21400"/>
  <c r="BB643" i="21400" s="1"/>
  <c r="AY643" i="21400"/>
  <c r="BA643" i="21400" s="1"/>
  <c r="AX643" i="21400"/>
  <c r="AW643" i="21400"/>
  <c r="AC643" i="21400"/>
  <c r="M643" i="21400"/>
  <c r="BC643" i="21400" s="1"/>
  <c r="AZ642" i="21400"/>
  <c r="BB642" i="21400" s="1"/>
  <c r="AY642" i="21400"/>
  <c r="BA642" i="21400" s="1"/>
  <c r="AX642" i="21400"/>
  <c r="AW642" i="21400"/>
  <c r="AC642" i="21400"/>
  <c r="M642" i="21400"/>
  <c r="BC642" i="21400" s="1"/>
  <c r="AZ641" i="21400"/>
  <c r="BB641" i="21400" s="1"/>
  <c r="AY641" i="21400"/>
  <c r="BA641" i="21400" s="1"/>
  <c r="AX641" i="21400"/>
  <c r="AW641" i="21400"/>
  <c r="AC641" i="21400"/>
  <c r="M641" i="21400"/>
  <c r="BC641" i="21400" s="1"/>
  <c r="AZ640" i="21400"/>
  <c r="BB640" i="21400" s="1"/>
  <c r="AY640" i="21400"/>
  <c r="BA640" i="21400" s="1"/>
  <c r="AX640" i="21400"/>
  <c r="AW640" i="21400"/>
  <c r="AC640" i="21400"/>
  <c r="M640" i="21400"/>
  <c r="BC640" i="21400" s="1"/>
  <c r="AZ639" i="21400"/>
  <c r="BB639" i="21400" s="1"/>
  <c r="AY639" i="21400"/>
  <c r="BA639" i="21400" s="1"/>
  <c r="AX639" i="21400"/>
  <c r="AW639" i="21400"/>
  <c r="AC639" i="21400"/>
  <c r="M639" i="21400"/>
  <c r="BC639" i="21400" s="1"/>
  <c r="AZ638" i="21400"/>
  <c r="BB638" i="21400" s="1"/>
  <c r="AY638" i="21400"/>
  <c r="BA638" i="21400" s="1"/>
  <c r="AX638" i="21400"/>
  <c r="AW638" i="21400"/>
  <c r="AC638" i="21400"/>
  <c r="M638" i="21400"/>
  <c r="BC638" i="21400" s="1"/>
  <c r="AZ637" i="21400"/>
  <c r="BB637" i="21400" s="1"/>
  <c r="AY637" i="21400"/>
  <c r="BA637" i="21400" s="1"/>
  <c r="AX637" i="21400"/>
  <c r="AW637" i="21400"/>
  <c r="AC637" i="21400"/>
  <c r="M637" i="21400"/>
  <c r="BC637" i="21400" s="1"/>
  <c r="AZ636" i="21400"/>
  <c r="BB636" i="21400" s="1"/>
  <c r="AY636" i="21400"/>
  <c r="BA636" i="21400" s="1"/>
  <c r="AX636" i="21400"/>
  <c r="AW636" i="21400"/>
  <c r="AC636" i="21400"/>
  <c r="M636" i="21400"/>
  <c r="BC636" i="21400" s="1"/>
  <c r="AZ635" i="21400"/>
  <c r="BB635" i="21400" s="1"/>
  <c r="AY635" i="21400"/>
  <c r="BA635" i="21400" s="1"/>
  <c r="AX635" i="21400"/>
  <c r="AW635" i="21400"/>
  <c r="AC635" i="21400"/>
  <c r="M635" i="21400"/>
  <c r="BC635" i="21400" s="1"/>
  <c r="AZ634" i="21400"/>
  <c r="BB634" i="21400" s="1"/>
  <c r="AY634" i="21400"/>
  <c r="BA634" i="21400" s="1"/>
  <c r="AX634" i="21400"/>
  <c r="AW634" i="21400"/>
  <c r="AC634" i="21400"/>
  <c r="M634" i="21400"/>
  <c r="BC634" i="21400" s="1"/>
  <c r="AZ633" i="21400"/>
  <c r="BB633" i="21400" s="1"/>
  <c r="AY633" i="21400"/>
  <c r="BA633" i="21400" s="1"/>
  <c r="AX633" i="21400"/>
  <c r="AW633" i="21400"/>
  <c r="AC633" i="21400"/>
  <c r="M633" i="21400"/>
  <c r="BC633" i="21400" s="1"/>
  <c r="AZ632" i="21400"/>
  <c r="BB632" i="21400" s="1"/>
  <c r="AY632" i="21400"/>
  <c r="BA632" i="21400" s="1"/>
  <c r="AX632" i="21400"/>
  <c r="AW632" i="21400"/>
  <c r="AC632" i="21400"/>
  <c r="M632" i="21400"/>
  <c r="BC632" i="21400" s="1"/>
  <c r="AZ631" i="21400"/>
  <c r="BB631" i="21400" s="1"/>
  <c r="AY631" i="21400"/>
  <c r="BA631" i="21400" s="1"/>
  <c r="AX631" i="21400"/>
  <c r="AW631" i="21400"/>
  <c r="AC631" i="21400"/>
  <c r="M631" i="21400"/>
  <c r="BC631" i="21400" s="1"/>
  <c r="AZ630" i="21400"/>
  <c r="BB630" i="21400" s="1"/>
  <c r="AY630" i="21400"/>
  <c r="BA630" i="21400" s="1"/>
  <c r="AX630" i="21400"/>
  <c r="AW630" i="21400"/>
  <c r="AC630" i="21400"/>
  <c r="M630" i="21400"/>
  <c r="BC630" i="21400" s="1"/>
  <c r="AZ629" i="21400"/>
  <c r="BB629" i="21400" s="1"/>
  <c r="AY629" i="21400"/>
  <c r="BA629" i="21400" s="1"/>
  <c r="AX629" i="21400"/>
  <c r="AW629" i="21400"/>
  <c r="AC629" i="21400"/>
  <c r="M629" i="21400"/>
  <c r="BC629" i="21400" s="1"/>
  <c r="AZ628" i="21400"/>
  <c r="BB628" i="21400" s="1"/>
  <c r="AY628" i="21400"/>
  <c r="BA628" i="21400" s="1"/>
  <c r="AX628" i="21400"/>
  <c r="AW628" i="21400"/>
  <c r="AC628" i="21400"/>
  <c r="M628" i="21400"/>
  <c r="BC628" i="21400" s="1"/>
  <c r="AZ627" i="21400"/>
  <c r="BB627" i="21400" s="1"/>
  <c r="AY627" i="21400"/>
  <c r="BA627" i="21400" s="1"/>
  <c r="AX627" i="21400"/>
  <c r="AW627" i="21400"/>
  <c r="AC627" i="21400"/>
  <c r="M627" i="21400"/>
  <c r="BC627" i="21400" s="1"/>
  <c r="AZ626" i="21400"/>
  <c r="BB626" i="21400" s="1"/>
  <c r="AY626" i="21400"/>
  <c r="BA626" i="21400" s="1"/>
  <c r="AX626" i="21400"/>
  <c r="AW626" i="21400"/>
  <c r="AC626" i="21400"/>
  <c r="M626" i="21400"/>
  <c r="BC626" i="21400" s="1"/>
  <c r="AZ625" i="21400"/>
  <c r="BB625" i="21400" s="1"/>
  <c r="AY625" i="21400"/>
  <c r="BA625" i="21400" s="1"/>
  <c r="AX625" i="21400"/>
  <c r="AW625" i="21400"/>
  <c r="AC625" i="21400"/>
  <c r="M625" i="21400"/>
  <c r="BC625" i="21400" s="1"/>
  <c r="AZ624" i="21400"/>
  <c r="BB624" i="21400" s="1"/>
  <c r="AY624" i="21400"/>
  <c r="BA624" i="21400" s="1"/>
  <c r="AX624" i="21400"/>
  <c r="AW624" i="21400"/>
  <c r="AC624" i="21400"/>
  <c r="M624" i="21400"/>
  <c r="BC624" i="21400" s="1"/>
  <c r="AZ623" i="21400"/>
  <c r="BB623" i="21400" s="1"/>
  <c r="AY623" i="21400"/>
  <c r="BA623" i="21400" s="1"/>
  <c r="AX623" i="21400"/>
  <c r="AW623" i="21400"/>
  <c r="AC623" i="21400"/>
  <c r="M623" i="21400"/>
  <c r="BC623" i="21400" s="1"/>
  <c r="AZ622" i="21400"/>
  <c r="BB622" i="21400" s="1"/>
  <c r="AY622" i="21400"/>
  <c r="BA622" i="21400" s="1"/>
  <c r="AX622" i="21400"/>
  <c r="AW622" i="21400"/>
  <c r="AC622" i="21400"/>
  <c r="M622" i="21400"/>
  <c r="BC622" i="21400" s="1"/>
  <c r="AZ621" i="21400"/>
  <c r="BB621" i="21400" s="1"/>
  <c r="AY621" i="21400"/>
  <c r="BA621" i="21400" s="1"/>
  <c r="AX621" i="21400"/>
  <c r="AW621" i="21400"/>
  <c r="AC621" i="21400"/>
  <c r="M621" i="21400"/>
  <c r="BC621" i="21400" s="1"/>
  <c r="AZ620" i="21400"/>
  <c r="BB620" i="21400" s="1"/>
  <c r="AY620" i="21400"/>
  <c r="BA620" i="21400" s="1"/>
  <c r="AX620" i="21400"/>
  <c r="AW620" i="21400"/>
  <c r="AC620" i="21400"/>
  <c r="M620" i="21400"/>
  <c r="BC620" i="21400" s="1"/>
  <c r="AZ619" i="21400"/>
  <c r="BB619" i="21400" s="1"/>
  <c r="AY619" i="21400"/>
  <c r="BA619" i="21400" s="1"/>
  <c r="AX619" i="21400"/>
  <c r="AW619" i="21400"/>
  <c r="AC619" i="21400"/>
  <c r="M619" i="21400"/>
  <c r="BC619" i="21400" s="1"/>
  <c r="AZ618" i="21400"/>
  <c r="BB618" i="21400" s="1"/>
  <c r="AY618" i="21400"/>
  <c r="BA618" i="21400" s="1"/>
  <c r="AX618" i="21400"/>
  <c r="AW618" i="21400"/>
  <c r="AC618" i="21400"/>
  <c r="M618" i="21400"/>
  <c r="BC618" i="21400" s="1"/>
  <c r="AZ617" i="21400"/>
  <c r="BB617" i="21400" s="1"/>
  <c r="AY617" i="21400"/>
  <c r="BA617" i="21400" s="1"/>
  <c r="AX617" i="21400"/>
  <c r="AW617" i="21400"/>
  <c r="AC617" i="21400"/>
  <c r="M617" i="21400"/>
  <c r="BC617" i="21400" s="1"/>
  <c r="AZ616" i="21400"/>
  <c r="BB616" i="21400" s="1"/>
  <c r="AY616" i="21400"/>
  <c r="BA616" i="21400" s="1"/>
  <c r="AX616" i="21400"/>
  <c r="AW616" i="21400"/>
  <c r="AC616" i="21400"/>
  <c r="M616" i="21400"/>
  <c r="BC616" i="21400" s="1"/>
  <c r="AZ615" i="21400"/>
  <c r="BB615" i="21400" s="1"/>
  <c r="AY615" i="21400"/>
  <c r="BA615" i="21400" s="1"/>
  <c r="AX615" i="21400"/>
  <c r="AW615" i="21400"/>
  <c r="AC615" i="21400"/>
  <c r="M615" i="21400"/>
  <c r="BC615" i="21400" s="1"/>
  <c r="AZ614" i="21400"/>
  <c r="BB614" i="21400" s="1"/>
  <c r="AY614" i="21400"/>
  <c r="BA614" i="21400" s="1"/>
  <c r="AX614" i="21400"/>
  <c r="AW614" i="21400"/>
  <c r="AC614" i="21400"/>
  <c r="M614" i="21400"/>
  <c r="BC614" i="21400" s="1"/>
  <c r="AZ613" i="21400"/>
  <c r="BB613" i="21400" s="1"/>
  <c r="AY613" i="21400"/>
  <c r="BA613" i="21400" s="1"/>
  <c r="AX613" i="21400"/>
  <c r="AW613" i="21400"/>
  <c r="AC613" i="21400"/>
  <c r="M613" i="21400"/>
  <c r="BC613" i="21400" s="1"/>
  <c r="AZ612" i="21400"/>
  <c r="BB612" i="21400" s="1"/>
  <c r="AY612" i="21400"/>
  <c r="BA612" i="21400" s="1"/>
  <c r="AX612" i="21400"/>
  <c r="AW612" i="21400"/>
  <c r="AC612" i="21400"/>
  <c r="M612" i="21400"/>
  <c r="BC612" i="21400" s="1"/>
  <c r="AZ611" i="21400"/>
  <c r="BB611" i="21400" s="1"/>
  <c r="AY611" i="21400"/>
  <c r="BA611" i="21400" s="1"/>
  <c r="AX611" i="21400"/>
  <c r="AW611" i="21400"/>
  <c r="AC611" i="21400"/>
  <c r="M611" i="21400"/>
  <c r="BC611" i="21400" s="1"/>
  <c r="AZ610" i="21400"/>
  <c r="BB610" i="21400" s="1"/>
  <c r="AY610" i="21400"/>
  <c r="BA610" i="21400" s="1"/>
  <c r="AX610" i="21400"/>
  <c r="AW610" i="21400"/>
  <c r="AC610" i="21400"/>
  <c r="M610" i="21400"/>
  <c r="BC610" i="21400" s="1"/>
  <c r="AZ609" i="21400"/>
  <c r="BB609" i="21400" s="1"/>
  <c r="AY609" i="21400"/>
  <c r="BA609" i="21400" s="1"/>
  <c r="AX609" i="21400"/>
  <c r="AW609" i="21400"/>
  <c r="AC609" i="21400"/>
  <c r="M609" i="21400"/>
  <c r="BC609" i="21400" s="1"/>
  <c r="AZ608" i="21400"/>
  <c r="BB608" i="21400" s="1"/>
  <c r="AY608" i="21400"/>
  <c r="BA608" i="21400" s="1"/>
  <c r="AX608" i="21400"/>
  <c r="AW608" i="21400"/>
  <c r="AC608" i="21400"/>
  <c r="M608" i="21400"/>
  <c r="BC608" i="21400" s="1"/>
  <c r="AZ607" i="21400"/>
  <c r="BB607" i="21400" s="1"/>
  <c r="AY607" i="21400"/>
  <c r="BA607" i="21400" s="1"/>
  <c r="AX607" i="21400"/>
  <c r="AW607" i="21400"/>
  <c r="AC607" i="21400"/>
  <c r="M607" i="21400"/>
  <c r="BC607" i="21400" s="1"/>
  <c r="AZ606" i="21400"/>
  <c r="BB606" i="21400" s="1"/>
  <c r="AY606" i="21400"/>
  <c r="BA606" i="21400" s="1"/>
  <c r="AX606" i="21400"/>
  <c r="AW606" i="21400"/>
  <c r="AC606" i="21400"/>
  <c r="M606" i="21400"/>
  <c r="BC606" i="21400" s="1"/>
  <c r="AZ605" i="21400"/>
  <c r="BB605" i="21400" s="1"/>
  <c r="AY605" i="21400"/>
  <c r="BA605" i="21400" s="1"/>
  <c r="AX605" i="21400"/>
  <c r="AW605" i="21400"/>
  <c r="AC605" i="21400"/>
  <c r="M605" i="21400"/>
  <c r="BC605" i="21400" s="1"/>
  <c r="AZ604" i="21400"/>
  <c r="BB604" i="21400" s="1"/>
  <c r="AY604" i="21400"/>
  <c r="BA604" i="21400" s="1"/>
  <c r="AX604" i="21400"/>
  <c r="AW604" i="21400"/>
  <c r="AC604" i="21400"/>
  <c r="M604" i="21400"/>
  <c r="BC604" i="21400" s="1"/>
  <c r="AZ603" i="21400"/>
  <c r="BB603" i="21400" s="1"/>
  <c r="AY603" i="21400"/>
  <c r="BA603" i="21400" s="1"/>
  <c r="AX603" i="21400"/>
  <c r="AW603" i="21400"/>
  <c r="AC603" i="21400"/>
  <c r="M603" i="21400"/>
  <c r="BC603" i="21400" s="1"/>
  <c r="AZ602" i="21400"/>
  <c r="BB602" i="21400" s="1"/>
  <c r="AY602" i="21400"/>
  <c r="BA602" i="21400" s="1"/>
  <c r="AX602" i="21400"/>
  <c r="AW602" i="21400"/>
  <c r="AC602" i="21400"/>
  <c r="M602" i="21400"/>
  <c r="BC602" i="21400" s="1"/>
  <c r="AZ601" i="21400"/>
  <c r="BB601" i="21400" s="1"/>
  <c r="AY601" i="21400"/>
  <c r="BA601" i="21400" s="1"/>
  <c r="AX601" i="21400"/>
  <c r="AW601" i="21400"/>
  <c r="AC601" i="21400"/>
  <c r="M601" i="21400"/>
  <c r="BC601" i="21400" s="1"/>
  <c r="AZ600" i="21400"/>
  <c r="BB600" i="21400" s="1"/>
  <c r="AY600" i="21400"/>
  <c r="BA600" i="21400" s="1"/>
  <c r="AX600" i="21400"/>
  <c r="AW600" i="21400"/>
  <c r="AC600" i="21400"/>
  <c r="M600" i="21400"/>
  <c r="BC600" i="21400" s="1"/>
  <c r="AZ599" i="21400"/>
  <c r="BB599" i="21400" s="1"/>
  <c r="AY599" i="21400"/>
  <c r="BA599" i="21400" s="1"/>
  <c r="AX599" i="21400"/>
  <c r="AW599" i="21400"/>
  <c r="AC599" i="21400"/>
  <c r="M599" i="21400"/>
  <c r="BC599" i="21400" s="1"/>
  <c r="AZ598" i="21400"/>
  <c r="BB598" i="21400" s="1"/>
  <c r="AY598" i="21400"/>
  <c r="BA598" i="21400" s="1"/>
  <c r="AX598" i="21400"/>
  <c r="AW598" i="21400"/>
  <c r="AC598" i="21400"/>
  <c r="M598" i="21400"/>
  <c r="BC598" i="21400" s="1"/>
  <c r="AZ597" i="21400"/>
  <c r="BB597" i="21400" s="1"/>
  <c r="AY597" i="21400"/>
  <c r="BA597" i="21400" s="1"/>
  <c r="AX597" i="21400"/>
  <c r="AW597" i="21400"/>
  <c r="AC597" i="21400"/>
  <c r="M597" i="21400"/>
  <c r="BC597" i="21400" s="1"/>
  <c r="AZ596" i="21400"/>
  <c r="BB596" i="21400" s="1"/>
  <c r="AY596" i="21400"/>
  <c r="BA596" i="21400" s="1"/>
  <c r="AX596" i="21400"/>
  <c r="AW596" i="21400"/>
  <c r="AC596" i="21400"/>
  <c r="M596" i="21400"/>
  <c r="BC596" i="21400" s="1"/>
  <c r="AZ595" i="21400"/>
  <c r="BB595" i="21400" s="1"/>
  <c r="AY595" i="21400"/>
  <c r="BA595" i="21400" s="1"/>
  <c r="AX595" i="21400"/>
  <c r="AW595" i="21400"/>
  <c r="AC595" i="21400"/>
  <c r="M595" i="21400"/>
  <c r="BC595" i="21400" s="1"/>
  <c r="AZ594" i="21400"/>
  <c r="BB594" i="21400" s="1"/>
  <c r="AY594" i="21400"/>
  <c r="BA594" i="21400" s="1"/>
  <c r="AX594" i="21400"/>
  <c r="AW594" i="21400"/>
  <c r="AC594" i="21400"/>
  <c r="M594" i="21400"/>
  <c r="BC594" i="21400" s="1"/>
  <c r="AZ593" i="21400"/>
  <c r="BB593" i="21400" s="1"/>
  <c r="AY593" i="21400"/>
  <c r="BA593" i="21400" s="1"/>
  <c r="AX593" i="21400"/>
  <c r="AW593" i="21400"/>
  <c r="AC593" i="21400"/>
  <c r="M593" i="21400"/>
  <c r="BC593" i="21400" s="1"/>
  <c r="AZ592" i="21400"/>
  <c r="BB592" i="21400" s="1"/>
  <c r="AY592" i="21400"/>
  <c r="BA592" i="21400" s="1"/>
  <c r="AX592" i="21400"/>
  <c r="AW592" i="21400"/>
  <c r="AC592" i="21400"/>
  <c r="M592" i="21400"/>
  <c r="BC592" i="21400" s="1"/>
  <c r="AZ591" i="21400"/>
  <c r="BB591" i="21400" s="1"/>
  <c r="AY591" i="21400"/>
  <c r="BA591" i="21400" s="1"/>
  <c r="AX591" i="21400"/>
  <c r="AW591" i="21400"/>
  <c r="AC591" i="21400"/>
  <c r="M591" i="21400"/>
  <c r="BC591" i="21400" s="1"/>
  <c r="AZ590" i="21400"/>
  <c r="BB590" i="21400" s="1"/>
  <c r="AY590" i="21400"/>
  <c r="BA590" i="21400" s="1"/>
  <c r="AX590" i="21400"/>
  <c r="AW590" i="21400"/>
  <c r="AC590" i="21400"/>
  <c r="M590" i="21400"/>
  <c r="BC590" i="21400" s="1"/>
  <c r="AZ589" i="21400"/>
  <c r="BB589" i="21400" s="1"/>
  <c r="AY589" i="21400"/>
  <c r="BA589" i="21400" s="1"/>
  <c r="AX589" i="21400"/>
  <c r="AW589" i="21400"/>
  <c r="AC589" i="21400"/>
  <c r="M589" i="21400"/>
  <c r="BC589" i="21400" s="1"/>
  <c r="AZ588" i="21400"/>
  <c r="BB588" i="21400" s="1"/>
  <c r="AY588" i="21400"/>
  <c r="BA588" i="21400" s="1"/>
  <c r="AX588" i="21400"/>
  <c r="AW588" i="21400"/>
  <c r="AC588" i="21400"/>
  <c r="M588" i="21400"/>
  <c r="BC588" i="21400" s="1"/>
  <c r="AZ587" i="21400"/>
  <c r="BB587" i="21400" s="1"/>
  <c r="AY587" i="21400"/>
  <c r="BA587" i="21400" s="1"/>
  <c r="AX587" i="21400"/>
  <c r="AW587" i="21400"/>
  <c r="AC587" i="21400"/>
  <c r="M587" i="21400"/>
  <c r="BC587" i="21400" s="1"/>
  <c r="AZ586" i="21400"/>
  <c r="BB586" i="21400" s="1"/>
  <c r="AY586" i="21400"/>
  <c r="BA586" i="21400" s="1"/>
  <c r="AX586" i="21400"/>
  <c r="AW586" i="21400"/>
  <c r="AC586" i="21400"/>
  <c r="M586" i="21400"/>
  <c r="BC586" i="21400" s="1"/>
  <c r="AZ585" i="21400"/>
  <c r="BB585" i="21400" s="1"/>
  <c r="AY585" i="21400"/>
  <c r="BA585" i="21400" s="1"/>
  <c r="AX585" i="21400"/>
  <c r="AW585" i="21400"/>
  <c r="AC585" i="21400"/>
  <c r="M585" i="21400"/>
  <c r="BC585" i="21400" s="1"/>
  <c r="AZ584" i="21400"/>
  <c r="BB584" i="21400" s="1"/>
  <c r="AY584" i="21400"/>
  <c r="BA584" i="21400" s="1"/>
  <c r="AX584" i="21400"/>
  <c r="AW584" i="21400"/>
  <c r="AC584" i="21400"/>
  <c r="M584" i="21400"/>
  <c r="BC584" i="21400" s="1"/>
  <c r="AZ583" i="21400"/>
  <c r="BB583" i="21400" s="1"/>
  <c r="AY583" i="21400"/>
  <c r="BA583" i="21400" s="1"/>
  <c r="AX583" i="21400"/>
  <c r="AW583" i="21400"/>
  <c r="AC583" i="21400"/>
  <c r="M583" i="21400"/>
  <c r="BC583" i="21400" s="1"/>
  <c r="AZ582" i="21400"/>
  <c r="BB582" i="21400" s="1"/>
  <c r="AY582" i="21400"/>
  <c r="BA582" i="21400" s="1"/>
  <c r="AX582" i="21400"/>
  <c r="AW582" i="21400"/>
  <c r="AC582" i="21400"/>
  <c r="M582" i="21400"/>
  <c r="BC582" i="21400" s="1"/>
  <c r="AZ581" i="21400"/>
  <c r="BB581" i="21400" s="1"/>
  <c r="AY581" i="21400"/>
  <c r="BA581" i="21400" s="1"/>
  <c r="AX581" i="21400"/>
  <c r="AW581" i="21400"/>
  <c r="AC581" i="21400"/>
  <c r="M581" i="21400"/>
  <c r="BC581" i="21400" s="1"/>
  <c r="AZ580" i="21400"/>
  <c r="BB580" i="21400" s="1"/>
  <c r="AY580" i="21400"/>
  <c r="BA580" i="21400" s="1"/>
  <c r="AX580" i="21400"/>
  <c r="AW580" i="21400"/>
  <c r="AC580" i="21400"/>
  <c r="M580" i="21400"/>
  <c r="BC580" i="21400" s="1"/>
  <c r="AZ579" i="21400"/>
  <c r="BB579" i="21400" s="1"/>
  <c r="AY579" i="21400"/>
  <c r="BA579" i="21400" s="1"/>
  <c r="AX579" i="21400"/>
  <c r="AW579" i="21400"/>
  <c r="AC579" i="21400"/>
  <c r="M579" i="21400"/>
  <c r="BC579" i="21400" s="1"/>
  <c r="AZ578" i="21400"/>
  <c r="BB578" i="21400" s="1"/>
  <c r="AY578" i="21400"/>
  <c r="BA578" i="21400" s="1"/>
  <c r="AX578" i="21400"/>
  <c r="AW578" i="21400"/>
  <c r="AC578" i="21400"/>
  <c r="M578" i="21400"/>
  <c r="BC578" i="21400" s="1"/>
  <c r="AZ577" i="21400"/>
  <c r="BB577" i="21400" s="1"/>
  <c r="AY577" i="21400"/>
  <c r="BA577" i="21400" s="1"/>
  <c r="AX577" i="21400"/>
  <c r="AW577" i="21400"/>
  <c r="AC577" i="21400"/>
  <c r="M577" i="21400"/>
  <c r="BC577" i="21400" s="1"/>
  <c r="AZ576" i="21400"/>
  <c r="BB576" i="21400" s="1"/>
  <c r="AY576" i="21400"/>
  <c r="BA576" i="21400" s="1"/>
  <c r="AX576" i="21400"/>
  <c r="AW576" i="21400"/>
  <c r="AC576" i="21400"/>
  <c r="M576" i="21400"/>
  <c r="BC576" i="21400" s="1"/>
  <c r="AZ575" i="21400"/>
  <c r="BB575" i="21400" s="1"/>
  <c r="AY575" i="21400"/>
  <c r="BA575" i="21400" s="1"/>
  <c r="AX575" i="21400"/>
  <c r="AW575" i="21400"/>
  <c r="AC575" i="21400"/>
  <c r="M575" i="21400"/>
  <c r="BC575" i="21400" s="1"/>
  <c r="AZ574" i="21400"/>
  <c r="BB574" i="21400" s="1"/>
  <c r="AY574" i="21400"/>
  <c r="BA574" i="21400" s="1"/>
  <c r="AX574" i="21400"/>
  <c r="AW574" i="21400"/>
  <c r="AC574" i="21400"/>
  <c r="M574" i="21400"/>
  <c r="BC574" i="21400" s="1"/>
  <c r="AZ573" i="21400"/>
  <c r="BB573" i="21400" s="1"/>
  <c r="AY573" i="21400"/>
  <c r="BA573" i="21400" s="1"/>
  <c r="AX573" i="21400"/>
  <c r="AW573" i="21400"/>
  <c r="AC573" i="21400"/>
  <c r="M573" i="21400"/>
  <c r="BC573" i="21400" s="1"/>
  <c r="AZ572" i="21400"/>
  <c r="BB572" i="21400" s="1"/>
  <c r="AY572" i="21400"/>
  <c r="BA572" i="21400" s="1"/>
  <c r="AX572" i="21400"/>
  <c r="AW572" i="21400"/>
  <c r="AC572" i="21400"/>
  <c r="M572" i="21400"/>
  <c r="BC572" i="21400" s="1"/>
  <c r="AZ571" i="21400"/>
  <c r="BB571" i="21400" s="1"/>
  <c r="AY571" i="21400"/>
  <c r="BA571" i="21400" s="1"/>
  <c r="AX571" i="21400"/>
  <c r="AW571" i="21400"/>
  <c r="AC571" i="21400"/>
  <c r="M571" i="21400"/>
  <c r="BC571" i="21400" s="1"/>
  <c r="AZ570" i="21400"/>
  <c r="BB570" i="21400" s="1"/>
  <c r="AY570" i="21400"/>
  <c r="BA570" i="21400" s="1"/>
  <c r="AX570" i="21400"/>
  <c r="AW570" i="21400"/>
  <c r="AC570" i="21400"/>
  <c r="M570" i="21400"/>
  <c r="BC570" i="21400" s="1"/>
  <c r="AZ569" i="21400"/>
  <c r="BB569" i="21400" s="1"/>
  <c r="AY569" i="21400"/>
  <c r="BA569" i="21400" s="1"/>
  <c r="AX569" i="21400"/>
  <c r="AW569" i="21400"/>
  <c r="AC569" i="21400"/>
  <c r="M569" i="21400"/>
  <c r="BC569" i="21400" s="1"/>
  <c r="AZ568" i="21400"/>
  <c r="BB568" i="21400" s="1"/>
  <c r="AY568" i="21400"/>
  <c r="BA568" i="21400" s="1"/>
  <c r="AX568" i="21400"/>
  <c r="AW568" i="21400"/>
  <c r="AC568" i="21400"/>
  <c r="M568" i="21400"/>
  <c r="BC568" i="21400" s="1"/>
  <c r="AZ567" i="21400"/>
  <c r="BB567" i="21400" s="1"/>
  <c r="AY567" i="21400"/>
  <c r="BA567" i="21400" s="1"/>
  <c r="AX567" i="21400"/>
  <c r="AW567" i="21400"/>
  <c r="AC567" i="21400"/>
  <c r="M567" i="21400"/>
  <c r="BC567" i="21400" s="1"/>
  <c r="AZ566" i="21400"/>
  <c r="BB566" i="21400" s="1"/>
  <c r="AY566" i="21400"/>
  <c r="BA566" i="21400" s="1"/>
  <c r="AX566" i="21400"/>
  <c r="AW566" i="21400"/>
  <c r="AC566" i="21400"/>
  <c r="M566" i="21400"/>
  <c r="BC566" i="21400" s="1"/>
  <c r="AZ565" i="21400"/>
  <c r="BB565" i="21400" s="1"/>
  <c r="AY565" i="21400"/>
  <c r="BA565" i="21400" s="1"/>
  <c r="AX565" i="21400"/>
  <c r="AW565" i="21400"/>
  <c r="AC565" i="21400"/>
  <c r="M565" i="21400"/>
  <c r="BC565" i="21400" s="1"/>
  <c r="AZ564" i="21400"/>
  <c r="BB564" i="21400" s="1"/>
  <c r="AY564" i="21400"/>
  <c r="BA564" i="21400" s="1"/>
  <c r="AX564" i="21400"/>
  <c r="AW564" i="21400"/>
  <c r="AC564" i="21400"/>
  <c r="M564" i="21400"/>
  <c r="BC564" i="21400" s="1"/>
  <c r="AZ563" i="21400"/>
  <c r="BB563" i="21400" s="1"/>
  <c r="AY563" i="21400"/>
  <c r="BA563" i="21400" s="1"/>
  <c r="AX563" i="21400"/>
  <c r="AW563" i="21400"/>
  <c r="AC563" i="21400"/>
  <c r="M563" i="21400"/>
  <c r="BC563" i="21400" s="1"/>
  <c r="AZ562" i="21400"/>
  <c r="BB562" i="21400" s="1"/>
  <c r="AY562" i="21400"/>
  <c r="BA562" i="21400" s="1"/>
  <c r="AX562" i="21400"/>
  <c r="AW562" i="21400"/>
  <c r="AC562" i="21400"/>
  <c r="M562" i="21400"/>
  <c r="BC562" i="21400" s="1"/>
  <c r="AZ561" i="21400"/>
  <c r="BB561" i="21400" s="1"/>
  <c r="AY561" i="21400"/>
  <c r="BA561" i="21400" s="1"/>
  <c r="AX561" i="21400"/>
  <c r="AW561" i="21400"/>
  <c r="AC561" i="21400"/>
  <c r="M561" i="21400"/>
  <c r="BC561" i="21400" s="1"/>
  <c r="AZ560" i="21400"/>
  <c r="BB560" i="21400" s="1"/>
  <c r="AY560" i="21400"/>
  <c r="BA560" i="21400" s="1"/>
  <c r="AX560" i="21400"/>
  <c r="AW560" i="21400"/>
  <c r="AC560" i="21400"/>
  <c r="M560" i="21400"/>
  <c r="BC560" i="21400" s="1"/>
  <c r="AZ559" i="21400"/>
  <c r="BB559" i="21400" s="1"/>
  <c r="AY559" i="21400"/>
  <c r="BA559" i="21400" s="1"/>
  <c r="AX559" i="21400"/>
  <c r="AW559" i="21400"/>
  <c r="AC559" i="21400"/>
  <c r="M559" i="21400"/>
  <c r="BC559" i="21400" s="1"/>
  <c r="AZ558" i="21400"/>
  <c r="BB558" i="21400" s="1"/>
  <c r="AY558" i="21400"/>
  <c r="BA558" i="21400" s="1"/>
  <c r="AX558" i="21400"/>
  <c r="AW558" i="21400"/>
  <c r="AC558" i="21400"/>
  <c r="M558" i="21400"/>
  <c r="BC558" i="21400" s="1"/>
  <c r="AZ557" i="21400"/>
  <c r="BB557" i="21400" s="1"/>
  <c r="AY557" i="21400"/>
  <c r="BA557" i="21400" s="1"/>
  <c r="AX557" i="21400"/>
  <c r="AW557" i="21400"/>
  <c r="AC557" i="21400"/>
  <c r="M557" i="21400"/>
  <c r="BC557" i="21400" s="1"/>
  <c r="AZ556" i="21400"/>
  <c r="BB556" i="21400" s="1"/>
  <c r="AY556" i="21400"/>
  <c r="BA556" i="21400" s="1"/>
  <c r="AX556" i="21400"/>
  <c r="AW556" i="21400"/>
  <c r="AC556" i="21400"/>
  <c r="M556" i="21400"/>
  <c r="BC556" i="21400" s="1"/>
  <c r="AZ555" i="21400"/>
  <c r="BB555" i="21400" s="1"/>
  <c r="AY555" i="21400"/>
  <c r="BA555" i="21400" s="1"/>
  <c r="AX555" i="21400"/>
  <c r="AW555" i="21400"/>
  <c r="AC555" i="21400"/>
  <c r="M555" i="21400"/>
  <c r="BC555" i="21400" s="1"/>
  <c r="AZ554" i="21400"/>
  <c r="BB554" i="21400" s="1"/>
  <c r="AY554" i="21400"/>
  <c r="BA554" i="21400" s="1"/>
  <c r="AX554" i="21400"/>
  <c r="AW554" i="21400"/>
  <c r="AC554" i="21400"/>
  <c r="M554" i="21400"/>
  <c r="BC554" i="21400" s="1"/>
  <c r="AZ553" i="21400"/>
  <c r="BB553" i="21400" s="1"/>
  <c r="AY553" i="21400"/>
  <c r="BA553" i="21400" s="1"/>
  <c r="AX553" i="21400"/>
  <c r="AW553" i="21400"/>
  <c r="AC553" i="21400"/>
  <c r="M553" i="21400"/>
  <c r="BC553" i="21400" s="1"/>
  <c r="AZ552" i="21400"/>
  <c r="BB552" i="21400" s="1"/>
  <c r="AY552" i="21400"/>
  <c r="BA552" i="21400" s="1"/>
  <c r="AX552" i="21400"/>
  <c r="AW552" i="21400"/>
  <c r="AC552" i="21400"/>
  <c r="M552" i="21400"/>
  <c r="BC552" i="21400" s="1"/>
  <c r="AZ551" i="21400"/>
  <c r="BB551" i="21400" s="1"/>
  <c r="AY551" i="21400"/>
  <c r="BA551" i="21400" s="1"/>
  <c r="AX551" i="21400"/>
  <c r="AW551" i="21400"/>
  <c r="AC551" i="21400"/>
  <c r="M551" i="21400"/>
  <c r="BC551" i="21400" s="1"/>
  <c r="AZ550" i="21400"/>
  <c r="BB550" i="21400" s="1"/>
  <c r="AY550" i="21400"/>
  <c r="BA550" i="21400" s="1"/>
  <c r="AX550" i="21400"/>
  <c r="AW550" i="21400"/>
  <c r="AC550" i="21400"/>
  <c r="M550" i="21400"/>
  <c r="BC550" i="21400" s="1"/>
  <c r="AZ549" i="21400"/>
  <c r="BB549" i="21400" s="1"/>
  <c r="AY549" i="21400"/>
  <c r="BA549" i="21400" s="1"/>
  <c r="AX549" i="21400"/>
  <c r="AW549" i="21400"/>
  <c r="AC549" i="21400"/>
  <c r="M549" i="21400"/>
  <c r="BC549" i="21400" s="1"/>
  <c r="AZ548" i="21400"/>
  <c r="BB548" i="21400" s="1"/>
  <c r="AY548" i="21400"/>
  <c r="BA548" i="21400" s="1"/>
  <c r="AX548" i="21400"/>
  <c r="AW548" i="21400"/>
  <c r="AC548" i="21400"/>
  <c r="M548" i="21400"/>
  <c r="BC548" i="21400" s="1"/>
  <c r="AZ547" i="21400"/>
  <c r="BB547" i="21400" s="1"/>
  <c r="AY547" i="21400"/>
  <c r="BA547" i="21400" s="1"/>
  <c r="AX547" i="21400"/>
  <c r="AW547" i="21400"/>
  <c r="AC547" i="21400"/>
  <c r="M547" i="21400"/>
  <c r="BC547" i="21400" s="1"/>
  <c r="AZ546" i="21400"/>
  <c r="BB546" i="21400" s="1"/>
  <c r="AY546" i="21400"/>
  <c r="BA546" i="21400" s="1"/>
  <c r="AX546" i="21400"/>
  <c r="AW546" i="21400"/>
  <c r="AC546" i="21400"/>
  <c r="M546" i="21400"/>
  <c r="BC546" i="21400" s="1"/>
  <c r="AZ545" i="21400"/>
  <c r="BB545" i="21400" s="1"/>
  <c r="AY545" i="21400"/>
  <c r="BA545" i="21400" s="1"/>
  <c r="AX545" i="21400"/>
  <c r="AW545" i="21400"/>
  <c r="AC545" i="21400"/>
  <c r="M545" i="21400"/>
  <c r="BC545" i="21400" s="1"/>
  <c r="AZ544" i="21400"/>
  <c r="BB544" i="21400" s="1"/>
  <c r="AY544" i="21400"/>
  <c r="BA544" i="21400" s="1"/>
  <c r="AX544" i="21400"/>
  <c r="AW544" i="21400"/>
  <c r="AC544" i="21400"/>
  <c r="M544" i="21400"/>
  <c r="BC544" i="21400" s="1"/>
  <c r="AZ543" i="21400"/>
  <c r="BB543" i="21400" s="1"/>
  <c r="AY543" i="21400"/>
  <c r="BA543" i="21400" s="1"/>
  <c r="AX543" i="21400"/>
  <c r="AW543" i="21400"/>
  <c r="AC543" i="21400"/>
  <c r="M543" i="21400"/>
  <c r="BC543" i="21400" s="1"/>
  <c r="AZ542" i="21400"/>
  <c r="BB542" i="21400" s="1"/>
  <c r="AY542" i="21400"/>
  <c r="BA542" i="21400" s="1"/>
  <c r="AX542" i="21400"/>
  <c r="AW542" i="21400"/>
  <c r="AC542" i="21400"/>
  <c r="M542" i="21400"/>
  <c r="BC542" i="21400" s="1"/>
  <c r="AZ541" i="21400"/>
  <c r="BB541" i="21400" s="1"/>
  <c r="AY541" i="21400"/>
  <c r="BA541" i="21400" s="1"/>
  <c r="AX541" i="21400"/>
  <c r="AW541" i="21400"/>
  <c r="AC541" i="21400"/>
  <c r="M541" i="21400"/>
  <c r="BC541" i="21400" s="1"/>
  <c r="AZ540" i="21400"/>
  <c r="BB540" i="21400" s="1"/>
  <c r="AY540" i="21400"/>
  <c r="BA540" i="21400" s="1"/>
  <c r="AX540" i="21400"/>
  <c r="AW540" i="21400"/>
  <c r="AC540" i="21400"/>
  <c r="M540" i="21400"/>
  <c r="BC540" i="21400" s="1"/>
  <c r="AZ539" i="21400"/>
  <c r="BB539" i="21400" s="1"/>
  <c r="AY539" i="21400"/>
  <c r="BA539" i="21400" s="1"/>
  <c r="AX539" i="21400"/>
  <c r="AW539" i="21400"/>
  <c r="AC539" i="21400"/>
  <c r="M539" i="21400"/>
  <c r="BC539" i="21400" s="1"/>
  <c r="AZ538" i="21400"/>
  <c r="BB538" i="21400" s="1"/>
  <c r="AY538" i="21400"/>
  <c r="BA538" i="21400" s="1"/>
  <c r="AX538" i="21400"/>
  <c r="AW538" i="21400"/>
  <c r="AC538" i="21400"/>
  <c r="M538" i="21400"/>
  <c r="BC538" i="21400" s="1"/>
  <c r="AZ537" i="21400"/>
  <c r="BB537" i="21400" s="1"/>
  <c r="AY537" i="21400"/>
  <c r="BA537" i="21400" s="1"/>
  <c r="AX537" i="21400"/>
  <c r="AW537" i="21400"/>
  <c r="AC537" i="21400"/>
  <c r="M537" i="21400"/>
  <c r="BC537" i="21400" s="1"/>
  <c r="AZ536" i="21400"/>
  <c r="BB536" i="21400" s="1"/>
  <c r="AY536" i="21400"/>
  <c r="BA536" i="21400" s="1"/>
  <c r="AX536" i="21400"/>
  <c r="AW536" i="21400"/>
  <c r="AC536" i="21400"/>
  <c r="M536" i="21400"/>
  <c r="BC536" i="21400" s="1"/>
  <c r="AZ535" i="21400"/>
  <c r="BB535" i="21400" s="1"/>
  <c r="AY535" i="21400"/>
  <c r="BA535" i="21400" s="1"/>
  <c r="AX535" i="21400"/>
  <c r="AW535" i="21400"/>
  <c r="AC535" i="21400"/>
  <c r="M535" i="21400"/>
  <c r="BC535" i="21400" s="1"/>
  <c r="AZ534" i="21400"/>
  <c r="BB534" i="21400" s="1"/>
  <c r="AY534" i="21400"/>
  <c r="BA534" i="21400" s="1"/>
  <c r="AX534" i="21400"/>
  <c r="AW534" i="21400"/>
  <c r="AC534" i="21400"/>
  <c r="M534" i="21400"/>
  <c r="BC534" i="21400" s="1"/>
  <c r="AZ533" i="21400"/>
  <c r="BB533" i="21400" s="1"/>
  <c r="AY533" i="21400"/>
  <c r="BA533" i="21400" s="1"/>
  <c r="AX533" i="21400"/>
  <c r="AW533" i="21400"/>
  <c r="AC533" i="21400"/>
  <c r="M533" i="21400"/>
  <c r="BC533" i="21400" s="1"/>
  <c r="AZ532" i="21400"/>
  <c r="BB532" i="21400" s="1"/>
  <c r="AY532" i="21400"/>
  <c r="BA532" i="21400" s="1"/>
  <c r="AX532" i="21400"/>
  <c r="AW532" i="21400"/>
  <c r="AC532" i="21400"/>
  <c r="M532" i="21400"/>
  <c r="BC532" i="21400" s="1"/>
  <c r="AZ531" i="21400"/>
  <c r="BB531" i="21400" s="1"/>
  <c r="AY531" i="21400"/>
  <c r="BA531" i="21400" s="1"/>
  <c r="AX531" i="21400"/>
  <c r="AW531" i="21400"/>
  <c r="AC531" i="21400"/>
  <c r="M531" i="21400"/>
  <c r="BC531" i="21400" s="1"/>
  <c r="AZ530" i="21400"/>
  <c r="BB530" i="21400" s="1"/>
  <c r="AY530" i="21400"/>
  <c r="BA530" i="21400" s="1"/>
  <c r="AX530" i="21400"/>
  <c r="AW530" i="21400"/>
  <c r="AC530" i="21400"/>
  <c r="M530" i="21400"/>
  <c r="BC530" i="21400" s="1"/>
  <c r="AZ529" i="21400"/>
  <c r="BB529" i="21400" s="1"/>
  <c r="AY529" i="21400"/>
  <c r="BA529" i="21400" s="1"/>
  <c r="AX529" i="21400"/>
  <c r="AW529" i="21400"/>
  <c r="AC529" i="21400"/>
  <c r="M529" i="21400"/>
  <c r="BC529" i="21400" s="1"/>
  <c r="AZ528" i="21400"/>
  <c r="BB528" i="21400" s="1"/>
  <c r="AY528" i="21400"/>
  <c r="BA528" i="21400" s="1"/>
  <c r="AX528" i="21400"/>
  <c r="AW528" i="21400"/>
  <c r="AC528" i="21400"/>
  <c r="M528" i="21400"/>
  <c r="BC528" i="21400" s="1"/>
  <c r="AZ527" i="21400"/>
  <c r="BB527" i="21400" s="1"/>
  <c r="AY527" i="21400"/>
  <c r="BA527" i="21400" s="1"/>
  <c r="AX527" i="21400"/>
  <c r="AW527" i="21400"/>
  <c r="AC527" i="21400"/>
  <c r="M527" i="21400"/>
  <c r="BC527" i="21400" s="1"/>
  <c r="AZ526" i="21400"/>
  <c r="BB526" i="21400" s="1"/>
  <c r="AY526" i="21400"/>
  <c r="BA526" i="21400" s="1"/>
  <c r="AX526" i="21400"/>
  <c r="AW526" i="21400"/>
  <c r="AC526" i="21400"/>
  <c r="M526" i="21400"/>
  <c r="BC526" i="21400" s="1"/>
  <c r="AZ525" i="21400"/>
  <c r="BB525" i="21400" s="1"/>
  <c r="AY525" i="21400"/>
  <c r="BA525" i="21400" s="1"/>
  <c r="AX525" i="21400"/>
  <c r="AW525" i="21400"/>
  <c r="AC525" i="21400"/>
  <c r="M525" i="21400"/>
  <c r="BC525" i="21400" s="1"/>
  <c r="AZ524" i="21400"/>
  <c r="BB524" i="21400" s="1"/>
  <c r="AY524" i="21400"/>
  <c r="BA524" i="21400" s="1"/>
  <c r="AX524" i="21400"/>
  <c r="AW524" i="21400"/>
  <c r="AC524" i="21400"/>
  <c r="M524" i="21400"/>
  <c r="BC524" i="21400" s="1"/>
  <c r="AZ523" i="21400"/>
  <c r="BB523" i="21400" s="1"/>
  <c r="AY523" i="21400"/>
  <c r="BA523" i="21400" s="1"/>
  <c r="AX523" i="21400"/>
  <c r="AW523" i="21400"/>
  <c r="AC523" i="21400"/>
  <c r="M523" i="21400"/>
  <c r="BC523" i="21400" s="1"/>
  <c r="AZ522" i="21400"/>
  <c r="BB522" i="21400" s="1"/>
  <c r="AY522" i="21400"/>
  <c r="BA522" i="21400" s="1"/>
  <c r="AX522" i="21400"/>
  <c r="AW522" i="21400"/>
  <c r="AC522" i="21400"/>
  <c r="M522" i="21400"/>
  <c r="BC522" i="21400" s="1"/>
  <c r="AZ521" i="21400"/>
  <c r="BB521" i="21400" s="1"/>
  <c r="AY521" i="21400"/>
  <c r="BA521" i="21400" s="1"/>
  <c r="AX521" i="21400"/>
  <c r="AW521" i="21400"/>
  <c r="AC521" i="21400"/>
  <c r="M521" i="21400"/>
  <c r="BC521" i="21400" s="1"/>
  <c r="AZ520" i="21400"/>
  <c r="BB520" i="21400" s="1"/>
  <c r="AY520" i="21400"/>
  <c r="BA520" i="21400" s="1"/>
  <c r="AX520" i="21400"/>
  <c r="AW520" i="21400"/>
  <c r="AC520" i="21400"/>
  <c r="M520" i="21400"/>
  <c r="BC520" i="21400" s="1"/>
  <c r="AZ519" i="21400"/>
  <c r="BB519" i="21400" s="1"/>
  <c r="AY519" i="21400"/>
  <c r="BA519" i="21400" s="1"/>
  <c r="AX519" i="21400"/>
  <c r="AW519" i="21400"/>
  <c r="AC519" i="21400"/>
  <c r="M519" i="21400"/>
  <c r="BC519" i="21400" s="1"/>
  <c r="AZ518" i="21400"/>
  <c r="BB518" i="21400" s="1"/>
  <c r="AY518" i="21400"/>
  <c r="BA518" i="21400" s="1"/>
  <c r="AX518" i="21400"/>
  <c r="AW518" i="21400"/>
  <c r="AC518" i="21400"/>
  <c r="M518" i="21400"/>
  <c r="BC518" i="21400" s="1"/>
  <c r="AZ517" i="21400"/>
  <c r="BB517" i="21400" s="1"/>
  <c r="AY517" i="21400"/>
  <c r="BA517" i="21400" s="1"/>
  <c r="AX517" i="21400"/>
  <c r="AW517" i="21400"/>
  <c r="AC517" i="21400"/>
  <c r="M517" i="21400"/>
  <c r="BC517" i="21400" s="1"/>
  <c r="AZ516" i="21400"/>
  <c r="BB516" i="21400" s="1"/>
  <c r="AY516" i="21400"/>
  <c r="BA516" i="21400" s="1"/>
  <c r="AX516" i="21400"/>
  <c r="AW516" i="21400"/>
  <c r="AC516" i="21400"/>
  <c r="M516" i="21400"/>
  <c r="BC516" i="21400" s="1"/>
  <c r="AZ515" i="21400"/>
  <c r="BB515" i="21400" s="1"/>
  <c r="AY515" i="21400"/>
  <c r="BA515" i="21400" s="1"/>
  <c r="AX515" i="21400"/>
  <c r="AW515" i="21400"/>
  <c r="AC515" i="21400"/>
  <c r="M515" i="21400"/>
  <c r="BC515" i="21400" s="1"/>
  <c r="AZ514" i="21400"/>
  <c r="BB514" i="21400" s="1"/>
  <c r="AY514" i="21400"/>
  <c r="BA514" i="21400" s="1"/>
  <c r="AX514" i="21400"/>
  <c r="AW514" i="21400"/>
  <c r="AC514" i="21400"/>
  <c r="M514" i="21400"/>
  <c r="BC514" i="21400" s="1"/>
  <c r="AZ513" i="21400"/>
  <c r="BB513" i="21400" s="1"/>
  <c r="AY513" i="21400"/>
  <c r="BA513" i="21400" s="1"/>
  <c r="AX513" i="21400"/>
  <c r="AW513" i="21400"/>
  <c r="AC513" i="21400"/>
  <c r="M513" i="21400"/>
  <c r="BC513" i="21400" s="1"/>
  <c r="AZ512" i="21400"/>
  <c r="BB512" i="21400" s="1"/>
  <c r="AY512" i="21400"/>
  <c r="BA512" i="21400" s="1"/>
  <c r="AX512" i="21400"/>
  <c r="AW512" i="21400"/>
  <c r="AC512" i="21400"/>
  <c r="M512" i="21400"/>
  <c r="BC512" i="21400" s="1"/>
  <c r="AZ511" i="21400"/>
  <c r="BB511" i="21400" s="1"/>
  <c r="AY511" i="21400"/>
  <c r="BA511" i="21400" s="1"/>
  <c r="AX511" i="21400"/>
  <c r="AW511" i="21400"/>
  <c r="AC511" i="21400"/>
  <c r="M511" i="21400"/>
  <c r="BC511" i="21400" s="1"/>
  <c r="AZ510" i="21400"/>
  <c r="BB510" i="21400" s="1"/>
  <c r="AY510" i="21400"/>
  <c r="BA510" i="21400" s="1"/>
  <c r="AX510" i="21400"/>
  <c r="AW510" i="21400"/>
  <c r="AC510" i="21400"/>
  <c r="M510" i="21400"/>
  <c r="BC510" i="21400" s="1"/>
  <c r="AZ509" i="21400"/>
  <c r="BB509" i="21400" s="1"/>
  <c r="AY509" i="21400"/>
  <c r="BA509" i="21400" s="1"/>
  <c r="AX509" i="21400"/>
  <c r="AW509" i="21400"/>
  <c r="AC509" i="21400"/>
  <c r="M509" i="21400"/>
  <c r="BC509" i="21400" s="1"/>
  <c r="AZ508" i="21400"/>
  <c r="BB508" i="21400" s="1"/>
  <c r="AY508" i="21400"/>
  <c r="BA508" i="21400" s="1"/>
  <c r="AX508" i="21400"/>
  <c r="AW508" i="21400"/>
  <c r="AC508" i="21400"/>
  <c r="M508" i="21400"/>
  <c r="BC508" i="21400" s="1"/>
  <c r="AZ507" i="21400"/>
  <c r="BB507" i="21400" s="1"/>
  <c r="AY507" i="21400"/>
  <c r="BA507" i="21400" s="1"/>
  <c r="AX507" i="21400"/>
  <c r="AW507" i="21400"/>
  <c r="AC507" i="21400"/>
  <c r="M507" i="21400"/>
  <c r="BC507" i="21400" s="1"/>
  <c r="AZ506" i="21400"/>
  <c r="BB506" i="21400" s="1"/>
  <c r="AY506" i="21400"/>
  <c r="BA506" i="21400" s="1"/>
  <c r="AX506" i="21400"/>
  <c r="AW506" i="21400"/>
  <c r="AC506" i="21400"/>
  <c r="M506" i="21400"/>
  <c r="BC506" i="21400" s="1"/>
  <c r="AZ505" i="21400"/>
  <c r="BB505" i="21400" s="1"/>
  <c r="AY505" i="21400"/>
  <c r="BA505" i="21400" s="1"/>
  <c r="AX505" i="21400"/>
  <c r="AW505" i="21400"/>
  <c r="AC505" i="21400"/>
  <c r="M505" i="21400"/>
  <c r="BC505" i="21400" s="1"/>
  <c r="AZ504" i="21400"/>
  <c r="BB504" i="21400" s="1"/>
  <c r="AY504" i="21400"/>
  <c r="BA504" i="21400" s="1"/>
  <c r="AX504" i="21400"/>
  <c r="AW504" i="21400"/>
  <c r="AC504" i="21400"/>
  <c r="M504" i="21400"/>
  <c r="BC504" i="21400" s="1"/>
  <c r="AZ503" i="21400"/>
  <c r="BB503" i="21400" s="1"/>
  <c r="AY503" i="21400"/>
  <c r="BA503" i="21400" s="1"/>
  <c r="AX503" i="21400"/>
  <c r="AW503" i="21400"/>
  <c r="AC503" i="21400"/>
  <c r="M503" i="21400"/>
  <c r="BC503" i="21400" s="1"/>
  <c r="AZ502" i="21400"/>
  <c r="BB502" i="21400" s="1"/>
  <c r="AY502" i="21400"/>
  <c r="BA502" i="21400" s="1"/>
  <c r="AX502" i="21400"/>
  <c r="AW502" i="21400"/>
  <c r="AC502" i="21400"/>
  <c r="M502" i="21400"/>
  <c r="BC502" i="21400" s="1"/>
  <c r="AZ501" i="21400"/>
  <c r="BB501" i="21400" s="1"/>
  <c r="AY501" i="21400"/>
  <c r="BA501" i="21400" s="1"/>
  <c r="AX501" i="21400"/>
  <c r="AW501" i="21400"/>
  <c r="AC501" i="21400"/>
  <c r="M501" i="21400"/>
  <c r="BC501" i="21400" s="1"/>
  <c r="AZ500" i="21400"/>
  <c r="BB500" i="21400" s="1"/>
  <c r="AY500" i="21400"/>
  <c r="BA500" i="21400" s="1"/>
  <c r="AX500" i="21400"/>
  <c r="AW500" i="21400"/>
  <c r="AC500" i="21400"/>
  <c r="M500" i="21400"/>
  <c r="BC500" i="21400" s="1"/>
  <c r="AZ499" i="21400"/>
  <c r="BB499" i="21400" s="1"/>
  <c r="AY499" i="21400"/>
  <c r="BA499" i="21400" s="1"/>
  <c r="AX499" i="21400"/>
  <c r="AW499" i="21400"/>
  <c r="AC499" i="21400"/>
  <c r="M499" i="21400"/>
  <c r="BC499" i="21400" s="1"/>
  <c r="AZ498" i="21400"/>
  <c r="BB498" i="21400" s="1"/>
  <c r="AY498" i="21400"/>
  <c r="BA498" i="21400" s="1"/>
  <c r="AX498" i="21400"/>
  <c r="AW498" i="21400"/>
  <c r="AC498" i="21400"/>
  <c r="M498" i="21400"/>
  <c r="BC498" i="21400" s="1"/>
  <c r="AZ497" i="21400"/>
  <c r="BB497" i="21400" s="1"/>
  <c r="AY497" i="21400"/>
  <c r="BA497" i="21400" s="1"/>
  <c r="AX497" i="21400"/>
  <c r="AW497" i="21400"/>
  <c r="AC497" i="21400"/>
  <c r="M497" i="21400"/>
  <c r="BC497" i="21400" s="1"/>
  <c r="AZ496" i="21400"/>
  <c r="BB496" i="21400" s="1"/>
  <c r="AY496" i="21400"/>
  <c r="BA496" i="21400" s="1"/>
  <c r="AX496" i="21400"/>
  <c r="AW496" i="21400"/>
  <c r="AC496" i="21400"/>
  <c r="M496" i="21400"/>
  <c r="BC496" i="21400" s="1"/>
  <c r="AZ495" i="21400"/>
  <c r="BB495" i="21400" s="1"/>
  <c r="AY495" i="21400"/>
  <c r="BA495" i="21400" s="1"/>
  <c r="AX495" i="21400"/>
  <c r="AW495" i="21400"/>
  <c r="AC495" i="21400"/>
  <c r="M495" i="21400"/>
  <c r="BC495" i="21400" s="1"/>
  <c r="AZ494" i="21400"/>
  <c r="BB494" i="21400" s="1"/>
  <c r="AY494" i="21400"/>
  <c r="BA494" i="21400" s="1"/>
  <c r="AX494" i="21400"/>
  <c r="AW494" i="21400"/>
  <c r="AC494" i="21400"/>
  <c r="M494" i="21400"/>
  <c r="BC494" i="21400" s="1"/>
  <c r="AZ493" i="21400"/>
  <c r="BB493" i="21400" s="1"/>
  <c r="AY493" i="21400"/>
  <c r="BA493" i="21400" s="1"/>
  <c r="AX493" i="21400"/>
  <c r="AW493" i="21400"/>
  <c r="AC493" i="21400"/>
  <c r="M493" i="21400"/>
  <c r="BC493" i="21400" s="1"/>
  <c r="AZ492" i="21400"/>
  <c r="BB492" i="21400" s="1"/>
  <c r="AY492" i="21400"/>
  <c r="BA492" i="21400" s="1"/>
  <c r="AX492" i="21400"/>
  <c r="AW492" i="21400"/>
  <c r="AC492" i="21400"/>
  <c r="M492" i="21400"/>
  <c r="BC492" i="21400" s="1"/>
  <c r="AZ491" i="21400"/>
  <c r="BB491" i="21400" s="1"/>
  <c r="AY491" i="21400"/>
  <c r="BA491" i="21400" s="1"/>
  <c r="AX491" i="21400"/>
  <c r="AW491" i="21400"/>
  <c r="AC491" i="21400"/>
  <c r="M491" i="21400"/>
  <c r="BC491" i="21400" s="1"/>
  <c r="AZ490" i="21400"/>
  <c r="BB490" i="21400" s="1"/>
  <c r="AY490" i="21400"/>
  <c r="BA490" i="21400" s="1"/>
  <c r="AX490" i="21400"/>
  <c r="AW490" i="21400"/>
  <c r="AC490" i="21400"/>
  <c r="M490" i="21400"/>
  <c r="BC490" i="21400" s="1"/>
  <c r="AZ489" i="21400"/>
  <c r="BB489" i="21400" s="1"/>
  <c r="AY489" i="21400"/>
  <c r="BA489" i="21400" s="1"/>
  <c r="AX489" i="21400"/>
  <c r="AW489" i="21400"/>
  <c r="AC489" i="21400"/>
  <c r="M489" i="21400"/>
  <c r="BC489" i="21400" s="1"/>
  <c r="AZ488" i="21400"/>
  <c r="BB488" i="21400" s="1"/>
  <c r="AY488" i="21400"/>
  <c r="BA488" i="21400" s="1"/>
  <c r="AX488" i="21400"/>
  <c r="AW488" i="21400"/>
  <c r="AC488" i="21400"/>
  <c r="M488" i="21400"/>
  <c r="BC488" i="21400" s="1"/>
  <c r="AZ487" i="21400"/>
  <c r="BB487" i="21400" s="1"/>
  <c r="AY487" i="21400"/>
  <c r="BA487" i="21400" s="1"/>
  <c r="AX487" i="21400"/>
  <c r="AW487" i="21400"/>
  <c r="AC487" i="21400"/>
  <c r="M487" i="21400"/>
  <c r="BC487" i="21400" s="1"/>
  <c r="AZ486" i="21400"/>
  <c r="BB486" i="21400" s="1"/>
  <c r="AY486" i="21400"/>
  <c r="BA486" i="21400" s="1"/>
  <c r="AX486" i="21400"/>
  <c r="AW486" i="21400"/>
  <c r="AC486" i="21400"/>
  <c r="M486" i="21400"/>
  <c r="BC486" i="21400" s="1"/>
  <c r="AZ485" i="21400"/>
  <c r="BB485" i="21400" s="1"/>
  <c r="AY485" i="21400"/>
  <c r="BA485" i="21400" s="1"/>
  <c r="AX485" i="21400"/>
  <c r="AW485" i="21400"/>
  <c r="AC485" i="21400"/>
  <c r="M485" i="21400"/>
  <c r="BC485" i="21400" s="1"/>
  <c r="AZ484" i="21400"/>
  <c r="BB484" i="21400" s="1"/>
  <c r="AY484" i="21400"/>
  <c r="BA484" i="21400" s="1"/>
  <c r="AX484" i="21400"/>
  <c r="AW484" i="21400"/>
  <c r="AC484" i="21400"/>
  <c r="M484" i="21400"/>
  <c r="BC484" i="21400" s="1"/>
  <c r="AZ483" i="21400"/>
  <c r="BB483" i="21400" s="1"/>
  <c r="AY483" i="21400"/>
  <c r="BA483" i="21400" s="1"/>
  <c r="AX483" i="21400"/>
  <c r="AW483" i="21400"/>
  <c r="AC483" i="21400"/>
  <c r="M483" i="21400"/>
  <c r="BC483" i="21400" s="1"/>
  <c r="AZ482" i="21400"/>
  <c r="BB482" i="21400" s="1"/>
  <c r="AY482" i="21400"/>
  <c r="BA482" i="21400" s="1"/>
  <c r="AX482" i="21400"/>
  <c r="AW482" i="21400"/>
  <c r="AC482" i="21400"/>
  <c r="M482" i="21400"/>
  <c r="BC482" i="21400" s="1"/>
  <c r="AZ481" i="21400"/>
  <c r="BB481" i="21400" s="1"/>
  <c r="AY481" i="21400"/>
  <c r="BA481" i="21400" s="1"/>
  <c r="AX481" i="21400"/>
  <c r="AW481" i="21400"/>
  <c r="AC481" i="21400"/>
  <c r="M481" i="21400"/>
  <c r="BC481" i="21400" s="1"/>
  <c r="AZ480" i="21400"/>
  <c r="BB480" i="21400" s="1"/>
  <c r="AY480" i="21400"/>
  <c r="BA480" i="21400" s="1"/>
  <c r="AX480" i="21400"/>
  <c r="AW480" i="21400"/>
  <c r="AC480" i="21400"/>
  <c r="M480" i="21400"/>
  <c r="BC480" i="21400" s="1"/>
  <c r="AZ479" i="21400"/>
  <c r="BB479" i="21400" s="1"/>
  <c r="AY479" i="21400"/>
  <c r="BA479" i="21400" s="1"/>
  <c r="AX479" i="21400"/>
  <c r="AW479" i="21400"/>
  <c r="AC479" i="21400"/>
  <c r="M479" i="21400"/>
  <c r="BC479" i="21400" s="1"/>
  <c r="AZ478" i="21400"/>
  <c r="BB478" i="21400" s="1"/>
  <c r="AY478" i="21400"/>
  <c r="BA478" i="21400" s="1"/>
  <c r="AX478" i="21400"/>
  <c r="AW478" i="21400"/>
  <c r="AC478" i="21400"/>
  <c r="M478" i="21400"/>
  <c r="BC478" i="21400" s="1"/>
  <c r="AZ477" i="21400"/>
  <c r="BB477" i="21400" s="1"/>
  <c r="AY477" i="21400"/>
  <c r="BA477" i="21400" s="1"/>
  <c r="AX477" i="21400"/>
  <c r="AW477" i="21400"/>
  <c r="AC477" i="21400"/>
  <c r="M477" i="21400"/>
  <c r="BC477" i="21400" s="1"/>
  <c r="AZ476" i="21400"/>
  <c r="BB476" i="21400" s="1"/>
  <c r="AY476" i="21400"/>
  <c r="BA476" i="21400" s="1"/>
  <c r="AX476" i="21400"/>
  <c r="AW476" i="21400"/>
  <c r="AC476" i="21400"/>
  <c r="M476" i="21400"/>
  <c r="BC476" i="21400" s="1"/>
  <c r="AZ475" i="21400"/>
  <c r="BB475" i="21400" s="1"/>
  <c r="AY475" i="21400"/>
  <c r="BA475" i="21400" s="1"/>
  <c r="AX475" i="21400"/>
  <c r="AW475" i="21400"/>
  <c r="AC475" i="21400"/>
  <c r="M475" i="21400"/>
  <c r="BC475" i="21400" s="1"/>
  <c r="AZ474" i="21400"/>
  <c r="BB474" i="21400" s="1"/>
  <c r="AY474" i="21400"/>
  <c r="BA474" i="21400" s="1"/>
  <c r="AX474" i="21400"/>
  <c r="AW474" i="21400"/>
  <c r="AC474" i="21400"/>
  <c r="M474" i="21400"/>
  <c r="BC474" i="21400" s="1"/>
  <c r="AZ473" i="21400"/>
  <c r="BB473" i="21400" s="1"/>
  <c r="AY473" i="21400"/>
  <c r="BA473" i="21400" s="1"/>
  <c r="AX473" i="21400"/>
  <c r="AW473" i="21400"/>
  <c r="AC473" i="21400"/>
  <c r="M473" i="21400"/>
  <c r="BC473" i="21400" s="1"/>
  <c r="AZ472" i="21400"/>
  <c r="BB472" i="21400" s="1"/>
  <c r="AY472" i="21400"/>
  <c r="BA472" i="21400" s="1"/>
  <c r="AX472" i="21400"/>
  <c r="AW472" i="21400"/>
  <c r="AC472" i="21400"/>
  <c r="M472" i="21400"/>
  <c r="BC472" i="21400" s="1"/>
  <c r="AZ471" i="21400"/>
  <c r="BB471" i="21400" s="1"/>
  <c r="AY471" i="21400"/>
  <c r="BA471" i="21400" s="1"/>
  <c r="AX471" i="21400"/>
  <c r="AW471" i="21400"/>
  <c r="AC471" i="21400"/>
  <c r="M471" i="21400"/>
  <c r="BC471" i="21400" s="1"/>
  <c r="AZ470" i="21400"/>
  <c r="BB470" i="21400" s="1"/>
  <c r="AY470" i="21400"/>
  <c r="BA470" i="21400" s="1"/>
  <c r="AX470" i="21400"/>
  <c r="AW470" i="21400"/>
  <c r="AC470" i="21400"/>
  <c r="M470" i="21400"/>
  <c r="BC470" i="21400" s="1"/>
  <c r="AZ469" i="21400"/>
  <c r="BB469" i="21400" s="1"/>
  <c r="AY469" i="21400"/>
  <c r="BA469" i="21400" s="1"/>
  <c r="AX469" i="21400"/>
  <c r="AW469" i="21400"/>
  <c r="AC469" i="21400"/>
  <c r="M469" i="21400"/>
  <c r="BC469" i="21400" s="1"/>
  <c r="AZ468" i="21400"/>
  <c r="BB468" i="21400" s="1"/>
  <c r="AY468" i="21400"/>
  <c r="BA468" i="21400" s="1"/>
  <c r="AX468" i="21400"/>
  <c r="AW468" i="21400"/>
  <c r="AC468" i="21400"/>
  <c r="M468" i="21400"/>
  <c r="BC468" i="21400" s="1"/>
  <c r="AZ467" i="21400"/>
  <c r="BB467" i="21400" s="1"/>
  <c r="AY467" i="21400"/>
  <c r="BA467" i="21400" s="1"/>
  <c r="AX467" i="21400"/>
  <c r="AW467" i="21400"/>
  <c r="AC467" i="21400"/>
  <c r="M467" i="21400"/>
  <c r="BC467" i="21400" s="1"/>
  <c r="AZ466" i="21400"/>
  <c r="BB466" i="21400" s="1"/>
  <c r="AY466" i="21400"/>
  <c r="BA466" i="21400" s="1"/>
  <c r="AX466" i="21400"/>
  <c r="AW466" i="21400"/>
  <c r="AC466" i="21400"/>
  <c r="M466" i="21400"/>
  <c r="BC466" i="21400" s="1"/>
  <c r="AZ465" i="21400"/>
  <c r="BB465" i="21400" s="1"/>
  <c r="AY465" i="21400"/>
  <c r="BA465" i="21400" s="1"/>
  <c r="AX465" i="21400"/>
  <c r="AW465" i="21400"/>
  <c r="AC465" i="21400"/>
  <c r="M465" i="21400"/>
  <c r="BC465" i="21400" s="1"/>
  <c r="AZ464" i="21400"/>
  <c r="BB464" i="21400" s="1"/>
  <c r="AY464" i="21400"/>
  <c r="BA464" i="21400" s="1"/>
  <c r="AX464" i="21400"/>
  <c r="AW464" i="21400"/>
  <c r="AC464" i="21400"/>
  <c r="M464" i="21400"/>
  <c r="BC464" i="21400" s="1"/>
  <c r="AZ463" i="21400"/>
  <c r="BB463" i="21400" s="1"/>
  <c r="AY463" i="21400"/>
  <c r="BA463" i="21400" s="1"/>
  <c r="AX463" i="21400"/>
  <c r="AW463" i="21400"/>
  <c r="AC463" i="21400"/>
  <c r="M463" i="21400"/>
  <c r="BC463" i="21400" s="1"/>
  <c r="AZ462" i="21400"/>
  <c r="BB462" i="21400" s="1"/>
  <c r="AY462" i="21400"/>
  <c r="BA462" i="21400" s="1"/>
  <c r="AX462" i="21400"/>
  <c r="AW462" i="21400"/>
  <c r="AC462" i="21400"/>
  <c r="M462" i="21400"/>
  <c r="BC462" i="21400" s="1"/>
  <c r="AZ461" i="21400"/>
  <c r="BB461" i="21400" s="1"/>
  <c r="AY461" i="21400"/>
  <c r="BA461" i="21400" s="1"/>
  <c r="AX461" i="21400"/>
  <c r="AW461" i="21400"/>
  <c r="AC461" i="21400"/>
  <c r="M461" i="21400"/>
  <c r="BC461" i="21400" s="1"/>
  <c r="AZ460" i="21400"/>
  <c r="BB460" i="21400" s="1"/>
  <c r="AY460" i="21400"/>
  <c r="BA460" i="21400" s="1"/>
  <c r="AX460" i="21400"/>
  <c r="AW460" i="21400"/>
  <c r="AC460" i="21400"/>
  <c r="M460" i="21400"/>
  <c r="BC460" i="21400" s="1"/>
  <c r="AZ459" i="21400"/>
  <c r="BB459" i="21400" s="1"/>
  <c r="AY459" i="21400"/>
  <c r="BA459" i="21400" s="1"/>
  <c r="AX459" i="21400"/>
  <c r="AW459" i="21400"/>
  <c r="AC459" i="21400"/>
  <c r="M459" i="21400"/>
  <c r="BC459" i="21400" s="1"/>
  <c r="AZ458" i="21400"/>
  <c r="BB458" i="21400" s="1"/>
  <c r="AY458" i="21400"/>
  <c r="BA458" i="21400" s="1"/>
  <c r="AX458" i="21400"/>
  <c r="AW458" i="21400"/>
  <c r="AC458" i="21400"/>
  <c r="M458" i="21400"/>
  <c r="BC458" i="21400" s="1"/>
  <c r="AZ457" i="21400"/>
  <c r="BB457" i="21400" s="1"/>
  <c r="AY457" i="21400"/>
  <c r="BA457" i="21400" s="1"/>
  <c r="AX457" i="21400"/>
  <c r="AW457" i="21400"/>
  <c r="AC457" i="21400"/>
  <c r="M457" i="21400"/>
  <c r="BC457" i="21400" s="1"/>
  <c r="AZ456" i="21400"/>
  <c r="BB456" i="21400" s="1"/>
  <c r="AY456" i="21400"/>
  <c r="BA456" i="21400" s="1"/>
  <c r="AX456" i="21400"/>
  <c r="AW456" i="21400"/>
  <c r="AC456" i="21400"/>
  <c r="M456" i="21400"/>
  <c r="BC456" i="21400" s="1"/>
  <c r="AZ455" i="21400"/>
  <c r="BB455" i="21400" s="1"/>
  <c r="AY455" i="21400"/>
  <c r="BA455" i="21400" s="1"/>
  <c r="AX455" i="21400"/>
  <c r="AW455" i="21400"/>
  <c r="AC455" i="21400"/>
  <c r="M455" i="21400"/>
  <c r="BC455" i="21400" s="1"/>
  <c r="AZ454" i="21400"/>
  <c r="BB454" i="21400" s="1"/>
  <c r="AY454" i="21400"/>
  <c r="BA454" i="21400" s="1"/>
  <c r="AX454" i="21400"/>
  <c r="AW454" i="21400"/>
  <c r="AC454" i="21400"/>
  <c r="M454" i="21400"/>
  <c r="BC454" i="21400" s="1"/>
  <c r="AZ453" i="21400"/>
  <c r="BB453" i="21400" s="1"/>
  <c r="AY453" i="21400"/>
  <c r="BA453" i="21400" s="1"/>
  <c r="AX453" i="21400"/>
  <c r="AW453" i="21400"/>
  <c r="AC453" i="21400"/>
  <c r="M453" i="21400"/>
  <c r="BC453" i="21400" s="1"/>
  <c r="AZ452" i="21400"/>
  <c r="BB452" i="21400" s="1"/>
  <c r="AY452" i="21400"/>
  <c r="BA452" i="21400" s="1"/>
  <c r="AX452" i="21400"/>
  <c r="AW452" i="21400"/>
  <c r="AC452" i="21400"/>
  <c r="M452" i="21400"/>
  <c r="BC452" i="21400" s="1"/>
  <c r="AZ451" i="21400"/>
  <c r="BB451" i="21400" s="1"/>
  <c r="AY451" i="21400"/>
  <c r="BA451" i="21400" s="1"/>
  <c r="AX451" i="21400"/>
  <c r="AW451" i="21400"/>
  <c r="AC451" i="21400"/>
  <c r="M451" i="21400"/>
  <c r="BC451" i="21400" s="1"/>
  <c r="AZ450" i="21400"/>
  <c r="BB450" i="21400" s="1"/>
  <c r="AY450" i="21400"/>
  <c r="BA450" i="21400" s="1"/>
  <c r="AX450" i="21400"/>
  <c r="AW450" i="21400"/>
  <c r="AC450" i="21400"/>
  <c r="M450" i="21400"/>
  <c r="BC450" i="21400" s="1"/>
  <c r="AZ449" i="21400"/>
  <c r="BB449" i="21400" s="1"/>
  <c r="AY449" i="21400"/>
  <c r="BA449" i="21400" s="1"/>
  <c r="AX449" i="21400"/>
  <c r="AW449" i="21400"/>
  <c r="AC449" i="21400"/>
  <c r="M449" i="21400"/>
  <c r="BC449" i="21400" s="1"/>
  <c r="AZ448" i="21400"/>
  <c r="BB448" i="21400" s="1"/>
  <c r="AY448" i="21400"/>
  <c r="BA448" i="21400" s="1"/>
  <c r="AX448" i="21400"/>
  <c r="AW448" i="21400"/>
  <c r="AC448" i="21400"/>
  <c r="M448" i="21400"/>
  <c r="BC448" i="21400" s="1"/>
  <c r="AZ447" i="21400"/>
  <c r="BB447" i="21400" s="1"/>
  <c r="AY447" i="21400"/>
  <c r="BA447" i="21400" s="1"/>
  <c r="AX447" i="21400"/>
  <c r="AW447" i="21400"/>
  <c r="AC447" i="21400"/>
  <c r="M447" i="21400"/>
  <c r="BC447" i="21400" s="1"/>
  <c r="AZ446" i="21400"/>
  <c r="BB446" i="21400" s="1"/>
  <c r="AY446" i="21400"/>
  <c r="BA446" i="21400" s="1"/>
  <c r="AX446" i="21400"/>
  <c r="AW446" i="21400"/>
  <c r="AC446" i="21400"/>
  <c r="M446" i="21400"/>
  <c r="BC446" i="21400" s="1"/>
  <c r="AZ445" i="21400"/>
  <c r="BB445" i="21400" s="1"/>
  <c r="AY445" i="21400"/>
  <c r="BA445" i="21400" s="1"/>
  <c r="AX445" i="21400"/>
  <c r="AW445" i="21400"/>
  <c r="AC445" i="21400"/>
  <c r="M445" i="21400"/>
  <c r="BC445" i="21400" s="1"/>
  <c r="AZ444" i="21400"/>
  <c r="BB444" i="21400" s="1"/>
  <c r="AY444" i="21400"/>
  <c r="BA444" i="21400" s="1"/>
  <c r="AX444" i="21400"/>
  <c r="AW444" i="21400"/>
  <c r="AC444" i="21400"/>
  <c r="M444" i="21400"/>
  <c r="BC444" i="21400" s="1"/>
  <c r="AZ443" i="21400"/>
  <c r="BB443" i="21400" s="1"/>
  <c r="AY443" i="21400"/>
  <c r="BA443" i="21400" s="1"/>
  <c r="AX443" i="21400"/>
  <c r="AW443" i="21400"/>
  <c r="AC443" i="21400"/>
  <c r="M443" i="21400"/>
  <c r="BC443" i="21400" s="1"/>
  <c r="AZ442" i="21400"/>
  <c r="BB442" i="21400" s="1"/>
  <c r="AY442" i="21400"/>
  <c r="BA442" i="21400" s="1"/>
  <c r="AX442" i="21400"/>
  <c r="AW442" i="21400"/>
  <c r="AC442" i="21400"/>
  <c r="M442" i="21400"/>
  <c r="BC442" i="21400" s="1"/>
  <c r="AZ441" i="21400"/>
  <c r="BB441" i="21400" s="1"/>
  <c r="AY441" i="21400"/>
  <c r="BA441" i="21400" s="1"/>
  <c r="AX441" i="21400"/>
  <c r="AW441" i="21400"/>
  <c r="AC441" i="21400"/>
  <c r="M441" i="21400"/>
  <c r="BC441" i="21400" s="1"/>
  <c r="AZ440" i="21400"/>
  <c r="BB440" i="21400" s="1"/>
  <c r="AY440" i="21400"/>
  <c r="BA440" i="21400" s="1"/>
  <c r="AX440" i="21400"/>
  <c r="AW440" i="21400"/>
  <c r="AC440" i="21400"/>
  <c r="M440" i="21400"/>
  <c r="BC440" i="21400" s="1"/>
  <c r="AZ439" i="21400"/>
  <c r="BB439" i="21400" s="1"/>
  <c r="AY439" i="21400"/>
  <c r="BA439" i="21400" s="1"/>
  <c r="AX439" i="21400"/>
  <c r="AW439" i="21400"/>
  <c r="AC439" i="21400"/>
  <c r="M439" i="21400"/>
  <c r="BC439" i="21400" s="1"/>
  <c r="AZ438" i="21400"/>
  <c r="BB438" i="21400" s="1"/>
  <c r="AY438" i="21400"/>
  <c r="BA438" i="21400" s="1"/>
  <c r="AX438" i="21400"/>
  <c r="AW438" i="21400"/>
  <c r="AC438" i="21400"/>
  <c r="M438" i="21400"/>
  <c r="BC438" i="21400" s="1"/>
  <c r="AZ437" i="21400"/>
  <c r="BB437" i="21400" s="1"/>
  <c r="AY437" i="21400"/>
  <c r="BA437" i="21400" s="1"/>
  <c r="AX437" i="21400"/>
  <c r="AW437" i="21400"/>
  <c r="AC437" i="21400"/>
  <c r="M437" i="21400"/>
  <c r="BC437" i="21400" s="1"/>
  <c r="AZ436" i="21400"/>
  <c r="BB436" i="21400" s="1"/>
  <c r="AY436" i="21400"/>
  <c r="BA436" i="21400" s="1"/>
  <c r="AX436" i="21400"/>
  <c r="AW436" i="21400"/>
  <c r="AC436" i="21400"/>
  <c r="M436" i="21400"/>
  <c r="BC436" i="21400" s="1"/>
  <c r="AZ435" i="21400"/>
  <c r="BB435" i="21400" s="1"/>
  <c r="AY435" i="21400"/>
  <c r="BA435" i="21400" s="1"/>
  <c r="AX435" i="21400"/>
  <c r="AW435" i="21400"/>
  <c r="AC435" i="21400"/>
  <c r="M435" i="21400"/>
  <c r="BC435" i="21400" s="1"/>
  <c r="AZ434" i="21400"/>
  <c r="BB434" i="21400" s="1"/>
  <c r="AY434" i="21400"/>
  <c r="BA434" i="21400" s="1"/>
  <c r="AX434" i="21400"/>
  <c r="AW434" i="21400"/>
  <c r="AC434" i="21400"/>
  <c r="M434" i="21400"/>
  <c r="BC434" i="21400" s="1"/>
  <c r="AZ433" i="21400"/>
  <c r="BB433" i="21400" s="1"/>
  <c r="AY433" i="21400"/>
  <c r="BA433" i="21400" s="1"/>
  <c r="AX433" i="21400"/>
  <c r="AW433" i="21400"/>
  <c r="AC433" i="21400"/>
  <c r="M433" i="21400"/>
  <c r="BC433" i="21400" s="1"/>
  <c r="AZ432" i="21400"/>
  <c r="BB432" i="21400" s="1"/>
  <c r="AY432" i="21400"/>
  <c r="BA432" i="21400" s="1"/>
  <c r="AX432" i="21400"/>
  <c r="AW432" i="21400"/>
  <c r="AC432" i="21400"/>
  <c r="M432" i="21400"/>
  <c r="BC432" i="21400" s="1"/>
  <c r="AZ431" i="21400"/>
  <c r="BB431" i="21400" s="1"/>
  <c r="AY431" i="21400"/>
  <c r="BA431" i="21400" s="1"/>
  <c r="AX431" i="21400"/>
  <c r="AW431" i="21400"/>
  <c r="AC431" i="21400"/>
  <c r="M431" i="21400"/>
  <c r="BC431" i="21400" s="1"/>
  <c r="AZ430" i="21400"/>
  <c r="BB430" i="21400" s="1"/>
  <c r="AY430" i="21400"/>
  <c r="BA430" i="21400" s="1"/>
  <c r="AX430" i="21400"/>
  <c r="AW430" i="21400"/>
  <c r="AC430" i="21400"/>
  <c r="M430" i="21400"/>
  <c r="BC430" i="21400" s="1"/>
  <c r="AZ429" i="21400"/>
  <c r="BB429" i="21400" s="1"/>
  <c r="AY429" i="21400"/>
  <c r="BA429" i="21400" s="1"/>
  <c r="AX429" i="21400"/>
  <c r="AW429" i="21400"/>
  <c r="AC429" i="21400"/>
  <c r="M429" i="21400"/>
  <c r="BC429" i="21400" s="1"/>
  <c r="AZ428" i="21400"/>
  <c r="BB428" i="21400" s="1"/>
  <c r="AY428" i="21400"/>
  <c r="BA428" i="21400" s="1"/>
  <c r="AX428" i="21400"/>
  <c r="AW428" i="21400"/>
  <c r="AC428" i="21400"/>
  <c r="M428" i="21400"/>
  <c r="BC428" i="21400" s="1"/>
  <c r="AZ427" i="21400"/>
  <c r="BB427" i="21400" s="1"/>
  <c r="AY427" i="21400"/>
  <c r="BA427" i="21400" s="1"/>
  <c r="AX427" i="21400"/>
  <c r="AW427" i="21400"/>
  <c r="AC427" i="21400"/>
  <c r="M427" i="21400"/>
  <c r="BC427" i="21400" s="1"/>
  <c r="AZ426" i="21400"/>
  <c r="BB426" i="21400" s="1"/>
  <c r="AY426" i="21400"/>
  <c r="BA426" i="21400" s="1"/>
  <c r="AX426" i="21400"/>
  <c r="AW426" i="21400"/>
  <c r="AC426" i="21400"/>
  <c r="M426" i="21400"/>
  <c r="BC426" i="21400" s="1"/>
  <c r="AZ425" i="21400"/>
  <c r="BB425" i="21400" s="1"/>
  <c r="AY425" i="21400"/>
  <c r="BA425" i="21400" s="1"/>
  <c r="AX425" i="21400"/>
  <c r="AW425" i="21400"/>
  <c r="AC425" i="21400"/>
  <c r="M425" i="21400"/>
  <c r="BC425" i="21400" s="1"/>
  <c r="AZ424" i="21400"/>
  <c r="BB424" i="21400" s="1"/>
  <c r="AY424" i="21400"/>
  <c r="BA424" i="21400" s="1"/>
  <c r="AX424" i="21400"/>
  <c r="AW424" i="21400"/>
  <c r="AC424" i="21400"/>
  <c r="M424" i="21400"/>
  <c r="BC424" i="21400" s="1"/>
  <c r="AZ423" i="21400"/>
  <c r="BB423" i="21400" s="1"/>
  <c r="AY423" i="21400"/>
  <c r="BA423" i="21400" s="1"/>
  <c r="AX423" i="21400"/>
  <c r="AW423" i="21400"/>
  <c r="AC423" i="21400"/>
  <c r="M423" i="21400"/>
  <c r="BC423" i="21400" s="1"/>
  <c r="AZ422" i="21400"/>
  <c r="BB422" i="21400" s="1"/>
  <c r="AY422" i="21400"/>
  <c r="BA422" i="21400" s="1"/>
  <c r="AX422" i="21400"/>
  <c r="AW422" i="21400"/>
  <c r="AC422" i="21400"/>
  <c r="M422" i="21400"/>
  <c r="BC422" i="21400" s="1"/>
  <c r="AZ421" i="21400"/>
  <c r="BB421" i="21400" s="1"/>
  <c r="AY421" i="21400"/>
  <c r="BA421" i="21400" s="1"/>
  <c r="AX421" i="21400"/>
  <c r="AW421" i="21400"/>
  <c r="AC421" i="21400"/>
  <c r="M421" i="21400"/>
  <c r="BC421" i="21400" s="1"/>
  <c r="AZ420" i="21400"/>
  <c r="BB420" i="21400" s="1"/>
  <c r="AY420" i="21400"/>
  <c r="BA420" i="21400" s="1"/>
  <c r="AX420" i="21400"/>
  <c r="AW420" i="21400"/>
  <c r="AC420" i="21400"/>
  <c r="M420" i="21400"/>
  <c r="BC420" i="21400" s="1"/>
  <c r="AZ419" i="21400"/>
  <c r="BB419" i="21400" s="1"/>
  <c r="AY419" i="21400"/>
  <c r="BA419" i="21400" s="1"/>
  <c r="AX419" i="21400"/>
  <c r="AW419" i="21400"/>
  <c r="AC419" i="21400"/>
  <c r="M419" i="21400"/>
  <c r="BC419" i="21400" s="1"/>
  <c r="AZ418" i="21400"/>
  <c r="BB418" i="21400" s="1"/>
  <c r="AY418" i="21400"/>
  <c r="BA418" i="21400" s="1"/>
  <c r="AX418" i="21400"/>
  <c r="AW418" i="21400"/>
  <c r="AC418" i="21400"/>
  <c r="M418" i="21400"/>
  <c r="BC418" i="21400" s="1"/>
  <c r="AZ417" i="21400"/>
  <c r="BB417" i="21400" s="1"/>
  <c r="AY417" i="21400"/>
  <c r="BA417" i="21400" s="1"/>
  <c r="AX417" i="21400"/>
  <c r="AW417" i="21400"/>
  <c r="AC417" i="21400"/>
  <c r="M417" i="21400"/>
  <c r="BC417" i="21400" s="1"/>
  <c r="AZ416" i="21400"/>
  <c r="BB416" i="21400" s="1"/>
  <c r="AY416" i="21400"/>
  <c r="BA416" i="21400" s="1"/>
  <c r="AX416" i="21400"/>
  <c r="AW416" i="21400"/>
  <c r="AC416" i="21400"/>
  <c r="M416" i="21400"/>
  <c r="BC416" i="21400" s="1"/>
  <c r="AZ415" i="21400"/>
  <c r="BB415" i="21400" s="1"/>
  <c r="AY415" i="21400"/>
  <c r="BA415" i="21400" s="1"/>
  <c r="AX415" i="21400"/>
  <c r="AW415" i="21400"/>
  <c r="AC415" i="21400"/>
  <c r="M415" i="21400"/>
  <c r="BC415" i="21400" s="1"/>
  <c r="AZ414" i="21400"/>
  <c r="BB414" i="21400" s="1"/>
  <c r="AY414" i="21400"/>
  <c r="BA414" i="21400" s="1"/>
  <c r="AX414" i="21400"/>
  <c r="AW414" i="21400"/>
  <c r="AC414" i="21400"/>
  <c r="M414" i="21400"/>
  <c r="BC414" i="21400" s="1"/>
  <c r="AZ413" i="21400"/>
  <c r="BB413" i="21400" s="1"/>
  <c r="AY413" i="21400"/>
  <c r="BA413" i="21400" s="1"/>
  <c r="AX413" i="21400"/>
  <c r="AW413" i="21400"/>
  <c r="AC413" i="21400"/>
  <c r="M413" i="21400"/>
  <c r="BC413" i="21400" s="1"/>
  <c r="AZ412" i="21400"/>
  <c r="BB412" i="21400" s="1"/>
  <c r="AY412" i="21400"/>
  <c r="BA412" i="21400" s="1"/>
  <c r="AX412" i="21400"/>
  <c r="AW412" i="21400"/>
  <c r="AC412" i="21400"/>
  <c r="M412" i="21400"/>
  <c r="BC412" i="21400" s="1"/>
  <c r="AZ411" i="21400"/>
  <c r="BB411" i="21400" s="1"/>
  <c r="AY411" i="21400"/>
  <c r="BA411" i="21400" s="1"/>
  <c r="AX411" i="21400"/>
  <c r="AW411" i="21400"/>
  <c r="AC411" i="21400"/>
  <c r="M411" i="21400"/>
  <c r="BC411" i="21400" s="1"/>
  <c r="AZ410" i="21400"/>
  <c r="BB410" i="21400" s="1"/>
  <c r="AY410" i="21400"/>
  <c r="BA410" i="21400" s="1"/>
  <c r="AX410" i="21400"/>
  <c r="AW410" i="21400"/>
  <c r="AC410" i="21400"/>
  <c r="M410" i="21400"/>
  <c r="BC410" i="21400" s="1"/>
  <c r="AZ409" i="21400"/>
  <c r="BB409" i="21400" s="1"/>
  <c r="AY409" i="21400"/>
  <c r="BA409" i="21400" s="1"/>
  <c r="AX409" i="21400"/>
  <c r="AW409" i="21400"/>
  <c r="AC409" i="21400"/>
  <c r="M409" i="21400"/>
  <c r="BC409" i="21400" s="1"/>
  <c r="AZ408" i="21400"/>
  <c r="BB408" i="21400" s="1"/>
  <c r="AY408" i="21400"/>
  <c r="BA408" i="21400" s="1"/>
  <c r="AX408" i="21400"/>
  <c r="AW408" i="21400"/>
  <c r="AC408" i="21400"/>
  <c r="M408" i="21400"/>
  <c r="BC408" i="21400" s="1"/>
  <c r="AZ407" i="21400"/>
  <c r="BB407" i="21400" s="1"/>
  <c r="AY407" i="21400"/>
  <c r="BA407" i="21400" s="1"/>
  <c r="AX407" i="21400"/>
  <c r="AW407" i="21400"/>
  <c r="AC407" i="21400"/>
  <c r="M407" i="21400"/>
  <c r="BC407" i="21400" s="1"/>
  <c r="AZ406" i="21400"/>
  <c r="BB406" i="21400" s="1"/>
  <c r="AY406" i="21400"/>
  <c r="BA406" i="21400" s="1"/>
  <c r="AX406" i="21400"/>
  <c r="AW406" i="21400"/>
  <c r="AC406" i="21400"/>
  <c r="M406" i="21400"/>
  <c r="BC406" i="21400" s="1"/>
  <c r="AZ405" i="21400"/>
  <c r="BB405" i="21400" s="1"/>
  <c r="AY405" i="21400"/>
  <c r="BA405" i="21400" s="1"/>
  <c r="AX405" i="21400"/>
  <c r="AW405" i="21400"/>
  <c r="AC405" i="21400"/>
  <c r="M405" i="21400"/>
  <c r="BC405" i="21400" s="1"/>
  <c r="AZ404" i="21400"/>
  <c r="BB404" i="21400" s="1"/>
  <c r="AY404" i="21400"/>
  <c r="BA404" i="21400" s="1"/>
  <c r="AX404" i="21400"/>
  <c r="AW404" i="21400"/>
  <c r="AC404" i="21400"/>
  <c r="M404" i="21400"/>
  <c r="BC404" i="21400" s="1"/>
  <c r="AZ403" i="21400"/>
  <c r="BB403" i="21400" s="1"/>
  <c r="AY403" i="21400"/>
  <c r="BA403" i="21400" s="1"/>
  <c r="AX403" i="21400"/>
  <c r="AW403" i="21400"/>
  <c r="AC403" i="21400"/>
  <c r="M403" i="21400"/>
  <c r="BC403" i="21400" s="1"/>
  <c r="AZ402" i="21400"/>
  <c r="BB402" i="21400" s="1"/>
  <c r="AY402" i="21400"/>
  <c r="BA402" i="21400" s="1"/>
  <c r="AX402" i="21400"/>
  <c r="AW402" i="21400"/>
  <c r="AC402" i="21400"/>
  <c r="M402" i="21400"/>
  <c r="BC402" i="21400" s="1"/>
  <c r="AZ401" i="21400"/>
  <c r="BB401" i="21400" s="1"/>
  <c r="AY401" i="21400"/>
  <c r="BA401" i="21400" s="1"/>
  <c r="AX401" i="21400"/>
  <c r="AW401" i="21400"/>
  <c r="AC401" i="21400"/>
  <c r="M401" i="21400"/>
  <c r="BC401" i="21400" s="1"/>
  <c r="AZ400" i="21400"/>
  <c r="BB400" i="21400" s="1"/>
  <c r="AY400" i="21400"/>
  <c r="BA400" i="21400" s="1"/>
  <c r="AX400" i="21400"/>
  <c r="AW400" i="21400"/>
  <c r="AC400" i="21400"/>
  <c r="M400" i="21400"/>
  <c r="BC400" i="21400" s="1"/>
  <c r="AZ399" i="21400"/>
  <c r="BB399" i="21400" s="1"/>
  <c r="AY399" i="21400"/>
  <c r="BA399" i="21400" s="1"/>
  <c r="AX399" i="21400"/>
  <c r="AW399" i="21400"/>
  <c r="AC399" i="21400"/>
  <c r="M399" i="21400"/>
  <c r="BC399" i="21400" s="1"/>
  <c r="AZ398" i="21400"/>
  <c r="BB398" i="21400" s="1"/>
  <c r="AY398" i="21400"/>
  <c r="BA398" i="21400" s="1"/>
  <c r="AX398" i="21400"/>
  <c r="AW398" i="21400"/>
  <c r="AC398" i="21400"/>
  <c r="M398" i="21400"/>
  <c r="BC398" i="21400" s="1"/>
  <c r="AZ397" i="21400"/>
  <c r="BB397" i="21400" s="1"/>
  <c r="AY397" i="21400"/>
  <c r="BA397" i="21400" s="1"/>
  <c r="AX397" i="21400"/>
  <c r="AW397" i="21400"/>
  <c r="AC397" i="21400"/>
  <c r="M397" i="21400"/>
  <c r="BC397" i="21400" s="1"/>
  <c r="AZ396" i="21400"/>
  <c r="BB396" i="21400" s="1"/>
  <c r="AY396" i="21400"/>
  <c r="BA396" i="21400" s="1"/>
  <c r="AX396" i="21400"/>
  <c r="AW396" i="21400"/>
  <c r="AC396" i="21400"/>
  <c r="M396" i="21400"/>
  <c r="BC396" i="21400" s="1"/>
  <c r="AZ395" i="21400"/>
  <c r="BB395" i="21400" s="1"/>
  <c r="AY395" i="21400"/>
  <c r="BA395" i="21400" s="1"/>
  <c r="AX395" i="21400"/>
  <c r="AW395" i="21400"/>
  <c r="AC395" i="21400"/>
  <c r="M395" i="21400"/>
  <c r="BC395" i="21400" s="1"/>
  <c r="AZ394" i="21400"/>
  <c r="BB394" i="21400" s="1"/>
  <c r="AY394" i="21400"/>
  <c r="BA394" i="21400" s="1"/>
  <c r="AX394" i="21400"/>
  <c r="AW394" i="21400"/>
  <c r="AC394" i="21400"/>
  <c r="M394" i="21400"/>
  <c r="BC394" i="21400" s="1"/>
  <c r="AZ393" i="21400"/>
  <c r="BB393" i="21400" s="1"/>
  <c r="AY393" i="21400"/>
  <c r="BA393" i="21400" s="1"/>
  <c r="AX393" i="21400"/>
  <c r="AW393" i="21400"/>
  <c r="AC393" i="21400"/>
  <c r="M393" i="21400"/>
  <c r="BC393" i="21400" s="1"/>
  <c r="AZ392" i="21400"/>
  <c r="BB392" i="21400" s="1"/>
  <c r="AY392" i="21400"/>
  <c r="BA392" i="21400" s="1"/>
  <c r="AX392" i="21400"/>
  <c r="AW392" i="21400"/>
  <c r="AC392" i="21400"/>
  <c r="M392" i="21400"/>
  <c r="BC392" i="21400" s="1"/>
  <c r="AZ391" i="21400"/>
  <c r="BB391" i="21400" s="1"/>
  <c r="AY391" i="21400"/>
  <c r="BA391" i="21400" s="1"/>
  <c r="AX391" i="21400"/>
  <c r="AW391" i="21400"/>
  <c r="AC391" i="21400"/>
  <c r="M391" i="21400"/>
  <c r="BC391" i="21400" s="1"/>
  <c r="AZ390" i="21400"/>
  <c r="BB390" i="21400" s="1"/>
  <c r="AY390" i="21400"/>
  <c r="BA390" i="21400" s="1"/>
  <c r="AX390" i="21400"/>
  <c r="AW390" i="21400"/>
  <c r="AC390" i="21400"/>
  <c r="M390" i="21400"/>
  <c r="BC390" i="21400" s="1"/>
  <c r="AZ389" i="21400"/>
  <c r="BB389" i="21400" s="1"/>
  <c r="AY389" i="21400"/>
  <c r="BA389" i="21400" s="1"/>
  <c r="AX389" i="21400"/>
  <c r="AW389" i="21400"/>
  <c r="AC389" i="21400"/>
  <c r="M389" i="21400"/>
  <c r="BC389" i="21400" s="1"/>
  <c r="AZ388" i="21400"/>
  <c r="BB388" i="21400" s="1"/>
  <c r="AY388" i="21400"/>
  <c r="BA388" i="21400" s="1"/>
  <c r="AX388" i="21400"/>
  <c r="AW388" i="21400"/>
  <c r="AC388" i="21400"/>
  <c r="M388" i="21400"/>
  <c r="BC388" i="21400" s="1"/>
  <c r="AZ387" i="21400"/>
  <c r="BB387" i="21400" s="1"/>
  <c r="AY387" i="21400"/>
  <c r="BA387" i="21400" s="1"/>
  <c r="AX387" i="21400"/>
  <c r="AW387" i="21400"/>
  <c r="AC387" i="21400"/>
  <c r="M387" i="21400"/>
  <c r="BC387" i="21400" s="1"/>
  <c r="AZ386" i="21400"/>
  <c r="BB386" i="21400" s="1"/>
  <c r="AY386" i="21400"/>
  <c r="BA386" i="21400" s="1"/>
  <c r="AX386" i="21400"/>
  <c r="AW386" i="21400"/>
  <c r="AC386" i="21400"/>
  <c r="M386" i="21400"/>
  <c r="BC386" i="21400" s="1"/>
  <c r="AZ385" i="21400"/>
  <c r="BB385" i="21400" s="1"/>
  <c r="AY385" i="21400"/>
  <c r="BA385" i="21400" s="1"/>
  <c r="AX385" i="21400"/>
  <c r="AW385" i="21400"/>
  <c r="AC385" i="21400"/>
  <c r="M385" i="21400"/>
  <c r="BC385" i="21400" s="1"/>
  <c r="AZ384" i="21400"/>
  <c r="BB384" i="21400" s="1"/>
  <c r="AY384" i="21400"/>
  <c r="BA384" i="21400" s="1"/>
  <c r="AX384" i="21400"/>
  <c r="AW384" i="21400"/>
  <c r="AC384" i="21400"/>
  <c r="M384" i="21400"/>
  <c r="BC384" i="21400" s="1"/>
  <c r="AZ383" i="21400"/>
  <c r="BB383" i="21400" s="1"/>
  <c r="AY383" i="21400"/>
  <c r="BA383" i="21400" s="1"/>
  <c r="AX383" i="21400"/>
  <c r="AW383" i="21400"/>
  <c r="AC383" i="21400"/>
  <c r="M383" i="21400"/>
  <c r="BC383" i="21400" s="1"/>
  <c r="AZ382" i="21400"/>
  <c r="BB382" i="21400" s="1"/>
  <c r="AY382" i="21400"/>
  <c r="BA382" i="21400" s="1"/>
  <c r="AX382" i="21400"/>
  <c r="AW382" i="21400"/>
  <c r="AC382" i="21400"/>
  <c r="M382" i="21400"/>
  <c r="BC382" i="21400" s="1"/>
  <c r="AZ381" i="21400"/>
  <c r="BB381" i="21400" s="1"/>
  <c r="AY381" i="21400"/>
  <c r="BA381" i="21400" s="1"/>
  <c r="AX381" i="21400"/>
  <c r="AW381" i="21400"/>
  <c r="AC381" i="21400"/>
  <c r="M381" i="21400"/>
  <c r="BC381" i="21400" s="1"/>
  <c r="AZ380" i="21400"/>
  <c r="BB380" i="21400" s="1"/>
  <c r="AY380" i="21400"/>
  <c r="BA380" i="21400" s="1"/>
  <c r="AX380" i="21400"/>
  <c r="AW380" i="21400"/>
  <c r="AC380" i="21400"/>
  <c r="M380" i="21400"/>
  <c r="BC380" i="21400" s="1"/>
  <c r="AZ379" i="21400"/>
  <c r="BB379" i="21400" s="1"/>
  <c r="AY379" i="21400"/>
  <c r="BA379" i="21400" s="1"/>
  <c r="AX379" i="21400"/>
  <c r="AW379" i="21400"/>
  <c r="AC379" i="21400"/>
  <c r="M379" i="21400"/>
  <c r="BC379" i="21400" s="1"/>
  <c r="AZ378" i="21400"/>
  <c r="BB378" i="21400" s="1"/>
  <c r="AY378" i="21400"/>
  <c r="BA378" i="21400" s="1"/>
  <c r="AX378" i="21400"/>
  <c r="AW378" i="21400"/>
  <c r="AC378" i="21400"/>
  <c r="M378" i="21400"/>
  <c r="BC378" i="21400" s="1"/>
  <c r="AZ377" i="21400"/>
  <c r="BB377" i="21400" s="1"/>
  <c r="AY377" i="21400"/>
  <c r="BA377" i="21400" s="1"/>
  <c r="AX377" i="21400"/>
  <c r="AW377" i="21400"/>
  <c r="AC377" i="21400"/>
  <c r="M377" i="21400"/>
  <c r="BC377" i="21400" s="1"/>
  <c r="AZ376" i="21400"/>
  <c r="BB376" i="21400" s="1"/>
  <c r="AY376" i="21400"/>
  <c r="BA376" i="21400" s="1"/>
  <c r="AX376" i="21400"/>
  <c r="AW376" i="21400"/>
  <c r="AC376" i="21400"/>
  <c r="M376" i="21400"/>
  <c r="BC376" i="21400" s="1"/>
  <c r="AZ375" i="21400"/>
  <c r="BB375" i="21400" s="1"/>
  <c r="AY375" i="21400"/>
  <c r="BA375" i="21400" s="1"/>
  <c r="AX375" i="21400"/>
  <c r="AW375" i="21400"/>
  <c r="AC375" i="21400"/>
  <c r="M375" i="21400"/>
  <c r="BC375" i="21400" s="1"/>
  <c r="AZ374" i="21400"/>
  <c r="BB374" i="21400" s="1"/>
  <c r="AY374" i="21400"/>
  <c r="BA374" i="21400" s="1"/>
  <c r="AX374" i="21400"/>
  <c r="AW374" i="21400"/>
  <c r="AC374" i="21400"/>
  <c r="M374" i="21400"/>
  <c r="BC374" i="21400" s="1"/>
  <c r="AZ373" i="21400"/>
  <c r="BB373" i="21400" s="1"/>
  <c r="AY373" i="21400"/>
  <c r="BA373" i="21400" s="1"/>
  <c r="AX373" i="21400"/>
  <c r="AW373" i="21400"/>
  <c r="AC373" i="21400"/>
  <c r="M373" i="21400"/>
  <c r="BC373" i="21400" s="1"/>
  <c r="AZ372" i="21400"/>
  <c r="BB372" i="21400" s="1"/>
  <c r="AY372" i="21400"/>
  <c r="BA372" i="21400" s="1"/>
  <c r="AX372" i="21400"/>
  <c r="AW372" i="21400"/>
  <c r="AC372" i="21400"/>
  <c r="M372" i="21400"/>
  <c r="BC372" i="21400" s="1"/>
  <c r="AZ371" i="21400"/>
  <c r="BB371" i="21400" s="1"/>
  <c r="AY371" i="21400"/>
  <c r="BA371" i="21400" s="1"/>
  <c r="AX371" i="21400"/>
  <c r="AW371" i="21400"/>
  <c r="AC371" i="21400"/>
  <c r="M371" i="21400"/>
  <c r="BC371" i="21400" s="1"/>
  <c r="AZ370" i="21400"/>
  <c r="BB370" i="21400" s="1"/>
  <c r="AY370" i="21400"/>
  <c r="BA370" i="21400" s="1"/>
  <c r="AX370" i="21400"/>
  <c r="AW370" i="21400"/>
  <c r="AC370" i="21400"/>
  <c r="M370" i="21400"/>
  <c r="BC370" i="21400" s="1"/>
  <c r="AZ369" i="21400"/>
  <c r="BB369" i="21400" s="1"/>
  <c r="AY369" i="21400"/>
  <c r="BA369" i="21400" s="1"/>
  <c r="AX369" i="21400"/>
  <c r="AW369" i="21400"/>
  <c r="AC369" i="21400"/>
  <c r="M369" i="21400"/>
  <c r="BC369" i="21400" s="1"/>
  <c r="AZ368" i="21400"/>
  <c r="BB368" i="21400" s="1"/>
  <c r="AY368" i="21400"/>
  <c r="BA368" i="21400" s="1"/>
  <c r="AX368" i="21400"/>
  <c r="AW368" i="21400"/>
  <c r="AC368" i="21400"/>
  <c r="M368" i="21400"/>
  <c r="BC368" i="21400" s="1"/>
  <c r="AZ367" i="21400"/>
  <c r="BB367" i="21400" s="1"/>
  <c r="AY367" i="21400"/>
  <c r="BA367" i="21400" s="1"/>
  <c r="AX367" i="21400"/>
  <c r="AW367" i="21400"/>
  <c r="AC367" i="21400"/>
  <c r="M367" i="21400"/>
  <c r="BC367" i="21400" s="1"/>
  <c r="AZ366" i="21400"/>
  <c r="BB366" i="21400" s="1"/>
  <c r="AY366" i="21400"/>
  <c r="BA366" i="21400" s="1"/>
  <c r="AX366" i="21400"/>
  <c r="AW366" i="21400"/>
  <c r="AC366" i="21400"/>
  <c r="M366" i="21400"/>
  <c r="BC366" i="21400" s="1"/>
  <c r="AZ365" i="21400"/>
  <c r="BB365" i="21400" s="1"/>
  <c r="AY365" i="21400"/>
  <c r="BA365" i="21400" s="1"/>
  <c r="AX365" i="21400"/>
  <c r="AW365" i="21400"/>
  <c r="AC365" i="21400"/>
  <c r="M365" i="21400"/>
  <c r="BC365" i="21400" s="1"/>
  <c r="AZ364" i="21400"/>
  <c r="BB364" i="21400" s="1"/>
  <c r="AY364" i="21400"/>
  <c r="BA364" i="21400" s="1"/>
  <c r="AX364" i="21400"/>
  <c r="AW364" i="21400"/>
  <c r="AC364" i="21400"/>
  <c r="M364" i="21400"/>
  <c r="BC364" i="21400" s="1"/>
  <c r="AZ363" i="21400"/>
  <c r="BB363" i="21400" s="1"/>
  <c r="AY363" i="21400"/>
  <c r="BA363" i="21400" s="1"/>
  <c r="AX363" i="21400"/>
  <c r="AW363" i="21400"/>
  <c r="AC363" i="21400"/>
  <c r="M363" i="21400"/>
  <c r="BC363" i="21400" s="1"/>
  <c r="AZ362" i="21400"/>
  <c r="BB362" i="21400" s="1"/>
  <c r="AY362" i="21400"/>
  <c r="BA362" i="21400" s="1"/>
  <c r="AX362" i="21400"/>
  <c r="AW362" i="21400"/>
  <c r="AC362" i="21400"/>
  <c r="M362" i="21400"/>
  <c r="BC362" i="21400" s="1"/>
  <c r="AZ361" i="21400"/>
  <c r="BB361" i="21400" s="1"/>
  <c r="AY361" i="21400"/>
  <c r="BA361" i="21400" s="1"/>
  <c r="AX361" i="21400"/>
  <c r="AW361" i="21400"/>
  <c r="AC361" i="21400"/>
  <c r="M361" i="21400"/>
  <c r="BC361" i="21400" s="1"/>
  <c r="AZ360" i="21400"/>
  <c r="BB360" i="21400" s="1"/>
  <c r="AY360" i="21400"/>
  <c r="BA360" i="21400" s="1"/>
  <c r="AX360" i="21400"/>
  <c r="AW360" i="21400"/>
  <c r="AC360" i="21400"/>
  <c r="M360" i="21400"/>
  <c r="BC360" i="21400" s="1"/>
  <c r="AZ359" i="21400"/>
  <c r="BB359" i="21400" s="1"/>
  <c r="AY359" i="21400"/>
  <c r="BA359" i="21400" s="1"/>
  <c r="AX359" i="21400"/>
  <c r="AW359" i="21400"/>
  <c r="AC359" i="21400"/>
  <c r="M359" i="21400"/>
  <c r="BC359" i="21400" s="1"/>
  <c r="AZ358" i="21400"/>
  <c r="BB358" i="21400" s="1"/>
  <c r="AY358" i="21400"/>
  <c r="BA358" i="21400" s="1"/>
  <c r="AX358" i="21400"/>
  <c r="AW358" i="21400"/>
  <c r="AC358" i="21400"/>
  <c r="M358" i="21400"/>
  <c r="BC358" i="21400" s="1"/>
  <c r="AZ357" i="21400"/>
  <c r="BB357" i="21400" s="1"/>
  <c r="AY357" i="21400"/>
  <c r="BA357" i="21400" s="1"/>
  <c r="AX357" i="21400"/>
  <c r="AW357" i="21400"/>
  <c r="AC357" i="21400"/>
  <c r="M357" i="21400"/>
  <c r="BC357" i="21400" s="1"/>
  <c r="AZ356" i="21400"/>
  <c r="BB356" i="21400" s="1"/>
  <c r="AY356" i="21400"/>
  <c r="BA356" i="21400" s="1"/>
  <c r="AX356" i="21400"/>
  <c r="AW356" i="21400"/>
  <c r="AC356" i="21400"/>
  <c r="M356" i="21400"/>
  <c r="BC356" i="21400" s="1"/>
  <c r="AZ355" i="21400"/>
  <c r="BB355" i="21400" s="1"/>
  <c r="AY355" i="21400"/>
  <c r="BA355" i="21400" s="1"/>
  <c r="AX355" i="21400"/>
  <c r="AW355" i="21400"/>
  <c r="AC355" i="21400"/>
  <c r="M355" i="21400"/>
  <c r="BC355" i="21400" s="1"/>
  <c r="AZ354" i="21400"/>
  <c r="BB354" i="21400" s="1"/>
  <c r="AY354" i="21400"/>
  <c r="BA354" i="21400" s="1"/>
  <c r="AX354" i="21400"/>
  <c r="AW354" i="21400"/>
  <c r="AC354" i="21400"/>
  <c r="M354" i="21400"/>
  <c r="BC354" i="21400" s="1"/>
  <c r="AZ353" i="21400"/>
  <c r="BB353" i="21400" s="1"/>
  <c r="AY353" i="21400"/>
  <c r="BA353" i="21400" s="1"/>
  <c r="AX353" i="21400"/>
  <c r="AW353" i="21400"/>
  <c r="AC353" i="21400"/>
  <c r="M353" i="21400"/>
  <c r="BC353" i="21400" s="1"/>
  <c r="AZ352" i="21400"/>
  <c r="BB352" i="21400" s="1"/>
  <c r="AY352" i="21400"/>
  <c r="BA352" i="21400" s="1"/>
  <c r="AX352" i="21400"/>
  <c r="AW352" i="21400"/>
  <c r="AC352" i="21400"/>
  <c r="M352" i="21400"/>
  <c r="BC352" i="21400" s="1"/>
  <c r="AZ351" i="21400"/>
  <c r="BB351" i="21400" s="1"/>
  <c r="AY351" i="21400"/>
  <c r="BA351" i="21400" s="1"/>
  <c r="AX351" i="21400"/>
  <c r="AW351" i="21400"/>
  <c r="AC351" i="21400"/>
  <c r="M351" i="21400"/>
  <c r="BC351" i="21400" s="1"/>
  <c r="AZ350" i="21400"/>
  <c r="BB350" i="21400" s="1"/>
  <c r="AY350" i="21400"/>
  <c r="BA350" i="21400" s="1"/>
  <c r="AX350" i="21400"/>
  <c r="AW350" i="21400"/>
  <c r="AC350" i="21400"/>
  <c r="M350" i="21400"/>
  <c r="BC350" i="21400" s="1"/>
  <c r="AZ349" i="21400"/>
  <c r="BB349" i="21400" s="1"/>
  <c r="AY349" i="21400"/>
  <c r="BA349" i="21400" s="1"/>
  <c r="AX349" i="21400"/>
  <c r="AW349" i="21400"/>
  <c r="AC349" i="21400"/>
  <c r="M349" i="21400"/>
  <c r="BC349" i="21400" s="1"/>
  <c r="AZ348" i="21400"/>
  <c r="BB348" i="21400" s="1"/>
  <c r="AY348" i="21400"/>
  <c r="BA348" i="21400" s="1"/>
  <c r="AX348" i="21400"/>
  <c r="AW348" i="21400"/>
  <c r="AC348" i="21400"/>
  <c r="M348" i="21400"/>
  <c r="BC348" i="21400" s="1"/>
  <c r="AZ347" i="21400"/>
  <c r="BB347" i="21400" s="1"/>
  <c r="AY347" i="21400"/>
  <c r="BA347" i="21400" s="1"/>
  <c r="AX347" i="21400"/>
  <c r="AW347" i="21400"/>
  <c r="AC347" i="21400"/>
  <c r="M347" i="21400"/>
  <c r="BC347" i="21400" s="1"/>
  <c r="AZ346" i="21400"/>
  <c r="BB346" i="21400" s="1"/>
  <c r="AY346" i="21400"/>
  <c r="BA346" i="21400" s="1"/>
  <c r="AX346" i="21400"/>
  <c r="AW346" i="21400"/>
  <c r="AC346" i="21400"/>
  <c r="M346" i="21400"/>
  <c r="BC346" i="21400" s="1"/>
  <c r="AZ345" i="21400"/>
  <c r="BB345" i="21400" s="1"/>
  <c r="AY345" i="21400"/>
  <c r="BA345" i="21400" s="1"/>
  <c r="AX345" i="21400"/>
  <c r="AW345" i="21400"/>
  <c r="AC345" i="21400"/>
  <c r="M345" i="21400"/>
  <c r="BC345" i="21400" s="1"/>
  <c r="AZ344" i="21400"/>
  <c r="BB344" i="21400" s="1"/>
  <c r="AY344" i="21400"/>
  <c r="BA344" i="21400" s="1"/>
  <c r="AX344" i="21400"/>
  <c r="AW344" i="21400"/>
  <c r="AC344" i="21400"/>
  <c r="M344" i="21400"/>
  <c r="BC344" i="21400" s="1"/>
  <c r="AZ343" i="21400"/>
  <c r="BB343" i="21400" s="1"/>
  <c r="AY343" i="21400"/>
  <c r="BA343" i="21400" s="1"/>
  <c r="AX343" i="21400"/>
  <c r="AW343" i="21400"/>
  <c r="AC343" i="21400"/>
  <c r="M343" i="21400"/>
  <c r="BC343" i="21400" s="1"/>
  <c r="AZ342" i="21400"/>
  <c r="BB342" i="21400" s="1"/>
  <c r="AY342" i="21400"/>
  <c r="BA342" i="21400" s="1"/>
  <c r="AX342" i="21400"/>
  <c r="AW342" i="21400"/>
  <c r="AC342" i="21400"/>
  <c r="M342" i="21400"/>
  <c r="BC342" i="21400" s="1"/>
  <c r="AZ341" i="21400"/>
  <c r="BB341" i="21400" s="1"/>
  <c r="AY341" i="21400"/>
  <c r="BA341" i="21400" s="1"/>
  <c r="AX341" i="21400"/>
  <c r="AW341" i="21400"/>
  <c r="AC341" i="21400"/>
  <c r="M341" i="21400"/>
  <c r="BC341" i="21400" s="1"/>
  <c r="AZ340" i="21400"/>
  <c r="BB340" i="21400" s="1"/>
  <c r="AY340" i="21400"/>
  <c r="BA340" i="21400" s="1"/>
  <c r="AX340" i="21400"/>
  <c r="AW340" i="21400"/>
  <c r="AC340" i="21400"/>
  <c r="M340" i="21400"/>
  <c r="BC340" i="21400" s="1"/>
  <c r="AZ339" i="21400"/>
  <c r="BB339" i="21400" s="1"/>
  <c r="AY339" i="21400"/>
  <c r="BA339" i="21400" s="1"/>
  <c r="AX339" i="21400"/>
  <c r="AW339" i="21400"/>
  <c r="AC339" i="21400"/>
  <c r="M339" i="21400"/>
  <c r="BC339" i="21400" s="1"/>
  <c r="AZ338" i="21400"/>
  <c r="BB338" i="21400" s="1"/>
  <c r="AY338" i="21400"/>
  <c r="BA338" i="21400" s="1"/>
  <c r="AX338" i="21400"/>
  <c r="AW338" i="21400"/>
  <c r="AC338" i="21400"/>
  <c r="M338" i="21400"/>
  <c r="BC338" i="21400" s="1"/>
  <c r="AZ337" i="21400"/>
  <c r="BB337" i="21400" s="1"/>
  <c r="AY337" i="21400"/>
  <c r="BA337" i="21400" s="1"/>
  <c r="AX337" i="21400"/>
  <c r="AW337" i="21400"/>
  <c r="AC337" i="21400"/>
  <c r="M337" i="21400"/>
  <c r="BC337" i="21400" s="1"/>
  <c r="AZ336" i="21400"/>
  <c r="BB336" i="21400" s="1"/>
  <c r="AY336" i="21400"/>
  <c r="BA336" i="21400" s="1"/>
  <c r="AX336" i="21400"/>
  <c r="AW336" i="21400"/>
  <c r="AC336" i="21400"/>
  <c r="M336" i="21400"/>
  <c r="BC336" i="21400" s="1"/>
  <c r="AZ335" i="21400"/>
  <c r="BB335" i="21400" s="1"/>
  <c r="AY335" i="21400"/>
  <c r="BA335" i="21400" s="1"/>
  <c r="AX335" i="21400"/>
  <c r="AW335" i="21400"/>
  <c r="AC335" i="21400"/>
  <c r="M335" i="21400"/>
  <c r="BC335" i="21400" s="1"/>
  <c r="AZ334" i="21400"/>
  <c r="BB334" i="21400" s="1"/>
  <c r="AY334" i="21400"/>
  <c r="BA334" i="21400" s="1"/>
  <c r="AX334" i="21400"/>
  <c r="AW334" i="21400"/>
  <c r="AC334" i="21400"/>
  <c r="M334" i="21400"/>
  <c r="BC334" i="21400" s="1"/>
  <c r="AZ333" i="21400"/>
  <c r="BB333" i="21400" s="1"/>
  <c r="AY333" i="21400"/>
  <c r="BA333" i="21400" s="1"/>
  <c r="AX333" i="21400"/>
  <c r="AW333" i="21400"/>
  <c r="AC333" i="21400"/>
  <c r="M333" i="21400"/>
  <c r="BC333" i="21400" s="1"/>
  <c r="AZ332" i="21400"/>
  <c r="BB332" i="21400" s="1"/>
  <c r="AY332" i="21400"/>
  <c r="BA332" i="21400" s="1"/>
  <c r="AX332" i="21400"/>
  <c r="AW332" i="21400"/>
  <c r="AC332" i="21400"/>
  <c r="M332" i="21400"/>
  <c r="BC332" i="21400" s="1"/>
  <c r="AZ331" i="21400"/>
  <c r="BB331" i="21400" s="1"/>
  <c r="AY331" i="21400"/>
  <c r="BA331" i="21400" s="1"/>
  <c r="AX331" i="21400"/>
  <c r="AW331" i="21400"/>
  <c r="AC331" i="21400"/>
  <c r="M331" i="21400"/>
  <c r="BC331" i="21400" s="1"/>
  <c r="AZ330" i="21400"/>
  <c r="BB330" i="21400" s="1"/>
  <c r="AY330" i="21400"/>
  <c r="BA330" i="21400" s="1"/>
  <c r="AX330" i="21400"/>
  <c r="AW330" i="21400"/>
  <c r="AC330" i="21400"/>
  <c r="M330" i="21400"/>
  <c r="BC330" i="21400" s="1"/>
  <c r="AZ329" i="21400"/>
  <c r="BB329" i="21400" s="1"/>
  <c r="AY329" i="21400"/>
  <c r="BA329" i="21400" s="1"/>
  <c r="AX329" i="21400"/>
  <c r="AW329" i="21400"/>
  <c r="AC329" i="21400"/>
  <c r="M329" i="21400"/>
  <c r="BC329" i="21400" s="1"/>
  <c r="AZ328" i="21400"/>
  <c r="BB328" i="21400" s="1"/>
  <c r="AY328" i="21400"/>
  <c r="BA328" i="21400" s="1"/>
  <c r="AX328" i="21400"/>
  <c r="AW328" i="21400"/>
  <c r="AC328" i="21400"/>
  <c r="M328" i="21400"/>
  <c r="BC328" i="21400" s="1"/>
  <c r="AZ327" i="21400"/>
  <c r="BB327" i="21400" s="1"/>
  <c r="AY327" i="21400"/>
  <c r="BA327" i="21400" s="1"/>
  <c r="AX327" i="21400"/>
  <c r="AW327" i="21400"/>
  <c r="AC327" i="21400"/>
  <c r="M327" i="21400"/>
  <c r="BC327" i="21400" s="1"/>
  <c r="AZ326" i="21400"/>
  <c r="BB326" i="21400" s="1"/>
  <c r="AY326" i="21400"/>
  <c r="BA326" i="21400" s="1"/>
  <c r="AX326" i="21400"/>
  <c r="AW326" i="21400"/>
  <c r="AC326" i="21400"/>
  <c r="M326" i="21400"/>
  <c r="BC326" i="21400" s="1"/>
  <c r="AZ325" i="21400"/>
  <c r="BB325" i="21400" s="1"/>
  <c r="AY325" i="21400"/>
  <c r="BA325" i="21400" s="1"/>
  <c r="AX325" i="21400"/>
  <c r="AW325" i="21400"/>
  <c r="AC325" i="21400"/>
  <c r="M325" i="21400"/>
  <c r="BC325" i="21400" s="1"/>
  <c r="AZ324" i="21400"/>
  <c r="BB324" i="21400" s="1"/>
  <c r="AY324" i="21400"/>
  <c r="BA324" i="21400" s="1"/>
  <c r="AX324" i="21400"/>
  <c r="AW324" i="21400"/>
  <c r="AC324" i="21400"/>
  <c r="M324" i="21400"/>
  <c r="BC324" i="21400" s="1"/>
  <c r="AZ323" i="21400"/>
  <c r="BB323" i="21400" s="1"/>
  <c r="AY323" i="21400"/>
  <c r="BA323" i="21400" s="1"/>
  <c r="AX323" i="21400"/>
  <c r="AW323" i="21400"/>
  <c r="AC323" i="21400"/>
  <c r="M323" i="21400"/>
  <c r="BC323" i="21400" s="1"/>
  <c r="AZ322" i="21400"/>
  <c r="BB322" i="21400" s="1"/>
  <c r="AY322" i="21400"/>
  <c r="BA322" i="21400" s="1"/>
  <c r="AX322" i="21400"/>
  <c r="AW322" i="21400"/>
  <c r="AC322" i="21400"/>
  <c r="M322" i="21400"/>
  <c r="BC322" i="21400" s="1"/>
  <c r="AZ321" i="21400"/>
  <c r="BB321" i="21400" s="1"/>
  <c r="AY321" i="21400"/>
  <c r="BA321" i="21400" s="1"/>
  <c r="AX321" i="21400"/>
  <c r="AW321" i="21400"/>
  <c r="AC321" i="21400"/>
  <c r="M321" i="21400"/>
  <c r="BC321" i="21400" s="1"/>
  <c r="AZ320" i="21400"/>
  <c r="BB320" i="21400" s="1"/>
  <c r="AY320" i="21400"/>
  <c r="BA320" i="21400" s="1"/>
  <c r="AX320" i="21400"/>
  <c r="AW320" i="21400"/>
  <c r="AC320" i="21400"/>
  <c r="M320" i="21400"/>
  <c r="BC320" i="21400" s="1"/>
  <c r="AZ319" i="21400"/>
  <c r="BB319" i="21400" s="1"/>
  <c r="AY319" i="21400"/>
  <c r="BA319" i="21400" s="1"/>
  <c r="AX319" i="21400"/>
  <c r="AW319" i="21400"/>
  <c r="AC319" i="21400"/>
  <c r="M319" i="21400"/>
  <c r="BC319" i="21400" s="1"/>
  <c r="AZ318" i="21400"/>
  <c r="BB318" i="21400" s="1"/>
  <c r="AY318" i="21400"/>
  <c r="BA318" i="21400" s="1"/>
  <c r="AX318" i="21400"/>
  <c r="AW318" i="21400"/>
  <c r="AC318" i="21400"/>
  <c r="M318" i="21400"/>
  <c r="BC318" i="21400" s="1"/>
  <c r="AZ317" i="21400"/>
  <c r="BB317" i="21400" s="1"/>
  <c r="AY317" i="21400"/>
  <c r="BA317" i="21400" s="1"/>
  <c r="AX317" i="21400"/>
  <c r="AW317" i="21400"/>
  <c r="AC317" i="21400"/>
  <c r="M317" i="21400"/>
  <c r="BC317" i="21400" s="1"/>
  <c r="AZ316" i="21400"/>
  <c r="BB316" i="21400" s="1"/>
  <c r="AY316" i="21400"/>
  <c r="BA316" i="21400" s="1"/>
  <c r="AX316" i="21400"/>
  <c r="AW316" i="21400"/>
  <c r="AC316" i="21400"/>
  <c r="M316" i="21400"/>
  <c r="BC316" i="21400" s="1"/>
  <c r="AZ315" i="21400"/>
  <c r="BB315" i="21400" s="1"/>
  <c r="AY315" i="21400"/>
  <c r="BA315" i="21400" s="1"/>
  <c r="AX315" i="21400"/>
  <c r="AW315" i="21400"/>
  <c r="AC315" i="21400"/>
  <c r="M315" i="21400"/>
  <c r="BC315" i="21400" s="1"/>
  <c r="AZ314" i="21400"/>
  <c r="BB314" i="21400" s="1"/>
  <c r="AY314" i="21400"/>
  <c r="BA314" i="21400" s="1"/>
  <c r="AX314" i="21400"/>
  <c r="AW314" i="21400"/>
  <c r="AC314" i="21400"/>
  <c r="M314" i="21400"/>
  <c r="BC314" i="21400" s="1"/>
  <c r="AZ313" i="21400"/>
  <c r="BB313" i="21400" s="1"/>
  <c r="AY313" i="21400"/>
  <c r="BA313" i="21400" s="1"/>
  <c r="AX313" i="21400"/>
  <c r="AW313" i="21400"/>
  <c r="AC313" i="21400"/>
  <c r="M313" i="21400"/>
  <c r="BC313" i="21400" s="1"/>
  <c r="AZ312" i="21400"/>
  <c r="BB312" i="21400" s="1"/>
  <c r="AY312" i="21400"/>
  <c r="BA312" i="21400" s="1"/>
  <c r="AX312" i="21400"/>
  <c r="AW312" i="21400"/>
  <c r="AC312" i="21400"/>
  <c r="M312" i="21400"/>
  <c r="BC312" i="21400" s="1"/>
  <c r="AZ311" i="21400"/>
  <c r="BB311" i="21400" s="1"/>
  <c r="AY311" i="21400"/>
  <c r="BA311" i="21400" s="1"/>
  <c r="AX311" i="21400"/>
  <c r="AW311" i="21400"/>
  <c r="AC311" i="21400"/>
  <c r="M311" i="21400"/>
  <c r="BC311" i="21400" s="1"/>
  <c r="AZ310" i="21400"/>
  <c r="BB310" i="21400" s="1"/>
  <c r="AY310" i="21400"/>
  <c r="BA310" i="21400" s="1"/>
  <c r="AX310" i="21400"/>
  <c r="AW310" i="21400"/>
  <c r="AC310" i="21400"/>
  <c r="M310" i="21400"/>
  <c r="BC310" i="21400" s="1"/>
  <c r="AZ309" i="21400"/>
  <c r="BB309" i="21400" s="1"/>
  <c r="AY309" i="21400"/>
  <c r="BA309" i="21400" s="1"/>
  <c r="AX309" i="21400"/>
  <c r="AW309" i="21400"/>
  <c r="AC309" i="21400"/>
  <c r="M309" i="21400"/>
  <c r="BC309" i="21400" s="1"/>
  <c r="AZ308" i="21400"/>
  <c r="BB308" i="21400" s="1"/>
  <c r="AY308" i="21400"/>
  <c r="BA308" i="21400" s="1"/>
  <c r="AX308" i="21400"/>
  <c r="AW308" i="21400"/>
  <c r="AC308" i="21400"/>
  <c r="M308" i="21400"/>
  <c r="BC308" i="21400" s="1"/>
  <c r="AZ307" i="21400"/>
  <c r="BB307" i="21400" s="1"/>
  <c r="AY307" i="21400"/>
  <c r="BA307" i="21400" s="1"/>
  <c r="AX307" i="21400"/>
  <c r="AW307" i="21400"/>
  <c r="AC307" i="21400"/>
  <c r="M307" i="21400"/>
  <c r="BC307" i="21400" s="1"/>
  <c r="AZ306" i="21400"/>
  <c r="BB306" i="21400" s="1"/>
  <c r="AY306" i="21400"/>
  <c r="BA306" i="21400" s="1"/>
  <c r="AX306" i="21400"/>
  <c r="AW306" i="21400"/>
  <c r="AC306" i="21400"/>
  <c r="M306" i="21400"/>
  <c r="BC306" i="21400" s="1"/>
  <c r="AZ305" i="21400"/>
  <c r="BB305" i="21400" s="1"/>
  <c r="AY305" i="21400"/>
  <c r="BA305" i="21400" s="1"/>
  <c r="AX305" i="21400"/>
  <c r="AW305" i="21400"/>
  <c r="AC305" i="21400"/>
  <c r="M305" i="21400"/>
  <c r="BC305" i="21400" s="1"/>
  <c r="AZ304" i="21400"/>
  <c r="BB304" i="21400" s="1"/>
  <c r="AY304" i="21400"/>
  <c r="BA304" i="21400" s="1"/>
  <c r="AX304" i="21400"/>
  <c r="AW304" i="21400"/>
  <c r="AC304" i="21400"/>
  <c r="M304" i="21400"/>
  <c r="BC304" i="21400" s="1"/>
  <c r="AZ303" i="21400"/>
  <c r="BB303" i="21400" s="1"/>
  <c r="AY303" i="21400"/>
  <c r="BA303" i="21400" s="1"/>
  <c r="AX303" i="21400"/>
  <c r="AW303" i="21400"/>
  <c r="AC303" i="21400"/>
  <c r="M303" i="21400"/>
  <c r="BC303" i="21400" s="1"/>
  <c r="AZ302" i="21400"/>
  <c r="BB302" i="21400" s="1"/>
  <c r="AY302" i="21400"/>
  <c r="BA302" i="21400" s="1"/>
  <c r="AX302" i="21400"/>
  <c r="AW302" i="21400"/>
  <c r="AC302" i="21400"/>
  <c r="M302" i="21400"/>
  <c r="BC302" i="21400" s="1"/>
  <c r="AZ301" i="21400"/>
  <c r="BB301" i="21400" s="1"/>
  <c r="AY301" i="21400"/>
  <c r="BA301" i="21400" s="1"/>
  <c r="AX301" i="21400"/>
  <c r="AW301" i="21400"/>
  <c r="AC301" i="21400"/>
  <c r="M301" i="21400"/>
  <c r="BC301" i="21400" s="1"/>
  <c r="AZ300" i="21400"/>
  <c r="BB300" i="21400" s="1"/>
  <c r="AY300" i="21400"/>
  <c r="BA300" i="21400" s="1"/>
  <c r="AX300" i="21400"/>
  <c r="AW300" i="21400"/>
  <c r="AC300" i="21400"/>
  <c r="M300" i="21400"/>
  <c r="BC300" i="21400" s="1"/>
  <c r="AZ299" i="21400"/>
  <c r="BB299" i="21400" s="1"/>
  <c r="AY299" i="21400"/>
  <c r="BA299" i="21400" s="1"/>
  <c r="AX299" i="21400"/>
  <c r="AW299" i="21400"/>
  <c r="AC299" i="21400"/>
  <c r="M299" i="21400"/>
  <c r="BC299" i="21400" s="1"/>
  <c r="AZ298" i="21400"/>
  <c r="BB298" i="21400" s="1"/>
  <c r="AY298" i="21400"/>
  <c r="BA298" i="21400" s="1"/>
  <c r="AX298" i="21400"/>
  <c r="AW298" i="21400"/>
  <c r="AC298" i="21400"/>
  <c r="M298" i="21400"/>
  <c r="BC298" i="21400" s="1"/>
  <c r="AZ297" i="21400"/>
  <c r="BB297" i="21400" s="1"/>
  <c r="AY297" i="21400"/>
  <c r="BA297" i="21400" s="1"/>
  <c r="AX297" i="21400"/>
  <c r="AW297" i="21400"/>
  <c r="AC297" i="21400"/>
  <c r="M297" i="21400"/>
  <c r="BC297" i="21400" s="1"/>
  <c r="AZ296" i="21400"/>
  <c r="BB296" i="21400" s="1"/>
  <c r="AY296" i="21400"/>
  <c r="BA296" i="21400" s="1"/>
  <c r="AX296" i="21400"/>
  <c r="AW296" i="21400"/>
  <c r="AC296" i="21400"/>
  <c r="M296" i="21400"/>
  <c r="BC296" i="21400" s="1"/>
  <c r="AZ295" i="21400"/>
  <c r="BB295" i="21400" s="1"/>
  <c r="AY295" i="21400"/>
  <c r="BA295" i="21400" s="1"/>
  <c r="AX295" i="21400"/>
  <c r="AW295" i="21400"/>
  <c r="AC295" i="21400"/>
  <c r="M295" i="21400"/>
  <c r="BC295" i="21400" s="1"/>
  <c r="AZ294" i="21400"/>
  <c r="BB294" i="21400" s="1"/>
  <c r="AY294" i="21400"/>
  <c r="BA294" i="21400" s="1"/>
  <c r="AX294" i="21400"/>
  <c r="AW294" i="21400"/>
  <c r="AC294" i="21400"/>
  <c r="M294" i="21400"/>
  <c r="BC294" i="21400" s="1"/>
  <c r="AZ293" i="21400"/>
  <c r="BB293" i="21400" s="1"/>
  <c r="AY293" i="21400"/>
  <c r="BA293" i="21400" s="1"/>
  <c r="AX293" i="21400"/>
  <c r="AW293" i="21400"/>
  <c r="AC293" i="21400"/>
  <c r="M293" i="21400"/>
  <c r="BC293" i="21400" s="1"/>
  <c r="AZ292" i="21400"/>
  <c r="BB292" i="21400" s="1"/>
  <c r="AY292" i="21400"/>
  <c r="BA292" i="21400" s="1"/>
  <c r="AX292" i="21400"/>
  <c r="AW292" i="21400"/>
  <c r="AC292" i="21400"/>
  <c r="M292" i="21400"/>
  <c r="BC292" i="21400" s="1"/>
  <c r="AZ291" i="21400"/>
  <c r="BB291" i="21400" s="1"/>
  <c r="AY291" i="21400"/>
  <c r="BA291" i="21400" s="1"/>
  <c r="AX291" i="21400"/>
  <c r="AW291" i="21400"/>
  <c r="AC291" i="21400"/>
  <c r="M291" i="21400"/>
  <c r="BC291" i="21400" s="1"/>
  <c r="AZ290" i="21400"/>
  <c r="BB290" i="21400" s="1"/>
  <c r="AY290" i="21400"/>
  <c r="BA290" i="21400" s="1"/>
  <c r="AX290" i="21400"/>
  <c r="AW290" i="21400"/>
  <c r="AC290" i="21400"/>
  <c r="M290" i="21400"/>
  <c r="BC290" i="21400" s="1"/>
  <c r="AZ289" i="21400"/>
  <c r="BB289" i="21400" s="1"/>
  <c r="AY289" i="21400"/>
  <c r="BA289" i="21400" s="1"/>
  <c r="AX289" i="21400"/>
  <c r="AW289" i="21400"/>
  <c r="AC289" i="21400"/>
  <c r="M289" i="21400"/>
  <c r="BC289" i="21400" s="1"/>
  <c r="AZ288" i="21400"/>
  <c r="BB288" i="21400" s="1"/>
  <c r="AY288" i="21400"/>
  <c r="BA288" i="21400" s="1"/>
  <c r="AX288" i="21400"/>
  <c r="AW288" i="21400"/>
  <c r="AC288" i="21400"/>
  <c r="M288" i="21400"/>
  <c r="BC288" i="21400" s="1"/>
  <c r="AZ287" i="21400"/>
  <c r="BB287" i="21400" s="1"/>
  <c r="AY287" i="21400"/>
  <c r="BA287" i="21400" s="1"/>
  <c r="AX287" i="21400"/>
  <c r="AW287" i="21400"/>
  <c r="AC287" i="21400"/>
  <c r="M287" i="21400"/>
  <c r="BC287" i="21400" s="1"/>
  <c r="AZ286" i="21400"/>
  <c r="BB286" i="21400" s="1"/>
  <c r="AY286" i="21400"/>
  <c r="BA286" i="21400" s="1"/>
  <c r="AX286" i="21400"/>
  <c r="AW286" i="21400"/>
  <c r="AC286" i="21400"/>
  <c r="M286" i="21400"/>
  <c r="BC286" i="21400" s="1"/>
  <c r="AZ285" i="21400"/>
  <c r="BB285" i="21400" s="1"/>
  <c r="AY285" i="21400"/>
  <c r="BA285" i="21400" s="1"/>
  <c r="AX285" i="21400"/>
  <c r="AW285" i="21400"/>
  <c r="AC285" i="21400"/>
  <c r="M285" i="21400"/>
  <c r="BC285" i="21400" s="1"/>
  <c r="AZ284" i="21400"/>
  <c r="BB284" i="21400" s="1"/>
  <c r="AY284" i="21400"/>
  <c r="BA284" i="21400" s="1"/>
  <c r="AX284" i="21400"/>
  <c r="AW284" i="21400"/>
  <c r="AC284" i="21400"/>
  <c r="M284" i="21400"/>
  <c r="BC284" i="21400" s="1"/>
  <c r="AZ283" i="21400"/>
  <c r="BB283" i="21400" s="1"/>
  <c r="AY283" i="21400"/>
  <c r="BA283" i="21400" s="1"/>
  <c r="AX283" i="21400"/>
  <c r="AW283" i="21400"/>
  <c r="AC283" i="21400"/>
  <c r="M283" i="21400"/>
  <c r="BC283" i="21400" s="1"/>
  <c r="AZ282" i="21400"/>
  <c r="BB282" i="21400" s="1"/>
  <c r="AY282" i="21400"/>
  <c r="BA282" i="21400" s="1"/>
  <c r="AX282" i="21400"/>
  <c r="AW282" i="21400"/>
  <c r="AC282" i="21400"/>
  <c r="M282" i="21400"/>
  <c r="BC282" i="21400" s="1"/>
  <c r="AZ281" i="21400"/>
  <c r="BB281" i="21400" s="1"/>
  <c r="AY281" i="21400"/>
  <c r="BA281" i="21400" s="1"/>
  <c r="AX281" i="21400"/>
  <c r="AW281" i="21400"/>
  <c r="AC281" i="21400"/>
  <c r="M281" i="21400"/>
  <c r="BC281" i="21400" s="1"/>
  <c r="AZ280" i="21400"/>
  <c r="BB280" i="21400" s="1"/>
  <c r="AY280" i="21400"/>
  <c r="BA280" i="21400" s="1"/>
  <c r="AX280" i="21400"/>
  <c r="AW280" i="21400"/>
  <c r="AC280" i="21400"/>
  <c r="M280" i="21400"/>
  <c r="BC280" i="21400" s="1"/>
  <c r="AZ279" i="21400"/>
  <c r="BB279" i="21400" s="1"/>
  <c r="AY279" i="21400"/>
  <c r="BA279" i="21400" s="1"/>
  <c r="AX279" i="21400"/>
  <c r="AW279" i="21400"/>
  <c r="AC279" i="21400"/>
  <c r="M279" i="21400"/>
  <c r="BC279" i="21400" s="1"/>
  <c r="AZ278" i="21400"/>
  <c r="BB278" i="21400" s="1"/>
  <c r="AY278" i="21400"/>
  <c r="BA278" i="21400" s="1"/>
  <c r="AX278" i="21400"/>
  <c r="AW278" i="21400"/>
  <c r="AC278" i="21400"/>
  <c r="M278" i="21400"/>
  <c r="BC278" i="21400" s="1"/>
  <c r="AZ277" i="21400"/>
  <c r="BB277" i="21400" s="1"/>
  <c r="AY277" i="21400"/>
  <c r="BA277" i="21400" s="1"/>
  <c r="AX277" i="21400"/>
  <c r="AW277" i="21400"/>
  <c r="AC277" i="21400"/>
  <c r="M277" i="21400"/>
  <c r="BC277" i="21400" s="1"/>
  <c r="AZ276" i="21400"/>
  <c r="BB276" i="21400" s="1"/>
  <c r="AY276" i="21400"/>
  <c r="BA276" i="21400" s="1"/>
  <c r="AX276" i="21400"/>
  <c r="AW276" i="21400"/>
  <c r="AC276" i="21400"/>
  <c r="M276" i="21400"/>
  <c r="BC276" i="21400" s="1"/>
  <c r="AZ275" i="21400"/>
  <c r="BB275" i="21400" s="1"/>
  <c r="AY275" i="21400"/>
  <c r="BA275" i="21400" s="1"/>
  <c r="AX275" i="21400"/>
  <c r="AW275" i="21400"/>
  <c r="AC275" i="21400"/>
  <c r="M275" i="21400"/>
  <c r="BC275" i="21400" s="1"/>
  <c r="AZ274" i="21400"/>
  <c r="BB274" i="21400" s="1"/>
  <c r="AY274" i="21400"/>
  <c r="BA274" i="21400" s="1"/>
  <c r="AX274" i="21400"/>
  <c r="AW274" i="21400"/>
  <c r="AC274" i="21400"/>
  <c r="M274" i="21400"/>
  <c r="BC274" i="21400" s="1"/>
  <c r="AZ273" i="21400"/>
  <c r="BB273" i="21400" s="1"/>
  <c r="AY273" i="21400"/>
  <c r="BA273" i="21400" s="1"/>
  <c r="AX273" i="21400"/>
  <c r="AW273" i="21400"/>
  <c r="AC273" i="21400"/>
  <c r="M273" i="21400"/>
  <c r="BC273" i="21400" s="1"/>
  <c r="AZ272" i="21400"/>
  <c r="BB272" i="21400" s="1"/>
  <c r="AY272" i="21400"/>
  <c r="BA272" i="21400" s="1"/>
  <c r="AX272" i="21400"/>
  <c r="AW272" i="21400"/>
  <c r="AC272" i="21400"/>
  <c r="M272" i="21400"/>
  <c r="BC272" i="21400" s="1"/>
  <c r="AZ271" i="21400"/>
  <c r="BB271" i="21400" s="1"/>
  <c r="AY271" i="21400"/>
  <c r="BA271" i="21400" s="1"/>
  <c r="AX271" i="21400"/>
  <c r="AW271" i="21400"/>
  <c r="AC271" i="21400"/>
  <c r="M271" i="21400"/>
  <c r="BC271" i="21400" s="1"/>
  <c r="AZ270" i="21400"/>
  <c r="BB270" i="21400" s="1"/>
  <c r="AY270" i="21400"/>
  <c r="BA270" i="21400" s="1"/>
  <c r="AX270" i="21400"/>
  <c r="AW270" i="21400"/>
  <c r="AC270" i="21400"/>
  <c r="M270" i="21400"/>
  <c r="BC270" i="21400" s="1"/>
  <c r="AZ269" i="21400"/>
  <c r="BB269" i="21400" s="1"/>
  <c r="AY269" i="21400"/>
  <c r="BA269" i="21400" s="1"/>
  <c r="AX269" i="21400"/>
  <c r="AW269" i="21400"/>
  <c r="AC269" i="21400"/>
  <c r="M269" i="21400"/>
  <c r="BC269" i="21400" s="1"/>
  <c r="AZ268" i="21400"/>
  <c r="BB268" i="21400" s="1"/>
  <c r="AY268" i="21400"/>
  <c r="BA268" i="21400" s="1"/>
  <c r="AX268" i="21400"/>
  <c r="AW268" i="21400"/>
  <c r="AC268" i="21400"/>
  <c r="M268" i="21400"/>
  <c r="BC268" i="21400" s="1"/>
  <c r="AZ267" i="21400"/>
  <c r="BB267" i="21400" s="1"/>
  <c r="AY267" i="21400"/>
  <c r="BA267" i="21400" s="1"/>
  <c r="AX267" i="21400"/>
  <c r="AW267" i="21400"/>
  <c r="AC267" i="21400"/>
  <c r="M267" i="21400"/>
  <c r="BC267" i="21400" s="1"/>
  <c r="AZ266" i="21400"/>
  <c r="BB266" i="21400" s="1"/>
  <c r="AY266" i="21400"/>
  <c r="BA266" i="21400" s="1"/>
  <c r="AX266" i="21400"/>
  <c r="AW266" i="21400"/>
  <c r="AC266" i="21400"/>
  <c r="M266" i="21400"/>
  <c r="BC266" i="21400" s="1"/>
  <c r="AZ265" i="21400"/>
  <c r="BB265" i="21400" s="1"/>
  <c r="AY265" i="21400"/>
  <c r="BA265" i="21400" s="1"/>
  <c r="AX265" i="21400"/>
  <c r="AW265" i="21400"/>
  <c r="AC265" i="21400"/>
  <c r="M265" i="21400"/>
  <c r="BC265" i="21400" s="1"/>
  <c r="AZ264" i="21400"/>
  <c r="BB264" i="21400" s="1"/>
  <c r="AY264" i="21400"/>
  <c r="BA264" i="21400" s="1"/>
  <c r="AX264" i="21400"/>
  <c r="AW264" i="21400"/>
  <c r="AC264" i="21400"/>
  <c r="M264" i="21400"/>
  <c r="BC264" i="21400" s="1"/>
  <c r="AZ263" i="21400"/>
  <c r="BB263" i="21400" s="1"/>
  <c r="AY263" i="21400"/>
  <c r="BA263" i="21400" s="1"/>
  <c r="AX263" i="21400"/>
  <c r="AW263" i="21400"/>
  <c r="AC263" i="21400"/>
  <c r="M263" i="21400"/>
  <c r="BC263" i="21400" s="1"/>
  <c r="AZ262" i="21400"/>
  <c r="BB262" i="21400" s="1"/>
  <c r="AY262" i="21400"/>
  <c r="BA262" i="21400" s="1"/>
  <c r="AX262" i="21400"/>
  <c r="AW262" i="21400"/>
  <c r="AC262" i="21400"/>
  <c r="M262" i="21400"/>
  <c r="BC262" i="21400" s="1"/>
  <c r="AZ261" i="21400"/>
  <c r="BB261" i="21400" s="1"/>
  <c r="AY261" i="21400"/>
  <c r="BA261" i="21400" s="1"/>
  <c r="AX261" i="21400"/>
  <c r="AW261" i="21400"/>
  <c r="AC261" i="21400"/>
  <c r="M261" i="21400"/>
  <c r="BC261" i="21400" s="1"/>
  <c r="AZ260" i="21400"/>
  <c r="BB260" i="21400" s="1"/>
  <c r="AY260" i="21400"/>
  <c r="BA260" i="21400" s="1"/>
  <c r="AX260" i="21400"/>
  <c r="AW260" i="21400"/>
  <c r="AC260" i="21400"/>
  <c r="M260" i="21400"/>
  <c r="BC260" i="21400" s="1"/>
  <c r="AZ259" i="21400"/>
  <c r="BB259" i="21400" s="1"/>
  <c r="AY259" i="21400"/>
  <c r="BA259" i="21400" s="1"/>
  <c r="AX259" i="21400"/>
  <c r="AW259" i="21400"/>
  <c r="AC259" i="21400"/>
  <c r="M259" i="21400"/>
  <c r="BC259" i="21400" s="1"/>
  <c r="AZ258" i="21400"/>
  <c r="BB258" i="21400" s="1"/>
  <c r="AY258" i="21400"/>
  <c r="BA258" i="21400" s="1"/>
  <c r="AX258" i="21400"/>
  <c r="AW258" i="21400"/>
  <c r="AC258" i="21400"/>
  <c r="M258" i="21400"/>
  <c r="BC258" i="21400" s="1"/>
  <c r="AZ257" i="21400"/>
  <c r="BB257" i="21400" s="1"/>
  <c r="AY257" i="21400"/>
  <c r="BA257" i="21400" s="1"/>
  <c r="AX257" i="21400"/>
  <c r="AW257" i="21400"/>
  <c r="AC257" i="21400"/>
  <c r="M257" i="21400"/>
  <c r="BC257" i="21400" s="1"/>
  <c r="AZ256" i="21400"/>
  <c r="BB256" i="21400" s="1"/>
  <c r="AY256" i="21400"/>
  <c r="BA256" i="21400" s="1"/>
  <c r="AX256" i="21400"/>
  <c r="AW256" i="21400"/>
  <c r="AC256" i="21400"/>
  <c r="M256" i="21400"/>
  <c r="BC256" i="21400" s="1"/>
  <c r="AZ255" i="21400"/>
  <c r="BB255" i="21400" s="1"/>
  <c r="AY255" i="21400"/>
  <c r="BA255" i="21400" s="1"/>
  <c r="AX255" i="21400"/>
  <c r="AW255" i="21400"/>
  <c r="AC255" i="21400"/>
  <c r="M255" i="21400"/>
  <c r="BC255" i="21400" s="1"/>
  <c r="AZ254" i="21400"/>
  <c r="BB254" i="21400" s="1"/>
  <c r="AY254" i="21400"/>
  <c r="BA254" i="21400" s="1"/>
  <c r="AX254" i="21400"/>
  <c r="AW254" i="21400"/>
  <c r="AC254" i="21400"/>
  <c r="M254" i="21400"/>
  <c r="BC254" i="21400" s="1"/>
  <c r="AZ253" i="21400"/>
  <c r="BB253" i="21400" s="1"/>
  <c r="AY253" i="21400"/>
  <c r="BA253" i="21400" s="1"/>
  <c r="AX253" i="21400"/>
  <c r="AW253" i="21400"/>
  <c r="AC253" i="21400"/>
  <c r="M253" i="21400"/>
  <c r="BC253" i="21400" s="1"/>
  <c r="AZ252" i="21400"/>
  <c r="BB252" i="21400" s="1"/>
  <c r="AY252" i="21400"/>
  <c r="BA252" i="21400" s="1"/>
  <c r="AX252" i="21400"/>
  <c r="AW252" i="21400"/>
  <c r="AC252" i="21400"/>
  <c r="M252" i="21400"/>
  <c r="BC252" i="21400" s="1"/>
  <c r="AZ251" i="21400"/>
  <c r="BB251" i="21400" s="1"/>
  <c r="AY251" i="21400"/>
  <c r="BA251" i="21400" s="1"/>
  <c r="AX251" i="21400"/>
  <c r="AW251" i="21400"/>
  <c r="AC251" i="21400"/>
  <c r="M251" i="21400"/>
  <c r="BC251" i="21400" s="1"/>
  <c r="AZ250" i="21400"/>
  <c r="BB250" i="21400" s="1"/>
  <c r="AY250" i="21400"/>
  <c r="BA250" i="21400" s="1"/>
  <c r="AX250" i="21400"/>
  <c r="AW250" i="21400"/>
  <c r="AC250" i="21400"/>
  <c r="M250" i="21400"/>
  <c r="BC250" i="21400" s="1"/>
  <c r="AZ249" i="21400"/>
  <c r="BB249" i="21400" s="1"/>
  <c r="AY249" i="21400"/>
  <c r="BA249" i="21400" s="1"/>
  <c r="AX249" i="21400"/>
  <c r="AW249" i="21400"/>
  <c r="AC249" i="21400"/>
  <c r="M249" i="21400"/>
  <c r="BC249" i="21400" s="1"/>
  <c r="AZ248" i="21400"/>
  <c r="BB248" i="21400" s="1"/>
  <c r="AY248" i="21400"/>
  <c r="BA248" i="21400" s="1"/>
  <c r="AX248" i="21400"/>
  <c r="AW248" i="21400"/>
  <c r="AC248" i="21400"/>
  <c r="M248" i="21400"/>
  <c r="BC248" i="21400" s="1"/>
  <c r="AZ247" i="21400"/>
  <c r="BB247" i="21400" s="1"/>
  <c r="AY247" i="21400"/>
  <c r="BA247" i="21400" s="1"/>
  <c r="AX247" i="21400"/>
  <c r="AW247" i="21400"/>
  <c r="AC247" i="21400"/>
  <c r="M247" i="21400"/>
  <c r="BC247" i="21400" s="1"/>
  <c r="AZ246" i="21400"/>
  <c r="BB246" i="21400" s="1"/>
  <c r="AY246" i="21400"/>
  <c r="BA246" i="21400" s="1"/>
  <c r="AX246" i="21400"/>
  <c r="AW246" i="21400"/>
  <c r="AC246" i="21400"/>
  <c r="M246" i="21400"/>
  <c r="BC246" i="21400" s="1"/>
  <c r="AZ245" i="21400"/>
  <c r="BB245" i="21400" s="1"/>
  <c r="AY245" i="21400"/>
  <c r="BA245" i="21400" s="1"/>
  <c r="AX245" i="21400"/>
  <c r="AW245" i="21400"/>
  <c r="AC245" i="21400"/>
  <c r="M245" i="21400"/>
  <c r="BC245" i="21400" s="1"/>
  <c r="AZ244" i="21400"/>
  <c r="BB244" i="21400" s="1"/>
  <c r="AY244" i="21400"/>
  <c r="BA244" i="21400" s="1"/>
  <c r="AX244" i="21400"/>
  <c r="AW244" i="21400"/>
  <c r="AC244" i="21400"/>
  <c r="M244" i="21400"/>
  <c r="BC244" i="21400" s="1"/>
  <c r="AZ243" i="21400"/>
  <c r="BB243" i="21400" s="1"/>
  <c r="AY243" i="21400"/>
  <c r="BA243" i="21400" s="1"/>
  <c r="AX243" i="21400"/>
  <c r="AW243" i="21400"/>
  <c r="AC243" i="21400"/>
  <c r="M243" i="21400"/>
  <c r="BC243" i="21400" s="1"/>
  <c r="AZ242" i="21400"/>
  <c r="BB242" i="21400" s="1"/>
  <c r="AY242" i="21400"/>
  <c r="BA242" i="21400" s="1"/>
  <c r="AX242" i="21400"/>
  <c r="AW242" i="21400"/>
  <c r="AC242" i="21400"/>
  <c r="M242" i="21400"/>
  <c r="BC242" i="21400" s="1"/>
  <c r="AZ241" i="21400"/>
  <c r="BB241" i="21400" s="1"/>
  <c r="AY241" i="21400"/>
  <c r="BA241" i="21400" s="1"/>
  <c r="AX241" i="21400"/>
  <c r="AW241" i="21400"/>
  <c r="AC241" i="21400"/>
  <c r="M241" i="21400"/>
  <c r="BC241" i="21400" s="1"/>
  <c r="AZ240" i="21400"/>
  <c r="BB240" i="21400" s="1"/>
  <c r="AY240" i="21400"/>
  <c r="BA240" i="21400" s="1"/>
  <c r="AX240" i="21400"/>
  <c r="AW240" i="21400"/>
  <c r="AC240" i="21400"/>
  <c r="M240" i="21400"/>
  <c r="BC240" i="21400" s="1"/>
  <c r="AZ239" i="21400"/>
  <c r="BB239" i="21400" s="1"/>
  <c r="AY239" i="21400"/>
  <c r="BA239" i="21400" s="1"/>
  <c r="AX239" i="21400"/>
  <c r="AW239" i="21400"/>
  <c r="AC239" i="21400"/>
  <c r="M239" i="21400"/>
  <c r="BC239" i="21400" s="1"/>
  <c r="AZ238" i="21400"/>
  <c r="BB238" i="21400" s="1"/>
  <c r="AY238" i="21400"/>
  <c r="BA238" i="21400" s="1"/>
  <c r="AX238" i="21400"/>
  <c r="AW238" i="21400"/>
  <c r="AC238" i="21400"/>
  <c r="M238" i="21400"/>
  <c r="BC238" i="21400" s="1"/>
  <c r="AZ237" i="21400"/>
  <c r="BB237" i="21400" s="1"/>
  <c r="AY237" i="21400"/>
  <c r="BA237" i="21400" s="1"/>
  <c r="AX237" i="21400"/>
  <c r="AW237" i="21400"/>
  <c r="AC237" i="21400"/>
  <c r="M237" i="21400"/>
  <c r="BC237" i="21400" s="1"/>
  <c r="AZ236" i="21400"/>
  <c r="BB236" i="21400" s="1"/>
  <c r="AY236" i="21400"/>
  <c r="BA236" i="21400" s="1"/>
  <c r="AX236" i="21400"/>
  <c r="AW236" i="21400"/>
  <c r="AC236" i="21400"/>
  <c r="M236" i="21400"/>
  <c r="BC236" i="21400" s="1"/>
  <c r="AZ235" i="21400"/>
  <c r="BB235" i="21400" s="1"/>
  <c r="AY235" i="21400"/>
  <c r="BA235" i="21400" s="1"/>
  <c r="AX235" i="21400"/>
  <c r="AW235" i="21400"/>
  <c r="AC235" i="21400"/>
  <c r="M235" i="21400"/>
  <c r="BC235" i="21400" s="1"/>
  <c r="AZ234" i="21400"/>
  <c r="BB234" i="21400" s="1"/>
  <c r="AY234" i="21400"/>
  <c r="BA234" i="21400" s="1"/>
  <c r="AX234" i="21400"/>
  <c r="AW234" i="21400"/>
  <c r="AC234" i="21400"/>
  <c r="M234" i="21400"/>
  <c r="BC234" i="21400" s="1"/>
  <c r="AZ233" i="21400"/>
  <c r="BB233" i="21400" s="1"/>
  <c r="AY233" i="21400"/>
  <c r="BA233" i="21400" s="1"/>
  <c r="AX233" i="21400"/>
  <c r="AW233" i="21400"/>
  <c r="AC233" i="21400"/>
  <c r="M233" i="21400"/>
  <c r="BC233" i="21400" s="1"/>
  <c r="AZ232" i="21400"/>
  <c r="BB232" i="21400" s="1"/>
  <c r="AY232" i="21400"/>
  <c r="BA232" i="21400" s="1"/>
  <c r="AX232" i="21400"/>
  <c r="AW232" i="21400"/>
  <c r="AC232" i="21400"/>
  <c r="M232" i="21400"/>
  <c r="BC232" i="21400" s="1"/>
  <c r="AZ231" i="21400"/>
  <c r="BB231" i="21400" s="1"/>
  <c r="AY231" i="21400"/>
  <c r="BA231" i="21400" s="1"/>
  <c r="AX231" i="21400"/>
  <c r="AW231" i="21400"/>
  <c r="AC231" i="21400"/>
  <c r="M231" i="21400"/>
  <c r="BC231" i="21400" s="1"/>
  <c r="AZ230" i="21400"/>
  <c r="BB230" i="21400" s="1"/>
  <c r="AY230" i="21400"/>
  <c r="BA230" i="21400" s="1"/>
  <c r="AX230" i="21400"/>
  <c r="AW230" i="21400"/>
  <c r="AC230" i="21400"/>
  <c r="M230" i="21400"/>
  <c r="BC230" i="21400" s="1"/>
  <c r="AZ229" i="21400"/>
  <c r="BB229" i="21400" s="1"/>
  <c r="AY229" i="21400"/>
  <c r="BA229" i="21400" s="1"/>
  <c r="AX229" i="21400"/>
  <c r="AW229" i="21400"/>
  <c r="AC229" i="21400"/>
  <c r="M229" i="21400"/>
  <c r="BC229" i="21400" s="1"/>
  <c r="AZ228" i="21400"/>
  <c r="BB228" i="21400" s="1"/>
  <c r="AY228" i="21400"/>
  <c r="BA228" i="21400" s="1"/>
  <c r="AX228" i="21400"/>
  <c r="AW228" i="21400"/>
  <c r="AC228" i="21400"/>
  <c r="M228" i="21400"/>
  <c r="BC228" i="21400" s="1"/>
  <c r="AZ227" i="21400"/>
  <c r="BB227" i="21400" s="1"/>
  <c r="AY227" i="21400"/>
  <c r="BA227" i="21400" s="1"/>
  <c r="AX227" i="21400"/>
  <c r="AW227" i="21400"/>
  <c r="AC227" i="21400"/>
  <c r="M227" i="21400"/>
  <c r="BC227" i="21400" s="1"/>
  <c r="AZ226" i="21400"/>
  <c r="BB226" i="21400" s="1"/>
  <c r="AY226" i="21400"/>
  <c r="BA226" i="21400" s="1"/>
  <c r="AX226" i="21400"/>
  <c r="AW226" i="21400"/>
  <c r="AC226" i="21400"/>
  <c r="M226" i="21400"/>
  <c r="BC226" i="21400" s="1"/>
  <c r="AZ225" i="21400"/>
  <c r="BB225" i="21400" s="1"/>
  <c r="AY225" i="21400"/>
  <c r="BA225" i="21400" s="1"/>
  <c r="AX225" i="21400"/>
  <c r="AW225" i="21400"/>
  <c r="AC225" i="21400"/>
  <c r="M225" i="21400"/>
  <c r="BC225" i="21400" s="1"/>
  <c r="AZ224" i="21400"/>
  <c r="BB224" i="21400" s="1"/>
  <c r="AY224" i="21400"/>
  <c r="BA224" i="21400" s="1"/>
  <c r="AX224" i="21400"/>
  <c r="AW224" i="21400"/>
  <c r="AC224" i="21400"/>
  <c r="M224" i="21400"/>
  <c r="BC224" i="21400" s="1"/>
  <c r="AZ223" i="21400"/>
  <c r="BB223" i="21400" s="1"/>
  <c r="AY223" i="21400"/>
  <c r="BA223" i="21400" s="1"/>
  <c r="AX223" i="21400"/>
  <c r="AW223" i="21400"/>
  <c r="AC223" i="21400"/>
  <c r="M223" i="21400"/>
  <c r="BC223" i="21400" s="1"/>
  <c r="AZ222" i="21400"/>
  <c r="BB222" i="21400" s="1"/>
  <c r="AY222" i="21400"/>
  <c r="BA222" i="21400" s="1"/>
  <c r="AX222" i="21400"/>
  <c r="AW222" i="21400"/>
  <c r="AC222" i="21400"/>
  <c r="M222" i="21400"/>
  <c r="BC222" i="21400" s="1"/>
  <c r="AZ221" i="21400"/>
  <c r="BB221" i="21400" s="1"/>
  <c r="AY221" i="21400"/>
  <c r="BA221" i="21400" s="1"/>
  <c r="AX221" i="21400"/>
  <c r="AW221" i="21400"/>
  <c r="AC221" i="21400"/>
  <c r="M221" i="21400"/>
  <c r="BC221" i="21400" s="1"/>
  <c r="AZ220" i="21400"/>
  <c r="BB220" i="21400" s="1"/>
  <c r="AY220" i="21400"/>
  <c r="BA220" i="21400" s="1"/>
  <c r="AX220" i="21400"/>
  <c r="AW220" i="21400"/>
  <c r="AC220" i="21400"/>
  <c r="M220" i="21400"/>
  <c r="BC220" i="21400" s="1"/>
  <c r="AZ219" i="21400"/>
  <c r="BB219" i="21400" s="1"/>
  <c r="AY219" i="21400"/>
  <c r="BA219" i="21400" s="1"/>
  <c r="AX219" i="21400"/>
  <c r="AW219" i="21400"/>
  <c r="AC219" i="21400"/>
  <c r="M219" i="21400"/>
  <c r="BC219" i="21400" s="1"/>
  <c r="AZ218" i="21400"/>
  <c r="BB218" i="21400" s="1"/>
  <c r="AY218" i="21400"/>
  <c r="BA218" i="21400" s="1"/>
  <c r="AX218" i="21400"/>
  <c r="AW218" i="21400"/>
  <c r="AC218" i="21400"/>
  <c r="M218" i="21400"/>
  <c r="BC218" i="21400" s="1"/>
  <c r="AZ217" i="21400"/>
  <c r="BB217" i="21400" s="1"/>
  <c r="AY217" i="21400"/>
  <c r="BA217" i="21400" s="1"/>
  <c r="AX217" i="21400"/>
  <c r="AW217" i="21400"/>
  <c r="AC217" i="21400"/>
  <c r="M217" i="21400"/>
  <c r="BC217" i="21400" s="1"/>
  <c r="AZ216" i="21400"/>
  <c r="BB216" i="21400" s="1"/>
  <c r="AY216" i="21400"/>
  <c r="BA216" i="21400" s="1"/>
  <c r="AX216" i="21400"/>
  <c r="AW216" i="21400"/>
  <c r="AC216" i="21400"/>
  <c r="M216" i="21400"/>
  <c r="BC216" i="21400" s="1"/>
  <c r="AZ215" i="21400"/>
  <c r="BB215" i="21400" s="1"/>
  <c r="AY215" i="21400"/>
  <c r="BA215" i="21400" s="1"/>
  <c r="AX215" i="21400"/>
  <c r="AW215" i="21400"/>
  <c r="AC215" i="21400"/>
  <c r="M215" i="21400"/>
  <c r="BC215" i="21400" s="1"/>
  <c r="AZ214" i="21400"/>
  <c r="BB214" i="21400" s="1"/>
  <c r="AY214" i="21400"/>
  <c r="BA214" i="21400" s="1"/>
  <c r="AX214" i="21400"/>
  <c r="AW214" i="21400"/>
  <c r="AC214" i="21400"/>
  <c r="M214" i="21400"/>
  <c r="BC214" i="21400" s="1"/>
  <c r="AZ213" i="21400"/>
  <c r="BB213" i="21400" s="1"/>
  <c r="AY213" i="21400"/>
  <c r="BA213" i="21400" s="1"/>
  <c r="AX213" i="21400"/>
  <c r="AW213" i="21400"/>
  <c r="AC213" i="21400"/>
  <c r="M213" i="21400"/>
  <c r="BC213" i="21400" s="1"/>
  <c r="AZ212" i="21400"/>
  <c r="BB212" i="21400" s="1"/>
  <c r="AY212" i="21400"/>
  <c r="BA212" i="21400" s="1"/>
  <c r="AX212" i="21400"/>
  <c r="AW212" i="21400"/>
  <c r="AC212" i="21400"/>
  <c r="M212" i="21400"/>
  <c r="BC212" i="21400" s="1"/>
  <c r="AZ211" i="21400"/>
  <c r="BB211" i="21400" s="1"/>
  <c r="AY211" i="21400"/>
  <c r="BA211" i="21400" s="1"/>
  <c r="AX211" i="21400"/>
  <c r="AW211" i="21400"/>
  <c r="AC211" i="21400"/>
  <c r="M211" i="21400"/>
  <c r="BC211" i="21400" s="1"/>
  <c r="AZ210" i="21400"/>
  <c r="BB210" i="21400" s="1"/>
  <c r="AY210" i="21400"/>
  <c r="BA210" i="21400" s="1"/>
  <c r="AX210" i="21400"/>
  <c r="AW210" i="21400"/>
  <c r="AC210" i="21400"/>
  <c r="M210" i="21400"/>
  <c r="BC210" i="21400" s="1"/>
  <c r="AZ209" i="21400"/>
  <c r="BB209" i="21400" s="1"/>
  <c r="AY209" i="21400"/>
  <c r="BA209" i="21400" s="1"/>
  <c r="AX209" i="21400"/>
  <c r="AW209" i="21400"/>
  <c r="AC209" i="21400"/>
  <c r="M209" i="21400"/>
  <c r="BC209" i="21400" s="1"/>
  <c r="AZ208" i="21400"/>
  <c r="BB208" i="21400" s="1"/>
  <c r="AY208" i="21400"/>
  <c r="BA208" i="21400" s="1"/>
  <c r="AX208" i="21400"/>
  <c r="AW208" i="21400"/>
  <c r="AC208" i="21400"/>
  <c r="M208" i="21400"/>
  <c r="BC208" i="21400" s="1"/>
  <c r="AZ207" i="21400"/>
  <c r="BB207" i="21400" s="1"/>
  <c r="AY207" i="21400"/>
  <c r="BA207" i="21400" s="1"/>
  <c r="AX207" i="21400"/>
  <c r="AW207" i="21400"/>
  <c r="AC207" i="21400"/>
  <c r="M207" i="21400"/>
  <c r="BC207" i="21400" s="1"/>
  <c r="AZ206" i="21400"/>
  <c r="BB206" i="21400" s="1"/>
  <c r="AY206" i="21400"/>
  <c r="BA206" i="21400" s="1"/>
  <c r="AX206" i="21400"/>
  <c r="AW206" i="21400"/>
  <c r="AC206" i="21400"/>
  <c r="M206" i="21400"/>
  <c r="BC206" i="21400" s="1"/>
  <c r="AZ205" i="21400"/>
  <c r="BB205" i="21400" s="1"/>
  <c r="AY205" i="21400"/>
  <c r="BA205" i="21400" s="1"/>
  <c r="AX205" i="21400"/>
  <c r="AW205" i="21400"/>
  <c r="AC205" i="21400"/>
  <c r="M205" i="21400"/>
  <c r="BC205" i="21400" s="1"/>
  <c r="AZ204" i="21400"/>
  <c r="BB204" i="21400" s="1"/>
  <c r="AY204" i="21400"/>
  <c r="BA204" i="21400" s="1"/>
  <c r="AX204" i="21400"/>
  <c r="AW204" i="21400"/>
  <c r="AC204" i="21400"/>
  <c r="M204" i="21400"/>
  <c r="BC204" i="21400" s="1"/>
  <c r="AZ203" i="21400"/>
  <c r="BB203" i="21400" s="1"/>
  <c r="AY203" i="21400"/>
  <c r="BA203" i="21400" s="1"/>
  <c r="AX203" i="21400"/>
  <c r="AW203" i="21400"/>
  <c r="AC203" i="21400"/>
  <c r="M203" i="21400"/>
  <c r="BC203" i="21400" s="1"/>
  <c r="AZ202" i="21400"/>
  <c r="BB202" i="21400" s="1"/>
  <c r="AY202" i="21400"/>
  <c r="BA202" i="21400" s="1"/>
  <c r="AX202" i="21400"/>
  <c r="AW202" i="21400"/>
  <c r="AC202" i="21400"/>
  <c r="M202" i="21400"/>
  <c r="BC202" i="21400" s="1"/>
  <c r="AZ201" i="21400"/>
  <c r="BB201" i="21400" s="1"/>
  <c r="AY201" i="21400"/>
  <c r="BA201" i="21400" s="1"/>
  <c r="AX201" i="21400"/>
  <c r="AW201" i="21400"/>
  <c r="AC201" i="21400"/>
  <c r="M201" i="21400"/>
  <c r="BC201" i="21400" s="1"/>
  <c r="AZ200" i="21400"/>
  <c r="BB200" i="21400" s="1"/>
  <c r="AY200" i="21400"/>
  <c r="BA200" i="21400" s="1"/>
  <c r="AX200" i="21400"/>
  <c r="AW200" i="21400"/>
  <c r="AC200" i="21400"/>
  <c r="M200" i="21400"/>
  <c r="BC200" i="21400" s="1"/>
  <c r="AZ199" i="21400"/>
  <c r="BB199" i="21400" s="1"/>
  <c r="AY199" i="21400"/>
  <c r="BA199" i="21400" s="1"/>
  <c r="AX199" i="21400"/>
  <c r="AW199" i="21400"/>
  <c r="AC199" i="21400"/>
  <c r="M199" i="21400"/>
  <c r="BC199" i="21400" s="1"/>
  <c r="AZ198" i="21400"/>
  <c r="BB198" i="21400" s="1"/>
  <c r="AY198" i="21400"/>
  <c r="BA198" i="21400" s="1"/>
  <c r="AX198" i="21400"/>
  <c r="AW198" i="21400"/>
  <c r="AC198" i="21400"/>
  <c r="M198" i="21400"/>
  <c r="BC198" i="21400" s="1"/>
  <c r="AZ197" i="21400"/>
  <c r="BB197" i="21400" s="1"/>
  <c r="AY197" i="21400"/>
  <c r="BA197" i="21400" s="1"/>
  <c r="AX197" i="21400"/>
  <c r="AW197" i="21400"/>
  <c r="AC197" i="21400"/>
  <c r="M197" i="21400"/>
  <c r="BC197" i="21400" s="1"/>
  <c r="AZ196" i="21400"/>
  <c r="BB196" i="21400" s="1"/>
  <c r="AY196" i="21400"/>
  <c r="BA196" i="21400" s="1"/>
  <c r="AX196" i="21400"/>
  <c r="AW196" i="21400"/>
  <c r="AC196" i="21400"/>
  <c r="M196" i="21400"/>
  <c r="BC196" i="21400" s="1"/>
  <c r="AZ195" i="21400"/>
  <c r="BB195" i="21400" s="1"/>
  <c r="AY195" i="21400"/>
  <c r="BA195" i="21400" s="1"/>
  <c r="AX195" i="21400"/>
  <c r="AW195" i="21400"/>
  <c r="AC195" i="21400"/>
  <c r="M195" i="21400"/>
  <c r="BC195" i="21400" s="1"/>
  <c r="AZ194" i="21400"/>
  <c r="BB194" i="21400" s="1"/>
  <c r="AY194" i="21400"/>
  <c r="BA194" i="21400" s="1"/>
  <c r="AX194" i="21400"/>
  <c r="AW194" i="21400"/>
  <c r="AC194" i="21400"/>
  <c r="M194" i="21400"/>
  <c r="BC194" i="21400" s="1"/>
  <c r="AZ193" i="21400"/>
  <c r="BB193" i="21400" s="1"/>
  <c r="AY193" i="21400"/>
  <c r="BA193" i="21400" s="1"/>
  <c r="AX193" i="21400"/>
  <c r="AW193" i="21400"/>
  <c r="AC193" i="21400"/>
  <c r="M193" i="21400"/>
  <c r="BC193" i="21400" s="1"/>
  <c r="AZ192" i="21400"/>
  <c r="BB192" i="21400" s="1"/>
  <c r="AY192" i="21400"/>
  <c r="BA192" i="21400" s="1"/>
  <c r="AX192" i="21400"/>
  <c r="AW192" i="21400"/>
  <c r="AC192" i="21400"/>
  <c r="M192" i="21400"/>
  <c r="BC192" i="21400" s="1"/>
  <c r="AZ191" i="21400"/>
  <c r="BB191" i="21400" s="1"/>
  <c r="AY191" i="21400"/>
  <c r="BA191" i="21400" s="1"/>
  <c r="AX191" i="21400"/>
  <c r="AW191" i="21400"/>
  <c r="AC191" i="21400"/>
  <c r="M191" i="21400"/>
  <c r="BC191" i="21400" s="1"/>
  <c r="AZ190" i="21400"/>
  <c r="BB190" i="21400" s="1"/>
  <c r="AY190" i="21400"/>
  <c r="BA190" i="21400" s="1"/>
  <c r="AX190" i="21400"/>
  <c r="AW190" i="21400"/>
  <c r="AC190" i="21400"/>
  <c r="M190" i="21400"/>
  <c r="BC190" i="21400" s="1"/>
  <c r="AZ189" i="21400"/>
  <c r="BB189" i="21400" s="1"/>
  <c r="AY189" i="21400"/>
  <c r="BA189" i="21400" s="1"/>
  <c r="AX189" i="21400"/>
  <c r="AW189" i="21400"/>
  <c r="AC189" i="21400"/>
  <c r="M189" i="21400"/>
  <c r="BC189" i="21400" s="1"/>
  <c r="AZ188" i="21400"/>
  <c r="BB188" i="21400" s="1"/>
  <c r="AY188" i="21400"/>
  <c r="BA188" i="21400" s="1"/>
  <c r="AX188" i="21400"/>
  <c r="AW188" i="21400"/>
  <c r="AC188" i="21400"/>
  <c r="M188" i="21400"/>
  <c r="BC188" i="21400" s="1"/>
  <c r="AZ187" i="21400"/>
  <c r="BB187" i="21400" s="1"/>
  <c r="AY187" i="21400"/>
  <c r="BA187" i="21400" s="1"/>
  <c r="AX187" i="21400"/>
  <c r="AW187" i="21400"/>
  <c r="AC187" i="21400"/>
  <c r="M187" i="21400"/>
  <c r="BC187" i="21400" s="1"/>
  <c r="AZ186" i="21400"/>
  <c r="BB186" i="21400" s="1"/>
  <c r="AY186" i="21400"/>
  <c r="BA186" i="21400" s="1"/>
  <c r="AX186" i="21400"/>
  <c r="AW186" i="21400"/>
  <c r="AC186" i="21400"/>
  <c r="M186" i="21400"/>
  <c r="BC186" i="21400" s="1"/>
  <c r="AZ185" i="21400"/>
  <c r="BB185" i="21400" s="1"/>
  <c r="AY185" i="21400"/>
  <c r="BA185" i="21400" s="1"/>
  <c r="AX185" i="21400"/>
  <c r="AW185" i="21400"/>
  <c r="AC185" i="21400"/>
  <c r="M185" i="21400"/>
  <c r="BC185" i="21400" s="1"/>
  <c r="AZ184" i="21400"/>
  <c r="BB184" i="21400" s="1"/>
  <c r="AY184" i="21400"/>
  <c r="BA184" i="21400" s="1"/>
  <c r="AX184" i="21400"/>
  <c r="AW184" i="21400"/>
  <c r="AC184" i="21400"/>
  <c r="M184" i="21400"/>
  <c r="BC184" i="21400" s="1"/>
  <c r="AZ183" i="21400"/>
  <c r="BB183" i="21400" s="1"/>
  <c r="AY183" i="21400"/>
  <c r="BA183" i="21400" s="1"/>
  <c r="AX183" i="21400"/>
  <c r="AW183" i="21400"/>
  <c r="AC183" i="21400"/>
  <c r="M183" i="21400"/>
  <c r="BC183" i="21400" s="1"/>
  <c r="AZ182" i="21400"/>
  <c r="BB182" i="21400" s="1"/>
  <c r="AY182" i="21400"/>
  <c r="BA182" i="21400" s="1"/>
  <c r="AX182" i="21400"/>
  <c r="AW182" i="21400"/>
  <c r="AC182" i="21400"/>
  <c r="M182" i="21400"/>
  <c r="BC182" i="21400" s="1"/>
  <c r="AZ181" i="21400"/>
  <c r="BB181" i="21400" s="1"/>
  <c r="AY181" i="21400"/>
  <c r="BA181" i="21400" s="1"/>
  <c r="AX181" i="21400"/>
  <c r="AW181" i="21400"/>
  <c r="AC181" i="21400"/>
  <c r="M181" i="21400"/>
  <c r="BC181" i="21400" s="1"/>
  <c r="AZ180" i="21400"/>
  <c r="BB180" i="21400" s="1"/>
  <c r="AY180" i="21400"/>
  <c r="BA180" i="21400" s="1"/>
  <c r="AX180" i="21400"/>
  <c r="AW180" i="21400"/>
  <c r="AC180" i="21400"/>
  <c r="M180" i="21400"/>
  <c r="BC180" i="21400" s="1"/>
  <c r="AZ179" i="21400"/>
  <c r="BB179" i="21400" s="1"/>
  <c r="AY179" i="21400"/>
  <c r="BA179" i="21400" s="1"/>
  <c r="AX179" i="21400"/>
  <c r="AW179" i="21400"/>
  <c r="AC179" i="21400"/>
  <c r="M179" i="21400"/>
  <c r="BC179" i="21400" s="1"/>
  <c r="AZ178" i="21400"/>
  <c r="BB178" i="21400" s="1"/>
  <c r="AY178" i="21400"/>
  <c r="BA178" i="21400" s="1"/>
  <c r="AX178" i="21400"/>
  <c r="AW178" i="21400"/>
  <c r="AC178" i="21400"/>
  <c r="M178" i="21400"/>
  <c r="BC178" i="21400" s="1"/>
  <c r="AZ177" i="21400"/>
  <c r="BB177" i="21400" s="1"/>
  <c r="AY177" i="21400"/>
  <c r="BA177" i="21400" s="1"/>
  <c r="AX177" i="21400"/>
  <c r="AW177" i="21400"/>
  <c r="AC177" i="21400"/>
  <c r="M177" i="21400"/>
  <c r="BC177" i="21400" s="1"/>
  <c r="AZ176" i="21400"/>
  <c r="BB176" i="21400" s="1"/>
  <c r="AY176" i="21400"/>
  <c r="BA176" i="21400" s="1"/>
  <c r="AX176" i="21400"/>
  <c r="AW176" i="21400"/>
  <c r="AC176" i="21400"/>
  <c r="M176" i="21400"/>
  <c r="BC176" i="21400" s="1"/>
  <c r="AZ175" i="21400"/>
  <c r="BB175" i="21400" s="1"/>
  <c r="AY175" i="21400"/>
  <c r="BA175" i="21400" s="1"/>
  <c r="AX175" i="21400"/>
  <c r="AW175" i="21400"/>
  <c r="AC175" i="21400"/>
  <c r="M175" i="21400"/>
  <c r="BC175" i="21400" s="1"/>
  <c r="AZ174" i="21400"/>
  <c r="BB174" i="21400" s="1"/>
  <c r="AY174" i="21400"/>
  <c r="BA174" i="21400" s="1"/>
  <c r="AX174" i="21400"/>
  <c r="AW174" i="21400"/>
  <c r="AC174" i="21400"/>
  <c r="M174" i="21400"/>
  <c r="BC174" i="21400" s="1"/>
  <c r="AZ173" i="21400"/>
  <c r="BB173" i="21400" s="1"/>
  <c r="AY173" i="21400"/>
  <c r="BA173" i="21400" s="1"/>
  <c r="AX173" i="21400"/>
  <c r="AW173" i="21400"/>
  <c r="AC173" i="21400"/>
  <c r="M173" i="21400"/>
  <c r="BC173" i="21400" s="1"/>
  <c r="AZ172" i="21400"/>
  <c r="BB172" i="21400" s="1"/>
  <c r="AY172" i="21400"/>
  <c r="BA172" i="21400" s="1"/>
  <c r="AX172" i="21400"/>
  <c r="AW172" i="21400"/>
  <c r="AC172" i="21400"/>
  <c r="M172" i="21400"/>
  <c r="BC172" i="21400" s="1"/>
  <c r="AZ171" i="21400"/>
  <c r="BB171" i="21400" s="1"/>
  <c r="AY171" i="21400"/>
  <c r="BA171" i="21400" s="1"/>
  <c r="AX171" i="21400"/>
  <c r="AW171" i="21400"/>
  <c r="AC171" i="21400"/>
  <c r="M171" i="21400"/>
  <c r="BC171" i="21400" s="1"/>
  <c r="AZ170" i="21400"/>
  <c r="BB170" i="21400" s="1"/>
  <c r="AY170" i="21400"/>
  <c r="BA170" i="21400" s="1"/>
  <c r="AX170" i="21400"/>
  <c r="AW170" i="21400"/>
  <c r="AC170" i="21400"/>
  <c r="M170" i="21400"/>
  <c r="BC170" i="21400" s="1"/>
  <c r="AZ169" i="21400"/>
  <c r="BB169" i="21400" s="1"/>
  <c r="AY169" i="21400"/>
  <c r="BA169" i="21400" s="1"/>
  <c r="AX169" i="21400"/>
  <c r="AW169" i="21400"/>
  <c r="AC169" i="21400"/>
  <c r="M169" i="21400"/>
  <c r="BC169" i="21400" s="1"/>
  <c r="AZ168" i="21400"/>
  <c r="BB168" i="21400" s="1"/>
  <c r="AY168" i="21400"/>
  <c r="BA168" i="21400" s="1"/>
  <c r="AX168" i="21400"/>
  <c r="AW168" i="21400"/>
  <c r="AC168" i="21400"/>
  <c r="M168" i="21400"/>
  <c r="BC168" i="21400" s="1"/>
  <c r="AZ167" i="21400"/>
  <c r="BB167" i="21400" s="1"/>
  <c r="AY167" i="21400"/>
  <c r="BA167" i="21400" s="1"/>
  <c r="AX167" i="21400"/>
  <c r="AW167" i="21400"/>
  <c r="AC167" i="21400"/>
  <c r="M167" i="21400"/>
  <c r="BC167" i="21400" s="1"/>
  <c r="AZ166" i="21400"/>
  <c r="BB166" i="21400" s="1"/>
  <c r="AY166" i="21400"/>
  <c r="BA166" i="21400" s="1"/>
  <c r="AX166" i="21400"/>
  <c r="AW166" i="21400"/>
  <c r="AC166" i="21400"/>
  <c r="M166" i="21400"/>
  <c r="BC166" i="21400" s="1"/>
  <c r="AZ165" i="21400"/>
  <c r="BB165" i="21400" s="1"/>
  <c r="AY165" i="21400"/>
  <c r="BA165" i="21400" s="1"/>
  <c r="AX165" i="21400"/>
  <c r="AW165" i="21400"/>
  <c r="AC165" i="21400"/>
  <c r="M165" i="21400"/>
  <c r="BC165" i="21400" s="1"/>
  <c r="AZ164" i="21400"/>
  <c r="BB164" i="21400" s="1"/>
  <c r="AY164" i="21400"/>
  <c r="BA164" i="21400" s="1"/>
  <c r="AX164" i="21400"/>
  <c r="AW164" i="21400"/>
  <c r="AC164" i="21400"/>
  <c r="M164" i="21400"/>
  <c r="BC164" i="21400" s="1"/>
  <c r="AZ163" i="21400"/>
  <c r="BB163" i="21400" s="1"/>
  <c r="AY163" i="21400"/>
  <c r="BA163" i="21400" s="1"/>
  <c r="AX163" i="21400"/>
  <c r="AW163" i="21400"/>
  <c r="AC163" i="21400"/>
  <c r="M163" i="21400"/>
  <c r="BC163" i="21400" s="1"/>
  <c r="AZ162" i="21400"/>
  <c r="BB162" i="21400" s="1"/>
  <c r="AY162" i="21400"/>
  <c r="BA162" i="21400" s="1"/>
  <c r="AX162" i="21400"/>
  <c r="AW162" i="21400"/>
  <c r="AC162" i="21400"/>
  <c r="M162" i="21400"/>
  <c r="BC162" i="21400" s="1"/>
  <c r="M161" i="21400"/>
  <c r="AC160" i="21400"/>
  <c r="M160" i="21400"/>
  <c r="AC158" i="21400"/>
  <c r="M158" i="21400"/>
  <c r="M157" i="21400"/>
  <c r="AZ156" i="21400"/>
  <c r="BB156" i="21400" s="1"/>
  <c r="AY156" i="21400"/>
  <c r="BA156" i="21400" s="1"/>
  <c r="AX156" i="21400"/>
  <c r="AW156" i="21400"/>
  <c r="AC156" i="21400"/>
  <c r="M156" i="21400"/>
  <c r="BC156" i="21400" s="1"/>
  <c r="AC155" i="21400"/>
  <c r="BC155" i="21400"/>
  <c r="AC154" i="21400"/>
  <c r="BC154" i="21400"/>
  <c r="AC153" i="21400"/>
  <c r="M153" i="21400"/>
  <c r="BC153" i="21400" s="1"/>
  <c r="M152" i="21400"/>
  <c r="BC152" i="21400" s="1"/>
  <c r="AC151" i="21400"/>
  <c r="M151" i="21400"/>
  <c r="BC151" i="21400" s="1"/>
  <c r="M150" i="21400"/>
  <c r="BC150" i="21400" s="1"/>
  <c r="AC149" i="21400"/>
  <c r="M149" i="21400"/>
  <c r="BC149" i="21400" s="1"/>
  <c r="M148" i="21400"/>
  <c r="BC148" i="21400" s="1"/>
  <c r="AC147" i="21400"/>
  <c r="M147" i="21400"/>
  <c r="BC147" i="21400" s="1"/>
  <c r="AC145" i="21400"/>
  <c r="M145" i="21400"/>
  <c r="BC145" i="21400" s="1"/>
  <c r="BC144" i="21400"/>
  <c r="AC143" i="21400"/>
  <c r="M143" i="21400"/>
  <c r="BC143" i="21400" s="1"/>
  <c r="BC142" i="21400"/>
  <c r="AC141" i="21400"/>
  <c r="M141" i="21400"/>
  <c r="BC141" i="21400" s="1"/>
  <c r="BC140" i="21400"/>
  <c r="AC139" i="21400"/>
  <c r="M139" i="21400"/>
  <c r="BC139" i="21400" s="1"/>
  <c r="BC138" i="21400"/>
  <c r="AC137" i="21400"/>
  <c r="M137" i="21400"/>
  <c r="BC137" i="21400" s="1"/>
  <c r="BC136" i="21400"/>
  <c r="AC135" i="21400"/>
  <c r="M135" i="21400"/>
  <c r="BC135" i="21400" s="1"/>
  <c r="BC134" i="21400"/>
  <c r="AC133" i="21400"/>
  <c r="M133" i="21400"/>
  <c r="BC133" i="21400" s="1"/>
  <c r="BC132" i="21400"/>
  <c r="AC131" i="21400"/>
  <c r="M131" i="21400"/>
  <c r="BC131" i="21400" s="1"/>
  <c r="BC130" i="21400"/>
  <c r="AC129" i="21400"/>
  <c r="M129" i="21400"/>
  <c r="BC129" i="21400" s="1"/>
  <c r="BC128" i="21400"/>
  <c r="AC127" i="21400"/>
  <c r="M127" i="21400"/>
  <c r="BC127" i="21400" s="1"/>
  <c r="BC126" i="21400"/>
  <c r="AC125" i="21400"/>
  <c r="M125" i="21400"/>
  <c r="BC125" i="21400" s="1"/>
  <c r="BC124" i="21400"/>
  <c r="AC123" i="21400"/>
  <c r="M123" i="21400"/>
  <c r="BC123" i="21400" s="1"/>
  <c r="BC122" i="21400"/>
  <c r="AC121" i="21400"/>
  <c r="M121" i="21400"/>
  <c r="BC121" i="21400" s="1"/>
  <c r="BC120" i="21400"/>
  <c r="AC119" i="21400"/>
  <c r="M119" i="21400"/>
  <c r="BC119" i="21400" s="1"/>
  <c r="BC118" i="21400"/>
  <c r="AC117" i="21400"/>
  <c r="M117" i="21400"/>
  <c r="BC117" i="21400" s="1"/>
  <c r="BC116" i="21400"/>
  <c r="AC115" i="21400"/>
  <c r="M115" i="21400"/>
  <c r="BC115" i="21400" s="1"/>
  <c r="BC114" i="21400"/>
  <c r="AC113" i="21400"/>
  <c r="M113" i="21400"/>
  <c r="BC113" i="21400" s="1"/>
  <c r="BC112" i="21400"/>
  <c r="AC111" i="21400"/>
  <c r="M111" i="21400"/>
  <c r="BC111" i="21400" s="1"/>
  <c r="BC110" i="21400"/>
  <c r="AC109" i="21400"/>
  <c r="M109" i="21400"/>
  <c r="BC109" i="21400" s="1"/>
  <c r="BC108" i="21400"/>
  <c r="AC107" i="21400"/>
  <c r="M107" i="21400"/>
  <c r="BC107" i="21400" s="1"/>
  <c r="BC106" i="21400"/>
  <c r="AC105" i="21400"/>
  <c r="M105" i="21400"/>
  <c r="BC105" i="21400" s="1"/>
  <c r="AC103" i="21400"/>
  <c r="M103" i="21400"/>
  <c r="BC103" i="21400" s="1"/>
  <c r="AC101" i="21400"/>
  <c r="M101" i="21400"/>
  <c r="BC101" i="21400" s="1"/>
  <c r="AC99" i="21400"/>
  <c r="M99" i="21400"/>
  <c r="BC99" i="21400" s="1"/>
  <c r="AC97" i="21400"/>
  <c r="M97" i="21400"/>
  <c r="BC97" i="21400" s="1"/>
  <c r="AC95" i="21400"/>
  <c r="M95" i="21400"/>
  <c r="BC95" i="21400" s="1"/>
  <c r="AC93" i="21400"/>
  <c r="M93" i="21400"/>
  <c r="BC93" i="21400" s="1"/>
  <c r="AC91" i="21400"/>
  <c r="M91" i="21400"/>
  <c r="BC91" i="21400" s="1"/>
  <c r="AC89" i="21400"/>
  <c r="M89" i="21400"/>
  <c r="BC89" i="21400" s="1"/>
  <c r="AC87" i="21400"/>
  <c r="M87" i="21400"/>
  <c r="BC87" i="21400" s="1"/>
  <c r="AC85" i="21400"/>
  <c r="M85" i="21400"/>
  <c r="BC85" i="21400" s="1"/>
  <c r="AC83" i="21400"/>
  <c r="M83" i="21400"/>
  <c r="BC83" i="21400" s="1"/>
  <c r="AC81" i="21400"/>
  <c r="M81" i="21400"/>
  <c r="BC81" i="21400" s="1"/>
  <c r="AC79" i="21400"/>
  <c r="M79" i="21400"/>
  <c r="BC79" i="21400" s="1"/>
  <c r="AC77" i="21400"/>
  <c r="M77" i="21400"/>
  <c r="BC77" i="21400" s="1"/>
  <c r="AC75" i="21400"/>
  <c r="M75" i="21400"/>
  <c r="BC75" i="21400" s="1"/>
  <c r="AC73" i="21400"/>
  <c r="M73" i="21400"/>
  <c r="BC73" i="21400" s="1"/>
  <c r="AC71" i="21400"/>
  <c r="M71" i="21400"/>
  <c r="BC71" i="21400" s="1"/>
  <c r="AC69" i="21400"/>
  <c r="AC67" i="21400"/>
  <c r="M67" i="21400"/>
  <c r="BC67" i="21400" s="1"/>
  <c r="BC66" i="21400"/>
  <c r="AC65" i="21400"/>
  <c r="M65" i="21400"/>
  <c r="BC65" i="21400" s="1"/>
  <c r="AC63" i="21400"/>
  <c r="BC63" i="21400"/>
  <c r="AC61" i="21400"/>
  <c r="BC61" i="21400"/>
  <c r="AC59" i="21400"/>
  <c r="BC59" i="21400"/>
  <c r="AC57" i="21400"/>
  <c r="BC57" i="21400"/>
  <c r="AC55" i="21400"/>
  <c r="BC55" i="21400"/>
  <c r="AC53" i="21400"/>
  <c r="BC53" i="21400"/>
  <c r="AC51" i="21400"/>
  <c r="BC51" i="21400"/>
  <c r="AC49" i="21400"/>
  <c r="BC49" i="21400"/>
  <c r="AC47" i="21400"/>
  <c r="BC47" i="21400"/>
  <c r="AC45" i="21400"/>
  <c r="M45" i="21400"/>
  <c r="BC45" i="21400" s="1"/>
  <c r="M44" i="21400"/>
  <c r="BC44" i="21400" s="1"/>
  <c r="M43" i="21400"/>
  <c r="BC43" i="21400" s="1"/>
  <c r="M42" i="21400"/>
  <c r="BC42" i="21400" s="1"/>
  <c r="M41" i="21400"/>
  <c r="BC41" i="21400" s="1"/>
  <c r="M40" i="21400"/>
  <c r="BC40" i="21400" s="1"/>
  <c r="M39" i="21400"/>
  <c r="BC39" i="21400" s="1"/>
  <c r="M38" i="21400"/>
  <c r="BC38" i="21400" s="1"/>
  <c r="M37" i="21400"/>
  <c r="BC37" i="21400" s="1"/>
  <c r="M36" i="21400"/>
  <c r="BC36" i="21400" s="1"/>
  <c r="M35" i="21400"/>
  <c r="BC35" i="21400" s="1"/>
  <c r="M34" i="21400"/>
  <c r="BC34" i="21400" s="1"/>
  <c r="M33" i="21400"/>
  <c r="BC33" i="21400" s="1"/>
  <c r="M32" i="21400"/>
  <c r="BC32" i="21400" s="1"/>
  <c r="AC31" i="21400"/>
  <c r="M31" i="21400"/>
  <c r="BC31" i="21400" s="1"/>
  <c r="BC30" i="21400"/>
  <c r="AC29" i="21400"/>
  <c r="BC29" i="21400"/>
  <c r="BC28" i="21400"/>
  <c r="AC27" i="21400"/>
  <c r="BC27" i="21400"/>
  <c r="BC26" i="21400"/>
  <c r="AC25" i="21400"/>
  <c r="BC25" i="21400"/>
  <c r="BC24" i="21400"/>
  <c r="AC23" i="21400"/>
  <c r="BC23" i="21400"/>
  <c r="BC22" i="21400"/>
  <c r="AC21" i="21400"/>
  <c r="BC21" i="21400"/>
  <c r="BC20" i="21400"/>
  <c r="AC19" i="21400"/>
  <c r="BC19" i="21400"/>
  <c r="BC18" i="21400"/>
  <c r="AC17" i="21400"/>
  <c r="BC17" i="21400"/>
  <c r="BA15" i="21400"/>
  <c r="BB15" i="21400"/>
  <c r="AC15" i="21400"/>
  <c r="M15" i="21400"/>
  <c r="BC15" i="21400" s="1"/>
  <c r="BB14" i="21400"/>
  <c r="BA14" i="21400"/>
  <c r="AC14" i="21400"/>
  <c r="BC14" i="21400"/>
  <c r="BB13" i="21400"/>
  <c r="BA13" i="21400"/>
  <c r="AC13" i="21400"/>
  <c r="M13" i="21400"/>
  <c r="BC13" i="21400" s="1"/>
  <c r="BB12" i="21400"/>
  <c r="BA12" i="21400"/>
  <c r="AC12" i="21400"/>
  <c r="BC12" i="21400"/>
  <c r="BA11" i="21400"/>
  <c r="BB11" i="21400"/>
  <c r="AC11" i="21400"/>
  <c r="M11" i="21400"/>
  <c r="BC11" i="21400" s="1"/>
  <c r="BB10" i="21400"/>
  <c r="BA10" i="21400"/>
  <c r="AC10" i="21400"/>
  <c r="BC10" i="21400"/>
  <c r="BA9" i="21400"/>
  <c r="BB9" i="21400"/>
  <c r="AC9" i="21400"/>
  <c r="M9" i="21400"/>
  <c r="BC9" i="21400" s="1"/>
  <c r="BB8" i="21400"/>
  <c r="BA8" i="21400"/>
  <c r="AC8" i="21400"/>
  <c r="BC8" i="21400"/>
  <c r="BB7" i="21400"/>
  <c r="BA7" i="21400"/>
  <c r="AC7" i="21400"/>
  <c r="M7" i="21400"/>
  <c r="BC7" i="21400" s="1"/>
  <c r="BB6" i="21400"/>
  <c r="BA6" i="21400"/>
  <c r="AC6" i="21400"/>
  <c r="BC6" i="21400"/>
  <c r="AZ800" i="21399"/>
  <c r="BB800" i="21399" s="1"/>
  <c r="AY800" i="21399"/>
  <c r="BA800" i="21399" s="1"/>
  <c r="AX800" i="21399"/>
  <c r="AW800" i="21399"/>
  <c r="AC800" i="21399"/>
  <c r="M800" i="21399"/>
  <c r="BC800" i="21399" s="1"/>
  <c r="AZ799" i="21399"/>
  <c r="BB799" i="21399" s="1"/>
  <c r="AY799" i="21399"/>
  <c r="BA799" i="21399" s="1"/>
  <c r="AX799" i="21399"/>
  <c r="AW799" i="21399"/>
  <c r="AC799" i="21399"/>
  <c r="M799" i="21399"/>
  <c r="BC799" i="21399" s="1"/>
  <c r="AZ798" i="21399"/>
  <c r="BB798" i="21399" s="1"/>
  <c r="AY798" i="21399"/>
  <c r="BA798" i="21399" s="1"/>
  <c r="AX798" i="21399"/>
  <c r="AW798" i="21399"/>
  <c r="AC798" i="21399"/>
  <c r="M798" i="21399"/>
  <c r="BC798" i="21399" s="1"/>
  <c r="AZ797" i="21399"/>
  <c r="BB797" i="21399" s="1"/>
  <c r="AY797" i="21399"/>
  <c r="BA797" i="21399" s="1"/>
  <c r="AX797" i="21399"/>
  <c r="AW797" i="21399"/>
  <c r="AC797" i="21399"/>
  <c r="M797" i="21399"/>
  <c r="BC797" i="21399" s="1"/>
  <c r="AZ796" i="21399"/>
  <c r="BB796" i="21399" s="1"/>
  <c r="AY796" i="21399"/>
  <c r="BA796" i="21399" s="1"/>
  <c r="AX796" i="21399"/>
  <c r="AW796" i="21399"/>
  <c r="AC796" i="21399"/>
  <c r="M796" i="21399"/>
  <c r="BC796" i="21399" s="1"/>
  <c r="AZ795" i="21399"/>
  <c r="BB795" i="21399" s="1"/>
  <c r="AY795" i="21399"/>
  <c r="BA795" i="21399" s="1"/>
  <c r="AX795" i="21399"/>
  <c r="AW795" i="21399"/>
  <c r="AC795" i="21399"/>
  <c r="M795" i="21399"/>
  <c r="BC795" i="21399" s="1"/>
  <c r="AZ794" i="21399"/>
  <c r="BB794" i="21399" s="1"/>
  <c r="AY794" i="21399"/>
  <c r="BA794" i="21399" s="1"/>
  <c r="AX794" i="21399"/>
  <c r="AW794" i="21399"/>
  <c r="AC794" i="21399"/>
  <c r="M794" i="21399"/>
  <c r="BC794" i="21399" s="1"/>
  <c r="AZ793" i="21399"/>
  <c r="BB793" i="21399" s="1"/>
  <c r="AY793" i="21399"/>
  <c r="BA793" i="21399" s="1"/>
  <c r="AX793" i="21399"/>
  <c r="AW793" i="21399"/>
  <c r="AC793" i="21399"/>
  <c r="M793" i="21399"/>
  <c r="BC793" i="21399" s="1"/>
  <c r="AZ792" i="21399"/>
  <c r="BB792" i="21399" s="1"/>
  <c r="AY792" i="21399"/>
  <c r="BA792" i="21399" s="1"/>
  <c r="AX792" i="21399"/>
  <c r="AW792" i="21399"/>
  <c r="AC792" i="21399"/>
  <c r="M792" i="21399"/>
  <c r="BC792" i="21399" s="1"/>
  <c r="AZ791" i="21399"/>
  <c r="BB791" i="21399" s="1"/>
  <c r="AY791" i="21399"/>
  <c r="BA791" i="21399" s="1"/>
  <c r="AX791" i="21399"/>
  <c r="AW791" i="21399"/>
  <c r="AC791" i="21399"/>
  <c r="M791" i="21399"/>
  <c r="BC791" i="21399" s="1"/>
  <c r="AZ790" i="21399"/>
  <c r="BB790" i="21399" s="1"/>
  <c r="AY790" i="21399"/>
  <c r="BA790" i="21399" s="1"/>
  <c r="AX790" i="21399"/>
  <c r="AW790" i="21399"/>
  <c r="AC790" i="21399"/>
  <c r="M790" i="21399"/>
  <c r="BC790" i="21399" s="1"/>
  <c r="AZ789" i="21399"/>
  <c r="BB789" i="21399" s="1"/>
  <c r="AY789" i="21399"/>
  <c r="BA789" i="21399" s="1"/>
  <c r="AX789" i="21399"/>
  <c r="AW789" i="21399"/>
  <c r="AC789" i="21399"/>
  <c r="M789" i="21399"/>
  <c r="BC789" i="21399" s="1"/>
  <c r="AZ788" i="21399"/>
  <c r="BB788" i="21399" s="1"/>
  <c r="AY788" i="21399"/>
  <c r="BA788" i="21399" s="1"/>
  <c r="AX788" i="21399"/>
  <c r="AW788" i="21399"/>
  <c r="AC788" i="21399"/>
  <c r="M788" i="21399"/>
  <c r="BC788" i="21399" s="1"/>
  <c r="AZ787" i="21399"/>
  <c r="BB787" i="21399" s="1"/>
  <c r="AY787" i="21399"/>
  <c r="BA787" i="21399" s="1"/>
  <c r="AX787" i="21399"/>
  <c r="AW787" i="21399"/>
  <c r="AC787" i="21399"/>
  <c r="M787" i="21399"/>
  <c r="BC787" i="21399" s="1"/>
  <c r="AZ786" i="21399"/>
  <c r="BB786" i="21399" s="1"/>
  <c r="AY786" i="21399"/>
  <c r="BA786" i="21399" s="1"/>
  <c r="AX786" i="21399"/>
  <c r="AW786" i="21399"/>
  <c r="AC786" i="21399"/>
  <c r="M786" i="21399"/>
  <c r="BC786" i="21399" s="1"/>
  <c r="AZ785" i="21399"/>
  <c r="BB785" i="21399" s="1"/>
  <c r="AY785" i="21399"/>
  <c r="BA785" i="21399" s="1"/>
  <c r="AX785" i="21399"/>
  <c r="AW785" i="21399"/>
  <c r="AC785" i="21399"/>
  <c r="M785" i="21399"/>
  <c r="BC785" i="21399" s="1"/>
  <c r="AZ784" i="21399"/>
  <c r="BB784" i="21399" s="1"/>
  <c r="AY784" i="21399"/>
  <c r="BA784" i="21399" s="1"/>
  <c r="AX784" i="21399"/>
  <c r="AW784" i="21399"/>
  <c r="AC784" i="21399"/>
  <c r="M784" i="21399"/>
  <c r="BC784" i="21399" s="1"/>
  <c r="AZ783" i="21399"/>
  <c r="BB783" i="21399" s="1"/>
  <c r="AY783" i="21399"/>
  <c r="BA783" i="21399" s="1"/>
  <c r="AX783" i="21399"/>
  <c r="AW783" i="21399"/>
  <c r="AC783" i="21399"/>
  <c r="M783" i="21399"/>
  <c r="BC783" i="21399" s="1"/>
  <c r="AZ782" i="21399"/>
  <c r="BB782" i="21399" s="1"/>
  <c r="AY782" i="21399"/>
  <c r="BA782" i="21399" s="1"/>
  <c r="AX782" i="21399"/>
  <c r="AW782" i="21399"/>
  <c r="AC782" i="21399"/>
  <c r="M782" i="21399"/>
  <c r="BC782" i="21399" s="1"/>
  <c r="AZ781" i="21399"/>
  <c r="BB781" i="21399" s="1"/>
  <c r="AY781" i="21399"/>
  <c r="BA781" i="21399" s="1"/>
  <c r="AX781" i="21399"/>
  <c r="AW781" i="21399"/>
  <c r="AC781" i="21399"/>
  <c r="M781" i="21399"/>
  <c r="BC781" i="21399" s="1"/>
  <c r="AZ780" i="21399"/>
  <c r="BB780" i="21399" s="1"/>
  <c r="AY780" i="21399"/>
  <c r="BA780" i="21399" s="1"/>
  <c r="AX780" i="21399"/>
  <c r="AW780" i="21399"/>
  <c r="AC780" i="21399"/>
  <c r="M780" i="21399"/>
  <c r="BC780" i="21399" s="1"/>
  <c r="AZ779" i="21399"/>
  <c r="BB779" i="21399" s="1"/>
  <c r="AY779" i="21399"/>
  <c r="BA779" i="21399" s="1"/>
  <c r="AX779" i="21399"/>
  <c r="AW779" i="21399"/>
  <c r="AC779" i="21399"/>
  <c r="M779" i="21399"/>
  <c r="BC779" i="21399" s="1"/>
  <c r="AZ778" i="21399"/>
  <c r="BB778" i="21399" s="1"/>
  <c r="AY778" i="21399"/>
  <c r="BA778" i="21399" s="1"/>
  <c r="AX778" i="21399"/>
  <c r="AW778" i="21399"/>
  <c r="AC778" i="21399"/>
  <c r="M778" i="21399"/>
  <c r="BC778" i="21399" s="1"/>
  <c r="AZ777" i="21399"/>
  <c r="BB777" i="21399" s="1"/>
  <c r="AY777" i="21399"/>
  <c r="BA777" i="21399" s="1"/>
  <c r="AX777" i="21399"/>
  <c r="AW777" i="21399"/>
  <c r="AC777" i="21399"/>
  <c r="M777" i="21399"/>
  <c r="BC777" i="21399" s="1"/>
  <c r="AZ776" i="21399"/>
  <c r="BB776" i="21399" s="1"/>
  <c r="AY776" i="21399"/>
  <c r="BA776" i="21399" s="1"/>
  <c r="AX776" i="21399"/>
  <c r="AW776" i="21399"/>
  <c r="AC776" i="21399"/>
  <c r="M776" i="21399"/>
  <c r="BC776" i="21399" s="1"/>
  <c r="AZ775" i="21399"/>
  <c r="BB775" i="21399" s="1"/>
  <c r="AY775" i="21399"/>
  <c r="BA775" i="21399" s="1"/>
  <c r="AX775" i="21399"/>
  <c r="AW775" i="21399"/>
  <c r="AC775" i="21399"/>
  <c r="M775" i="21399"/>
  <c r="BC775" i="21399" s="1"/>
  <c r="AZ774" i="21399"/>
  <c r="BB774" i="21399" s="1"/>
  <c r="AY774" i="21399"/>
  <c r="BA774" i="21399" s="1"/>
  <c r="AX774" i="21399"/>
  <c r="AW774" i="21399"/>
  <c r="AC774" i="21399"/>
  <c r="M774" i="21399"/>
  <c r="BC774" i="21399" s="1"/>
  <c r="AZ773" i="21399"/>
  <c r="BB773" i="21399" s="1"/>
  <c r="AY773" i="21399"/>
  <c r="BA773" i="21399" s="1"/>
  <c r="AX773" i="21399"/>
  <c r="AW773" i="21399"/>
  <c r="AC773" i="21399"/>
  <c r="M773" i="21399"/>
  <c r="BC773" i="21399" s="1"/>
  <c r="AZ772" i="21399"/>
  <c r="BB772" i="21399" s="1"/>
  <c r="AY772" i="21399"/>
  <c r="BA772" i="21399" s="1"/>
  <c r="AX772" i="21399"/>
  <c r="AW772" i="21399"/>
  <c r="AC772" i="21399"/>
  <c r="M772" i="21399"/>
  <c r="BC772" i="21399" s="1"/>
  <c r="AZ771" i="21399"/>
  <c r="BB771" i="21399" s="1"/>
  <c r="AY771" i="21399"/>
  <c r="BA771" i="21399" s="1"/>
  <c r="AX771" i="21399"/>
  <c r="AW771" i="21399"/>
  <c r="AC771" i="21399"/>
  <c r="M771" i="21399"/>
  <c r="BC771" i="21399" s="1"/>
  <c r="AZ770" i="21399"/>
  <c r="BB770" i="21399" s="1"/>
  <c r="AY770" i="21399"/>
  <c r="BA770" i="21399" s="1"/>
  <c r="AX770" i="21399"/>
  <c r="AW770" i="21399"/>
  <c r="AC770" i="21399"/>
  <c r="M770" i="21399"/>
  <c r="BC770" i="21399" s="1"/>
  <c r="AZ769" i="21399"/>
  <c r="BB769" i="21399" s="1"/>
  <c r="AY769" i="21399"/>
  <c r="BA769" i="21399" s="1"/>
  <c r="AX769" i="21399"/>
  <c r="AW769" i="21399"/>
  <c r="AC769" i="21399"/>
  <c r="M769" i="21399"/>
  <c r="BC769" i="21399" s="1"/>
  <c r="AZ768" i="21399"/>
  <c r="BB768" i="21399" s="1"/>
  <c r="AY768" i="21399"/>
  <c r="BA768" i="21399" s="1"/>
  <c r="AX768" i="21399"/>
  <c r="AW768" i="21399"/>
  <c r="AC768" i="21399"/>
  <c r="M768" i="21399"/>
  <c r="BC768" i="21399" s="1"/>
  <c r="AZ767" i="21399"/>
  <c r="BB767" i="21399" s="1"/>
  <c r="AY767" i="21399"/>
  <c r="BA767" i="21399" s="1"/>
  <c r="AX767" i="21399"/>
  <c r="AW767" i="21399"/>
  <c r="AC767" i="21399"/>
  <c r="M767" i="21399"/>
  <c r="BC767" i="21399" s="1"/>
  <c r="AZ766" i="21399"/>
  <c r="BB766" i="21399" s="1"/>
  <c r="AY766" i="21399"/>
  <c r="BA766" i="21399" s="1"/>
  <c r="AX766" i="21399"/>
  <c r="AW766" i="21399"/>
  <c r="AC766" i="21399"/>
  <c r="M766" i="21399"/>
  <c r="BC766" i="21399" s="1"/>
  <c r="AZ765" i="21399"/>
  <c r="BB765" i="21399" s="1"/>
  <c r="AY765" i="21399"/>
  <c r="BA765" i="21399" s="1"/>
  <c r="AX765" i="21399"/>
  <c r="AW765" i="21399"/>
  <c r="AC765" i="21399"/>
  <c r="M765" i="21399"/>
  <c r="BC765" i="21399" s="1"/>
  <c r="AZ764" i="21399"/>
  <c r="BB764" i="21399" s="1"/>
  <c r="AY764" i="21399"/>
  <c r="BA764" i="21399" s="1"/>
  <c r="AX764" i="21399"/>
  <c r="AW764" i="21399"/>
  <c r="AC764" i="21399"/>
  <c r="M764" i="21399"/>
  <c r="BC764" i="21399" s="1"/>
  <c r="AZ763" i="21399"/>
  <c r="BB763" i="21399" s="1"/>
  <c r="AY763" i="21399"/>
  <c r="BA763" i="21399" s="1"/>
  <c r="AX763" i="21399"/>
  <c r="AW763" i="21399"/>
  <c r="AC763" i="21399"/>
  <c r="M763" i="21399"/>
  <c r="BC763" i="21399" s="1"/>
  <c r="AZ762" i="21399"/>
  <c r="BB762" i="21399" s="1"/>
  <c r="AY762" i="21399"/>
  <c r="BA762" i="21399" s="1"/>
  <c r="AX762" i="21399"/>
  <c r="AW762" i="21399"/>
  <c r="AC762" i="21399"/>
  <c r="M762" i="21399"/>
  <c r="BC762" i="21399" s="1"/>
  <c r="AZ761" i="21399"/>
  <c r="BB761" i="21399" s="1"/>
  <c r="AY761" i="21399"/>
  <c r="BA761" i="21399" s="1"/>
  <c r="AX761" i="21399"/>
  <c r="AW761" i="21399"/>
  <c r="AC761" i="21399"/>
  <c r="M761" i="21399"/>
  <c r="BC761" i="21399" s="1"/>
  <c r="AZ760" i="21399"/>
  <c r="BB760" i="21399" s="1"/>
  <c r="AY760" i="21399"/>
  <c r="BA760" i="21399" s="1"/>
  <c r="AX760" i="21399"/>
  <c r="AW760" i="21399"/>
  <c r="AC760" i="21399"/>
  <c r="M760" i="21399"/>
  <c r="BC760" i="21399" s="1"/>
  <c r="AZ759" i="21399"/>
  <c r="BB759" i="21399" s="1"/>
  <c r="AY759" i="21399"/>
  <c r="BA759" i="21399" s="1"/>
  <c r="AX759" i="21399"/>
  <c r="AW759" i="21399"/>
  <c r="AC759" i="21399"/>
  <c r="M759" i="21399"/>
  <c r="BC759" i="21399" s="1"/>
  <c r="AZ758" i="21399"/>
  <c r="BB758" i="21399" s="1"/>
  <c r="AY758" i="21399"/>
  <c r="BA758" i="21399" s="1"/>
  <c r="AX758" i="21399"/>
  <c r="AW758" i="21399"/>
  <c r="AC758" i="21399"/>
  <c r="M758" i="21399"/>
  <c r="BC758" i="21399" s="1"/>
  <c r="AZ757" i="21399"/>
  <c r="BB757" i="21399" s="1"/>
  <c r="AY757" i="21399"/>
  <c r="BA757" i="21399" s="1"/>
  <c r="AX757" i="21399"/>
  <c r="AW757" i="21399"/>
  <c r="AC757" i="21399"/>
  <c r="M757" i="21399"/>
  <c r="BC757" i="21399" s="1"/>
  <c r="AZ756" i="21399"/>
  <c r="BB756" i="21399" s="1"/>
  <c r="AY756" i="21399"/>
  <c r="BA756" i="21399" s="1"/>
  <c r="AX756" i="21399"/>
  <c r="AW756" i="21399"/>
  <c r="AC756" i="21399"/>
  <c r="M756" i="21399"/>
  <c r="BC756" i="21399" s="1"/>
  <c r="AZ755" i="21399"/>
  <c r="BB755" i="21399" s="1"/>
  <c r="AY755" i="21399"/>
  <c r="BA755" i="21399" s="1"/>
  <c r="AX755" i="21399"/>
  <c r="AW755" i="21399"/>
  <c r="AC755" i="21399"/>
  <c r="M755" i="21399"/>
  <c r="BC755" i="21399" s="1"/>
  <c r="AZ754" i="21399"/>
  <c r="BB754" i="21399" s="1"/>
  <c r="AY754" i="21399"/>
  <c r="BA754" i="21399" s="1"/>
  <c r="AX754" i="21399"/>
  <c r="AW754" i="21399"/>
  <c r="AC754" i="21399"/>
  <c r="M754" i="21399"/>
  <c r="BC754" i="21399" s="1"/>
  <c r="AZ753" i="21399"/>
  <c r="BB753" i="21399" s="1"/>
  <c r="AY753" i="21399"/>
  <c r="BA753" i="21399" s="1"/>
  <c r="AX753" i="21399"/>
  <c r="AW753" i="21399"/>
  <c r="AC753" i="21399"/>
  <c r="M753" i="21399"/>
  <c r="BC753" i="21399" s="1"/>
  <c r="AZ752" i="21399"/>
  <c r="BB752" i="21399" s="1"/>
  <c r="AY752" i="21399"/>
  <c r="BA752" i="21399" s="1"/>
  <c r="AX752" i="21399"/>
  <c r="AW752" i="21399"/>
  <c r="AC752" i="21399"/>
  <c r="M752" i="21399"/>
  <c r="BC752" i="21399" s="1"/>
  <c r="AZ751" i="21399"/>
  <c r="BB751" i="21399" s="1"/>
  <c r="AY751" i="21399"/>
  <c r="BA751" i="21399" s="1"/>
  <c r="AX751" i="21399"/>
  <c r="AW751" i="21399"/>
  <c r="AC751" i="21399"/>
  <c r="M751" i="21399"/>
  <c r="BC751" i="21399" s="1"/>
  <c r="AZ750" i="21399"/>
  <c r="BB750" i="21399" s="1"/>
  <c r="AY750" i="21399"/>
  <c r="BA750" i="21399" s="1"/>
  <c r="AX750" i="21399"/>
  <c r="AW750" i="21399"/>
  <c r="AC750" i="21399"/>
  <c r="M750" i="21399"/>
  <c r="BC750" i="21399" s="1"/>
  <c r="AZ749" i="21399"/>
  <c r="BB749" i="21399" s="1"/>
  <c r="AY749" i="21399"/>
  <c r="BA749" i="21399" s="1"/>
  <c r="AX749" i="21399"/>
  <c r="AW749" i="21399"/>
  <c r="AC749" i="21399"/>
  <c r="M749" i="21399"/>
  <c r="BC749" i="21399" s="1"/>
  <c r="AZ748" i="21399"/>
  <c r="BB748" i="21399" s="1"/>
  <c r="AY748" i="21399"/>
  <c r="BA748" i="21399" s="1"/>
  <c r="AX748" i="21399"/>
  <c r="AW748" i="21399"/>
  <c r="AC748" i="21399"/>
  <c r="M748" i="21399"/>
  <c r="BC748" i="21399" s="1"/>
  <c r="AZ747" i="21399"/>
  <c r="BB747" i="21399" s="1"/>
  <c r="AY747" i="21399"/>
  <c r="BA747" i="21399" s="1"/>
  <c r="AX747" i="21399"/>
  <c r="AW747" i="21399"/>
  <c r="AC747" i="21399"/>
  <c r="M747" i="21399"/>
  <c r="BC747" i="21399" s="1"/>
  <c r="AZ746" i="21399"/>
  <c r="BB746" i="21399" s="1"/>
  <c r="AY746" i="21399"/>
  <c r="BA746" i="21399" s="1"/>
  <c r="AX746" i="21399"/>
  <c r="AW746" i="21399"/>
  <c r="AC746" i="21399"/>
  <c r="M746" i="21399"/>
  <c r="BC746" i="21399" s="1"/>
  <c r="AZ745" i="21399"/>
  <c r="BB745" i="21399" s="1"/>
  <c r="AY745" i="21399"/>
  <c r="BA745" i="21399" s="1"/>
  <c r="AX745" i="21399"/>
  <c r="AW745" i="21399"/>
  <c r="AC745" i="21399"/>
  <c r="M745" i="21399"/>
  <c r="BC745" i="21399" s="1"/>
  <c r="AZ744" i="21399"/>
  <c r="BB744" i="21399" s="1"/>
  <c r="AY744" i="21399"/>
  <c r="BA744" i="21399" s="1"/>
  <c r="AX744" i="21399"/>
  <c r="AW744" i="21399"/>
  <c r="AC744" i="21399"/>
  <c r="M744" i="21399"/>
  <c r="BC744" i="21399" s="1"/>
  <c r="AZ743" i="21399"/>
  <c r="BB743" i="21399" s="1"/>
  <c r="AY743" i="21399"/>
  <c r="BA743" i="21399" s="1"/>
  <c r="AX743" i="21399"/>
  <c r="AW743" i="21399"/>
  <c r="AC743" i="21399"/>
  <c r="M743" i="21399"/>
  <c r="BC743" i="21399" s="1"/>
  <c r="AZ742" i="21399"/>
  <c r="BB742" i="21399" s="1"/>
  <c r="AY742" i="21399"/>
  <c r="BA742" i="21399" s="1"/>
  <c r="AX742" i="21399"/>
  <c r="AW742" i="21399"/>
  <c r="AC742" i="21399"/>
  <c r="M742" i="21399"/>
  <c r="BC742" i="21399" s="1"/>
  <c r="AZ741" i="21399"/>
  <c r="BB741" i="21399" s="1"/>
  <c r="AY741" i="21399"/>
  <c r="BA741" i="21399" s="1"/>
  <c r="AX741" i="21399"/>
  <c r="AW741" i="21399"/>
  <c r="AC741" i="21399"/>
  <c r="M741" i="21399"/>
  <c r="BC741" i="21399" s="1"/>
  <c r="AZ740" i="21399"/>
  <c r="BB740" i="21399" s="1"/>
  <c r="AY740" i="21399"/>
  <c r="BA740" i="21399" s="1"/>
  <c r="AX740" i="21399"/>
  <c r="AW740" i="21399"/>
  <c r="AC740" i="21399"/>
  <c r="M740" i="21399"/>
  <c r="BC740" i="21399" s="1"/>
  <c r="AZ739" i="21399"/>
  <c r="BB739" i="21399" s="1"/>
  <c r="AY739" i="21399"/>
  <c r="BA739" i="21399" s="1"/>
  <c r="AX739" i="21399"/>
  <c r="AW739" i="21399"/>
  <c r="AC739" i="21399"/>
  <c r="M739" i="21399"/>
  <c r="BC739" i="21399" s="1"/>
  <c r="AZ738" i="21399"/>
  <c r="BB738" i="21399" s="1"/>
  <c r="AY738" i="21399"/>
  <c r="BA738" i="21399" s="1"/>
  <c r="AX738" i="21399"/>
  <c r="AW738" i="21399"/>
  <c r="AC738" i="21399"/>
  <c r="M738" i="21399"/>
  <c r="BC738" i="21399" s="1"/>
  <c r="AZ737" i="21399"/>
  <c r="BB737" i="21399" s="1"/>
  <c r="AY737" i="21399"/>
  <c r="BA737" i="21399" s="1"/>
  <c r="AX737" i="21399"/>
  <c r="AW737" i="21399"/>
  <c r="AC737" i="21399"/>
  <c r="M737" i="21399"/>
  <c r="BC737" i="21399" s="1"/>
  <c r="AZ736" i="21399"/>
  <c r="BB736" i="21399" s="1"/>
  <c r="AY736" i="21399"/>
  <c r="BA736" i="21399" s="1"/>
  <c r="AX736" i="21399"/>
  <c r="AW736" i="21399"/>
  <c r="AC736" i="21399"/>
  <c r="M736" i="21399"/>
  <c r="BC736" i="21399" s="1"/>
  <c r="AZ735" i="21399"/>
  <c r="BB735" i="21399" s="1"/>
  <c r="AY735" i="21399"/>
  <c r="BA735" i="21399" s="1"/>
  <c r="AX735" i="21399"/>
  <c r="AW735" i="21399"/>
  <c r="AC735" i="21399"/>
  <c r="M735" i="21399"/>
  <c r="BC735" i="21399" s="1"/>
  <c r="AZ734" i="21399"/>
  <c r="BB734" i="21399" s="1"/>
  <c r="AY734" i="21399"/>
  <c r="BA734" i="21399" s="1"/>
  <c r="AX734" i="21399"/>
  <c r="AW734" i="21399"/>
  <c r="AC734" i="21399"/>
  <c r="M734" i="21399"/>
  <c r="BC734" i="21399" s="1"/>
  <c r="AZ733" i="21399"/>
  <c r="BB733" i="21399" s="1"/>
  <c r="AY733" i="21399"/>
  <c r="BA733" i="21399" s="1"/>
  <c r="AX733" i="21399"/>
  <c r="AW733" i="21399"/>
  <c r="AC733" i="21399"/>
  <c r="M733" i="21399"/>
  <c r="BC733" i="21399" s="1"/>
  <c r="AZ732" i="21399"/>
  <c r="BB732" i="21399" s="1"/>
  <c r="AY732" i="21399"/>
  <c r="BA732" i="21399" s="1"/>
  <c r="AX732" i="21399"/>
  <c r="AW732" i="21399"/>
  <c r="AC732" i="21399"/>
  <c r="M732" i="21399"/>
  <c r="BC732" i="21399" s="1"/>
  <c r="AZ731" i="21399"/>
  <c r="BB731" i="21399" s="1"/>
  <c r="AY731" i="21399"/>
  <c r="BA731" i="21399" s="1"/>
  <c r="AX731" i="21399"/>
  <c r="AW731" i="21399"/>
  <c r="AC731" i="21399"/>
  <c r="M731" i="21399"/>
  <c r="BC731" i="21399" s="1"/>
  <c r="AZ730" i="21399"/>
  <c r="BB730" i="21399" s="1"/>
  <c r="AY730" i="21399"/>
  <c r="BA730" i="21399" s="1"/>
  <c r="AX730" i="21399"/>
  <c r="AW730" i="21399"/>
  <c r="AC730" i="21399"/>
  <c r="M730" i="21399"/>
  <c r="BC730" i="21399" s="1"/>
  <c r="AZ729" i="21399"/>
  <c r="BB729" i="21399" s="1"/>
  <c r="AY729" i="21399"/>
  <c r="BA729" i="21399" s="1"/>
  <c r="AX729" i="21399"/>
  <c r="AW729" i="21399"/>
  <c r="AC729" i="21399"/>
  <c r="M729" i="21399"/>
  <c r="BC729" i="21399" s="1"/>
  <c r="AZ728" i="21399"/>
  <c r="BB728" i="21399" s="1"/>
  <c r="AY728" i="21399"/>
  <c r="BA728" i="21399" s="1"/>
  <c r="AX728" i="21399"/>
  <c r="AW728" i="21399"/>
  <c r="AC728" i="21399"/>
  <c r="M728" i="21399"/>
  <c r="BC728" i="21399" s="1"/>
  <c r="AZ727" i="21399"/>
  <c r="BB727" i="21399" s="1"/>
  <c r="AY727" i="21399"/>
  <c r="BA727" i="21399" s="1"/>
  <c r="AX727" i="21399"/>
  <c r="AW727" i="21399"/>
  <c r="AC727" i="21399"/>
  <c r="M727" i="21399"/>
  <c r="BC727" i="21399" s="1"/>
  <c r="AZ726" i="21399"/>
  <c r="BB726" i="21399" s="1"/>
  <c r="AY726" i="21399"/>
  <c r="BA726" i="21399" s="1"/>
  <c r="AX726" i="21399"/>
  <c r="AW726" i="21399"/>
  <c r="AC726" i="21399"/>
  <c r="M726" i="21399"/>
  <c r="BC726" i="21399" s="1"/>
  <c r="AZ725" i="21399"/>
  <c r="BB725" i="21399" s="1"/>
  <c r="AY725" i="21399"/>
  <c r="BA725" i="21399" s="1"/>
  <c r="AX725" i="21399"/>
  <c r="AW725" i="21399"/>
  <c r="AC725" i="21399"/>
  <c r="M725" i="21399"/>
  <c r="BC725" i="21399" s="1"/>
  <c r="AZ724" i="21399"/>
  <c r="BB724" i="21399" s="1"/>
  <c r="AY724" i="21399"/>
  <c r="BA724" i="21399" s="1"/>
  <c r="AX724" i="21399"/>
  <c r="AW724" i="21399"/>
  <c r="AC724" i="21399"/>
  <c r="M724" i="21399"/>
  <c r="BC724" i="21399" s="1"/>
  <c r="AZ723" i="21399"/>
  <c r="BB723" i="21399" s="1"/>
  <c r="AY723" i="21399"/>
  <c r="BA723" i="21399" s="1"/>
  <c r="AX723" i="21399"/>
  <c r="AW723" i="21399"/>
  <c r="AC723" i="21399"/>
  <c r="M723" i="21399"/>
  <c r="BC723" i="21399" s="1"/>
  <c r="AZ722" i="21399"/>
  <c r="BB722" i="21399" s="1"/>
  <c r="AY722" i="21399"/>
  <c r="BA722" i="21399" s="1"/>
  <c r="AX722" i="21399"/>
  <c r="AW722" i="21399"/>
  <c r="AC722" i="21399"/>
  <c r="M722" i="21399"/>
  <c r="BC722" i="21399" s="1"/>
  <c r="AZ721" i="21399"/>
  <c r="BB721" i="21399" s="1"/>
  <c r="AY721" i="21399"/>
  <c r="BA721" i="21399" s="1"/>
  <c r="AX721" i="21399"/>
  <c r="AW721" i="21399"/>
  <c r="AC721" i="21399"/>
  <c r="M721" i="21399"/>
  <c r="BC721" i="21399" s="1"/>
  <c r="AZ720" i="21399"/>
  <c r="BB720" i="21399" s="1"/>
  <c r="AY720" i="21399"/>
  <c r="BA720" i="21399" s="1"/>
  <c r="AX720" i="21399"/>
  <c r="AW720" i="21399"/>
  <c r="AC720" i="21399"/>
  <c r="M720" i="21399"/>
  <c r="BC720" i="21399" s="1"/>
  <c r="AZ719" i="21399"/>
  <c r="BB719" i="21399" s="1"/>
  <c r="AY719" i="21399"/>
  <c r="BA719" i="21399" s="1"/>
  <c r="AX719" i="21399"/>
  <c r="AW719" i="21399"/>
  <c r="AC719" i="21399"/>
  <c r="M719" i="21399"/>
  <c r="BC719" i="21399" s="1"/>
  <c r="AZ718" i="21399"/>
  <c r="BB718" i="21399" s="1"/>
  <c r="AY718" i="21399"/>
  <c r="BA718" i="21399" s="1"/>
  <c r="AX718" i="21399"/>
  <c r="AW718" i="21399"/>
  <c r="AC718" i="21399"/>
  <c r="M718" i="21399"/>
  <c r="BC718" i="21399" s="1"/>
  <c r="AZ717" i="21399"/>
  <c r="BB717" i="21399" s="1"/>
  <c r="AY717" i="21399"/>
  <c r="BA717" i="21399" s="1"/>
  <c r="AX717" i="21399"/>
  <c r="AW717" i="21399"/>
  <c r="AC717" i="21399"/>
  <c r="M717" i="21399"/>
  <c r="BC717" i="21399" s="1"/>
  <c r="AZ716" i="21399"/>
  <c r="BB716" i="21399" s="1"/>
  <c r="AY716" i="21399"/>
  <c r="BA716" i="21399" s="1"/>
  <c r="AX716" i="21399"/>
  <c r="AW716" i="21399"/>
  <c r="AC716" i="21399"/>
  <c r="M716" i="21399"/>
  <c r="BC716" i="21399" s="1"/>
  <c r="AZ715" i="21399"/>
  <c r="BB715" i="21399" s="1"/>
  <c r="AY715" i="21399"/>
  <c r="BA715" i="21399" s="1"/>
  <c r="AX715" i="21399"/>
  <c r="AW715" i="21399"/>
  <c r="AC715" i="21399"/>
  <c r="M715" i="21399"/>
  <c r="BC715" i="21399" s="1"/>
  <c r="AZ714" i="21399"/>
  <c r="BB714" i="21399" s="1"/>
  <c r="AY714" i="21399"/>
  <c r="BA714" i="21399" s="1"/>
  <c r="AX714" i="21399"/>
  <c r="AW714" i="21399"/>
  <c r="AC714" i="21399"/>
  <c r="M714" i="21399"/>
  <c r="BC714" i="21399" s="1"/>
  <c r="AZ713" i="21399"/>
  <c r="BB713" i="21399" s="1"/>
  <c r="AY713" i="21399"/>
  <c r="BA713" i="21399" s="1"/>
  <c r="AX713" i="21399"/>
  <c r="AW713" i="21399"/>
  <c r="AC713" i="21399"/>
  <c r="M713" i="21399"/>
  <c r="BC713" i="21399" s="1"/>
  <c r="AZ712" i="21399"/>
  <c r="BB712" i="21399" s="1"/>
  <c r="AY712" i="21399"/>
  <c r="BA712" i="21399" s="1"/>
  <c r="AX712" i="21399"/>
  <c r="AW712" i="21399"/>
  <c r="AC712" i="21399"/>
  <c r="M712" i="21399"/>
  <c r="BC712" i="21399" s="1"/>
  <c r="AZ711" i="21399"/>
  <c r="BB711" i="21399" s="1"/>
  <c r="AY711" i="21399"/>
  <c r="BA711" i="21399" s="1"/>
  <c r="AX711" i="21399"/>
  <c r="AW711" i="21399"/>
  <c r="AC711" i="21399"/>
  <c r="M711" i="21399"/>
  <c r="BC711" i="21399" s="1"/>
  <c r="AZ710" i="21399"/>
  <c r="BB710" i="21399" s="1"/>
  <c r="AY710" i="21399"/>
  <c r="BA710" i="21399" s="1"/>
  <c r="AX710" i="21399"/>
  <c r="AW710" i="21399"/>
  <c r="AC710" i="21399"/>
  <c r="M710" i="21399"/>
  <c r="BC710" i="21399" s="1"/>
  <c r="AZ709" i="21399"/>
  <c r="BB709" i="21399" s="1"/>
  <c r="AY709" i="21399"/>
  <c r="BA709" i="21399" s="1"/>
  <c r="AX709" i="21399"/>
  <c r="AW709" i="21399"/>
  <c r="AC709" i="21399"/>
  <c r="M709" i="21399"/>
  <c r="BC709" i="21399" s="1"/>
  <c r="AZ708" i="21399"/>
  <c r="BB708" i="21399" s="1"/>
  <c r="AY708" i="21399"/>
  <c r="BA708" i="21399" s="1"/>
  <c r="AX708" i="21399"/>
  <c r="AW708" i="21399"/>
  <c r="AC708" i="21399"/>
  <c r="M708" i="21399"/>
  <c r="BC708" i="21399" s="1"/>
  <c r="AZ707" i="21399"/>
  <c r="BB707" i="21399" s="1"/>
  <c r="AY707" i="21399"/>
  <c r="BA707" i="21399" s="1"/>
  <c r="AX707" i="21399"/>
  <c r="AW707" i="21399"/>
  <c r="AC707" i="21399"/>
  <c r="M707" i="21399"/>
  <c r="BC707" i="21399" s="1"/>
  <c r="AZ706" i="21399"/>
  <c r="BB706" i="21399" s="1"/>
  <c r="AY706" i="21399"/>
  <c r="BA706" i="21399" s="1"/>
  <c r="AX706" i="21399"/>
  <c r="AW706" i="21399"/>
  <c r="AC706" i="21399"/>
  <c r="M706" i="21399"/>
  <c r="BC706" i="21399" s="1"/>
  <c r="AZ705" i="21399"/>
  <c r="BB705" i="21399" s="1"/>
  <c r="AY705" i="21399"/>
  <c r="BA705" i="21399" s="1"/>
  <c r="AX705" i="21399"/>
  <c r="AW705" i="21399"/>
  <c r="AC705" i="21399"/>
  <c r="M705" i="21399"/>
  <c r="BC705" i="21399" s="1"/>
  <c r="AZ704" i="21399"/>
  <c r="BB704" i="21399" s="1"/>
  <c r="AY704" i="21399"/>
  <c r="BA704" i="21399" s="1"/>
  <c r="AX704" i="21399"/>
  <c r="AW704" i="21399"/>
  <c r="AC704" i="21399"/>
  <c r="M704" i="21399"/>
  <c r="BC704" i="21399" s="1"/>
  <c r="AZ703" i="21399"/>
  <c r="BB703" i="21399" s="1"/>
  <c r="AY703" i="21399"/>
  <c r="BA703" i="21399" s="1"/>
  <c r="AX703" i="21399"/>
  <c r="AW703" i="21399"/>
  <c r="AC703" i="21399"/>
  <c r="M703" i="21399"/>
  <c r="BC703" i="21399" s="1"/>
  <c r="AZ702" i="21399"/>
  <c r="BB702" i="21399" s="1"/>
  <c r="AY702" i="21399"/>
  <c r="BA702" i="21399" s="1"/>
  <c r="AX702" i="21399"/>
  <c r="AW702" i="21399"/>
  <c r="AC702" i="21399"/>
  <c r="M702" i="21399"/>
  <c r="BC702" i="21399" s="1"/>
  <c r="AZ701" i="21399"/>
  <c r="BB701" i="21399" s="1"/>
  <c r="AY701" i="21399"/>
  <c r="BA701" i="21399" s="1"/>
  <c r="AX701" i="21399"/>
  <c r="AW701" i="21399"/>
  <c r="AC701" i="21399"/>
  <c r="M701" i="21399"/>
  <c r="BC701" i="21399" s="1"/>
  <c r="AZ700" i="21399"/>
  <c r="BB700" i="21399" s="1"/>
  <c r="AY700" i="21399"/>
  <c r="BA700" i="21399" s="1"/>
  <c r="AX700" i="21399"/>
  <c r="AW700" i="21399"/>
  <c r="AC700" i="21399"/>
  <c r="M700" i="21399"/>
  <c r="BC700" i="21399" s="1"/>
  <c r="AZ699" i="21399"/>
  <c r="BB699" i="21399" s="1"/>
  <c r="AY699" i="21399"/>
  <c r="BA699" i="21399" s="1"/>
  <c r="AX699" i="21399"/>
  <c r="AW699" i="21399"/>
  <c r="AC699" i="21399"/>
  <c r="M699" i="21399"/>
  <c r="BC699" i="21399" s="1"/>
  <c r="AZ698" i="21399"/>
  <c r="BB698" i="21399" s="1"/>
  <c r="AY698" i="21399"/>
  <c r="BA698" i="21399" s="1"/>
  <c r="AX698" i="21399"/>
  <c r="AW698" i="21399"/>
  <c r="AC698" i="21399"/>
  <c r="M698" i="21399"/>
  <c r="BC698" i="21399" s="1"/>
  <c r="AZ697" i="21399"/>
  <c r="BB697" i="21399" s="1"/>
  <c r="AY697" i="21399"/>
  <c r="BA697" i="21399" s="1"/>
  <c r="AX697" i="21399"/>
  <c r="AW697" i="21399"/>
  <c r="AC697" i="21399"/>
  <c r="M697" i="21399"/>
  <c r="BC697" i="21399" s="1"/>
  <c r="AZ696" i="21399"/>
  <c r="BB696" i="21399" s="1"/>
  <c r="AY696" i="21399"/>
  <c r="BA696" i="21399" s="1"/>
  <c r="AX696" i="21399"/>
  <c r="AW696" i="21399"/>
  <c r="AC696" i="21399"/>
  <c r="M696" i="21399"/>
  <c r="BC696" i="21399" s="1"/>
  <c r="AZ695" i="21399"/>
  <c r="BB695" i="21399" s="1"/>
  <c r="AY695" i="21399"/>
  <c r="BA695" i="21399" s="1"/>
  <c r="AX695" i="21399"/>
  <c r="AW695" i="21399"/>
  <c r="AC695" i="21399"/>
  <c r="M695" i="21399"/>
  <c r="BC695" i="21399" s="1"/>
  <c r="AZ694" i="21399"/>
  <c r="BB694" i="21399" s="1"/>
  <c r="AY694" i="21399"/>
  <c r="BA694" i="21399" s="1"/>
  <c r="AX694" i="21399"/>
  <c r="AW694" i="21399"/>
  <c r="AC694" i="21399"/>
  <c r="M694" i="21399"/>
  <c r="BC694" i="21399" s="1"/>
  <c r="AZ693" i="21399"/>
  <c r="BB693" i="21399" s="1"/>
  <c r="AY693" i="21399"/>
  <c r="BA693" i="21399" s="1"/>
  <c r="AX693" i="21399"/>
  <c r="AW693" i="21399"/>
  <c r="AC693" i="21399"/>
  <c r="M693" i="21399"/>
  <c r="BC693" i="21399" s="1"/>
  <c r="AZ692" i="21399"/>
  <c r="BB692" i="21399" s="1"/>
  <c r="AY692" i="21399"/>
  <c r="BA692" i="21399" s="1"/>
  <c r="AX692" i="21399"/>
  <c r="AW692" i="21399"/>
  <c r="AC692" i="21399"/>
  <c r="M692" i="21399"/>
  <c r="BC692" i="21399" s="1"/>
  <c r="AZ691" i="21399"/>
  <c r="BB691" i="21399" s="1"/>
  <c r="AY691" i="21399"/>
  <c r="BA691" i="21399" s="1"/>
  <c r="AX691" i="21399"/>
  <c r="AW691" i="21399"/>
  <c r="AC691" i="21399"/>
  <c r="M691" i="21399"/>
  <c r="BC691" i="21399" s="1"/>
  <c r="AZ690" i="21399"/>
  <c r="BB690" i="21399" s="1"/>
  <c r="AY690" i="21399"/>
  <c r="BA690" i="21399" s="1"/>
  <c r="AX690" i="21399"/>
  <c r="AW690" i="21399"/>
  <c r="AC690" i="21399"/>
  <c r="M690" i="21399"/>
  <c r="BC690" i="21399" s="1"/>
  <c r="AZ689" i="21399"/>
  <c r="BB689" i="21399" s="1"/>
  <c r="AY689" i="21399"/>
  <c r="BA689" i="21399" s="1"/>
  <c r="AX689" i="21399"/>
  <c r="AW689" i="21399"/>
  <c r="AC689" i="21399"/>
  <c r="M689" i="21399"/>
  <c r="BC689" i="21399" s="1"/>
  <c r="AZ688" i="21399"/>
  <c r="BB688" i="21399" s="1"/>
  <c r="AY688" i="21399"/>
  <c r="BA688" i="21399" s="1"/>
  <c r="AX688" i="21399"/>
  <c r="AW688" i="21399"/>
  <c r="AC688" i="21399"/>
  <c r="M688" i="21399"/>
  <c r="BC688" i="21399" s="1"/>
  <c r="AZ687" i="21399"/>
  <c r="BB687" i="21399" s="1"/>
  <c r="AY687" i="21399"/>
  <c r="BA687" i="21399" s="1"/>
  <c r="AX687" i="21399"/>
  <c r="AW687" i="21399"/>
  <c r="AC687" i="21399"/>
  <c r="M687" i="21399"/>
  <c r="BC687" i="21399" s="1"/>
  <c r="AZ686" i="21399"/>
  <c r="BB686" i="21399" s="1"/>
  <c r="AY686" i="21399"/>
  <c r="BA686" i="21399" s="1"/>
  <c r="AX686" i="21399"/>
  <c r="AW686" i="21399"/>
  <c r="AC686" i="21399"/>
  <c r="M686" i="21399"/>
  <c r="BC686" i="21399" s="1"/>
  <c r="AZ685" i="21399"/>
  <c r="BB685" i="21399" s="1"/>
  <c r="AY685" i="21399"/>
  <c r="BA685" i="21399" s="1"/>
  <c r="AX685" i="21399"/>
  <c r="AW685" i="21399"/>
  <c r="AC685" i="21399"/>
  <c r="M685" i="21399"/>
  <c r="BC685" i="21399" s="1"/>
  <c r="AZ684" i="21399"/>
  <c r="BB684" i="21399" s="1"/>
  <c r="AY684" i="21399"/>
  <c r="BA684" i="21399" s="1"/>
  <c r="AX684" i="21399"/>
  <c r="AW684" i="21399"/>
  <c r="AC684" i="21399"/>
  <c r="M684" i="21399"/>
  <c r="BC684" i="21399" s="1"/>
  <c r="AZ683" i="21399"/>
  <c r="BB683" i="21399" s="1"/>
  <c r="AY683" i="21399"/>
  <c r="BA683" i="21399" s="1"/>
  <c r="AX683" i="21399"/>
  <c r="AW683" i="21399"/>
  <c r="AC683" i="21399"/>
  <c r="M683" i="21399"/>
  <c r="BC683" i="21399" s="1"/>
  <c r="AZ682" i="21399"/>
  <c r="BB682" i="21399" s="1"/>
  <c r="AY682" i="21399"/>
  <c r="BA682" i="21399" s="1"/>
  <c r="AX682" i="21399"/>
  <c r="AW682" i="21399"/>
  <c r="AC682" i="21399"/>
  <c r="M682" i="21399"/>
  <c r="BC682" i="21399" s="1"/>
  <c r="AZ681" i="21399"/>
  <c r="BB681" i="21399" s="1"/>
  <c r="AY681" i="21399"/>
  <c r="BA681" i="21399" s="1"/>
  <c r="AX681" i="21399"/>
  <c r="AW681" i="21399"/>
  <c r="AC681" i="21399"/>
  <c r="M681" i="21399"/>
  <c r="BC681" i="21399" s="1"/>
  <c r="AZ680" i="21399"/>
  <c r="BB680" i="21399" s="1"/>
  <c r="AY680" i="21399"/>
  <c r="BA680" i="21399" s="1"/>
  <c r="AX680" i="21399"/>
  <c r="AW680" i="21399"/>
  <c r="AC680" i="21399"/>
  <c r="M680" i="21399"/>
  <c r="BC680" i="21399" s="1"/>
  <c r="AZ679" i="21399"/>
  <c r="BB679" i="21399" s="1"/>
  <c r="AY679" i="21399"/>
  <c r="BA679" i="21399" s="1"/>
  <c r="AX679" i="21399"/>
  <c r="AW679" i="21399"/>
  <c r="AC679" i="21399"/>
  <c r="M679" i="21399"/>
  <c r="BC679" i="21399" s="1"/>
  <c r="AZ678" i="21399"/>
  <c r="BB678" i="21399" s="1"/>
  <c r="AY678" i="21399"/>
  <c r="BA678" i="21399" s="1"/>
  <c r="AX678" i="21399"/>
  <c r="AW678" i="21399"/>
  <c r="AC678" i="21399"/>
  <c r="M678" i="21399"/>
  <c r="BC678" i="21399" s="1"/>
  <c r="AZ677" i="21399"/>
  <c r="BB677" i="21399" s="1"/>
  <c r="AY677" i="21399"/>
  <c r="BA677" i="21399" s="1"/>
  <c r="AX677" i="21399"/>
  <c r="AW677" i="21399"/>
  <c r="AC677" i="21399"/>
  <c r="M677" i="21399"/>
  <c r="BC677" i="21399" s="1"/>
  <c r="AZ676" i="21399"/>
  <c r="BB676" i="21399" s="1"/>
  <c r="AY676" i="21399"/>
  <c r="BA676" i="21399" s="1"/>
  <c r="AX676" i="21399"/>
  <c r="AW676" i="21399"/>
  <c r="AC676" i="21399"/>
  <c r="M676" i="21399"/>
  <c r="BC676" i="21399" s="1"/>
  <c r="AZ675" i="21399"/>
  <c r="BB675" i="21399" s="1"/>
  <c r="AY675" i="21399"/>
  <c r="BA675" i="21399" s="1"/>
  <c r="AX675" i="21399"/>
  <c r="AW675" i="21399"/>
  <c r="AC675" i="21399"/>
  <c r="M675" i="21399"/>
  <c r="BC675" i="21399" s="1"/>
  <c r="AZ674" i="21399"/>
  <c r="BB674" i="21399" s="1"/>
  <c r="AY674" i="21399"/>
  <c r="BA674" i="21399" s="1"/>
  <c r="AX674" i="21399"/>
  <c r="AW674" i="21399"/>
  <c r="AC674" i="21399"/>
  <c r="M674" i="21399"/>
  <c r="BC674" i="21399" s="1"/>
  <c r="AZ673" i="21399"/>
  <c r="BB673" i="21399" s="1"/>
  <c r="AY673" i="21399"/>
  <c r="BA673" i="21399" s="1"/>
  <c r="AX673" i="21399"/>
  <c r="AW673" i="21399"/>
  <c r="AC673" i="21399"/>
  <c r="M673" i="21399"/>
  <c r="BC673" i="21399" s="1"/>
  <c r="AZ672" i="21399"/>
  <c r="BB672" i="21399" s="1"/>
  <c r="AY672" i="21399"/>
  <c r="BA672" i="21399" s="1"/>
  <c r="AX672" i="21399"/>
  <c r="AW672" i="21399"/>
  <c r="AC672" i="21399"/>
  <c r="M672" i="21399"/>
  <c r="BC672" i="21399" s="1"/>
  <c r="AZ671" i="21399"/>
  <c r="BB671" i="21399" s="1"/>
  <c r="AY671" i="21399"/>
  <c r="BA671" i="21399" s="1"/>
  <c r="AX671" i="21399"/>
  <c r="AW671" i="21399"/>
  <c r="AC671" i="21399"/>
  <c r="M671" i="21399"/>
  <c r="BC671" i="21399" s="1"/>
  <c r="AZ670" i="21399"/>
  <c r="BB670" i="21399" s="1"/>
  <c r="AY670" i="21399"/>
  <c r="BA670" i="21399" s="1"/>
  <c r="AX670" i="21399"/>
  <c r="AW670" i="21399"/>
  <c r="AC670" i="21399"/>
  <c r="M670" i="21399"/>
  <c r="BC670" i="21399" s="1"/>
  <c r="AZ669" i="21399"/>
  <c r="BB669" i="21399" s="1"/>
  <c r="AY669" i="21399"/>
  <c r="BA669" i="21399" s="1"/>
  <c r="AX669" i="21399"/>
  <c r="AW669" i="21399"/>
  <c r="AC669" i="21399"/>
  <c r="M669" i="21399"/>
  <c r="BC669" i="21399" s="1"/>
  <c r="AZ668" i="21399"/>
  <c r="BB668" i="21399" s="1"/>
  <c r="AY668" i="21399"/>
  <c r="BA668" i="21399" s="1"/>
  <c r="AX668" i="21399"/>
  <c r="AW668" i="21399"/>
  <c r="AC668" i="21399"/>
  <c r="M668" i="21399"/>
  <c r="BC668" i="21399" s="1"/>
  <c r="AZ667" i="21399"/>
  <c r="BB667" i="21399" s="1"/>
  <c r="AY667" i="21399"/>
  <c r="BA667" i="21399" s="1"/>
  <c r="AX667" i="21399"/>
  <c r="AW667" i="21399"/>
  <c r="AC667" i="21399"/>
  <c r="M667" i="21399"/>
  <c r="BC667" i="21399" s="1"/>
  <c r="AZ666" i="21399"/>
  <c r="BB666" i="21399" s="1"/>
  <c r="AY666" i="21399"/>
  <c r="BA666" i="21399" s="1"/>
  <c r="AX666" i="21399"/>
  <c r="AW666" i="21399"/>
  <c r="AC666" i="21399"/>
  <c r="M666" i="21399"/>
  <c r="BC666" i="21399" s="1"/>
  <c r="AZ665" i="21399"/>
  <c r="BB665" i="21399" s="1"/>
  <c r="AY665" i="21399"/>
  <c r="BA665" i="21399" s="1"/>
  <c r="AX665" i="21399"/>
  <c r="AW665" i="21399"/>
  <c r="AC665" i="21399"/>
  <c r="M665" i="21399"/>
  <c r="BC665" i="21399" s="1"/>
  <c r="AZ664" i="21399"/>
  <c r="BB664" i="21399" s="1"/>
  <c r="AY664" i="21399"/>
  <c r="BA664" i="21399" s="1"/>
  <c r="AX664" i="21399"/>
  <c r="AW664" i="21399"/>
  <c r="AC664" i="21399"/>
  <c r="M664" i="21399"/>
  <c r="BC664" i="21399" s="1"/>
  <c r="AZ663" i="21399"/>
  <c r="BB663" i="21399" s="1"/>
  <c r="AY663" i="21399"/>
  <c r="BA663" i="21399" s="1"/>
  <c r="AX663" i="21399"/>
  <c r="AW663" i="21399"/>
  <c r="AC663" i="21399"/>
  <c r="M663" i="21399"/>
  <c r="BC663" i="21399" s="1"/>
  <c r="AZ662" i="21399"/>
  <c r="BB662" i="21399" s="1"/>
  <c r="AY662" i="21399"/>
  <c r="BA662" i="21399" s="1"/>
  <c r="AX662" i="21399"/>
  <c r="AW662" i="21399"/>
  <c r="AC662" i="21399"/>
  <c r="M662" i="21399"/>
  <c r="BC662" i="21399" s="1"/>
  <c r="AZ661" i="21399"/>
  <c r="BB661" i="21399" s="1"/>
  <c r="AY661" i="21399"/>
  <c r="BA661" i="21399" s="1"/>
  <c r="AX661" i="21399"/>
  <c r="AW661" i="21399"/>
  <c r="AC661" i="21399"/>
  <c r="M661" i="21399"/>
  <c r="BC661" i="21399" s="1"/>
  <c r="AZ660" i="21399"/>
  <c r="BB660" i="21399" s="1"/>
  <c r="AY660" i="21399"/>
  <c r="BA660" i="21399" s="1"/>
  <c r="AX660" i="21399"/>
  <c r="AW660" i="21399"/>
  <c r="AC660" i="21399"/>
  <c r="M660" i="21399"/>
  <c r="BC660" i="21399" s="1"/>
  <c r="AZ659" i="21399"/>
  <c r="BB659" i="21399" s="1"/>
  <c r="AY659" i="21399"/>
  <c r="BA659" i="21399" s="1"/>
  <c r="AX659" i="21399"/>
  <c r="AW659" i="21399"/>
  <c r="AC659" i="21399"/>
  <c r="M659" i="21399"/>
  <c r="BC659" i="21399" s="1"/>
  <c r="AZ658" i="21399"/>
  <c r="BB658" i="21399" s="1"/>
  <c r="AY658" i="21399"/>
  <c r="BA658" i="21399" s="1"/>
  <c r="AX658" i="21399"/>
  <c r="AW658" i="21399"/>
  <c r="AC658" i="21399"/>
  <c r="M658" i="21399"/>
  <c r="BC658" i="21399" s="1"/>
  <c r="AZ657" i="21399"/>
  <c r="BB657" i="21399" s="1"/>
  <c r="AY657" i="21399"/>
  <c r="BA657" i="21399" s="1"/>
  <c r="AX657" i="21399"/>
  <c r="AW657" i="21399"/>
  <c r="AC657" i="21399"/>
  <c r="M657" i="21399"/>
  <c r="BC657" i="21399" s="1"/>
  <c r="AZ656" i="21399"/>
  <c r="BB656" i="21399" s="1"/>
  <c r="AY656" i="21399"/>
  <c r="BA656" i="21399" s="1"/>
  <c r="AX656" i="21399"/>
  <c r="AW656" i="21399"/>
  <c r="AC656" i="21399"/>
  <c r="M656" i="21399"/>
  <c r="BC656" i="21399" s="1"/>
  <c r="AZ655" i="21399"/>
  <c r="BB655" i="21399" s="1"/>
  <c r="AY655" i="21399"/>
  <c r="BA655" i="21399" s="1"/>
  <c r="AX655" i="21399"/>
  <c r="AW655" i="21399"/>
  <c r="AC655" i="21399"/>
  <c r="M655" i="21399"/>
  <c r="BC655" i="21399" s="1"/>
  <c r="AZ654" i="21399"/>
  <c r="BB654" i="21399" s="1"/>
  <c r="AY654" i="21399"/>
  <c r="BA654" i="21399" s="1"/>
  <c r="AX654" i="21399"/>
  <c r="AW654" i="21399"/>
  <c r="AC654" i="21399"/>
  <c r="M654" i="21399"/>
  <c r="BC654" i="21399" s="1"/>
  <c r="AZ653" i="21399"/>
  <c r="BB653" i="21399" s="1"/>
  <c r="AY653" i="21399"/>
  <c r="BA653" i="21399" s="1"/>
  <c r="AX653" i="21399"/>
  <c r="AW653" i="21399"/>
  <c r="AC653" i="21399"/>
  <c r="M653" i="21399"/>
  <c r="BC653" i="21399" s="1"/>
  <c r="AZ652" i="21399"/>
  <c r="BB652" i="21399" s="1"/>
  <c r="AY652" i="21399"/>
  <c r="BA652" i="21399" s="1"/>
  <c r="AX652" i="21399"/>
  <c r="AW652" i="21399"/>
  <c r="AC652" i="21399"/>
  <c r="M652" i="21399"/>
  <c r="BC652" i="21399" s="1"/>
  <c r="AZ651" i="21399"/>
  <c r="BB651" i="21399" s="1"/>
  <c r="AY651" i="21399"/>
  <c r="BA651" i="21399" s="1"/>
  <c r="AX651" i="21399"/>
  <c r="AW651" i="21399"/>
  <c r="AC651" i="21399"/>
  <c r="M651" i="21399"/>
  <c r="BC651" i="21399" s="1"/>
  <c r="AZ650" i="21399"/>
  <c r="BB650" i="21399" s="1"/>
  <c r="AY650" i="21399"/>
  <c r="BA650" i="21399" s="1"/>
  <c r="AX650" i="21399"/>
  <c r="AW650" i="21399"/>
  <c r="AC650" i="21399"/>
  <c r="M650" i="21399"/>
  <c r="BC650" i="21399" s="1"/>
  <c r="AZ649" i="21399"/>
  <c r="BB649" i="21399" s="1"/>
  <c r="AY649" i="21399"/>
  <c r="BA649" i="21399" s="1"/>
  <c r="AX649" i="21399"/>
  <c r="AW649" i="21399"/>
  <c r="AC649" i="21399"/>
  <c r="M649" i="21399"/>
  <c r="BC649" i="21399" s="1"/>
  <c r="AZ648" i="21399"/>
  <c r="BB648" i="21399" s="1"/>
  <c r="AY648" i="21399"/>
  <c r="BA648" i="21399" s="1"/>
  <c r="AX648" i="21399"/>
  <c r="AW648" i="21399"/>
  <c r="AC648" i="21399"/>
  <c r="M648" i="21399"/>
  <c r="BC648" i="21399" s="1"/>
  <c r="AZ647" i="21399"/>
  <c r="BB647" i="21399" s="1"/>
  <c r="AY647" i="21399"/>
  <c r="BA647" i="21399" s="1"/>
  <c r="AX647" i="21399"/>
  <c r="AW647" i="21399"/>
  <c r="AC647" i="21399"/>
  <c r="M647" i="21399"/>
  <c r="BC647" i="21399" s="1"/>
  <c r="AZ646" i="21399"/>
  <c r="BB646" i="21399" s="1"/>
  <c r="AY646" i="21399"/>
  <c r="BA646" i="21399" s="1"/>
  <c r="AX646" i="21399"/>
  <c r="AW646" i="21399"/>
  <c r="AC646" i="21399"/>
  <c r="M646" i="21399"/>
  <c r="BC646" i="21399" s="1"/>
  <c r="AZ645" i="21399"/>
  <c r="BB645" i="21399" s="1"/>
  <c r="AY645" i="21399"/>
  <c r="BA645" i="21399" s="1"/>
  <c r="AX645" i="21399"/>
  <c r="AW645" i="21399"/>
  <c r="AC645" i="21399"/>
  <c r="M645" i="21399"/>
  <c r="BC645" i="21399" s="1"/>
  <c r="AZ644" i="21399"/>
  <c r="BB644" i="21399" s="1"/>
  <c r="AY644" i="21399"/>
  <c r="BA644" i="21399" s="1"/>
  <c r="AX644" i="21399"/>
  <c r="AW644" i="21399"/>
  <c r="AC644" i="21399"/>
  <c r="M644" i="21399"/>
  <c r="BC644" i="21399" s="1"/>
  <c r="AZ643" i="21399"/>
  <c r="BB643" i="21399" s="1"/>
  <c r="AY643" i="21399"/>
  <c r="BA643" i="21399" s="1"/>
  <c r="AX643" i="21399"/>
  <c r="AW643" i="21399"/>
  <c r="AC643" i="21399"/>
  <c r="M643" i="21399"/>
  <c r="BC643" i="21399" s="1"/>
  <c r="AZ642" i="21399"/>
  <c r="BB642" i="21399" s="1"/>
  <c r="AY642" i="21399"/>
  <c r="BA642" i="21399" s="1"/>
  <c r="AX642" i="21399"/>
  <c r="AW642" i="21399"/>
  <c r="AC642" i="21399"/>
  <c r="M642" i="21399"/>
  <c r="BC642" i="21399" s="1"/>
  <c r="AZ641" i="21399"/>
  <c r="BB641" i="21399" s="1"/>
  <c r="AY641" i="21399"/>
  <c r="BA641" i="21399" s="1"/>
  <c r="AX641" i="21399"/>
  <c r="AW641" i="21399"/>
  <c r="AC641" i="21399"/>
  <c r="M641" i="21399"/>
  <c r="BC641" i="21399" s="1"/>
  <c r="AZ640" i="21399"/>
  <c r="BB640" i="21399" s="1"/>
  <c r="AY640" i="21399"/>
  <c r="BA640" i="21399" s="1"/>
  <c r="AX640" i="21399"/>
  <c r="AW640" i="21399"/>
  <c r="AC640" i="21399"/>
  <c r="M640" i="21399"/>
  <c r="BC640" i="21399" s="1"/>
  <c r="AZ639" i="21399"/>
  <c r="BB639" i="21399" s="1"/>
  <c r="AY639" i="21399"/>
  <c r="BA639" i="21399" s="1"/>
  <c r="AX639" i="21399"/>
  <c r="AW639" i="21399"/>
  <c r="AC639" i="21399"/>
  <c r="M639" i="21399"/>
  <c r="BC639" i="21399" s="1"/>
  <c r="AZ638" i="21399"/>
  <c r="BB638" i="21399" s="1"/>
  <c r="AY638" i="21399"/>
  <c r="BA638" i="21399" s="1"/>
  <c r="AX638" i="21399"/>
  <c r="AW638" i="21399"/>
  <c r="AC638" i="21399"/>
  <c r="M638" i="21399"/>
  <c r="BC638" i="21399" s="1"/>
  <c r="AZ637" i="21399"/>
  <c r="BB637" i="21399" s="1"/>
  <c r="AY637" i="21399"/>
  <c r="BA637" i="21399" s="1"/>
  <c r="AX637" i="21399"/>
  <c r="AW637" i="21399"/>
  <c r="AC637" i="21399"/>
  <c r="M637" i="21399"/>
  <c r="BC637" i="21399" s="1"/>
  <c r="AZ636" i="21399"/>
  <c r="BB636" i="21399" s="1"/>
  <c r="AY636" i="21399"/>
  <c r="BA636" i="21399" s="1"/>
  <c r="AX636" i="21399"/>
  <c r="AW636" i="21399"/>
  <c r="AC636" i="21399"/>
  <c r="M636" i="21399"/>
  <c r="BC636" i="21399" s="1"/>
  <c r="AZ635" i="21399"/>
  <c r="BB635" i="21399" s="1"/>
  <c r="AY635" i="21399"/>
  <c r="BA635" i="21399" s="1"/>
  <c r="AX635" i="21399"/>
  <c r="AW635" i="21399"/>
  <c r="AC635" i="21399"/>
  <c r="M635" i="21399"/>
  <c r="BC635" i="21399" s="1"/>
  <c r="AZ634" i="21399"/>
  <c r="BB634" i="21399" s="1"/>
  <c r="AY634" i="21399"/>
  <c r="BA634" i="21399" s="1"/>
  <c r="AX634" i="21399"/>
  <c r="AW634" i="21399"/>
  <c r="AC634" i="21399"/>
  <c r="M634" i="21399"/>
  <c r="BC634" i="21399" s="1"/>
  <c r="AZ633" i="21399"/>
  <c r="BB633" i="21399" s="1"/>
  <c r="AY633" i="21399"/>
  <c r="BA633" i="21399" s="1"/>
  <c r="AX633" i="21399"/>
  <c r="AW633" i="21399"/>
  <c r="AC633" i="21399"/>
  <c r="M633" i="21399"/>
  <c r="BC633" i="21399" s="1"/>
  <c r="AZ632" i="21399"/>
  <c r="BB632" i="21399" s="1"/>
  <c r="AY632" i="21399"/>
  <c r="BA632" i="21399" s="1"/>
  <c r="AX632" i="21399"/>
  <c r="AW632" i="21399"/>
  <c r="AC632" i="21399"/>
  <c r="M632" i="21399"/>
  <c r="BC632" i="21399" s="1"/>
  <c r="AZ631" i="21399"/>
  <c r="BB631" i="21399" s="1"/>
  <c r="AY631" i="21399"/>
  <c r="BA631" i="21399" s="1"/>
  <c r="AX631" i="21399"/>
  <c r="AW631" i="21399"/>
  <c r="AC631" i="21399"/>
  <c r="M631" i="21399"/>
  <c r="BC631" i="21399" s="1"/>
  <c r="AZ630" i="21399"/>
  <c r="BB630" i="21399" s="1"/>
  <c r="AY630" i="21399"/>
  <c r="BA630" i="21399" s="1"/>
  <c r="AX630" i="21399"/>
  <c r="AW630" i="21399"/>
  <c r="AC630" i="21399"/>
  <c r="M630" i="21399"/>
  <c r="BC630" i="21399" s="1"/>
  <c r="AZ629" i="21399"/>
  <c r="BB629" i="21399" s="1"/>
  <c r="AY629" i="21399"/>
  <c r="BA629" i="21399" s="1"/>
  <c r="AX629" i="21399"/>
  <c r="AW629" i="21399"/>
  <c r="AC629" i="21399"/>
  <c r="M629" i="21399"/>
  <c r="BC629" i="21399" s="1"/>
  <c r="AZ628" i="21399"/>
  <c r="BB628" i="21399" s="1"/>
  <c r="AY628" i="21399"/>
  <c r="BA628" i="21399" s="1"/>
  <c r="AX628" i="21399"/>
  <c r="AW628" i="21399"/>
  <c r="AC628" i="21399"/>
  <c r="M628" i="21399"/>
  <c r="BC628" i="21399" s="1"/>
  <c r="AZ627" i="21399"/>
  <c r="BB627" i="21399" s="1"/>
  <c r="AY627" i="21399"/>
  <c r="BA627" i="21399" s="1"/>
  <c r="AX627" i="21399"/>
  <c r="AW627" i="21399"/>
  <c r="AC627" i="21399"/>
  <c r="M627" i="21399"/>
  <c r="BC627" i="21399" s="1"/>
  <c r="AZ626" i="21399"/>
  <c r="BB626" i="21399" s="1"/>
  <c r="AY626" i="21399"/>
  <c r="BA626" i="21399" s="1"/>
  <c r="AX626" i="21399"/>
  <c r="AW626" i="21399"/>
  <c r="AC626" i="21399"/>
  <c r="M626" i="21399"/>
  <c r="BC626" i="21399" s="1"/>
  <c r="AZ625" i="21399"/>
  <c r="BB625" i="21399" s="1"/>
  <c r="AY625" i="21399"/>
  <c r="BA625" i="21399" s="1"/>
  <c r="AX625" i="21399"/>
  <c r="AW625" i="21399"/>
  <c r="AC625" i="21399"/>
  <c r="M625" i="21399"/>
  <c r="BC625" i="21399" s="1"/>
  <c r="AZ624" i="21399"/>
  <c r="BB624" i="21399" s="1"/>
  <c r="AY624" i="21399"/>
  <c r="BA624" i="21399" s="1"/>
  <c r="AX624" i="21399"/>
  <c r="AW624" i="21399"/>
  <c r="AC624" i="21399"/>
  <c r="M624" i="21399"/>
  <c r="BC624" i="21399" s="1"/>
  <c r="AZ623" i="21399"/>
  <c r="BB623" i="21399" s="1"/>
  <c r="AY623" i="21399"/>
  <c r="BA623" i="21399" s="1"/>
  <c r="AX623" i="21399"/>
  <c r="AW623" i="21399"/>
  <c r="AC623" i="21399"/>
  <c r="M623" i="21399"/>
  <c r="BC623" i="21399" s="1"/>
  <c r="AZ622" i="21399"/>
  <c r="BB622" i="21399" s="1"/>
  <c r="AY622" i="21399"/>
  <c r="BA622" i="21399" s="1"/>
  <c r="AX622" i="21399"/>
  <c r="AW622" i="21399"/>
  <c r="AC622" i="21399"/>
  <c r="M622" i="21399"/>
  <c r="BC622" i="21399" s="1"/>
  <c r="AZ621" i="21399"/>
  <c r="BB621" i="21399" s="1"/>
  <c r="AY621" i="21399"/>
  <c r="BA621" i="21399" s="1"/>
  <c r="AX621" i="21399"/>
  <c r="AW621" i="21399"/>
  <c r="AC621" i="21399"/>
  <c r="M621" i="21399"/>
  <c r="BC621" i="21399" s="1"/>
  <c r="AZ620" i="21399"/>
  <c r="BB620" i="21399" s="1"/>
  <c r="AY620" i="21399"/>
  <c r="BA620" i="21399" s="1"/>
  <c r="AX620" i="21399"/>
  <c r="AW620" i="21399"/>
  <c r="AC620" i="21399"/>
  <c r="M620" i="21399"/>
  <c r="BC620" i="21399" s="1"/>
  <c r="AZ619" i="21399"/>
  <c r="BB619" i="21399" s="1"/>
  <c r="AY619" i="21399"/>
  <c r="BA619" i="21399" s="1"/>
  <c r="AX619" i="21399"/>
  <c r="AW619" i="21399"/>
  <c r="AC619" i="21399"/>
  <c r="M619" i="21399"/>
  <c r="BC619" i="21399" s="1"/>
  <c r="AZ618" i="21399"/>
  <c r="BB618" i="21399" s="1"/>
  <c r="AY618" i="21399"/>
  <c r="BA618" i="21399" s="1"/>
  <c r="AX618" i="21399"/>
  <c r="AW618" i="21399"/>
  <c r="AC618" i="21399"/>
  <c r="M618" i="21399"/>
  <c r="BC618" i="21399" s="1"/>
  <c r="AZ617" i="21399"/>
  <c r="BB617" i="21399" s="1"/>
  <c r="AY617" i="21399"/>
  <c r="BA617" i="21399" s="1"/>
  <c r="AX617" i="21399"/>
  <c r="AW617" i="21399"/>
  <c r="AC617" i="21399"/>
  <c r="M617" i="21399"/>
  <c r="BC617" i="21399" s="1"/>
  <c r="AZ616" i="21399"/>
  <c r="BB616" i="21399" s="1"/>
  <c r="AY616" i="21399"/>
  <c r="BA616" i="21399" s="1"/>
  <c r="AX616" i="21399"/>
  <c r="AW616" i="21399"/>
  <c r="AC616" i="21399"/>
  <c r="M616" i="21399"/>
  <c r="BC616" i="21399" s="1"/>
  <c r="AZ615" i="21399"/>
  <c r="BB615" i="21399" s="1"/>
  <c r="AY615" i="21399"/>
  <c r="BA615" i="21399" s="1"/>
  <c r="AX615" i="21399"/>
  <c r="AW615" i="21399"/>
  <c r="AC615" i="21399"/>
  <c r="M615" i="21399"/>
  <c r="BC615" i="21399" s="1"/>
  <c r="AZ614" i="21399"/>
  <c r="BB614" i="21399" s="1"/>
  <c r="AY614" i="21399"/>
  <c r="BA614" i="21399" s="1"/>
  <c r="AX614" i="21399"/>
  <c r="AW614" i="21399"/>
  <c r="AC614" i="21399"/>
  <c r="M614" i="21399"/>
  <c r="BC614" i="21399" s="1"/>
  <c r="AZ613" i="21399"/>
  <c r="BB613" i="21399" s="1"/>
  <c r="AY613" i="21399"/>
  <c r="BA613" i="21399" s="1"/>
  <c r="AX613" i="21399"/>
  <c r="AW613" i="21399"/>
  <c r="AC613" i="21399"/>
  <c r="M613" i="21399"/>
  <c r="BC613" i="21399" s="1"/>
  <c r="AZ612" i="21399"/>
  <c r="BB612" i="21399" s="1"/>
  <c r="AY612" i="21399"/>
  <c r="BA612" i="21399" s="1"/>
  <c r="AX612" i="21399"/>
  <c r="AW612" i="21399"/>
  <c r="AC612" i="21399"/>
  <c r="M612" i="21399"/>
  <c r="BC612" i="21399" s="1"/>
  <c r="AZ611" i="21399"/>
  <c r="BB611" i="21399" s="1"/>
  <c r="AY611" i="21399"/>
  <c r="BA611" i="21399" s="1"/>
  <c r="AX611" i="21399"/>
  <c r="AW611" i="21399"/>
  <c r="AC611" i="21399"/>
  <c r="M611" i="21399"/>
  <c r="BC611" i="21399" s="1"/>
  <c r="AZ610" i="21399"/>
  <c r="BB610" i="21399" s="1"/>
  <c r="AY610" i="21399"/>
  <c r="BA610" i="21399" s="1"/>
  <c r="AX610" i="21399"/>
  <c r="AW610" i="21399"/>
  <c r="AC610" i="21399"/>
  <c r="M610" i="21399"/>
  <c r="BC610" i="21399" s="1"/>
  <c r="AZ609" i="21399"/>
  <c r="BB609" i="21399" s="1"/>
  <c r="AY609" i="21399"/>
  <c r="BA609" i="21399" s="1"/>
  <c r="AX609" i="21399"/>
  <c r="AW609" i="21399"/>
  <c r="AC609" i="21399"/>
  <c r="M609" i="21399"/>
  <c r="BC609" i="21399" s="1"/>
  <c r="AZ608" i="21399"/>
  <c r="BB608" i="21399" s="1"/>
  <c r="AY608" i="21399"/>
  <c r="BA608" i="21399" s="1"/>
  <c r="AX608" i="21399"/>
  <c r="AW608" i="21399"/>
  <c r="AC608" i="21399"/>
  <c r="M608" i="21399"/>
  <c r="BC608" i="21399" s="1"/>
  <c r="AZ607" i="21399"/>
  <c r="BB607" i="21399" s="1"/>
  <c r="AY607" i="21399"/>
  <c r="BA607" i="21399" s="1"/>
  <c r="AX607" i="21399"/>
  <c r="AW607" i="21399"/>
  <c r="AC607" i="21399"/>
  <c r="M607" i="21399"/>
  <c r="BC607" i="21399" s="1"/>
  <c r="AZ606" i="21399"/>
  <c r="BB606" i="21399" s="1"/>
  <c r="AY606" i="21399"/>
  <c r="BA606" i="21399" s="1"/>
  <c r="AX606" i="21399"/>
  <c r="AW606" i="21399"/>
  <c r="AC606" i="21399"/>
  <c r="M606" i="21399"/>
  <c r="BC606" i="21399" s="1"/>
  <c r="AZ605" i="21399"/>
  <c r="BB605" i="21399" s="1"/>
  <c r="AY605" i="21399"/>
  <c r="BA605" i="21399" s="1"/>
  <c r="AX605" i="21399"/>
  <c r="AW605" i="21399"/>
  <c r="AC605" i="21399"/>
  <c r="M605" i="21399"/>
  <c r="BC605" i="21399" s="1"/>
  <c r="AZ604" i="21399"/>
  <c r="BB604" i="21399" s="1"/>
  <c r="AY604" i="21399"/>
  <c r="BA604" i="21399" s="1"/>
  <c r="AX604" i="21399"/>
  <c r="AW604" i="21399"/>
  <c r="AC604" i="21399"/>
  <c r="M604" i="21399"/>
  <c r="BC604" i="21399" s="1"/>
  <c r="AZ603" i="21399"/>
  <c r="BB603" i="21399" s="1"/>
  <c r="AY603" i="21399"/>
  <c r="BA603" i="21399" s="1"/>
  <c r="AX603" i="21399"/>
  <c r="AW603" i="21399"/>
  <c r="AC603" i="21399"/>
  <c r="M603" i="21399"/>
  <c r="BC603" i="21399" s="1"/>
  <c r="AZ602" i="21399"/>
  <c r="BB602" i="21399" s="1"/>
  <c r="AY602" i="21399"/>
  <c r="BA602" i="21399" s="1"/>
  <c r="AX602" i="21399"/>
  <c r="AW602" i="21399"/>
  <c r="AC602" i="21399"/>
  <c r="M602" i="21399"/>
  <c r="BC602" i="21399" s="1"/>
  <c r="AZ601" i="21399"/>
  <c r="BB601" i="21399" s="1"/>
  <c r="AY601" i="21399"/>
  <c r="BA601" i="21399" s="1"/>
  <c r="AX601" i="21399"/>
  <c r="AW601" i="21399"/>
  <c r="AC601" i="21399"/>
  <c r="M601" i="21399"/>
  <c r="BC601" i="21399" s="1"/>
  <c r="AZ600" i="21399"/>
  <c r="BB600" i="21399" s="1"/>
  <c r="AY600" i="21399"/>
  <c r="BA600" i="21399" s="1"/>
  <c r="AX600" i="21399"/>
  <c r="AW600" i="21399"/>
  <c r="AC600" i="21399"/>
  <c r="M600" i="21399"/>
  <c r="BC600" i="21399" s="1"/>
  <c r="AZ599" i="21399"/>
  <c r="BB599" i="21399" s="1"/>
  <c r="AY599" i="21399"/>
  <c r="BA599" i="21399" s="1"/>
  <c r="AX599" i="21399"/>
  <c r="AW599" i="21399"/>
  <c r="AC599" i="21399"/>
  <c r="M599" i="21399"/>
  <c r="BC599" i="21399" s="1"/>
  <c r="AZ598" i="21399"/>
  <c r="BB598" i="21399" s="1"/>
  <c r="AY598" i="21399"/>
  <c r="BA598" i="21399" s="1"/>
  <c r="AX598" i="21399"/>
  <c r="AW598" i="21399"/>
  <c r="AC598" i="21399"/>
  <c r="M598" i="21399"/>
  <c r="BC598" i="21399" s="1"/>
  <c r="AZ597" i="21399"/>
  <c r="BB597" i="21399" s="1"/>
  <c r="AY597" i="21399"/>
  <c r="BA597" i="21399" s="1"/>
  <c r="AX597" i="21399"/>
  <c r="AW597" i="21399"/>
  <c r="AC597" i="21399"/>
  <c r="M597" i="21399"/>
  <c r="BC597" i="21399" s="1"/>
  <c r="AZ596" i="21399"/>
  <c r="BB596" i="21399" s="1"/>
  <c r="AY596" i="21399"/>
  <c r="BA596" i="21399" s="1"/>
  <c r="AX596" i="21399"/>
  <c r="AW596" i="21399"/>
  <c r="AC596" i="21399"/>
  <c r="M596" i="21399"/>
  <c r="BC596" i="21399" s="1"/>
  <c r="AZ595" i="21399"/>
  <c r="BB595" i="21399" s="1"/>
  <c r="AY595" i="21399"/>
  <c r="BA595" i="21399" s="1"/>
  <c r="AX595" i="21399"/>
  <c r="AW595" i="21399"/>
  <c r="AC595" i="21399"/>
  <c r="M595" i="21399"/>
  <c r="BC595" i="21399" s="1"/>
  <c r="AZ594" i="21399"/>
  <c r="BB594" i="21399" s="1"/>
  <c r="AY594" i="21399"/>
  <c r="BA594" i="21399" s="1"/>
  <c r="AX594" i="21399"/>
  <c r="AW594" i="21399"/>
  <c r="AC594" i="21399"/>
  <c r="M594" i="21399"/>
  <c r="BC594" i="21399" s="1"/>
  <c r="AZ593" i="21399"/>
  <c r="BB593" i="21399" s="1"/>
  <c r="AY593" i="21399"/>
  <c r="BA593" i="21399" s="1"/>
  <c r="AX593" i="21399"/>
  <c r="AW593" i="21399"/>
  <c r="AC593" i="21399"/>
  <c r="M593" i="21399"/>
  <c r="BC593" i="21399" s="1"/>
  <c r="AZ592" i="21399"/>
  <c r="BB592" i="21399" s="1"/>
  <c r="AY592" i="21399"/>
  <c r="BA592" i="21399" s="1"/>
  <c r="AX592" i="21399"/>
  <c r="AW592" i="21399"/>
  <c r="AC592" i="21399"/>
  <c r="M592" i="21399"/>
  <c r="BC592" i="21399" s="1"/>
  <c r="AZ591" i="21399"/>
  <c r="BB591" i="21399" s="1"/>
  <c r="AY591" i="21399"/>
  <c r="BA591" i="21399" s="1"/>
  <c r="AX591" i="21399"/>
  <c r="AW591" i="21399"/>
  <c r="AC591" i="21399"/>
  <c r="M591" i="21399"/>
  <c r="BC591" i="21399" s="1"/>
  <c r="AZ590" i="21399"/>
  <c r="BB590" i="21399" s="1"/>
  <c r="AY590" i="21399"/>
  <c r="BA590" i="21399" s="1"/>
  <c r="AX590" i="21399"/>
  <c r="AW590" i="21399"/>
  <c r="AC590" i="21399"/>
  <c r="M590" i="21399"/>
  <c r="BC590" i="21399" s="1"/>
  <c r="AZ589" i="21399"/>
  <c r="BB589" i="21399" s="1"/>
  <c r="AY589" i="21399"/>
  <c r="BA589" i="21399" s="1"/>
  <c r="AX589" i="21399"/>
  <c r="AW589" i="21399"/>
  <c r="AC589" i="21399"/>
  <c r="M589" i="21399"/>
  <c r="BC589" i="21399" s="1"/>
  <c r="AZ588" i="21399"/>
  <c r="BB588" i="21399" s="1"/>
  <c r="AY588" i="21399"/>
  <c r="BA588" i="21399" s="1"/>
  <c r="AX588" i="21399"/>
  <c r="AW588" i="21399"/>
  <c r="AC588" i="21399"/>
  <c r="M588" i="21399"/>
  <c r="BC588" i="21399" s="1"/>
  <c r="AZ587" i="21399"/>
  <c r="BB587" i="21399" s="1"/>
  <c r="AY587" i="21399"/>
  <c r="BA587" i="21399" s="1"/>
  <c r="AX587" i="21399"/>
  <c r="AW587" i="21399"/>
  <c r="AC587" i="21399"/>
  <c r="M587" i="21399"/>
  <c r="BC587" i="21399" s="1"/>
  <c r="AZ586" i="21399"/>
  <c r="BB586" i="21399" s="1"/>
  <c r="AY586" i="21399"/>
  <c r="BA586" i="21399" s="1"/>
  <c r="AX586" i="21399"/>
  <c r="AW586" i="21399"/>
  <c r="AC586" i="21399"/>
  <c r="M586" i="21399"/>
  <c r="BC586" i="21399" s="1"/>
  <c r="AZ585" i="21399"/>
  <c r="BB585" i="21399" s="1"/>
  <c r="AY585" i="21399"/>
  <c r="BA585" i="21399" s="1"/>
  <c r="AX585" i="21399"/>
  <c r="AW585" i="21399"/>
  <c r="AC585" i="21399"/>
  <c r="M585" i="21399"/>
  <c r="BC585" i="21399" s="1"/>
  <c r="AZ584" i="21399"/>
  <c r="BB584" i="21399" s="1"/>
  <c r="AY584" i="21399"/>
  <c r="BA584" i="21399" s="1"/>
  <c r="AX584" i="21399"/>
  <c r="AW584" i="21399"/>
  <c r="AC584" i="21399"/>
  <c r="M584" i="21399"/>
  <c r="BC584" i="21399" s="1"/>
  <c r="AZ583" i="21399"/>
  <c r="BB583" i="21399" s="1"/>
  <c r="AY583" i="21399"/>
  <c r="BA583" i="21399" s="1"/>
  <c r="AX583" i="21399"/>
  <c r="AW583" i="21399"/>
  <c r="AC583" i="21399"/>
  <c r="M583" i="21399"/>
  <c r="BC583" i="21399" s="1"/>
  <c r="AZ582" i="21399"/>
  <c r="BB582" i="21399" s="1"/>
  <c r="AY582" i="21399"/>
  <c r="BA582" i="21399" s="1"/>
  <c r="AX582" i="21399"/>
  <c r="AW582" i="21399"/>
  <c r="AC582" i="21399"/>
  <c r="M582" i="21399"/>
  <c r="BC582" i="21399" s="1"/>
  <c r="AZ581" i="21399"/>
  <c r="BB581" i="21399" s="1"/>
  <c r="AY581" i="21399"/>
  <c r="BA581" i="21399" s="1"/>
  <c r="AX581" i="21399"/>
  <c r="AW581" i="21399"/>
  <c r="AC581" i="21399"/>
  <c r="M581" i="21399"/>
  <c r="BC581" i="21399" s="1"/>
  <c r="AZ580" i="21399"/>
  <c r="BB580" i="21399" s="1"/>
  <c r="AY580" i="21399"/>
  <c r="BA580" i="21399" s="1"/>
  <c r="AX580" i="21399"/>
  <c r="AW580" i="21399"/>
  <c r="AC580" i="21399"/>
  <c r="M580" i="21399"/>
  <c r="BC580" i="21399" s="1"/>
  <c r="AZ579" i="21399"/>
  <c r="BB579" i="21399" s="1"/>
  <c r="AY579" i="21399"/>
  <c r="BA579" i="21399" s="1"/>
  <c r="AX579" i="21399"/>
  <c r="AW579" i="21399"/>
  <c r="AC579" i="21399"/>
  <c r="M579" i="21399"/>
  <c r="BC579" i="21399" s="1"/>
  <c r="AZ578" i="21399"/>
  <c r="BB578" i="21399" s="1"/>
  <c r="AY578" i="21399"/>
  <c r="BA578" i="21399" s="1"/>
  <c r="AX578" i="21399"/>
  <c r="AW578" i="21399"/>
  <c r="AC578" i="21399"/>
  <c r="M578" i="21399"/>
  <c r="BC578" i="21399" s="1"/>
  <c r="AZ577" i="21399"/>
  <c r="BB577" i="21399" s="1"/>
  <c r="AY577" i="21399"/>
  <c r="BA577" i="21399" s="1"/>
  <c r="AX577" i="21399"/>
  <c r="AW577" i="21399"/>
  <c r="AC577" i="21399"/>
  <c r="M577" i="21399"/>
  <c r="BC577" i="21399" s="1"/>
  <c r="AZ576" i="21399"/>
  <c r="BB576" i="21399" s="1"/>
  <c r="AY576" i="21399"/>
  <c r="BA576" i="21399" s="1"/>
  <c r="AX576" i="21399"/>
  <c r="AW576" i="21399"/>
  <c r="AC576" i="21399"/>
  <c r="M576" i="21399"/>
  <c r="BC576" i="21399" s="1"/>
  <c r="AZ575" i="21399"/>
  <c r="BB575" i="21399" s="1"/>
  <c r="AY575" i="21399"/>
  <c r="BA575" i="21399" s="1"/>
  <c r="AX575" i="21399"/>
  <c r="AW575" i="21399"/>
  <c r="AC575" i="21399"/>
  <c r="M575" i="21399"/>
  <c r="BC575" i="21399" s="1"/>
  <c r="AZ574" i="21399"/>
  <c r="BB574" i="21399" s="1"/>
  <c r="AY574" i="21399"/>
  <c r="BA574" i="21399" s="1"/>
  <c r="AX574" i="21399"/>
  <c r="AW574" i="21399"/>
  <c r="AC574" i="21399"/>
  <c r="M574" i="21399"/>
  <c r="BC574" i="21399" s="1"/>
  <c r="AZ573" i="21399"/>
  <c r="BB573" i="21399" s="1"/>
  <c r="AY573" i="21399"/>
  <c r="BA573" i="21399" s="1"/>
  <c r="AX573" i="21399"/>
  <c r="AW573" i="21399"/>
  <c r="AC573" i="21399"/>
  <c r="M573" i="21399"/>
  <c r="BC573" i="21399" s="1"/>
  <c r="AZ572" i="21399"/>
  <c r="BB572" i="21399" s="1"/>
  <c r="AY572" i="21399"/>
  <c r="BA572" i="21399" s="1"/>
  <c r="AX572" i="21399"/>
  <c r="AW572" i="21399"/>
  <c r="AC572" i="21399"/>
  <c r="M572" i="21399"/>
  <c r="BC572" i="21399" s="1"/>
  <c r="AZ571" i="21399"/>
  <c r="BB571" i="21399" s="1"/>
  <c r="AY571" i="21399"/>
  <c r="BA571" i="21399" s="1"/>
  <c r="AX571" i="21399"/>
  <c r="AW571" i="21399"/>
  <c r="AC571" i="21399"/>
  <c r="M571" i="21399"/>
  <c r="BC571" i="21399" s="1"/>
  <c r="AZ570" i="21399"/>
  <c r="BB570" i="21399" s="1"/>
  <c r="AY570" i="21399"/>
  <c r="BA570" i="21399" s="1"/>
  <c r="AX570" i="21399"/>
  <c r="AW570" i="21399"/>
  <c r="AC570" i="21399"/>
  <c r="M570" i="21399"/>
  <c r="BC570" i="21399" s="1"/>
  <c r="AZ569" i="21399"/>
  <c r="BB569" i="21399" s="1"/>
  <c r="AY569" i="21399"/>
  <c r="BA569" i="21399" s="1"/>
  <c r="AX569" i="21399"/>
  <c r="AW569" i="21399"/>
  <c r="AC569" i="21399"/>
  <c r="M569" i="21399"/>
  <c r="BC569" i="21399" s="1"/>
  <c r="AZ568" i="21399"/>
  <c r="BB568" i="21399" s="1"/>
  <c r="AY568" i="21399"/>
  <c r="BA568" i="21399" s="1"/>
  <c r="AX568" i="21399"/>
  <c r="AW568" i="21399"/>
  <c r="AC568" i="21399"/>
  <c r="M568" i="21399"/>
  <c r="BC568" i="21399" s="1"/>
  <c r="AZ567" i="21399"/>
  <c r="BB567" i="21399" s="1"/>
  <c r="AY567" i="21399"/>
  <c r="BA567" i="21399" s="1"/>
  <c r="AX567" i="21399"/>
  <c r="AW567" i="21399"/>
  <c r="AC567" i="21399"/>
  <c r="M567" i="21399"/>
  <c r="BC567" i="21399" s="1"/>
  <c r="AZ566" i="21399"/>
  <c r="BB566" i="21399" s="1"/>
  <c r="AY566" i="21399"/>
  <c r="BA566" i="21399" s="1"/>
  <c r="AX566" i="21399"/>
  <c r="AW566" i="21399"/>
  <c r="AC566" i="21399"/>
  <c r="M566" i="21399"/>
  <c r="BC566" i="21399" s="1"/>
  <c r="AZ565" i="21399"/>
  <c r="BB565" i="21399" s="1"/>
  <c r="AY565" i="21399"/>
  <c r="BA565" i="21399" s="1"/>
  <c r="AX565" i="21399"/>
  <c r="AW565" i="21399"/>
  <c r="AC565" i="21399"/>
  <c r="M565" i="21399"/>
  <c r="BC565" i="21399" s="1"/>
  <c r="AZ564" i="21399"/>
  <c r="BB564" i="21399" s="1"/>
  <c r="AY564" i="21399"/>
  <c r="BA564" i="21399" s="1"/>
  <c r="AX564" i="21399"/>
  <c r="AW564" i="21399"/>
  <c r="AC564" i="21399"/>
  <c r="M564" i="21399"/>
  <c r="BC564" i="21399" s="1"/>
  <c r="AZ563" i="21399"/>
  <c r="BB563" i="21399" s="1"/>
  <c r="AY563" i="21399"/>
  <c r="BA563" i="21399" s="1"/>
  <c r="AX563" i="21399"/>
  <c r="AW563" i="21399"/>
  <c r="AC563" i="21399"/>
  <c r="M563" i="21399"/>
  <c r="BC563" i="21399" s="1"/>
  <c r="AZ562" i="21399"/>
  <c r="BB562" i="21399" s="1"/>
  <c r="AY562" i="21399"/>
  <c r="BA562" i="21399" s="1"/>
  <c r="AX562" i="21399"/>
  <c r="AW562" i="21399"/>
  <c r="AC562" i="21399"/>
  <c r="M562" i="21399"/>
  <c r="BC562" i="21399" s="1"/>
  <c r="AZ561" i="21399"/>
  <c r="BB561" i="21399" s="1"/>
  <c r="AY561" i="21399"/>
  <c r="BA561" i="21399" s="1"/>
  <c r="AX561" i="21399"/>
  <c r="AW561" i="21399"/>
  <c r="AC561" i="21399"/>
  <c r="M561" i="21399"/>
  <c r="BC561" i="21399" s="1"/>
  <c r="AZ560" i="21399"/>
  <c r="BB560" i="21399" s="1"/>
  <c r="AY560" i="21399"/>
  <c r="BA560" i="21399" s="1"/>
  <c r="AX560" i="21399"/>
  <c r="AW560" i="21399"/>
  <c r="AC560" i="21399"/>
  <c r="M560" i="21399"/>
  <c r="BC560" i="21399" s="1"/>
  <c r="AZ559" i="21399"/>
  <c r="BB559" i="21399" s="1"/>
  <c r="AY559" i="21399"/>
  <c r="BA559" i="21399" s="1"/>
  <c r="AX559" i="21399"/>
  <c r="AW559" i="21399"/>
  <c r="AC559" i="21399"/>
  <c r="M559" i="21399"/>
  <c r="BC559" i="21399" s="1"/>
  <c r="AZ558" i="21399"/>
  <c r="BB558" i="21399" s="1"/>
  <c r="AY558" i="21399"/>
  <c r="BA558" i="21399" s="1"/>
  <c r="AX558" i="21399"/>
  <c r="AW558" i="21399"/>
  <c r="AC558" i="21399"/>
  <c r="M558" i="21399"/>
  <c r="BC558" i="21399" s="1"/>
  <c r="AZ557" i="21399"/>
  <c r="BB557" i="21399" s="1"/>
  <c r="AY557" i="21399"/>
  <c r="BA557" i="21399" s="1"/>
  <c r="AX557" i="21399"/>
  <c r="AW557" i="21399"/>
  <c r="AC557" i="21399"/>
  <c r="M557" i="21399"/>
  <c r="BC557" i="21399" s="1"/>
  <c r="AZ556" i="21399"/>
  <c r="BB556" i="21399" s="1"/>
  <c r="AY556" i="21399"/>
  <c r="BA556" i="21399" s="1"/>
  <c r="AX556" i="21399"/>
  <c r="AW556" i="21399"/>
  <c r="AC556" i="21399"/>
  <c r="M556" i="21399"/>
  <c r="BC556" i="21399" s="1"/>
  <c r="AZ555" i="21399"/>
  <c r="BB555" i="21399" s="1"/>
  <c r="AY555" i="21399"/>
  <c r="BA555" i="21399" s="1"/>
  <c r="AX555" i="21399"/>
  <c r="AW555" i="21399"/>
  <c r="AC555" i="21399"/>
  <c r="M555" i="21399"/>
  <c r="BC555" i="21399" s="1"/>
  <c r="AZ554" i="21399"/>
  <c r="BB554" i="21399" s="1"/>
  <c r="AY554" i="21399"/>
  <c r="BA554" i="21399" s="1"/>
  <c r="AX554" i="21399"/>
  <c r="AW554" i="21399"/>
  <c r="AC554" i="21399"/>
  <c r="M554" i="21399"/>
  <c r="BC554" i="21399" s="1"/>
  <c r="AZ553" i="21399"/>
  <c r="BB553" i="21399" s="1"/>
  <c r="AY553" i="21399"/>
  <c r="BA553" i="21399" s="1"/>
  <c r="AX553" i="21399"/>
  <c r="AW553" i="21399"/>
  <c r="AC553" i="21399"/>
  <c r="M553" i="21399"/>
  <c r="BC553" i="21399" s="1"/>
  <c r="AZ552" i="21399"/>
  <c r="BB552" i="21399" s="1"/>
  <c r="AY552" i="21399"/>
  <c r="BA552" i="21399" s="1"/>
  <c r="AX552" i="21399"/>
  <c r="AW552" i="21399"/>
  <c r="AC552" i="21399"/>
  <c r="M552" i="21399"/>
  <c r="BC552" i="21399" s="1"/>
  <c r="AZ551" i="21399"/>
  <c r="BB551" i="21399" s="1"/>
  <c r="AY551" i="21399"/>
  <c r="BA551" i="21399" s="1"/>
  <c r="AX551" i="21399"/>
  <c r="AW551" i="21399"/>
  <c r="AC551" i="21399"/>
  <c r="M551" i="21399"/>
  <c r="BC551" i="21399" s="1"/>
  <c r="AZ550" i="21399"/>
  <c r="BB550" i="21399" s="1"/>
  <c r="AY550" i="21399"/>
  <c r="BA550" i="21399" s="1"/>
  <c r="AX550" i="21399"/>
  <c r="AW550" i="21399"/>
  <c r="AC550" i="21399"/>
  <c r="M550" i="21399"/>
  <c r="BC550" i="21399" s="1"/>
  <c r="AZ549" i="21399"/>
  <c r="BB549" i="21399" s="1"/>
  <c r="AY549" i="21399"/>
  <c r="BA549" i="21399" s="1"/>
  <c r="AX549" i="21399"/>
  <c r="AW549" i="21399"/>
  <c r="AC549" i="21399"/>
  <c r="M549" i="21399"/>
  <c r="BC549" i="21399" s="1"/>
  <c r="AZ548" i="21399"/>
  <c r="BB548" i="21399" s="1"/>
  <c r="AY548" i="21399"/>
  <c r="BA548" i="21399" s="1"/>
  <c r="AX548" i="21399"/>
  <c r="AW548" i="21399"/>
  <c r="AC548" i="21399"/>
  <c r="M548" i="21399"/>
  <c r="BC548" i="21399" s="1"/>
  <c r="AZ547" i="21399"/>
  <c r="BB547" i="21399" s="1"/>
  <c r="AY547" i="21399"/>
  <c r="BA547" i="21399" s="1"/>
  <c r="AX547" i="21399"/>
  <c r="AW547" i="21399"/>
  <c r="AC547" i="21399"/>
  <c r="M547" i="21399"/>
  <c r="BC547" i="21399" s="1"/>
  <c r="AZ546" i="21399"/>
  <c r="BB546" i="21399" s="1"/>
  <c r="AY546" i="21399"/>
  <c r="BA546" i="21399" s="1"/>
  <c r="AX546" i="21399"/>
  <c r="AW546" i="21399"/>
  <c r="AC546" i="21399"/>
  <c r="M546" i="21399"/>
  <c r="BC546" i="21399" s="1"/>
  <c r="AZ545" i="21399"/>
  <c r="BB545" i="21399" s="1"/>
  <c r="AY545" i="21399"/>
  <c r="BA545" i="21399" s="1"/>
  <c r="AX545" i="21399"/>
  <c r="AW545" i="21399"/>
  <c r="AC545" i="21399"/>
  <c r="M545" i="21399"/>
  <c r="BC545" i="21399" s="1"/>
  <c r="AZ544" i="21399"/>
  <c r="BB544" i="21399" s="1"/>
  <c r="AY544" i="21399"/>
  <c r="BA544" i="21399" s="1"/>
  <c r="AX544" i="21399"/>
  <c r="AW544" i="21399"/>
  <c r="AC544" i="21399"/>
  <c r="M544" i="21399"/>
  <c r="BC544" i="21399" s="1"/>
  <c r="AZ543" i="21399"/>
  <c r="BB543" i="21399" s="1"/>
  <c r="AY543" i="21399"/>
  <c r="BA543" i="21399" s="1"/>
  <c r="AX543" i="21399"/>
  <c r="AW543" i="21399"/>
  <c r="AC543" i="21399"/>
  <c r="M543" i="21399"/>
  <c r="BC543" i="21399" s="1"/>
  <c r="AZ542" i="21399"/>
  <c r="BB542" i="21399" s="1"/>
  <c r="AY542" i="21399"/>
  <c r="BA542" i="21399" s="1"/>
  <c r="AX542" i="21399"/>
  <c r="AW542" i="21399"/>
  <c r="AC542" i="21399"/>
  <c r="M542" i="21399"/>
  <c r="BC542" i="21399" s="1"/>
  <c r="AZ541" i="21399"/>
  <c r="BB541" i="21399" s="1"/>
  <c r="AY541" i="21399"/>
  <c r="BA541" i="21399" s="1"/>
  <c r="AX541" i="21399"/>
  <c r="AW541" i="21399"/>
  <c r="AC541" i="21399"/>
  <c r="M541" i="21399"/>
  <c r="BC541" i="21399" s="1"/>
  <c r="AZ540" i="21399"/>
  <c r="BB540" i="21399" s="1"/>
  <c r="AY540" i="21399"/>
  <c r="BA540" i="21399" s="1"/>
  <c r="AX540" i="21399"/>
  <c r="AW540" i="21399"/>
  <c r="AC540" i="21399"/>
  <c r="M540" i="21399"/>
  <c r="BC540" i="21399" s="1"/>
  <c r="AZ539" i="21399"/>
  <c r="BB539" i="21399" s="1"/>
  <c r="AY539" i="21399"/>
  <c r="BA539" i="21399" s="1"/>
  <c r="AX539" i="21399"/>
  <c r="AW539" i="21399"/>
  <c r="AC539" i="21399"/>
  <c r="M539" i="21399"/>
  <c r="BC539" i="21399" s="1"/>
  <c r="AZ538" i="21399"/>
  <c r="BB538" i="21399" s="1"/>
  <c r="AY538" i="21399"/>
  <c r="BA538" i="21399" s="1"/>
  <c r="AX538" i="21399"/>
  <c r="AW538" i="21399"/>
  <c r="AC538" i="21399"/>
  <c r="M538" i="21399"/>
  <c r="BC538" i="21399" s="1"/>
  <c r="AZ537" i="21399"/>
  <c r="BB537" i="21399" s="1"/>
  <c r="AY537" i="21399"/>
  <c r="BA537" i="21399" s="1"/>
  <c r="AX537" i="21399"/>
  <c r="AW537" i="21399"/>
  <c r="AC537" i="21399"/>
  <c r="M537" i="21399"/>
  <c r="BC537" i="21399" s="1"/>
  <c r="AZ536" i="21399"/>
  <c r="BB536" i="21399" s="1"/>
  <c r="AY536" i="21399"/>
  <c r="BA536" i="21399" s="1"/>
  <c r="AX536" i="21399"/>
  <c r="AW536" i="21399"/>
  <c r="AC536" i="21399"/>
  <c r="M536" i="21399"/>
  <c r="BC536" i="21399" s="1"/>
  <c r="AZ535" i="21399"/>
  <c r="BB535" i="21399" s="1"/>
  <c r="AY535" i="21399"/>
  <c r="BA535" i="21399" s="1"/>
  <c r="AX535" i="21399"/>
  <c r="AW535" i="21399"/>
  <c r="AC535" i="21399"/>
  <c r="M535" i="21399"/>
  <c r="BC535" i="21399" s="1"/>
  <c r="AZ534" i="21399"/>
  <c r="BB534" i="21399" s="1"/>
  <c r="AY534" i="21399"/>
  <c r="BA534" i="21399" s="1"/>
  <c r="AX534" i="21399"/>
  <c r="AW534" i="21399"/>
  <c r="AC534" i="21399"/>
  <c r="M534" i="21399"/>
  <c r="BC534" i="21399" s="1"/>
  <c r="AZ533" i="21399"/>
  <c r="BB533" i="21399" s="1"/>
  <c r="AY533" i="21399"/>
  <c r="BA533" i="21399" s="1"/>
  <c r="AX533" i="21399"/>
  <c r="AW533" i="21399"/>
  <c r="AC533" i="21399"/>
  <c r="M533" i="21399"/>
  <c r="BC533" i="21399" s="1"/>
  <c r="AZ532" i="21399"/>
  <c r="BB532" i="21399" s="1"/>
  <c r="AY532" i="21399"/>
  <c r="BA532" i="21399" s="1"/>
  <c r="AX532" i="21399"/>
  <c r="AW532" i="21399"/>
  <c r="AC532" i="21399"/>
  <c r="M532" i="21399"/>
  <c r="BC532" i="21399" s="1"/>
  <c r="AZ531" i="21399"/>
  <c r="BB531" i="21399" s="1"/>
  <c r="AY531" i="21399"/>
  <c r="BA531" i="21399" s="1"/>
  <c r="AX531" i="21399"/>
  <c r="AW531" i="21399"/>
  <c r="AC531" i="21399"/>
  <c r="M531" i="21399"/>
  <c r="BC531" i="21399" s="1"/>
  <c r="AZ530" i="21399"/>
  <c r="BB530" i="21399" s="1"/>
  <c r="AY530" i="21399"/>
  <c r="BA530" i="21399" s="1"/>
  <c r="AX530" i="21399"/>
  <c r="AW530" i="21399"/>
  <c r="AC530" i="21399"/>
  <c r="M530" i="21399"/>
  <c r="BC530" i="21399" s="1"/>
  <c r="AZ529" i="21399"/>
  <c r="BB529" i="21399" s="1"/>
  <c r="AY529" i="21399"/>
  <c r="BA529" i="21399" s="1"/>
  <c r="AX529" i="21399"/>
  <c r="AW529" i="21399"/>
  <c r="AC529" i="21399"/>
  <c r="M529" i="21399"/>
  <c r="BC529" i="21399" s="1"/>
  <c r="AZ528" i="21399"/>
  <c r="BB528" i="21399" s="1"/>
  <c r="AY528" i="21399"/>
  <c r="BA528" i="21399" s="1"/>
  <c r="AX528" i="21399"/>
  <c r="AW528" i="21399"/>
  <c r="AC528" i="21399"/>
  <c r="M528" i="21399"/>
  <c r="BC528" i="21399" s="1"/>
  <c r="AZ527" i="21399"/>
  <c r="BB527" i="21399" s="1"/>
  <c r="AY527" i="21399"/>
  <c r="BA527" i="21399" s="1"/>
  <c r="AX527" i="21399"/>
  <c r="AW527" i="21399"/>
  <c r="AC527" i="21399"/>
  <c r="M527" i="21399"/>
  <c r="BC527" i="21399" s="1"/>
  <c r="AZ526" i="21399"/>
  <c r="BB526" i="21399" s="1"/>
  <c r="AY526" i="21399"/>
  <c r="BA526" i="21399" s="1"/>
  <c r="AX526" i="21399"/>
  <c r="AW526" i="21399"/>
  <c r="AC526" i="21399"/>
  <c r="M526" i="21399"/>
  <c r="BC526" i="21399" s="1"/>
  <c r="AZ525" i="21399"/>
  <c r="BB525" i="21399" s="1"/>
  <c r="AY525" i="21399"/>
  <c r="BA525" i="21399" s="1"/>
  <c r="AX525" i="21399"/>
  <c r="AW525" i="21399"/>
  <c r="AC525" i="21399"/>
  <c r="M525" i="21399"/>
  <c r="BC525" i="21399" s="1"/>
  <c r="AZ524" i="21399"/>
  <c r="BB524" i="21399" s="1"/>
  <c r="AY524" i="21399"/>
  <c r="BA524" i="21399" s="1"/>
  <c r="AX524" i="21399"/>
  <c r="AW524" i="21399"/>
  <c r="AC524" i="21399"/>
  <c r="M524" i="21399"/>
  <c r="BC524" i="21399" s="1"/>
  <c r="AZ523" i="21399"/>
  <c r="BB523" i="21399" s="1"/>
  <c r="AY523" i="21399"/>
  <c r="BA523" i="21399" s="1"/>
  <c r="AX523" i="21399"/>
  <c r="AW523" i="21399"/>
  <c r="AC523" i="21399"/>
  <c r="M523" i="21399"/>
  <c r="BC523" i="21399" s="1"/>
  <c r="AZ522" i="21399"/>
  <c r="BB522" i="21399" s="1"/>
  <c r="AY522" i="21399"/>
  <c r="BA522" i="21399" s="1"/>
  <c r="AX522" i="21399"/>
  <c r="AW522" i="21399"/>
  <c r="AC522" i="21399"/>
  <c r="M522" i="21399"/>
  <c r="BC522" i="21399" s="1"/>
  <c r="AZ521" i="21399"/>
  <c r="BB521" i="21399" s="1"/>
  <c r="AY521" i="21399"/>
  <c r="BA521" i="21399" s="1"/>
  <c r="AX521" i="21399"/>
  <c r="AW521" i="21399"/>
  <c r="AC521" i="21399"/>
  <c r="M521" i="21399"/>
  <c r="BC521" i="21399" s="1"/>
  <c r="AZ520" i="21399"/>
  <c r="BB520" i="21399" s="1"/>
  <c r="AY520" i="21399"/>
  <c r="BA520" i="21399" s="1"/>
  <c r="AX520" i="21399"/>
  <c r="AW520" i="21399"/>
  <c r="AC520" i="21399"/>
  <c r="M520" i="21399"/>
  <c r="BC520" i="21399" s="1"/>
  <c r="AZ519" i="21399"/>
  <c r="BB519" i="21399" s="1"/>
  <c r="AY519" i="21399"/>
  <c r="BA519" i="21399" s="1"/>
  <c r="AX519" i="21399"/>
  <c r="AW519" i="21399"/>
  <c r="AC519" i="21399"/>
  <c r="M519" i="21399"/>
  <c r="BC519" i="21399" s="1"/>
  <c r="AZ518" i="21399"/>
  <c r="BB518" i="21399" s="1"/>
  <c r="AY518" i="21399"/>
  <c r="BA518" i="21399" s="1"/>
  <c r="AX518" i="21399"/>
  <c r="AW518" i="21399"/>
  <c r="AC518" i="21399"/>
  <c r="M518" i="21399"/>
  <c r="BC518" i="21399" s="1"/>
  <c r="AZ517" i="21399"/>
  <c r="BB517" i="21399" s="1"/>
  <c r="AY517" i="21399"/>
  <c r="BA517" i="21399" s="1"/>
  <c r="AX517" i="21399"/>
  <c r="AW517" i="21399"/>
  <c r="AC517" i="21399"/>
  <c r="M517" i="21399"/>
  <c r="BC517" i="21399" s="1"/>
  <c r="AZ516" i="21399"/>
  <c r="BB516" i="21399" s="1"/>
  <c r="AY516" i="21399"/>
  <c r="BA516" i="21399" s="1"/>
  <c r="AX516" i="21399"/>
  <c r="AW516" i="21399"/>
  <c r="AC516" i="21399"/>
  <c r="M516" i="21399"/>
  <c r="BC516" i="21399" s="1"/>
  <c r="AZ515" i="21399"/>
  <c r="BB515" i="21399" s="1"/>
  <c r="AY515" i="21399"/>
  <c r="BA515" i="21399" s="1"/>
  <c r="AX515" i="21399"/>
  <c r="AW515" i="21399"/>
  <c r="AC515" i="21399"/>
  <c r="M515" i="21399"/>
  <c r="BC515" i="21399" s="1"/>
  <c r="AZ514" i="21399"/>
  <c r="BB514" i="21399" s="1"/>
  <c r="AY514" i="21399"/>
  <c r="BA514" i="21399" s="1"/>
  <c r="AX514" i="21399"/>
  <c r="AW514" i="21399"/>
  <c r="AC514" i="21399"/>
  <c r="M514" i="21399"/>
  <c r="BC514" i="21399" s="1"/>
  <c r="AZ513" i="21399"/>
  <c r="BB513" i="21399" s="1"/>
  <c r="AY513" i="21399"/>
  <c r="BA513" i="21399" s="1"/>
  <c r="AX513" i="21399"/>
  <c r="AW513" i="21399"/>
  <c r="AC513" i="21399"/>
  <c r="M513" i="21399"/>
  <c r="BC513" i="21399" s="1"/>
  <c r="AZ512" i="21399"/>
  <c r="BB512" i="21399" s="1"/>
  <c r="AY512" i="21399"/>
  <c r="BA512" i="21399" s="1"/>
  <c r="AX512" i="21399"/>
  <c r="AW512" i="21399"/>
  <c r="AC512" i="21399"/>
  <c r="M512" i="21399"/>
  <c r="BC512" i="21399" s="1"/>
  <c r="AZ511" i="21399"/>
  <c r="BB511" i="21399" s="1"/>
  <c r="AY511" i="21399"/>
  <c r="BA511" i="21399" s="1"/>
  <c r="AX511" i="21399"/>
  <c r="AW511" i="21399"/>
  <c r="AC511" i="21399"/>
  <c r="M511" i="21399"/>
  <c r="BC511" i="21399" s="1"/>
  <c r="AZ510" i="21399"/>
  <c r="BB510" i="21399" s="1"/>
  <c r="AY510" i="21399"/>
  <c r="BA510" i="21399" s="1"/>
  <c r="AX510" i="21399"/>
  <c r="AW510" i="21399"/>
  <c r="AC510" i="21399"/>
  <c r="M510" i="21399"/>
  <c r="BC510" i="21399" s="1"/>
  <c r="AZ509" i="21399"/>
  <c r="BB509" i="21399" s="1"/>
  <c r="AY509" i="21399"/>
  <c r="BA509" i="21399" s="1"/>
  <c r="AX509" i="21399"/>
  <c r="AW509" i="21399"/>
  <c r="AC509" i="21399"/>
  <c r="M509" i="21399"/>
  <c r="BC509" i="21399" s="1"/>
  <c r="AZ508" i="21399"/>
  <c r="BB508" i="21399" s="1"/>
  <c r="AY508" i="21399"/>
  <c r="BA508" i="21399" s="1"/>
  <c r="AX508" i="21399"/>
  <c r="AW508" i="21399"/>
  <c r="AC508" i="21399"/>
  <c r="M508" i="21399"/>
  <c r="BC508" i="21399" s="1"/>
  <c r="AZ507" i="21399"/>
  <c r="BB507" i="21399" s="1"/>
  <c r="AY507" i="21399"/>
  <c r="BA507" i="21399" s="1"/>
  <c r="AX507" i="21399"/>
  <c r="AW507" i="21399"/>
  <c r="AC507" i="21399"/>
  <c r="M507" i="21399"/>
  <c r="BC507" i="21399" s="1"/>
  <c r="AZ506" i="21399"/>
  <c r="BB506" i="21399" s="1"/>
  <c r="AY506" i="21399"/>
  <c r="BA506" i="21399" s="1"/>
  <c r="AX506" i="21399"/>
  <c r="AW506" i="21399"/>
  <c r="AC506" i="21399"/>
  <c r="M506" i="21399"/>
  <c r="BC506" i="21399" s="1"/>
  <c r="AZ505" i="21399"/>
  <c r="BB505" i="21399" s="1"/>
  <c r="AY505" i="21399"/>
  <c r="BA505" i="21399" s="1"/>
  <c r="AX505" i="21399"/>
  <c r="AW505" i="21399"/>
  <c r="AC505" i="21399"/>
  <c r="M505" i="21399"/>
  <c r="BC505" i="21399" s="1"/>
  <c r="AZ504" i="21399"/>
  <c r="BB504" i="21399" s="1"/>
  <c r="AY504" i="21399"/>
  <c r="BA504" i="21399" s="1"/>
  <c r="AX504" i="21399"/>
  <c r="AW504" i="21399"/>
  <c r="AC504" i="21399"/>
  <c r="M504" i="21399"/>
  <c r="BC504" i="21399" s="1"/>
  <c r="AZ503" i="21399"/>
  <c r="BB503" i="21399" s="1"/>
  <c r="AY503" i="21399"/>
  <c r="BA503" i="21399" s="1"/>
  <c r="AX503" i="21399"/>
  <c r="AW503" i="21399"/>
  <c r="AC503" i="21399"/>
  <c r="M503" i="21399"/>
  <c r="BC503" i="21399" s="1"/>
  <c r="AZ502" i="21399"/>
  <c r="BB502" i="21399" s="1"/>
  <c r="AY502" i="21399"/>
  <c r="BA502" i="21399" s="1"/>
  <c r="AX502" i="21399"/>
  <c r="AW502" i="21399"/>
  <c r="AC502" i="21399"/>
  <c r="M502" i="21399"/>
  <c r="BC502" i="21399" s="1"/>
  <c r="AZ501" i="21399"/>
  <c r="BB501" i="21399" s="1"/>
  <c r="AY501" i="21399"/>
  <c r="BA501" i="21399" s="1"/>
  <c r="AX501" i="21399"/>
  <c r="AW501" i="21399"/>
  <c r="AC501" i="21399"/>
  <c r="M501" i="21399"/>
  <c r="BC501" i="21399" s="1"/>
  <c r="AZ500" i="21399"/>
  <c r="BB500" i="21399" s="1"/>
  <c r="AY500" i="21399"/>
  <c r="BA500" i="21399" s="1"/>
  <c r="AX500" i="21399"/>
  <c r="AW500" i="21399"/>
  <c r="AC500" i="21399"/>
  <c r="M500" i="21399"/>
  <c r="BC500" i="21399" s="1"/>
  <c r="AZ499" i="21399"/>
  <c r="BB499" i="21399" s="1"/>
  <c r="AY499" i="21399"/>
  <c r="BA499" i="21399" s="1"/>
  <c r="AX499" i="21399"/>
  <c r="AW499" i="21399"/>
  <c r="AC499" i="21399"/>
  <c r="M499" i="21399"/>
  <c r="BC499" i="21399" s="1"/>
  <c r="AZ498" i="21399"/>
  <c r="BB498" i="21399" s="1"/>
  <c r="AY498" i="21399"/>
  <c r="BA498" i="21399" s="1"/>
  <c r="AX498" i="21399"/>
  <c r="AW498" i="21399"/>
  <c r="AC498" i="21399"/>
  <c r="M498" i="21399"/>
  <c r="BC498" i="21399" s="1"/>
  <c r="AZ497" i="21399"/>
  <c r="BB497" i="21399" s="1"/>
  <c r="AY497" i="21399"/>
  <c r="BA497" i="21399" s="1"/>
  <c r="AX497" i="21399"/>
  <c r="AW497" i="21399"/>
  <c r="AC497" i="21399"/>
  <c r="M497" i="21399"/>
  <c r="BC497" i="21399" s="1"/>
  <c r="AZ496" i="21399"/>
  <c r="BB496" i="21399" s="1"/>
  <c r="AY496" i="21399"/>
  <c r="BA496" i="21399" s="1"/>
  <c r="AX496" i="21399"/>
  <c r="AW496" i="21399"/>
  <c r="AC496" i="21399"/>
  <c r="M496" i="21399"/>
  <c r="BC496" i="21399" s="1"/>
  <c r="AZ495" i="21399"/>
  <c r="BB495" i="21399" s="1"/>
  <c r="AY495" i="21399"/>
  <c r="BA495" i="21399" s="1"/>
  <c r="AX495" i="21399"/>
  <c r="AW495" i="21399"/>
  <c r="AC495" i="21399"/>
  <c r="M495" i="21399"/>
  <c r="BC495" i="21399" s="1"/>
  <c r="AZ494" i="21399"/>
  <c r="BB494" i="21399" s="1"/>
  <c r="AY494" i="21399"/>
  <c r="BA494" i="21399" s="1"/>
  <c r="AX494" i="21399"/>
  <c r="AW494" i="21399"/>
  <c r="AC494" i="21399"/>
  <c r="M494" i="21399"/>
  <c r="BC494" i="21399" s="1"/>
  <c r="AZ493" i="21399"/>
  <c r="BB493" i="21399" s="1"/>
  <c r="AY493" i="21399"/>
  <c r="BA493" i="21399" s="1"/>
  <c r="AX493" i="21399"/>
  <c r="AW493" i="21399"/>
  <c r="AC493" i="21399"/>
  <c r="M493" i="21399"/>
  <c r="BC493" i="21399" s="1"/>
  <c r="AZ492" i="21399"/>
  <c r="BB492" i="21399" s="1"/>
  <c r="AY492" i="21399"/>
  <c r="BA492" i="21399" s="1"/>
  <c r="AX492" i="21399"/>
  <c r="AW492" i="21399"/>
  <c r="AC492" i="21399"/>
  <c r="M492" i="21399"/>
  <c r="BC492" i="21399" s="1"/>
  <c r="AZ491" i="21399"/>
  <c r="BB491" i="21399" s="1"/>
  <c r="AY491" i="21399"/>
  <c r="BA491" i="21399" s="1"/>
  <c r="AX491" i="21399"/>
  <c r="AW491" i="21399"/>
  <c r="AC491" i="21399"/>
  <c r="M491" i="21399"/>
  <c r="BC491" i="21399" s="1"/>
  <c r="AZ490" i="21399"/>
  <c r="BB490" i="21399" s="1"/>
  <c r="AY490" i="21399"/>
  <c r="BA490" i="21399" s="1"/>
  <c r="AX490" i="21399"/>
  <c r="AW490" i="21399"/>
  <c r="AC490" i="21399"/>
  <c r="M490" i="21399"/>
  <c r="BC490" i="21399" s="1"/>
  <c r="AZ489" i="21399"/>
  <c r="BB489" i="21399" s="1"/>
  <c r="AY489" i="21399"/>
  <c r="BA489" i="21399" s="1"/>
  <c r="AX489" i="21399"/>
  <c r="AW489" i="21399"/>
  <c r="AC489" i="21399"/>
  <c r="M489" i="21399"/>
  <c r="BC489" i="21399" s="1"/>
  <c r="AZ488" i="21399"/>
  <c r="BB488" i="21399" s="1"/>
  <c r="AY488" i="21399"/>
  <c r="BA488" i="21399" s="1"/>
  <c r="AX488" i="21399"/>
  <c r="AW488" i="21399"/>
  <c r="AC488" i="21399"/>
  <c r="M488" i="21399"/>
  <c r="BC488" i="21399" s="1"/>
  <c r="AZ487" i="21399"/>
  <c r="BB487" i="21399" s="1"/>
  <c r="AY487" i="21399"/>
  <c r="BA487" i="21399" s="1"/>
  <c r="AX487" i="21399"/>
  <c r="AW487" i="21399"/>
  <c r="AC487" i="21399"/>
  <c r="M487" i="21399"/>
  <c r="BC487" i="21399" s="1"/>
  <c r="AZ486" i="21399"/>
  <c r="BB486" i="21399" s="1"/>
  <c r="AY486" i="21399"/>
  <c r="BA486" i="21399" s="1"/>
  <c r="AX486" i="21399"/>
  <c r="AW486" i="21399"/>
  <c r="AC486" i="21399"/>
  <c r="M486" i="21399"/>
  <c r="BC486" i="21399" s="1"/>
  <c r="AZ485" i="21399"/>
  <c r="BB485" i="21399" s="1"/>
  <c r="AY485" i="21399"/>
  <c r="BA485" i="21399" s="1"/>
  <c r="AX485" i="21399"/>
  <c r="AW485" i="21399"/>
  <c r="AC485" i="21399"/>
  <c r="M485" i="21399"/>
  <c r="BC485" i="21399" s="1"/>
  <c r="AZ484" i="21399"/>
  <c r="BB484" i="21399" s="1"/>
  <c r="AY484" i="21399"/>
  <c r="BA484" i="21399" s="1"/>
  <c r="AX484" i="21399"/>
  <c r="AW484" i="21399"/>
  <c r="AC484" i="21399"/>
  <c r="M484" i="21399"/>
  <c r="BC484" i="21399" s="1"/>
  <c r="AZ483" i="21399"/>
  <c r="BB483" i="21399" s="1"/>
  <c r="AY483" i="21399"/>
  <c r="BA483" i="21399" s="1"/>
  <c r="AX483" i="21399"/>
  <c r="AW483" i="21399"/>
  <c r="AC483" i="21399"/>
  <c r="M483" i="21399"/>
  <c r="BC483" i="21399" s="1"/>
  <c r="AZ482" i="21399"/>
  <c r="BB482" i="21399" s="1"/>
  <c r="AY482" i="21399"/>
  <c r="BA482" i="21399" s="1"/>
  <c r="AX482" i="21399"/>
  <c r="AW482" i="21399"/>
  <c r="AC482" i="21399"/>
  <c r="M482" i="21399"/>
  <c r="BC482" i="21399" s="1"/>
  <c r="AZ481" i="21399"/>
  <c r="BB481" i="21399" s="1"/>
  <c r="AY481" i="21399"/>
  <c r="BA481" i="21399" s="1"/>
  <c r="AX481" i="21399"/>
  <c r="AW481" i="21399"/>
  <c r="AC481" i="21399"/>
  <c r="M481" i="21399"/>
  <c r="BC481" i="21399" s="1"/>
  <c r="AZ480" i="21399"/>
  <c r="BB480" i="21399" s="1"/>
  <c r="AY480" i="21399"/>
  <c r="BA480" i="21399" s="1"/>
  <c r="AX480" i="21399"/>
  <c r="AW480" i="21399"/>
  <c r="AC480" i="21399"/>
  <c r="M480" i="21399"/>
  <c r="BC480" i="21399" s="1"/>
  <c r="AZ479" i="21399"/>
  <c r="BB479" i="21399" s="1"/>
  <c r="AY479" i="21399"/>
  <c r="BA479" i="21399" s="1"/>
  <c r="AX479" i="21399"/>
  <c r="AW479" i="21399"/>
  <c r="AC479" i="21399"/>
  <c r="M479" i="21399"/>
  <c r="BC479" i="21399" s="1"/>
  <c r="AZ478" i="21399"/>
  <c r="BB478" i="21399" s="1"/>
  <c r="AY478" i="21399"/>
  <c r="BA478" i="21399" s="1"/>
  <c r="AX478" i="21399"/>
  <c r="AW478" i="21399"/>
  <c r="AC478" i="21399"/>
  <c r="M478" i="21399"/>
  <c r="BC478" i="21399" s="1"/>
  <c r="AZ477" i="21399"/>
  <c r="BB477" i="21399" s="1"/>
  <c r="AY477" i="21399"/>
  <c r="BA477" i="21399" s="1"/>
  <c r="AX477" i="21399"/>
  <c r="AW477" i="21399"/>
  <c r="AC477" i="21399"/>
  <c r="M477" i="21399"/>
  <c r="BC477" i="21399" s="1"/>
  <c r="AZ476" i="21399"/>
  <c r="BB476" i="21399" s="1"/>
  <c r="AY476" i="21399"/>
  <c r="BA476" i="21399" s="1"/>
  <c r="AX476" i="21399"/>
  <c r="AW476" i="21399"/>
  <c r="AC476" i="21399"/>
  <c r="M476" i="21399"/>
  <c r="BC476" i="21399" s="1"/>
  <c r="AZ475" i="21399"/>
  <c r="BB475" i="21399" s="1"/>
  <c r="AY475" i="21399"/>
  <c r="BA475" i="21399" s="1"/>
  <c r="AX475" i="21399"/>
  <c r="AW475" i="21399"/>
  <c r="AC475" i="21399"/>
  <c r="M475" i="21399"/>
  <c r="BC475" i="21399" s="1"/>
  <c r="AZ474" i="21399"/>
  <c r="BB474" i="21399" s="1"/>
  <c r="AY474" i="21399"/>
  <c r="BA474" i="21399" s="1"/>
  <c r="AX474" i="21399"/>
  <c r="AW474" i="21399"/>
  <c r="AC474" i="21399"/>
  <c r="M474" i="21399"/>
  <c r="BC474" i="21399" s="1"/>
  <c r="AZ473" i="21399"/>
  <c r="BB473" i="21399" s="1"/>
  <c r="AY473" i="21399"/>
  <c r="BA473" i="21399" s="1"/>
  <c r="AX473" i="21399"/>
  <c r="AW473" i="21399"/>
  <c r="AC473" i="21399"/>
  <c r="M473" i="21399"/>
  <c r="BC473" i="21399" s="1"/>
  <c r="AZ472" i="21399"/>
  <c r="BB472" i="21399" s="1"/>
  <c r="AY472" i="21399"/>
  <c r="BA472" i="21399" s="1"/>
  <c r="AX472" i="21399"/>
  <c r="AW472" i="21399"/>
  <c r="AC472" i="21399"/>
  <c r="M472" i="21399"/>
  <c r="BC472" i="21399" s="1"/>
  <c r="AZ471" i="21399"/>
  <c r="BB471" i="21399" s="1"/>
  <c r="AY471" i="21399"/>
  <c r="BA471" i="21399" s="1"/>
  <c r="AX471" i="21399"/>
  <c r="AW471" i="21399"/>
  <c r="AC471" i="21399"/>
  <c r="M471" i="21399"/>
  <c r="BC471" i="21399" s="1"/>
  <c r="AZ470" i="21399"/>
  <c r="BB470" i="21399" s="1"/>
  <c r="AY470" i="21399"/>
  <c r="BA470" i="21399" s="1"/>
  <c r="AX470" i="21399"/>
  <c r="AW470" i="21399"/>
  <c r="AC470" i="21399"/>
  <c r="M470" i="21399"/>
  <c r="BC470" i="21399" s="1"/>
  <c r="AZ469" i="21399"/>
  <c r="BB469" i="21399" s="1"/>
  <c r="AY469" i="21399"/>
  <c r="BA469" i="21399" s="1"/>
  <c r="AX469" i="21399"/>
  <c r="AW469" i="21399"/>
  <c r="AC469" i="21399"/>
  <c r="M469" i="21399"/>
  <c r="BC469" i="21399" s="1"/>
  <c r="AZ468" i="21399"/>
  <c r="BB468" i="21399" s="1"/>
  <c r="AY468" i="21399"/>
  <c r="BA468" i="21399" s="1"/>
  <c r="AX468" i="21399"/>
  <c r="AW468" i="21399"/>
  <c r="AC468" i="21399"/>
  <c r="M468" i="21399"/>
  <c r="BC468" i="21399" s="1"/>
  <c r="AZ467" i="21399"/>
  <c r="BB467" i="21399" s="1"/>
  <c r="AY467" i="21399"/>
  <c r="BA467" i="21399" s="1"/>
  <c r="AX467" i="21399"/>
  <c r="AW467" i="21399"/>
  <c r="AC467" i="21399"/>
  <c r="M467" i="21399"/>
  <c r="BC467" i="21399" s="1"/>
  <c r="AZ466" i="21399"/>
  <c r="BB466" i="21399" s="1"/>
  <c r="AY466" i="21399"/>
  <c r="BA466" i="21399" s="1"/>
  <c r="AX466" i="21399"/>
  <c r="AW466" i="21399"/>
  <c r="AC466" i="21399"/>
  <c r="M466" i="21399"/>
  <c r="BC466" i="21399" s="1"/>
  <c r="AZ465" i="21399"/>
  <c r="BB465" i="21399" s="1"/>
  <c r="AY465" i="21399"/>
  <c r="BA465" i="21399" s="1"/>
  <c r="AX465" i="21399"/>
  <c r="AW465" i="21399"/>
  <c r="AC465" i="21399"/>
  <c r="M465" i="21399"/>
  <c r="BC465" i="21399" s="1"/>
  <c r="AZ464" i="21399"/>
  <c r="BB464" i="21399" s="1"/>
  <c r="AY464" i="21399"/>
  <c r="BA464" i="21399" s="1"/>
  <c r="AX464" i="21399"/>
  <c r="AW464" i="21399"/>
  <c r="AC464" i="21399"/>
  <c r="M464" i="21399"/>
  <c r="BC464" i="21399" s="1"/>
  <c r="AZ463" i="21399"/>
  <c r="BB463" i="21399" s="1"/>
  <c r="AY463" i="21399"/>
  <c r="BA463" i="21399" s="1"/>
  <c r="AX463" i="21399"/>
  <c r="AW463" i="21399"/>
  <c r="AC463" i="21399"/>
  <c r="M463" i="21399"/>
  <c r="BC463" i="21399" s="1"/>
  <c r="AZ462" i="21399"/>
  <c r="BB462" i="21399" s="1"/>
  <c r="AY462" i="21399"/>
  <c r="BA462" i="21399" s="1"/>
  <c r="AX462" i="21399"/>
  <c r="AW462" i="21399"/>
  <c r="AC462" i="21399"/>
  <c r="M462" i="21399"/>
  <c r="BC462" i="21399" s="1"/>
  <c r="AZ461" i="21399"/>
  <c r="BB461" i="21399" s="1"/>
  <c r="AY461" i="21399"/>
  <c r="BA461" i="21399" s="1"/>
  <c r="AX461" i="21399"/>
  <c r="AW461" i="21399"/>
  <c r="AC461" i="21399"/>
  <c r="M461" i="21399"/>
  <c r="BC461" i="21399" s="1"/>
  <c r="AZ460" i="21399"/>
  <c r="BB460" i="21399" s="1"/>
  <c r="AY460" i="21399"/>
  <c r="BA460" i="21399" s="1"/>
  <c r="AX460" i="21399"/>
  <c r="AW460" i="21399"/>
  <c r="AC460" i="21399"/>
  <c r="M460" i="21399"/>
  <c r="BC460" i="21399" s="1"/>
  <c r="AZ459" i="21399"/>
  <c r="BB459" i="21399" s="1"/>
  <c r="AY459" i="21399"/>
  <c r="BA459" i="21399" s="1"/>
  <c r="AX459" i="21399"/>
  <c r="AW459" i="21399"/>
  <c r="AC459" i="21399"/>
  <c r="M459" i="21399"/>
  <c r="BC459" i="21399" s="1"/>
  <c r="AZ458" i="21399"/>
  <c r="BB458" i="21399" s="1"/>
  <c r="AY458" i="21399"/>
  <c r="BA458" i="21399" s="1"/>
  <c r="AX458" i="21399"/>
  <c r="AW458" i="21399"/>
  <c r="AC458" i="21399"/>
  <c r="M458" i="21399"/>
  <c r="BC458" i="21399" s="1"/>
  <c r="AZ457" i="21399"/>
  <c r="BB457" i="21399" s="1"/>
  <c r="AY457" i="21399"/>
  <c r="BA457" i="21399" s="1"/>
  <c r="AX457" i="21399"/>
  <c r="AW457" i="21399"/>
  <c r="AC457" i="21399"/>
  <c r="M457" i="21399"/>
  <c r="BC457" i="21399" s="1"/>
  <c r="AZ456" i="21399"/>
  <c r="BB456" i="21399" s="1"/>
  <c r="AY456" i="21399"/>
  <c r="BA456" i="21399" s="1"/>
  <c r="AX456" i="21399"/>
  <c r="AW456" i="21399"/>
  <c r="AC456" i="21399"/>
  <c r="M456" i="21399"/>
  <c r="BC456" i="21399" s="1"/>
  <c r="AZ455" i="21399"/>
  <c r="BB455" i="21399" s="1"/>
  <c r="AY455" i="21399"/>
  <c r="BA455" i="21399" s="1"/>
  <c r="AX455" i="21399"/>
  <c r="AW455" i="21399"/>
  <c r="AC455" i="21399"/>
  <c r="M455" i="21399"/>
  <c r="BC455" i="21399" s="1"/>
  <c r="AZ454" i="21399"/>
  <c r="BB454" i="21399" s="1"/>
  <c r="AY454" i="21399"/>
  <c r="BA454" i="21399" s="1"/>
  <c r="AX454" i="21399"/>
  <c r="AW454" i="21399"/>
  <c r="AC454" i="21399"/>
  <c r="M454" i="21399"/>
  <c r="BC454" i="21399" s="1"/>
  <c r="AZ453" i="21399"/>
  <c r="BB453" i="21399" s="1"/>
  <c r="AY453" i="21399"/>
  <c r="BA453" i="21399" s="1"/>
  <c r="AX453" i="21399"/>
  <c r="AW453" i="21399"/>
  <c r="AC453" i="21399"/>
  <c r="M453" i="21399"/>
  <c r="BC453" i="21399" s="1"/>
  <c r="AZ452" i="21399"/>
  <c r="BB452" i="21399" s="1"/>
  <c r="AY452" i="21399"/>
  <c r="BA452" i="21399" s="1"/>
  <c r="AX452" i="21399"/>
  <c r="AW452" i="21399"/>
  <c r="AC452" i="21399"/>
  <c r="M452" i="21399"/>
  <c r="BC452" i="21399" s="1"/>
  <c r="AZ451" i="21399"/>
  <c r="BB451" i="21399" s="1"/>
  <c r="AY451" i="21399"/>
  <c r="BA451" i="21399" s="1"/>
  <c r="AX451" i="21399"/>
  <c r="AW451" i="21399"/>
  <c r="AC451" i="21399"/>
  <c r="M451" i="21399"/>
  <c r="BC451" i="21399" s="1"/>
  <c r="AZ450" i="21399"/>
  <c r="BB450" i="21399" s="1"/>
  <c r="AY450" i="21399"/>
  <c r="BA450" i="21399" s="1"/>
  <c r="AX450" i="21399"/>
  <c r="AW450" i="21399"/>
  <c r="AC450" i="21399"/>
  <c r="M450" i="21399"/>
  <c r="BC450" i="21399" s="1"/>
  <c r="AZ449" i="21399"/>
  <c r="BB449" i="21399" s="1"/>
  <c r="AY449" i="21399"/>
  <c r="BA449" i="21399" s="1"/>
  <c r="AX449" i="21399"/>
  <c r="AW449" i="21399"/>
  <c r="AC449" i="21399"/>
  <c r="M449" i="21399"/>
  <c r="BC449" i="21399" s="1"/>
  <c r="AZ448" i="21399"/>
  <c r="BB448" i="21399" s="1"/>
  <c r="AY448" i="21399"/>
  <c r="BA448" i="21399" s="1"/>
  <c r="AX448" i="21399"/>
  <c r="AW448" i="21399"/>
  <c r="AC448" i="21399"/>
  <c r="M448" i="21399"/>
  <c r="BC448" i="21399" s="1"/>
  <c r="AZ447" i="21399"/>
  <c r="BB447" i="21399" s="1"/>
  <c r="AY447" i="21399"/>
  <c r="BA447" i="21399" s="1"/>
  <c r="AX447" i="21399"/>
  <c r="AW447" i="21399"/>
  <c r="AC447" i="21399"/>
  <c r="M447" i="21399"/>
  <c r="BC447" i="21399" s="1"/>
  <c r="AZ446" i="21399"/>
  <c r="BB446" i="21399" s="1"/>
  <c r="AY446" i="21399"/>
  <c r="BA446" i="21399" s="1"/>
  <c r="AX446" i="21399"/>
  <c r="AW446" i="21399"/>
  <c r="AC446" i="21399"/>
  <c r="M446" i="21399"/>
  <c r="BC446" i="21399" s="1"/>
  <c r="AZ445" i="21399"/>
  <c r="BB445" i="21399" s="1"/>
  <c r="AY445" i="21399"/>
  <c r="BA445" i="21399" s="1"/>
  <c r="AX445" i="21399"/>
  <c r="AW445" i="21399"/>
  <c r="AC445" i="21399"/>
  <c r="M445" i="21399"/>
  <c r="BC445" i="21399" s="1"/>
  <c r="AZ444" i="21399"/>
  <c r="BB444" i="21399" s="1"/>
  <c r="AY444" i="21399"/>
  <c r="BA444" i="21399" s="1"/>
  <c r="AX444" i="21399"/>
  <c r="AW444" i="21399"/>
  <c r="AC444" i="21399"/>
  <c r="M444" i="21399"/>
  <c r="BC444" i="21399" s="1"/>
  <c r="AZ443" i="21399"/>
  <c r="BB443" i="21399" s="1"/>
  <c r="AY443" i="21399"/>
  <c r="BA443" i="21399" s="1"/>
  <c r="AX443" i="21399"/>
  <c r="AW443" i="21399"/>
  <c r="AC443" i="21399"/>
  <c r="M443" i="21399"/>
  <c r="BC443" i="21399" s="1"/>
  <c r="AZ442" i="21399"/>
  <c r="BB442" i="21399" s="1"/>
  <c r="AY442" i="21399"/>
  <c r="BA442" i="21399" s="1"/>
  <c r="AX442" i="21399"/>
  <c r="AW442" i="21399"/>
  <c r="AC442" i="21399"/>
  <c r="M442" i="21399"/>
  <c r="BC442" i="21399" s="1"/>
  <c r="AZ441" i="21399"/>
  <c r="BB441" i="21399" s="1"/>
  <c r="AY441" i="21399"/>
  <c r="BA441" i="21399" s="1"/>
  <c r="AX441" i="21399"/>
  <c r="AW441" i="21399"/>
  <c r="AC441" i="21399"/>
  <c r="M441" i="21399"/>
  <c r="BC441" i="21399" s="1"/>
  <c r="AZ440" i="21399"/>
  <c r="BB440" i="21399" s="1"/>
  <c r="AY440" i="21399"/>
  <c r="BA440" i="21399" s="1"/>
  <c r="AX440" i="21399"/>
  <c r="AW440" i="21399"/>
  <c r="AC440" i="21399"/>
  <c r="M440" i="21399"/>
  <c r="BC440" i="21399" s="1"/>
  <c r="AZ439" i="21399"/>
  <c r="BB439" i="21399" s="1"/>
  <c r="AY439" i="21399"/>
  <c r="BA439" i="21399" s="1"/>
  <c r="AX439" i="21399"/>
  <c r="AW439" i="21399"/>
  <c r="AC439" i="21399"/>
  <c r="M439" i="21399"/>
  <c r="BC439" i="21399" s="1"/>
  <c r="AZ438" i="21399"/>
  <c r="BB438" i="21399" s="1"/>
  <c r="AY438" i="21399"/>
  <c r="BA438" i="21399" s="1"/>
  <c r="AX438" i="21399"/>
  <c r="AW438" i="21399"/>
  <c r="AC438" i="21399"/>
  <c r="M438" i="21399"/>
  <c r="BC438" i="21399" s="1"/>
  <c r="AZ437" i="21399"/>
  <c r="BB437" i="21399" s="1"/>
  <c r="AY437" i="21399"/>
  <c r="BA437" i="21399" s="1"/>
  <c r="AX437" i="21399"/>
  <c r="AW437" i="21399"/>
  <c r="AC437" i="21399"/>
  <c r="M437" i="21399"/>
  <c r="BC437" i="21399" s="1"/>
  <c r="AZ436" i="21399"/>
  <c r="BB436" i="21399" s="1"/>
  <c r="AY436" i="21399"/>
  <c r="BA436" i="21399" s="1"/>
  <c r="AX436" i="21399"/>
  <c r="AW436" i="21399"/>
  <c r="AC436" i="21399"/>
  <c r="M436" i="21399"/>
  <c r="BC436" i="21399" s="1"/>
  <c r="AZ435" i="21399"/>
  <c r="BB435" i="21399" s="1"/>
  <c r="AY435" i="21399"/>
  <c r="BA435" i="21399" s="1"/>
  <c r="AX435" i="21399"/>
  <c r="AW435" i="21399"/>
  <c r="AC435" i="21399"/>
  <c r="M435" i="21399"/>
  <c r="BC435" i="21399" s="1"/>
  <c r="AZ434" i="21399"/>
  <c r="BB434" i="21399" s="1"/>
  <c r="AY434" i="21399"/>
  <c r="BA434" i="21399" s="1"/>
  <c r="AX434" i="21399"/>
  <c r="AW434" i="21399"/>
  <c r="AC434" i="21399"/>
  <c r="M434" i="21399"/>
  <c r="BC434" i="21399" s="1"/>
  <c r="AZ433" i="21399"/>
  <c r="BB433" i="21399" s="1"/>
  <c r="AY433" i="21399"/>
  <c r="BA433" i="21399" s="1"/>
  <c r="AX433" i="21399"/>
  <c r="AW433" i="21399"/>
  <c r="AC433" i="21399"/>
  <c r="M433" i="21399"/>
  <c r="BC433" i="21399" s="1"/>
  <c r="AZ432" i="21399"/>
  <c r="BB432" i="21399" s="1"/>
  <c r="AY432" i="21399"/>
  <c r="BA432" i="21399" s="1"/>
  <c r="AX432" i="21399"/>
  <c r="AW432" i="21399"/>
  <c r="AC432" i="21399"/>
  <c r="M432" i="21399"/>
  <c r="BC432" i="21399" s="1"/>
  <c r="AZ431" i="21399"/>
  <c r="BB431" i="21399" s="1"/>
  <c r="AY431" i="21399"/>
  <c r="BA431" i="21399" s="1"/>
  <c r="AX431" i="21399"/>
  <c r="AW431" i="21399"/>
  <c r="AC431" i="21399"/>
  <c r="M431" i="21399"/>
  <c r="BC431" i="21399" s="1"/>
  <c r="AZ430" i="21399"/>
  <c r="BB430" i="21399" s="1"/>
  <c r="AY430" i="21399"/>
  <c r="BA430" i="21399" s="1"/>
  <c r="AX430" i="21399"/>
  <c r="AW430" i="21399"/>
  <c r="AC430" i="21399"/>
  <c r="M430" i="21399"/>
  <c r="BC430" i="21399" s="1"/>
  <c r="AZ429" i="21399"/>
  <c r="BB429" i="21399" s="1"/>
  <c r="AY429" i="21399"/>
  <c r="BA429" i="21399" s="1"/>
  <c r="AX429" i="21399"/>
  <c r="AW429" i="21399"/>
  <c r="AC429" i="21399"/>
  <c r="M429" i="21399"/>
  <c r="BC429" i="21399" s="1"/>
  <c r="AZ428" i="21399"/>
  <c r="BB428" i="21399" s="1"/>
  <c r="AY428" i="21399"/>
  <c r="BA428" i="21399" s="1"/>
  <c r="AX428" i="21399"/>
  <c r="AW428" i="21399"/>
  <c r="AC428" i="21399"/>
  <c r="M428" i="21399"/>
  <c r="BC428" i="21399" s="1"/>
  <c r="AZ427" i="21399"/>
  <c r="BB427" i="21399" s="1"/>
  <c r="AY427" i="21399"/>
  <c r="BA427" i="21399" s="1"/>
  <c r="AX427" i="21399"/>
  <c r="AW427" i="21399"/>
  <c r="AC427" i="21399"/>
  <c r="M427" i="21399"/>
  <c r="BC427" i="21399" s="1"/>
  <c r="AZ426" i="21399"/>
  <c r="BB426" i="21399" s="1"/>
  <c r="AY426" i="21399"/>
  <c r="BA426" i="21399" s="1"/>
  <c r="AX426" i="21399"/>
  <c r="AW426" i="21399"/>
  <c r="AC426" i="21399"/>
  <c r="M426" i="21399"/>
  <c r="BC426" i="21399" s="1"/>
  <c r="AZ425" i="21399"/>
  <c r="BB425" i="21399" s="1"/>
  <c r="AY425" i="21399"/>
  <c r="BA425" i="21399" s="1"/>
  <c r="AX425" i="21399"/>
  <c r="AW425" i="21399"/>
  <c r="AC425" i="21399"/>
  <c r="M425" i="21399"/>
  <c r="BC425" i="21399" s="1"/>
  <c r="AZ424" i="21399"/>
  <c r="BB424" i="21399" s="1"/>
  <c r="AY424" i="21399"/>
  <c r="BA424" i="21399" s="1"/>
  <c r="AX424" i="21399"/>
  <c r="AW424" i="21399"/>
  <c r="AC424" i="21399"/>
  <c r="M424" i="21399"/>
  <c r="BC424" i="21399" s="1"/>
  <c r="AZ423" i="21399"/>
  <c r="BB423" i="21399" s="1"/>
  <c r="AY423" i="21399"/>
  <c r="BA423" i="21399" s="1"/>
  <c r="AX423" i="21399"/>
  <c r="AW423" i="21399"/>
  <c r="AC423" i="21399"/>
  <c r="M423" i="21399"/>
  <c r="BC423" i="21399" s="1"/>
  <c r="AZ422" i="21399"/>
  <c r="BB422" i="21399" s="1"/>
  <c r="AY422" i="21399"/>
  <c r="BA422" i="21399" s="1"/>
  <c r="AX422" i="21399"/>
  <c r="AW422" i="21399"/>
  <c r="AC422" i="21399"/>
  <c r="M422" i="21399"/>
  <c r="BC422" i="21399" s="1"/>
  <c r="AZ421" i="21399"/>
  <c r="BB421" i="21399" s="1"/>
  <c r="AY421" i="21399"/>
  <c r="BA421" i="21399" s="1"/>
  <c r="AX421" i="21399"/>
  <c r="AW421" i="21399"/>
  <c r="AC421" i="21399"/>
  <c r="M421" i="21399"/>
  <c r="BC421" i="21399" s="1"/>
  <c r="AZ420" i="21399"/>
  <c r="BB420" i="21399" s="1"/>
  <c r="AY420" i="21399"/>
  <c r="BA420" i="21399" s="1"/>
  <c r="AX420" i="21399"/>
  <c r="AW420" i="21399"/>
  <c r="AC420" i="21399"/>
  <c r="M420" i="21399"/>
  <c r="BC420" i="21399" s="1"/>
  <c r="AZ419" i="21399"/>
  <c r="BB419" i="21399" s="1"/>
  <c r="AY419" i="21399"/>
  <c r="BA419" i="21399" s="1"/>
  <c r="AX419" i="21399"/>
  <c r="AW419" i="21399"/>
  <c r="AC419" i="21399"/>
  <c r="M419" i="21399"/>
  <c r="BC419" i="21399" s="1"/>
  <c r="AZ418" i="21399"/>
  <c r="BB418" i="21399" s="1"/>
  <c r="AY418" i="21399"/>
  <c r="BA418" i="21399" s="1"/>
  <c r="AX418" i="21399"/>
  <c r="AW418" i="21399"/>
  <c r="AC418" i="21399"/>
  <c r="M418" i="21399"/>
  <c r="BC418" i="21399" s="1"/>
  <c r="AZ417" i="21399"/>
  <c r="BB417" i="21399" s="1"/>
  <c r="AY417" i="21399"/>
  <c r="BA417" i="21399" s="1"/>
  <c r="AX417" i="21399"/>
  <c r="AW417" i="21399"/>
  <c r="AC417" i="21399"/>
  <c r="M417" i="21399"/>
  <c r="BC417" i="21399" s="1"/>
  <c r="AZ416" i="21399"/>
  <c r="BB416" i="21399" s="1"/>
  <c r="AY416" i="21399"/>
  <c r="BA416" i="21399" s="1"/>
  <c r="AX416" i="21399"/>
  <c r="AW416" i="21399"/>
  <c r="AC416" i="21399"/>
  <c r="M416" i="21399"/>
  <c r="BC416" i="21399" s="1"/>
  <c r="AZ415" i="21399"/>
  <c r="BB415" i="21399" s="1"/>
  <c r="AY415" i="21399"/>
  <c r="BA415" i="21399" s="1"/>
  <c r="AX415" i="21399"/>
  <c r="AW415" i="21399"/>
  <c r="AC415" i="21399"/>
  <c r="M415" i="21399"/>
  <c r="BC415" i="21399" s="1"/>
  <c r="AZ414" i="21399"/>
  <c r="BB414" i="21399" s="1"/>
  <c r="AY414" i="21399"/>
  <c r="BA414" i="21399" s="1"/>
  <c r="AX414" i="21399"/>
  <c r="AW414" i="21399"/>
  <c r="AC414" i="21399"/>
  <c r="M414" i="21399"/>
  <c r="BC414" i="21399" s="1"/>
  <c r="AZ413" i="21399"/>
  <c r="BB413" i="21399" s="1"/>
  <c r="AY413" i="21399"/>
  <c r="BA413" i="21399" s="1"/>
  <c r="AX413" i="21399"/>
  <c r="AW413" i="21399"/>
  <c r="AC413" i="21399"/>
  <c r="M413" i="21399"/>
  <c r="BC413" i="21399" s="1"/>
  <c r="AZ412" i="21399"/>
  <c r="BB412" i="21399" s="1"/>
  <c r="AY412" i="21399"/>
  <c r="BA412" i="21399" s="1"/>
  <c r="AX412" i="21399"/>
  <c r="AW412" i="21399"/>
  <c r="AC412" i="21399"/>
  <c r="M412" i="21399"/>
  <c r="BC412" i="21399" s="1"/>
  <c r="AZ411" i="21399"/>
  <c r="BB411" i="21399" s="1"/>
  <c r="AY411" i="21399"/>
  <c r="BA411" i="21399" s="1"/>
  <c r="AX411" i="21399"/>
  <c r="AW411" i="21399"/>
  <c r="AC411" i="21399"/>
  <c r="M411" i="21399"/>
  <c r="BC411" i="21399" s="1"/>
  <c r="AZ410" i="21399"/>
  <c r="BB410" i="21399" s="1"/>
  <c r="AY410" i="21399"/>
  <c r="BA410" i="21399" s="1"/>
  <c r="AX410" i="21399"/>
  <c r="AW410" i="21399"/>
  <c r="AC410" i="21399"/>
  <c r="M410" i="21399"/>
  <c r="BC410" i="21399" s="1"/>
  <c r="AZ409" i="21399"/>
  <c r="BB409" i="21399" s="1"/>
  <c r="AY409" i="21399"/>
  <c r="BA409" i="21399" s="1"/>
  <c r="AX409" i="21399"/>
  <c r="AW409" i="21399"/>
  <c r="AC409" i="21399"/>
  <c r="M409" i="21399"/>
  <c r="BC409" i="21399" s="1"/>
  <c r="AZ408" i="21399"/>
  <c r="BB408" i="21399" s="1"/>
  <c r="AY408" i="21399"/>
  <c r="BA408" i="21399" s="1"/>
  <c r="AX408" i="21399"/>
  <c r="AW408" i="21399"/>
  <c r="AC408" i="21399"/>
  <c r="M408" i="21399"/>
  <c r="BC408" i="21399" s="1"/>
  <c r="AZ407" i="21399"/>
  <c r="BB407" i="21399" s="1"/>
  <c r="AY407" i="21399"/>
  <c r="BA407" i="21399" s="1"/>
  <c r="AX407" i="21399"/>
  <c r="AW407" i="21399"/>
  <c r="AC407" i="21399"/>
  <c r="M407" i="21399"/>
  <c r="BC407" i="21399" s="1"/>
  <c r="AZ406" i="21399"/>
  <c r="BB406" i="21399" s="1"/>
  <c r="AY406" i="21399"/>
  <c r="BA406" i="21399" s="1"/>
  <c r="AX406" i="21399"/>
  <c r="AW406" i="21399"/>
  <c r="AC406" i="21399"/>
  <c r="M406" i="21399"/>
  <c r="BC406" i="21399" s="1"/>
  <c r="AZ405" i="21399"/>
  <c r="BB405" i="21399" s="1"/>
  <c r="AY405" i="21399"/>
  <c r="BA405" i="21399" s="1"/>
  <c r="AX405" i="21399"/>
  <c r="AW405" i="21399"/>
  <c r="AC405" i="21399"/>
  <c r="M405" i="21399"/>
  <c r="BC405" i="21399" s="1"/>
  <c r="AZ404" i="21399"/>
  <c r="BB404" i="21399" s="1"/>
  <c r="AY404" i="21399"/>
  <c r="BA404" i="21399" s="1"/>
  <c r="AX404" i="21399"/>
  <c r="AW404" i="21399"/>
  <c r="AC404" i="21399"/>
  <c r="M404" i="21399"/>
  <c r="BC404" i="21399" s="1"/>
  <c r="AZ403" i="21399"/>
  <c r="BB403" i="21399" s="1"/>
  <c r="AY403" i="21399"/>
  <c r="BA403" i="21399" s="1"/>
  <c r="AX403" i="21399"/>
  <c r="AW403" i="21399"/>
  <c r="AC403" i="21399"/>
  <c r="M403" i="21399"/>
  <c r="BC403" i="21399" s="1"/>
  <c r="AZ402" i="21399"/>
  <c r="BB402" i="21399" s="1"/>
  <c r="AY402" i="21399"/>
  <c r="BA402" i="21399" s="1"/>
  <c r="AX402" i="21399"/>
  <c r="AW402" i="21399"/>
  <c r="AC402" i="21399"/>
  <c r="M402" i="21399"/>
  <c r="BC402" i="21399" s="1"/>
  <c r="AZ401" i="21399"/>
  <c r="BB401" i="21399" s="1"/>
  <c r="AY401" i="21399"/>
  <c r="BA401" i="21399" s="1"/>
  <c r="AX401" i="21399"/>
  <c r="AW401" i="21399"/>
  <c r="AC401" i="21399"/>
  <c r="M401" i="21399"/>
  <c r="BC401" i="21399" s="1"/>
  <c r="AZ400" i="21399"/>
  <c r="BB400" i="21399" s="1"/>
  <c r="AY400" i="21399"/>
  <c r="BA400" i="21399" s="1"/>
  <c r="AX400" i="21399"/>
  <c r="AW400" i="21399"/>
  <c r="AC400" i="21399"/>
  <c r="M400" i="21399"/>
  <c r="BC400" i="21399" s="1"/>
  <c r="AZ399" i="21399"/>
  <c r="BB399" i="21399" s="1"/>
  <c r="AY399" i="21399"/>
  <c r="BA399" i="21399" s="1"/>
  <c r="AX399" i="21399"/>
  <c r="AW399" i="21399"/>
  <c r="AC399" i="21399"/>
  <c r="M399" i="21399"/>
  <c r="BC399" i="21399" s="1"/>
  <c r="AZ398" i="21399"/>
  <c r="BB398" i="21399" s="1"/>
  <c r="AY398" i="21399"/>
  <c r="BA398" i="21399" s="1"/>
  <c r="AX398" i="21399"/>
  <c r="AW398" i="21399"/>
  <c r="AC398" i="21399"/>
  <c r="M398" i="21399"/>
  <c r="BC398" i="21399" s="1"/>
  <c r="AZ397" i="21399"/>
  <c r="BB397" i="21399" s="1"/>
  <c r="AY397" i="21399"/>
  <c r="BA397" i="21399" s="1"/>
  <c r="AX397" i="21399"/>
  <c r="AW397" i="21399"/>
  <c r="AC397" i="21399"/>
  <c r="M397" i="21399"/>
  <c r="BC397" i="21399" s="1"/>
  <c r="AZ396" i="21399"/>
  <c r="BB396" i="21399" s="1"/>
  <c r="AY396" i="21399"/>
  <c r="BA396" i="21399" s="1"/>
  <c r="AX396" i="21399"/>
  <c r="AW396" i="21399"/>
  <c r="AC396" i="21399"/>
  <c r="M396" i="21399"/>
  <c r="BC396" i="21399" s="1"/>
  <c r="AZ395" i="21399"/>
  <c r="BB395" i="21399" s="1"/>
  <c r="AY395" i="21399"/>
  <c r="BA395" i="21399" s="1"/>
  <c r="AX395" i="21399"/>
  <c r="AW395" i="21399"/>
  <c r="AC395" i="21399"/>
  <c r="M395" i="21399"/>
  <c r="BC395" i="21399" s="1"/>
  <c r="AZ394" i="21399"/>
  <c r="BB394" i="21399" s="1"/>
  <c r="AY394" i="21399"/>
  <c r="BA394" i="21399" s="1"/>
  <c r="AX394" i="21399"/>
  <c r="AW394" i="21399"/>
  <c r="AC394" i="21399"/>
  <c r="M394" i="21399"/>
  <c r="BC394" i="21399" s="1"/>
  <c r="AZ393" i="21399"/>
  <c r="BB393" i="21399" s="1"/>
  <c r="AY393" i="21399"/>
  <c r="BA393" i="21399" s="1"/>
  <c r="AX393" i="21399"/>
  <c r="AW393" i="21399"/>
  <c r="AC393" i="21399"/>
  <c r="M393" i="21399"/>
  <c r="BC393" i="21399" s="1"/>
  <c r="AZ392" i="21399"/>
  <c r="BB392" i="21399" s="1"/>
  <c r="AY392" i="21399"/>
  <c r="BA392" i="21399" s="1"/>
  <c r="AX392" i="21399"/>
  <c r="AW392" i="21399"/>
  <c r="AC392" i="21399"/>
  <c r="M392" i="21399"/>
  <c r="BC392" i="21399" s="1"/>
  <c r="AZ391" i="21399"/>
  <c r="BB391" i="21399" s="1"/>
  <c r="AY391" i="21399"/>
  <c r="BA391" i="21399" s="1"/>
  <c r="AX391" i="21399"/>
  <c r="AW391" i="21399"/>
  <c r="AC391" i="21399"/>
  <c r="M391" i="21399"/>
  <c r="BC391" i="21399" s="1"/>
  <c r="AZ390" i="21399"/>
  <c r="BB390" i="21399" s="1"/>
  <c r="AY390" i="21399"/>
  <c r="BA390" i="21399" s="1"/>
  <c r="AX390" i="21399"/>
  <c r="AW390" i="21399"/>
  <c r="AC390" i="21399"/>
  <c r="M390" i="21399"/>
  <c r="BC390" i="21399" s="1"/>
  <c r="AZ389" i="21399"/>
  <c r="BB389" i="21399" s="1"/>
  <c r="AY389" i="21399"/>
  <c r="BA389" i="21399" s="1"/>
  <c r="AX389" i="21399"/>
  <c r="AW389" i="21399"/>
  <c r="AC389" i="21399"/>
  <c r="M389" i="21399"/>
  <c r="BC389" i="21399" s="1"/>
  <c r="AZ388" i="21399"/>
  <c r="BB388" i="21399" s="1"/>
  <c r="AY388" i="21399"/>
  <c r="BA388" i="21399" s="1"/>
  <c r="AX388" i="21399"/>
  <c r="AW388" i="21399"/>
  <c r="AC388" i="21399"/>
  <c r="M388" i="21399"/>
  <c r="BC388" i="21399" s="1"/>
  <c r="AZ387" i="21399"/>
  <c r="BB387" i="21399" s="1"/>
  <c r="AY387" i="21399"/>
  <c r="BA387" i="21399" s="1"/>
  <c r="AX387" i="21399"/>
  <c r="AW387" i="21399"/>
  <c r="AC387" i="21399"/>
  <c r="M387" i="21399"/>
  <c r="BC387" i="21399" s="1"/>
  <c r="AZ386" i="21399"/>
  <c r="BB386" i="21399" s="1"/>
  <c r="AY386" i="21399"/>
  <c r="BA386" i="21399" s="1"/>
  <c r="AX386" i="21399"/>
  <c r="AW386" i="21399"/>
  <c r="AC386" i="21399"/>
  <c r="M386" i="21399"/>
  <c r="BC386" i="21399" s="1"/>
  <c r="AZ385" i="21399"/>
  <c r="BB385" i="21399" s="1"/>
  <c r="AY385" i="21399"/>
  <c r="BA385" i="21399" s="1"/>
  <c r="AX385" i="21399"/>
  <c r="AW385" i="21399"/>
  <c r="AC385" i="21399"/>
  <c r="M385" i="21399"/>
  <c r="BC385" i="21399" s="1"/>
  <c r="AZ384" i="21399"/>
  <c r="BB384" i="21399" s="1"/>
  <c r="AY384" i="21399"/>
  <c r="BA384" i="21399" s="1"/>
  <c r="AX384" i="21399"/>
  <c r="AW384" i="21399"/>
  <c r="AC384" i="21399"/>
  <c r="M384" i="21399"/>
  <c r="BC384" i="21399" s="1"/>
  <c r="AZ383" i="21399"/>
  <c r="BB383" i="21399" s="1"/>
  <c r="AY383" i="21399"/>
  <c r="BA383" i="21399" s="1"/>
  <c r="AX383" i="21399"/>
  <c r="AW383" i="21399"/>
  <c r="AC383" i="21399"/>
  <c r="M383" i="21399"/>
  <c r="BC383" i="21399" s="1"/>
  <c r="AZ382" i="21399"/>
  <c r="BB382" i="21399" s="1"/>
  <c r="AY382" i="21399"/>
  <c r="BA382" i="21399" s="1"/>
  <c r="AX382" i="21399"/>
  <c r="AW382" i="21399"/>
  <c r="AC382" i="21399"/>
  <c r="M382" i="21399"/>
  <c r="BC382" i="21399" s="1"/>
  <c r="AZ381" i="21399"/>
  <c r="BB381" i="21399" s="1"/>
  <c r="AY381" i="21399"/>
  <c r="BA381" i="21399" s="1"/>
  <c r="AX381" i="21399"/>
  <c r="AW381" i="21399"/>
  <c r="AC381" i="21399"/>
  <c r="M381" i="21399"/>
  <c r="BC381" i="21399" s="1"/>
  <c r="AZ380" i="21399"/>
  <c r="BB380" i="21399" s="1"/>
  <c r="AY380" i="21399"/>
  <c r="BA380" i="21399" s="1"/>
  <c r="AX380" i="21399"/>
  <c r="AW380" i="21399"/>
  <c r="AC380" i="21399"/>
  <c r="M380" i="21399"/>
  <c r="BC380" i="21399" s="1"/>
  <c r="AZ379" i="21399"/>
  <c r="BB379" i="21399" s="1"/>
  <c r="AY379" i="21399"/>
  <c r="BA379" i="21399" s="1"/>
  <c r="AX379" i="21399"/>
  <c r="AW379" i="21399"/>
  <c r="AC379" i="21399"/>
  <c r="M379" i="21399"/>
  <c r="BC379" i="21399" s="1"/>
  <c r="AZ378" i="21399"/>
  <c r="BB378" i="21399" s="1"/>
  <c r="AY378" i="21399"/>
  <c r="BA378" i="21399" s="1"/>
  <c r="AX378" i="21399"/>
  <c r="AW378" i="21399"/>
  <c r="AC378" i="21399"/>
  <c r="M378" i="21399"/>
  <c r="BC378" i="21399" s="1"/>
  <c r="AZ377" i="21399"/>
  <c r="BB377" i="21399" s="1"/>
  <c r="AY377" i="21399"/>
  <c r="BA377" i="21399" s="1"/>
  <c r="AX377" i="21399"/>
  <c r="AW377" i="21399"/>
  <c r="AC377" i="21399"/>
  <c r="M377" i="21399"/>
  <c r="BC377" i="21399" s="1"/>
  <c r="AZ376" i="21399"/>
  <c r="BB376" i="21399" s="1"/>
  <c r="AY376" i="21399"/>
  <c r="BA376" i="21399" s="1"/>
  <c r="AX376" i="21399"/>
  <c r="AW376" i="21399"/>
  <c r="AC376" i="21399"/>
  <c r="M376" i="21399"/>
  <c r="BC376" i="21399" s="1"/>
  <c r="AZ375" i="21399"/>
  <c r="BB375" i="21399" s="1"/>
  <c r="AY375" i="21399"/>
  <c r="BA375" i="21399" s="1"/>
  <c r="AX375" i="21399"/>
  <c r="AW375" i="21399"/>
  <c r="AC375" i="21399"/>
  <c r="M375" i="21399"/>
  <c r="BC375" i="21399" s="1"/>
  <c r="AZ374" i="21399"/>
  <c r="BB374" i="21399" s="1"/>
  <c r="AY374" i="21399"/>
  <c r="BA374" i="21399" s="1"/>
  <c r="AX374" i="21399"/>
  <c r="AW374" i="21399"/>
  <c r="AC374" i="21399"/>
  <c r="M374" i="21399"/>
  <c r="BC374" i="21399" s="1"/>
  <c r="AZ373" i="21399"/>
  <c r="BB373" i="21399" s="1"/>
  <c r="AY373" i="21399"/>
  <c r="BA373" i="21399" s="1"/>
  <c r="AX373" i="21399"/>
  <c r="AW373" i="21399"/>
  <c r="AC373" i="21399"/>
  <c r="M373" i="21399"/>
  <c r="BC373" i="21399" s="1"/>
  <c r="AZ372" i="21399"/>
  <c r="BB372" i="21399" s="1"/>
  <c r="AY372" i="21399"/>
  <c r="BA372" i="21399" s="1"/>
  <c r="AX372" i="21399"/>
  <c r="AW372" i="21399"/>
  <c r="AC372" i="21399"/>
  <c r="M372" i="21399"/>
  <c r="BC372" i="21399" s="1"/>
  <c r="AZ371" i="21399"/>
  <c r="BB371" i="21399" s="1"/>
  <c r="AY371" i="21399"/>
  <c r="BA371" i="21399" s="1"/>
  <c r="AX371" i="21399"/>
  <c r="AW371" i="21399"/>
  <c r="AC371" i="21399"/>
  <c r="M371" i="21399"/>
  <c r="BC371" i="21399" s="1"/>
  <c r="AZ370" i="21399"/>
  <c r="BB370" i="21399" s="1"/>
  <c r="AY370" i="21399"/>
  <c r="BA370" i="21399" s="1"/>
  <c r="AX370" i="21399"/>
  <c r="AW370" i="21399"/>
  <c r="AC370" i="21399"/>
  <c r="M370" i="21399"/>
  <c r="BC370" i="21399" s="1"/>
  <c r="AZ369" i="21399"/>
  <c r="BB369" i="21399" s="1"/>
  <c r="AY369" i="21399"/>
  <c r="BA369" i="21399" s="1"/>
  <c r="AX369" i="21399"/>
  <c r="AW369" i="21399"/>
  <c r="AC369" i="21399"/>
  <c r="M369" i="21399"/>
  <c r="BC369" i="21399" s="1"/>
  <c r="AZ368" i="21399"/>
  <c r="BB368" i="21399" s="1"/>
  <c r="AY368" i="21399"/>
  <c r="BA368" i="21399" s="1"/>
  <c r="AX368" i="21399"/>
  <c r="AW368" i="21399"/>
  <c r="AC368" i="21399"/>
  <c r="M368" i="21399"/>
  <c r="BC368" i="21399" s="1"/>
  <c r="AZ367" i="21399"/>
  <c r="BB367" i="21399" s="1"/>
  <c r="AY367" i="21399"/>
  <c r="BA367" i="21399" s="1"/>
  <c r="AX367" i="21399"/>
  <c r="AW367" i="21399"/>
  <c r="AC367" i="21399"/>
  <c r="M367" i="21399"/>
  <c r="BC367" i="21399" s="1"/>
  <c r="AZ366" i="21399"/>
  <c r="BB366" i="21399" s="1"/>
  <c r="AY366" i="21399"/>
  <c r="BA366" i="21399" s="1"/>
  <c r="AX366" i="21399"/>
  <c r="AW366" i="21399"/>
  <c r="AC366" i="21399"/>
  <c r="M366" i="21399"/>
  <c r="BC366" i="21399" s="1"/>
  <c r="AZ365" i="21399"/>
  <c r="BB365" i="21399" s="1"/>
  <c r="AY365" i="21399"/>
  <c r="BA365" i="21399" s="1"/>
  <c r="AX365" i="21399"/>
  <c r="AW365" i="21399"/>
  <c r="AC365" i="21399"/>
  <c r="M365" i="21399"/>
  <c r="BC365" i="21399" s="1"/>
  <c r="AZ364" i="21399"/>
  <c r="BB364" i="21399" s="1"/>
  <c r="AY364" i="21399"/>
  <c r="BA364" i="21399" s="1"/>
  <c r="AX364" i="21399"/>
  <c r="AW364" i="21399"/>
  <c r="AC364" i="21399"/>
  <c r="M364" i="21399"/>
  <c r="BC364" i="21399" s="1"/>
  <c r="AZ363" i="21399"/>
  <c r="BB363" i="21399" s="1"/>
  <c r="AY363" i="21399"/>
  <c r="BA363" i="21399" s="1"/>
  <c r="AX363" i="21399"/>
  <c r="AW363" i="21399"/>
  <c r="AC363" i="21399"/>
  <c r="M363" i="21399"/>
  <c r="BC363" i="21399" s="1"/>
  <c r="AZ362" i="21399"/>
  <c r="BB362" i="21399" s="1"/>
  <c r="AY362" i="21399"/>
  <c r="BA362" i="21399" s="1"/>
  <c r="AX362" i="21399"/>
  <c r="AW362" i="21399"/>
  <c r="AC362" i="21399"/>
  <c r="M362" i="21399"/>
  <c r="BC362" i="21399" s="1"/>
  <c r="AZ361" i="21399"/>
  <c r="BB361" i="21399" s="1"/>
  <c r="AY361" i="21399"/>
  <c r="BA361" i="21399" s="1"/>
  <c r="AX361" i="21399"/>
  <c r="AW361" i="21399"/>
  <c r="AC361" i="21399"/>
  <c r="M361" i="21399"/>
  <c r="BC361" i="21399" s="1"/>
  <c r="AZ360" i="21399"/>
  <c r="BB360" i="21399" s="1"/>
  <c r="AY360" i="21399"/>
  <c r="BA360" i="21399" s="1"/>
  <c r="AX360" i="21399"/>
  <c r="AW360" i="21399"/>
  <c r="AC360" i="21399"/>
  <c r="M360" i="21399"/>
  <c r="BC360" i="21399" s="1"/>
  <c r="AZ359" i="21399"/>
  <c r="BB359" i="21399" s="1"/>
  <c r="AY359" i="21399"/>
  <c r="BA359" i="21399" s="1"/>
  <c r="AX359" i="21399"/>
  <c r="AW359" i="21399"/>
  <c r="AC359" i="21399"/>
  <c r="M359" i="21399"/>
  <c r="BC359" i="21399" s="1"/>
  <c r="AZ358" i="21399"/>
  <c r="BB358" i="21399" s="1"/>
  <c r="AY358" i="21399"/>
  <c r="BA358" i="21399" s="1"/>
  <c r="AX358" i="21399"/>
  <c r="AW358" i="21399"/>
  <c r="AC358" i="21399"/>
  <c r="M358" i="21399"/>
  <c r="BC358" i="21399" s="1"/>
  <c r="AZ357" i="21399"/>
  <c r="BB357" i="21399" s="1"/>
  <c r="AY357" i="21399"/>
  <c r="BA357" i="21399" s="1"/>
  <c r="AX357" i="21399"/>
  <c r="AW357" i="21399"/>
  <c r="AC357" i="21399"/>
  <c r="M357" i="21399"/>
  <c r="BC357" i="21399" s="1"/>
  <c r="AZ356" i="21399"/>
  <c r="BB356" i="21399" s="1"/>
  <c r="AY356" i="21399"/>
  <c r="BA356" i="21399" s="1"/>
  <c r="AX356" i="21399"/>
  <c r="AW356" i="21399"/>
  <c r="AC356" i="21399"/>
  <c r="M356" i="21399"/>
  <c r="BC356" i="21399" s="1"/>
  <c r="AZ355" i="21399"/>
  <c r="BB355" i="21399" s="1"/>
  <c r="AY355" i="21399"/>
  <c r="BA355" i="21399" s="1"/>
  <c r="AX355" i="21399"/>
  <c r="AW355" i="21399"/>
  <c r="AC355" i="21399"/>
  <c r="M355" i="21399"/>
  <c r="BC355" i="21399" s="1"/>
  <c r="AZ354" i="21399"/>
  <c r="BB354" i="21399" s="1"/>
  <c r="AY354" i="21399"/>
  <c r="BA354" i="21399" s="1"/>
  <c r="AX354" i="21399"/>
  <c r="AW354" i="21399"/>
  <c r="AC354" i="21399"/>
  <c r="M354" i="21399"/>
  <c r="BC354" i="21399" s="1"/>
  <c r="AZ353" i="21399"/>
  <c r="BB353" i="21399" s="1"/>
  <c r="AY353" i="21399"/>
  <c r="BA353" i="21399" s="1"/>
  <c r="AX353" i="21399"/>
  <c r="AW353" i="21399"/>
  <c r="AC353" i="21399"/>
  <c r="M353" i="21399"/>
  <c r="BC353" i="21399" s="1"/>
  <c r="AZ352" i="21399"/>
  <c r="BB352" i="21399" s="1"/>
  <c r="AY352" i="21399"/>
  <c r="BA352" i="21399" s="1"/>
  <c r="AX352" i="21399"/>
  <c r="AW352" i="21399"/>
  <c r="AC352" i="21399"/>
  <c r="M352" i="21399"/>
  <c r="BC352" i="21399" s="1"/>
  <c r="AZ351" i="21399"/>
  <c r="BB351" i="21399" s="1"/>
  <c r="AY351" i="21399"/>
  <c r="BA351" i="21399" s="1"/>
  <c r="AX351" i="21399"/>
  <c r="AW351" i="21399"/>
  <c r="AC351" i="21399"/>
  <c r="M351" i="21399"/>
  <c r="BC351" i="21399" s="1"/>
  <c r="AZ350" i="21399"/>
  <c r="BB350" i="21399" s="1"/>
  <c r="AY350" i="21399"/>
  <c r="BA350" i="21399" s="1"/>
  <c r="AX350" i="21399"/>
  <c r="AW350" i="21399"/>
  <c r="AC350" i="21399"/>
  <c r="M350" i="21399"/>
  <c r="BC350" i="21399" s="1"/>
  <c r="AZ349" i="21399"/>
  <c r="BB349" i="21399" s="1"/>
  <c r="AY349" i="21399"/>
  <c r="BA349" i="21399" s="1"/>
  <c r="AX349" i="21399"/>
  <c r="AW349" i="21399"/>
  <c r="AC349" i="21399"/>
  <c r="M349" i="21399"/>
  <c r="BC349" i="21399" s="1"/>
  <c r="AZ348" i="21399"/>
  <c r="BB348" i="21399" s="1"/>
  <c r="AY348" i="21399"/>
  <c r="BA348" i="21399" s="1"/>
  <c r="AX348" i="21399"/>
  <c r="AW348" i="21399"/>
  <c r="AC348" i="21399"/>
  <c r="M348" i="21399"/>
  <c r="BC348" i="21399" s="1"/>
  <c r="AZ347" i="21399"/>
  <c r="BB347" i="21399" s="1"/>
  <c r="AY347" i="21399"/>
  <c r="BA347" i="21399" s="1"/>
  <c r="AX347" i="21399"/>
  <c r="AW347" i="21399"/>
  <c r="AC347" i="21399"/>
  <c r="M347" i="21399"/>
  <c r="BC347" i="21399" s="1"/>
  <c r="AZ346" i="21399"/>
  <c r="BB346" i="21399" s="1"/>
  <c r="AY346" i="21399"/>
  <c r="BA346" i="21399" s="1"/>
  <c r="AX346" i="21399"/>
  <c r="AW346" i="21399"/>
  <c r="AC346" i="21399"/>
  <c r="M346" i="21399"/>
  <c r="BC346" i="21399" s="1"/>
  <c r="AZ345" i="21399"/>
  <c r="BB345" i="21399" s="1"/>
  <c r="AY345" i="21399"/>
  <c r="BA345" i="21399" s="1"/>
  <c r="AX345" i="21399"/>
  <c r="AW345" i="21399"/>
  <c r="AC345" i="21399"/>
  <c r="M345" i="21399"/>
  <c r="BC345" i="21399" s="1"/>
  <c r="AZ344" i="21399"/>
  <c r="BB344" i="21399" s="1"/>
  <c r="AY344" i="21399"/>
  <c r="BA344" i="21399" s="1"/>
  <c r="AX344" i="21399"/>
  <c r="AW344" i="21399"/>
  <c r="AC344" i="21399"/>
  <c r="M344" i="21399"/>
  <c r="BC344" i="21399" s="1"/>
  <c r="AZ343" i="21399"/>
  <c r="BB343" i="21399" s="1"/>
  <c r="AY343" i="21399"/>
  <c r="BA343" i="21399" s="1"/>
  <c r="AX343" i="21399"/>
  <c r="AW343" i="21399"/>
  <c r="AC343" i="21399"/>
  <c r="M343" i="21399"/>
  <c r="BC343" i="21399" s="1"/>
  <c r="AZ342" i="21399"/>
  <c r="BB342" i="21399" s="1"/>
  <c r="AY342" i="21399"/>
  <c r="BA342" i="21399" s="1"/>
  <c r="AX342" i="21399"/>
  <c r="AW342" i="21399"/>
  <c r="AC342" i="21399"/>
  <c r="M342" i="21399"/>
  <c r="BC342" i="21399" s="1"/>
  <c r="AZ341" i="21399"/>
  <c r="BB341" i="21399" s="1"/>
  <c r="AY341" i="21399"/>
  <c r="BA341" i="21399" s="1"/>
  <c r="AX341" i="21399"/>
  <c r="AW341" i="21399"/>
  <c r="AC341" i="21399"/>
  <c r="M341" i="21399"/>
  <c r="BC341" i="21399" s="1"/>
  <c r="AZ340" i="21399"/>
  <c r="BB340" i="21399" s="1"/>
  <c r="AY340" i="21399"/>
  <c r="BA340" i="21399" s="1"/>
  <c r="AX340" i="21399"/>
  <c r="AW340" i="21399"/>
  <c r="AC340" i="21399"/>
  <c r="M340" i="21399"/>
  <c r="BC340" i="21399" s="1"/>
  <c r="AZ339" i="21399"/>
  <c r="BB339" i="21399" s="1"/>
  <c r="AY339" i="21399"/>
  <c r="BA339" i="21399" s="1"/>
  <c r="AX339" i="21399"/>
  <c r="AW339" i="21399"/>
  <c r="AC339" i="21399"/>
  <c r="M339" i="21399"/>
  <c r="BC339" i="21399" s="1"/>
  <c r="AZ338" i="21399"/>
  <c r="BB338" i="21399" s="1"/>
  <c r="AY338" i="21399"/>
  <c r="BA338" i="21399" s="1"/>
  <c r="AX338" i="21399"/>
  <c r="AW338" i="21399"/>
  <c r="AC338" i="21399"/>
  <c r="M338" i="21399"/>
  <c r="BC338" i="21399" s="1"/>
  <c r="AZ337" i="21399"/>
  <c r="BB337" i="21399" s="1"/>
  <c r="AY337" i="21399"/>
  <c r="BA337" i="21399" s="1"/>
  <c r="AX337" i="21399"/>
  <c r="AW337" i="21399"/>
  <c r="AC337" i="21399"/>
  <c r="M337" i="21399"/>
  <c r="BC337" i="21399" s="1"/>
  <c r="AZ336" i="21399"/>
  <c r="BB336" i="21399" s="1"/>
  <c r="AY336" i="21399"/>
  <c r="BA336" i="21399" s="1"/>
  <c r="AX336" i="21399"/>
  <c r="AW336" i="21399"/>
  <c r="AC336" i="21399"/>
  <c r="M336" i="21399"/>
  <c r="BC336" i="21399" s="1"/>
  <c r="AZ335" i="21399"/>
  <c r="BB335" i="21399" s="1"/>
  <c r="AY335" i="21399"/>
  <c r="BA335" i="21399" s="1"/>
  <c r="AX335" i="21399"/>
  <c r="AW335" i="21399"/>
  <c r="AC335" i="21399"/>
  <c r="M335" i="21399"/>
  <c r="BC335" i="21399" s="1"/>
  <c r="AZ334" i="21399"/>
  <c r="BB334" i="21399" s="1"/>
  <c r="AY334" i="21399"/>
  <c r="BA334" i="21399" s="1"/>
  <c r="AX334" i="21399"/>
  <c r="AW334" i="21399"/>
  <c r="AC334" i="21399"/>
  <c r="M334" i="21399"/>
  <c r="BC334" i="21399" s="1"/>
  <c r="AZ333" i="21399"/>
  <c r="BB333" i="21399" s="1"/>
  <c r="AY333" i="21399"/>
  <c r="BA333" i="21399" s="1"/>
  <c r="AX333" i="21399"/>
  <c r="AW333" i="21399"/>
  <c r="AC333" i="21399"/>
  <c r="M333" i="21399"/>
  <c r="BC333" i="21399" s="1"/>
  <c r="AZ332" i="21399"/>
  <c r="BB332" i="21399" s="1"/>
  <c r="AY332" i="21399"/>
  <c r="BA332" i="21399" s="1"/>
  <c r="AX332" i="21399"/>
  <c r="AW332" i="21399"/>
  <c r="AC332" i="21399"/>
  <c r="M332" i="21399"/>
  <c r="BC332" i="21399" s="1"/>
  <c r="AZ331" i="21399"/>
  <c r="BB331" i="21399" s="1"/>
  <c r="AY331" i="21399"/>
  <c r="BA331" i="21399" s="1"/>
  <c r="AX331" i="21399"/>
  <c r="AW331" i="21399"/>
  <c r="AC331" i="21399"/>
  <c r="M331" i="21399"/>
  <c r="BC331" i="21399" s="1"/>
  <c r="AZ330" i="21399"/>
  <c r="BB330" i="21399" s="1"/>
  <c r="AY330" i="21399"/>
  <c r="BA330" i="21399" s="1"/>
  <c r="AX330" i="21399"/>
  <c r="AW330" i="21399"/>
  <c r="AC330" i="21399"/>
  <c r="M330" i="21399"/>
  <c r="BC330" i="21399" s="1"/>
  <c r="AZ329" i="21399"/>
  <c r="BB329" i="21399" s="1"/>
  <c r="AY329" i="21399"/>
  <c r="BA329" i="21399" s="1"/>
  <c r="AX329" i="21399"/>
  <c r="AW329" i="21399"/>
  <c r="AC329" i="21399"/>
  <c r="M329" i="21399"/>
  <c r="BC329" i="21399" s="1"/>
  <c r="AZ328" i="21399"/>
  <c r="BB328" i="21399" s="1"/>
  <c r="AY328" i="21399"/>
  <c r="BA328" i="21399" s="1"/>
  <c r="AX328" i="21399"/>
  <c r="AW328" i="21399"/>
  <c r="AC328" i="21399"/>
  <c r="M328" i="21399"/>
  <c r="BC328" i="21399" s="1"/>
  <c r="AZ327" i="21399"/>
  <c r="BB327" i="21399" s="1"/>
  <c r="AY327" i="21399"/>
  <c r="BA327" i="21399" s="1"/>
  <c r="AX327" i="21399"/>
  <c r="AW327" i="21399"/>
  <c r="AC327" i="21399"/>
  <c r="M327" i="21399"/>
  <c r="BC327" i="21399" s="1"/>
  <c r="AZ326" i="21399"/>
  <c r="BB326" i="21399" s="1"/>
  <c r="AY326" i="21399"/>
  <c r="BA326" i="21399" s="1"/>
  <c r="AX326" i="21399"/>
  <c r="AW326" i="21399"/>
  <c r="AC326" i="21399"/>
  <c r="M326" i="21399"/>
  <c r="BC326" i="21399" s="1"/>
  <c r="AZ325" i="21399"/>
  <c r="BB325" i="21399" s="1"/>
  <c r="AY325" i="21399"/>
  <c r="BA325" i="21399" s="1"/>
  <c r="AX325" i="21399"/>
  <c r="AW325" i="21399"/>
  <c r="AC325" i="21399"/>
  <c r="M325" i="21399"/>
  <c r="BC325" i="21399" s="1"/>
  <c r="AZ324" i="21399"/>
  <c r="BB324" i="21399" s="1"/>
  <c r="AY324" i="21399"/>
  <c r="BA324" i="21399" s="1"/>
  <c r="AX324" i="21399"/>
  <c r="AW324" i="21399"/>
  <c r="AC324" i="21399"/>
  <c r="M324" i="21399"/>
  <c r="BC324" i="21399" s="1"/>
  <c r="AZ323" i="21399"/>
  <c r="BB323" i="21399" s="1"/>
  <c r="AY323" i="21399"/>
  <c r="BA323" i="21399" s="1"/>
  <c r="AX323" i="21399"/>
  <c r="AW323" i="21399"/>
  <c r="AC323" i="21399"/>
  <c r="M323" i="21399"/>
  <c r="BC323" i="21399" s="1"/>
  <c r="AZ322" i="21399"/>
  <c r="BB322" i="21399" s="1"/>
  <c r="AY322" i="21399"/>
  <c r="BA322" i="21399" s="1"/>
  <c r="AX322" i="21399"/>
  <c r="AW322" i="21399"/>
  <c r="AC322" i="21399"/>
  <c r="M322" i="21399"/>
  <c r="BC322" i="21399" s="1"/>
  <c r="AZ321" i="21399"/>
  <c r="BB321" i="21399" s="1"/>
  <c r="AY321" i="21399"/>
  <c r="BA321" i="21399" s="1"/>
  <c r="AX321" i="21399"/>
  <c r="AW321" i="21399"/>
  <c r="AC321" i="21399"/>
  <c r="M321" i="21399"/>
  <c r="BC321" i="21399" s="1"/>
  <c r="AZ320" i="21399"/>
  <c r="BB320" i="21399" s="1"/>
  <c r="AY320" i="21399"/>
  <c r="BA320" i="21399" s="1"/>
  <c r="AX320" i="21399"/>
  <c r="AW320" i="21399"/>
  <c r="AC320" i="21399"/>
  <c r="M320" i="21399"/>
  <c r="BC320" i="21399" s="1"/>
  <c r="AZ319" i="21399"/>
  <c r="BB319" i="21399" s="1"/>
  <c r="AY319" i="21399"/>
  <c r="BA319" i="21399" s="1"/>
  <c r="AX319" i="21399"/>
  <c r="AW319" i="21399"/>
  <c r="AC319" i="21399"/>
  <c r="M319" i="21399"/>
  <c r="BC319" i="21399" s="1"/>
  <c r="AZ318" i="21399"/>
  <c r="BB318" i="21399" s="1"/>
  <c r="AY318" i="21399"/>
  <c r="BA318" i="21399" s="1"/>
  <c r="AX318" i="21399"/>
  <c r="AW318" i="21399"/>
  <c r="AC318" i="21399"/>
  <c r="M318" i="21399"/>
  <c r="BC318" i="21399" s="1"/>
  <c r="AZ317" i="21399"/>
  <c r="BB317" i="21399" s="1"/>
  <c r="AY317" i="21399"/>
  <c r="BA317" i="21399" s="1"/>
  <c r="AX317" i="21399"/>
  <c r="AW317" i="21399"/>
  <c r="AC317" i="21399"/>
  <c r="M317" i="21399"/>
  <c r="BC317" i="21399" s="1"/>
  <c r="AZ316" i="21399"/>
  <c r="BB316" i="21399" s="1"/>
  <c r="AY316" i="21399"/>
  <c r="BA316" i="21399" s="1"/>
  <c r="AX316" i="21399"/>
  <c r="AW316" i="21399"/>
  <c r="AC316" i="21399"/>
  <c r="M316" i="21399"/>
  <c r="BC316" i="21399" s="1"/>
  <c r="AZ315" i="21399"/>
  <c r="BB315" i="21399" s="1"/>
  <c r="AY315" i="21399"/>
  <c r="BA315" i="21399" s="1"/>
  <c r="AX315" i="21399"/>
  <c r="AW315" i="21399"/>
  <c r="AC315" i="21399"/>
  <c r="M315" i="21399"/>
  <c r="BC315" i="21399" s="1"/>
  <c r="AZ314" i="21399"/>
  <c r="BB314" i="21399" s="1"/>
  <c r="AY314" i="21399"/>
  <c r="BA314" i="21399" s="1"/>
  <c r="AX314" i="21399"/>
  <c r="AW314" i="21399"/>
  <c r="AC314" i="21399"/>
  <c r="M314" i="21399"/>
  <c r="BC314" i="21399" s="1"/>
  <c r="AZ313" i="21399"/>
  <c r="BB313" i="21399" s="1"/>
  <c r="AY313" i="21399"/>
  <c r="BA313" i="21399" s="1"/>
  <c r="AX313" i="21399"/>
  <c r="AW313" i="21399"/>
  <c r="AC313" i="21399"/>
  <c r="M313" i="21399"/>
  <c r="BC313" i="21399" s="1"/>
  <c r="AZ312" i="21399"/>
  <c r="BB312" i="21399" s="1"/>
  <c r="AY312" i="21399"/>
  <c r="BA312" i="21399" s="1"/>
  <c r="AX312" i="21399"/>
  <c r="AW312" i="21399"/>
  <c r="AC312" i="21399"/>
  <c r="M312" i="21399"/>
  <c r="BC312" i="21399" s="1"/>
  <c r="AZ311" i="21399"/>
  <c r="BB311" i="21399" s="1"/>
  <c r="AY311" i="21399"/>
  <c r="BA311" i="21399" s="1"/>
  <c r="AX311" i="21399"/>
  <c r="AW311" i="21399"/>
  <c r="AC311" i="21399"/>
  <c r="M311" i="21399"/>
  <c r="BC311" i="21399" s="1"/>
  <c r="AZ310" i="21399"/>
  <c r="BB310" i="21399" s="1"/>
  <c r="AY310" i="21399"/>
  <c r="BA310" i="21399" s="1"/>
  <c r="AX310" i="21399"/>
  <c r="AW310" i="21399"/>
  <c r="AC310" i="21399"/>
  <c r="M310" i="21399"/>
  <c r="BC310" i="21399" s="1"/>
  <c r="AZ309" i="21399"/>
  <c r="BB309" i="21399" s="1"/>
  <c r="AY309" i="21399"/>
  <c r="BA309" i="21399" s="1"/>
  <c r="AX309" i="21399"/>
  <c r="AW309" i="21399"/>
  <c r="AC309" i="21399"/>
  <c r="M309" i="21399"/>
  <c r="BC309" i="21399" s="1"/>
  <c r="AZ308" i="21399"/>
  <c r="BB308" i="21399" s="1"/>
  <c r="AY308" i="21399"/>
  <c r="BA308" i="21399" s="1"/>
  <c r="AX308" i="21399"/>
  <c r="AW308" i="21399"/>
  <c r="AC308" i="21399"/>
  <c r="M308" i="21399"/>
  <c r="BC308" i="21399" s="1"/>
  <c r="AZ307" i="21399"/>
  <c r="BB307" i="21399" s="1"/>
  <c r="AY307" i="21399"/>
  <c r="BA307" i="21399" s="1"/>
  <c r="AX307" i="21399"/>
  <c r="AW307" i="21399"/>
  <c r="AC307" i="21399"/>
  <c r="M307" i="21399"/>
  <c r="BC307" i="21399" s="1"/>
  <c r="AZ306" i="21399"/>
  <c r="BB306" i="21399" s="1"/>
  <c r="AY306" i="21399"/>
  <c r="BA306" i="21399" s="1"/>
  <c r="AX306" i="21399"/>
  <c r="AW306" i="21399"/>
  <c r="AC306" i="21399"/>
  <c r="M306" i="21399"/>
  <c r="BC306" i="21399" s="1"/>
  <c r="AZ305" i="21399"/>
  <c r="BB305" i="21399" s="1"/>
  <c r="AY305" i="21399"/>
  <c r="BA305" i="21399" s="1"/>
  <c r="AX305" i="21399"/>
  <c r="AW305" i="21399"/>
  <c r="AC305" i="21399"/>
  <c r="M305" i="21399"/>
  <c r="BC305" i="21399" s="1"/>
  <c r="AZ304" i="21399"/>
  <c r="BB304" i="21399" s="1"/>
  <c r="AY304" i="21399"/>
  <c r="BA304" i="21399" s="1"/>
  <c r="AX304" i="21399"/>
  <c r="AW304" i="21399"/>
  <c r="AC304" i="21399"/>
  <c r="M304" i="21399"/>
  <c r="BC304" i="21399" s="1"/>
  <c r="AZ303" i="21399"/>
  <c r="BB303" i="21399" s="1"/>
  <c r="AY303" i="21399"/>
  <c r="BA303" i="21399" s="1"/>
  <c r="AX303" i="21399"/>
  <c r="AW303" i="21399"/>
  <c r="AC303" i="21399"/>
  <c r="M303" i="21399"/>
  <c r="BC303" i="21399" s="1"/>
  <c r="AZ302" i="21399"/>
  <c r="BB302" i="21399" s="1"/>
  <c r="AY302" i="21399"/>
  <c r="BA302" i="21399" s="1"/>
  <c r="AX302" i="21399"/>
  <c r="AW302" i="21399"/>
  <c r="AC302" i="21399"/>
  <c r="M302" i="21399"/>
  <c r="BC302" i="21399" s="1"/>
  <c r="AZ301" i="21399"/>
  <c r="BB301" i="21399" s="1"/>
  <c r="AY301" i="21399"/>
  <c r="BA301" i="21399" s="1"/>
  <c r="AX301" i="21399"/>
  <c r="AW301" i="21399"/>
  <c r="AC301" i="21399"/>
  <c r="M301" i="21399"/>
  <c r="BC301" i="21399" s="1"/>
  <c r="AZ300" i="21399"/>
  <c r="BB300" i="21399" s="1"/>
  <c r="AY300" i="21399"/>
  <c r="BA300" i="21399" s="1"/>
  <c r="AX300" i="21399"/>
  <c r="AW300" i="21399"/>
  <c r="AC300" i="21399"/>
  <c r="M300" i="21399"/>
  <c r="BC300" i="21399" s="1"/>
  <c r="AZ299" i="21399"/>
  <c r="BB299" i="21399" s="1"/>
  <c r="AY299" i="21399"/>
  <c r="BA299" i="21399" s="1"/>
  <c r="AX299" i="21399"/>
  <c r="AW299" i="21399"/>
  <c r="AC299" i="21399"/>
  <c r="M299" i="21399"/>
  <c r="BC299" i="21399" s="1"/>
  <c r="AZ298" i="21399"/>
  <c r="BB298" i="21399" s="1"/>
  <c r="AY298" i="21399"/>
  <c r="BA298" i="21399" s="1"/>
  <c r="AX298" i="21399"/>
  <c r="AW298" i="21399"/>
  <c r="AC298" i="21399"/>
  <c r="M298" i="21399"/>
  <c r="BC298" i="21399" s="1"/>
  <c r="AZ297" i="21399"/>
  <c r="BB297" i="21399" s="1"/>
  <c r="AY297" i="21399"/>
  <c r="BA297" i="21399" s="1"/>
  <c r="AX297" i="21399"/>
  <c r="AW297" i="21399"/>
  <c r="AC297" i="21399"/>
  <c r="M297" i="21399"/>
  <c r="BC297" i="21399" s="1"/>
  <c r="AZ296" i="21399"/>
  <c r="BB296" i="21399" s="1"/>
  <c r="AY296" i="21399"/>
  <c r="BA296" i="21399" s="1"/>
  <c r="AX296" i="21399"/>
  <c r="AW296" i="21399"/>
  <c r="AC296" i="21399"/>
  <c r="M296" i="21399"/>
  <c r="BC296" i="21399" s="1"/>
  <c r="AZ295" i="21399"/>
  <c r="BB295" i="21399" s="1"/>
  <c r="AY295" i="21399"/>
  <c r="BA295" i="21399" s="1"/>
  <c r="AX295" i="21399"/>
  <c r="AW295" i="21399"/>
  <c r="AC295" i="21399"/>
  <c r="M295" i="21399"/>
  <c r="BC295" i="21399" s="1"/>
  <c r="AZ294" i="21399"/>
  <c r="BB294" i="21399" s="1"/>
  <c r="AY294" i="21399"/>
  <c r="BA294" i="21399" s="1"/>
  <c r="AX294" i="21399"/>
  <c r="AW294" i="21399"/>
  <c r="AC294" i="21399"/>
  <c r="M294" i="21399"/>
  <c r="BC294" i="21399" s="1"/>
  <c r="AZ293" i="21399"/>
  <c r="BB293" i="21399" s="1"/>
  <c r="AY293" i="21399"/>
  <c r="BA293" i="21399" s="1"/>
  <c r="AX293" i="21399"/>
  <c r="AW293" i="21399"/>
  <c r="AC293" i="21399"/>
  <c r="M293" i="21399"/>
  <c r="BC293" i="21399" s="1"/>
  <c r="AZ292" i="21399"/>
  <c r="BB292" i="21399" s="1"/>
  <c r="AY292" i="21399"/>
  <c r="BA292" i="21399" s="1"/>
  <c r="AX292" i="21399"/>
  <c r="AW292" i="21399"/>
  <c r="AC292" i="21399"/>
  <c r="M292" i="21399"/>
  <c r="BC292" i="21399" s="1"/>
  <c r="AZ291" i="21399"/>
  <c r="BB291" i="21399" s="1"/>
  <c r="AY291" i="21399"/>
  <c r="BA291" i="21399" s="1"/>
  <c r="AX291" i="21399"/>
  <c r="AW291" i="21399"/>
  <c r="AC291" i="21399"/>
  <c r="M291" i="21399"/>
  <c r="BC291" i="21399" s="1"/>
  <c r="AZ290" i="21399"/>
  <c r="BB290" i="21399" s="1"/>
  <c r="AY290" i="21399"/>
  <c r="BA290" i="21399" s="1"/>
  <c r="AX290" i="21399"/>
  <c r="AW290" i="21399"/>
  <c r="AC290" i="21399"/>
  <c r="M290" i="21399"/>
  <c r="BC290" i="21399" s="1"/>
  <c r="AZ289" i="21399"/>
  <c r="BB289" i="21399" s="1"/>
  <c r="AY289" i="21399"/>
  <c r="BA289" i="21399" s="1"/>
  <c r="AX289" i="21399"/>
  <c r="AW289" i="21399"/>
  <c r="AC289" i="21399"/>
  <c r="M289" i="21399"/>
  <c r="BC289" i="21399" s="1"/>
  <c r="AZ288" i="21399"/>
  <c r="BB288" i="21399" s="1"/>
  <c r="AY288" i="21399"/>
  <c r="BA288" i="21399" s="1"/>
  <c r="AX288" i="21399"/>
  <c r="AW288" i="21399"/>
  <c r="AC288" i="21399"/>
  <c r="M288" i="21399"/>
  <c r="BC288" i="21399" s="1"/>
  <c r="AZ287" i="21399"/>
  <c r="BB287" i="21399" s="1"/>
  <c r="AY287" i="21399"/>
  <c r="BA287" i="21399" s="1"/>
  <c r="AX287" i="21399"/>
  <c r="AW287" i="21399"/>
  <c r="AC287" i="21399"/>
  <c r="M287" i="21399"/>
  <c r="BC287" i="21399" s="1"/>
  <c r="AZ286" i="21399"/>
  <c r="BB286" i="21399" s="1"/>
  <c r="AY286" i="21399"/>
  <c r="BA286" i="21399" s="1"/>
  <c r="AX286" i="21399"/>
  <c r="AW286" i="21399"/>
  <c r="AC286" i="21399"/>
  <c r="M286" i="21399"/>
  <c r="BC286" i="21399" s="1"/>
  <c r="AZ285" i="21399"/>
  <c r="BB285" i="21399" s="1"/>
  <c r="AY285" i="21399"/>
  <c r="BA285" i="21399" s="1"/>
  <c r="AX285" i="21399"/>
  <c r="AW285" i="21399"/>
  <c r="AC285" i="21399"/>
  <c r="M285" i="21399"/>
  <c r="BC285" i="21399" s="1"/>
  <c r="AZ284" i="21399"/>
  <c r="BB284" i="21399" s="1"/>
  <c r="AY284" i="21399"/>
  <c r="BA284" i="21399" s="1"/>
  <c r="AX284" i="21399"/>
  <c r="AW284" i="21399"/>
  <c r="AC284" i="21399"/>
  <c r="M284" i="21399"/>
  <c r="BC284" i="21399" s="1"/>
  <c r="AZ283" i="21399"/>
  <c r="BB283" i="21399" s="1"/>
  <c r="AY283" i="21399"/>
  <c r="BA283" i="21399" s="1"/>
  <c r="AX283" i="21399"/>
  <c r="AW283" i="21399"/>
  <c r="AC283" i="21399"/>
  <c r="M283" i="21399"/>
  <c r="BC283" i="21399" s="1"/>
  <c r="AZ282" i="21399"/>
  <c r="BB282" i="21399" s="1"/>
  <c r="AY282" i="21399"/>
  <c r="BA282" i="21399" s="1"/>
  <c r="AX282" i="21399"/>
  <c r="AW282" i="21399"/>
  <c r="AC282" i="21399"/>
  <c r="M282" i="21399"/>
  <c r="BC282" i="21399" s="1"/>
  <c r="AZ281" i="21399"/>
  <c r="BB281" i="21399" s="1"/>
  <c r="AY281" i="21399"/>
  <c r="BA281" i="21399" s="1"/>
  <c r="AX281" i="21399"/>
  <c r="AW281" i="21399"/>
  <c r="AC281" i="21399"/>
  <c r="M281" i="21399"/>
  <c r="BC281" i="21399" s="1"/>
  <c r="AZ280" i="21399"/>
  <c r="BB280" i="21399" s="1"/>
  <c r="AY280" i="21399"/>
  <c r="BA280" i="21399" s="1"/>
  <c r="AX280" i="21399"/>
  <c r="AW280" i="21399"/>
  <c r="AC280" i="21399"/>
  <c r="M280" i="21399"/>
  <c r="BC280" i="21399" s="1"/>
  <c r="AZ279" i="21399"/>
  <c r="BB279" i="21399" s="1"/>
  <c r="AY279" i="21399"/>
  <c r="BA279" i="21399" s="1"/>
  <c r="AX279" i="21399"/>
  <c r="AW279" i="21399"/>
  <c r="AC279" i="21399"/>
  <c r="M279" i="21399"/>
  <c r="BC279" i="21399" s="1"/>
  <c r="AZ278" i="21399"/>
  <c r="BB278" i="21399" s="1"/>
  <c r="AY278" i="21399"/>
  <c r="BA278" i="21399" s="1"/>
  <c r="AX278" i="21399"/>
  <c r="AW278" i="21399"/>
  <c r="AC278" i="21399"/>
  <c r="M278" i="21399"/>
  <c r="BC278" i="21399" s="1"/>
  <c r="AZ277" i="21399"/>
  <c r="BB277" i="21399" s="1"/>
  <c r="AY277" i="21399"/>
  <c r="BA277" i="21399" s="1"/>
  <c r="AX277" i="21399"/>
  <c r="AW277" i="21399"/>
  <c r="AC277" i="21399"/>
  <c r="M277" i="21399"/>
  <c r="BC277" i="21399" s="1"/>
  <c r="AZ276" i="21399"/>
  <c r="BB276" i="21399" s="1"/>
  <c r="AY276" i="21399"/>
  <c r="BA276" i="21399" s="1"/>
  <c r="AX276" i="21399"/>
  <c r="AW276" i="21399"/>
  <c r="AC276" i="21399"/>
  <c r="M276" i="21399"/>
  <c r="BC276" i="21399" s="1"/>
  <c r="AZ275" i="21399"/>
  <c r="BB275" i="21399" s="1"/>
  <c r="AY275" i="21399"/>
  <c r="BA275" i="21399" s="1"/>
  <c r="AX275" i="21399"/>
  <c r="AW275" i="21399"/>
  <c r="AC275" i="21399"/>
  <c r="M275" i="21399"/>
  <c r="BC275" i="21399" s="1"/>
  <c r="AZ274" i="21399"/>
  <c r="BB274" i="21399" s="1"/>
  <c r="AY274" i="21399"/>
  <c r="BA274" i="21399" s="1"/>
  <c r="AX274" i="21399"/>
  <c r="AW274" i="21399"/>
  <c r="AC274" i="21399"/>
  <c r="M274" i="21399"/>
  <c r="BC274" i="21399" s="1"/>
  <c r="AZ273" i="21399"/>
  <c r="BB273" i="21399" s="1"/>
  <c r="AY273" i="21399"/>
  <c r="BA273" i="21399" s="1"/>
  <c r="AX273" i="21399"/>
  <c r="AW273" i="21399"/>
  <c r="AC273" i="21399"/>
  <c r="M273" i="21399"/>
  <c r="BC273" i="21399" s="1"/>
  <c r="AZ272" i="21399"/>
  <c r="BB272" i="21399" s="1"/>
  <c r="AY272" i="21399"/>
  <c r="BA272" i="21399" s="1"/>
  <c r="AX272" i="21399"/>
  <c r="AW272" i="21399"/>
  <c r="AC272" i="21399"/>
  <c r="M272" i="21399"/>
  <c r="BC272" i="21399" s="1"/>
  <c r="AZ271" i="21399"/>
  <c r="BB271" i="21399" s="1"/>
  <c r="AY271" i="21399"/>
  <c r="BA271" i="21399" s="1"/>
  <c r="AX271" i="21399"/>
  <c r="AW271" i="21399"/>
  <c r="AC271" i="21399"/>
  <c r="M271" i="21399"/>
  <c r="BC271" i="21399" s="1"/>
  <c r="AZ270" i="21399"/>
  <c r="BB270" i="21399" s="1"/>
  <c r="AY270" i="21399"/>
  <c r="BA270" i="21399" s="1"/>
  <c r="AX270" i="21399"/>
  <c r="AW270" i="21399"/>
  <c r="AC270" i="21399"/>
  <c r="M270" i="21399"/>
  <c r="BC270" i="21399" s="1"/>
  <c r="AZ269" i="21399"/>
  <c r="BB269" i="21399" s="1"/>
  <c r="AY269" i="21399"/>
  <c r="BA269" i="21399" s="1"/>
  <c r="AX269" i="21399"/>
  <c r="AW269" i="21399"/>
  <c r="AC269" i="21399"/>
  <c r="M269" i="21399"/>
  <c r="BC269" i="21399" s="1"/>
  <c r="AZ268" i="21399"/>
  <c r="BB268" i="21399" s="1"/>
  <c r="AY268" i="21399"/>
  <c r="BA268" i="21399" s="1"/>
  <c r="AX268" i="21399"/>
  <c r="AW268" i="21399"/>
  <c r="AC268" i="21399"/>
  <c r="M268" i="21399"/>
  <c r="BC268" i="21399" s="1"/>
  <c r="AZ267" i="21399"/>
  <c r="BB267" i="21399" s="1"/>
  <c r="AY267" i="21399"/>
  <c r="BA267" i="21399" s="1"/>
  <c r="AX267" i="21399"/>
  <c r="AW267" i="21399"/>
  <c r="AC267" i="21399"/>
  <c r="M267" i="21399"/>
  <c r="BC267" i="21399" s="1"/>
  <c r="AZ266" i="21399"/>
  <c r="BB266" i="21399" s="1"/>
  <c r="AY266" i="21399"/>
  <c r="BA266" i="21399" s="1"/>
  <c r="AX266" i="21399"/>
  <c r="AW266" i="21399"/>
  <c r="AC266" i="21399"/>
  <c r="M266" i="21399"/>
  <c r="BC266" i="21399" s="1"/>
  <c r="AZ265" i="21399"/>
  <c r="BB265" i="21399" s="1"/>
  <c r="AY265" i="21399"/>
  <c r="BA265" i="21399" s="1"/>
  <c r="AX265" i="21399"/>
  <c r="AW265" i="21399"/>
  <c r="AC265" i="21399"/>
  <c r="M265" i="21399"/>
  <c r="BC265" i="21399" s="1"/>
  <c r="AZ264" i="21399"/>
  <c r="BB264" i="21399" s="1"/>
  <c r="AY264" i="21399"/>
  <c r="BA264" i="21399" s="1"/>
  <c r="AX264" i="21399"/>
  <c r="AW264" i="21399"/>
  <c r="AC264" i="21399"/>
  <c r="M264" i="21399"/>
  <c r="BC264" i="21399" s="1"/>
  <c r="AZ263" i="21399"/>
  <c r="BB263" i="21399" s="1"/>
  <c r="AY263" i="21399"/>
  <c r="BA263" i="21399" s="1"/>
  <c r="AX263" i="21399"/>
  <c r="AW263" i="21399"/>
  <c r="AC263" i="21399"/>
  <c r="M263" i="21399"/>
  <c r="BC263" i="21399" s="1"/>
  <c r="AZ262" i="21399"/>
  <c r="BB262" i="21399" s="1"/>
  <c r="AY262" i="21399"/>
  <c r="BA262" i="21399" s="1"/>
  <c r="AX262" i="21399"/>
  <c r="AW262" i="21399"/>
  <c r="AC262" i="21399"/>
  <c r="M262" i="21399"/>
  <c r="BC262" i="21399" s="1"/>
  <c r="AZ261" i="21399"/>
  <c r="BB261" i="21399" s="1"/>
  <c r="AY261" i="21399"/>
  <c r="BA261" i="21399" s="1"/>
  <c r="AX261" i="21399"/>
  <c r="AW261" i="21399"/>
  <c r="AC261" i="21399"/>
  <c r="M261" i="21399"/>
  <c r="BC261" i="21399" s="1"/>
  <c r="AZ260" i="21399"/>
  <c r="BB260" i="21399" s="1"/>
  <c r="AY260" i="21399"/>
  <c r="BA260" i="21399" s="1"/>
  <c r="AX260" i="21399"/>
  <c r="AW260" i="21399"/>
  <c r="AC260" i="21399"/>
  <c r="M260" i="21399"/>
  <c r="BC260" i="21399" s="1"/>
  <c r="AZ259" i="21399"/>
  <c r="BB259" i="21399" s="1"/>
  <c r="AY259" i="21399"/>
  <c r="BA259" i="21399" s="1"/>
  <c r="AX259" i="21399"/>
  <c r="AW259" i="21399"/>
  <c r="AC259" i="21399"/>
  <c r="M259" i="21399"/>
  <c r="BC259" i="21399" s="1"/>
  <c r="AZ258" i="21399"/>
  <c r="BB258" i="21399" s="1"/>
  <c r="AY258" i="21399"/>
  <c r="BA258" i="21399" s="1"/>
  <c r="AX258" i="21399"/>
  <c r="AW258" i="21399"/>
  <c r="AC258" i="21399"/>
  <c r="M258" i="21399"/>
  <c r="BC258" i="21399" s="1"/>
  <c r="AZ257" i="21399"/>
  <c r="BB257" i="21399" s="1"/>
  <c r="AY257" i="21399"/>
  <c r="BA257" i="21399" s="1"/>
  <c r="AX257" i="21399"/>
  <c r="AW257" i="21399"/>
  <c r="AC257" i="21399"/>
  <c r="M257" i="21399"/>
  <c r="BC257" i="21399" s="1"/>
  <c r="AZ256" i="21399"/>
  <c r="BB256" i="21399" s="1"/>
  <c r="AY256" i="21399"/>
  <c r="BA256" i="21399" s="1"/>
  <c r="AX256" i="21399"/>
  <c r="AW256" i="21399"/>
  <c r="AC256" i="21399"/>
  <c r="M256" i="21399"/>
  <c r="BC256" i="21399" s="1"/>
  <c r="AZ255" i="21399"/>
  <c r="BB255" i="21399" s="1"/>
  <c r="AY255" i="21399"/>
  <c r="BA255" i="21399" s="1"/>
  <c r="AX255" i="21399"/>
  <c r="AW255" i="21399"/>
  <c r="AC255" i="21399"/>
  <c r="M255" i="21399"/>
  <c r="BC255" i="21399" s="1"/>
  <c r="AZ254" i="21399"/>
  <c r="BB254" i="21399" s="1"/>
  <c r="AY254" i="21399"/>
  <c r="BA254" i="21399" s="1"/>
  <c r="AX254" i="21399"/>
  <c r="AW254" i="21399"/>
  <c r="AC254" i="21399"/>
  <c r="M254" i="21399"/>
  <c r="BC254" i="21399" s="1"/>
  <c r="AZ253" i="21399"/>
  <c r="BB253" i="21399" s="1"/>
  <c r="AY253" i="21399"/>
  <c r="BA253" i="21399" s="1"/>
  <c r="AX253" i="21399"/>
  <c r="AW253" i="21399"/>
  <c r="AC253" i="21399"/>
  <c r="M253" i="21399"/>
  <c r="BC253" i="21399" s="1"/>
  <c r="AZ252" i="21399"/>
  <c r="BB252" i="21399" s="1"/>
  <c r="AY252" i="21399"/>
  <c r="BA252" i="21399" s="1"/>
  <c r="AX252" i="21399"/>
  <c r="AW252" i="21399"/>
  <c r="AC252" i="21399"/>
  <c r="M252" i="21399"/>
  <c r="BC252" i="21399" s="1"/>
  <c r="AZ251" i="21399"/>
  <c r="BB251" i="21399" s="1"/>
  <c r="AY251" i="21399"/>
  <c r="BA251" i="21399" s="1"/>
  <c r="AX251" i="21399"/>
  <c r="AW251" i="21399"/>
  <c r="AC251" i="21399"/>
  <c r="M251" i="21399"/>
  <c r="BC251" i="21399" s="1"/>
  <c r="AZ250" i="21399"/>
  <c r="BB250" i="21399" s="1"/>
  <c r="AY250" i="21399"/>
  <c r="BA250" i="21399" s="1"/>
  <c r="AX250" i="21399"/>
  <c r="AW250" i="21399"/>
  <c r="AC250" i="21399"/>
  <c r="M250" i="21399"/>
  <c r="BC250" i="21399" s="1"/>
  <c r="AZ249" i="21399"/>
  <c r="BB249" i="21399" s="1"/>
  <c r="AY249" i="21399"/>
  <c r="BA249" i="21399" s="1"/>
  <c r="AX249" i="21399"/>
  <c r="AW249" i="21399"/>
  <c r="AC249" i="21399"/>
  <c r="M249" i="21399"/>
  <c r="BC249" i="21399" s="1"/>
  <c r="AZ248" i="21399"/>
  <c r="BB248" i="21399" s="1"/>
  <c r="AY248" i="21399"/>
  <c r="BA248" i="21399" s="1"/>
  <c r="AX248" i="21399"/>
  <c r="AW248" i="21399"/>
  <c r="AC248" i="21399"/>
  <c r="M248" i="21399"/>
  <c r="BC248" i="21399" s="1"/>
  <c r="AZ247" i="21399"/>
  <c r="BB247" i="21399" s="1"/>
  <c r="AY247" i="21399"/>
  <c r="BA247" i="21399" s="1"/>
  <c r="AX247" i="21399"/>
  <c r="AW247" i="21399"/>
  <c r="AC247" i="21399"/>
  <c r="M247" i="21399"/>
  <c r="BC247" i="21399" s="1"/>
  <c r="AZ246" i="21399"/>
  <c r="BB246" i="21399" s="1"/>
  <c r="AY246" i="21399"/>
  <c r="BA246" i="21399" s="1"/>
  <c r="AX246" i="21399"/>
  <c r="AW246" i="21399"/>
  <c r="AC246" i="21399"/>
  <c r="M246" i="21399"/>
  <c r="BC246" i="21399" s="1"/>
  <c r="AZ245" i="21399"/>
  <c r="BB245" i="21399" s="1"/>
  <c r="AY245" i="21399"/>
  <c r="BA245" i="21399" s="1"/>
  <c r="AX245" i="21399"/>
  <c r="AW245" i="21399"/>
  <c r="AC245" i="21399"/>
  <c r="M245" i="21399"/>
  <c r="BC245" i="21399" s="1"/>
  <c r="AZ244" i="21399"/>
  <c r="BB244" i="21399" s="1"/>
  <c r="AY244" i="21399"/>
  <c r="BA244" i="21399" s="1"/>
  <c r="AX244" i="21399"/>
  <c r="AW244" i="21399"/>
  <c r="AC244" i="21399"/>
  <c r="M244" i="21399"/>
  <c r="BC244" i="21399" s="1"/>
  <c r="AZ243" i="21399"/>
  <c r="BB243" i="21399" s="1"/>
  <c r="AY243" i="21399"/>
  <c r="BA243" i="21399" s="1"/>
  <c r="AX243" i="21399"/>
  <c r="AW243" i="21399"/>
  <c r="AC243" i="21399"/>
  <c r="M243" i="21399"/>
  <c r="BC243" i="21399" s="1"/>
  <c r="AZ242" i="21399"/>
  <c r="BB242" i="21399" s="1"/>
  <c r="AY242" i="21399"/>
  <c r="BA242" i="21399" s="1"/>
  <c r="AX242" i="21399"/>
  <c r="AW242" i="21399"/>
  <c r="AC242" i="21399"/>
  <c r="M242" i="21399"/>
  <c r="BC242" i="21399" s="1"/>
  <c r="AZ241" i="21399"/>
  <c r="BB241" i="21399" s="1"/>
  <c r="AY241" i="21399"/>
  <c r="BA241" i="21399" s="1"/>
  <c r="AX241" i="21399"/>
  <c r="AW241" i="21399"/>
  <c r="AC241" i="21399"/>
  <c r="M241" i="21399"/>
  <c r="BC241" i="21399" s="1"/>
  <c r="AZ240" i="21399"/>
  <c r="BB240" i="21399" s="1"/>
  <c r="AY240" i="21399"/>
  <c r="BA240" i="21399" s="1"/>
  <c r="AX240" i="21399"/>
  <c r="AW240" i="21399"/>
  <c r="AC240" i="21399"/>
  <c r="M240" i="21399"/>
  <c r="BC240" i="21399" s="1"/>
  <c r="AZ239" i="21399"/>
  <c r="BB239" i="21399" s="1"/>
  <c r="AY239" i="21399"/>
  <c r="BA239" i="21399" s="1"/>
  <c r="AX239" i="21399"/>
  <c r="AW239" i="21399"/>
  <c r="AC239" i="21399"/>
  <c r="M239" i="21399"/>
  <c r="BC239" i="21399" s="1"/>
  <c r="AZ238" i="21399"/>
  <c r="BB238" i="21399" s="1"/>
  <c r="AY238" i="21399"/>
  <c r="BA238" i="21399" s="1"/>
  <c r="AX238" i="21399"/>
  <c r="AW238" i="21399"/>
  <c r="AC238" i="21399"/>
  <c r="M238" i="21399"/>
  <c r="BC238" i="21399" s="1"/>
  <c r="AZ237" i="21399"/>
  <c r="BB237" i="21399" s="1"/>
  <c r="AY237" i="21399"/>
  <c r="BA237" i="21399" s="1"/>
  <c r="AX237" i="21399"/>
  <c r="AW237" i="21399"/>
  <c r="AC237" i="21399"/>
  <c r="M237" i="21399"/>
  <c r="BC237" i="21399" s="1"/>
  <c r="AZ236" i="21399"/>
  <c r="BB236" i="21399" s="1"/>
  <c r="AY236" i="21399"/>
  <c r="BA236" i="21399" s="1"/>
  <c r="AX236" i="21399"/>
  <c r="AW236" i="21399"/>
  <c r="AC236" i="21399"/>
  <c r="M236" i="21399"/>
  <c r="BC236" i="21399" s="1"/>
  <c r="AZ235" i="21399"/>
  <c r="BB235" i="21399" s="1"/>
  <c r="AY235" i="21399"/>
  <c r="BA235" i="21399" s="1"/>
  <c r="AX235" i="21399"/>
  <c r="AW235" i="21399"/>
  <c r="AC235" i="21399"/>
  <c r="M235" i="21399"/>
  <c r="BC235" i="21399" s="1"/>
  <c r="AZ234" i="21399"/>
  <c r="BB234" i="21399" s="1"/>
  <c r="AY234" i="21399"/>
  <c r="BA234" i="21399" s="1"/>
  <c r="AX234" i="21399"/>
  <c r="AW234" i="21399"/>
  <c r="AC234" i="21399"/>
  <c r="M234" i="21399"/>
  <c r="BC234" i="21399" s="1"/>
  <c r="AZ233" i="21399"/>
  <c r="BB233" i="21399" s="1"/>
  <c r="AY233" i="21399"/>
  <c r="BA233" i="21399" s="1"/>
  <c r="AX233" i="21399"/>
  <c r="AW233" i="21399"/>
  <c r="AC233" i="21399"/>
  <c r="M233" i="21399"/>
  <c r="BC233" i="21399" s="1"/>
  <c r="AZ232" i="21399"/>
  <c r="BB232" i="21399" s="1"/>
  <c r="AY232" i="21399"/>
  <c r="BA232" i="21399" s="1"/>
  <c r="AX232" i="21399"/>
  <c r="AW232" i="21399"/>
  <c r="AC232" i="21399"/>
  <c r="M232" i="21399"/>
  <c r="BC232" i="21399" s="1"/>
  <c r="AZ231" i="21399"/>
  <c r="BB231" i="21399" s="1"/>
  <c r="AY231" i="21399"/>
  <c r="BA231" i="21399" s="1"/>
  <c r="AX231" i="21399"/>
  <c r="AW231" i="21399"/>
  <c r="AC231" i="21399"/>
  <c r="M231" i="21399"/>
  <c r="BC231" i="21399" s="1"/>
  <c r="AZ230" i="21399"/>
  <c r="BB230" i="21399" s="1"/>
  <c r="AY230" i="21399"/>
  <c r="BA230" i="21399" s="1"/>
  <c r="AX230" i="21399"/>
  <c r="AW230" i="21399"/>
  <c r="AC230" i="21399"/>
  <c r="M230" i="21399"/>
  <c r="BC230" i="21399" s="1"/>
  <c r="AZ229" i="21399"/>
  <c r="BB229" i="21399" s="1"/>
  <c r="AY229" i="21399"/>
  <c r="BA229" i="21399" s="1"/>
  <c r="AX229" i="21399"/>
  <c r="AW229" i="21399"/>
  <c r="AC229" i="21399"/>
  <c r="M229" i="21399"/>
  <c r="BC229" i="21399" s="1"/>
  <c r="AZ228" i="21399"/>
  <c r="BB228" i="21399" s="1"/>
  <c r="AY228" i="21399"/>
  <c r="BA228" i="21399" s="1"/>
  <c r="AX228" i="21399"/>
  <c r="AW228" i="21399"/>
  <c r="AC228" i="21399"/>
  <c r="M228" i="21399"/>
  <c r="BC228" i="21399" s="1"/>
  <c r="AZ227" i="21399"/>
  <c r="BB227" i="21399" s="1"/>
  <c r="AY227" i="21399"/>
  <c r="BA227" i="21399" s="1"/>
  <c r="AX227" i="21399"/>
  <c r="AW227" i="21399"/>
  <c r="AC227" i="21399"/>
  <c r="M227" i="21399"/>
  <c r="BC227" i="21399" s="1"/>
  <c r="AZ226" i="21399"/>
  <c r="BB226" i="21399" s="1"/>
  <c r="AY226" i="21399"/>
  <c r="BA226" i="21399" s="1"/>
  <c r="AX226" i="21399"/>
  <c r="AW226" i="21399"/>
  <c r="AC226" i="21399"/>
  <c r="M226" i="21399"/>
  <c r="BC226" i="21399" s="1"/>
  <c r="AZ225" i="21399"/>
  <c r="BB225" i="21399" s="1"/>
  <c r="AY225" i="21399"/>
  <c r="BA225" i="21399" s="1"/>
  <c r="AX225" i="21399"/>
  <c r="AW225" i="21399"/>
  <c r="AC225" i="21399"/>
  <c r="M225" i="21399"/>
  <c r="BC225" i="21399" s="1"/>
  <c r="AZ224" i="21399"/>
  <c r="BB224" i="21399" s="1"/>
  <c r="AY224" i="21399"/>
  <c r="BA224" i="21399" s="1"/>
  <c r="AX224" i="21399"/>
  <c r="AW224" i="21399"/>
  <c r="AC224" i="21399"/>
  <c r="M224" i="21399"/>
  <c r="BC224" i="21399" s="1"/>
  <c r="AZ223" i="21399"/>
  <c r="BB223" i="21399" s="1"/>
  <c r="AY223" i="21399"/>
  <c r="BA223" i="21399" s="1"/>
  <c r="AX223" i="21399"/>
  <c r="AW223" i="21399"/>
  <c r="AC223" i="21399"/>
  <c r="M223" i="21399"/>
  <c r="BC223" i="21399" s="1"/>
  <c r="AZ222" i="21399"/>
  <c r="BB222" i="21399" s="1"/>
  <c r="AY222" i="21399"/>
  <c r="BA222" i="21399" s="1"/>
  <c r="AX222" i="21399"/>
  <c r="AW222" i="21399"/>
  <c r="AC222" i="21399"/>
  <c r="M222" i="21399"/>
  <c r="BC222" i="21399" s="1"/>
  <c r="AZ221" i="21399"/>
  <c r="BB221" i="21399" s="1"/>
  <c r="AY221" i="21399"/>
  <c r="BA221" i="21399" s="1"/>
  <c r="AX221" i="21399"/>
  <c r="AW221" i="21399"/>
  <c r="AC221" i="21399"/>
  <c r="M221" i="21399"/>
  <c r="BC221" i="21399" s="1"/>
  <c r="AZ220" i="21399"/>
  <c r="BB220" i="21399" s="1"/>
  <c r="AY220" i="21399"/>
  <c r="BA220" i="21399" s="1"/>
  <c r="AX220" i="21399"/>
  <c r="AW220" i="21399"/>
  <c r="AC220" i="21399"/>
  <c r="M220" i="21399"/>
  <c r="BC220" i="21399" s="1"/>
  <c r="AZ219" i="21399"/>
  <c r="BB219" i="21399" s="1"/>
  <c r="AY219" i="21399"/>
  <c r="BA219" i="21399" s="1"/>
  <c r="AX219" i="21399"/>
  <c r="AW219" i="21399"/>
  <c r="AC219" i="21399"/>
  <c r="M219" i="21399"/>
  <c r="BC219" i="21399" s="1"/>
  <c r="AZ218" i="21399"/>
  <c r="BB218" i="21399" s="1"/>
  <c r="AY218" i="21399"/>
  <c r="BA218" i="21399" s="1"/>
  <c r="AX218" i="21399"/>
  <c r="AW218" i="21399"/>
  <c r="AC218" i="21399"/>
  <c r="M218" i="21399"/>
  <c r="BC218" i="21399" s="1"/>
  <c r="AZ217" i="21399"/>
  <c r="BB217" i="21399" s="1"/>
  <c r="AY217" i="21399"/>
  <c r="BA217" i="21399" s="1"/>
  <c r="AX217" i="21399"/>
  <c r="AW217" i="21399"/>
  <c r="AC217" i="21399"/>
  <c r="M217" i="21399"/>
  <c r="BC217" i="21399" s="1"/>
  <c r="AZ216" i="21399"/>
  <c r="BB216" i="21399" s="1"/>
  <c r="AY216" i="21399"/>
  <c r="BA216" i="21399" s="1"/>
  <c r="AX216" i="21399"/>
  <c r="AW216" i="21399"/>
  <c r="AC216" i="21399"/>
  <c r="M216" i="21399"/>
  <c r="BC216" i="21399" s="1"/>
  <c r="AZ215" i="21399"/>
  <c r="BB215" i="21399" s="1"/>
  <c r="AY215" i="21399"/>
  <c r="BA215" i="21399" s="1"/>
  <c r="AX215" i="21399"/>
  <c r="AW215" i="21399"/>
  <c r="AC215" i="21399"/>
  <c r="M215" i="21399"/>
  <c r="BC215" i="21399" s="1"/>
  <c r="AZ214" i="21399"/>
  <c r="BB214" i="21399" s="1"/>
  <c r="AY214" i="21399"/>
  <c r="BA214" i="21399" s="1"/>
  <c r="AX214" i="21399"/>
  <c r="AW214" i="21399"/>
  <c r="AC214" i="21399"/>
  <c r="M214" i="21399"/>
  <c r="BC214" i="21399" s="1"/>
  <c r="AZ213" i="21399"/>
  <c r="BB213" i="21399" s="1"/>
  <c r="AY213" i="21399"/>
  <c r="BA213" i="21399" s="1"/>
  <c r="AX213" i="21399"/>
  <c r="AW213" i="21399"/>
  <c r="AC213" i="21399"/>
  <c r="M213" i="21399"/>
  <c r="BC213" i="21399" s="1"/>
  <c r="AZ212" i="21399"/>
  <c r="BB212" i="21399" s="1"/>
  <c r="AY212" i="21399"/>
  <c r="BA212" i="21399" s="1"/>
  <c r="AX212" i="21399"/>
  <c r="AW212" i="21399"/>
  <c r="AC212" i="21399"/>
  <c r="M212" i="21399"/>
  <c r="BC212" i="21399" s="1"/>
  <c r="AZ211" i="21399"/>
  <c r="BB211" i="21399" s="1"/>
  <c r="AY211" i="21399"/>
  <c r="BA211" i="21399" s="1"/>
  <c r="AX211" i="21399"/>
  <c r="AW211" i="21399"/>
  <c r="AC211" i="21399"/>
  <c r="M211" i="21399"/>
  <c r="BC211" i="21399" s="1"/>
  <c r="AZ210" i="21399"/>
  <c r="BB210" i="21399" s="1"/>
  <c r="AY210" i="21399"/>
  <c r="BA210" i="21399" s="1"/>
  <c r="AX210" i="21399"/>
  <c r="AW210" i="21399"/>
  <c r="AC210" i="21399"/>
  <c r="M210" i="21399"/>
  <c r="BC210" i="21399" s="1"/>
  <c r="AZ209" i="21399"/>
  <c r="BB209" i="21399" s="1"/>
  <c r="AY209" i="21399"/>
  <c r="BA209" i="21399" s="1"/>
  <c r="AX209" i="21399"/>
  <c r="AW209" i="21399"/>
  <c r="AC209" i="21399"/>
  <c r="M209" i="21399"/>
  <c r="BC209" i="21399" s="1"/>
  <c r="AZ208" i="21399"/>
  <c r="BB208" i="21399" s="1"/>
  <c r="AY208" i="21399"/>
  <c r="BA208" i="21399" s="1"/>
  <c r="AX208" i="21399"/>
  <c r="AW208" i="21399"/>
  <c r="AC208" i="21399"/>
  <c r="M208" i="21399"/>
  <c r="BC208" i="21399" s="1"/>
  <c r="AZ207" i="21399"/>
  <c r="BB207" i="21399" s="1"/>
  <c r="AY207" i="21399"/>
  <c r="BA207" i="21399" s="1"/>
  <c r="AX207" i="21399"/>
  <c r="AW207" i="21399"/>
  <c r="AC207" i="21399"/>
  <c r="M207" i="21399"/>
  <c r="BC207" i="21399" s="1"/>
  <c r="AZ206" i="21399"/>
  <c r="BB206" i="21399" s="1"/>
  <c r="AY206" i="21399"/>
  <c r="BA206" i="21399" s="1"/>
  <c r="AX206" i="21399"/>
  <c r="AW206" i="21399"/>
  <c r="AC206" i="21399"/>
  <c r="M206" i="21399"/>
  <c r="BC206" i="21399" s="1"/>
  <c r="AZ205" i="21399"/>
  <c r="BB205" i="21399" s="1"/>
  <c r="AY205" i="21399"/>
  <c r="BA205" i="21399" s="1"/>
  <c r="AX205" i="21399"/>
  <c r="AW205" i="21399"/>
  <c r="AC205" i="21399"/>
  <c r="M205" i="21399"/>
  <c r="BC205" i="21399" s="1"/>
  <c r="AZ204" i="21399"/>
  <c r="BB204" i="21399" s="1"/>
  <c r="AY204" i="21399"/>
  <c r="BA204" i="21399" s="1"/>
  <c r="AX204" i="21399"/>
  <c r="AW204" i="21399"/>
  <c r="AC204" i="21399"/>
  <c r="M204" i="21399"/>
  <c r="BC204" i="21399" s="1"/>
  <c r="AZ203" i="21399"/>
  <c r="BB203" i="21399" s="1"/>
  <c r="AY203" i="21399"/>
  <c r="BA203" i="21399" s="1"/>
  <c r="AX203" i="21399"/>
  <c r="AW203" i="21399"/>
  <c r="AC203" i="21399"/>
  <c r="M203" i="21399"/>
  <c r="BC203" i="21399" s="1"/>
  <c r="AZ202" i="21399"/>
  <c r="BB202" i="21399" s="1"/>
  <c r="AY202" i="21399"/>
  <c r="BA202" i="21399" s="1"/>
  <c r="AX202" i="21399"/>
  <c r="AW202" i="21399"/>
  <c r="AC202" i="21399"/>
  <c r="M202" i="21399"/>
  <c r="BC202" i="21399" s="1"/>
  <c r="AZ201" i="21399"/>
  <c r="BB201" i="21399" s="1"/>
  <c r="AY201" i="21399"/>
  <c r="BA201" i="21399" s="1"/>
  <c r="AX201" i="21399"/>
  <c r="AW201" i="21399"/>
  <c r="AC201" i="21399"/>
  <c r="M201" i="21399"/>
  <c r="BC201" i="21399" s="1"/>
  <c r="AZ200" i="21399"/>
  <c r="BB200" i="21399" s="1"/>
  <c r="AY200" i="21399"/>
  <c r="BA200" i="21399" s="1"/>
  <c r="AX200" i="21399"/>
  <c r="AW200" i="21399"/>
  <c r="AC200" i="21399"/>
  <c r="M200" i="21399"/>
  <c r="BC200" i="21399" s="1"/>
  <c r="AZ199" i="21399"/>
  <c r="BB199" i="21399" s="1"/>
  <c r="AY199" i="21399"/>
  <c r="BA199" i="21399" s="1"/>
  <c r="AX199" i="21399"/>
  <c r="AW199" i="21399"/>
  <c r="AC199" i="21399"/>
  <c r="M199" i="21399"/>
  <c r="BC199" i="21399" s="1"/>
  <c r="AZ198" i="21399"/>
  <c r="BB198" i="21399" s="1"/>
  <c r="AY198" i="21399"/>
  <c r="BA198" i="21399" s="1"/>
  <c r="AX198" i="21399"/>
  <c r="AW198" i="21399"/>
  <c r="AC198" i="21399"/>
  <c r="M198" i="21399"/>
  <c r="BC198" i="21399" s="1"/>
  <c r="AZ197" i="21399"/>
  <c r="BB197" i="21399" s="1"/>
  <c r="AY197" i="21399"/>
  <c r="BA197" i="21399" s="1"/>
  <c r="AX197" i="21399"/>
  <c r="AW197" i="21399"/>
  <c r="AC197" i="21399"/>
  <c r="M197" i="21399"/>
  <c r="BC197" i="21399" s="1"/>
  <c r="AZ196" i="21399"/>
  <c r="BB196" i="21399" s="1"/>
  <c r="AY196" i="21399"/>
  <c r="BA196" i="21399" s="1"/>
  <c r="AX196" i="21399"/>
  <c r="AW196" i="21399"/>
  <c r="AC196" i="21399"/>
  <c r="M196" i="21399"/>
  <c r="BC196" i="21399" s="1"/>
  <c r="AZ195" i="21399"/>
  <c r="BB195" i="21399" s="1"/>
  <c r="AY195" i="21399"/>
  <c r="BA195" i="21399" s="1"/>
  <c r="AX195" i="21399"/>
  <c r="AW195" i="21399"/>
  <c r="AC195" i="21399"/>
  <c r="M195" i="21399"/>
  <c r="BC195" i="21399" s="1"/>
  <c r="AZ194" i="21399"/>
  <c r="BB194" i="21399" s="1"/>
  <c r="AY194" i="21399"/>
  <c r="BA194" i="21399" s="1"/>
  <c r="AX194" i="21399"/>
  <c r="AW194" i="21399"/>
  <c r="AC194" i="21399"/>
  <c r="M194" i="21399"/>
  <c r="BC194" i="21399" s="1"/>
  <c r="AZ193" i="21399"/>
  <c r="BB193" i="21399" s="1"/>
  <c r="AY193" i="21399"/>
  <c r="BA193" i="21399" s="1"/>
  <c r="AX193" i="21399"/>
  <c r="AW193" i="21399"/>
  <c r="AC193" i="21399"/>
  <c r="M193" i="21399"/>
  <c r="BC193" i="21399" s="1"/>
  <c r="AZ192" i="21399"/>
  <c r="BB192" i="21399" s="1"/>
  <c r="AY192" i="21399"/>
  <c r="BA192" i="21399" s="1"/>
  <c r="AX192" i="21399"/>
  <c r="AW192" i="21399"/>
  <c r="AC192" i="21399"/>
  <c r="M192" i="21399"/>
  <c r="BC192" i="21399" s="1"/>
  <c r="AZ191" i="21399"/>
  <c r="BB191" i="21399" s="1"/>
  <c r="AY191" i="21399"/>
  <c r="BA191" i="21399" s="1"/>
  <c r="AX191" i="21399"/>
  <c r="AW191" i="21399"/>
  <c r="AC191" i="21399"/>
  <c r="M191" i="21399"/>
  <c r="BC191" i="21399" s="1"/>
  <c r="AZ190" i="21399"/>
  <c r="BB190" i="21399" s="1"/>
  <c r="AY190" i="21399"/>
  <c r="BA190" i="21399" s="1"/>
  <c r="AX190" i="21399"/>
  <c r="AW190" i="21399"/>
  <c r="AC190" i="21399"/>
  <c r="M190" i="21399"/>
  <c r="BC190" i="21399" s="1"/>
  <c r="AZ189" i="21399"/>
  <c r="BB189" i="21399" s="1"/>
  <c r="AY189" i="21399"/>
  <c r="BA189" i="21399" s="1"/>
  <c r="AX189" i="21399"/>
  <c r="AW189" i="21399"/>
  <c r="AC189" i="21399"/>
  <c r="M189" i="21399"/>
  <c r="BC189" i="21399" s="1"/>
  <c r="AZ188" i="21399"/>
  <c r="BB188" i="21399" s="1"/>
  <c r="AY188" i="21399"/>
  <c r="BA188" i="21399" s="1"/>
  <c r="AX188" i="21399"/>
  <c r="AW188" i="21399"/>
  <c r="AC188" i="21399"/>
  <c r="M188" i="21399"/>
  <c r="BC188" i="21399" s="1"/>
  <c r="AZ187" i="21399"/>
  <c r="BB187" i="21399" s="1"/>
  <c r="AY187" i="21399"/>
  <c r="BA187" i="21399" s="1"/>
  <c r="AX187" i="21399"/>
  <c r="AW187" i="21399"/>
  <c r="AC187" i="21399"/>
  <c r="M187" i="21399"/>
  <c r="BC187" i="21399" s="1"/>
  <c r="AZ186" i="21399"/>
  <c r="BB186" i="21399" s="1"/>
  <c r="AY186" i="21399"/>
  <c r="BA186" i="21399" s="1"/>
  <c r="AX186" i="21399"/>
  <c r="AW186" i="21399"/>
  <c r="AC186" i="21399"/>
  <c r="M186" i="21399"/>
  <c r="BC186" i="21399" s="1"/>
  <c r="AZ185" i="21399"/>
  <c r="BB185" i="21399" s="1"/>
  <c r="AY185" i="21399"/>
  <c r="BA185" i="21399" s="1"/>
  <c r="AX185" i="21399"/>
  <c r="AW185" i="21399"/>
  <c r="AC185" i="21399"/>
  <c r="M185" i="21399"/>
  <c r="BC185" i="21399" s="1"/>
  <c r="AZ184" i="21399"/>
  <c r="BB184" i="21399" s="1"/>
  <c r="AY184" i="21399"/>
  <c r="BA184" i="21399" s="1"/>
  <c r="AX184" i="21399"/>
  <c r="AW184" i="21399"/>
  <c r="AC184" i="21399"/>
  <c r="M184" i="21399"/>
  <c r="BC184" i="21399" s="1"/>
  <c r="AZ183" i="21399"/>
  <c r="BB183" i="21399" s="1"/>
  <c r="AY183" i="21399"/>
  <c r="BA183" i="21399" s="1"/>
  <c r="AX183" i="21399"/>
  <c r="AW183" i="21399"/>
  <c r="AC183" i="21399"/>
  <c r="M183" i="21399"/>
  <c r="BC183" i="21399" s="1"/>
  <c r="AZ182" i="21399"/>
  <c r="BB182" i="21399" s="1"/>
  <c r="AY182" i="21399"/>
  <c r="BA182" i="21399" s="1"/>
  <c r="AX182" i="21399"/>
  <c r="AW182" i="21399"/>
  <c r="AC182" i="21399"/>
  <c r="M182" i="21399"/>
  <c r="BC182" i="21399" s="1"/>
  <c r="AZ181" i="21399"/>
  <c r="BB181" i="21399" s="1"/>
  <c r="AY181" i="21399"/>
  <c r="BA181" i="21399" s="1"/>
  <c r="AX181" i="21399"/>
  <c r="AW181" i="21399"/>
  <c r="AC181" i="21399"/>
  <c r="M181" i="21399"/>
  <c r="BC181" i="21399" s="1"/>
  <c r="AZ180" i="21399"/>
  <c r="BB180" i="21399" s="1"/>
  <c r="AY180" i="21399"/>
  <c r="BA180" i="21399" s="1"/>
  <c r="AX180" i="21399"/>
  <c r="AW180" i="21399"/>
  <c r="AC180" i="21399"/>
  <c r="M180" i="21399"/>
  <c r="BC180" i="21399" s="1"/>
  <c r="AZ179" i="21399"/>
  <c r="BB179" i="21399" s="1"/>
  <c r="AY179" i="21399"/>
  <c r="BA179" i="21399" s="1"/>
  <c r="AX179" i="21399"/>
  <c r="AW179" i="21399"/>
  <c r="AC179" i="21399"/>
  <c r="M179" i="21399"/>
  <c r="BC179" i="21399" s="1"/>
  <c r="AZ178" i="21399"/>
  <c r="BB178" i="21399" s="1"/>
  <c r="AY178" i="21399"/>
  <c r="BA178" i="21399" s="1"/>
  <c r="AX178" i="21399"/>
  <c r="AW178" i="21399"/>
  <c r="AC178" i="21399"/>
  <c r="M178" i="21399"/>
  <c r="BC178" i="21399" s="1"/>
  <c r="AZ177" i="21399"/>
  <c r="BB177" i="21399" s="1"/>
  <c r="AY177" i="21399"/>
  <c r="BA177" i="21399" s="1"/>
  <c r="AX177" i="21399"/>
  <c r="AW177" i="21399"/>
  <c r="AC177" i="21399"/>
  <c r="M177" i="21399"/>
  <c r="BC177" i="21399" s="1"/>
  <c r="AZ176" i="21399"/>
  <c r="BB176" i="21399" s="1"/>
  <c r="AY176" i="21399"/>
  <c r="BA176" i="21399" s="1"/>
  <c r="AX176" i="21399"/>
  <c r="AW176" i="21399"/>
  <c r="AC176" i="21399"/>
  <c r="M176" i="21399"/>
  <c r="BC176" i="21399" s="1"/>
  <c r="AZ175" i="21399"/>
  <c r="BB175" i="21399" s="1"/>
  <c r="AY175" i="21399"/>
  <c r="BA175" i="21399" s="1"/>
  <c r="AX175" i="21399"/>
  <c r="AW175" i="21399"/>
  <c r="AC175" i="21399"/>
  <c r="M175" i="21399"/>
  <c r="BC175" i="21399" s="1"/>
  <c r="AZ174" i="21399"/>
  <c r="BB174" i="21399" s="1"/>
  <c r="AY174" i="21399"/>
  <c r="BA174" i="21399" s="1"/>
  <c r="AX174" i="21399"/>
  <c r="AW174" i="21399"/>
  <c r="AC174" i="21399"/>
  <c r="M174" i="21399"/>
  <c r="BC174" i="21399" s="1"/>
  <c r="AZ173" i="21399"/>
  <c r="BB173" i="21399" s="1"/>
  <c r="AY173" i="21399"/>
  <c r="BA173" i="21399" s="1"/>
  <c r="AX173" i="21399"/>
  <c r="AW173" i="21399"/>
  <c r="AC173" i="21399"/>
  <c r="M173" i="21399"/>
  <c r="BC173" i="21399" s="1"/>
  <c r="AZ172" i="21399"/>
  <c r="BB172" i="21399" s="1"/>
  <c r="AY172" i="21399"/>
  <c r="BA172" i="21399" s="1"/>
  <c r="AX172" i="21399"/>
  <c r="AW172" i="21399"/>
  <c r="AC172" i="21399"/>
  <c r="M172" i="21399"/>
  <c r="BC172" i="21399" s="1"/>
  <c r="AZ171" i="21399"/>
  <c r="BB171" i="21399" s="1"/>
  <c r="AY171" i="21399"/>
  <c r="BA171" i="21399" s="1"/>
  <c r="AX171" i="21399"/>
  <c r="AW171" i="21399"/>
  <c r="AC171" i="21399"/>
  <c r="M171" i="21399"/>
  <c r="BC171" i="21399" s="1"/>
  <c r="AZ170" i="21399"/>
  <c r="BB170" i="21399" s="1"/>
  <c r="AY170" i="21399"/>
  <c r="BA170" i="21399" s="1"/>
  <c r="AX170" i="21399"/>
  <c r="AW170" i="21399"/>
  <c r="AC170" i="21399"/>
  <c r="M170" i="21399"/>
  <c r="BC170" i="21399" s="1"/>
  <c r="AZ169" i="21399"/>
  <c r="BB169" i="21399" s="1"/>
  <c r="AY169" i="21399"/>
  <c r="BA169" i="21399" s="1"/>
  <c r="AX169" i="21399"/>
  <c r="AW169" i="21399"/>
  <c r="AC169" i="21399"/>
  <c r="M169" i="21399"/>
  <c r="BC169" i="21399" s="1"/>
  <c r="AZ168" i="21399"/>
  <c r="BB168" i="21399" s="1"/>
  <c r="AY168" i="21399"/>
  <c r="BA168" i="21399" s="1"/>
  <c r="AX168" i="21399"/>
  <c r="AW168" i="21399"/>
  <c r="AC168" i="21399"/>
  <c r="M168" i="21399"/>
  <c r="BC168" i="21399" s="1"/>
  <c r="AZ167" i="21399"/>
  <c r="BB167" i="21399" s="1"/>
  <c r="AY167" i="21399"/>
  <c r="BA167" i="21399" s="1"/>
  <c r="AX167" i="21399"/>
  <c r="AW167" i="21399"/>
  <c r="AC167" i="21399"/>
  <c r="M167" i="21399"/>
  <c r="BC167" i="21399" s="1"/>
  <c r="AZ166" i="21399"/>
  <c r="BB166" i="21399" s="1"/>
  <c r="AY166" i="21399"/>
  <c r="BA166" i="21399" s="1"/>
  <c r="AX166" i="21399"/>
  <c r="AW166" i="21399"/>
  <c r="AC166" i="21399"/>
  <c r="M166" i="21399"/>
  <c r="BC166" i="21399" s="1"/>
  <c r="AZ165" i="21399"/>
  <c r="BB165" i="21399" s="1"/>
  <c r="AY165" i="21399"/>
  <c r="BA165" i="21399" s="1"/>
  <c r="AX165" i="21399"/>
  <c r="AW165" i="21399"/>
  <c r="AC165" i="21399"/>
  <c r="M165" i="21399"/>
  <c r="BC165" i="21399" s="1"/>
  <c r="AZ164" i="21399"/>
  <c r="BB164" i="21399" s="1"/>
  <c r="AY164" i="21399"/>
  <c r="BA164" i="21399" s="1"/>
  <c r="AX164" i="21399"/>
  <c r="AW164" i="21399"/>
  <c r="AC164" i="21399"/>
  <c r="M164" i="21399"/>
  <c r="BC164" i="21399" s="1"/>
  <c r="AZ163" i="21399"/>
  <c r="BB163" i="21399" s="1"/>
  <c r="AY163" i="21399"/>
  <c r="BA163" i="21399" s="1"/>
  <c r="AX163" i="21399"/>
  <c r="AW163" i="21399"/>
  <c r="AC163" i="21399"/>
  <c r="M163" i="21399"/>
  <c r="BC163" i="21399" s="1"/>
  <c r="BB162" i="21399"/>
  <c r="AX162" i="21399"/>
  <c r="BA162" i="21399" s="1"/>
  <c r="AW162" i="21399"/>
  <c r="BA161" i="21399"/>
  <c r="AX161" i="21399"/>
  <c r="BB161" i="21399" s="1"/>
  <c r="AW161" i="21399"/>
  <c r="AC161" i="21399"/>
  <c r="BC161" i="21399"/>
  <c r="BB160" i="21399"/>
  <c r="AX160" i="21399"/>
  <c r="BA160" i="21399" s="1"/>
  <c r="AW160" i="21399"/>
  <c r="BB159" i="21399"/>
  <c r="BA159" i="21399"/>
  <c r="AX159" i="21399"/>
  <c r="AW159" i="21399"/>
  <c r="AC159" i="21399"/>
  <c r="BC159" i="21399"/>
  <c r="BB158" i="21399"/>
  <c r="AX158" i="21399"/>
  <c r="BC158" i="21399" s="1"/>
  <c r="AW158" i="21399"/>
  <c r="BB157" i="21399"/>
  <c r="BA157" i="21399"/>
  <c r="AX157" i="21399"/>
  <c r="AW157" i="21399"/>
  <c r="AC157" i="21399"/>
  <c r="BC157" i="21399"/>
  <c r="BB156" i="21399"/>
  <c r="AX156" i="21399"/>
  <c r="BA156" i="21399" s="1"/>
  <c r="AW156" i="21399"/>
  <c r="AC156" i="21399"/>
  <c r="BB155" i="21399"/>
  <c r="BA155" i="21399"/>
  <c r="AX155" i="21399"/>
  <c r="AW155" i="21399"/>
  <c r="AC155" i="21399"/>
  <c r="BC155" i="21399"/>
  <c r="BB154" i="21399"/>
  <c r="BB153" i="21399"/>
  <c r="BA153" i="21399"/>
  <c r="AX153" i="21399"/>
  <c r="AW153" i="21399"/>
  <c r="AC153" i="21399"/>
  <c r="BC153" i="21399"/>
  <c r="BB152" i="21399"/>
  <c r="BB151" i="21399"/>
  <c r="BA151" i="21399"/>
  <c r="AX151" i="21399"/>
  <c r="AW151" i="21399"/>
  <c r="AC151" i="21399"/>
  <c r="BC151" i="21399"/>
  <c r="BB150" i="21399"/>
  <c r="BB149" i="21399"/>
  <c r="BA149" i="21399"/>
  <c r="AX149" i="21399"/>
  <c r="AW149" i="21399"/>
  <c r="AC149" i="21399"/>
  <c r="BC149" i="21399"/>
  <c r="BB148" i="21399"/>
  <c r="BA147" i="21399"/>
  <c r="AC147" i="21399"/>
  <c r="M147" i="21399"/>
  <c r="BC147" i="21399" s="1"/>
  <c r="AC145" i="21399"/>
  <c r="M145" i="21399"/>
  <c r="BC145" i="21399" s="1"/>
  <c r="AC143" i="21399"/>
  <c r="M143" i="21399"/>
  <c r="BC143" i="21399" s="1"/>
  <c r="AC141" i="21399"/>
  <c r="M141" i="21399"/>
  <c r="BC141" i="21399" s="1"/>
  <c r="AC139" i="21399"/>
  <c r="M139" i="21399"/>
  <c r="BC139" i="21399" s="1"/>
  <c r="AC137" i="21399"/>
  <c r="M137" i="21399"/>
  <c r="BC137" i="21399" s="1"/>
  <c r="AC135" i="21399"/>
  <c r="M135" i="21399"/>
  <c r="BC135" i="21399" s="1"/>
  <c r="AC133" i="21399"/>
  <c r="M133" i="21399"/>
  <c r="BC133" i="21399" s="1"/>
  <c r="AC131" i="21399"/>
  <c r="M131" i="21399"/>
  <c r="BC131" i="21399" s="1"/>
  <c r="AC129" i="21399"/>
  <c r="M129" i="21399"/>
  <c r="BC129" i="21399" s="1"/>
  <c r="AC127" i="21399"/>
  <c r="M127" i="21399"/>
  <c r="BC127" i="21399" s="1"/>
  <c r="AC125" i="21399"/>
  <c r="M125" i="21399"/>
  <c r="BC125" i="21399" s="1"/>
  <c r="AC123" i="21399"/>
  <c r="M123" i="21399"/>
  <c r="BC123" i="21399" s="1"/>
  <c r="AC121" i="21399"/>
  <c r="M121" i="21399"/>
  <c r="BC121" i="21399" s="1"/>
  <c r="AC119" i="21399"/>
  <c r="M119" i="21399"/>
  <c r="BC119" i="21399" s="1"/>
  <c r="AC117" i="21399"/>
  <c r="M117" i="21399"/>
  <c r="BC117" i="21399" s="1"/>
  <c r="AC115" i="21399"/>
  <c r="M115" i="21399"/>
  <c r="BC115" i="21399" s="1"/>
  <c r="AC113" i="21399"/>
  <c r="M113" i="21399"/>
  <c r="BC113" i="21399" s="1"/>
  <c r="BA112" i="21399"/>
  <c r="AC111" i="21399"/>
  <c r="M111" i="21399"/>
  <c r="BC111" i="21399" s="1"/>
  <c r="BA110" i="21399"/>
  <c r="AC109" i="21399"/>
  <c r="M109" i="21399"/>
  <c r="BC109" i="21399" s="1"/>
  <c r="BA108" i="21399"/>
  <c r="AC107" i="21399"/>
  <c r="M107" i="21399"/>
  <c r="BC107" i="21399" s="1"/>
  <c r="BA106" i="21399"/>
  <c r="AC105" i="21399"/>
  <c r="M105" i="21399"/>
  <c r="BC105" i="21399" s="1"/>
  <c r="BA104" i="21399"/>
  <c r="AC103" i="21399"/>
  <c r="M103" i="21399"/>
  <c r="BC103" i="21399" s="1"/>
  <c r="AC101" i="21399"/>
  <c r="AC99" i="21399"/>
  <c r="AC97" i="21399"/>
  <c r="AC95" i="21399"/>
  <c r="AC93" i="21399"/>
  <c r="AC91" i="21399"/>
  <c r="AC89" i="21399"/>
  <c r="AC87" i="21399"/>
  <c r="AC85" i="21399"/>
  <c r="AC83" i="21399"/>
  <c r="AC81" i="21399"/>
  <c r="AC79" i="21399"/>
  <c r="AC77" i="21399"/>
  <c r="AC75" i="21399"/>
  <c r="AC67" i="21399"/>
  <c r="AC65" i="21399"/>
  <c r="AC63" i="21399"/>
  <c r="BB62" i="21399"/>
  <c r="BB61" i="21399"/>
  <c r="BA61" i="21399"/>
  <c r="AC61" i="21399"/>
  <c r="BC61" i="21399"/>
  <c r="BB60" i="21399"/>
  <c r="BA59" i="21399"/>
  <c r="AC59" i="21399"/>
  <c r="BC59" i="21399"/>
  <c r="BB58" i="21399"/>
  <c r="BB57" i="21399"/>
  <c r="BA57" i="21399"/>
  <c r="AC57" i="21399"/>
  <c r="BC57" i="21399"/>
  <c r="BB56" i="21399"/>
  <c r="BB55" i="21399"/>
  <c r="BA55" i="21399"/>
  <c r="AC55" i="21399"/>
  <c r="BC55" i="21399"/>
  <c r="BA53" i="21399"/>
  <c r="AC53" i="21399"/>
  <c r="BC53" i="21399"/>
  <c r="BB52" i="21399"/>
  <c r="BB51" i="21399"/>
  <c r="BA51" i="21399"/>
  <c r="AC51" i="21399"/>
  <c r="BC51" i="21399"/>
  <c r="BB50" i="21399"/>
  <c r="BB49" i="21399"/>
  <c r="BA49" i="21399"/>
  <c r="AC49" i="21399"/>
  <c r="BC49" i="21399"/>
  <c r="BB48" i="21399"/>
  <c r="BB47" i="21399"/>
  <c r="BA47" i="21399"/>
  <c r="AC47" i="21399"/>
  <c r="BC47" i="21399"/>
  <c r="BB46" i="21399"/>
  <c r="BB45" i="21399"/>
  <c r="BA45" i="21399"/>
  <c r="AC45" i="21399"/>
  <c r="BC45" i="21399"/>
  <c r="BB44" i="21399"/>
  <c r="BA44" i="21399"/>
  <c r="BC44" i="21399"/>
  <c r="BA43" i="21399"/>
  <c r="BB43" i="21399"/>
  <c r="AC43" i="21399"/>
  <c r="BC43" i="21399"/>
  <c r="BB42" i="21399"/>
  <c r="BA42" i="21399"/>
  <c r="BC42" i="21399"/>
  <c r="BB41" i="21399"/>
  <c r="BA41" i="21399"/>
  <c r="AC41" i="21399"/>
  <c r="BC41" i="21399"/>
  <c r="BB40" i="21399"/>
  <c r="BA40" i="21399"/>
  <c r="BC40" i="21399"/>
  <c r="BB39" i="21399"/>
  <c r="BA39" i="21399"/>
  <c r="AC39" i="21399"/>
  <c r="BC39" i="21399"/>
  <c r="BB38" i="21399"/>
  <c r="BA38" i="21399"/>
  <c r="BC38" i="21399"/>
  <c r="BB37" i="21399"/>
  <c r="BA37" i="21399"/>
  <c r="AC37" i="21399"/>
  <c r="BC37" i="21399"/>
  <c r="BB36" i="21399"/>
  <c r="BA36" i="21399"/>
  <c r="BC36" i="21399"/>
  <c r="BB35" i="21399"/>
  <c r="BA35" i="21399"/>
  <c r="AC35" i="21399"/>
  <c r="BC35" i="21399"/>
  <c r="BB34" i="21399"/>
  <c r="BA34" i="21399"/>
  <c r="BC34" i="21399"/>
  <c r="BB33" i="21399"/>
  <c r="BA33" i="21399"/>
  <c r="AC33" i="21399"/>
  <c r="BC33" i="21399"/>
  <c r="BB32" i="21399"/>
  <c r="BA32" i="21399"/>
  <c r="BC32" i="21399"/>
  <c r="BA31" i="21399"/>
  <c r="BB31" i="21399"/>
  <c r="AC31" i="21399"/>
  <c r="BC31" i="21399"/>
  <c r="BB30" i="21399"/>
  <c r="BA30" i="21399"/>
  <c r="BC30" i="21399"/>
  <c r="BA29" i="21399"/>
  <c r="BB29" i="21399"/>
  <c r="AC29" i="21399"/>
  <c r="M29" i="21399"/>
  <c r="BC29" i="21399" s="1"/>
  <c r="BB28" i="21399"/>
  <c r="BA28" i="21399"/>
  <c r="AC28" i="21399"/>
  <c r="BC28" i="21399"/>
  <c r="BA27" i="21399"/>
  <c r="BB27" i="21399"/>
  <c r="AC27" i="21399"/>
  <c r="M27" i="21399"/>
  <c r="BC27" i="21399" s="1"/>
  <c r="BB26" i="21399"/>
  <c r="BC26" i="21399"/>
  <c r="BA25" i="21399"/>
  <c r="BB25" i="21399"/>
  <c r="AC25" i="21399"/>
  <c r="M25" i="21399"/>
  <c r="BC25" i="21399" s="1"/>
  <c r="BB24" i="21399"/>
  <c r="BA24" i="21399"/>
  <c r="BC24" i="21399"/>
  <c r="BB23" i="21399"/>
  <c r="BA23" i="21399"/>
  <c r="AC23" i="21399"/>
  <c r="M23" i="21399"/>
  <c r="BC23" i="21399" s="1"/>
  <c r="BB22" i="21399"/>
  <c r="BA22" i="21399"/>
  <c r="BC22" i="21399"/>
  <c r="BA21" i="21399"/>
  <c r="BB21" i="21399"/>
  <c r="AC21" i="21399"/>
  <c r="M21" i="21399"/>
  <c r="BC21" i="21399" s="1"/>
  <c r="BB20" i="21399"/>
  <c r="BA20" i="21399"/>
  <c r="BC20" i="21399"/>
  <c r="BB19" i="21399"/>
  <c r="BA19" i="21399"/>
  <c r="AC19" i="21399"/>
  <c r="M19" i="21399"/>
  <c r="BC19" i="21399" s="1"/>
  <c r="BB18" i="21399"/>
  <c r="BA18" i="21399"/>
  <c r="AC18" i="21399"/>
  <c r="BC18" i="21399"/>
  <c r="BA17" i="21399"/>
  <c r="BB17" i="21399"/>
  <c r="AC17" i="21399"/>
  <c r="M17" i="21399"/>
  <c r="BC17" i="21399" s="1"/>
  <c r="BB16" i="21399"/>
  <c r="BA16" i="21399"/>
  <c r="AC16" i="21399"/>
  <c r="BC16" i="21399"/>
  <c r="BA15" i="21399"/>
  <c r="BB15" i="21399"/>
  <c r="AC15" i="21399"/>
  <c r="M15" i="21399"/>
  <c r="BC15" i="21399" s="1"/>
  <c r="BB14" i="21399"/>
  <c r="BA14" i="21399"/>
  <c r="AC14" i="21399"/>
  <c r="BC14" i="21399"/>
  <c r="BB13" i="21399"/>
  <c r="BA13" i="21399"/>
  <c r="AC13" i="21399"/>
  <c r="M13" i="21399"/>
  <c r="BC13" i="21399" s="1"/>
  <c r="BB12" i="21399"/>
  <c r="BA12" i="21399"/>
  <c r="AC12" i="21399"/>
  <c r="BC12" i="21399"/>
  <c r="BA11" i="21399"/>
  <c r="BB11" i="21399"/>
  <c r="AC11" i="21399"/>
  <c r="M11" i="21399"/>
  <c r="BC11" i="21399" s="1"/>
  <c r="BB10" i="21399"/>
  <c r="BA10" i="21399"/>
  <c r="AC10" i="21399"/>
  <c r="BC10" i="21399"/>
  <c r="BA9" i="21399"/>
  <c r="BB9" i="21399"/>
  <c r="AC9" i="21399"/>
  <c r="M9" i="21399"/>
  <c r="BC9" i="21399" s="1"/>
  <c r="BB8" i="21399"/>
  <c r="BA8" i="21399"/>
  <c r="AC8" i="21399"/>
  <c r="BC8" i="21399"/>
  <c r="BB7" i="21399"/>
  <c r="BA7" i="21399"/>
  <c r="AC7" i="21399"/>
  <c r="M7" i="21399"/>
  <c r="BC7" i="21399" s="1"/>
  <c r="BB6" i="21399"/>
  <c r="BA6" i="21399"/>
  <c r="AC6" i="21399"/>
  <c r="BA406" i="21398"/>
  <c r="BC406" i="21398"/>
  <c r="BB405" i="21398"/>
  <c r="BA405" i="21398"/>
  <c r="AC405" i="21398"/>
  <c r="BC405" i="21398"/>
  <c r="BB404" i="21398"/>
  <c r="BA404" i="21398"/>
  <c r="BC404" i="21398"/>
  <c r="BB403" i="21398"/>
  <c r="BA403" i="21398"/>
  <c r="BC403" i="21398"/>
  <c r="BB402" i="21398"/>
  <c r="BA402" i="21398"/>
  <c r="BC402" i="21398"/>
  <c r="BB401" i="21398"/>
  <c r="BA401" i="21398"/>
  <c r="BC401" i="21398"/>
  <c r="BB400" i="21398"/>
  <c r="BA400" i="21398"/>
  <c r="BC400" i="21398"/>
  <c r="BB399" i="21398"/>
  <c r="BA399" i="21398"/>
  <c r="BC399" i="21398"/>
  <c r="BB398" i="21398"/>
  <c r="BA398" i="21398"/>
  <c r="BC398" i="21398"/>
  <c r="BB397" i="21398"/>
  <c r="BA397" i="21398"/>
  <c r="BC397" i="21398"/>
  <c r="BB396" i="21398"/>
  <c r="BA396" i="21398"/>
  <c r="BC396" i="21398"/>
  <c r="BB395" i="21398"/>
  <c r="BA395" i="21398"/>
  <c r="BC395" i="21398"/>
  <c r="BB394" i="21398"/>
  <c r="BA394" i="21398"/>
  <c r="BC394" i="21398"/>
  <c r="BB393" i="21398"/>
  <c r="BA393" i="21398"/>
  <c r="BC393" i="21398"/>
  <c r="BB392" i="21398"/>
  <c r="BA392" i="21398"/>
  <c r="BC392" i="21398"/>
  <c r="BA391" i="21398"/>
  <c r="BC391" i="21398"/>
  <c r="BA390" i="21398"/>
  <c r="BC390" i="21398"/>
  <c r="BB389" i="21398"/>
  <c r="BA389" i="21398"/>
  <c r="BC389" i="21398"/>
  <c r="BA388" i="21398"/>
  <c r="BC388" i="21398"/>
  <c r="BB387" i="21398"/>
  <c r="BA387" i="21398"/>
  <c r="BC387" i="21398"/>
  <c r="BB386" i="21398"/>
  <c r="BA386" i="21398"/>
  <c r="BC386" i="21398"/>
  <c r="BB385" i="21398"/>
  <c r="BA385" i="21398"/>
  <c r="BC385" i="21398"/>
  <c r="BA384" i="21398"/>
  <c r="BC384" i="21398"/>
  <c r="BB383" i="21398"/>
  <c r="BA383" i="21398"/>
  <c r="BC383" i="21398"/>
  <c r="BB382" i="21398"/>
  <c r="BA382" i="21398"/>
  <c r="BC382" i="21398"/>
  <c r="BB381" i="21398"/>
  <c r="BA381" i="21398"/>
  <c r="BC381" i="21398"/>
  <c r="BB380" i="21398"/>
  <c r="BA380" i="21398"/>
  <c r="BC380" i="21398"/>
  <c r="BB379" i="21398"/>
  <c r="BA379" i="21398"/>
  <c r="BC379" i="21398"/>
  <c r="BA378" i="21398"/>
  <c r="BC378" i="21398"/>
  <c r="BB377" i="21398"/>
  <c r="BA377" i="21398"/>
  <c r="AC377" i="21398"/>
  <c r="BC377" i="21398"/>
  <c r="BB376" i="21398"/>
  <c r="BA376" i="21398"/>
  <c r="BC376" i="21398"/>
  <c r="BB375" i="21398"/>
  <c r="BA375" i="21398"/>
  <c r="AC375" i="21398"/>
  <c r="BC375" i="21398"/>
  <c r="BB374" i="21398"/>
  <c r="BA374" i="21398"/>
  <c r="BC374" i="21398"/>
  <c r="BB373" i="21398"/>
  <c r="BA373" i="21398"/>
  <c r="AC373" i="21398"/>
  <c r="BC373" i="21398"/>
  <c r="BB372" i="21398"/>
  <c r="BA372" i="21398"/>
  <c r="BC372" i="21398"/>
  <c r="BB371" i="21398"/>
  <c r="BA371" i="21398"/>
  <c r="AC371" i="21398"/>
  <c r="BC371" i="21398"/>
  <c r="BB370" i="21398"/>
  <c r="BA370" i="21398"/>
  <c r="BC370" i="21398"/>
  <c r="BB369" i="21398"/>
  <c r="BA369" i="21398"/>
  <c r="AC369" i="21398"/>
  <c r="BC369" i="21398"/>
  <c r="BB368" i="21398"/>
  <c r="BA368" i="21398"/>
  <c r="BC368" i="21398"/>
  <c r="BB367" i="21398"/>
  <c r="BA367" i="21398"/>
  <c r="AC367" i="21398"/>
  <c r="BC367" i="21398"/>
  <c r="BB366" i="21398"/>
  <c r="BA366" i="21398"/>
  <c r="BC366" i="21398"/>
  <c r="BB365" i="21398"/>
  <c r="BA365" i="21398"/>
  <c r="AC365" i="21398"/>
  <c r="BC365" i="21398"/>
  <c r="BB364" i="21398"/>
  <c r="BA364" i="21398"/>
  <c r="BC364" i="21398"/>
  <c r="BB363" i="21398"/>
  <c r="BA363" i="21398"/>
  <c r="AC363" i="21398"/>
  <c r="BC363" i="21398"/>
  <c r="BB362" i="21398"/>
  <c r="BA362" i="21398"/>
  <c r="BC362" i="21398"/>
  <c r="BB361" i="21398"/>
  <c r="BA361" i="21398"/>
  <c r="AC361" i="21398"/>
  <c r="BC361" i="21398"/>
  <c r="BB360" i="21398"/>
  <c r="BA360" i="21398"/>
  <c r="AC360" i="21398"/>
  <c r="BC360" i="21398"/>
  <c r="BB359" i="21398"/>
  <c r="BA359" i="21398"/>
  <c r="AC359" i="21398"/>
  <c r="BC359" i="21398"/>
  <c r="BB358" i="21398"/>
  <c r="BA358" i="21398"/>
  <c r="AC358" i="21398"/>
  <c r="BC358" i="21398"/>
  <c r="BB357" i="21398"/>
  <c r="BA357" i="21398"/>
  <c r="AC357" i="21398"/>
  <c r="BC357" i="21398"/>
  <c r="BA356" i="21398"/>
  <c r="BC356" i="21398"/>
  <c r="BA355" i="21398"/>
  <c r="BC355" i="21398"/>
  <c r="BB354" i="21398"/>
  <c r="BA354" i="21398"/>
  <c r="BC354" i="21398"/>
  <c r="BB353" i="21398"/>
  <c r="BA353" i="21398"/>
  <c r="BC353" i="21398"/>
  <c r="BA352" i="21398"/>
  <c r="BC352" i="21398"/>
  <c r="BB351" i="21398"/>
  <c r="BA351" i="21398"/>
  <c r="BC351" i="21398"/>
  <c r="BA350" i="21398"/>
  <c r="BC350" i="21398"/>
  <c r="BB349" i="21398"/>
  <c r="BA349" i="21398"/>
  <c r="BC349" i="21398"/>
  <c r="BA348" i="21398"/>
  <c r="BC348" i="21398"/>
  <c r="BB347" i="21398"/>
  <c r="BA347" i="21398"/>
  <c r="BC347" i="21398"/>
  <c r="BB346" i="21398"/>
  <c r="BA346" i="21398"/>
  <c r="BC346" i="21398"/>
  <c r="BB345" i="21398"/>
  <c r="BA345" i="21398"/>
  <c r="BC345" i="21398"/>
  <c r="BA344" i="21398"/>
  <c r="BC344" i="21398"/>
  <c r="BB343" i="21398"/>
  <c r="BA343" i="21398"/>
  <c r="BC343" i="21398"/>
  <c r="BA342" i="21398"/>
  <c r="BC342" i="21398"/>
  <c r="BB341" i="21398"/>
  <c r="BA341" i="21398"/>
  <c r="BC341" i="21398"/>
  <c r="BB340" i="21398"/>
  <c r="BA340" i="21398"/>
  <c r="BC340" i="21398"/>
  <c r="BB339" i="21398"/>
  <c r="BA339" i="21398"/>
  <c r="BC339" i="21398"/>
  <c r="BB338" i="21398"/>
  <c r="BA338" i="21398"/>
  <c r="BC338" i="21398"/>
  <c r="BB337" i="21398"/>
  <c r="BA337" i="21398"/>
  <c r="BC337" i="21398"/>
  <c r="BB336" i="21398"/>
  <c r="BA336" i="21398"/>
  <c r="BC336" i="21398"/>
  <c r="BB335" i="21398"/>
  <c r="BA335" i="21398"/>
  <c r="BC335" i="21398"/>
  <c r="BB334" i="21398"/>
  <c r="BA334" i="21398"/>
  <c r="BC334" i="21398"/>
  <c r="BB333" i="21398"/>
  <c r="BA333" i="21398"/>
  <c r="BC333" i="21398"/>
  <c r="BA332" i="21398"/>
  <c r="BC332" i="21398"/>
  <c r="BB331" i="21398"/>
  <c r="BA331" i="21398"/>
  <c r="BC331" i="21398"/>
  <c r="BB330" i="21398"/>
  <c r="BA330" i="21398"/>
  <c r="BC330" i="21398"/>
  <c r="BB329" i="21398"/>
  <c r="BA329" i="21398"/>
  <c r="BC329" i="21398"/>
  <c r="BB328" i="21398"/>
  <c r="BA328" i="21398"/>
  <c r="BC328" i="21398"/>
  <c r="BB327" i="21398"/>
  <c r="BA327" i="21398"/>
  <c r="BC327" i="21398"/>
  <c r="BB326" i="21398"/>
  <c r="BA326" i="21398"/>
  <c r="BC326" i="21398"/>
  <c r="BB325" i="21398"/>
  <c r="BA325" i="21398"/>
  <c r="BC325" i="21398"/>
  <c r="BB324" i="21398"/>
  <c r="BA324" i="21398"/>
  <c r="BC324" i="21398"/>
  <c r="BB323" i="21398"/>
  <c r="BA323" i="21398"/>
  <c r="BC323" i="21398"/>
  <c r="BA322" i="21398"/>
  <c r="BC322" i="21398"/>
  <c r="BB321" i="21398"/>
  <c r="BA321" i="21398"/>
  <c r="BC321" i="21398"/>
  <c r="BB320" i="21398"/>
  <c r="BA320" i="21398"/>
  <c r="BC320" i="21398"/>
  <c r="BB319" i="21398"/>
  <c r="BA319" i="21398"/>
  <c r="BC319" i="21398"/>
  <c r="BA318" i="21398"/>
  <c r="BC318" i="21398"/>
  <c r="BB317" i="21398"/>
  <c r="BA317" i="21398"/>
  <c r="BC317" i="21398"/>
  <c r="BB316" i="21398"/>
  <c r="BA316" i="21398"/>
  <c r="BC316" i="21398"/>
  <c r="BB315" i="21398"/>
  <c r="BA315" i="21398"/>
  <c r="BC315" i="21398"/>
  <c r="BB314" i="21398"/>
  <c r="BA314" i="21398"/>
  <c r="BC314" i="21398"/>
  <c r="BB313" i="21398"/>
  <c r="BA313" i="21398"/>
  <c r="BC313" i="21398"/>
  <c r="BB312" i="21398"/>
  <c r="BA312" i="21398"/>
  <c r="BC312" i="21398"/>
  <c r="BB311" i="21398"/>
  <c r="BA311" i="21398"/>
  <c r="BC311" i="21398"/>
  <c r="BA310" i="21398"/>
  <c r="BC310" i="21398"/>
  <c r="BB309" i="21398"/>
  <c r="BA309" i="21398"/>
  <c r="BC309" i="21398"/>
  <c r="BB308" i="21398"/>
  <c r="BA308" i="21398"/>
  <c r="BC308" i="21398"/>
  <c r="BB307" i="21398"/>
  <c r="BA307" i="21398"/>
  <c r="BC307" i="21398"/>
  <c r="BB306" i="21398"/>
  <c r="BA306" i="21398"/>
  <c r="BC306" i="21398"/>
  <c r="BB305" i="21398"/>
  <c r="BA305" i="21398"/>
  <c r="BC305" i="21398"/>
  <c r="BB304" i="21398"/>
  <c r="BA304" i="21398"/>
  <c r="BC304" i="21398"/>
  <c r="BB303" i="21398"/>
  <c r="BA303" i="21398"/>
  <c r="BC303" i="21398"/>
  <c r="BB302" i="21398"/>
  <c r="BA302" i="21398"/>
  <c r="BC302" i="21398"/>
  <c r="BB301" i="21398"/>
  <c r="BA301" i="21398"/>
  <c r="BC301" i="21398"/>
  <c r="BA300" i="21398"/>
  <c r="BC300" i="21398"/>
  <c r="BB299" i="21398"/>
  <c r="BA299" i="21398"/>
  <c r="BC299" i="21398"/>
  <c r="BB298" i="21398"/>
  <c r="BA298" i="21398"/>
  <c r="BC298" i="21398"/>
  <c r="BB297" i="21398"/>
  <c r="BA297" i="21398"/>
  <c r="BC297" i="21398"/>
  <c r="BB296" i="21398"/>
  <c r="BA296" i="21398"/>
  <c r="BC296" i="21398"/>
  <c r="BB295" i="21398"/>
  <c r="BA295" i="21398"/>
  <c r="BC295" i="21398"/>
  <c r="BB294" i="21398"/>
  <c r="BA294" i="21398"/>
  <c r="BC294" i="21398"/>
  <c r="BB293" i="21398"/>
  <c r="BA293" i="21398"/>
  <c r="BC293" i="21398"/>
  <c r="BA292" i="21398"/>
  <c r="BC292" i="21398"/>
  <c r="BB291" i="21398"/>
  <c r="BA291" i="21398"/>
  <c r="BC291" i="21398"/>
  <c r="BB290" i="21398"/>
  <c r="BA290" i="21398"/>
  <c r="BC290" i="21398"/>
  <c r="BB289" i="21398"/>
  <c r="BA289" i="21398"/>
  <c r="BC289" i="21398"/>
  <c r="BA288" i="21398"/>
  <c r="BC288" i="21398"/>
  <c r="BB287" i="21398"/>
  <c r="BA287" i="21398"/>
  <c r="BC287" i="21398"/>
  <c r="BB286" i="21398"/>
  <c r="BA286" i="21398"/>
  <c r="BC286" i="21398"/>
  <c r="BB285" i="21398"/>
  <c r="BA285" i="21398"/>
  <c r="BC285" i="21398"/>
  <c r="BB284" i="21398"/>
  <c r="BA284" i="21398"/>
  <c r="BC284" i="21398"/>
  <c r="BB283" i="21398"/>
  <c r="BA283" i="21398"/>
  <c r="BC283" i="21398"/>
  <c r="BB282" i="21398"/>
  <c r="BA282" i="21398"/>
  <c r="BC282" i="21398"/>
  <c r="BB281" i="21398"/>
  <c r="BA281" i="21398"/>
  <c r="BC281" i="21398"/>
  <c r="BA280" i="21398"/>
  <c r="BC280" i="21398"/>
  <c r="BB279" i="21398"/>
  <c r="BA279" i="21398"/>
  <c r="AC279" i="21398"/>
  <c r="BC279" i="21398"/>
  <c r="BB278" i="21398"/>
  <c r="BA278" i="21398"/>
  <c r="BC278" i="21398"/>
  <c r="BB277" i="21398"/>
  <c r="BA277" i="21398"/>
  <c r="AC277" i="21398"/>
  <c r="BC277" i="21398"/>
  <c r="BB276" i="21398"/>
  <c r="BA276" i="21398"/>
  <c r="BC276" i="21398"/>
  <c r="BB275" i="21398"/>
  <c r="BA275" i="21398"/>
  <c r="AC275" i="21398"/>
  <c r="BC275" i="21398"/>
  <c r="BB274" i="21398"/>
  <c r="BA274" i="21398"/>
  <c r="BC274" i="21398"/>
  <c r="BB273" i="21398"/>
  <c r="BA273" i="21398"/>
  <c r="AC273" i="21398"/>
  <c r="BC273" i="21398"/>
  <c r="BB272" i="21398"/>
  <c r="BA272" i="21398"/>
  <c r="BC272" i="21398"/>
  <c r="BB271" i="21398"/>
  <c r="BA271" i="21398"/>
  <c r="BC271" i="21398"/>
  <c r="BA270" i="21398"/>
  <c r="BC270" i="21398"/>
  <c r="BB269" i="21398"/>
  <c r="BA269" i="21398"/>
  <c r="BC269" i="21398"/>
  <c r="BB268" i="21398"/>
  <c r="BA268" i="21398"/>
  <c r="BC268" i="21398"/>
  <c r="BB267" i="21398"/>
  <c r="BA267" i="21398"/>
  <c r="BC267" i="21398"/>
  <c r="BA266" i="21398"/>
  <c r="BC266" i="21398"/>
  <c r="BB265" i="21398"/>
  <c r="BA265" i="21398"/>
  <c r="BC265" i="21398"/>
  <c r="BB264" i="21398"/>
  <c r="BA264" i="21398"/>
  <c r="BC264" i="21398"/>
  <c r="BB263" i="21398"/>
  <c r="BA263" i="21398"/>
  <c r="BC263" i="21398"/>
  <c r="BA262" i="21398"/>
  <c r="BC262" i="21398"/>
  <c r="BB261" i="21398"/>
  <c r="BA261" i="21398"/>
  <c r="BC261" i="21398"/>
  <c r="BB260" i="21398"/>
  <c r="BA260" i="21398"/>
  <c r="BC260" i="21398"/>
  <c r="BB259" i="21398"/>
  <c r="BA259" i="21398"/>
  <c r="AC259" i="21398"/>
  <c r="BC259" i="21398"/>
  <c r="BB258" i="21398"/>
  <c r="BB257" i="21398"/>
  <c r="BA257" i="21398"/>
  <c r="AC257" i="21398"/>
  <c r="BC257" i="21398"/>
  <c r="BB256" i="21398"/>
  <c r="BB255" i="21398"/>
  <c r="BA255" i="21398"/>
  <c r="AC255" i="21398"/>
  <c r="BC255" i="21398"/>
  <c r="BB254" i="21398"/>
  <c r="BB253" i="21398"/>
  <c r="BA253" i="21398"/>
  <c r="AC253" i="21398"/>
  <c r="BC253" i="21398"/>
  <c r="BB252" i="21398"/>
  <c r="BB251" i="21398"/>
  <c r="BA251" i="21398"/>
  <c r="AC251" i="21398"/>
  <c r="BC251" i="21398"/>
  <c r="BB250" i="21398"/>
  <c r="BB249" i="21398"/>
  <c r="BA249" i="21398"/>
  <c r="AC249" i="21398"/>
  <c r="BC249" i="21398"/>
  <c r="BB248" i="21398"/>
  <c r="BA247" i="21398"/>
  <c r="AC247" i="21398"/>
  <c r="BC247" i="21398"/>
  <c r="BB246" i="21398"/>
  <c r="BB245" i="21398"/>
  <c r="BA245" i="21398"/>
  <c r="AC245" i="21398"/>
  <c r="BC245" i="21398"/>
  <c r="BB244" i="21398"/>
  <c r="BA243" i="21398"/>
  <c r="AC243" i="21398"/>
  <c r="BC243" i="21398"/>
  <c r="BB242" i="21398"/>
  <c r="BA241" i="21398"/>
  <c r="AC241" i="21398"/>
  <c r="BC241" i="21398"/>
  <c r="BB240" i="21398"/>
  <c r="BA239" i="21398"/>
  <c r="AC239" i="21398"/>
  <c r="BC239" i="21398"/>
  <c r="BB238" i="21398"/>
  <c r="BA237" i="21398"/>
  <c r="AC237" i="21398"/>
  <c r="BC237" i="21398"/>
  <c r="BB236" i="21398"/>
  <c r="BB235" i="21398"/>
  <c r="BA235" i="21398"/>
  <c r="AC235" i="21398"/>
  <c r="BC235" i="21398"/>
  <c r="BB234" i="21398"/>
  <c r="BA233" i="21398"/>
  <c r="AC233" i="21398"/>
  <c r="BC233" i="21398"/>
  <c r="BB232" i="21398"/>
  <c r="BB231" i="21398"/>
  <c r="BA231" i="21398"/>
  <c r="AC231" i="21398"/>
  <c r="BC231" i="21398"/>
  <c r="BB230" i="21398"/>
  <c r="BB229" i="21398"/>
  <c r="BA229" i="21398"/>
  <c r="AC229" i="21398"/>
  <c r="BC229" i="21398"/>
  <c r="BB228" i="21398"/>
  <c r="BC228" i="21398"/>
  <c r="BB227" i="21398"/>
  <c r="BA227" i="21398"/>
  <c r="AC227" i="21398"/>
  <c r="BC227" i="21398"/>
  <c r="BB226" i="21398"/>
  <c r="BC226" i="21398"/>
  <c r="BB225" i="21398"/>
  <c r="BA225" i="21398"/>
  <c r="AC225" i="21398"/>
  <c r="BC225" i="21398"/>
  <c r="BB224" i="21398"/>
  <c r="BC224" i="21398"/>
  <c r="BB223" i="21398"/>
  <c r="BA223" i="21398"/>
  <c r="AC223" i="21398"/>
  <c r="BC223" i="21398"/>
  <c r="BB222" i="21398"/>
  <c r="BC222" i="21398"/>
  <c r="BB221" i="21398"/>
  <c r="BA221" i="21398"/>
  <c r="AC221" i="21398"/>
  <c r="BC221" i="21398"/>
  <c r="BB220" i="21398"/>
  <c r="BB219" i="21398"/>
  <c r="BA219" i="21398"/>
  <c r="AC219" i="21398"/>
  <c r="BC219" i="21398"/>
  <c r="BB218" i="21398"/>
  <c r="BB217" i="21398"/>
  <c r="BA217" i="21398"/>
  <c r="AC217" i="21398"/>
  <c r="BC217" i="21398"/>
  <c r="BB216" i="21398"/>
  <c r="BB215" i="21398"/>
  <c r="BA215" i="21398"/>
  <c r="AC215" i="21398"/>
  <c r="BC215" i="21398"/>
  <c r="BB214" i="21398"/>
  <c r="BA213" i="21398"/>
  <c r="AC213" i="21398"/>
  <c r="BC213" i="21398"/>
  <c r="BB212" i="21398"/>
  <c r="BB211" i="21398"/>
  <c r="BA211" i="21398"/>
  <c r="AC211" i="21398"/>
  <c r="BC211" i="21398"/>
  <c r="BB210" i="21398"/>
  <c r="BB209" i="21398"/>
  <c r="BA209" i="21398"/>
  <c r="AC209" i="21398"/>
  <c r="BC209" i="21398"/>
  <c r="BB208" i="21398"/>
  <c r="BA207" i="21398"/>
  <c r="AC207" i="21398"/>
  <c r="BC207" i="21398"/>
  <c r="BB206" i="21398"/>
  <c r="BB205" i="21398"/>
  <c r="BA205" i="21398"/>
  <c r="AC205" i="21398"/>
  <c r="BC205" i="21398"/>
  <c r="BB204" i="21398"/>
  <c r="BB203" i="21398"/>
  <c r="BA203" i="21398"/>
  <c r="AC203" i="21398"/>
  <c r="BC203" i="21398"/>
  <c r="BB202" i="21398"/>
  <c r="BB201" i="21398"/>
  <c r="BA201" i="21398"/>
  <c r="AC201" i="21398"/>
  <c r="BC201" i="21398"/>
  <c r="BB200" i="21398"/>
  <c r="BA199" i="21398"/>
  <c r="AC199" i="21398"/>
  <c r="BC199" i="21398"/>
  <c r="BB198" i="21398"/>
  <c r="BB197" i="21398"/>
  <c r="BA197" i="21398"/>
  <c r="AC197" i="21398"/>
  <c r="BC197" i="21398"/>
  <c r="BB196" i="21398"/>
  <c r="BB195" i="21398"/>
  <c r="BA195" i="21398"/>
  <c r="AC195" i="21398"/>
  <c r="BC195" i="21398"/>
  <c r="BB194" i="21398"/>
  <c r="BB193" i="21398"/>
  <c r="BA193" i="21398"/>
  <c r="AC193" i="21398"/>
  <c r="BC193" i="21398"/>
  <c r="BB192" i="21398"/>
  <c r="BA191" i="21398"/>
  <c r="AC191" i="21398"/>
  <c r="BC191" i="21398"/>
  <c r="BB190" i="21398"/>
  <c r="BB189" i="21398"/>
  <c r="BA189" i="21398"/>
  <c r="AC189" i="21398"/>
  <c r="BC189" i="21398"/>
  <c r="BB188" i="21398"/>
  <c r="BB187" i="21398"/>
  <c r="BA187" i="21398"/>
  <c r="AC187" i="21398"/>
  <c r="BC187" i="21398"/>
  <c r="BB186" i="21398"/>
  <c r="BB185" i="21398"/>
  <c r="BA185" i="21398"/>
  <c r="AC185" i="21398"/>
  <c r="BC185" i="21398"/>
  <c r="BB184" i="21398"/>
  <c r="BB183" i="21398"/>
  <c r="BA183" i="21398"/>
  <c r="AC183" i="21398"/>
  <c r="BC183" i="21398"/>
  <c r="BB182" i="21398"/>
  <c r="BA181" i="21398"/>
  <c r="AC181" i="21398"/>
  <c r="BC181" i="21398"/>
  <c r="BB180" i="21398"/>
  <c r="BB179" i="21398"/>
  <c r="BA179" i="21398"/>
  <c r="AC179" i="21398"/>
  <c r="BC179" i="21398"/>
  <c r="BB178" i="21398"/>
  <c r="BB177" i="21398"/>
  <c r="BA177" i="21398"/>
  <c r="AC177" i="21398"/>
  <c r="BC177" i="21398"/>
  <c r="BB176" i="21398"/>
  <c r="BA175" i="21398"/>
  <c r="AC175" i="21398"/>
  <c r="BC175" i="21398"/>
  <c r="BB174" i="21398"/>
  <c r="BB173" i="21398"/>
  <c r="BA173" i="21398"/>
  <c r="AC173" i="21398"/>
  <c r="BC173" i="21398"/>
  <c r="BB172" i="21398"/>
  <c r="BB171" i="21398"/>
  <c r="BA171" i="21398"/>
  <c r="AC171" i="21398"/>
  <c r="BC171" i="21398"/>
  <c r="BB170" i="21398"/>
  <c r="BB169" i="21398"/>
  <c r="BA169" i="21398"/>
  <c r="AC169" i="21398"/>
  <c r="BC169" i="21398"/>
  <c r="BB168" i="21398"/>
  <c r="BB167" i="21398"/>
  <c r="BA167" i="21398"/>
  <c r="AC167" i="21398"/>
  <c r="BC167" i="21398"/>
  <c r="BB166" i="21398"/>
  <c r="BA165" i="21398"/>
  <c r="AC165" i="21398"/>
  <c r="BC165" i="21398"/>
  <c r="BB164" i="21398"/>
  <c r="BB163" i="21398"/>
  <c r="BA163" i="21398"/>
  <c r="AC163" i="21398"/>
  <c r="BC163" i="21398"/>
  <c r="BB162" i="21398"/>
  <c r="BB161" i="21398"/>
  <c r="BA161" i="21398"/>
  <c r="AC161" i="21398"/>
  <c r="BC161" i="21398"/>
  <c r="BB160" i="21398"/>
  <c r="BB159" i="21398"/>
  <c r="BA159" i="21398"/>
  <c r="AC159" i="21398"/>
  <c r="BC159" i="21398"/>
  <c r="BB158" i="21398"/>
  <c r="BA157" i="21398"/>
  <c r="AC157" i="21398"/>
  <c r="BC157" i="21398"/>
  <c r="BB156" i="21398"/>
  <c r="BB155" i="21398"/>
  <c r="BA155" i="21398"/>
  <c r="AC155" i="21398"/>
  <c r="BC155" i="21398"/>
  <c r="BB154" i="21398"/>
  <c r="BA153" i="21398"/>
  <c r="AC153" i="21398"/>
  <c r="BC153" i="21398"/>
  <c r="BB152" i="21398"/>
  <c r="BA151" i="21398"/>
  <c r="AC151" i="21398"/>
  <c r="BC151" i="21398"/>
  <c r="BB150" i="21398"/>
  <c r="BB149" i="21398"/>
  <c r="BA149" i="21398"/>
  <c r="AC149" i="21398"/>
  <c r="BC149" i="21398"/>
  <c r="AC147" i="21398"/>
  <c r="BC147" i="21398"/>
  <c r="BA145" i="21398"/>
  <c r="AC145" i="21398"/>
  <c r="BC145" i="21398"/>
  <c r="BB144" i="21398"/>
  <c r="BA144" i="21398"/>
  <c r="BC144" i="21398"/>
  <c r="AC143" i="21398"/>
  <c r="BC143" i="21398"/>
  <c r="BB142" i="21398"/>
  <c r="BA142" i="21398"/>
  <c r="BC142" i="21398"/>
  <c r="BB141" i="21398"/>
  <c r="BA141" i="21398"/>
  <c r="AC141" i="21398"/>
  <c r="BC141" i="21398"/>
  <c r="BB140" i="21398"/>
  <c r="BC140" i="21398"/>
  <c r="BB139" i="21398"/>
  <c r="BA139" i="21398"/>
  <c r="AC139" i="21398"/>
  <c r="BC139" i="21398"/>
  <c r="BB138" i="21398"/>
  <c r="BC138" i="21398"/>
  <c r="BB137" i="21398"/>
  <c r="BA137" i="21398"/>
  <c r="AC137" i="21398"/>
  <c r="BC137" i="21398"/>
  <c r="BB136" i="21398"/>
  <c r="BC136" i="21398"/>
  <c r="BB135" i="21398"/>
  <c r="BA135" i="21398"/>
  <c r="AC135" i="21398"/>
  <c r="BC135" i="21398"/>
  <c r="BB134" i="21398"/>
  <c r="BC134" i="21398"/>
  <c r="BA133" i="21398"/>
  <c r="AC133" i="21398"/>
  <c r="BC133" i="21398"/>
  <c r="BB132" i="21398"/>
  <c r="BA131" i="21398"/>
  <c r="BB131" i="21398"/>
  <c r="AC131" i="21398"/>
  <c r="BC131" i="21398"/>
  <c r="BB130" i="21398"/>
  <c r="BA129" i="21398"/>
  <c r="AC129" i="21398"/>
  <c r="BC129" i="21398"/>
  <c r="BB128" i="21398"/>
  <c r="BB127" i="21398"/>
  <c r="BA127" i="21398"/>
  <c r="AC127" i="21398"/>
  <c r="BC127" i="21398"/>
  <c r="BB126" i="21398"/>
  <c r="BA125" i="21398"/>
  <c r="AC125" i="21398"/>
  <c r="BC125" i="21398"/>
  <c r="BB124" i="21398"/>
  <c r="BB123" i="21398"/>
  <c r="BA123" i="21398"/>
  <c r="AC123" i="21398"/>
  <c r="BC123" i="21398"/>
  <c r="BB122" i="21398"/>
  <c r="AY121" i="21398"/>
  <c r="BA121" i="21398" s="1"/>
  <c r="AC121" i="21398"/>
  <c r="M121" i="21398"/>
  <c r="BC121" i="21398" s="1"/>
  <c r="AZ120" i="21398"/>
  <c r="BB120" i="21398" s="1"/>
  <c r="AZ119" i="21398"/>
  <c r="BB119" i="21398" s="1"/>
  <c r="AY119" i="21398"/>
  <c r="BA119" i="21398" s="1"/>
  <c r="AC119" i="21398"/>
  <c r="M119" i="21398"/>
  <c r="BC119" i="21398" s="1"/>
  <c r="AZ118" i="21398"/>
  <c r="BB118" i="21398" s="1"/>
  <c r="AC118" i="21398"/>
  <c r="AZ117" i="21398"/>
  <c r="BB117" i="21398" s="1"/>
  <c r="AY117" i="21398"/>
  <c r="BA117" i="21398" s="1"/>
  <c r="AC117" i="21398"/>
  <c r="M117" i="21398"/>
  <c r="BC117" i="21398" s="1"/>
  <c r="AC114" i="21398"/>
  <c r="AC111" i="21398"/>
  <c r="AC110" i="21398"/>
  <c r="BA109" i="21398"/>
  <c r="AC109" i="21398"/>
  <c r="BC109" i="21398"/>
  <c r="BB107" i="21398"/>
  <c r="BA107" i="21398"/>
  <c r="AC107" i="21398"/>
  <c r="M107" i="21398"/>
  <c r="BC107" i="21398" s="1"/>
  <c r="BB106" i="21398"/>
  <c r="AZ105" i="21398"/>
  <c r="BB105" i="21398" s="1"/>
  <c r="AY105" i="21398"/>
  <c r="BA105" i="21398" s="1"/>
  <c r="AC105" i="21398"/>
  <c r="M105" i="21398"/>
  <c r="BC105" i="21398" s="1"/>
  <c r="BB104" i="21398"/>
  <c r="BB103" i="21398"/>
  <c r="BA103" i="21398"/>
  <c r="AC103" i="21398"/>
  <c r="BC103" i="21398"/>
  <c r="BB102" i="21398"/>
  <c r="BA101" i="21398"/>
  <c r="AC101" i="21398"/>
  <c r="BC101" i="21398"/>
  <c r="BB100" i="21398"/>
  <c r="BB99" i="21398"/>
  <c r="BA99" i="21398"/>
  <c r="AC99" i="21398"/>
  <c r="BC99" i="21398"/>
  <c r="BB98" i="21398"/>
  <c r="BB97" i="21398"/>
  <c r="BA97" i="21398"/>
  <c r="AC97" i="21398"/>
  <c r="BC97" i="21398"/>
  <c r="BB96" i="21398"/>
  <c r="BB95" i="21398"/>
  <c r="BA95" i="21398"/>
  <c r="AC95" i="21398"/>
  <c r="BC95" i="21398"/>
  <c r="BB94" i="21398"/>
  <c r="BB93" i="21398"/>
  <c r="BA93" i="21398"/>
  <c r="AC93" i="21398"/>
  <c r="BC93" i="21398"/>
  <c r="BB92" i="21398"/>
  <c r="BA91" i="21398"/>
  <c r="AC91" i="21398"/>
  <c r="BC91" i="21398"/>
  <c r="BB90" i="21398"/>
  <c r="BA89" i="21398"/>
  <c r="AC89" i="21398"/>
  <c r="BC89" i="21398"/>
  <c r="BB88" i="21398"/>
  <c r="BA87" i="21398"/>
  <c r="AC87" i="21398"/>
  <c r="BC87" i="21398"/>
  <c r="BB86" i="21398"/>
  <c r="BA85" i="21398"/>
  <c r="AC85" i="21398"/>
  <c r="BC85" i="21398"/>
  <c r="BB84" i="21398"/>
  <c r="BA84" i="21398"/>
  <c r="BB83" i="21398"/>
  <c r="BA83" i="21398"/>
  <c r="AC83" i="21398"/>
  <c r="BC83" i="21398"/>
  <c r="BB82" i="21398"/>
  <c r="BA82" i="21398"/>
  <c r="BB81" i="21398"/>
  <c r="BA81" i="21398"/>
  <c r="AC81" i="21398"/>
  <c r="BC81" i="21398"/>
  <c r="BB80" i="21398"/>
  <c r="BA80" i="21398"/>
  <c r="BB79" i="21398"/>
  <c r="BA79" i="21398"/>
  <c r="AC79" i="21398"/>
  <c r="BC79" i="21398"/>
  <c r="BB78" i="21398"/>
  <c r="BA78" i="21398"/>
  <c r="BB77" i="21398"/>
  <c r="BA77" i="21398"/>
  <c r="AC77" i="21398"/>
  <c r="BC77" i="21398"/>
  <c r="BB76" i="21398"/>
  <c r="BA76" i="21398"/>
  <c r="BB75" i="21398"/>
  <c r="BA75" i="21398"/>
  <c r="BC75" i="21398"/>
  <c r="BB74" i="21398"/>
  <c r="BA74" i="21398"/>
  <c r="BB73" i="21398"/>
  <c r="BA73" i="21398"/>
  <c r="BC73" i="21398"/>
  <c r="BB72" i="21398"/>
  <c r="BA72" i="21398"/>
  <c r="BB71" i="21398"/>
  <c r="BA71" i="21398"/>
  <c r="BC71" i="21398"/>
  <c r="BB70" i="21398"/>
  <c r="BA70" i="21398"/>
  <c r="BB69" i="21398"/>
  <c r="BA69" i="21398"/>
  <c r="BC69" i="21398"/>
  <c r="BB68" i="21398"/>
  <c r="BA68" i="21398"/>
  <c r="BB67" i="21398"/>
  <c r="BA67" i="21398"/>
  <c r="AC67" i="21398"/>
  <c r="BC67" i="21398"/>
  <c r="BB66" i="21398"/>
  <c r="BA66" i="21398"/>
  <c r="BB65" i="21398"/>
  <c r="BA65" i="21398"/>
  <c r="AC65" i="21398"/>
  <c r="BC65" i="21398"/>
  <c r="BB64" i="21398"/>
  <c r="BA64" i="21398"/>
  <c r="BB63" i="21398"/>
  <c r="BA63" i="21398"/>
  <c r="AC63" i="21398"/>
  <c r="BC63" i="21398"/>
  <c r="BB62" i="21398"/>
  <c r="BA62" i="21398"/>
  <c r="BB61" i="21398"/>
  <c r="BA61" i="21398"/>
  <c r="AC61" i="21398"/>
  <c r="BC61" i="21398"/>
  <c r="BB60" i="21398"/>
  <c r="BA60" i="21398"/>
  <c r="BB59" i="21398"/>
  <c r="BA59" i="21398"/>
  <c r="AC59" i="21398"/>
  <c r="BC59" i="21398"/>
  <c r="BB58" i="21398"/>
  <c r="BA58" i="21398"/>
  <c r="BB57" i="21398"/>
  <c r="BA57" i="21398"/>
  <c r="AC57" i="21398"/>
  <c r="BC57" i="21398"/>
  <c r="BB56" i="21398"/>
  <c r="BA56" i="21398"/>
  <c r="BB55" i="21398"/>
  <c r="BA55" i="21398"/>
  <c r="AC55" i="21398"/>
  <c r="BC55" i="21398"/>
  <c r="BB54" i="21398"/>
  <c r="BA54" i="21398"/>
  <c r="BB53" i="21398"/>
  <c r="BA53" i="21398"/>
  <c r="AC53" i="21398"/>
  <c r="BC53" i="21398"/>
  <c r="BB52" i="21398"/>
  <c r="BA52" i="21398"/>
  <c r="BB51" i="21398"/>
  <c r="BA51" i="21398"/>
  <c r="AC51" i="21398"/>
  <c r="BC51" i="21398"/>
  <c r="BB50" i="21398"/>
  <c r="BA50" i="21398"/>
  <c r="BB49" i="21398"/>
  <c r="BA49" i="21398"/>
  <c r="AC49" i="21398"/>
  <c r="BC49" i="21398"/>
  <c r="BB48" i="21398"/>
  <c r="BB47" i="21398"/>
  <c r="BA47" i="21398"/>
  <c r="AC47" i="21398"/>
  <c r="BC47" i="21398"/>
  <c r="BB46" i="21398"/>
  <c r="BB45" i="21398"/>
  <c r="BA45" i="21398"/>
  <c r="AC45" i="21398"/>
  <c r="BC45" i="21398"/>
  <c r="BB44" i="21398"/>
  <c r="BB43" i="21398"/>
  <c r="BA43" i="21398"/>
  <c r="AC43" i="21398"/>
  <c r="BC43" i="21398"/>
  <c r="BB42" i="21398"/>
  <c r="BB41" i="21398"/>
  <c r="BA41" i="21398"/>
  <c r="AC41" i="21398"/>
  <c r="BC41" i="21398"/>
  <c r="BB40" i="21398"/>
  <c r="BA39" i="21398"/>
  <c r="AC39" i="21398"/>
  <c r="BB38" i="21398"/>
  <c r="BB37" i="21398"/>
  <c r="BA37" i="21398"/>
  <c r="AC37" i="21398"/>
  <c r="BC37" i="21398"/>
  <c r="BB36" i="21398"/>
  <c r="BB35" i="21398"/>
  <c r="BA35" i="21398"/>
  <c r="AC35" i="21398"/>
  <c r="BC35" i="21398"/>
  <c r="BB34" i="21398"/>
  <c r="BA33" i="21398"/>
  <c r="AC33" i="21398"/>
  <c r="BC33" i="21398"/>
  <c r="BB32" i="21398"/>
  <c r="BB31" i="21398"/>
  <c r="BA31" i="21398"/>
  <c r="AC31" i="21398"/>
  <c r="BC31" i="21398"/>
  <c r="BB30" i="21398"/>
  <c r="BB29" i="21398"/>
  <c r="BA29" i="21398"/>
  <c r="AC29" i="21398"/>
  <c r="BC29" i="21398"/>
  <c r="BB28" i="21398"/>
  <c r="BB27" i="21398"/>
  <c r="BA27" i="21398"/>
  <c r="AC27" i="21398"/>
  <c r="BC27" i="21398"/>
  <c r="BB26" i="21398"/>
  <c r="BA25" i="21398"/>
  <c r="AC25" i="21398"/>
  <c r="BC25" i="21398"/>
  <c r="BB24" i="21398"/>
  <c r="BB23" i="21398"/>
  <c r="BA23" i="21398"/>
  <c r="AC23" i="21398"/>
  <c r="BC23" i="21398"/>
  <c r="BB22" i="21398"/>
  <c r="BA22" i="21398"/>
  <c r="BA21" i="21398"/>
  <c r="BB21" i="21398"/>
  <c r="AC21" i="21398"/>
  <c r="BC21" i="21398"/>
  <c r="BB20" i="21398"/>
  <c r="BA20" i="21398"/>
  <c r="BC20" i="21398"/>
  <c r="BB19" i="21398"/>
  <c r="BA19" i="21398"/>
  <c r="AC19" i="21398"/>
  <c r="BC19" i="21398"/>
  <c r="BB18" i="21398"/>
  <c r="BA18" i="21398"/>
  <c r="BC18" i="21398"/>
  <c r="BA17" i="21398"/>
  <c r="BB17" i="21398"/>
  <c r="AC17" i="21398"/>
  <c r="BC17" i="21398"/>
  <c r="BB16" i="21398"/>
  <c r="BA16" i="21398"/>
  <c r="BC16" i="21398"/>
  <c r="BB15" i="21398"/>
  <c r="BA15" i="21398"/>
  <c r="AC15" i="21398"/>
  <c r="BC15" i="21398"/>
  <c r="BB14" i="21398"/>
  <c r="BA14" i="21398"/>
  <c r="BC14" i="21398"/>
  <c r="BA13" i="21398"/>
  <c r="BB13" i="21398"/>
  <c r="AC13" i="21398"/>
  <c r="BC13" i="21398"/>
  <c r="BA12" i="21398"/>
  <c r="BB12" i="21398"/>
  <c r="AC12" i="21398"/>
  <c r="BC12" i="21398"/>
  <c r="BA11" i="21398"/>
  <c r="BB11" i="21398"/>
  <c r="AC11" i="21398"/>
  <c r="BC11" i="21398"/>
  <c r="BB10" i="21398"/>
  <c r="BA10" i="21398"/>
  <c r="AC10" i="21398"/>
  <c r="BC10" i="21398"/>
  <c r="BB9" i="21398"/>
  <c r="BA9" i="21398"/>
  <c r="AC9" i="21398"/>
  <c r="M9" i="21398"/>
  <c r="BC9" i="21398" s="1"/>
  <c r="BB8" i="21398"/>
  <c r="BA8" i="21398"/>
  <c r="AC8" i="21398"/>
  <c r="M8" i="21398"/>
  <c r="BC8" i="21398" s="1"/>
  <c r="BB7" i="21398"/>
  <c r="BA7" i="21398"/>
  <c r="AC7" i="21398"/>
  <c r="M7" i="21398"/>
  <c r="BC7" i="21398" s="1"/>
  <c r="BB6" i="21398"/>
  <c r="BA6" i="21398"/>
  <c r="AC6" i="21398"/>
  <c r="M6" i="21398"/>
  <c r="BC6" i="21398" s="1"/>
  <c r="BA406" i="2"/>
  <c r="AC406" i="2"/>
  <c r="M406" i="2"/>
  <c r="BC406" i="2" s="1"/>
  <c r="BB405" i="2"/>
  <c r="BA405" i="2"/>
  <c r="AC405" i="2"/>
  <c r="M405" i="2"/>
  <c r="BC405" i="2" s="1"/>
  <c r="BB404" i="2"/>
  <c r="BA404" i="2"/>
  <c r="M404" i="2"/>
  <c r="BC404" i="2" s="1"/>
  <c r="BB403" i="2"/>
  <c r="BA403" i="2"/>
  <c r="AC403" i="2"/>
  <c r="M403" i="2"/>
  <c r="BC403" i="2" s="1"/>
  <c r="BB402" i="2"/>
  <c r="BA402" i="2"/>
  <c r="M402" i="2"/>
  <c r="BC402" i="2" s="1"/>
  <c r="BB401" i="2"/>
  <c r="BA401" i="2"/>
  <c r="AC401" i="2"/>
  <c r="M401" i="2"/>
  <c r="BC401" i="2" s="1"/>
  <c r="BB400" i="2"/>
  <c r="BA400" i="2"/>
  <c r="M400" i="2"/>
  <c r="BC400" i="2" s="1"/>
  <c r="BB399" i="2"/>
  <c r="BA399" i="2"/>
  <c r="AC399" i="2"/>
  <c r="M399" i="2"/>
  <c r="BC399" i="2" s="1"/>
  <c r="BB398" i="2"/>
  <c r="BA398" i="2"/>
  <c r="AC398" i="2"/>
  <c r="M398" i="2"/>
  <c r="BC398" i="2" s="1"/>
  <c r="BB397" i="2"/>
  <c r="BA397" i="2"/>
  <c r="AC397" i="2"/>
  <c r="M397" i="2"/>
  <c r="BC397" i="2" s="1"/>
  <c r="BA396" i="2"/>
  <c r="M396" i="2"/>
  <c r="BC396" i="2" s="1"/>
  <c r="BB395" i="2"/>
  <c r="BA395" i="2"/>
  <c r="AC395" i="2"/>
  <c r="M395" i="2"/>
  <c r="BC395" i="2" s="1"/>
  <c r="BB394" i="2"/>
  <c r="BA394" i="2"/>
  <c r="M394" i="2"/>
  <c r="BC394" i="2" s="1"/>
  <c r="BB393" i="2"/>
  <c r="BA393" i="2"/>
  <c r="AC393" i="2"/>
  <c r="M393" i="2"/>
  <c r="BC393" i="2" s="1"/>
  <c r="BB392" i="2"/>
  <c r="BA392" i="2"/>
  <c r="M392" i="2"/>
  <c r="BC392" i="2" s="1"/>
  <c r="BA391" i="2"/>
  <c r="BB391" i="2"/>
  <c r="AC391" i="2"/>
  <c r="M391" i="2"/>
  <c r="BC391" i="2" s="1"/>
  <c r="BA390" i="2"/>
  <c r="M390" i="2"/>
  <c r="BC390" i="2" s="1"/>
  <c r="BB389" i="2"/>
  <c r="BA389" i="2"/>
  <c r="AC389" i="2"/>
  <c r="M389" i="2"/>
  <c r="BC389" i="2" s="1"/>
  <c r="BA388" i="2"/>
  <c r="M388" i="2"/>
  <c r="BC388" i="2" s="1"/>
  <c r="BB387" i="2"/>
  <c r="BA387" i="2"/>
  <c r="AC387" i="2"/>
  <c r="M387" i="2"/>
  <c r="BC387" i="2" s="1"/>
  <c r="BB386" i="2"/>
  <c r="BA386" i="2"/>
  <c r="M386" i="2"/>
  <c r="BC386" i="2" s="1"/>
  <c r="BB385" i="2"/>
  <c r="BA385" i="2"/>
  <c r="AC385" i="2"/>
  <c r="M385" i="2"/>
  <c r="BC385" i="2" s="1"/>
  <c r="BA384" i="2"/>
  <c r="M384" i="2"/>
  <c r="BC384" i="2" s="1"/>
  <c r="BB383" i="2"/>
  <c r="BA383" i="2"/>
  <c r="AC383" i="2"/>
  <c r="M383" i="2"/>
  <c r="BC383" i="2" s="1"/>
  <c r="BB382" i="2"/>
  <c r="BA382" i="2"/>
  <c r="M382" i="2"/>
  <c r="BC382" i="2" s="1"/>
  <c r="BB381" i="2"/>
  <c r="BA381" i="2"/>
  <c r="AC381" i="2"/>
  <c r="M381" i="2"/>
  <c r="BC381" i="2" s="1"/>
  <c r="BB380" i="2"/>
  <c r="BA380" i="2"/>
  <c r="M380" i="2"/>
  <c r="BC380" i="2" s="1"/>
  <c r="BA379" i="2"/>
  <c r="BB379" i="2"/>
  <c r="AC379" i="2"/>
  <c r="M379" i="2"/>
  <c r="BC379" i="2" s="1"/>
  <c r="AZ377" i="2"/>
  <c r="BB377" i="2" s="1"/>
  <c r="AY377" i="2"/>
  <c r="BA377" i="2" s="1"/>
  <c r="AC377" i="2"/>
  <c r="M377" i="2"/>
  <c r="BC377" i="2" s="1"/>
  <c r="BB376" i="2"/>
  <c r="BA376" i="2"/>
  <c r="M376" i="2"/>
  <c r="BC376" i="2" s="1"/>
  <c r="BB375" i="2"/>
  <c r="BA375" i="2"/>
  <c r="AC375" i="2"/>
  <c r="M375" i="2"/>
  <c r="BC375" i="2" s="1"/>
  <c r="BB374" i="2"/>
  <c r="BA374" i="2"/>
  <c r="M374" i="2"/>
  <c r="BC374" i="2" s="1"/>
  <c r="BB373" i="2"/>
  <c r="BA373" i="2"/>
  <c r="AC373" i="2"/>
  <c r="M373" i="2"/>
  <c r="BC373" i="2" s="1"/>
  <c r="BB372" i="2"/>
  <c r="BA372" i="2"/>
  <c r="M372" i="2"/>
  <c r="BC372" i="2" s="1"/>
  <c r="BB371" i="2"/>
  <c r="BA371" i="2"/>
  <c r="AC371" i="2"/>
  <c r="M371" i="2"/>
  <c r="BC371" i="2" s="1"/>
  <c r="BB370" i="2"/>
  <c r="BA370" i="2"/>
  <c r="M370" i="2"/>
  <c r="BC370" i="2" s="1"/>
  <c r="BB369" i="2"/>
  <c r="BA369" i="2"/>
  <c r="AC369" i="2"/>
  <c r="M369" i="2"/>
  <c r="BC369" i="2" s="1"/>
  <c r="BB368" i="2"/>
  <c r="BA368" i="2"/>
  <c r="M368" i="2"/>
  <c r="BC368" i="2" s="1"/>
  <c r="BB367" i="2"/>
  <c r="BA367" i="2"/>
  <c r="AC367" i="2"/>
  <c r="M367" i="2"/>
  <c r="BC367" i="2" s="1"/>
  <c r="BB366" i="2"/>
  <c r="BA366" i="2"/>
  <c r="M366" i="2"/>
  <c r="BC366" i="2" s="1"/>
  <c r="BB365" i="2"/>
  <c r="BA365" i="2"/>
  <c r="AC365" i="2"/>
  <c r="M365" i="2"/>
  <c r="BC365" i="2" s="1"/>
  <c r="BB364" i="2"/>
  <c r="BA364" i="2"/>
  <c r="M364" i="2"/>
  <c r="BC364" i="2" s="1"/>
  <c r="BB363" i="2"/>
  <c r="BA363" i="2"/>
  <c r="AC363" i="2"/>
  <c r="M363" i="2"/>
  <c r="BC363" i="2" s="1"/>
  <c r="BB362" i="2"/>
  <c r="BA362" i="2"/>
  <c r="M362" i="2"/>
  <c r="BC362" i="2" s="1"/>
  <c r="BB361" i="2"/>
  <c r="BA361" i="2"/>
  <c r="AC361" i="2"/>
  <c r="M361" i="2"/>
  <c r="BC361" i="2" s="1"/>
  <c r="BB360" i="2"/>
  <c r="BA360" i="2"/>
  <c r="M360" i="2"/>
  <c r="BC360" i="2" s="1"/>
  <c r="BB359" i="2"/>
  <c r="BA359" i="2"/>
  <c r="AC359" i="2"/>
  <c r="M359" i="2"/>
  <c r="BC359" i="2" s="1"/>
  <c r="BB358" i="2"/>
  <c r="BA358" i="2"/>
  <c r="M358" i="2"/>
  <c r="BC358" i="2" s="1"/>
  <c r="BB357" i="2"/>
  <c r="BA357" i="2"/>
  <c r="AC357" i="2"/>
  <c r="M357" i="2"/>
  <c r="BC357" i="2" s="1"/>
  <c r="BA356" i="2"/>
  <c r="M356" i="2"/>
  <c r="BC356" i="2" s="1"/>
  <c r="BA355" i="2"/>
  <c r="AC355" i="2"/>
  <c r="M355" i="2"/>
  <c r="BC355" i="2" s="1"/>
  <c r="BB354" i="2"/>
  <c r="BA354" i="2"/>
  <c r="M354" i="2"/>
  <c r="BC354" i="2" s="1"/>
  <c r="BB353" i="2"/>
  <c r="BA353" i="2"/>
  <c r="AC353" i="2"/>
  <c r="M353" i="2"/>
  <c r="BC353" i="2" s="1"/>
  <c r="BA352" i="2"/>
  <c r="M352" i="2"/>
  <c r="BC352" i="2" s="1"/>
  <c r="BB351" i="2"/>
  <c r="BA351" i="2"/>
  <c r="AC351" i="2"/>
  <c r="M351" i="2"/>
  <c r="BC351" i="2" s="1"/>
  <c r="BA350" i="2"/>
  <c r="AC350" i="2"/>
  <c r="M350" i="2"/>
  <c r="BC350" i="2" s="1"/>
  <c r="BB349" i="2"/>
  <c r="BA349" i="2"/>
  <c r="AC349" i="2"/>
  <c r="M349" i="2"/>
  <c r="BC349" i="2" s="1"/>
  <c r="BA348" i="2"/>
  <c r="M348" i="2"/>
  <c r="BC348" i="2" s="1"/>
  <c r="BB347" i="2"/>
  <c r="BA347" i="2"/>
  <c r="AC347" i="2"/>
  <c r="M347" i="2"/>
  <c r="BC347" i="2" s="1"/>
  <c r="BB346" i="2"/>
  <c r="BA346" i="2"/>
  <c r="AC346" i="2"/>
  <c r="M346" i="2"/>
  <c r="BC346" i="2" s="1"/>
  <c r="BB345" i="2"/>
  <c r="BA345" i="2"/>
  <c r="AC345" i="2"/>
  <c r="M345" i="2"/>
  <c r="BC345" i="2" s="1"/>
  <c r="BA344" i="2"/>
  <c r="M344" i="2"/>
  <c r="BC344" i="2" s="1"/>
  <c r="BB343" i="2"/>
  <c r="BA343" i="2"/>
  <c r="AC343" i="2"/>
  <c r="M343" i="2"/>
  <c r="BC343" i="2" s="1"/>
  <c r="BA342" i="2"/>
  <c r="M342" i="2"/>
  <c r="BC342" i="2" s="1"/>
  <c r="BB341" i="2"/>
  <c r="BA341" i="2"/>
  <c r="AC341" i="2"/>
  <c r="M341" i="2"/>
  <c r="BC341" i="2" s="1"/>
  <c r="BB340" i="2"/>
  <c r="BA340" i="2"/>
  <c r="M340" i="2"/>
  <c r="BC340" i="2" s="1"/>
  <c r="BB339" i="2"/>
  <c r="BA339" i="2"/>
  <c r="AC339" i="2"/>
  <c r="M339" i="2"/>
  <c r="BC339" i="2" s="1"/>
  <c r="BB338" i="2"/>
  <c r="BA338" i="2"/>
  <c r="M338" i="2"/>
  <c r="BC338" i="2" s="1"/>
  <c r="BB337" i="2"/>
  <c r="BA337" i="2"/>
  <c r="AC337" i="2"/>
  <c r="M337" i="2"/>
  <c r="BC337" i="2" s="1"/>
  <c r="BB336" i="2"/>
  <c r="BA336" i="2"/>
  <c r="M336" i="2"/>
  <c r="BC336" i="2" s="1"/>
  <c r="BB335" i="2"/>
  <c r="BA335" i="2"/>
  <c r="AC335" i="2"/>
  <c r="M335" i="2"/>
  <c r="BC335" i="2" s="1"/>
  <c r="BB334" i="2"/>
  <c r="BA334" i="2"/>
  <c r="AC334" i="2"/>
  <c r="M334" i="2"/>
  <c r="BC334" i="2" s="1"/>
  <c r="BB333" i="2"/>
  <c r="BA333" i="2"/>
  <c r="AC333" i="2"/>
  <c r="M333" i="2"/>
  <c r="BC333" i="2" s="1"/>
  <c r="BA332" i="2"/>
  <c r="M332" i="2"/>
  <c r="BC332" i="2" s="1"/>
  <c r="BB331" i="2"/>
  <c r="BA331" i="2"/>
  <c r="AC331" i="2"/>
  <c r="M331" i="2"/>
  <c r="BC331" i="2" s="1"/>
  <c r="BB330" i="2"/>
  <c r="BA330" i="2"/>
  <c r="M330" i="2"/>
  <c r="BC330" i="2" s="1"/>
  <c r="BB329" i="2"/>
  <c r="BA329" i="2"/>
  <c r="AC329" i="2"/>
  <c r="M329" i="2"/>
  <c r="BC329" i="2" s="1"/>
  <c r="BB328" i="2"/>
  <c r="BA328" i="2"/>
  <c r="M328" i="2"/>
  <c r="BC328" i="2" s="1"/>
  <c r="BB327" i="2"/>
  <c r="BA327" i="2"/>
  <c r="AC327" i="2"/>
  <c r="M327" i="2"/>
  <c r="BC327" i="2" s="1"/>
  <c r="BB326" i="2"/>
  <c r="BA326" i="2"/>
  <c r="M326" i="2"/>
  <c r="BC326" i="2" s="1"/>
  <c r="BB325" i="2"/>
  <c r="BA325" i="2"/>
  <c r="AC325" i="2"/>
  <c r="M325" i="2"/>
  <c r="BC325" i="2" s="1"/>
  <c r="BB324" i="2"/>
  <c r="BA324" i="2"/>
  <c r="M324" i="2"/>
  <c r="BC324" i="2" s="1"/>
  <c r="BB323" i="2"/>
  <c r="BA323" i="2"/>
  <c r="AC323" i="2"/>
  <c r="M323" i="2"/>
  <c r="BC323" i="2" s="1"/>
  <c r="BA322" i="2"/>
  <c r="M322" i="2"/>
  <c r="BC322" i="2" s="1"/>
  <c r="BB321" i="2"/>
  <c r="BA321" i="2"/>
  <c r="AC321" i="2"/>
  <c r="M321" i="2"/>
  <c r="BC321" i="2" s="1"/>
  <c r="BB320" i="2"/>
  <c r="BA320" i="2"/>
  <c r="M320" i="2"/>
  <c r="BC320" i="2" s="1"/>
  <c r="BB319" i="2"/>
  <c r="BA319" i="2"/>
  <c r="AC319" i="2"/>
  <c r="M319" i="2"/>
  <c r="BC319" i="2" s="1"/>
  <c r="BA318" i="2"/>
  <c r="M318" i="2"/>
  <c r="BC318" i="2" s="1"/>
  <c r="BB317" i="2"/>
  <c r="BA317" i="2"/>
  <c r="AC317" i="2"/>
  <c r="M317" i="2"/>
  <c r="BC317" i="2" s="1"/>
  <c r="BB316" i="2"/>
  <c r="BA316" i="2"/>
  <c r="M316" i="2"/>
  <c r="BC316" i="2" s="1"/>
  <c r="BB315" i="2"/>
  <c r="BA315" i="2"/>
  <c r="AC315" i="2"/>
  <c r="M315" i="2"/>
  <c r="BC315" i="2" s="1"/>
  <c r="BB314" i="2"/>
  <c r="BA314" i="2"/>
  <c r="M314" i="2"/>
  <c r="BC314" i="2" s="1"/>
  <c r="BB313" i="2"/>
  <c r="BA313" i="2"/>
  <c r="AC313" i="2"/>
  <c r="M313" i="2"/>
  <c r="BC313" i="2" s="1"/>
  <c r="BB312" i="2"/>
  <c r="BA312" i="2"/>
  <c r="M312" i="2"/>
  <c r="BC312" i="2" s="1"/>
  <c r="BB311" i="2"/>
  <c r="BA311" i="2"/>
  <c r="AC311" i="2"/>
  <c r="M311" i="2"/>
  <c r="BC311" i="2" s="1"/>
  <c r="BA310" i="2"/>
  <c r="M310" i="2"/>
  <c r="BC310" i="2" s="1"/>
  <c r="BB309" i="2"/>
  <c r="BA309" i="2"/>
  <c r="AC309" i="2"/>
  <c r="M309" i="2"/>
  <c r="BC309" i="2" s="1"/>
  <c r="BB308" i="2"/>
  <c r="BA308" i="2"/>
  <c r="M308" i="2"/>
  <c r="BC308" i="2" s="1"/>
  <c r="BB307" i="2"/>
  <c r="BA307" i="2"/>
  <c r="AC307" i="2"/>
  <c r="M307" i="2"/>
  <c r="BC307" i="2" s="1"/>
  <c r="BB306" i="2"/>
  <c r="BA306" i="2"/>
  <c r="M306" i="2"/>
  <c r="BC306" i="2" s="1"/>
  <c r="BB305" i="2"/>
  <c r="BA305" i="2"/>
  <c r="AC305" i="2"/>
  <c r="M305" i="2"/>
  <c r="BC305" i="2" s="1"/>
  <c r="BB304" i="2"/>
  <c r="BA304" i="2"/>
  <c r="M304" i="2"/>
  <c r="BC304" i="2" s="1"/>
  <c r="BB303" i="2"/>
  <c r="BA303" i="2"/>
  <c r="AC303" i="2"/>
  <c r="M303" i="2"/>
  <c r="BC303" i="2" s="1"/>
  <c r="BB302" i="2"/>
  <c r="BA302" i="2"/>
  <c r="AC302" i="2"/>
  <c r="M302" i="2"/>
  <c r="BC302" i="2" s="1"/>
  <c r="BB301" i="2"/>
  <c r="BA301" i="2"/>
  <c r="AC301" i="2"/>
  <c r="M301" i="2"/>
  <c r="BC301" i="2" s="1"/>
  <c r="BA300" i="2"/>
  <c r="M300" i="2"/>
  <c r="BC300" i="2" s="1"/>
  <c r="BB299" i="2"/>
  <c r="BA299" i="2"/>
  <c r="AC299" i="2"/>
  <c r="M299" i="2"/>
  <c r="BC299" i="2" s="1"/>
  <c r="BB298" i="2"/>
  <c r="BA298" i="2"/>
  <c r="M298" i="2"/>
  <c r="BC298" i="2" s="1"/>
  <c r="BB297" i="2"/>
  <c r="BA297" i="2"/>
  <c r="AC297" i="2"/>
  <c r="M297" i="2"/>
  <c r="BC297" i="2" s="1"/>
  <c r="BB296" i="2"/>
  <c r="BA296" i="2"/>
  <c r="M296" i="2"/>
  <c r="BC296" i="2" s="1"/>
  <c r="BB295" i="2"/>
  <c r="BA295" i="2"/>
  <c r="AC295" i="2"/>
  <c r="M295" i="2"/>
  <c r="BC295" i="2" s="1"/>
  <c r="BB294" i="2"/>
  <c r="BA294" i="2"/>
  <c r="M294" i="2"/>
  <c r="BC294" i="2" s="1"/>
  <c r="BB293" i="2"/>
  <c r="BA293" i="2"/>
  <c r="AC293" i="2"/>
  <c r="M293" i="2"/>
  <c r="BC293" i="2" s="1"/>
  <c r="BA292" i="2"/>
  <c r="M292" i="2"/>
  <c r="BC292" i="2" s="1"/>
  <c r="BB291" i="2"/>
  <c r="BA291" i="2"/>
  <c r="AC291" i="2"/>
  <c r="M291" i="2"/>
  <c r="BC291" i="2" s="1"/>
  <c r="BB290" i="2"/>
  <c r="BA290" i="2"/>
  <c r="M290" i="2"/>
  <c r="BC290" i="2" s="1"/>
  <c r="BB289" i="2"/>
  <c r="BA289" i="2"/>
  <c r="AC289" i="2"/>
  <c r="M289" i="2"/>
  <c r="BC289" i="2" s="1"/>
  <c r="BA288" i="2"/>
  <c r="M288" i="2"/>
  <c r="BC288" i="2" s="1"/>
  <c r="BB287" i="2"/>
  <c r="BA287" i="2"/>
  <c r="AC287" i="2"/>
  <c r="M287" i="2"/>
  <c r="BC287" i="2" s="1"/>
  <c r="BB286" i="2"/>
  <c r="BA286" i="2"/>
  <c r="M286" i="2"/>
  <c r="BC286" i="2" s="1"/>
  <c r="BB285" i="2"/>
  <c r="BA285" i="2"/>
  <c r="AC285" i="2"/>
  <c r="M285" i="2"/>
  <c r="BC285" i="2" s="1"/>
  <c r="BB284" i="2"/>
  <c r="BA284" i="2"/>
  <c r="M284" i="2"/>
  <c r="BC284" i="2" s="1"/>
  <c r="BB283" i="2"/>
  <c r="BA283" i="2"/>
  <c r="AC283" i="2"/>
  <c r="M283" i="2"/>
  <c r="BC283" i="2" s="1"/>
  <c r="BB282" i="2"/>
  <c r="BA282" i="2"/>
  <c r="M282" i="2"/>
  <c r="BC282" i="2" s="1"/>
  <c r="BB281" i="2"/>
  <c r="BA281" i="2"/>
  <c r="AC281" i="2"/>
  <c r="M281" i="2"/>
  <c r="BC281" i="2" s="1"/>
  <c r="BA280" i="2"/>
  <c r="M280" i="2"/>
  <c r="BC280" i="2" s="1"/>
  <c r="BB279" i="2"/>
  <c r="BA279" i="2"/>
  <c r="AC279" i="2"/>
  <c r="M279" i="2"/>
  <c r="BC279" i="2" s="1"/>
  <c r="BB278" i="2"/>
  <c r="BA278" i="2"/>
  <c r="M278" i="2"/>
  <c r="BC278" i="2" s="1"/>
  <c r="BB277" i="2"/>
  <c r="BA277" i="2"/>
  <c r="AC277" i="2"/>
  <c r="M277" i="2"/>
  <c r="BC277" i="2" s="1"/>
  <c r="BB276" i="2"/>
  <c r="BA276" i="2"/>
  <c r="M276" i="2"/>
  <c r="BC276" i="2" s="1"/>
  <c r="BB275" i="2"/>
  <c r="BA275" i="2"/>
  <c r="AC275" i="2"/>
  <c r="M275" i="2"/>
  <c r="BC275" i="2" s="1"/>
  <c r="BB274" i="2"/>
  <c r="BA274" i="2"/>
  <c r="M274" i="2"/>
  <c r="BC274" i="2" s="1"/>
  <c r="BB273" i="2"/>
  <c r="BA273" i="2"/>
  <c r="AC273" i="2"/>
  <c r="M273" i="2"/>
  <c r="BC273" i="2" s="1"/>
  <c r="BB272" i="2"/>
  <c r="BA272" i="2"/>
  <c r="AC272" i="2"/>
  <c r="M272" i="2"/>
  <c r="BC272" i="2" s="1"/>
  <c r="BB271" i="2"/>
  <c r="BA271" i="2"/>
  <c r="AC271" i="2"/>
  <c r="M271" i="2"/>
  <c r="BC271" i="2" s="1"/>
  <c r="BA270" i="2"/>
  <c r="M270" i="2"/>
  <c r="BC270" i="2" s="1"/>
  <c r="BB269" i="2"/>
  <c r="BA269" i="2"/>
  <c r="AC269" i="2"/>
  <c r="M269" i="2"/>
  <c r="BC269" i="2" s="1"/>
  <c r="BB268" i="2"/>
  <c r="BA268" i="2"/>
  <c r="M268" i="2"/>
  <c r="BC268" i="2" s="1"/>
  <c r="BB267" i="2"/>
  <c r="BA267" i="2"/>
  <c r="AC267" i="2"/>
  <c r="M267" i="2"/>
  <c r="BC267" i="2" s="1"/>
  <c r="BA266" i="2"/>
  <c r="M266" i="2"/>
  <c r="BC266" i="2" s="1"/>
  <c r="BB265" i="2"/>
  <c r="BA265" i="2"/>
  <c r="AC265" i="2"/>
  <c r="M265" i="2"/>
  <c r="BC265" i="2" s="1"/>
  <c r="BB264" i="2"/>
  <c r="BA264" i="2"/>
  <c r="M264" i="2"/>
  <c r="BC264" i="2" s="1"/>
  <c r="BB263" i="2"/>
  <c r="BA263" i="2"/>
  <c r="AC263" i="2"/>
  <c r="M263" i="2"/>
  <c r="BC263" i="2" s="1"/>
  <c r="BA262" i="2"/>
  <c r="M262" i="2"/>
  <c r="BC262" i="2" s="1"/>
  <c r="BB261" i="2"/>
  <c r="BA261" i="2"/>
  <c r="AC261" i="2"/>
  <c r="M261" i="2"/>
  <c r="BC261" i="2" s="1"/>
  <c r="BA260" i="2"/>
  <c r="M260" i="2"/>
  <c r="BC260" i="2" s="1"/>
  <c r="BB259" i="2"/>
  <c r="BA259" i="2"/>
  <c r="AC259" i="2"/>
  <c r="M259" i="2"/>
  <c r="BC259" i="2" s="1"/>
  <c r="AZ258" i="2"/>
  <c r="BB258" i="2" s="1"/>
  <c r="AZ257" i="2"/>
  <c r="BB257" i="2" s="1"/>
  <c r="AY257" i="2"/>
  <c r="BA257" i="2" s="1"/>
  <c r="AC257" i="2"/>
  <c r="M257" i="2"/>
  <c r="BC257" i="2" s="1"/>
  <c r="AZ256" i="2"/>
  <c r="BB256" i="2" s="1"/>
  <c r="AZ255" i="2"/>
  <c r="BB255" i="2" s="1"/>
  <c r="AY255" i="2"/>
  <c r="BA255" i="2" s="1"/>
  <c r="AC255" i="2"/>
  <c r="M255" i="2"/>
  <c r="BC255" i="2" s="1"/>
  <c r="AZ254" i="2"/>
  <c r="BB254" i="2" s="1"/>
  <c r="AZ253" i="2"/>
  <c r="BB253" i="2" s="1"/>
  <c r="AY253" i="2"/>
  <c r="BA253" i="2" s="1"/>
  <c r="AC253" i="2"/>
  <c r="M253" i="2"/>
  <c r="BC253" i="2" s="1"/>
  <c r="AZ252" i="2"/>
  <c r="BB252" i="2" s="1"/>
  <c r="AZ251" i="2"/>
  <c r="BB251" i="2" s="1"/>
  <c r="AY251" i="2"/>
  <c r="BA251" i="2" s="1"/>
  <c r="AC251" i="2"/>
  <c r="M251" i="2"/>
  <c r="BC251" i="2" s="1"/>
  <c r="AZ250" i="2"/>
  <c r="BB250" i="2" s="1"/>
  <c r="AZ249" i="2"/>
  <c r="BB249" i="2" s="1"/>
  <c r="AY249" i="2"/>
  <c r="BA249" i="2" s="1"/>
  <c r="AC249" i="2"/>
  <c r="M249" i="2"/>
  <c r="BC249" i="2" s="1"/>
  <c r="AZ248" i="2"/>
  <c r="BB248" i="2" s="1"/>
  <c r="AY247" i="2"/>
  <c r="BA247" i="2" s="1"/>
  <c r="AC247" i="2"/>
  <c r="M247" i="2"/>
  <c r="BC247" i="2" s="1"/>
  <c r="AZ246" i="2"/>
  <c r="BB246" i="2" s="1"/>
  <c r="AZ245" i="2"/>
  <c r="BB245" i="2" s="1"/>
  <c r="AY245" i="2"/>
  <c r="BA245" i="2" s="1"/>
  <c r="AC245" i="2"/>
  <c r="M245" i="2"/>
  <c r="BC245" i="2" s="1"/>
  <c r="AZ244" i="2"/>
  <c r="BB244" i="2" s="1"/>
  <c r="AY243" i="2"/>
  <c r="BA243" i="2" s="1"/>
  <c r="AC243" i="2"/>
  <c r="M243" i="2"/>
  <c r="BC243" i="2" s="1"/>
  <c r="AZ242" i="2"/>
  <c r="BB242" i="2" s="1"/>
  <c r="AY241" i="2"/>
  <c r="BA241" i="2" s="1"/>
  <c r="AC241" i="2"/>
  <c r="M241" i="2"/>
  <c r="BC241" i="2" s="1"/>
  <c r="AZ240" i="2"/>
  <c r="BB240" i="2" s="1"/>
  <c r="AY239" i="2"/>
  <c r="BA239" i="2" s="1"/>
  <c r="AC239" i="2"/>
  <c r="M239" i="2"/>
  <c r="BC239" i="2" s="1"/>
  <c r="AZ238" i="2"/>
  <c r="BB238" i="2" s="1"/>
  <c r="AY237" i="2"/>
  <c r="BA237" i="2" s="1"/>
  <c r="AC237" i="2"/>
  <c r="M237" i="2"/>
  <c r="BC237" i="2" s="1"/>
  <c r="AZ236" i="2"/>
  <c r="BB236" i="2" s="1"/>
  <c r="AZ235" i="2"/>
  <c r="BB235" i="2" s="1"/>
  <c r="AY235" i="2"/>
  <c r="BA235" i="2" s="1"/>
  <c r="AC235" i="2"/>
  <c r="M235" i="2"/>
  <c r="BC235" i="2" s="1"/>
  <c r="AZ234" i="2"/>
  <c r="BB234" i="2" s="1"/>
  <c r="AY233" i="2"/>
  <c r="BA233" i="2" s="1"/>
  <c r="AC233" i="2"/>
  <c r="M233" i="2"/>
  <c r="BC233" i="2" s="1"/>
  <c r="AZ232" i="2"/>
  <c r="BB232" i="2" s="1"/>
  <c r="AZ231" i="2"/>
  <c r="BB231" i="2" s="1"/>
  <c r="AY231" i="2"/>
  <c r="BA231" i="2" s="1"/>
  <c r="AC231" i="2"/>
  <c r="M231" i="2"/>
  <c r="BC231" i="2" s="1"/>
  <c r="AZ230" i="2"/>
  <c r="BB230" i="2" s="1"/>
  <c r="AZ229" i="2"/>
  <c r="BB229" i="2" s="1"/>
  <c r="AY229" i="2"/>
  <c r="BA229" i="2" s="1"/>
  <c r="AC229" i="2"/>
  <c r="M229" i="2"/>
  <c r="BC229" i="2" s="1"/>
  <c r="BB228" i="2"/>
  <c r="BA228" i="2"/>
  <c r="BB227" i="2"/>
  <c r="BA227" i="2"/>
  <c r="AC227" i="2"/>
  <c r="M227" i="2"/>
  <c r="BC227" i="2" s="1"/>
  <c r="BB226" i="2"/>
  <c r="BA226" i="2"/>
  <c r="BB225" i="2"/>
  <c r="BA225" i="2"/>
  <c r="AC225" i="2"/>
  <c r="M225" i="2"/>
  <c r="BC225" i="2" s="1"/>
  <c r="BB224" i="2"/>
  <c r="BA224" i="2"/>
  <c r="BB223" i="2"/>
  <c r="BA223" i="2"/>
  <c r="AC223" i="2"/>
  <c r="M223" i="2"/>
  <c r="BC223" i="2" s="1"/>
  <c r="BB222" i="2"/>
  <c r="BA222" i="2"/>
  <c r="AZ221" i="2"/>
  <c r="BB221" i="2" s="1"/>
  <c r="AY221" i="2"/>
  <c r="BA221" i="2" s="1"/>
  <c r="AC221" i="2"/>
  <c r="M221" i="2"/>
  <c r="BC221" i="2" s="1"/>
  <c r="AZ220" i="2"/>
  <c r="BB220" i="2" s="1"/>
  <c r="AZ219" i="2"/>
  <c r="BB219" i="2" s="1"/>
  <c r="AY219" i="2"/>
  <c r="BA219" i="2" s="1"/>
  <c r="AC219" i="2"/>
  <c r="M219" i="2"/>
  <c r="BC219" i="2" s="1"/>
  <c r="AZ218" i="2"/>
  <c r="BB218" i="2" s="1"/>
  <c r="AZ217" i="2"/>
  <c r="BB217" i="2" s="1"/>
  <c r="AY217" i="2"/>
  <c r="BA217" i="2" s="1"/>
  <c r="AC217" i="2"/>
  <c r="M217" i="2"/>
  <c r="BC217" i="2" s="1"/>
  <c r="AZ216" i="2"/>
  <c r="BB216" i="2" s="1"/>
  <c r="AY215" i="2"/>
  <c r="BA215" i="2" s="1"/>
  <c r="AZ215" i="2"/>
  <c r="BB215" i="2" s="1"/>
  <c r="AC215" i="2"/>
  <c r="M215" i="2"/>
  <c r="BC215" i="2" s="1"/>
  <c r="AZ214" i="2"/>
  <c r="BB214" i="2" s="1"/>
  <c r="AY213" i="2"/>
  <c r="BA213" i="2" s="1"/>
  <c r="AC213" i="2"/>
  <c r="M213" i="2"/>
  <c r="BC213" i="2" s="1"/>
  <c r="AZ212" i="2"/>
  <c r="BB212" i="2" s="1"/>
  <c r="AZ211" i="2"/>
  <c r="BB211" i="2" s="1"/>
  <c r="AY211" i="2"/>
  <c r="BA211" i="2" s="1"/>
  <c r="AC211" i="2"/>
  <c r="M211" i="2"/>
  <c r="BC211" i="2" s="1"/>
  <c r="AZ210" i="2"/>
  <c r="BB210" i="2" s="1"/>
  <c r="AY209" i="2"/>
  <c r="BA209" i="2" s="1"/>
  <c r="AZ209" i="2"/>
  <c r="BB209" i="2" s="1"/>
  <c r="AC209" i="2"/>
  <c r="M209" i="2"/>
  <c r="BC209" i="2" s="1"/>
  <c r="AY207" i="2"/>
  <c r="BA207" i="2" s="1"/>
  <c r="AC207" i="2"/>
  <c r="M207" i="2"/>
  <c r="BC207" i="2" s="1"/>
  <c r="AZ206" i="2"/>
  <c r="BB206" i="2" s="1"/>
  <c r="AZ205" i="2"/>
  <c r="BB205" i="2" s="1"/>
  <c r="AY205" i="2"/>
  <c r="BA205" i="2" s="1"/>
  <c r="AC205" i="2"/>
  <c r="M205" i="2"/>
  <c r="BC205" i="2" s="1"/>
  <c r="AZ204" i="2"/>
  <c r="BB204" i="2" s="1"/>
  <c r="AZ203" i="2"/>
  <c r="BB203" i="2" s="1"/>
  <c r="AY203" i="2"/>
  <c r="BA203" i="2" s="1"/>
  <c r="AC203" i="2"/>
  <c r="M203" i="2"/>
  <c r="BC203" i="2" s="1"/>
  <c r="AZ202" i="2"/>
  <c r="BB202" i="2" s="1"/>
  <c r="AZ201" i="2"/>
  <c r="BB201" i="2" s="1"/>
  <c r="AY201" i="2"/>
  <c r="BA201" i="2" s="1"/>
  <c r="AC201" i="2"/>
  <c r="M201" i="2"/>
  <c r="BC201" i="2" s="1"/>
  <c r="AZ200" i="2"/>
  <c r="BB200" i="2" s="1"/>
  <c r="AY199" i="2"/>
  <c r="BA199" i="2" s="1"/>
  <c r="AC199" i="2"/>
  <c r="M199" i="2"/>
  <c r="BC199" i="2" s="1"/>
  <c r="AZ198" i="2"/>
  <c r="BB198" i="2" s="1"/>
  <c r="AZ197" i="2"/>
  <c r="BB197" i="2" s="1"/>
  <c r="AY197" i="2"/>
  <c r="BA197" i="2" s="1"/>
  <c r="AC197" i="2"/>
  <c r="M197" i="2"/>
  <c r="BC197" i="2" s="1"/>
  <c r="AZ196" i="2"/>
  <c r="BB196" i="2" s="1"/>
  <c r="AZ195" i="2"/>
  <c r="BB195" i="2" s="1"/>
  <c r="AY195" i="2"/>
  <c r="BA195" i="2" s="1"/>
  <c r="AC195" i="2"/>
  <c r="M195" i="2"/>
  <c r="BC195" i="2" s="1"/>
  <c r="AZ194" i="2"/>
  <c r="BB194" i="2" s="1"/>
  <c r="AZ193" i="2"/>
  <c r="BB193" i="2" s="1"/>
  <c r="AY193" i="2"/>
  <c r="BA193" i="2" s="1"/>
  <c r="AC193" i="2"/>
  <c r="M193" i="2"/>
  <c r="BC193" i="2" s="1"/>
  <c r="AZ192" i="2"/>
  <c r="BB192" i="2" s="1"/>
  <c r="AY191" i="2"/>
  <c r="BA191" i="2" s="1"/>
  <c r="AC191" i="2"/>
  <c r="M191" i="2"/>
  <c r="BC191" i="2" s="1"/>
  <c r="AZ190" i="2"/>
  <c r="BB190" i="2" s="1"/>
  <c r="AZ189" i="2"/>
  <c r="BB189" i="2" s="1"/>
  <c r="AY189" i="2"/>
  <c r="BA189" i="2" s="1"/>
  <c r="AC189" i="2"/>
  <c r="M189" i="2"/>
  <c r="BC189" i="2" s="1"/>
  <c r="AZ188" i="2"/>
  <c r="BB188" i="2" s="1"/>
  <c r="AZ187" i="2"/>
  <c r="BB187" i="2" s="1"/>
  <c r="AY187" i="2"/>
  <c r="BA187" i="2" s="1"/>
  <c r="AC187" i="2"/>
  <c r="M187" i="2"/>
  <c r="BC187" i="2" s="1"/>
  <c r="AZ186" i="2"/>
  <c r="BB186" i="2" s="1"/>
  <c r="AZ185" i="2"/>
  <c r="BB185" i="2" s="1"/>
  <c r="AY185" i="2"/>
  <c r="BA185" i="2" s="1"/>
  <c r="AC185" i="2"/>
  <c r="M185" i="2"/>
  <c r="BC185" i="2" s="1"/>
  <c r="AZ184" i="2"/>
  <c r="BB184" i="2" s="1"/>
  <c r="AZ183" i="2"/>
  <c r="BB183" i="2" s="1"/>
  <c r="AY183" i="2"/>
  <c r="BA183" i="2" s="1"/>
  <c r="AC183" i="2"/>
  <c r="M183" i="2"/>
  <c r="BC183" i="2" s="1"/>
  <c r="AZ182" i="2"/>
  <c r="BB182" i="2" s="1"/>
  <c r="AY181" i="2"/>
  <c r="BA181" i="2" s="1"/>
  <c r="AC181" i="2"/>
  <c r="M181" i="2"/>
  <c r="BC181" i="2" s="1"/>
  <c r="AZ180" i="2"/>
  <c r="BB180" i="2" s="1"/>
  <c r="AZ179" i="2"/>
  <c r="BB179" i="2" s="1"/>
  <c r="AY179" i="2"/>
  <c r="BA179" i="2" s="1"/>
  <c r="AC179" i="2"/>
  <c r="M179" i="2"/>
  <c r="BC179" i="2" s="1"/>
  <c r="AZ178" i="2"/>
  <c r="BB178" i="2" s="1"/>
  <c r="AZ177" i="2"/>
  <c r="BB177" i="2" s="1"/>
  <c r="AY177" i="2"/>
  <c r="BA177" i="2" s="1"/>
  <c r="AC177" i="2"/>
  <c r="M177" i="2"/>
  <c r="BC177" i="2" s="1"/>
  <c r="AZ176" i="2"/>
  <c r="BB176" i="2" s="1"/>
  <c r="AY175" i="2"/>
  <c r="BA175" i="2" s="1"/>
  <c r="AC175" i="2"/>
  <c r="M175" i="2"/>
  <c r="BC175" i="2" s="1"/>
  <c r="AZ174" i="2"/>
  <c r="BB174" i="2" s="1"/>
  <c r="AZ173" i="2"/>
  <c r="BB173" i="2" s="1"/>
  <c r="AY173" i="2"/>
  <c r="BA173" i="2" s="1"/>
  <c r="AC173" i="2"/>
  <c r="M173" i="2"/>
  <c r="BC173" i="2" s="1"/>
  <c r="AZ172" i="2"/>
  <c r="BB172" i="2" s="1"/>
  <c r="AZ171" i="2"/>
  <c r="BB171" i="2" s="1"/>
  <c r="AY171" i="2"/>
  <c r="BA171" i="2" s="1"/>
  <c r="AC171" i="2"/>
  <c r="M171" i="2"/>
  <c r="BC171" i="2" s="1"/>
  <c r="AZ170" i="2"/>
  <c r="BB170" i="2" s="1"/>
  <c r="AZ169" i="2"/>
  <c r="BB169" i="2" s="1"/>
  <c r="AY169" i="2"/>
  <c r="BA169" i="2" s="1"/>
  <c r="AC169" i="2"/>
  <c r="M169" i="2"/>
  <c r="BC169" i="2" s="1"/>
  <c r="AZ168" i="2"/>
  <c r="BB168" i="2" s="1"/>
  <c r="AZ167" i="2"/>
  <c r="BB167" i="2" s="1"/>
  <c r="AY167" i="2"/>
  <c r="BA167" i="2" s="1"/>
  <c r="AC167" i="2"/>
  <c r="M167" i="2"/>
  <c r="BC167" i="2" s="1"/>
  <c r="AZ166" i="2"/>
  <c r="BB166" i="2" s="1"/>
  <c r="AY165" i="2"/>
  <c r="BA165" i="2" s="1"/>
  <c r="AC165" i="2"/>
  <c r="M165" i="2"/>
  <c r="BC165" i="2" s="1"/>
  <c r="AZ164" i="2"/>
  <c r="BB164" i="2" s="1"/>
  <c r="AZ163" i="2"/>
  <c r="BB163" i="2" s="1"/>
  <c r="AY163" i="2"/>
  <c r="BA163" i="2" s="1"/>
  <c r="AC163" i="2"/>
  <c r="M163" i="2"/>
  <c r="BC163" i="2" s="1"/>
  <c r="AZ162" i="2"/>
  <c r="BB162" i="2" s="1"/>
  <c r="AY161" i="2"/>
  <c r="BA161" i="2" s="1"/>
  <c r="AC161" i="2"/>
  <c r="M161" i="2"/>
  <c r="BC161" i="2" s="1"/>
  <c r="AZ160" i="2"/>
  <c r="BB160" i="2" s="1"/>
  <c r="AY159" i="2"/>
  <c r="BA159" i="2" s="1"/>
  <c r="AC159" i="2"/>
  <c r="M159" i="2"/>
  <c r="BC159" i="2" s="1"/>
  <c r="AZ158" i="2"/>
  <c r="BB158" i="2" s="1"/>
  <c r="AZ157" i="2"/>
  <c r="BB157" i="2" s="1"/>
  <c r="AY157" i="2"/>
  <c r="BA157" i="2" s="1"/>
  <c r="AC157" i="2"/>
  <c r="M157" i="2"/>
  <c r="BC157" i="2" s="1"/>
  <c r="AZ156" i="2"/>
  <c r="BB156" i="2" s="1"/>
  <c r="AY155" i="2"/>
  <c r="BA155" i="2" s="1"/>
  <c r="AC155" i="2"/>
  <c r="M155" i="2"/>
  <c r="BC155" i="2" s="1"/>
  <c r="AZ154" i="2"/>
  <c r="BB154" i="2" s="1"/>
  <c r="AZ153" i="2"/>
  <c r="BB153" i="2" s="1"/>
  <c r="AY153" i="2"/>
  <c r="BA153" i="2" s="1"/>
  <c r="AC153" i="2"/>
  <c r="M153" i="2"/>
  <c r="BC153" i="2" s="1"/>
  <c r="AZ152" i="2"/>
  <c r="BB152" i="2" s="1"/>
  <c r="AZ151" i="2"/>
  <c r="BB151" i="2" s="1"/>
  <c r="AY151" i="2"/>
  <c r="BA151" i="2" s="1"/>
  <c r="AC151" i="2"/>
  <c r="M151" i="2"/>
  <c r="BC151" i="2" s="1"/>
  <c r="AZ150" i="2"/>
  <c r="BB150" i="2" s="1"/>
  <c r="AZ149" i="2"/>
  <c r="BB149" i="2" s="1"/>
  <c r="AY149" i="2"/>
  <c r="BA149" i="2" s="1"/>
  <c r="AC149" i="2"/>
  <c r="M149" i="2"/>
  <c r="BC149" i="2" s="1"/>
  <c r="AZ146" i="2"/>
  <c r="BB146" i="2" s="1"/>
  <c r="AZ145" i="2"/>
  <c r="BB145" i="2" s="1"/>
  <c r="AY145" i="2"/>
  <c r="BA145" i="2" s="1"/>
  <c r="AC145" i="2"/>
  <c r="M145" i="2"/>
  <c r="BC145" i="2" s="1"/>
  <c r="AZ142" i="2"/>
  <c r="BB142" i="2" s="1"/>
  <c r="AZ141" i="2"/>
  <c r="BB141" i="2" s="1"/>
  <c r="AY141" i="2"/>
  <c r="BA141" i="2" s="1"/>
  <c r="AC141" i="2"/>
  <c r="M141" i="2"/>
  <c r="BC141" i="2" s="1"/>
  <c r="AZ140" i="2"/>
  <c r="BB140" i="2" s="1"/>
  <c r="AZ139" i="2"/>
  <c r="BB139" i="2" s="1"/>
  <c r="AY139" i="2"/>
  <c r="BA139" i="2" s="1"/>
  <c r="AC139" i="2"/>
  <c r="M139" i="2"/>
  <c r="BC139" i="2" s="1"/>
  <c r="AZ138" i="2"/>
  <c r="BB138" i="2" s="1"/>
  <c r="AZ137" i="2"/>
  <c r="BB137" i="2" s="1"/>
  <c r="AY137" i="2"/>
  <c r="BA137" i="2" s="1"/>
  <c r="AC137" i="2"/>
  <c r="M137" i="2"/>
  <c r="BC137" i="2" s="1"/>
  <c r="AZ136" i="2"/>
  <c r="BB136" i="2" s="1"/>
  <c r="AZ135" i="2"/>
  <c r="BB135" i="2" s="1"/>
  <c r="AY135" i="2"/>
  <c r="BA135" i="2" s="1"/>
  <c r="AC135" i="2"/>
  <c r="M135" i="2"/>
  <c r="BC135" i="2" s="1"/>
  <c r="AZ134" i="2"/>
  <c r="BB134" i="2" s="1"/>
  <c r="AY133" i="2"/>
  <c r="BA133" i="2" s="1"/>
  <c r="AC133" i="2"/>
  <c r="M133" i="2"/>
  <c r="BC133" i="2" s="1"/>
  <c r="AZ132" i="2"/>
  <c r="BB132" i="2" s="1"/>
  <c r="AY131" i="2"/>
  <c r="BA131" i="2" s="1"/>
  <c r="AC131" i="2"/>
  <c r="M131" i="2"/>
  <c r="BC131" i="2" s="1"/>
  <c r="AZ130" i="2"/>
  <c r="BB130" i="2" s="1"/>
  <c r="AZ129" i="2"/>
  <c r="BB129" i="2" s="1"/>
  <c r="AY129" i="2"/>
  <c r="BA129" i="2" s="1"/>
  <c r="AC129" i="2"/>
  <c r="M129" i="2"/>
  <c r="BC129" i="2" s="1"/>
  <c r="AZ128" i="2"/>
  <c r="BB128" i="2" s="1"/>
  <c r="AZ127" i="2"/>
  <c r="BB127" i="2" s="1"/>
  <c r="AY127" i="2"/>
  <c r="BA127" i="2" s="1"/>
  <c r="AC127" i="2"/>
  <c r="M127" i="2"/>
  <c r="BC127" i="2" s="1"/>
  <c r="AZ126" i="2"/>
  <c r="BB126" i="2" s="1"/>
  <c r="AY125" i="2"/>
  <c r="BA125" i="2" s="1"/>
  <c r="AC125" i="2"/>
  <c r="M125" i="2"/>
  <c r="BC125" i="2" s="1"/>
  <c r="AZ124" i="2"/>
  <c r="BB124" i="2" s="1"/>
  <c r="AZ123" i="2"/>
  <c r="BB123" i="2" s="1"/>
  <c r="AY123" i="2"/>
  <c r="BA123" i="2" s="1"/>
  <c r="AC123" i="2"/>
  <c r="M123" i="2"/>
  <c r="BC123" i="2" s="1"/>
  <c r="AZ122" i="2"/>
  <c r="BB122" i="2" s="1"/>
  <c r="BA121" i="2"/>
  <c r="AC121" i="2"/>
  <c r="M121" i="2"/>
  <c r="BC121" i="2" s="1"/>
  <c r="BB120" i="2"/>
  <c r="BB119" i="2"/>
  <c r="BA119" i="2"/>
  <c r="AC119" i="2"/>
  <c r="M119" i="2"/>
  <c r="BC119" i="2" s="1"/>
  <c r="BB118" i="2"/>
  <c r="AC118" i="2"/>
  <c r="BB117" i="2"/>
  <c r="BA117" i="2"/>
  <c r="AC117" i="2"/>
  <c r="M117" i="2"/>
  <c r="BC117" i="2" s="1"/>
  <c r="AC114" i="2"/>
  <c r="AC111" i="2"/>
  <c r="AC110" i="2"/>
  <c r="AY109" i="2"/>
  <c r="BA109" i="2" s="1"/>
  <c r="AC109" i="2"/>
  <c r="BC109" i="2"/>
  <c r="AZ108" i="2"/>
  <c r="BB108" i="2" s="1"/>
  <c r="AZ107" i="2"/>
  <c r="BB107" i="2" s="1"/>
  <c r="AY107" i="2"/>
  <c r="BA107" i="2" s="1"/>
  <c r="AC107" i="2"/>
  <c r="M107" i="2"/>
  <c r="BC107" i="2" s="1"/>
  <c r="AZ106" i="2"/>
  <c r="BB106" i="2" s="1"/>
  <c r="AZ105" i="2"/>
  <c r="BB105" i="2" s="1"/>
  <c r="AY105" i="2"/>
  <c r="BA105" i="2" s="1"/>
  <c r="AC105" i="2"/>
  <c r="M105" i="2"/>
  <c r="BC105" i="2" s="1"/>
  <c r="BB104" i="2"/>
  <c r="BB103" i="2"/>
  <c r="BA103" i="2"/>
  <c r="AC103" i="2"/>
  <c r="M103" i="2"/>
  <c r="BC103" i="2" s="1"/>
  <c r="BB102" i="2"/>
  <c r="BA101" i="2"/>
  <c r="AC101" i="2"/>
  <c r="BB100" i="2"/>
  <c r="BB99" i="2"/>
  <c r="BA99" i="2"/>
  <c r="AC99" i="2"/>
  <c r="BB98" i="2"/>
  <c r="BB97" i="2"/>
  <c r="BA97" i="2"/>
  <c r="AC97" i="2"/>
  <c r="BB96" i="2"/>
  <c r="BB95" i="2"/>
  <c r="BA95" i="2"/>
  <c r="AC95" i="2"/>
  <c r="BB94" i="2"/>
  <c r="BB93" i="2"/>
  <c r="BA93" i="2"/>
  <c r="AC93" i="2"/>
  <c r="BB92" i="2"/>
  <c r="BA91" i="2"/>
  <c r="AC91" i="2"/>
  <c r="BB90" i="2"/>
  <c r="BA89" i="2"/>
  <c r="AC89" i="2"/>
  <c r="BB88" i="2"/>
  <c r="BA87" i="2"/>
  <c r="AC87" i="2"/>
  <c r="BB86" i="2"/>
  <c r="BA85" i="2"/>
  <c r="AC85" i="2"/>
  <c r="BB84" i="2"/>
  <c r="BB83" i="2"/>
  <c r="BA83" i="2"/>
  <c r="AC83" i="2"/>
  <c r="M83" i="2"/>
  <c r="BC83" i="2" s="1"/>
  <c r="BB82" i="2"/>
  <c r="BB81" i="2"/>
  <c r="BA81" i="2"/>
  <c r="AC81" i="2"/>
  <c r="M81" i="2"/>
  <c r="BC81" i="2" s="1"/>
  <c r="BB80" i="2"/>
  <c r="BB79" i="2"/>
  <c r="BA79" i="2"/>
  <c r="AC79" i="2"/>
  <c r="BB78" i="2"/>
  <c r="BB77" i="2"/>
  <c r="BA77" i="2"/>
  <c r="AC77" i="2"/>
  <c r="BB76" i="2"/>
  <c r="BB75" i="2"/>
  <c r="BA75" i="2"/>
  <c r="BB74" i="2"/>
  <c r="BB73" i="2"/>
  <c r="BA73" i="2"/>
  <c r="BB72" i="2"/>
  <c r="BB71" i="2"/>
  <c r="BA71" i="2"/>
  <c r="BB70" i="2"/>
  <c r="BB69" i="2"/>
  <c r="BA69" i="2"/>
  <c r="AC69" i="2"/>
  <c r="BB68" i="2"/>
  <c r="BB67" i="2"/>
  <c r="BA67" i="2"/>
  <c r="AC67" i="2"/>
  <c r="BB66" i="2"/>
  <c r="BB65" i="2"/>
  <c r="BA65" i="2"/>
  <c r="AC65" i="2"/>
  <c r="BB64" i="2"/>
  <c r="BB63" i="2"/>
  <c r="BA63" i="2"/>
  <c r="AC63" i="2"/>
  <c r="BB62" i="2"/>
  <c r="BB61" i="2"/>
  <c r="BA61" i="2"/>
  <c r="AC61" i="2"/>
  <c r="BB60" i="2"/>
  <c r="BB59" i="2"/>
  <c r="BA59" i="2"/>
  <c r="AC59" i="2"/>
  <c r="BB58" i="2"/>
  <c r="BB57" i="2"/>
  <c r="BA57" i="2"/>
  <c r="AC57" i="2"/>
  <c r="BB56" i="2"/>
  <c r="BB55" i="2"/>
  <c r="BA55" i="2"/>
  <c r="AC55" i="2"/>
  <c r="BB54" i="2"/>
  <c r="BB53" i="2"/>
  <c r="BA53" i="2"/>
  <c r="AC53" i="2"/>
  <c r="BB52" i="2"/>
  <c r="BB51" i="2"/>
  <c r="BA51" i="2"/>
  <c r="AC51" i="2"/>
  <c r="M51" i="2"/>
  <c r="BC51" i="2" s="1"/>
  <c r="BB50" i="2"/>
  <c r="BB49" i="2"/>
  <c r="BA49" i="2"/>
  <c r="AC49" i="2"/>
  <c r="BB48" i="2"/>
  <c r="BB47" i="2"/>
  <c r="BA47" i="2"/>
  <c r="AC47" i="2"/>
  <c r="BB46" i="2"/>
  <c r="BB45" i="2"/>
  <c r="BA45" i="2"/>
  <c r="AC45" i="2"/>
  <c r="BB44" i="2"/>
  <c r="BB43" i="2"/>
  <c r="BA43" i="2"/>
  <c r="AC43" i="2"/>
  <c r="BB42" i="2"/>
  <c r="BA41" i="2"/>
  <c r="AC41" i="2"/>
  <c r="BB40" i="2"/>
  <c r="BB39" i="2"/>
  <c r="BA39" i="2"/>
  <c r="AC39" i="2"/>
  <c r="BB38" i="2"/>
  <c r="BB37" i="2"/>
  <c r="BA37" i="2"/>
  <c r="AC37" i="2"/>
  <c r="BB36" i="2"/>
  <c r="BB35" i="2"/>
  <c r="BA35" i="2"/>
  <c r="AC35" i="2"/>
  <c r="BB34" i="2"/>
  <c r="BA33" i="2"/>
  <c r="AC33" i="2"/>
  <c r="BB32" i="2"/>
  <c r="BB31" i="2"/>
  <c r="BA31" i="2"/>
  <c r="AC31" i="2"/>
  <c r="BB30" i="2"/>
  <c r="BB29" i="2"/>
  <c r="BA29" i="2"/>
  <c r="AC29" i="2"/>
  <c r="BB28" i="2"/>
  <c r="BB27" i="2"/>
  <c r="BA27" i="2"/>
  <c r="AC27" i="2"/>
  <c r="BB26" i="2"/>
  <c r="BA25" i="2"/>
  <c r="AC25" i="2"/>
  <c r="BB24" i="2"/>
  <c r="BB23" i="2"/>
  <c r="BA23" i="2"/>
  <c r="AC23" i="2"/>
  <c r="BB22" i="2"/>
  <c r="BA21" i="2"/>
  <c r="BB21" i="2"/>
  <c r="AC21" i="2"/>
  <c r="BB20" i="2"/>
  <c r="BA20" i="2"/>
  <c r="BB19" i="2"/>
  <c r="BA19" i="2"/>
  <c r="AC19" i="2"/>
  <c r="BB18" i="2"/>
  <c r="BA18" i="2"/>
  <c r="BA17" i="2"/>
  <c r="BB17" i="2"/>
  <c r="AC17" i="2"/>
  <c r="BB16" i="2"/>
  <c r="BA16" i="2"/>
  <c r="BB15" i="2"/>
  <c r="BA15" i="2"/>
  <c r="AC15" i="2"/>
  <c r="BB14" i="2"/>
  <c r="BA14" i="2"/>
  <c r="BB13" i="2"/>
  <c r="BA13" i="2"/>
  <c r="AC13" i="2"/>
  <c r="BA12" i="2"/>
  <c r="BB12" i="2"/>
  <c r="AC12" i="2"/>
  <c r="BA11" i="2"/>
  <c r="BB11" i="2"/>
  <c r="AC11" i="2"/>
  <c r="BB10" i="2"/>
  <c r="BA10" i="2"/>
  <c r="AC10" i="2"/>
  <c r="BB9" i="2"/>
  <c r="BA9" i="2"/>
  <c r="AC9" i="2"/>
  <c r="M9" i="2"/>
  <c r="BC9" i="2" s="1"/>
  <c r="BB8" i="2"/>
  <c r="BA8" i="2"/>
  <c r="AC8" i="2"/>
  <c r="M8" i="2"/>
  <c r="BC8" i="2" s="1"/>
  <c r="BB7" i="2"/>
  <c r="BA7" i="2"/>
  <c r="AC7" i="2"/>
  <c r="M7" i="2"/>
  <c r="BC7" i="2" s="1"/>
  <c r="BB6" i="2"/>
  <c r="BA6" i="2"/>
  <c r="AC6" i="2"/>
  <c r="M6" i="2"/>
  <c r="BC6" i="2" s="1"/>
  <c r="BD5" i="2"/>
  <c r="K2" i="21402"/>
  <c r="J2" i="21402"/>
  <c r="I2" i="21402"/>
  <c r="H2" i="21402"/>
  <c r="G2" i="21402"/>
  <c r="F2" i="21402"/>
  <c r="AZ25" i="2" l="1"/>
  <c r="BB25" i="2" s="1"/>
  <c r="BA158" i="21399"/>
  <c r="BC160" i="21399"/>
  <c r="BC156" i="21399"/>
  <c r="AX28" i="108"/>
  <c r="AW28" i="108"/>
  <c r="C30" i="108"/>
  <c r="C50" i="21399"/>
  <c r="AW48" i="21399"/>
  <c r="AX48" i="21399"/>
  <c r="BA46" i="21399"/>
  <c r="BC46" i="21399"/>
  <c r="M26" i="108"/>
  <c r="BC26" i="108" s="1"/>
  <c r="AW25" i="108"/>
  <c r="AX25" i="108"/>
  <c r="AZ25" i="108" s="1"/>
  <c r="BB25" i="108" s="1"/>
  <c r="AW30" i="3"/>
  <c r="AX30" i="3"/>
  <c r="C32" i="3"/>
  <c r="C34" i="21400"/>
  <c r="C36" i="21400" s="1"/>
  <c r="C38" i="21400" s="1"/>
  <c r="C40" i="21400" s="1"/>
  <c r="C42" i="21400" s="1"/>
  <c r="J32" i="21400"/>
  <c r="F32" i="21400"/>
  <c r="BC18" i="3"/>
  <c r="AY24" i="21398"/>
  <c r="BA24" i="21398" s="1"/>
  <c r="M24" i="21398"/>
  <c r="BC24" i="21398" s="1"/>
  <c r="C28" i="21398"/>
  <c r="AW26" i="21398"/>
  <c r="AX26" i="21398"/>
  <c r="AW25" i="21398"/>
  <c r="AX25" i="21398"/>
  <c r="AY26" i="2"/>
  <c r="BA26" i="2" s="1"/>
  <c r="M26" i="2"/>
  <c r="BC26" i="2" s="1"/>
  <c r="AY24" i="2"/>
  <c r="BA24" i="2" s="1"/>
  <c r="M24" i="2"/>
  <c r="BC24" i="2" s="1"/>
  <c r="C30" i="2"/>
  <c r="AX28" i="2"/>
  <c r="AW28" i="2"/>
  <c r="BC162" i="21399"/>
  <c r="BA26" i="21399"/>
  <c r="I340" i="21412"/>
  <c r="I342" i="21412"/>
  <c r="I339" i="21412"/>
  <c r="I338" i="21412"/>
  <c r="I341" i="21412"/>
  <c r="I343" i="21412"/>
  <c r="M26" i="3"/>
  <c r="BC26" i="3" s="1"/>
  <c r="BC50" i="21398"/>
  <c r="BC52" i="21398"/>
  <c r="BC54" i="21398"/>
  <c r="BC56" i="21398"/>
  <c r="BC58" i="21398"/>
  <c r="BC60" i="21398"/>
  <c r="BC62" i="21398"/>
  <c r="BC64" i="21398"/>
  <c r="BC66" i="21398"/>
  <c r="BC68" i="21398"/>
  <c r="BC70" i="21398"/>
  <c r="BC72" i="21398"/>
  <c r="BC74" i="21398"/>
  <c r="BC76" i="21398"/>
  <c r="BC78" i="21398"/>
  <c r="BC80" i="21398"/>
  <c r="BC82" i="21398"/>
  <c r="BC84" i="21398"/>
  <c r="BC6" i="21399"/>
  <c r="AK1" i="21411"/>
  <c r="AE1" i="21411"/>
  <c r="Y1" i="21411"/>
  <c r="S1" i="21411"/>
  <c r="M1" i="21411"/>
  <c r="G1" i="21411"/>
  <c r="AZ25" i="21398" l="1"/>
  <c r="BB25" i="21398" s="1"/>
  <c r="AW32" i="3"/>
  <c r="AX32" i="3"/>
  <c r="C34" i="3"/>
  <c r="AX30" i="108"/>
  <c r="AW30" i="108"/>
  <c r="C32" i="108"/>
  <c r="AX31" i="3"/>
  <c r="AZ31" i="3" s="1"/>
  <c r="BB31" i="3" s="1"/>
  <c r="AW31" i="3"/>
  <c r="AY48" i="21399"/>
  <c r="BA48" i="21399" s="1"/>
  <c r="M48" i="21399"/>
  <c r="AY30" i="3"/>
  <c r="BA30" i="3" s="1"/>
  <c r="M30" i="3"/>
  <c r="BC30" i="3" s="1"/>
  <c r="AY28" i="108"/>
  <c r="BA28" i="108" s="1"/>
  <c r="M28" i="108"/>
  <c r="BC28" i="108" s="1"/>
  <c r="C44" i="21400"/>
  <c r="F42" i="21400"/>
  <c r="C52" i="21399"/>
  <c r="AX50" i="21399"/>
  <c r="AW50" i="21399"/>
  <c r="C30" i="21398"/>
  <c r="AW28" i="21398"/>
  <c r="AX28" i="21398"/>
  <c r="M26" i="21398"/>
  <c r="BC26" i="21398" s="1"/>
  <c r="AY26" i="21398"/>
  <c r="BA26" i="21398" s="1"/>
  <c r="M28" i="2"/>
  <c r="AY28" i="2"/>
  <c r="BA28" i="2" s="1"/>
  <c r="C32" i="2"/>
  <c r="AW30" i="2"/>
  <c r="AX30" i="2"/>
  <c r="A323" i="21410"/>
  <c r="A322" i="21410"/>
  <c r="H327" i="21412" l="1"/>
  <c r="H328" i="21412"/>
  <c r="H331" i="21412"/>
  <c r="H330" i="21412"/>
  <c r="H326" i="21412"/>
  <c r="H329" i="21412"/>
  <c r="AY30" i="108"/>
  <c r="BA30" i="108" s="1"/>
  <c r="M30" i="108"/>
  <c r="BC30" i="108" s="1"/>
  <c r="C46" i="21400"/>
  <c r="F44" i="21400"/>
  <c r="AY50" i="21399"/>
  <c r="BA50" i="21399" s="1"/>
  <c r="M50" i="21399"/>
  <c r="BC50" i="21399" s="1"/>
  <c r="C54" i="21399"/>
  <c r="AX52" i="21399"/>
  <c r="AW52" i="21399"/>
  <c r="BC28" i="2"/>
  <c r="AX32" i="108"/>
  <c r="AW32" i="108"/>
  <c r="C34" i="108"/>
  <c r="AW34" i="3"/>
  <c r="AX34" i="3"/>
  <c r="J35" i="3"/>
  <c r="C36" i="3"/>
  <c r="C38" i="3" s="1"/>
  <c r="BC48" i="21399"/>
  <c r="AX31" i="108"/>
  <c r="AZ31" i="108" s="1"/>
  <c r="BB31" i="108" s="1"/>
  <c r="AW31" i="108"/>
  <c r="AY32" i="3"/>
  <c r="BA32" i="3" s="1"/>
  <c r="M32" i="3"/>
  <c r="BC32" i="3" s="1"/>
  <c r="M28" i="21398"/>
  <c r="AY28" i="21398"/>
  <c r="BA28" i="21398" s="1"/>
  <c r="C32" i="21398"/>
  <c r="AW30" i="21398"/>
  <c r="AX30" i="21398"/>
  <c r="C34" i="2"/>
  <c r="AX32" i="2"/>
  <c r="AW32" i="2"/>
  <c r="AY30" i="2"/>
  <c r="BA30" i="2" s="1"/>
  <c r="M30" i="2"/>
  <c r="A328" i="21410"/>
  <c r="A242" i="21410"/>
  <c r="A193" i="21410"/>
  <c r="A192" i="21410"/>
  <c r="A191" i="21410"/>
  <c r="A190" i="21410"/>
  <c r="A185" i="21410"/>
  <c r="A184" i="21410"/>
  <c r="A183" i="21410"/>
  <c r="A182" i="21410"/>
  <c r="A177" i="21410"/>
  <c r="A176" i="21410"/>
  <c r="A175" i="21410"/>
  <c r="BD258" i="2" s="1"/>
  <c r="A174" i="21410"/>
  <c r="A160" i="21410"/>
  <c r="A159" i="21410"/>
  <c r="A158" i="21410"/>
  <c r="A157" i="21410"/>
  <c r="A156" i="21410"/>
  <c r="A155" i="21410"/>
  <c r="A154" i="21410"/>
  <c r="A153" i="21410"/>
  <c r="A152" i="21410"/>
  <c r="A134" i="21410"/>
  <c r="A133" i="21410"/>
  <c r="A132" i="21410"/>
  <c r="A131" i="21410"/>
  <c r="A130" i="21410"/>
  <c r="A129" i="21410"/>
  <c r="A128" i="21410"/>
  <c r="A127" i="21410"/>
  <c r="A126" i="21410"/>
  <c r="A108" i="21410"/>
  <c r="A107" i="21410"/>
  <c r="A106" i="21410"/>
  <c r="A105" i="21410"/>
  <c r="A104" i="21410"/>
  <c r="A103" i="21410"/>
  <c r="A102" i="21410"/>
  <c r="A101" i="21410"/>
  <c r="A100" i="21410"/>
  <c r="A82" i="21410"/>
  <c r="A81" i="21410"/>
  <c r="A80" i="21410"/>
  <c r="A79" i="21410"/>
  <c r="A78" i="21410"/>
  <c r="A77" i="21410"/>
  <c r="A76" i="21410"/>
  <c r="A75" i="21410"/>
  <c r="A74" i="21410"/>
  <c r="A56" i="21410"/>
  <c r="A55" i="21410"/>
  <c r="A54" i="21410"/>
  <c r="A53" i="21410"/>
  <c r="A52" i="21410"/>
  <c r="A51" i="21410"/>
  <c r="A50" i="21410"/>
  <c r="A49" i="21410"/>
  <c r="A48" i="21410"/>
  <c r="AX35" i="3" l="1"/>
  <c r="AZ35" i="3" s="1"/>
  <c r="BB35" i="3" s="1"/>
  <c r="AW35" i="3"/>
  <c r="AX53" i="21399"/>
  <c r="AZ53" i="21399" s="1"/>
  <c r="BB53" i="21399" s="1"/>
  <c r="AW53" i="21399"/>
  <c r="BC30" i="2"/>
  <c r="J38" i="3"/>
  <c r="C40" i="3"/>
  <c r="C42" i="3" s="1"/>
  <c r="C44" i="3" s="1"/>
  <c r="C46" i="3" s="1"/>
  <c r="C48" i="3" s="1"/>
  <c r="C36" i="108"/>
  <c r="C38" i="108" s="1"/>
  <c r="AY34" i="3"/>
  <c r="BA34" i="3" s="1"/>
  <c r="M34" i="3"/>
  <c r="BC34" i="3" s="1"/>
  <c r="AY32" i="108"/>
  <c r="BA32" i="108" s="1"/>
  <c r="M32" i="108"/>
  <c r="BC32" i="108" s="1"/>
  <c r="BC28" i="21398"/>
  <c r="I329" i="21412"/>
  <c r="I327" i="21412"/>
  <c r="I330" i="21412"/>
  <c r="I326" i="21412"/>
  <c r="I328" i="21412"/>
  <c r="I331" i="21412"/>
  <c r="AY52" i="21399"/>
  <c r="BA52" i="21399" s="1"/>
  <c r="M52" i="21399"/>
  <c r="C48" i="21400"/>
  <c r="AX46" i="21400"/>
  <c r="AW46" i="21400"/>
  <c r="J45" i="21400"/>
  <c r="C56" i="21399"/>
  <c r="AW54" i="21399"/>
  <c r="AX54" i="21399"/>
  <c r="J54" i="21399"/>
  <c r="F54" i="21399"/>
  <c r="C34" i="21398"/>
  <c r="AW32" i="21398"/>
  <c r="AX32" i="21398"/>
  <c r="M30" i="21398"/>
  <c r="AY30" i="21398"/>
  <c r="BA30" i="21398" s="1"/>
  <c r="AY32" i="2"/>
  <c r="BA32" i="2" s="1"/>
  <c r="M32" i="2"/>
  <c r="AX34" i="2"/>
  <c r="AW34" i="2"/>
  <c r="J33" i="2"/>
  <c r="C36" i="2"/>
  <c r="A30" i="21410"/>
  <c r="A29" i="21410"/>
  <c r="A28" i="21410"/>
  <c r="A27" i="21410"/>
  <c r="A26" i="21410"/>
  <c r="A25" i="21410"/>
  <c r="A24" i="21410"/>
  <c r="A23" i="21410"/>
  <c r="A22" i="21410"/>
  <c r="BD112" i="21400" l="1"/>
  <c r="BD110" i="21400"/>
  <c r="BD126" i="2"/>
  <c r="BD154" i="2"/>
  <c r="BD130" i="2"/>
  <c r="H341" i="21412"/>
  <c r="H339" i="21412"/>
  <c r="H343" i="21412"/>
  <c r="H340" i="21412"/>
  <c r="H338" i="21412"/>
  <c r="H342" i="21412"/>
  <c r="BD210" i="2"/>
  <c r="BD240" i="2"/>
  <c r="BD178" i="2"/>
  <c r="BD110" i="21399"/>
  <c r="BD34" i="3"/>
  <c r="BD158" i="2"/>
  <c r="BD132" i="2"/>
  <c r="BD108" i="2"/>
  <c r="BD226" i="2"/>
  <c r="BD198" i="2"/>
  <c r="BD146" i="2"/>
  <c r="BD248" i="2"/>
  <c r="BD232" i="2"/>
  <c r="BD192" i="2"/>
  <c r="BD164" i="2"/>
  <c r="BC32" i="2"/>
  <c r="AY46" i="21400"/>
  <c r="BA46" i="21400" s="1"/>
  <c r="BC52" i="21399"/>
  <c r="BD254" i="2"/>
  <c r="BD252" i="2"/>
  <c r="AW45" i="21400"/>
  <c r="AX45" i="21400"/>
  <c r="AZ45" i="21400" s="1"/>
  <c r="BB45" i="21400" s="1"/>
  <c r="BD378" i="2"/>
  <c r="BD246" i="2"/>
  <c r="BD218" i="2"/>
  <c r="BD190" i="2"/>
  <c r="BD182" i="2"/>
  <c r="BD174" i="2"/>
  <c r="BD166" i="2"/>
  <c r="BD118" i="2"/>
  <c r="BD244" i="2"/>
  <c r="BD236" i="2"/>
  <c r="BD224" i="2"/>
  <c r="BD220" i="2"/>
  <c r="BD216" i="2"/>
  <c r="BD204" i="2"/>
  <c r="BD200" i="2"/>
  <c r="BD188" i="2"/>
  <c r="BD184" i="2"/>
  <c r="BD172" i="2"/>
  <c r="BD168" i="2"/>
  <c r="BD120" i="2"/>
  <c r="BD234" i="2"/>
  <c r="BD222" i="2"/>
  <c r="BD214" i="2"/>
  <c r="BD206" i="2"/>
  <c r="BD202" i="2"/>
  <c r="BD186" i="2"/>
  <c r="BD170" i="2"/>
  <c r="BD108" i="21399"/>
  <c r="BD118" i="21400"/>
  <c r="BD128" i="2"/>
  <c r="BD156" i="2"/>
  <c r="BD150" i="2"/>
  <c r="BD106" i="2"/>
  <c r="BD256" i="2"/>
  <c r="BD228" i="2"/>
  <c r="BD196" i="2"/>
  <c r="BD160" i="2"/>
  <c r="BD124" i="2"/>
  <c r="BD250" i="2"/>
  <c r="BD230" i="2"/>
  <c r="BD194" i="2"/>
  <c r="BD162" i="2"/>
  <c r="BC30" i="21398"/>
  <c r="C58" i="21399"/>
  <c r="AX56" i="21399"/>
  <c r="AW56" i="21399"/>
  <c r="F56" i="21399"/>
  <c r="J48" i="3"/>
  <c r="C50" i="3"/>
  <c r="C52" i="3" s="1"/>
  <c r="C54" i="3" s="1"/>
  <c r="C56" i="3" s="1"/>
  <c r="C58" i="3" s="1"/>
  <c r="C60" i="3" s="1"/>
  <c r="C62" i="3" s="1"/>
  <c r="J62" i="3" s="1"/>
  <c r="J61" i="3" s="1"/>
  <c r="BD238" i="2"/>
  <c r="BD212" i="2"/>
  <c r="BD208" i="2"/>
  <c r="BD180" i="2"/>
  <c r="BD176" i="2"/>
  <c r="BD242" i="2"/>
  <c r="AZ54" i="21399"/>
  <c r="BB54" i="21399" s="1"/>
  <c r="M54" i="21399"/>
  <c r="BC54" i="21399" s="1"/>
  <c r="AY54" i="21399"/>
  <c r="BA54" i="21399" s="1"/>
  <c r="C50" i="21400"/>
  <c r="AX48" i="21400"/>
  <c r="AW48" i="21400"/>
  <c r="J38" i="108"/>
  <c r="C40" i="108"/>
  <c r="C42" i="108" s="1"/>
  <c r="C44" i="108" s="1"/>
  <c r="C46" i="108" s="1"/>
  <c r="C48" i="108" s="1"/>
  <c r="AY32" i="21398"/>
  <c r="BA32" i="21398" s="1"/>
  <c r="M32" i="21398"/>
  <c r="AX34" i="21398"/>
  <c r="AW34" i="21398"/>
  <c r="J33" i="21398"/>
  <c r="C36" i="21398"/>
  <c r="AY34" i="2"/>
  <c r="BA34" i="2" s="1"/>
  <c r="M34" i="2"/>
  <c r="C38" i="2"/>
  <c r="AW36" i="2"/>
  <c r="AX36" i="2"/>
  <c r="AX33" i="2"/>
  <c r="AZ33" i="2" s="1"/>
  <c r="BB33" i="2" s="1"/>
  <c r="AW33" i="2"/>
  <c r="A9" i="21410"/>
  <c r="A10" i="21410"/>
  <c r="A11" i="21410"/>
  <c r="A12" i="21410"/>
  <c r="A13" i="21410"/>
  <c r="A14" i="21410"/>
  <c r="A15" i="21410"/>
  <c r="A16" i="21410"/>
  <c r="A17" i="21410"/>
  <c r="BD32" i="21399" l="1"/>
  <c r="BD126" i="21400"/>
  <c r="BD124" i="21399"/>
  <c r="BD66" i="21399"/>
  <c r="BD52" i="21399"/>
  <c r="BD104" i="21399"/>
  <c r="BD42" i="21399"/>
  <c r="BD76" i="21399"/>
  <c r="BD106" i="21400"/>
  <c r="BD78" i="21400"/>
  <c r="BD46" i="21400"/>
  <c r="BD68" i="21400"/>
  <c r="BD52" i="21400"/>
  <c r="BD226" i="21398"/>
  <c r="BD198" i="21398"/>
  <c r="BD248" i="21398"/>
  <c r="BD232" i="21398"/>
  <c r="BD192" i="21398"/>
  <c r="BD164" i="21398"/>
  <c r="BD108" i="21398"/>
  <c r="BD34" i="21398"/>
  <c r="BD68" i="21398"/>
  <c r="BD102" i="21398"/>
  <c r="BD78" i="21398"/>
  <c r="BD12" i="21398"/>
  <c r="BD24" i="21398"/>
  <c r="BD102" i="2"/>
  <c r="BD78" i="2"/>
  <c r="BD34" i="2"/>
  <c r="BD12" i="2"/>
  <c r="BD68" i="2"/>
  <c r="BD40" i="2"/>
  <c r="BD24" i="2"/>
  <c r="BD88" i="21399"/>
  <c r="BD56" i="21399"/>
  <c r="BD90" i="21400"/>
  <c r="BD60" i="21400"/>
  <c r="BD30" i="21400"/>
  <c r="BD178" i="21398"/>
  <c r="BD240" i="21398"/>
  <c r="BD210" i="21398"/>
  <c r="BD52" i="21398"/>
  <c r="BD88" i="21398"/>
  <c r="BD88" i="2"/>
  <c r="BD52" i="2"/>
  <c r="C60" i="21399"/>
  <c r="AW58" i="21399"/>
  <c r="AX58" i="21399"/>
  <c r="J59" i="21399"/>
  <c r="F58" i="21399"/>
  <c r="BC46" i="21400"/>
  <c r="BD50" i="21399"/>
  <c r="BD40" i="21399"/>
  <c r="BD120" i="21399"/>
  <c r="BD106" i="21399"/>
  <c r="BD74" i="21399"/>
  <c r="BD114" i="21399"/>
  <c r="BD154" i="21399"/>
  <c r="BD116" i="21399"/>
  <c r="BD68" i="21399"/>
  <c r="BD48" i="21399"/>
  <c r="BD152" i="21399"/>
  <c r="BD122" i="21399"/>
  <c r="BD34" i="21399"/>
  <c r="BD70" i="21400"/>
  <c r="BD50" i="21400"/>
  <c r="BD122" i="21400"/>
  <c r="BD116" i="21400"/>
  <c r="BD108" i="21400"/>
  <c r="BD76" i="21400"/>
  <c r="BD124" i="21400"/>
  <c r="BD48" i="21400"/>
  <c r="BD126" i="21398"/>
  <c r="BD154" i="21398"/>
  <c r="BD130" i="21398"/>
  <c r="BD124" i="21398"/>
  <c r="BD106" i="21398"/>
  <c r="BD150" i="21398"/>
  <c r="BD256" i="21398"/>
  <c r="BD228" i="21398"/>
  <c r="BD196" i="21398"/>
  <c r="BD160" i="21398"/>
  <c r="BD128" i="21398"/>
  <c r="BD250" i="21398"/>
  <c r="BD230" i="21398"/>
  <c r="BD194" i="21398"/>
  <c r="BD162" i="21398"/>
  <c r="BD38" i="21398"/>
  <c r="BD22" i="21398"/>
  <c r="BD36" i="21398"/>
  <c r="BD76" i="21398"/>
  <c r="BD70" i="21398"/>
  <c r="BD70" i="2"/>
  <c r="BD38" i="2"/>
  <c r="BD22" i="2"/>
  <c r="BD36" i="2"/>
  <c r="BD76" i="2"/>
  <c r="BD144" i="21399"/>
  <c r="BD44" i="21399"/>
  <c r="BD102" i="21399"/>
  <c r="BD98" i="21399"/>
  <c r="BD94" i="21399"/>
  <c r="BD82" i="21399"/>
  <c r="BD78" i="21399"/>
  <c r="BD62" i="21399"/>
  <c r="BD160" i="21399"/>
  <c r="BD126" i="21399"/>
  <c r="BD100" i="21399"/>
  <c r="BD84" i="21399"/>
  <c r="BD92" i="21399"/>
  <c r="BD60" i="21399"/>
  <c r="BD30" i="21399"/>
  <c r="BD96" i="21399"/>
  <c r="BD80" i="21399"/>
  <c r="BD64" i="21399"/>
  <c r="BD128" i="21400"/>
  <c r="BD102" i="21400"/>
  <c r="BD98" i="21400"/>
  <c r="BD94" i="21400"/>
  <c r="BD86" i="21400"/>
  <c r="BD82" i="21400"/>
  <c r="BD66" i="21400"/>
  <c r="BD54" i="21400"/>
  <c r="BD104" i="21400"/>
  <c r="BD56" i="21400"/>
  <c r="BD24" i="21400"/>
  <c r="BD20" i="21400"/>
  <c r="BD16" i="21400"/>
  <c r="BD96" i="21400"/>
  <c r="BD80" i="21400"/>
  <c r="BD64" i="21400"/>
  <c r="BD100" i="21400"/>
  <c r="BD84" i="21400"/>
  <c r="BD26" i="21400"/>
  <c r="BD22" i="21400"/>
  <c r="BD18" i="21400"/>
  <c r="BD246" i="21398"/>
  <c r="BD234" i="21398"/>
  <c r="BD218" i="21398"/>
  <c r="BD214" i="21398"/>
  <c r="BD206" i="21398"/>
  <c r="BD202" i="21398"/>
  <c r="BD190" i="21398"/>
  <c r="BD186" i="21398"/>
  <c r="BD174" i="21398"/>
  <c r="BD166" i="21398"/>
  <c r="BD120" i="21398"/>
  <c r="BD244" i="21398"/>
  <c r="BD236" i="21398"/>
  <c r="BD224" i="21398"/>
  <c r="BD220" i="21398"/>
  <c r="BD216" i="21398"/>
  <c r="BD204" i="21398"/>
  <c r="BD200" i="21398"/>
  <c r="BD188" i="21398"/>
  <c r="BD184" i="21398"/>
  <c r="BD172" i="21398"/>
  <c r="BD168" i="21398"/>
  <c r="BD118" i="21398"/>
  <c r="BD222" i="21398"/>
  <c r="BD182" i="21398"/>
  <c r="BD170" i="21398"/>
  <c r="BD30" i="21398"/>
  <c r="BD26" i="21398"/>
  <c r="BD28" i="21398"/>
  <c r="BD100" i="21398"/>
  <c r="BD92" i="21398"/>
  <c r="BD84" i="21398"/>
  <c r="BD80" i="21398"/>
  <c r="BD56" i="21398"/>
  <c r="BD44" i="21398"/>
  <c r="BD14" i="21398"/>
  <c r="BD98" i="21398"/>
  <c r="BD94" i="21398"/>
  <c r="BD82" i="21398"/>
  <c r="BD66" i="21398"/>
  <c r="BD62" i="21398"/>
  <c r="BD58" i="21398"/>
  <c r="BD46" i="21398"/>
  <c r="BD42" i="21398"/>
  <c r="BD32" i="21398"/>
  <c r="BD96" i="21398"/>
  <c r="BD64" i="21398"/>
  <c r="BD60" i="21398"/>
  <c r="BD48" i="21398"/>
  <c r="BD98" i="2"/>
  <c r="BD94" i="2"/>
  <c r="BD82" i="2"/>
  <c r="BD66" i="2"/>
  <c r="BD62" i="2"/>
  <c r="BD58" i="2"/>
  <c r="BD46" i="2"/>
  <c r="BD42" i="2"/>
  <c r="BD30" i="2"/>
  <c r="BD26" i="2"/>
  <c r="BD96" i="2"/>
  <c r="BD80" i="2"/>
  <c r="BD64" i="2"/>
  <c r="BD60" i="2"/>
  <c r="BD56" i="2"/>
  <c r="BD48" i="2"/>
  <c r="BD44" i="2"/>
  <c r="BD28" i="2"/>
  <c r="BD14" i="2"/>
  <c r="BD100" i="2"/>
  <c r="BD92" i="2"/>
  <c r="BD84" i="2"/>
  <c r="BD32" i="2"/>
  <c r="BC32" i="21398"/>
  <c r="BD120" i="21400"/>
  <c r="BD114" i="21400"/>
  <c r="BD156" i="21398"/>
  <c r="BD18" i="21398"/>
  <c r="BD20" i="21398"/>
  <c r="BD20" i="2"/>
  <c r="BD18" i="2"/>
  <c r="BD36" i="21399"/>
  <c r="BD70" i="21399"/>
  <c r="BD38" i="21399"/>
  <c r="BD72" i="21399"/>
  <c r="BD74" i="21400"/>
  <c r="BD72" i="21400"/>
  <c r="BD254" i="21398"/>
  <c r="BD252" i="21398"/>
  <c r="BD74" i="21398"/>
  <c r="BD72" i="21398"/>
  <c r="BD74" i="2"/>
  <c r="BD72" i="2"/>
  <c r="AY48" i="21400"/>
  <c r="BA48" i="21400" s="1"/>
  <c r="BD90" i="21399"/>
  <c r="BD86" i="21399"/>
  <c r="BD58" i="21399"/>
  <c r="BD54" i="21399"/>
  <c r="BD62" i="21400"/>
  <c r="BD58" i="21400"/>
  <c r="BD88" i="21400"/>
  <c r="BD92" i="21400"/>
  <c r="BD28" i="21400"/>
  <c r="BD238" i="21398"/>
  <c r="BD212" i="21398"/>
  <c r="BD208" i="21398"/>
  <c r="BD180" i="21398"/>
  <c r="BD176" i="21398"/>
  <c r="BD242" i="21398"/>
  <c r="BD90" i="21398"/>
  <c r="BD86" i="21398"/>
  <c r="BD54" i="21398"/>
  <c r="BD50" i="21398"/>
  <c r="BD90" i="2"/>
  <c r="BD86" i="2"/>
  <c r="BD54" i="2"/>
  <c r="BD50" i="2"/>
  <c r="BC34" i="2"/>
  <c r="J48" i="108"/>
  <c r="C50" i="108"/>
  <c r="C52" i="108" s="1"/>
  <c r="C54" i="108" s="1"/>
  <c r="C56" i="108" s="1"/>
  <c r="C58" i="108" s="1"/>
  <c r="C60" i="108" s="1"/>
  <c r="C62" i="108" s="1"/>
  <c r="J62" i="108" s="1"/>
  <c r="C52" i="21400"/>
  <c r="AX50" i="21400"/>
  <c r="AW50" i="21400"/>
  <c r="AY56" i="21399"/>
  <c r="BA56" i="21399" s="1"/>
  <c r="M56" i="21399"/>
  <c r="BC56" i="21399" s="1"/>
  <c r="M34" i="21398"/>
  <c r="BC34" i="21398" s="1"/>
  <c r="AY34" i="21398"/>
  <c r="BA34" i="21398" s="1"/>
  <c r="C38" i="21398"/>
  <c r="AX36" i="21398"/>
  <c r="AW36" i="21398"/>
  <c r="AW33" i="21398"/>
  <c r="AX33" i="21398"/>
  <c r="C40" i="2"/>
  <c r="AX38" i="2"/>
  <c r="AW38" i="2"/>
  <c r="AY36" i="2"/>
  <c r="BA36" i="2" s="1"/>
  <c r="M36" i="2"/>
  <c r="M355" i="21408"/>
  <c r="L355" i="21408"/>
  <c r="K355" i="21408"/>
  <c r="J355" i="21408"/>
  <c r="H355" i="21408"/>
  <c r="M349" i="21408"/>
  <c r="L349" i="21408"/>
  <c r="K349" i="21408"/>
  <c r="J349" i="21408"/>
  <c r="I349" i="21408"/>
  <c r="H349" i="21408"/>
  <c r="M335" i="21408"/>
  <c r="L335" i="21408"/>
  <c r="K335" i="21408"/>
  <c r="J335" i="21408"/>
  <c r="I335" i="21408"/>
  <c r="H335" i="21408"/>
  <c r="M331" i="21408"/>
  <c r="L331" i="21408"/>
  <c r="K331" i="21408"/>
  <c r="J331" i="21408"/>
  <c r="I331" i="21408"/>
  <c r="H331" i="21408"/>
  <c r="M327" i="21408"/>
  <c r="L327" i="21408"/>
  <c r="K327" i="21408"/>
  <c r="I327" i="21408"/>
  <c r="J327" i="21408"/>
  <c r="H327" i="21408"/>
  <c r="I325" i="21408"/>
  <c r="J325" i="21408"/>
  <c r="K325" i="21408"/>
  <c r="L325" i="21408"/>
  <c r="M325" i="21408"/>
  <c r="H325" i="21408"/>
  <c r="AO38" i="21411"/>
  <c r="AO27" i="21411"/>
  <c r="AO26" i="21411"/>
  <c r="AO24" i="21411"/>
  <c r="AO21" i="21411"/>
  <c r="AO20" i="21411"/>
  <c r="AO19" i="21411"/>
  <c r="AO18" i="21411"/>
  <c r="AO17" i="21411"/>
  <c r="AO16" i="21411"/>
  <c r="AO12" i="21411"/>
  <c r="AO9" i="21411"/>
  <c r="AO8" i="21411"/>
  <c r="AO7" i="21411"/>
  <c r="AO6" i="21411"/>
  <c r="AO5" i="21411"/>
  <c r="AI38" i="21411"/>
  <c r="AI27" i="21411"/>
  <c r="AI26" i="21411"/>
  <c r="AI24" i="21411"/>
  <c r="AI21" i="21411"/>
  <c r="AI20" i="21411"/>
  <c r="AI19" i="21411"/>
  <c r="AI18" i="21411"/>
  <c r="AI17" i="21411"/>
  <c r="AI16" i="21411"/>
  <c r="AI12" i="21411"/>
  <c r="AI9" i="21411"/>
  <c r="AI8" i="21411"/>
  <c r="AI7" i="21411"/>
  <c r="AI6" i="21411"/>
  <c r="AI5" i="21411"/>
  <c r="AC38" i="21411"/>
  <c r="AC27" i="21411"/>
  <c r="AC26" i="21411"/>
  <c r="AC24" i="21411"/>
  <c r="AC21" i="21411"/>
  <c r="AC20" i="21411"/>
  <c r="AC19" i="21411"/>
  <c r="AC18" i="21411"/>
  <c r="AC17" i="21411"/>
  <c r="AC16" i="21411"/>
  <c r="AC12" i="21411"/>
  <c r="AC9" i="21411"/>
  <c r="AC8" i="21411"/>
  <c r="AC7" i="21411"/>
  <c r="AC6" i="21411"/>
  <c r="AC5" i="21411"/>
  <c r="W38" i="21411"/>
  <c r="W27" i="21411"/>
  <c r="W26" i="21411"/>
  <c r="W24" i="21411"/>
  <c r="W21" i="21411"/>
  <c r="W20" i="21411"/>
  <c r="W19" i="21411"/>
  <c r="W18" i="21411"/>
  <c r="W17" i="21411"/>
  <c r="W16" i="21411"/>
  <c r="W12" i="21411"/>
  <c r="W9" i="21411"/>
  <c r="W8" i="21411"/>
  <c r="W7" i="21411"/>
  <c r="W6" i="21411"/>
  <c r="W5" i="21411"/>
  <c r="Q38" i="21411"/>
  <c r="Q27" i="21411"/>
  <c r="Q26" i="21411"/>
  <c r="Q24" i="21411"/>
  <c r="Q21" i="21411"/>
  <c r="Q20" i="21411"/>
  <c r="Q19" i="21411"/>
  <c r="Q18" i="21411"/>
  <c r="Q17" i="21411"/>
  <c r="Q16" i="21411"/>
  <c r="Q12" i="21411"/>
  <c r="Q9" i="21411"/>
  <c r="Q8" i="21411"/>
  <c r="Q7" i="21411"/>
  <c r="Q6" i="21411"/>
  <c r="Q5" i="21411"/>
  <c r="AZ33" i="21398" l="1"/>
  <c r="BB33" i="21398" s="1"/>
  <c r="BC36" i="2"/>
  <c r="AY50" i="21400"/>
  <c r="BA50" i="21400" s="1"/>
  <c r="BC50" i="21400"/>
  <c r="C62" i="21399"/>
  <c r="AX60" i="21399"/>
  <c r="AW60" i="21399"/>
  <c r="Q10" i="21411"/>
  <c r="I289" i="21408" s="1"/>
  <c r="Q35" i="21411"/>
  <c r="W35" i="21411"/>
  <c r="AC35" i="21411"/>
  <c r="AI10" i="21411"/>
  <c r="L289" i="21408" s="1"/>
  <c r="AI35" i="21411"/>
  <c r="AO35" i="21411"/>
  <c r="C54" i="21400"/>
  <c r="AX52" i="21400"/>
  <c r="AW52" i="21400"/>
  <c r="J53" i="21400"/>
  <c r="BC48" i="21400"/>
  <c r="AW59" i="21399"/>
  <c r="AX59" i="21399"/>
  <c r="AZ59" i="21399" s="1"/>
  <c r="BB59" i="21399" s="1"/>
  <c r="AY58" i="21399"/>
  <c r="BA58" i="21399" s="1"/>
  <c r="M58" i="21399"/>
  <c r="M36" i="21398"/>
  <c r="BC36" i="21398" s="1"/>
  <c r="AY36" i="21398"/>
  <c r="BA36" i="21398" s="1"/>
  <c r="C40" i="21398"/>
  <c r="AY38" i="2"/>
  <c r="BA38" i="2" s="1"/>
  <c r="M38" i="2"/>
  <c r="BC38" i="2" s="1"/>
  <c r="AX40" i="2"/>
  <c r="AW40" i="2"/>
  <c r="J41" i="2"/>
  <c r="C42" i="2"/>
  <c r="BA50" i="2"/>
  <c r="W22" i="21411"/>
  <c r="J290" i="21408" s="1"/>
  <c r="W10" i="21411"/>
  <c r="J289" i="21408" s="1"/>
  <c r="AC10" i="21411"/>
  <c r="K289" i="21408" s="1"/>
  <c r="AO10" i="21411"/>
  <c r="M289" i="21408" s="1"/>
  <c r="Q22" i="21411"/>
  <c r="I290" i="21408" s="1"/>
  <c r="AC22" i="21411"/>
  <c r="K290" i="21408" s="1"/>
  <c r="AI22" i="21411"/>
  <c r="L290" i="21408" s="1"/>
  <c r="AO22" i="21411"/>
  <c r="M290" i="21408" s="1"/>
  <c r="G349" i="21408"/>
  <c r="L254" i="21408"/>
  <c r="M101" i="21408"/>
  <c r="L101" i="21408"/>
  <c r="K101" i="21408"/>
  <c r="J101" i="21408"/>
  <c r="I101" i="21408"/>
  <c r="H101" i="21408"/>
  <c r="M100" i="21408"/>
  <c r="L100" i="21408"/>
  <c r="K100" i="21408"/>
  <c r="J100" i="21408"/>
  <c r="I100" i="21408"/>
  <c r="H100" i="21408"/>
  <c r="M99" i="21408"/>
  <c r="L99" i="21408"/>
  <c r="K99" i="21408"/>
  <c r="J99" i="21408"/>
  <c r="I99" i="21408"/>
  <c r="H99" i="21408"/>
  <c r="M98" i="21408"/>
  <c r="L98" i="21408"/>
  <c r="K98" i="21408"/>
  <c r="J98" i="21408"/>
  <c r="I98" i="21408"/>
  <c r="H98" i="21408"/>
  <c r="K331" i="21412" l="1"/>
  <c r="K327" i="21412"/>
  <c r="K328" i="21412"/>
  <c r="K326" i="21412"/>
  <c r="K330" i="21412"/>
  <c r="K329" i="21412"/>
  <c r="BC58" i="21399"/>
  <c r="AY52" i="21400"/>
  <c r="BA52" i="21400" s="1"/>
  <c r="AY60" i="21399"/>
  <c r="BA60" i="21399" s="1"/>
  <c r="M60" i="21399"/>
  <c r="C56" i="21400"/>
  <c r="AX54" i="21400"/>
  <c r="AW54" i="21400"/>
  <c r="C64" i="21399"/>
  <c r="C66" i="21399" s="1"/>
  <c r="AX62" i="21399"/>
  <c r="AW62" i="21399"/>
  <c r="AX53" i="21400"/>
  <c r="AZ53" i="21400" s="1"/>
  <c r="BB53" i="21400" s="1"/>
  <c r="AW53" i="21400"/>
  <c r="BC38" i="21398"/>
  <c r="BA38" i="21398"/>
  <c r="C42" i="21398"/>
  <c r="AY40" i="2"/>
  <c r="BA40" i="2" s="1"/>
  <c r="M40" i="2"/>
  <c r="BC40" i="2" s="1"/>
  <c r="AW42" i="2"/>
  <c r="AX42" i="2"/>
  <c r="C44" i="2"/>
  <c r="AX41" i="2"/>
  <c r="AZ41" i="2" s="1"/>
  <c r="BB41" i="2" s="1"/>
  <c r="AW41" i="2"/>
  <c r="BA52" i="2"/>
  <c r="AZ5" i="2"/>
  <c r="BB5" i="2" s="1"/>
  <c r="AZ39" i="21398" l="1"/>
  <c r="BB39" i="21398" s="1"/>
  <c r="AY54" i="21400"/>
  <c r="BA54" i="21400" s="1"/>
  <c r="BC54" i="21400"/>
  <c r="AY62" i="21399"/>
  <c r="BA62" i="21399" s="1"/>
  <c r="M62" i="21399"/>
  <c r="BC62" i="21399" s="1"/>
  <c r="C58" i="21400"/>
  <c r="AX56" i="21400"/>
  <c r="AW56" i="21400"/>
  <c r="F56" i="21400"/>
  <c r="C68" i="21399"/>
  <c r="C70" i="21399" s="1"/>
  <c r="C72" i="21399" s="1"/>
  <c r="C74" i="21399" s="1"/>
  <c r="C76" i="21399" s="1"/>
  <c r="J65" i="21399"/>
  <c r="BC52" i="21400"/>
  <c r="BC60" i="21399"/>
  <c r="BA40" i="21398"/>
  <c r="BC40" i="21398"/>
  <c r="C44" i="21398"/>
  <c r="AX44" i="2"/>
  <c r="AW44" i="2"/>
  <c r="AY42" i="2"/>
  <c r="BA42" i="2" s="1"/>
  <c r="M42" i="2"/>
  <c r="BC42" i="2" s="1"/>
  <c r="C46" i="2"/>
  <c r="BA54" i="2"/>
  <c r="BA5" i="21399"/>
  <c r="BB5" i="21399"/>
  <c r="AC5" i="21399"/>
  <c r="M5" i="21399"/>
  <c r="BA5" i="21400"/>
  <c r="BB5" i="21400"/>
  <c r="AC5" i="21400"/>
  <c r="M5" i="21400"/>
  <c r="BA5" i="108"/>
  <c r="BB5" i="108"/>
  <c r="AC5" i="108"/>
  <c r="M5" i="108"/>
  <c r="AC5" i="3"/>
  <c r="M5" i="3"/>
  <c r="BB5" i="21398"/>
  <c r="BA5" i="21398"/>
  <c r="AC5" i="21398"/>
  <c r="M5" i="21398"/>
  <c r="AC66" i="21398" l="1"/>
  <c r="AC40" i="21398"/>
  <c r="AC86" i="21398"/>
  <c r="AC68" i="21398"/>
  <c r="AC90" i="21398"/>
  <c r="AC68" i="2"/>
  <c r="BA42" i="21398"/>
  <c r="BC42" i="21398"/>
  <c r="AY44" i="2"/>
  <c r="BA44" i="2" s="1"/>
  <c r="C60" i="21400"/>
  <c r="AW58" i="21400"/>
  <c r="AX58" i="21400"/>
  <c r="J57" i="21400"/>
  <c r="F58" i="21400"/>
  <c r="K52" i="21408"/>
  <c r="K36" i="21408"/>
  <c r="K33" i="21408"/>
  <c r="K62" i="21408"/>
  <c r="K46" i="21408"/>
  <c r="K56" i="21408"/>
  <c r="K58" i="21408"/>
  <c r="K53" i="21408"/>
  <c r="K37" i="21408"/>
  <c r="K35" i="21408"/>
  <c r="K168" i="21408"/>
  <c r="K34" i="21408"/>
  <c r="K61" i="21408"/>
  <c r="K45" i="21408"/>
  <c r="K57" i="21408"/>
  <c r="K51" i="21408"/>
  <c r="K55" i="21408"/>
  <c r="K39" i="21408"/>
  <c r="K48" i="21408"/>
  <c r="K50" i="21408"/>
  <c r="K41" i="21408"/>
  <c r="K47" i="21408"/>
  <c r="K59" i="21408"/>
  <c r="K60" i="21408"/>
  <c r="K44" i="21408"/>
  <c r="K49" i="21408"/>
  <c r="K43" i="21408"/>
  <c r="K54" i="21408"/>
  <c r="K38" i="21408"/>
  <c r="K40" i="21408"/>
  <c r="K42" i="21408"/>
  <c r="BC5" i="3"/>
  <c r="C78" i="21399"/>
  <c r="C80" i="21399" s="1"/>
  <c r="C82" i="21399" s="1"/>
  <c r="C84" i="21399" s="1"/>
  <c r="C86" i="21399" s="1"/>
  <c r="J77" i="21399"/>
  <c r="AY56" i="21400"/>
  <c r="BA56" i="21400" s="1"/>
  <c r="C46" i="21398"/>
  <c r="M44" i="2"/>
  <c r="BC44" i="2" s="1"/>
  <c r="AX46" i="2"/>
  <c r="AW46" i="2"/>
  <c r="C48" i="2"/>
  <c r="K300" i="21408"/>
  <c r="K299" i="21408"/>
  <c r="BA56" i="2"/>
  <c r="I324" i="21412"/>
  <c r="I320" i="21412"/>
  <c r="I316" i="21412"/>
  <c r="I312" i="21412"/>
  <c r="I308" i="21412"/>
  <c r="I304" i="21412"/>
  <c r="I300" i="21412"/>
  <c r="I296" i="21412"/>
  <c r="I292" i="21412"/>
  <c r="I280" i="21412"/>
  <c r="I268" i="21412"/>
  <c r="I264" i="21412"/>
  <c r="I260" i="21412"/>
  <c r="I256" i="21412"/>
  <c r="I252" i="21412"/>
  <c r="I248" i="21412"/>
  <c r="I244" i="21412"/>
  <c r="I240" i="21412"/>
  <c r="I236" i="21412"/>
  <c r="I232" i="21412"/>
  <c r="I228" i="21412"/>
  <c r="I224" i="21412"/>
  <c r="I220" i="21412"/>
  <c r="I216" i="21412"/>
  <c r="I325" i="21412"/>
  <c r="I321" i="21412"/>
  <c r="I317" i="21412"/>
  <c r="I322" i="21412"/>
  <c r="I318" i="21412"/>
  <c r="I314" i="21412"/>
  <c r="I310" i="21412"/>
  <c r="I306" i="21412"/>
  <c r="I302" i="21412"/>
  <c r="I298" i="21412"/>
  <c r="I294" i="21412"/>
  <c r="I290" i="21412"/>
  <c r="I282" i="21412"/>
  <c r="I278" i="21412"/>
  <c r="I270" i="21412"/>
  <c r="I266" i="21412"/>
  <c r="I262" i="21412"/>
  <c r="I258" i="21412"/>
  <c r="I254" i="21412"/>
  <c r="I250" i="21412"/>
  <c r="I246" i="21412"/>
  <c r="I242" i="21412"/>
  <c r="I238" i="21412"/>
  <c r="I234" i="21412"/>
  <c r="I230" i="21412"/>
  <c r="I226" i="21412"/>
  <c r="I222" i="21412"/>
  <c r="I218" i="21412"/>
  <c r="I214" i="21412"/>
  <c r="I319" i="21412"/>
  <c r="I311" i="21412"/>
  <c r="I303" i="21412"/>
  <c r="I295" i="21412"/>
  <c r="I279" i="21412"/>
  <c r="I271" i="21412"/>
  <c r="I263" i="21412"/>
  <c r="I255" i="21412"/>
  <c r="I247" i="21412"/>
  <c r="I239" i="21412"/>
  <c r="I231" i="21412"/>
  <c r="I223" i="21412"/>
  <c r="I215" i="21412"/>
  <c r="I211" i="21412"/>
  <c r="I207" i="21412"/>
  <c r="I203" i="21412"/>
  <c r="I199" i="21412"/>
  <c r="I195" i="21412"/>
  <c r="I191" i="21412"/>
  <c r="I187" i="21412"/>
  <c r="I183" i="21412"/>
  <c r="I179" i="21412"/>
  <c r="I175" i="21412"/>
  <c r="I171" i="21412"/>
  <c r="I167" i="21412"/>
  <c r="I163" i="21412"/>
  <c r="I159" i="21412"/>
  <c r="I155" i="21412"/>
  <c r="I323" i="21412"/>
  <c r="I313" i="21412"/>
  <c r="I305" i="21412"/>
  <c r="I297" i="21412"/>
  <c r="I281" i="21412"/>
  <c r="I265" i="21412"/>
  <c r="I257" i="21412"/>
  <c r="I249" i="21412"/>
  <c r="I241" i="21412"/>
  <c r="I233" i="21412"/>
  <c r="I225" i="21412"/>
  <c r="I217" i="21412"/>
  <c r="I212" i="21412"/>
  <c r="I208" i="21412"/>
  <c r="I204" i="21412"/>
  <c r="I200" i="21412"/>
  <c r="I196" i="21412"/>
  <c r="I192" i="21412"/>
  <c r="I188" i="21412"/>
  <c r="I184" i="21412"/>
  <c r="I180" i="21412"/>
  <c r="I176" i="21412"/>
  <c r="I172" i="21412"/>
  <c r="I168" i="21412"/>
  <c r="I164" i="21412"/>
  <c r="I160" i="21412"/>
  <c r="I156" i="21412"/>
  <c r="I307" i="21412"/>
  <c r="I299" i="21412"/>
  <c r="I291" i="21412"/>
  <c r="I283" i="21412"/>
  <c r="I267" i="21412"/>
  <c r="I259" i="21412"/>
  <c r="I251" i="21412"/>
  <c r="I243" i="21412"/>
  <c r="I235" i="21412"/>
  <c r="I227" i="21412"/>
  <c r="I219" i="21412"/>
  <c r="I209" i="21412"/>
  <c r="I205" i="21412"/>
  <c r="I201" i="21412"/>
  <c r="I197" i="21412"/>
  <c r="I193" i="21412"/>
  <c r="I189" i="21412"/>
  <c r="I185" i="21412"/>
  <c r="I181" i="21412"/>
  <c r="I177" i="21412"/>
  <c r="I173" i="21412"/>
  <c r="I169" i="21412"/>
  <c r="I165" i="21412"/>
  <c r="I161" i="21412"/>
  <c r="I157" i="21412"/>
  <c r="I315" i="21412"/>
  <c r="I309" i="21412"/>
  <c r="I301" i="21412"/>
  <c r="I293" i="21412"/>
  <c r="I269" i="21412"/>
  <c r="I261" i="21412"/>
  <c r="I253" i="21412"/>
  <c r="I245" i="21412"/>
  <c r="I237" i="21412"/>
  <c r="I229" i="21412"/>
  <c r="I221" i="21412"/>
  <c r="I213" i="21412"/>
  <c r="I210" i="21412"/>
  <c r="I206" i="21412"/>
  <c r="I202" i="21412"/>
  <c r="I198" i="21412"/>
  <c r="I194" i="21412"/>
  <c r="I190" i="21412"/>
  <c r="I186" i="21412"/>
  <c r="I182" i="21412"/>
  <c r="I178" i="21412"/>
  <c r="I174" i="21412"/>
  <c r="I170" i="21412"/>
  <c r="I166" i="21412"/>
  <c r="I162" i="21412"/>
  <c r="I158" i="21412"/>
  <c r="I154" i="21412"/>
  <c r="I153" i="21412"/>
  <c r="I150" i="21412"/>
  <c r="I146" i="21412"/>
  <c r="I142" i="21412"/>
  <c r="I138" i="21412"/>
  <c r="I134" i="21412"/>
  <c r="I130" i="21412"/>
  <c r="I126" i="21412"/>
  <c r="I122" i="21412"/>
  <c r="I118" i="21412"/>
  <c r="I114" i="21412"/>
  <c r="I110" i="21412"/>
  <c r="I106" i="21412"/>
  <c r="I102" i="21412"/>
  <c r="I98" i="21412"/>
  <c r="I94" i="21412"/>
  <c r="I90" i="21412"/>
  <c r="I86" i="21412"/>
  <c r="I82" i="21412"/>
  <c r="I78" i="21412"/>
  <c r="I74" i="21412"/>
  <c r="I70" i="21412"/>
  <c r="I66" i="21412"/>
  <c r="I62" i="21412"/>
  <c r="I58" i="21412"/>
  <c r="I54" i="21412"/>
  <c r="I50" i="21412"/>
  <c r="I46" i="21412"/>
  <c r="I151" i="21412"/>
  <c r="I147" i="21412"/>
  <c r="I143" i="21412"/>
  <c r="I139" i="21412"/>
  <c r="I135" i="21412"/>
  <c r="I131" i="21412"/>
  <c r="I127" i="21412"/>
  <c r="I123" i="21412"/>
  <c r="I119" i="21412"/>
  <c r="I115" i="21412"/>
  <c r="I111" i="21412"/>
  <c r="I107" i="21412"/>
  <c r="I103" i="21412"/>
  <c r="I99" i="21412"/>
  <c r="I95" i="21412"/>
  <c r="I91" i="21412"/>
  <c r="I87" i="21412"/>
  <c r="I83" i="21412"/>
  <c r="I79" i="21412"/>
  <c r="I75" i="21412"/>
  <c r="I71" i="21412"/>
  <c r="I67" i="21412"/>
  <c r="I63" i="21412"/>
  <c r="I59" i="21412"/>
  <c r="I55" i="21412"/>
  <c r="I51" i="21412"/>
  <c r="I47" i="21412"/>
  <c r="I43" i="21412"/>
  <c r="I152" i="21412"/>
  <c r="I148" i="21412"/>
  <c r="I144" i="21412"/>
  <c r="I140" i="21412"/>
  <c r="I136" i="21412"/>
  <c r="I132" i="21412"/>
  <c r="I128" i="21412"/>
  <c r="I124" i="21412"/>
  <c r="I120" i="21412"/>
  <c r="I116" i="21412"/>
  <c r="I112" i="21412"/>
  <c r="I108" i="21412"/>
  <c r="I104" i="21412"/>
  <c r="I100" i="21412"/>
  <c r="I96" i="21412"/>
  <c r="I92" i="21412"/>
  <c r="I88" i="21412"/>
  <c r="I84" i="21412"/>
  <c r="I80" i="21412"/>
  <c r="I76" i="21412"/>
  <c r="I72" i="21412"/>
  <c r="I68" i="21412"/>
  <c r="I64" i="21412"/>
  <c r="I60" i="21412"/>
  <c r="I56" i="21412"/>
  <c r="I52" i="21412"/>
  <c r="I48" i="21412"/>
  <c r="I44" i="21412"/>
  <c r="I40" i="21412"/>
  <c r="I149" i="21412"/>
  <c r="I145" i="21412"/>
  <c r="I141" i="21412"/>
  <c r="I137" i="21412"/>
  <c r="I133" i="21412"/>
  <c r="I129" i="21412"/>
  <c r="I125" i="21412"/>
  <c r="I121" i="21412"/>
  <c r="I117" i="21412"/>
  <c r="I113" i="21412"/>
  <c r="I109" i="21412"/>
  <c r="I105" i="21412"/>
  <c r="I101" i="21412"/>
  <c r="I97" i="21412"/>
  <c r="I93" i="21412"/>
  <c r="I89" i="21412"/>
  <c r="I85" i="21412"/>
  <c r="I81" i="21412"/>
  <c r="I77" i="21412"/>
  <c r="I73" i="21412"/>
  <c r="I69" i="21412"/>
  <c r="I65" i="21412"/>
  <c r="I61" i="21412"/>
  <c r="I57" i="21412"/>
  <c r="I53" i="21412"/>
  <c r="I49" i="21412"/>
  <c r="I45" i="21412"/>
  <c r="I41" i="21412"/>
  <c r="I42" i="21412"/>
  <c r="I35" i="21412"/>
  <c r="I31" i="21412"/>
  <c r="I27" i="21412"/>
  <c r="I23" i="21412"/>
  <c r="I19" i="21412"/>
  <c r="I15" i="21412"/>
  <c r="I11" i="21412"/>
  <c r="I39" i="21412"/>
  <c r="I36" i="21412"/>
  <c r="I32" i="21412"/>
  <c r="I28" i="21412"/>
  <c r="I24" i="21412"/>
  <c r="I20" i="21412"/>
  <c r="I16" i="21412"/>
  <c r="I12" i="21412"/>
  <c r="I8" i="21412"/>
  <c r="I37" i="21412"/>
  <c r="I33" i="21412"/>
  <c r="I29" i="21412"/>
  <c r="I25" i="21412"/>
  <c r="I21" i="21412"/>
  <c r="I17" i="21412"/>
  <c r="I13" i="21412"/>
  <c r="I38" i="21412"/>
  <c r="I34" i="21412"/>
  <c r="I30" i="21412"/>
  <c r="I26" i="21412"/>
  <c r="I22" i="21412"/>
  <c r="I18" i="21412"/>
  <c r="I14" i="21412"/>
  <c r="I10" i="21412"/>
  <c r="I9" i="21412"/>
  <c r="I6" i="21412"/>
  <c r="I2" i="21412"/>
  <c r="I7" i="21412"/>
  <c r="I3" i="21412"/>
  <c r="I4" i="21412"/>
  <c r="I5" i="21412"/>
  <c r="H323" i="21412"/>
  <c r="H319" i="21412"/>
  <c r="H315" i="21412"/>
  <c r="H311" i="21412"/>
  <c r="H307" i="21412"/>
  <c r="H303" i="21412"/>
  <c r="H299" i="21412"/>
  <c r="H295" i="21412"/>
  <c r="H291" i="21412"/>
  <c r="H283" i="21412"/>
  <c r="H279" i="21412"/>
  <c r="H271" i="21412"/>
  <c r="H267" i="21412"/>
  <c r="H263" i="21412"/>
  <c r="H259" i="21412"/>
  <c r="H255" i="21412"/>
  <c r="H251" i="21412"/>
  <c r="H247" i="21412"/>
  <c r="H243" i="21412"/>
  <c r="H239" i="21412"/>
  <c r="H235" i="21412"/>
  <c r="H231" i="21412"/>
  <c r="H227" i="21412"/>
  <c r="H223" i="21412"/>
  <c r="H219" i="21412"/>
  <c r="H215" i="21412"/>
  <c r="H324" i="21412"/>
  <c r="H320" i="21412"/>
  <c r="H316" i="21412"/>
  <c r="H325" i="21412"/>
  <c r="H321" i="21412"/>
  <c r="H317" i="21412"/>
  <c r="H313" i="21412"/>
  <c r="H309" i="21412"/>
  <c r="H305" i="21412"/>
  <c r="H301" i="21412"/>
  <c r="H297" i="21412"/>
  <c r="H293" i="21412"/>
  <c r="H281" i="21412"/>
  <c r="H269" i="21412"/>
  <c r="H265" i="21412"/>
  <c r="H261" i="21412"/>
  <c r="H257" i="21412"/>
  <c r="H253" i="21412"/>
  <c r="H249" i="21412"/>
  <c r="H245" i="21412"/>
  <c r="H241" i="21412"/>
  <c r="H237" i="21412"/>
  <c r="H233" i="21412"/>
  <c r="H229" i="21412"/>
  <c r="H225" i="21412"/>
  <c r="H221" i="21412"/>
  <c r="H217" i="21412"/>
  <c r="H213" i="21412"/>
  <c r="H314" i="21412"/>
  <c r="H306" i="21412"/>
  <c r="H298" i="21412"/>
  <c r="H290" i="21412"/>
  <c r="H282" i="21412"/>
  <c r="H266" i="21412"/>
  <c r="H258" i="21412"/>
  <c r="H250" i="21412"/>
  <c r="H242" i="21412"/>
  <c r="H234" i="21412"/>
  <c r="H226" i="21412"/>
  <c r="H218" i="21412"/>
  <c r="H210" i="21412"/>
  <c r="H206" i="21412"/>
  <c r="H202" i="21412"/>
  <c r="H198" i="21412"/>
  <c r="H194" i="21412"/>
  <c r="H190" i="21412"/>
  <c r="H186" i="21412"/>
  <c r="H182" i="21412"/>
  <c r="H178" i="21412"/>
  <c r="H174" i="21412"/>
  <c r="H170" i="21412"/>
  <c r="H166" i="21412"/>
  <c r="H162" i="21412"/>
  <c r="H158" i="21412"/>
  <c r="H154" i="21412"/>
  <c r="H318" i="21412"/>
  <c r="H308" i="21412"/>
  <c r="H300" i="21412"/>
  <c r="H292" i="21412"/>
  <c r="H268" i="21412"/>
  <c r="H260" i="21412"/>
  <c r="H252" i="21412"/>
  <c r="H244" i="21412"/>
  <c r="H236" i="21412"/>
  <c r="H228" i="21412"/>
  <c r="H220" i="21412"/>
  <c r="H211" i="21412"/>
  <c r="H207" i="21412"/>
  <c r="H203" i="21412"/>
  <c r="H199" i="21412"/>
  <c r="H195" i="21412"/>
  <c r="H191" i="21412"/>
  <c r="H187" i="21412"/>
  <c r="H183" i="21412"/>
  <c r="H179" i="21412"/>
  <c r="H175" i="21412"/>
  <c r="H171" i="21412"/>
  <c r="H167" i="21412"/>
  <c r="H163" i="21412"/>
  <c r="H159" i="21412"/>
  <c r="H155" i="21412"/>
  <c r="H322" i="21412"/>
  <c r="H310" i="21412"/>
  <c r="H302" i="21412"/>
  <c r="H294" i="21412"/>
  <c r="H278" i="21412"/>
  <c r="H270" i="21412"/>
  <c r="H262" i="21412"/>
  <c r="H254" i="21412"/>
  <c r="H246" i="21412"/>
  <c r="H238" i="21412"/>
  <c r="H230" i="21412"/>
  <c r="H222" i="21412"/>
  <c r="H214" i="21412"/>
  <c r="H212" i="21412"/>
  <c r="H208" i="21412"/>
  <c r="H204" i="21412"/>
  <c r="H200" i="21412"/>
  <c r="H196" i="21412"/>
  <c r="H192" i="21412"/>
  <c r="H188" i="21412"/>
  <c r="H184" i="21412"/>
  <c r="H180" i="21412"/>
  <c r="H176" i="21412"/>
  <c r="H172" i="21412"/>
  <c r="H168" i="21412"/>
  <c r="H164" i="21412"/>
  <c r="H160" i="21412"/>
  <c r="H156" i="21412"/>
  <c r="H312" i="21412"/>
  <c r="H304" i="21412"/>
  <c r="H296" i="21412"/>
  <c r="H280" i="21412"/>
  <c r="H264" i="21412"/>
  <c r="H256" i="21412"/>
  <c r="H248" i="21412"/>
  <c r="H240" i="21412"/>
  <c r="H232" i="21412"/>
  <c r="H224" i="21412"/>
  <c r="H216" i="21412"/>
  <c r="H209" i="21412"/>
  <c r="H205" i="21412"/>
  <c r="H201" i="21412"/>
  <c r="H197" i="21412"/>
  <c r="H193" i="21412"/>
  <c r="H189" i="21412"/>
  <c r="H185" i="21412"/>
  <c r="H181" i="21412"/>
  <c r="H177" i="21412"/>
  <c r="H173" i="21412"/>
  <c r="H169" i="21412"/>
  <c r="H165" i="21412"/>
  <c r="H161" i="21412"/>
  <c r="H157" i="21412"/>
  <c r="H153" i="21412"/>
  <c r="H149" i="21412"/>
  <c r="H145" i="21412"/>
  <c r="H141" i="21412"/>
  <c r="H137" i="21412"/>
  <c r="H133" i="21412"/>
  <c r="H129" i="21412"/>
  <c r="H125" i="21412"/>
  <c r="H121" i="21412"/>
  <c r="H117" i="21412"/>
  <c r="H113" i="21412"/>
  <c r="H109" i="21412"/>
  <c r="H105" i="21412"/>
  <c r="H101" i="21412"/>
  <c r="H97" i="21412"/>
  <c r="H93" i="21412"/>
  <c r="H89" i="21412"/>
  <c r="H85" i="21412"/>
  <c r="H81" i="21412"/>
  <c r="H77" i="21412"/>
  <c r="H73" i="21412"/>
  <c r="H69" i="21412"/>
  <c r="H65" i="21412"/>
  <c r="H61" i="21412"/>
  <c r="H57" i="21412"/>
  <c r="H53" i="21412"/>
  <c r="H49" i="21412"/>
  <c r="H45" i="21412"/>
  <c r="H150" i="21412"/>
  <c r="H146" i="21412"/>
  <c r="H142" i="21412"/>
  <c r="H138" i="21412"/>
  <c r="H134" i="21412"/>
  <c r="H130" i="21412"/>
  <c r="H126" i="21412"/>
  <c r="H122" i="21412"/>
  <c r="H118" i="21412"/>
  <c r="H114" i="21412"/>
  <c r="H110" i="21412"/>
  <c r="H106" i="21412"/>
  <c r="H102" i="21412"/>
  <c r="H98" i="21412"/>
  <c r="H94" i="21412"/>
  <c r="H90" i="21412"/>
  <c r="H86" i="21412"/>
  <c r="H82" i="21412"/>
  <c r="H78" i="21412"/>
  <c r="H74" i="21412"/>
  <c r="H70" i="21412"/>
  <c r="H66" i="21412"/>
  <c r="H62" i="21412"/>
  <c r="H58" i="21412"/>
  <c r="H54" i="21412"/>
  <c r="H50" i="21412"/>
  <c r="H46" i="21412"/>
  <c r="H151" i="21412"/>
  <c r="H147" i="21412"/>
  <c r="H143" i="21412"/>
  <c r="H139" i="21412"/>
  <c r="H135" i="21412"/>
  <c r="H131" i="21412"/>
  <c r="H127" i="21412"/>
  <c r="H123" i="21412"/>
  <c r="H119" i="21412"/>
  <c r="H115" i="21412"/>
  <c r="H111" i="21412"/>
  <c r="H107" i="21412"/>
  <c r="H103" i="21412"/>
  <c r="H99" i="21412"/>
  <c r="H95" i="21412"/>
  <c r="H91" i="21412"/>
  <c r="H87" i="21412"/>
  <c r="H83" i="21412"/>
  <c r="H79" i="21412"/>
  <c r="H75" i="21412"/>
  <c r="H71" i="21412"/>
  <c r="H67" i="21412"/>
  <c r="H63" i="21412"/>
  <c r="H59" i="21412"/>
  <c r="H55" i="21412"/>
  <c r="H51" i="21412"/>
  <c r="H47" i="21412"/>
  <c r="H43" i="21412"/>
  <c r="H39" i="21412"/>
  <c r="H152" i="21412"/>
  <c r="H148" i="21412"/>
  <c r="H144" i="21412"/>
  <c r="H140" i="21412"/>
  <c r="H136" i="21412"/>
  <c r="H132" i="21412"/>
  <c r="H128" i="21412"/>
  <c r="H124" i="21412"/>
  <c r="H120" i="21412"/>
  <c r="H116" i="21412"/>
  <c r="H112" i="21412"/>
  <c r="H108" i="21412"/>
  <c r="H104" i="21412"/>
  <c r="H100" i="21412"/>
  <c r="H96" i="21412"/>
  <c r="H92" i="21412"/>
  <c r="H88" i="21412"/>
  <c r="H84" i="21412"/>
  <c r="H80" i="21412"/>
  <c r="H76" i="21412"/>
  <c r="H72" i="21412"/>
  <c r="H68" i="21412"/>
  <c r="H64" i="21412"/>
  <c r="H60" i="21412"/>
  <c r="H56" i="21412"/>
  <c r="H52" i="21412"/>
  <c r="H48" i="21412"/>
  <c r="H44" i="21412"/>
  <c r="H40" i="21412"/>
  <c r="H38" i="21412"/>
  <c r="H34" i="21412"/>
  <c r="H30" i="21412"/>
  <c r="H26" i="21412"/>
  <c r="H22" i="21412"/>
  <c r="H18" i="21412"/>
  <c r="H14" i="21412"/>
  <c r="H10" i="21412"/>
  <c r="H8" i="21412"/>
  <c r="H42" i="21412"/>
  <c r="H35" i="21412"/>
  <c r="H31" i="21412"/>
  <c r="H27" i="21412"/>
  <c r="H23" i="21412"/>
  <c r="H19" i="21412"/>
  <c r="H15" i="21412"/>
  <c r="H11" i="21412"/>
  <c r="H41" i="21412"/>
  <c r="H36" i="21412"/>
  <c r="H32" i="21412"/>
  <c r="H28" i="21412"/>
  <c r="H24" i="21412"/>
  <c r="H20" i="21412"/>
  <c r="H16" i="21412"/>
  <c r="H12" i="21412"/>
  <c r="H37" i="21412"/>
  <c r="H33" i="21412"/>
  <c r="H29" i="21412"/>
  <c r="H25" i="21412"/>
  <c r="H21" i="21412"/>
  <c r="H17" i="21412"/>
  <c r="H13" i="21412"/>
  <c r="H9" i="21412"/>
  <c r="H5" i="21412"/>
  <c r="H6" i="21412"/>
  <c r="H2" i="21412"/>
  <c r="H7" i="21412"/>
  <c r="H3" i="21412"/>
  <c r="H4" i="21412"/>
  <c r="BC5" i="21398"/>
  <c r="K208" i="21408"/>
  <c r="K203" i="21408"/>
  <c r="K206" i="21408"/>
  <c r="K207" i="21408"/>
  <c r="K210" i="21408"/>
  <c r="K205" i="21408"/>
  <c r="K209" i="21408"/>
  <c r="K204" i="21408"/>
  <c r="K373" i="21408"/>
  <c r="K323" i="21408"/>
  <c r="K305" i="21408"/>
  <c r="K372" i="21408"/>
  <c r="K374" i="21408"/>
  <c r="K369" i="21408" s="1"/>
  <c r="K324" i="21408"/>
  <c r="K310" i="21408"/>
  <c r="K221" i="21408"/>
  <c r="K193" i="21408"/>
  <c r="K177" i="21408"/>
  <c r="K178" i="21408"/>
  <c r="K232" i="21408"/>
  <c r="K220" i="21408"/>
  <c r="K180" i="21408"/>
  <c r="K176" i="21408"/>
  <c r="K230" i="21408"/>
  <c r="K261" i="21408"/>
  <c r="K233" i="21408"/>
  <c r="K211" i="21408"/>
  <c r="K179" i="21408"/>
  <c r="K260" i="21408"/>
  <c r="K200" i="21408"/>
  <c r="BC5" i="108"/>
  <c r="BC5" i="21400"/>
  <c r="BC5" i="21399"/>
  <c r="K1" i="21412"/>
  <c r="J1" i="21412"/>
  <c r="I1" i="21412"/>
  <c r="H1" i="21412"/>
  <c r="G1" i="21412"/>
  <c r="F1" i="21412"/>
  <c r="AX57" i="21400" l="1"/>
  <c r="AZ57" i="21400" s="1"/>
  <c r="BB57" i="21400" s="1"/>
  <c r="AW57" i="21400"/>
  <c r="C88" i="21399"/>
  <c r="C90" i="21399" s="1"/>
  <c r="J85" i="21399"/>
  <c r="AY58" i="21400"/>
  <c r="BA58" i="21400" s="1"/>
  <c r="BC56" i="21400"/>
  <c r="C62" i="21400"/>
  <c r="AW60" i="21400"/>
  <c r="AX60" i="21400"/>
  <c r="F60" i="21400"/>
  <c r="BA44" i="21398"/>
  <c r="BC44" i="21398"/>
  <c r="C48" i="21398"/>
  <c r="AX46" i="21398"/>
  <c r="AW46" i="21398"/>
  <c r="AY46" i="2"/>
  <c r="BA46" i="2" s="1"/>
  <c r="M46" i="2"/>
  <c r="BC46" i="2" s="1"/>
  <c r="AX48" i="2"/>
  <c r="AW48" i="2"/>
  <c r="C50" i="2"/>
  <c r="C52" i="2" s="1"/>
  <c r="C54" i="2" s="1"/>
  <c r="C56" i="2" s="1"/>
  <c r="C58" i="2" s="1"/>
  <c r="C60" i="2" s="1"/>
  <c r="C62" i="2" s="1"/>
  <c r="BA58" i="2"/>
  <c r="L74" i="21406"/>
  <c r="L73" i="21406"/>
  <c r="L72" i="21406"/>
  <c r="L71" i="21406"/>
  <c r="L70" i="21406"/>
  <c r="L69" i="21406"/>
  <c r="L68" i="21406"/>
  <c r="L67" i="21406"/>
  <c r="L66" i="21406"/>
  <c r="L65" i="21406"/>
  <c r="L64" i="21406"/>
  <c r="L63" i="21406"/>
  <c r="L62" i="21406"/>
  <c r="L61" i="21406"/>
  <c r="L60" i="21406"/>
  <c r="L59" i="21406"/>
  <c r="L57" i="21406"/>
  <c r="L56" i="21406"/>
  <c r="L55" i="21406"/>
  <c r="L54" i="21406"/>
  <c r="L53" i="21406"/>
  <c r="L52" i="21406"/>
  <c r="L51" i="21406"/>
  <c r="L50" i="21406"/>
  <c r="L49" i="21406"/>
  <c r="L48" i="21406"/>
  <c r="L47" i="21406"/>
  <c r="L46" i="21406"/>
  <c r="L45" i="21406"/>
  <c r="L44" i="21406"/>
  <c r="L43" i="21406"/>
  <c r="L42" i="21406"/>
  <c r="L37" i="21406"/>
  <c r="L36" i="21406"/>
  <c r="L35" i="21406"/>
  <c r="L34" i="21406"/>
  <c r="L33" i="21406"/>
  <c r="L32" i="21406"/>
  <c r="L31" i="21406"/>
  <c r="L30" i="21406"/>
  <c r="L29" i="21406"/>
  <c r="L28" i="21406"/>
  <c r="L27" i="21406"/>
  <c r="L26" i="21406"/>
  <c r="L25" i="21406"/>
  <c r="L24" i="21406"/>
  <c r="L23" i="21406"/>
  <c r="L22" i="21406"/>
  <c r="L20" i="21406"/>
  <c r="L19" i="21406"/>
  <c r="L18" i="21406"/>
  <c r="L17" i="21406"/>
  <c r="L16" i="21406"/>
  <c r="L15" i="21406"/>
  <c r="L14" i="21406"/>
  <c r="L13" i="21406"/>
  <c r="L12" i="21406"/>
  <c r="L11" i="21406"/>
  <c r="L10" i="21406"/>
  <c r="L9" i="21406"/>
  <c r="L8" i="21406"/>
  <c r="L7" i="21406"/>
  <c r="L6" i="21406"/>
  <c r="L5" i="21406"/>
  <c r="BC58" i="21400" l="1"/>
  <c r="C64" i="21400"/>
  <c r="AW62" i="21400"/>
  <c r="AX62" i="21400"/>
  <c r="J63" i="21400"/>
  <c r="C92" i="21399"/>
  <c r="C94" i="21399" s="1"/>
  <c r="C96" i="21399" s="1"/>
  <c r="C98" i="21399" s="1"/>
  <c r="C100" i="21399" s="1"/>
  <c r="J91" i="21399"/>
  <c r="AY60" i="21400"/>
  <c r="BA60" i="21400" s="1"/>
  <c r="BC60" i="21400"/>
  <c r="AY46" i="21398"/>
  <c r="BA46" i="21398" s="1"/>
  <c r="M46" i="21398"/>
  <c r="BC46" i="21398" s="1"/>
  <c r="C50" i="21398"/>
  <c r="C52" i="21398" s="1"/>
  <c r="C54" i="21398" s="1"/>
  <c r="C56" i="21398" s="1"/>
  <c r="C58" i="21398" s="1"/>
  <c r="C60" i="21398" s="1"/>
  <c r="C62" i="21398" s="1"/>
  <c r="C64" i="21398" s="1"/>
  <c r="C66" i="21398" s="1"/>
  <c r="C68" i="21398" s="1"/>
  <c r="C70" i="21398" s="1"/>
  <c r="C72" i="21398" s="1"/>
  <c r="C74" i="21398" s="1"/>
  <c r="C76" i="21398" s="1"/>
  <c r="C78" i="21398" s="1"/>
  <c r="C80" i="21398" s="1"/>
  <c r="C82" i="21398" s="1"/>
  <c r="C84" i="21398" s="1"/>
  <c r="C86" i="21398" s="1"/>
  <c r="AX48" i="21398"/>
  <c r="AW48" i="21398"/>
  <c r="AY48" i="2"/>
  <c r="BA48" i="2" s="1"/>
  <c r="M48" i="2"/>
  <c r="BC48" i="2" s="1"/>
  <c r="BA60" i="2"/>
  <c r="C64" i="2"/>
  <c r="K317" i="21408"/>
  <c r="K316" i="21408"/>
  <c r="K315" i="21408"/>
  <c r="K314" i="21408"/>
  <c r="K313" i="21408"/>
  <c r="K312" i="21408"/>
  <c r="K311" i="21408"/>
  <c r="K309" i="21408" s="1"/>
  <c r="C102" i="21399" l="1"/>
  <c r="F100" i="21399"/>
  <c r="C66" i="21400"/>
  <c r="C68" i="21400" s="1"/>
  <c r="AW64" i="21400"/>
  <c r="AX64" i="21400"/>
  <c r="AW63" i="21400"/>
  <c r="AX63" i="21400"/>
  <c r="AZ63" i="21400" s="1"/>
  <c r="BB63" i="21400" s="1"/>
  <c r="AY62" i="21400"/>
  <c r="BA62" i="21400" s="1"/>
  <c r="C88" i="21398"/>
  <c r="J85" i="21398"/>
  <c r="AY48" i="21398"/>
  <c r="BA48" i="21398" s="1"/>
  <c r="M48" i="21398"/>
  <c r="BC48" i="21398" s="1"/>
  <c r="C66" i="2"/>
  <c r="BA62" i="2"/>
  <c r="E349" i="21412"/>
  <c r="M254" i="21408"/>
  <c r="K254" i="21408"/>
  <c r="J254" i="21408"/>
  <c r="I254" i="21408"/>
  <c r="H254" i="21408"/>
  <c r="BC62" i="21400" l="1"/>
  <c r="J328" i="21412"/>
  <c r="J326" i="21412"/>
  <c r="J330" i="21412"/>
  <c r="J331" i="21412"/>
  <c r="J329" i="21412"/>
  <c r="J327" i="21412"/>
  <c r="C70" i="21400"/>
  <c r="C72" i="21400" s="1"/>
  <c r="C74" i="21400" s="1"/>
  <c r="C76" i="21400" s="1"/>
  <c r="C78" i="21400" s="1"/>
  <c r="J67" i="21400"/>
  <c r="AY64" i="21400"/>
  <c r="BA64" i="21400" s="1"/>
  <c r="J117" i="21412"/>
  <c r="C104" i="21399"/>
  <c r="F102" i="21399"/>
  <c r="C90" i="21398"/>
  <c r="J89" i="21398"/>
  <c r="J87" i="21398"/>
  <c r="BA86" i="21398"/>
  <c r="BC86" i="21398"/>
  <c r="BA64" i="2"/>
  <c r="C68" i="2"/>
  <c r="E347" i="21412"/>
  <c r="E333" i="21412"/>
  <c r="E348" i="21412"/>
  <c r="E344" i="21412"/>
  <c r="E346" i="21412"/>
  <c r="E345" i="21412"/>
  <c r="E334" i="21412"/>
  <c r="E336" i="21412"/>
  <c r="E337" i="21412"/>
  <c r="E332" i="21412"/>
  <c r="E335" i="21412"/>
  <c r="G254" i="21408"/>
  <c r="BB85" i="21398" l="1"/>
  <c r="J261" i="21412"/>
  <c r="J26" i="21412"/>
  <c r="J262" i="21412"/>
  <c r="J188" i="21412"/>
  <c r="J19" i="21412"/>
  <c r="J65" i="21412"/>
  <c r="J220" i="21412"/>
  <c r="J308" i="21412"/>
  <c r="J135" i="21412"/>
  <c r="J190" i="21412"/>
  <c r="J56" i="21412"/>
  <c r="J127" i="21412"/>
  <c r="J85" i="21412"/>
  <c r="J13" i="21412"/>
  <c r="J68" i="21412"/>
  <c r="J186" i="21412"/>
  <c r="J267" i="21412"/>
  <c r="J55" i="21412"/>
  <c r="J3" i="21412"/>
  <c r="J73" i="21412"/>
  <c r="J195" i="21412"/>
  <c r="J212" i="21412"/>
  <c r="J114" i="21412"/>
  <c r="J5" i="21412"/>
  <c r="J57" i="21412"/>
  <c r="J179" i="21412"/>
  <c r="J196" i="21412"/>
  <c r="J126" i="21412"/>
  <c r="J47" i="21412"/>
  <c r="J194" i="21412"/>
  <c r="J260" i="21412"/>
  <c r="J269" i="21412"/>
  <c r="J243" i="21412"/>
  <c r="J138" i="21412"/>
  <c r="J147" i="21412"/>
  <c r="J164" i="21412"/>
  <c r="J25" i="21412"/>
  <c r="J292" i="21412"/>
  <c r="J74" i="21412"/>
  <c r="J248" i="21412"/>
  <c r="J149" i="21412"/>
  <c r="J62" i="21412"/>
  <c r="J151" i="21412"/>
  <c r="J168" i="21412"/>
  <c r="J8" i="21412"/>
  <c r="J12" i="21412"/>
  <c r="J205" i="21412"/>
  <c r="J263" i="21412"/>
  <c r="J122" i="21412"/>
  <c r="J180" i="21412"/>
  <c r="J78" i="21412"/>
  <c r="J313" i="21412"/>
  <c r="J97" i="21412"/>
  <c r="J7" i="21412"/>
  <c r="J142" i="21412"/>
  <c r="J301" i="21412"/>
  <c r="J310" i="21412"/>
  <c r="J279" i="21412"/>
  <c r="J174" i="21412"/>
  <c r="J165" i="21412"/>
  <c r="J203" i="21412"/>
  <c r="J42" i="21412"/>
  <c r="J152" i="21412"/>
  <c r="J161" i="21412"/>
  <c r="J241" i="21412"/>
  <c r="J182" i="21412"/>
  <c r="J34" i="21412"/>
  <c r="J52" i="21412"/>
  <c r="J170" i="21412"/>
  <c r="J251" i="21412"/>
  <c r="J124" i="21412"/>
  <c r="J22" i="21412"/>
  <c r="J145" i="21412"/>
  <c r="J154" i="21412"/>
  <c r="J235" i="21412"/>
  <c r="J77" i="21412"/>
  <c r="J111" i="21412"/>
  <c r="J316" i="21412"/>
  <c r="J255" i="21412"/>
  <c r="J24" i="21412"/>
  <c r="J31" i="21412"/>
  <c r="J113" i="21412"/>
  <c r="J250" i="21412"/>
  <c r="J300" i="21412"/>
  <c r="J105" i="21412"/>
  <c r="J70" i="21412"/>
  <c r="J133" i="21412"/>
  <c r="J184" i="21412"/>
  <c r="J177" i="21412"/>
  <c r="J146" i="21412"/>
  <c r="J258" i="21412"/>
  <c r="J324" i="21412"/>
  <c r="J129" i="21412"/>
  <c r="J49" i="21412"/>
  <c r="J319" i="21412"/>
  <c r="J33" i="21412"/>
  <c r="J140" i="21412"/>
  <c r="J153" i="21412"/>
  <c r="J46" i="21412"/>
  <c r="J158" i="21412"/>
  <c r="J131" i="21412"/>
  <c r="J106" i="21412"/>
  <c r="J112" i="21412"/>
  <c r="J218" i="21412"/>
  <c r="J81" i="21412"/>
  <c r="J63" i="21412"/>
  <c r="J219" i="21412"/>
  <c r="J94" i="21412"/>
  <c r="J17" i="21412"/>
  <c r="J75" i="21412"/>
  <c r="J259" i="21412"/>
  <c r="J271" i="21412"/>
  <c r="J236" i="21412"/>
  <c r="J118" i="21412"/>
  <c r="J123" i="21412"/>
  <c r="J294" i="21412"/>
  <c r="J10" i="21412"/>
  <c r="J200" i="21412"/>
  <c r="J32" i="21412"/>
  <c r="J136" i="21412"/>
  <c r="J312" i="21412"/>
  <c r="J221" i="21412"/>
  <c r="J242" i="21412"/>
  <c r="J20" i="21412"/>
  <c r="J120" i="21412"/>
  <c r="J264" i="21412"/>
  <c r="J318" i="21412"/>
  <c r="J141" i="21412"/>
  <c r="J175" i="21412"/>
  <c r="J214" i="21412"/>
  <c r="J314" i="21412"/>
  <c r="J84" i="21412"/>
  <c r="J29" i="21412"/>
  <c r="J88" i="21412"/>
  <c r="J206" i="21412"/>
  <c r="J299" i="21412"/>
  <c r="J99" i="21412"/>
  <c r="J157" i="21412"/>
  <c r="J108" i="21412"/>
  <c r="J227" i="21412"/>
  <c r="J305" i="21412"/>
  <c r="J92" i="21412"/>
  <c r="J216" i="21412"/>
  <c r="J303" i="21412"/>
  <c r="J148" i="21412"/>
  <c r="J83" i="21412"/>
  <c r="J39" i="21412"/>
  <c r="BC64" i="21400"/>
  <c r="J225" i="21412"/>
  <c r="J48" i="21412"/>
  <c r="J191" i="21412"/>
  <c r="J246" i="21412"/>
  <c r="J217" i="21412"/>
  <c r="J119" i="21412"/>
  <c r="J21" i="21412"/>
  <c r="J76" i="21412"/>
  <c r="J198" i="21412"/>
  <c r="J283" i="21412"/>
  <c r="J109" i="21412"/>
  <c r="J143" i="21412"/>
  <c r="J181" i="21412"/>
  <c r="J295" i="21412"/>
  <c r="J134" i="21412"/>
  <c r="J44" i="21412"/>
  <c r="J247" i="21412"/>
  <c r="J6" i="21412"/>
  <c r="J171" i="21412"/>
  <c r="J54" i="21412"/>
  <c r="J150" i="21412"/>
  <c r="J176" i="21412"/>
  <c r="J228" i="21412"/>
  <c r="J296" i="21412"/>
  <c r="J50" i="21412"/>
  <c r="J51" i="21412"/>
  <c r="J173" i="21412"/>
  <c r="J249" i="21412"/>
  <c r="J64" i="21412"/>
  <c r="J207" i="21412"/>
  <c r="J278" i="21412"/>
  <c r="J233" i="21412"/>
  <c r="J139" i="21412"/>
  <c r="J28" i="21412"/>
  <c r="J132" i="21412"/>
  <c r="J304" i="21412"/>
  <c r="J213" i="21412"/>
  <c r="J290" i="21412"/>
  <c r="J18" i="21412"/>
  <c r="J137" i="21412"/>
  <c r="J320" i="21412"/>
  <c r="J231" i="21412"/>
  <c r="J60" i="21412"/>
  <c r="J40" i="21412"/>
  <c r="J121" i="21412"/>
  <c r="J282" i="21412"/>
  <c r="J215" i="21412"/>
  <c r="J61" i="21412"/>
  <c r="J95" i="21412"/>
  <c r="J280" i="21412"/>
  <c r="J239" i="21412"/>
  <c r="J257" i="21412"/>
  <c r="J110" i="21412"/>
  <c r="J253" i="21412"/>
  <c r="J162" i="21412"/>
  <c r="J204" i="21412"/>
  <c r="J237" i="21412"/>
  <c r="J230" i="21412"/>
  <c r="J98" i="21412"/>
  <c r="J103" i="21412"/>
  <c r="J238" i="21412"/>
  <c r="J11" i="21412"/>
  <c r="J160" i="21412"/>
  <c r="J16" i="21412"/>
  <c r="J116" i="21412"/>
  <c r="J256" i="21412"/>
  <c r="J323" i="21412"/>
  <c r="J163" i="21412"/>
  <c r="J37" i="21412"/>
  <c r="J100" i="21412"/>
  <c r="J224" i="21412"/>
  <c r="J307" i="21412"/>
  <c r="J125" i="21412"/>
  <c r="J159" i="21412"/>
  <c r="J197" i="21412"/>
  <c r="J311" i="21412"/>
  <c r="J82" i="21412"/>
  <c r="J209" i="21412"/>
  <c r="J201" i="21412"/>
  <c r="J71" i="21412"/>
  <c r="J297" i="21412"/>
  <c r="J234" i="21412"/>
  <c r="J30" i="21412"/>
  <c r="J166" i="21412"/>
  <c r="J104" i="21412"/>
  <c r="J53" i="21412"/>
  <c r="J192" i="21412"/>
  <c r="J291" i="21412"/>
  <c r="J155" i="21412"/>
  <c r="J144" i="21412"/>
  <c r="J23" i="21412"/>
  <c r="J101" i="21412"/>
  <c r="J226" i="21412"/>
  <c r="J268" i="21412"/>
  <c r="J45" i="21412"/>
  <c r="J79" i="21412"/>
  <c r="J240" i="21412"/>
  <c r="J223" i="21412"/>
  <c r="J317" i="21412"/>
  <c r="J27" i="21412"/>
  <c r="J2" i="21412"/>
  <c r="J69" i="21412"/>
  <c r="J187" i="21412"/>
  <c r="J208" i="21412"/>
  <c r="J90" i="21412"/>
  <c r="J315" i="21412"/>
  <c r="J87" i="21412"/>
  <c r="J321" i="21412"/>
  <c r="J66" i="21412"/>
  <c r="J193" i="21412"/>
  <c r="J80" i="21412"/>
  <c r="J156" i="21412"/>
  <c r="J178" i="21412"/>
  <c r="J169" i="21412"/>
  <c r="J245" i="21412"/>
  <c r="C106" i="21399"/>
  <c r="C108" i="21399" s="1"/>
  <c r="C110" i="21399" s="1"/>
  <c r="F104" i="21399"/>
  <c r="J103" i="21399"/>
  <c r="J43" i="21412"/>
  <c r="J36" i="21412"/>
  <c r="J302" i="21412"/>
  <c r="J115" i="21412"/>
  <c r="J306" i="21412"/>
  <c r="C80" i="21400"/>
  <c r="C82" i="21400" s="1"/>
  <c r="C84" i="21400" s="1"/>
  <c r="C86" i="21400" s="1"/>
  <c r="C88" i="21400" s="1"/>
  <c r="J79" i="21400"/>
  <c r="J252" i="21412"/>
  <c r="J199" i="21412"/>
  <c r="J210" i="21412"/>
  <c r="J130" i="21412"/>
  <c r="J128" i="21412"/>
  <c r="J72" i="21412"/>
  <c r="J38" i="21412"/>
  <c r="J93" i="21412"/>
  <c r="J9" i="21412"/>
  <c r="J15" i="21412"/>
  <c r="J89" i="21412"/>
  <c r="J211" i="21412"/>
  <c r="J244" i="21412"/>
  <c r="J41" i="21412"/>
  <c r="J229" i="21412"/>
  <c r="J102" i="21412"/>
  <c r="J107" i="21412"/>
  <c r="J254" i="21412"/>
  <c r="J4" i="21412"/>
  <c r="J270" i="21412"/>
  <c r="J86" i="21412"/>
  <c r="J91" i="21412"/>
  <c r="J222" i="21412"/>
  <c r="J325" i="21412"/>
  <c r="J96" i="21412"/>
  <c r="J266" i="21412"/>
  <c r="J172" i="21412"/>
  <c r="J293" i="21412"/>
  <c r="J202" i="21412"/>
  <c r="J58" i="21412"/>
  <c r="J59" i="21412"/>
  <c r="J185" i="21412"/>
  <c r="J265" i="21412"/>
  <c r="J232" i="21412"/>
  <c r="J14" i="21412"/>
  <c r="J167" i="21412"/>
  <c r="J309" i="21412"/>
  <c r="J35" i="21412"/>
  <c r="J67" i="21412"/>
  <c r="J189" i="21412"/>
  <c r="J281" i="21412"/>
  <c r="J322" i="21412"/>
  <c r="J298" i="21412"/>
  <c r="J183" i="21412"/>
  <c r="C92" i="21398"/>
  <c r="BA88" i="21398"/>
  <c r="BC88" i="21398"/>
  <c r="C70" i="2"/>
  <c r="BA66" i="2"/>
  <c r="K366" i="21408"/>
  <c r="K361" i="21408"/>
  <c r="K257" i="21408"/>
  <c r="K231" i="21408"/>
  <c r="G301" i="21408"/>
  <c r="M2" i="21408"/>
  <c r="L2" i="21408"/>
  <c r="K2" i="21408"/>
  <c r="I2" i="21408"/>
  <c r="H2" i="21408"/>
  <c r="BB87" i="21398" l="1"/>
  <c r="BB89" i="21398"/>
  <c r="C90" i="21400"/>
  <c r="C92" i="21400" s="1"/>
  <c r="J87" i="21400"/>
  <c r="C112" i="21399"/>
  <c r="C114" i="21399" s="1"/>
  <c r="C116" i="21399" s="1"/>
  <c r="C118" i="21399" s="1"/>
  <c r="C120" i="21399" s="1"/>
  <c r="C122" i="21399" s="1"/>
  <c r="C124" i="21399" s="1"/>
  <c r="J111" i="21399"/>
  <c r="C94" i="21398"/>
  <c r="BB91" i="21398"/>
  <c r="BA90" i="21398"/>
  <c r="BC90" i="21398"/>
  <c r="BA68" i="2"/>
  <c r="C72" i="2"/>
  <c r="BC118" i="21398"/>
  <c r="AY118" i="21398"/>
  <c r="BA118" i="21398" s="1"/>
  <c r="K5" i="21411"/>
  <c r="AX5" i="2"/>
  <c r="M5" i="2" s="1"/>
  <c r="AW5" i="2"/>
  <c r="AC5" i="2"/>
  <c r="F66" i="21408"/>
  <c r="F67" i="21408" s="1"/>
  <c r="F64" i="21408"/>
  <c r="F65" i="21408" s="1"/>
  <c r="K38" i="21411"/>
  <c r="K27" i="21411"/>
  <c r="K26" i="21411"/>
  <c r="K24" i="21411"/>
  <c r="K21" i="21411"/>
  <c r="K20" i="21411"/>
  <c r="K19" i="21411"/>
  <c r="K18" i="21411"/>
  <c r="K17" i="21411"/>
  <c r="K16" i="21411"/>
  <c r="K12" i="21411"/>
  <c r="K9" i="21411"/>
  <c r="K8" i="21411"/>
  <c r="K7" i="21411"/>
  <c r="K6" i="21411"/>
  <c r="C94" i="21400" l="1"/>
  <c r="C96" i="21400" s="1"/>
  <c r="C98" i="21400" s="1"/>
  <c r="C100" i="21400" s="1"/>
  <c r="C102" i="21400" s="1"/>
  <c r="J93" i="21400"/>
  <c r="C126" i="21399"/>
  <c r="J124" i="21399"/>
  <c r="C96" i="21398"/>
  <c r="BC92" i="21398"/>
  <c r="BA92" i="21398"/>
  <c r="C74" i="2"/>
  <c r="BA70" i="2"/>
  <c r="BC120" i="21398"/>
  <c r="AY120" i="21398"/>
  <c r="BA120" i="21398" s="1"/>
  <c r="AY5" i="2"/>
  <c r="K308" i="21408"/>
  <c r="K35" i="21411"/>
  <c r="K10" i="21411"/>
  <c r="H289" i="21408" s="1"/>
  <c r="K22" i="21411"/>
  <c r="H290" i="21408" s="1"/>
  <c r="G290" i="21408" s="1"/>
  <c r="I72" i="21402"/>
  <c r="I71" i="21402"/>
  <c r="I70" i="21402"/>
  <c r="I69" i="21402"/>
  <c r="I68" i="21402"/>
  <c r="I67" i="21402"/>
  <c r="I61" i="21402"/>
  <c r="I60" i="21402"/>
  <c r="I59" i="21402"/>
  <c r="I58" i="21402"/>
  <c r="I57" i="21402"/>
  <c r="I56" i="21402"/>
  <c r="I55" i="21402"/>
  <c r="I54" i="21402"/>
  <c r="I53" i="21402"/>
  <c r="I52" i="21402"/>
  <c r="I51" i="21402"/>
  <c r="I50" i="21402"/>
  <c r="I49" i="21402"/>
  <c r="I43" i="21402"/>
  <c r="I42" i="21402"/>
  <c r="I41" i="21402"/>
  <c r="I40" i="21402"/>
  <c r="I39" i="21402"/>
  <c r="I38" i="21402"/>
  <c r="I37" i="21402"/>
  <c r="I36" i="21402"/>
  <c r="I35" i="21402"/>
  <c r="I34" i="21402"/>
  <c r="I33" i="21402"/>
  <c r="I32" i="21402"/>
  <c r="I26" i="21402"/>
  <c r="I25" i="21402"/>
  <c r="I24" i="21402"/>
  <c r="I23" i="21402"/>
  <c r="I22" i="21402"/>
  <c r="I21" i="21402"/>
  <c r="I20" i="21402"/>
  <c r="I19" i="21402"/>
  <c r="I18" i="21402"/>
  <c r="I17" i="21402"/>
  <c r="I16" i="21402"/>
  <c r="I15" i="21402"/>
  <c r="I10" i="21402"/>
  <c r="I9" i="21402"/>
  <c r="I8" i="21402"/>
  <c r="I6" i="21402"/>
  <c r="I5" i="21402"/>
  <c r="I4" i="21402"/>
  <c r="I3" i="21402"/>
  <c r="R68" i="21406"/>
  <c r="Q68" i="21406"/>
  <c r="P68" i="21406"/>
  <c r="O68" i="21406"/>
  <c r="N68" i="21406"/>
  <c r="R55" i="21406"/>
  <c r="Q55" i="21406"/>
  <c r="P55" i="21406"/>
  <c r="O55" i="21406"/>
  <c r="N55" i="21406"/>
  <c r="M55" i="21406"/>
  <c r="R49" i="21406"/>
  <c r="Q49" i="21406"/>
  <c r="P49" i="21406"/>
  <c r="O49" i="21406"/>
  <c r="N49" i="21406"/>
  <c r="M49" i="21406"/>
  <c r="R46" i="21406"/>
  <c r="Q46" i="21406"/>
  <c r="P46" i="21406"/>
  <c r="O46" i="21406"/>
  <c r="N46" i="21406"/>
  <c r="M46" i="21406"/>
  <c r="R43" i="21406"/>
  <c r="Q43" i="21406"/>
  <c r="P43" i="21406"/>
  <c r="O43" i="21406"/>
  <c r="N43" i="21406"/>
  <c r="M43" i="21406"/>
  <c r="R18" i="21406"/>
  <c r="Q18" i="21406"/>
  <c r="P18" i="21406"/>
  <c r="O18" i="21406"/>
  <c r="N18" i="21406"/>
  <c r="M18" i="21406"/>
  <c r="R12" i="21406"/>
  <c r="Q12" i="21406"/>
  <c r="P12" i="21406"/>
  <c r="O12" i="21406"/>
  <c r="N12" i="21406"/>
  <c r="M12" i="21406"/>
  <c r="R9" i="21406"/>
  <c r="Q9" i="21406"/>
  <c r="P9" i="21406"/>
  <c r="O9" i="21406"/>
  <c r="N9" i="21406"/>
  <c r="M9" i="21406"/>
  <c r="R6" i="21406"/>
  <c r="Q6" i="21406"/>
  <c r="P6" i="21406"/>
  <c r="O6" i="21406"/>
  <c r="N6" i="21406"/>
  <c r="M6" i="21406"/>
  <c r="S4" i="21406"/>
  <c r="A289" i="21410"/>
  <c r="A251" i="21410"/>
  <c r="A213" i="21410"/>
  <c r="A212" i="21410"/>
  <c r="A211" i="21410"/>
  <c r="A210" i="21410"/>
  <c r="A209" i="21410"/>
  <c r="A208" i="21410"/>
  <c r="A207" i="21410"/>
  <c r="A206" i="21410"/>
  <c r="A205" i="21410"/>
  <c r="A199" i="21410"/>
  <c r="BD162" i="21399" s="1"/>
  <c r="A169" i="21410"/>
  <c r="A168" i="21410"/>
  <c r="A167" i="21410"/>
  <c r="A166" i="21410"/>
  <c r="A147" i="21410"/>
  <c r="A146" i="21410"/>
  <c r="A145" i="21410"/>
  <c r="A144" i="21410"/>
  <c r="A143" i="21410"/>
  <c r="A142" i="21410"/>
  <c r="A141" i="21410"/>
  <c r="A140" i="21410"/>
  <c r="A139" i="21410"/>
  <c r="A121" i="21410"/>
  <c r="A120" i="21410"/>
  <c r="A119" i="21410"/>
  <c r="A118" i="21410"/>
  <c r="A117" i="21410"/>
  <c r="A116" i="21410"/>
  <c r="A115" i="21410"/>
  <c r="A114" i="21410"/>
  <c r="A113" i="21410"/>
  <c r="A95" i="21410"/>
  <c r="A94" i="21410"/>
  <c r="A93" i="21410"/>
  <c r="A92" i="21410"/>
  <c r="A91" i="21410"/>
  <c r="A90" i="21410"/>
  <c r="A89" i="21410"/>
  <c r="A88" i="21410"/>
  <c r="A87" i="21410"/>
  <c r="A69" i="21410"/>
  <c r="A68" i="21410"/>
  <c r="A67" i="21410"/>
  <c r="A66" i="21410"/>
  <c r="A65" i="21410"/>
  <c r="A64" i="21410"/>
  <c r="A63" i="21410"/>
  <c r="A62" i="21410"/>
  <c r="A61" i="21410"/>
  <c r="A43" i="21410"/>
  <c r="A42" i="21410"/>
  <c r="A41" i="21410"/>
  <c r="A40" i="21410"/>
  <c r="A39" i="21410"/>
  <c r="A38" i="21410"/>
  <c r="A37" i="21410"/>
  <c r="A36" i="21410"/>
  <c r="A35" i="21410"/>
  <c r="G371" i="21408"/>
  <c r="G370" i="21408"/>
  <c r="G368" i="21408"/>
  <c r="K367" i="21408"/>
  <c r="K365" i="21408"/>
  <c r="K364" i="21408"/>
  <c r="K363" i="21408"/>
  <c r="K362" i="21408"/>
  <c r="K360" i="21408"/>
  <c r="K359" i="21408"/>
  <c r="K358" i="21408"/>
  <c r="K307" i="21408"/>
  <c r="K306" i="21408"/>
  <c r="K304" i="21408"/>
  <c r="M333" i="21408"/>
  <c r="L333" i="21408"/>
  <c r="K333" i="21408"/>
  <c r="J333" i="21408"/>
  <c r="I333" i="21408"/>
  <c r="H333" i="21408"/>
  <c r="M332" i="21408"/>
  <c r="L332" i="21408"/>
  <c r="K332" i="21408"/>
  <c r="J332" i="21408"/>
  <c r="I332" i="21408"/>
  <c r="H332" i="21408"/>
  <c r="I355" i="21408"/>
  <c r="M353" i="21408"/>
  <c r="L353" i="21408"/>
  <c r="K353" i="21408"/>
  <c r="J353" i="21408"/>
  <c r="I353" i="21408"/>
  <c r="H353" i="21408"/>
  <c r="M352" i="21408"/>
  <c r="L352" i="21408"/>
  <c r="K352" i="21408"/>
  <c r="J352" i="21408"/>
  <c r="I352" i="21408"/>
  <c r="H352" i="21408"/>
  <c r="M351" i="21408"/>
  <c r="L351" i="21408"/>
  <c r="K351" i="21408"/>
  <c r="J351" i="21408"/>
  <c r="I351" i="21408"/>
  <c r="H351" i="21408"/>
  <c r="M350" i="21408"/>
  <c r="L350" i="21408"/>
  <c r="K350" i="21408"/>
  <c r="J350" i="21408"/>
  <c r="I350" i="21408"/>
  <c r="H350" i="21408"/>
  <c r="M348" i="21408"/>
  <c r="M347" i="21408" s="1"/>
  <c r="L348" i="21408"/>
  <c r="L347" i="21408" s="1"/>
  <c r="K348" i="21408"/>
  <c r="J348" i="21408"/>
  <c r="J347" i="21408" s="1"/>
  <c r="I348" i="21408"/>
  <c r="I347" i="21408" s="1"/>
  <c r="H348" i="21408"/>
  <c r="H347" i="21408" s="1"/>
  <c r="K347" i="21408"/>
  <c r="M346" i="21408"/>
  <c r="L346" i="21408"/>
  <c r="K346" i="21408"/>
  <c r="J346" i="21408"/>
  <c r="I346" i="21408"/>
  <c r="H346" i="21408"/>
  <c r="M345" i="21408"/>
  <c r="L345" i="21408"/>
  <c r="K345" i="21408"/>
  <c r="J345" i="21408"/>
  <c r="I345" i="21408"/>
  <c r="H345" i="21408"/>
  <c r="M344" i="21408"/>
  <c r="L344" i="21408"/>
  <c r="K344" i="21408"/>
  <c r="J344" i="21408"/>
  <c r="I344" i="21408"/>
  <c r="H344" i="21408"/>
  <c r="M343" i="21408"/>
  <c r="L343" i="21408"/>
  <c r="K343" i="21408"/>
  <c r="J343" i="21408"/>
  <c r="I343" i="21408"/>
  <c r="H343" i="21408"/>
  <c r="G342" i="21408"/>
  <c r="M341" i="21408"/>
  <c r="L341" i="21408"/>
  <c r="K341" i="21408"/>
  <c r="J341" i="21408"/>
  <c r="I341" i="21408"/>
  <c r="H341" i="21408"/>
  <c r="M340" i="21408"/>
  <c r="L340" i="21408"/>
  <c r="K340" i="21408"/>
  <c r="J340" i="21408"/>
  <c r="I340" i="21408"/>
  <c r="H340" i="21408"/>
  <c r="M339" i="21408"/>
  <c r="L339" i="21408"/>
  <c r="K339" i="21408"/>
  <c r="J339" i="21408"/>
  <c r="I339" i="21408"/>
  <c r="H339" i="21408"/>
  <c r="M338" i="21408"/>
  <c r="L338" i="21408"/>
  <c r="K338" i="21408"/>
  <c r="J338" i="21408"/>
  <c r="I338" i="21408"/>
  <c r="H338" i="21408"/>
  <c r="M337" i="21408"/>
  <c r="L337" i="21408"/>
  <c r="K337" i="21408"/>
  <c r="J337" i="21408"/>
  <c r="I337" i="21408"/>
  <c r="H337" i="21408"/>
  <c r="M336" i="21408"/>
  <c r="L336" i="21408"/>
  <c r="K336" i="21408"/>
  <c r="J336" i="21408"/>
  <c r="I336" i="21408"/>
  <c r="H336" i="21408"/>
  <c r="M334" i="21408"/>
  <c r="L334" i="21408"/>
  <c r="K334" i="21408"/>
  <c r="J334" i="21408"/>
  <c r="I334" i="21408"/>
  <c r="H334" i="21408"/>
  <c r="M330" i="21408"/>
  <c r="L330" i="21408"/>
  <c r="K330" i="21408"/>
  <c r="J330" i="21408"/>
  <c r="I330" i="21408"/>
  <c r="H330" i="21408"/>
  <c r="M329" i="21408"/>
  <c r="L329" i="21408"/>
  <c r="K329" i="21408"/>
  <c r="J329" i="21408"/>
  <c r="I329" i="21408"/>
  <c r="H329" i="21408"/>
  <c r="M328" i="21408"/>
  <c r="L328" i="21408"/>
  <c r="K328" i="21408"/>
  <c r="J328" i="21408"/>
  <c r="I328" i="21408"/>
  <c r="H328" i="21408"/>
  <c r="M326" i="21408"/>
  <c r="L326" i="21408"/>
  <c r="K326" i="21408"/>
  <c r="J326" i="21408"/>
  <c r="I326" i="21408"/>
  <c r="H326" i="21408"/>
  <c r="K281" i="21408"/>
  <c r="K280" i="21408"/>
  <c r="G303" i="21408"/>
  <c r="K296" i="21408"/>
  <c r="K297" i="21408" s="1"/>
  <c r="K298" i="21408" s="1"/>
  <c r="G302" i="21408"/>
  <c r="K322" i="21408"/>
  <c r="K321" i="21408"/>
  <c r="K320" i="21408"/>
  <c r="K319" i="21408"/>
  <c r="K318" i="21408"/>
  <c r="G294" i="21408"/>
  <c r="G293" i="21408"/>
  <c r="G292" i="21408"/>
  <c r="G291" i="21408"/>
  <c r="G288" i="21408"/>
  <c r="G287" i="21408"/>
  <c r="G286" i="21408"/>
  <c r="G285" i="21408"/>
  <c r="G284" i="21408"/>
  <c r="K279" i="21408"/>
  <c r="K278" i="21408"/>
  <c r="K277" i="21408"/>
  <c r="K276" i="21408"/>
  <c r="K275" i="21408"/>
  <c r="K274" i="21408"/>
  <c r="K273" i="21408"/>
  <c r="K272" i="21408"/>
  <c r="K271" i="21408"/>
  <c r="K270" i="21408"/>
  <c r="K269" i="21408"/>
  <c r="K268" i="21408"/>
  <c r="M282" i="21408"/>
  <c r="M283" i="21408" s="1"/>
  <c r="L282" i="21408"/>
  <c r="L283" i="21408" s="1"/>
  <c r="K282" i="21408"/>
  <c r="K283" i="21408" s="1"/>
  <c r="J282" i="21408"/>
  <c r="J283" i="21408" s="1"/>
  <c r="I282" i="21408"/>
  <c r="I283" i="21408" s="1"/>
  <c r="H282" i="21408"/>
  <c r="H283" i="21408" s="1"/>
  <c r="G259" i="21408"/>
  <c r="K258" i="21408"/>
  <c r="K256" i="21408"/>
  <c r="M255" i="21408"/>
  <c r="L255" i="21408"/>
  <c r="K255" i="21408"/>
  <c r="J255" i="21408"/>
  <c r="I255" i="21408"/>
  <c r="H255" i="21408"/>
  <c r="M253" i="21408"/>
  <c r="L253" i="21408"/>
  <c r="K253" i="21408"/>
  <c r="J253" i="21408"/>
  <c r="I253" i="21408"/>
  <c r="H253" i="21408"/>
  <c r="K252" i="21408"/>
  <c r="K251" i="21408"/>
  <c r="K250" i="21408"/>
  <c r="K249" i="21408"/>
  <c r="K248" i="21408"/>
  <c r="K247" i="21408"/>
  <c r="K246" i="21408"/>
  <c r="K245" i="21408"/>
  <c r="K244" i="21408"/>
  <c r="K243" i="21408"/>
  <c r="K242" i="21408"/>
  <c r="K241" i="21408"/>
  <c r="K240" i="21408"/>
  <c r="K239" i="21408"/>
  <c r="K238" i="21408"/>
  <c r="K237" i="21408"/>
  <c r="K236" i="21408"/>
  <c r="K235" i="21408"/>
  <c r="K234" i="21408"/>
  <c r="G267" i="21408"/>
  <c r="K266" i="21408"/>
  <c r="K265" i="21408"/>
  <c r="K264" i="21408"/>
  <c r="K263" i="21408"/>
  <c r="K229" i="21408"/>
  <c r="K228" i="21408"/>
  <c r="K227" i="21408"/>
  <c r="K226" i="21408"/>
  <c r="K225" i="21408"/>
  <c r="K224" i="21408"/>
  <c r="K223" i="21408"/>
  <c r="K222" i="21408"/>
  <c r="K219" i="21408"/>
  <c r="K218" i="21408"/>
  <c r="K217" i="21408"/>
  <c r="K215" i="21408"/>
  <c r="K216" i="21408" s="1"/>
  <c r="K213" i="21408"/>
  <c r="K214" i="21408" s="1"/>
  <c r="K212" i="21408"/>
  <c r="K199" i="21408"/>
  <c r="K198" i="21408"/>
  <c r="K197" i="21408"/>
  <c r="K196" i="21408"/>
  <c r="K195" i="21408"/>
  <c r="K194" i="21408"/>
  <c r="K192" i="21408"/>
  <c r="K191" i="21408"/>
  <c r="K190" i="21408"/>
  <c r="K189" i="21408"/>
  <c r="K188" i="21408"/>
  <c r="K187" i="21408"/>
  <c r="K186" i="21408"/>
  <c r="K185" i="21408"/>
  <c r="K184" i="21408"/>
  <c r="K183" i="21408"/>
  <c r="K182" i="21408"/>
  <c r="K181" i="21408"/>
  <c r="K175" i="21408"/>
  <c r="K174" i="21408"/>
  <c r="K173" i="21408"/>
  <c r="K172" i="21408"/>
  <c r="K171" i="21408"/>
  <c r="K170" i="21408"/>
  <c r="K169" i="21408"/>
  <c r="K167" i="21408"/>
  <c r="K166" i="21408"/>
  <c r="K165" i="21408"/>
  <c r="K164" i="21408"/>
  <c r="K163" i="21408"/>
  <c r="K162" i="21408"/>
  <c r="K161" i="21408"/>
  <c r="K160" i="21408"/>
  <c r="K159" i="21408"/>
  <c r="K158" i="21408"/>
  <c r="K157" i="21408"/>
  <c r="K156" i="21408"/>
  <c r="K155" i="21408"/>
  <c r="K154" i="21408"/>
  <c r="K153" i="21408"/>
  <c r="K152" i="21408"/>
  <c r="K151" i="21408"/>
  <c r="K136" i="21408"/>
  <c r="K135" i="21408"/>
  <c r="K127" i="21408"/>
  <c r="K126" i="21408"/>
  <c r="K118" i="21408"/>
  <c r="K117" i="21408"/>
  <c r="K150" i="21408"/>
  <c r="K149" i="21408"/>
  <c r="K134" i="21408"/>
  <c r="K133" i="21408"/>
  <c r="K132" i="21408"/>
  <c r="K131" i="21408"/>
  <c r="K130" i="21408"/>
  <c r="K129" i="21408"/>
  <c r="K128" i="21408"/>
  <c r="K125" i="21408"/>
  <c r="K124" i="21408"/>
  <c r="K123" i="21408"/>
  <c r="K122" i="21408"/>
  <c r="K121" i="21408"/>
  <c r="K120" i="21408"/>
  <c r="K119" i="21408"/>
  <c r="K116" i="21408"/>
  <c r="K115" i="21408"/>
  <c r="K114" i="21408"/>
  <c r="K113" i="21408"/>
  <c r="K112" i="21408"/>
  <c r="K111" i="21408"/>
  <c r="K110" i="21408"/>
  <c r="K109" i="21408"/>
  <c r="K108" i="21408"/>
  <c r="K107" i="21408"/>
  <c r="K106" i="21408"/>
  <c r="K105" i="21408"/>
  <c r="K104" i="21408"/>
  <c r="K103" i="21408"/>
  <c r="K102" i="21408"/>
  <c r="K97" i="21408"/>
  <c r="K96" i="21408"/>
  <c r="K95" i="21408"/>
  <c r="K94" i="21408"/>
  <c r="K93" i="21408"/>
  <c r="K92" i="21408"/>
  <c r="K91" i="21408"/>
  <c r="K90" i="21408"/>
  <c r="K89" i="21408"/>
  <c r="K88" i="21408"/>
  <c r="K87" i="21408"/>
  <c r="K86" i="21408"/>
  <c r="K85" i="21408"/>
  <c r="K84" i="21408"/>
  <c r="K83" i="21408"/>
  <c r="K82" i="21408"/>
  <c r="K81" i="21408"/>
  <c r="K80" i="21408"/>
  <c r="K79" i="21408"/>
  <c r="K78" i="21408"/>
  <c r="K77" i="21408"/>
  <c r="K76" i="21408"/>
  <c r="K75" i="21408"/>
  <c r="K74" i="21408"/>
  <c r="K73" i="21408"/>
  <c r="K72" i="21408"/>
  <c r="K71" i="21408"/>
  <c r="K70" i="21408"/>
  <c r="K69" i="21408"/>
  <c r="K68" i="21408"/>
  <c r="K148" i="21408"/>
  <c r="K147" i="21408"/>
  <c r="K146" i="21408"/>
  <c r="K145" i="21408"/>
  <c r="K144" i="21408"/>
  <c r="K143" i="21408"/>
  <c r="K142" i="21408"/>
  <c r="K141" i="21408"/>
  <c r="K140" i="21408"/>
  <c r="G139" i="21408"/>
  <c r="G138" i="21408"/>
  <c r="K137" i="21408"/>
  <c r="M67" i="21408"/>
  <c r="L67" i="21408"/>
  <c r="K67" i="21408"/>
  <c r="J67" i="21408"/>
  <c r="I67" i="21408"/>
  <c r="H67" i="21408"/>
  <c r="M66" i="21408"/>
  <c r="L66" i="21408"/>
  <c r="K66" i="21408"/>
  <c r="J66" i="21408"/>
  <c r="I66" i="21408"/>
  <c r="H66" i="21408"/>
  <c r="M65" i="21408"/>
  <c r="L65" i="21408"/>
  <c r="K65" i="21408"/>
  <c r="J65" i="21408"/>
  <c r="I65" i="21408"/>
  <c r="H65" i="21408"/>
  <c r="M64" i="21408"/>
  <c r="L64" i="21408"/>
  <c r="K64" i="21408"/>
  <c r="J64" i="21408"/>
  <c r="I64" i="21408"/>
  <c r="H64" i="21408"/>
  <c r="K63" i="21408"/>
  <c r="K32" i="21408"/>
  <c r="K31" i="21408"/>
  <c r="K30" i="21408"/>
  <c r="K29" i="21408"/>
  <c r="K28" i="21408"/>
  <c r="K27" i="21408"/>
  <c r="K26" i="21408"/>
  <c r="K25" i="21408"/>
  <c r="K24" i="21408"/>
  <c r="K23" i="21408"/>
  <c r="K22" i="21408"/>
  <c r="K21" i="21408"/>
  <c r="K20" i="21408"/>
  <c r="K19" i="21408"/>
  <c r="K18" i="21408"/>
  <c r="K17" i="21408"/>
  <c r="K16" i="21408"/>
  <c r="K15" i="21408"/>
  <c r="K14" i="21408"/>
  <c r="K13" i="21408"/>
  <c r="K12" i="21408"/>
  <c r="K11" i="21408"/>
  <c r="K10" i="21408"/>
  <c r="K9" i="21408"/>
  <c r="K8" i="21408"/>
  <c r="K7" i="21408"/>
  <c r="K6" i="21408"/>
  <c r="K5" i="21408"/>
  <c r="K4" i="21408"/>
  <c r="K3" i="21408"/>
  <c r="BD118" i="21399" l="1"/>
  <c r="BD112" i="21399"/>
  <c r="BD132" i="21398"/>
  <c r="BD258" i="21398"/>
  <c r="BD158" i="21398"/>
  <c r="BD40" i="21398"/>
  <c r="BD156" i="21399"/>
  <c r="BD142" i="21399"/>
  <c r="BD134" i="21399"/>
  <c r="BD132" i="21400"/>
  <c r="BD150" i="21399"/>
  <c r="BD140" i="21399"/>
  <c r="BD132" i="21399"/>
  <c r="BD146" i="21400"/>
  <c r="BD130" i="21400"/>
  <c r="BD148" i="21399"/>
  <c r="BD138" i="21399"/>
  <c r="BD130" i="21399"/>
  <c r="BD128" i="21399"/>
  <c r="BD136" i="21400"/>
  <c r="BD146" i="21399"/>
  <c r="BD134" i="21400"/>
  <c r="BD136" i="21399"/>
  <c r="BD30" i="108"/>
  <c r="BD22" i="108"/>
  <c r="BD26" i="3"/>
  <c r="BD18" i="3"/>
  <c r="BD28" i="108"/>
  <c r="BD20" i="108"/>
  <c r="BD32" i="3"/>
  <c r="BD24" i="3"/>
  <c r="BD26" i="108"/>
  <c r="BD18" i="108"/>
  <c r="BD30" i="3"/>
  <c r="BD22" i="3"/>
  <c r="BD32" i="108"/>
  <c r="BD24" i="108"/>
  <c r="BD28" i="3"/>
  <c r="BD20" i="3"/>
  <c r="BD140" i="21398"/>
  <c r="BD138" i="21398"/>
  <c r="BD136" i="21398"/>
  <c r="BD134" i="21398"/>
  <c r="BD146" i="21398"/>
  <c r="BD16" i="21398"/>
  <c r="BD16" i="2"/>
  <c r="BD148" i="2"/>
  <c r="BD144" i="2"/>
  <c r="BD136" i="2"/>
  <c r="BD152" i="2"/>
  <c r="C128" i="21399"/>
  <c r="C130" i="21399" s="1"/>
  <c r="C132" i="21399" s="1"/>
  <c r="C134" i="21399" s="1"/>
  <c r="C136" i="21399" s="1"/>
  <c r="C138" i="21399" s="1"/>
  <c r="C140" i="21399" s="1"/>
  <c r="C142" i="21399" s="1"/>
  <c r="C144" i="21399" s="1"/>
  <c r="C146" i="21399" s="1"/>
  <c r="C148" i="21399" s="1"/>
  <c r="J125" i="21399"/>
  <c r="J127" i="21399"/>
  <c r="C104" i="21400"/>
  <c r="F102" i="21400"/>
  <c r="C98" i="21398"/>
  <c r="BA94" i="21398"/>
  <c r="O69" i="21406"/>
  <c r="D286" i="21412" s="1"/>
  <c r="D274" i="21412"/>
  <c r="P69" i="21406"/>
  <c r="D287" i="21412" s="1"/>
  <c r="D275" i="21412"/>
  <c r="D284" i="21412"/>
  <c r="D272" i="21412"/>
  <c r="Q69" i="21406"/>
  <c r="D288" i="21412" s="1"/>
  <c r="D276" i="21412"/>
  <c r="N69" i="21406"/>
  <c r="D285" i="21412" s="1"/>
  <c r="D273" i="21412"/>
  <c r="R69" i="21406"/>
  <c r="D289" i="21412" s="1"/>
  <c r="D277" i="21412"/>
  <c r="K295" i="21408"/>
  <c r="C76" i="2"/>
  <c r="BA72" i="2"/>
  <c r="AZ121" i="21398"/>
  <c r="BB121" i="21398" s="1"/>
  <c r="J354" i="21408"/>
  <c r="H354" i="21408"/>
  <c r="L354" i="21408"/>
  <c r="I354" i="21408"/>
  <c r="M354" i="21408"/>
  <c r="K354" i="21408"/>
  <c r="G64" i="21408"/>
  <c r="G66" i="21408"/>
  <c r="BA5" i="2"/>
  <c r="BC5" i="2"/>
  <c r="K201" i="21408"/>
  <c r="K202" i="21408" s="1"/>
  <c r="G65" i="21408"/>
  <c r="G67" i="21408"/>
  <c r="J357" i="21408"/>
  <c r="G255" i="21408"/>
  <c r="G99" i="21408"/>
  <c r="G101" i="21408"/>
  <c r="K262" i="21408"/>
  <c r="G253" i="21408"/>
  <c r="G344" i="21408"/>
  <c r="G353" i="21408"/>
  <c r="G340" i="21408"/>
  <c r="L357" i="21408"/>
  <c r="G282" i="21408"/>
  <c r="G325" i="21408"/>
  <c r="G327" i="21408"/>
  <c r="G329" i="21408"/>
  <c r="G334" i="21408"/>
  <c r="G336" i="21408"/>
  <c r="G338" i="21408"/>
  <c r="I357" i="21408"/>
  <c r="M357" i="21408"/>
  <c r="K357" i="21408"/>
  <c r="I356" i="21408"/>
  <c r="M356" i="21408"/>
  <c r="G355" i="21408"/>
  <c r="J356" i="21408"/>
  <c r="G98" i="21408"/>
  <c r="G100" i="21408"/>
  <c r="G347" i="21408"/>
  <c r="K356" i="21408"/>
  <c r="G346" i="21408"/>
  <c r="L356" i="21408"/>
  <c r="G332" i="21408"/>
  <c r="G326" i="21408"/>
  <c r="G328" i="21408"/>
  <c r="G330" i="21408"/>
  <c r="G337" i="21408"/>
  <c r="G339" i="21408"/>
  <c r="G343" i="21408"/>
  <c r="H356" i="21408"/>
  <c r="G352" i="21408"/>
  <c r="G341" i="21408"/>
  <c r="G331" i="21408"/>
  <c r="G333" i="21408"/>
  <c r="G348" i="21408"/>
  <c r="H357" i="21408"/>
  <c r="G335" i="21408"/>
  <c r="G345" i="21408"/>
  <c r="G350" i="21408"/>
  <c r="G351" i="21408"/>
  <c r="AQ179" i="21398"/>
  <c r="AT94" i="2"/>
  <c r="AT190" i="2"/>
  <c r="AT54" i="2"/>
  <c r="AQ163" i="21398"/>
  <c r="AQ167" i="2"/>
  <c r="AT28" i="2"/>
  <c r="AT370" i="21398"/>
  <c r="AQ131" i="21398"/>
  <c r="AT18" i="21400"/>
  <c r="AT98" i="21398"/>
  <c r="AT180" i="21398"/>
  <c r="AQ53" i="2"/>
  <c r="AT114" i="21400"/>
  <c r="AQ221" i="21398"/>
  <c r="AQ223" i="21398"/>
  <c r="AQ111" i="21400"/>
  <c r="AT98" i="2"/>
  <c r="AT230" i="21398"/>
  <c r="AQ153" i="21398"/>
  <c r="AT64" i="2"/>
  <c r="AT50" i="2"/>
  <c r="AQ19" i="3"/>
  <c r="AQ135" i="2"/>
  <c r="AT170" i="2"/>
  <c r="AQ171" i="2"/>
  <c r="AQ47" i="21400"/>
  <c r="AT44" i="21399"/>
  <c r="AQ27" i="108"/>
  <c r="AT176" i="21398"/>
  <c r="AT244" i="2"/>
  <c r="AQ211" i="21398"/>
  <c r="AT140" i="2"/>
  <c r="AQ71" i="21400"/>
  <c r="AT248" i="21398"/>
  <c r="AT222" i="21398"/>
  <c r="AQ203" i="2"/>
  <c r="AT122" i="21399"/>
  <c r="AT62" i="21400"/>
  <c r="AQ213" i="2"/>
  <c r="AQ119" i="21399"/>
  <c r="AT250" i="21398"/>
  <c r="AQ29" i="21400"/>
  <c r="AQ65" i="21400"/>
  <c r="AQ123" i="21400"/>
  <c r="AT42" i="21399"/>
  <c r="AT166" i="21398"/>
  <c r="AQ93" i="21398"/>
  <c r="AQ187" i="21398"/>
  <c r="AQ57" i="2"/>
  <c r="AQ45" i="21399"/>
  <c r="AQ45" i="2"/>
  <c r="AT126" i="2"/>
  <c r="AQ135" i="21400"/>
  <c r="AT128" i="21398"/>
  <c r="AT34" i="3"/>
  <c r="AT86" i="21400"/>
  <c r="AQ121" i="21400"/>
  <c r="AT38" i="2"/>
  <c r="AQ165" i="2"/>
  <c r="AQ127" i="21399"/>
  <c r="AT154" i="21399"/>
  <c r="AQ197" i="2"/>
  <c r="AT100" i="21400"/>
  <c r="AT226" i="21398"/>
  <c r="AT126" i="21398"/>
  <c r="AQ91" i="21400"/>
  <c r="AQ77" i="21399"/>
  <c r="AQ33" i="2"/>
  <c r="AQ75" i="2"/>
  <c r="AQ145" i="21399"/>
  <c r="AQ45" i="21400"/>
  <c r="AT222" i="2"/>
  <c r="AQ15" i="2"/>
  <c r="AT362" i="21398"/>
  <c r="AQ251" i="21398"/>
  <c r="AQ195" i="2"/>
  <c r="AT142" i="21398"/>
  <c r="AT114" i="21399"/>
  <c r="AT136" i="21398"/>
  <c r="AT66" i="2"/>
  <c r="AT16" i="2"/>
  <c r="AQ57" i="21399"/>
  <c r="AQ85" i="2"/>
  <c r="AQ27" i="3"/>
  <c r="AT204" i="2"/>
  <c r="AT132" i="21399"/>
  <c r="AT108" i="21398"/>
  <c r="AQ173" i="21398"/>
  <c r="AT20" i="21400"/>
  <c r="AQ259" i="2"/>
  <c r="AT80" i="21399"/>
  <c r="AQ245" i="21398"/>
  <c r="AT160" i="2"/>
  <c r="AQ125" i="21398"/>
  <c r="AT228" i="21398"/>
  <c r="AQ157" i="21398"/>
  <c r="AQ63" i="21398"/>
  <c r="AT148" i="21400"/>
  <c r="AT210" i="2"/>
  <c r="AQ65" i="21399"/>
  <c r="AQ41" i="21399"/>
  <c r="AT368" i="21398"/>
  <c r="AT170" i="21398"/>
  <c r="AT112" i="21399"/>
  <c r="AT164" i="2"/>
  <c r="AQ67" i="21400"/>
  <c r="AQ125" i="21400"/>
  <c r="AQ63" i="21399"/>
  <c r="AQ23" i="2"/>
  <c r="AQ259" i="21398"/>
  <c r="AQ133" i="21400"/>
  <c r="AQ85" i="21399"/>
  <c r="AQ153" i="21400"/>
  <c r="AQ158" i="21400"/>
  <c r="AT24" i="3"/>
  <c r="AQ239" i="21398"/>
  <c r="AQ209" i="2"/>
  <c r="AQ151" i="21398"/>
  <c r="AQ75" i="21399"/>
  <c r="AT44" i="21398"/>
  <c r="AT28" i="108"/>
  <c r="AQ99" i="2"/>
  <c r="AQ217" i="21398"/>
  <c r="AT186" i="2"/>
  <c r="AT22" i="21400"/>
  <c r="AT26" i="21398"/>
  <c r="AQ21" i="21400"/>
  <c r="AT150" i="2"/>
  <c r="AT122" i="21398"/>
  <c r="AQ105" i="21398"/>
  <c r="AT232" i="21398"/>
  <c r="AT372" i="2"/>
  <c r="AQ207" i="2"/>
  <c r="AT94" i="21399"/>
  <c r="AQ15" i="21398"/>
  <c r="AQ141" i="21398"/>
  <c r="AT78" i="21398"/>
  <c r="AQ175" i="21398"/>
  <c r="AT132" i="21400"/>
  <c r="AQ187" i="2"/>
  <c r="AT178" i="2"/>
  <c r="AQ77" i="21398"/>
  <c r="AT74" i="21399"/>
  <c r="AT196" i="21398"/>
  <c r="AQ199" i="2"/>
  <c r="AT30" i="108"/>
  <c r="AT164" i="21398"/>
  <c r="AQ129" i="21398"/>
  <c r="AQ69" i="21399"/>
  <c r="AQ137" i="21399"/>
  <c r="AQ235" i="2"/>
  <c r="AT118" i="21400"/>
  <c r="AT82" i="21399"/>
  <c r="AQ129" i="21400"/>
  <c r="AQ197" i="21398"/>
  <c r="AT138" i="21399"/>
  <c r="AT30" i="2"/>
  <c r="AQ91" i="21399"/>
  <c r="AQ31" i="3"/>
  <c r="AT136" i="21400"/>
  <c r="AQ155" i="21399"/>
  <c r="AT154" i="2"/>
  <c r="AQ79" i="2"/>
  <c r="AQ129" i="2"/>
  <c r="AT128" i="2"/>
  <c r="AT152" i="21399"/>
  <c r="AT30" i="3"/>
  <c r="AQ149" i="21400"/>
  <c r="AT144" i="21398"/>
  <c r="AQ137" i="2"/>
  <c r="AT192" i="2"/>
  <c r="AT150" i="21399"/>
  <c r="AQ25" i="108"/>
  <c r="AQ160" i="21400"/>
  <c r="AQ231" i="21398"/>
  <c r="AQ225" i="21398"/>
  <c r="AT26" i="21400"/>
  <c r="AQ149" i="21398"/>
  <c r="AT52" i="2"/>
  <c r="AT252" i="2"/>
  <c r="AT76" i="21400"/>
  <c r="AQ93" i="21399"/>
  <c r="AQ101" i="21398"/>
  <c r="AT212" i="21398"/>
  <c r="AT124" i="21398"/>
  <c r="AT96" i="21400"/>
  <c r="AQ225" i="2"/>
  <c r="AQ133" i="2"/>
  <c r="AT94" i="21398"/>
  <c r="AQ95" i="21398"/>
  <c r="AT18" i="3"/>
  <c r="AT16" i="21398"/>
  <c r="AT48" i="21398"/>
  <c r="AT50" i="21398"/>
  <c r="AQ233" i="21398"/>
  <c r="AQ103" i="21398"/>
  <c r="AT224" i="21398"/>
  <c r="AQ79" i="21400"/>
  <c r="AT14" i="21398"/>
  <c r="AT90" i="21400"/>
  <c r="AT370" i="2"/>
  <c r="AQ361" i="2"/>
  <c r="AQ51" i="2"/>
  <c r="AT56" i="21400"/>
  <c r="AT378" i="21398"/>
  <c r="AQ59" i="21399"/>
  <c r="AT152" i="2"/>
  <c r="AT96" i="2"/>
  <c r="AQ181" i="2"/>
  <c r="AQ55" i="2"/>
  <c r="AT256" i="21398"/>
  <c r="AT80" i="21398"/>
  <c r="AQ87" i="21400"/>
  <c r="AQ73" i="21399"/>
  <c r="AQ97" i="21399"/>
  <c r="AT26" i="2"/>
  <c r="AT206" i="2"/>
  <c r="AQ371" i="21398"/>
  <c r="AT246" i="2"/>
  <c r="AQ63" i="2"/>
  <c r="AT234" i="21398"/>
  <c r="AT32" i="3"/>
  <c r="AQ167" i="21398"/>
  <c r="AQ73" i="2"/>
  <c r="AT144" i="21399"/>
  <c r="AQ91" i="2"/>
  <c r="AT192" i="21398"/>
  <c r="AT38" i="21399"/>
  <c r="AT62" i="2"/>
  <c r="AQ31" i="21398"/>
  <c r="AT92" i="2"/>
  <c r="AQ135" i="21399"/>
  <c r="AQ161" i="21399"/>
  <c r="AT76" i="2"/>
  <c r="AT226" i="2"/>
  <c r="AT366" i="2"/>
  <c r="AQ25" i="21398"/>
  <c r="AQ19" i="2"/>
  <c r="AT50" i="21399"/>
  <c r="AT160" i="21399"/>
  <c r="AT162" i="2"/>
  <c r="AQ21" i="3"/>
  <c r="AT128" i="21400"/>
  <c r="AT120" i="21399"/>
  <c r="AT150" i="21398"/>
  <c r="AQ35" i="21398"/>
  <c r="AT134" i="21399"/>
  <c r="AQ35" i="21399"/>
  <c r="AQ251" i="2"/>
  <c r="AQ369" i="21398"/>
  <c r="AT54" i="21399"/>
  <c r="AQ215" i="2"/>
  <c r="AT210" i="21398"/>
  <c r="AT174" i="2"/>
  <c r="AT242" i="21398"/>
  <c r="AQ65" i="2"/>
  <c r="AQ39" i="2"/>
  <c r="AQ109" i="21398"/>
  <c r="AQ71" i="21399"/>
  <c r="AT238" i="2"/>
  <c r="AQ147" i="21398"/>
  <c r="AT208" i="21398"/>
  <c r="AQ125" i="2"/>
  <c r="AQ83" i="21398"/>
  <c r="AQ217" i="2"/>
  <c r="AQ165" i="21398"/>
  <c r="AQ247" i="21398"/>
  <c r="AT82" i="21400"/>
  <c r="AQ177" i="21398"/>
  <c r="AQ35" i="3"/>
  <c r="AT198" i="21398"/>
  <c r="AT16" i="21400"/>
  <c r="AQ243" i="2"/>
  <c r="AT78" i="21399"/>
  <c r="AQ33" i="21398"/>
  <c r="AQ113" i="21399"/>
  <c r="AQ125" i="21399"/>
  <c r="AT206" i="21398"/>
  <c r="AT158" i="2"/>
  <c r="AT220" i="21398"/>
  <c r="AQ139" i="21399"/>
  <c r="AQ189" i="21398"/>
  <c r="AT202" i="21398"/>
  <c r="AQ93" i="21400"/>
  <c r="AT64" i="21399"/>
  <c r="AT20" i="3"/>
  <c r="AT190" i="21398"/>
  <c r="AT88" i="21399"/>
  <c r="AQ241" i="2"/>
  <c r="AT40" i="21399"/>
  <c r="AQ111" i="21399"/>
  <c r="AQ47" i="21399"/>
  <c r="AQ233" i="2"/>
  <c r="AQ191" i="2"/>
  <c r="AT138" i="21398"/>
  <c r="AT156" i="2"/>
  <c r="AQ173" i="2"/>
  <c r="AQ159" i="2"/>
  <c r="AT194" i="21398"/>
  <c r="AQ17" i="21400"/>
  <c r="AQ89" i="21400"/>
  <c r="AT124" i="2"/>
  <c r="AT130" i="21400"/>
  <c r="AQ107" i="21400"/>
  <c r="AQ375" i="2"/>
  <c r="AQ177" i="2"/>
  <c r="AT188" i="21398"/>
  <c r="AQ247" i="2"/>
  <c r="AQ57" i="21398"/>
  <c r="AQ119" i="21400"/>
  <c r="AT36" i="2"/>
  <c r="AT60" i="21399"/>
  <c r="AQ107" i="21399"/>
  <c r="AT216" i="2"/>
  <c r="AQ55" i="21398"/>
  <c r="AT152" i="21398"/>
  <c r="AT76" i="21398"/>
  <c r="AQ87" i="2"/>
  <c r="AQ79" i="21399"/>
  <c r="AQ29" i="3"/>
  <c r="AQ201" i="21398"/>
  <c r="AT18" i="2"/>
  <c r="AT112" i="21400"/>
  <c r="AQ59" i="21398"/>
  <c r="AT64" i="21400"/>
  <c r="AQ155" i="2"/>
  <c r="AT68" i="21400"/>
  <c r="AQ189" i="2"/>
  <c r="AT72" i="21400"/>
  <c r="AT130" i="21398"/>
  <c r="AT172" i="21398"/>
  <c r="AQ61" i="21399"/>
  <c r="AT248" i="2"/>
  <c r="AQ105" i="21399"/>
  <c r="AT78" i="21400"/>
  <c r="AT108" i="21400"/>
  <c r="AT80" i="21400"/>
  <c r="AQ237" i="21398"/>
  <c r="AQ215" i="21398"/>
  <c r="AT28" i="21398"/>
  <c r="AQ253" i="21398"/>
  <c r="AQ25" i="3"/>
  <c r="AQ93" i="2"/>
  <c r="AT82" i="2"/>
  <c r="AT214" i="2"/>
  <c r="AQ117" i="21400"/>
  <c r="AT40" i="2"/>
  <c r="AQ239" i="2"/>
  <c r="AQ31" i="21399"/>
  <c r="AQ95" i="21399"/>
  <c r="AT84" i="2"/>
  <c r="AT46" i="21400"/>
  <c r="AQ171" i="21398"/>
  <c r="AT134" i="21398"/>
  <c r="AT34" i="108"/>
  <c r="AQ97" i="21398"/>
  <c r="AT58" i="2"/>
  <c r="AT138" i="2"/>
  <c r="AQ377" i="2"/>
  <c r="AQ129" i="21399"/>
  <c r="AQ371" i="2"/>
  <c r="AT90" i="2"/>
  <c r="AT378" i="2"/>
  <c r="AT62" i="21398"/>
  <c r="AT176" i="2"/>
  <c r="AQ23" i="3"/>
  <c r="AT72" i="21399"/>
  <c r="AQ153" i="2"/>
  <c r="AQ133" i="21398"/>
  <c r="AQ245" i="2"/>
  <c r="AT178" i="21398"/>
  <c r="AT108" i="2"/>
  <c r="AT138" i="21400"/>
  <c r="AQ157" i="2"/>
  <c r="AT100" i="2"/>
  <c r="AQ99" i="21398"/>
  <c r="AT246" i="21398"/>
  <c r="AQ41" i="21398"/>
  <c r="AQ33" i="3"/>
  <c r="AQ201" i="2"/>
  <c r="AQ373" i="2"/>
  <c r="AQ179" i="2"/>
  <c r="AQ255" i="2"/>
  <c r="AT78" i="2"/>
  <c r="AQ61" i="21398"/>
  <c r="AQ49" i="2"/>
  <c r="AQ147" i="2"/>
  <c r="AT98" i="21399"/>
  <c r="AQ27" i="21398"/>
  <c r="AQ149" i="21399"/>
  <c r="AT84" i="21399"/>
  <c r="AT86" i="2"/>
  <c r="AT244" i="21398"/>
  <c r="AQ115" i="21400"/>
  <c r="AT134" i="2"/>
  <c r="AQ71" i="2"/>
  <c r="AT46" i="21398"/>
  <c r="AT116" i="21400"/>
  <c r="AQ181" i="21398"/>
  <c r="AT240" i="21398"/>
  <c r="AT74" i="21400"/>
  <c r="AQ213" i="21398"/>
  <c r="AQ219" i="21398"/>
  <c r="AQ133" i="21399"/>
  <c r="AQ211" i="2"/>
  <c r="AT56" i="21398"/>
  <c r="AT70" i="21399"/>
  <c r="AQ199" i="21398"/>
  <c r="AT80" i="2"/>
  <c r="AQ17" i="3"/>
  <c r="AQ137" i="21400"/>
  <c r="AQ75" i="21400"/>
  <c r="AT82" i="21398"/>
  <c r="AT140" i="21398"/>
  <c r="AT120" i="21400"/>
  <c r="AT106" i="21399"/>
  <c r="AT256" i="2"/>
  <c r="AT124" i="21400"/>
  <c r="AT48" i="21399"/>
  <c r="AQ17" i="108"/>
  <c r="AT18" i="108"/>
  <c r="AQ237" i="2"/>
  <c r="AT172" i="2"/>
  <c r="AT374" i="2"/>
  <c r="AQ151" i="21399"/>
  <c r="AQ53" i="21399"/>
  <c r="AQ19" i="108"/>
  <c r="AQ89" i="2"/>
  <c r="AQ43" i="21398"/>
  <c r="AQ97" i="21400"/>
  <c r="AT198" i="2"/>
  <c r="AT96" i="21398"/>
  <c r="AQ81" i="21399"/>
  <c r="AT30" i="21398"/>
  <c r="AQ65" i="21398"/>
  <c r="AQ61" i="2"/>
  <c r="AT54" i="21400"/>
  <c r="AT218" i="2"/>
  <c r="AT146" i="21399"/>
  <c r="AT200" i="2"/>
  <c r="AQ95" i="21400"/>
  <c r="AQ227" i="21398"/>
  <c r="AT56" i="2"/>
  <c r="AQ145" i="21400"/>
  <c r="AQ33" i="108"/>
  <c r="AT30" i="21400"/>
  <c r="AT72" i="2"/>
  <c r="AQ37" i="21399"/>
  <c r="AT152" i="21400"/>
  <c r="AT140" i="21399"/>
  <c r="AQ139" i="21400"/>
  <c r="AT214" i="21398"/>
  <c r="AQ77" i="2"/>
  <c r="AQ119" i="2"/>
  <c r="AT18" i="21398"/>
  <c r="AT130" i="2"/>
  <c r="AQ135" i="21398"/>
  <c r="AQ27" i="21400"/>
  <c r="AT232" i="2"/>
  <c r="AT238" i="21398"/>
  <c r="AQ27" i="2"/>
  <c r="AQ207" i="21398"/>
  <c r="AQ19" i="21398"/>
  <c r="AQ89" i="21399"/>
  <c r="AQ49" i="21399"/>
  <c r="AQ101" i="2"/>
  <c r="AQ107" i="21398"/>
  <c r="AT90" i="21399"/>
  <c r="AT142" i="21400"/>
  <c r="AQ185" i="2"/>
  <c r="AQ49" i="21398"/>
  <c r="AQ85" i="21398"/>
  <c r="AT84" i="21400"/>
  <c r="AT124" i="21399"/>
  <c r="AQ249" i="21398"/>
  <c r="AQ17" i="21398"/>
  <c r="AT32" i="21399"/>
  <c r="AT22" i="21398"/>
  <c r="AT236" i="2"/>
  <c r="AT64" i="21398"/>
  <c r="AT142" i="21399"/>
  <c r="AQ141" i="21400"/>
  <c r="AT200" i="21398"/>
  <c r="AQ175" i="2"/>
  <c r="AT158" i="21399"/>
  <c r="AQ141" i="2"/>
  <c r="AQ185" i="21398"/>
  <c r="AT182" i="2"/>
  <c r="AT42" i="21398"/>
  <c r="AT104" i="21398"/>
  <c r="AQ55" i="21400"/>
  <c r="AQ43" i="2"/>
  <c r="AT150" i="21400"/>
  <c r="AT362" i="2"/>
  <c r="AT52" i="21398"/>
  <c r="AT376" i="21398"/>
  <c r="AT250" i="2"/>
  <c r="AT92" i="21398"/>
  <c r="AQ19" i="21400"/>
  <c r="AT102" i="21398"/>
  <c r="AT146" i="21398"/>
  <c r="AT228" i="2"/>
  <c r="AT258" i="2"/>
  <c r="AQ241" i="21398"/>
  <c r="AT66" i="21400"/>
  <c r="AQ83" i="21399"/>
  <c r="AQ365" i="21398"/>
  <c r="AQ255" i="21398"/>
  <c r="AQ103" i="21399"/>
  <c r="AQ53" i="21398"/>
  <c r="AT140" i="21400"/>
  <c r="AT60" i="21398"/>
  <c r="AT236" i="21398"/>
  <c r="AT92" i="21400"/>
  <c r="AQ119" i="21398"/>
  <c r="AQ29" i="21398"/>
  <c r="AT102" i="21399"/>
  <c r="AQ127" i="21398"/>
  <c r="AQ145" i="2"/>
  <c r="AQ235" i="21398"/>
  <c r="AT120" i="21398"/>
  <c r="AQ159" i="21399"/>
  <c r="AT110" i="21399"/>
  <c r="AQ67" i="21399"/>
  <c r="AT242" i="2"/>
  <c r="AQ67" i="21398"/>
  <c r="AQ223" i="2"/>
  <c r="AT58" i="21400"/>
  <c r="AQ229" i="21398"/>
  <c r="AT148" i="21398"/>
  <c r="AT34" i="21399"/>
  <c r="AT50" i="21400"/>
  <c r="AQ107" i="2"/>
  <c r="AQ41" i="2"/>
  <c r="AQ143" i="21399"/>
  <c r="AQ139" i="2"/>
  <c r="AT26" i="108"/>
  <c r="AT132" i="21398"/>
  <c r="AT182" i="21398"/>
  <c r="AT28" i="3"/>
  <c r="AT220" i="2"/>
  <c r="AQ365" i="2"/>
  <c r="AQ81" i="21398"/>
  <c r="AT36" i="21398"/>
  <c r="AT22" i="3"/>
  <c r="AT216" i="21398"/>
  <c r="AQ151" i="2"/>
  <c r="AQ161" i="21398"/>
  <c r="AT94" i="21400"/>
  <c r="AT134" i="21400"/>
  <c r="AQ227" i="2"/>
  <c r="AT42" i="2"/>
  <c r="AT366" i="21398"/>
  <c r="AQ39" i="21399"/>
  <c r="AQ73" i="21400"/>
  <c r="AQ193" i="2"/>
  <c r="AT240" i="2"/>
  <c r="AQ143" i="21400"/>
  <c r="AT52" i="21399"/>
  <c r="AQ21" i="21398"/>
  <c r="AT208" i="2"/>
  <c r="AQ95" i="2"/>
  <c r="AT46" i="21399"/>
  <c r="AQ25" i="21400"/>
  <c r="AQ23" i="21398"/>
  <c r="AQ59" i="21400"/>
  <c r="AQ149" i="2"/>
  <c r="AT180" i="2"/>
  <c r="AT376" i="2"/>
  <c r="AT54" i="21398"/>
  <c r="AQ81" i="2"/>
  <c r="AQ209" i="21398"/>
  <c r="AQ35" i="2"/>
  <c r="AT154" i="21398"/>
  <c r="AT74" i="2"/>
  <c r="AQ61" i="21400"/>
  <c r="AT168" i="21398"/>
  <c r="AT28" i="21400"/>
  <c r="AT374" i="21398"/>
  <c r="AQ155" i="21398"/>
  <c r="AT120" i="2"/>
  <c r="AQ51" i="21400"/>
  <c r="AT22" i="2"/>
  <c r="AT132" i="2"/>
  <c r="AT254" i="2"/>
  <c r="AT146" i="2"/>
  <c r="AQ131" i="21399"/>
  <c r="AQ121" i="2"/>
  <c r="AT159" i="21400"/>
  <c r="AQ377" i="21398"/>
  <c r="AQ25" i="2"/>
  <c r="AQ169" i="21398"/>
  <c r="AT168" i="2"/>
  <c r="AT102" i="2"/>
  <c r="AQ219" i="2"/>
  <c r="AT368" i="2"/>
  <c r="AQ145" i="21398"/>
  <c r="AQ59" i="2"/>
  <c r="AT104" i="21399"/>
  <c r="AQ183" i="21398"/>
  <c r="AT186" i="21398"/>
  <c r="AQ15" i="21400"/>
  <c r="AQ53" i="21400"/>
  <c r="AQ127" i="2"/>
  <c r="AT166" i="2"/>
  <c r="AT136" i="2"/>
  <c r="AT130" i="21399"/>
  <c r="AQ69" i="21400"/>
  <c r="AT188" i="2"/>
  <c r="AQ121" i="21399"/>
  <c r="AQ47" i="2"/>
  <c r="AT58" i="21398"/>
  <c r="AQ85" i="21400"/>
  <c r="AT136" i="21399"/>
  <c r="AT364" i="2"/>
  <c r="AT56" i="21399"/>
  <c r="AT108" i="21399"/>
  <c r="AT144" i="2"/>
  <c r="AQ123" i="21398"/>
  <c r="AT62" i="21399"/>
  <c r="AQ363" i="21398"/>
  <c r="AQ97" i="2"/>
  <c r="AQ45" i="21398"/>
  <c r="AT96" i="21399"/>
  <c r="AQ193" i="21398"/>
  <c r="AQ55" i="21399"/>
  <c r="AQ51" i="21398"/>
  <c r="AT24" i="2"/>
  <c r="AQ105" i="2"/>
  <c r="AQ139" i="21398"/>
  <c r="AQ369" i="2"/>
  <c r="AQ31" i="21400"/>
  <c r="AT36" i="21399"/>
  <c r="AQ367" i="2"/>
  <c r="AT20" i="21398"/>
  <c r="AT116" i="21399"/>
  <c r="AT122" i="2"/>
  <c r="AQ249" i="2"/>
  <c r="AQ379" i="2"/>
  <c r="AT32" i="21398"/>
  <c r="AT364" i="21398"/>
  <c r="AQ115" i="21399"/>
  <c r="AQ57" i="21400"/>
  <c r="AT212" i="2"/>
  <c r="AT104" i="2"/>
  <c r="AQ169" i="2"/>
  <c r="AQ131" i="21400"/>
  <c r="AT144" i="21400"/>
  <c r="AT48" i="2"/>
  <c r="AT52" i="21400"/>
  <c r="AQ123" i="21399"/>
  <c r="AQ373" i="21398"/>
  <c r="AQ13" i="21398"/>
  <c r="AT100" i="21398"/>
  <c r="AT128" i="21399"/>
  <c r="AT252" i="21398"/>
  <c r="AT146" i="21400"/>
  <c r="AT76" i="21399"/>
  <c r="AQ81" i="21400"/>
  <c r="AT60" i="2"/>
  <c r="AQ137" i="21398"/>
  <c r="AQ123" i="2"/>
  <c r="AT158" i="21398"/>
  <c r="AT24" i="21400"/>
  <c r="AQ51" i="21399"/>
  <c r="AT24" i="21398"/>
  <c r="AQ205" i="2"/>
  <c r="AT44" i="2"/>
  <c r="AQ43" i="21399"/>
  <c r="AT38" i="21398"/>
  <c r="AQ103" i="2"/>
  <c r="AT254" i="21398"/>
  <c r="AQ361" i="21398"/>
  <c r="AQ143" i="21398"/>
  <c r="AT118" i="21399"/>
  <c r="AQ257" i="2"/>
  <c r="AQ99" i="21399"/>
  <c r="AQ363" i="2"/>
  <c r="AQ21" i="2"/>
  <c r="AQ151" i="21400"/>
  <c r="AQ79" i="21398"/>
  <c r="AT88" i="21400"/>
  <c r="AQ205" i="21398"/>
  <c r="AT84" i="21398"/>
  <c r="AT86" i="21399"/>
  <c r="AQ131" i="2"/>
  <c r="AT218" i="21398"/>
  <c r="AT46" i="2"/>
  <c r="AT156" i="21398"/>
  <c r="AQ229" i="2"/>
  <c r="AT32" i="2"/>
  <c r="AT58" i="21399"/>
  <c r="AT184" i="2"/>
  <c r="AQ243" i="21398"/>
  <c r="AT32" i="108"/>
  <c r="AT34" i="2"/>
  <c r="AT98" i="21400"/>
  <c r="AT148" i="2"/>
  <c r="AT60" i="21400"/>
  <c r="AQ33" i="21399"/>
  <c r="AT34" i="21398"/>
  <c r="AQ109" i="21400"/>
  <c r="AT92" i="21399"/>
  <c r="AQ153" i="21399"/>
  <c r="AQ159" i="21398"/>
  <c r="AT372" i="21398"/>
  <c r="AT194" i="2"/>
  <c r="AT30" i="21399"/>
  <c r="AQ17" i="2"/>
  <c r="AQ127" i="21400"/>
  <c r="AQ29" i="21399"/>
  <c r="AT204" i="21398"/>
  <c r="AT126" i="21400"/>
  <c r="AT258" i="21398"/>
  <c r="AT66" i="21399"/>
  <c r="AQ117" i="21399"/>
  <c r="AT202" i="2"/>
  <c r="AQ375" i="21398"/>
  <c r="AT184" i="21398"/>
  <c r="AQ87" i="21399"/>
  <c r="AQ113" i="21400"/>
  <c r="AQ163" i="2"/>
  <c r="AQ147" i="21400"/>
  <c r="AQ29" i="2"/>
  <c r="AQ47" i="21398"/>
  <c r="AT122" i="21400"/>
  <c r="AQ253" i="2"/>
  <c r="AQ257" i="21398"/>
  <c r="AT160" i="21398"/>
  <c r="AQ367" i="21398"/>
  <c r="AT100" i="21399"/>
  <c r="AT234" i="2"/>
  <c r="AQ83" i="21400"/>
  <c r="AQ23" i="21400"/>
  <c r="AT110" i="21400"/>
  <c r="AT68" i="21399"/>
  <c r="AQ83" i="2"/>
  <c r="AQ195" i="21398"/>
  <c r="AT20" i="2"/>
  <c r="AQ109" i="21399"/>
  <c r="AQ161" i="2"/>
  <c r="AT36" i="3"/>
  <c r="AQ231" i="2"/>
  <c r="AT26" i="3"/>
  <c r="AQ31" i="2"/>
  <c r="AQ141" i="21399"/>
  <c r="AQ221" i="2"/>
  <c r="AQ29" i="108"/>
  <c r="AT162" i="21398"/>
  <c r="AT106" i="21398"/>
  <c r="AQ39" i="21398"/>
  <c r="AT70" i="21400"/>
  <c r="AT48" i="21400"/>
  <c r="AQ31" i="108"/>
  <c r="AT196" i="2"/>
  <c r="AQ77" i="21400"/>
  <c r="AQ37" i="2"/>
  <c r="AT174" i="21398"/>
  <c r="AQ191" i="21398"/>
  <c r="AT126" i="21399"/>
  <c r="AT230" i="2"/>
  <c r="AQ203" i="21398"/>
  <c r="AT224" i="2"/>
  <c r="AT106" i="2"/>
  <c r="AQ183" i="2"/>
  <c r="AQ101" i="21399"/>
  <c r="AQ63" i="21400"/>
  <c r="AQ49" i="21400"/>
  <c r="AQ99" i="21400"/>
  <c r="AC106" i="2" l="1"/>
  <c r="AC224" i="2"/>
  <c r="AC230" i="2"/>
  <c r="AC126" i="21399"/>
  <c r="AC174" i="21398"/>
  <c r="AC196" i="2"/>
  <c r="AC48" i="21400"/>
  <c r="AC106" i="21398"/>
  <c r="AC162" i="21398"/>
  <c r="AC26" i="3"/>
  <c r="AC110" i="21400"/>
  <c r="AC234" i="2"/>
  <c r="AC100" i="21399"/>
  <c r="AC122" i="21400"/>
  <c r="AC184" i="21398"/>
  <c r="AC202" i="2"/>
  <c r="AC66" i="21399"/>
  <c r="AC126" i="21400"/>
  <c r="AC204" i="21398"/>
  <c r="AC30" i="21399"/>
  <c r="AC92" i="21399"/>
  <c r="AC34" i="21398"/>
  <c r="AC60" i="21400"/>
  <c r="AC98" i="21400"/>
  <c r="AC34" i="2"/>
  <c r="AC184" i="2"/>
  <c r="AC58" i="21399"/>
  <c r="AC32" i="2"/>
  <c r="AC156" i="21398"/>
  <c r="AC46" i="2"/>
  <c r="AC218" i="21398"/>
  <c r="AC86" i="21399"/>
  <c r="AC84" i="21398"/>
  <c r="AC88" i="21400"/>
  <c r="AC118" i="21399"/>
  <c r="AC38" i="21398"/>
  <c r="AC44" i="2"/>
  <c r="AC24" i="21398"/>
  <c r="AC24" i="21400"/>
  <c r="AC158" i="21398"/>
  <c r="AC60" i="2"/>
  <c r="AC76" i="21399"/>
  <c r="AC128" i="21399"/>
  <c r="AC100" i="21398"/>
  <c r="AC52" i="21400"/>
  <c r="AC48" i="2"/>
  <c r="AC144" i="21400"/>
  <c r="AC212" i="2"/>
  <c r="AC364" i="21398"/>
  <c r="AC32" i="21398"/>
  <c r="AC122" i="2"/>
  <c r="AC24" i="2"/>
  <c r="AC96" i="21399"/>
  <c r="AC62" i="21399"/>
  <c r="AC108" i="21399"/>
  <c r="AC56" i="21399"/>
  <c r="AC364" i="2"/>
  <c r="AC136" i="21399"/>
  <c r="AC58" i="21398"/>
  <c r="AC188" i="2"/>
  <c r="AC130" i="21399"/>
  <c r="AC136" i="2"/>
  <c r="AC166" i="2"/>
  <c r="AC186" i="21398"/>
  <c r="AC104" i="21399"/>
  <c r="AC368" i="2"/>
  <c r="AC102" i="2"/>
  <c r="AC168" i="2"/>
  <c r="AC159" i="21400"/>
  <c r="AC146" i="2"/>
  <c r="AC132" i="2"/>
  <c r="AC22" i="2"/>
  <c r="AC120" i="2"/>
  <c r="AC28" i="21400"/>
  <c r="AC168" i="21398"/>
  <c r="AC74" i="2"/>
  <c r="AC54" i="21398"/>
  <c r="AC180" i="2"/>
  <c r="AC46" i="21399"/>
  <c r="AC208" i="2"/>
  <c r="AC52" i="21399"/>
  <c r="AC240" i="2"/>
  <c r="AC366" i="21398"/>
  <c r="AC42" i="2"/>
  <c r="AC134" i="21400"/>
  <c r="AC94" i="21400"/>
  <c r="AC216" i="21398"/>
  <c r="AC220" i="2"/>
  <c r="AC28" i="3"/>
  <c r="AC182" i="21398"/>
  <c r="AC132" i="21398"/>
  <c r="AC50" i="21400"/>
  <c r="AC58" i="21400"/>
  <c r="AC242" i="2"/>
  <c r="AC110" i="21399"/>
  <c r="AC120" i="21398"/>
  <c r="AC102" i="21399"/>
  <c r="AC92" i="21400"/>
  <c r="AC236" i="21398"/>
  <c r="AC60" i="21398"/>
  <c r="AC140" i="21400"/>
  <c r="AC66" i="21400"/>
  <c r="AC258" i="2"/>
  <c r="AC146" i="21398"/>
  <c r="AC102" i="21398"/>
  <c r="AC92" i="21398"/>
  <c r="AC376" i="21398"/>
  <c r="AC52" i="21398"/>
  <c r="AC362" i="2"/>
  <c r="AC150" i="21400"/>
  <c r="AC42" i="21398"/>
  <c r="AC182" i="2"/>
  <c r="AC200" i="21398"/>
  <c r="AC142" i="21399"/>
  <c r="AC64" i="21398"/>
  <c r="AC236" i="2"/>
  <c r="AC22" i="21398"/>
  <c r="AC32" i="21399"/>
  <c r="AC124" i="21399"/>
  <c r="AC84" i="21400"/>
  <c r="AC142" i="21400"/>
  <c r="AC90" i="21399"/>
  <c r="AC238" i="21398"/>
  <c r="AC232" i="2"/>
  <c r="AC18" i="21398"/>
  <c r="AC214" i="21398"/>
  <c r="AC140" i="21399"/>
  <c r="AC152" i="21400"/>
  <c r="AC72" i="2"/>
  <c r="AC30" i="21400"/>
  <c r="AC56" i="2"/>
  <c r="AC200" i="2"/>
  <c r="AC146" i="21399"/>
  <c r="AC218" i="2"/>
  <c r="AC54" i="21400"/>
  <c r="AC30" i="21398"/>
  <c r="AC96" i="21398"/>
  <c r="AC198" i="2"/>
  <c r="AC172" i="2"/>
  <c r="AC124" i="21400"/>
  <c r="AC140" i="21398"/>
  <c r="AC82" i="21398"/>
  <c r="AC80" i="2"/>
  <c r="AC56" i="21398"/>
  <c r="AC240" i="21398"/>
  <c r="AC116" i="21400"/>
  <c r="AC46" i="21398"/>
  <c r="AC134" i="2"/>
  <c r="AC244" i="21398"/>
  <c r="AC86" i="2"/>
  <c r="AC84" i="21399"/>
  <c r="AC98" i="21399"/>
  <c r="AC78" i="2"/>
  <c r="AC246" i="21398"/>
  <c r="AC100" i="2"/>
  <c r="AC138" i="21400"/>
  <c r="AC108" i="2"/>
  <c r="AC178" i="21398"/>
  <c r="AC176" i="2"/>
  <c r="AC62" i="21398"/>
  <c r="AC378" i="2"/>
  <c r="AC90" i="2"/>
  <c r="AC138" i="2"/>
  <c r="AC58" i="2"/>
  <c r="AC134" i="21398"/>
  <c r="AC46" i="21400"/>
  <c r="AC84" i="2"/>
  <c r="AC40" i="2"/>
  <c r="AC214" i="2"/>
  <c r="AC82" i="2"/>
  <c r="AC28" i="21398"/>
  <c r="AC80" i="21400"/>
  <c r="AC108" i="21400"/>
  <c r="AC78" i="21400"/>
  <c r="AC248" i="2"/>
  <c r="AC172" i="21398"/>
  <c r="AC68" i="21400"/>
  <c r="AC64" i="21400"/>
  <c r="AC112" i="21400"/>
  <c r="AC18" i="2"/>
  <c r="AC76" i="21398"/>
  <c r="AC216" i="2"/>
  <c r="AC60" i="21399"/>
  <c r="AC188" i="21398"/>
  <c r="AC130" i="21400"/>
  <c r="AC156" i="2"/>
  <c r="AC138" i="21398"/>
  <c r="AC88" i="21399"/>
  <c r="AC190" i="21398"/>
  <c r="AC20" i="3"/>
  <c r="AC64" i="21399"/>
  <c r="AC202" i="21398"/>
  <c r="AC220" i="21398"/>
  <c r="AC158" i="2"/>
  <c r="AC206" i="21398"/>
  <c r="AC78" i="21399"/>
  <c r="AC16" i="21400"/>
  <c r="AC198" i="21398"/>
  <c r="AC82" i="21400"/>
  <c r="AC208" i="21398"/>
  <c r="AC238" i="2"/>
  <c r="AC242" i="21398"/>
  <c r="AC174" i="2"/>
  <c r="AC210" i="21398"/>
  <c r="AC54" i="21399"/>
  <c r="AC134" i="21399"/>
  <c r="AC128" i="21400"/>
  <c r="AC162" i="2"/>
  <c r="AC160" i="21399"/>
  <c r="AC50" i="21399"/>
  <c r="AC226" i="2"/>
  <c r="AC76" i="2"/>
  <c r="AC92" i="2"/>
  <c r="AC62" i="2"/>
  <c r="AC192" i="21398"/>
  <c r="AC144" i="21399"/>
  <c r="AC32" i="3"/>
  <c r="AC234" i="21398"/>
  <c r="AC246" i="2"/>
  <c r="AC206" i="2"/>
  <c r="AC26" i="2"/>
  <c r="AC80" i="21398"/>
  <c r="AC96" i="2"/>
  <c r="AC152" i="2"/>
  <c r="AC56" i="21400"/>
  <c r="AC90" i="21400"/>
  <c r="AC14" i="21398"/>
  <c r="AC224" i="21398"/>
  <c r="AC50" i="21398"/>
  <c r="AC48" i="21398"/>
  <c r="AC18" i="3"/>
  <c r="AC94" i="21398"/>
  <c r="AC96" i="21400"/>
  <c r="AC212" i="21398"/>
  <c r="AC52" i="2"/>
  <c r="AC26" i="21400"/>
  <c r="AC192" i="2"/>
  <c r="AC144" i="21398"/>
  <c r="AC30" i="3"/>
  <c r="AC152" i="21399"/>
  <c r="AC136" i="21400"/>
  <c r="AC30" i="2"/>
  <c r="AC138" i="21399"/>
  <c r="AC82" i="21399"/>
  <c r="AC118" i="21400"/>
  <c r="AC164" i="21398"/>
  <c r="AC196" i="21398"/>
  <c r="AC178" i="2"/>
  <c r="AC132" i="21400"/>
  <c r="AC78" i="21398"/>
  <c r="AC94" i="21399"/>
  <c r="AC232" i="21398"/>
  <c r="AC122" i="21398"/>
  <c r="AC26" i="21398"/>
  <c r="AC22" i="21400"/>
  <c r="AC186" i="2"/>
  <c r="AC44" i="21398"/>
  <c r="AC24" i="3"/>
  <c r="AC164" i="2"/>
  <c r="AC112" i="21399"/>
  <c r="AC170" i="21398"/>
  <c r="AC210" i="2"/>
  <c r="AC148" i="21400"/>
  <c r="AC80" i="21399"/>
  <c r="AC20" i="21400"/>
  <c r="AC108" i="21398"/>
  <c r="AC132" i="21399"/>
  <c r="AC204" i="2"/>
  <c r="AC66" i="2"/>
  <c r="AC136" i="21398"/>
  <c r="AC142" i="21398"/>
  <c r="AC362" i="21398"/>
  <c r="AC222" i="2"/>
  <c r="AC226" i="21398"/>
  <c r="AC100" i="21400"/>
  <c r="AC38" i="2"/>
  <c r="AC86" i="21400"/>
  <c r="AC34" i="3"/>
  <c r="AC166" i="21398"/>
  <c r="AC42" i="21399"/>
  <c r="AC62" i="21400"/>
  <c r="AC122" i="21399"/>
  <c r="AC222" i="21398"/>
  <c r="AC248" i="21398"/>
  <c r="AC140" i="2"/>
  <c r="AC244" i="2"/>
  <c r="AC176" i="21398"/>
  <c r="AC44" i="21399"/>
  <c r="AC170" i="2"/>
  <c r="AC50" i="2"/>
  <c r="AC64" i="2"/>
  <c r="AC230" i="21398"/>
  <c r="AC98" i="2"/>
  <c r="AC180" i="21398"/>
  <c r="AC98" i="21398"/>
  <c r="AC18" i="21400"/>
  <c r="AC28" i="2"/>
  <c r="AC54" i="2"/>
  <c r="AC190" i="2"/>
  <c r="AC94" i="2"/>
  <c r="J257" i="21408"/>
  <c r="J281" i="21408"/>
  <c r="J322" i="21408"/>
  <c r="J320" i="21408"/>
  <c r="J318" i="21408"/>
  <c r="J256" i="21408"/>
  <c r="J251" i="21408"/>
  <c r="J249" i="21408"/>
  <c r="J247" i="21408"/>
  <c r="J245" i="21408"/>
  <c r="J361" i="21408"/>
  <c r="H72" i="21402"/>
  <c r="H70" i="21402"/>
  <c r="H68" i="21402"/>
  <c r="H61" i="21402"/>
  <c r="H59" i="21402"/>
  <c r="H57" i="21402"/>
  <c r="H55" i="21402"/>
  <c r="H53" i="21402"/>
  <c r="H51" i="21402"/>
  <c r="J231" i="21408"/>
  <c r="J280" i="21408"/>
  <c r="J321" i="21408"/>
  <c r="J319" i="21408"/>
  <c r="J258" i="21408"/>
  <c r="J252" i="21408"/>
  <c r="J250" i="21408"/>
  <c r="J248" i="21408"/>
  <c r="J366" i="21408"/>
  <c r="H71" i="21402"/>
  <c r="H69" i="21402"/>
  <c r="H67" i="21402"/>
  <c r="H60" i="21402"/>
  <c r="H58" i="21402"/>
  <c r="H56" i="21402"/>
  <c r="H54" i="21402"/>
  <c r="H52" i="21402"/>
  <c r="J279" i="21408"/>
  <c r="J277" i="21408"/>
  <c r="J275" i="21408"/>
  <c r="J273" i="21408"/>
  <c r="J271" i="21408"/>
  <c r="J269" i="21408"/>
  <c r="J243" i="21408"/>
  <c r="J241" i="21408"/>
  <c r="J239" i="21408"/>
  <c r="J237" i="21408"/>
  <c r="J235" i="21408"/>
  <c r="H9" i="21402"/>
  <c r="J365" i="21408"/>
  <c r="J363" i="21408"/>
  <c r="J306" i="21408"/>
  <c r="J264" i="21408"/>
  <c r="J227" i="21408"/>
  <c r="J225" i="21408"/>
  <c r="J217" i="21408"/>
  <c r="J199" i="21408"/>
  <c r="J195" i="21408"/>
  <c r="J192" i="21408"/>
  <c r="J188" i="21408"/>
  <c r="J182" i="21408"/>
  <c r="J173" i="21408"/>
  <c r="J169" i="21408"/>
  <c r="J166" i="21408"/>
  <c r="J160" i="21408"/>
  <c r="J156" i="21408"/>
  <c r="J152" i="21408"/>
  <c r="J136" i="21408"/>
  <c r="J150" i="21408"/>
  <c r="J132" i="21408"/>
  <c r="J130" i="21408"/>
  <c r="J124" i="21408"/>
  <c r="J116" i="21408"/>
  <c r="J112" i="21408"/>
  <c r="J110" i="21408"/>
  <c r="J106" i="21408"/>
  <c r="J96" i="21408"/>
  <c r="J92" i="21408"/>
  <c r="J90" i="21408"/>
  <c r="J86" i="21408"/>
  <c r="J80" i="21408"/>
  <c r="J78" i="21408"/>
  <c r="J74" i="21408"/>
  <c r="J70" i="21408"/>
  <c r="J145" i="21408"/>
  <c r="J143" i="21408"/>
  <c r="J63" i="21408"/>
  <c r="J29" i="21408"/>
  <c r="J23" i="21408"/>
  <c r="J21" i="21408"/>
  <c r="J17" i="21408"/>
  <c r="J13" i="21408"/>
  <c r="J7" i="21408"/>
  <c r="J5" i="21408"/>
  <c r="J12" i="21408"/>
  <c r="J6" i="21408"/>
  <c r="H49" i="21402"/>
  <c r="H42" i="21402"/>
  <c r="H40" i="21402"/>
  <c r="H38" i="21402"/>
  <c r="H36" i="21402"/>
  <c r="H34" i="21402"/>
  <c r="H32" i="21402"/>
  <c r="H25" i="21402"/>
  <c r="H23" i="21402"/>
  <c r="H21" i="21402"/>
  <c r="H19" i="21402"/>
  <c r="H17" i="21402"/>
  <c r="H15" i="21402"/>
  <c r="H6" i="21402"/>
  <c r="H4" i="21402"/>
  <c r="J360" i="21408"/>
  <c r="J358" i="21408"/>
  <c r="J266" i="21408"/>
  <c r="J229" i="21408"/>
  <c r="J223" i="21408"/>
  <c r="J219" i="21408"/>
  <c r="J213" i="21408"/>
  <c r="J214" i="21408" s="1"/>
  <c r="J197" i="21408"/>
  <c r="J190" i="21408"/>
  <c r="J186" i="21408"/>
  <c r="J184" i="21408"/>
  <c r="J175" i="21408"/>
  <c r="J171" i="21408"/>
  <c r="J164" i="21408"/>
  <c r="J162" i="21408"/>
  <c r="J158" i="21408"/>
  <c r="J154" i="21408"/>
  <c r="J127" i="21408"/>
  <c r="J118" i="21408"/>
  <c r="J134" i="21408"/>
  <c r="J128" i="21408"/>
  <c r="J122" i="21408"/>
  <c r="J120" i="21408"/>
  <c r="J114" i="21408"/>
  <c r="J108" i="21408"/>
  <c r="J104" i="21408"/>
  <c r="J102" i="21408"/>
  <c r="J94" i="21408"/>
  <c r="J88" i="21408"/>
  <c r="J84" i="21408"/>
  <c r="J82" i="21408"/>
  <c r="J76" i="21408"/>
  <c r="J72" i="21408"/>
  <c r="J68" i="21408"/>
  <c r="J147" i="21408"/>
  <c r="J141" i="21408"/>
  <c r="J31" i="21408"/>
  <c r="J27" i="21408"/>
  <c r="J25" i="21408"/>
  <c r="J19" i="21408"/>
  <c r="J15" i="21408"/>
  <c r="J11" i="21408"/>
  <c r="J9" i="21408"/>
  <c r="J3" i="21408"/>
  <c r="J10" i="21408"/>
  <c r="J4" i="21408"/>
  <c r="J278" i="21408"/>
  <c r="J276" i="21408"/>
  <c r="J274" i="21408"/>
  <c r="J272" i="21408"/>
  <c r="J270" i="21408"/>
  <c r="J268" i="21408"/>
  <c r="J244" i="21408"/>
  <c r="J242" i="21408"/>
  <c r="J240" i="21408"/>
  <c r="J238" i="21408"/>
  <c r="J236" i="21408"/>
  <c r="J234" i="21408"/>
  <c r="H18" i="21402"/>
  <c r="H10" i="21402"/>
  <c r="H8" i="21402"/>
  <c r="J367" i="21408"/>
  <c r="J362" i="21408"/>
  <c r="J304" i="21408"/>
  <c r="J246" i="21408"/>
  <c r="J263" i="21408"/>
  <c r="J226" i="21408"/>
  <c r="J224" i="21408"/>
  <c r="J215" i="21408"/>
  <c r="J216" i="21408" s="1"/>
  <c r="J198" i="21408"/>
  <c r="J194" i="21408"/>
  <c r="J191" i="21408"/>
  <c r="J185" i="21408"/>
  <c r="J181" i="21408"/>
  <c r="J172" i="21408"/>
  <c r="J170" i="21408"/>
  <c r="J163" i="21408"/>
  <c r="J159" i="21408"/>
  <c r="J155" i="21408"/>
  <c r="J153" i="21408"/>
  <c r="J135" i="21408"/>
  <c r="J149" i="21408"/>
  <c r="J131" i="21408"/>
  <c r="J129" i="21408"/>
  <c r="J123" i="21408"/>
  <c r="J115" i="21408"/>
  <c r="J111" i="21408"/>
  <c r="J109" i="21408"/>
  <c r="J105" i="21408"/>
  <c r="J95" i="21408"/>
  <c r="J91" i="21408"/>
  <c r="J87" i="21408"/>
  <c r="J85" i="21408"/>
  <c r="J79" i="21408"/>
  <c r="J75" i="21408"/>
  <c r="J71" i="21408"/>
  <c r="J69" i="21408"/>
  <c r="J144" i="21408"/>
  <c r="J140" i="21408"/>
  <c r="J32" i="21408"/>
  <c r="J28" i="21408"/>
  <c r="J26" i="21408"/>
  <c r="J22" i="21408"/>
  <c r="J18" i="21408"/>
  <c r="J8" i="21408"/>
  <c r="H50" i="21402"/>
  <c r="H43" i="21402"/>
  <c r="H41" i="21402"/>
  <c r="H39" i="21402"/>
  <c r="H37" i="21402"/>
  <c r="H35" i="21402"/>
  <c r="H33" i="21402"/>
  <c r="H26" i="21402"/>
  <c r="H24" i="21402"/>
  <c r="H22" i="21402"/>
  <c r="H20" i="21402"/>
  <c r="H16" i="21402"/>
  <c r="H5" i="21402"/>
  <c r="H3" i="21402"/>
  <c r="J364" i="21408"/>
  <c r="J359" i="21408"/>
  <c r="J307" i="21408"/>
  <c r="J296" i="21408"/>
  <c r="J265" i="21408"/>
  <c r="J228" i="21408"/>
  <c r="J222" i="21408"/>
  <c r="J218" i="21408"/>
  <c r="J212" i="21408"/>
  <c r="J196" i="21408"/>
  <c r="J189" i="21408"/>
  <c r="J187" i="21408"/>
  <c r="J183" i="21408"/>
  <c r="J174" i="21408"/>
  <c r="J167" i="21408"/>
  <c r="J165" i="21408"/>
  <c r="J161" i="21408"/>
  <c r="J157" i="21408"/>
  <c r="J151" i="21408"/>
  <c r="J126" i="21408"/>
  <c r="J117" i="21408"/>
  <c r="J133" i="21408"/>
  <c r="J125" i="21408"/>
  <c r="J121" i="21408"/>
  <c r="J119" i="21408"/>
  <c r="J113" i="21408"/>
  <c r="J107" i="21408"/>
  <c r="J103" i="21408"/>
  <c r="J97" i="21408"/>
  <c r="J93" i="21408"/>
  <c r="J89" i="21408"/>
  <c r="J83" i="21408"/>
  <c r="J81" i="21408"/>
  <c r="J77" i="21408"/>
  <c r="J73" i="21408"/>
  <c r="J148" i="21408"/>
  <c r="J146" i="21408"/>
  <c r="J142" i="21408"/>
  <c r="J137" i="21408"/>
  <c r="J30" i="21408"/>
  <c r="J24" i="21408"/>
  <c r="J20" i="21408"/>
  <c r="J16" i="21408"/>
  <c r="J14" i="21408"/>
  <c r="C150" i="21399"/>
  <c r="J147" i="21399"/>
  <c r="F148" i="21399"/>
  <c r="AX148" i="21399"/>
  <c r="AW148" i="21399"/>
  <c r="C106" i="21400"/>
  <c r="F104" i="21400"/>
  <c r="BC94" i="21398"/>
  <c r="C100" i="21398"/>
  <c r="BA96" i="21398"/>
  <c r="H277" i="21412"/>
  <c r="I277" i="21412"/>
  <c r="J277" i="21412"/>
  <c r="I276" i="21412"/>
  <c r="H276" i="21412"/>
  <c r="J276" i="21412"/>
  <c r="H275" i="21412"/>
  <c r="J275" i="21412"/>
  <c r="I275" i="21412"/>
  <c r="I289" i="21412"/>
  <c r="H289" i="21412"/>
  <c r="J289" i="21412"/>
  <c r="H288" i="21412"/>
  <c r="J288" i="21412"/>
  <c r="I288" i="21412"/>
  <c r="I287" i="21412"/>
  <c r="H287" i="21412"/>
  <c r="J287" i="21412"/>
  <c r="I273" i="21412"/>
  <c r="H273" i="21412"/>
  <c r="J273" i="21412"/>
  <c r="H272" i="21412"/>
  <c r="J272" i="21412"/>
  <c r="I272" i="21412"/>
  <c r="J274" i="21412"/>
  <c r="I274" i="21412"/>
  <c r="H274" i="21412"/>
  <c r="J285" i="21412"/>
  <c r="I285" i="21412"/>
  <c r="H285" i="21412"/>
  <c r="I284" i="21412"/>
  <c r="H284" i="21412"/>
  <c r="J284" i="21412"/>
  <c r="J286" i="21412"/>
  <c r="I286" i="21412"/>
  <c r="H286" i="21412"/>
  <c r="BA74" i="2"/>
  <c r="C78" i="2"/>
  <c r="G289" i="21408"/>
  <c r="G357" i="21408"/>
  <c r="G354" i="21408"/>
  <c r="G356" i="21408"/>
  <c r="G283" i="21408"/>
  <c r="AT102" i="21400"/>
  <c r="AQ101" i="21400"/>
  <c r="J42" i="21408" l="1"/>
  <c r="J207" i="21408"/>
  <c r="J372" i="21408"/>
  <c r="J314" i="21408"/>
  <c r="J53" i="21408"/>
  <c r="J323" i="21408"/>
  <c r="J41" i="21408"/>
  <c r="J206" i="21408"/>
  <c r="J57" i="21408"/>
  <c r="J310" i="21408"/>
  <c r="J308" i="21408" s="1"/>
  <c r="J209" i="21408"/>
  <c r="J374" i="21408"/>
  <c r="J369" i="21408" s="1"/>
  <c r="J47" i="21408"/>
  <c r="J178" i="21408"/>
  <c r="J49" i="21408"/>
  <c r="J61" i="21408"/>
  <c r="J59" i="21408"/>
  <c r="J37" i="21408"/>
  <c r="J210" i="21408"/>
  <c r="J38" i="21408"/>
  <c r="J45" i="21408"/>
  <c r="J62" i="21408"/>
  <c r="J36" i="21408"/>
  <c r="J60" i="21408"/>
  <c r="J55" i="21408"/>
  <c r="J232" i="21408"/>
  <c r="J317" i="21408"/>
  <c r="J44" i="21408"/>
  <c r="J193" i="21408"/>
  <c r="J305" i="21408"/>
  <c r="J203" i="21408"/>
  <c r="J56" i="21408"/>
  <c r="J180" i="21408"/>
  <c r="J299" i="21408"/>
  <c r="J211" i="21408"/>
  <c r="J34" i="21408"/>
  <c r="J261" i="21408"/>
  <c r="J43" i="21408"/>
  <c r="J316" i="21408"/>
  <c r="J324" i="21408"/>
  <c r="J200" i="21408"/>
  <c r="J52" i="21408"/>
  <c r="J51" i="21408"/>
  <c r="J230" i="21408"/>
  <c r="J46" i="21408"/>
  <c r="J233" i="21408"/>
  <c r="J50" i="21408"/>
  <c r="J311" i="21408"/>
  <c r="J309" i="21408" s="1"/>
  <c r="J168" i="21408"/>
  <c r="J201" i="21408" s="1"/>
  <c r="J202" i="21408" s="1"/>
  <c r="J313" i="21408"/>
  <c r="J54" i="21408"/>
  <c r="J315" i="21408"/>
  <c r="J373" i="21408"/>
  <c r="J40" i="21408"/>
  <c r="J204" i="21408"/>
  <c r="J35" i="21408"/>
  <c r="J260" i="21408"/>
  <c r="J205" i="21408"/>
  <c r="J220" i="21408"/>
  <c r="J177" i="21408"/>
  <c r="J221" i="21408"/>
  <c r="J300" i="21408"/>
  <c r="J179" i="21408"/>
  <c r="J58" i="21408"/>
  <c r="J39" i="21408"/>
  <c r="J33" i="21408"/>
  <c r="J48" i="21408"/>
  <c r="J176" i="21408"/>
  <c r="J208" i="21408"/>
  <c r="J312" i="21408"/>
  <c r="J297" i="21408"/>
  <c r="J298" i="21408" s="1"/>
  <c r="J295" i="21408"/>
  <c r="J262" i="21408"/>
  <c r="AC102" i="21400"/>
  <c r="C152" i="21399"/>
  <c r="AX150" i="21399"/>
  <c r="AW150" i="21399"/>
  <c r="BA148" i="21399"/>
  <c r="F106" i="21400"/>
  <c r="J105" i="21400"/>
  <c r="C108" i="21400"/>
  <c r="C110" i="21400" s="1"/>
  <c r="AX147" i="21399"/>
  <c r="BB147" i="21399" s="1"/>
  <c r="AW147" i="21399"/>
  <c r="BC96" i="21398"/>
  <c r="C102" i="21398"/>
  <c r="BA98" i="21398"/>
  <c r="BA76" i="2"/>
  <c r="C80" i="2"/>
  <c r="AQ103" i="21400"/>
  <c r="AQ147" i="21399"/>
  <c r="AT148" i="21399"/>
  <c r="AT104" i="21400"/>
  <c r="AC104" i="21400" l="1"/>
  <c r="AC148" i="21399"/>
  <c r="K340" i="21412"/>
  <c r="K342" i="21412"/>
  <c r="K341" i="21412"/>
  <c r="K338" i="21412"/>
  <c r="K339" i="21412"/>
  <c r="K343" i="21412"/>
  <c r="C112" i="21400"/>
  <c r="J109" i="21400"/>
  <c r="BC148" i="21399"/>
  <c r="BA150" i="21399"/>
  <c r="C154" i="21399"/>
  <c r="AW152" i="21399"/>
  <c r="AX152" i="21399"/>
  <c r="J101" i="21398"/>
  <c r="C104" i="21398"/>
  <c r="BC98" i="21398"/>
  <c r="BA100" i="21398"/>
  <c r="C82" i="2"/>
  <c r="BA78" i="2"/>
  <c r="AT106" i="21400"/>
  <c r="AQ105" i="21400"/>
  <c r="AC106" i="21400" l="1"/>
  <c r="BC150" i="21399"/>
  <c r="BA152" i="21399"/>
  <c r="AW154" i="21399"/>
  <c r="AX154" i="21399"/>
  <c r="C114" i="21400"/>
  <c r="J113" i="21400"/>
  <c r="BA102" i="21398"/>
  <c r="BC100" i="21398"/>
  <c r="AY104" i="21398"/>
  <c r="C106" i="21398"/>
  <c r="BA80" i="2"/>
  <c r="C84" i="2"/>
  <c r="BB129" i="21398"/>
  <c r="BB101" i="21398" l="1"/>
  <c r="BC152" i="21399"/>
  <c r="C116" i="21400"/>
  <c r="C118" i="21400" s="1"/>
  <c r="C120" i="21400" s="1"/>
  <c r="J114" i="21400"/>
  <c r="M251" i="21408"/>
  <c r="BA154" i="21399"/>
  <c r="K69" i="21412"/>
  <c r="K282" i="21412"/>
  <c r="M159" i="21408"/>
  <c r="M24" i="21408"/>
  <c r="M20" i="21408"/>
  <c r="BA104" i="21398"/>
  <c r="AX106" i="21398"/>
  <c r="AW106" i="21398"/>
  <c r="C108" i="21398"/>
  <c r="BC102" i="21398"/>
  <c r="BA82" i="2"/>
  <c r="C86" i="2"/>
  <c r="BB133" i="21398"/>
  <c r="K78" i="21412" l="1"/>
  <c r="K50" i="21412"/>
  <c r="K93" i="21412"/>
  <c r="M11" i="21408"/>
  <c r="M150" i="21408"/>
  <c r="M90" i="21408"/>
  <c r="M25" i="21408"/>
  <c r="M237" i="21408"/>
  <c r="K82" i="21412"/>
  <c r="M258" i="21408"/>
  <c r="M145" i="21408"/>
  <c r="M68" i="21408"/>
  <c r="M135" i="21408"/>
  <c r="K130" i="21412"/>
  <c r="K166" i="21412"/>
  <c r="K139" i="21412"/>
  <c r="K300" i="21412"/>
  <c r="K265" i="21412"/>
  <c r="M126" i="21408"/>
  <c r="C122" i="21400"/>
  <c r="C124" i="21400" s="1"/>
  <c r="C126" i="21400" s="1"/>
  <c r="J121" i="21400"/>
  <c r="M114" i="21408"/>
  <c r="M120" i="21408"/>
  <c r="M247" i="21408"/>
  <c r="K36" i="21412"/>
  <c r="K242" i="21412"/>
  <c r="K279" i="21412"/>
  <c r="K33" i="21412"/>
  <c r="K293" i="21412"/>
  <c r="M364" i="21408"/>
  <c r="M228" i="21408"/>
  <c r="M265" i="21408"/>
  <c r="K15" i="21402"/>
  <c r="K24" i="21402"/>
  <c r="K33" i="21402"/>
  <c r="M79" i="21408"/>
  <c r="K117" i="21412"/>
  <c r="K94" i="21412"/>
  <c r="K77" i="21412"/>
  <c r="K290" i="21412"/>
  <c r="K221" i="21412"/>
  <c r="M231" i="21408"/>
  <c r="BC154" i="21399"/>
  <c r="M49" i="21408"/>
  <c r="M62" i="21408"/>
  <c r="M61" i="21408"/>
  <c r="M168" i="21408"/>
  <c r="M59" i="21408"/>
  <c r="M48" i="21408"/>
  <c r="M50" i="21408"/>
  <c r="M44" i="21408"/>
  <c r="M40" i="21408"/>
  <c r="M51" i="21408"/>
  <c r="M36" i="21408"/>
  <c r="M55" i="21408"/>
  <c r="M47" i="21408"/>
  <c r="M39" i="21408"/>
  <c r="M35" i="21408"/>
  <c r="M57" i="21408"/>
  <c r="M52" i="21408"/>
  <c r="M33" i="21408"/>
  <c r="M38" i="21408"/>
  <c r="M53" i="21408"/>
  <c r="M37" i="21408"/>
  <c r="M41" i="21408"/>
  <c r="M46" i="21408"/>
  <c r="M42" i="21408"/>
  <c r="M43" i="21408"/>
  <c r="M60" i="21408"/>
  <c r="M34" i="21408"/>
  <c r="M54" i="21408"/>
  <c r="M58" i="21408"/>
  <c r="M56" i="21408"/>
  <c r="M45" i="21408"/>
  <c r="M220" i="21408"/>
  <c r="M299" i="21408"/>
  <c r="M209" i="21408"/>
  <c r="M323" i="21408"/>
  <c r="M310" i="21408"/>
  <c r="M308" i="21408" s="1"/>
  <c r="M179" i="21408"/>
  <c r="M372" i="21408"/>
  <c r="M260" i="21408"/>
  <c r="M324" i="21408"/>
  <c r="M208" i="21408"/>
  <c r="M205" i="21408"/>
  <c r="M176" i="21408"/>
  <c r="M221" i="21408"/>
  <c r="M211" i="21408"/>
  <c r="M261" i="21408"/>
  <c r="M374" i="21408"/>
  <c r="M369" i="21408" s="1"/>
  <c r="M230" i="21408"/>
  <c r="M305" i="21408"/>
  <c r="M233" i="21408"/>
  <c r="M320" i="21408"/>
  <c r="M206" i="21408"/>
  <c r="M203" i="21408"/>
  <c r="M373" i="21408"/>
  <c r="M178" i="21408"/>
  <c r="M193" i="21408"/>
  <c r="M207" i="21408"/>
  <c r="M300" i="21408"/>
  <c r="M200" i="21408"/>
  <c r="M210" i="21408"/>
  <c r="M232" i="21408"/>
  <c r="M317" i="21408"/>
  <c r="M315" i="21408"/>
  <c r="M180" i="21408"/>
  <c r="M312" i="21408"/>
  <c r="M314" i="21408"/>
  <c r="M316" i="21408"/>
  <c r="M204" i="21408"/>
  <c r="M177" i="21408"/>
  <c r="M313" i="21408"/>
  <c r="M257" i="21408"/>
  <c r="M311" i="21408"/>
  <c r="M309" i="21408" s="1"/>
  <c r="M16" i="21408"/>
  <c r="M31" i="21408"/>
  <c r="M141" i="21408"/>
  <c r="M361" i="21408"/>
  <c r="K50" i="21402"/>
  <c r="K23" i="21402"/>
  <c r="K39" i="21402"/>
  <c r="K25" i="21402"/>
  <c r="M91" i="21408"/>
  <c r="M147" i="21408"/>
  <c r="M81" i="21408"/>
  <c r="M84" i="21408"/>
  <c r="M103" i="21408"/>
  <c r="M181" i="21408"/>
  <c r="M136" i="21408"/>
  <c r="M165" i="21408"/>
  <c r="M169" i="21408"/>
  <c r="K261" i="21412"/>
  <c r="K13" i="21412"/>
  <c r="K180" i="21412"/>
  <c r="K83" i="21412"/>
  <c r="K5" i="21412"/>
  <c r="K138" i="21412"/>
  <c r="K38" i="21412"/>
  <c r="K313" i="21412"/>
  <c r="K123" i="21412"/>
  <c r="K236" i="21412"/>
  <c r="K233" i="21412"/>
  <c r="K39" i="21412"/>
  <c r="K136" i="21412"/>
  <c r="K253" i="21412"/>
  <c r="K59" i="21412"/>
  <c r="K182" i="21412"/>
  <c r="K47" i="21412"/>
  <c r="K84" i="21412"/>
  <c r="K317" i="21412"/>
  <c r="K127" i="21412"/>
  <c r="M225" i="21408"/>
  <c r="M241" i="21408"/>
  <c r="M244" i="21408"/>
  <c r="M167" i="21408"/>
  <c r="M158" i="21408"/>
  <c r="M174" i="21408"/>
  <c r="M182" i="21408"/>
  <c r="K288" i="21412"/>
  <c r="M304" i="21408"/>
  <c r="M246" i="21408"/>
  <c r="M277" i="21408"/>
  <c r="M319" i="21408"/>
  <c r="M21" i="21408"/>
  <c r="M17" i="21408"/>
  <c r="M3" i="21408"/>
  <c r="M14" i="21408"/>
  <c r="K59" i="21402"/>
  <c r="K86" i="21412"/>
  <c r="K64" i="21412"/>
  <c r="K114" i="21412"/>
  <c r="K198" i="21412"/>
  <c r="K155" i="21412"/>
  <c r="K103" i="21412"/>
  <c r="K232" i="21412"/>
  <c r="K207" i="21412"/>
  <c r="K27" i="21412"/>
  <c r="K158" i="21412"/>
  <c r="K227" i="21412"/>
  <c r="K53" i="21412"/>
  <c r="K218" i="21412"/>
  <c r="K115" i="21412"/>
  <c r="K54" i="21412"/>
  <c r="K323" i="21412"/>
  <c r="K121" i="21412"/>
  <c r="K258" i="21412"/>
  <c r="K229" i="21412"/>
  <c r="M154" i="21408"/>
  <c r="M170" i="21408"/>
  <c r="M173" i="21408"/>
  <c r="M7" i="21408"/>
  <c r="M94" i="21408"/>
  <c r="M113" i="21408"/>
  <c r="M116" i="21408"/>
  <c r="M125" i="21408"/>
  <c r="M226" i="21408"/>
  <c r="M184" i="21408"/>
  <c r="M212" i="21408"/>
  <c r="M217" i="21408"/>
  <c r="K272" i="21412"/>
  <c r="K16" i="21402"/>
  <c r="M278" i="21408"/>
  <c r="K5" i="21402"/>
  <c r="M360" i="21408"/>
  <c r="K230" i="21412"/>
  <c r="K251" i="21412"/>
  <c r="K302" i="21412"/>
  <c r="K307" i="21412"/>
  <c r="K72" i="21412"/>
  <c r="K254" i="21412"/>
  <c r="K237" i="21412"/>
  <c r="K58" i="21412"/>
  <c r="K80" i="21412"/>
  <c r="K239" i="21412"/>
  <c r="K75" i="21412"/>
  <c r="K216" i="21412"/>
  <c r="K167" i="21412"/>
  <c r="K11" i="21412"/>
  <c r="K6" i="21412"/>
  <c r="K145" i="21412"/>
  <c r="K256" i="21412"/>
  <c r="K299" i="21412"/>
  <c r="K66" i="21412"/>
  <c r="M12" i="21408"/>
  <c r="M137" i="21408"/>
  <c r="K209" i="21412"/>
  <c r="K90" i="21412"/>
  <c r="K176" i="21412"/>
  <c r="K63" i="21412"/>
  <c r="K159" i="21412"/>
  <c r="K319" i="21412"/>
  <c r="K98" i="21412"/>
  <c r="K34" i="21412"/>
  <c r="K309" i="21412"/>
  <c r="K105" i="21412"/>
  <c r="K250" i="21412"/>
  <c r="K191" i="21412"/>
  <c r="K164" i="21412"/>
  <c r="K12" i="21412"/>
  <c r="K175" i="21412"/>
  <c r="K298" i="21412"/>
  <c r="K61" i="21412"/>
  <c r="K7" i="21412"/>
  <c r="K157" i="21412"/>
  <c r="K110" i="21412"/>
  <c r="K72" i="21402"/>
  <c r="K150" i="21412"/>
  <c r="M171" i="21408"/>
  <c r="M195" i="21408"/>
  <c r="M189" i="21408"/>
  <c r="K289" i="21412"/>
  <c r="M110" i="21408"/>
  <c r="M129" i="21408"/>
  <c r="M132" i="21408"/>
  <c r="K284" i="21412"/>
  <c r="M143" i="21408"/>
  <c r="M77" i="21408"/>
  <c r="M80" i="21408"/>
  <c r="K273" i="21412"/>
  <c r="M172" i="21408"/>
  <c r="M118" i="21408"/>
  <c r="M161" i="21408"/>
  <c r="M164" i="21408"/>
  <c r="M151" i="21408"/>
  <c r="M279" i="21408"/>
  <c r="M234" i="21408"/>
  <c r="M256" i="21408"/>
  <c r="M268" i="21408"/>
  <c r="K193" i="21412"/>
  <c r="K62" i="21412"/>
  <c r="K45" i="21412"/>
  <c r="K212" i="21412"/>
  <c r="K137" i="21412"/>
  <c r="K190" i="21412"/>
  <c r="K67" i="21412"/>
  <c r="K116" i="21412"/>
  <c r="K4" i="21412"/>
  <c r="K141" i="21412"/>
  <c r="K270" i="21412"/>
  <c r="K271" i="21412"/>
  <c r="K122" i="21412"/>
  <c r="K16" i="21412"/>
  <c r="K269" i="21412"/>
  <c r="K318" i="21412"/>
  <c r="K192" i="21412"/>
  <c r="K111" i="21412"/>
  <c r="K124" i="21412"/>
  <c r="K41" i="21402"/>
  <c r="K19" i="21402"/>
  <c r="K35" i="21402"/>
  <c r="K21" i="21402"/>
  <c r="M321" i="21408"/>
  <c r="M242" i="21408"/>
  <c r="M273" i="21408"/>
  <c r="M276" i="21408"/>
  <c r="M13" i="21408"/>
  <c r="M9" i="21408"/>
  <c r="K53" i="21402"/>
  <c r="M6" i="21408"/>
  <c r="K55" i="21402"/>
  <c r="M115" i="21408"/>
  <c r="M86" i="21408"/>
  <c r="M105" i="21408"/>
  <c r="M108" i="21408"/>
  <c r="K3" i="21412"/>
  <c r="K241" i="21412"/>
  <c r="K235" i="21412"/>
  <c r="K40" i="21412"/>
  <c r="K87" i="21412"/>
  <c r="K68" i="21412"/>
  <c r="K2" i="21412"/>
  <c r="K133" i="21412"/>
  <c r="K266" i="21412"/>
  <c r="K245" i="21412"/>
  <c r="K74" i="21412"/>
  <c r="K10" i="21412"/>
  <c r="K263" i="21412"/>
  <c r="K95" i="21412"/>
  <c r="K220" i="21412"/>
  <c r="K81" i="21412"/>
  <c r="K108" i="21412"/>
  <c r="K144" i="21412"/>
  <c r="K165" i="21412"/>
  <c r="K260" i="21412"/>
  <c r="M238" i="21408"/>
  <c r="M269" i="21408"/>
  <c r="M272" i="21408"/>
  <c r="M222" i="21408"/>
  <c r="M175" i="21408"/>
  <c r="M196" i="21408"/>
  <c r="M199" i="21408"/>
  <c r="K276" i="21412"/>
  <c r="K8" i="21402"/>
  <c r="M274" i="21408"/>
  <c r="M367" i="21408"/>
  <c r="M306" i="21408"/>
  <c r="M144" i="21408"/>
  <c r="M27" i="21408"/>
  <c r="K61" i="21402"/>
  <c r="K88" i="21412"/>
  <c r="K264" i="21412"/>
  <c r="K305" i="21412"/>
  <c r="K151" i="21412"/>
  <c r="K215" i="21412"/>
  <c r="K246" i="21412"/>
  <c r="K201" i="21412"/>
  <c r="K41" i="21412"/>
  <c r="K17" i="21402"/>
  <c r="K161" i="21412"/>
  <c r="K280" i="21412"/>
  <c r="K219" i="21412"/>
  <c r="K20" i="21412"/>
  <c r="K173" i="21412"/>
  <c r="K294" i="21412"/>
  <c r="K315" i="21412"/>
  <c r="K51" i="21412"/>
  <c r="K44" i="21412"/>
  <c r="K295" i="21412"/>
  <c r="K131" i="21412"/>
  <c r="K248" i="21412"/>
  <c r="K257" i="21412"/>
  <c r="K43" i="21412"/>
  <c r="K46" i="21412"/>
  <c r="K199" i="21412"/>
  <c r="K304" i="21412"/>
  <c r="K194" i="21412"/>
  <c r="K57" i="21412"/>
  <c r="M109" i="21408"/>
  <c r="M163" i="21408"/>
  <c r="K277" i="21412"/>
  <c r="M235" i="21408"/>
  <c r="M192" i="21408"/>
  <c r="M224" i="21408"/>
  <c r="M227" i="21408"/>
  <c r="M107" i="21408"/>
  <c r="M134" i="21408"/>
  <c r="M157" i="21408"/>
  <c r="M160" i="21408"/>
  <c r="K285" i="21412"/>
  <c r="M275" i="21408"/>
  <c r="M266" i="21408"/>
  <c r="M249" i="21408"/>
  <c r="M252" i="21408"/>
  <c r="M10" i="21408"/>
  <c r="K58" i="21402"/>
  <c r="K36" i="21402"/>
  <c r="K52" i="21402"/>
  <c r="K38" i="21402"/>
  <c r="K25" i="21412"/>
  <c r="K203" i="21412"/>
  <c r="K120" i="21412"/>
  <c r="K170" i="21412"/>
  <c r="K244" i="21412"/>
  <c r="K49" i="21412"/>
  <c r="K200" i="21412"/>
  <c r="K129" i="21412"/>
  <c r="K156" i="21412"/>
  <c r="K26" i="21412"/>
  <c r="K185" i="21412"/>
  <c r="K296" i="21412"/>
  <c r="K186" i="21412"/>
  <c r="K162" i="21412"/>
  <c r="K96" i="21412"/>
  <c r="K243" i="21412"/>
  <c r="K65" i="21412"/>
  <c r="K226" i="21412"/>
  <c r="K135" i="21412"/>
  <c r="M32" i="21408"/>
  <c r="M73" i="21408"/>
  <c r="M76" i="21408"/>
  <c r="M22" i="21408"/>
  <c r="K71" i="21402"/>
  <c r="K49" i="21402"/>
  <c r="K60" i="21402"/>
  <c r="K51" i="21402"/>
  <c r="M111" i="21408"/>
  <c r="M82" i="21408"/>
  <c r="M97" i="21408"/>
  <c r="M104" i="21408"/>
  <c r="M185" i="21408"/>
  <c r="M198" i="21408"/>
  <c r="M166" i="21408"/>
  <c r="M187" i="21408"/>
  <c r="M190" i="21408"/>
  <c r="K119" i="21412"/>
  <c r="K197" i="21412"/>
  <c r="K324" i="21412"/>
  <c r="K291" i="21412"/>
  <c r="K148" i="21412"/>
  <c r="K101" i="21412"/>
  <c r="K140" i="21412"/>
  <c r="K18" i="21412"/>
  <c r="K179" i="21412"/>
  <c r="K268" i="21412"/>
  <c r="K174" i="21412"/>
  <c r="K146" i="21412"/>
  <c r="K52" i="21412"/>
  <c r="K303" i="21412"/>
  <c r="K113" i="21412"/>
  <c r="K214" i="21412"/>
  <c r="K125" i="21412"/>
  <c r="K9" i="21412"/>
  <c r="K22" i="21412"/>
  <c r="K181" i="21412"/>
  <c r="K40" i="21402"/>
  <c r="K56" i="21402"/>
  <c r="K42" i="21402"/>
  <c r="K3" i="21402"/>
  <c r="M270" i="21408"/>
  <c r="M362" i="21408"/>
  <c r="M280" i="21408"/>
  <c r="M140" i="21408"/>
  <c r="M8" i="21408"/>
  <c r="M23" i="21408"/>
  <c r="M30" i="21408"/>
  <c r="K274" i="21412"/>
  <c r="M149" i="21408"/>
  <c r="M106" i="21408"/>
  <c r="M123" i="21408"/>
  <c r="M128" i="21408"/>
  <c r="K147" i="21412"/>
  <c r="K35" i="21412"/>
  <c r="K152" i="21412"/>
  <c r="K71" i="21412"/>
  <c r="K208" i="21412"/>
  <c r="K104" i="21412"/>
  <c r="K32" i="21412"/>
  <c r="K189" i="21412"/>
  <c r="K306" i="21412"/>
  <c r="K325" i="21412"/>
  <c r="K76" i="21412"/>
  <c r="K252" i="21412"/>
  <c r="K15" i="21412"/>
  <c r="K308" i="21412"/>
  <c r="K225" i="21412"/>
  <c r="M366" i="21408"/>
  <c r="M307" i="21408"/>
  <c r="M63" i="21408"/>
  <c r="K20" i="21402"/>
  <c r="M358" i="21408"/>
  <c r="K10" i="21402"/>
  <c r="M365" i="21408"/>
  <c r="M271" i="21408"/>
  <c r="M229" i="21408"/>
  <c r="M245" i="21408"/>
  <c r="M248" i="21408"/>
  <c r="M15" i="21408"/>
  <c r="K54" i="21402"/>
  <c r="K32" i="21402"/>
  <c r="K43" i="21402"/>
  <c r="K34" i="21402"/>
  <c r="M95" i="21408"/>
  <c r="M70" i="21408"/>
  <c r="M85" i="21408"/>
  <c r="M88" i="21408"/>
  <c r="K100" i="21412"/>
  <c r="K240" i="21412"/>
  <c r="K314" i="21412"/>
  <c r="K247" i="21412"/>
  <c r="K70" i="21412"/>
  <c r="K168" i="21412"/>
  <c r="K259" i="21412"/>
  <c r="K79" i="21412"/>
  <c r="K234" i="21412"/>
  <c r="K153" i="21412"/>
  <c r="K21" i="21412"/>
  <c r="K102" i="21412"/>
  <c r="K213" i="21412"/>
  <c r="K322" i="21412"/>
  <c r="K188" i="21412"/>
  <c r="K106" i="21412"/>
  <c r="K24" i="21412"/>
  <c r="K301" i="21412"/>
  <c r="K109" i="21412"/>
  <c r="K228" i="21412"/>
  <c r="M130" i="21408"/>
  <c r="M153" i="21408"/>
  <c r="M156" i="21408"/>
  <c r="K287" i="21412"/>
  <c r="M78" i="21408"/>
  <c r="M93" i="21408"/>
  <c r="M96" i="21408"/>
  <c r="M71" i="21408"/>
  <c r="M194" i="21408"/>
  <c r="M162" i="21408"/>
  <c r="M183" i="21408"/>
  <c r="M186" i="21408"/>
  <c r="K286" i="21412"/>
  <c r="M359" i="21408"/>
  <c r="M250" i="21408"/>
  <c r="M281" i="21408"/>
  <c r="M322" i="21408"/>
  <c r="K292" i="21412"/>
  <c r="K31" i="21412"/>
  <c r="K311" i="21412"/>
  <c r="K99" i="21412"/>
  <c r="K48" i="21412"/>
  <c r="K222" i="21412"/>
  <c r="K143" i="21412"/>
  <c r="K17" i="21412"/>
  <c r="K42" i="21412"/>
  <c r="K195" i="21412"/>
  <c r="K310" i="21412"/>
  <c r="K184" i="21412"/>
  <c r="K91" i="21412"/>
  <c r="K92" i="21412"/>
  <c r="K321" i="21412"/>
  <c r="K89" i="21412"/>
  <c r="K224" i="21412"/>
  <c r="K187" i="21412"/>
  <c r="K19" i="21412"/>
  <c r="K69" i="21402"/>
  <c r="M89" i="21408"/>
  <c r="M92" i="21408"/>
  <c r="M83" i="21408"/>
  <c r="M4" i="21408"/>
  <c r="M19" i="21408"/>
  <c r="M26" i="21408"/>
  <c r="M148" i="21408"/>
  <c r="M131" i="21408"/>
  <c r="M102" i="21408"/>
  <c r="M119" i="21408"/>
  <c r="M122" i="21408"/>
  <c r="M5" i="21408"/>
  <c r="M263" i="21408"/>
  <c r="M188" i="21408"/>
  <c r="M218" i="21408"/>
  <c r="M223" i="21408"/>
  <c r="K172" i="21412"/>
  <c r="K262" i="21412"/>
  <c r="K255" i="21412"/>
  <c r="K60" i="21412"/>
  <c r="K149" i="21412"/>
  <c r="K177" i="21412"/>
  <c r="K23" i="21412"/>
  <c r="K142" i="21412"/>
  <c r="K223" i="21412"/>
  <c r="K316" i="21412"/>
  <c r="K206" i="21412"/>
  <c r="K107" i="21412"/>
  <c r="K56" i="21412"/>
  <c r="K160" i="21412"/>
  <c r="K169" i="21412"/>
  <c r="M127" i="21408"/>
  <c r="K126" i="21412"/>
  <c r="K238" i="21412"/>
  <c r="K217" i="21412"/>
  <c r="K30" i="21412"/>
  <c r="M296" i="21408"/>
  <c r="M75" i="21408"/>
  <c r="K57" i="21402"/>
  <c r="M152" i="21408"/>
  <c r="K210" i="21412"/>
  <c r="K231" i="21412"/>
  <c r="K128" i="21412"/>
  <c r="K249" i="21412"/>
  <c r="K73" i="21412"/>
  <c r="K70" i="21402"/>
  <c r="M133" i="21408"/>
  <c r="M117" i="21408"/>
  <c r="M219" i="21408"/>
  <c r="K171" i="21412"/>
  <c r="K267" i="21412"/>
  <c r="K85" i="21412"/>
  <c r="K118" i="21412"/>
  <c r="K154" i="21412"/>
  <c r="M191" i="21408"/>
  <c r="M264" i="21408"/>
  <c r="M236" i="21408"/>
  <c r="K26" i="21402"/>
  <c r="M363" i="21408"/>
  <c r="K6" i="21402"/>
  <c r="M28" i="21408"/>
  <c r="K178" i="21412"/>
  <c r="K211" i="21412"/>
  <c r="K132" i="21412"/>
  <c r="K283" i="21412"/>
  <c r="K55" i="21412"/>
  <c r="K67" i="21402"/>
  <c r="M121" i="21408"/>
  <c r="K18" i="21402"/>
  <c r="K22" i="21402"/>
  <c r="M69" i="21408"/>
  <c r="K320" i="21412"/>
  <c r="K312" i="21412"/>
  <c r="K112" i="21412"/>
  <c r="K29" i="21412"/>
  <c r="K196" i="21412"/>
  <c r="M215" i="21408"/>
  <c r="M216" i="21408" s="1"/>
  <c r="M74" i="21408"/>
  <c r="M239" i="21408"/>
  <c r="M243" i="21408"/>
  <c r="K275" i="21412"/>
  <c r="M142" i="21408"/>
  <c r="M146" i="21408"/>
  <c r="M124" i="21408"/>
  <c r="K8" i="21412"/>
  <c r="K37" i="21412"/>
  <c r="K204" i="21412"/>
  <c r="K205" i="21412"/>
  <c r="K14" i="21412"/>
  <c r="M112" i="21408"/>
  <c r="K68" i="21402"/>
  <c r="M155" i="21408"/>
  <c r="M87" i="21408"/>
  <c r="M240" i="21408"/>
  <c r="K97" i="21412"/>
  <c r="K28" i="21412"/>
  <c r="K183" i="21412"/>
  <c r="K278" i="21412"/>
  <c r="K281" i="21412"/>
  <c r="M197" i="21408"/>
  <c r="M213" i="21408"/>
  <c r="M214" i="21408" s="1"/>
  <c r="K37" i="21402"/>
  <c r="M18" i="21408"/>
  <c r="K4" i="21402"/>
  <c r="K9" i="21402"/>
  <c r="M72" i="21408"/>
  <c r="K297" i="21412"/>
  <c r="K202" i="21412"/>
  <c r="K163" i="21412"/>
  <c r="K134" i="21412"/>
  <c r="M318" i="21408"/>
  <c r="M29" i="21408"/>
  <c r="AY106" i="21398"/>
  <c r="BA106" i="21398" s="1"/>
  <c r="M106" i="21398"/>
  <c r="AX108" i="21398"/>
  <c r="AZ108" i="21398" s="1"/>
  <c r="BB108" i="21398" s="1"/>
  <c r="AW108" i="21398"/>
  <c r="C110" i="21398"/>
  <c r="BC104" i="21398"/>
  <c r="J85" i="2"/>
  <c r="C88" i="2"/>
  <c r="BA84" i="2"/>
  <c r="M262" i="21408" l="1"/>
  <c r="M295" i="21408"/>
  <c r="M297" i="21408"/>
  <c r="M298" i="21408" s="1"/>
  <c r="M201" i="21408"/>
  <c r="M202" i="21408" s="1"/>
  <c r="C128" i="21400"/>
  <c r="J126" i="21400"/>
  <c r="M108" i="21398"/>
  <c r="AY108" i="21398"/>
  <c r="BA108" i="21398" s="1"/>
  <c r="BC106" i="21398"/>
  <c r="AX109" i="21398"/>
  <c r="AW109" i="21398"/>
  <c r="BA86" i="2"/>
  <c r="BC86" i="2"/>
  <c r="J89" i="2"/>
  <c r="J87" i="2"/>
  <c r="C90" i="2"/>
  <c r="AZ109" i="21398" l="1"/>
  <c r="BB109" i="21398" s="1"/>
  <c r="BB85" i="2"/>
  <c r="C130" i="21400"/>
  <c r="J129" i="21400"/>
  <c r="J127" i="21400"/>
  <c r="C120" i="21398"/>
  <c r="C122" i="21398" s="1"/>
  <c r="BC108" i="21398"/>
  <c r="BB89" i="2"/>
  <c r="BA88" i="2"/>
  <c r="BC88" i="2"/>
  <c r="C92" i="2"/>
  <c r="BB87" i="2" l="1"/>
  <c r="C132" i="21400"/>
  <c r="C134" i="21400" s="1"/>
  <c r="C136" i="21400" s="1"/>
  <c r="C138" i="21400" s="1"/>
  <c r="C140" i="21400" s="1"/>
  <c r="C142" i="21400" s="1"/>
  <c r="C144" i="21400" s="1"/>
  <c r="C146" i="21400" s="1"/>
  <c r="J130" i="21400"/>
  <c r="AX122" i="21398"/>
  <c r="AW122" i="21398"/>
  <c r="C124" i="21398"/>
  <c r="BA90" i="2"/>
  <c r="BC90" i="2"/>
  <c r="C94" i="2"/>
  <c r="BB91" i="2" l="1"/>
  <c r="C148" i="21400"/>
  <c r="J147" i="21400"/>
  <c r="M122" i="21398"/>
  <c r="BC122" i="21398" s="1"/>
  <c r="AY122" i="21398"/>
  <c r="BA122" i="21398" s="1"/>
  <c r="AX124" i="21398"/>
  <c r="AW124" i="21398"/>
  <c r="C126" i="21398"/>
  <c r="BA92" i="2"/>
  <c r="BC92" i="2"/>
  <c r="C96" i="2"/>
  <c r="C150" i="21400" l="1"/>
  <c r="C157" i="21400"/>
  <c r="M124" i="21398"/>
  <c r="BC124" i="21398" s="1"/>
  <c r="AY124" i="21398"/>
  <c r="BA124" i="21398" s="1"/>
  <c r="AX126" i="21398"/>
  <c r="AW126" i="21398"/>
  <c r="J125" i="21398"/>
  <c r="C128" i="21398"/>
  <c r="BA94" i="2"/>
  <c r="BC94" i="2"/>
  <c r="C98" i="2"/>
  <c r="C152" i="21400" l="1"/>
  <c r="C161" i="21400" s="1"/>
  <c r="C159" i="21400"/>
  <c r="M126" i="21398"/>
  <c r="BC126" i="21398" s="1"/>
  <c r="AY126" i="21398"/>
  <c r="BA126" i="21398" s="1"/>
  <c r="AX128" i="21398"/>
  <c r="AW128" i="21398"/>
  <c r="C130" i="21398"/>
  <c r="AX125" i="21398"/>
  <c r="AW125" i="21398"/>
  <c r="BA96" i="2"/>
  <c r="BC96" i="2"/>
  <c r="C100" i="2"/>
  <c r="AZ125" i="21398" l="1"/>
  <c r="BB125" i="21398" s="1"/>
  <c r="M128" i="21398"/>
  <c r="BC128" i="21398" s="1"/>
  <c r="AY128" i="21398"/>
  <c r="BA128" i="21398" s="1"/>
  <c r="AX130" i="21398"/>
  <c r="AW130" i="21398"/>
  <c r="C132" i="21398"/>
  <c r="BA98" i="2"/>
  <c r="BC98" i="2"/>
  <c r="C102" i="2"/>
  <c r="AY130" i="21398" l="1"/>
  <c r="BA130" i="21398" s="1"/>
  <c r="M130" i="21398"/>
  <c r="BC130" i="21398" s="1"/>
  <c r="AX132" i="21398"/>
  <c r="AW132" i="21398"/>
  <c r="C134" i="21398"/>
  <c r="BA100" i="2"/>
  <c r="BC100" i="2"/>
  <c r="J101" i="2"/>
  <c r="C104" i="2"/>
  <c r="M132" i="21398" l="1"/>
  <c r="BC132" i="21398" s="1"/>
  <c r="AY132" i="21398"/>
  <c r="BA132" i="21398" s="1"/>
  <c r="BA134" i="21398"/>
  <c r="C136" i="21398"/>
  <c r="BA102" i="2"/>
  <c r="BC102" i="2"/>
  <c r="BB101" i="2"/>
  <c r="C106" i="2"/>
  <c r="BC104" i="2" l="1"/>
  <c r="BA104" i="2"/>
  <c r="BA136" i="21398"/>
  <c r="C138" i="21398"/>
  <c r="AW106" i="2"/>
  <c r="AX106" i="2"/>
  <c r="C108" i="2"/>
  <c r="AX138" i="21398" l="1"/>
  <c r="BA138" i="21398" s="1"/>
  <c r="AW138" i="21398"/>
  <c r="C140" i="21398"/>
  <c r="AY106" i="2"/>
  <c r="BA106" i="2" s="1"/>
  <c r="M106" i="2"/>
  <c r="BC106" i="2" s="1"/>
  <c r="AW108" i="2"/>
  <c r="AX108" i="2"/>
  <c r="C110" i="2"/>
  <c r="AX140" i="21398" l="1"/>
  <c r="BA140" i="21398" s="1"/>
  <c r="AW140" i="21398"/>
  <c r="C142" i="21398"/>
  <c r="C144" i="21398" s="1"/>
  <c r="C146" i="21398" s="1"/>
  <c r="AX109" i="2"/>
  <c r="AZ109" i="2" s="1"/>
  <c r="BB109" i="2" s="1"/>
  <c r="AW109" i="2"/>
  <c r="AY108" i="2"/>
  <c r="BA108" i="2" s="1"/>
  <c r="M108" i="2"/>
  <c r="BC108" i="2" s="1"/>
  <c r="AX146" i="21398" l="1"/>
  <c r="AW146" i="21398"/>
  <c r="J145" i="21398"/>
  <c r="C148" i="21398"/>
  <c r="J146" i="21398"/>
  <c r="C150" i="21398" l="1"/>
  <c r="AX145" i="21398"/>
  <c r="AW145" i="21398"/>
  <c r="AZ146" i="21398"/>
  <c r="BB146" i="21398" s="1"/>
  <c r="M146" i="21398"/>
  <c r="BC146" i="21398" s="1"/>
  <c r="AY146" i="21398"/>
  <c r="BA146" i="21398" s="1"/>
  <c r="C120" i="2"/>
  <c r="AZ145" i="21398" l="1"/>
  <c r="BB145" i="21398" s="1"/>
  <c r="C154" i="21400"/>
  <c r="AX150" i="21398"/>
  <c r="AW150" i="21398"/>
  <c r="C152" i="21398"/>
  <c r="J151" i="21398"/>
  <c r="BC148" i="21398"/>
  <c r="AY148" i="21398"/>
  <c r="BA118" i="2"/>
  <c r="C122" i="2"/>
  <c r="C154" i="21398" l="1"/>
  <c r="M150" i="21398"/>
  <c r="BC150" i="21398" s="1"/>
  <c r="AY150" i="21398"/>
  <c r="BA150" i="21398" s="1"/>
  <c r="AX151" i="21398"/>
  <c r="AZ151" i="21398" s="1"/>
  <c r="BB151" i="21398" s="1"/>
  <c r="AW151" i="21398"/>
  <c r="J155" i="21400"/>
  <c r="L58" i="21408" s="1"/>
  <c r="L274" i="21408"/>
  <c r="J54" i="21402"/>
  <c r="J33" i="21402"/>
  <c r="J8" i="21402"/>
  <c r="L125" i="21408"/>
  <c r="L148" i="21408"/>
  <c r="L21" i="21408"/>
  <c r="L5" i="21408"/>
  <c r="L78" i="21408"/>
  <c r="L246" i="21408"/>
  <c r="L215" i="21408"/>
  <c r="L216" i="21408" s="1"/>
  <c r="L169" i="21408"/>
  <c r="L103" i="21408"/>
  <c r="L248" i="21408"/>
  <c r="L235" i="21408"/>
  <c r="L209" i="21408"/>
  <c r="L205" i="21408"/>
  <c r="L366" i="21408"/>
  <c r="L277" i="21408"/>
  <c r="L227" i="21408"/>
  <c r="L165" i="21408"/>
  <c r="L81" i="21408"/>
  <c r="J57" i="21402"/>
  <c r="J36" i="21402"/>
  <c r="J15" i="21402"/>
  <c r="L118" i="21408"/>
  <c r="L76" i="21408"/>
  <c r="L24" i="21408"/>
  <c r="L8" i="21408"/>
  <c r="L96" i="21408"/>
  <c r="L249" i="21408"/>
  <c r="L223" i="21408"/>
  <c r="L175" i="21408"/>
  <c r="L113" i="21408"/>
  <c r="L15" i="21408"/>
  <c r="L156" i="21408"/>
  <c r="L252" i="21408"/>
  <c r="L161" i="21408"/>
  <c r="L198" i="21408"/>
  <c r="L323" i="21408"/>
  <c r="L200" i="21408"/>
  <c r="L317" i="21408"/>
  <c r="L358" i="21408"/>
  <c r="L268" i="21408"/>
  <c r="L192" i="21408"/>
  <c r="L115" i="21408"/>
  <c r="J69" i="21402"/>
  <c r="J43" i="21402"/>
  <c r="J22" i="21402"/>
  <c r="L321" i="21408"/>
  <c r="L104" i="21408"/>
  <c r="L31" i="21408"/>
  <c r="L27" i="21408"/>
  <c r="L236" i="21408"/>
  <c r="L199" i="21408"/>
  <c r="L79" i="21408"/>
  <c r="L218" i="21408"/>
  <c r="AX122" i="2"/>
  <c r="AW122" i="2"/>
  <c r="BA120" i="2"/>
  <c r="C124" i="2"/>
  <c r="L69" i="21408" l="1"/>
  <c r="L365" i="21408"/>
  <c r="L239" i="21408"/>
  <c r="L153" i="21408"/>
  <c r="L220" i="21408"/>
  <c r="L143" i="21408"/>
  <c r="L224" i="21408"/>
  <c r="L204" i="21408"/>
  <c r="L114" i="21408"/>
  <c r="L40" i="21408"/>
  <c r="L34" i="21408"/>
  <c r="L53" i="21408"/>
  <c r="L43" i="21408"/>
  <c r="L109" i="21408"/>
  <c r="L140" i="21408"/>
  <c r="J5" i="21402"/>
  <c r="J26" i="21402"/>
  <c r="J52" i="21402"/>
  <c r="L141" i="21408"/>
  <c r="L149" i="21408"/>
  <c r="L217" i="21408"/>
  <c r="L272" i="21408"/>
  <c r="L363" i="21408"/>
  <c r="L305" i="21408"/>
  <c r="L372" i="21408"/>
  <c r="L75" i="21408"/>
  <c r="L146" i="21408"/>
  <c r="L191" i="21408"/>
  <c r="L319" i="21408"/>
  <c r="L3" i="21408"/>
  <c r="L68" i="21408"/>
  <c r="L129" i="21408"/>
  <c r="L187" i="21408"/>
  <c r="L237" i="21408"/>
  <c r="L256" i="21408"/>
  <c r="L130" i="21408"/>
  <c r="L12" i="21408"/>
  <c r="L28" i="21408"/>
  <c r="L90" i="21408"/>
  <c r="L159" i="21408"/>
  <c r="J19" i="21402"/>
  <c r="J40" i="21402"/>
  <c r="J61" i="21402"/>
  <c r="L102" i="21408"/>
  <c r="L183" i="21408"/>
  <c r="L264" i="21408"/>
  <c r="L304" i="21408"/>
  <c r="L311" i="21408"/>
  <c r="L309" i="21408" s="1"/>
  <c r="L203" i="21408"/>
  <c r="L233" i="21408"/>
  <c r="L126" i="21408"/>
  <c r="L147" i="21408"/>
  <c r="L116" i="21408"/>
  <c r="L182" i="21408"/>
  <c r="L234" i="21408"/>
  <c r="L250" i="21408"/>
  <c r="L105" i="21408"/>
  <c r="L9" i="21408"/>
  <c r="L25" i="21408"/>
  <c r="L80" i="21408"/>
  <c r="L135" i="21408"/>
  <c r="J16" i="21402"/>
  <c r="J37" i="21402"/>
  <c r="J58" i="21402"/>
  <c r="L85" i="21408"/>
  <c r="L170" i="21408"/>
  <c r="L228" i="21408"/>
  <c r="L278" i="21408"/>
  <c r="L257" i="21408"/>
  <c r="L207" i="21408"/>
  <c r="L373" i="21408"/>
  <c r="L142" i="21408"/>
  <c r="L243" i="21408"/>
  <c r="L136" i="21408"/>
  <c r="L30" i="21408"/>
  <c r="J4" i="21402"/>
  <c r="L168" i="21408"/>
  <c r="L42" i="21408"/>
  <c r="L59" i="21408"/>
  <c r="L54" i="21408"/>
  <c r="L60" i="21408"/>
  <c r="L47" i="21408"/>
  <c r="L56" i="21408"/>
  <c r="L206" i="21408"/>
  <c r="AW155" i="21400"/>
  <c r="AX155" i="21400"/>
  <c r="L18" i="21408"/>
  <c r="L49" i="21408"/>
  <c r="L46" i="21408"/>
  <c r="L55" i="21408"/>
  <c r="L88" i="21408"/>
  <c r="L19" i="21408"/>
  <c r="L119" i="21408"/>
  <c r="L117" i="21408"/>
  <c r="L173" i="21408"/>
  <c r="L23" i="21408"/>
  <c r="L74" i="21408"/>
  <c r="L134" i="21408"/>
  <c r="J10" i="21402"/>
  <c r="J35" i="21402"/>
  <c r="J56" i="21402"/>
  <c r="L77" i="21408"/>
  <c r="L162" i="21408"/>
  <c r="L226" i="21408"/>
  <c r="L276" i="21408"/>
  <c r="L231" i="21408"/>
  <c r="L320" i="21408"/>
  <c r="L230" i="21408"/>
  <c r="L120" i="21408"/>
  <c r="L92" i="21408"/>
  <c r="L219" i="21408"/>
  <c r="L91" i="21408"/>
  <c r="L7" i="21408"/>
  <c r="L82" i="21408"/>
  <c r="L151" i="21408"/>
  <c r="L194" i="21408"/>
  <c r="L241" i="21408"/>
  <c r="L280" i="21408"/>
  <c r="L160" i="21408"/>
  <c r="L16" i="21408"/>
  <c r="L32" i="21408"/>
  <c r="L108" i="21408"/>
  <c r="L322" i="21408"/>
  <c r="J23" i="21402"/>
  <c r="J49" i="21402"/>
  <c r="J70" i="21402"/>
  <c r="L122" i="21408"/>
  <c r="L195" i="21408"/>
  <c r="L269" i="21408"/>
  <c r="L359" i="21408"/>
  <c r="L313" i="21408"/>
  <c r="L179" i="21408"/>
  <c r="L208" i="21408"/>
  <c r="L185" i="21408"/>
  <c r="L71" i="21408"/>
  <c r="L133" i="21408"/>
  <c r="L188" i="21408"/>
  <c r="L238" i="21408"/>
  <c r="L258" i="21408"/>
  <c r="L150" i="21408"/>
  <c r="L13" i="21408"/>
  <c r="L29" i="21408"/>
  <c r="L93" i="21408"/>
  <c r="L163" i="21408"/>
  <c r="J20" i="21402"/>
  <c r="J41" i="21402"/>
  <c r="J67" i="21402"/>
  <c r="L107" i="21408"/>
  <c r="L186" i="21408"/>
  <c r="L265" i="21408"/>
  <c r="L306" i="21408"/>
  <c r="L314" i="21408"/>
  <c r="L178" i="21408"/>
  <c r="L180" i="21408"/>
  <c r="L106" i="21408"/>
  <c r="L247" i="21408"/>
  <c r="L172" i="21408"/>
  <c r="L137" i="21408"/>
  <c r="G137" i="21408" s="1"/>
  <c r="L45" i="21408"/>
  <c r="L36" i="21408"/>
  <c r="L57" i="21408"/>
  <c r="L48" i="21408"/>
  <c r="L50" i="21408"/>
  <c r="L41" i="21408"/>
  <c r="L51" i="21408"/>
  <c r="L35" i="21408"/>
  <c r="L87" i="21408"/>
  <c r="L155" i="21408"/>
  <c r="J18" i="21402"/>
  <c r="J39" i="21402"/>
  <c r="J60" i="21402"/>
  <c r="L94" i="21408"/>
  <c r="L181" i="21408"/>
  <c r="L263" i="21408"/>
  <c r="L296" i="21408"/>
  <c r="L295" i="21408" s="1"/>
  <c r="L315" i="21408"/>
  <c r="L176" i="21408"/>
  <c r="L260" i="21408"/>
  <c r="L171" i="21408"/>
  <c r="L124" i="21408"/>
  <c r="L240" i="21408"/>
  <c r="L121" i="21408"/>
  <c r="L11" i="21408"/>
  <c r="L95" i="21408"/>
  <c r="L164" i="21408"/>
  <c r="L213" i="21408"/>
  <c r="L214" i="21408" s="1"/>
  <c r="L245" i="21408"/>
  <c r="L73" i="21408"/>
  <c r="L4" i="21408"/>
  <c r="L20" i="21408"/>
  <c r="L144" i="21408"/>
  <c r="L123" i="21408"/>
  <c r="J6" i="21402"/>
  <c r="J32" i="21402"/>
  <c r="J53" i="21402"/>
  <c r="L145" i="21408"/>
  <c r="L127" i="21408"/>
  <c r="L222" i="21408"/>
  <c r="L273" i="21408"/>
  <c r="L364" i="21408"/>
  <c r="L261" i="21408"/>
  <c r="L374" i="21408"/>
  <c r="L369" i="21408" s="1"/>
  <c r="L184" i="21408"/>
  <c r="L244" i="21408"/>
  <c r="L86" i="21408"/>
  <c r="L154" i="21408"/>
  <c r="L196" i="21408"/>
  <c r="L242" i="21408"/>
  <c r="L281" i="21408"/>
  <c r="L167" i="21408"/>
  <c r="L17" i="21408"/>
  <c r="L63" i="21408"/>
  <c r="L111" i="21408"/>
  <c r="J3" i="21402"/>
  <c r="J24" i="21402"/>
  <c r="J50" i="21402"/>
  <c r="J71" i="21402"/>
  <c r="L128" i="21408"/>
  <c r="L197" i="21408"/>
  <c r="L270" i="21408"/>
  <c r="L360" i="21408"/>
  <c r="L316" i="21408"/>
  <c r="L221" i="21408"/>
  <c r="L210" i="21408"/>
  <c r="L158" i="21408"/>
  <c r="L318" i="21408"/>
  <c r="L14" i="21408"/>
  <c r="L97" i="21408"/>
  <c r="L39" i="21408"/>
  <c r="L62" i="21408"/>
  <c r="L38" i="21408"/>
  <c r="L33" i="21408"/>
  <c r="L52" i="21408"/>
  <c r="L44" i="21408"/>
  <c r="L37" i="21408"/>
  <c r="L61" i="21408"/>
  <c r="J25" i="21402"/>
  <c r="J51" i="21402"/>
  <c r="J72" i="21402"/>
  <c r="L132" i="21408"/>
  <c r="L212" i="21408"/>
  <c r="L271" i="21408"/>
  <c r="L362" i="21408"/>
  <c r="L211" i="21408"/>
  <c r="L232" i="21408"/>
  <c r="L299" i="21408"/>
  <c r="L84" i="21408"/>
  <c r="L6" i="21408"/>
  <c r="L22" i="21408"/>
  <c r="L70" i="21408"/>
  <c r="L131" i="21408"/>
  <c r="J9" i="21402"/>
  <c r="J34" i="21402"/>
  <c r="J55" i="21402"/>
  <c r="L72" i="21408"/>
  <c r="L157" i="21408"/>
  <c r="L225" i="21408"/>
  <c r="L275" i="21408"/>
  <c r="L367" i="21408"/>
  <c r="L324" i="21408"/>
  <c r="AX154" i="21398"/>
  <c r="AW154" i="21398"/>
  <c r="J153" i="21398"/>
  <c r="C156" i="21398"/>
  <c r="L190" i="21408"/>
  <c r="L251" i="21408"/>
  <c r="L110" i="21408"/>
  <c r="L10" i="21408"/>
  <c r="L26" i="21408"/>
  <c r="L83" i="21408"/>
  <c r="L152" i="21408"/>
  <c r="J17" i="21402"/>
  <c r="J38" i="21402"/>
  <c r="J59" i="21402"/>
  <c r="L89" i="21408"/>
  <c r="L174" i="21408"/>
  <c r="L229" i="21408"/>
  <c r="L279" i="21408"/>
  <c r="L361" i="21408"/>
  <c r="L300" i="21408"/>
  <c r="L177" i="21408"/>
  <c r="L166" i="21408"/>
  <c r="J21" i="21402"/>
  <c r="J42" i="21402"/>
  <c r="J68" i="21402"/>
  <c r="L112" i="21408"/>
  <c r="L189" i="21408"/>
  <c r="L266" i="21408"/>
  <c r="L307" i="21408"/>
  <c r="L312" i="21408"/>
  <c r="L193" i="21408"/>
  <c r="L310" i="21408"/>
  <c r="L308" i="21408" s="1"/>
  <c r="BC152" i="21398"/>
  <c r="AY152" i="21398"/>
  <c r="BA152" i="21398" s="1"/>
  <c r="AX124" i="2"/>
  <c r="AW124" i="2"/>
  <c r="AY122" i="2"/>
  <c r="BA122" i="2" s="1"/>
  <c r="M122" i="2"/>
  <c r="BC122" i="2" s="1"/>
  <c r="C126" i="2"/>
  <c r="BB121" i="2"/>
  <c r="AZ155" i="21400" l="1"/>
  <c r="BB155" i="21400" s="1"/>
  <c r="L297" i="21408"/>
  <c r="L298" i="21408" s="1"/>
  <c r="L262" i="21408"/>
  <c r="L201" i="21408"/>
  <c r="L202" i="21408" s="1"/>
  <c r="AX153" i="21398"/>
  <c r="AZ153" i="21398" s="1"/>
  <c r="BB153" i="21398" s="1"/>
  <c r="AW153" i="21398"/>
  <c r="J341" i="21412"/>
  <c r="J343" i="21412"/>
  <c r="J340" i="21412"/>
  <c r="J339" i="21412"/>
  <c r="J342" i="21412"/>
  <c r="J338" i="21412"/>
  <c r="M154" i="21398"/>
  <c r="BC154" i="21398" s="1"/>
  <c r="AY154" i="21398"/>
  <c r="BA154" i="21398" s="1"/>
  <c r="J157" i="21398"/>
  <c r="AX156" i="21398"/>
  <c r="AW156" i="21398"/>
  <c r="C158" i="21398"/>
  <c r="AX126" i="2"/>
  <c r="AW126" i="2"/>
  <c r="AY124" i="2"/>
  <c r="BA124" i="2" s="1"/>
  <c r="M124" i="2"/>
  <c r="BC124" i="2" s="1"/>
  <c r="J125" i="2"/>
  <c r="C128" i="2"/>
  <c r="M156" i="21398" l="1"/>
  <c r="BC156" i="21398" s="1"/>
  <c r="AY156" i="21398"/>
  <c r="BA156" i="21398" s="1"/>
  <c r="AX157" i="21398"/>
  <c r="AW157" i="21398"/>
  <c r="AX158" i="21398"/>
  <c r="AW158" i="21398"/>
  <c r="C160" i="21398"/>
  <c r="AW125" i="2"/>
  <c r="AX125" i="2"/>
  <c r="AY126" i="2"/>
  <c r="BA126" i="2" s="1"/>
  <c r="M126" i="2"/>
  <c r="BC126" i="2" s="1"/>
  <c r="AX128" i="2"/>
  <c r="AW128" i="2"/>
  <c r="C130" i="2"/>
  <c r="AZ157" i="21398" l="1"/>
  <c r="BB157" i="21398" s="1"/>
  <c r="AZ125" i="2"/>
  <c r="BB125" i="2" s="1"/>
  <c r="AX160" i="21398"/>
  <c r="AW160" i="21398"/>
  <c r="C162" i="21398"/>
  <c r="M158" i="21398"/>
  <c r="BC158" i="21398" s="1"/>
  <c r="AY158" i="21398"/>
  <c r="BA158" i="21398" s="1"/>
  <c r="AX130" i="2"/>
  <c r="AW130" i="2"/>
  <c r="AY128" i="2"/>
  <c r="BA128" i="2" s="1"/>
  <c r="M128" i="2"/>
  <c r="BC128" i="2" s="1"/>
  <c r="J131" i="2"/>
  <c r="C132" i="2"/>
  <c r="AX162" i="21398" l="1"/>
  <c r="AW162" i="21398"/>
  <c r="C164" i="21398"/>
  <c r="M160" i="21398"/>
  <c r="BC160" i="21398" s="1"/>
  <c r="AY160" i="21398"/>
  <c r="BA160" i="21398" s="1"/>
  <c r="M130" i="2"/>
  <c r="BC130" i="2" s="1"/>
  <c r="AY130" i="2"/>
  <c r="BA130" i="2" s="1"/>
  <c r="AX132" i="2"/>
  <c r="AW132" i="2"/>
  <c r="AW131" i="2"/>
  <c r="AX131" i="2"/>
  <c r="AZ131" i="2" s="1"/>
  <c r="BB131" i="2" s="1"/>
  <c r="J133" i="2"/>
  <c r="C134" i="2"/>
  <c r="J165" i="21398" l="1"/>
  <c r="AX164" i="21398"/>
  <c r="AW164" i="21398"/>
  <c r="C166" i="21398"/>
  <c r="M162" i="21398"/>
  <c r="BC162" i="21398" s="1"/>
  <c r="AY162" i="21398"/>
  <c r="BA162" i="21398" s="1"/>
  <c r="AW133" i="2"/>
  <c r="AX133" i="2"/>
  <c r="M132" i="2"/>
  <c r="BC132" i="2" s="1"/>
  <c r="AY132" i="2"/>
  <c r="BA132" i="2" s="1"/>
  <c r="C136" i="2"/>
  <c r="AZ133" i="2" l="1"/>
  <c r="BB133" i="2" s="1"/>
  <c r="AX166" i="21398"/>
  <c r="AW166" i="21398"/>
  <c r="C168" i="21398"/>
  <c r="M164" i="21398"/>
  <c r="BC164" i="21398" s="1"/>
  <c r="AY164" i="21398"/>
  <c r="BA164" i="21398" s="1"/>
  <c r="AX165" i="21398"/>
  <c r="AW165" i="21398"/>
  <c r="BA134" i="2"/>
  <c r="C138" i="2"/>
  <c r="AZ165" i="21398" l="1"/>
  <c r="BB165" i="21398" s="1"/>
  <c r="AX168" i="21398"/>
  <c r="AW168" i="21398"/>
  <c r="C170" i="21398"/>
  <c r="M166" i="21398"/>
  <c r="BC166" i="21398" s="1"/>
  <c r="AY166" i="21398"/>
  <c r="BA166" i="21398" s="1"/>
  <c r="BA136" i="2"/>
  <c r="C140" i="2"/>
  <c r="AX170" i="21398" l="1"/>
  <c r="AW170" i="21398"/>
  <c r="C172" i="21398"/>
  <c r="M168" i="21398"/>
  <c r="BC168" i="21398" s="1"/>
  <c r="AY168" i="21398"/>
  <c r="BA168" i="21398" s="1"/>
  <c r="BA138" i="2"/>
  <c r="C142" i="2"/>
  <c r="AX172" i="21398" l="1"/>
  <c r="AW172" i="21398"/>
  <c r="C174" i="21398"/>
  <c r="M170" i="21398"/>
  <c r="BC170" i="21398" s="1"/>
  <c r="AY170" i="21398"/>
  <c r="BA170" i="21398" s="1"/>
  <c r="BA140" i="2"/>
  <c r="C146" i="2"/>
  <c r="C144" i="2"/>
  <c r="AX174" i="21398" l="1"/>
  <c r="AW174" i="21398"/>
  <c r="C176" i="21398"/>
  <c r="M172" i="21398"/>
  <c r="BC172" i="21398" s="1"/>
  <c r="AY172" i="21398"/>
  <c r="BA172" i="21398" s="1"/>
  <c r="BA142" i="2"/>
  <c r="AX144" i="2"/>
  <c r="AX146" i="2"/>
  <c r="AW146" i="2"/>
  <c r="C148" i="2"/>
  <c r="C150" i="2"/>
  <c r="J175" i="21398" l="1"/>
  <c r="AX176" i="21398"/>
  <c r="AW176" i="21398"/>
  <c r="C178" i="21398"/>
  <c r="M174" i="21398"/>
  <c r="BC174" i="21398" s="1"/>
  <c r="AY174" i="21398"/>
  <c r="BA174" i="21398" s="1"/>
  <c r="AX150" i="2"/>
  <c r="AW150" i="2"/>
  <c r="AX148" i="2"/>
  <c r="AW148" i="2"/>
  <c r="M146" i="2"/>
  <c r="BC146" i="2" s="1"/>
  <c r="AY146" i="2"/>
  <c r="BA146" i="2" s="1"/>
  <c r="C152" i="2"/>
  <c r="M148" i="2" l="1"/>
  <c r="BC148" i="2" s="1"/>
  <c r="AY148" i="2"/>
  <c r="BA148" i="2" s="1"/>
  <c r="AX178" i="21398"/>
  <c r="AW178" i="21398"/>
  <c r="C180" i="21398"/>
  <c r="M176" i="21398"/>
  <c r="BC176" i="21398" s="1"/>
  <c r="AY176" i="21398"/>
  <c r="BA176" i="21398" s="1"/>
  <c r="AX175" i="21398"/>
  <c r="AZ175" i="21398" s="1"/>
  <c r="BB175" i="21398" s="1"/>
  <c r="AW175" i="21398"/>
  <c r="AX152" i="2"/>
  <c r="AW152" i="2"/>
  <c r="M150" i="2"/>
  <c r="BC150" i="2" s="1"/>
  <c r="AY150" i="2"/>
  <c r="BA150" i="2" s="1"/>
  <c r="C154" i="2"/>
  <c r="J181" i="21398" l="1"/>
  <c r="AX180" i="21398"/>
  <c r="AW180" i="21398"/>
  <c r="C182" i="21398"/>
  <c r="M178" i="21398"/>
  <c r="BC178" i="21398" s="1"/>
  <c r="AY178" i="21398"/>
  <c r="BA178" i="21398" s="1"/>
  <c r="AX154" i="2"/>
  <c r="AW154" i="2"/>
  <c r="M152" i="2"/>
  <c r="BC152" i="2" s="1"/>
  <c r="AY152" i="2"/>
  <c r="BA152" i="2" s="1"/>
  <c r="J155" i="2"/>
  <c r="C156" i="2"/>
  <c r="AX182" i="21398" l="1"/>
  <c r="AW182" i="21398"/>
  <c r="C184" i="21398"/>
  <c r="M180" i="21398"/>
  <c r="BC180" i="21398" s="1"/>
  <c r="AY180" i="21398"/>
  <c r="BA180" i="21398" s="1"/>
  <c r="AX181" i="21398"/>
  <c r="AW181" i="21398"/>
  <c r="AX156" i="2"/>
  <c r="AW156" i="2"/>
  <c r="AW155" i="2"/>
  <c r="AX155" i="2"/>
  <c r="AZ155" i="2" s="1"/>
  <c r="BB155" i="2" s="1"/>
  <c r="M154" i="2"/>
  <c r="BC154" i="2" s="1"/>
  <c r="AY154" i="2"/>
  <c r="BA154" i="2" s="1"/>
  <c r="C158" i="2"/>
  <c r="AZ181" i="21398" l="1"/>
  <c r="BB181" i="21398" s="1"/>
  <c r="AX184" i="21398"/>
  <c r="AW184" i="21398"/>
  <c r="C186" i="21398"/>
  <c r="M182" i="21398"/>
  <c r="BC182" i="21398" s="1"/>
  <c r="AY182" i="21398"/>
  <c r="BA182" i="21398" s="1"/>
  <c r="AX158" i="2"/>
  <c r="AW158" i="2"/>
  <c r="AY156" i="2"/>
  <c r="BA156" i="2" s="1"/>
  <c r="M156" i="2"/>
  <c r="BC156" i="2" s="1"/>
  <c r="C160" i="2"/>
  <c r="AX186" i="21398" l="1"/>
  <c r="AW186" i="21398"/>
  <c r="C188" i="21398"/>
  <c r="M184" i="21398"/>
  <c r="BC184" i="21398" s="1"/>
  <c r="AY184" i="21398"/>
  <c r="BA184" i="21398" s="1"/>
  <c r="AX160" i="2"/>
  <c r="AW160" i="2"/>
  <c r="AY158" i="2"/>
  <c r="BA158" i="2" s="1"/>
  <c r="M158" i="2"/>
  <c r="BC158" i="2" s="1"/>
  <c r="J161" i="2"/>
  <c r="J159" i="2"/>
  <c r="C162" i="2"/>
  <c r="AX188" i="21398" l="1"/>
  <c r="AW188" i="21398"/>
  <c r="C190" i="21398"/>
  <c r="M186" i="21398"/>
  <c r="BC186" i="21398" s="1"/>
  <c r="AY186" i="21398"/>
  <c r="BA186" i="21398" s="1"/>
  <c r="AW159" i="2"/>
  <c r="AX159" i="2"/>
  <c r="AX162" i="2"/>
  <c r="AW162" i="2"/>
  <c r="AW161" i="2"/>
  <c r="AX161" i="2"/>
  <c r="AY160" i="2"/>
  <c r="BA160" i="2" s="1"/>
  <c r="M160" i="2"/>
  <c r="BC160" i="2" s="1"/>
  <c r="C164" i="2"/>
  <c r="AZ159" i="2" l="1"/>
  <c r="BB159" i="2" s="1"/>
  <c r="AZ161" i="2"/>
  <c r="BB161" i="2" s="1"/>
  <c r="AX190" i="21398"/>
  <c r="AW190" i="21398"/>
  <c r="C192" i="21398"/>
  <c r="M188" i="21398"/>
  <c r="BC188" i="21398" s="1"/>
  <c r="AY188" i="21398"/>
  <c r="BA188" i="21398" s="1"/>
  <c r="M162" i="2"/>
  <c r="BC162" i="2" s="1"/>
  <c r="AY162" i="2"/>
  <c r="BA162" i="2" s="1"/>
  <c r="AX164" i="2"/>
  <c r="AW164" i="2"/>
  <c r="J165" i="2"/>
  <c r="C166" i="2"/>
  <c r="J191" i="21398" l="1"/>
  <c r="AX192" i="21398"/>
  <c r="AW192" i="21398"/>
  <c r="C194" i="21398"/>
  <c r="M190" i="21398"/>
  <c r="BC190" i="21398" s="1"/>
  <c r="AY190" i="21398"/>
  <c r="BA190" i="21398" s="1"/>
  <c r="M164" i="2"/>
  <c r="BC164" i="2" s="1"/>
  <c r="AY164" i="2"/>
  <c r="BA164" i="2" s="1"/>
  <c r="AX166" i="2"/>
  <c r="AW166" i="2"/>
  <c r="AW165" i="2"/>
  <c r="AX165" i="2"/>
  <c r="AZ165" i="2" s="1"/>
  <c r="BB165" i="2" s="1"/>
  <c r="C168" i="2"/>
  <c r="AX194" i="21398" l="1"/>
  <c r="AW194" i="21398"/>
  <c r="C196" i="21398"/>
  <c r="M192" i="21398"/>
  <c r="BC192" i="21398" s="1"/>
  <c r="AY192" i="21398"/>
  <c r="BA192" i="21398" s="1"/>
  <c r="AX191" i="21398"/>
  <c r="AW191" i="21398"/>
  <c r="AX168" i="2"/>
  <c r="AW168" i="2"/>
  <c r="M166" i="2"/>
  <c r="BC166" i="2" s="1"/>
  <c r="AY166" i="2"/>
  <c r="BA166" i="2" s="1"/>
  <c r="C170" i="2"/>
  <c r="AZ191" i="21398" l="1"/>
  <c r="BB191" i="21398" s="1"/>
  <c r="AX196" i="21398"/>
  <c r="AW196" i="21398"/>
  <c r="C198" i="21398"/>
  <c r="M194" i="21398"/>
  <c r="BC194" i="21398" s="1"/>
  <c r="AY194" i="21398"/>
  <c r="BA194" i="21398" s="1"/>
  <c r="AX170" i="2"/>
  <c r="AW170" i="2"/>
  <c r="M168" i="2"/>
  <c r="BC168" i="2" s="1"/>
  <c r="AY168" i="2"/>
  <c r="BA168" i="2" s="1"/>
  <c r="C172" i="2"/>
  <c r="J199" i="21398" l="1"/>
  <c r="AX198" i="21398"/>
  <c r="AW198" i="21398"/>
  <c r="C200" i="21398"/>
  <c r="M196" i="21398"/>
  <c r="BC196" i="21398" s="1"/>
  <c r="AY196" i="21398"/>
  <c r="BA196" i="21398" s="1"/>
  <c r="AX172" i="2"/>
  <c r="AW172" i="2"/>
  <c r="M170" i="2"/>
  <c r="BC170" i="2" s="1"/>
  <c r="AY170" i="2"/>
  <c r="BA170" i="2" s="1"/>
  <c r="C174" i="2"/>
  <c r="AX200" i="21398" l="1"/>
  <c r="AW200" i="21398"/>
  <c r="C202" i="21398"/>
  <c r="M198" i="21398"/>
  <c r="BC198" i="21398" s="1"/>
  <c r="AY198" i="21398"/>
  <c r="BA198" i="21398" s="1"/>
  <c r="AX199" i="21398"/>
  <c r="AW199" i="21398"/>
  <c r="AX174" i="2"/>
  <c r="AW174" i="2"/>
  <c r="M172" i="2"/>
  <c r="BC172" i="2" s="1"/>
  <c r="AY172" i="2"/>
  <c r="BA172" i="2" s="1"/>
  <c r="C176" i="2"/>
  <c r="AZ199" i="21398" l="1"/>
  <c r="BB199" i="21398" s="1"/>
  <c r="AX202" i="21398"/>
  <c r="AW202" i="21398"/>
  <c r="C204" i="21398"/>
  <c r="M200" i="21398"/>
  <c r="BC200" i="21398" s="1"/>
  <c r="AY200" i="21398"/>
  <c r="BA200" i="21398" s="1"/>
  <c r="AX176" i="2"/>
  <c r="AW176" i="2"/>
  <c r="M174" i="2"/>
  <c r="BC174" i="2" s="1"/>
  <c r="AY174" i="2"/>
  <c r="BA174" i="2" s="1"/>
  <c r="J175" i="2"/>
  <c r="C178" i="2"/>
  <c r="AX204" i="21398" l="1"/>
  <c r="AW204" i="21398"/>
  <c r="C206" i="21398"/>
  <c r="M202" i="21398"/>
  <c r="BC202" i="21398" s="1"/>
  <c r="AY202" i="21398"/>
  <c r="BA202" i="21398" s="1"/>
  <c r="AX178" i="2"/>
  <c r="AW178" i="2"/>
  <c r="AW175" i="2"/>
  <c r="AX175" i="2"/>
  <c r="AY176" i="2"/>
  <c r="BA176" i="2" s="1"/>
  <c r="M176" i="2"/>
  <c r="BC176" i="2" s="1"/>
  <c r="C180" i="2"/>
  <c r="AZ175" i="2" l="1"/>
  <c r="BB175" i="2" s="1"/>
  <c r="AX206" i="21398"/>
  <c r="AW206" i="21398"/>
  <c r="C208" i="21398"/>
  <c r="M204" i="21398"/>
  <c r="BC204" i="21398" s="1"/>
  <c r="AY204" i="21398"/>
  <c r="BA204" i="21398" s="1"/>
  <c r="AX180" i="2"/>
  <c r="AW180" i="2"/>
  <c r="AY178" i="2"/>
  <c r="BA178" i="2" s="1"/>
  <c r="M178" i="2"/>
  <c r="BC178" i="2" s="1"/>
  <c r="C182" i="2"/>
  <c r="J181" i="2"/>
  <c r="J207" i="21398" l="1"/>
  <c r="AX208" i="21398"/>
  <c r="AW208" i="21398"/>
  <c r="C210" i="21398"/>
  <c r="M206" i="21398"/>
  <c r="BC206" i="21398" s="1"/>
  <c r="AY206" i="21398"/>
  <c r="BA206" i="21398" s="1"/>
  <c r="AW181" i="2"/>
  <c r="AX181" i="2"/>
  <c r="AX182" i="2"/>
  <c r="AW182" i="2"/>
  <c r="AY180" i="2"/>
  <c r="BA180" i="2" s="1"/>
  <c r="M180" i="2"/>
  <c r="BC180" i="2" s="1"/>
  <c r="C184" i="2"/>
  <c r="AZ181" i="2" l="1"/>
  <c r="BB181" i="2" s="1"/>
  <c r="AX210" i="21398"/>
  <c r="AW210" i="21398"/>
  <c r="C212" i="21398"/>
  <c r="M208" i="21398"/>
  <c r="BC208" i="21398" s="1"/>
  <c r="AY208" i="21398"/>
  <c r="BA208" i="21398" s="1"/>
  <c r="AX207" i="21398"/>
  <c r="AW207" i="21398"/>
  <c r="AY182" i="2"/>
  <c r="BA182" i="2" s="1"/>
  <c r="M182" i="2"/>
  <c r="BC182" i="2" s="1"/>
  <c r="AX184" i="2"/>
  <c r="AW184" i="2"/>
  <c r="C186" i="2"/>
  <c r="AZ207" i="21398" l="1"/>
  <c r="BB207" i="21398" s="1"/>
  <c r="J213" i="21398"/>
  <c r="AX212" i="21398"/>
  <c r="AW212" i="21398"/>
  <c r="C214" i="21398"/>
  <c r="M210" i="21398"/>
  <c r="BC210" i="21398" s="1"/>
  <c r="AY210" i="21398"/>
  <c r="BA210" i="21398" s="1"/>
  <c r="AY184" i="2"/>
  <c r="BA184" i="2" s="1"/>
  <c r="M184" i="2"/>
  <c r="BC184" i="2" s="1"/>
  <c r="AX186" i="2"/>
  <c r="AW186" i="2"/>
  <c r="C188" i="2"/>
  <c r="AX214" i="21398" l="1"/>
  <c r="AW214" i="21398"/>
  <c r="C216" i="21398"/>
  <c r="M212" i="21398"/>
  <c r="BC212" i="21398" s="1"/>
  <c r="AY212" i="21398"/>
  <c r="BA212" i="21398" s="1"/>
  <c r="AX213" i="21398"/>
  <c r="AW213" i="21398"/>
  <c r="AY186" i="2"/>
  <c r="BA186" i="2" s="1"/>
  <c r="M186" i="2"/>
  <c r="BC186" i="2" s="1"/>
  <c r="AX188" i="2"/>
  <c r="AW188" i="2"/>
  <c r="C190" i="2"/>
  <c r="AZ213" i="21398" l="1"/>
  <c r="BB213" i="21398" s="1"/>
  <c r="AX216" i="21398"/>
  <c r="AW216" i="21398"/>
  <c r="C218" i="21398"/>
  <c r="M214" i="21398"/>
  <c r="BC214" i="21398" s="1"/>
  <c r="AY214" i="21398"/>
  <c r="BA214" i="21398" s="1"/>
  <c r="AY188" i="2"/>
  <c r="BA188" i="2" s="1"/>
  <c r="M188" i="2"/>
  <c r="BC188" i="2" s="1"/>
  <c r="AX190" i="2"/>
  <c r="AW190" i="2"/>
  <c r="C192" i="2"/>
  <c r="AX218" i="21398" l="1"/>
  <c r="AW218" i="21398"/>
  <c r="C220" i="21398"/>
  <c r="M216" i="21398"/>
  <c r="BC216" i="21398" s="1"/>
  <c r="AY216" i="21398"/>
  <c r="BA216" i="21398" s="1"/>
  <c r="AY190" i="2"/>
  <c r="BA190" i="2" s="1"/>
  <c r="M190" i="2"/>
  <c r="BC190" i="2" s="1"/>
  <c r="AX192" i="2"/>
  <c r="AW192" i="2"/>
  <c r="C194" i="2"/>
  <c r="J191" i="2"/>
  <c r="AX220" i="21398" l="1"/>
  <c r="AW220" i="21398"/>
  <c r="C222" i="21398"/>
  <c r="M218" i="21398"/>
  <c r="BC218" i="21398" s="1"/>
  <c r="AY218" i="21398"/>
  <c r="BA218" i="21398" s="1"/>
  <c r="M192" i="2"/>
  <c r="BC192" i="2" s="1"/>
  <c r="AY192" i="2"/>
  <c r="BA192" i="2" s="1"/>
  <c r="AW191" i="2"/>
  <c r="AX191" i="2"/>
  <c r="AX194" i="2"/>
  <c r="AW194" i="2"/>
  <c r="C196" i="2"/>
  <c r="AZ191" i="2" l="1"/>
  <c r="BB191" i="2" s="1"/>
  <c r="C224" i="21398"/>
  <c r="M220" i="21398"/>
  <c r="BC220" i="21398" s="1"/>
  <c r="AY220" i="21398"/>
  <c r="BA220" i="21398" s="1"/>
  <c r="AX196" i="2"/>
  <c r="AW196" i="2"/>
  <c r="M194" i="2"/>
  <c r="BC194" i="2" s="1"/>
  <c r="AY194" i="2"/>
  <c r="BA194" i="2" s="1"/>
  <c r="C198" i="2"/>
  <c r="AY222" i="21398" l="1"/>
  <c r="BA222" i="21398" s="1"/>
  <c r="C226" i="21398"/>
  <c r="AX198" i="2"/>
  <c r="AW198" i="2"/>
  <c r="M196" i="2"/>
  <c r="BC196" i="2" s="1"/>
  <c r="AY196" i="2"/>
  <c r="BA196" i="2" s="1"/>
  <c r="C200" i="2"/>
  <c r="J199" i="2"/>
  <c r="AY224" i="21398" l="1"/>
  <c r="BA224" i="21398" s="1"/>
  <c r="C228" i="21398"/>
  <c r="AW199" i="2"/>
  <c r="AX199" i="2"/>
  <c r="AX200" i="2"/>
  <c r="AW200" i="2"/>
  <c r="M198" i="2"/>
  <c r="BC198" i="2" s="1"/>
  <c r="AY198" i="2"/>
  <c r="BA198" i="2" s="1"/>
  <c r="C202" i="2"/>
  <c r="AY226" i="21398" l="1"/>
  <c r="BA226" i="21398" s="1"/>
  <c r="AZ199" i="2"/>
  <c r="BB199" i="2" s="1"/>
  <c r="C230" i="21398"/>
  <c r="AX202" i="2"/>
  <c r="AW202" i="2"/>
  <c r="M200" i="2"/>
  <c r="BC200" i="2" s="1"/>
  <c r="AY200" i="2"/>
  <c r="BA200" i="2" s="1"/>
  <c r="C204" i="2"/>
  <c r="AY228" i="21398" l="1"/>
  <c r="BA228" i="21398" s="1"/>
  <c r="AX230" i="21398"/>
  <c r="AW230" i="21398"/>
  <c r="C232" i="21398"/>
  <c r="AX204" i="2"/>
  <c r="AW204" i="2"/>
  <c r="M202" i="2"/>
  <c r="BC202" i="2" s="1"/>
  <c r="AY202" i="2"/>
  <c r="BA202" i="2" s="1"/>
  <c r="C206" i="2"/>
  <c r="J233" i="21398" l="1"/>
  <c r="AX232" i="21398"/>
  <c r="AW232" i="21398"/>
  <c r="C234" i="21398"/>
  <c r="M230" i="21398"/>
  <c r="BC230" i="21398" s="1"/>
  <c r="AY230" i="21398"/>
  <c r="BA230" i="21398" s="1"/>
  <c r="AX206" i="2"/>
  <c r="AW206" i="2"/>
  <c r="M204" i="2"/>
  <c r="BC204" i="2" s="1"/>
  <c r="AY204" i="2"/>
  <c r="BA204" i="2" s="1"/>
  <c r="C208" i="2"/>
  <c r="AX234" i="21398" l="1"/>
  <c r="AW234" i="21398"/>
  <c r="C236" i="21398"/>
  <c r="M232" i="21398"/>
  <c r="BC232" i="21398" s="1"/>
  <c r="AY232" i="21398"/>
  <c r="BA232" i="21398" s="1"/>
  <c r="AX233" i="21398"/>
  <c r="AW233" i="21398"/>
  <c r="AX208" i="2"/>
  <c r="AW208" i="2"/>
  <c r="M206" i="2"/>
  <c r="BC206" i="2" s="1"/>
  <c r="AY206" i="2"/>
  <c r="BA206" i="2" s="1"/>
  <c r="C210" i="2"/>
  <c r="J207" i="2"/>
  <c r="AZ208" i="2"/>
  <c r="BB208" i="2" s="1"/>
  <c r="AZ233" i="21398" l="1"/>
  <c r="BB233" i="21398" s="1"/>
  <c r="AX236" i="21398"/>
  <c r="AW236" i="21398"/>
  <c r="C238" i="21398"/>
  <c r="M234" i="21398"/>
  <c r="BC234" i="21398" s="1"/>
  <c r="AY234" i="21398"/>
  <c r="BA234" i="21398" s="1"/>
  <c r="AW207" i="2"/>
  <c r="AX207" i="2"/>
  <c r="AX210" i="2"/>
  <c r="AW210" i="2"/>
  <c r="AY208" i="2"/>
  <c r="BA208" i="2" s="1"/>
  <c r="M208" i="2"/>
  <c r="BC208" i="2" s="1"/>
  <c r="C212" i="2"/>
  <c r="AZ207" i="2" l="1"/>
  <c r="BB207" i="2" s="1"/>
  <c r="AX238" i="21398"/>
  <c r="AW238" i="21398"/>
  <c r="C240" i="21398"/>
  <c r="M236" i="21398"/>
  <c r="BC236" i="21398" s="1"/>
  <c r="AY236" i="21398"/>
  <c r="BA236" i="21398" s="1"/>
  <c r="AY210" i="2"/>
  <c r="BA210" i="2" s="1"/>
  <c r="M210" i="2"/>
  <c r="BC210" i="2" s="1"/>
  <c r="AX212" i="2"/>
  <c r="AW212" i="2"/>
  <c r="C214" i="2"/>
  <c r="J213" i="2"/>
  <c r="AX240" i="21398" l="1"/>
  <c r="AW240" i="21398"/>
  <c r="C242" i="21398"/>
  <c r="J241" i="21398"/>
  <c r="J239" i="21398"/>
  <c r="M238" i="21398"/>
  <c r="BC238" i="21398" s="1"/>
  <c r="AY238" i="21398"/>
  <c r="BA238" i="21398" s="1"/>
  <c r="AX237" i="21398"/>
  <c r="AW237" i="21398"/>
  <c r="AY212" i="2"/>
  <c r="BA212" i="2" s="1"/>
  <c r="M212" i="2"/>
  <c r="BC212" i="2" s="1"/>
  <c r="AW213" i="2"/>
  <c r="AX213" i="2"/>
  <c r="AX214" i="2"/>
  <c r="AW214" i="2"/>
  <c r="C216" i="2"/>
  <c r="AZ237" i="21398" l="1"/>
  <c r="BB237" i="21398" s="1"/>
  <c r="AZ213" i="2"/>
  <c r="BB213" i="2" s="1"/>
  <c r="AX241" i="21398"/>
  <c r="AW241" i="21398"/>
  <c r="AX242" i="21398"/>
  <c r="AW242" i="21398"/>
  <c r="C244" i="21398"/>
  <c r="AX239" i="21398"/>
  <c r="AZ239" i="21398" s="1"/>
  <c r="BB239" i="21398" s="1"/>
  <c r="AW239" i="21398"/>
  <c r="M240" i="21398"/>
  <c r="BC240" i="21398" s="1"/>
  <c r="AY240" i="21398"/>
  <c r="BA240" i="21398" s="1"/>
  <c r="AX216" i="2"/>
  <c r="AW216" i="2"/>
  <c r="M214" i="2"/>
  <c r="BC214" i="2" s="1"/>
  <c r="AY214" i="2"/>
  <c r="BA214" i="2" s="1"/>
  <c r="C218" i="2"/>
  <c r="AZ241" i="21398" l="1"/>
  <c r="BB241" i="21398" s="1"/>
  <c r="M242" i="21398"/>
  <c r="BC242" i="21398" s="1"/>
  <c r="AY242" i="21398"/>
  <c r="BA242" i="21398" s="1"/>
  <c r="AX243" i="21398"/>
  <c r="AW243" i="21398"/>
  <c r="AX244" i="21398"/>
  <c r="AW244" i="21398"/>
  <c r="C246" i="21398"/>
  <c r="AX218" i="2"/>
  <c r="AW218" i="2"/>
  <c r="M216" i="2"/>
  <c r="BC216" i="2" s="1"/>
  <c r="AY216" i="2"/>
  <c r="BA216" i="2" s="1"/>
  <c r="C220" i="2"/>
  <c r="AZ243" i="21398" l="1"/>
  <c r="BB243" i="21398" s="1"/>
  <c r="AX246" i="21398"/>
  <c r="AW246" i="21398"/>
  <c r="C248" i="21398"/>
  <c r="M244" i="21398"/>
  <c r="BC244" i="21398" s="1"/>
  <c r="AY244" i="21398"/>
  <c r="BA244" i="21398" s="1"/>
  <c r="AX220" i="2"/>
  <c r="AW220" i="2"/>
  <c r="M218" i="2"/>
  <c r="BC218" i="2" s="1"/>
  <c r="AY218" i="2"/>
  <c r="BA218" i="2" s="1"/>
  <c r="C222" i="2"/>
  <c r="BB262" i="21398"/>
  <c r="J247" i="21398" l="1"/>
  <c r="AX248" i="21398"/>
  <c r="AW248" i="21398"/>
  <c r="C250" i="21398"/>
  <c r="AY246" i="21398"/>
  <c r="BA246" i="21398" s="1"/>
  <c r="M246" i="21398"/>
  <c r="BC246" i="21398" s="1"/>
  <c r="M220" i="2"/>
  <c r="BC220" i="2" s="1"/>
  <c r="AY220" i="2"/>
  <c r="BA220" i="2" s="1"/>
  <c r="C224" i="2"/>
  <c r="AX250" i="21398" l="1"/>
  <c r="AW250" i="21398"/>
  <c r="C252" i="21398"/>
  <c r="M248" i="21398"/>
  <c r="BC248" i="21398" s="1"/>
  <c r="AY248" i="21398"/>
  <c r="BA248" i="21398" s="1"/>
  <c r="AX247" i="21398"/>
  <c r="AW247" i="21398"/>
  <c r="C226" i="2"/>
  <c r="BB266" i="21398"/>
  <c r="AZ247" i="21398" l="1"/>
  <c r="BB247" i="21398" s="1"/>
  <c r="AX252" i="21398"/>
  <c r="AW252" i="21398"/>
  <c r="C254" i="21398"/>
  <c r="M250" i="21398"/>
  <c r="BC250" i="21398" s="1"/>
  <c r="AY250" i="21398"/>
  <c r="BA250" i="21398" s="1"/>
  <c r="C228" i="2"/>
  <c r="AX254" i="21398" l="1"/>
  <c r="AW254" i="21398"/>
  <c r="C256" i="21398"/>
  <c r="M252" i="21398"/>
  <c r="BC252" i="21398" s="1"/>
  <c r="AY252" i="21398"/>
  <c r="BA252" i="21398" s="1"/>
  <c r="C230" i="2"/>
  <c r="BB270" i="21398"/>
  <c r="AX256" i="21398" l="1"/>
  <c r="AW256" i="21398"/>
  <c r="C258" i="21398"/>
  <c r="M254" i="21398"/>
  <c r="BC254" i="21398" s="1"/>
  <c r="AY254" i="21398"/>
  <c r="BA254" i="21398" s="1"/>
  <c r="AW230" i="2"/>
  <c r="AX230" i="2"/>
  <c r="C232" i="2"/>
  <c r="AX258" i="21398" l="1"/>
  <c r="AW258" i="21398"/>
  <c r="C260" i="21398"/>
  <c r="C262" i="21398" s="1"/>
  <c r="M256" i="21398"/>
  <c r="BC256" i="21398" s="1"/>
  <c r="AY256" i="21398"/>
  <c r="BA256" i="21398" s="1"/>
  <c r="AW232" i="2"/>
  <c r="AX232" i="2"/>
  <c r="M230" i="2"/>
  <c r="BC230" i="2" s="1"/>
  <c r="AY230" i="2"/>
  <c r="BA230" i="2" s="1"/>
  <c r="C234" i="2"/>
  <c r="J233" i="2"/>
  <c r="C264" i="21398" l="1"/>
  <c r="C266" i="21398" s="1"/>
  <c r="C268" i="21398" s="1"/>
  <c r="C270" i="21398" s="1"/>
  <c r="AY258" i="21398"/>
  <c r="BA258" i="21398" s="1"/>
  <c r="M258" i="21398"/>
  <c r="AX233" i="2"/>
  <c r="AW233" i="2"/>
  <c r="M232" i="2"/>
  <c r="BC232" i="2" s="1"/>
  <c r="AY232" i="2"/>
  <c r="BA232" i="2" s="1"/>
  <c r="AW234" i="2"/>
  <c r="AX234" i="2"/>
  <c r="C236" i="2"/>
  <c r="AZ233" i="2" l="1"/>
  <c r="BB233" i="2" s="1"/>
  <c r="BC258" i="21398"/>
  <c r="G182" i="21412"/>
  <c r="G19" i="21412"/>
  <c r="G229" i="21412"/>
  <c r="G150" i="21412"/>
  <c r="G11" i="21412"/>
  <c r="G2" i="21412"/>
  <c r="G145" i="21412"/>
  <c r="G94" i="21412"/>
  <c r="G196" i="21412"/>
  <c r="G190" i="21412"/>
  <c r="G202" i="21412"/>
  <c r="G82" i="21412"/>
  <c r="G80" i="21412"/>
  <c r="G251" i="21412"/>
  <c r="G117" i="21412"/>
  <c r="G246" i="21412"/>
  <c r="G178" i="21412"/>
  <c r="G64" i="21412"/>
  <c r="G140" i="21412"/>
  <c r="G181" i="21412"/>
  <c r="G79" i="21412"/>
  <c r="G151" i="21412"/>
  <c r="G157" i="21412"/>
  <c r="G175" i="21412"/>
  <c r="G43" i="21412"/>
  <c r="G92" i="21412"/>
  <c r="G168" i="21412"/>
  <c r="G123" i="21412"/>
  <c r="G60" i="21412"/>
  <c r="G26" i="21412"/>
  <c r="G282" i="21412"/>
  <c r="G203" i="21412"/>
  <c r="G89" i="21412"/>
  <c r="G278" i="21412"/>
  <c r="G192" i="21412"/>
  <c r="G187" i="21412"/>
  <c r="G99" i="21412"/>
  <c r="G165" i="21412"/>
  <c r="G240" i="21412"/>
  <c r="G271" i="21412"/>
  <c r="G81" i="21412"/>
  <c r="G305" i="21412"/>
  <c r="G116" i="21412"/>
  <c r="G112" i="21412"/>
  <c r="G137" i="21412"/>
  <c r="G3" i="21412"/>
  <c r="G170" i="21412"/>
  <c r="G239" i="21412"/>
  <c r="G213" i="21412"/>
  <c r="G156" i="21412"/>
  <c r="G208" i="21412"/>
  <c r="G52" i="21412"/>
  <c r="G38" i="21412"/>
  <c r="G24" i="21412"/>
  <c r="G259" i="21412"/>
  <c r="G220" i="21412"/>
  <c r="G91" i="21412"/>
  <c r="G199" i="21412"/>
  <c r="G87" i="21412"/>
  <c r="G84" i="21412"/>
  <c r="G222" i="21412"/>
  <c r="G154" i="21412"/>
  <c r="G78" i="21412"/>
  <c r="G73" i="21412"/>
  <c r="G292" i="21412"/>
  <c r="G264" i="21412"/>
  <c r="G167" i="21412"/>
  <c r="G311" i="21412"/>
  <c r="G101" i="21412"/>
  <c r="G152" i="21412"/>
  <c r="G129" i="21412"/>
  <c r="G56" i="21412"/>
  <c r="G319" i="21412"/>
  <c r="G13" i="21412"/>
  <c r="G67" i="21412"/>
  <c r="G127" i="21412"/>
  <c r="G76" i="21412"/>
  <c r="G173" i="21412"/>
  <c r="G98" i="21412"/>
  <c r="G198" i="21412"/>
  <c r="G252" i="21412"/>
  <c r="G179" i="21412"/>
  <c r="G260" i="21412"/>
  <c r="G256" i="21412"/>
  <c r="G40" i="21412"/>
  <c r="G262" i="21412"/>
  <c r="G135" i="21412"/>
  <c r="G8" i="21412"/>
  <c r="G249" i="21412"/>
  <c r="G279" i="21412"/>
  <c r="G36" i="21412"/>
  <c r="G267" i="21412"/>
  <c r="G65" i="21412"/>
  <c r="G103" i="21412"/>
  <c r="G37" i="21412"/>
  <c r="G216" i="21412"/>
  <c r="G97" i="21412"/>
  <c r="G261" i="21412"/>
  <c r="G153" i="21412"/>
  <c r="G12" i="21412"/>
  <c r="G205" i="21412"/>
  <c r="G321" i="21412"/>
  <c r="G31" i="21412"/>
  <c r="G74" i="21412"/>
  <c r="G303" i="21412"/>
  <c r="G48" i="21412"/>
  <c r="G301" i="21412"/>
  <c r="G144" i="21412"/>
  <c r="G258" i="21412"/>
  <c r="G83" i="21412"/>
  <c r="G106" i="21412"/>
  <c r="G217" i="21412"/>
  <c r="G294" i="21412"/>
  <c r="G57" i="21412"/>
  <c r="G25" i="21412"/>
  <c r="G41" i="21412"/>
  <c r="G280" i="21412"/>
  <c r="G225" i="21412"/>
  <c r="G296" i="21412"/>
  <c r="G122" i="21412"/>
  <c r="G228" i="21412"/>
  <c r="G207" i="21412"/>
  <c r="G206" i="21412"/>
  <c r="G231" i="21412"/>
  <c r="G293" i="21412"/>
  <c r="G114" i="21412"/>
  <c r="G325" i="21412"/>
  <c r="G7" i="21412"/>
  <c r="G313" i="21412"/>
  <c r="G142" i="21412"/>
  <c r="G211" i="21412"/>
  <c r="G160" i="21412"/>
  <c r="G174" i="21412"/>
  <c r="G17" i="21412"/>
  <c r="G232" i="21412"/>
  <c r="G130" i="21412"/>
  <c r="G295" i="21412"/>
  <c r="G283" i="21412"/>
  <c r="G172" i="21412"/>
  <c r="G4" i="21412"/>
  <c r="G126" i="21412"/>
  <c r="G47" i="21412"/>
  <c r="G317" i="21412"/>
  <c r="G14" i="21412"/>
  <c r="G188" i="21412"/>
  <c r="G5" i="21412"/>
  <c r="G162" i="21412"/>
  <c r="G191" i="21412"/>
  <c r="G266" i="21412"/>
  <c r="G46" i="21412"/>
  <c r="G226" i="21412"/>
  <c r="G312" i="21412"/>
  <c r="G247" i="21412"/>
  <c r="G136" i="21412"/>
  <c r="G241" i="21412"/>
  <c r="G33" i="21412"/>
  <c r="G10" i="21412"/>
  <c r="G21" i="21412"/>
  <c r="G155" i="21412"/>
  <c r="G265" i="21412"/>
  <c r="G227" i="21412"/>
  <c r="G308" i="21412"/>
  <c r="G201" i="21412"/>
  <c r="G180" i="21412"/>
  <c r="G297" i="21412"/>
  <c r="G235" i="21412"/>
  <c r="G30" i="21412"/>
  <c r="G128" i="21412"/>
  <c r="G158" i="21412"/>
  <c r="G218" i="21412"/>
  <c r="G90" i="21412"/>
  <c r="G315" i="21412"/>
  <c r="G306" i="21412"/>
  <c r="G51" i="21412"/>
  <c r="G20" i="21412"/>
  <c r="G141" i="21412"/>
  <c r="G148" i="21412"/>
  <c r="G281" i="21412"/>
  <c r="G244" i="21412"/>
  <c r="G245" i="21412"/>
  <c r="G171" i="21412"/>
  <c r="G161" i="21412"/>
  <c r="G298" i="21412"/>
  <c r="G255" i="21412"/>
  <c r="G66" i="21412"/>
  <c r="G61" i="21412"/>
  <c r="G111" i="21412"/>
  <c r="G9" i="21412"/>
  <c r="G39" i="21412"/>
  <c r="G54" i="21412"/>
  <c r="G212" i="21412"/>
  <c r="G224" i="21412"/>
  <c r="G124" i="21412"/>
  <c r="G121" i="21412"/>
  <c r="G18" i="21412"/>
  <c r="G164" i="21412"/>
  <c r="G291" i="21412"/>
  <c r="G263" i="21412"/>
  <c r="G85" i="21412"/>
  <c r="G270" i="21412"/>
  <c r="G104" i="21412"/>
  <c r="G166" i="21412"/>
  <c r="G248" i="21412"/>
  <c r="G139" i="21412"/>
  <c r="G108" i="21412"/>
  <c r="G257" i="21412"/>
  <c r="G70" i="21412"/>
  <c r="G304" i="21412"/>
  <c r="G193" i="21412"/>
  <c r="G133" i="21412"/>
  <c r="G233" i="21412"/>
  <c r="G234" i="21412"/>
  <c r="G143" i="21412"/>
  <c r="G125" i="21412"/>
  <c r="G215" i="21412"/>
  <c r="G62" i="21412"/>
  <c r="G96" i="21412"/>
  <c r="G163" i="21412"/>
  <c r="G72" i="21412"/>
  <c r="G320" i="21412"/>
  <c r="G53" i="21412"/>
  <c r="G29" i="21412"/>
  <c r="G102" i="21412"/>
  <c r="G204" i="21412"/>
  <c r="G115" i="21412"/>
  <c r="G254" i="21412"/>
  <c r="G309" i="21412"/>
  <c r="G88" i="21412"/>
  <c r="G186" i="21412"/>
  <c r="G93" i="21412"/>
  <c r="G238" i="21412"/>
  <c r="G230" i="21412"/>
  <c r="G146" i="21412"/>
  <c r="G268" i="21412"/>
  <c r="G242" i="21412"/>
  <c r="G50" i="21412"/>
  <c r="G45" i="21412"/>
  <c r="G118" i="21412"/>
  <c r="G149" i="21412"/>
  <c r="G63" i="21412"/>
  <c r="G23" i="21412"/>
  <c r="G27" i="21412"/>
  <c r="G316" i="21412"/>
  <c r="G323" i="21412"/>
  <c r="G183" i="21412"/>
  <c r="G55" i="21412"/>
  <c r="G176" i="21412"/>
  <c r="G68" i="21412"/>
  <c r="G221" i="21412"/>
  <c r="G28" i="21412"/>
  <c r="G324" i="21412"/>
  <c r="G32" i="21412"/>
  <c r="G210" i="21412"/>
  <c r="G75" i="21412"/>
  <c r="G49" i="21412"/>
  <c r="G302" i="21412"/>
  <c r="G120" i="21412"/>
  <c r="G300" i="21412"/>
  <c r="G16" i="21412"/>
  <c r="G100" i="21412"/>
  <c r="G6" i="21412"/>
  <c r="G219" i="21412"/>
  <c r="G236" i="21412"/>
  <c r="G119" i="21412"/>
  <c r="G209" i="21412"/>
  <c r="G134" i="21412"/>
  <c r="G105" i="21412"/>
  <c r="G42" i="21412"/>
  <c r="G59" i="21412"/>
  <c r="G35" i="21412"/>
  <c r="G185" i="21412"/>
  <c r="G314" i="21412"/>
  <c r="G69" i="21412"/>
  <c r="G169" i="21412"/>
  <c r="G214" i="21412"/>
  <c r="G131" i="21412"/>
  <c r="G253" i="21412"/>
  <c r="G310" i="21412"/>
  <c r="G44" i="21412"/>
  <c r="G197" i="21412"/>
  <c r="G299" i="21412"/>
  <c r="G184" i="21412"/>
  <c r="G77" i="21412"/>
  <c r="G269" i="21412"/>
  <c r="G109" i="21412"/>
  <c r="G318" i="21412"/>
  <c r="G322" i="21412"/>
  <c r="G223" i="21412"/>
  <c r="G95" i="21412"/>
  <c r="G200" i="21412"/>
  <c r="G290" i="21412"/>
  <c r="G113" i="21412"/>
  <c r="G307" i="21412"/>
  <c r="G177" i="21412"/>
  <c r="G194" i="21412"/>
  <c r="G58" i="21412"/>
  <c r="G250" i="21412"/>
  <c r="G159" i="21412"/>
  <c r="G189" i="21412"/>
  <c r="G15" i="21412"/>
  <c r="G132" i="21412"/>
  <c r="G138" i="21412"/>
  <c r="G86" i="21412"/>
  <c r="G237" i="21412"/>
  <c r="G34" i="21412"/>
  <c r="G147" i="21412"/>
  <c r="G107" i="21412"/>
  <c r="G71" i="21412"/>
  <c r="G110" i="21412"/>
  <c r="G243" i="21412"/>
  <c r="G195" i="21412"/>
  <c r="G22" i="21412"/>
  <c r="G288" i="21412"/>
  <c r="G275" i="21412"/>
  <c r="G285" i="21412"/>
  <c r="G286" i="21412"/>
  <c r="G272" i="21412"/>
  <c r="G289" i="21412"/>
  <c r="G274" i="21412"/>
  <c r="G287" i="21412"/>
  <c r="G277" i="21412"/>
  <c r="G284" i="21412"/>
  <c r="G276" i="21412"/>
  <c r="G273" i="21412"/>
  <c r="J270" i="21398"/>
  <c r="C272" i="21398"/>
  <c r="C274" i="21398" s="1"/>
  <c r="C276" i="21398" s="1"/>
  <c r="C278" i="21398" s="1"/>
  <c r="C280" i="21398" s="1"/>
  <c r="AW236" i="2"/>
  <c r="AX236" i="2"/>
  <c r="M234" i="2"/>
  <c r="BC234" i="2" s="1"/>
  <c r="AY234" i="2"/>
  <c r="BA234" i="2" s="1"/>
  <c r="C238" i="2"/>
  <c r="M236" i="2" l="1"/>
  <c r="BC236" i="2" s="1"/>
  <c r="AY236" i="2"/>
  <c r="BA236" i="2" s="1"/>
  <c r="AW238" i="2"/>
  <c r="AX238" i="2"/>
  <c r="C240" i="2"/>
  <c r="C282" i="21398"/>
  <c r="BB280" i="21398"/>
  <c r="AY238" i="2" l="1"/>
  <c r="BA238" i="2" s="1"/>
  <c r="M238" i="2"/>
  <c r="BC238" i="2" s="1"/>
  <c r="AX237" i="2"/>
  <c r="AW237" i="2"/>
  <c r="AW240" i="2"/>
  <c r="AX240" i="2"/>
  <c r="C242" i="2"/>
  <c r="J241" i="2"/>
  <c r="J239" i="2"/>
  <c r="C284" i="21398"/>
  <c r="AZ237" i="2" l="1"/>
  <c r="BB237" i="2" s="1"/>
  <c r="AW242" i="2"/>
  <c r="AX242" i="2"/>
  <c r="AY240" i="2"/>
  <c r="BA240" i="2" s="1"/>
  <c r="M240" i="2"/>
  <c r="BC240" i="2" s="1"/>
  <c r="AX239" i="2"/>
  <c r="AW239" i="2"/>
  <c r="AX241" i="2"/>
  <c r="AW241" i="2"/>
  <c r="C244" i="2"/>
  <c r="C286" i="21398"/>
  <c r="AZ239" i="2" l="1"/>
  <c r="BB239" i="2" s="1"/>
  <c r="AZ241" i="2"/>
  <c r="BB241" i="2" s="1"/>
  <c r="AX243" i="2"/>
  <c r="AW243" i="2"/>
  <c r="M242" i="2"/>
  <c r="BC242" i="2" s="1"/>
  <c r="AY242" i="2"/>
  <c r="BA242" i="2" s="1"/>
  <c r="AW244" i="2"/>
  <c r="AX244" i="2"/>
  <c r="AZ243" i="2"/>
  <c r="BB243" i="2" s="1"/>
  <c r="C246" i="2"/>
  <c r="C288" i="21398"/>
  <c r="AW246" i="2" l="1"/>
  <c r="AX246" i="2"/>
  <c r="M244" i="2"/>
  <c r="BC244" i="2" s="1"/>
  <c r="AY244" i="2"/>
  <c r="BA244" i="2" s="1"/>
  <c r="C248" i="2"/>
  <c r="C290" i="21398"/>
  <c r="BB288" i="21398"/>
  <c r="M246" i="2" l="1"/>
  <c r="BC246" i="2" s="1"/>
  <c r="AY246" i="2"/>
  <c r="BA246" i="2" s="1"/>
  <c r="J247" i="2"/>
  <c r="AW248" i="2"/>
  <c r="AX248" i="2"/>
  <c r="C250" i="2"/>
  <c r="C292" i="21398"/>
  <c r="M248" i="2" l="1"/>
  <c r="BC248" i="2" s="1"/>
  <c r="AY248" i="2"/>
  <c r="BA248" i="2" s="1"/>
  <c r="AX247" i="2"/>
  <c r="AW247" i="2"/>
  <c r="AW250" i="2"/>
  <c r="AX250" i="2"/>
  <c r="C252" i="2"/>
  <c r="C294" i="21398"/>
  <c r="BB292" i="21398"/>
  <c r="AZ247" i="2" l="1"/>
  <c r="BB247" i="2" s="1"/>
  <c r="AW252" i="2"/>
  <c r="AX252" i="2"/>
  <c r="M250" i="2"/>
  <c r="BC250" i="2" s="1"/>
  <c r="AY250" i="2"/>
  <c r="BA250" i="2" s="1"/>
  <c r="C254" i="2"/>
  <c r="C296" i="21398"/>
  <c r="M252" i="2" l="1"/>
  <c r="BC252" i="2" s="1"/>
  <c r="AY252" i="2"/>
  <c r="BA252" i="2" s="1"/>
  <c r="AW254" i="2"/>
  <c r="AX254" i="2"/>
  <c r="C256" i="2"/>
  <c r="C298" i="21398"/>
  <c r="AX256" i="2" l="1"/>
  <c r="AW256" i="2"/>
  <c r="M254" i="2"/>
  <c r="BC254" i="2" s="1"/>
  <c r="AY254" i="2"/>
  <c r="BA254" i="2" s="1"/>
  <c r="C258" i="2"/>
  <c r="C300" i="21398"/>
  <c r="J300" i="21398" s="1"/>
  <c r="AY256" i="2" l="1"/>
  <c r="BA256" i="2" s="1"/>
  <c r="M256" i="2"/>
  <c r="BC256" i="2" s="1"/>
  <c r="AW258" i="2"/>
  <c r="AX258" i="2"/>
  <c r="C260" i="2"/>
  <c r="C302" i="21398"/>
  <c r="BB300" i="21398"/>
  <c r="M258" i="2" l="1"/>
  <c r="BC258" i="2" s="1"/>
  <c r="AY258" i="2"/>
  <c r="BA258" i="2" s="1"/>
  <c r="C262" i="2"/>
  <c r="BB260" i="2"/>
  <c r="C304" i="21398"/>
  <c r="C264" i="2" l="1"/>
  <c r="BB262" i="2"/>
  <c r="C306" i="21398"/>
  <c r="C266" i="2" l="1"/>
  <c r="C308" i="21398"/>
  <c r="C268" i="2" l="1"/>
  <c r="BB266" i="2"/>
  <c r="C310" i="21398"/>
  <c r="C270" i="2" l="1"/>
  <c r="C312" i="21398"/>
  <c r="BB310" i="21398"/>
  <c r="C272" i="2" l="1"/>
  <c r="BB270" i="2"/>
  <c r="C314" i="21398"/>
  <c r="C274" i="2" l="1"/>
  <c r="C316" i="21398"/>
  <c r="C276" i="2" l="1"/>
  <c r="C318" i="21398"/>
  <c r="C278" i="2" l="1"/>
  <c r="C320" i="21398"/>
  <c r="BB318" i="21398"/>
  <c r="C280" i="2" l="1"/>
  <c r="C322" i="21398"/>
  <c r="C282" i="2" l="1"/>
  <c r="J280" i="2"/>
  <c r="BB280" i="2"/>
  <c r="C324" i="21398"/>
  <c r="BB322" i="21398"/>
  <c r="C284" i="2" l="1"/>
  <c r="C326" i="21398"/>
  <c r="C286" i="2" l="1"/>
  <c r="C328" i="21398"/>
  <c r="C288" i="2" l="1"/>
  <c r="C330" i="21398"/>
  <c r="C290" i="2" l="1"/>
  <c r="BB288" i="2"/>
  <c r="C332" i="21398"/>
  <c r="C292" i="2" l="1"/>
  <c r="C334" i="21398"/>
  <c r="BB332" i="21398"/>
  <c r="C294" i="2" l="1"/>
  <c r="BB292" i="2"/>
  <c r="C336" i="21398"/>
  <c r="C296" i="2" l="1"/>
  <c r="C338" i="21398"/>
  <c r="C298" i="2" l="1"/>
  <c r="C340" i="21398"/>
  <c r="C300" i="2" l="1"/>
  <c r="C342" i="21398"/>
  <c r="C302" i="2" l="1"/>
  <c r="BB300" i="2"/>
  <c r="C344" i="21398"/>
  <c r="J344" i="21398" s="1"/>
  <c r="J344" i="2" s="1"/>
  <c r="BB342" i="21398"/>
  <c r="C304" i="2" l="1"/>
  <c r="C346" i="21398"/>
  <c r="BB344" i="21398"/>
  <c r="C306" i="2" l="1"/>
  <c r="C348" i="21398"/>
  <c r="J348" i="21398" s="1"/>
  <c r="J348" i="2" s="1"/>
  <c r="C308" i="2" l="1"/>
  <c r="C350" i="21398"/>
  <c r="J350" i="21398" s="1"/>
  <c r="J350" i="2" s="1"/>
  <c r="BB348" i="21398"/>
  <c r="C310" i="2" l="1"/>
  <c r="C352" i="21398"/>
  <c r="BB350" i="21398"/>
  <c r="C312" i="2" l="1"/>
  <c r="J310" i="2"/>
  <c r="BB310" i="2"/>
  <c r="C354" i="21398"/>
  <c r="BB352" i="21398"/>
  <c r="C314" i="2" l="1"/>
  <c r="C356" i="21398"/>
  <c r="J355" i="21398" l="1"/>
  <c r="J356" i="21398"/>
  <c r="C316" i="2"/>
  <c r="C358" i="21398"/>
  <c r="BB356" i="21398"/>
  <c r="BB355" i="21398" l="1"/>
  <c r="C318" i="2"/>
  <c r="C360" i="21398"/>
  <c r="C320" i="2" l="1"/>
  <c r="BB318" i="2"/>
  <c r="C362" i="21398"/>
  <c r="C322" i="2" l="1"/>
  <c r="C364" i="21398"/>
  <c r="C324" i="2" l="1"/>
  <c r="BB322" i="2"/>
  <c r="C366" i="21398"/>
  <c r="C326" i="2" l="1"/>
  <c r="C368" i="21398"/>
  <c r="C328" i="2" l="1"/>
  <c r="C370" i="21398"/>
  <c r="C330" i="2" l="1"/>
  <c r="C372" i="21398"/>
  <c r="C332" i="2" l="1"/>
  <c r="C374" i="21398"/>
  <c r="C334" i="2" l="1"/>
  <c r="BB332" i="2"/>
  <c r="C376" i="21398"/>
  <c r="C336" i="2" l="1"/>
  <c r="C378" i="21398"/>
  <c r="C338" i="2" l="1"/>
  <c r="C380" i="21398"/>
  <c r="BB378" i="21398"/>
  <c r="C340" i="2" l="1"/>
  <c r="C382" i="21398"/>
  <c r="C342" i="2" l="1"/>
  <c r="C384" i="21398"/>
  <c r="C344" i="2" l="1"/>
  <c r="J342" i="2"/>
  <c r="J342" i="21398" s="1"/>
  <c r="BB342" i="2"/>
  <c r="C386" i="21398"/>
  <c r="BB384" i="21398"/>
  <c r="C346" i="2" l="1"/>
  <c r="BB344" i="2"/>
  <c r="C348" i="2" l="1"/>
  <c r="C390" i="21398"/>
  <c r="BB388" i="21398"/>
  <c r="C350" i="2" l="1"/>
  <c r="BB348" i="2"/>
  <c r="C392" i="21398"/>
  <c r="BB390" i="21398"/>
  <c r="BB391" i="21398" l="1"/>
  <c r="C352" i="2"/>
  <c r="BB350" i="2"/>
  <c r="C394" i="21398"/>
  <c r="J351" i="2" l="1"/>
  <c r="J352" i="2"/>
  <c r="J352" i="21398" s="1"/>
  <c r="C354" i="2"/>
  <c r="BB352" i="2"/>
  <c r="C396" i="21398"/>
  <c r="C356" i="2" l="1"/>
  <c r="C398" i="21398"/>
  <c r="C358" i="2" l="1"/>
  <c r="J356" i="2"/>
  <c r="J355" i="2"/>
  <c r="BB356" i="2"/>
  <c r="C400" i="21398"/>
  <c r="BB355" i="2" l="1"/>
  <c r="C360" i="2"/>
  <c r="C402" i="21398"/>
  <c r="C362" i="2" l="1"/>
  <c r="C404" i="21398"/>
  <c r="C364" i="2" l="1"/>
  <c r="C406" i="21398"/>
  <c r="J406" i="21398" s="1"/>
  <c r="J405" i="21398" s="1"/>
  <c r="I61" i="21408" l="1"/>
  <c r="I60" i="21408"/>
  <c r="I48" i="21408"/>
  <c r="I54" i="21408"/>
  <c r="I58" i="21408"/>
  <c r="I44" i="21408"/>
  <c r="I45" i="21408"/>
  <c r="I46" i="21408"/>
  <c r="I37" i="21408"/>
  <c r="I52" i="21408"/>
  <c r="I42" i="21408"/>
  <c r="I49" i="21408"/>
  <c r="I56" i="21408"/>
  <c r="I35" i="21408"/>
  <c r="I62" i="21408"/>
  <c r="I33" i="21408"/>
  <c r="I51" i="21408"/>
  <c r="I40" i="21408"/>
  <c r="I47" i="21408"/>
  <c r="I43" i="21408"/>
  <c r="I39" i="21408"/>
  <c r="I50" i="21408"/>
  <c r="I57" i="21408"/>
  <c r="I53" i="21408"/>
  <c r="I41" i="21408"/>
  <c r="I34" i="21408"/>
  <c r="I59" i="21408"/>
  <c r="I36" i="21408"/>
  <c r="I55" i="21408"/>
  <c r="I38" i="21408"/>
  <c r="I168" i="21408"/>
  <c r="C366" i="2"/>
  <c r="BB406" i="21398"/>
  <c r="I299" i="21408"/>
  <c r="I300" i="21408"/>
  <c r="I372" i="21408"/>
  <c r="I180" i="21408"/>
  <c r="I323" i="21408"/>
  <c r="I220" i="21408"/>
  <c r="I221" i="21408"/>
  <c r="I176" i="21408"/>
  <c r="I179" i="21408"/>
  <c r="I206" i="21408"/>
  <c r="I209" i="21408"/>
  <c r="I204" i="21408"/>
  <c r="I305" i="21408"/>
  <c r="I210" i="21408"/>
  <c r="I200" i="21408"/>
  <c r="I178" i="21408"/>
  <c r="I232" i="21408"/>
  <c r="I177" i="21408"/>
  <c r="I373" i="21408"/>
  <c r="I324" i="21408"/>
  <c r="I233" i="21408"/>
  <c r="I207" i="21408"/>
  <c r="I203" i="21408"/>
  <c r="I260" i="21408"/>
  <c r="I205" i="21408"/>
  <c r="I374" i="21408"/>
  <c r="I193" i="21408"/>
  <c r="I261" i="21408"/>
  <c r="I230" i="21408"/>
  <c r="I310" i="21408"/>
  <c r="I211" i="21408"/>
  <c r="I208" i="21408"/>
  <c r="I314" i="21408"/>
  <c r="I315" i="21408"/>
  <c r="I317" i="21408"/>
  <c r="I313" i="21408"/>
  <c r="I311" i="21408"/>
  <c r="I316" i="21408"/>
  <c r="I312" i="21408"/>
  <c r="I257" i="21408"/>
  <c r="I361" i="21408"/>
  <c r="I231" i="21408"/>
  <c r="I366" i="21408"/>
  <c r="I109" i="21408"/>
  <c r="I281" i="21408"/>
  <c r="G56" i="21402"/>
  <c r="I15" i="21408"/>
  <c r="I25" i="21408"/>
  <c r="I196" i="21408"/>
  <c r="I187" i="21408"/>
  <c r="I248" i="21408"/>
  <c r="I134" i="21408"/>
  <c r="I160" i="21408"/>
  <c r="I362" i="21408"/>
  <c r="I234" i="21408"/>
  <c r="I20" i="21408"/>
  <c r="I186" i="21408"/>
  <c r="I26" i="21408"/>
  <c r="I87" i="21408"/>
  <c r="I126" i="21408"/>
  <c r="I277" i="21408"/>
  <c r="I218" i="21408"/>
  <c r="I364" i="21408"/>
  <c r="I258" i="21408"/>
  <c r="I173" i="21408"/>
  <c r="I269" i="21408"/>
  <c r="I191" i="21408"/>
  <c r="G58" i="21402"/>
  <c r="G49" i="21402"/>
  <c r="I158" i="21408"/>
  <c r="I188" i="21408"/>
  <c r="I247" i="21408"/>
  <c r="G68" i="21402"/>
  <c r="I76" i="21408"/>
  <c r="I122" i="21408"/>
  <c r="I146" i="21408"/>
  <c r="I127" i="21408"/>
  <c r="I141" i="21408"/>
  <c r="I16" i="21408"/>
  <c r="G9" i="21402"/>
  <c r="G3" i="21402"/>
  <c r="G70" i="21402"/>
  <c r="I85" i="21408"/>
  <c r="I279" i="21408"/>
  <c r="I243" i="21408"/>
  <c r="I245" i="21408"/>
  <c r="I250" i="21408"/>
  <c r="I252" i="21408"/>
  <c r="I155" i="21408"/>
  <c r="I225" i="21408"/>
  <c r="I148" i="21408"/>
  <c r="I94" i="21408"/>
  <c r="G54" i="21402"/>
  <c r="I91" i="21408"/>
  <c r="I194" i="21408"/>
  <c r="I228" i="21408"/>
  <c r="I249" i="21408"/>
  <c r="I10" i="21408"/>
  <c r="I166" i="21408"/>
  <c r="I222" i="21408"/>
  <c r="I110" i="21408"/>
  <c r="I154" i="21408"/>
  <c r="I304" i="21408"/>
  <c r="I275" i="21408"/>
  <c r="I151" i="21408"/>
  <c r="G69" i="21402"/>
  <c r="I171" i="21408"/>
  <c r="I265" i="21408"/>
  <c r="I143" i="21408"/>
  <c r="G22" i="21402"/>
  <c r="I130" i="21408"/>
  <c r="I162" i="21408"/>
  <c r="I360" i="21408"/>
  <c r="I103" i="21408"/>
  <c r="I229" i="21408"/>
  <c r="I164" i="21408"/>
  <c r="I144" i="21408"/>
  <c r="G4" i="21402"/>
  <c r="I9" i="21408"/>
  <c r="I81" i="21408"/>
  <c r="I32" i="21408"/>
  <c r="I22" i="21408"/>
  <c r="I224" i="21408"/>
  <c r="I184" i="21408"/>
  <c r="G53" i="21402"/>
  <c r="G40" i="21402"/>
  <c r="I68" i="21408"/>
  <c r="I118" i="21408"/>
  <c r="G6" i="21402"/>
  <c r="I318" i="21408"/>
  <c r="G41" i="21402"/>
  <c r="I117" i="21408"/>
  <c r="I129" i="21408"/>
  <c r="I320" i="21408"/>
  <c r="I136" i="21408"/>
  <c r="I165" i="21408"/>
  <c r="I97" i="21408"/>
  <c r="I125" i="21408"/>
  <c r="I93" i="21408"/>
  <c r="I195" i="21408"/>
  <c r="I163" i="21408"/>
  <c r="I223" i="21408"/>
  <c r="I119" i="21408"/>
  <c r="I363" i="21408"/>
  <c r="I121" i="21408"/>
  <c r="I73" i="21408"/>
  <c r="I31" i="21408"/>
  <c r="I112" i="21408"/>
  <c r="G71" i="21402"/>
  <c r="I263" i="21408"/>
  <c r="I365" i="21408"/>
  <c r="I13" i="21408"/>
  <c r="I322" i="21408"/>
  <c r="I71" i="21408"/>
  <c r="I63" i="21408"/>
  <c r="I115" i="21408"/>
  <c r="I21" i="21408"/>
  <c r="I189" i="21408"/>
  <c r="I219" i="21408"/>
  <c r="I142" i="21408"/>
  <c r="G57" i="21402"/>
  <c r="I174" i="21408"/>
  <c r="I135" i="21408"/>
  <c r="I70" i="21408"/>
  <c r="I89" i="21408"/>
  <c r="G52" i="21402"/>
  <c r="G39" i="21402"/>
  <c r="G37" i="21402"/>
  <c r="I183" i="21408"/>
  <c r="G10" i="21402"/>
  <c r="G43" i="21402"/>
  <c r="G32" i="21402"/>
  <c r="I17" i="21408"/>
  <c r="I132" i="21408"/>
  <c r="I215" i="21408"/>
  <c r="I147" i="21408"/>
  <c r="I169" i="21408"/>
  <c r="I212" i="21408"/>
  <c r="I30" i="21408"/>
  <c r="I123" i="21408"/>
  <c r="I18" i="21408"/>
  <c r="I152" i="21408"/>
  <c r="I280" i="21408"/>
  <c r="I90" i="21408"/>
  <c r="G33" i="21402"/>
  <c r="I4" i="21408"/>
  <c r="I182" i="21408"/>
  <c r="I268" i="21408"/>
  <c r="I239" i="21408"/>
  <c r="I227" i="21408"/>
  <c r="I120" i="21408"/>
  <c r="I96" i="21408"/>
  <c r="I80" i="21408"/>
  <c r="I116" i="21408"/>
  <c r="G72" i="21402"/>
  <c r="I84" i="21408"/>
  <c r="I14" i="21408"/>
  <c r="I240" i="21408"/>
  <c r="I28" i="21408"/>
  <c r="G25" i="21402"/>
  <c r="G26" i="21402"/>
  <c r="I175" i="21408"/>
  <c r="I199" i="21408"/>
  <c r="I104" i="21408"/>
  <c r="G17" i="21402"/>
  <c r="G60" i="21402"/>
  <c r="I181" i="21408"/>
  <c r="I167" i="21408"/>
  <c r="I217" i="21408"/>
  <c r="I105" i="21408"/>
  <c r="I235" i="21408"/>
  <c r="I213" i="21408"/>
  <c r="I19" i="21408"/>
  <c r="I7" i="21408"/>
  <c r="I108" i="21408"/>
  <c r="G21" i="21402"/>
  <c r="I272" i="21408"/>
  <c r="I69" i="21408"/>
  <c r="I23" i="21408"/>
  <c r="I241" i="21408"/>
  <c r="I170" i="21408"/>
  <c r="I264" i="21408"/>
  <c r="I192" i="21408"/>
  <c r="I307" i="21408"/>
  <c r="I226" i="21408"/>
  <c r="I161" i="21408"/>
  <c r="I306" i="21408"/>
  <c r="G18" i="21402"/>
  <c r="I149" i="21408"/>
  <c r="I242" i="21408"/>
  <c r="I190" i="21408"/>
  <c r="I82" i="21408"/>
  <c r="I6" i="21408"/>
  <c r="G55" i="21402"/>
  <c r="I92" i="21408"/>
  <c r="G42" i="21402"/>
  <c r="G35" i="21402"/>
  <c r="G36" i="21402"/>
  <c r="I5" i="21408"/>
  <c r="I78" i="21408"/>
  <c r="I358" i="21408"/>
  <c r="G38" i="21402"/>
  <c r="I11" i="21408"/>
  <c r="I133" i="21408"/>
  <c r="G16" i="21402"/>
  <c r="I27" i="21408"/>
  <c r="I3" i="21408"/>
  <c r="I86" i="21408"/>
  <c r="G50" i="21402"/>
  <c r="I83" i="21408"/>
  <c r="I278" i="21408"/>
  <c r="G67" i="21402"/>
  <c r="G8" i="21402"/>
  <c r="G51" i="21402"/>
  <c r="I88" i="21408"/>
  <c r="I72" i="21408"/>
  <c r="I296" i="21408"/>
  <c r="I276" i="21408"/>
  <c r="G24" i="21402"/>
  <c r="I74" i="21408"/>
  <c r="G23" i="21402"/>
  <c r="I131" i="21408"/>
  <c r="I236" i="21408"/>
  <c r="I102" i="21408"/>
  <c r="I156" i="21408"/>
  <c r="I140" i="21408"/>
  <c r="G5" i="21402"/>
  <c r="I319" i="21408"/>
  <c r="I359" i="21408"/>
  <c r="G15" i="21402"/>
  <c r="I256" i="21408"/>
  <c r="I12" i="21408"/>
  <c r="I150" i="21408"/>
  <c r="I113" i="21408"/>
  <c r="I266" i="21408"/>
  <c r="I124" i="21408"/>
  <c r="I114" i="21408"/>
  <c r="G59" i="21402"/>
  <c r="I75" i="21408"/>
  <c r="I246" i="21408"/>
  <c r="I145" i="21408"/>
  <c r="I24" i="21408"/>
  <c r="G34" i="21402"/>
  <c r="I106" i="21408"/>
  <c r="I271" i="21408"/>
  <c r="I197" i="21408"/>
  <c r="I8" i="21408"/>
  <c r="I274" i="21408"/>
  <c r="I157" i="21408"/>
  <c r="I107" i="21408"/>
  <c r="I237" i="21408"/>
  <c r="I153" i="21408"/>
  <c r="I238" i="21408"/>
  <c r="I321" i="21408"/>
  <c r="I251" i="21408"/>
  <c r="I185" i="21408"/>
  <c r="I128" i="21408"/>
  <c r="G61" i="21402"/>
  <c r="I29" i="21408"/>
  <c r="I198" i="21408"/>
  <c r="I77" i="21408"/>
  <c r="G19" i="21402"/>
  <c r="I270" i="21408"/>
  <c r="I159" i="21408"/>
  <c r="I273" i="21408"/>
  <c r="I244" i="21408"/>
  <c r="G20" i="21402"/>
  <c r="I111" i="21408"/>
  <c r="I367" i="21408"/>
  <c r="I172" i="21408"/>
  <c r="I95" i="21408"/>
  <c r="I79" i="21408"/>
  <c r="G330" i="21412" l="1"/>
  <c r="G327" i="21412"/>
  <c r="G326" i="21412"/>
  <c r="G331" i="21412"/>
  <c r="G328" i="21412"/>
  <c r="G329" i="21412"/>
  <c r="C368" i="2"/>
  <c r="I262" i="21408"/>
  <c r="I201" i="21408"/>
  <c r="I308" i="21408"/>
  <c r="I369" i="21408"/>
  <c r="I295" i="21408"/>
  <c r="I297" i="21408"/>
  <c r="I309" i="21408"/>
  <c r="I214" i="21408"/>
  <c r="G341" i="21412"/>
  <c r="G339" i="21412"/>
  <c r="G342" i="21412"/>
  <c r="G340" i="21412"/>
  <c r="G343" i="21412"/>
  <c r="G338" i="21412"/>
  <c r="I216" i="21408"/>
  <c r="C370" i="2" l="1"/>
  <c r="I298" i="21408"/>
  <c r="I202" i="21408"/>
  <c r="C372" i="2" l="1"/>
  <c r="C374" i="2" l="1"/>
  <c r="C376" i="2" l="1"/>
  <c r="C378" i="2" l="1"/>
  <c r="AX378" i="2" l="1"/>
  <c r="AW378" i="2"/>
  <c r="J379" i="2"/>
  <c r="C380" i="2"/>
  <c r="BB378" i="2"/>
  <c r="AY378" i="2" l="1"/>
  <c r="BA378" i="2" s="1"/>
  <c r="M378" i="2"/>
  <c r="BC378" i="2" s="1"/>
  <c r="C382" i="2"/>
  <c r="F108" i="21412" l="1"/>
  <c r="E108" i="21412" s="1"/>
  <c r="F237" i="21412"/>
  <c r="E237" i="21412" s="1"/>
  <c r="F227" i="21412"/>
  <c r="E227" i="21412" s="1"/>
  <c r="F14" i="21412"/>
  <c r="E14" i="21412" s="1"/>
  <c r="F186" i="21412"/>
  <c r="E186" i="21412" s="1"/>
  <c r="F90" i="21412"/>
  <c r="E90" i="21412" s="1"/>
  <c r="F244" i="21412"/>
  <c r="E244" i="21412" s="1"/>
  <c r="F78" i="21412"/>
  <c r="E78" i="21412" s="1"/>
  <c r="F293" i="21412"/>
  <c r="E293" i="21412" s="1"/>
  <c r="F71" i="21412"/>
  <c r="E71" i="21412" s="1"/>
  <c r="F191" i="21412"/>
  <c r="E191" i="21412" s="1"/>
  <c r="F280" i="21412"/>
  <c r="E280" i="21412" s="1"/>
  <c r="F50" i="21412"/>
  <c r="E50" i="21412" s="1"/>
  <c r="F69" i="21412"/>
  <c r="E69" i="21412" s="1"/>
  <c r="F272" i="21412"/>
  <c r="E272" i="21412" s="1"/>
  <c r="F32" i="21412"/>
  <c r="E32" i="21412" s="1"/>
  <c r="F289" i="21412"/>
  <c r="E289" i="21412" s="1"/>
  <c r="F99" i="21412"/>
  <c r="E99" i="21412" s="1"/>
  <c r="F96" i="21412"/>
  <c r="E96" i="21412" s="1"/>
  <c r="F97" i="21412"/>
  <c r="E97" i="21412" s="1"/>
  <c r="F112" i="21412"/>
  <c r="E112" i="21412" s="1"/>
  <c r="F238" i="21412"/>
  <c r="E238" i="21412" s="1"/>
  <c r="F130" i="21412"/>
  <c r="E130" i="21412" s="1"/>
  <c r="F159" i="21412"/>
  <c r="E159" i="21412" s="1"/>
  <c r="F155" i="21412"/>
  <c r="E155" i="21412" s="1"/>
  <c r="F83" i="21412"/>
  <c r="E83" i="21412" s="1"/>
  <c r="F182" i="21412"/>
  <c r="E182" i="21412" s="1"/>
  <c r="F214" i="21412"/>
  <c r="E214" i="21412" s="1"/>
  <c r="F16" i="21412"/>
  <c r="E16" i="21412" s="1"/>
  <c r="F147" i="21412"/>
  <c r="E147" i="21412" s="1"/>
  <c r="F312" i="21412"/>
  <c r="E312" i="21412" s="1"/>
  <c r="F174" i="21412"/>
  <c r="E174" i="21412" s="1"/>
  <c r="F286" i="21412"/>
  <c r="E286" i="21412" s="1"/>
  <c r="F42" i="21412"/>
  <c r="E42" i="21412" s="1"/>
  <c r="F275" i="21412"/>
  <c r="E275" i="21412" s="1"/>
  <c r="F26" i="21412"/>
  <c r="E26" i="21412" s="1"/>
  <c r="F161" i="21412"/>
  <c r="E161" i="21412" s="1"/>
  <c r="F74" i="21412"/>
  <c r="E74" i="21412" s="1"/>
  <c r="F291" i="21412"/>
  <c r="E291" i="21412" s="1"/>
  <c r="F309" i="21412"/>
  <c r="E309" i="21412" s="1"/>
  <c r="F85" i="21412"/>
  <c r="E85" i="21412" s="1"/>
  <c r="F282" i="21412"/>
  <c r="E282" i="21412" s="1"/>
  <c r="F315" i="21412"/>
  <c r="E315" i="21412" s="1"/>
  <c r="F17" i="21412"/>
  <c r="E17" i="21412" s="1"/>
  <c r="F207" i="21412"/>
  <c r="E207" i="21412" s="1"/>
  <c r="F192" i="21412"/>
  <c r="E192" i="21412" s="1"/>
  <c r="F260" i="21412"/>
  <c r="E260" i="21412" s="1"/>
  <c r="F10" i="21412"/>
  <c r="E10" i="21412" s="1"/>
  <c r="F212" i="21412"/>
  <c r="E212" i="21412" s="1"/>
  <c r="F59" i="21412"/>
  <c r="E59" i="21412" s="1"/>
  <c r="F201" i="21412"/>
  <c r="E201" i="21412" s="1"/>
  <c r="F13" i="21412"/>
  <c r="E13" i="21412" s="1"/>
  <c r="F305" i="21412"/>
  <c r="E305" i="21412" s="1"/>
  <c r="F173" i="21412"/>
  <c r="E173" i="21412" s="1"/>
  <c r="F88" i="21412"/>
  <c r="E88" i="21412" s="1"/>
  <c r="F2" i="21412"/>
  <c r="E2" i="21412" s="1"/>
  <c r="F120" i="21412"/>
  <c r="E120" i="21412" s="1"/>
  <c r="F73" i="21412"/>
  <c r="E73" i="21412" s="1"/>
  <c r="F180" i="21412"/>
  <c r="E180" i="21412" s="1"/>
  <c r="F226" i="21412"/>
  <c r="E226" i="21412" s="1"/>
  <c r="F57" i="21412"/>
  <c r="E57" i="21412" s="1"/>
  <c r="F55" i="21412"/>
  <c r="E55" i="21412" s="1"/>
  <c r="F91" i="21412"/>
  <c r="E91" i="21412" s="1"/>
  <c r="F308" i="21412"/>
  <c r="E308" i="21412" s="1"/>
  <c r="F60" i="21412"/>
  <c r="E60" i="21412" s="1"/>
  <c r="F37" i="21412"/>
  <c r="E37" i="21412" s="1"/>
  <c r="F43" i="21412"/>
  <c r="E43" i="21412" s="1"/>
  <c r="F140" i="21412"/>
  <c r="E140" i="21412" s="1"/>
  <c r="F75" i="21412"/>
  <c r="E75" i="21412" s="1"/>
  <c r="F273" i="21412"/>
  <c r="E273" i="21412" s="1"/>
  <c r="F151" i="21412"/>
  <c r="E151" i="21412" s="1"/>
  <c r="F184" i="21412"/>
  <c r="E184" i="21412" s="1"/>
  <c r="F104" i="21412"/>
  <c r="E104" i="21412" s="1"/>
  <c r="F142" i="21412"/>
  <c r="E142" i="21412" s="1"/>
  <c r="F125" i="21412"/>
  <c r="E125" i="21412" s="1"/>
  <c r="F117" i="21412"/>
  <c r="E117" i="21412" s="1"/>
  <c r="F179" i="21412"/>
  <c r="E179" i="21412" s="1"/>
  <c r="F285" i="21412"/>
  <c r="E285" i="21412" s="1"/>
  <c r="F145" i="21412"/>
  <c r="E145" i="21412" s="1"/>
  <c r="F64" i="21412"/>
  <c r="E64" i="21412" s="1"/>
  <c r="F307" i="21412"/>
  <c r="E307" i="21412" s="1"/>
  <c r="F7" i="21412"/>
  <c r="E7" i="21412" s="1"/>
  <c r="F49" i="21412"/>
  <c r="E49" i="21412" s="1"/>
  <c r="F119" i="21412"/>
  <c r="E119" i="21412" s="1"/>
  <c r="F46" i="21412"/>
  <c r="E46" i="21412" s="1"/>
  <c r="F45" i="21412"/>
  <c r="E45" i="21412" s="1"/>
  <c r="F77" i="21412"/>
  <c r="E77" i="21412" s="1"/>
  <c r="F199" i="21412"/>
  <c r="E199" i="21412" s="1"/>
  <c r="F82" i="21412"/>
  <c r="E82" i="21412" s="1"/>
  <c r="F284" i="21412"/>
  <c r="E284" i="21412" s="1"/>
  <c r="F62" i="21412"/>
  <c r="E62" i="21412" s="1"/>
  <c r="F93" i="21412"/>
  <c r="E93" i="21412" s="1"/>
  <c r="F217" i="21412"/>
  <c r="E217" i="21412" s="1"/>
  <c r="F81" i="21412"/>
  <c r="E81" i="21412" s="1"/>
  <c r="F133" i="21412"/>
  <c r="E133" i="21412" s="1"/>
  <c r="F243" i="21412"/>
  <c r="E243" i="21412" s="1"/>
  <c r="F101" i="21412"/>
  <c r="E101" i="21412" s="1"/>
  <c r="F41" i="21412"/>
  <c r="E41" i="21412" s="1"/>
  <c r="F3" i="21412"/>
  <c r="E3" i="21412" s="1"/>
  <c r="F24" i="21412"/>
  <c r="E24" i="21412" s="1"/>
  <c r="F164" i="21412"/>
  <c r="E164" i="21412" s="1"/>
  <c r="F236" i="21412"/>
  <c r="E236" i="21412" s="1"/>
  <c r="F79" i="21412"/>
  <c r="E79" i="21412" s="1"/>
  <c r="F195" i="21412"/>
  <c r="E195" i="21412" s="1"/>
  <c r="F242" i="21412"/>
  <c r="E242" i="21412" s="1"/>
  <c r="F160" i="21412"/>
  <c r="E160" i="21412" s="1"/>
  <c r="F30" i="21412"/>
  <c r="E30" i="21412" s="1"/>
  <c r="F8" i="21412"/>
  <c r="E8" i="21412" s="1"/>
  <c r="F279" i="21412"/>
  <c r="E279" i="21412" s="1"/>
  <c r="F110" i="21412"/>
  <c r="E110" i="21412" s="1"/>
  <c r="F266" i="21412"/>
  <c r="E266" i="21412" s="1"/>
  <c r="F21" i="21412"/>
  <c r="E21" i="21412" s="1"/>
  <c r="F252" i="21412"/>
  <c r="E252" i="21412" s="1"/>
  <c r="F183" i="21412"/>
  <c r="E183" i="21412" s="1"/>
  <c r="F230" i="21412"/>
  <c r="E230" i="21412" s="1"/>
  <c r="F167" i="21412"/>
  <c r="E167" i="21412" s="1"/>
  <c r="F115" i="21412"/>
  <c r="E115" i="21412" s="1"/>
  <c r="F232" i="21412"/>
  <c r="E232" i="21412" s="1"/>
  <c r="F106" i="21412"/>
  <c r="E106" i="21412" s="1"/>
  <c r="F152" i="21412"/>
  <c r="E152" i="21412" s="1"/>
  <c r="F144" i="21412"/>
  <c r="E144" i="21412" s="1"/>
  <c r="F323" i="21412"/>
  <c r="E323" i="21412" s="1"/>
  <c r="F66" i="21412"/>
  <c r="E66" i="21412" s="1"/>
  <c r="F48" i="21412"/>
  <c r="E48" i="21412" s="1"/>
  <c r="F51" i="21412"/>
  <c r="E51" i="21412" s="1"/>
  <c r="F311" i="21412"/>
  <c r="E311" i="21412" s="1"/>
  <c r="F86" i="21412"/>
  <c r="E86" i="21412" s="1"/>
  <c r="F65" i="21412"/>
  <c r="E65" i="21412" s="1"/>
  <c r="F209" i="21412"/>
  <c r="E209" i="21412" s="1"/>
  <c r="F318" i="21412"/>
  <c r="E318" i="21412" s="1"/>
  <c r="F320" i="21412"/>
  <c r="E320" i="21412" s="1"/>
  <c r="F27" i="21412"/>
  <c r="E27" i="21412" s="1"/>
  <c r="F194" i="21412"/>
  <c r="E194" i="21412" s="1"/>
  <c r="F322" i="21412"/>
  <c r="E322" i="21412" s="1"/>
  <c r="F321" i="21412"/>
  <c r="E321" i="21412" s="1"/>
  <c r="F193" i="21412"/>
  <c r="E193" i="21412" s="1"/>
  <c r="F211" i="21412"/>
  <c r="E211" i="21412" s="1"/>
  <c r="F149" i="21412"/>
  <c r="E149" i="21412" s="1"/>
  <c r="F154" i="21412"/>
  <c r="E154" i="21412" s="1"/>
  <c r="F100" i="21412"/>
  <c r="E100" i="21412" s="1"/>
  <c r="F141" i="21412"/>
  <c r="E141" i="21412" s="1"/>
  <c r="F294" i="21412"/>
  <c r="E294" i="21412" s="1"/>
  <c r="F215" i="21412"/>
  <c r="E215" i="21412" s="1"/>
  <c r="F175" i="21412"/>
  <c r="E175" i="21412" s="1"/>
  <c r="F254" i="21412"/>
  <c r="E254" i="21412" s="1"/>
  <c r="F245" i="21412"/>
  <c r="E245" i="21412" s="1"/>
  <c r="F137" i="21412"/>
  <c r="E137" i="21412" s="1"/>
  <c r="F22" i="21412"/>
  <c r="E22" i="21412" s="1"/>
  <c r="F205" i="21412"/>
  <c r="E205" i="21412" s="1"/>
  <c r="F15" i="21412"/>
  <c r="E15" i="21412" s="1"/>
  <c r="F319" i="21412"/>
  <c r="E319" i="21412" s="1"/>
  <c r="F301" i="21412"/>
  <c r="E301" i="21412" s="1"/>
  <c r="F267" i="21412"/>
  <c r="E267" i="21412" s="1"/>
  <c r="F116" i="21412"/>
  <c r="E116" i="21412" s="1"/>
  <c r="F250" i="21412"/>
  <c r="E250" i="21412" s="1"/>
  <c r="F25" i="21412"/>
  <c r="E25" i="21412" s="1"/>
  <c r="F146" i="21412"/>
  <c r="E146" i="21412" s="1"/>
  <c r="F157" i="21412"/>
  <c r="E157" i="21412" s="1"/>
  <c r="F131" i="21412"/>
  <c r="E131" i="21412" s="1"/>
  <c r="F220" i="21412"/>
  <c r="E220" i="21412" s="1"/>
  <c r="F269" i="21412"/>
  <c r="E269" i="21412" s="1"/>
  <c r="F283" i="21412"/>
  <c r="E283" i="21412" s="1"/>
  <c r="F158" i="21412"/>
  <c r="E158" i="21412" s="1"/>
  <c r="F148" i="21412"/>
  <c r="E148" i="21412" s="1"/>
  <c r="F12" i="21412"/>
  <c r="E12" i="21412" s="1"/>
  <c r="F171" i="21412"/>
  <c r="E171" i="21412" s="1"/>
  <c r="F134" i="21412"/>
  <c r="E134" i="21412" s="1"/>
  <c r="F33" i="21412"/>
  <c r="E33" i="21412" s="1"/>
  <c r="F202" i="21412"/>
  <c r="E202" i="21412" s="1"/>
  <c r="F63" i="21412"/>
  <c r="E63" i="21412" s="1"/>
  <c r="F224" i="21412"/>
  <c r="E224" i="21412" s="1"/>
  <c r="F190" i="21412"/>
  <c r="E190" i="21412" s="1"/>
  <c r="F9" i="21412"/>
  <c r="E9" i="21412" s="1"/>
  <c r="F156" i="21412"/>
  <c r="E156" i="21412" s="1"/>
  <c r="F300" i="21412"/>
  <c r="E300" i="21412" s="1"/>
  <c r="F132" i="21412"/>
  <c r="E132" i="21412" s="1"/>
  <c r="F44" i="21412"/>
  <c r="E44" i="21412" s="1"/>
  <c r="F196" i="21412"/>
  <c r="E196" i="21412" s="1"/>
  <c r="F274" i="21412"/>
  <c r="E274" i="21412" s="1"/>
  <c r="F84" i="21412"/>
  <c r="E84" i="21412" s="1"/>
  <c r="F271" i="21412"/>
  <c r="E271" i="21412" s="1"/>
  <c r="F288" i="21412"/>
  <c r="E288" i="21412" s="1"/>
  <c r="F61" i="21412"/>
  <c r="E61" i="21412" s="1"/>
  <c r="F221" i="21412"/>
  <c r="E221" i="21412" s="1"/>
  <c r="F295" i="21412"/>
  <c r="E295" i="21412" s="1"/>
  <c r="F234" i="21412"/>
  <c r="E234" i="21412" s="1"/>
  <c r="F170" i="21412"/>
  <c r="E170" i="21412" s="1"/>
  <c r="F287" i="21412"/>
  <c r="E287" i="21412" s="1"/>
  <c r="F121" i="21412"/>
  <c r="E121" i="21412" s="1"/>
  <c r="F94" i="21412"/>
  <c r="E94" i="21412" s="1"/>
  <c r="F28" i="21412"/>
  <c r="E28" i="21412" s="1"/>
  <c r="F23" i="21412"/>
  <c r="E23" i="21412" s="1"/>
  <c r="F265" i="21412"/>
  <c r="E265" i="21412" s="1"/>
  <c r="F188" i="21412"/>
  <c r="E188" i="21412" s="1"/>
  <c r="F281" i="21412"/>
  <c r="E281" i="21412" s="1"/>
  <c r="F162" i="21412"/>
  <c r="E162" i="21412" s="1"/>
  <c r="F276" i="21412"/>
  <c r="E276" i="21412" s="1"/>
  <c r="F259" i="21412"/>
  <c r="E259" i="21412" s="1"/>
  <c r="F56" i="21412"/>
  <c r="E56" i="21412" s="1"/>
  <c r="F248" i="21412"/>
  <c r="E248" i="21412" s="1"/>
  <c r="F229" i="21412"/>
  <c r="E229" i="21412" s="1"/>
  <c r="F310" i="21412"/>
  <c r="E310" i="21412" s="1"/>
  <c r="F256" i="21412"/>
  <c r="E256" i="21412" s="1"/>
  <c r="F255" i="21412"/>
  <c r="E255" i="21412" s="1"/>
  <c r="F204" i="21412"/>
  <c r="E204" i="21412" s="1"/>
  <c r="F4" i="21412"/>
  <c r="E4" i="21412" s="1"/>
  <c r="F153" i="21412"/>
  <c r="E153" i="21412" s="1"/>
  <c r="F181" i="21412"/>
  <c r="E181" i="21412" s="1"/>
  <c r="F72" i="21412"/>
  <c r="E72" i="21412" s="1"/>
  <c r="F258" i="21412"/>
  <c r="E258" i="21412" s="1"/>
  <c r="F324" i="21412"/>
  <c r="E324" i="21412" s="1"/>
  <c r="F31" i="21412"/>
  <c r="E31" i="21412" s="1"/>
  <c r="F233" i="21412"/>
  <c r="E233" i="21412" s="1"/>
  <c r="F40" i="21412"/>
  <c r="E40" i="21412" s="1"/>
  <c r="F111" i="21412"/>
  <c r="E111" i="21412" s="1"/>
  <c r="F185" i="21412"/>
  <c r="E185" i="21412" s="1"/>
  <c r="F70" i="21412"/>
  <c r="E70" i="21412" s="1"/>
  <c r="F317" i="21412"/>
  <c r="E317" i="21412" s="1"/>
  <c r="F290" i="21412"/>
  <c r="E290" i="21412" s="1"/>
  <c r="F304" i="21412"/>
  <c r="E304" i="21412" s="1"/>
  <c r="F54" i="21412"/>
  <c r="E54" i="21412" s="1"/>
  <c r="F200" i="21412"/>
  <c r="E200" i="21412" s="1"/>
  <c r="F314" i="21412"/>
  <c r="E314" i="21412" s="1"/>
  <c r="F223" i="21412"/>
  <c r="E223" i="21412" s="1"/>
  <c r="F166" i="21412"/>
  <c r="E166" i="21412" s="1"/>
  <c r="F210" i="21412"/>
  <c r="E210" i="21412" s="1"/>
  <c r="F235" i="21412"/>
  <c r="E235" i="21412" s="1"/>
  <c r="F218" i="21412"/>
  <c r="E218" i="21412" s="1"/>
  <c r="F127" i="21412"/>
  <c r="E127" i="21412" s="1"/>
  <c r="F198" i="21412"/>
  <c r="E198" i="21412" s="1"/>
  <c r="F107" i="21412"/>
  <c r="E107" i="21412" s="1"/>
  <c r="F206" i="21412"/>
  <c r="E206" i="21412" s="1"/>
  <c r="F150" i="21412"/>
  <c r="E150" i="21412" s="1"/>
  <c r="F219" i="21412"/>
  <c r="E219" i="21412" s="1"/>
  <c r="F126" i="21412"/>
  <c r="E126" i="21412" s="1"/>
  <c r="F225" i="21412"/>
  <c r="E225" i="21412" s="1"/>
  <c r="F177" i="21412"/>
  <c r="E177" i="21412" s="1"/>
  <c r="F20" i="21412"/>
  <c r="E20" i="21412" s="1"/>
  <c r="F270" i="21412"/>
  <c r="E270" i="21412" s="1"/>
  <c r="F165" i="21412"/>
  <c r="E165" i="21412" s="1"/>
  <c r="F197" i="21412"/>
  <c r="E197" i="21412" s="1"/>
  <c r="F178" i="21412"/>
  <c r="E178" i="21412" s="1"/>
  <c r="F18" i="21412"/>
  <c r="E18" i="21412" s="1"/>
  <c r="F306" i="21412"/>
  <c r="E306" i="21412" s="1"/>
  <c r="F5" i="21412"/>
  <c r="E5" i="21412" s="1"/>
  <c r="F292" i="21412"/>
  <c r="E292" i="21412" s="1"/>
  <c r="F247" i="21412"/>
  <c r="E247" i="21412" s="1"/>
  <c r="F261" i="21412"/>
  <c r="E261" i="21412" s="1"/>
  <c r="F138" i="21412"/>
  <c r="E138" i="21412" s="1"/>
  <c r="F95" i="21412"/>
  <c r="E95" i="21412" s="1"/>
  <c r="F128" i="21412"/>
  <c r="E128" i="21412" s="1"/>
  <c r="F313" i="21412"/>
  <c r="E313" i="21412" s="1"/>
  <c r="F103" i="21412"/>
  <c r="E103" i="21412" s="1"/>
  <c r="F35" i="21412"/>
  <c r="E35" i="21412" s="1"/>
  <c r="F298" i="21412"/>
  <c r="E298" i="21412" s="1"/>
  <c r="F189" i="21412"/>
  <c r="E189" i="21412" s="1"/>
  <c r="F316" i="21412"/>
  <c r="E316" i="21412" s="1"/>
  <c r="F67" i="21412"/>
  <c r="E67" i="21412" s="1"/>
  <c r="F47" i="21412"/>
  <c r="E47" i="21412" s="1"/>
  <c r="F89" i="21412"/>
  <c r="E89" i="21412" s="1"/>
  <c r="F262" i="21412"/>
  <c r="E262" i="21412" s="1"/>
  <c r="F168" i="21412"/>
  <c r="E168" i="21412" s="1"/>
  <c r="F251" i="21412"/>
  <c r="E251" i="21412" s="1"/>
  <c r="F268" i="21412"/>
  <c r="E268" i="21412" s="1"/>
  <c r="F246" i="21412"/>
  <c r="E246" i="21412" s="1"/>
  <c r="F113" i="21412"/>
  <c r="E113" i="21412" s="1"/>
  <c r="F169" i="21412"/>
  <c r="E169" i="21412" s="1"/>
  <c r="F123" i="21412"/>
  <c r="E123" i="21412" s="1"/>
  <c r="F29" i="21412"/>
  <c r="E29" i="21412" s="1"/>
  <c r="F277" i="21412"/>
  <c r="E277" i="21412" s="1"/>
  <c r="F203" i="21412"/>
  <c r="E203" i="21412" s="1"/>
  <c r="F52" i="21412"/>
  <c r="E52" i="21412" s="1"/>
  <c r="F231" i="21412"/>
  <c r="E231" i="21412" s="1"/>
  <c r="F228" i="21412"/>
  <c r="E228" i="21412" s="1"/>
  <c r="F241" i="21412"/>
  <c r="E241" i="21412" s="1"/>
  <c r="F87" i="21412"/>
  <c r="E87" i="21412" s="1"/>
  <c r="F187" i="21412"/>
  <c r="E187" i="21412" s="1"/>
  <c r="F143" i="21412"/>
  <c r="E143" i="21412" s="1"/>
  <c r="F257" i="21412"/>
  <c r="E257" i="21412" s="1"/>
  <c r="F163" i="21412"/>
  <c r="E163" i="21412" s="1"/>
  <c r="F208" i="21412"/>
  <c r="E208" i="21412" s="1"/>
  <c r="F38" i="21412"/>
  <c r="E38" i="21412" s="1"/>
  <c r="F6" i="21412"/>
  <c r="E6" i="21412" s="1"/>
  <c r="F239" i="21412"/>
  <c r="E239" i="21412" s="1"/>
  <c r="F278" i="21412"/>
  <c r="E278" i="21412" s="1"/>
  <c r="F222" i="21412"/>
  <c r="E222" i="21412" s="1"/>
  <c r="F297" i="21412"/>
  <c r="E297" i="21412" s="1"/>
  <c r="F92" i="21412"/>
  <c r="E92" i="21412" s="1"/>
  <c r="F302" i="21412"/>
  <c r="E302" i="21412" s="1"/>
  <c r="F216" i="21412"/>
  <c r="E216" i="21412" s="1"/>
  <c r="F240" i="21412"/>
  <c r="E240" i="21412" s="1"/>
  <c r="F213" i="21412"/>
  <c r="E213" i="21412" s="1"/>
  <c r="F124" i="21412"/>
  <c r="E124" i="21412" s="1"/>
  <c r="F58" i="21412"/>
  <c r="E58" i="21412" s="1"/>
  <c r="F39" i="21412"/>
  <c r="E39" i="21412" s="1"/>
  <c r="F105" i="21412"/>
  <c r="E105" i="21412" s="1"/>
  <c r="F19" i="21412"/>
  <c r="E19" i="21412" s="1"/>
  <c r="F80" i="21412"/>
  <c r="E80" i="21412" s="1"/>
  <c r="F253" i="21412"/>
  <c r="E253" i="21412" s="1"/>
  <c r="F68" i="21412"/>
  <c r="E68" i="21412" s="1"/>
  <c r="F98" i="21412"/>
  <c r="E98" i="21412" s="1"/>
  <c r="F249" i="21412"/>
  <c r="E249" i="21412" s="1"/>
  <c r="F118" i="21412"/>
  <c r="E118" i="21412" s="1"/>
  <c r="F263" i="21412"/>
  <c r="E263" i="21412" s="1"/>
  <c r="F109" i="21412"/>
  <c r="E109" i="21412" s="1"/>
  <c r="F296" i="21412"/>
  <c r="E296" i="21412" s="1"/>
  <c r="F303" i="21412"/>
  <c r="E303" i="21412" s="1"/>
  <c r="F136" i="21412"/>
  <c r="E136" i="21412" s="1"/>
  <c r="F176" i="21412"/>
  <c r="E176" i="21412" s="1"/>
  <c r="F139" i="21412"/>
  <c r="E139" i="21412" s="1"/>
  <c r="F102" i="21412"/>
  <c r="E102" i="21412" s="1"/>
  <c r="F325" i="21412"/>
  <c r="E325" i="21412" s="1"/>
  <c r="F122" i="21412"/>
  <c r="E122" i="21412" s="1"/>
  <c r="F129" i="21412"/>
  <c r="E129" i="21412" s="1"/>
  <c r="F36" i="21412"/>
  <c r="E36" i="21412" s="1"/>
  <c r="F34" i="21412"/>
  <c r="E34" i="21412" s="1"/>
  <c r="F76" i="21412"/>
  <c r="E76" i="21412" s="1"/>
  <c r="F299" i="21412"/>
  <c r="E299" i="21412" s="1"/>
  <c r="F172" i="21412"/>
  <c r="E172" i="21412" s="1"/>
  <c r="F53" i="21412"/>
  <c r="E53" i="21412" s="1"/>
  <c r="F135" i="21412"/>
  <c r="E135" i="21412" s="1"/>
  <c r="F114" i="21412"/>
  <c r="E114" i="21412" s="1"/>
  <c r="F264" i="21412"/>
  <c r="E264" i="21412" s="1"/>
  <c r="F11" i="21412"/>
  <c r="E11" i="21412" s="1"/>
  <c r="C384" i="2"/>
  <c r="C386" i="2" l="1"/>
  <c r="BB384" i="2"/>
  <c r="C388" i="2" l="1"/>
  <c r="C390" i="2" l="1"/>
  <c r="BB388" i="2"/>
  <c r="C392" i="2" l="1"/>
  <c r="BB390" i="2"/>
  <c r="C394" i="2" l="1"/>
  <c r="C396" i="2" l="1"/>
  <c r="C398" i="2" l="1"/>
  <c r="J396" i="2"/>
  <c r="BB396" i="2"/>
  <c r="C400" i="2" l="1"/>
  <c r="C402" i="2" l="1"/>
  <c r="C404" i="2" l="1"/>
  <c r="C406" i="2" l="1"/>
  <c r="J405" i="2" l="1"/>
  <c r="J406" i="2"/>
  <c r="BB406" i="2"/>
  <c r="H300" i="21408"/>
  <c r="G300" i="21408" s="1"/>
  <c r="H299" i="21408"/>
  <c r="G299" i="21408" s="1"/>
  <c r="H318" i="21408"/>
  <c r="G318" i="21408" s="1"/>
  <c r="F26" i="21402"/>
  <c r="H239" i="21408"/>
  <c r="G239" i="21408" s="1"/>
  <c r="H229" i="21408"/>
  <c r="G229" i="21408" s="1"/>
  <c r="H85" i="21408"/>
  <c r="G85" i="21408" s="1"/>
  <c r="H97" i="21408"/>
  <c r="G97" i="21408" s="1"/>
  <c r="H269" i="21408"/>
  <c r="G269" i="21408" s="1"/>
  <c r="H274" i="21408"/>
  <c r="G274" i="21408" s="1"/>
  <c r="H252" i="21408"/>
  <c r="G252" i="21408" s="1"/>
  <c r="H74" i="21408"/>
  <c r="G74" i="21408" s="1"/>
  <c r="H364" i="21408"/>
  <c r="G364" i="21408" s="1"/>
  <c r="H184" i="21408"/>
  <c r="G184" i="21408" s="1"/>
  <c r="F50" i="21402"/>
  <c r="H89" i="21408"/>
  <c r="G89" i="21408" s="1"/>
  <c r="H306" i="21408"/>
  <c r="G306" i="21408" s="1"/>
  <c r="F20" i="21402"/>
  <c r="H171" i="21408"/>
  <c r="G171" i="21408" s="1"/>
  <c r="H117" i="21408"/>
  <c r="G117" i="21408" s="1"/>
  <c r="H112" i="21408"/>
  <c r="G112" i="21408" s="1"/>
  <c r="F36" i="21402"/>
  <c r="F3" i="21402"/>
  <c r="E3" i="21402" s="1"/>
  <c r="H25" i="21408"/>
  <c r="G25" i="21408" s="1"/>
  <c r="H11" i="21408"/>
  <c r="G11" i="21408" s="1"/>
  <c r="H68" i="21408"/>
  <c r="G68" i="21408" s="1"/>
  <c r="H124" i="21408"/>
  <c r="G124" i="21408" s="1"/>
  <c r="F5" i="21402"/>
  <c r="E5" i="21402" s="1"/>
  <c r="H359" i="21408"/>
  <c r="G359" i="21408" s="1"/>
  <c r="H268" i="21408"/>
  <c r="G268" i="21408" s="1"/>
  <c r="H237" i="21408"/>
  <c r="G237" i="21408" s="1"/>
  <c r="H270" i="21408"/>
  <c r="G270" i="21408" s="1"/>
  <c r="H362" i="21408"/>
  <c r="G362" i="21408" s="1"/>
  <c r="H132" i="21408"/>
  <c r="G132" i="21408" s="1"/>
  <c r="F67" i="21402"/>
  <c r="H219" i="21408"/>
  <c r="G219" i="21408" s="1"/>
  <c r="F60" i="21402"/>
  <c r="H32" i="21408"/>
  <c r="G32" i="21408" s="1"/>
  <c r="H225" i="21408"/>
  <c r="G225" i="21408" s="1"/>
  <c r="H188" i="21408"/>
  <c r="G188" i="21408" s="1"/>
  <c r="H83" i="21408"/>
  <c r="G83" i="21408" s="1"/>
  <c r="H31" i="21408"/>
  <c r="G31" i="21408" s="1"/>
  <c r="H240" i="21408"/>
  <c r="G240" i="21408" s="1"/>
  <c r="H197" i="21408"/>
  <c r="G197" i="21408" s="1"/>
  <c r="H246" i="21408"/>
  <c r="G246" i="21408" s="1"/>
  <c r="H296" i="21408"/>
  <c r="H295" i="21408" s="1"/>
  <c r="G295" i="21408" s="1"/>
  <c r="H148" i="21408"/>
  <c r="G148" i="21408" s="1"/>
  <c r="H153" i="21408"/>
  <c r="G153" i="21408" s="1"/>
  <c r="F16" i="21402"/>
  <c r="H18" i="21408"/>
  <c r="G18" i="21408" s="1"/>
  <c r="F71" i="21402"/>
  <c r="H92" i="21408"/>
  <c r="G92" i="21408" s="1"/>
  <c r="H141" i="21408"/>
  <c r="G141" i="21408" s="1"/>
  <c r="H307" i="21408"/>
  <c r="G307" i="21408" s="1"/>
  <c r="H358" i="21408"/>
  <c r="G358" i="21408" s="1"/>
  <c r="H121" i="21408"/>
  <c r="G121" i="21408" s="1"/>
  <c r="H271" i="21408"/>
  <c r="G271" i="21408" s="1"/>
  <c r="H162" i="21408"/>
  <c r="G162" i="21408" s="1"/>
  <c r="F32" i="21402"/>
  <c r="H217" i="21408"/>
  <c r="G217" i="21408" s="1"/>
  <c r="F61" i="21402"/>
  <c r="H321" i="21408"/>
  <c r="G321" i="21408" s="1"/>
  <c r="H232" i="21408"/>
  <c r="G232" i="21408" s="1"/>
  <c r="H30" i="21408"/>
  <c r="G30" i="21408" s="1"/>
  <c r="H12" i="21408"/>
  <c r="G12" i="21408" s="1"/>
  <c r="F33" i="21402"/>
  <c r="H78" i="21408"/>
  <c r="G78" i="21408" s="1"/>
  <c r="H163" i="21408"/>
  <c r="G163" i="21408" s="1"/>
  <c r="H175" i="21408"/>
  <c r="G175" i="21408" s="1"/>
  <c r="H161" i="21408"/>
  <c r="G161" i="21408" s="1"/>
  <c r="H115" i="21408"/>
  <c r="G115" i="21408" s="1"/>
  <c r="F15" i="21402"/>
  <c r="H280" i="21408"/>
  <c r="G280" i="21408" s="1"/>
  <c r="H122" i="21408"/>
  <c r="G122" i="21408" s="1"/>
  <c r="H86" i="21408"/>
  <c r="G86" i="21408" s="1"/>
  <c r="F9" i="21402"/>
  <c r="H140" i="21408"/>
  <c r="G140" i="21408" s="1"/>
  <c r="H110" i="21408"/>
  <c r="G110" i="21408" s="1"/>
  <c r="F6" i="21402"/>
  <c r="E6" i="21402" s="1"/>
  <c r="H82" i="21408"/>
  <c r="G82" i="21408" s="1"/>
  <c r="H149" i="21408"/>
  <c r="G149" i="21408" s="1"/>
  <c r="H125" i="21408"/>
  <c r="G125" i="21408" s="1"/>
  <c r="H244" i="21408"/>
  <c r="G244" i="21408" s="1"/>
  <c r="H77" i="21408"/>
  <c r="G77" i="21408" s="1"/>
  <c r="H234" i="21408"/>
  <c r="G234" i="21408" s="1"/>
  <c r="H146" i="21408"/>
  <c r="G146" i="21408" s="1"/>
  <c r="H15" i="21408"/>
  <c r="G15" i="21408" s="1"/>
  <c r="H14" i="21408"/>
  <c r="G14" i="21408" s="1"/>
  <c r="H215" i="21408"/>
  <c r="H314" i="21408"/>
  <c r="G314" i="21408" s="1"/>
  <c r="H243" i="21408"/>
  <c r="G243" i="21408" s="1"/>
  <c r="F58" i="21402"/>
  <c r="H145" i="21408"/>
  <c r="G145" i="21408" s="1"/>
  <c r="F21" i="21402"/>
  <c r="H29" i="21408"/>
  <c r="G29" i="21408" s="1"/>
  <c r="H245" i="21408"/>
  <c r="G245" i="21408" s="1"/>
  <c r="H222" i="21408"/>
  <c r="G222" i="21408" s="1"/>
  <c r="F51" i="21402"/>
  <c r="H10" i="21408"/>
  <c r="G10" i="21408" s="1"/>
  <c r="H96" i="21408"/>
  <c r="G96" i="21408" s="1"/>
  <c r="H143" i="21408"/>
  <c r="G143" i="21408" s="1"/>
  <c r="H365" i="21408"/>
  <c r="G365" i="21408" s="1"/>
  <c r="H73" i="21408"/>
  <c r="G73" i="21408" s="1"/>
  <c r="H22" i="21408"/>
  <c r="G22" i="21408" s="1"/>
  <c r="H231" i="21408"/>
  <c r="G231" i="21408" s="1"/>
  <c r="H103" i="21408"/>
  <c r="G103" i="21408" s="1"/>
  <c r="H181" i="21408"/>
  <c r="G181" i="21408" s="1"/>
  <c r="H20" i="21408"/>
  <c r="G20" i="21408" s="1"/>
  <c r="H94" i="21408"/>
  <c r="G94" i="21408" s="1"/>
  <c r="H80" i="21408"/>
  <c r="G80" i="21408" s="1"/>
  <c r="H226" i="21408"/>
  <c r="G226" i="21408" s="1"/>
  <c r="H275" i="21408"/>
  <c r="G275" i="21408" s="1"/>
  <c r="H160" i="21408"/>
  <c r="G160" i="21408" s="1"/>
  <c r="H6" i="21408"/>
  <c r="G6" i="21408" s="1"/>
  <c r="H91" i="21408"/>
  <c r="G91" i="21408" s="1"/>
  <c r="H16" i="21408"/>
  <c r="G16" i="21408" s="1"/>
  <c r="H164" i="21408"/>
  <c r="G164" i="21408" s="1"/>
  <c r="H183" i="21408"/>
  <c r="G183" i="21408" s="1"/>
  <c r="H198" i="21408"/>
  <c r="G198" i="21408" s="1"/>
  <c r="H151" i="21408"/>
  <c r="G151" i="21408" s="1"/>
  <c r="H127" i="21408"/>
  <c r="G127" i="21408" s="1"/>
  <c r="H129" i="21408"/>
  <c r="G129" i="21408" s="1"/>
  <c r="H158" i="21408"/>
  <c r="G158" i="21408" s="1"/>
  <c r="H21" i="21408"/>
  <c r="G21" i="21408" s="1"/>
  <c r="H159" i="21408"/>
  <c r="G159" i="21408" s="1"/>
  <c r="F56" i="21402"/>
  <c r="H224" i="21408"/>
  <c r="G224" i="21408" s="1"/>
  <c r="H236" i="21408"/>
  <c r="G236" i="21408" s="1"/>
  <c r="H258" i="21408"/>
  <c r="G258" i="21408" s="1"/>
  <c r="F42" i="21402"/>
  <c r="H189" i="21408"/>
  <c r="G189" i="21408" s="1"/>
  <c r="F10" i="21402"/>
  <c r="H169" i="21408"/>
  <c r="G169" i="21408" s="1"/>
  <c r="F25" i="21402"/>
  <c r="F54" i="21402"/>
  <c r="H76" i="21408"/>
  <c r="G76" i="21408" s="1"/>
  <c r="F23" i="21402"/>
  <c r="H150" i="21408"/>
  <c r="G150" i="21408" s="1"/>
  <c r="H28" i="21408"/>
  <c r="G28" i="21408" s="1"/>
  <c r="H126" i="21408"/>
  <c r="G126" i="21408" s="1"/>
  <c r="H279" i="21408"/>
  <c r="G279" i="21408" s="1"/>
  <c r="H123" i="21408"/>
  <c r="G123" i="21408" s="1"/>
  <c r="H319" i="21408"/>
  <c r="G319" i="21408" s="1"/>
  <c r="F18" i="21402"/>
  <c r="H116" i="21408"/>
  <c r="G116" i="21408" s="1"/>
  <c r="H120" i="21408"/>
  <c r="G120" i="21408" s="1"/>
  <c r="H134" i="21408"/>
  <c r="G134" i="21408" s="1"/>
  <c r="H95" i="21408"/>
  <c r="G95" i="21408" s="1"/>
  <c r="H367" i="21408"/>
  <c r="G367" i="21408" s="1"/>
  <c r="H154" i="21408"/>
  <c r="H172" i="21408"/>
  <c r="G172" i="21408" s="1"/>
  <c r="H3" i="21408"/>
  <c r="G3" i="21408" s="1"/>
  <c r="H281" i="21408"/>
  <c r="G281" i="21408" s="1"/>
  <c r="H185" i="21408"/>
  <c r="G185" i="21408" s="1"/>
  <c r="H228" i="21408"/>
  <c r="G228" i="21408" s="1"/>
  <c r="H70" i="21408"/>
  <c r="G70" i="21408" s="1"/>
  <c r="H242" i="21408"/>
  <c r="G242" i="21408" s="1"/>
  <c r="H111" i="21408"/>
  <c r="G111" i="21408" s="1"/>
  <c r="H93" i="21408"/>
  <c r="G93" i="21408" s="1"/>
  <c r="H19" i="21408"/>
  <c r="G19" i="21408" s="1"/>
  <c r="H104" i="21408"/>
  <c r="G104" i="21408" s="1"/>
  <c r="H156" i="21408"/>
  <c r="G156" i="21408" s="1"/>
  <c r="H363" i="21408"/>
  <c r="G363" i="21408" s="1"/>
  <c r="H320" i="21408"/>
  <c r="G320" i="21408" s="1"/>
  <c r="H199" i="21408"/>
  <c r="G199" i="21408" s="1"/>
  <c r="H72" i="21408"/>
  <c r="G72" i="21408" s="1"/>
  <c r="H174" i="21408"/>
  <c r="G174" i="21408" s="1"/>
  <c r="H26" i="21408"/>
  <c r="G26" i="21408" s="1"/>
  <c r="H186" i="21408"/>
  <c r="G186" i="21408" s="1"/>
  <c r="H136" i="21408"/>
  <c r="G136" i="21408" s="1"/>
  <c r="H361" i="21408"/>
  <c r="G361" i="21408" s="1"/>
  <c r="H5" i="21408"/>
  <c r="G5" i="21408" s="1"/>
  <c r="F43" i="21402"/>
  <c r="F37" i="21402"/>
  <c r="H142" i="21408"/>
  <c r="G142" i="21408" s="1"/>
  <c r="H113" i="21408"/>
  <c r="G113" i="21408" s="1"/>
  <c r="H263" i="21408"/>
  <c r="G263" i="21408" s="1"/>
  <c r="F68" i="21402"/>
  <c r="H106" i="21408"/>
  <c r="G106" i="21408" s="1"/>
  <c r="H238" i="21408"/>
  <c r="G238" i="21408" s="1"/>
  <c r="H17" i="21408"/>
  <c r="G17" i="21408" s="1"/>
  <c r="H23" i="21408"/>
  <c r="G23" i="21408" s="1"/>
  <c r="H130" i="21408"/>
  <c r="G130" i="21408" s="1"/>
  <c r="H71" i="21408"/>
  <c r="G71" i="21408" s="1"/>
  <c r="F19" i="21402"/>
  <c r="H165" i="21408"/>
  <c r="G165" i="21408" s="1"/>
  <c r="H311" i="21408"/>
  <c r="H313" i="21408"/>
  <c r="G313" i="21408" s="1"/>
  <c r="H84" i="21408"/>
  <c r="G84" i="21408" s="1"/>
  <c r="H360" i="21408"/>
  <c r="G360" i="21408" s="1"/>
  <c r="H135" i="21408"/>
  <c r="G135" i="21408" s="1"/>
  <c r="H8" i="21408"/>
  <c r="G8" i="21408" s="1"/>
  <c r="F34" i="21402"/>
  <c r="F4" i="21402"/>
  <c r="E4" i="21402" s="1"/>
  <c r="H241" i="21408"/>
  <c r="G241" i="21408" s="1"/>
  <c r="H173" i="21408"/>
  <c r="G173" i="21408" s="1"/>
  <c r="H147" i="21408"/>
  <c r="G147" i="21408" s="1"/>
  <c r="H4" i="21408"/>
  <c r="G4" i="21408" s="1"/>
  <c r="H118" i="21408"/>
  <c r="G118" i="21408" s="1"/>
  <c r="F22" i="21402"/>
  <c r="F69" i="21402"/>
  <c r="H223" i="21408"/>
  <c r="G223" i="21408" s="1"/>
  <c r="H304" i="21408"/>
  <c r="G304" i="21408" s="1"/>
  <c r="H152" i="21408"/>
  <c r="G152" i="21408" s="1"/>
  <c r="H195" i="21408"/>
  <c r="G195" i="21408" s="1"/>
  <c r="H322" i="21408"/>
  <c r="G322" i="21408" s="1"/>
  <c r="F17" i="21402"/>
  <c r="H256" i="21408"/>
  <c r="G256" i="21408" s="1"/>
  <c r="H114" i="21408"/>
  <c r="G114" i="21408" s="1"/>
  <c r="H90" i="21408"/>
  <c r="G90" i="21408" s="1"/>
  <c r="H81" i="21408"/>
  <c r="G81" i="21408" s="1"/>
  <c r="H251" i="21408"/>
  <c r="G251" i="21408" s="1"/>
  <c r="H272" i="21408"/>
  <c r="G272" i="21408" s="1"/>
  <c r="H102" i="21408"/>
  <c r="G102" i="21408" s="1"/>
  <c r="H79" i="21408"/>
  <c r="G79" i="21408" s="1"/>
  <c r="H107" i="21408"/>
  <c r="G107" i="21408" s="1"/>
  <c r="H249" i="21408"/>
  <c r="G249" i="21408" s="1"/>
  <c r="H105" i="21408"/>
  <c r="G105" i="21408" s="1"/>
  <c r="H257" i="21408"/>
  <c r="G257" i="21408" s="1"/>
  <c r="H218" i="21408"/>
  <c r="G218" i="21408" s="1"/>
  <c r="F52" i="21402"/>
  <c r="F49" i="21402"/>
  <c r="H316" i="21408"/>
  <c r="G316" i="21408" s="1"/>
  <c r="F40" i="21402"/>
  <c r="H187" i="21408"/>
  <c r="G187" i="21408" s="1"/>
  <c r="H266" i="21408"/>
  <c r="G266" i="21408" s="1"/>
  <c r="H88" i="21408"/>
  <c r="G88" i="21408" s="1"/>
  <c r="F70" i="21402"/>
  <c r="H235" i="21408"/>
  <c r="G235" i="21408" s="1"/>
  <c r="H157" i="21408"/>
  <c r="G157" i="21408" s="1"/>
  <c r="H13" i="21408"/>
  <c r="G13" i="21408" s="1"/>
  <c r="H250" i="21408"/>
  <c r="G250" i="21408" s="1"/>
  <c r="H9" i="21408"/>
  <c r="G9" i="21408" s="1"/>
  <c r="F55" i="21402"/>
  <c r="H310" i="21408"/>
  <c r="F39" i="21402"/>
  <c r="H27" i="21408"/>
  <c r="G27" i="21408" s="1"/>
  <c r="H87" i="21408"/>
  <c r="G87" i="21408" s="1"/>
  <c r="H312" i="21408"/>
  <c r="G312" i="21408" s="1"/>
  <c r="F41" i="21402"/>
  <c r="H192" i="21408"/>
  <c r="G192" i="21408" s="1"/>
  <c r="H278" i="21408"/>
  <c r="G278" i="21408" s="1"/>
  <c r="H155" i="21408"/>
  <c r="G155" i="21408" s="1"/>
  <c r="F72" i="21402"/>
  <c r="H366" i="21408"/>
  <c r="G366" i="21408" s="1"/>
  <c r="H248" i="21408"/>
  <c r="G248" i="21408" s="1"/>
  <c r="H108" i="21408"/>
  <c r="G108" i="21408" s="1"/>
  <c r="H276" i="21408"/>
  <c r="G276" i="21408" s="1"/>
  <c r="H170" i="21408"/>
  <c r="G170" i="21408" s="1"/>
  <c r="H109" i="21408"/>
  <c r="G109" i="21408" s="1"/>
  <c r="H196" i="21408"/>
  <c r="G196" i="21408" s="1"/>
  <c r="H190" i="21408"/>
  <c r="G190" i="21408" s="1"/>
  <c r="H182" i="21408"/>
  <c r="G182" i="21408" s="1"/>
  <c r="H63" i="21408"/>
  <c r="G63" i="21408" s="1"/>
  <c r="H167" i="21408"/>
  <c r="G167" i="21408" s="1"/>
  <c r="H305" i="21408"/>
  <c r="G305" i="21408" s="1"/>
  <c r="H220" i="21408"/>
  <c r="G220" i="21408" s="1"/>
  <c r="H372" i="21408"/>
  <c r="G372" i="21408" s="1"/>
  <c r="H203" i="21408"/>
  <c r="G203" i="21408" s="1"/>
  <c r="H178" i="21408"/>
  <c r="G178" i="21408" s="1"/>
  <c r="H176" i="21408"/>
  <c r="G176" i="21408" s="1"/>
  <c r="H210" i="21408"/>
  <c r="G210" i="21408" s="1"/>
  <c r="H221" i="21408"/>
  <c r="G221" i="21408" s="1"/>
  <c r="H204" i="21408"/>
  <c r="G204" i="21408" s="1"/>
  <c r="H179" i="21408"/>
  <c r="G179" i="21408" s="1"/>
  <c r="H211" i="21408"/>
  <c r="G211" i="21408" s="1"/>
  <c r="H247" i="21408"/>
  <c r="G247" i="21408" s="1"/>
  <c r="H119" i="21408"/>
  <c r="G119" i="21408" s="1"/>
  <c r="H265" i="21408"/>
  <c r="G265" i="21408" s="1"/>
  <c r="F53" i="21402"/>
  <c r="H128" i="21408"/>
  <c r="G128" i="21408" s="1"/>
  <c r="H264" i="21408"/>
  <c r="H180" i="21408"/>
  <c r="G180" i="21408" s="1"/>
  <c r="H273" i="21408"/>
  <c r="G273" i="21408" s="1"/>
  <c r="H24" i="21408"/>
  <c r="G24" i="21408" s="1"/>
  <c r="H75" i="21408"/>
  <c r="G75" i="21408" s="1"/>
  <c r="H373" i="21408"/>
  <c r="G373" i="21408" s="1"/>
  <c r="H208" i="21408"/>
  <c r="G208" i="21408" s="1"/>
  <c r="H317" i="21408"/>
  <c r="G317" i="21408" s="1"/>
  <c r="H209" i="21408"/>
  <c r="G209" i="21408" s="1"/>
  <c r="H200" i="21408"/>
  <c r="G200" i="21408" s="1"/>
  <c r="H144" i="21408"/>
  <c r="G144" i="21408" s="1"/>
  <c r="H166" i="21408"/>
  <c r="G166" i="21408" s="1"/>
  <c r="H277" i="21408"/>
  <c r="G277" i="21408" s="1"/>
  <c r="F35" i="21402"/>
  <c r="F24" i="21402"/>
  <c r="H213" i="21408"/>
  <c r="H205" i="21408"/>
  <c r="G205" i="21408" s="1"/>
  <c r="H207" i="21408"/>
  <c r="G207" i="21408" s="1"/>
  <c r="H230" i="21408"/>
  <c r="G230" i="21408" s="1"/>
  <c r="H227" i="21408"/>
  <c r="G227" i="21408" s="1"/>
  <c r="H324" i="21408"/>
  <c r="G324" i="21408" s="1"/>
  <c r="H212" i="21408"/>
  <c r="G212" i="21408" s="1"/>
  <c r="H315" i="21408"/>
  <c r="G315" i="21408" s="1"/>
  <c r="F59" i="21402"/>
  <c r="H7" i="21408"/>
  <c r="G7" i="21408" s="1"/>
  <c r="F38" i="21402"/>
  <c r="H69" i="21408"/>
  <c r="G69" i="21408" s="1"/>
  <c r="H191" i="21408"/>
  <c r="G191" i="21408" s="1"/>
  <c r="H133" i="21408"/>
  <c r="G133" i="21408" s="1"/>
  <c r="F8" i="21402"/>
  <c r="F57" i="21402"/>
  <c r="H194" i="21408"/>
  <c r="G194" i="21408" s="1"/>
  <c r="H177" i="21408"/>
  <c r="G177" i="21408" s="1"/>
  <c r="H233" i="21408"/>
  <c r="G233" i="21408" s="1"/>
  <c r="H261" i="21408"/>
  <c r="G261" i="21408" s="1"/>
  <c r="H323" i="21408"/>
  <c r="G323" i="21408" s="1"/>
  <c r="H374" i="21408"/>
  <c r="H131" i="21408"/>
  <c r="G131" i="21408" s="1"/>
  <c r="H206" i="21408"/>
  <c r="G206" i="21408" s="1"/>
  <c r="H260" i="21408"/>
  <c r="G260" i="21408" s="1"/>
  <c r="H193" i="21408"/>
  <c r="G193" i="21408" s="1"/>
  <c r="H46" i="21408" l="1"/>
  <c r="G46" i="21408" s="1"/>
  <c r="H34" i="21408"/>
  <c r="G34" i="21408" s="1"/>
  <c r="H45" i="21408"/>
  <c r="G45" i="21408" s="1"/>
  <c r="H55" i="21408"/>
  <c r="G55" i="21408" s="1"/>
  <c r="H36" i="21408"/>
  <c r="G36" i="21408" s="1"/>
  <c r="H58" i="21408"/>
  <c r="G58" i="21408" s="1"/>
  <c r="H43" i="21408"/>
  <c r="G43" i="21408" s="1"/>
  <c r="H47" i="21408"/>
  <c r="G47" i="21408" s="1"/>
  <c r="H39" i="21408"/>
  <c r="G39" i="21408" s="1"/>
  <c r="H168" i="21408"/>
  <c r="G168" i="21408" s="1"/>
  <c r="H61" i="21408"/>
  <c r="G61" i="21408" s="1"/>
  <c r="H52" i="21408"/>
  <c r="G52" i="21408" s="1"/>
  <c r="H51" i="21408"/>
  <c r="G51" i="21408" s="1"/>
  <c r="H53" i="21408"/>
  <c r="G53" i="21408" s="1"/>
  <c r="H56" i="21408"/>
  <c r="G56" i="21408" s="1"/>
  <c r="H54" i="21408"/>
  <c r="G54" i="21408" s="1"/>
  <c r="H38" i="21408"/>
  <c r="G38" i="21408" s="1"/>
  <c r="H42" i="21408"/>
  <c r="G42" i="21408" s="1"/>
  <c r="H48" i="21408"/>
  <c r="G48" i="21408" s="1"/>
  <c r="H37" i="21408"/>
  <c r="G37" i="21408" s="1"/>
  <c r="H59" i="21408"/>
  <c r="G59" i="21408" s="1"/>
  <c r="H49" i="21408"/>
  <c r="G49" i="21408" s="1"/>
  <c r="H35" i="21408"/>
  <c r="G35" i="21408" s="1"/>
  <c r="H62" i="21408"/>
  <c r="G62" i="21408" s="1"/>
  <c r="H41" i="21408"/>
  <c r="G41" i="21408" s="1"/>
  <c r="H50" i="21408"/>
  <c r="G50" i="21408" s="1"/>
  <c r="H60" i="21408"/>
  <c r="G60" i="21408" s="1"/>
  <c r="H33" i="21408"/>
  <c r="G33" i="21408" s="1"/>
  <c r="H40" i="21408"/>
  <c r="G40" i="21408" s="1"/>
  <c r="H57" i="21408"/>
  <c r="G57" i="21408" s="1"/>
  <c r="H44" i="21408"/>
  <c r="G44" i="21408" s="1"/>
  <c r="H369" i="21408"/>
  <c r="G369" i="21408" s="1"/>
  <c r="G374" i="21408"/>
  <c r="E8" i="21402"/>
  <c r="D8" i="21402"/>
  <c r="E38" i="21402"/>
  <c r="D38" i="21402"/>
  <c r="E35" i="21402"/>
  <c r="D35" i="21402"/>
  <c r="D53" i="21402"/>
  <c r="E53" i="21402"/>
  <c r="E55" i="21402"/>
  <c r="D55" i="21402"/>
  <c r="D49" i="21402"/>
  <c r="E49" i="21402"/>
  <c r="D68" i="21402"/>
  <c r="E68" i="21402"/>
  <c r="D37" i="21402"/>
  <c r="E37" i="21402"/>
  <c r="G154" i="21408"/>
  <c r="D25" i="21402"/>
  <c r="E25" i="21402"/>
  <c r="D42" i="21402"/>
  <c r="E42" i="21402"/>
  <c r="D56" i="21402"/>
  <c r="E56" i="21402"/>
  <c r="D51" i="21402"/>
  <c r="E51" i="21402"/>
  <c r="D21" i="21402"/>
  <c r="E21" i="21402"/>
  <c r="E33" i="21402"/>
  <c r="D33" i="21402"/>
  <c r="H297" i="21408"/>
  <c r="G296" i="21408"/>
  <c r="E36" i="21402"/>
  <c r="D36" i="21402"/>
  <c r="D20" i="21402"/>
  <c r="E20" i="21402"/>
  <c r="E52" i="21402"/>
  <c r="D52" i="21402"/>
  <c r="E69" i="21402"/>
  <c r="D69" i="21402"/>
  <c r="E34" i="21402"/>
  <c r="D34" i="21402"/>
  <c r="E19" i="21402"/>
  <c r="D19" i="21402"/>
  <c r="D43" i="21402"/>
  <c r="E43" i="21402"/>
  <c r="E23" i="21402"/>
  <c r="D23" i="21402"/>
  <c r="H216" i="21408"/>
  <c r="G216" i="21408" s="1"/>
  <c r="G215" i="21408"/>
  <c r="E61" i="21402"/>
  <c r="D61" i="21402"/>
  <c r="D16" i="21402"/>
  <c r="E16" i="21402"/>
  <c r="E60" i="21402"/>
  <c r="D60" i="21402"/>
  <c r="D59" i="21402"/>
  <c r="E59" i="21402"/>
  <c r="H214" i="21408"/>
  <c r="G214" i="21408" s="1"/>
  <c r="G213" i="21408"/>
  <c r="H262" i="21408"/>
  <c r="G262" i="21408" s="1"/>
  <c r="G264" i="21408"/>
  <c r="E72" i="21402"/>
  <c r="D72" i="21402"/>
  <c r="D41" i="21402"/>
  <c r="E41" i="21402"/>
  <c r="D39" i="21402"/>
  <c r="E39" i="21402"/>
  <c r="E70" i="21402"/>
  <c r="D70" i="21402"/>
  <c r="E40" i="21402"/>
  <c r="D40" i="21402"/>
  <c r="E22" i="21402"/>
  <c r="D22" i="21402"/>
  <c r="E18" i="21402"/>
  <c r="D18" i="21402"/>
  <c r="E10" i="21402"/>
  <c r="D10" i="21402"/>
  <c r="E58" i="21402"/>
  <c r="D58" i="21402"/>
  <c r="E9" i="21402"/>
  <c r="D9" i="21402"/>
  <c r="D15" i="21402"/>
  <c r="E15" i="21402"/>
  <c r="D26" i="21402"/>
  <c r="E26" i="21402"/>
  <c r="D57" i="21402"/>
  <c r="E57" i="21402"/>
  <c r="E24" i="21402"/>
  <c r="D24" i="21402"/>
  <c r="H308" i="21408"/>
  <c r="G308" i="21408" s="1"/>
  <c r="G310" i="21408"/>
  <c r="E17" i="21402"/>
  <c r="D17" i="21402"/>
  <c r="H309" i="21408"/>
  <c r="G309" i="21408" s="1"/>
  <c r="G311" i="21408"/>
  <c r="E54" i="21402"/>
  <c r="D54" i="21402"/>
  <c r="D32" i="21402"/>
  <c r="E32" i="21402"/>
  <c r="E71" i="21402"/>
  <c r="D71" i="21402"/>
  <c r="E67" i="21402"/>
  <c r="D67" i="21402"/>
  <c r="D50" i="21402"/>
  <c r="E50" i="21402"/>
  <c r="F343" i="21412"/>
  <c r="E343" i="21412" s="1"/>
  <c r="F342" i="21412"/>
  <c r="E342" i="21412" s="1"/>
  <c r="F341" i="21412"/>
  <c r="E341" i="21412" s="1"/>
  <c r="F339" i="21412"/>
  <c r="E339" i="21412" s="1"/>
  <c r="F338" i="21412"/>
  <c r="E338" i="21412" s="1"/>
  <c r="F340" i="21412"/>
  <c r="E340" i="21412" s="1"/>
  <c r="F326" i="21412"/>
  <c r="E326" i="21412" s="1"/>
  <c r="F327" i="21412"/>
  <c r="E327" i="21412" s="1"/>
  <c r="F329" i="21412"/>
  <c r="E329" i="21412" s="1"/>
  <c r="F330" i="21412"/>
  <c r="E330" i="21412" s="1"/>
  <c r="F331" i="21412"/>
  <c r="E331" i="21412" s="1"/>
  <c r="F328" i="21412"/>
  <c r="E328" i="21412" s="1"/>
  <c r="H201" i="21408" l="1"/>
  <c r="H202" i="21408" s="1"/>
  <c r="G202" i="21408" s="1"/>
  <c r="H298" i="21408"/>
  <c r="G298" i="21408" s="1"/>
  <c r="G297" i="21408"/>
  <c r="G201" i="2140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100-000001000000}">
      <text>
        <r>
          <rPr>
            <sz val="9"/>
            <color indexed="81"/>
            <rFont val="Tahoma"/>
            <family val="2"/>
          </rPr>
          <t xml:space="preserve">Fórmula para definir tipo de brazo partiendo del valor del wind deflection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200-000001000000}">
      <text>
        <r>
          <rPr>
            <sz val="9"/>
            <color indexed="81"/>
            <rFont val="Tahoma"/>
            <family val="2"/>
          </rPr>
          <t xml:space="preserve">Fórmula para definir tipo de brazo partiendo del valor del wind deflection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300-000001000000}">
      <text>
        <r>
          <rPr>
            <sz val="9"/>
            <color indexed="81"/>
            <rFont val="Tahoma"/>
            <family val="2"/>
          </rPr>
          <t xml:space="preserve">Fórmula para definir tipo de brazo partiendo del valor del wind deflection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400-000001000000}">
      <text>
        <r>
          <rPr>
            <sz val="9"/>
            <color indexed="81"/>
            <rFont val="Tahoma"/>
            <family val="2"/>
          </rPr>
          <t xml:space="preserve">Fórmula para definir tipo de brazo partiendo del valor del wind deflection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500-000001000000}">
      <text>
        <r>
          <rPr>
            <sz val="9"/>
            <color indexed="81"/>
            <rFont val="Tahoma"/>
            <family val="2"/>
          </rPr>
          <t xml:space="preserve">Fórmula para definir tipo de brazo partiendo del valor del wind deflection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600-000001000000}">
      <text>
        <r>
          <rPr>
            <sz val="9"/>
            <color indexed="81"/>
            <rFont val="Tahoma"/>
            <family val="2"/>
          </rPr>
          <t xml:space="preserve">Fórmula para definir tipo de brazo partiendo del valor del wind deflection
</t>
        </r>
      </text>
    </comment>
  </commentList>
</comments>
</file>

<file path=xl/sharedStrings.xml><?xml version="1.0" encoding="utf-8"?>
<sst xmlns="http://schemas.openxmlformats.org/spreadsheetml/2006/main" count="15592" uniqueCount="2582">
  <si>
    <t>Conexión de feeder de refuerzo a catenaria</t>
  </si>
  <si>
    <t>Péndola equipotencial de bucle con cable Bz-10</t>
  </si>
  <si>
    <t>Punto fijo</t>
  </si>
  <si>
    <t>Anclaje de catenaria con regulación de tensión en túnel</t>
  </si>
  <si>
    <t>Anclaje de catenaria sin regulación de tensión en túnel</t>
  </si>
  <si>
    <t>Punto fijo en túnel</t>
  </si>
  <si>
    <t>Conjunto de conexiones de seccionamiento</t>
  </si>
  <si>
    <t>Seccionador monopolar de AV</t>
  </si>
  <si>
    <t>Seccionador monopolar de AC</t>
  </si>
  <si>
    <t>Conjunto de autoválvula</t>
  </si>
  <si>
    <t>Conjunto de conexiones de colas en L.A.</t>
  </si>
  <si>
    <t>M1</t>
  </si>
  <si>
    <t>M2</t>
  </si>
  <si>
    <t>M3</t>
  </si>
  <si>
    <t>D1</t>
  </si>
  <si>
    <t>D2</t>
  </si>
  <si>
    <t>D3</t>
  </si>
  <si>
    <t>H1</t>
  </si>
  <si>
    <t>H2</t>
  </si>
  <si>
    <t>H3</t>
  </si>
  <si>
    <t>E1</t>
  </si>
  <si>
    <t>E2</t>
  </si>
  <si>
    <t>E3</t>
  </si>
  <si>
    <t>B1</t>
  </si>
  <si>
    <t>B2</t>
  </si>
  <si>
    <t>B3</t>
  </si>
  <si>
    <t>A/S</t>
  </si>
  <si>
    <t>S1</t>
  </si>
  <si>
    <t>EMT-T</t>
  </si>
  <si>
    <t>BC-XXX</t>
  </si>
  <si>
    <t>P90</t>
  </si>
  <si>
    <t>P50</t>
  </si>
  <si>
    <t>EMT-1</t>
  </si>
  <si>
    <t>EMT-2</t>
  </si>
  <si>
    <t>Anclaje de catenaria con regulación de tensión</t>
  </si>
  <si>
    <t>TOTAL</t>
  </si>
  <si>
    <t>S2</t>
  </si>
  <si>
    <t>HEB-240</t>
  </si>
  <si>
    <t>HEB-260</t>
  </si>
  <si>
    <t>HEB-300</t>
  </si>
  <si>
    <t>HEB-280</t>
  </si>
  <si>
    <t>S1T</t>
  </si>
  <si>
    <t>S2T</t>
  </si>
  <si>
    <t>TRACK 1</t>
  </si>
  <si>
    <t>Foundation</t>
  </si>
  <si>
    <t>Anchorage</t>
  </si>
  <si>
    <t>Sectionning</t>
  </si>
  <si>
    <t>Pole Type</t>
  </si>
  <si>
    <t>Cantilevers</t>
  </si>
  <si>
    <t>Supports</t>
  </si>
  <si>
    <t>Portals</t>
  </si>
  <si>
    <t>TRACK 2</t>
  </si>
  <si>
    <t>Wind Deflection</t>
  </si>
  <si>
    <t>BC-1101</t>
  </si>
  <si>
    <t>BC-2001</t>
  </si>
  <si>
    <t>BC-1401</t>
  </si>
  <si>
    <t>BC-1501</t>
  </si>
  <si>
    <t>C-101</t>
  </si>
  <si>
    <t>C-102</t>
  </si>
  <si>
    <t>C-130</t>
  </si>
  <si>
    <t>C-131</t>
  </si>
  <si>
    <t>C-132</t>
  </si>
  <si>
    <t>C-134</t>
  </si>
  <si>
    <t>C-202</t>
  </si>
  <si>
    <t>C-203</t>
  </si>
  <si>
    <t>C-204</t>
  </si>
  <si>
    <t>C-205</t>
  </si>
  <si>
    <t>C-206</t>
  </si>
  <si>
    <t>C-207</t>
  </si>
  <si>
    <t>C-208</t>
  </si>
  <si>
    <t>C-209</t>
  </si>
  <si>
    <t>C-210</t>
  </si>
  <si>
    <t>C-211</t>
  </si>
  <si>
    <t>C-220</t>
  </si>
  <si>
    <t>C-221</t>
  </si>
  <si>
    <t>Señalizacion de poste y placa de peligro de muerte</t>
  </si>
  <si>
    <t>Protección antiescalada para poste en estación.</t>
  </si>
  <si>
    <t>C-250</t>
  </si>
  <si>
    <t>C-252</t>
  </si>
  <si>
    <t>C-255</t>
  </si>
  <si>
    <t>C-257</t>
  </si>
  <si>
    <t>C-258</t>
  </si>
  <si>
    <t>C-259</t>
  </si>
  <si>
    <t>C-260</t>
  </si>
  <si>
    <t>Semipórtico B7</t>
  </si>
  <si>
    <t>C-263</t>
  </si>
  <si>
    <t>C-264</t>
  </si>
  <si>
    <t>C-265</t>
  </si>
  <si>
    <t>C-266</t>
  </si>
  <si>
    <t>C-270</t>
  </si>
  <si>
    <t>C-271</t>
  </si>
  <si>
    <t>C-274</t>
  </si>
  <si>
    <t>Soporte para una ménsula en B7</t>
  </si>
  <si>
    <t>C-275</t>
  </si>
  <si>
    <t>Soporte para dos ménsulas en B7</t>
  </si>
  <si>
    <t>C-276</t>
  </si>
  <si>
    <t>Soporte en túnel para una ménsula</t>
  </si>
  <si>
    <t>C-280</t>
  </si>
  <si>
    <t>Tirante de anclaje</t>
  </si>
  <si>
    <t>C-281</t>
  </si>
  <si>
    <t>C-282</t>
  </si>
  <si>
    <t>C-283</t>
  </si>
  <si>
    <t>C-284</t>
  </si>
  <si>
    <t>C-285</t>
  </si>
  <si>
    <t>C-301</t>
  </si>
  <si>
    <t>Conjunto de ménsula dentro en poste</t>
  </si>
  <si>
    <t>C-302</t>
  </si>
  <si>
    <t>C-303</t>
  </si>
  <si>
    <t>Conjunto de ménsula fuera en poste</t>
  </si>
  <si>
    <t>C-304</t>
  </si>
  <si>
    <t>C-305</t>
  </si>
  <si>
    <t>C-306</t>
  </si>
  <si>
    <t>C-307</t>
  </si>
  <si>
    <t>Conjunto de ménsula de cola elevada en poste</t>
  </si>
  <si>
    <t>C-308</t>
  </si>
  <si>
    <t>C-309</t>
  </si>
  <si>
    <t>C-310</t>
  </si>
  <si>
    <t>C-313</t>
  </si>
  <si>
    <t>C-400</t>
  </si>
  <si>
    <t>C-401</t>
  </si>
  <si>
    <t>C-404</t>
  </si>
  <si>
    <t>C-407</t>
  </si>
  <si>
    <t>Anclaje de catenaria sin regulación de la tensión en poste abierto</t>
  </si>
  <si>
    <t>C-411</t>
  </si>
  <si>
    <t>C-414</t>
  </si>
  <si>
    <t>C-415</t>
  </si>
  <si>
    <t>C-416</t>
  </si>
  <si>
    <t>C-418</t>
  </si>
  <si>
    <t>Soporte para un equipo de tensorex sencillo en túnel</t>
  </si>
  <si>
    <t>C-500</t>
  </si>
  <si>
    <t>Km de cable  LA-280</t>
  </si>
  <si>
    <t>C-501</t>
  </si>
  <si>
    <t>Cadena de suspensión de un feeder LA-280/380 en silleta</t>
  </si>
  <si>
    <t>C-505</t>
  </si>
  <si>
    <t>C-506</t>
  </si>
  <si>
    <t>C-511</t>
  </si>
  <si>
    <t>C-515</t>
  </si>
  <si>
    <t>C-516</t>
  </si>
  <si>
    <t>C-517</t>
  </si>
  <si>
    <t>C-519</t>
  </si>
  <si>
    <t>C-521</t>
  </si>
  <si>
    <t>Anclaje de feeder LA-280 en túnel</t>
  </si>
  <si>
    <t>C-551</t>
  </si>
  <si>
    <t>C-552</t>
  </si>
  <si>
    <t>Km de cable colector de cobre 50</t>
  </si>
  <si>
    <t>C-553</t>
  </si>
  <si>
    <t>C-554</t>
  </si>
  <si>
    <t>C-556</t>
  </si>
  <si>
    <t>C-559</t>
  </si>
  <si>
    <t>C-560</t>
  </si>
  <si>
    <t>C-600</t>
  </si>
  <si>
    <t>C-601</t>
  </si>
  <si>
    <t>C-602</t>
  </si>
  <si>
    <t>Conjunto de conexión entre sustentadores (P90,P50,…)</t>
  </si>
  <si>
    <t>C-605</t>
  </si>
  <si>
    <t>C-606</t>
  </si>
  <si>
    <t>C-607</t>
  </si>
  <si>
    <t>C-608</t>
  </si>
  <si>
    <t>C-609</t>
  </si>
  <si>
    <t>C-610</t>
  </si>
  <si>
    <t>C-611</t>
  </si>
  <si>
    <t>C-612</t>
  </si>
  <si>
    <t>C-613</t>
  </si>
  <si>
    <t>Accionamiento y transmisión para seccionador en poste (Tipo Eléctrico)</t>
  </si>
  <si>
    <t>C-620</t>
  </si>
  <si>
    <t>C-621</t>
  </si>
  <si>
    <t>C-622</t>
  </si>
  <si>
    <t>C-623</t>
  </si>
  <si>
    <t>C-624</t>
  </si>
  <si>
    <t>Conexión en perfil de tunel para una silleta</t>
  </si>
  <si>
    <t>Conexión de anclaje compensado de catenaria en túnel.</t>
  </si>
  <si>
    <t>Conexión de anclaje de catenaria sin compensar en túnel.</t>
  </si>
  <si>
    <t>Conexión de punto fijo en túnel</t>
  </si>
  <si>
    <t>W1</t>
  </si>
  <si>
    <t>W2</t>
  </si>
  <si>
    <t>W3</t>
  </si>
  <si>
    <t>A1</t>
  </si>
  <si>
    <t>A2</t>
  </si>
  <si>
    <t>A3</t>
  </si>
  <si>
    <t>S/A</t>
  </si>
  <si>
    <t>A</t>
  </si>
  <si>
    <t>AnMC/PL</t>
  </si>
  <si>
    <t>CP+AnMC</t>
  </si>
  <si>
    <t>FP+AnMC</t>
  </si>
  <si>
    <t>AnM/PL</t>
  </si>
  <si>
    <t>Anchorage Foundation</t>
  </si>
  <si>
    <t>Arm Type</t>
  </si>
  <si>
    <t>Sectioning Feeding</t>
  </si>
  <si>
    <t>Arm Angle</t>
  </si>
  <si>
    <t>Return Support</t>
  </si>
  <si>
    <t>HEB-320LL</t>
  </si>
  <si>
    <t>EMT-1T</t>
  </si>
  <si>
    <t>EMT-2T</t>
  </si>
  <si>
    <t>EMT-TT</t>
  </si>
  <si>
    <t>Placa de anclaje para  tirante en viaducto  (i. PL-AN)</t>
  </si>
  <si>
    <t/>
  </si>
  <si>
    <t>6121</t>
  </si>
  <si>
    <t>6127</t>
  </si>
  <si>
    <t>C-262a</t>
  </si>
  <si>
    <t>-</t>
  </si>
  <si>
    <t>C-262b</t>
  </si>
  <si>
    <t>6125</t>
  </si>
  <si>
    <t>Pórtico de alimentación y PP  de 3 m para timoneria</t>
  </si>
  <si>
    <t>Pórtico de alimentación y PP  de 3 m sin timoneria</t>
  </si>
  <si>
    <t>6126</t>
  </si>
  <si>
    <t>Pórtico de alimentación y PP  de 5m, para timonería</t>
  </si>
  <si>
    <t>Pórtico de alimentación y PP de 5m, sin timonería prevista</t>
  </si>
  <si>
    <t>6122</t>
  </si>
  <si>
    <t>6123</t>
  </si>
  <si>
    <t>6124</t>
  </si>
  <si>
    <t>6129</t>
  </si>
  <si>
    <t>Suplemento para ménsula en poste de hasta 5m de gálibo</t>
  </si>
  <si>
    <t>6128</t>
  </si>
  <si>
    <t>6130</t>
  </si>
  <si>
    <t>6132</t>
  </si>
  <si>
    <t>6134</t>
  </si>
  <si>
    <t>6131</t>
  </si>
  <si>
    <t>Conjunto de ménsula dentro en túnel</t>
  </si>
  <si>
    <t>6133</t>
  </si>
  <si>
    <t>Conjunto de ménsula fuera en túnel</t>
  </si>
  <si>
    <t>6136</t>
  </si>
  <si>
    <t>Conjunto de ménsula de c.e. en túnel</t>
  </si>
  <si>
    <t>Conjunto de ménsula dentro en pr</t>
  </si>
  <si>
    <t>Conjunto de ménsula fuera en pr</t>
  </si>
  <si>
    <t>Conjunto de ménsula de cola elevada en pr</t>
  </si>
  <si>
    <t>6135</t>
  </si>
  <si>
    <t>Soporte de giro de dos o tres ménsulas en poste</t>
  </si>
  <si>
    <t>C-320</t>
  </si>
  <si>
    <t>Variación por brazo en curva ligera</t>
  </si>
  <si>
    <t>C-321</t>
  </si>
  <si>
    <t>Variación por brazo en curva fuerte</t>
  </si>
  <si>
    <t>C-322</t>
  </si>
  <si>
    <t>Variación por brazo en eje l.a.</t>
  </si>
  <si>
    <t>C-323</t>
  </si>
  <si>
    <t>Variación por brazo de aguja</t>
  </si>
  <si>
    <t>Km de 1xBz-70+1x HC-120 Cu-Ag</t>
  </si>
  <si>
    <t>6140</t>
  </si>
  <si>
    <t>6142</t>
  </si>
  <si>
    <t>6143</t>
  </si>
  <si>
    <t>6144</t>
  </si>
  <si>
    <t>6145</t>
  </si>
  <si>
    <t>6146</t>
  </si>
  <si>
    <t>6148</t>
  </si>
  <si>
    <t>6147</t>
  </si>
  <si>
    <t>C-430d</t>
  </si>
  <si>
    <t>Km de 1xBz-70+1x HC-100 Cu-Ag(sidings)</t>
  </si>
  <si>
    <t>C-431d</t>
  </si>
  <si>
    <t>Péndola equipotencial de bucle con cable Bz-10-SIDINGS</t>
  </si>
  <si>
    <t>C-432d</t>
  </si>
  <si>
    <t>Anclaje de catenaria con regulación de la tensión para catenaria ligera</t>
  </si>
  <si>
    <t>C-433d</t>
  </si>
  <si>
    <t>Anclaje de catenaria sin regulación de la tensión para catenaria ligera</t>
  </si>
  <si>
    <t>C-440d</t>
  </si>
  <si>
    <t>Km de catenaria rígida</t>
  </si>
  <si>
    <t>Km de Feeder de Alimentación Cu-300</t>
  </si>
  <si>
    <t>C-502.1</t>
  </si>
  <si>
    <t>km de cable de cobre aislado RHZ1FA3Z1-25/45 KV de 1x300 mm2 i. pp. de empalmes</t>
  </si>
  <si>
    <t>C-502.2</t>
  </si>
  <si>
    <t>Paso de FN LA-280 a cable aislado incluido cola de anclaje de fn</t>
  </si>
  <si>
    <t>6155</t>
  </si>
  <si>
    <t>Silleta para feeder suspendido en cabeza de poste</t>
  </si>
  <si>
    <t>6151</t>
  </si>
  <si>
    <t>Conjunto de cola de anclaje de feeder LA-280 en poste</t>
  </si>
  <si>
    <t>6158</t>
  </si>
  <si>
    <t>6159</t>
  </si>
  <si>
    <t>6153</t>
  </si>
  <si>
    <t>Km de cable colector L-76</t>
  </si>
  <si>
    <t>6154</t>
  </si>
  <si>
    <t>Conjunto de suspensión de cable de retorno LA-280 en poste</t>
  </si>
  <si>
    <t>6150</t>
  </si>
  <si>
    <t>6152</t>
  </si>
  <si>
    <t>C-570</t>
  </si>
  <si>
    <t>6160</t>
  </si>
  <si>
    <t>6161</t>
  </si>
  <si>
    <t>6162</t>
  </si>
  <si>
    <t>6163</t>
  </si>
  <si>
    <t>Conjunto de aislamiento intermedio en sustentador bz-70</t>
  </si>
  <si>
    <t>Conjunto de aislamiento intermedio en HC 120 mm2</t>
  </si>
  <si>
    <t>Aislamiento intermedio feeder LA-280</t>
  </si>
  <si>
    <t>6164</t>
  </si>
  <si>
    <t>Equipamiento para zona neutra con Aisladores de sección en catenaria de 25KV AC</t>
  </si>
  <si>
    <t>Seccionador monopolar de AC con PAT</t>
  </si>
  <si>
    <t>6170</t>
  </si>
  <si>
    <t>6176</t>
  </si>
  <si>
    <t>Aparellaje de seccionador monopolar en túnel</t>
  </si>
  <si>
    <t>C-625</t>
  </si>
  <si>
    <t>Aparellaje de dispositivo de puesta a tierra en túnel</t>
  </si>
  <si>
    <t>C-631</t>
  </si>
  <si>
    <t>Aparellaje de pórtico de alimentación (ssee) y puesta en paralelo de 2 vías</t>
  </si>
  <si>
    <t>C-632</t>
  </si>
  <si>
    <t>Aparellaje de puesta en paralelo de dos vías, i. transversales</t>
  </si>
  <si>
    <t>6177</t>
  </si>
  <si>
    <t>C-633</t>
  </si>
  <si>
    <t>Aparellaje de pórtico de alimentación (ssee) y puesta en paralelo de 3 vías</t>
  </si>
  <si>
    <t>6178</t>
  </si>
  <si>
    <t>C-634</t>
  </si>
  <si>
    <t>C-640</t>
  </si>
  <si>
    <t>C-641</t>
  </si>
  <si>
    <t>Accionamiento y transmisión para seccionador en pórtico de FEEDERES</t>
  </si>
  <si>
    <t>C-642</t>
  </si>
  <si>
    <t>Accionamiento y transmisión para seccionador en TÚNEL</t>
  </si>
  <si>
    <t>C-646</t>
  </si>
  <si>
    <t>C-647</t>
  </si>
  <si>
    <t>Detector de tensión de 25 kV</t>
  </si>
  <si>
    <t>6182</t>
  </si>
  <si>
    <t>C-702</t>
  </si>
  <si>
    <t>C-703</t>
  </si>
  <si>
    <t>C-704</t>
  </si>
  <si>
    <t>C-705</t>
  </si>
  <si>
    <t>C-723d</t>
  </si>
  <si>
    <t>Manta aislante de 2x1m de 15 mm</t>
  </si>
  <si>
    <t>Barra de 10 m de catenaria rígida</t>
  </si>
  <si>
    <t>Barra de seccionamiento</t>
  </si>
  <si>
    <t>Barra de transición</t>
  </si>
  <si>
    <t>Conjunto de conexiones entre dos barras de catenaria rígida (solapes)</t>
  </si>
  <si>
    <t>Conjunto de punto fijo para catenaria rígida.</t>
  </si>
  <si>
    <t>Conjunto de suspensión para una vía de techo plano hasta 6,5 metros</t>
  </si>
  <si>
    <t>FOUNDATIONS</t>
  </si>
  <si>
    <t>CANTILEVERS</t>
  </si>
  <si>
    <t>PROTECTIONS</t>
  </si>
  <si>
    <t>MANUAL</t>
  </si>
  <si>
    <t>HEB-240L</t>
  </si>
  <si>
    <t>HEB-260L</t>
  </si>
  <si>
    <t>HEB-280L</t>
  </si>
  <si>
    <t>HEB-300L</t>
  </si>
  <si>
    <t>HEB-320L</t>
  </si>
  <si>
    <t>2HEB-320(A)</t>
  </si>
  <si>
    <t>FÓRMULA</t>
  </si>
  <si>
    <t>PORTALS</t>
  </si>
  <si>
    <t>B7</t>
  </si>
  <si>
    <t>(2x)</t>
  </si>
  <si>
    <t>(/2)</t>
  </si>
  <si>
    <t>PRA-3</t>
  </si>
  <si>
    <t>PRA-5</t>
  </si>
  <si>
    <t>SUPL-5</t>
  </si>
  <si>
    <t xml:space="preserve">Suplemento para Tirante de HC </t>
  </si>
  <si>
    <t>Suplemento para Tirante de CR</t>
  </si>
  <si>
    <t>Suplemento para Tirante de Sust Y PF</t>
  </si>
  <si>
    <t>Suplemento para Tirante de  Feeder Positivo</t>
  </si>
  <si>
    <t>FP/Tunnel</t>
  </si>
  <si>
    <t>CP/Tunnel</t>
  </si>
  <si>
    <t>C-277</t>
  </si>
  <si>
    <t>EMT-1P</t>
  </si>
  <si>
    <t>EMT-2P</t>
  </si>
  <si>
    <t>EMT-TP</t>
  </si>
  <si>
    <t>Soporte de giro de dos ménsulas en silleta de  túnel</t>
  </si>
  <si>
    <t>Soporte de giro de dos ménsulas en silleta de pórtico</t>
  </si>
  <si>
    <t xml:space="preserve">CHECK </t>
  </si>
  <si>
    <t>CP+AnMC*</t>
  </si>
  <si>
    <t>FP+AnMC*</t>
  </si>
  <si>
    <t>PKI</t>
  </si>
  <si>
    <t>PKF</t>
  </si>
  <si>
    <t>Nº CABLES</t>
  </si>
  <si>
    <t>CHECK</t>
  </si>
  <si>
    <t>CABLE COLECTOR AL-76</t>
  </si>
  <si>
    <t>TUNEL 1</t>
  </si>
  <si>
    <t>TOTAL VIADUCTO</t>
  </si>
  <si>
    <t>*S/A*</t>
  </si>
  <si>
    <t>Conexión de cable colector L-76 a poste (en viaducto)</t>
  </si>
  <si>
    <t>PL*</t>
  </si>
  <si>
    <t>Cola de anclaje de cable de retorno LA-280 en poste (SENCILLA)</t>
  </si>
  <si>
    <t>2x</t>
  </si>
  <si>
    <t>Anclaje de cable de retorno LA-280 en túnel (SENCILLA)</t>
  </si>
  <si>
    <t>IO*</t>
  </si>
  <si>
    <t>SECT-I</t>
  </si>
  <si>
    <t>AnMP</t>
  </si>
  <si>
    <t>MP</t>
  </si>
  <si>
    <t>MP/Tunnel</t>
  </si>
  <si>
    <t>Disc/IO</t>
  </si>
  <si>
    <t>ED/T</t>
  </si>
  <si>
    <t>FS/PP-2</t>
  </si>
  <si>
    <t>Disc/t</t>
  </si>
  <si>
    <t>FS/1D</t>
  </si>
  <si>
    <t>.-Las cuentas de pp solo se hacen en v1</t>
  </si>
  <si>
    <t>PP-2</t>
  </si>
  <si>
    <t>FS-1</t>
  </si>
  <si>
    <t>FS-1d</t>
  </si>
  <si>
    <t>Aparellaje de pórtico de puesta en paralelo de 4 vías</t>
  </si>
  <si>
    <t>PP-4</t>
  </si>
  <si>
    <t>FS/PP-3</t>
  </si>
  <si>
    <t>TOTAL CABLE LA-280:</t>
  </si>
  <si>
    <t>LONGITUD DEL TRAMO:</t>
  </si>
  <si>
    <t>LEGEND</t>
  </si>
  <si>
    <t>Tunnel</t>
  </si>
  <si>
    <t>Bridge / Viaduct</t>
  </si>
  <si>
    <t>Underpass / Drainage Works</t>
  </si>
  <si>
    <t>Overlap between sections</t>
  </si>
  <si>
    <t>SECTIONNING</t>
  </si>
  <si>
    <t>A/S-Diag</t>
  </si>
  <si>
    <t>Overlap Anchorage</t>
  </si>
  <si>
    <t>Diagonal Anchorage</t>
  </si>
  <si>
    <t>Overlap Axis</t>
  </si>
  <si>
    <t>Overlap Semi-Axis</t>
  </si>
  <si>
    <t>Mid Point in tunnel</t>
  </si>
  <si>
    <t>Mid Point</t>
  </si>
  <si>
    <t>Mid Point Anchorage</t>
  </si>
  <si>
    <t>OCS Compensated Anchorage</t>
  </si>
  <si>
    <t>OCS Fixed Anchorage</t>
  </si>
  <si>
    <t>OCS Compensated Anchorage in tunnel</t>
  </si>
  <si>
    <t>OCS Fixed Anchorage in tunnel</t>
  </si>
  <si>
    <t>ANCHORAGE FOUNDATIONS</t>
  </si>
  <si>
    <t>POLE / SUPPORTS TYPE</t>
  </si>
  <si>
    <t>PH-XXX</t>
  </si>
  <si>
    <t>POLE FOUNDATION</t>
  </si>
  <si>
    <t>FEEDING</t>
  </si>
  <si>
    <t>xxx m.</t>
  </si>
  <si>
    <t>Earthing device in tunnel</t>
  </si>
  <si>
    <t>FS-1D</t>
  </si>
  <si>
    <t>PP-3</t>
  </si>
  <si>
    <t>Feeder supply (1 track)</t>
  </si>
  <si>
    <t>Feeder supply for depots</t>
  </si>
  <si>
    <t>Feeder supply &amp; paralleling post 2 tracks</t>
  </si>
  <si>
    <t>Feeder supply &amp; paralleling post 3 tracks</t>
  </si>
  <si>
    <t>Paralleling post 2 tracks</t>
  </si>
  <si>
    <t>Paralleling post 3 tracks</t>
  </si>
  <si>
    <t>Paralleling post 4 tracks</t>
  </si>
  <si>
    <t>STEADY ARMS TYPE</t>
  </si>
  <si>
    <t>Straight arm</t>
  </si>
  <si>
    <t>Polygonal arm</t>
  </si>
  <si>
    <t>Curve arm</t>
  </si>
  <si>
    <t>Special curve arm (circular St.)</t>
  </si>
  <si>
    <t>Insulated Overlap disconnector</t>
  </si>
  <si>
    <t>Cantilever (Pull on)</t>
  </si>
  <si>
    <t>Cantilever (termination)</t>
  </si>
  <si>
    <t>Tunnel Cantilever (Pull on)</t>
  </si>
  <si>
    <t>Tunnel Cantilever (Push over)</t>
  </si>
  <si>
    <t>Tunnel Cantilever (termination)</t>
  </si>
  <si>
    <t>Portal Cantilever (Pull on)</t>
  </si>
  <si>
    <t>Portal Cantilever (Push over)</t>
  </si>
  <si>
    <t>Portal Cantilever (termination)</t>
  </si>
  <si>
    <t>Base for pole in viaduct</t>
  </si>
  <si>
    <t>Support for 1 cantilever in portal</t>
  </si>
  <si>
    <t>Support for 2 cantilever in portal</t>
  </si>
  <si>
    <t>Support for 1 cantilever in tunnel</t>
  </si>
  <si>
    <t>Extension for 1 console in platform</t>
  </si>
  <si>
    <t>Switch Point 50</t>
  </si>
  <si>
    <t>Switch Point 90</t>
  </si>
  <si>
    <t>Feeder Anchor</t>
  </si>
  <si>
    <t>Feeder anchor in tunnel</t>
  </si>
  <si>
    <t>Return anchor in tunnel</t>
  </si>
  <si>
    <t>Return Anchor</t>
  </si>
  <si>
    <t>SEMI TENSION LENGTH</t>
  </si>
  <si>
    <t>Messenger and C.W, anchorage foundation</t>
  </si>
  <si>
    <t>Return, Feeder and Midpoint anchorage foundation</t>
  </si>
  <si>
    <t>Return, Feeder and Midpoint base in viaduct</t>
  </si>
  <si>
    <t>Messenger and C.W, anchorage base in viaduct</t>
  </si>
  <si>
    <t>Cantilever (Push off)</t>
  </si>
  <si>
    <t>AnMC/Tunnel</t>
  </si>
  <si>
    <t>2HEB-240</t>
  </si>
  <si>
    <t>2HEB-260</t>
  </si>
  <si>
    <t>AnMP/Tunnel</t>
  </si>
  <si>
    <t>AnM/Tunnel</t>
  </si>
  <si>
    <t>HEB-260 (CP)</t>
  </si>
  <si>
    <t>HEB-280 (CP)</t>
  </si>
  <si>
    <t>HEB-300 (CP)</t>
  </si>
  <si>
    <t>HEB-260 V</t>
  </si>
  <si>
    <t>HEB-280 V</t>
  </si>
  <si>
    <t>2HEB-260 V</t>
  </si>
  <si>
    <t>HEB-240 V</t>
  </si>
  <si>
    <t>HEB-300 V</t>
  </si>
  <si>
    <t>2HEB-240 V</t>
  </si>
  <si>
    <t>TOTAL COLECTOR TUNEL</t>
  </si>
  <si>
    <t>LONGITUD DE VIADUCTOS</t>
  </si>
  <si>
    <t>LONGITUD DE TUNEL</t>
  </si>
  <si>
    <t>C-203-CP</t>
  </si>
  <si>
    <t>Aislador de sección en catenaria de 25KV</t>
  </si>
  <si>
    <t>C-614</t>
  </si>
  <si>
    <t>C-630</t>
  </si>
  <si>
    <t>Aparellaje de seccionador de alimentacion para 1 via con cable desnudo.</t>
  </si>
  <si>
    <t>C-202-V</t>
  </si>
  <si>
    <t>C-204-CP</t>
  </si>
  <si>
    <t>C-204-V</t>
  </si>
  <si>
    <t>C-205-CP</t>
  </si>
  <si>
    <t>C-205-V</t>
  </si>
  <si>
    <t>C-213</t>
  </si>
  <si>
    <t>C-213-V</t>
  </si>
  <si>
    <t>C-214</t>
  </si>
  <si>
    <t>C-214-V</t>
  </si>
  <si>
    <t>C-215</t>
  </si>
  <si>
    <t>C-216</t>
  </si>
  <si>
    <t>C-217</t>
  </si>
  <si>
    <t>C-203-V</t>
  </si>
  <si>
    <t>AnRW</t>
  </si>
  <si>
    <t>AnFW</t>
  </si>
  <si>
    <t>AnFW/Tunnel</t>
  </si>
  <si>
    <t>AnRW/Tunnel</t>
  </si>
  <si>
    <t>RW1</t>
  </si>
  <si>
    <t>RW2</t>
  </si>
  <si>
    <t>RW1 / RW2 (2x)</t>
  </si>
  <si>
    <t>Pole Anchors in Underbridge (Viaduct) (HEB-220 to HEB-240)</t>
  </si>
  <si>
    <t>Pole Anchors in Underbridge (Viaduct)  (HEB-260 a HEB-300)</t>
  </si>
  <si>
    <t>Pole Anchors in Underbridge (Viaduct)  (HEB-320)</t>
  </si>
  <si>
    <t>Pole Signal and Dead Dangerous Signal</t>
  </si>
  <si>
    <t>Anticlimbing Protection for pole in Station</t>
  </si>
  <si>
    <t>Semi-Portal B7</t>
  </si>
  <si>
    <t>Support for cantilever in Semi-Portal B7</t>
  </si>
  <si>
    <t>Support for two cantilevers in Semi-Portal B7</t>
  </si>
  <si>
    <t>Support for cantilever in Tunnel</t>
  </si>
  <si>
    <t>Support for two cantilevers in Tunnel</t>
  </si>
  <si>
    <t>Extension Bracket  for Cantilever in Pole until 5m Axis Track Distance</t>
  </si>
  <si>
    <t>Tie Anchor</t>
  </si>
  <si>
    <t>CW Tie Anchor</t>
  </si>
  <si>
    <t>Return Wire Tie Anchor</t>
  </si>
  <si>
    <t>MW and Mid Point Extension Tie Anchor</t>
  </si>
  <si>
    <t xml:space="preserve">Feeder Wire Extension Tie Anchor </t>
  </si>
  <si>
    <t>Extension Tie Anchor in UnderBridge (Viaduct)</t>
  </si>
  <si>
    <t>Cantilever Pull-off in pole</t>
  </si>
  <si>
    <t>Cantilever Push-off in pole</t>
  </si>
  <si>
    <t>Termination Cantilever in pole</t>
  </si>
  <si>
    <t>Cantilever Pull-off in tunnel</t>
  </si>
  <si>
    <t>Cantilever Push-off in tunnel</t>
  </si>
  <si>
    <t>Termination Cantilever in tunnel</t>
  </si>
  <si>
    <t>Cantilever Pull-off in portal</t>
  </si>
  <si>
    <t>Cantilever Push-off in portal</t>
  </si>
  <si>
    <t>Termination Cantilever in portal</t>
  </si>
  <si>
    <t>Swivel Support for two or three cantilevers in pole</t>
  </si>
  <si>
    <t>Swivel Support for two or three cantilevers in tunnel</t>
  </si>
  <si>
    <t>Swivel Support for two or three cantilevers in portal</t>
  </si>
  <si>
    <t>Arm Variation for curves</t>
  </si>
  <si>
    <t>Arm Variation for small curves</t>
  </si>
  <si>
    <t>Arm Variation for insulated overlap axis</t>
  </si>
  <si>
    <t>Arm Variation for turnouts</t>
  </si>
  <si>
    <t>Km 1xBz-70+1x HC-120 Cu-Ag</t>
  </si>
  <si>
    <t>Equipotential Dropper Bz-10</t>
  </si>
  <si>
    <t>Catenary Anchor with Automatic Tension Device</t>
  </si>
  <si>
    <t>Catenary Anchor without Automatic Tension Device</t>
  </si>
  <si>
    <t>Tunnel Catenary Anchor with Automatic Tension Device</t>
  </si>
  <si>
    <t>Tunnel Catenary Anchor without Automatic Tension Device</t>
  </si>
  <si>
    <t>Tunnel Mid Point</t>
  </si>
  <si>
    <t>Catenary Anchor without Automatic Tension Device (depots)</t>
  </si>
  <si>
    <t>Catenary Anchor with Automatic Tension Device (depots)</t>
  </si>
  <si>
    <t>Equipotential Dropper Bz-10 (depots)</t>
  </si>
  <si>
    <t>Km 1xBz-70+1x HC-100 Cu-Ag (depots)</t>
  </si>
  <si>
    <t xml:space="preserve">Km Overhead Catenary Rigid </t>
  </si>
  <si>
    <t>Km LA-280 wire</t>
  </si>
  <si>
    <t>Km Cu-300 wire</t>
  </si>
  <si>
    <t>Transition Feeder LA-280 to cable incluido cola de anclaje de fn</t>
  </si>
  <si>
    <t>Support for suspension feeder at pole top</t>
  </si>
  <si>
    <t>Isolament for suspension feeder LA-280 at support</t>
  </si>
  <si>
    <t>Isolament for "V" suspension feeder</t>
  </si>
  <si>
    <t>Isolament for support Feeder in Tunnel</t>
  </si>
  <si>
    <t>Support for Reinforcement Feeder in tunnel</t>
  </si>
  <si>
    <t>Support for two cantilevers in Portal Structure (LPN Section 60-80)</t>
  </si>
  <si>
    <t>Support for cantilever in Portal Structure (LPN Section 60-80)</t>
  </si>
  <si>
    <t>Km Earth wire L-76</t>
  </si>
  <si>
    <t>Km Earth wire Cu-50</t>
  </si>
  <si>
    <t>Conection Earth wire L-76 to pole (underbridge)</t>
  </si>
  <si>
    <t>Suspension return wire LA-280 at pole</t>
  </si>
  <si>
    <t>Reinforcement Feeder LA-280 Anchor</t>
  </si>
  <si>
    <t>Reinforcement Feeder LA-280 Anchor in Tunnel</t>
  </si>
  <si>
    <t>Return wire LA-280 Anchor (Single)</t>
  </si>
  <si>
    <t>Return wire LA-280 Anchor in tunnel (Single)</t>
  </si>
  <si>
    <t>Conection reinforcement feeder to catenary</t>
  </si>
  <si>
    <t>Turnover Connections (P90,P50,…)</t>
  </si>
  <si>
    <t>Overlap Connections</t>
  </si>
  <si>
    <t>Insulated Overlap Connections</t>
  </si>
  <si>
    <t>Intermediate Isolament in Messenger wire Bz-70</t>
  </si>
  <si>
    <t>Intermediate Isolament in Contact wire CW-120</t>
  </si>
  <si>
    <t>Intermediate Isolament in Feeder wire LA-280</t>
  </si>
  <si>
    <t>Section Insulator</t>
  </si>
  <si>
    <t>Disconnector 25 KV 2500 A</t>
  </si>
  <si>
    <t>Disconnector 3 colums 25 KV 2500 A</t>
  </si>
  <si>
    <t>Surge Arrester</t>
  </si>
  <si>
    <t>Voltage Detector</t>
  </si>
  <si>
    <t>Load Breaker 25 KV 2500 A with vacuun chamber</t>
  </si>
  <si>
    <t>Load Breaker 25 KV 2500 A with vacuun chamber with Earth Connection</t>
  </si>
  <si>
    <t>Connections of Disconnector  (without feeder)</t>
  </si>
  <si>
    <t>Connections of Load Breaker with earth connection for feeder connection 1 track with cable ¿?</t>
  </si>
  <si>
    <t>Connections of Disconnector in tunnel</t>
  </si>
  <si>
    <t>Connections of Earthing Device in tunnel</t>
  </si>
  <si>
    <t>Connections of Disconnector for feeder TS connection 1 track with cable</t>
  </si>
  <si>
    <t>Connections of Disconnector for feeder TS connection 1 track with wire</t>
  </si>
  <si>
    <t>Connections of TS feeding portal for 2 tracks</t>
  </si>
  <si>
    <t>Connections of TS feeding portal for 3 tracks</t>
  </si>
  <si>
    <t>Connections of paralelling portal for 2 tracks</t>
  </si>
  <si>
    <t>Connections of paralelling portal for 4 tracks</t>
  </si>
  <si>
    <t>Motor Drive and Transmission for Disconector/Load Breaker in pole</t>
  </si>
  <si>
    <t>Motor Drive and Transmission for Disconector/Load Breaker in portal</t>
  </si>
  <si>
    <t>Motor Drive and Transmission for Disconector/Load Breaker in tunnel</t>
  </si>
  <si>
    <t>Connections Tunnel Cantilevers Support to Earthing Tunnel Net</t>
  </si>
  <si>
    <t>Connections Catenary Anchor (w Autom Device) in tunnel to Earthing Tunnel Net</t>
  </si>
  <si>
    <t>Connections Catenary Anchor (wout Autom Device) in tunnel to Earthing Tunnel Net</t>
  </si>
  <si>
    <t>Connections Mid point to Earthing Tunnel Net</t>
  </si>
  <si>
    <t>Isolated protection de 2x1m wide 15 mm</t>
  </si>
  <si>
    <t>Bar 10 m Overhead Catenary Rigid</t>
  </si>
  <si>
    <t>Bar of Overlap OCR</t>
  </si>
  <si>
    <t>Connections between OCR Bars</t>
  </si>
  <si>
    <t>Mid Point for OCR</t>
  </si>
  <si>
    <t>Bar of Transition from Flexible OCS to OCR</t>
  </si>
  <si>
    <t>Support for OCR in Flat Roof</t>
  </si>
  <si>
    <t>Description</t>
  </si>
  <si>
    <t>km Isolated cable RHZ1FA3Z1-25/45 KV Cu 1x300 mm2 with unions</t>
  </si>
  <si>
    <t>SurgeA</t>
  </si>
  <si>
    <t>Load Breaker</t>
  </si>
  <si>
    <t>LoadB</t>
  </si>
  <si>
    <t>VoltageD</t>
  </si>
  <si>
    <t>Earthing device outside</t>
  </si>
  <si>
    <t>ED</t>
  </si>
  <si>
    <t>Mid Point Anchorage in tunnel</t>
  </si>
  <si>
    <t>AnM/Tx</t>
  </si>
  <si>
    <t>Return, Feeder and Midpoint anchorage in tunnel</t>
  </si>
  <si>
    <t>Messenger and C.W, anchorage in tunnel</t>
  </si>
  <si>
    <t>Messenger and C.W, Tensorex anchorage</t>
  </si>
  <si>
    <t>Matrix Relation</t>
  </si>
  <si>
    <t>Initial PK</t>
  </si>
  <si>
    <t>Final Pk</t>
  </si>
  <si>
    <t>Clasification</t>
  </si>
  <si>
    <t>PL;M3;M5;M6</t>
  </si>
  <si>
    <t>Indicar cada cola</t>
  </si>
  <si>
    <t>Date</t>
  </si>
  <si>
    <t>Soil Classification</t>
  </si>
  <si>
    <t>PT</t>
  </si>
  <si>
    <t>K</t>
  </si>
  <si>
    <t>Matrix</t>
  </si>
  <si>
    <t>CURVE ARM BC</t>
  </si>
  <si>
    <t>Description changes</t>
  </si>
  <si>
    <t>Nº Revision</t>
  </si>
  <si>
    <t>You must use these formula in row6 and column as you can see, AC, AD, AE</t>
  </si>
  <si>
    <t>Suspensión de cable de retorno LA-280 en hastial de túnel</t>
  </si>
  <si>
    <t>Suspensión de cable de retorno LA-280 en silleta túnel</t>
  </si>
  <si>
    <t xml:space="preserve">RW1T-S o RW2T-SC / RW2T-S (2x) </t>
  </si>
  <si>
    <t>C-559b</t>
  </si>
  <si>
    <t>Se pone 1 por cada cola</t>
  </si>
  <si>
    <t>Se pone 1 por cada 2 colas -- 2x</t>
  </si>
  <si>
    <t xml:space="preserve">Aparellaje de conjunto de seccionador monopolar  y Earthing Device en mismo poste (Sin feeder) </t>
  </si>
  <si>
    <t>Equipo Puesta a tierra (Earthing device)</t>
  </si>
  <si>
    <t>Straigh Arm</t>
  </si>
  <si>
    <t>Curve Arm</t>
  </si>
  <si>
    <t>Angled Arm</t>
  </si>
  <si>
    <t>Angled Curve Arm</t>
  </si>
  <si>
    <t>PH</t>
  </si>
  <si>
    <t>BC</t>
  </si>
  <si>
    <t>Return Wire Support in pole</t>
  </si>
  <si>
    <t>2 Return Wire Support in pole</t>
  </si>
  <si>
    <t>Return Wire Support in support / ceiling</t>
  </si>
  <si>
    <t>2 Return Wire Support in support / ceiling</t>
  </si>
  <si>
    <t>RW1T-S/C</t>
  </si>
  <si>
    <t>Connections of Disconnector &amp; Earthing Device in same plo</t>
  </si>
  <si>
    <t>Earthing Device</t>
  </si>
  <si>
    <t>Suspension return wire LA-280 in support in tunnel</t>
  </si>
  <si>
    <t>Suspension return wire LA-280 in ceiling in tunnel</t>
  </si>
  <si>
    <t>PH-950</t>
  </si>
  <si>
    <t>PH-1000</t>
  </si>
  <si>
    <t>PH-1050</t>
  </si>
  <si>
    <t>PH-1100</t>
  </si>
  <si>
    <t>PH-1150</t>
  </si>
  <si>
    <t>PH-1200</t>
  </si>
  <si>
    <t>PH-1250</t>
  </si>
  <si>
    <t>PH-1300</t>
  </si>
  <si>
    <t>PH-1350</t>
  </si>
  <si>
    <t>PH-1400</t>
  </si>
  <si>
    <t>PH-1450</t>
  </si>
  <si>
    <t>PH-1500</t>
  </si>
  <si>
    <t>IO</t>
  </si>
  <si>
    <t>Aparellaje para acometida de feeder en poste para 1 vía (incluido paso aislado a desnudo)</t>
  </si>
  <si>
    <t>Aparellaje para acometida de feeder a depot (incluido paso aislado a desnudo con pat y bajada a tierra)</t>
  </si>
  <si>
    <t>Feeding Portal and Paralelling Portal for 3 m used with Transmission Mechanism</t>
  </si>
  <si>
    <t>Feeding Portal and Paralelling Portal for 3 m used without Transmission Mechanism</t>
  </si>
  <si>
    <t>Feeding Portal and Paralelling Portal for 5m used with Transmission Mechanism</t>
  </si>
  <si>
    <t>Feeding Portal and Paralelling Portal for 5m used without Transmission Mechanism</t>
  </si>
  <si>
    <t>Semi Portal type B7</t>
  </si>
  <si>
    <t>Insulated Overlap</t>
  </si>
  <si>
    <t>20-1.05</t>
  </si>
  <si>
    <t>2HEB-320L</t>
  </si>
  <si>
    <t>TUNELES VARIOS</t>
  </si>
  <si>
    <t>2HEB-280 V</t>
  </si>
  <si>
    <t>Disc</t>
  </si>
  <si>
    <t>2HEB-300 V (CP)</t>
  </si>
  <si>
    <t>C-218-V</t>
  </si>
  <si>
    <t>C-219-VCP</t>
  </si>
  <si>
    <t>C-212-B7</t>
  </si>
  <si>
    <t>AnM_L</t>
  </si>
  <si>
    <t>AnMC_L</t>
  </si>
  <si>
    <t>C3R</t>
  </si>
  <si>
    <t>C4R</t>
  </si>
  <si>
    <t>C4R_L</t>
  </si>
  <si>
    <t>C3R_L</t>
  </si>
  <si>
    <t>C7R</t>
  </si>
  <si>
    <t>C5R</t>
  </si>
  <si>
    <t>C7R_L</t>
  </si>
  <si>
    <t>C5R_L</t>
  </si>
  <si>
    <t>AnRW / AnRW2</t>
  </si>
  <si>
    <t>C-420</t>
  </si>
  <si>
    <t>Possible Signalling Interface Detected</t>
  </si>
  <si>
    <t>Sorted out by reducing gauge up to 2.90m</t>
  </si>
  <si>
    <t>Special and particular solution to be applied</t>
  </si>
  <si>
    <t>Soporte para un equipo de tensorex sencillo en poste</t>
  </si>
  <si>
    <t>C4RT</t>
  </si>
  <si>
    <t>C3RT</t>
  </si>
  <si>
    <t>C5RT</t>
  </si>
  <si>
    <t>Edited by</t>
  </si>
  <si>
    <t>C7RT</t>
  </si>
  <si>
    <t>PL3</t>
  </si>
  <si>
    <t>Soporte para poste HEB-240 en viaducto existente, de acuerdo al plano GAS0164.</t>
  </si>
  <si>
    <t>PL4</t>
  </si>
  <si>
    <t>Soporte para poste HEB-260 en viaducto existente, de acuerdo al plano GAS0164.</t>
  </si>
  <si>
    <t>PL5</t>
  </si>
  <si>
    <t>Soporte para poste HEB-280 en viaducto existente, de acuerdo al plano GAS0164.</t>
  </si>
  <si>
    <t>PL2H240</t>
  </si>
  <si>
    <t>Soporte para poste 2xHEB-240 en viaducto existente, de acuerdo al plano GAS0164.</t>
  </si>
  <si>
    <t>PL2H280</t>
  </si>
  <si>
    <t>Soporte para poste 2xHEB-280 en viaducto existente, de acuerdo al plano GAS0164.</t>
  </si>
  <si>
    <t>PL2H300</t>
  </si>
  <si>
    <t>Soporte para poste 2xHEB-300 en viaducto existente, de acuerdo al plano GAS0164.</t>
  </si>
  <si>
    <t>W4</t>
  </si>
  <si>
    <t>W5</t>
  </si>
  <si>
    <t>WD3</t>
  </si>
  <si>
    <t>Soporte para poste HEB-240 en canaleta de drenaje existente.</t>
  </si>
  <si>
    <t>WD4</t>
  </si>
  <si>
    <t>Soporte para poste HEB-260 en canaleta de drenaje existente.</t>
  </si>
  <si>
    <t>WD5</t>
  </si>
  <si>
    <t>Soporte para poste HEB-280 en canaleta de drenaje existente.</t>
  </si>
  <si>
    <t>Soporte en túnel para dos ménsulas (2*)</t>
  </si>
  <si>
    <t>C-419</t>
  </si>
  <si>
    <t>Soporte para un equipo de tensorex sencillo en pared</t>
  </si>
  <si>
    <t>Conjunto de anclaje de poste en viaducto (HEB-220 a HEB-240) (taladrando el tablero)</t>
  </si>
  <si>
    <t xml:space="preserve">Conjunto de anclaje de poste en viaducto (HEB-260 a HEB-300) (taladrando el tablero) </t>
  </si>
  <si>
    <t xml:space="preserve">Conjunto de anclaje de poste en viaducto (HEB-320) (taladrando el tablero)  </t>
  </si>
  <si>
    <t>(puntas de feeder) FS-1 + 2xFS/PP-2 + 2xFS/PP-3</t>
  </si>
  <si>
    <t>C-625a</t>
  </si>
  <si>
    <t xml:space="preserve">Aparellaje de  Earthing Device en poste (Sin feeder) </t>
  </si>
  <si>
    <t>ED+Disc</t>
  </si>
  <si>
    <t>C-625b</t>
  </si>
  <si>
    <t>AnMC-RT</t>
  </si>
  <si>
    <t>Not for construction</t>
  </si>
  <si>
    <t>Overhead Cable</t>
  </si>
  <si>
    <t>Overpass / Overcrossing</t>
  </si>
  <si>
    <t xml:space="preserve">Station </t>
  </si>
  <si>
    <t>Level crossing</t>
  </si>
  <si>
    <t>Current Transformer</t>
  </si>
  <si>
    <t>CurrentT</t>
  </si>
  <si>
    <t>COLORS</t>
  </si>
  <si>
    <t>ZONA 1</t>
  </si>
  <si>
    <t>ZONA 2</t>
  </si>
  <si>
    <t>ZONA  LA 280</t>
  </si>
  <si>
    <t>ANCHORAGE</t>
  </si>
  <si>
    <t>OCS Tensioning Anchorage in pole</t>
  </si>
  <si>
    <t>PLX</t>
  </si>
  <si>
    <t>WX</t>
  </si>
  <si>
    <t>WDX</t>
  </si>
  <si>
    <t>Base for pole with drainage</t>
  </si>
  <si>
    <t>(CX, CXR, CXRT)</t>
  </si>
  <si>
    <t>(see drawing for types)</t>
  </si>
  <si>
    <t>Pole foundation Type CX</t>
  </si>
  <si>
    <t>OCS Pole</t>
  </si>
  <si>
    <t>HEB-XXX</t>
  </si>
  <si>
    <t>AnM-RT</t>
  </si>
  <si>
    <t>2HEB-320</t>
  </si>
  <si>
    <t>ED/T + ED</t>
  </si>
  <si>
    <t>Parallel Load Breaker</t>
  </si>
  <si>
    <t>LoadB/PP</t>
  </si>
  <si>
    <t>Tunnel disconector</t>
  </si>
  <si>
    <t>Disconnector</t>
  </si>
  <si>
    <t>Approved by KEDMOR</t>
  </si>
  <si>
    <t>HEB-450LL</t>
  </si>
  <si>
    <t>2HEB-280</t>
  </si>
  <si>
    <t>C-218</t>
  </si>
  <si>
    <t>C-214-L</t>
  </si>
  <si>
    <t>OCS Tensioning Anchorage in tunnel</t>
  </si>
  <si>
    <t>OCS Tensioning Anchorage in wall</t>
  </si>
  <si>
    <t>Support for 1 cantilever in wall</t>
  </si>
  <si>
    <t>Support for 2 cantilever in tunnel (2x)</t>
  </si>
  <si>
    <t>Support for 2 cantilever in wall (2x)</t>
  </si>
  <si>
    <t>S-1T-W</t>
  </si>
  <si>
    <t>S-2T-W</t>
  </si>
  <si>
    <t>Support for 1 cantilever separated in wall</t>
  </si>
  <si>
    <t>Support for 2 cantilever separated in wall (2x)</t>
  </si>
  <si>
    <t>S-1T-H</t>
  </si>
  <si>
    <t>S-2T-H</t>
  </si>
  <si>
    <t>AnMC/W</t>
  </si>
  <si>
    <t>AnM/W</t>
  </si>
  <si>
    <t>2W3</t>
  </si>
  <si>
    <t>W7</t>
  </si>
  <si>
    <t>S-1T-R</t>
  </si>
  <si>
    <t>S-2T-R</t>
  </si>
  <si>
    <t>Base for pole in Top wall</t>
  </si>
  <si>
    <t>WTX</t>
  </si>
  <si>
    <t>WT3</t>
  </si>
  <si>
    <t>WT4</t>
  </si>
  <si>
    <t>WT5</t>
  </si>
  <si>
    <t>Signal Interface/Reduce gauge up to 2,90m</t>
  </si>
  <si>
    <t>PHQ-XXX</t>
  </si>
  <si>
    <t>PHC-XXX</t>
  </si>
  <si>
    <t>Support for 1 cantilever in wall in ARMOR TERRAIN</t>
  </si>
  <si>
    <t>HEB-XXX AT</t>
  </si>
  <si>
    <t>Transformador de Intensidad</t>
  </si>
  <si>
    <t>C-213-L</t>
  </si>
  <si>
    <t>2HEB-240L</t>
  </si>
  <si>
    <t>2HEB-260L</t>
  </si>
  <si>
    <t>HEB-300LL</t>
  </si>
  <si>
    <t>C-209-LL</t>
  </si>
  <si>
    <t>Messenger and C.W, anchorage base in wall</t>
  </si>
  <si>
    <t>Return, Feeder and Midpoint base in wall</t>
  </si>
  <si>
    <t>Messenger and C.W, anchorage found in L</t>
  </si>
  <si>
    <t>Return, Feeder and Midpoint anchorage found in L</t>
  </si>
  <si>
    <t>CX</t>
  </si>
  <si>
    <t>Pole foundation Type CX in L</t>
  </si>
  <si>
    <t>Soporte para poste 2HEB-240 en canaleta de drenaje existente.</t>
  </si>
  <si>
    <t>2W4</t>
  </si>
  <si>
    <t>2W7</t>
  </si>
  <si>
    <t>2WT3</t>
  </si>
  <si>
    <t>Soporte en cabeza de muro para poste 2HEB-240 en muro existente.</t>
  </si>
  <si>
    <t>2WT4</t>
  </si>
  <si>
    <t>Soporte en cabeza de muro para poste HEB-240 en muro existente.</t>
  </si>
  <si>
    <t>Soporte en cabeza de muro para poste HEB-260 en muro existente.</t>
  </si>
  <si>
    <t>Soporte en cabeza de muro para poste 2HEB-260 en muro existente.</t>
  </si>
  <si>
    <t>Soporte en cabeza de muro para poste HEB-280 en muro existente.</t>
  </si>
  <si>
    <t>WT7</t>
  </si>
  <si>
    <t>2WT7</t>
  </si>
  <si>
    <t>Soporte en cabeza de muro para poste 2HEB-320L en muro existente.</t>
  </si>
  <si>
    <t>2WD3</t>
  </si>
  <si>
    <t>Soporte para poste 2HEB-260 en canaleta de drenaje existente.</t>
  </si>
  <si>
    <t>2WD4</t>
  </si>
  <si>
    <t>WD7</t>
  </si>
  <si>
    <t>Soporte para poste 2HEB-320L en canaleta de drenaje existente.</t>
  </si>
  <si>
    <t>2WD7</t>
  </si>
  <si>
    <t>Cimentacion Tipo AnM &amp; Soporte en L</t>
  </si>
  <si>
    <t>Cimentacion Tipo AnMC &amp; Soporte en L</t>
  </si>
  <si>
    <t>Placa de anclaje para tirante en canaleta de drenaje existente.</t>
  </si>
  <si>
    <t>Placa de anclaje en cabez de muro para tirante en muro existente.</t>
  </si>
  <si>
    <t>AnM/WT</t>
  </si>
  <si>
    <t>AnMC/WT</t>
  </si>
  <si>
    <t>AnM/WD</t>
  </si>
  <si>
    <t>AnMC/WD</t>
  </si>
  <si>
    <t>AnM/TX</t>
  </si>
  <si>
    <t>Anclaje en tunel / muro Tensorex</t>
  </si>
  <si>
    <t>Anclaje en tunel OCS CP / FP</t>
  </si>
  <si>
    <t>Anclaje en tunel CR / FN / MP</t>
  </si>
  <si>
    <t>Placa de anclaje para tirante en muro existente.</t>
  </si>
  <si>
    <t>Suplemento para Tirante en viaducto y AnRW2</t>
  </si>
  <si>
    <t>(láminas de aire)</t>
  </si>
  <si>
    <t>C-276-H</t>
  </si>
  <si>
    <t>C-276-R</t>
  </si>
  <si>
    <t>C-276-W</t>
  </si>
  <si>
    <t>C-219-CP</t>
  </si>
  <si>
    <t>C-648</t>
  </si>
  <si>
    <t>PL2H260</t>
  </si>
  <si>
    <t>Soporte para poste 2xHEB-260 en viaducto existente, de acuerdo al plano GAS0164.</t>
  </si>
  <si>
    <t>Accionamiento y transmisión para seccionador en portico Cat Estacion</t>
  </si>
  <si>
    <t>LoadB/PP-pr</t>
  </si>
  <si>
    <t>Aparellaje de conjunto de seccionador monopolar  AV en poste (Sin feeder)</t>
  </si>
  <si>
    <t>Aparellaje tipo de conjunto de seccionador monopolar  AV en portico Catenaria Estacion</t>
  </si>
  <si>
    <t>Aparellaje de conjunto de seccionador monopolar  AC en poste (Sin feeder)</t>
  </si>
  <si>
    <t>Aparellaje tipo de conjunto de seccionador monopolar  AC en portico Catenaria Estacion</t>
  </si>
  <si>
    <t>Connections of Load Breaker  (without feeder)</t>
  </si>
  <si>
    <t>Motor Drive and Transmission for Disconector/Load Breaker in OCS portal</t>
  </si>
  <si>
    <t>Connections of Disconnector  in OCS portal (without feeder)</t>
  </si>
  <si>
    <t>Connections of Load Breaker in OCS portal (without feeder)</t>
  </si>
  <si>
    <t xml:space="preserve">(puestas en paralelo) LoadB/PP* + 1xPP-2 + 5xPP-4 + 1xFS/PP-2 + 3xFS/PP-3 </t>
  </si>
  <si>
    <t>C-636</t>
  </si>
  <si>
    <t>C-637</t>
  </si>
  <si>
    <t>C-640b</t>
  </si>
  <si>
    <t>Disc/t + LoadB/t</t>
  </si>
  <si>
    <t>Seccionador monopolar de AV en túnel</t>
  </si>
  <si>
    <t>C-638</t>
  </si>
  <si>
    <t>Soporte lateral para poste HEB-240 en muro existente.</t>
  </si>
  <si>
    <t>Soporte lateral para poste 2HEB-240 en muro existente.</t>
  </si>
  <si>
    <t>Soporte lateral para poste HEB-260 en muro existente.</t>
  </si>
  <si>
    <t>Soporte lateral para poste 2HEB-260 en muro existente.</t>
  </si>
  <si>
    <t>Soporte lateral para poste HEB-280 en muro existente.</t>
  </si>
  <si>
    <t>Soporte lateral para poste 2HEB-320L en muro existente.</t>
  </si>
  <si>
    <t>Soporte en muro para una ménsula Tipo W</t>
  </si>
  <si>
    <t>Soporte en muro para dos ménsulas Tipo W (2*)</t>
  </si>
  <si>
    <t>Soporte en muro para dos ménsulas Tipo H (2*)</t>
  </si>
  <si>
    <t>Soporte en muro para una ménsula Tipo H</t>
  </si>
  <si>
    <t>Soporte en muro para dos ménsulas Tipo R (2*)</t>
  </si>
  <si>
    <t>Soporte en muro para una ménsula Tipo R</t>
  </si>
  <si>
    <t>C-212-ESP</t>
  </si>
  <si>
    <t>Signal Interface/Reduce gauge up to 2.90m</t>
  </si>
  <si>
    <t>Neutral Section</t>
  </si>
  <si>
    <t>Sorted out by reducing gauge up to 2.50m</t>
  </si>
  <si>
    <t>Signal Interface/Reduce gauge up to 2.50m</t>
  </si>
  <si>
    <t>Return 
Support</t>
  </si>
  <si>
    <t>Pole Calculation
Reference</t>
  </si>
  <si>
    <t>Disc/NS</t>
  </si>
  <si>
    <t>Soil 
Found</t>
  </si>
  <si>
    <t>VERSION</t>
  </si>
  <si>
    <t>App.7</t>
  </si>
  <si>
    <t>App.8</t>
  </si>
  <si>
    <t>FOR EP-01 TO EP-14 AND EP-16 (VB=33M/S). CANTILEVER DISTANCE TO TRACK UP TO 3.50M. HEIGHT≤10M</t>
  </si>
  <si>
    <t>Calculation reference</t>
  </si>
  <si>
    <t>Paragraph</t>
  </si>
  <si>
    <t>Straight</t>
  </si>
  <si>
    <t>R≥10,000m</t>
  </si>
  <si>
    <t>10,000m &gt; R ≥ 2,800m</t>
  </si>
  <si>
    <t>2,800m &gt; R ≥ 1,000m</t>
  </si>
  <si>
    <t>1,000m &gt; R ≥ 500m</t>
  </si>
  <si>
    <t>500m &gt; R ≥ 300m</t>
  </si>
  <si>
    <t>300m &gt; R ≥ 150m</t>
  </si>
  <si>
    <t>(span 67m)</t>
  </si>
  <si>
    <t>(span 60m)</t>
  </si>
  <si>
    <t>(span 50m)</t>
  </si>
  <si>
    <t>(span 36m)</t>
  </si>
  <si>
    <t>(span 27m)</t>
  </si>
  <si>
    <t>(span 23m)</t>
  </si>
  <si>
    <t>P9.5.1.1</t>
  </si>
  <si>
    <t>GT</t>
  </si>
  <si>
    <t>P9.5.1.2</t>
  </si>
  <si>
    <t>P9.5.1.3</t>
  </si>
  <si>
    <t>P9.5.1.4</t>
  </si>
  <si>
    <t>P9.5.1.5</t>
  </si>
  <si>
    <t>P9.5.1.6</t>
  </si>
  <si>
    <t>2HEB-300</t>
  </si>
  <si>
    <t>P9.5.1.7</t>
  </si>
  <si>
    <t>A A/S</t>
  </si>
  <si>
    <t>P9.5.1.8</t>
  </si>
  <si>
    <t>S/A A/S</t>
  </si>
  <si>
    <t>P9.5.1.9</t>
  </si>
  <si>
    <t>3 C</t>
  </si>
  <si>
    <t>X</t>
  </si>
  <si>
    <t>FOR EP-01 TO EP-14 AND EP-16 (VB=33M/S). CANTILEVER DISTANCE TO TRACK UP TO 4.00M. HEIGHT≤10M</t>
  </si>
  <si>
    <t>P9.5.4.1</t>
  </si>
  <si>
    <t>P9.5.4.2</t>
  </si>
  <si>
    <t>P9.5.4.3</t>
  </si>
  <si>
    <t>P9.5.4.4</t>
  </si>
  <si>
    <t>P9.5.4.5</t>
  </si>
  <si>
    <t>P9.5.4.6</t>
  </si>
  <si>
    <t>P9.5.4.7</t>
  </si>
  <si>
    <t>P9.5.4.8</t>
  </si>
  <si>
    <t>P9.5.4.9</t>
  </si>
  <si>
    <t>FOR EP-01 TO EP-14 AND EP-16 (VB=33M/S). CANTILEVER DISTANCE TO TRACK UP TO 3.50M. HEIGHT≤20M</t>
  </si>
  <si>
    <t>P9.5.7.1</t>
  </si>
  <si>
    <t>P9.5.7.2</t>
  </si>
  <si>
    <t>P9.5.7.3</t>
  </si>
  <si>
    <t>P9.5.7.4</t>
  </si>
  <si>
    <t>P9.5.7.5</t>
  </si>
  <si>
    <t>P9.5.7.6</t>
  </si>
  <si>
    <t>P9.5.7.7</t>
  </si>
  <si>
    <t>P9.5.7.8</t>
  </si>
  <si>
    <t>P9.5.7.9</t>
  </si>
  <si>
    <t>FOR EP-01 TO EP-14 AND EP-16 (VB=33M/S). CANTILEVER DISTANCE TO TRACK UP TO 4.00M. HEIGHT≤20M</t>
  </si>
  <si>
    <t>P9.5.8.1</t>
  </si>
  <si>
    <t>P9.5.8.2</t>
  </si>
  <si>
    <t>P9.5.8.3</t>
  </si>
  <si>
    <t>P9.5.8.4</t>
  </si>
  <si>
    <t>P9.5.8.5</t>
  </si>
  <si>
    <t>P9.5.8.6</t>
  </si>
  <si>
    <t>P9.5.8.8</t>
  </si>
  <si>
    <t>P9.5.8.9</t>
  </si>
  <si>
    <t>FOR EP-01 TO EP-14 AND EP-16 (VB=33M/S). CANTILEVER DISTANCE TO TRACK UP TO 3.50M. HEIGHT≤30M</t>
  </si>
  <si>
    <t>P9.5.9.1</t>
  </si>
  <si>
    <t>P9.5.9.2</t>
  </si>
  <si>
    <t>P9.5.9.3</t>
  </si>
  <si>
    <t>P9.5.9.4</t>
  </si>
  <si>
    <t>P9.5.9.5</t>
  </si>
  <si>
    <t>P9.5.9.6</t>
  </si>
  <si>
    <t>P9.5.9.7</t>
  </si>
  <si>
    <t>P9.5.9.9</t>
  </si>
  <si>
    <t>FOR EP-01 TO EP-14 AND EP-16 (VB=33M/S). CANTILEVER DISTANCE TO TRACK UP TO 4.00M. HEIGHT≤30M</t>
  </si>
  <si>
    <t>P9.5.10.1</t>
  </si>
  <si>
    <t>P9.5.10.2</t>
  </si>
  <si>
    <t>P9.5.10.3</t>
  </si>
  <si>
    <t>P9.5.10.4</t>
  </si>
  <si>
    <t>P9.5.10.5</t>
  </si>
  <si>
    <t>P9.5.10.6</t>
  </si>
  <si>
    <t>P9.5.10.7</t>
  </si>
  <si>
    <t>P9.5.10.9</t>
  </si>
  <si>
    <t>ANCHOR TO POLE WITHOUT ANCHOR TIE</t>
  </si>
  <si>
    <t>P9.5.11.1</t>
  </si>
  <si>
    <t>P9.5.11.2</t>
  </si>
  <si>
    <t>P9.5.11.3</t>
  </si>
  <si>
    <t>P9.5.11.4</t>
  </si>
  <si>
    <t>POLES AT END OF TRACK</t>
  </si>
  <si>
    <t xml:space="preserve">FOR EP-01 TO EP-14 AND EP-16 (VB=33M/S). MAXIMUM SPAN LENGTH OF 60M </t>
  </si>
  <si>
    <t>POLE TYPE</t>
  </si>
  <si>
    <t>P11.1</t>
  </si>
  <si>
    <t>All</t>
  </si>
  <si>
    <t>POLES IN FEEDERS LINE</t>
  </si>
  <si>
    <t>FOR EP-01 TO EP-14 (VB=33M/S). CANTILEVER DISTANCE TO TRACK UP TO 3.50M</t>
  </si>
  <si>
    <t>P12.3.1.1</t>
  </si>
  <si>
    <t>HEB-280LL</t>
  </si>
  <si>
    <t>P12.3.1.2</t>
  </si>
  <si>
    <t>HEB-300 LL</t>
  </si>
  <si>
    <t>P12.3.1.3</t>
  </si>
  <si>
    <t>P12.3.1.4</t>
  </si>
  <si>
    <t>HEB-360LL</t>
  </si>
  <si>
    <t>P12.3.1.5</t>
  </si>
  <si>
    <t>P12.3.1.6</t>
  </si>
  <si>
    <t>P12.3.1.7</t>
  </si>
  <si>
    <t>P12.3.1.8</t>
  </si>
  <si>
    <t>P12.3.1.9</t>
  </si>
  <si>
    <t>P9.5.2.1</t>
  </si>
  <si>
    <t>P9.5.2.2</t>
  </si>
  <si>
    <t>P9.5.2.3</t>
  </si>
  <si>
    <t>P9.5.2.4</t>
  </si>
  <si>
    <t>P9.5.2.5</t>
  </si>
  <si>
    <t>P9.5.2.6</t>
  </si>
  <si>
    <t>P9.5.2.7</t>
  </si>
  <si>
    <t>P9.5.2.8</t>
  </si>
  <si>
    <t>P9.5.2.9</t>
  </si>
  <si>
    <t>Configuration</t>
  </si>
  <si>
    <t>(span 65m)</t>
  </si>
  <si>
    <t xml:space="preserve"> Portal PR1-A</t>
  </si>
  <si>
    <t>Conf. 0</t>
  </si>
  <si>
    <t>Conf. 1</t>
  </si>
  <si>
    <t>Conf. 2</t>
  </si>
  <si>
    <t>Conf. 3</t>
  </si>
  <si>
    <t xml:space="preserve"> Portal PR1-B</t>
  </si>
  <si>
    <t>HEB-320PL</t>
  </si>
  <si>
    <t xml:space="preserve"> Portal PR1-C</t>
  </si>
  <si>
    <t>HEB-360L</t>
  </si>
  <si>
    <t xml:space="preserve"> Portal PR1-D</t>
  </si>
  <si>
    <t>Conf. 4</t>
  </si>
  <si>
    <t xml:space="preserve"> Portal PR1-E</t>
  </si>
  <si>
    <t>P8.7</t>
  </si>
  <si>
    <t>2HEB-260F</t>
  </si>
  <si>
    <t>2HEB-300F</t>
  </si>
  <si>
    <t>2C3R</t>
  </si>
  <si>
    <t>2C3RT</t>
  </si>
  <si>
    <t>2C4R</t>
  </si>
  <si>
    <t>2C4RT</t>
  </si>
  <si>
    <t>C8R</t>
  </si>
  <si>
    <t>C8RT</t>
  </si>
  <si>
    <t>C9R</t>
  </si>
  <si>
    <t>C9RT</t>
  </si>
  <si>
    <t>C10R</t>
  </si>
  <si>
    <t>C10RT</t>
  </si>
  <si>
    <t>C11R</t>
  </si>
  <si>
    <t>C11RT</t>
  </si>
  <si>
    <t>C12FR</t>
  </si>
  <si>
    <t>Cimentación para Poste 2HEB-300F: C12FR</t>
  </si>
  <si>
    <t>C12FRT</t>
  </si>
  <si>
    <t>Cimentación para Poste 2HEB-300F: C12FRT</t>
  </si>
  <si>
    <t>2C4FR</t>
  </si>
  <si>
    <t>Cimentación para Poste 2HEB-260F: 2C4FR</t>
  </si>
  <si>
    <t>2C4FRT</t>
  </si>
  <si>
    <t>Cimentación para Poste 2HEB-260F: 2C4FRT</t>
  </si>
  <si>
    <t>Foundation for POLE 2HEB-300F: C12FR</t>
  </si>
  <si>
    <t>Foundation for POLE 2HEB-300F: C12FRT</t>
  </si>
  <si>
    <t>Foundation for POLE 2HEB-260F: 2C4FR</t>
  </si>
  <si>
    <t>Foundation for POLE 2HEB-260F: 2C4FRT</t>
  </si>
  <si>
    <t>T-SIGN FOUND.</t>
  </si>
  <si>
    <t>Cimentación para T-SIGN: Ø750*1700 . Diámetro= 0,750 m. Depth=1,7 m.</t>
  </si>
  <si>
    <t xml:space="preserve">Cimentación: AnMC-R . Diámetro= 0,75 m. </t>
  </si>
  <si>
    <t xml:space="preserve">Cimentación: AnMC-RT . Diámetro= 0,75 m. </t>
  </si>
  <si>
    <t>Cimentación: AnM-R . Diámetro= 0,75 m.</t>
  </si>
  <si>
    <t xml:space="preserve">Cimentación: AnM-RT . Diámetro= 0,75 m. </t>
  </si>
  <si>
    <t>C3RT_L</t>
  </si>
  <si>
    <t>C4RT_L</t>
  </si>
  <si>
    <t>C7RT_L</t>
  </si>
  <si>
    <t>C8R_L</t>
  </si>
  <si>
    <t>C8RT_L</t>
  </si>
  <si>
    <t>2C3R_L</t>
  </si>
  <si>
    <t>WS5</t>
  </si>
  <si>
    <t>Poste HEB-280 con soporte lateral en muro existente</t>
  </si>
  <si>
    <t>WA7</t>
  </si>
  <si>
    <t>WB7</t>
  </si>
  <si>
    <t>WH4</t>
  </si>
  <si>
    <t>Soporte lateral especial con 3 apoyos para poste HEB-260 en muro existente.</t>
  </si>
  <si>
    <t>WH5</t>
  </si>
  <si>
    <t>Soporte lateral especial con 3 apoyos para poste HEB-280 en muro existente.</t>
  </si>
  <si>
    <t>WH7</t>
  </si>
  <si>
    <t>2WH3</t>
  </si>
  <si>
    <t>Soporte lateral especial con 3 apoyos para poste 2HEB-240 en muro existente.</t>
  </si>
  <si>
    <t>2WH4</t>
  </si>
  <si>
    <t>Soporte lateral especial con 3 apoyos para poste 2HEB-260 en muro existente.</t>
  </si>
  <si>
    <t>AnMR_L</t>
  </si>
  <si>
    <t>AnMC-R_L</t>
  </si>
  <si>
    <t>AnM-R_L</t>
  </si>
  <si>
    <t xml:space="preserve"> ARMS</t>
  </si>
  <si>
    <t>CS</t>
  </si>
  <si>
    <t>TgS</t>
  </si>
  <si>
    <t>PHQ-950</t>
  </si>
  <si>
    <t>PHQ-1000</t>
  </si>
  <si>
    <t>PHQ-1050</t>
  </si>
  <si>
    <t>PHQ-1100</t>
  </si>
  <si>
    <t>PHQ-1150</t>
  </si>
  <si>
    <t>PHQ-1200</t>
  </si>
  <si>
    <t>PHQ-1250</t>
  </si>
  <si>
    <t>PHQ-1300</t>
  </si>
  <si>
    <t>PHQ-1350</t>
  </si>
  <si>
    <t>PHQ-1400</t>
  </si>
  <si>
    <t>PHQ-1450</t>
  </si>
  <si>
    <t>PHQ-2000</t>
  </si>
  <si>
    <t>PHC-950</t>
  </si>
  <si>
    <t>PHC-1000</t>
  </si>
  <si>
    <t>PHC-1050</t>
  </si>
  <si>
    <t>PHC-1100</t>
  </si>
  <si>
    <t>PHC-1150</t>
  </si>
  <si>
    <t>PHC-1200</t>
  </si>
  <si>
    <t>PHC-1250</t>
  </si>
  <si>
    <t>PHC-1300</t>
  </si>
  <si>
    <t>PHC-1350</t>
  </si>
  <si>
    <t>PHC-1400</t>
  </si>
  <si>
    <t>PHC-1450</t>
  </si>
  <si>
    <t>PHC-1500</t>
  </si>
  <si>
    <t>PHC-2000</t>
  </si>
  <si>
    <t>BCE-1500</t>
  </si>
  <si>
    <t>BTC-2000</t>
  </si>
  <si>
    <t>Soil A</t>
  </si>
  <si>
    <t>Soil B</t>
  </si>
  <si>
    <t>Soil C</t>
  </si>
  <si>
    <t>Soil D</t>
  </si>
  <si>
    <t>Soil E</t>
  </si>
  <si>
    <t>Soil F</t>
  </si>
  <si>
    <t>AnMC-R</t>
  </si>
  <si>
    <t>AnM-R</t>
  </si>
  <si>
    <t>Revision:</t>
  </si>
  <si>
    <t>S-1T-B1</t>
  </si>
  <si>
    <t>S-1T-B2</t>
  </si>
  <si>
    <t>S-1T-B3</t>
  </si>
  <si>
    <t>SCRP1_PRB</t>
  </si>
  <si>
    <t>SCRP2_PRB</t>
  </si>
  <si>
    <t>SCRP1_PRC</t>
  </si>
  <si>
    <t>SCRP2_PRC</t>
  </si>
  <si>
    <t>SCRP1_PRD</t>
  </si>
  <si>
    <t>SCRP2_PRD</t>
  </si>
  <si>
    <t>SCRP1_PRE</t>
  </si>
  <si>
    <t>SCRP2_PRE</t>
  </si>
  <si>
    <t>PR1A</t>
  </si>
  <si>
    <t xml:space="preserve">Pórtico rígido &lt; 11,4 m </t>
  </si>
  <si>
    <t>PR1B</t>
  </si>
  <si>
    <t>Portico rígido de 11,4 a 17,70 m</t>
  </si>
  <si>
    <t>PR1C</t>
  </si>
  <si>
    <t>Pórtico rígido de 17,70 a 20,7 m</t>
  </si>
  <si>
    <t>PR1D</t>
  </si>
  <si>
    <t>Pórtico rígido de 20,7 a 23,7 m</t>
  </si>
  <si>
    <t>PR1E</t>
  </si>
  <si>
    <t>Pórtico rígido de 23,7 a 34 m</t>
  </si>
  <si>
    <t>PR1F</t>
  </si>
  <si>
    <t>Pórtico rígido de 34 a 40 m</t>
  </si>
  <si>
    <t>HEADSPAN</t>
  </si>
  <si>
    <t>Pórtico Funicular</t>
  </si>
  <si>
    <t>Semipórtico atirantado de 8 a 20m</t>
  </si>
  <si>
    <t xml:space="preserve">Portal Structure &lt; 11,4 m </t>
  </si>
  <si>
    <t>Portal Structure between 11,4 to 17,7 m</t>
  </si>
  <si>
    <t>Portal Structure between 17,7 to 20,7 m</t>
  </si>
  <si>
    <t>Portal Structure between 20,7 to 23,7 m</t>
  </si>
  <si>
    <t>Portal Structure between 23,7 to 34 m</t>
  </si>
  <si>
    <t>Portal Structure between 34 to 40 m</t>
  </si>
  <si>
    <t>Head Span for Depot Zones</t>
  </si>
  <si>
    <t>Semi-Pórtal with anchor between 8m to 20m</t>
  </si>
  <si>
    <t>S3</t>
  </si>
  <si>
    <t>CP+AnMC / FP+AnMC / CP/TX-P*</t>
  </si>
  <si>
    <t>CP+AnMC / FP+AnMC / AnMP / CP/TX-P*</t>
  </si>
  <si>
    <t>EMT-E</t>
  </si>
  <si>
    <t>Conjunto de ménsula dentro en poste sin tubo de atirantado</t>
  </si>
  <si>
    <t>EMT-2R</t>
  </si>
  <si>
    <t>Conjunto de ménsula fuera en poste con péndola rígida</t>
  </si>
  <si>
    <t>EMT-ET</t>
  </si>
  <si>
    <t>Conjunto de ménsula dentro en poste sin tubo de atirantado en túnel</t>
  </si>
  <si>
    <t>EMT-EP</t>
  </si>
  <si>
    <t>Conjunto de ménsula dentro en poste sin tubo de atirantado en pr</t>
  </si>
  <si>
    <t>EMT-1S</t>
  </si>
  <si>
    <t>Conjunto de ménsula dentro en soporte tipo S-1T-W/R/H</t>
  </si>
  <si>
    <t>EMT-2S</t>
  </si>
  <si>
    <t>Conjunto de ménsula fuera en soporte tipo S-1T-W/R/H</t>
  </si>
  <si>
    <t>EMT-ES</t>
  </si>
  <si>
    <t>Conjunto de ménsula fuera en soporte tipo S-1T-W/R/H sin tubo de atirantado</t>
  </si>
  <si>
    <t>EMT-TS</t>
  </si>
  <si>
    <t>Conjunto de ménsul de ciola elevada tipo S-1T-W/R/H</t>
  </si>
  <si>
    <t>EMT-1RH</t>
  </si>
  <si>
    <t>Conjunto de ménsula dentro en poste altura cw y mw reducida</t>
  </si>
  <si>
    <t>EMT-2RH</t>
  </si>
  <si>
    <t>Conjunto de ménsula fuera en poste altura cw y mw reducida</t>
  </si>
  <si>
    <t>CP/TX-T/1100</t>
  </si>
  <si>
    <t>CP/TX-T/1350</t>
  </si>
  <si>
    <t>CP/TX-W/1100</t>
  </si>
  <si>
    <t>CP/TX-W/1350</t>
  </si>
  <si>
    <t>CP/TX-P/1100</t>
  </si>
  <si>
    <t>CP/TX-P/1350</t>
  </si>
  <si>
    <t>DISC/IO-pr + DISC/PP-pr + DISC-pr</t>
  </si>
  <si>
    <t>LoadB/IO</t>
  </si>
  <si>
    <t>Aparellaje de conjunto de seccionador monopolar  AC en poste (Sin feeder) para seccionamiento de Lámina de aire</t>
  </si>
  <si>
    <t>LoadB/NS</t>
  </si>
  <si>
    <t>Aparellaje de conjunto de seccionador monopolar  AC en poste (Sin feeder) para seccionamiento de zona neutra</t>
  </si>
  <si>
    <t>LoadB/IO-pr</t>
  </si>
  <si>
    <t xml:space="preserve">Aparellaje tipo de conjunto de seccionador monopolar  AC en portico para Seccionamiento de lámina de aire </t>
  </si>
  <si>
    <t>Pantalla de protección para silleta de pórtico para 1 ménsula en PRB</t>
  </si>
  <si>
    <t>Pantalla de protección para silleta de pórtico para 1 ménsula en PRC</t>
  </si>
  <si>
    <t>Pantalla de protección para silleta de pórtico para 1 ménsula en PRD</t>
  </si>
  <si>
    <t>Pantalla de protección para silleta de pórtico para 1 ménsula en PRE</t>
  </si>
  <si>
    <t>Pantalla de protección para silleta de pórtico para 2 ménsula en PRB</t>
  </si>
  <si>
    <t>Pantalla de protección para silleta de pórtico para 2 ménsula en PRC</t>
  </si>
  <si>
    <t>Pantalla de protección para silleta de pórtico para 2 ménsula en PRD</t>
  </si>
  <si>
    <t>Pantalla de protección para silleta de pórtico para 2 ménsula en PRE</t>
  </si>
  <si>
    <t>Screen protection for support of 1 cantileven on portal PRB</t>
  </si>
  <si>
    <t>Screen protection for support of 1 cantileven on portal PRC</t>
  </si>
  <si>
    <t>Screen protection for support of 1 cantileven on portal PRD</t>
  </si>
  <si>
    <t>Screen protection for support of 1 cantileven on portal PRE</t>
  </si>
  <si>
    <t>Screen protection for support of 2 cantileven on portal PRB</t>
  </si>
  <si>
    <t>Screen protection for support of 2 cantileven on portal PRC</t>
  </si>
  <si>
    <t>Screen protection for support of 2 cantileven on portal PRD</t>
  </si>
  <si>
    <t>Screen protection for support of 2 cantileven on portal PRE</t>
  </si>
  <si>
    <t>SECT-I-NS</t>
  </si>
  <si>
    <t xml:space="preserve">Section Insulator for Neutral Section fro OCS 25KV AC </t>
  </si>
  <si>
    <t>En el WorkBook para identificar el punto de Aguja se hará de la siguiente manera P50 (CS), de esta manera si es un punto de aguja diferete, por ejemplo P40 o P30, recontara el termino CS</t>
  </si>
  <si>
    <t>En el WorkBook para identificar el punto de Aguja se hará de la siguiente manera P90 (TgS), de esta manera si es un punto de aguja diferete, por ejemplo P100 o P85, recontara el termino TgS</t>
  </si>
  <si>
    <t>Poles without SCADA</t>
  </si>
  <si>
    <t>Poles for OCS Portal</t>
  </si>
  <si>
    <t>T-SIGN</t>
  </si>
  <si>
    <t>Tubo para isntalación de señal</t>
  </si>
  <si>
    <t>HEB-360PL</t>
  </si>
  <si>
    <t>(/3)</t>
  </si>
  <si>
    <t>2PR1D</t>
  </si>
  <si>
    <t>Pórtico rígido mayor de 34 m con 3 apoyos</t>
  </si>
  <si>
    <t>Portal Structure larger tahn 34 m with 3 profiles</t>
  </si>
  <si>
    <t>Poste HEB-240 (8,2m)</t>
  </si>
  <si>
    <t>Pole HEB-240 (8,2m)</t>
  </si>
  <si>
    <t>Pole HEB-240 V BRIDGE (7,6m)</t>
  </si>
  <si>
    <t>Poste HEB-260 (8,2m)</t>
  </si>
  <si>
    <t>Pole HEB-260 (8,2m)</t>
  </si>
  <si>
    <t>Poste HEB-240 V VIADUCTO (7,6m)</t>
  </si>
  <si>
    <t>Poste HEB-260 (CP) PERFIL COMPENSACIÓN (8,2m)</t>
  </si>
  <si>
    <t>Poste HEB-260 V VIADUCTO (7,6m)</t>
  </si>
  <si>
    <t>Pole HEB-260 V BRIDGE (7,6m)</t>
  </si>
  <si>
    <t>Poste HEB-280 (8,2m)</t>
  </si>
  <si>
    <t>Pole HEB-280 (8,2m)</t>
  </si>
  <si>
    <t>Poste HEB-280 (CP) PERFIL COMPENSACIÓN (8,2m)</t>
  </si>
  <si>
    <t>Pole HEB-260 (CP) COMPENSATED PROFILE (8,2m)</t>
  </si>
  <si>
    <t>Pole HEB-280 (CP) COMPENSATED PROFILE (8,2m)</t>
  </si>
  <si>
    <t>Poste HEB-280 V VIADUCTO (7,6m)</t>
  </si>
  <si>
    <t>Pole HEB-280 V BRIDGE (7,6m)</t>
  </si>
  <si>
    <t>Poste HEB-300 (8,2m)</t>
  </si>
  <si>
    <t>Pole HEB-300 (8,2m)</t>
  </si>
  <si>
    <t>Poste HEB-300 (CP) PERFIL COMPENSACIÓN (8,2m)</t>
  </si>
  <si>
    <t>Pole HEB-300 (CP) COMPENSATED PROFILE (8,2m)</t>
  </si>
  <si>
    <t>Poste HEB-300 V  VIADUCTO (7,6m)</t>
  </si>
  <si>
    <t>Pole HEB-300 V BRIDGE (7,6m)</t>
  </si>
  <si>
    <t>Poste HEB-240L LARGO (10,5m)</t>
  </si>
  <si>
    <t>Pole HEB-240L LARGE (10,5m)</t>
  </si>
  <si>
    <t>Poste HEB-260L LARGO (10,5m)</t>
  </si>
  <si>
    <t>Pole HEB-260L LARGE (10,5m)</t>
  </si>
  <si>
    <t>Poste HEB-280L LARGO (10,5m)</t>
  </si>
  <si>
    <t>Poste HEB-300L LARGO (10,5m)</t>
  </si>
  <si>
    <t>Poste HEB-320L LARGO (10,5m)</t>
  </si>
  <si>
    <t>Poste HEB-320PL LARGO (10,5m)</t>
  </si>
  <si>
    <t>Pole HEB-280L LARGE (10,5m)</t>
  </si>
  <si>
    <t>Pole HEB-300L LARGE (10,5m)</t>
  </si>
  <si>
    <t>Pole HEB-320L LARGE (10,5m)</t>
  </si>
  <si>
    <t>Pole HEB-320PL LARGE (10,5m)</t>
  </si>
  <si>
    <t>Poste HEB-300LL EXTRA LARGO (&gt;10,5m)</t>
  </si>
  <si>
    <t>Poste HEB-320LL EXTRA LARGO (&gt;10,5m)</t>
  </si>
  <si>
    <t>Pole HEB-300LL EXTRA LARGE (&gt;10,5m)</t>
  </si>
  <si>
    <t>Pole HEB-320LL EXTRA LARGE (&gt;10,5m)</t>
  </si>
  <si>
    <t>Poste HEB-360L  LARGO (10,5m)</t>
  </si>
  <si>
    <t>Poste HEB-360PL  LARGO (10,5m)</t>
  </si>
  <si>
    <t>Pole HEB-360L LARGE (10,5m)</t>
  </si>
  <si>
    <t>Pole HEB-360PL LARGE (10,5m)</t>
  </si>
  <si>
    <t xml:space="preserve">Poste HEB-450LL EXTRA LARGO (&gt;10,5m) SEMIPÓRTICO 3 VÍAS </t>
  </si>
  <si>
    <t>Pole HEB-450LL EXTRA LARGE (&gt;10,5m) SEMIPORTAL 3 TRACKS</t>
  </si>
  <si>
    <t>Poste 2HEB-240 DOBLE (8,2m)</t>
  </si>
  <si>
    <t>Pole 2HEB-240 DOUBLE (8,2m)</t>
  </si>
  <si>
    <t xml:space="preserve">Poste 2HEB-240 V DOBLE - VIADUCTO </t>
  </si>
  <si>
    <t>Pole 2HEB-240 V DOUBLE - BRIDGE</t>
  </si>
  <si>
    <t>Poste 2HEB-240L DOBLE Y LARGO (10,5m)</t>
  </si>
  <si>
    <t>Pole 2HEB-240L DOUBLE AND LARGE (10,5m)</t>
  </si>
  <si>
    <t>Poste 2HEB-260 DOBLE (8,2m)</t>
  </si>
  <si>
    <t>Poste 2HEB-260 V DOBLE - VIADUCTO</t>
  </si>
  <si>
    <t>Poste 2HEB-260L DOBLE Y LARGO (10,5m)</t>
  </si>
  <si>
    <t>Pole 2HEB-260 DOUBLE (8,2m)</t>
  </si>
  <si>
    <t>Pole 2HEB-260 V DOUBLE - BRIDGE</t>
  </si>
  <si>
    <t>Pole 2HEB-260L DOUBLE AND LARGE (10,5m)</t>
  </si>
  <si>
    <t>Poste HEB-360LL EXTRA LARGO (&gt;10,5m) B7</t>
  </si>
  <si>
    <t>Pole HEB-360LL EXTRA LARGE (&gt;10,5m) B7</t>
  </si>
  <si>
    <t>Poste 2HEB-280 DOBLE (8,2m)</t>
  </si>
  <si>
    <t>Pole 2HEB-280 DOUBLE (8,2m)</t>
  </si>
  <si>
    <t>Poste 2HEB-280 V DOBLE - VIADUCTO</t>
  </si>
  <si>
    <t>Pole 2HEB-280 V DOUBLE - BRIDGE</t>
  </si>
  <si>
    <t xml:space="preserve">Poste 2HEB-300 V (CP) DOBLE - VIADUCTO PERFIL COMPENSACIÓN </t>
  </si>
  <si>
    <t>Pole 2HEB-300 V (CP) DOUBLE - BRIDGE COMPENSATED PROFILE</t>
  </si>
  <si>
    <t>Poste 2HEB-300 DOBLE (8,2m)</t>
  </si>
  <si>
    <t>Pole 2HEB-300 (CP) DOUBLE (8,2m)</t>
  </si>
  <si>
    <t>2HEB-360LL</t>
  </si>
  <si>
    <t xml:space="preserve">Poste 2HEB-360LL DOBLE EXTRA LARGO (&gt;10,5m) SEMIPÓRTICO 3 VÍAS </t>
  </si>
  <si>
    <t>Pole 2HEB-360LL DOUBLE EXTRA LARGE (&gt;10,5m) SEMIPORTAL 3 TRACKS</t>
  </si>
  <si>
    <t>Pole 2HEB-320L DOUBLE LARGE (&gt;10,5m)</t>
  </si>
  <si>
    <t>Poste 2HEB-320L DOBLE LARGO (&gt;10,5m)</t>
  </si>
  <si>
    <t xml:space="preserve">Poste 2HEB-320(A) DOBLE (8,2m) ANCLAJE EN TOPERA </t>
  </si>
  <si>
    <t>Pole 2HEB-320(A) DOUBLE (8,2m) END LINE TRACK ANCHOR</t>
  </si>
  <si>
    <t>2HEB-550LL</t>
  </si>
  <si>
    <t>Pole 2HEB-550LL DOUBLE EXTRA LARGE (14m) PORTAL WITH TIES &gt;34m</t>
  </si>
  <si>
    <t>Poste 2HEB-260F DOBLE (12m) FUNICULAR</t>
  </si>
  <si>
    <t>Poste 2HEB-300F DOBLE (12m) FUNICULAR</t>
  </si>
  <si>
    <t>Pole 2HEB-260F DOBLE (12m) FUNICULAR</t>
  </si>
  <si>
    <t>Pole 2HEB-300F DOBLE (12m) FUNICULAR</t>
  </si>
  <si>
    <t>HEB-240-HLG</t>
  </si>
  <si>
    <t>Poste HEB-240-HLG PÓRTICO LIMITADOR DE ALTURA</t>
  </si>
  <si>
    <t>Pole HEB-240-HLG HEIGHT LIMITING GANTRY</t>
  </si>
  <si>
    <t>T-SIGN ROAD</t>
  </si>
  <si>
    <t>CP-HLG</t>
  </si>
  <si>
    <t>Pole CP-HLG HEIGHT LIMITING GANTRY</t>
  </si>
  <si>
    <t>Tubo para isntalación de señal de carretera</t>
  </si>
  <si>
    <t>Poste CILINDRICO PÓRTICO LIMITADOR DE ALTURA</t>
  </si>
  <si>
    <t>Poste 2HEB-550LL DOBLE EXTRA LARGO (14m) PÓRTICO CON TIRANTES &gt;34m</t>
  </si>
  <si>
    <t xml:space="preserve"> Portal 2PR1-D</t>
  </si>
  <si>
    <t>Conf. 5</t>
  </si>
  <si>
    <t>Conf. 6</t>
  </si>
  <si>
    <t xml:space="preserve"> Portal PR1-F</t>
  </si>
  <si>
    <t>HEB-400PL</t>
  </si>
  <si>
    <t>HEB-450PL</t>
  </si>
  <si>
    <t>HEB-500PL</t>
  </si>
  <si>
    <t>C13R</t>
  </si>
  <si>
    <t>2C7R</t>
  </si>
  <si>
    <t>2C7RT</t>
  </si>
  <si>
    <t>C13RT</t>
  </si>
  <si>
    <t xml:space="preserve">Cimentación para Poste 2HEB-360LL: 2C7R. Diámetro= 1 m. </t>
  </si>
  <si>
    <t xml:space="preserve">Cimentación para Poste 2HEB-360LL: 2C7RT. Diámetro= 1 m. </t>
  </si>
  <si>
    <t>C9R_L</t>
  </si>
  <si>
    <t>C9RT_L</t>
  </si>
  <si>
    <t>C10R_L</t>
  </si>
  <si>
    <t>C10RT_L</t>
  </si>
  <si>
    <t>C11R_L</t>
  </si>
  <si>
    <t>C11RT_L</t>
  </si>
  <si>
    <t>C12R_L</t>
  </si>
  <si>
    <t>C12RT_L</t>
  </si>
  <si>
    <t>C13R_L</t>
  </si>
  <si>
    <t>C13RT_L</t>
  </si>
  <si>
    <t>2C3RT_L</t>
  </si>
  <si>
    <t>2C4R_L</t>
  </si>
  <si>
    <t>2C4RT_L</t>
  </si>
  <si>
    <t>NON DEFINED</t>
  </si>
  <si>
    <t>Cimentacion o Solucion especial pendiente de Definir (para control de ejecución)</t>
  </si>
  <si>
    <t>Unique Solution</t>
  </si>
  <si>
    <t>Solucion especial unica de un perfil asociada a un plano DWXXXX</t>
  </si>
  <si>
    <t>Poste HEB-400PL  LARGO (10,5m)</t>
  </si>
  <si>
    <t>Poste HEB-450PL  LARGO (10,5m)</t>
  </si>
  <si>
    <t>Poste HEB-500PL  LARGO (10,5m)</t>
  </si>
  <si>
    <t>Pole HEB-400PL LARGE (10,5m)</t>
  </si>
  <si>
    <t>Pole HEB-450PL LARGE (10,5m)</t>
  </si>
  <si>
    <t>Pole HEB-500PL LARGE (10,5m)</t>
  </si>
  <si>
    <t>Survey</t>
  </si>
  <si>
    <t>Profile</t>
  </si>
  <si>
    <t>Other KP</t>
  </si>
  <si>
    <t>Track KP</t>
  </si>
  <si>
    <t>KP</t>
  </si>
  <si>
    <t>Span (m)</t>
  </si>
  <si>
    <t>Theorical Cant (mm)</t>
  </si>
  <si>
    <t>Track Layout (m)</t>
  </si>
  <si>
    <t>Current 
Cant (mm)</t>
  </si>
  <si>
    <t>Current Track Layout (m)</t>
  </si>
  <si>
    <t>Current 
Span (m)</t>
  </si>
  <si>
    <t>Stagger (cm)</t>
  </si>
  <si>
    <t>Catenary height (m)</t>
  </si>
  <si>
    <t>Elevation CW (m)</t>
  </si>
  <si>
    <t>Pole Gauge Location (mm)</t>
  </si>
  <si>
    <t>Rail-Pole Distance (mm)</t>
  </si>
  <si>
    <t>CW height (m)</t>
  </si>
  <si>
    <t>Depth 
Pole F. (m)</t>
  </si>
  <si>
    <t>Depth Anchor F. (m)</t>
  </si>
  <si>
    <t>PHQ</t>
  </si>
  <si>
    <t>PHC</t>
  </si>
  <si>
    <t>Gewis</t>
  </si>
  <si>
    <t>C12RT</t>
  </si>
  <si>
    <t>500/200</t>
  </si>
  <si>
    <t>8Ø18</t>
  </si>
  <si>
    <t>Ø8@250</t>
  </si>
  <si>
    <t>DW6901</t>
  </si>
  <si>
    <t>500/250</t>
  </si>
  <si>
    <t>600/300</t>
  </si>
  <si>
    <t>10Ø20</t>
  </si>
  <si>
    <t>200*200*200/520</t>
  </si>
  <si>
    <t>13Ø25</t>
  </si>
  <si>
    <t>Ø12@200</t>
  </si>
  <si>
    <t>DW6910</t>
  </si>
  <si>
    <t>12Ø25</t>
  </si>
  <si>
    <t>DW6909</t>
  </si>
  <si>
    <t>DW6965</t>
  </si>
  <si>
    <t>260*260/220*220</t>
  </si>
  <si>
    <t>Ø</t>
  </si>
  <si>
    <t>Ø@</t>
  </si>
  <si>
    <t>NEW</t>
  </si>
  <si>
    <t>C12R</t>
  </si>
  <si>
    <t>220*220*220/225*225</t>
  </si>
  <si>
    <t>210*210*210/200*200*200</t>
  </si>
  <si>
    <t>200*200/500</t>
  </si>
  <si>
    <t>DW6902</t>
  </si>
  <si>
    <t>250*250/500</t>
  </si>
  <si>
    <t>DW6913</t>
  </si>
  <si>
    <t>200*200*200/560</t>
  </si>
  <si>
    <t>Ø8@200</t>
  </si>
  <si>
    <t>DW6905</t>
  </si>
  <si>
    <t>200*200*200/300*300</t>
  </si>
  <si>
    <t>DW6906</t>
  </si>
  <si>
    <t>200/300</t>
  </si>
  <si>
    <t>DW6903</t>
  </si>
  <si>
    <t>N.D.</t>
  </si>
  <si>
    <t xml:space="preserve">Cimentación para Poste HEB-240: C3R. Diámetro= 0,75 m. </t>
  </si>
  <si>
    <t xml:space="preserve">Cimentación para Poste HEB-240: C3RT. Diámetro= 0,75 m. </t>
  </si>
  <si>
    <t>Cimentación para Poste HEB-260 y HEB-260L: C4R. Diámetro= 0,75 m</t>
  </si>
  <si>
    <t>Cimentación para Poste HEB-260 y HEB-260L: C4RT. Diámetro= 0,75 m</t>
  </si>
  <si>
    <t xml:space="preserve">Cimentación para Poste HEB-280 y HEB-280L: C5R. Diámetro= 1 m. </t>
  </si>
  <si>
    <t xml:space="preserve">Cimentación para Poste HEB-280 y HEB-280L: C5RT. Diámetro= 1 m. </t>
  </si>
  <si>
    <t xml:space="preserve">Cimentación para Poste HEB-300, HEB-300L, HEB-300LL, HEB-320L, y HEB-320PL: C7R. Diámetro= 1 m. </t>
  </si>
  <si>
    <t xml:space="preserve">Cimentación para Poste HEB-300, HEB-300L, HEB-300LL, HEB-320L, y HEB-320PL: C7RT. Diámetro= 1 m. </t>
  </si>
  <si>
    <t xml:space="preserve">Cimentación para Poste 2HEB-320, 2HEB-320A, 2HEB-320L: C8R. Diámetro= 1,2 m. </t>
  </si>
  <si>
    <t xml:space="preserve">Cimentación para Poste 2HEB-320, 2HEB-320A, 2HEB-320L: C8RT. Diámetro= 1,2 m. </t>
  </si>
  <si>
    <t xml:space="preserve">Cimentación para Poste HEB-360L; HEB-360PL, HEB-320LL, HEB-320LL(P), HEB-360LL: C9R. Diámetro= 1 m. </t>
  </si>
  <si>
    <t xml:space="preserve">Cimentación para Poste HEB-360L; HEB-360PL, HEB-320LL, HEB-320LL(P), HEB-360LL: C9RT. Diámetro= 1 m. </t>
  </si>
  <si>
    <t xml:space="preserve">Cimentación para Poste HEB-450LL: C10R. Diámetro= 1,2 m. </t>
  </si>
  <si>
    <t xml:space="preserve">Cimentación para Poste HEB-450LL: C10RT. Diámetro= 1,2 m. </t>
  </si>
  <si>
    <t xml:space="preserve">Cimentación para Poste HEB-400PL: C11R. Diámetro= 1 m. </t>
  </si>
  <si>
    <t xml:space="preserve">Cimentación para Poste HEB-400PL: C11RT. Diámetro= 1 m. </t>
  </si>
  <si>
    <t xml:space="preserve">Cimentación para Poste HEB-450PL: C12RT. Diámetro= 1 m. </t>
  </si>
  <si>
    <t xml:space="preserve">Cimentación para Poste HEB-500PL: C13RT. Diámetro= 1 m. </t>
  </si>
  <si>
    <t xml:space="preserve">Cimentación para Poste 2HEB-240, 2HEB-240L: 2C3R. Diámetro= 1 m. </t>
  </si>
  <si>
    <t xml:space="preserve">Cimentación para Poste 2HEB-240, 2HEB-240L: 2C3RT. Diámetro= 1 m. </t>
  </si>
  <si>
    <t xml:space="preserve">Cimentación para Poste 2HEB-260, 2HEB-260L: 2C4R. Diámetro= 1 m. </t>
  </si>
  <si>
    <t xml:space="preserve">Cimentación para Poste 2HEB-260, 2HEB-260L: 2C4RT. Diámetro= 1 m. </t>
  </si>
  <si>
    <t xml:space="preserve">Foundation for POLE HEB-240: C3R. Diameter= 0,75 m. </t>
  </si>
  <si>
    <t xml:space="preserve">Foundation for POLE HEB-240: C3RT. Diameter= 0,75 m. </t>
  </si>
  <si>
    <t>Foundation for POLE HEB-260 and HEB-260L: C4R. Diameter= 0,75 m.</t>
  </si>
  <si>
    <t>Foundation for POLE HEB-260 and HEB-260L: C4RT. Diameter= 0,75 m.</t>
  </si>
  <si>
    <t xml:space="preserve">Foundation for POLE HEB-280 and HEB-280L: C5R. Diameter= 1 m. </t>
  </si>
  <si>
    <t xml:space="preserve">Foundation for POLE HEB-280 and HEB-280L: C5RT. Diameter= 1 m. </t>
  </si>
  <si>
    <t xml:space="preserve">Foundation for POLE HEB-300, HEB-300L, HEB-300LL, HEB-320L, y HEB-320PL: C7R. Diameter= 1 m. </t>
  </si>
  <si>
    <t xml:space="preserve">Foundation for POLE HEB-300, HEB-300L, HEB-300LL, HEB-320L, y HEB-320PL: C7RT. Diameter= 1 m. </t>
  </si>
  <si>
    <t xml:space="preserve">Foundation for POLE 2HEB-320, 2HEB-320A, 2HEB-320L: C8R . Diameter= 1,2 m. </t>
  </si>
  <si>
    <t xml:space="preserve">Foundation for POLE 2HEB-320, 2HEB-320A, 2HEB-320L: C8RT . Diameter= 1,2 m. </t>
  </si>
  <si>
    <t xml:space="preserve">Foundation for POLE HEB-360L; HEB-360PL, HEB-320LL, HEB-320LL(P), HEB-360LL: C9R. Diameter= 1 m. </t>
  </si>
  <si>
    <t xml:space="preserve">Foundation for POLE HEB-360L; HEB-360PL, HEB-320LL, HEB-320LL(P), HEB-360LL: C9RT. Diameter= 1 m. </t>
  </si>
  <si>
    <t xml:space="preserve">Foundation for POLE HEB-450LL: C10R. Diameter= 1,2 m. </t>
  </si>
  <si>
    <t xml:space="preserve">Foundation for POLE HEB-450LL: C10RT. Diameter= 1,2 m. </t>
  </si>
  <si>
    <t xml:space="preserve">Foundation for POLE HEB-400PL: C11R. Diameter= 1 m. </t>
  </si>
  <si>
    <t xml:space="preserve">Foundation for POLE HEB-400PL: C11RT. Diameter= 1 m. </t>
  </si>
  <si>
    <t xml:space="preserve">Foundation for POLE HEB-450PL: C12RT. Diameter= 1 m. </t>
  </si>
  <si>
    <t xml:space="preserve">Foundation for POLE HEB-500PL: C13RT. Diameter= 1 m. </t>
  </si>
  <si>
    <t xml:space="preserve">Foundation for POLE 2HEB-240, 2HEB-240L: 2C3R. Diameter= 1 m. </t>
  </si>
  <si>
    <t xml:space="preserve">Foundation for POLE 2HEB-240, 2HEB-240L: 2C3RT. Diameter= 1 m. </t>
  </si>
  <si>
    <t xml:space="preserve">Foundation for POLE 2HEB-260, 2HEB-260L: 2C4R. Diameter= 1 m. </t>
  </si>
  <si>
    <t xml:space="preserve">Foundation for POLE 2HEB-260, 2HEB-260L: 2C4RT. Diameter= 1 m. </t>
  </si>
  <si>
    <t>Foundation for T-SIGN: Ø750*1700. Diameter= 0,750 m. Depth=1,7 m.</t>
  </si>
  <si>
    <t>Foundation: AnMCR. Diameter= 0,75 m. Depth=3,5 m. GEWI= Ø16-L=2m. Nº=4. Long. Armor=8 Ø18. Transv. Armor=16 Ø8. Steel Weight =65,1 kg. Concrete=1,546 m3.</t>
  </si>
  <si>
    <t>Foundation: AnMCRT. Diameter= 0,75 m. Depth=3,5 m. GEWI= Ø16-L=2m. Nº=4. Long. Armor=8 Ø18. Transv. Armor=16 Ø8. Steel Weight =65,1 kg. Concrete=1,546 m3.</t>
  </si>
  <si>
    <t>Foundation: AnMR. Diameter= 0,75 m. Depth=3 m. GEWI= Ø16-L=2m. Nº=4. Long. Armor=8 Ø18. Transv. Armor=16 Ø8. Steel Weight =65,1 kg. Concrete=1,325 m3.</t>
  </si>
  <si>
    <t>Foundation: AnM-RT. Diameter= 0,75 m. Depth=3 m. GEWI= Ø16-L=2m. Nº=4. Long. Armor=8 Ø18. Transv. Armor=16 Ø8. Steel Weight =65,1 kg. Concrete=1,325 m3.</t>
  </si>
  <si>
    <t xml:space="preserve">Cimentación en L para Poste HEB-240: C3R. Diámetro= 0,75 m. </t>
  </si>
  <si>
    <t xml:space="preserve">Cimentación en L para Poste HEB-240: C3RT. Diámetro= 0,75 m. </t>
  </si>
  <si>
    <t>Cimentación en L para Poste HEB-260 y HEB-260L: C4R. Diámetro= 0,75 m</t>
  </si>
  <si>
    <t>Cimentación en L para Poste HEB-260 y HEB-260L: C4RT. Diámetro= 0,75 m</t>
  </si>
  <si>
    <t xml:space="preserve">Cimentación en L para Poste HEB-280 y HEB-280L: C5R. Diámetro= 1 m. </t>
  </si>
  <si>
    <t>C5RT_L</t>
  </si>
  <si>
    <t xml:space="preserve">Cimentación en L para Poste HEB-280 y HEB-280L: C5RT. Diámetro= 1 m. </t>
  </si>
  <si>
    <t xml:space="preserve">Cimentación en L para Poste HEB-300, HEB-300L, HEB-300LL, HEB-320L, y HEB-320PL: C7R. Diámetro= 1 m. </t>
  </si>
  <si>
    <t xml:space="preserve">Cimentación en L para Poste HEB-300, HEB-300L, HEB-300LL, HEB-320L, y HEB-320PL: C7RT. Diámetro= 1 m. </t>
  </si>
  <si>
    <t xml:space="preserve">Cimentación en L para Poste 2HEB-320, 2HEB-320A, 2HEB-320L: C8R. Diámetro= 1,2 m. </t>
  </si>
  <si>
    <t xml:space="preserve">Cimentación en L para Poste 2HEB-320, 2HEB-320A, 2HEB-320L: C8RT. Diámetro= 1,2 m. </t>
  </si>
  <si>
    <t xml:space="preserve">Cimentación en L para Poste HEB-360L; HEB-360PL, HEB-320LL, HEB-320LL(P), HEB-360LL: C9R. Diámetro= 1 m. </t>
  </si>
  <si>
    <t xml:space="preserve">Cimentación en L para Poste HEB-360L; HEB-360PL, HEB-320LL, HEB-320LL(P), HEB-360LL: C9RT. Diámetro= 1 m. </t>
  </si>
  <si>
    <t xml:space="preserve">Cimentación en L para Poste HEB-450LL: C10R. Diámetro= 1,2 m. </t>
  </si>
  <si>
    <t xml:space="preserve">Cimentación en L para Poste HEB-450LL: C10RT. Diámetro= 1,2 m. </t>
  </si>
  <si>
    <t xml:space="preserve">Cimentación en L para Poste HEB-400PL: C11R. Diámetro= 1 m. </t>
  </si>
  <si>
    <t xml:space="preserve">Cimentación en L para Poste HEB-400PL: C11RT. Diámetro= 1 m. </t>
  </si>
  <si>
    <t xml:space="preserve">Cimentación en L para Poste HEB-450PL: C12RT. Diámetro= 1 m. </t>
  </si>
  <si>
    <t xml:space="preserve">Cimentación en L para Poste HEB-500PL: C13RT. Diámetro= 1 m. </t>
  </si>
  <si>
    <t xml:space="preserve">Cimentación en L para Poste 2HEB-240, 2HEB-240L: 2C3R. Diámetro= 1 m. </t>
  </si>
  <si>
    <t xml:space="preserve">Cimentación en L para Poste 2HEB-240, 2HEB-240L: 2C3RT. Diámetro= 1 m. </t>
  </si>
  <si>
    <t xml:space="preserve">Cimentación en L para Poste 2HEB-260, 2HEB-260L: 2C4R. Diámetro= 1 m. </t>
  </si>
  <si>
    <t xml:space="preserve">Cimentación en L para Poste 2HEB-260, 2HEB-260L: 2C4RT. Diámetro= 1 m. </t>
  </si>
  <si>
    <t>2C7R_L</t>
  </si>
  <si>
    <t xml:space="preserve">Cimentación en L para Poste 2HEB-360LL: 2C7R. Diámetro= 1 m. </t>
  </si>
  <si>
    <t>2C7RT_L</t>
  </si>
  <si>
    <t xml:space="preserve">Cimentación en L para Poste 2HEB-360LL: 2C7RT. Diámetro= 1 m. </t>
  </si>
  <si>
    <t>2C4FR_L</t>
  </si>
  <si>
    <t>Cimentación en L para Poste 2HEB-260F: 2C4FR</t>
  </si>
  <si>
    <t>2C4FRT_L</t>
  </si>
  <si>
    <t>Cimentación en L para Poste 2HEB-260F: 2C4FRT</t>
  </si>
  <si>
    <t>C12FR_L</t>
  </si>
  <si>
    <t>Cimentación en L para Poste 2HEB-300F: C12FR</t>
  </si>
  <si>
    <t>C12FRT_L</t>
  </si>
  <si>
    <t>Cimentación en L para Poste 2HEB-300F: C12FRT</t>
  </si>
  <si>
    <t xml:space="preserve">L Foundation for POLE HEB-240: C3R. Diameter= 0,75 m. </t>
  </si>
  <si>
    <t xml:space="preserve">L Foundation for POLE HEB-240: C3RT. Diameter= 0,75 m. </t>
  </si>
  <si>
    <t>L Foundation for POLE HEB-260 and HEB-260L: C4R. Diameter= 0,75 m.</t>
  </si>
  <si>
    <t>L Foundation for POLE HEB-260 and HEB-260L: C4RT. Diameter= 0,75 m.</t>
  </si>
  <si>
    <t xml:space="preserve">L Foundation for POLE HEB-280 and HEB-280L: C5R. Diameter= 1 m. </t>
  </si>
  <si>
    <t xml:space="preserve">L Foundation for POLE HEB-280 and HEB-280L: C5RT. Diameter= 1 m. </t>
  </si>
  <si>
    <t xml:space="preserve">L Foundation for POLE HEB-300, HEB-300L, HEB-300LL, HEB-320L, y HEB-320PL: C7R. Diameter= 1 m. </t>
  </si>
  <si>
    <t xml:space="preserve">L Foundation for POLE HEB-300, HEB-300L, HEB-300LL, HEB-320L, y HEB-320PL: C7RT. Diameter= 1 m. </t>
  </si>
  <si>
    <t xml:space="preserve">L Foundation for POLE 2HEB-320, 2HEB-320A, 2HEB-320L: C8R . Diameter= 1,2 m. </t>
  </si>
  <si>
    <t xml:space="preserve">L Foundation for POLE 2HEB-320, 2HEB-320A, 2HEB-320L: C8RT . Diameter= 1,2 m. </t>
  </si>
  <si>
    <t xml:space="preserve">L Foundation for POLE HEB-360L; HEB-360PL, HEB-320LL, HEB-320LL(P), HEB-360LL: C9R. Diameter= 1 m. </t>
  </si>
  <si>
    <t xml:space="preserve">L Foundation for POLE HEB-360L; HEB-360PL, HEB-320LL, HEB-320LL(P), HEB-360LL: C9RT. Diameter= 1 m. </t>
  </si>
  <si>
    <t xml:space="preserve">L Foundation for POLE HEB-450LL: C10R. Diameter= 1,2 m. </t>
  </si>
  <si>
    <t xml:space="preserve">L Foundation for POLE HEB-450LL: C10RT. Diameter= 1,2 m. </t>
  </si>
  <si>
    <t xml:space="preserve">L Foundation for POLE HEB-400PL: C11R. Diameter= 1 m. </t>
  </si>
  <si>
    <t xml:space="preserve">L Foundation for POLE HEB-400PL: C11RT. Diameter= 1 m. </t>
  </si>
  <si>
    <t xml:space="preserve">L Foundation for POLE HEB-450PL: C12RT. Diameter= 1 m. </t>
  </si>
  <si>
    <t xml:space="preserve">L Foundation for POLE HEB-500PL: C13RT. Diameter= 1 m. </t>
  </si>
  <si>
    <t xml:space="preserve">L Foundation for POLE 2HEB-240, 2HEB-240L: 2C3R. Diameter= 1 m. </t>
  </si>
  <si>
    <t xml:space="preserve">L Foundation for POLE 2HEB-240, 2HEB-240L: 2C3RT. Diameter= 1 m. </t>
  </si>
  <si>
    <t xml:space="preserve">L Foundation for POLE 2HEB-260, 2HEB-260L: 2C4R. Diameter= 1 m. </t>
  </si>
  <si>
    <t xml:space="preserve">L Foundation for POLE 2HEB-260, 2HEB-260L: 2C4RT. </t>
  </si>
  <si>
    <t xml:space="preserve">L Foundation for POLE 2HEB-360LL: 2C7R. Diameter= 1 m. </t>
  </si>
  <si>
    <t xml:space="preserve">L Foundation for POLE 2HEB-360LL: 2C7RT. Diameter= 1 m. </t>
  </si>
  <si>
    <t>L Foundation for POLE 2HEB-260F: 2C4FR</t>
  </si>
  <si>
    <t>L Foundation for POLE 2HEB-260F: 2C4FRT</t>
  </si>
  <si>
    <t>L Foundation for POLE 2HEB-300F: C12FR</t>
  </si>
  <si>
    <t>L Foundation for POLE 2HEB-300F: C12FRT</t>
  </si>
  <si>
    <t>Gewis Nº</t>
  </si>
  <si>
    <t>Distribution</t>
  </si>
  <si>
    <t>Long. Reinforc.</t>
  </si>
  <si>
    <t>Transv. Reinforc.</t>
  </si>
  <si>
    <t>Anchorage KP</t>
  </si>
  <si>
    <t>Height Cant. Support (mm)</t>
  </si>
  <si>
    <t>Terrain Geometry</t>
  </si>
  <si>
    <t>00</t>
  </si>
  <si>
    <t>Bridge</t>
  </si>
  <si>
    <t>Soporte lateral para poste HEB-300, HEB-300L, HEB-300LL, HEB-320L, y HEB-320PL en muro existente.</t>
  </si>
  <si>
    <t>Soporte lateral especial con 3 apoyos para poste HEB-300, HEB-300L, HEB-300LL, HEB-320L, y HEB-320PL en muro existente.</t>
  </si>
  <si>
    <t>Soporte lateral especial con tirantes para poste  HEB-300, HEB-300L, HEB-300LL, HEB-320L, y HEB-320PL en muro existente.</t>
  </si>
  <si>
    <t>Soporte en cabeza de muro para poste  HEB-300, HEB-300L, HEB-300LL, HEB-320L, y HEB-320PL en muro existente.</t>
  </si>
  <si>
    <t>ANCHOR FOUND.</t>
  </si>
  <si>
    <t>STRAIGHT ARM PH</t>
  </si>
  <si>
    <t>Cat.</t>
  </si>
  <si>
    <t>Obs.</t>
  </si>
  <si>
    <t>Code</t>
  </si>
  <si>
    <t>Ref.</t>
  </si>
  <si>
    <t>BILL OF QUANTITIES</t>
  </si>
  <si>
    <t>Plain Terrain or Embankment 
(PT or K)</t>
  </si>
  <si>
    <t>Diam.</t>
  </si>
  <si>
    <t>Found.
Drawing</t>
  </si>
  <si>
    <t>DW Num.</t>
  </si>
  <si>
    <t>Total</t>
  </si>
  <si>
    <t>L ANCHOR FOUND.</t>
  </si>
  <si>
    <t>ANC.SUP. L.WALL</t>
  </si>
  <si>
    <t>ANC.SUP. T.WALL</t>
  </si>
  <si>
    <t>Soporte para poste HEB-300, HEB-300L, HEB-300LL, HEB-320L, y HEB-320PL en canaleta de drenaje existente.</t>
  </si>
  <si>
    <t>SPECIAL</t>
  </si>
  <si>
    <t>TUNNEL ANCHOR</t>
  </si>
  <si>
    <t>Check</t>
  </si>
  <si>
    <t>SIGN</t>
  </si>
  <si>
    <t>HEADSPAN
SPRC</t>
  </si>
  <si>
    <t>GANTRIES</t>
  </si>
  <si>
    <t>FORMULA</t>
  </si>
  <si>
    <t>SWIVEL BRACKET</t>
  </si>
  <si>
    <t>ANCHOR TIES</t>
  </si>
  <si>
    <t>WIRES AND CONDUCTORS</t>
  </si>
  <si>
    <t>FEEDERS ASSEMBLIES</t>
  </si>
  <si>
    <t>DISCONNECTORS ASSEMBLIES</t>
  </si>
  <si>
    <t>L FOUNDATIONS</t>
  </si>
  <si>
    <t>POLES SUPPORTS IN DRAINAGE</t>
  </si>
  <si>
    <t>POLES SUPPORTS ON TOP WALL</t>
  </si>
  <si>
    <t>POLES SUPPORTS IN LATERAL WALL</t>
  </si>
  <si>
    <t>POLES</t>
  </si>
  <si>
    <t>CANTILEVER SUPPORTS</t>
  </si>
  <si>
    <t>STEADY ARMS</t>
  </si>
  <si>
    <t>BALANCE/TENSOREX EQUIPMENTS</t>
  </si>
  <si>
    <t>RW ASSEMBLIES</t>
  </si>
  <si>
    <t>OCR</t>
  </si>
  <si>
    <t>SECT.INSUL</t>
  </si>
  <si>
    <t>CONECTIONS</t>
  </si>
  <si>
    <t>BRIDGE SUPPORTS</t>
  </si>
  <si>
    <t>AnM-RT_L</t>
  </si>
  <si>
    <t>AnMC-RT_L</t>
  </si>
  <si>
    <t>Cimentacion Tipo AnM-R T&amp; Soporte en L</t>
  </si>
  <si>
    <t>Cimentacion Tipo AnMC-R T&amp; Soporte en L</t>
  </si>
  <si>
    <t xml:space="preserve">Silleta de Ménsula sencilla en Viga tipo 1 de estación </t>
  </si>
  <si>
    <t xml:space="preserve">Silleta de Ménsula sencilla en Viga tipo 2 de estación </t>
  </si>
  <si>
    <t xml:space="preserve">Silleta de Ménsula sencilla en Viga tipo 3 de estación </t>
  </si>
  <si>
    <t>Brazo recto</t>
  </si>
  <si>
    <t>Straight steady arm</t>
  </si>
  <si>
    <t>BCE</t>
  </si>
  <si>
    <t>BTC</t>
  </si>
  <si>
    <t>Variación brazo curvo</t>
  </si>
  <si>
    <t>Curve arm variation</t>
  </si>
  <si>
    <t>SCRP1_PRF</t>
  </si>
  <si>
    <t>Pantalla de protección para silleta de pórtico para 1 ménsula en PRF</t>
  </si>
  <si>
    <t>Pantalla de protección para silleta de pórtico para 2 ménsula en PRF</t>
  </si>
  <si>
    <t>SCRP2_PRF</t>
  </si>
  <si>
    <t>Screen protection for support of 2 cantileven on portal PRF</t>
  </si>
  <si>
    <t>Screen protection for support of 1 cantileven on portal PRF</t>
  </si>
  <si>
    <t>Support for tree cantilevers in Portal Structure (LPN Section 60-80)</t>
  </si>
  <si>
    <t>S1/B7</t>
  </si>
  <si>
    <t>S2/B7</t>
  </si>
  <si>
    <t>Soporte para una ménsula en Pórtico Rígido para pórtico Autosoportado</t>
  </si>
  <si>
    <t>Soporte para tres ménsulas en Pórtico Rígido para pórtico Autosoportado</t>
  </si>
  <si>
    <t>Soporte para dos ménsulas en Pórtico Rígido para pórtico Autosoportado</t>
  </si>
  <si>
    <t>Silleta para feeder suspendido en cabeza de poste en V</t>
  </si>
  <si>
    <t>Cadena de suspensión de un feeder LA-280/380 en silleta en V</t>
  </si>
  <si>
    <t>Conjunto de apoyo de un Feeder en túnel</t>
  </si>
  <si>
    <t>Apoyo en silleta de ménsula de un Feeder en túnel</t>
  </si>
  <si>
    <t>Silleta de suspensión de un feeder en PR para pórticos</t>
  </si>
  <si>
    <t>Silleta de suspensión de 2 feederes en PR para pórticos</t>
  </si>
  <si>
    <t>Aparellaje para seccionador monopolar en poste con Bypass feeder</t>
  </si>
  <si>
    <t>Connections of Disconnector  (with  Bypass feeder)</t>
  </si>
  <si>
    <t>FS/PP-1</t>
  </si>
  <si>
    <t>IP_15</t>
  </si>
  <si>
    <t>PAC110</t>
  </si>
  <si>
    <t>PAC110_S</t>
  </si>
  <si>
    <t>PAC110_T</t>
  </si>
  <si>
    <t>MP_CR</t>
  </si>
  <si>
    <t>CB_PAC110</t>
  </si>
  <si>
    <t>SUPR_CR</t>
  </si>
  <si>
    <t>Isolament for suspension feeder LA-280 at support in V</t>
  </si>
  <si>
    <t>SSF_TP</t>
  </si>
  <si>
    <t>SSFV_TP</t>
  </si>
  <si>
    <t>SF_Wtunnel</t>
  </si>
  <si>
    <t>SF_CTunnel</t>
  </si>
  <si>
    <t>SSF_Portal</t>
  </si>
  <si>
    <t>SS2F_Portal</t>
  </si>
  <si>
    <t xml:space="preserve">Support for suspension feeder in portal </t>
  </si>
  <si>
    <t>Support for suspension of 2 feeders in portal</t>
  </si>
  <si>
    <t>DW6912</t>
  </si>
  <si>
    <t>DW6915</t>
  </si>
  <si>
    <t>DW6929</t>
  </si>
  <si>
    <t>No printable column
For KEDMOR help</t>
  </si>
  <si>
    <t>Yellow: New
Yellow: Revised
White: Approved</t>
  </si>
  <si>
    <t>Production dates</t>
  </si>
  <si>
    <t>Pole/Support</t>
  </si>
  <si>
    <t>Portal</t>
  </si>
  <si>
    <t>Depth</t>
  </si>
  <si>
    <t>POLIGONAL ARM PHQ</t>
  </si>
  <si>
    <t>POLIGONAL ARM PHC</t>
  </si>
  <si>
    <t>FILA FORMATO SOLAPE</t>
  </si>
  <si>
    <t>AnMC, AnMC-R, AnMC-RT</t>
  </si>
  <si>
    <t>AnM, AnM-R, AnM-RT</t>
  </si>
  <si>
    <t>CXR_L</t>
  </si>
  <si>
    <t xml:space="preserve">Portal type X </t>
  </si>
  <si>
    <t>PR1X</t>
  </si>
  <si>
    <t>Semi Portal</t>
  </si>
  <si>
    <t>SP1R</t>
  </si>
  <si>
    <t>Section Insulator disconnector</t>
  </si>
  <si>
    <t>Disc/SI</t>
  </si>
  <si>
    <t>Neutral Section Load Breaker</t>
  </si>
  <si>
    <t>Insulated Overlap Load Breaker</t>
  </si>
  <si>
    <t>VIADUCTO pk XX</t>
  </si>
  <si>
    <t>RW2T-S/C</t>
  </si>
  <si>
    <t>Return Wire Support in portal</t>
  </si>
  <si>
    <t>2 Return Wire Support in portal</t>
  </si>
  <si>
    <t>RW1-P</t>
  </si>
  <si>
    <t>RW2-P</t>
  </si>
  <si>
    <t>Soil</t>
  </si>
  <si>
    <t>Poles</t>
  </si>
  <si>
    <t>P</t>
  </si>
  <si>
    <t>U.S.</t>
  </si>
  <si>
    <t>P50 (CS)</t>
  </si>
  <si>
    <t>P90 (TgS)</t>
  </si>
  <si>
    <t>CP/Tunnel &amp; CP/TX-T*</t>
  </si>
  <si>
    <t>RW1T-C o RW2T-SC/ RW2T-c (2x)</t>
  </si>
  <si>
    <t>Suspensión de cable de retorno LA-280 en dintel de pórtico</t>
  </si>
  <si>
    <t>Suspension return wire LA-280 in portal</t>
  </si>
  <si>
    <t>DISC/NS + DISC/IO* + DISC/PP* + DISC/SI*</t>
  </si>
  <si>
    <t xml:space="preserve"> LoadB + LoadB/t* + LoadB/IO* + LoadB/NS*</t>
  </si>
  <si>
    <t>DISC/NS + DISC/IO + DISC/PP + DISC/SI</t>
  </si>
  <si>
    <t>- THE RANGE IN THE RELATION RADIUS / MAX. SPAN IS CLASSIFY ON THE SIDE OF THE SAFETY.</t>
  </si>
  <si>
    <t>- 1 IN CASE SPAN BETWEEN S/AX AND AN/S &lt;55M, THEN THE POLE WILL BE 2HEB-240</t>
  </si>
  <si>
    <t>- 1 IN CASE SPAN BETWEEN S/AX AND AN/S&gt;55M AND CANTILEVER DISTANCE TO TRACK OVER 3.30M, THEN THE POLE WILL BE HEB-280</t>
  </si>
  <si>
    <t>FOR EP-01 TO EP-14 AND EP-16 (VB=33M/S). CANTILEVER DISTANCE TO TRACK UP TO 3.50M. HEIGHT≤10M WITH SCADA</t>
  </si>
  <si>
    <t>P9.5.5.1</t>
  </si>
  <si>
    <t>P9.5.5.2</t>
  </si>
  <si>
    <t>P9.5.5.3</t>
  </si>
  <si>
    <t>P9.5.5.5</t>
  </si>
  <si>
    <t>P9.5.5.6</t>
  </si>
  <si>
    <t>P9.5.5.7</t>
  </si>
  <si>
    <t>P9.5.5.8</t>
  </si>
  <si>
    <t>P9.5.5.9</t>
  </si>
  <si>
    <t>P9.5.10.10</t>
  </si>
  <si>
    <t>P9.5.11.5</t>
  </si>
  <si>
    <t>P9.5.11.6</t>
  </si>
  <si>
    <t>P9.5.11.7</t>
  </si>
  <si>
    <t>P9.5.11.8</t>
  </si>
  <si>
    <t>P9.5.11.11</t>
  </si>
  <si>
    <t>P9.5.12.1</t>
  </si>
  <si>
    <t>P9.5.12.2</t>
  </si>
  <si>
    <t>P9.5.12.3</t>
  </si>
  <si>
    <t>P9.5.12.4</t>
  </si>
  <si>
    <t>P9.5.12.5</t>
  </si>
  <si>
    <t>P9.5.12.6</t>
  </si>
  <si>
    <t>P9.5.12.7</t>
  </si>
  <si>
    <t>P9.5.12.8</t>
  </si>
  <si>
    <t>P9.5.12.12</t>
  </si>
  <si>
    <t>P9.5.13.1</t>
  </si>
  <si>
    <t>P9.5.13.2</t>
  </si>
  <si>
    <t>P9.5.13.3</t>
  </si>
  <si>
    <t>P9.5.13.4</t>
  </si>
  <si>
    <t>P9.5.13.5</t>
  </si>
  <si>
    <t>P9.5.13.6</t>
  </si>
  <si>
    <t>P9.5.13.7</t>
  </si>
  <si>
    <t>P9.5.13.8</t>
  </si>
  <si>
    <t>P9.5.13.9</t>
  </si>
  <si>
    <t>P9.5.14.1</t>
  </si>
  <si>
    <t>P9.5.14.2</t>
  </si>
  <si>
    <t>P9.5.14.3</t>
  </si>
  <si>
    <t>P9.5.14.4</t>
  </si>
  <si>
    <t>P9.5.14.5</t>
  </si>
  <si>
    <t>P9.5.14.6</t>
  </si>
  <si>
    <t>P9.5.14.7</t>
  </si>
  <si>
    <t>P9.5.14.8</t>
  </si>
  <si>
    <t>P9.5.14.9</t>
  </si>
  <si>
    <t>P9.5.15.1</t>
  </si>
  <si>
    <t>P9.5.15.2</t>
  </si>
  <si>
    <t>P9.5.15.3</t>
  </si>
  <si>
    <t>P9.5.15.4</t>
  </si>
  <si>
    <t>P9.5.16.1</t>
  </si>
  <si>
    <t>P9.5.16.2</t>
  </si>
  <si>
    <t>P9.5.16.3</t>
  </si>
  <si>
    <t>P9.5.16.4</t>
  </si>
  <si>
    <t>P9.5.17.1</t>
  </si>
  <si>
    <t>P9.5.17.2</t>
  </si>
  <si>
    <t>P9.5.17.3</t>
  </si>
  <si>
    <t>P9.5.17.4</t>
  </si>
  <si>
    <t>P9.5.18.1</t>
  </si>
  <si>
    <t>P9.5.18.2</t>
  </si>
  <si>
    <t>P9.5.18.3</t>
  </si>
  <si>
    <t>P9.5.18.4</t>
  </si>
  <si>
    <t>2HEB-320A</t>
  </si>
  <si>
    <t>- THE ADDITIONAL SCADA CABLES ARE ATTACHED TO THE POLE</t>
  </si>
  <si>
    <t>Type</t>
  </si>
  <si>
    <t>P10.1</t>
  </si>
  <si>
    <t>AnMC</t>
  </si>
  <si>
    <t>Appendix 8 Portals</t>
  </si>
  <si>
    <t>Appendix 7 Poles</t>
  </si>
  <si>
    <t>Support for 1 cantilever in B7</t>
  </si>
  <si>
    <t>Support for 2 cantilever in B7</t>
  </si>
  <si>
    <t>RW1-P o RW2-P</t>
  </si>
  <si>
    <t xml:space="preserve"> Appendix 8.2 Funicular Calculation</t>
  </si>
  <si>
    <t xml:space="preserve"> Portal Calculation with anchors without Ties</t>
  </si>
  <si>
    <t>Parallelling of Catenaries and Feders Portal</t>
  </si>
  <si>
    <t>10.7.4.1</t>
  </si>
  <si>
    <t>10.7.4.2</t>
  </si>
  <si>
    <t>V08H</t>
  </si>
  <si>
    <t>Feeders Portal</t>
  </si>
  <si>
    <t>Parallelling of catenaries Portal</t>
  </si>
  <si>
    <t>Base for pole in Lateral wall</t>
  </si>
  <si>
    <t>Neutral Section disconnector</t>
  </si>
  <si>
    <t>DW6963</t>
  </si>
  <si>
    <t>DW6964</t>
  </si>
  <si>
    <t>TYPE</t>
  </si>
  <si>
    <t>NUMBER</t>
  </si>
  <si>
    <r>
      <t xml:space="preserve">- </t>
    </r>
    <r>
      <rPr>
        <vertAlign val="superscript"/>
        <sz val="10"/>
        <color rgb="FF000000"/>
        <rFont val="Arial"/>
        <family val="2"/>
      </rPr>
      <t>1</t>
    </r>
    <r>
      <rPr>
        <sz val="10"/>
        <color rgb="FF000000"/>
        <rFont val="Arial"/>
        <family val="2"/>
      </rPr>
      <t xml:space="preserve"> IN CASE SPAN BETWEEN S/AX AND AN/S &lt;55M, THEN THE POLE WILL BE 2HEB-240. FOR OTHER CASE AN SPECIFIC STUDY HAS TO BE DONE.</t>
    </r>
  </si>
  <si>
    <r>
      <t>HEB-260</t>
    </r>
    <r>
      <rPr>
        <vertAlign val="superscript"/>
        <sz val="10"/>
        <color theme="1"/>
        <rFont val="Arial"/>
        <family val="2"/>
      </rPr>
      <t>1</t>
    </r>
  </si>
  <si>
    <r>
      <t>HEB-280</t>
    </r>
    <r>
      <rPr>
        <vertAlign val="superscript"/>
        <sz val="10"/>
        <color theme="1"/>
        <rFont val="Arial"/>
        <family val="2"/>
      </rPr>
      <t>1</t>
    </r>
  </si>
  <si>
    <r>
      <t>HEB-300</t>
    </r>
    <r>
      <rPr>
        <vertAlign val="superscript"/>
        <sz val="10"/>
        <color theme="1"/>
        <rFont val="Arial"/>
        <family val="2"/>
      </rPr>
      <t>1</t>
    </r>
  </si>
  <si>
    <r>
      <t xml:space="preserve">- </t>
    </r>
    <r>
      <rPr>
        <vertAlign val="superscript"/>
        <sz val="10"/>
        <color rgb="FF000000"/>
        <rFont val="Arial"/>
        <family val="2"/>
      </rPr>
      <t>1</t>
    </r>
    <r>
      <rPr>
        <sz val="10"/>
        <color rgb="FF000000"/>
        <rFont val="Arial"/>
        <family val="2"/>
      </rPr>
      <t xml:space="preserve"> IN CASE SPAN BETWEEN S/AX AND AN/S &lt;55M, THEN THE POLE WILL BE 2HEB-240</t>
    </r>
  </si>
  <si>
    <r>
      <t xml:space="preserve">- </t>
    </r>
    <r>
      <rPr>
        <vertAlign val="superscript"/>
        <sz val="10"/>
        <color rgb="FF000000"/>
        <rFont val="Arial"/>
        <family val="2"/>
      </rPr>
      <t>1</t>
    </r>
    <r>
      <rPr>
        <sz val="10"/>
        <color rgb="FF000000"/>
        <rFont val="Arial"/>
        <family val="2"/>
      </rPr>
      <t xml:space="preserve"> IN CASE SPAN BETWEEN S/AX AND AN/S&gt;55M AND CANTILEVER DISTANCE TO TRACK OVER 3.30M, THEN THE POLE WILL BE HEB-280</t>
    </r>
  </si>
  <si>
    <t>R</t>
  </si>
  <si>
    <t>TOTAL
FOUND.</t>
  </si>
  <si>
    <t>POLES SAME FOUNDATION</t>
  </si>
  <si>
    <r>
      <t xml:space="preserve">Initial Electrification Layout of Executive Package </t>
    </r>
    <r>
      <rPr>
        <b/>
        <sz val="10"/>
        <rFont val="Arial"/>
        <family val="2"/>
      </rPr>
      <t>11A</t>
    </r>
  </si>
  <si>
    <t>A.O.</t>
  </si>
  <si>
    <r>
      <t xml:space="preserve">                                                    </t>
    </r>
    <r>
      <rPr>
        <u/>
        <sz val="10"/>
        <rFont val="Arial"/>
        <family val="2"/>
      </rPr>
      <t>APPROVED BY KEDMOR CHECK COLUMN</t>
    </r>
  </si>
  <si>
    <t>P:</t>
  </si>
  <si>
    <t>A:</t>
  </si>
  <si>
    <t>ANCHOR FOUNDATION</t>
  </si>
  <si>
    <t>17-1.20</t>
  </si>
  <si>
    <t>17-1.21</t>
  </si>
  <si>
    <t>17-1.22</t>
  </si>
  <si>
    <t>P100(TgS)</t>
  </si>
  <si>
    <t>P50(CS)</t>
  </si>
  <si>
    <t>A/S-Diag A/S</t>
  </si>
  <si>
    <t>P30(CS) A/S</t>
  </si>
  <si>
    <t>AnMP P50(CS)</t>
  </si>
  <si>
    <t>MP P50(CS)</t>
  </si>
  <si>
    <t>AnMP S/A</t>
  </si>
  <si>
    <t>A/S S/A</t>
  </si>
  <si>
    <t>S/A A/S-Diag</t>
  </si>
  <si>
    <t>0-1.16</t>
  </si>
  <si>
    <t>0-1.17</t>
  </si>
  <si>
    <t>0-1.18</t>
  </si>
  <si>
    <t>0-1.19</t>
  </si>
  <si>
    <t>0-1.20</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</si>
  <si>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</si>
  <si>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</si>
  <si>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</si>
  <si>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</si>
  <si>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</si>
  <si>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</si>
  <si>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</si>
  <si>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</si>
  <si>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</si>
  <si>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</si>
  <si>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</si>
  <si>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</si>
  <si>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</si>
  <si>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</si>
  <si>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</si>
  <si>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</si>
  <si>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</si>
  <si>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</si>
  <si>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</si>
  <si>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</si>
  <si>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</si>
  <si>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</si>
  <si>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</si>
  <si>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</si>
  <si>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2-1.01</t>
  </si>
  <si>
    <t>2-1.02</t>
  </si>
  <si>
    <t>2-1.03</t>
  </si>
  <si>
    <t>2-1.04</t>
  </si>
  <si>
    <t>2-1.05</t>
  </si>
  <si>
    <t>2-1.06</t>
  </si>
  <si>
    <t>2-1.07</t>
  </si>
  <si>
    <t>2-1.08</t>
  </si>
  <si>
    <t>2-1.09</t>
  </si>
  <si>
    <t>2-1.10</t>
  </si>
  <si>
    <t>2-1.11</t>
  </si>
  <si>
    <t>2-1.12</t>
  </si>
  <si>
    <t>2-1.13</t>
  </si>
  <si>
    <t>2-1.14</t>
  </si>
  <si>
    <t>2-1.15</t>
  </si>
  <si>
    <t>2-1.16</t>
  </si>
  <si>
    <t>2-1.17</t>
  </si>
  <si>
    <t>2-1.18</t>
  </si>
  <si>
    <t>2-1.19</t>
  </si>
  <si>
    <t>3-1.01</t>
  </si>
  <si>
    <t>3-1.02</t>
  </si>
  <si>
    <t>3-1.03</t>
  </si>
  <si>
    <t>3-1.04</t>
  </si>
  <si>
    <t>3-1.05</t>
  </si>
  <si>
    <t>3-1.06</t>
  </si>
  <si>
    <t>3-1.07</t>
  </si>
  <si>
    <t>3-1.08</t>
  </si>
  <si>
    <t>3-1.09</t>
  </si>
  <si>
    <t>3-1.10</t>
  </si>
  <si>
    <t>3-1.11</t>
  </si>
  <si>
    <t>3-1.12</t>
  </si>
  <si>
    <t>3-1.13</t>
  </si>
  <si>
    <t>3-1.14</t>
  </si>
  <si>
    <t>3-1.15</t>
  </si>
  <si>
    <t>3-1.16</t>
  </si>
  <si>
    <t>3-1.17</t>
  </si>
  <si>
    <t>3-1.18</t>
  </si>
  <si>
    <t>3-1.19</t>
  </si>
  <si>
    <t>3-1.20</t>
  </si>
  <si>
    <t>3-1.21</t>
  </si>
  <si>
    <t>3-1.22</t>
  </si>
  <si>
    <t>4-1.01</t>
  </si>
  <si>
    <t>4-1.02</t>
  </si>
  <si>
    <t>4-1.03</t>
  </si>
  <si>
    <t>4-1.04</t>
  </si>
  <si>
    <t>4-1.05</t>
  </si>
  <si>
    <t>4-1.06</t>
  </si>
  <si>
    <t>4-1.07</t>
  </si>
  <si>
    <t>4-1.08</t>
  </si>
  <si>
    <t>4-1.09</t>
  </si>
  <si>
    <t>4-1.10</t>
  </si>
  <si>
    <t>4-1.11</t>
  </si>
  <si>
    <t>4-1.12</t>
  </si>
  <si>
    <t>4-1.13</t>
  </si>
  <si>
    <t>4-1.14</t>
  </si>
  <si>
    <t>4-1.15</t>
  </si>
  <si>
    <t>4-1.16</t>
  </si>
  <si>
    <t>4-1.17</t>
  </si>
  <si>
    <t>4-1.18</t>
  </si>
  <si>
    <t>4-1.19</t>
  </si>
  <si>
    <t>4-1.20</t>
  </si>
  <si>
    <t>5-1.01</t>
  </si>
  <si>
    <t>5-1.02</t>
  </si>
  <si>
    <t>5-1.03</t>
  </si>
  <si>
    <t>5-1.04</t>
  </si>
  <si>
    <t>5-1.05</t>
  </si>
  <si>
    <t>5-1.06</t>
  </si>
  <si>
    <t>5-1.07</t>
  </si>
  <si>
    <t>5-1.08</t>
  </si>
  <si>
    <t>5-1.09</t>
  </si>
  <si>
    <t>5-1.10</t>
  </si>
  <si>
    <t>5-1.11</t>
  </si>
  <si>
    <t>5-1.12</t>
  </si>
  <si>
    <t>5-1.13</t>
  </si>
  <si>
    <t>5-1.14</t>
  </si>
  <si>
    <t>5-1.15</t>
  </si>
  <si>
    <t>5-1.16</t>
  </si>
  <si>
    <t>5-1.17</t>
  </si>
  <si>
    <t>17-2.20</t>
  </si>
  <si>
    <t>17-2.21</t>
  </si>
  <si>
    <t>17-2.22</t>
  </si>
  <si>
    <t>P90(TgS)</t>
  </si>
  <si>
    <t>0-2.01</t>
  </si>
  <si>
    <t>0-2.02</t>
  </si>
  <si>
    <t>0-2.03</t>
  </si>
  <si>
    <t>P50(CS) S/A</t>
  </si>
  <si>
    <t>S/A P50(CS) A/S</t>
  </si>
  <si>
    <t>A/S-Diag S/A</t>
  </si>
  <si>
    <t>0-2.04</t>
  </si>
  <si>
    <t>0-2.05</t>
  </si>
  <si>
    <t>0-2.06</t>
  </si>
  <si>
    <t>0-2.07</t>
  </si>
  <si>
    <t>0-2.08</t>
  </si>
  <si>
    <t>0-2.09</t>
  </si>
  <si>
    <t>0-2.10</t>
  </si>
  <si>
    <t>0-2.11</t>
  </si>
  <si>
    <t>0-2.12</t>
  </si>
  <si>
    <t>0-2.13</t>
  </si>
  <si>
    <t>0-2.14</t>
  </si>
  <si>
    <t>0-2.15</t>
  </si>
  <si>
    <t>0-2.16</t>
  </si>
  <si>
    <t>0-2.17</t>
  </si>
  <si>
    <t>0-2.18</t>
  </si>
  <si>
    <t>0-2.19</t>
  </si>
  <si>
    <t>0-2.20</t>
  </si>
  <si>
    <t>1-2.01</t>
  </si>
  <si>
    <t>1-2.02</t>
  </si>
  <si>
    <t>1-2.03</t>
  </si>
  <si>
    <t>1-2.04</t>
  </si>
  <si>
    <t>1-2.05</t>
  </si>
  <si>
    <t>1-2.06</t>
  </si>
  <si>
    <t>1-2.07</t>
  </si>
  <si>
    <t>1-2.08</t>
  </si>
  <si>
    <t>1-2.09</t>
  </si>
  <si>
    <t>1-2.10</t>
  </si>
  <si>
    <t>1-2.11</t>
  </si>
  <si>
    <t>1-2.12</t>
  </si>
  <si>
    <t>1-2.13</t>
  </si>
  <si>
    <t>1-2.14</t>
  </si>
  <si>
    <t>1-2.15</t>
  </si>
  <si>
    <t>1-2.16</t>
  </si>
  <si>
    <t>1-2.17</t>
  </si>
  <si>
    <t>1-2.18</t>
  </si>
  <si>
    <t>1-2.19</t>
  </si>
  <si>
    <t>1-2.20</t>
  </si>
  <si>
    <t>1-2.21</t>
  </si>
  <si>
    <t>1-2.22</t>
  </si>
  <si>
    <t>1-2.23</t>
  </si>
  <si>
    <t>1-2.24</t>
  </si>
  <si>
    <t>2-2.01</t>
  </si>
  <si>
    <t>2-2.02</t>
  </si>
  <si>
    <t>2-2.03</t>
  </si>
  <si>
    <t>2-2.04</t>
  </si>
  <si>
    <t>2-2.05</t>
  </si>
  <si>
    <t>2-2.06</t>
  </si>
  <si>
    <t>2-2.07</t>
  </si>
  <si>
    <t>2-2.08</t>
  </si>
  <si>
    <t>2-2.09</t>
  </si>
  <si>
    <t>2-2.10</t>
  </si>
  <si>
    <t>2-2.11</t>
  </si>
  <si>
    <t>2-2.12</t>
  </si>
  <si>
    <t>2-2.13</t>
  </si>
  <si>
    <t>2-2.14</t>
  </si>
  <si>
    <t>2-2.15</t>
  </si>
  <si>
    <t>2-2.16</t>
  </si>
  <si>
    <t>2-2.17</t>
  </si>
  <si>
    <t>2-2.18</t>
  </si>
  <si>
    <t>2-2.19</t>
  </si>
  <si>
    <t>3-2.01</t>
  </si>
  <si>
    <t>3-2.02</t>
  </si>
  <si>
    <t>3-2.03</t>
  </si>
  <si>
    <t>3-2.04</t>
  </si>
  <si>
    <t>3-2.05</t>
  </si>
  <si>
    <t>3-2.06</t>
  </si>
  <si>
    <t>3-2.07</t>
  </si>
  <si>
    <t>3-2.08</t>
  </si>
  <si>
    <t>3-2.09</t>
  </si>
  <si>
    <t>3-2.10</t>
  </si>
  <si>
    <t>3-2.11</t>
  </si>
  <si>
    <t>3-2.12</t>
  </si>
  <si>
    <t>3-2.13</t>
  </si>
  <si>
    <t>3-2.14</t>
  </si>
  <si>
    <t>3-2.15</t>
  </si>
  <si>
    <t>3-2.16</t>
  </si>
  <si>
    <t>3-2.17</t>
  </si>
  <si>
    <t>3-2.18</t>
  </si>
  <si>
    <t>3-2.19</t>
  </si>
  <si>
    <t>3-2.20</t>
  </si>
  <si>
    <t>3-2.21</t>
  </si>
  <si>
    <t>3-2.22</t>
  </si>
  <si>
    <t>4-2.01</t>
  </si>
  <si>
    <t>4-2.02</t>
  </si>
  <si>
    <t>4-2.03</t>
  </si>
  <si>
    <t>4-2.04</t>
  </si>
  <si>
    <t>4-2.05</t>
  </si>
  <si>
    <t>4-2.06</t>
  </si>
  <si>
    <t>4-2.07</t>
  </si>
  <si>
    <t>4-2.08</t>
  </si>
  <si>
    <t>4-2.09</t>
  </si>
  <si>
    <t>4-2.10</t>
  </si>
  <si>
    <t>4-2.11</t>
  </si>
  <si>
    <t>4-2.12</t>
  </si>
  <si>
    <t>4-2.13</t>
  </si>
  <si>
    <t>4-2.14</t>
  </si>
  <si>
    <t>4-2.15</t>
  </si>
  <si>
    <t>4-2.16</t>
  </si>
  <si>
    <t>4-2.17</t>
  </si>
  <si>
    <t>4-2.18</t>
  </si>
  <si>
    <t>4-2.19</t>
  </si>
  <si>
    <t>4-2.20</t>
  </si>
  <si>
    <t>5-2.01</t>
  </si>
  <si>
    <t>5-2.02</t>
  </si>
  <si>
    <t>5-2.03</t>
  </si>
  <si>
    <t>5-2.04</t>
  </si>
  <si>
    <t>5-2.05</t>
  </si>
  <si>
    <t>5-2.06</t>
  </si>
  <si>
    <t>5-2.07</t>
  </si>
  <si>
    <t>5-2.08</t>
  </si>
  <si>
    <t>5-2.09</t>
  </si>
  <si>
    <t>5-2.10</t>
  </si>
  <si>
    <t>5-2.11</t>
  </si>
  <si>
    <t>5-2.12</t>
  </si>
  <si>
    <t>5-2.13</t>
  </si>
  <si>
    <t>5-2.14</t>
  </si>
  <si>
    <t>5-2.15</t>
  </si>
  <si>
    <t>5-2.16</t>
  </si>
  <si>
    <t>5-2.17</t>
  </si>
  <si>
    <t>5-2.18</t>
  </si>
  <si>
    <t>5-1.18</t>
  </si>
  <si>
    <t>5-1.19</t>
  </si>
  <si>
    <t>5-1.20</t>
  </si>
  <si>
    <t>5-1.21</t>
  </si>
  <si>
    <t>5-1.22</t>
  </si>
  <si>
    <t>5-1.23</t>
  </si>
  <si>
    <t>5-1.24</t>
  </si>
  <si>
    <t>5-1.25</t>
  </si>
  <si>
    <t>5-1.26</t>
  </si>
  <si>
    <t>5-1.27</t>
  </si>
  <si>
    <t>5-1.28</t>
  </si>
  <si>
    <t>5-1.29</t>
  </si>
  <si>
    <t>6-1.01</t>
  </si>
  <si>
    <t>6-1.02</t>
  </si>
  <si>
    <t>6-1.03</t>
  </si>
  <si>
    <t>6-1.04</t>
  </si>
  <si>
    <t>6-1.05</t>
  </si>
  <si>
    <t>6-1.06</t>
  </si>
  <si>
    <t>6-1.07</t>
  </si>
  <si>
    <t>6-1.08</t>
  </si>
  <si>
    <t>6-1.09</t>
  </si>
  <si>
    <t>6-1.10</t>
  </si>
  <si>
    <t>6-1.11</t>
  </si>
  <si>
    <t>6-1.12</t>
  </si>
  <si>
    <t>6-1.13</t>
  </si>
  <si>
    <t>6-1.14</t>
  </si>
  <si>
    <t>6-1.15</t>
  </si>
  <si>
    <t>6-1.16</t>
  </si>
  <si>
    <t>6-1.17</t>
  </si>
  <si>
    <t>6-1.18</t>
  </si>
  <si>
    <t>6-1.19</t>
  </si>
  <si>
    <t>6-1.20</t>
  </si>
  <si>
    <t>6-1.21</t>
  </si>
  <si>
    <t>6-1.22</t>
  </si>
  <si>
    <t>6-1.23</t>
  </si>
  <si>
    <t>6-1.24</t>
  </si>
  <si>
    <t>6-1.25</t>
  </si>
  <si>
    <t>6-1.26</t>
  </si>
  <si>
    <t>6-1.27</t>
  </si>
  <si>
    <t>6-1.28</t>
  </si>
  <si>
    <t>6-1.29</t>
  </si>
  <si>
    <t>6-1.30</t>
  </si>
  <si>
    <t>6-1.31</t>
  </si>
  <si>
    <t>6-1.32</t>
  </si>
  <si>
    <t>7-1.01</t>
  </si>
  <si>
    <t>7-1.02</t>
  </si>
  <si>
    <t>7-1.03</t>
  </si>
  <si>
    <t>BRETEL</t>
  </si>
  <si>
    <t>P30(CS) A/S-Diag</t>
  </si>
  <si>
    <t>P50(CS) SA</t>
  </si>
  <si>
    <t>S/A P50(CS) 
AnMP/Tunnel</t>
  </si>
  <si>
    <t>A/S-Diag 
AnMP/Tunnel</t>
  </si>
  <si>
    <t>A/S-Diang</t>
  </si>
  <si>
    <t>5-2.19</t>
  </si>
  <si>
    <t>5-2.20</t>
  </si>
  <si>
    <t>5-2.21</t>
  </si>
  <si>
    <t>5-2.22</t>
  </si>
  <si>
    <t>5-2.23</t>
  </si>
  <si>
    <t>5-2.24</t>
  </si>
  <si>
    <t>5-2.25</t>
  </si>
  <si>
    <t>5-2.26</t>
  </si>
  <si>
    <t>5-2.27</t>
  </si>
  <si>
    <t>5-2.28</t>
  </si>
  <si>
    <t>5-2.29</t>
  </si>
  <si>
    <t>6-2.01</t>
  </si>
  <si>
    <t>6-2.02</t>
  </si>
  <si>
    <t>6-2.03</t>
  </si>
  <si>
    <t>6-2.04</t>
  </si>
  <si>
    <t>6-2.05</t>
  </si>
  <si>
    <t>6-2.06</t>
  </si>
  <si>
    <t>6-2.07</t>
  </si>
  <si>
    <t>6-2.08</t>
  </si>
  <si>
    <t>6-2.09</t>
  </si>
  <si>
    <t>6-2.10</t>
  </si>
  <si>
    <t>6-2.11</t>
  </si>
  <si>
    <t>6-2.12</t>
  </si>
  <si>
    <t>6-2.13</t>
  </si>
  <si>
    <t>6-2.14</t>
  </si>
  <si>
    <t>6-2.15</t>
  </si>
  <si>
    <t>6-2.16</t>
  </si>
  <si>
    <t>6-2.17</t>
  </si>
  <si>
    <t>6-2.18</t>
  </si>
  <si>
    <t>6-2.19</t>
  </si>
  <si>
    <t>6-2.20</t>
  </si>
  <si>
    <t>6-2.21</t>
  </si>
  <si>
    <t>6-2.22</t>
  </si>
  <si>
    <t>6-2.23</t>
  </si>
  <si>
    <t>6-2.24</t>
  </si>
  <si>
    <t>6-2.25</t>
  </si>
  <si>
    <t>6-2.26</t>
  </si>
  <si>
    <t>6-2.27</t>
  </si>
  <si>
    <t>6-2.28</t>
  </si>
  <si>
    <t>6-2.29</t>
  </si>
  <si>
    <t>6-2.30</t>
  </si>
  <si>
    <t>6-2.31</t>
  </si>
  <si>
    <t>6-2.32</t>
  </si>
  <si>
    <t>7-2.01</t>
  </si>
  <si>
    <t>7-2.02</t>
  </si>
  <si>
    <t>7-2.03</t>
  </si>
  <si>
    <t>S/A P60(CS) 
AnMP/Tunnel</t>
  </si>
  <si>
    <t>P30(CS) SA</t>
  </si>
  <si>
    <t>P50(CS) A/S-Diag</t>
  </si>
  <si>
    <t>0-1M.08</t>
  </si>
  <si>
    <t>0-1M.07</t>
  </si>
  <si>
    <t>0-1M.06</t>
  </si>
  <si>
    <t>0-1M.05</t>
  </si>
  <si>
    <t>0-1M.04</t>
  </si>
  <si>
    <t>0-1M.03</t>
  </si>
  <si>
    <t>0-1M.02</t>
  </si>
  <si>
    <t>0-1M.09</t>
  </si>
  <si>
    <t>0-1M.10</t>
  </si>
  <si>
    <t>0-1M.11</t>
  </si>
  <si>
    <t>0-1M.12</t>
  </si>
  <si>
    <t>0-1M.13</t>
  </si>
  <si>
    <t>0-1M.14</t>
  </si>
  <si>
    <t>0-1M.15</t>
  </si>
  <si>
    <t>0-1M.16</t>
  </si>
  <si>
    <t>0-1M.17</t>
  </si>
  <si>
    <t>0-1M.18</t>
  </si>
  <si>
    <t>0-1M.19</t>
  </si>
  <si>
    <t>0-1M.20</t>
  </si>
  <si>
    <t>0-1M.21</t>
  </si>
  <si>
    <t>0-1M.22</t>
  </si>
  <si>
    <t>0-1M.23</t>
  </si>
  <si>
    <t>0-1M.24</t>
  </si>
  <si>
    <t>0-1M.25</t>
  </si>
  <si>
    <t>0-1M.26</t>
  </si>
  <si>
    <t>0-1M.27</t>
  </si>
  <si>
    <t>0-1M.28</t>
  </si>
  <si>
    <t>0-1M.29</t>
  </si>
  <si>
    <t>0-1M.30</t>
  </si>
  <si>
    <t>7-2M.04</t>
  </si>
  <si>
    <t>7-2M.05</t>
  </si>
  <si>
    <t>7-2M.06</t>
  </si>
  <si>
    <t>7-2M.07</t>
  </si>
  <si>
    <t>7-2M.08</t>
  </si>
  <si>
    <t>7-2M.09</t>
  </si>
  <si>
    <t>7-2M.10</t>
  </si>
  <si>
    <t>7-2M.11</t>
  </si>
  <si>
    <t>7-2M.12</t>
  </si>
  <si>
    <t>7-2M.13</t>
  </si>
  <si>
    <t>7-2M.14</t>
  </si>
  <si>
    <t>7-2M.15</t>
  </si>
  <si>
    <t>7-2M.16</t>
  </si>
  <si>
    <t>7-2M.17</t>
  </si>
  <si>
    <t>7-2M.18</t>
  </si>
  <si>
    <t>7-2M.19</t>
  </si>
  <si>
    <t>7-2M.20</t>
  </si>
  <si>
    <t>7-2M.21</t>
  </si>
  <si>
    <t>7-2M.22</t>
  </si>
  <si>
    <t>7-2M.23</t>
  </si>
  <si>
    <t>7-2M.24</t>
  </si>
  <si>
    <t>7-2M.25</t>
  </si>
  <si>
    <t>7-2M.26</t>
  </si>
  <si>
    <t>7-2M.27</t>
  </si>
  <si>
    <t>7-2M.28</t>
  </si>
  <si>
    <t>7-2M.29</t>
  </si>
  <si>
    <t>7-2M.30</t>
  </si>
  <si>
    <t>7-3M.04</t>
  </si>
  <si>
    <t>7-3M.05</t>
  </si>
  <si>
    <t>7-3M.06</t>
  </si>
  <si>
    <t>7-3M.07</t>
  </si>
  <si>
    <t>7-3M.08</t>
  </si>
  <si>
    <t>7-3M.09</t>
  </si>
  <si>
    <t>7-3M.10</t>
  </si>
  <si>
    <t>7-3M.11</t>
  </si>
  <si>
    <t>7-3M.12</t>
  </si>
  <si>
    <t>7-3M.13</t>
  </si>
  <si>
    <t>7-3M.14</t>
  </si>
  <si>
    <t>7-3M.15</t>
  </si>
  <si>
    <t>7-3M.16</t>
  </si>
  <si>
    <t>7-3M.17</t>
  </si>
  <si>
    <t>7-3M.18</t>
  </si>
  <si>
    <t>7-3M.19</t>
  </si>
  <si>
    <t>7-3M.20</t>
  </si>
  <si>
    <t>7-3M.21</t>
  </si>
  <si>
    <t>7-3M.22</t>
  </si>
  <si>
    <t>7-3M.23</t>
  </si>
  <si>
    <t>7-3M.24</t>
  </si>
  <si>
    <t>7-3M.25</t>
  </si>
  <si>
    <t>7-3M.26</t>
  </si>
  <si>
    <t>7-3M.27</t>
  </si>
  <si>
    <t>7-3M.28</t>
  </si>
  <si>
    <t>7-3M.29</t>
  </si>
  <si>
    <t>7-3M.30</t>
  </si>
  <si>
    <t>0-4M.02</t>
  </si>
  <si>
    <t>0-4M.03</t>
  </si>
  <si>
    <t>0-4M.04</t>
  </si>
  <si>
    <t>0-4M.05</t>
  </si>
  <si>
    <t>0-4M.06</t>
  </si>
  <si>
    <t>0-4M.07</t>
  </si>
  <si>
    <t>0-4M.08</t>
  </si>
  <si>
    <t>0-4M.09</t>
  </si>
  <si>
    <t>0-4M.10</t>
  </si>
  <si>
    <t>0-4M.11</t>
  </si>
  <si>
    <t>0-4M.12</t>
  </si>
  <si>
    <t>0-4M.13</t>
  </si>
  <si>
    <t>0-4M.14</t>
  </si>
  <si>
    <t>0-4M.15</t>
  </si>
  <si>
    <t>0-4M.16</t>
  </si>
  <si>
    <t>0-4M.17</t>
  </si>
  <si>
    <t>0-4M.18</t>
  </si>
  <si>
    <t>0-4M.19</t>
  </si>
  <si>
    <t>0-4M.20</t>
  </si>
  <si>
    <t>0-4M.21</t>
  </si>
  <si>
    <t>0-4M.22</t>
  </si>
  <si>
    <t>0-4M.23</t>
  </si>
  <si>
    <t>0-4M.24</t>
  </si>
  <si>
    <t>0-4M.25</t>
  </si>
  <si>
    <t>0-4M.26</t>
  </si>
  <si>
    <t>0-4M.27</t>
  </si>
  <si>
    <t>0-4M.28</t>
  </si>
  <si>
    <t>0-4M.29</t>
  </si>
  <si>
    <t>0-4M.30</t>
  </si>
  <si>
    <t>20-2.18</t>
  </si>
  <si>
    <t>20-6.16</t>
  </si>
  <si>
    <t>20-6.15B</t>
  </si>
  <si>
    <t>20-6.15</t>
  </si>
  <si>
    <t>20-6.14</t>
  </si>
  <si>
    <t>S/A S/A</t>
  </si>
  <si>
    <t>AnRW2</t>
  </si>
  <si>
    <t>2-4P.01</t>
  </si>
  <si>
    <t>2-4P.02</t>
  </si>
  <si>
    <t>2-4P.03</t>
  </si>
  <si>
    <t>2-4P.04</t>
  </si>
  <si>
    <t>2-4P.05</t>
  </si>
  <si>
    <t>2-4P.06</t>
  </si>
  <si>
    <t>2-4P.07</t>
  </si>
  <si>
    <t>2-4P.08</t>
  </si>
  <si>
    <t>2-4P.09</t>
  </si>
  <si>
    <t>2-4P.10</t>
  </si>
  <si>
    <t>2-4P.11</t>
  </si>
  <si>
    <t>2-4P.12</t>
  </si>
  <si>
    <t>2-4P.13</t>
  </si>
  <si>
    <t>2-4P.14</t>
  </si>
  <si>
    <t>2-4P.15</t>
  </si>
  <si>
    <t>2-4P.16</t>
  </si>
  <si>
    <t>2-4P.17</t>
  </si>
  <si>
    <t>2-4P.18</t>
  </si>
  <si>
    <t>2-4P.19</t>
  </si>
  <si>
    <t>2-4P.20</t>
  </si>
  <si>
    <t>2-4P.21</t>
  </si>
  <si>
    <t>2-4P.22</t>
  </si>
  <si>
    <t>1-4P.01</t>
  </si>
  <si>
    <t>1-4P.02</t>
  </si>
  <si>
    <t>1-4P.28</t>
  </si>
  <si>
    <t>1-4P.27</t>
  </si>
  <si>
    <t>1-4P.26</t>
  </si>
  <si>
    <t>1-4P.25</t>
  </si>
  <si>
    <t>1-4P.24</t>
  </si>
  <si>
    <t>1-4P.23</t>
  </si>
  <si>
    <t>1-4P.22</t>
  </si>
  <si>
    <t>1-4P.21</t>
  </si>
  <si>
    <t>1-4P.20</t>
  </si>
  <si>
    <t>1-4P.19</t>
  </si>
  <si>
    <t>1-4P.18</t>
  </si>
  <si>
    <t>1-4P.17</t>
  </si>
  <si>
    <t>1-4P.16</t>
  </si>
  <si>
    <t>1-4P.15</t>
  </si>
  <si>
    <t>1-4P.14</t>
  </si>
  <si>
    <t>1-4P.13</t>
  </si>
  <si>
    <t>1-4P.12</t>
  </si>
  <si>
    <t>1-4P.11</t>
  </si>
  <si>
    <t>1-4P.10</t>
  </si>
  <si>
    <t>1-4P.09</t>
  </si>
  <si>
    <t>1-4P.08</t>
  </si>
  <si>
    <t>1-4P.07</t>
  </si>
  <si>
    <t>1-4P.06</t>
  </si>
  <si>
    <t>1-4P.05</t>
  </si>
  <si>
    <t>1-4P.04</t>
  </si>
  <si>
    <t>1-4P.03</t>
  </si>
  <si>
    <t>0-4P.01</t>
  </si>
  <si>
    <t>0-4P.02</t>
  </si>
  <si>
    <t>0-4P.19</t>
  </si>
  <si>
    <t>0-4P.18</t>
  </si>
  <si>
    <t>0-4P.17</t>
  </si>
  <si>
    <t>0-4P.16</t>
  </si>
  <si>
    <t>0-4P.15</t>
  </si>
  <si>
    <t>0-4P.14</t>
  </si>
  <si>
    <t>0-4P.13</t>
  </si>
  <si>
    <t>0-4P.12</t>
  </si>
  <si>
    <t>0-4P.11</t>
  </si>
  <si>
    <t>0-4P.10</t>
  </si>
  <si>
    <t>0-4P.09</t>
  </si>
  <si>
    <t>0-4P.08</t>
  </si>
  <si>
    <t>0-4P.07</t>
  </si>
  <si>
    <t>0-4P.06</t>
  </si>
  <si>
    <t>0-4P.05</t>
  </si>
  <si>
    <t>0-4P.04</t>
  </si>
  <si>
    <t>0-4P.03</t>
  </si>
  <si>
    <t xml:space="preserve">P30(CS) </t>
  </si>
  <si>
    <t>P50(CS) A/S</t>
  </si>
  <si>
    <t>20-1.20</t>
  </si>
  <si>
    <t>20-3.18</t>
  </si>
  <si>
    <t>20-3.17</t>
  </si>
  <si>
    <t>20-3.16</t>
  </si>
  <si>
    <t>20-3.15</t>
  </si>
  <si>
    <t>20-3.14</t>
  </si>
  <si>
    <t>20-3.13</t>
  </si>
  <si>
    <t>20-3.12</t>
  </si>
  <si>
    <t>20-3.11</t>
  </si>
  <si>
    <t>20-3.10</t>
  </si>
  <si>
    <t>MP AnMP</t>
  </si>
  <si>
    <t>20-3.09</t>
  </si>
  <si>
    <t>20-3.08</t>
  </si>
  <si>
    <t>AnRW1</t>
  </si>
  <si>
    <t>2-6P.01</t>
  </si>
  <si>
    <t>2-6P.02</t>
  </si>
  <si>
    <t>2-6P.14</t>
  </si>
  <si>
    <t>2-6P.13</t>
  </si>
  <si>
    <t>2-6P.12</t>
  </si>
  <si>
    <t>2-6P.11</t>
  </si>
  <si>
    <t>2-6P.10</t>
  </si>
  <si>
    <t>2-6P.09</t>
  </si>
  <si>
    <t>2-6P.08</t>
  </si>
  <si>
    <t>2-6P.07</t>
  </si>
  <si>
    <t>2-6P.06</t>
  </si>
  <si>
    <t>2-6P.05</t>
  </si>
  <si>
    <t>2-6P.04</t>
  </si>
  <si>
    <t>2-6P.03</t>
  </si>
  <si>
    <t>1-6P.02</t>
  </si>
  <si>
    <t>1-6P.01</t>
  </si>
  <si>
    <t>1-6P.28</t>
  </si>
  <si>
    <t>1-6P.27</t>
  </si>
  <si>
    <t>1-6P.26</t>
  </si>
  <si>
    <t>1-6P.25</t>
  </si>
  <si>
    <t>1-6P.24</t>
  </si>
  <si>
    <t>1-6P.23</t>
  </si>
  <si>
    <t>1-6P.22</t>
  </si>
  <si>
    <t>1-6P.21</t>
  </si>
  <si>
    <t>1-6P.20</t>
  </si>
  <si>
    <t>1-6P.19</t>
  </si>
  <si>
    <t>1-6P.18</t>
  </si>
  <si>
    <t>1-6P.17</t>
  </si>
  <si>
    <t>1-6P.16</t>
  </si>
  <si>
    <t>1-6P.15</t>
  </si>
  <si>
    <t>1-6P.14</t>
  </si>
  <si>
    <t>1-6P.13</t>
  </si>
  <si>
    <t>1-6P.12</t>
  </si>
  <si>
    <t>1-6P.11</t>
  </si>
  <si>
    <t>1-6P.10</t>
  </si>
  <si>
    <t>1-6P.09</t>
  </si>
  <si>
    <t>1-6P.08</t>
  </si>
  <si>
    <t>1-6P.07</t>
  </si>
  <si>
    <t>1-6P.06</t>
  </si>
  <si>
    <t>1-6P.05</t>
  </si>
  <si>
    <t>1-6P.04</t>
  </si>
  <si>
    <t>1-6P.03</t>
  </si>
  <si>
    <t>0-6P.01</t>
  </si>
  <si>
    <t>0-6P.02</t>
  </si>
  <si>
    <t>0-6P.25</t>
  </si>
  <si>
    <t>0-6P.24</t>
  </si>
  <si>
    <t>0-6P.23</t>
  </si>
  <si>
    <t>0-6P.22</t>
  </si>
  <si>
    <t>0-6P.21</t>
  </si>
  <si>
    <t>0-6P.20</t>
  </si>
  <si>
    <t>0-6P.19</t>
  </si>
  <si>
    <t>0-6P.18</t>
  </si>
  <si>
    <t>0-6P.17</t>
  </si>
  <si>
    <t>0-6P.16</t>
  </si>
  <si>
    <t>0-6P.15</t>
  </si>
  <si>
    <t>0-6P.14</t>
  </si>
  <si>
    <t>0-6P.13</t>
  </si>
  <si>
    <t>0-6P.12</t>
  </si>
  <si>
    <t>0-6P.11</t>
  </si>
  <si>
    <t>0-6P.10</t>
  </si>
  <si>
    <t>0-6P.09</t>
  </si>
  <si>
    <t>0-6P.08</t>
  </si>
  <si>
    <t>0-6P.07</t>
  </si>
  <si>
    <t>0-6P.06</t>
  </si>
  <si>
    <t>0-6P.05</t>
  </si>
  <si>
    <t>0-6P.04</t>
  </si>
  <si>
    <t>0-6P.03</t>
  </si>
  <si>
    <t>S/A P50(CS)</t>
  </si>
  <si>
    <t>0</t>
  </si>
  <si>
    <t>DNL-05</t>
  </si>
  <si>
    <t>PMO-01</t>
  </si>
  <si>
    <t>PMO-09</t>
  </si>
  <si>
    <t>CP+AnMC
CP+AnMC</t>
  </si>
  <si>
    <t>A/S-Diag 
A/S</t>
  </si>
  <si>
    <t>PMO-11</t>
  </si>
  <si>
    <t>AnmC-R</t>
  </si>
  <si>
    <t>MOM-TE1</t>
  </si>
  <si>
    <t>MOM-01</t>
  </si>
  <si>
    <t>MOM-B01</t>
  </si>
  <si>
    <t>MOM-05</t>
  </si>
  <si>
    <t>LoadB-pr</t>
  </si>
  <si>
    <t>MOM-TE04</t>
  </si>
  <si>
    <t>DNL-06</t>
  </si>
  <si>
    <t>PMO-02</t>
  </si>
  <si>
    <t>MP-Isusp</t>
  </si>
  <si>
    <t>MW/CW-Isusp</t>
  </si>
  <si>
    <t>Conjunto aislado de suspensión en pórtico para cola de Punto Fijo</t>
  </si>
  <si>
    <t xml:space="preserve">Conjunto aislado de suspensión en pórtico para cola de Catenaria </t>
  </si>
  <si>
    <t>CP+AnMC 
CP+AnMC</t>
  </si>
  <si>
    <t>PMO-12</t>
  </si>
  <si>
    <t>MOM-TE2</t>
  </si>
  <si>
    <t>MOM-02</t>
  </si>
  <si>
    <t>MOM-06</t>
  </si>
  <si>
    <t>A/S 
A/S-Diag</t>
  </si>
  <si>
    <t>AnMC/Tunnel
AnMC/Tunnel</t>
  </si>
  <si>
    <t>MOM-TE05</t>
  </si>
  <si>
    <t>MOM-03</t>
  </si>
  <si>
    <t>MOM-04</t>
  </si>
  <si>
    <t>MOM-TE06</t>
  </si>
  <si>
    <t>TRACK 1 MOM</t>
  </si>
  <si>
    <t>TRACK 4 PMO</t>
  </si>
  <si>
    <t>TRACK 6 PMO</t>
  </si>
  <si>
    <t>BMO-04</t>
  </si>
  <si>
    <t>C2H-240</t>
  </si>
  <si>
    <t>HB-280 (CP)</t>
  </si>
  <si>
    <t>PMO-04</t>
  </si>
  <si>
    <t>FP+AnMC IO</t>
  </si>
  <si>
    <t>P8</t>
  </si>
  <si>
    <t>BMO-03</t>
  </si>
  <si>
    <t>PMO-03</t>
  </si>
  <si>
    <t xml:space="preserve">A/S-Diag 
A/S </t>
  </si>
  <si>
    <t>PMO-07</t>
  </si>
  <si>
    <r>
      <t xml:space="preserve">FOR EP-01 TO EP-14 AND EP-16 (VB=33M/S). CANTILEVER DISTANCE TO TRACK UP TO 3.50M. HEIGHT≤10M WITH </t>
    </r>
    <r>
      <rPr>
        <b/>
        <u/>
        <sz val="10"/>
        <rFont val="Arial"/>
        <family val="2"/>
      </rPr>
      <t>SCADA</t>
    </r>
  </si>
  <si>
    <r>
      <t xml:space="preserve">FOR EP-01 TO EP-14 AND EP-16 (VB=33M/S). CANTILEVER DISTANCE TO TRACK UP TO 4.00M. HEIGHT≤10M WITH </t>
    </r>
    <r>
      <rPr>
        <b/>
        <u/>
        <sz val="10"/>
        <rFont val="Arial"/>
        <family val="2"/>
      </rPr>
      <t>SCADA</t>
    </r>
  </si>
  <si>
    <r>
      <t xml:space="preserve">FOR EP-01 TO EP-14 AND EP-16 (VB=33M/S). CANTILEVER DISTANCE TO TRACK UP TO 3.50M. HEIGHT≤20M WITH </t>
    </r>
    <r>
      <rPr>
        <b/>
        <u/>
        <sz val="10"/>
        <rFont val="Arial"/>
        <family val="2"/>
      </rPr>
      <t>SCADA</t>
    </r>
  </si>
  <si>
    <r>
      <t xml:space="preserve">FOR EP-01 TO EP-14 AND EP-16 (VB=33M/S). CANTILEVER DISTANCE TO TRACK UP TO 4.00M. HEIGHT≤20M WITH </t>
    </r>
    <r>
      <rPr>
        <b/>
        <u/>
        <sz val="10"/>
        <rFont val="Arial"/>
        <family val="2"/>
      </rPr>
      <t>SCADA</t>
    </r>
  </si>
  <si>
    <r>
      <t xml:space="preserve">FOR EP-01 TO EP-14 AND EP-16 (VB=33M/S). CANTILEVER DISTANCE TO TRACK UP TO 3.50M. HEIGHT≤30M WITH </t>
    </r>
    <r>
      <rPr>
        <b/>
        <u/>
        <sz val="10"/>
        <rFont val="Arial"/>
        <family val="2"/>
      </rPr>
      <t>SCADA</t>
    </r>
  </si>
  <si>
    <r>
      <t xml:space="preserve">FOR EP-01 TO EP-14 AND EP-16 (VB=33M/S). CANTILEVER DISTANCE TO TRACK UP TO 4.00M. HEIGHT≤30M WITH </t>
    </r>
    <r>
      <rPr>
        <b/>
        <u/>
        <sz val="10"/>
        <rFont val="Arial"/>
        <family val="2"/>
      </rPr>
      <t>SCADA</t>
    </r>
  </si>
  <si>
    <r>
      <t xml:space="preserve">FOR EP-01 TO EP-14 (VB=33M/S). CANTILEVER DISTANCE TO TRACK UP TO 3.50M WITH </t>
    </r>
    <r>
      <rPr>
        <b/>
        <u/>
        <sz val="10"/>
        <rFont val="Arial"/>
        <family val="2"/>
      </rPr>
      <t>SCADA</t>
    </r>
  </si>
  <si>
    <t>POLE TO SEMIPORTAL B7</t>
  </si>
  <si>
    <t xml:space="preserve">FOR EP-01 TO EP-14 AND EP-16 (VB=33M/S). CANTILEVER DISTANCE TO TRACK UP TO 3,50M. </t>
  </si>
  <si>
    <t>P13.3</t>
  </si>
  <si>
    <t>FOR EP-01 TO EP-14 AND EP-16 (VB=33M/S). CANTILEVER DISTANCE TO TRACK UP TO 3,50M. WITH SCADA.</t>
  </si>
  <si>
    <t>EP11A</t>
  </si>
  <si>
    <t>Plain Terrain with SCADA Cable</t>
  </si>
  <si>
    <t>Embankment with SCADA Cable</t>
  </si>
  <si>
    <t>Plain Terrain without SCADA Cable</t>
  </si>
  <si>
    <t>Embankment without SCADA Cable</t>
  </si>
  <si>
    <t>C3SR</t>
  </si>
  <si>
    <t>C4SR</t>
  </si>
  <si>
    <t>C5SR</t>
  </si>
  <si>
    <t>C7SR</t>
  </si>
  <si>
    <t>2C4SR</t>
  </si>
  <si>
    <t>C8SR</t>
  </si>
  <si>
    <t>C9SR</t>
  </si>
  <si>
    <t>C10SR</t>
  </si>
  <si>
    <t>C11SR</t>
  </si>
  <si>
    <t>C12SR</t>
  </si>
  <si>
    <t>C13SR</t>
  </si>
  <si>
    <t>2C3SR</t>
  </si>
  <si>
    <t>2C7SR</t>
  </si>
  <si>
    <t>2C4FSR</t>
  </si>
  <si>
    <t>C12FSR</t>
  </si>
  <si>
    <t>C3SRT</t>
  </si>
  <si>
    <t>C4SRT</t>
  </si>
  <si>
    <t>C5SRT</t>
  </si>
  <si>
    <t>C7SRT</t>
  </si>
  <si>
    <t>2C4SRT</t>
  </si>
  <si>
    <t>C8SRT</t>
  </si>
  <si>
    <t>C9SRT</t>
  </si>
  <si>
    <t>C10SRT</t>
  </si>
  <si>
    <t>C11SRT</t>
  </si>
  <si>
    <t>C12SRT</t>
  </si>
  <si>
    <t>C13SRT</t>
  </si>
  <si>
    <t>2C3SRT</t>
  </si>
  <si>
    <t>2C7SRT</t>
  </si>
  <si>
    <t>2C4FSRT</t>
  </si>
  <si>
    <t>C12FSRT</t>
  </si>
  <si>
    <t>Drainage Works</t>
  </si>
  <si>
    <t>OverCrossing</t>
  </si>
  <si>
    <t>RW1/DIST-R</t>
  </si>
  <si>
    <t>DIST-R</t>
  </si>
  <si>
    <t>Station</t>
  </si>
  <si>
    <t>MODIIN MERKAZ</t>
  </si>
  <si>
    <t>UnderPass</t>
  </si>
  <si>
    <t>OverPass</t>
  </si>
  <si>
    <t>PAATEI MODIIN</t>
  </si>
  <si>
    <t>S3T</t>
  </si>
  <si>
    <t>RW1T-S</t>
  </si>
  <si>
    <t>r</t>
  </si>
  <si>
    <t>U.S.:</t>
  </si>
  <si>
    <t xml:space="preserve">UNIQUE SOLUTION NON DEFINED BY KEDMOR </t>
  </si>
  <si>
    <t>Text Workbook</t>
  </si>
  <si>
    <t>Unique Solution Non Defined</t>
  </si>
  <si>
    <t>ü</t>
  </si>
  <si>
    <t>U.S. N.D.</t>
  </si>
  <si>
    <t>Unique Solution Defined with DWXXXX</t>
  </si>
  <si>
    <t xml:space="preserve">Without Solution Non Defined </t>
  </si>
  <si>
    <t xml:space="preserve">AnMP </t>
  </si>
  <si>
    <t>UNIQUE SOLUTION DESING BY KEDMOR WITH DWXXXX</t>
  </si>
  <si>
    <t>station</t>
  </si>
  <si>
    <t>A/S-Diag AnMP</t>
  </si>
  <si>
    <t xml:space="preserve">Defined Pending Approved by Kedmor </t>
  </si>
  <si>
    <t xml:space="preserve">Approved by Kedmor </t>
  </si>
  <si>
    <t>POLE TRACK 2</t>
  </si>
  <si>
    <t>Diagonal
Tracks 4P to Track 2</t>
  </si>
  <si>
    <t>RWT-S</t>
  </si>
  <si>
    <t>PMO-08</t>
  </si>
  <si>
    <t>Disc-pr</t>
  </si>
  <si>
    <t>PMO-10</t>
  </si>
  <si>
    <t>PMO-06 (SCADA RING)</t>
  </si>
  <si>
    <t>FOUNDATION WITHOUT SCADA</t>
  </si>
  <si>
    <t>FOUNDATION WITH SCADA</t>
  </si>
  <si>
    <t xml:space="preserve">Foundation for POLE HEB-240: C3SR. Diameter= 0,75 m. </t>
  </si>
  <si>
    <t xml:space="preserve">Foundation for POLE HEB-240: C3SRT. Diameter= 0,75 m. </t>
  </si>
  <si>
    <t>Foundation for POLE HEB-260 and HEB-260L: C4SR. Diameter= 0,75 m.</t>
  </si>
  <si>
    <t>Foundation for POLE HEB-260 and HEB-260L: C4SRT. Diameter= 0,75 m.</t>
  </si>
  <si>
    <t xml:space="preserve">Foundation for POLE HEB-280 and HEB-280L: C5SR. Diameter= 1 m. </t>
  </si>
  <si>
    <t xml:space="preserve">Foundation for POLE HEB-280 and HEB-280L: C5SRT. Diameter= 1 m. </t>
  </si>
  <si>
    <t xml:space="preserve">Foundation for POLE HEB-300, HEB-300L, HEB-300LL, HEB-320L, y HEB-320PL: C7SR. Diameter= 1 m. </t>
  </si>
  <si>
    <t xml:space="preserve">Foundation for POLE HEB-300, HEB-300L, HEB-300LL, HEB-320L, y HEB-320PL: C7SRT. Diameter= 1 m. </t>
  </si>
  <si>
    <t xml:space="preserve">Foundation for POLE 2HEB-320, 2HEB-320A, 2HEB-320L: C8SR . Diameter= 1,2 m. </t>
  </si>
  <si>
    <t xml:space="preserve">Foundation for POLE 2HEB-320, 2HEB-320A, 2HEB-320L: C8SRT . Diameter= 1,2 m. </t>
  </si>
  <si>
    <t xml:space="preserve">Foundation for POLE HEB-360L; HEB-360PL, HEB-320LL, HEB-320LL(P), HEB-360LL: C9SR. Diameter= 1 m. </t>
  </si>
  <si>
    <t xml:space="preserve">Foundation for POLE HEB-360L; HEB-360PL, HEB-320LL, HEB-320LL(P), HEB-360LL: C9SRT. Diameter= 1 m. </t>
  </si>
  <si>
    <t xml:space="preserve">Foundation for POLE HEB-450LL: C10SR. Diameter= 1,2 m. </t>
  </si>
  <si>
    <t xml:space="preserve">Foundation for POLE HEB-450LL: C10SRT. Diameter= 1,2 m. </t>
  </si>
  <si>
    <t xml:space="preserve">Foundation for POLE HEB-400PL: C11SR. Diameter= 1 m. </t>
  </si>
  <si>
    <t xml:space="preserve">Foundation for POLE HEB-400PL: C11SRT. Diameter= 1 m. </t>
  </si>
  <si>
    <t xml:space="preserve">Foundation for POLE HEB-450PL: C12SRT. Diameter= 1 m. </t>
  </si>
  <si>
    <t xml:space="preserve">Foundation for POLE HEB-500PL: C13SRT. Diameter= 1 m. </t>
  </si>
  <si>
    <t xml:space="preserve">Foundation for POLE 2HEB-240, 2HEB-240L: 2C3SR. Diameter= 1 m. </t>
  </si>
  <si>
    <t xml:space="preserve">Foundation for POLE 2HEB-240, 2HEB-240L: 2C3SRT. Diameter= 1 m. </t>
  </si>
  <si>
    <t xml:space="preserve">Foundation for POLE 2HEB-260, 2HEB-260L: 2C4SR. Diameter= 1 m. </t>
  </si>
  <si>
    <t xml:space="preserve">Foundation for POLE 2HEB-260, 2HEB-260L: 2C4SRT. Diameter= 1 m. </t>
  </si>
  <si>
    <t xml:space="preserve">Cimentación para Poste 2HEB-360LL: 2C7SR. Diámetro= 1 m. </t>
  </si>
  <si>
    <t xml:space="preserve">Cimentación para Poste 2HEB-360LL: 2C7SRT. Diámetro= 1 m. </t>
  </si>
  <si>
    <t>Foundation for POLE 2HEB-260F: 2C4FSR</t>
  </si>
  <si>
    <t>Foundation for POLE 2HEB-260F: 2C4FSRT</t>
  </si>
  <si>
    <t>Foundation for POLE 2HEB-300F: C12FSR</t>
  </si>
  <si>
    <t>Foundation for POLE 2HEB-300F: C12FSRT</t>
  </si>
  <si>
    <t>Poste HEB-280LL EXTRA LARGO (&gt;10,5m)</t>
  </si>
  <si>
    <t>BC-1400</t>
  </si>
  <si>
    <t>PHC-1500E</t>
  </si>
  <si>
    <t>BHC-1150</t>
  </si>
  <si>
    <t>BC-1500E</t>
  </si>
  <si>
    <t>ENT-2</t>
  </si>
  <si>
    <t>U.S. N.D.:</t>
  </si>
  <si>
    <t>TRACK 4 MOM</t>
  </si>
  <si>
    <t>MultiSoil</t>
  </si>
  <si>
    <t>Embankment with 
SCADA Cable</t>
  </si>
  <si>
    <t>Embankment without 
SCADA Cable</t>
  </si>
  <si>
    <t>OCS Foundations Designation Depth with Doc: SEM-ER-E11A-OCS_FOUND-DD-6900-00</t>
  </si>
  <si>
    <t>V11H</t>
  </si>
  <si>
    <t>0-1.01</t>
  </si>
  <si>
    <t>0-1.02</t>
  </si>
  <si>
    <t>0-1.03</t>
  </si>
  <si>
    <t>0-1.04</t>
  </si>
  <si>
    <t>0-1.05</t>
  </si>
  <si>
    <t>0-1.06</t>
  </si>
  <si>
    <t>0-1.07</t>
  </si>
  <si>
    <t>0-1.08</t>
  </si>
  <si>
    <t>0-1.09</t>
  </si>
  <si>
    <t>0-1.10</t>
  </si>
  <si>
    <t>0-1.11</t>
  </si>
  <si>
    <t>0-1.12</t>
  </si>
  <si>
    <t>0-1.13</t>
  </si>
  <si>
    <t>0-1.14</t>
  </si>
  <si>
    <t>0-1.15</t>
  </si>
  <si>
    <t>0-4PD.03</t>
  </si>
  <si>
    <t>0-4PD.02</t>
  </si>
  <si>
    <t>0-4D.01</t>
  </si>
  <si>
    <t>MOM-TE03</t>
  </si>
  <si>
    <t xml:space="preserve">Update Depth Foundation </t>
  </si>
  <si>
    <t>2-1.07BIS</t>
  </si>
  <si>
    <t>2-1.06BIS</t>
  </si>
  <si>
    <t>2-2.06BIS</t>
  </si>
  <si>
    <t>2-2.07BIS</t>
  </si>
  <si>
    <t>CP+AnmC</t>
  </si>
  <si>
    <t>Update OCS Layout by EP431 affection, new tracks and OCS Support at Moddin Central Station</t>
  </si>
  <si>
    <t xml:space="preserve">Update profile 0-1M-12 </t>
  </si>
  <si>
    <t>POLE TRACK 4M</t>
  </si>
  <si>
    <t>Update OCS Layou by change portal type between K.P.'s  0+146 to 0+311 tracs 1M to 4M, infractusture affection</t>
  </si>
  <si>
    <t>Update OCS Pole Type on Bridges</t>
  </si>
  <si>
    <t>Update OCS Layout by changes in execution of work</t>
  </si>
  <si>
    <t>SCADA RING END</t>
  </si>
  <si>
    <t>DW6940</t>
  </si>
  <si>
    <t>DW7313</t>
  </si>
  <si>
    <t>DW7312</t>
  </si>
  <si>
    <t>DW7311</t>
  </si>
  <si>
    <t>DW7314</t>
  </si>
  <si>
    <t>Update Special Solutions on Brindes (Nahal Anava River, HaMelahot Blvd., Yehuda ha-Maccabi St.)</t>
  </si>
  <si>
    <t>Update OCS Layout by changes in execution of work, tracks 4PMO and 6PMO</t>
  </si>
  <si>
    <t>Update OCS Unique Solution by KEDMOR</t>
  </si>
  <si>
    <t>DW6950</t>
  </si>
  <si>
    <t>DW6951</t>
  </si>
  <si>
    <t>Update OCS Unique Solution by KEDMOR on Tunnel B2</t>
  </si>
  <si>
    <t>S2-PS</t>
  </si>
  <si>
    <t>DW6941</t>
  </si>
  <si>
    <t xml:space="preserve">Update Layout PATEI MOODIN Station </t>
  </si>
  <si>
    <t>Provisonal Situation by OCS track 3 and 4 Stage EP431, between KP 2+239 to 2+515</t>
  </si>
  <si>
    <t>Change of OCS Cantilever support alignment in the tunnel between profiles 5-X.23 to 6-X.19</t>
  </si>
  <si>
    <t>DW6947</t>
  </si>
  <si>
    <t>DW6946</t>
  </si>
  <si>
    <t>DW6945</t>
  </si>
  <si>
    <t>Update OCS Layout</t>
  </si>
  <si>
    <t>AnM</t>
  </si>
  <si>
    <t>FP/Tunnel
CP/TX-T/1100</t>
  </si>
  <si>
    <t>DW6937</t>
  </si>
  <si>
    <t xml:space="preserve">Update OCS Layout - Cantiliver Support on tracks 1M, 2M, 3M y 4M, Modiin Central Station </t>
  </si>
  <si>
    <t>Beam Support</t>
  </si>
  <si>
    <t>DW6949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</si>
</sst>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 #,##0.00\ &quot;€&quot;_-;\-* #,##0.00\ &quot;€&quot;_-;_-* &quot;-&quot;??\ &quot;€&quot;_-;_-@_-"/>
    <numFmt numFmtId="164" formatCode="_(&quot;€&quot;* #,##0.00_);_(&quot;€&quot;* \(#,##0.00\);_(&quot;€&quot;* &quot;-&quot;??_);_(@_)"/>
    <numFmt numFmtId="165" formatCode="0.0"/>
    <numFmt numFmtId="166" formatCode="#\+##0"/>
    <numFmt numFmtId="167" formatCode="#\+##0.0"/>
    <numFmt numFmtId="168" formatCode="000\+000.00"/>
    <numFmt numFmtId="169" formatCode="##\+##0.0"/>
    <numFmt numFmtId="170" formatCode="00\+000.00"/>
    <numFmt numFmtId="171" formatCode="#,##0.00\ &quot;m&quot;"/>
    <numFmt numFmtId="172" formatCode="&quot;d&quot;#0&quot;mm&quot;"/>
  </numFmts>
  <fonts count="89">
    <font>
      <sz val="10"/>
      <name val="Arial"/>
    </font>
    <font>
      <sz val="10"/>
      <name val="Arial"/>
      <family val="2"/>
    </font>
    <font>
      <b/>
      <sz val="10"/>
      <name val="Arial"/>
      <family val="2"/>
    </font>
    <font>
      <b/>
      <sz val="20"/>
      <name val="Arial"/>
      <family val="2"/>
    </font>
    <font>
      <b/>
      <sz val="14"/>
      <name val="Arial"/>
      <family val="2"/>
    </font>
    <font>
      <sz val="10"/>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u/>
      <sz val="10"/>
      <color indexed="12"/>
      <name val="Arial"/>
      <family val="2"/>
    </font>
    <font>
      <sz val="10"/>
      <name val="Arial"/>
      <family val="2"/>
    </font>
    <font>
      <b/>
      <sz val="15"/>
      <color indexed="62"/>
      <name val="Calibri"/>
      <family val="2"/>
    </font>
    <font>
      <b/>
      <sz val="13"/>
      <color indexed="62"/>
      <name val="Calibri"/>
      <family val="2"/>
    </font>
    <font>
      <b/>
      <sz val="11"/>
      <color indexed="62"/>
      <name val="Calibri"/>
      <family val="2"/>
    </font>
    <font>
      <sz val="11"/>
      <name val="Cambria"/>
      <family val="1"/>
    </font>
    <font>
      <b/>
      <sz val="18"/>
      <color indexed="62"/>
      <name val="Cambria"/>
      <family val="2"/>
    </font>
    <font>
      <sz val="9"/>
      <name val="Arial"/>
      <family val="2"/>
    </font>
    <font>
      <b/>
      <sz val="9"/>
      <name val="Arial"/>
      <family val="2"/>
    </font>
    <font>
      <sz val="9"/>
      <color indexed="10"/>
      <name val="Arial"/>
      <family val="2"/>
    </font>
    <font>
      <sz val="9"/>
      <name val="Arial (WC)"/>
      <family val="2"/>
      <charset val="204"/>
    </font>
    <font>
      <b/>
      <u/>
      <sz val="10"/>
      <name val="Arial"/>
      <family val="2"/>
    </font>
    <font>
      <sz val="10"/>
      <color indexed="8"/>
      <name val="Arial"/>
      <family val="2"/>
    </font>
    <font>
      <sz val="10"/>
      <name val="ISOCPEUR"/>
      <family val="2"/>
    </font>
    <font>
      <b/>
      <sz val="10"/>
      <name val="ISOCPEUR"/>
      <family val="2"/>
    </font>
    <font>
      <sz val="11"/>
      <name val="ISOCPEUR"/>
      <family val="2"/>
    </font>
    <font>
      <i/>
      <sz val="10"/>
      <name val="ISOCPEUR"/>
      <family val="2"/>
    </font>
    <font>
      <b/>
      <sz val="14"/>
      <color indexed="48"/>
      <name val="ISOCPEUR"/>
      <family val="2"/>
    </font>
    <font>
      <b/>
      <sz val="11"/>
      <name val="Arial"/>
      <family val="2"/>
    </font>
    <font>
      <sz val="11"/>
      <name val="Arial"/>
      <family val="2"/>
    </font>
    <font>
      <sz val="9"/>
      <color indexed="81"/>
      <name val="Tahoma"/>
      <family val="2"/>
    </font>
    <font>
      <sz val="10"/>
      <color rgb="FF00CC00"/>
      <name val="Arial"/>
      <family val="2"/>
    </font>
    <font>
      <sz val="10"/>
      <color rgb="FFFF0000"/>
      <name val="Arial"/>
      <family val="2"/>
    </font>
    <font>
      <strike/>
      <sz val="10"/>
      <name val="Arial"/>
      <family val="2"/>
    </font>
    <font>
      <strike/>
      <sz val="10"/>
      <color rgb="FFFF0000"/>
      <name val="Arial"/>
      <family val="2"/>
    </font>
    <font>
      <i/>
      <sz val="10"/>
      <name val="Arial"/>
      <family val="2"/>
    </font>
    <font>
      <sz val="10"/>
      <color theme="0"/>
      <name val="Arial"/>
      <family val="2"/>
    </font>
    <font>
      <b/>
      <sz val="20"/>
      <color indexed="8"/>
      <name val="ISOCPEUR"/>
      <family val="2"/>
    </font>
    <font>
      <i/>
      <u/>
      <sz val="16"/>
      <name val="ISOCPEUR"/>
      <family val="2"/>
    </font>
    <font>
      <b/>
      <sz val="20"/>
      <name val="ISOCPEUR"/>
      <family val="2"/>
    </font>
    <font>
      <b/>
      <sz val="16"/>
      <name val="ISOCPEUR"/>
      <family val="2"/>
    </font>
    <font>
      <b/>
      <sz val="12"/>
      <name val="ISOCPEUR"/>
      <family val="2"/>
    </font>
    <font>
      <sz val="14"/>
      <name val="ISOCPEUR"/>
      <family val="2"/>
    </font>
    <font>
      <sz val="8"/>
      <name val="ISOCPEUR"/>
      <family val="2"/>
    </font>
    <font>
      <i/>
      <u/>
      <sz val="14"/>
      <name val="ISOCPEUR"/>
      <family val="2"/>
    </font>
    <font>
      <b/>
      <sz val="16"/>
      <color theme="3" tint="0.39997558519241921"/>
      <name val="ISOCPEUR"/>
      <family val="2"/>
    </font>
    <font>
      <b/>
      <sz val="11"/>
      <name val="ISOCPEUR"/>
      <family val="2"/>
    </font>
    <font>
      <i/>
      <u/>
      <sz val="14"/>
      <color theme="0"/>
      <name val="ISOCPEUR"/>
      <family val="2"/>
    </font>
    <font>
      <i/>
      <u/>
      <sz val="8"/>
      <name val="ISOCPEUR"/>
      <family val="2"/>
    </font>
    <font>
      <sz val="10"/>
      <color theme="0" tint="-0.34998626667073579"/>
      <name val="Arial"/>
      <family val="2"/>
    </font>
    <font>
      <u/>
      <sz val="14"/>
      <name val="ISOCPEUR"/>
      <family val="2"/>
    </font>
    <font>
      <sz val="10"/>
      <color theme="1"/>
      <name val="Arial"/>
      <family val="2"/>
    </font>
    <font>
      <b/>
      <sz val="10"/>
      <color theme="1"/>
      <name val="Arial"/>
      <family val="2"/>
    </font>
    <font>
      <b/>
      <sz val="10"/>
      <color rgb="FFFF0000"/>
      <name val="Arial"/>
      <family val="2"/>
    </font>
    <font>
      <sz val="10"/>
      <color rgb="FF0070C0"/>
      <name val="Arial"/>
      <family val="2"/>
    </font>
    <font>
      <sz val="10"/>
      <color rgb="FF000000"/>
      <name val="Arial"/>
      <family val="2"/>
    </font>
    <font>
      <vertAlign val="superscript"/>
      <sz val="10"/>
      <color rgb="FF000000"/>
      <name val="Arial"/>
      <family val="2"/>
    </font>
    <font>
      <vertAlign val="superscript"/>
      <sz val="10"/>
      <color theme="1"/>
      <name val="Arial"/>
      <family val="2"/>
    </font>
    <font>
      <b/>
      <strike/>
      <sz val="10"/>
      <color theme="1"/>
      <name val="Arial"/>
      <family val="2"/>
    </font>
    <font>
      <b/>
      <sz val="14"/>
      <color rgb="FFFF0000"/>
      <name val="Arial"/>
      <family val="2"/>
    </font>
    <font>
      <b/>
      <sz val="10"/>
      <name val="Wingdings"/>
      <charset val="2"/>
    </font>
    <font>
      <u/>
      <sz val="10"/>
      <name val="Arial"/>
      <family val="2"/>
    </font>
    <font>
      <sz val="8"/>
      <name val="Arial"/>
      <family val="2"/>
    </font>
    <font>
      <sz val="8"/>
      <name val="Arial"/>
      <family val="2"/>
    </font>
    <font>
      <sz val="10"/>
      <color theme="2" tint="-0.499984740745262"/>
      <name val="Arial"/>
      <family val="2"/>
    </font>
    <font>
      <sz val="10"/>
      <color rgb="FF92D050"/>
      <name val="Arial"/>
      <family val="2"/>
    </font>
    <font>
      <sz val="10"/>
      <color theme="5" tint="0.39997558519241921"/>
      <name val="Arial"/>
      <family val="2"/>
    </font>
    <font>
      <b/>
      <sz val="11"/>
      <name val="Wingdings"/>
      <charset val="2"/>
    </font>
    <font>
      <b/>
      <sz val="12"/>
      <color rgb="FF00B050"/>
      <name val="Wingdings"/>
      <charset val="2"/>
    </font>
    <font>
      <b/>
      <sz val="12"/>
      <color rgb="FFFF0000"/>
      <name val="Wingdings"/>
      <charset val="2"/>
    </font>
    <font>
      <sz val="10"/>
      <color rgb="FFDA9694"/>
      <name val="Arial"/>
      <family val="2"/>
    </font>
    <font>
      <b/>
      <sz val="12"/>
      <name val="Wingdings"/>
      <charset val="2"/>
    </font>
    <font>
      <i/>
      <sz val="10"/>
      <color theme="0" tint="-0.34998626667073579"/>
      <name val="Arial"/>
      <family val="2"/>
    </font>
    <font>
      <b/>
      <i/>
      <sz val="10"/>
      <name val="Arial"/>
      <family val="2"/>
    </font>
    <font>
      <b/>
      <i/>
      <u/>
      <sz val="10"/>
      <name val="Arial"/>
      <family val="2"/>
    </font>
    <font>
      <sz val="10"/>
      <color theme="0" tint="-4.9989318521683403E-2"/>
      <name val="Arial"/>
      <family val="2"/>
    </font>
  </fonts>
  <fills count="80">
    <fill>
      <patternFill patternType="none"/>
    </fill>
    <fill>
      <patternFill patternType="gray125"/>
    </fill>
    <fill>
      <patternFill patternType="solid">
        <fgColor indexed="22"/>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9"/>
      </patternFill>
    </fill>
    <fill>
      <patternFill patternType="solid">
        <fgColor indexed="43"/>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5"/>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62"/>
      </patternFill>
    </fill>
    <fill>
      <patternFill patternType="solid">
        <fgColor indexed="47"/>
        <bgColor indexed="64"/>
      </patternFill>
    </fill>
    <fill>
      <patternFill patternType="solid">
        <fgColor indexed="52"/>
        <bgColor indexed="64"/>
      </patternFill>
    </fill>
    <fill>
      <patternFill patternType="solid">
        <fgColor indexed="44"/>
        <bgColor indexed="64"/>
      </patternFill>
    </fill>
    <fill>
      <patternFill patternType="solid">
        <fgColor indexed="43"/>
        <bgColor indexed="64"/>
      </patternFill>
    </fill>
    <fill>
      <patternFill patternType="solid">
        <fgColor indexed="57"/>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EAEAEA"/>
        <bgColor indexed="64"/>
      </patternFill>
    </fill>
    <fill>
      <patternFill patternType="solid">
        <fgColor rgb="FFC00000"/>
        <bgColor indexed="64"/>
      </patternFill>
    </fill>
    <fill>
      <patternFill patternType="solid">
        <fgColor rgb="FF66FF33"/>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bgColor indexed="64"/>
      </patternFill>
    </fill>
    <fill>
      <patternFill patternType="solid">
        <fgColor theme="7" tint="0.39997558519241921"/>
        <bgColor indexed="64"/>
      </patternFill>
    </fill>
    <fill>
      <patternFill patternType="solid">
        <fgColor theme="4"/>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9" tint="-0.249977111117893"/>
        <bgColor indexed="64"/>
      </patternFill>
    </fill>
    <fill>
      <patternFill patternType="solid">
        <fgColor rgb="FF00B050"/>
        <bgColor indexed="64"/>
      </patternFill>
    </fill>
    <fill>
      <patternFill patternType="solid">
        <fgColor rgb="FFFFCC99"/>
        <bgColor indexed="64"/>
      </patternFill>
    </fill>
    <fill>
      <patternFill patternType="solid">
        <fgColor theme="7" tint="0.59999389629810485"/>
        <bgColor indexed="64"/>
      </patternFill>
    </fill>
    <fill>
      <patternFill patternType="solid">
        <fgColor theme="2" tint="-0.499984740745262"/>
        <bgColor indexed="64"/>
      </patternFill>
    </fill>
    <fill>
      <patternFill patternType="solid">
        <fgColor theme="0" tint="-0.34998626667073579"/>
        <bgColor indexed="64"/>
      </patternFill>
    </fill>
    <fill>
      <gradientFill degree="90">
        <stop position="0">
          <color rgb="FFFFC000"/>
        </stop>
        <stop position="1">
          <color rgb="FF00B050"/>
        </stop>
      </gradientFill>
    </fill>
    <fill>
      <patternFill patternType="solid">
        <fgColor theme="3" tint="0.59999389629810485"/>
        <bgColor indexed="64"/>
      </patternFill>
    </fill>
    <fill>
      <patternFill patternType="solid">
        <fgColor theme="9"/>
        <bgColor indexed="64"/>
      </patternFill>
    </fill>
    <fill>
      <patternFill patternType="solid">
        <fgColor rgb="FFFF7C80"/>
        <bgColor indexed="64"/>
      </patternFill>
    </fill>
    <fill>
      <patternFill patternType="solid">
        <fgColor theme="5" tint="0.59999389629810485"/>
        <bgColor indexed="64"/>
      </patternFill>
    </fill>
    <fill>
      <patternFill patternType="solid">
        <fgColor rgb="FF00CC00"/>
        <bgColor indexed="64"/>
      </patternFill>
    </fill>
    <fill>
      <patternFill patternType="solid">
        <fgColor theme="0" tint="-0.249977111117893"/>
        <bgColor indexed="64"/>
      </patternFill>
    </fill>
    <fill>
      <patternFill patternType="solid">
        <fgColor rgb="FFD6E3BC"/>
        <bgColor indexed="64"/>
      </patternFill>
    </fill>
    <fill>
      <patternFill patternType="solid">
        <fgColor rgb="FF8DB3E2"/>
        <bgColor indexed="64"/>
      </patternFill>
    </fill>
    <fill>
      <patternFill patternType="solid">
        <fgColor rgb="FFA6A6A6"/>
        <bgColor indexed="64"/>
      </patternFill>
    </fill>
    <fill>
      <patternFill patternType="solid">
        <fgColor rgb="FFFABF8F"/>
        <bgColor indexed="64"/>
      </patternFill>
    </fill>
    <fill>
      <patternFill patternType="solid">
        <fgColor rgb="FFDAEEF3"/>
        <bgColor indexed="64"/>
      </patternFill>
    </fill>
    <fill>
      <patternFill patternType="solid">
        <fgColor rgb="FFFFFFFF"/>
        <bgColor indexed="64"/>
      </patternFill>
    </fill>
    <fill>
      <patternFill patternType="darkGray">
        <fgColor theme="0"/>
        <bgColor theme="0" tint="-0.249977111117893"/>
      </patternFill>
    </fill>
    <fill>
      <patternFill patternType="solid">
        <fgColor rgb="FFCCFFCC"/>
        <bgColor indexed="64"/>
      </patternFill>
    </fill>
    <fill>
      <patternFill patternType="solid">
        <fgColor rgb="FFDA9694"/>
        <bgColor indexed="64"/>
      </patternFill>
    </fill>
    <fill>
      <patternFill patternType="solid">
        <fgColor rgb="FF0070C0"/>
        <bgColor indexed="64"/>
      </patternFill>
    </fill>
    <fill>
      <patternFill patternType="solid">
        <fgColor rgb="FFFECEFC"/>
        <bgColor indexed="64"/>
      </patternFill>
    </fill>
    <fill>
      <patternFill patternType="solid">
        <fgColor rgb="FFFBF3C5"/>
        <bgColor indexed="64"/>
      </patternFill>
    </fill>
    <fill>
      <patternFill patternType="solid">
        <fgColor rgb="FFCCECFF"/>
        <bgColor indexed="64"/>
      </patternFill>
    </fill>
    <fill>
      <patternFill patternType="solid">
        <fgColor theme="3" tint="0.39997558519241921"/>
        <bgColor indexed="64"/>
      </patternFill>
    </fill>
    <fill>
      <patternFill patternType="solid">
        <fgColor rgb="FF99FF33"/>
        <bgColor indexed="64"/>
      </patternFill>
    </fill>
    <fill>
      <patternFill patternType="solid">
        <fgColor rgb="FF7030A0"/>
        <bgColor indexed="64"/>
      </patternFill>
    </fill>
    <fill>
      <patternFill patternType="solid">
        <fgColor theme="9" tint="0.59999389629810485"/>
        <bgColor indexed="64"/>
      </patternFill>
    </fill>
  </fills>
  <borders count="1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22"/>
      </bottom>
      <diagonal/>
    </border>
    <border>
      <left style="thin">
        <color indexed="64"/>
      </left>
      <right style="thin">
        <color indexed="64"/>
      </right>
      <top style="thin">
        <color indexed="22"/>
      </top>
      <bottom style="thin">
        <color indexed="64"/>
      </bottom>
      <diagonal/>
    </border>
    <border>
      <left style="thin">
        <color indexed="64"/>
      </left>
      <right style="thin">
        <color indexed="64"/>
      </right>
      <top style="thin">
        <color indexed="22"/>
      </top>
      <bottom style="thin">
        <color indexed="22"/>
      </bottom>
      <diagonal/>
    </border>
    <border>
      <left/>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diagonal/>
    </border>
    <border>
      <left/>
      <right style="thin">
        <color indexed="64"/>
      </right>
      <top style="dotted">
        <color indexed="64"/>
      </top>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indexed="64"/>
      </left>
      <right style="thin">
        <color indexed="64"/>
      </right>
      <top/>
      <bottom style="thin">
        <color indexed="22"/>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dotted">
        <color indexed="64"/>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diagonal/>
    </border>
    <border>
      <left style="dotted">
        <color indexed="64"/>
      </left>
      <right style="dotted">
        <color indexed="64"/>
      </right>
      <top/>
      <bottom/>
      <diagonal/>
    </border>
    <border>
      <left style="dotted">
        <color indexed="64"/>
      </left>
      <right style="thin">
        <color indexed="64"/>
      </right>
      <top/>
      <bottom/>
      <diagonal/>
    </border>
    <border>
      <left style="thin">
        <color indexed="64"/>
      </left>
      <right style="dotted">
        <color indexed="64"/>
      </right>
      <top/>
      <bottom style="thin">
        <color indexed="64"/>
      </bottom>
      <diagonal/>
    </border>
    <border>
      <left style="dotted">
        <color indexed="64"/>
      </left>
      <right style="dotted">
        <color indexed="64"/>
      </right>
      <top/>
      <bottom style="thin">
        <color indexed="64"/>
      </bottom>
      <diagonal/>
    </border>
    <border>
      <left style="dotted">
        <color indexed="64"/>
      </left>
      <right style="thin">
        <color indexed="64"/>
      </right>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s>
  <cellStyleXfs count="958">
    <xf numFmtId="0" fontId="0" fillId="0" borderId="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2" borderId="0" applyNumberFormat="0" applyBorder="0" applyAlignment="0" applyProtection="0"/>
    <xf numFmtId="0" fontId="6" fillId="5" borderId="0" applyNumberFormat="0" applyBorder="0" applyAlignment="0" applyProtection="0"/>
    <xf numFmtId="0" fontId="6" fillId="3"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2"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2" borderId="0" applyNumberFormat="0" applyBorder="0" applyAlignment="0" applyProtection="0"/>
    <xf numFmtId="0" fontId="6" fillId="12" borderId="0" applyNumberFormat="0" applyBorder="0" applyAlignment="0" applyProtection="0"/>
    <xf numFmtId="0" fontId="6" fillId="3"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13"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2"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6" fillId="14" borderId="0" applyNumberFormat="0" applyBorder="0" applyAlignment="0" applyProtection="0"/>
    <xf numFmtId="0" fontId="7" fillId="15"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6" borderId="0" applyNumberFormat="0" applyBorder="0" applyAlignment="0" applyProtection="0"/>
    <xf numFmtId="0" fontId="7" fillId="15" borderId="0" applyNumberFormat="0" applyBorder="0" applyAlignment="0" applyProtection="0"/>
    <xf numFmtId="0" fontId="7" fillId="3"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5" borderId="0" applyNumberFormat="0" applyBorder="0" applyAlignment="0" applyProtection="0"/>
    <xf numFmtId="0" fontId="7" fillId="20"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15" borderId="0" applyNumberFormat="0" applyBorder="0" applyAlignment="0" applyProtection="0"/>
    <xf numFmtId="0" fontId="7" fillId="23" borderId="0" applyNumberFormat="0" applyBorder="0" applyAlignment="0" applyProtection="0"/>
    <xf numFmtId="0" fontId="14"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24"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9" fillId="2" borderId="1"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0" fillId="16" borderId="2" applyNumberFormat="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1" fillId="0" borderId="3" applyNumberFormat="0" applyFill="0" applyAlignment="0" applyProtection="0"/>
    <xf numFmtId="0" fontId="10" fillId="16" borderId="2" applyNumberFormat="0" applyAlignment="0" applyProtection="0"/>
    <xf numFmtId="0" fontId="10" fillId="16" borderId="2" applyNumberFormat="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5"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21"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0" fontId="13" fillId="3" borderId="1" applyNumberFormat="0" applyAlignment="0" applyProtection="0"/>
    <xf numFmtId="164" fontId="1" fillId="0" borderId="0" applyFont="0" applyFill="0" applyBorder="0" applyAlignment="0" applyProtection="0"/>
    <xf numFmtId="164" fontId="24"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8" fillId="8" borderId="0" applyNumberFormat="0" applyBorder="0" applyAlignment="0" applyProtection="0"/>
    <xf numFmtId="0" fontId="8" fillId="8" borderId="0" applyNumberFormat="0" applyBorder="0" applyAlignment="0" applyProtection="0"/>
    <xf numFmtId="0" fontId="25" fillId="0" borderId="5" applyNumberFormat="0" applyFill="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3" fillId="0" borderId="0" applyNumberFormat="0" applyFill="0" applyBorder="0" applyAlignment="0" applyProtection="0">
      <alignment vertical="top"/>
      <protection locked="0"/>
    </xf>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3" fillId="3" borderId="1" applyNumberFormat="0" applyAlignment="0" applyProtection="0"/>
    <xf numFmtId="0" fontId="13" fillId="3" borderId="1" applyNumberFormat="0" applyAlignment="0" applyProtection="0"/>
    <xf numFmtId="0" fontId="11" fillId="0" borderId="3" applyNumberFormat="0" applyFill="0" applyAlignment="0" applyProtection="0"/>
    <xf numFmtId="0" fontId="11" fillId="0" borderId="3" applyNumberFormat="0" applyFill="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15" fillId="11"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8" fillId="0" borderId="0"/>
    <xf numFmtId="0" fontId="28" fillId="0" borderId="0"/>
    <xf numFmtId="0" fontId="28" fillId="0" borderId="0"/>
    <xf numFmtId="0" fontId="28" fillId="0" borderId="0"/>
    <xf numFmtId="0" fontId="28" fillId="0" borderId="0"/>
    <xf numFmtId="0" fontId="28" fillId="0" borderId="0"/>
    <xf numFmtId="0" fontId="5"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5" fillId="0" borderId="0"/>
    <xf numFmtId="0" fontId="28" fillId="0" borderId="0"/>
    <xf numFmtId="0" fontId="5" fillId="0" borderId="0"/>
    <xf numFmtId="0" fontId="5" fillId="0" borderId="0"/>
    <xf numFmtId="0" fontId="28" fillId="0" borderId="0"/>
    <xf numFmtId="0" fontId="28" fillId="0" borderId="0"/>
    <xf numFmtId="0" fontId="5" fillId="0" borderId="0"/>
    <xf numFmtId="0" fontId="5" fillId="0" borderId="0"/>
    <xf numFmtId="0" fontId="5" fillId="0" borderId="0"/>
    <xf numFmtId="0" fontId="5" fillId="0" borderId="0"/>
    <xf numFmtId="0" fontId="5" fillId="0" borderId="0"/>
    <xf numFmtId="0" fontId="35" fillId="0" borderId="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5" fillId="4" borderId="8" applyNumberFormat="0" applyFont="0" applyAlignment="0" applyProtection="0"/>
    <xf numFmtId="0" fontId="28" fillId="4" borderId="9" applyNumberFormat="0" applyFont="0" applyAlignment="0" applyProtection="0"/>
    <xf numFmtId="0" fontId="28" fillId="4" borderId="9" applyNumberFormat="0" applyFont="0" applyAlignment="0" applyProtection="0"/>
    <xf numFmtId="0" fontId="16" fillId="24" borderId="10" applyNumberFormat="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9" fontId="28" fillId="0" borderId="0" applyFont="0" applyFill="0" applyBorder="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6" fillId="2" borderId="10" applyNumberFormat="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29" fillId="0" borderId="0" applyNumberFormat="0" applyFill="0" applyBorder="0" applyAlignment="0" applyProtection="0"/>
    <xf numFmtId="0" fontId="19" fillId="0" borderId="0" applyNumberFormat="0" applyFill="0" applyBorder="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20" fillId="0" borderId="4"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21" fillId="0" borderId="6"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2" fillId="0" borderId="11"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22" fillId="0" borderId="12" applyNumberFormat="0" applyFill="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0" fontId="1" fillId="4" borderId="8"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cellStyleXfs>
  <cellXfs count="917">
    <xf numFmtId="0" fontId="0" fillId="0" borderId="0" xfId="0"/>
    <xf numFmtId="0" fontId="0" fillId="0" borderId="0" xfId="0" applyAlignment="1">
      <alignment horizontal="left"/>
    </xf>
    <xf numFmtId="14" fontId="0" fillId="0" borderId="17" xfId="0" applyNumberFormat="1" applyBorder="1" applyAlignment="1">
      <alignment horizontal="center" vertical="center"/>
    </xf>
    <xf numFmtId="170" fontId="1" fillId="0" borderId="17" xfId="0" applyNumberFormat="1" applyFont="1" applyBorder="1" applyAlignment="1" applyProtection="1">
      <alignment horizontal="center" vertical="center"/>
      <protection locked="0"/>
    </xf>
    <xf numFmtId="1" fontId="1" fillId="0" borderId="17" xfId="0" applyNumberFormat="1" applyFont="1" applyBorder="1" applyAlignment="1" applyProtection="1">
      <alignment horizontal="center" vertical="center"/>
      <protection locked="0"/>
    </xf>
    <xf numFmtId="0" fontId="1" fillId="0" borderId="17" xfId="0" applyFont="1" applyBorder="1" applyAlignment="1">
      <alignment horizontal="center" vertical="center"/>
    </xf>
    <xf numFmtId="165" fontId="1" fillId="0" borderId="17" xfId="0" applyNumberFormat="1" applyFont="1" applyBorder="1" applyAlignment="1" applyProtection="1">
      <alignment horizontal="center" vertical="center"/>
      <protection locked="0"/>
    </xf>
    <xf numFmtId="1" fontId="1" fillId="0" borderId="17" xfId="0" applyNumberFormat="1" applyFont="1" applyBorder="1" applyAlignment="1">
      <alignment horizontal="center" vertical="center"/>
    </xf>
    <xf numFmtId="0" fontId="1" fillId="0" borderId="0" xfId="0" applyFont="1" applyAlignment="1" applyProtection="1">
      <alignment horizontal="center" vertical="center"/>
      <protection locked="0"/>
    </xf>
    <xf numFmtId="2" fontId="1" fillId="0" borderId="17" xfId="0" applyNumberFormat="1" applyFont="1" applyBorder="1" applyAlignment="1" applyProtection="1">
      <alignment horizontal="center" vertical="center"/>
      <protection locked="0"/>
    </xf>
    <xf numFmtId="2" fontId="1" fillId="0" borderId="17" xfId="0" quotePrefix="1" applyNumberFormat="1" applyFont="1" applyBorder="1" applyAlignment="1" applyProtection="1">
      <alignment horizontal="center" vertical="center"/>
      <protection locked="0"/>
    </xf>
    <xf numFmtId="2" fontId="1" fillId="0" borderId="17" xfId="0" applyNumberFormat="1" applyFont="1" applyBorder="1" applyAlignment="1">
      <alignment horizontal="center" vertical="center"/>
    </xf>
    <xf numFmtId="166" fontId="1" fillId="0" borderId="0" xfId="0" applyNumberFormat="1" applyFont="1" applyAlignment="1" applyProtection="1">
      <alignment horizontal="center" vertical="center"/>
      <protection locked="0"/>
    </xf>
    <xf numFmtId="168"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65" fontId="1" fillId="0" borderId="0" xfId="0" applyNumberFormat="1" applyFont="1" applyAlignment="1" applyProtection="1">
      <alignment horizontal="center" vertical="center"/>
      <protection locked="0"/>
    </xf>
    <xf numFmtId="0" fontId="1" fillId="0" borderId="0" xfId="0" applyFont="1" applyAlignment="1">
      <alignment horizontal="center" vertical="center"/>
    </xf>
    <xf numFmtId="169"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169" fontId="1" fillId="0" borderId="0" xfId="0" applyNumberFormat="1" applyFont="1" applyAlignment="1" applyProtection="1">
      <alignment horizontal="center" vertical="center"/>
      <protection locked="0"/>
    </xf>
    <xf numFmtId="170" fontId="1" fillId="0" borderId="0" xfId="0" applyNumberFormat="1" applyFont="1" applyAlignment="1">
      <alignment horizontal="center" vertical="center"/>
    </xf>
    <xf numFmtId="0" fontId="37" fillId="32" borderId="17" xfId="900" applyFont="1" applyFill="1" applyBorder="1" applyAlignment="1">
      <alignment horizontal="center" vertical="center"/>
    </xf>
    <xf numFmtId="0" fontId="38" fillId="52" borderId="54" xfId="696" applyFont="1" applyFill="1" applyBorder="1" applyAlignment="1">
      <alignment horizontal="left" vertical="center" wrapText="1" indent="1"/>
    </xf>
    <xf numFmtId="0" fontId="38" fillId="52" borderId="56" xfId="696" applyFont="1" applyFill="1" applyBorder="1" applyAlignment="1">
      <alignment horizontal="left" vertical="center" wrapText="1" indent="1"/>
    </xf>
    <xf numFmtId="0" fontId="38" fillId="52" borderId="59" xfId="696" applyFont="1" applyFill="1" applyBorder="1" applyAlignment="1">
      <alignment horizontal="left" vertical="center" wrapText="1" indent="1"/>
    </xf>
    <xf numFmtId="0" fontId="38" fillId="52" borderId="54" xfId="696" applyFont="1" applyFill="1" applyBorder="1" applyAlignment="1">
      <alignment horizontal="center" vertical="center" wrapText="1"/>
    </xf>
    <xf numFmtId="0" fontId="38" fillId="52" borderId="56" xfId="696" applyFont="1" applyFill="1" applyBorder="1" applyAlignment="1">
      <alignment horizontal="center" vertical="center" wrapText="1"/>
    </xf>
    <xf numFmtId="0" fontId="38" fillId="52" borderId="59" xfId="696" applyFont="1" applyFill="1" applyBorder="1" applyAlignment="1">
      <alignment horizontal="center" vertical="center" wrapText="1"/>
    </xf>
    <xf numFmtId="0" fontId="38" fillId="37" borderId="54" xfId="696" applyFont="1" applyFill="1" applyBorder="1" applyAlignment="1">
      <alignment horizontal="left" vertical="center" wrapText="1" indent="1"/>
    </xf>
    <xf numFmtId="0" fontId="38" fillId="37" borderId="59" xfId="696" applyFont="1" applyFill="1" applyBorder="1" applyAlignment="1">
      <alignment horizontal="left" vertical="center" wrapText="1" indent="1"/>
    </xf>
    <xf numFmtId="0" fontId="38" fillId="37" borderId="60" xfId="696" applyFont="1" applyFill="1" applyBorder="1" applyAlignment="1">
      <alignment horizontal="left" vertical="center" wrapText="1" indent="1"/>
    </xf>
    <xf numFmtId="0" fontId="38" fillId="37" borderId="56" xfId="696" applyFont="1" applyFill="1" applyBorder="1" applyAlignment="1">
      <alignment horizontal="left" vertical="center" wrapText="1" indent="1"/>
    </xf>
    <xf numFmtId="0" fontId="38" fillId="52" borderId="60" xfId="696" applyFont="1" applyFill="1" applyBorder="1" applyAlignment="1">
      <alignment horizontal="left" vertical="center" wrapText="1" indent="1"/>
    </xf>
    <xf numFmtId="0" fontId="38" fillId="52" borderId="61" xfId="696" applyFont="1" applyFill="1" applyBorder="1" applyAlignment="1">
      <alignment horizontal="left" vertical="center" wrapText="1" indent="1"/>
    </xf>
    <xf numFmtId="0" fontId="38" fillId="52" borderId="61" xfId="696" applyFont="1" applyFill="1" applyBorder="1" applyAlignment="1">
      <alignment horizontal="center" vertical="center" wrapText="1"/>
    </xf>
    <xf numFmtId="0" fontId="38" fillId="52" borderId="60" xfId="696" applyFont="1" applyFill="1" applyBorder="1" applyAlignment="1">
      <alignment horizontal="center" vertical="center" wrapText="1"/>
    </xf>
    <xf numFmtId="0" fontId="0" fillId="0" borderId="17" xfId="0" applyBorder="1"/>
    <xf numFmtId="49" fontId="1" fillId="56" borderId="17" xfId="0" applyNumberFormat="1" applyFont="1" applyFill="1" applyBorder="1" applyAlignment="1" applyProtection="1">
      <alignment horizontal="center" vertical="center"/>
      <protection locked="0"/>
    </xf>
    <xf numFmtId="49" fontId="1" fillId="51" borderId="17" xfId="0" quotePrefix="1" applyNumberFormat="1" applyFont="1" applyFill="1" applyBorder="1" applyAlignment="1" applyProtection="1">
      <alignment horizontal="center" vertical="center"/>
      <protection locked="0"/>
    </xf>
    <xf numFmtId="0" fontId="38" fillId="37" borderId="61" xfId="696" applyFont="1" applyFill="1" applyBorder="1" applyAlignment="1">
      <alignment horizontal="left" vertical="center" wrapText="1" indent="1"/>
    </xf>
    <xf numFmtId="0" fontId="38" fillId="52" borderId="19" xfId="696" applyFont="1" applyFill="1" applyBorder="1" applyAlignment="1">
      <alignment horizontal="left" vertical="center" wrapText="1" indent="1"/>
    </xf>
    <xf numFmtId="0" fontId="0" fillId="51" borderId="0" xfId="0" applyFill="1"/>
    <xf numFmtId="170" fontId="1" fillId="0" borderId="0" xfId="0" applyNumberFormat="1" applyFont="1" applyAlignment="1" applyProtection="1">
      <alignment horizontal="left"/>
      <protection locked="0"/>
    </xf>
    <xf numFmtId="0" fontId="0" fillId="39" borderId="0" xfId="0" applyFill="1"/>
    <xf numFmtId="0" fontId="42" fillId="26" borderId="0" xfId="0" applyFont="1" applyFill="1" applyAlignment="1">
      <alignment horizontal="center" vertical="center"/>
    </xf>
    <xf numFmtId="0" fontId="42" fillId="43" borderId="0" xfId="0" applyFont="1" applyFill="1" applyAlignment="1">
      <alignment horizontal="center" vertical="center"/>
    </xf>
    <xf numFmtId="0" fontId="0" fillId="53" borderId="0" xfId="0" applyFill="1"/>
    <xf numFmtId="0" fontId="0" fillId="48" borderId="0" xfId="0" applyFill="1"/>
    <xf numFmtId="0" fontId="42" fillId="56" borderId="0" xfId="0" applyFont="1" applyFill="1"/>
    <xf numFmtId="0" fontId="42" fillId="47" borderId="0" xfId="0" applyFont="1" applyFill="1" applyAlignment="1">
      <alignment horizontal="center" vertical="center"/>
    </xf>
    <xf numFmtId="0" fontId="42" fillId="31" borderId="0" xfId="0" applyFont="1" applyFill="1" applyAlignment="1">
      <alignment horizontal="center" vertical="center"/>
    </xf>
    <xf numFmtId="0" fontId="0" fillId="54" borderId="0" xfId="0" applyFill="1"/>
    <xf numFmtId="0" fontId="0" fillId="50" borderId="0" xfId="0" applyFill="1"/>
    <xf numFmtId="0" fontId="0" fillId="42" borderId="0" xfId="0" applyFill="1"/>
    <xf numFmtId="0" fontId="42" fillId="29" borderId="0" xfId="0" applyFont="1" applyFill="1"/>
    <xf numFmtId="14" fontId="0" fillId="0" borderId="17" xfId="0" quotePrefix="1" applyNumberFormat="1" applyBorder="1" applyAlignment="1">
      <alignment horizontal="center" vertical="center"/>
    </xf>
    <xf numFmtId="0" fontId="1" fillId="0" borderId="36" xfId="0" applyFont="1" applyBorder="1" applyAlignment="1">
      <alignment horizontal="center" vertical="center"/>
    </xf>
    <xf numFmtId="0" fontId="1" fillId="0" borderId="31" xfId="0" applyFont="1" applyBorder="1" applyAlignment="1">
      <alignment horizontal="center" vertical="center"/>
    </xf>
    <xf numFmtId="0" fontId="1" fillId="0" borderId="0" xfId="0" applyFont="1" applyAlignment="1">
      <alignment vertical="center"/>
    </xf>
    <xf numFmtId="0" fontId="1" fillId="0" borderId="0" xfId="0" applyFont="1" applyAlignment="1">
      <alignment horizontal="right" vertical="center"/>
    </xf>
    <xf numFmtId="0" fontId="37" fillId="51" borderId="17" xfId="900" applyFont="1" applyFill="1" applyBorder="1" applyAlignment="1">
      <alignment horizontal="center" vertical="center"/>
    </xf>
    <xf numFmtId="0" fontId="37" fillId="31" borderId="17" xfId="900" applyFont="1" applyFill="1" applyBorder="1" applyAlignment="1">
      <alignment horizontal="center" vertical="center"/>
    </xf>
    <xf numFmtId="0" fontId="37" fillId="58" borderId="17" xfId="900" applyFont="1" applyFill="1" applyBorder="1" applyAlignment="1">
      <alignment horizontal="center" vertical="center"/>
    </xf>
    <xf numFmtId="0" fontId="37" fillId="71" borderId="17" xfId="900" applyFont="1" applyFill="1" applyBorder="1" applyAlignment="1">
      <alignment horizontal="center" vertical="center"/>
    </xf>
    <xf numFmtId="0" fontId="37" fillId="44" borderId="17" xfId="900" applyFont="1" applyFill="1" applyBorder="1" applyAlignment="1">
      <alignment horizontal="center" vertical="center"/>
    </xf>
    <xf numFmtId="0" fontId="37" fillId="72" borderId="17" xfId="900" applyFont="1" applyFill="1" applyBorder="1" applyAlignment="1">
      <alignment horizontal="center" vertical="center"/>
    </xf>
    <xf numFmtId="0" fontId="1" fillId="0" borderId="0" xfId="0" applyFont="1" applyAlignment="1">
      <alignment vertical="center" wrapText="1"/>
    </xf>
    <xf numFmtId="0" fontId="0" fillId="0" borderId="17" xfId="0" applyBorder="1" applyAlignment="1">
      <alignment horizontal="center" vertical="center" wrapText="1"/>
    </xf>
    <xf numFmtId="0" fontId="0" fillId="0" borderId="17" xfId="0" applyBorder="1" applyAlignment="1">
      <alignment horizontal="center" vertical="center"/>
    </xf>
    <xf numFmtId="0" fontId="38" fillId="52" borderId="58" xfId="696" applyFont="1" applyFill="1" applyBorder="1" applyAlignment="1">
      <alignment horizontal="left" vertical="center" wrapText="1" indent="1"/>
    </xf>
    <xf numFmtId="2" fontId="44" fillId="0" borderId="17" xfId="0" applyNumberFormat="1" applyFont="1" applyBorder="1" applyAlignment="1">
      <alignment horizontal="center" vertical="center"/>
    </xf>
    <xf numFmtId="0" fontId="1" fillId="70" borderId="17" xfId="0" applyFont="1" applyFill="1" applyBorder="1" applyAlignment="1">
      <alignment horizontal="center" vertical="center" wrapText="1"/>
    </xf>
    <xf numFmtId="0" fontId="46" fillId="0" borderId="17" xfId="0" applyFont="1" applyBorder="1" applyAlignment="1">
      <alignment horizontal="center" vertical="center" wrapText="1"/>
    </xf>
    <xf numFmtId="0" fontId="1" fillId="0" borderId="20" xfId="0" applyFont="1" applyBorder="1" applyAlignment="1">
      <alignment vertical="center" wrapText="1"/>
    </xf>
    <xf numFmtId="0" fontId="38" fillId="40" borderId="56" xfId="696" applyFont="1" applyFill="1" applyBorder="1" applyAlignment="1">
      <alignment horizontal="left" vertical="center" wrapText="1" indent="1"/>
    </xf>
    <xf numFmtId="0" fontId="38" fillId="40" borderId="19" xfId="696" applyFont="1" applyFill="1" applyBorder="1" applyAlignment="1">
      <alignment horizontal="center" vertical="center" wrapText="1"/>
    </xf>
    <xf numFmtId="0" fontId="1" fillId="32" borderId="17" xfId="0" applyFont="1" applyFill="1" applyBorder="1" applyAlignment="1">
      <alignment horizontal="center" vertical="center"/>
    </xf>
    <xf numFmtId="2" fontId="1" fillId="32" borderId="17" xfId="0" applyNumberFormat="1" applyFont="1" applyFill="1" applyBorder="1" applyAlignment="1">
      <alignment horizontal="center" vertical="center"/>
    </xf>
    <xf numFmtId="0" fontId="44" fillId="32" borderId="17" xfId="0" applyFont="1" applyFill="1" applyBorder="1" applyAlignment="1">
      <alignment horizontal="center" vertical="center"/>
    </xf>
    <xf numFmtId="2" fontId="44" fillId="32" borderId="17" xfId="0" applyNumberFormat="1" applyFont="1" applyFill="1" applyBorder="1" applyAlignment="1">
      <alignment horizontal="center" vertical="center"/>
    </xf>
    <xf numFmtId="0" fontId="44" fillId="0" borderId="17" xfId="0" applyFont="1" applyBorder="1" applyAlignment="1">
      <alignment horizontal="center" vertical="center"/>
    </xf>
    <xf numFmtId="0" fontId="1" fillId="38" borderId="38" xfId="797" applyFont="1" applyFill="1" applyBorder="1" applyAlignment="1">
      <alignment horizontal="center" vertical="center"/>
    </xf>
    <xf numFmtId="0" fontId="1" fillId="38" borderId="39" xfId="0" applyFont="1" applyFill="1" applyBorder="1" applyAlignment="1">
      <alignment horizontal="center" vertical="center"/>
    </xf>
    <xf numFmtId="0" fontId="1" fillId="38" borderId="26" xfId="797" applyFont="1" applyFill="1" applyBorder="1" applyAlignment="1">
      <alignment horizontal="center" vertical="center"/>
    </xf>
    <xf numFmtId="0" fontId="1" fillId="38" borderId="30" xfId="0" applyFont="1" applyFill="1" applyBorder="1" applyAlignment="1">
      <alignment horizontal="center" vertical="center"/>
    </xf>
    <xf numFmtId="0" fontId="48" fillId="35" borderId="52" xfId="0" applyFont="1" applyFill="1" applyBorder="1" applyAlignment="1" applyProtection="1">
      <alignment horizontal="center" vertical="center"/>
      <protection locked="0"/>
    </xf>
    <xf numFmtId="0" fontId="48" fillId="35" borderId="44" xfId="0" applyFont="1" applyFill="1" applyBorder="1" applyAlignment="1" applyProtection="1">
      <alignment horizontal="center" vertical="center"/>
      <protection locked="0"/>
    </xf>
    <xf numFmtId="0" fontId="48" fillId="35" borderId="45" xfId="0" applyFont="1" applyFill="1" applyBorder="1" applyAlignment="1" applyProtection="1">
      <alignment horizontal="center" vertical="center"/>
      <protection locked="0"/>
    </xf>
    <xf numFmtId="168" fontId="1" fillId="0" borderId="17" xfId="0" applyNumberFormat="1" applyFont="1" applyBorder="1" applyAlignment="1" applyProtection="1">
      <alignment horizontal="center" vertical="center"/>
      <protection locked="0"/>
    </xf>
    <xf numFmtId="170" fontId="1" fillId="0" borderId="0" xfId="0" applyNumberFormat="1" applyFont="1" applyAlignment="1" applyProtection="1">
      <alignment horizontal="center" vertical="center"/>
      <protection locked="0"/>
    </xf>
    <xf numFmtId="167" fontId="1" fillId="0" borderId="0" xfId="0" applyNumberFormat="1" applyFont="1" applyAlignment="1" applyProtection="1">
      <alignment horizontal="center" vertical="center"/>
      <protection locked="0"/>
    </xf>
    <xf numFmtId="3" fontId="1" fillId="0" borderId="0" xfId="0" applyNumberFormat="1" applyFont="1" applyAlignment="1" applyProtection="1">
      <alignment horizontal="center" vertical="center"/>
      <protection locked="0"/>
    </xf>
    <xf numFmtId="0" fontId="1" fillId="0" borderId="15" xfId="0" applyFont="1" applyBorder="1" applyAlignment="1" applyProtection="1">
      <alignment horizontal="center" vertical="center"/>
      <protection locked="0"/>
    </xf>
    <xf numFmtId="170" fontId="1" fillId="0" borderId="15" xfId="0" applyNumberFormat="1" applyFont="1" applyBorder="1" applyAlignment="1">
      <alignment horizontal="center" vertical="center"/>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1" fillId="0" borderId="36" xfId="0" applyFont="1" applyBorder="1" applyAlignment="1" applyProtection="1">
      <alignment horizontal="center" vertical="center"/>
      <protection locked="0"/>
    </xf>
    <xf numFmtId="0" fontId="1" fillId="0" borderId="31" xfId="0" applyFont="1" applyBorder="1" applyAlignment="1" applyProtection="1">
      <alignment horizontal="center" vertical="center"/>
      <protection locked="0"/>
    </xf>
    <xf numFmtId="0" fontId="48" fillId="38" borderId="36" xfId="797" applyFont="1" applyFill="1" applyBorder="1" applyAlignment="1">
      <alignment horizontal="center" vertical="center"/>
    </xf>
    <xf numFmtId="0" fontId="1" fillId="38" borderId="31" xfId="0" applyFont="1" applyFill="1" applyBorder="1" applyAlignment="1">
      <alignment horizontal="center" vertical="center"/>
    </xf>
    <xf numFmtId="0" fontId="1" fillId="55" borderId="40" xfId="0" applyFont="1" applyFill="1" applyBorder="1" applyAlignment="1">
      <alignment horizontal="center" vertical="center"/>
    </xf>
    <xf numFmtId="0" fontId="1" fillId="54" borderId="40" xfId="0" applyFont="1" applyFill="1" applyBorder="1" applyAlignment="1">
      <alignment horizontal="center" vertical="center"/>
    </xf>
    <xf numFmtId="0" fontId="1" fillId="29" borderId="40" xfId="0" applyFont="1" applyFill="1" applyBorder="1" applyAlignment="1">
      <alignment horizontal="center" vertical="center"/>
    </xf>
    <xf numFmtId="0" fontId="1" fillId="26" borderId="40" xfId="0" applyFont="1" applyFill="1" applyBorder="1" applyAlignment="1">
      <alignment horizontal="center" vertical="center"/>
    </xf>
    <xf numFmtId="0" fontId="1" fillId="47" borderId="40" xfId="0" applyFont="1" applyFill="1" applyBorder="1" applyAlignment="1">
      <alignment horizontal="center" vertical="center"/>
    </xf>
    <xf numFmtId="0" fontId="1" fillId="35" borderId="37" xfId="0" applyFont="1" applyFill="1" applyBorder="1" applyAlignment="1" applyProtection="1">
      <alignment horizontal="center" vertical="center"/>
      <protection locked="0"/>
    </xf>
    <xf numFmtId="0" fontId="1" fillId="35" borderId="46" xfId="0" applyFont="1" applyFill="1" applyBorder="1" applyAlignment="1" applyProtection="1">
      <alignment horizontal="center" vertical="center"/>
      <protection locked="0"/>
    </xf>
    <xf numFmtId="0" fontId="34" fillId="35" borderId="50" xfId="0" applyFont="1" applyFill="1" applyBorder="1" applyAlignment="1" applyProtection="1">
      <alignment horizontal="center" vertical="center"/>
      <protection locked="0"/>
    </xf>
    <xf numFmtId="0" fontId="1" fillId="43" borderId="40" xfId="0" applyFont="1" applyFill="1" applyBorder="1" applyAlignment="1">
      <alignment horizontal="center" vertical="center"/>
    </xf>
    <xf numFmtId="0" fontId="1" fillId="31" borderId="40" xfId="0" applyFont="1" applyFill="1" applyBorder="1" applyAlignment="1">
      <alignment horizontal="center" vertical="center"/>
    </xf>
    <xf numFmtId="0" fontId="1" fillId="35" borderId="0" xfId="0" applyFont="1" applyFill="1" applyAlignment="1" applyProtection="1">
      <alignment horizontal="center" vertical="center"/>
      <protection locked="0"/>
    </xf>
    <xf numFmtId="0" fontId="34" fillId="35" borderId="0" xfId="0" applyFont="1" applyFill="1" applyAlignment="1" applyProtection="1">
      <alignment horizontal="center" vertical="center"/>
      <protection locked="0"/>
    </xf>
    <xf numFmtId="0" fontId="1" fillId="42" borderId="40" xfId="0" applyFont="1" applyFill="1" applyBorder="1" applyAlignment="1">
      <alignment horizontal="center" vertical="center"/>
    </xf>
    <xf numFmtId="0" fontId="1" fillId="53" borderId="40" xfId="0" applyFont="1" applyFill="1" applyBorder="1" applyAlignment="1">
      <alignment horizontal="center" vertical="center"/>
    </xf>
    <xf numFmtId="0" fontId="48" fillId="35" borderId="15" xfId="0" applyFont="1" applyFill="1" applyBorder="1" applyAlignment="1" applyProtection="1">
      <alignment horizontal="center" vertical="center"/>
      <protection locked="0"/>
    </xf>
    <xf numFmtId="0" fontId="1" fillId="0" borderId="38" xfId="0" applyFont="1" applyBorder="1" applyAlignment="1" applyProtection="1">
      <alignment horizontal="center" vertical="center"/>
      <protection locked="0"/>
    </xf>
    <xf numFmtId="166" fontId="1" fillId="0" borderId="51" xfId="0" applyNumberFormat="1" applyFont="1" applyBorder="1" applyAlignment="1" applyProtection="1">
      <alignment horizontal="center" vertical="center"/>
      <protection locked="0"/>
    </xf>
    <xf numFmtId="0" fontId="1" fillId="0" borderId="51" xfId="0" applyFont="1" applyBorder="1" applyAlignment="1" applyProtection="1">
      <alignment horizontal="center" vertical="center"/>
      <protection locked="0"/>
    </xf>
    <xf numFmtId="0" fontId="1" fillId="0" borderId="39" xfId="0" applyFont="1" applyBorder="1" applyAlignment="1" applyProtection="1">
      <alignment horizontal="center" vertical="center"/>
      <protection locked="0"/>
    </xf>
    <xf numFmtId="0" fontId="1" fillId="48" borderId="40" xfId="0" applyFont="1" applyFill="1" applyBorder="1" applyAlignment="1">
      <alignment horizontal="center" vertical="center"/>
    </xf>
    <xf numFmtId="0" fontId="1" fillId="50" borderId="40" xfId="0" applyFont="1" applyFill="1" applyBorder="1" applyAlignment="1">
      <alignment horizontal="center" vertical="center"/>
    </xf>
    <xf numFmtId="0" fontId="1" fillId="39" borderId="40" xfId="0" applyFont="1" applyFill="1" applyBorder="1" applyAlignment="1">
      <alignment horizontal="center" vertical="center"/>
    </xf>
    <xf numFmtId="166" fontId="1" fillId="0" borderId="15" xfId="0" applyNumberFormat="1" applyFont="1" applyBorder="1" applyAlignment="1" applyProtection="1">
      <alignment horizontal="center" vertical="center"/>
      <protection locked="0"/>
    </xf>
    <xf numFmtId="0" fontId="1" fillId="0" borderId="53" xfId="0" applyFont="1" applyBorder="1" applyAlignment="1" applyProtection="1">
      <alignment horizontal="center" vertical="center"/>
      <protection locked="0"/>
    </xf>
    <xf numFmtId="0" fontId="1" fillId="35" borderId="36" xfId="0" applyFont="1" applyFill="1" applyBorder="1" applyAlignment="1" applyProtection="1">
      <alignment horizontal="center" vertical="center"/>
      <protection locked="0"/>
    </xf>
    <xf numFmtId="0" fontId="2" fillId="35" borderId="31" xfId="0" applyFont="1" applyFill="1" applyBorder="1" applyAlignment="1" applyProtection="1">
      <alignment horizontal="center" vertical="center"/>
      <protection locked="0"/>
    </xf>
    <xf numFmtId="2" fontId="34" fillId="35" borderId="50" xfId="0" applyNumberFormat="1" applyFont="1" applyFill="1" applyBorder="1" applyAlignment="1" applyProtection="1">
      <alignment horizontal="center" vertical="center"/>
      <protection locked="0"/>
    </xf>
    <xf numFmtId="0" fontId="1" fillId="0" borderId="37" xfId="0" applyFont="1" applyBorder="1" applyAlignment="1" applyProtection="1">
      <alignment horizontal="center" vertical="center"/>
      <protection locked="0"/>
    </xf>
    <xf numFmtId="0" fontId="48" fillId="0" borderId="50" xfId="0" applyFont="1" applyBorder="1" applyAlignment="1" applyProtection="1">
      <alignment horizontal="center" vertical="center"/>
      <protection locked="0"/>
    </xf>
    <xf numFmtId="1" fontId="1" fillId="0" borderId="15" xfId="0" applyNumberFormat="1" applyFont="1" applyBorder="1" applyAlignment="1" applyProtection="1">
      <alignment horizontal="center" vertical="center"/>
      <protection locked="0"/>
    </xf>
    <xf numFmtId="169" fontId="1" fillId="0" borderId="15" xfId="0" applyNumberFormat="1" applyFont="1" applyBorder="1" applyAlignment="1">
      <alignment horizontal="center" vertical="center"/>
    </xf>
    <xf numFmtId="0" fontId="1" fillId="49" borderId="0" xfId="0" applyFont="1" applyFill="1" applyAlignment="1" applyProtection="1">
      <alignment horizontal="center" vertical="center"/>
      <protection locked="0"/>
    </xf>
    <xf numFmtId="0" fontId="1" fillId="0" borderId="17" xfId="0" applyFont="1" applyBorder="1" applyAlignment="1">
      <alignment horizontal="left" vertical="center" wrapText="1"/>
    </xf>
    <xf numFmtId="0" fontId="0" fillId="49" borderId="0" xfId="0" applyFill="1" applyAlignment="1">
      <alignment horizontal="center" vertical="center"/>
    </xf>
    <xf numFmtId="0" fontId="49" fillId="49" borderId="0" xfId="0" applyFont="1" applyFill="1" applyAlignment="1">
      <alignment horizontal="center" vertical="center"/>
    </xf>
    <xf numFmtId="0" fontId="1" fillId="49" borderId="0" xfId="0" applyFont="1" applyFill="1" applyAlignment="1">
      <alignment horizontal="center" vertical="center"/>
    </xf>
    <xf numFmtId="0" fontId="36" fillId="49" borderId="0" xfId="900" applyFont="1" applyFill="1" applyAlignment="1">
      <alignment vertical="center"/>
    </xf>
    <xf numFmtId="0" fontId="39" fillId="49" borderId="0" xfId="900" applyFont="1" applyFill="1" applyAlignment="1">
      <alignment vertical="center"/>
    </xf>
    <xf numFmtId="0" fontId="38" fillId="52" borderId="55" xfId="696" applyFont="1" applyFill="1" applyBorder="1" applyAlignment="1">
      <alignment horizontal="left" vertical="center" wrapText="1" indent="1"/>
    </xf>
    <xf numFmtId="0" fontId="36" fillId="49" borderId="0" xfId="900" applyFont="1" applyFill="1" applyAlignment="1">
      <alignment horizontal="center" vertical="center"/>
    </xf>
    <xf numFmtId="0" fontId="38" fillId="52" borderId="62" xfId="696" applyFont="1" applyFill="1" applyBorder="1" applyAlignment="1">
      <alignment horizontal="left" vertical="center" wrapText="1" indent="1"/>
    </xf>
    <xf numFmtId="0" fontId="38" fillId="49" borderId="54" xfId="696" applyFont="1" applyFill="1" applyBorder="1" applyAlignment="1">
      <alignment horizontal="left" vertical="center" wrapText="1" indent="1"/>
    </xf>
    <xf numFmtId="0" fontId="38" fillId="49" borderId="56" xfId="696" applyFont="1" applyFill="1" applyBorder="1" applyAlignment="1">
      <alignment horizontal="left" vertical="center" wrapText="1" indent="1"/>
    </xf>
    <xf numFmtId="0" fontId="38" fillId="48" borderId="56" xfId="696" applyFont="1" applyFill="1" applyBorder="1" applyAlignment="1">
      <alignment horizontal="left" vertical="center" wrapText="1" indent="1"/>
    </xf>
    <xf numFmtId="0" fontId="38" fillId="0" borderId="56" xfId="696" applyFont="1" applyBorder="1" applyAlignment="1">
      <alignment horizontal="left" vertical="center" wrapText="1" indent="1"/>
    </xf>
    <xf numFmtId="0" fontId="38" fillId="47" borderId="56" xfId="696" applyFont="1" applyFill="1" applyBorder="1" applyAlignment="1">
      <alignment horizontal="left" vertical="center" wrapText="1" indent="1"/>
    </xf>
    <xf numFmtId="0" fontId="38" fillId="0" borderId="59" xfId="696" applyFont="1" applyBorder="1" applyAlignment="1">
      <alignment horizontal="left" vertical="center" wrapText="1" indent="1"/>
    </xf>
    <xf numFmtId="0" fontId="38" fillId="0" borderId="54" xfId="696" applyFont="1" applyBorder="1" applyAlignment="1">
      <alignment horizontal="left" vertical="center" wrapText="1" indent="1"/>
    </xf>
    <xf numFmtId="0" fontId="38" fillId="0" borderId="56" xfId="900" applyFont="1" applyBorder="1" applyAlignment="1">
      <alignment horizontal="left" vertical="center" indent="1"/>
    </xf>
    <xf numFmtId="0" fontId="37" fillId="49" borderId="0" xfId="900" applyFont="1" applyFill="1" applyAlignment="1">
      <alignment horizontal="center" vertical="center"/>
    </xf>
    <xf numFmtId="0" fontId="36" fillId="49" borderId="0" xfId="900" applyFont="1" applyFill="1" applyAlignment="1">
      <alignment horizontal="left" vertical="center" indent="1"/>
    </xf>
    <xf numFmtId="0" fontId="36" fillId="49" borderId="0" xfId="900" quotePrefix="1" applyFont="1" applyFill="1" applyAlignment="1">
      <alignment horizontal="center" vertical="center" wrapText="1"/>
    </xf>
    <xf numFmtId="0" fontId="36" fillId="49" borderId="0" xfId="900" applyFont="1" applyFill="1" applyAlignment="1">
      <alignment horizontal="left" vertical="center" indent="2"/>
    </xf>
    <xf numFmtId="0" fontId="36" fillId="49" borderId="0" xfId="900" applyFont="1" applyFill="1" applyAlignment="1">
      <alignment horizontal="left" vertical="center" indent="3"/>
    </xf>
    <xf numFmtId="0" fontId="38" fillId="52" borderId="66" xfId="696" applyFont="1" applyFill="1" applyBorder="1" applyAlignment="1">
      <alignment horizontal="left" vertical="center" wrapText="1" indent="1"/>
    </xf>
    <xf numFmtId="0" fontId="38" fillId="52" borderId="66" xfId="696" applyFont="1" applyFill="1" applyBorder="1" applyAlignment="1">
      <alignment horizontal="center" vertical="center" wrapText="1"/>
    </xf>
    <xf numFmtId="0" fontId="38" fillId="40" borderId="66" xfId="696" applyFont="1" applyFill="1" applyBorder="1" applyAlignment="1">
      <alignment horizontal="left" vertical="center" wrapText="1" indent="1"/>
    </xf>
    <xf numFmtId="0" fontId="38" fillId="40" borderId="66" xfId="696" applyFont="1" applyFill="1" applyBorder="1" applyAlignment="1">
      <alignment horizontal="center" vertical="center" wrapText="1"/>
    </xf>
    <xf numFmtId="0" fontId="38" fillId="40" borderId="60" xfId="696" applyFont="1" applyFill="1" applyBorder="1" applyAlignment="1">
      <alignment horizontal="left" vertical="center" wrapText="1" indent="1"/>
    </xf>
    <xf numFmtId="0" fontId="38" fillId="40" borderId="60" xfId="696" applyFont="1" applyFill="1" applyBorder="1" applyAlignment="1">
      <alignment horizontal="center" vertical="center" wrapText="1"/>
    </xf>
    <xf numFmtId="0" fontId="38" fillId="0" borderId="60" xfId="696" applyFont="1" applyBorder="1" applyAlignment="1">
      <alignment horizontal="left" vertical="center" wrapText="1" indent="1"/>
    </xf>
    <xf numFmtId="0" fontId="1" fillId="49" borderId="0" xfId="0" applyFont="1" applyFill="1" applyAlignment="1" applyProtection="1">
      <alignment horizontal="center" vertical="center" wrapText="1"/>
      <protection locked="0"/>
    </xf>
    <xf numFmtId="0" fontId="0" fillId="49" borderId="0" xfId="0" applyFill="1"/>
    <xf numFmtId="0" fontId="1" fillId="70" borderId="17" xfId="0" applyFont="1" applyFill="1" applyBorder="1" applyAlignment="1">
      <alignment horizontal="center" vertical="center"/>
    </xf>
    <xf numFmtId="0" fontId="38" fillId="37" borderId="60" xfId="696" applyFont="1" applyFill="1" applyBorder="1" applyAlignment="1">
      <alignment horizontal="center" vertical="center" wrapText="1"/>
    </xf>
    <xf numFmtId="0" fontId="38" fillId="37" borderId="59" xfId="696" applyFont="1" applyFill="1" applyBorder="1" applyAlignment="1">
      <alignment horizontal="center" vertical="center" wrapText="1"/>
    </xf>
    <xf numFmtId="0" fontId="40" fillId="49" borderId="0" xfId="900" applyFont="1" applyFill="1" applyAlignment="1">
      <alignment horizontal="left" vertical="center"/>
    </xf>
    <xf numFmtId="0" fontId="38" fillId="52" borderId="92" xfId="696" applyFont="1" applyFill="1" applyBorder="1" applyAlignment="1">
      <alignment horizontal="left" vertical="center" wrapText="1" indent="1"/>
    </xf>
    <xf numFmtId="0" fontId="40" fillId="49" borderId="0" xfId="900" applyFont="1" applyFill="1" applyAlignment="1">
      <alignment horizontal="center" vertical="center"/>
    </xf>
    <xf numFmtId="0" fontId="55" fillId="33" borderId="18" xfId="696" applyFont="1" applyFill="1" applyBorder="1" applyAlignment="1">
      <alignment horizontal="center" vertical="center" wrapText="1"/>
    </xf>
    <xf numFmtId="0" fontId="55" fillId="33" borderId="19" xfId="696" applyFont="1" applyFill="1" applyBorder="1" applyAlignment="1">
      <alignment horizontal="center" vertical="center" wrapText="1"/>
    </xf>
    <xf numFmtId="0" fontId="55" fillId="33" borderId="66" xfId="696" applyFont="1" applyFill="1" applyBorder="1" applyAlignment="1">
      <alignment horizontal="center" vertical="center" wrapText="1"/>
    </xf>
    <xf numFmtId="0" fontId="55" fillId="49" borderId="0" xfId="900" applyFont="1" applyFill="1" applyAlignment="1">
      <alignment horizontal="center" vertical="center"/>
    </xf>
    <xf numFmtId="0" fontId="58" fillId="49" borderId="0" xfId="900" applyFont="1" applyFill="1" applyAlignment="1">
      <alignment horizontal="left" vertical="center"/>
    </xf>
    <xf numFmtId="0" fontId="56" fillId="34" borderId="34" xfId="696" applyFont="1" applyFill="1" applyBorder="1" applyAlignment="1">
      <alignment horizontal="center" vertical="center" wrapText="1"/>
    </xf>
    <xf numFmtId="0" fontId="56" fillId="34" borderId="33" xfId="696" applyFont="1" applyFill="1" applyBorder="1" applyAlignment="1">
      <alignment horizontal="center" vertical="center" wrapText="1"/>
    </xf>
    <xf numFmtId="0" fontId="55" fillId="33" borderId="34" xfId="696" applyFont="1" applyFill="1" applyBorder="1" applyAlignment="1">
      <alignment horizontal="center" vertical="center" wrapText="1"/>
    </xf>
    <xf numFmtId="0" fontId="38" fillId="52" borderId="71" xfId="900" applyFont="1" applyFill="1" applyBorder="1" applyAlignment="1">
      <alignment horizontal="center" vertical="center"/>
    </xf>
    <xf numFmtId="0" fontId="38" fillId="52" borderId="72" xfId="900" applyFont="1" applyFill="1" applyBorder="1" applyAlignment="1">
      <alignment horizontal="center" vertical="center"/>
    </xf>
    <xf numFmtId="0" fontId="38" fillId="52" borderId="73" xfId="900" applyFont="1" applyFill="1" applyBorder="1" applyAlignment="1">
      <alignment horizontal="center" vertical="center"/>
    </xf>
    <xf numFmtId="0" fontId="38" fillId="52" borderId="74" xfId="900" applyFont="1" applyFill="1" applyBorder="1" applyAlignment="1">
      <alignment horizontal="center" vertical="center"/>
    </xf>
    <xf numFmtId="0" fontId="38" fillId="52" borderId="75" xfId="900" applyFont="1" applyFill="1" applyBorder="1" applyAlignment="1">
      <alignment horizontal="center" vertical="center"/>
    </xf>
    <xf numFmtId="0" fontId="38" fillId="52" borderId="76" xfId="900" applyFont="1" applyFill="1" applyBorder="1" applyAlignment="1">
      <alignment horizontal="center" vertical="center"/>
    </xf>
    <xf numFmtId="0" fontId="38" fillId="52" borderId="80" xfId="900" applyFont="1" applyFill="1" applyBorder="1" applyAlignment="1">
      <alignment horizontal="center" vertical="center"/>
    </xf>
    <xf numFmtId="0" fontId="38" fillId="52" borderId="81" xfId="900" applyFont="1" applyFill="1" applyBorder="1" applyAlignment="1">
      <alignment horizontal="center" vertical="center"/>
    </xf>
    <xf numFmtId="0" fontId="38" fillId="52" borderId="82" xfId="900" applyFont="1" applyFill="1" applyBorder="1" applyAlignment="1">
      <alignment horizontal="center" vertical="center"/>
    </xf>
    <xf numFmtId="0" fontId="38" fillId="52" borderId="77" xfId="900" applyFont="1" applyFill="1" applyBorder="1" applyAlignment="1">
      <alignment horizontal="center" vertical="center"/>
    </xf>
    <xf numFmtId="0" fontId="38" fillId="52" borderId="78" xfId="900" applyFont="1" applyFill="1" applyBorder="1" applyAlignment="1">
      <alignment horizontal="center" vertical="center"/>
    </xf>
    <xf numFmtId="0" fontId="38" fillId="52" borderId="79" xfId="900" applyFont="1" applyFill="1" applyBorder="1" applyAlignment="1">
      <alignment horizontal="center" vertical="center"/>
    </xf>
    <xf numFmtId="0" fontId="59" fillId="52" borderId="54" xfId="900" applyFont="1" applyFill="1" applyBorder="1" applyAlignment="1">
      <alignment horizontal="center" vertical="center"/>
    </xf>
    <xf numFmtId="0" fontId="59" fillId="52" borderId="56" xfId="900" applyFont="1" applyFill="1" applyBorder="1" applyAlignment="1">
      <alignment horizontal="center" vertical="center"/>
    </xf>
    <xf numFmtId="0" fontId="59" fillId="52" borderId="59" xfId="900" applyFont="1" applyFill="1" applyBorder="1" applyAlignment="1">
      <alignment horizontal="center" vertical="center"/>
    </xf>
    <xf numFmtId="0" fontId="38" fillId="52" borderId="83" xfId="900" applyFont="1" applyFill="1" applyBorder="1" applyAlignment="1">
      <alignment horizontal="center" vertical="center"/>
    </xf>
    <xf numFmtId="0" fontId="38" fillId="52" borderId="84" xfId="900" applyFont="1" applyFill="1" applyBorder="1" applyAlignment="1">
      <alignment horizontal="center" vertical="center"/>
    </xf>
    <xf numFmtId="0" fontId="38" fillId="52" borderId="85" xfId="900" applyFont="1" applyFill="1" applyBorder="1" applyAlignment="1">
      <alignment horizontal="center" vertical="center"/>
    </xf>
    <xf numFmtId="0" fontId="38" fillId="52" borderId="89" xfId="900" applyFont="1" applyFill="1" applyBorder="1" applyAlignment="1">
      <alignment horizontal="center" vertical="center"/>
    </xf>
    <xf numFmtId="0" fontId="38" fillId="52" borderId="90" xfId="900" applyFont="1" applyFill="1" applyBorder="1" applyAlignment="1">
      <alignment horizontal="center" vertical="center"/>
    </xf>
    <xf numFmtId="0" fontId="38" fillId="52" borderId="91" xfId="900" applyFont="1" applyFill="1" applyBorder="1" applyAlignment="1">
      <alignment horizontal="center" vertical="center"/>
    </xf>
    <xf numFmtId="0" fontId="59" fillId="37" borderId="54" xfId="900" applyFont="1" applyFill="1" applyBorder="1" applyAlignment="1">
      <alignment horizontal="center" vertical="center"/>
    </xf>
    <xf numFmtId="0" fontId="38" fillId="37" borderId="71" xfId="900" applyFont="1" applyFill="1" applyBorder="1" applyAlignment="1">
      <alignment horizontal="center" vertical="center"/>
    </xf>
    <xf numFmtId="0" fontId="38" fillId="37" borderId="72" xfId="900" applyFont="1" applyFill="1" applyBorder="1" applyAlignment="1">
      <alignment horizontal="center" vertical="center"/>
    </xf>
    <xf numFmtId="0" fontId="38" fillId="37" borderId="73" xfId="900" applyFont="1" applyFill="1" applyBorder="1" applyAlignment="1">
      <alignment horizontal="center" vertical="center"/>
    </xf>
    <xf numFmtId="0" fontId="59" fillId="37" borderId="56" xfId="900" applyFont="1" applyFill="1" applyBorder="1" applyAlignment="1">
      <alignment horizontal="center" vertical="center"/>
    </xf>
    <xf numFmtId="0" fontId="38" fillId="37" borderId="74" xfId="900" applyFont="1" applyFill="1" applyBorder="1" applyAlignment="1">
      <alignment horizontal="center" vertical="center"/>
    </xf>
    <xf numFmtId="0" fontId="38" fillId="37" borderId="75" xfId="900" applyFont="1" applyFill="1" applyBorder="1" applyAlignment="1">
      <alignment horizontal="center" vertical="center"/>
    </xf>
    <xf numFmtId="0" fontId="38" fillId="37" borderId="76" xfId="900" applyFont="1" applyFill="1" applyBorder="1" applyAlignment="1">
      <alignment horizontal="center" vertical="center"/>
    </xf>
    <xf numFmtId="0" fontId="59" fillId="37" borderId="61" xfId="900" applyFont="1" applyFill="1" applyBorder="1" applyAlignment="1">
      <alignment horizontal="center" vertical="center"/>
    </xf>
    <xf numFmtId="0" fontId="38" fillId="37" borderId="80" xfId="900" applyFont="1" applyFill="1" applyBorder="1" applyAlignment="1">
      <alignment horizontal="center" vertical="center"/>
    </xf>
    <xf numFmtId="0" fontId="38" fillId="37" borderId="81" xfId="900" applyFont="1" applyFill="1" applyBorder="1" applyAlignment="1">
      <alignment horizontal="center" vertical="center"/>
    </xf>
    <xf numFmtId="0" fontId="38" fillId="37" borderId="82" xfId="900" applyFont="1" applyFill="1" applyBorder="1" applyAlignment="1">
      <alignment horizontal="center" vertical="center"/>
    </xf>
    <xf numFmtId="0" fontId="59" fillId="37" borderId="59" xfId="900" applyFont="1" applyFill="1" applyBorder="1" applyAlignment="1">
      <alignment horizontal="center" vertical="center"/>
    </xf>
    <xf numFmtId="0" fontId="38" fillId="37" borderId="77" xfId="900" applyFont="1" applyFill="1" applyBorder="1" applyAlignment="1">
      <alignment horizontal="center" vertical="center"/>
    </xf>
    <xf numFmtId="0" fontId="38" fillId="37" borderId="78" xfId="900" applyFont="1" applyFill="1" applyBorder="1" applyAlignment="1">
      <alignment horizontal="center" vertical="center"/>
    </xf>
    <xf numFmtId="0" fontId="38" fillId="37" borderId="79" xfId="900" applyFont="1" applyFill="1" applyBorder="1" applyAlignment="1">
      <alignment horizontal="center" vertical="center"/>
    </xf>
    <xf numFmtId="0" fontId="38" fillId="40" borderId="86" xfId="900" applyFont="1" applyFill="1" applyBorder="1" applyAlignment="1">
      <alignment horizontal="center" vertical="center"/>
    </xf>
    <xf numFmtId="0" fontId="38" fillId="40" borderId="87" xfId="900" applyFont="1" applyFill="1" applyBorder="1" applyAlignment="1">
      <alignment horizontal="center" vertical="center"/>
    </xf>
    <xf numFmtId="0" fontId="38" fillId="40" borderId="88" xfId="900" applyFont="1" applyFill="1" applyBorder="1" applyAlignment="1">
      <alignment horizontal="center" vertical="center"/>
    </xf>
    <xf numFmtId="0" fontId="38" fillId="40" borderId="89" xfId="900" applyFont="1" applyFill="1" applyBorder="1" applyAlignment="1">
      <alignment horizontal="center" vertical="center"/>
    </xf>
    <xf numFmtId="0" fontId="38" fillId="40" borderId="90" xfId="900" applyFont="1" applyFill="1" applyBorder="1" applyAlignment="1">
      <alignment horizontal="center" vertical="center"/>
    </xf>
    <xf numFmtId="0" fontId="38" fillId="40" borderId="91" xfId="900" applyFont="1" applyFill="1" applyBorder="1" applyAlignment="1">
      <alignment horizontal="center" vertical="center"/>
    </xf>
    <xf numFmtId="0" fontId="59" fillId="49" borderId="54" xfId="900" applyFont="1" applyFill="1" applyBorder="1" applyAlignment="1">
      <alignment horizontal="center" vertical="center"/>
    </xf>
    <xf numFmtId="0" fontId="38" fillId="49" borderId="71" xfId="900" applyFont="1" applyFill="1" applyBorder="1" applyAlignment="1">
      <alignment horizontal="center" vertical="center"/>
    </xf>
    <xf numFmtId="0" fontId="38" fillId="49" borderId="72" xfId="900" applyFont="1" applyFill="1" applyBorder="1" applyAlignment="1">
      <alignment horizontal="center" vertical="center"/>
    </xf>
    <xf numFmtId="0" fontId="38" fillId="49" borderId="73" xfId="900" applyFont="1" applyFill="1" applyBorder="1" applyAlignment="1">
      <alignment horizontal="center" vertical="center"/>
    </xf>
    <xf numFmtId="0" fontId="59" fillId="40" borderId="56" xfId="900" applyFont="1" applyFill="1" applyBorder="1" applyAlignment="1">
      <alignment horizontal="center" vertical="center"/>
    </xf>
    <xf numFmtId="0" fontId="38" fillId="40" borderId="74" xfId="900" applyFont="1" applyFill="1" applyBorder="1" applyAlignment="1">
      <alignment horizontal="center" vertical="center"/>
    </xf>
    <xf numFmtId="0" fontId="38" fillId="40" borderId="75" xfId="900" applyFont="1" applyFill="1" applyBorder="1" applyAlignment="1">
      <alignment horizontal="center" vertical="center"/>
    </xf>
    <xf numFmtId="0" fontId="38" fillId="40" borderId="76" xfId="900" applyFont="1" applyFill="1" applyBorder="1" applyAlignment="1">
      <alignment horizontal="center" vertical="center"/>
    </xf>
    <xf numFmtId="0" fontId="59" fillId="49" borderId="56" xfId="900" applyFont="1" applyFill="1" applyBorder="1" applyAlignment="1">
      <alignment horizontal="center" vertical="center"/>
    </xf>
    <xf numFmtId="0" fontId="38" fillId="49" borderId="74" xfId="900" applyFont="1" applyFill="1" applyBorder="1" applyAlignment="1">
      <alignment horizontal="center" vertical="center"/>
    </xf>
    <xf numFmtId="0" fontId="38" fillId="49" borderId="75" xfId="900" applyFont="1" applyFill="1" applyBorder="1" applyAlignment="1">
      <alignment horizontal="center" vertical="center"/>
    </xf>
    <xf numFmtId="0" fontId="38" fillId="49" borderId="76" xfId="900" applyFont="1" applyFill="1" applyBorder="1" applyAlignment="1">
      <alignment horizontal="center" vertical="center"/>
    </xf>
    <xf numFmtId="0" fontId="59" fillId="48" borderId="56" xfId="900" applyFont="1" applyFill="1" applyBorder="1" applyAlignment="1">
      <alignment horizontal="center" vertical="center"/>
    </xf>
    <xf numFmtId="0" fontId="38" fillId="48" borderId="74" xfId="900" applyFont="1" applyFill="1" applyBorder="1" applyAlignment="1">
      <alignment horizontal="center" vertical="center"/>
    </xf>
    <xf numFmtId="0" fontId="38" fillId="48" borderId="75" xfId="900" applyFont="1" applyFill="1" applyBorder="1" applyAlignment="1">
      <alignment horizontal="center" vertical="center"/>
    </xf>
    <xf numFmtId="0" fontId="38" fillId="48" borderId="76" xfId="900" applyFont="1" applyFill="1" applyBorder="1" applyAlignment="1">
      <alignment horizontal="center" vertical="center"/>
    </xf>
    <xf numFmtId="0" fontId="59" fillId="0" borderId="56" xfId="900" applyFont="1" applyBorder="1" applyAlignment="1">
      <alignment horizontal="center" vertical="center"/>
    </xf>
    <xf numFmtId="0" fontId="59" fillId="47" borderId="56" xfId="900" applyFont="1" applyFill="1" applyBorder="1" applyAlignment="1">
      <alignment horizontal="center" vertical="center"/>
    </xf>
    <xf numFmtId="0" fontId="38" fillId="47" borderId="74" xfId="900" applyFont="1" applyFill="1" applyBorder="1" applyAlignment="1">
      <alignment horizontal="center" vertical="center"/>
    </xf>
    <xf numFmtId="0" fontId="38" fillId="47" borderId="75" xfId="900" applyFont="1" applyFill="1" applyBorder="1" applyAlignment="1">
      <alignment horizontal="center" vertical="center"/>
    </xf>
    <xf numFmtId="0" fontId="38" fillId="47" borderId="76" xfId="900" applyFont="1" applyFill="1" applyBorder="1" applyAlignment="1">
      <alignment horizontal="center" vertical="center"/>
    </xf>
    <xf numFmtId="0" fontId="59" fillId="0" borderId="59" xfId="900" applyFont="1" applyBorder="1" applyAlignment="1">
      <alignment horizontal="center" vertical="center"/>
    </xf>
    <xf numFmtId="0" fontId="59" fillId="0" borderId="54" xfId="900" applyFont="1" applyBorder="1" applyAlignment="1">
      <alignment horizontal="center" vertical="center"/>
    </xf>
    <xf numFmtId="0" fontId="38" fillId="0" borderId="71" xfId="900" applyFont="1" applyBorder="1" applyAlignment="1">
      <alignment horizontal="center" vertical="center"/>
    </xf>
    <xf numFmtId="0" fontId="38" fillId="0" borderId="72" xfId="900" applyFont="1" applyBorder="1" applyAlignment="1">
      <alignment horizontal="center" vertical="center"/>
    </xf>
    <xf numFmtId="0" fontId="38" fillId="0" borderId="73" xfId="900" applyFont="1" applyBorder="1" applyAlignment="1">
      <alignment horizontal="center" vertical="center"/>
    </xf>
    <xf numFmtId="0" fontId="38" fillId="0" borderId="77" xfId="900" applyFont="1" applyBorder="1" applyAlignment="1">
      <alignment horizontal="center" vertical="center"/>
    </xf>
    <xf numFmtId="0" fontId="38" fillId="0" borderId="78" xfId="900" applyFont="1" applyBorder="1" applyAlignment="1">
      <alignment horizontal="center" vertical="center"/>
    </xf>
    <xf numFmtId="0" fontId="38" fillId="0" borderId="79" xfId="900" applyFont="1" applyBorder="1" applyAlignment="1">
      <alignment horizontal="center" vertical="center"/>
    </xf>
    <xf numFmtId="0" fontId="59" fillId="0" borderId="60" xfId="900" applyFont="1" applyBorder="1" applyAlignment="1">
      <alignment horizontal="center" vertical="center"/>
    </xf>
    <xf numFmtId="0" fontId="38" fillId="0" borderId="83" xfId="900" applyFont="1" applyBorder="1" applyAlignment="1">
      <alignment horizontal="center" vertical="center"/>
    </xf>
    <xf numFmtId="0" fontId="38" fillId="0" borderId="84" xfId="900" applyFont="1" applyBorder="1" applyAlignment="1">
      <alignment horizontal="center" vertical="center"/>
    </xf>
    <xf numFmtId="0" fontId="38" fillId="0" borderId="85" xfId="900" applyFont="1" applyBorder="1" applyAlignment="1">
      <alignment horizontal="center" vertical="center"/>
    </xf>
    <xf numFmtId="0" fontId="38" fillId="0" borderId="74" xfId="900" applyFont="1" applyBorder="1" applyAlignment="1">
      <alignment horizontal="center" vertical="center"/>
    </xf>
    <xf numFmtId="0" fontId="38" fillId="0" borderId="75" xfId="900" applyFont="1" applyBorder="1" applyAlignment="1">
      <alignment horizontal="center" vertical="center"/>
    </xf>
    <xf numFmtId="0" fontId="38" fillId="0" borderId="76" xfId="900" applyFont="1" applyBorder="1" applyAlignment="1">
      <alignment horizontal="center" vertical="center"/>
    </xf>
    <xf numFmtId="0" fontId="59" fillId="0" borderId="57" xfId="900" applyFont="1" applyBorder="1" applyAlignment="1">
      <alignment horizontal="center" vertical="center"/>
    </xf>
    <xf numFmtId="0" fontId="59" fillId="37" borderId="60" xfId="900" applyFont="1" applyFill="1" applyBorder="1" applyAlignment="1">
      <alignment horizontal="center" vertical="center"/>
    </xf>
    <xf numFmtId="0" fontId="38" fillId="37" borderId="83" xfId="900" applyFont="1" applyFill="1" applyBorder="1" applyAlignment="1">
      <alignment horizontal="center" vertical="center"/>
    </xf>
    <xf numFmtId="0" fontId="38" fillId="37" borderId="84" xfId="900" applyFont="1" applyFill="1" applyBorder="1" applyAlignment="1">
      <alignment horizontal="center" vertical="center"/>
    </xf>
    <xf numFmtId="0" fontId="38" fillId="37" borderId="85" xfId="900" applyFont="1" applyFill="1" applyBorder="1" applyAlignment="1">
      <alignment horizontal="center" vertical="center"/>
    </xf>
    <xf numFmtId="0" fontId="38" fillId="37" borderId="54" xfId="696" applyFont="1" applyFill="1" applyBorder="1" applyAlignment="1">
      <alignment horizontal="center" vertical="center" wrapText="1"/>
    </xf>
    <xf numFmtId="0" fontId="38" fillId="37" borderId="56" xfId="696" applyFont="1" applyFill="1" applyBorder="1" applyAlignment="1">
      <alignment horizontal="center" vertical="center" wrapText="1"/>
    </xf>
    <xf numFmtId="0" fontId="38" fillId="37" borderId="61" xfId="696" applyFont="1" applyFill="1" applyBorder="1" applyAlignment="1">
      <alignment horizontal="center" vertical="center" wrapText="1"/>
    </xf>
    <xf numFmtId="0" fontId="38" fillId="49" borderId="54" xfId="696" applyFont="1" applyFill="1" applyBorder="1" applyAlignment="1">
      <alignment horizontal="center" vertical="center" wrapText="1"/>
    </xf>
    <xf numFmtId="0" fontId="38" fillId="40" borderId="56" xfId="696" applyFont="1" applyFill="1" applyBorder="1" applyAlignment="1">
      <alignment horizontal="center" vertical="center" wrapText="1"/>
    </xf>
    <xf numFmtId="0" fontId="38" fillId="49" borderId="56" xfId="696" applyFont="1" applyFill="1" applyBorder="1" applyAlignment="1">
      <alignment horizontal="center" vertical="center" wrapText="1"/>
    </xf>
    <xf numFmtId="0" fontId="38" fillId="48" borderId="56" xfId="696" applyFont="1" applyFill="1" applyBorder="1" applyAlignment="1">
      <alignment horizontal="center" vertical="center" wrapText="1"/>
    </xf>
    <xf numFmtId="0" fontId="38" fillId="0" borderId="56" xfId="696" applyFont="1" applyBorder="1" applyAlignment="1">
      <alignment horizontal="center" vertical="center" wrapText="1"/>
    </xf>
    <xf numFmtId="0" fontId="38" fillId="47" borderId="56" xfId="696" applyFont="1" applyFill="1" applyBorder="1" applyAlignment="1">
      <alignment horizontal="center" vertical="center" wrapText="1"/>
    </xf>
    <xf numFmtId="0" fontId="38" fillId="0" borderId="59" xfId="696" applyFont="1" applyBorder="1" applyAlignment="1">
      <alignment horizontal="center" vertical="center" wrapText="1"/>
    </xf>
    <xf numFmtId="0" fontId="38" fillId="0" borderId="54" xfId="696" applyFont="1" applyBorder="1" applyAlignment="1">
      <alignment horizontal="center" vertical="center" wrapText="1"/>
    </xf>
    <xf numFmtId="0" fontId="38" fillId="0" borderId="60" xfId="696" applyFont="1" applyBorder="1" applyAlignment="1">
      <alignment horizontal="center" vertical="center" wrapText="1"/>
    </xf>
    <xf numFmtId="0" fontId="60" fillId="36" borderId="18" xfId="696" quotePrefix="1" applyFont="1" applyFill="1" applyBorder="1" applyAlignment="1">
      <alignment horizontal="center" vertical="center" wrapText="1"/>
    </xf>
    <xf numFmtId="0" fontId="60" fillId="36" borderId="19" xfId="696" quotePrefix="1" applyFont="1" applyFill="1" applyBorder="1" applyAlignment="1">
      <alignment horizontal="center" vertical="center" wrapText="1"/>
    </xf>
    <xf numFmtId="0" fontId="60" fillId="36" borderId="66" xfId="696" quotePrefix="1" applyFont="1" applyFill="1" applyBorder="1" applyAlignment="1">
      <alignment horizontal="center" vertical="center" wrapText="1"/>
    </xf>
    <xf numFmtId="0" fontId="55" fillId="33" borderId="65" xfId="696" applyFont="1" applyFill="1" applyBorder="1" applyAlignment="1">
      <alignment horizontal="center" vertical="center" wrapText="1"/>
    </xf>
    <xf numFmtId="0" fontId="61" fillId="37" borderId="66" xfId="696" applyFont="1" applyFill="1" applyBorder="1" applyAlignment="1">
      <alignment horizontal="center" vertical="center" wrapText="1"/>
    </xf>
    <xf numFmtId="2" fontId="59" fillId="0" borderId="54" xfId="900" applyNumberFormat="1" applyFont="1" applyBorder="1" applyAlignment="1">
      <alignment horizontal="center" vertical="center"/>
    </xf>
    <xf numFmtId="165" fontId="38" fillId="0" borderId="71" xfId="900" applyNumberFormat="1" applyFont="1" applyBorder="1" applyAlignment="1">
      <alignment horizontal="center" vertical="center"/>
    </xf>
    <xf numFmtId="165" fontId="38" fillId="0" borderId="72" xfId="900" applyNumberFormat="1" applyFont="1" applyBorder="1" applyAlignment="1">
      <alignment horizontal="center" vertical="center"/>
    </xf>
    <xf numFmtId="165" fontId="38" fillId="0" borderId="73" xfId="900" applyNumberFormat="1" applyFont="1" applyBorder="1" applyAlignment="1">
      <alignment horizontal="center" vertical="center"/>
    </xf>
    <xf numFmtId="0" fontId="38" fillId="0" borderId="61" xfId="696" applyFont="1" applyBorder="1" applyAlignment="1">
      <alignment horizontal="left" vertical="center" wrapText="1" indent="1"/>
    </xf>
    <xf numFmtId="0" fontId="38" fillId="0" borderId="61" xfId="696" applyFont="1" applyBorder="1" applyAlignment="1">
      <alignment horizontal="center" vertical="center" wrapText="1"/>
    </xf>
    <xf numFmtId="0" fontId="59" fillId="0" borderId="61" xfId="900" applyFont="1" applyBorder="1" applyAlignment="1">
      <alignment horizontal="center" vertical="center"/>
    </xf>
    <xf numFmtId="0" fontId="38" fillId="0" borderId="80" xfId="900" applyFont="1" applyBorder="1" applyAlignment="1">
      <alignment horizontal="center" vertical="center"/>
    </xf>
    <xf numFmtId="0" fontId="38" fillId="0" borderId="81" xfId="900" applyFont="1" applyBorder="1" applyAlignment="1">
      <alignment horizontal="center" vertical="center"/>
    </xf>
    <xf numFmtId="0" fontId="38" fillId="0" borderId="82" xfId="900" applyFont="1" applyBorder="1" applyAlignment="1">
      <alignment horizontal="center" vertical="center"/>
    </xf>
    <xf numFmtId="0" fontId="38" fillId="0" borderId="60" xfId="900" applyFont="1" applyBorder="1" applyAlignment="1">
      <alignment horizontal="left" vertical="center" indent="1"/>
    </xf>
    <xf numFmtId="0" fontId="56" fillId="34" borderId="32" xfId="696" applyFont="1" applyFill="1" applyBorder="1" applyAlignment="1">
      <alignment horizontal="center" vertical="center" wrapText="1"/>
    </xf>
    <xf numFmtId="0" fontId="59" fillId="52" borderId="61" xfId="900" applyFont="1" applyFill="1" applyBorder="1" applyAlignment="1">
      <alignment horizontal="center" vertical="center"/>
    </xf>
    <xf numFmtId="0" fontId="59" fillId="52" borderId="60" xfId="900" applyFont="1" applyFill="1" applyBorder="1" applyAlignment="1">
      <alignment horizontal="center" vertical="center"/>
    </xf>
    <xf numFmtId="0" fontId="59" fillId="52" borderId="66" xfId="900" applyFont="1" applyFill="1" applyBorder="1" applyAlignment="1">
      <alignment horizontal="center" vertical="center"/>
    </xf>
    <xf numFmtId="0" fontId="59" fillId="40" borderId="19" xfId="900" applyFont="1" applyFill="1" applyBorder="1" applyAlignment="1">
      <alignment horizontal="center" vertical="center"/>
    </xf>
    <xf numFmtId="0" fontId="59" fillId="40" borderId="66" xfId="900" applyFont="1" applyFill="1" applyBorder="1" applyAlignment="1">
      <alignment horizontal="center" vertical="center"/>
    </xf>
    <xf numFmtId="0" fontId="38" fillId="37" borderId="56" xfId="696" quotePrefix="1" applyFont="1" applyFill="1" applyBorder="1" applyAlignment="1">
      <alignment horizontal="left" vertical="center" wrapText="1" indent="1"/>
    </xf>
    <xf numFmtId="0" fontId="38" fillId="37" borderId="56" xfId="696" quotePrefix="1" applyFont="1" applyFill="1" applyBorder="1" applyAlignment="1">
      <alignment horizontal="left" vertical="center" wrapText="1"/>
    </xf>
    <xf numFmtId="0" fontId="59" fillId="0" borderId="56" xfId="696" quotePrefix="1" applyFont="1" applyBorder="1" applyAlignment="1">
      <alignment horizontal="left" vertical="center" wrapText="1" indent="1"/>
    </xf>
    <xf numFmtId="0" fontId="38" fillId="0" borderId="56" xfId="696" quotePrefix="1" applyFont="1" applyBorder="1" applyAlignment="1">
      <alignment horizontal="left" vertical="center" wrapText="1" indent="1"/>
    </xf>
    <xf numFmtId="0" fontId="38" fillId="60" borderId="54" xfId="696" applyFont="1" applyFill="1" applyBorder="1" applyAlignment="1">
      <alignment horizontal="left" vertical="center" wrapText="1" indent="1"/>
    </xf>
    <xf numFmtId="0" fontId="38" fillId="60" borderId="59" xfId="696" applyFont="1" applyFill="1" applyBorder="1" applyAlignment="1">
      <alignment horizontal="left" vertical="center" wrapText="1" indent="1"/>
    </xf>
    <xf numFmtId="0" fontId="1" fillId="77" borderId="17" xfId="0" applyFont="1" applyFill="1" applyBorder="1" applyAlignment="1">
      <alignment horizontal="center" vertical="center"/>
    </xf>
    <xf numFmtId="0" fontId="45" fillId="32" borderId="17" xfId="0" applyFont="1" applyFill="1" applyBorder="1" applyAlignment="1">
      <alignment horizontal="center" vertical="center"/>
    </xf>
    <xf numFmtId="0" fontId="1" fillId="0" borderId="17" xfId="0" applyFont="1" applyBorder="1" applyAlignment="1">
      <alignment horizontal="center"/>
    </xf>
    <xf numFmtId="0" fontId="45" fillId="0" borderId="17" xfId="0" applyFont="1" applyBorder="1" applyAlignment="1">
      <alignment horizontal="center"/>
    </xf>
    <xf numFmtId="14" fontId="1" fillId="47" borderId="17" xfId="0" applyNumberFormat="1" applyFont="1" applyFill="1" applyBorder="1" applyAlignment="1">
      <alignment horizontal="center" vertical="center"/>
    </xf>
    <xf numFmtId="14" fontId="1" fillId="41" borderId="17" xfId="0" applyNumberFormat="1" applyFont="1" applyFill="1" applyBorder="1" applyAlignment="1">
      <alignment horizontal="center" vertical="center"/>
    </xf>
    <xf numFmtId="2" fontId="1" fillId="41" borderId="17" xfId="0" applyNumberFormat="1" applyFont="1" applyFill="1" applyBorder="1" applyAlignment="1">
      <alignment horizontal="center" vertical="center"/>
    </xf>
    <xf numFmtId="14" fontId="1" fillId="41" borderId="66" xfId="0" applyNumberFormat="1" applyFont="1" applyFill="1" applyBorder="1" applyAlignment="1">
      <alignment horizontal="center" vertical="center"/>
    </xf>
    <xf numFmtId="0" fontId="1" fillId="0" borderId="0" xfId="0" applyFont="1" applyAlignment="1">
      <alignment horizontal="left" vertical="center"/>
    </xf>
    <xf numFmtId="0" fontId="57" fillId="37" borderId="19" xfId="696" quotePrefix="1" applyFont="1" applyFill="1" applyBorder="1" applyAlignment="1">
      <alignment vertical="center" textRotation="90" wrapText="1"/>
    </xf>
    <xf numFmtId="0" fontId="57" fillId="37" borderId="66" xfId="696" quotePrefix="1" applyFont="1" applyFill="1" applyBorder="1" applyAlignment="1">
      <alignment vertical="center" textRotation="90" wrapText="1"/>
    </xf>
    <xf numFmtId="0" fontId="55" fillId="77" borderId="19" xfId="696" applyFont="1" applyFill="1" applyBorder="1" applyAlignment="1">
      <alignment horizontal="center" vertical="center" wrapText="1"/>
    </xf>
    <xf numFmtId="0" fontId="38" fillId="77" borderId="56" xfId="696" applyFont="1" applyFill="1" applyBorder="1" applyAlignment="1">
      <alignment horizontal="left" vertical="center" wrapText="1" indent="1"/>
    </xf>
    <xf numFmtId="0" fontId="38" fillId="77" borderId="56" xfId="696" applyFont="1" applyFill="1" applyBorder="1" applyAlignment="1">
      <alignment horizontal="center" vertical="center" wrapText="1"/>
    </xf>
    <xf numFmtId="0" fontId="59" fillId="77" borderId="56" xfId="900" applyFont="1" applyFill="1" applyBorder="1" applyAlignment="1">
      <alignment horizontal="center" vertical="center"/>
    </xf>
    <xf numFmtId="0" fontId="38" fillId="77" borderId="74" xfId="900" applyFont="1" applyFill="1" applyBorder="1" applyAlignment="1">
      <alignment horizontal="center" vertical="center"/>
    </xf>
    <xf numFmtId="0" fontId="38" fillId="77" borderId="75" xfId="900" applyFont="1" applyFill="1" applyBorder="1" applyAlignment="1">
      <alignment horizontal="center" vertical="center"/>
    </xf>
    <xf numFmtId="0" fontId="38" fillId="77" borderId="76" xfId="900" applyFont="1" applyFill="1" applyBorder="1" applyAlignment="1">
      <alignment horizontal="center" vertical="center"/>
    </xf>
    <xf numFmtId="0" fontId="38" fillId="77" borderId="54" xfId="696" applyFont="1" applyFill="1" applyBorder="1" applyAlignment="1">
      <alignment horizontal="left" vertical="center" wrapText="1" indent="1"/>
    </xf>
    <xf numFmtId="0" fontId="38" fillId="77" borderId="54" xfId="696" applyFont="1" applyFill="1" applyBorder="1" applyAlignment="1">
      <alignment horizontal="center" vertical="center" wrapText="1"/>
    </xf>
    <xf numFmtId="0" fontId="59" fillId="77" borderId="54" xfId="900" applyFont="1" applyFill="1" applyBorder="1" applyAlignment="1">
      <alignment horizontal="center" vertical="center"/>
    </xf>
    <xf numFmtId="0" fontId="38" fillId="77" borderId="71" xfId="900" applyFont="1" applyFill="1" applyBorder="1" applyAlignment="1">
      <alignment horizontal="center" vertical="center"/>
    </xf>
    <xf numFmtId="0" fontId="38" fillId="77" borderId="72" xfId="900" applyFont="1" applyFill="1" applyBorder="1" applyAlignment="1">
      <alignment horizontal="center" vertical="center"/>
    </xf>
    <xf numFmtId="0" fontId="38" fillId="77" borderId="73" xfId="900" applyFont="1" applyFill="1" applyBorder="1" applyAlignment="1">
      <alignment horizontal="center" vertical="center"/>
    </xf>
    <xf numFmtId="0" fontId="1" fillId="0" borderId="20" xfId="0" applyFont="1" applyBorder="1" applyAlignment="1">
      <alignment horizontal="center" vertical="center" wrapText="1"/>
    </xf>
    <xf numFmtId="0" fontId="1" fillId="0" borderId="0" xfId="0" applyFont="1" applyAlignment="1">
      <alignment horizontal="center" vertical="center" wrapText="1"/>
    </xf>
    <xf numFmtId="0" fontId="2" fillId="76" borderId="18" xfId="0" applyFont="1" applyFill="1" applyBorder="1" applyAlignment="1">
      <alignment horizontal="center" vertical="center" wrapText="1"/>
    </xf>
    <xf numFmtId="0" fontId="2" fillId="76" borderId="18" xfId="0" applyFont="1" applyFill="1" applyBorder="1" applyAlignment="1">
      <alignment horizontal="center" vertical="center"/>
    </xf>
    <xf numFmtId="0" fontId="0" fillId="70" borderId="41" xfId="0" applyFill="1" applyBorder="1" applyAlignment="1">
      <alignment horizontal="center" vertical="center"/>
    </xf>
    <xf numFmtId="2" fontId="1" fillId="0" borderId="41" xfId="0" applyNumberFormat="1" applyFont="1" applyBorder="1" applyAlignment="1">
      <alignment horizontal="center" vertical="center"/>
    </xf>
    <xf numFmtId="1" fontId="1" fillId="0" borderId="41" xfId="0" applyNumberFormat="1" applyFont="1" applyBorder="1" applyAlignment="1">
      <alignment horizontal="center" vertical="center"/>
    </xf>
    <xf numFmtId="1" fontId="1" fillId="0" borderId="42" xfId="0" applyNumberFormat="1" applyFont="1" applyBorder="1" applyAlignment="1">
      <alignment horizontal="center" vertical="center"/>
    </xf>
    <xf numFmtId="1" fontId="1" fillId="0" borderId="40" xfId="0" applyNumberFormat="1" applyFont="1" applyBorder="1" applyAlignment="1">
      <alignment horizontal="center" vertical="center"/>
    </xf>
    <xf numFmtId="0" fontId="1" fillId="70" borderId="25" xfId="0" applyFont="1" applyFill="1" applyBorder="1" applyAlignment="1">
      <alignment horizontal="center" vertical="center"/>
    </xf>
    <xf numFmtId="2" fontId="1" fillId="0" borderId="25" xfId="0" applyNumberFormat="1" applyFont="1" applyBorder="1" applyAlignment="1">
      <alignment horizontal="center" vertical="center"/>
    </xf>
    <xf numFmtId="1" fontId="1" fillId="0" borderId="25" xfId="0" applyNumberFormat="1" applyFont="1" applyBorder="1" applyAlignment="1">
      <alignment horizontal="center" vertical="center"/>
    </xf>
    <xf numFmtId="1" fontId="1" fillId="0" borderId="43" xfId="0" applyNumberFormat="1" applyFont="1" applyBorder="1" applyAlignment="1">
      <alignment horizontal="center" vertical="center"/>
    </xf>
    <xf numFmtId="2" fontId="1" fillId="41" borderId="41" xfId="0" applyNumberFormat="1" applyFont="1" applyFill="1" applyBorder="1" applyAlignment="1">
      <alignment horizontal="center" vertical="center"/>
    </xf>
    <xf numFmtId="2" fontId="1" fillId="41" borderId="25" xfId="0" applyNumberFormat="1" applyFont="1" applyFill="1" applyBorder="1" applyAlignment="1">
      <alignment horizontal="center" vertical="center"/>
    </xf>
    <xf numFmtId="0" fontId="1" fillId="0" borderId="0" xfId="0" quotePrefix="1" applyFont="1" applyAlignment="1">
      <alignment vertical="center"/>
    </xf>
    <xf numFmtId="0" fontId="1" fillId="0" borderId="25" xfId="0" applyFont="1" applyBorder="1" applyAlignment="1">
      <alignment horizontal="center" vertical="center" wrapText="1"/>
    </xf>
    <xf numFmtId="0" fontId="1" fillId="0" borderId="104" xfId="0" applyFont="1" applyBorder="1" applyAlignment="1">
      <alignment horizontal="center" vertical="center" wrapText="1"/>
    </xf>
    <xf numFmtId="0" fontId="1" fillId="0" borderId="39"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104" xfId="0" applyFont="1" applyBorder="1" applyAlignment="1">
      <alignment vertical="center" wrapText="1"/>
    </xf>
    <xf numFmtId="0" fontId="2" fillId="76" borderId="17" xfId="0" applyFont="1" applyFill="1" applyBorder="1" applyAlignment="1">
      <alignment horizontal="center" vertical="center" wrapText="1"/>
    </xf>
    <xf numFmtId="0" fontId="30" fillId="49" borderId="0" xfId="910" applyFont="1" applyFill="1"/>
    <xf numFmtId="0" fontId="30" fillId="49" borderId="0" xfId="910" applyFont="1" applyFill="1" applyAlignment="1">
      <alignment horizontal="center" vertical="center"/>
    </xf>
    <xf numFmtId="0" fontId="1" fillId="49" borderId="0" xfId="910" applyFill="1" applyAlignment="1">
      <alignment horizontal="center" vertical="center"/>
    </xf>
    <xf numFmtId="0" fontId="1" fillId="49" borderId="0" xfId="910" applyFill="1"/>
    <xf numFmtId="0" fontId="30" fillId="49" borderId="24" xfId="910" applyFont="1" applyFill="1" applyBorder="1" applyAlignment="1">
      <alignment horizontal="center" vertical="center"/>
    </xf>
    <xf numFmtId="0" fontId="30" fillId="49" borderId="17" xfId="910" applyFont="1" applyFill="1" applyBorder="1" applyAlignment="1">
      <alignment horizontal="center" vertical="center"/>
    </xf>
    <xf numFmtId="0" fontId="30" fillId="49" borderId="17" xfId="910" applyFont="1" applyFill="1" applyBorder="1" applyAlignment="1">
      <alignment vertical="center"/>
    </xf>
    <xf numFmtId="0" fontId="30" fillId="49" borderId="17" xfId="910" applyFont="1" applyFill="1" applyBorder="1" applyAlignment="1">
      <alignment horizontal="center"/>
    </xf>
    <xf numFmtId="0" fontId="4" fillId="49" borderId="0" xfId="910" applyFont="1" applyFill="1" applyAlignment="1">
      <alignment vertical="center"/>
    </xf>
    <xf numFmtId="0" fontId="41" fillId="49" borderId="0" xfId="910" applyFont="1" applyFill="1" applyAlignment="1">
      <alignment vertical="center"/>
    </xf>
    <xf numFmtId="0" fontId="31" fillId="49" borderId="0" xfId="910" applyFont="1" applyFill="1" applyAlignment="1">
      <alignment horizontal="center"/>
    </xf>
    <xf numFmtId="0" fontId="31" fillId="49" borderId="0" xfId="910" applyFont="1" applyFill="1"/>
    <xf numFmtId="0" fontId="30" fillId="49" borderId="0" xfId="0" applyFont="1" applyFill="1" applyAlignment="1">
      <alignment horizontal="center" vertical="center"/>
    </xf>
    <xf numFmtId="0" fontId="30" fillId="49" borderId="0" xfId="910" applyFont="1" applyFill="1" applyAlignment="1">
      <alignment horizontal="center"/>
    </xf>
    <xf numFmtId="0" fontId="30" fillId="49" borderId="64" xfId="910" applyFont="1" applyFill="1" applyBorder="1" applyAlignment="1">
      <alignment horizontal="center"/>
    </xf>
    <xf numFmtId="0" fontId="32" fillId="49" borderId="0" xfId="910" applyFont="1" applyFill="1" applyAlignment="1">
      <alignment horizontal="left"/>
    </xf>
    <xf numFmtId="0" fontId="32" fillId="49" borderId="0" xfId="910" applyFont="1" applyFill="1" applyAlignment="1">
      <alignment horizontal="center"/>
    </xf>
    <xf numFmtId="0" fontId="30" fillId="49" borderId="0" xfId="0" applyFont="1" applyFill="1"/>
    <xf numFmtId="0" fontId="33" fillId="49" borderId="0" xfId="0" applyFont="1" applyFill="1"/>
    <xf numFmtId="0" fontId="30" fillId="49" borderId="0" xfId="0" quotePrefix="1" applyFont="1" applyFill="1"/>
    <xf numFmtId="0" fontId="41" fillId="49" borderId="13" xfId="0" applyFont="1" applyFill="1" applyBorder="1" applyAlignment="1" applyProtection="1">
      <alignment horizontal="center"/>
      <protection locked="0"/>
    </xf>
    <xf numFmtId="0" fontId="33" fillId="49" borderId="0" xfId="0" applyFont="1" applyFill="1" applyAlignment="1">
      <alignment horizontal="center" vertical="center"/>
    </xf>
    <xf numFmtId="1" fontId="30" fillId="49" borderId="17" xfId="910" applyNumberFormat="1" applyFont="1" applyFill="1" applyBorder="1" applyAlignment="1">
      <alignment horizontal="center" vertical="center"/>
    </xf>
    <xf numFmtId="0" fontId="41" fillId="49" borderId="13" xfId="910" applyFont="1" applyFill="1" applyBorder="1" applyAlignment="1">
      <alignment horizontal="center"/>
    </xf>
    <xf numFmtId="0" fontId="1" fillId="0" borderId="102" xfId="0" applyFont="1" applyBorder="1" applyAlignment="1">
      <alignment vertical="center"/>
    </xf>
    <xf numFmtId="0" fontId="1" fillId="0" borderId="29" xfId="0" applyFont="1" applyBorder="1" applyAlignment="1">
      <alignment vertical="center"/>
    </xf>
    <xf numFmtId="0" fontId="1" fillId="0" borderId="25" xfId="0" applyFont="1" applyBorder="1" applyAlignment="1">
      <alignment horizontal="center" vertical="center"/>
    </xf>
    <xf numFmtId="0" fontId="1" fillId="0" borderId="17" xfId="0" applyFont="1" applyBorder="1" applyAlignment="1">
      <alignment horizontal="center" vertical="center" wrapText="1"/>
    </xf>
    <xf numFmtId="0" fontId="1" fillId="0" borderId="40" xfId="0" applyFont="1" applyBorder="1" applyAlignment="1">
      <alignment horizontal="center" vertical="center" wrapText="1"/>
    </xf>
    <xf numFmtId="0" fontId="1" fillId="47" borderId="17" xfId="0" applyFont="1" applyFill="1" applyBorder="1" applyAlignment="1">
      <alignment horizontal="center" vertical="center" wrapText="1"/>
    </xf>
    <xf numFmtId="0" fontId="1" fillId="64" borderId="17" xfId="0" applyFont="1" applyFill="1" applyBorder="1" applyAlignment="1">
      <alignment horizontal="center" vertical="center" wrapText="1"/>
    </xf>
    <xf numFmtId="0" fontId="1" fillId="0" borderId="43" xfId="0" applyFont="1" applyBorder="1" applyAlignment="1">
      <alignment horizontal="center" vertical="center" wrapText="1"/>
    </xf>
    <xf numFmtId="0" fontId="1" fillId="68" borderId="0" xfId="0" applyFont="1" applyFill="1" applyAlignment="1">
      <alignment horizontal="center" vertical="center"/>
    </xf>
    <xf numFmtId="0" fontId="1" fillId="0" borderId="31" xfId="0" applyFont="1" applyBorder="1" applyAlignment="1">
      <alignment vertical="center"/>
    </xf>
    <xf numFmtId="0" fontId="1" fillId="65" borderId="17" xfId="0" applyFont="1" applyFill="1" applyBorder="1" applyAlignment="1">
      <alignment horizontal="center" vertical="center" wrapText="1"/>
    </xf>
    <xf numFmtId="0" fontId="1" fillId="65" borderId="25" xfId="0" applyFont="1" applyFill="1" applyBorder="1" applyAlignment="1">
      <alignment horizontal="center" vertical="center" wrapText="1"/>
    </xf>
    <xf numFmtId="0" fontId="1" fillId="0" borderId="50" xfId="0" applyFont="1" applyBorder="1" applyAlignment="1">
      <alignment vertical="center"/>
    </xf>
    <xf numFmtId="0" fontId="1" fillId="0" borderId="46" xfId="0" applyFont="1" applyBorder="1" applyAlignment="1">
      <alignment horizontal="center" vertical="center"/>
    </xf>
    <xf numFmtId="0" fontId="1" fillId="0" borderId="28" xfId="0" applyFont="1" applyBorder="1" applyAlignment="1">
      <alignment vertical="center"/>
    </xf>
    <xf numFmtId="0" fontId="1" fillId="67" borderId="17" xfId="0" applyFont="1" applyFill="1" applyBorder="1" applyAlignment="1">
      <alignment horizontal="center" vertical="center"/>
    </xf>
    <xf numFmtId="0" fontId="1" fillId="63" borderId="17" xfId="0" applyFont="1" applyFill="1" applyBorder="1" applyAlignment="1">
      <alignment horizontal="center" vertical="center"/>
    </xf>
    <xf numFmtId="0" fontId="1" fillId="47" borderId="17" xfId="0" applyFont="1" applyFill="1" applyBorder="1" applyAlignment="1">
      <alignment horizontal="center" vertical="center"/>
    </xf>
    <xf numFmtId="0" fontId="1" fillId="66" borderId="17" xfId="0" applyFont="1" applyFill="1" applyBorder="1" applyAlignment="1">
      <alignment horizontal="center" vertical="center"/>
    </xf>
    <xf numFmtId="0" fontId="1" fillId="47" borderId="25" xfId="0" applyFont="1" applyFill="1" applyBorder="1" applyAlignment="1">
      <alignment horizontal="center" vertical="center"/>
    </xf>
    <xf numFmtId="0" fontId="1" fillId="66" borderId="25" xfId="0" applyFont="1" applyFill="1" applyBorder="1" applyAlignment="1">
      <alignment horizontal="center" vertical="center"/>
    </xf>
    <xf numFmtId="0" fontId="1" fillId="0" borderId="51" xfId="0" applyFont="1" applyBorder="1" applyAlignment="1">
      <alignment horizontal="center" vertical="center"/>
    </xf>
    <xf numFmtId="0" fontId="1" fillId="0" borderId="51" xfId="0" applyFont="1" applyBorder="1" applyAlignment="1">
      <alignment vertical="center"/>
    </xf>
    <xf numFmtId="0" fontId="1" fillId="0" borderId="39" xfId="0" applyFont="1" applyBorder="1" applyAlignment="1">
      <alignment vertical="center"/>
    </xf>
    <xf numFmtId="0" fontId="1" fillId="0" borderId="46" xfId="0" applyFont="1" applyBorder="1" applyAlignment="1">
      <alignment vertical="center"/>
    </xf>
    <xf numFmtId="0" fontId="1" fillId="43" borderId="17" xfId="0" applyFont="1" applyFill="1" applyBorder="1" applyAlignment="1">
      <alignment horizontal="center" vertical="center" wrapText="1"/>
    </xf>
    <xf numFmtId="0" fontId="1" fillId="34" borderId="17" xfId="0" applyFont="1" applyFill="1" applyBorder="1" applyAlignment="1">
      <alignment horizontal="center" vertical="center" wrapText="1"/>
    </xf>
    <xf numFmtId="0" fontId="1" fillId="45" borderId="17" xfId="0" applyFont="1" applyFill="1" applyBorder="1" applyAlignment="1">
      <alignment horizontal="center" vertical="center" wrapText="1"/>
    </xf>
    <xf numFmtId="0" fontId="1" fillId="34" borderId="18" xfId="0" applyFont="1" applyFill="1" applyBorder="1" applyAlignment="1">
      <alignment horizontal="center" vertical="center" wrapText="1"/>
    </xf>
    <xf numFmtId="0" fontId="1" fillId="73" borderId="17" xfId="0" applyFont="1" applyFill="1" applyBorder="1" applyAlignment="1">
      <alignment horizontal="center" vertical="center" wrapText="1"/>
    </xf>
    <xf numFmtId="0" fontId="1" fillId="74" borderId="17" xfId="0" applyFont="1" applyFill="1" applyBorder="1" applyAlignment="1">
      <alignment horizontal="center" vertical="center" wrapText="1"/>
    </xf>
    <xf numFmtId="0" fontId="1" fillId="70" borderId="25" xfId="0" applyFont="1" applyFill="1" applyBorder="1" applyAlignment="1">
      <alignment horizontal="center" vertical="center" wrapText="1"/>
    </xf>
    <xf numFmtId="0" fontId="1" fillId="75" borderId="17" xfId="0" applyFont="1" applyFill="1" applyBorder="1" applyAlignment="1">
      <alignment horizontal="center" vertical="center" wrapText="1"/>
    </xf>
    <xf numFmtId="0" fontId="1" fillId="75" borderId="25" xfId="0" applyFont="1" applyFill="1" applyBorder="1" applyAlignment="1">
      <alignment horizontal="center" vertical="center" wrapText="1"/>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49" borderId="0" xfId="0" applyFont="1" applyFill="1"/>
    <xf numFmtId="0" fontId="65" fillId="0" borderId="0" xfId="0" applyFont="1" applyAlignment="1">
      <alignment horizontal="center" vertical="center"/>
    </xf>
    <xf numFmtId="49" fontId="67" fillId="0" borderId="0" xfId="0" applyNumberFormat="1" applyFont="1" applyAlignment="1">
      <alignment horizontal="center" vertical="center"/>
    </xf>
    <xf numFmtId="0" fontId="65" fillId="62" borderId="41" xfId="0" applyFont="1" applyFill="1" applyBorder="1" applyAlignment="1">
      <alignment horizontal="center" vertical="center" wrapText="1"/>
    </xf>
    <xf numFmtId="0" fontId="65" fillId="62" borderId="42" xfId="0" applyFont="1" applyFill="1" applyBorder="1" applyAlignment="1">
      <alignment horizontal="center" vertical="center" wrapText="1"/>
    </xf>
    <xf numFmtId="0" fontId="65" fillId="62" borderId="17" xfId="0" applyFont="1" applyFill="1" applyBorder="1" applyAlignment="1">
      <alignment horizontal="center" vertical="center" wrapText="1"/>
    </xf>
    <xf numFmtId="0" fontId="65" fillId="62" borderId="40" xfId="0" applyFont="1" applyFill="1" applyBorder="1" applyAlignment="1">
      <alignment horizontal="center" vertical="center" wrapText="1"/>
    </xf>
    <xf numFmtId="0" fontId="65" fillId="0" borderId="17" xfId="0" applyFont="1" applyBorder="1" applyAlignment="1">
      <alignment horizontal="justify" vertical="center" wrapText="1"/>
    </xf>
    <xf numFmtId="0" fontId="64" fillId="0" borderId="18" xfId="0" applyFont="1" applyBorder="1" applyAlignment="1">
      <alignment horizontal="center" vertical="center"/>
    </xf>
    <xf numFmtId="0" fontId="64" fillId="0" borderId="17" xfId="0" applyFont="1" applyBorder="1" applyAlignment="1">
      <alignment horizontal="center" vertical="center"/>
    </xf>
    <xf numFmtId="0" fontId="64" fillId="0" borderId="40" xfId="0" applyFont="1" applyBorder="1" applyAlignment="1">
      <alignment horizontal="center" vertical="center"/>
    </xf>
    <xf numFmtId="0" fontId="65" fillId="0" borderId="25" xfId="0" applyFont="1" applyBorder="1" applyAlignment="1">
      <alignment horizontal="justify" vertical="center" wrapText="1"/>
    </xf>
    <xf numFmtId="0" fontId="64" fillId="0" borderId="25" xfId="0" applyFont="1" applyBorder="1" applyAlignment="1">
      <alignment horizontal="center" vertical="center"/>
    </xf>
    <xf numFmtId="0" fontId="64" fillId="0" borderId="43" xfId="0" applyFont="1" applyBorder="1" applyAlignment="1">
      <alignment horizontal="center" vertical="center"/>
    </xf>
    <xf numFmtId="0" fontId="68" fillId="0" borderId="0" xfId="0" applyFont="1"/>
    <xf numFmtId="0" fontId="68" fillId="0" borderId="0" xfId="0" quotePrefix="1" applyFont="1"/>
    <xf numFmtId="0" fontId="65" fillId="0" borderId="0" xfId="0" applyFont="1" applyAlignment="1">
      <alignment horizontal="justify" vertical="center" wrapText="1"/>
    </xf>
    <xf numFmtId="0" fontId="65" fillId="62" borderId="66" xfId="0" applyFont="1" applyFill="1" applyBorder="1" applyAlignment="1">
      <alignment horizontal="justify" vertical="center" wrapText="1"/>
    </xf>
    <xf numFmtId="0" fontId="65" fillId="62" borderId="17" xfId="0" applyFont="1" applyFill="1" applyBorder="1" applyAlignment="1">
      <alignment horizontal="justify" vertical="center" wrapText="1"/>
    </xf>
    <xf numFmtId="0" fontId="65" fillId="0" borderId="25" xfId="0" applyFont="1" applyBorder="1" applyAlignment="1">
      <alignment horizontal="center" vertical="center"/>
    </xf>
    <xf numFmtId="0" fontId="65" fillId="0" borderId="17" xfId="0" applyFont="1" applyBorder="1" applyAlignment="1">
      <alignment horizontal="center" vertical="center" wrapText="1"/>
    </xf>
    <xf numFmtId="0" fontId="65" fillId="0" borderId="25" xfId="0" applyFont="1" applyBorder="1" applyAlignment="1">
      <alignment horizontal="center" vertical="center" wrapText="1"/>
    </xf>
    <xf numFmtId="0" fontId="65" fillId="62" borderId="18" xfId="0" applyFont="1" applyFill="1" applyBorder="1" applyAlignment="1">
      <alignment horizontal="center" vertical="center" wrapText="1"/>
    </xf>
    <xf numFmtId="0" fontId="65" fillId="0" borderId="0" xfId="0" applyFont="1" applyAlignment="1">
      <alignment horizontal="center" vertical="center" wrapText="1"/>
    </xf>
    <xf numFmtId="0" fontId="65" fillId="0" borderId="17" xfId="0" applyFont="1" applyBorder="1" applyAlignment="1">
      <alignment horizontal="center" vertical="center"/>
    </xf>
    <xf numFmtId="0" fontId="71" fillId="62" borderId="64" xfId="0" applyFont="1" applyFill="1" applyBorder="1" applyAlignment="1">
      <alignment horizontal="center" vertical="center" wrapText="1"/>
    </xf>
    <xf numFmtId="0" fontId="71" fillId="62" borderId="17" xfId="0" applyFont="1" applyFill="1" applyBorder="1" applyAlignment="1">
      <alignment horizontal="center" vertical="center" wrapText="1"/>
    </xf>
    <xf numFmtId="0" fontId="71" fillId="0" borderId="17" xfId="0" applyFont="1" applyBorder="1" applyAlignment="1">
      <alignment horizontal="center" vertical="center" wrapText="1"/>
    </xf>
    <xf numFmtId="0" fontId="1" fillId="49" borderId="0" xfId="0" applyFont="1" applyFill="1" applyAlignment="1">
      <alignment horizontal="center" vertical="center" wrapText="1"/>
    </xf>
    <xf numFmtId="171" fontId="1" fillId="32" borderId="17" xfId="0" applyNumberFormat="1" applyFont="1" applyFill="1" applyBorder="1" applyAlignment="1">
      <alignment horizontal="center" vertical="center"/>
    </xf>
    <xf numFmtId="172" fontId="1" fillId="32" borderId="17" xfId="0" applyNumberFormat="1" applyFont="1" applyFill="1" applyBorder="1" applyAlignment="1">
      <alignment horizontal="center" vertical="center"/>
    </xf>
    <xf numFmtId="0" fontId="1" fillId="0" borderId="17" xfId="0" applyFont="1" applyBorder="1"/>
    <xf numFmtId="2" fontId="1" fillId="70" borderId="17" xfId="0" applyNumberFormat="1" applyFont="1" applyFill="1" applyBorder="1" applyAlignment="1">
      <alignment horizontal="center" vertical="center" wrapText="1"/>
    </xf>
    <xf numFmtId="2" fontId="1" fillId="70" borderId="17" xfId="0" applyNumberFormat="1" applyFont="1" applyFill="1" applyBorder="1" applyAlignment="1">
      <alignment horizontal="center" vertical="center"/>
    </xf>
    <xf numFmtId="0" fontId="66" fillId="0" borderId="17" xfId="0" quotePrefix="1" applyFont="1" applyBorder="1" applyAlignment="1">
      <alignment horizontal="center" vertical="center"/>
    </xf>
    <xf numFmtId="0" fontId="72" fillId="0" borderId="0" xfId="0" applyFont="1" applyAlignment="1">
      <alignment horizontal="center" vertical="center" wrapText="1"/>
    </xf>
    <xf numFmtId="0" fontId="1" fillId="0" borderId="0" xfId="0" applyFont="1" applyAlignment="1" applyProtection="1">
      <alignment horizontal="left" vertical="center"/>
      <protection locked="0"/>
    </xf>
    <xf numFmtId="0" fontId="1" fillId="0" borderId="0" xfId="0" quotePrefix="1" applyFont="1" applyAlignment="1" applyProtection="1">
      <alignment horizontal="center" vertical="center"/>
      <protection locked="0"/>
    </xf>
    <xf numFmtId="49" fontId="1" fillId="0" borderId="17" xfId="0" applyNumberFormat="1" applyFont="1" applyBorder="1" applyAlignment="1" applyProtection="1">
      <alignment horizontal="center" vertical="center"/>
      <protection locked="0"/>
    </xf>
    <xf numFmtId="49" fontId="1" fillId="0" borderId="0" xfId="0" applyNumberFormat="1" applyFont="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2" fillId="57" borderId="17" xfId="0" applyNumberFormat="1" applyFont="1" applyFill="1" applyBorder="1" applyAlignment="1">
      <alignment horizontal="center" vertical="center" wrapText="1"/>
    </xf>
    <xf numFmtId="49" fontId="1" fillId="51" borderId="93" xfId="0" applyNumberFormat="1" applyFont="1" applyFill="1" applyBorder="1" applyAlignment="1" applyProtection="1">
      <alignment horizontal="center" vertical="center"/>
      <protection locked="0"/>
    </xf>
    <xf numFmtId="49" fontId="1" fillId="0" borderId="95" xfId="0" applyNumberFormat="1" applyFont="1" applyBorder="1" applyAlignment="1" applyProtection="1">
      <alignment horizontal="center" vertical="center"/>
      <protection locked="0"/>
    </xf>
    <xf numFmtId="49" fontId="1" fillId="41" borderId="93" xfId="0" applyNumberFormat="1" applyFont="1" applyFill="1" applyBorder="1" applyAlignment="1">
      <alignment horizontal="center" vertical="center"/>
    </xf>
    <xf numFmtId="49" fontId="1" fillId="0" borderId="0" xfId="0" applyNumberFormat="1" applyFont="1" applyAlignment="1">
      <alignment horizontal="center" vertical="center"/>
    </xf>
    <xf numFmtId="49" fontId="1" fillId="0" borderId="98" xfId="0" applyNumberFormat="1" applyFont="1" applyBorder="1" applyAlignment="1">
      <alignment horizontal="center" vertical="center"/>
    </xf>
    <xf numFmtId="49" fontId="1" fillId="0" borderId="99" xfId="0" applyNumberFormat="1" applyFont="1" applyBorder="1" applyAlignment="1">
      <alignment horizontal="center" vertical="center"/>
    </xf>
    <xf numFmtId="49" fontId="1" fillId="46" borderId="97" xfId="0" applyNumberFormat="1" applyFont="1" applyFill="1" applyBorder="1" applyAlignment="1">
      <alignment horizontal="center" vertical="center"/>
    </xf>
    <xf numFmtId="49" fontId="1" fillId="46" borderId="99" xfId="0" applyNumberFormat="1" applyFont="1" applyFill="1" applyBorder="1" applyAlignment="1">
      <alignment horizontal="center" vertical="center"/>
    </xf>
    <xf numFmtId="49" fontId="1" fillId="44" borderId="97" xfId="0" applyNumberFormat="1" applyFont="1" applyFill="1" applyBorder="1" applyAlignment="1">
      <alignment horizontal="center" vertical="center"/>
    </xf>
    <xf numFmtId="49" fontId="1" fillId="44" borderId="99" xfId="0" applyNumberFormat="1" applyFont="1" applyFill="1" applyBorder="1" applyAlignment="1">
      <alignment horizontal="center" vertical="center"/>
    </xf>
    <xf numFmtId="49" fontId="1" fillId="59" borderId="97" xfId="0" applyNumberFormat="1" applyFont="1" applyFill="1" applyBorder="1" applyAlignment="1">
      <alignment horizontal="center" vertical="center"/>
    </xf>
    <xf numFmtId="49" fontId="1" fillId="59" borderId="99" xfId="0" applyNumberFormat="1" applyFont="1" applyFill="1" applyBorder="1" applyAlignment="1">
      <alignment horizontal="center" vertical="center"/>
    </xf>
    <xf numFmtId="49" fontId="1" fillId="0" borderId="99" xfId="0" applyNumberFormat="1" applyFont="1" applyBorder="1" applyAlignment="1" applyProtection="1">
      <alignment horizontal="center" vertical="center"/>
      <protection locked="0"/>
    </xf>
    <xf numFmtId="49" fontId="1" fillId="58" borderId="97" xfId="0" applyNumberFormat="1" applyFont="1" applyFill="1" applyBorder="1" applyAlignment="1">
      <alignment horizontal="center" vertical="center"/>
    </xf>
    <xf numFmtId="49" fontId="1" fillId="0" borderId="98" xfId="0" applyNumberFormat="1" applyFont="1" applyBorder="1" applyAlignment="1" applyProtection="1">
      <alignment horizontal="center" vertical="center"/>
      <protection locked="0"/>
    </xf>
    <xf numFmtId="49" fontId="1" fillId="31" borderId="97" xfId="0" applyNumberFormat="1" applyFont="1" applyFill="1" applyBorder="1" applyAlignment="1" applyProtection="1">
      <alignment horizontal="center" vertical="center"/>
      <protection locked="0"/>
    </xf>
    <xf numFmtId="0" fontId="1" fillId="0" borderId="17" xfId="0" applyFont="1" applyBorder="1" applyAlignment="1" applyProtection="1">
      <alignment horizontal="center" vertical="center" wrapText="1"/>
      <protection locked="0"/>
    </xf>
    <xf numFmtId="0" fontId="1" fillId="0" borderId="17" xfId="0" applyFont="1" applyBorder="1" applyAlignment="1" applyProtection="1">
      <alignment horizontal="center" vertical="center"/>
      <protection locked="0"/>
    </xf>
    <xf numFmtId="0" fontId="1" fillId="0" borderId="17" xfId="0" quotePrefix="1" applyFont="1" applyBorder="1" applyAlignment="1" applyProtection="1">
      <alignment horizontal="center" vertical="center"/>
      <protection locked="0"/>
    </xf>
    <xf numFmtId="0" fontId="1" fillId="0" borderId="0" xfId="900" applyAlignment="1" applyProtection="1">
      <alignment horizontal="center" vertical="center"/>
      <protection locked="0"/>
    </xf>
    <xf numFmtId="0" fontId="1" fillId="51" borderId="93" xfId="0" applyFont="1" applyFill="1" applyBorder="1" applyAlignment="1" applyProtection="1">
      <alignment horizontal="center" vertical="center"/>
      <protection locked="0"/>
    </xf>
    <xf numFmtId="0" fontId="2" fillId="70" borderId="17" xfId="0" applyFont="1" applyFill="1" applyBorder="1" applyAlignment="1" applyProtection="1">
      <alignment horizontal="center" vertical="center" wrapText="1" shrinkToFit="1"/>
      <protection locked="0"/>
    </xf>
    <xf numFmtId="0" fontId="1" fillId="0" borderId="94" xfId="0" applyFont="1" applyBorder="1" applyAlignment="1" applyProtection="1">
      <alignment horizontal="center" vertical="center"/>
      <protection locked="0"/>
    </xf>
    <xf numFmtId="0" fontId="1" fillId="0" borderId="95" xfId="0" applyFont="1" applyBorder="1" applyAlignment="1" applyProtection="1">
      <alignment horizontal="center" vertical="center"/>
      <protection locked="0"/>
    </xf>
    <xf numFmtId="0" fontId="2" fillId="42" borderId="13" xfId="0" applyFont="1" applyFill="1" applyBorder="1" applyAlignment="1">
      <alignment horizontal="center" vertical="center" wrapText="1"/>
    </xf>
    <xf numFmtId="0" fontId="1" fillId="0" borderId="99" xfId="0" applyFont="1" applyBorder="1" applyAlignment="1">
      <alignment horizontal="center" vertical="center"/>
    </xf>
    <xf numFmtId="0" fontId="1" fillId="46" borderId="97" xfId="0" applyFont="1" applyFill="1" applyBorder="1" applyAlignment="1">
      <alignment horizontal="center" vertical="center"/>
    </xf>
    <xf numFmtId="0" fontId="1" fillId="46" borderId="99" xfId="0" applyFont="1" applyFill="1" applyBorder="1" applyAlignment="1">
      <alignment horizontal="center" vertical="center"/>
    </xf>
    <xf numFmtId="0" fontId="1" fillId="0" borderId="100" xfId="0" applyFont="1" applyBorder="1" applyAlignment="1">
      <alignment horizontal="center" vertical="center"/>
    </xf>
    <xf numFmtId="0" fontId="2" fillId="45" borderId="13" xfId="0" applyFont="1" applyFill="1" applyBorder="1" applyAlignment="1">
      <alignment horizontal="center" vertical="center" wrapText="1"/>
    </xf>
    <xf numFmtId="0" fontId="1" fillId="44" borderId="97" xfId="0" applyFont="1" applyFill="1" applyBorder="1" applyAlignment="1">
      <alignment horizontal="center" vertical="center"/>
    </xf>
    <xf numFmtId="0" fontId="1" fillId="44" borderId="99" xfId="0" applyFont="1" applyFill="1" applyBorder="1" applyAlignment="1">
      <alignment horizontal="center" vertical="center"/>
    </xf>
    <xf numFmtId="0" fontId="2" fillId="60" borderId="13" xfId="0" applyFont="1" applyFill="1" applyBorder="1" applyAlignment="1">
      <alignment horizontal="center" vertical="center" wrapText="1"/>
    </xf>
    <xf numFmtId="0" fontId="1" fillId="59" borderId="97" xfId="0" applyFont="1" applyFill="1" applyBorder="1" applyAlignment="1">
      <alignment horizontal="center" vertical="center"/>
    </xf>
    <xf numFmtId="0" fontId="1" fillId="59" borderId="99" xfId="0" applyFont="1" applyFill="1" applyBorder="1" applyAlignment="1">
      <alignment horizontal="center" vertical="center"/>
    </xf>
    <xf numFmtId="0" fontId="2" fillId="26" borderId="13" xfId="0" applyFont="1" applyFill="1" applyBorder="1" applyAlignment="1">
      <alignment horizontal="center" vertical="center" wrapText="1"/>
    </xf>
    <xf numFmtId="0" fontId="1" fillId="0" borderId="99" xfId="0" applyFont="1" applyBorder="1" applyAlignment="1" applyProtection="1">
      <alignment horizontal="center" vertical="center"/>
      <protection locked="0"/>
    </xf>
    <xf numFmtId="0" fontId="1" fillId="58" borderId="97" xfId="0" applyFont="1" applyFill="1" applyBorder="1" applyAlignment="1">
      <alignment horizontal="center" vertical="center"/>
    </xf>
    <xf numFmtId="0" fontId="2" fillId="28" borderId="13" xfId="0" applyFont="1" applyFill="1" applyBorder="1" applyAlignment="1" applyProtection="1">
      <alignment horizontal="center" vertical="center"/>
      <protection locked="0"/>
    </xf>
    <xf numFmtId="0" fontId="2" fillId="28" borderId="13" xfId="0" applyFont="1" applyFill="1" applyBorder="1" applyAlignment="1" applyProtection="1">
      <alignment horizontal="center" vertical="center" wrapText="1"/>
      <protection locked="0"/>
    </xf>
    <xf numFmtId="0" fontId="1" fillId="31" borderId="97" xfId="0" applyFont="1" applyFill="1" applyBorder="1" applyAlignment="1" applyProtection="1">
      <alignment horizontal="center" vertical="center"/>
      <protection locked="0"/>
    </xf>
    <xf numFmtId="0" fontId="2" fillId="28" borderId="13" xfId="0" applyFont="1" applyFill="1" applyBorder="1" applyAlignment="1" applyProtection="1">
      <alignment horizontal="center" vertical="center" wrapText="1" shrinkToFit="1"/>
      <protection locked="0"/>
    </xf>
    <xf numFmtId="0" fontId="1" fillId="0" borderId="100" xfId="0" applyFont="1" applyBorder="1" applyAlignment="1" applyProtection="1">
      <alignment horizontal="center" vertical="center"/>
      <protection locked="0"/>
    </xf>
    <xf numFmtId="0" fontId="73" fillId="0" borderId="17" xfId="0" applyFont="1" applyBorder="1" applyAlignment="1" applyProtection="1">
      <alignment horizontal="center" vertical="center"/>
      <protection locked="0"/>
    </xf>
    <xf numFmtId="0" fontId="2" fillId="76" borderId="0" xfId="0" applyFont="1" applyFill="1" applyAlignment="1">
      <alignment horizontal="center" vertical="center"/>
    </xf>
    <xf numFmtId="0" fontId="2" fillId="0" borderId="0" xfId="0" applyFont="1" applyAlignment="1">
      <alignment horizontal="right"/>
    </xf>
    <xf numFmtId="0" fontId="1" fillId="0" borderId="0" xfId="0" applyFont="1" applyAlignment="1">
      <alignment horizontal="left" vertical="center" wrapText="1"/>
    </xf>
    <xf numFmtId="0" fontId="2" fillId="0" borderId="17" xfId="0" quotePrefix="1" applyFont="1" applyBorder="1" applyAlignment="1" applyProtection="1">
      <alignment horizontal="center" vertical="center"/>
      <protection locked="0"/>
    </xf>
    <xf numFmtId="170" fontId="2" fillId="0" borderId="17" xfId="0" applyNumberFormat="1" applyFont="1" applyBorder="1" applyAlignment="1" applyProtection="1">
      <alignment horizontal="center" vertical="center"/>
      <protection locked="0"/>
    </xf>
    <xf numFmtId="165" fontId="2" fillId="0" borderId="17" xfId="0" applyNumberFormat="1" applyFont="1" applyBorder="1" applyAlignment="1" applyProtection="1">
      <alignment horizontal="center" vertical="center"/>
      <protection locked="0"/>
    </xf>
    <xf numFmtId="170" fontId="1" fillId="40" borderId="17" xfId="0" applyNumberFormat="1" applyFont="1" applyFill="1" applyBorder="1" applyAlignment="1" applyProtection="1">
      <alignment horizontal="center" vertical="center"/>
      <protection locked="0"/>
    </xf>
    <xf numFmtId="1" fontId="45" fillId="0" borderId="17" xfId="0" applyNumberFormat="1" applyFont="1" applyBorder="1" applyAlignment="1" applyProtection="1">
      <alignment horizontal="center" vertical="center"/>
      <protection locked="0"/>
    </xf>
    <xf numFmtId="0" fontId="1" fillId="70" borderId="22" xfId="0" applyFont="1" applyFill="1" applyBorder="1" applyAlignment="1">
      <alignment horizontal="center" vertical="center"/>
    </xf>
    <xf numFmtId="0" fontId="64" fillId="0" borderId="106" xfId="0" applyFont="1" applyBorder="1" applyAlignment="1">
      <alignment horizontal="center" vertical="center"/>
    </xf>
    <xf numFmtId="0" fontId="1" fillId="0" borderId="113" xfId="0" applyFont="1" applyBorder="1" applyAlignment="1">
      <alignment vertical="center"/>
    </xf>
    <xf numFmtId="0" fontId="1" fillId="0" borderId="113" xfId="0" applyFont="1" applyBorder="1" applyAlignment="1">
      <alignment horizontal="center" vertical="center"/>
    </xf>
    <xf numFmtId="0" fontId="65" fillId="0" borderId="113" xfId="0" applyFont="1" applyBorder="1" applyAlignment="1">
      <alignment horizontal="justify" vertical="center" wrapText="1"/>
    </xf>
    <xf numFmtId="0" fontId="65" fillId="0" borderId="113" xfId="0" applyFont="1" applyBorder="1" applyAlignment="1">
      <alignment horizontal="center" vertical="center"/>
    </xf>
    <xf numFmtId="0" fontId="1" fillId="0" borderId="113" xfId="0" applyFont="1" applyBorder="1" applyAlignment="1">
      <alignment horizontal="center" vertical="center" wrapText="1"/>
    </xf>
    <xf numFmtId="0" fontId="1" fillId="0" borderId="22" xfId="0" applyFont="1" applyBorder="1" applyAlignment="1">
      <alignment vertical="center"/>
    </xf>
    <xf numFmtId="0" fontId="1" fillId="0" borderId="35" xfId="0" applyFont="1" applyBorder="1" applyAlignment="1">
      <alignment vertical="center"/>
    </xf>
    <xf numFmtId="2" fontId="1" fillId="0" borderId="22" xfId="0" applyNumberFormat="1" applyFont="1" applyBorder="1" applyAlignment="1">
      <alignment horizontal="center" vertical="center"/>
    </xf>
    <xf numFmtId="2" fontId="1" fillId="32" borderId="22" xfId="0" applyNumberFormat="1" applyFont="1" applyFill="1" applyBorder="1" applyAlignment="1">
      <alignment horizontal="center" vertical="center"/>
    </xf>
    <xf numFmtId="2" fontId="44" fillId="32" borderId="22" xfId="0" applyNumberFormat="1" applyFont="1" applyFill="1" applyBorder="1" applyAlignment="1">
      <alignment horizontal="center" vertical="center"/>
    </xf>
    <xf numFmtId="2" fontId="44" fillId="0" borderId="22" xfId="0" applyNumberFormat="1" applyFont="1" applyBorder="1" applyAlignment="1">
      <alignment horizontal="center" vertical="center"/>
    </xf>
    <xf numFmtId="2" fontId="1" fillId="70" borderId="22" xfId="0" applyNumberFormat="1" applyFont="1" applyFill="1" applyBorder="1" applyAlignment="1">
      <alignment horizontal="center" vertical="center"/>
    </xf>
    <xf numFmtId="0" fontId="73" fillId="0" borderId="64" xfId="0" applyFont="1" applyBorder="1" applyAlignment="1" applyProtection="1">
      <alignment horizontal="center" vertical="center"/>
      <protection locked="0"/>
    </xf>
    <xf numFmtId="0" fontId="1" fillId="0" borderId="93" xfId="0" quotePrefix="1" applyFont="1" applyBorder="1" applyAlignment="1" applyProtection="1">
      <alignment horizontal="center" vertical="center"/>
      <protection locked="0"/>
    </xf>
    <xf numFmtId="170" fontId="1" fillId="0" borderId="93" xfId="0" applyNumberFormat="1" applyFont="1" applyBorder="1" applyAlignment="1" applyProtection="1">
      <alignment horizontal="center" vertical="center"/>
      <protection locked="0"/>
    </xf>
    <xf numFmtId="168" fontId="1" fillId="0" borderId="93" xfId="0" applyNumberFormat="1" applyFont="1" applyBorder="1" applyAlignment="1" applyProtection="1">
      <alignment horizontal="center" vertical="center"/>
      <protection locked="0"/>
    </xf>
    <xf numFmtId="1" fontId="1" fillId="0" borderId="93" xfId="0" applyNumberFormat="1" applyFont="1" applyBorder="1" applyAlignment="1" applyProtection="1">
      <alignment horizontal="center" vertical="center"/>
      <protection locked="0"/>
    </xf>
    <xf numFmtId="165" fontId="1" fillId="0" borderId="93" xfId="0" applyNumberFormat="1" applyFont="1" applyBorder="1" applyAlignment="1" applyProtection="1">
      <alignment horizontal="center" vertical="center"/>
      <protection locked="0"/>
    </xf>
    <xf numFmtId="0" fontId="1" fillId="0" borderId="93" xfId="0" applyFont="1" applyBorder="1" applyAlignment="1" applyProtection="1">
      <alignment horizontal="center" vertical="center"/>
      <protection locked="0"/>
    </xf>
    <xf numFmtId="2" fontId="1" fillId="0" borderId="93" xfId="0" applyNumberFormat="1" applyFont="1" applyBorder="1" applyAlignment="1" applyProtection="1">
      <alignment horizontal="center" vertical="center"/>
      <protection locked="0"/>
    </xf>
    <xf numFmtId="2" fontId="1" fillId="0" borderId="93" xfId="0" quotePrefix="1" applyNumberFormat="1" applyFont="1" applyBorder="1" applyAlignment="1" applyProtection="1">
      <alignment horizontal="center" vertical="center"/>
      <protection locked="0"/>
    </xf>
    <xf numFmtId="49" fontId="1" fillId="0" borderId="93" xfId="0" applyNumberFormat="1" applyFont="1" applyBorder="1" applyAlignment="1" applyProtection="1">
      <alignment horizontal="center" vertical="center"/>
      <protection locked="0"/>
    </xf>
    <xf numFmtId="0" fontId="1" fillId="54" borderId="17" xfId="0" quotePrefix="1" applyFont="1" applyFill="1" applyBorder="1" applyAlignment="1" applyProtection="1">
      <alignment horizontal="center" vertical="center"/>
      <protection locked="0"/>
    </xf>
    <xf numFmtId="170" fontId="1" fillId="54" borderId="17" xfId="0" applyNumberFormat="1" applyFont="1" applyFill="1" applyBorder="1" applyAlignment="1" applyProtection="1">
      <alignment horizontal="center" vertical="center"/>
      <protection locked="0"/>
    </xf>
    <xf numFmtId="168" fontId="1" fillId="54" borderId="17" xfId="0" applyNumberFormat="1" applyFont="1" applyFill="1" applyBorder="1" applyAlignment="1" applyProtection="1">
      <alignment horizontal="center" vertical="center"/>
      <protection locked="0"/>
    </xf>
    <xf numFmtId="1" fontId="1" fillId="54" borderId="17" xfId="0" applyNumberFormat="1" applyFont="1" applyFill="1" applyBorder="1" applyAlignment="1" applyProtection="1">
      <alignment horizontal="center" vertical="center"/>
      <protection locked="0"/>
    </xf>
    <xf numFmtId="165" fontId="1" fillId="54" borderId="17" xfId="0" applyNumberFormat="1" applyFont="1" applyFill="1" applyBorder="1" applyAlignment="1" applyProtection="1">
      <alignment horizontal="center" vertical="center"/>
      <protection locked="0"/>
    </xf>
    <xf numFmtId="0" fontId="1" fillId="54" borderId="17" xfId="0" applyFont="1" applyFill="1" applyBorder="1" applyAlignment="1" applyProtection="1">
      <alignment horizontal="center" vertical="center"/>
      <protection locked="0"/>
    </xf>
    <xf numFmtId="2" fontId="1" fillId="54" borderId="17" xfId="0" applyNumberFormat="1" applyFont="1" applyFill="1" applyBorder="1" applyAlignment="1" applyProtection="1">
      <alignment horizontal="center" vertical="center"/>
      <protection locked="0"/>
    </xf>
    <xf numFmtId="2" fontId="1" fillId="54" borderId="17" xfId="0" quotePrefix="1" applyNumberFormat="1" applyFont="1" applyFill="1" applyBorder="1" applyAlignment="1" applyProtection="1">
      <alignment horizontal="center" vertical="center"/>
      <protection locked="0"/>
    </xf>
    <xf numFmtId="49" fontId="1" fillId="54" borderId="17" xfId="0" applyNumberFormat="1" applyFont="1" applyFill="1" applyBorder="1" applyAlignment="1" applyProtection="1">
      <alignment horizontal="center" vertical="center"/>
      <protection locked="0"/>
    </xf>
    <xf numFmtId="0" fontId="1" fillId="43" borderId="17" xfId="0" quotePrefix="1" applyFont="1" applyFill="1" applyBorder="1" applyAlignment="1" applyProtection="1">
      <alignment horizontal="center" vertical="center"/>
      <protection locked="0"/>
    </xf>
    <xf numFmtId="170" fontId="1" fillId="43" borderId="17" xfId="0" applyNumberFormat="1" applyFont="1" applyFill="1" applyBorder="1" applyAlignment="1" applyProtection="1">
      <alignment horizontal="center" vertical="center"/>
      <protection locked="0"/>
    </xf>
    <xf numFmtId="168" fontId="1" fillId="43" borderId="17" xfId="0" applyNumberFormat="1" applyFont="1" applyFill="1" applyBorder="1" applyAlignment="1" applyProtection="1">
      <alignment horizontal="center" vertical="center"/>
      <protection locked="0"/>
    </xf>
    <xf numFmtId="1" fontId="1" fillId="43" borderId="17" xfId="0" applyNumberFormat="1" applyFont="1" applyFill="1" applyBorder="1" applyAlignment="1" applyProtection="1">
      <alignment horizontal="center" vertical="center"/>
      <protection locked="0"/>
    </xf>
    <xf numFmtId="165" fontId="1" fillId="43" borderId="17" xfId="0" applyNumberFormat="1" applyFont="1" applyFill="1" applyBorder="1" applyAlignment="1" applyProtection="1">
      <alignment horizontal="center" vertical="center"/>
      <protection locked="0"/>
    </xf>
    <xf numFmtId="0" fontId="1" fillId="43" borderId="17" xfId="0" applyFont="1" applyFill="1" applyBorder="1" applyAlignment="1" applyProtection="1">
      <alignment horizontal="center" vertical="center"/>
      <protection locked="0"/>
    </xf>
    <xf numFmtId="2" fontId="1" fillId="43" borderId="17" xfId="0" applyNumberFormat="1" applyFont="1" applyFill="1" applyBorder="1" applyAlignment="1" applyProtection="1">
      <alignment horizontal="center" vertical="center"/>
      <protection locked="0"/>
    </xf>
    <xf numFmtId="2" fontId="1" fillId="43" borderId="17" xfId="0" quotePrefix="1" applyNumberFormat="1" applyFont="1" applyFill="1" applyBorder="1" applyAlignment="1" applyProtection="1">
      <alignment horizontal="center" vertical="center"/>
      <protection locked="0"/>
    </xf>
    <xf numFmtId="49" fontId="1" fillId="43" borderId="17" xfId="0" applyNumberFormat="1" applyFont="1" applyFill="1" applyBorder="1" applyAlignment="1" applyProtection="1">
      <alignment horizontal="center" vertical="center"/>
      <protection locked="0"/>
    </xf>
    <xf numFmtId="0" fontId="2" fillId="70" borderId="17" xfId="0" applyFont="1" applyFill="1" applyBorder="1" applyAlignment="1" applyProtection="1">
      <alignment horizontal="center" vertical="center" wrapText="1"/>
      <protection locked="0"/>
    </xf>
    <xf numFmtId="0" fontId="2" fillId="70" borderId="17" xfId="0" applyFont="1" applyFill="1" applyBorder="1" applyAlignment="1" applyProtection="1">
      <alignment horizontal="center" vertical="center"/>
      <protection locked="0"/>
    </xf>
    <xf numFmtId="0" fontId="2" fillId="28" borderId="26" xfId="0" applyFont="1" applyFill="1" applyBorder="1" applyAlignment="1" applyProtection="1">
      <alignment horizontal="center" vertical="center" wrapText="1"/>
      <protection locked="0"/>
    </xf>
    <xf numFmtId="0" fontId="2" fillId="28" borderId="30" xfId="0" applyFont="1" applyFill="1" applyBorder="1" applyAlignment="1" applyProtection="1">
      <alignment horizontal="center" vertical="center" wrapText="1"/>
      <protection locked="0"/>
    </xf>
    <xf numFmtId="0" fontId="2" fillId="26" borderId="26" xfId="0" applyFont="1" applyFill="1" applyBorder="1" applyAlignment="1">
      <alignment horizontal="center" vertical="center" wrapText="1"/>
    </xf>
    <xf numFmtId="0" fontId="2" fillId="60" borderId="26" xfId="0" applyFont="1" applyFill="1" applyBorder="1" applyAlignment="1">
      <alignment horizontal="center" vertical="center" wrapText="1"/>
    </xf>
    <xf numFmtId="0" fontId="1" fillId="0" borderId="0" xfId="0" applyFont="1"/>
    <xf numFmtId="170" fontId="1" fillId="0" borderId="17" xfId="0" quotePrefix="1" applyNumberFormat="1" applyFont="1" applyBorder="1" applyAlignment="1" applyProtection="1">
      <alignment horizontal="center" vertical="center"/>
      <protection locked="0"/>
    </xf>
    <xf numFmtId="0" fontId="80" fillId="0" borderId="17" xfId="0" applyFont="1" applyBorder="1" applyAlignment="1" applyProtection="1">
      <alignment horizontal="center" vertical="center"/>
      <protection locked="0"/>
    </xf>
    <xf numFmtId="0" fontId="80" fillId="0" borderId="93" xfId="0" applyFont="1" applyBorder="1" applyAlignment="1" applyProtection="1">
      <alignment horizontal="center" vertical="center"/>
      <protection locked="0"/>
    </xf>
    <xf numFmtId="0" fontId="80" fillId="54" borderId="17" xfId="0" applyFont="1" applyFill="1" applyBorder="1" applyAlignment="1" applyProtection="1">
      <alignment horizontal="center" vertical="center"/>
      <protection locked="0"/>
    </xf>
    <xf numFmtId="0" fontId="80" fillId="43" borderId="17" xfId="0" applyFont="1" applyFill="1" applyBorder="1" applyAlignment="1" applyProtection="1">
      <alignment horizontal="center" vertical="center"/>
      <protection locked="0"/>
    </xf>
    <xf numFmtId="49" fontId="62" fillId="0" borderId="16" xfId="0" applyNumberFormat="1" applyFont="1" applyBorder="1" applyAlignment="1" applyProtection="1">
      <alignment horizontal="center" vertical="center"/>
      <protection locked="0"/>
    </xf>
    <xf numFmtId="0" fontId="2" fillId="70" borderId="28" xfId="0" applyFont="1" applyFill="1" applyBorder="1" applyAlignment="1" applyProtection="1">
      <alignment horizontal="center" vertical="center" wrapText="1"/>
      <protection locked="0"/>
    </xf>
    <xf numFmtId="0" fontId="2" fillId="70" borderId="40" xfId="0" applyFont="1" applyFill="1" applyBorder="1" applyAlignment="1" applyProtection="1">
      <alignment horizontal="center" vertical="center" wrapText="1"/>
      <protection locked="0"/>
    </xf>
    <xf numFmtId="0" fontId="1" fillId="0" borderId="115" xfId="0" applyFont="1" applyBorder="1" applyAlignment="1" applyProtection="1">
      <alignment horizontal="center" vertical="center"/>
      <protection locked="0"/>
    </xf>
    <xf numFmtId="0" fontId="62" fillId="0" borderId="103" xfId="0" applyFont="1" applyBorder="1" applyAlignment="1">
      <alignment horizontal="center" vertical="center"/>
    </xf>
    <xf numFmtId="0" fontId="62" fillId="0" borderId="64" xfId="0" quotePrefix="1" applyFont="1" applyBorder="1" applyAlignment="1">
      <alignment horizontal="center" vertical="center"/>
    </xf>
    <xf numFmtId="170" fontId="62" fillId="0" borderId="64" xfId="0" applyNumberFormat="1" applyFont="1" applyBorder="1" applyAlignment="1" applyProtection="1">
      <alignment horizontal="center" vertical="center"/>
      <protection locked="0"/>
    </xf>
    <xf numFmtId="168" fontId="62" fillId="0" borderId="64" xfId="0" applyNumberFormat="1" applyFont="1" applyBorder="1" applyAlignment="1" applyProtection="1">
      <alignment horizontal="center" vertical="center"/>
      <protection locked="0"/>
    </xf>
    <xf numFmtId="1" fontId="62" fillId="0" borderId="64" xfId="0" applyNumberFormat="1" applyFont="1" applyBorder="1" applyAlignment="1" applyProtection="1">
      <alignment horizontal="center" vertical="center"/>
      <protection locked="0"/>
    </xf>
    <xf numFmtId="165" fontId="62" fillId="0" borderId="64" xfId="0" applyNumberFormat="1" applyFont="1" applyBorder="1" applyAlignment="1" applyProtection="1">
      <alignment horizontal="center" vertical="center"/>
      <protection locked="0"/>
    </xf>
    <xf numFmtId="0" fontId="62" fillId="0" borderId="64" xfId="0" applyFont="1" applyBorder="1" applyAlignment="1" applyProtection="1">
      <alignment horizontal="center" vertical="center"/>
      <protection locked="0"/>
    </xf>
    <xf numFmtId="170" fontId="62" fillId="0" borderId="64" xfId="0" applyNumberFormat="1" applyFont="1" applyBorder="1" applyAlignment="1">
      <alignment horizontal="center" vertical="center"/>
    </xf>
    <xf numFmtId="2" fontId="62" fillId="0" borderId="64" xfId="0" applyNumberFormat="1" applyFont="1" applyBorder="1" applyAlignment="1" applyProtection="1">
      <alignment horizontal="center" vertical="center"/>
      <protection locked="0"/>
    </xf>
    <xf numFmtId="49" fontId="62" fillId="0" borderId="64" xfId="0" applyNumberFormat="1" applyFont="1" applyBorder="1" applyAlignment="1" applyProtection="1">
      <alignment horizontal="center" vertical="center"/>
      <protection locked="0"/>
    </xf>
    <xf numFmtId="0" fontId="62" fillId="0" borderId="116" xfId="0" applyFont="1" applyBorder="1" applyAlignment="1" applyProtection="1">
      <alignment horizontal="center" vertical="center"/>
      <protection locked="0"/>
    </xf>
    <xf numFmtId="0" fontId="1" fillId="0" borderId="40" xfId="0" applyFont="1" applyBorder="1" applyAlignment="1" applyProtection="1">
      <alignment horizontal="center" vertical="center" wrapText="1"/>
      <protection locked="0"/>
    </xf>
    <xf numFmtId="166" fontId="1" fillId="0" borderId="28" xfId="0" applyNumberFormat="1" applyFont="1" applyBorder="1" applyAlignment="1" applyProtection="1">
      <alignment horizontal="center" vertical="center"/>
      <protection locked="0"/>
    </xf>
    <xf numFmtId="166" fontId="78" fillId="0" borderId="28" xfId="0" applyNumberFormat="1" applyFont="1" applyBorder="1" applyAlignment="1" applyProtection="1">
      <alignment horizontal="center" vertical="center"/>
      <protection locked="0"/>
    </xf>
    <xf numFmtId="166" fontId="1" fillId="0" borderId="117" xfId="0" applyNumberFormat="1" applyFont="1" applyBorder="1" applyAlignment="1" applyProtection="1">
      <alignment horizontal="center" vertical="center"/>
      <protection locked="0"/>
    </xf>
    <xf numFmtId="0" fontId="1" fillId="0" borderId="118" xfId="0" applyFont="1" applyBorder="1" applyAlignment="1" applyProtection="1">
      <alignment horizontal="center" vertical="center" wrapText="1"/>
      <protection locked="0"/>
    </xf>
    <xf numFmtId="166" fontId="1" fillId="0" borderId="103" xfId="0" applyNumberFormat="1" applyFont="1" applyBorder="1" applyAlignment="1" applyProtection="1">
      <alignment horizontal="center" vertical="center"/>
      <protection locked="0"/>
    </xf>
    <xf numFmtId="0" fontId="1" fillId="0" borderId="116" xfId="0" applyFont="1" applyBorder="1" applyAlignment="1" applyProtection="1">
      <alignment horizontal="center" vertical="center" wrapText="1"/>
      <protection locked="0"/>
    </xf>
    <xf numFmtId="166" fontId="77" fillId="0" borderId="28" xfId="0" applyNumberFormat="1" applyFont="1" applyBorder="1" applyAlignment="1" applyProtection="1">
      <alignment horizontal="center" vertical="center"/>
      <protection locked="0"/>
    </xf>
    <xf numFmtId="166" fontId="2" fillId="0" borderId="28" xfId="0" applyNumberFormat="1" applyFont="1" applyBorder="1" applyAlignment="1" applyProtection="1">
      <alignment horizontal="center" vertical="center"/>
      <protection locked="0"/>
    </xf>
    <xf numFmtId="166" fontId="2" fillId="54" borderId="28" xfId="0" applyNumberFormat="1" applyFont="1" applyFill="1" applyBorder="1" applyAlignment="1" applyProtection="1">
      <alignment horizontal="center" vertical="center"/>
      <protection locked="0"/>
    </xf>
    <xf numFmtId="166" fontId="79" fillId="0" borderId="28" xfId="0" applyNumberFormat="1" applyFont="1" applyBorder="1" applyAlignment="1" applyProtection="1">
      <alignment horizontal="center" vertical="center"/>
      <protection locked="0"/>
    </xf>
    <xf numFmtId="166" fontId="1" fillId="43" borderId="28" xfId="0" applyNumberFormat="1" applyFont="1" applyFill="1" applyBorder="1" applyAlignment="1" applyProtection="1">
      <alignment horizontal="center" vertical="center"/>
      <protection locked="0"/>
    </xf>
    <xf numFmtId="166" fontId="1" fillId="54" borderId="28" xfId="0" applyNumberFormat="1" applyFont="1" applyFill="1" applyBorder="1" applyAlignment="1" applyProtection="1">
      <alignment horizontal="center" vertical="center"/>
      <protection locked="0"/>
    </xf>
    <xf numFmtId="166" fontId="1" fillId="0" borderId="29" xfId="0" applyNumberFormat="1" applyFont="1" applyBorder="1" applyAlignment="1" applyProtection="1">
      <alignment horizontal="center" vertical="center"/>
      <protection locked="0"/>
    </xf>
    <xf numFmtId="0" fontId="1" fillId="0" borderId="25" xfId="0" quotePrefix="1" applyFont="1" applyBorder="1" applyAlignment="1" applyProtection="1">
      <alignment horizontal="center" vertical="center"/>
      <protection locked="0"/>
    </xf>
    <xf numFmtId="170" fontId="1" fillId="0" borderId="25" xfId="0" applyNumberFormat="1" applyFont="1" applyBorder="1" applyAlignment="1" applyProtection="1">
      <alignment horizontal="center" vertical="center"/>
      <protection locked="0"/>
    </xf>
    <xf numFmtId="168" fontId="1" fillId="0" borderId="25" xfId="0" applyNumberFormat="1" applyFont="1" applyBorder="1" applyAlignment="1" applyProtection="1">
      <alignment horizontal="center" vertical="center"/>
      <protection locked="0"/>
    </xf>
    <xf numFmtId="1" fontId="1" fillId="0" borderId="25" xfId="0" applyNumberFormat="1" applyFont="1" applyBorder="1" applyAlignment="1" applyProtection="1">
      <alignment horizontal="center" vertical="center"/>
      <protection locked="0"/>
    </xf>
    <xf numFmtId="165" fontId="1" fillId="0" borderId="25" xfId="0" applyNumberFormat="1" applyFont="1" applyBorder="1" applyAlignment="1" applyProtection="1">
      <alignment horizontal="center" vertical="center"/>
      <protection locked="0"/>
    </xf>
    <xf numFmtId="0" fontId="1" fillId="0" borderId="25" xfId="0" applyFont="1" applyBorder="1" applyAlignment="1" applyProtection="1">
      <alignment horizontal="center" vertical="center"/>
      <protection locked="0"/>
    </xf>
    <xf numFmtId="2" fontId="1" fillId="0" borderId="25" xfId="0" applyNumberFormat="1" applyFont="1" applyBorder="1" applyAlignment="1" applyProtection="1">
      <alignment horizontal="center" vertical="center"/>
      <protection locked="0"/>
    </xf>
    <xf numFmtId="2" fontId="1" fillId="0" borderId="25" xfId="0" quotePrefix="1" applyNumberFormat="1" applyFont="1" applyBorder="1" applyAlignment="1" applyProtection="1">
      <alignment horizontal="center" vertical="center"/>
      <protection locked="0"/>
    </xf>
    <xf numFmtId="49" fontId="1" fillId="0" borderId="25" xfId="0" applyNumberFormat="1" applyFont="1" applyBorder="1" applyAlignment="1" applyProtection="1">
      <alignment horizontal="center" vertical="center"/>
      <protection locked="0"/>
    </xf>
    <xf numFmtId="0" fontId="80" fillId="0" borderId="25" xfId="0" applyFont="1" applyBorder="1" applyAlignment="1" applyProtection="1">
      <alignment horizontal="center" vertical="center"/>
      <protection locked="0"/>
    </xf>
    <xf numFmtId="0" fontId="1" fillId="0" borderId="43" xfId="0" applyFont="1" applyBorder="1" applyAlignment="1" applyProtection="1">
      <alignment horizontal="center" vertical="center" wrapText="1"/>
      <protection locked="0"/>
    </xf>
    <xf numFmtId="0" fontId="1" fillId="49" borderId="37" xfId="0" applyFont="1" applyFill="1" applyBorder="1" applyAlignment="1">
      <alignment horizontal="center" vertical="center"/>
    </xf>
    <xf numFmtId="0" fontId="81" fillId="0" borderId="31" xfId="0" applyFont="1" applyBorder="1" applyAlignment="1">
      <alignment horizontal="center" vertical="center"/>
    </xf>
    <xf numFmtId="0" fontId="82" fillId="0" borderId="31" xfId="0" applyFont="1" applyBorder="1" applyAlignment="1">
      <alignment horizontal="center" vertical="center"/>
    </xf>
    <xf numFmtId="166" fontId="79" fillId="0" borderId="103" xfId="0" applyNumberFormat="1" applyFont="1" applyBorder="1" applyAlignment="1" applyProtection="1">
      <alignment horizontal="center" vertical="center"/>
      <protection locked="0"/>
    </xf>
    <xf numFmtId="166" fontId="79" fillId="0" borderId="117" xfId="0" applyNumberFormat="1" applyFont="1" applyBorder="1" applyAlignment="1" applyProtection="1">
      <alignment horizontal="center" vertical="center"/>
      <protection locked="0"/>
    </xf>
    <xf numFmtId="0" fontId="2" fillId="0" borderId="17" xfId="0" applyFont="1" applyBorder="1" applyAlignment="1" applyProtection="1">
      <alignment horizontal="center" vertical="center"/>
      <protection locked="0"/>
    </xf>
    <xf numFmtId="0" fontId="2" fillId="45" borderId="26" xfId="0" applyFont="1" applyFill="1" applyBorder="1" applyAlignment="1">
      <alignment horizontal="center" vertical="center" wrapText="1"/>
    </xf>
    <xf numFmtId="0" fontId="2" fillId="42" borderId="26" xfId="0" applyFont="1" applyFill="1" applyBorder="1" applyAlignment="1">
      <alignment horizontal="center" vertical="center" wrapText="1"/>
    </xf>
    <xf numFmtId="0" fontId="1" fillId="0" borderId="64" xfId="0" quotePrefix="1" applyFont="1" applyBorder="1" applyAlignment="1" applyProtection="1">
      <alignment horizontal="center" vertical="center"/>
      <protection locked="0"/>
    </xf>
    <xf numFmtId="170" fontId="1" fillId="0" borderId="64" xfId="0" applyNumberFormat="1" applyFont="1" applyBorder="1" applyAlignment="1" applyProtection="1">
      <alignment horizontal="center" vertical="center"/>
      <protection locked="0"/>
    </xf>
    <xf numFmtId="168" fontId="1" fillId="0" borderId="64" xfId="0" applyNumberFormat="1" applyFont="1" applyBorder="1" applyAlignment="1" applyProtection="1">
      <alignment horizontal="center" vertical="center"/>
      <protection locked="0"/>
    </xf>
    <xf numFmtId="1" fontId="1" fillId="0" borderId="64" xfId="0" applyNumberFormat="1" applyFont="1" applyBorder="1" applyAlignment="1" applyProtection="1">
      <alignment horizontal="center" vertical="center"/>
      <protection locked="0"/>
    </xf>
    <xf numFmtId="165" fontId="1" fillId="0" borderId="64" xfId="0" applyNumberFormat="1" applyFont="1" applyBorder="1" applyAlignment="1" applyProtection="1">
      <alignment horizontal="center" vertical="center"/>
      <protection locked="0"/>
    </xf>
    <xf numFmtId="0" fontId="1" fillId="0" borderId="64" xfId="0" applyFont="1" applyBorder="1" applyAlignment="1" applyProtection="1">
      <alignment horizontal="center" vertical="center"/>
      <protection locked="0"/>
    </xf>
    <xf numFmtId="2" fontId="1" fillId="0" borderId="64" xfId="0" applyNumberFormat="1" applyFont="1" applyBorder="1" applyAlignment="1" applyProtection="1">
      <alignment horizontal="center" vertical="center"/>
      <protection locked="0"/>
    </xf>
    <xf numFmtId="2" fontId="1" fillId="0" borderId="64" xfId="0" quotePrefix="1" applyNumberFormat="1" applyFont="1" applyBorder="1" applyAlignment="1" applyProtection="1">
      <alignment horizontal="center" vertical="center"/>
      <protection locked="0"/>
    </xf>
    <xf numFmtId="49" fontId="1" fillId="0" borderId="64" xfId="0" applyNumberFormat="1" applyFont="1" applyBorder="1" applyAlignment="1" applyProtection="1">
      <alignment horizontal="center" vertical="center"/>
      <protection locked="0"/>
    </xf>
    <xf numFmtId="166" fontId="1" fillId="71" borderId="28" xfId="0" applyNumberFormat="1" applyFont="1" applyFill="1" applyBorder="1" applyAlignment="1" applyProtection="1">
      <alignment horizontal="center" vertical="center"/>
      <protection locked="0"/>
    </xf>
    <xf numFmtId="0" fontId="1" fillId="71" borderId="17" xfId="0" quotePrefix="1" applyFont="1" applyFill="1" applyBorder="1" applyAlignment="1" applyProtection="1">
      <alignment horizontal="center" vertical="center"/>
      <protection locked="0"/>
    </xf>
    <xf numFmtId="170" fontId="1" fillId="71" borderId="17" xfId="0" applyNumberFormat="1" applyFont="1" applyFill="1" applyBorder="1" applyAlignment="1" applyProtection="1">
      <alignment horizontal="center" vertical="center"/>
      <protection locked="0"/>
    </xf>
    <xf numFmtId="168" fontId="1" fillId="71" borderId="17" xfId="0" applyNumberFormat="1" applyFont="1" applyFill="1" applyBorder="1" applyAlignment="1" applyProtection="1">
      <alignment horizontal="center" vertical="center"/>
      <protection locked="0"/>
    </xf>
    <xf numFmtId="1" fontId="1" fillId="71" borderId="17" xfId="0" applyNumberFormat="1" applyFont="1" applyFill="1" applyBorder="1" applyAlignment="1" applyProtection="1">
      <alignment horizontal="center" vertical="center"/>
      <protection locked="0"/>
    </xf>
    <xf numFmtId="165" fontId="1" fillId="71" borderId="17" xfId="0" applyNumberFormat="1" applyFont="1" applyFill="1" applyBorder="1" applyAlignment="1" applyProtection="1">
      <alignment horizontal="center" vertical="center"/>
      <protection locked="0"/>
    </xf>
    <xf numFmtId="0" fontId="1" fillId="71" borderId="17" xfId="0" applyFont="1" applyFill="1" applyBorder="1" applyAlignment="1" applyProtection="1">
      <alignment horizontal="center" vertical="center"/>
      <protection locked="0"/>
    </xf>
    <xf numFmtId="2" fontId="1" fillId="71" borderId="17" xfId="0" applyNumberFormat="1" applyFont="1" applyFill="1" applyBorder="1" applyAlignment="1" applyProtection="1">
      <alignment horizontal="center" vertical="center"/>
      <protection locked="0"/>
    </xf>
    <xf numFmtId="2" fontId="1" fillId="71" borderId="17" xfId="0" quotePrefix="1" applyNumberFormat="1" applyFont="1" applyFill="1" applyBorder="1" applyAlignment="1" applyProtection="1">
      <alignment horizontal="center" vertical="center"/>
      <protection locked="0"/>
    </xf>
    <xf numFmtId="49" fontId="1" fillId="71" borderId="17" xfId="0" applyNumberFormat="1" applyFont="1" applyFill="1" applyBorder="1" applyAlignment="1" applyProtection="1">
      <alignment horizontal="center" vertical="center"/>
      <protection locked="0"/>
    </xf>
    <xf numFmtId="166" fontId="83" fillId="0" borderId="28" xfId="0" applyNumberFormat="1" applyFont="1" applyBorder="1" applyAlignment="1" applyProtection="1">
      <alignment horizontal="center" vertical="center"/>
      <protection locked="0"/>
    </xf>
    <xf numFmtId="166" fontId="83" fillId="0" borderId="117" xfId="0" applyNumberFormat="1" applyFont="1" applyBorder="1" applyAlignment="1" applyProtection="1">
      <alignment horizontal="center" vertical="center"/>
      <protection locked="0"/>
    </xf>
    <xf numFmtId="166" fontId="83" fillId="0" borderId="103" xfId="0" applyNumberFormat="1" applyFont="1" applyBorder="1" applyAlignment="1" applyProtection="1">
      <alignment horizontal="center" vertical="center"/>
      <protection locked="0"/>
    </xf>
    <xf numFmtId="0" fontId="1" fillId="0" borderId="64" xfId="0" applyFont="1" applyBorder="1" applyAlignment="1" applyProtection="1">
      <alignment horizontal="center" vertical="center" wrapText="1"/>
      <protection locked="0"/>
    </xf>
    <xf numFmtId="170" fontId="1" fillId="40" borderId="64" xfId="0" applyNumberFormat="1" applyFont="1" applyFill="1" applyBorder="1" applyAlignment="1" applyProtection="1">
      <alignment horizontal="center" vertical="center"/>
      <protection locked="0"/>
    </xf>
    <xf numFmtId="14" fontId="1" fillId="47" borderId="18" xfId="0" applyNumberFormat="1" applyFont="1" applyFill="1" applyBorder="1" applyAlignment="1">
      <alignment horizontal="center" vertical="center"/>
    </xf>
    <xf numFmtId="14" fontId="1" fillId="41" borderId="18" xfId="0" applyNumberFormat="1" applyFont="1" applyFill="1" applyBorder="1" applyAlignment="1">
      <alignment horizontal="center" vertical="center"/>
    </xf>
    <xf numFmtId="2" fontId="1" fillId="0" borderId="0" xfId="0" quotePrefix="1" applyNumberFormat="1" applyFont="1" applyAlignment="1" applyProtection="1">
      <alignment horizontal="center" vertical="center"/>
      <protection locked="0"/>
    </xf>
    <xf numFmtId="0" fontId="73" fillId="0" borderId="0" xfId="0" applyFont="1" applyAlignment="1" applyProtection="1">
      <alignment horizontal="center" vertical="center"/>
      <protection locked="0"/>
    </xf>
    <xf numFmtId="0" fontId="1" fillId="0" borderId="0" xfId="0" applyFont="1" applyAlignment="1" applyProtection="1">
      <alignment horizontal="center" vertical="center" wrapText="1"/>
      <protection locked="0"/>
    </xf>
    <xf numFmtId="14" fontId="1" fillId="41" borderId="0" xfId="0" applyNumberFormat="1" applyFont="1" applyFill="1" applyAlignment="1">
      <alignment horizontal="center" vertical="center"/>
    </xf>
    <xf numFmtId="14" fontId="1" fillId="47" borderId="0" xfId="0" applyNumberFormat="1" applyFont="1" applyFill="1" applyAlignment="1">
      <alignment horizontal="center" vertical="center"/>
    </xf>
    <xf numFmtId="170" fontId="1" fillId="48" borderId="17" xfId="0" applyNumberFormat="1" applyFont="1" applyFill="1" applyBorder="1" applyAlignment="1" applyProtection="1">
      <alignment horizontal="center" vertical="center"/>
      <protection locked="0"/>
    </xf>
    <xf numFmtId="0" fontId="80" fillId="0" borderId="0" xfId="0" applyFont="1" applyAlignment="1" applyProtection="1">
      <alignment horizontal="center" vertical="center"/>
      <protection locked="0"/>
    </xf>
    <xf numFmtId="0" fontId="1" fillId="48" borderId="17" xfId="0" quotePrefix="1" applyFont="1" applyFill="1" applyBorder="1" applyAlignment="1" applyProtection="1">
      <alignment horizontal="center" vertical="center"/>
      <protection locked="0"/>
    </xf>
    <xf numFmtId="0" fontId="80" fillId="0" borderId="64" xfId="0" applyFont="1" applyBorder="1" applyAlignment="1" applyProtection="1">
      <alignment horizontal="center" vertical="center"/>
      <protection locked="0"/>
    </xf>
    <xf numFmtId="2" fontId="1" fillId="43" borderId="64" xfId="0" quotePrefix="1" applyNumberFormat="1" applyFont="1" applyFill="1" applyBorder="1" applyAlignment="1" applyProtection="1">
      <alignment horizontal="center" vertical="center"/>
      <protection locked="0"/>
    </xf>
    <xf numFmtId="0" fontId="1" fillId="0" borderId="25" xfId="0" applyFont="1" applyBorder="1" applyAlignment="1" applyProtection="1">
      <alignment horizontal="center" vertical="center" wrapText="1"/>
      <protection locked="0"/>
    </xf>
    <xf numFmtId="0" fontId="84" fillId="49" borderId="50" xfId="0" applyFont="1" applyFill="1" applyBorder="1" applyAlignment="1">
      <alignment horizontal="center" vertical="center"/>
    </xf>
    <xf numFmtId="0" fontId="73" fillId="0" borderId="25" xfId="0" applyFont="1" applyBorder="1" applyAlignment="1" applyProtection="1">
      <alignment horizontal="center" vertical="center"/>
      <protection locked="0"/>
    </xf>
    <xf numFmtId="1" fontId="62" fillId="0" borderId="64" xfId="0" quotePrefix="1" applyNumberFormat="1" applyFont="1" applyBorder="1" applyAlignment="1" applyProtection="1">
      <alignment horizontal="center" vertical="center"/>
      <protection locked="0"/>
    </xf>
    <xf numFmtId="170" fontId="1" fillId="0" borderId="64" xfId="0" applyNumberFormat="1" applyFont="1" applyBorder="1" applyAlignment="1">
      <alignment horizontal="center" vertical="center"/>
    </xf>
    <xf numFmtId="0" fontId="55" fillId="33" borderId="66" xfId="696" applyFont="1" applyFill="1" applyBorder="1" applyAlignment="1">
      <alignment vertical="center" textRotation="90" wrapText="1"/>
    </xf>
    <xf numFmtId="0" fontId="48" fillId="0" borderId="17" xfId="0" applyFont="1" applyBorder="1" applyAlignment="1" applyProtection="1">
      <alignment horizontal="center" vertical="center"/>
      <protection locked="0"/>
    </xf>
    <xf numFmtId="0" fontId="74" fillId="0" borderId="17" xfId="0" applyFont="1" applyBorder="1" applyAlignment="1" applyProtection="1">
      <alignment horizontal="center" vertical="center"/>
      <protection locked="0"/>
    </xf>
    <xf numFmtId="2" fontId="1" fillId="51" borderId="93" xfId="0" applyNumberFormat="1" applyFont="1" applyFill="1" applyBorder="1" applyAlignment="1" applyProtection="1">
      <alignment horizontal="center" vertical="center"/>
      <protection locked="0"/>
    </xf>
    <xf numFmtId="0" fontId="85" fillId="0" borderId="64" xfId="0" applyFont="1" applyBorder="1" applyAlignment="1" applyProtection="1">
      <alignment horizontal="center" vertical="center"/>
      <protection locked="0"/>
    </xf>
    <xf numFmtId="2" fontId="1" fillId="31" borderId="97" xfId="0" applyNumberFormat="1" applyFont="1" applyFill="1" applyBorder="1" applyAlignment="1" applyProtection="1">
      <alignment horizontal="center" vertical="center"/>
      <protection locked="0"/>
    </xf>
    <xf numFmtId="2" fontId="1" fillId="58" borderId="97" xfId="0" applyNumberFormat="1" applyFont="1" applyFill="1" applyBorder="1" applyAlignment="1">
      <alignment horizontal="center" vertical="center"/>
    </xf>
    <xf numFmtId="2" fontId="1" fillId="59" borderId="97" xfId="0" applyNumberFormat="1" applyFont="1" applyFill="1" applyBorder="1" applyAlignment="1">
      <alignment horizontal="center" vertical="center"/>
    </xf>
    <xf numFmtId="2" fontId="1" fillId="44" borderId="97" xfId="0" applyNumberFormat="1" applyFont="1" applyFill="1" applyBorder="1" applyAlignment="1">
      <alignment horizontal="center" vertical="center"/>
    </xf>
    <xf numFmtId="166" fontId="1" fillId="47" borderId="28" xfId="0" applyNumberFormat="1" applyFont="1" applyFill="1" applyBorder="1" applyAlignment="1" applyProtection="1">
      <alignment horizontal="center" vertical="center"/>
      <protection locked="0"/>
    </xf>
    <xf numFmtId="0" fontId="1" fillId="47" borderId="17" xfId="0" quotePrefix="1" applyFont="1" applyFill="1" applyBorder="1" applyAlignment="1" applyProtection="1">
      <alignment horizontal="center" vertical="center"/>
      <protection locked="0"/>
    </xf>
    <xf numFmtId="170" fontId="1" fillId="47" borderId="17" xfId="0" applyNumberFormat="1" applyFont="1" applyFill="1" applyBorder="1" applyAlignment="1" applyProtection="1">
      <alignment horizontal="center" vertical="center"/>
      <protection locked="0"/>
    </xf>
    <xf numFmtId="168" fontId="1" fillId="47" borderId="17" xfId="0" applyNumberFormat="1" applyFont="1" applyFill="1" applyBorder="1" applyAlignment="1" applyProtection="1">
      <alignment horizontal="center" vertical="center"/>
      <protection locked="0"/>
    </xf>
    <xf numFmtId="1" fontId="1" fillId="47" borderId="17" xfId="0" applyNumberFormat="1" applyFont="1" applyFill="1" applyBorder="1" applyAlignment="1" applyProtection="1">
      <alignment horizontal="center" vertical="center"/>
      <protection locked="0"/>
    </xf>
    <xf numFmtId="165" fontId="1" fillId="47" borderId="17" xfId="0" applyNumberFormat="1" applyFont="1" applyFill="1" applyBorder="1" applyAlignment="1" applyProtection="1">
      <alignment horizontal="center" vertical="center"/>
      <protection locked="0"/>
    </xf>
    <xf numFmtId="0" fontId="1" fillId="47" borderId="17" xfId="0" applyFont="1" applyFill="1" applyBorder="1" applyAlignment="1" applyProtection="1">
      <alignment horizontal="center" vertical="center"/>
      <protection locked="0"/>
    </xf>
    <xf numFmtId="2" fontId="1" fillId="47" borderId="17" xfId="0" applyNumberFormat="1" applyFont="1" applyFill="1" applyBorder="1" applyAlignment="1" applyProtection="1">
      <alignment horizontal="center" vertical="center"/>
      <protection locked="0"/>
    </xf>
    <xf numFmtId="2" fontId="1" fillId="47" borderId="17" xfId="0" quotePrefix="1" applyNumberFormat="1" applyFont="1" applyFill="1" applyBorder="1" applyAlignment="1" applyProtection="1">
      <alignment horizontal="center" vertical="center"/>
      <protection locked="0"/>
    </xf>
    <xf numFmtId="49" fontId="1" fillId="47" borderId="17" xfId="0" applyNumberFormat="1" applyFont="1" applyFill="1" applyBorder="1" applyAlignment="1" applyProtection="1">
      <alignment horizontal="center" vertical="center"/>
      <protection locked="0"/>
    </xf>
    <xf numFmtId="0" fontId="34" fillId="0" borderId="17" xfId="0" applyFont="1" applyBorder="1" applyAlignment="1" applyProtection="1">
      <alignment horizontal="center" vertical="center"/>
      <protection locked="0"/>
    </xf>
    <xf numFmtId="1" fontId="34" fillId="0" borderId="17" xfId="0" applyNumberFormat="1" applyFont="1" applyBorder="1" applyAlignment="1" applyProtection="1">
      <alignment horizontal="center" vertical="center"/>
      <protection locked="0"/>
    </xf>
    <xf numFmtId="2" fontId="34" fillId="0" borderId="17" xfId="0" applyNumberFormat="1" applyFont="1" applyBorder="1" applyAlignment="1" applyProtection="1">
      <alignment horizontal="center" vertical="center"/>
      <protection locked="0"/>
    </xf>
    <xf numFmtId="2" fontId="1" fillId="46" borderId="97" xfId="0" applyNumberFormat="1" applyFont="1" applyFill="1" applyBorder="1" applyAlignment="1">
      <alignment horizontal="center" vertical="center"/>
    </xf>
    <xf numFmtId="0" fontId="86" fillId="0" borderId="17" xfId="0" applyFont="1" applyBorder="1" applyAlignment="1" applyProtection="1">
      <alignment horizontal="center" vertical="center"/>
      <protection locked="0"/>
    </xf>
    <xf numFmtId="0" fontId="86" fillId="0" borderId="64" xfId="0" applyFont="1" applyBorder="1" applyAlignment="1" applyProtection="1">
      <alignment horizontal="center" vertical="center"/>
      <protection locked="0"/>
    </xf>
    <xf numFmtId="0" fontId="86" fillId="54" borderId="17" xfId="0" applyFont="1" applyFill="1" applyBorder="1" applyAlignment="1" applyProtection="1">
      <alignment horizontal="center" vertical="center"/>
      <protection locked="0"/>
    </xf>
    <xf numFmtId="0" fontId="87" fillId="0" borderId="17" xfId="0" applyFont="1" applyBorder="1" applyAlignment="1" applyProtection="1">
      <alignment horizontal="center" vertical="center"/>
      <protection locked="0"/>
    </xf>
    <xf numFmtId="166" fontId="77" fillId="54" borderId="28" xfId="0" applyNumberFormat="1" applyFont="1" applyFill="1" applyBorder="1" applyAlignment="1" applyProtection="1">
      <alignment horizontal="center" vertical="center"/>
      <protection locked="0"/>
    </xf>
    <xf numFmtId="0" fontId="1" fillId="48" borderId="64" xfId="0" quotePrefix="1" applyFont="1" applyFill="1" applyBorder="1" applyAlignment="1" applyProtection="1">
      <alignment horizontal="center" vertical="center"/>
      <protection locked="0"/>
    </xf>
    <xf numFmtId="0" fontId="0" fillId="0" borderId="17" xfId="0" applyBorder="1" applyAlignment="1">
      <alignment horizontal="left" vertical="center" wrapText="1"/>
    </xf>
    <xf numFmtId="0" fontId="2" fillId="0" borderId="17" xfId="0" applyFont="1" applyBorder="1" applyAlignment="1">
      <alignment horizontal="left" vertical="center" wrapText="1"/>
    </xf>
    <xf numFmtId="0" fontId="88" fillId="0" borderId="17" xfId="0" applyFont="1" applyBorder="1" applyAlignment="1" applyProtection="1">
      <alignment horizontal="center" vertical="center"/>
      <protection locked="0"/>
    </xf>
    <xf numFmtId="0" fontId="0" fillId="0" borderId="0" xfId="0" applyAlignment="1">
      <alignment horizontal="center" vertical="center"/>
    </xf>
    <xf numFmtId="14" fontId="0" fillId="0" borderId="0" xfId="0" applyNumberFormat="1" applyAlignment="1">
      <alignment horizontal="center" vertical="center"/>
    </xf>
    <xf numFmtId="0" fontId="2" fillId="0" borderId="0" xfId="0" applyFont="1" applyAlignment="1">
      <alignment horizontal="left" vertical="center" wrapText="1"/>
    </xf>
    <xf numFmtId="0" fontId="34" fillId="57" borderId="17" xfId="0" applyFont="1" applyFill="1" applyBorder="1" applyAlignment="1">
      <alignment horizontal="center" vertical="center"/>
    </xf>
    <xf numFmtId="0" fontId="1" fillId="0" borderId="0" xfId="0" applyFont="1" applyAlignment="1">
      <alignment horizontal="left"/>
    </xf>
    <xf numFmtId="0" fontId="0" fillId="0" borderId="18" xfId="0" applyBorder="1" applyAlignment="1">
      <alignment horizontal="center" vertical="center"/>
    </xf>
    <xf numFmtId="0" fontId="0" fillId="0" borderId="64" xfId="0" applyBorder="1" applyAlignment="1">
      <alignment horizontal="center" vertical="center"/>
    </xf>
    <xf numFmtId="14" fontId="0" fillId="0" borderId="18" xfId="0" quotePrefix="1" applyNumberFormat="1" applyBorder="1" applyAlignment="1">
      <alignment horizontal="center" vertical="center"/>
    </xf>
    <xf numFmtId="14" fontId="0" fillId="0" borderId="19" xfId="0" quotePrefix="1" applyNumberFormat="1" applyBorder="1" applyAlignment="1">
      <alignment horizontal="center" vertical="center"/>
    </xf>
    <xf numFmtId="14" fontId="0" fillId="0" borderId="64" xfId="0" quotePrefix="1" applyNumberFormat="1" applyBorder="1" applyAlignment="1">
      <alignment horizontal="center" vertical="center"/>
    </xf>
    <xf numFmtId="0" fontId="0" fillId="0" borderId="19" xfId="0" applyBorder="1" applyAlignment="1">
      <alignment horizontal="center" vertical="center"/>
    </xf>
    <xf numFmtId="14" fontId="0" fillId="0" borderId="18" xfId="0" applyNumberFormat="1" applyBorder="1" applyAlignment="1">
      <alignment horizontal="center" vertical="center"/>
    </xf>
    <xf numFmtId="14" fontId="0" fillId="0" borderId="19" xfId="0" applyNumberFormat="1" applyBorder="1" applyAlignment="1">
      <alignment horizontal="center" vertical="center"/>
    </xf>
    <xf numFmtId="14" fontId="0" fillId="0" borderId="64" xfId="0" applyNumberFormat="1" applyBorder="1" applyAlignment="1">
      <alignment horizontal="center" vertical="center"/>
    </xf>
    <xf numFmtId="0" fontId="0" fillId="0" borderId="17" xfId="0" applyBorder="1" applyAlignment="1">
      <alignment horizontal="center" vertical="center"/>
    </xf>
    <xf numFmtId="0" fontId="1" fillId="0" borderId="18" xfId="0" applyFont="1" applyBorder="1" applyAlignment="1">
      <alignment horizontal="center" vertical="center"/>
    </xf>
    <xf numFmtId="0" fontId="1" fillId="0" borderId="64" xfId="0" applyFont="1" applyBorder="1" applyAlignment="1">
      <alignment horizontal="center" vertical="center"/>
    </xf>
    <xf numFmtId="49" fontId="2" fillId="57" borderId="15" xfId="0" applyNumberFormat="1" applyFont="1" applyFill="1" applyBorder="1" applyAlignment="1">
      <alignment horizontal="center" vertical="center"/>
    </xf>
    <xf numFmtId="49" fontId="1" fillId="0" borderId="114" xfId="0" applyNumberFormat="1" applyFont="1" applyBorder="1" applyAlignment="1" applyProtection="1">
      <alignment horizontal="center" vertical="center"/>
      <protection locked="0"/>
    </xf>
    <xf numFmtId="49" fontId="1" fillId="0" borderId="95" xfId="0" applyNumberFormat="1" applyFont="1" applyBorder="1" applyAlignment="1" applyProtection="1">
      <alignment horizontal="center" vertical="center"/>
      <protection locked="0"/>
    </xf>
    <xf numFmtId="49" fontId="1" fillId="0" borderId="96" xfId="0" applyNumberFormat="1" applyFont="1" applyBorder="1" applyAlignment="1" applyProtection="1">
      <alignment horizontal="center" vertical="center"/>
      <protection locked="0"/>
    </xf>
    <xf numFmtId="49" fontId="1" fillId="0" borderId="94" xfId="0" applyNumberFormat="1" applyFont="1" applyBorder="1" applyAlignment="1" applyProtection="1">
      <alignment horizontal="center" vertical="center"/>
      <protection locked="0"/>
    </xf>
    <xf numFmtId="0" fontId="3" fillId="30" borderId="27" xfId="0" applyFont="1" applyFill="1" applyBorder="1" applyAlignment="1" applyProtection="1">
      <alignment horizontal="center" vertical="center"/>
      <protection locked="0"/>
    </xf>
    <xf numFmtId="0" fontId="3" fillId="30" borderId="41" xfId="0" applyFont="1" applyFill="1" applyBorder="1" applyAlignment="1" applyProtection="1">
      <alignment horizontal="center" vertical="center"/>
      <protection locked="0"/>
    </xf>
    <xf numFmtId="0" fontId="3" fillId="30" borderId="42" xfId="0" applyFont="1" applyFill="1" applyBorder="1" applyAlignment="1" applyProtection="1">
      <alignment horizontal="center" vertical="center"/>
      <protection locked="0"/>
    </xf>
    <xf numFmtId="0" fontId="2" fillId="70" borderId="17" xfId="0" applyFont="1" applyFill="1" applyBorder="1" applyAlignment="1" applyProtection="1">
      <alignment horizontal="center" vertical="center" wrapText="1"/>
      <protection locked="0"/>
    </xf>
    <xf numFmtId="0" fontId="2" fillId="70" borderId="17" xfId="0" applyFont="1" applyFill="1" applyBorder="1" applyAlignment="1" applyProtection="1">
      <alignment horizontal="center" vertical="center"/>
      <protection locked="0"/>
    </xf>
    <xf numFmtId="0" fontId="2" fillId="70" borderId="22" xfId="0" applyFont="1" applyFill="1" applyBorder="1" applyAlignment="1" applyProtection="1">
      <alignment horizontal="center" vertical="center" wrapText="1"/>
      <protection locked="0"/>
    </xf>
    <xf numFmtId="0" fontId="2" fillId="70" borderId="35" xfId="0" applyFont="1" applyFill="1" applyBorder="1" applyAlignment="1" applyProtection="1">
      <alignment horizontal="center" vertical="center" wrapText="1"/>
      <protection locked="0"/>
    </xf>
    <xf numFmtId="0" fontId="2" fillId="70" borderId="24" xfId="0" applyFont="1" applyFill="1" applyBorder="1" applyAlignment="1" applyProtection="1">
      <alignment horizontal="center" vertical="center" wrapText="1"/>
      <protection locked="0"/>
    </xf>
    <xf numFmtId="0" fontId="3" fillId="31" borderId="26" xfId="0" applyFont="1" applyFill="1" applyBorder="1" applyAlignment="1" applyProtection="1">
      <alignment horizontal="center" vertical="center"/>
      <protection locked="0"/>
    </xf>
    <xf numFmtId="0" fontId="3" fillId="31" borderId="14" xfId="0" applyFont="1" applyFill="1" applyBorder="1" applyAlignment="1" applyProtection="1">
      <alignment horizontal="center" vertical="center"/>
      <protection locked="0"/>
    </xf>
    <xf numFmtId="0" fontId="3" fillId="31" borderId="30" xfId="0" applyFont="1" applyFill="1" applyBorder="1" applyAlignment="1" applyProtection="1">
      <alignment horizontal="center" vertical="center"/>
      <protection locked="0"/>
    </xf>
    <xf numFmtId="0" fontId="2" fillId="28" borderId="26" xfId="0" applyFont="1" applyFill="1" applyBorder="1" applyAlignment="1" applyProtection="1">
      <alignment horizontal="center" vertical="center" wrapText="1"/>
      <protection locked="0"/>
    </xf>
    <xf numFmtId="0" fontId="2" fillId="28" borderId="14" xfId="0" applyFont="1" applyFill="1" applyBorder="1" applyAlignment="1" applyProtection="1">
      <alignment horizontal="center" vertical="center" wrapText="1"/>
      <protection locked="0"/>
    </xf>
    <xf numFmtId="0" fontId="2" fillId="28" borderId="30" xfId="0" applyFont="1" applyFill="1" applyBorder="1" applyAlignment="1" applyProtection="1">
      <alignment horizontal="center" vertical="center" wrapText="1"/>
      <protection locked="0"/>
    </xf>
    <xf numFmtId="0" fontId="2" fillId="28" borderId="26" xfId="0" applyFont="1" applyFill="1" applyBorder="1" applyAlignment="1" applyProtection="1">
      <alignment horizontal="center" vertical="center"/>
      <protection locked="0"/>
    </xf>
    <xf numFmtId="0" fontId="2" fillId="28" borderId="14" xfId="0" applyFont="1" applyFill="1" applyBorder="1" applyAlignment="1" applyProtection="1">
      <alignment horizontal="center" vertical="center"/>
      <protection locked="0"/>
    </xf>
    <xf numFmtId="0" fontId="2" fillId="28" borderId="30" xfId="0" applyFont="1" applyFill="1" applyBorder="1" applyAlignment="1" applyProtection="1">
      <alignment horizontal="center" vertical="center"/>
      <protection locked="0"/>
    </xf>
    <xf numFmtId="0" fontId="3" fillId="27" borderId="26" xfId="0" applyFont="1" applyFill="1" applyBorder="1" applyAlignment="1">
      <alignment horizontal="center" vertical="center"/>
    </xf>
    <xf numFmtId="0" fontId="3" fillId="27" borderId="14" xfId="0" applyFont="1" applyFill="1" applyBorder="1" applyAlignment="1">
      <alignment horizontal="center" vertical="center"/>
    </xf>
    <xf numFmtId="0" fontId="3" fillId="27" borderId="30" xfId="0" applyFont="1" applyFill="1" applyBorder="1" applyAlignment="1">
      <alignment horizontal="center" vertical="center"/>
    </xf>
    <xf numFmtId="0" fontId="2" fillId="26" borderId="26" xfId="0" applyFont="1" applyFill="1" applyBorder="1" applyAlignment="1">
      <alignment horizontal="center" vertical="center" wrapText="1"/>
    </xf>
    <xf numFmtId="0" fontId="2" fillId="26" borderId="14" xfId="0" applyFont="1" applyFill="1" applyBorder="1" applyAlignment="1">
      <alignment horizontal="center" vertical="center" wrapText="1"/>
    </xf>
    <xf numFmtId="0" fontId="2" fillId="26" borderId="30" xfId="0" applyFont="1" applyFill="1" applyBorder="1" applyAlignment="1">
      <alignment horizontal="center" vertical="center" wrapText="1"/>
    </xf>
    <xf numFmtId="0" fontId="3" fillId="59" borderId="26" xfId="0" applyFont="1" applyFill="1" applyBorder="1" applyAlignment="1">
      <alignment horizontal="center" vertical="center"/>
    </xf>
    <xf numFmtId="0" fontId="3" fillId="59" borderId="14" xfId="0" applyFont="1" applyFill="1" applyBorder="1" applyAlignment="1">
      <alignment horizontal="center" vertical="center"/>
    </xf>
    <xf numFmtId="0" fontId="3" fillId="59" borderId="30" xfId="0" applyFont="1" applyFill="1" applyBorder="1" applyAlignment="1">
      <alignment horizontal="center" vertical="center"/>
    </xf>
    <xf numFmtId="0" fontId="2" fillId="60" borderId="26" xfId="0" applyFont="1" applyFill="1" applyBorder="1" applyAlignment="1">
      <alignment horizontal="center" vertical="center" wrapText="1"/>
    </xf>
    <xf numFmtId="0" fontId="2" fillId="60" borderId="14" xfId="0" applyFont="1" applyFill="1" applyBorder="1" applyAlignment="1">
      <alignment horizontal="center" vertical="center" wrapText="1"/>
    </xf>
    <xf numFmtId="0" fontId="2" fillId="60" borderId="30" xfId="0" applyFont="1" applyFill="1" applyBorder="1" applyAlignment="1">
      <alignment horizontal="center" vertical="center" wrapText="1"/>
    </xf>
    <xf numFmtId="166" fontId="1" fillId="0" borderId="102" xfId="0" applyNumberFormat="1" applyFont="1" applyBorder="1" applyAlignment="1" applyProtection="1">
      <alignment horizontal="center" vertical="center" wrapText="1"/>
      <protection locked="0"/>
    </xf>
    <xf numFmtId="166" fontId="1" fillId="0" borderId="69" xfId="0" applyNumberFormat="1" applyFont="1" applyBorder="1" applyAlignment="1" applyProtection="1">
      <alignment horizontal="center" vertical="center"/>
      <protection locked="0"/>
    </xf>
    <xf numFmtId="166" fontId="1" fillId="0" borderId="103" xfId="0" applyNumberFormat="1" applyFont="1" applyBorder="1" applyAlignment="1" applyProtection="1">
      <alignment horizontal="center" vertical="center"/>
      <protection locked="0"/>
    </xf>
    <xf numFmtId="0" fontId="3" fillId="44" borderId="26" xfId="0" applyFont="1" applyFill="1" applyBorder="1" applyAlignment="1">
      <alignment horizontal="center" vertical="center"/>
    </xf>
    <xf numFmtId="0" fontId="3" fillId="44" borderId="14" xfId="0" applyFont="1" applyFill="1" applyBorder="1" applyAlignment="1">
      <alignment horizontal="center" vertical="center"/>
    </xf>
    <xf numFmtId="0" fontId="3" fillId="44" borderId="30" xfId="0" applyFont="1" applyFill="1" applyBorder="1" applyAlignment="1">
      <alignment horizontal="center" vertical="center"/>
    </xf>
    <xf numFmtId="0" fontId="2" fillId="45" borderId="26" xfId="0" applyFont="1" applyFill="1" applyBorder="1" applyAlignment="1">
      <alignment horizontal="center" vertical="center" wrapText="1"/>
    </xf>
    <xf numFmtId="0" fontId="2" fillId="45" borderId="14" xfId="0" applyFont="1" applyFill="1" applyBorder="1" applyAlignment="1">
      <alignment horizontal="center" vertical="center" wrapText="1"/>
    </xf>
    <xf numFmtId="0" fontId="2" fillId="45" borderId="30" xfId="0" applyFont="1" applyFill="1" applyBorder="1" applyAlignment="1">
      <alignment horizontal="center" vertical="center" wrapText="1"/>
    </xf>
    <xf numFmtId="0" fontId="3" fillId="46" borderId="26" xfId="0" applyFont="1" applyFill="1" applyBorder="1" applyAlignment="1">
      <alignment horizontal="center" vertical="center"/>
    </xf>
    <xf numFmtId="0" fontId="3" fillId="46" borderId="14" xfId="0" applyFont="1" applyFill="1" applyBorder="1" applyAlignment="1">
      <alignment horizontal="center" vertical="center"/>
    </xf>
    <xf numFmtId="0" fontId="3" fillId="46" borderId="30" xfId="0" applyFont="1" applyFill="1" applyBorder="1" applyAlignment="1">
      <alignment horizontal="center" vertical="center"/>
    </xf>
    <xf numFmtId="0" fontId="2" fillId="42" borderId="26" xfId="0" applyFont="1" applyFill="1" applyBorder="1" applyAlignment="1">
      <alignment horizontal="center" vertical="center" wrapText="1"/>
    </xf>
    <xf numFmtId="0" fontId="2" fillId="42" borderId="14" xfId="0" applyFont="1" applyFill="1" applyBorder="1" applyAlignment="1">
      <alignment horizontal="center" vertical="center" wrapText="1"/>
    </xf>
    <xf numFmtId="0" fontId="2" fillId="42" borderId="30" xfId="0" applyFont="1" applyFill="1" applyBorder="1" applyAlignment="1">
      <alignment horizontal="center" vertical="center" wrapText="1"/>
    </xf>
    <xf numFmtId="0" fontId="1" fillId="72" borderId="46" xfId="0" applyFont="1" applyFill="1" applyBorder="1" applyAlignment="1">
      <alignment horizontal="center"/>
    </xf>
    <xf numFmtId="0" fontId="1" fillId="51" borderId="46" xfId="0" applyFont="1" applyFill="1" applyBorder="1" applyAlignment="1">
      <alignment horizontal="center"/>
    </xf>
    <xf numFmtId="0" fontId="1" fillId="31" borderId="46" xfId="0" applyFont="1" applyFill="1" applyBorder="1" applyAlignment="1">
      <alignment horizontal="center"/>
    </xf>
    <xf numFmtId="0" fontId="1" fillId="48" borderId="46" xfId="0" applyFont="1" applyFill="1" applyBorder="1" applyAlignment="1">
      <alignment horizontal="center"/>
    </xf>
    <xf numFmtId="0" fontId="1" fillId="59" borderId="46" xfId="0" applyFont="1" applyFill="1" applyBorder="1" applyAlignment="1">
      <alignment horizontal="center"/>
    </xf>
    <xf numFmtId="0" fontId="1" fillId="78" borderId="46" xfId="0" applyFont="1" applyFill="1" applyBorder="1" applyAlignment="1">
      <alignment horizontal="center"/>
    </xf>
    <xf numFmtId="0" fontId="4" fillId="31" borderId="22" xfId="0" applyFont="1" applyFill="1" applyBorder="1" applyAlignment="1">
      <alignment horizontal="center" vertical="center"/>
    </xf>
    <xf numFmtId="0" fontId="4" fillId="31" borderId="35" xfId="0" applyFont="1" applyFill="1" applyBorder="1" applyAlignment="1">
      <alignment horizontal="center" vertical="center"/>
    </xf>
    <xf numFmtId="0" fontId="4" fillId="31" borderId="24" xfId="0" applyFont="1" applyFill="1" applyBorder="1" applyAlignment="1">
      <alignment horizontal="center" vertical="center"/>
    </xf>
    <xf numFmtId="0" fontId="1" fillId="0" borderId="19" xfId="0" applyFont="1" applyBorder="1" applyAlignment="1">
      <alignment horizontal="center" vertical="center"/>
    </xf>
    <xf numFmtId="0" fontId="1" fillId="0" borderId="49" xfId="0" applyFont="1" applyBorder="1" applyAlignment="1">
      <alignment horizontal="center" vertical="center"/>
    </xf>
    <xf numFmtId="0" fontId="65" fillId="0" borderId="17" xfId="0" applyFont="1" applyBorder="1" applyAlignment="1">
      <alignment horizontal="center" vertical="center"/>
    </xf>
    <xf numFmtId="0" fontId="65" fillId="0" borderId="25" xfId="0" applyFont="1" applyBorder="1" applyAlignment="1">
      <alignment horizontal="center" vertical="center"/>
    </xf>
    <xf numFmtId="0" fontId="46" fillId="0" borderId="20" xfId="0" applyFont="1" applyBorder="1" applyAlignment="1">
      <alignment horizontal="center" vertical="center" wrapText="1"/>
    </xf>
    <xf numFmtId="0" fontId="46" fillId="0" borderId="0" xfId="0" applyFont="1" applyAlignment="1">
      <alignment horizontal="center" vertical="center" wrapText="1"/>
    </xf>
    <xf numFmtId="0" fontId="47" fillId="0" borderId="18" xfId="0" applyFont="1" applyBorder="1" applyAlignment="1">
      <alignment horizontal="center" vertical="center"/>
    </xf>
    <xf numFmtId="0" fontId="47" fillId="0" borderId="19" xfId="0" applyFont="1" applyBorder="1" applyAlignment="1">
      <alignment horizontal="center" vertical="center"/>
    </xf>
    <xf numFmtId="0" fontId="47" fillId="0" borderId="64" xfId="0" applyFont="1" applyBorder="1" applyAlignment="1">
      <alignment horizontal="center" vertical="center"/>
    </xf>
    <xf numFmtId="0" fontId="71" fillId="0" borderId="17" xfId="0" applyFont="1" applyBorder="1" applyAlignment="1">
      <alignment horizontal="center" vertical="center"/>
    </xf>
    <xf numFmtId="0" fontId="1" fillId="0" borderId="102" xfId="0" applyFont="1" applyBorder="1" applyAlignment="1">
      <alignment horizontal="center" vertical="center"/>
    </xf>
    <xf numFmtId="0" fontId="1" fillId="0" borderId="69" xfId="0" applyFont="1" applyBorder="1" applyAlignment="1">
      <alignment horizontal="center" vertical="center"/>
    </xf>
    <xf numFmtId="0" fontId="1" fillId="0" borderId="70" xfId="0" applyFont="1" applyBorder="1" applyAlignment="1">
      <alignment horizontal="center" vertical="center"/>
    </xf>
    <xf numFmtId="0" fontId="65" fillId="0" borderId="18" xfId="0" applyFont="1" applyBorder="1" applyAlignment="1">
      <alignment horizontal="center" vertical="center"/>
    </xf>
    <xf numFmtId="0" fontId="65" fillId="0" borderId="19" xfId="0" applyFont="1" applyBorder="1" applyAlignment="1">
      <alignment horizontal="center" vertical="center"/>
    </xf>
    <xf numFmtId="0" fontId="65" fillId="0" borderId="66" xfId="0" applyFont="1" applyBorder="1" applyAlignment="1">
      <alignment horizontal="center" vertical="center"/>
    </xf>
    <xf numFmtId="0" fontId="65" fillId="62" borderId="101" xfId="0" applyFont="1" applyFill="1" applyBorder="1" applyAlignment="1">
      <alignment horizontal="center" vertical="center" wrapText="1"/>
    </xf>
    <xf numFmtId="0" fontId="65" fillId="62" borderId="19" xfId="0" applyFont="1" applyFill="1" applyBorder="1" applyAlignment="1">
      <alignment horizontal="center" vertical="center" wrapText="1"/>
    </xf>
    <xf numFmtId="0" fontId="1" fillId="69" borderId="101" xfId="0" applyFont="1" applyFill="1" applyBorder="1" applyAlignment="1">
      <alignment horizontal="center" vertical="center"/>
    </xf>
    <xf numFmtId="0" fontId="1" fillId="69" borderId="19" xfId="0" applyFont="1" applyFill="1" applyBorder="1" applyAlignment="1">
      <alignment horizontal="center" vertical="center"/>
    </xf>
    <xf numFmtId="0" fontId="65" fillId="62" borderId="41" xfId="0" applyFont="1" applyFill="1" applyBorder="1" applyAlignment="1">
      <alignment horizontal="center" vertical="center"/>
    </xf>
    <xf numFmtId="0" fontId="65" fillId="62" borderId="18" xfId="0" applyFont="1" applyFill="1" applyBorder="1" applyAlignment="1">
      <alignment horizontal="center" vertical="center"/>
    </xf>
    <xf numFmtId="0" fontId="71" fillId="62" borderId="63" xfId="0" applyFont="1" applyFill="1" applyBorder="1" applyAlignment="1">
      <alignment horizontal="center" vertical="center" wrapText="1"/>
    </xf>
    <xf numFmtId="0" fontId="71" fillId="62" borderId="22" xfId="0" applyFont="1" applyFill="1" applyBorder="1" applyAlignment="1">
      <alignment horizontal="center" vertical="center" wrapText="1"/>
    </xf>
    <xf numFmtId="0" fontId="46" fillId="69" borderId="19" xfId="0" applyFont="1" applyFill="1" applyBorder="1" applyAlignment="1">
      <alignment horizontal="center" vertical="center"/>
    </xf>
    <xf numFmtId="0" fontId="46" fillId="69" borderId="64" xfId="0" applyFont="1" applyFill="1" applyBorder="1" applyAlignment="1">
      <alignment horizontal="center" vertical="center"/>
    </xf>
    <xf numFmtId="0" fontId="71" fillId="62" borderId="19" xfId="0" applyFont="1" applyFill="1" applyBorder="1" applyAlignment="1">
      <alignment horizontal="center" vertical="center" wrapText="1"/>
    </xf>
    <xf numFmtId="0" fontId="71" fillId="62" borderId="64" xfId="0" applyFont="1" applyFill="1" applyBorder="1" applyAlignment="1">
      <alignment horizontal="center" vertical="center" wrapText="1"/>
    </xf>
    <xf numFmtId="0" fontId="65" fillId="62" borderId="27" xfId="0" applyFont="1" applyFill="1" applyBorder="1" applyAlignment="1">
      <alignment horizontal="center" vertical="center" wrapText="1"/>
    </xf>
    <xf numFmtId="0" fontId="65" fillId="62" borderId="28" xfId="0" applyFont="1" applyFill="1" applyBorder="1" applyAlignment="1">
      <alignment horizontal="center" vertical="center" wrapText="1"/>
    </xf>
    <xf numFmtId="0" fontId="65" fillId="62" borderId="66" xfId="0" applyFont="1" applyFill="1" applyBorder="1" applyAlignment="1">
      <alignment horizontal="center" vertical="center" wrapText="1"/>
    </xf>
    <xf numFmtId="0" fontId="4" fillId="79" borderId="22" xfId="0" applyFont="1" applyFill="1" applyBorder="1" applyAlignment="1">
      <alignment horizontal="center" vertical="center"/>
    </xf>
    <xf numFmtId="0" fontId="4" fillId="79" borderId="35" xfId="0" applyFont="1" applyFill="1" applyBorder="1" applyAlignment="1">
      <alignment horizontal="center" vertical="center"/>
    </xf>
    <xf numFmtId="0" fontId="4" fillId="79" borderId="24" xfId="0" applyFont="1" applyFill="1" applyBorder="1" applyAlignment="1">
      <alignment horizontal="center" vertical="center"/>
    </xf>
    <xf numFmtId="0" fontId="65" fillId="62" borderId="66" xfId="0" applyFont="1" applyFill="1" applyBorder="1" applyAlignment="1">
      <alignment horizontal="center" vertical="center"/>
    </xf>
    <xf numFmtId="0" fontId="65" fillId="62" borderId="17" xfId="0" applyFont="1" applyFill="1" applyBorder="1" applyAlignment="1">
      <alignment horizontal="center" vertical="center"/>
    </xf>
    <xf numFmtId="0" fontId="2" fillId="61" borderId="26" xfId="0" applyFont="1" applyFill="1" applyBorder="1" applyAlignment="1">
      <alignment horizontal="center" vertical="center"/>
    </xf>
    <xf numFmtId="0" fontId="2" fillId="61" borderId="14" xfId="0" applyFont="1" applyFill="1" applyBorder="1" applyAlignment="1">
      <alignment horizontal="center" vertical="center"/>
    </xf>
    <xf numFmtId="0" fontId="2" fillId="61" borderId="30" xfId="0" applyFont="1" applyFill="1" applyBorder="1" applyAlignment="1">
      <alignment horizontal="center" vertical="center"/>
    </xf>
    <xf numFmtId="0" fontId="65" fillId="62" borderId="103" xfId="0" applyFont="1" applyFill="1" applyBorder="1" applyAlignment="1">
      <alignment horizontal="center" vertical="center" wrapText="1"/>
    </xf>
    <xf numFmtId="0" fontId="65" fillId="62" borderId="66" xfId="0" applyFont="1" applyFill="1" applyBorder="1" applyAlignment="1">
      <alignment horizontal="justify" vertical="center" wrapText="1"/>
    </xf>
    <xf numFmtId="0" fontId="65" fillId="62" borderId="17" xfId="0" applyFont="1" applyFill="1" applyBorder="1" applyAlignment="1">
      <alignment horizontal="justify" vertical="center" wrapText="1"/>
    </xf>
    <xf numFmtId="0" fontId="65" fillId="62" borderId="41" xfId="0" applyFont="1" applyFill="1" applyBorder="1" applyAlignment="1">
      <alignment horizontal="center" vertical="center" wrapText="1"/>
    </xf>
    <xf numFmtId="0" fontId="65" fillId="62" borderId="17" xfId="0" applyFont="1" applyFill="1" applyBorder="1" applyAlignment="1">
      <alignment horizontal="center" vertical="center" wrapText="1"/>
    </xf>
    <xf numFmtId="0" fontId="65" fillId="62" borderId="41" xfId="0" applyFont="1" applyFill="1" applyBorder="1" applyAlignment="1">
      <alignment horizontal="justify" vertical="center" wrapText="1"/>
    </xf>
    <xf numFmtId="0" fontId="2" fillId="61" borderId="38" xfId="0" applyFont="1" applyFill="1" applyBorder="1" applyAlignment="1">
      <alignment horizontal="center" vertical="center"/>
    </xf>
    <xf numFmtId="0" fontId="2" fillId="61" borderId="51" xfId="0" applyFont="1" applyFill="1" applyBorder="1" applyAlignment="1">
      <alignment horizontal="center" vertical="center"/>
    </xf>
    <xf numFmtId="0" fontId="2" fillId="61" borderId="39" xfId="0" applyFont="1" applyFill="1" applyBorder="1" applyAlignment="1">
      <alignment horizontal="center" vertical="center"/>
    </xf>
    <xf numFmtId="0" fontId="65" fillId="62" borderId="52" xfId="0" applyFont="1" applyFill="1" applyBorder="1" applyAlignment="1">
      <alignment horizontal="center" vertical="center" wrapText="1"/>
    </xf>
    <xf numFmtId="0" fontId="65" fillId="62" borderId="105" xfId="0" applyFont="1" applyFill="1" applyBorder="1" applyAlignment="1">
      <alignment horizontal="center" vertical="center" wrapText="1"/>
    </xf>
    <xf numFmtId="0" fontId="1" fillId="0" borderId="38" xfId="0" applyFont="1" applyBorder="1" applyAlignment="1">
      <alignment horizontal="center" vertical="center"/>
    </xf>
    <xf numFmtId="0" fontId="1" fillId="0" borderId="36" xfId="0" applyFont="1" applyBorder="1" applyAlignment="1">
      <alignment horizontal="center" vertical="center"/>
    </xf>
    <xf numFmtId="0" fontId="1" fillId="0" borderId="37" xfId="0" applyFont="1" applyBorder="1" applyAlignment="1">
      <alignment horizontal="center" vertical="center"/>
    </xf>
    <xf numFmtId="0" fontId="2" fillId="0" borderId="107" xfId="0" applyFont="1" applyBorder="1" applyAlignment="1">
      <alignment horizontal="left" vertical="center" wrapText="1"/>
    </xf>
    <xf numFmtId="0" fontId="2" fillId="0" borderId="108" xfId="0" applyFont="1" applyBorder="1" applyAlignment="1">
      <alignment horizontal="left" vertical="center" wrapText="1"/>
    </xf>
    <xf numFmtId="0" fontId="2" fillId="0" borderId="109" xfId="0" applyFont="1" applyBorder="1" applyAlignment="1">
      <alignment horizontal="left" vertical="center" wrapText="1"/>
    </xf>
    <xf numFmtId="0" fontId="65" fillId="62" borderId="102" xfId="0" applyFont="1" applyFill="1" applyBorder="1" applyAlignment="1">
      <alignment horizontal="center" vertical="center" wrapText="1"/>
    </xf>
    <xf numFmtId="0" fontId="2" fillId="0" borderId="22" xfId="0" quotePrefix="1" applyFont="1" applyBorder="1" applyAlignment="1">
      <alignment horizontal="left" vertical="center" wrapText="1"/>
    </xf>
    <xf numFmtId="0" fontId="2" fillId="0" borderId="35" xfId="0" applyFont="1" applyBorder="1" applyAlignment="1">
      <alignment horizontal="left" vertical="center" wrapText="1"/>
    </xf>
    <xf numFmtId="0" fontId="2" fillId="0" borderId="106" xfId="0" applyFont="1" applyBorder="1" applyAlignment="1">
      <alignment horizontal="left" vertical="center" wrapText="1"/>
    </xf>
    <xf numFmtId="0" fontId="1" fillId="69" borderId="66" xfId="0" applyFont="1" applyFill="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0" xfId="0" applyFont="1" applyAlignment="1">
      <alignment horizontal="center" vertical="center" wrapText="1"/>
    </xf>
    <xf numFmtId="0" fontId="2" fillId="45" borderId="63" xfId="0" applyFont="1" applyFill="1" applyBorder="1" applyAlignment="1">
      <alignment horizontal="center" vertical="center" wrapText="1"/>
    </xf>
    <xf numFmtId="0" fontId="2" fillId="45" borderId="15" xfId="0" applyFont="1" applyFill="1" applyBorder="1" applyAlignment="1">
      <alignment horizontal="center" vertical="center" wrapText="1"/>
    </xf>
    <xf numFmtId="0" fontId="1" fillId="0" borderId="22" xfId="0" applyFont="1" applyBorder="1" applyAlignment="1">
      <alignment horizontal="center" vertical="center"/>
    </xf>
    <xf numFmtId="0" fontId="1" fillId="0" borderId="35" xfId="0" applyFont="1" applyBorder="1" applyAlignment="1">
      <alignment horizontal="center" vertical="center"/>
    </xf>
    <xf numFmtId="2" fontId="2" fillId="45" borderId="22" xfId="0" applyNumberFormat="1" applyFont="1" applyFill="1" applyBorder="1" applyAlignment="1">
      <alignment horizontal="center" vertical="center" wrapText="1"/>
    </xf>
    <xf numFmtId="2" fontId="2" fillId="45" borderId="35" xfId="0" applyNumberFormat="1" applyFont="1" applyFill="1" applyBorder="1" applyAlignment="1">
      <alignment horizontal="center" vertical="center"/>
    </xf>
    <xf numFmtId="0" fontId="2" fillId="45" borderId="17" xfId="0" applyFont="1" applyFill="1" applyBorder="1" applyAlignment="1">
      <alignment horizontal="center" vertical="center" wrapText="1"/>
    </xf>
    <xf numFmtId="0" fontId="1" fillId="0" borderId="24" xfId="0" applyFont="1" applyBorder="1" applyAlignment="1">
      <alignment horizontal="center" vertical="center"/>
    </xf>
    <xf numFmtId="0" fontId="3" fillId="0" borderId="17" xfId="0" applyFont="1" applyBorder="1" applyAlignment="1">
      <alignment horizontal="center" vertical="center" textRotation="180"/>
    </xf>
    <xf numFmtId="0" fontId="2" fillId="76" borderId="22" xfId="0" applyFont="1" applyFill="1" applyBorder="1" applyAlignment="1">
      <alignment horizontal="center" vertical="center" wrapText="1"/>
    </xf>
    <xf numFmtId="0" fontId="2" fillId="76" borderId="35" xfId="0" applyFont="1" applyFill="1" applyBorder="1" applyAlignment="1">
      <alignment horizontal="center" vertical="center" wrapText="1"/>
    </xf>
    <xf numFmtId="0" fontId="2" fillId="76" borderId="24" xfId="0" applyFont="1" applyFill="1" applyBorder="1" applyAlignment="1">
      <alignment horizontal="center" vertical="center" wrapText="1"/>
    </xf>
    <xf numFmtId="0" fontId="2" fillId="76" borderId="63" xfId="0" applyFont="1" applyFill="1" applyBorder="1" applyAlignment="1">
      <alignment horizontal="center" vertical="center" wrapText="1"/>
    </xf>
    <xf numFmtId="0" fontId="2" fillId="76" borderId="15" xfId="0" applyFont="1" applyFill="1" applyBorder="1" applyAlignment="1">
      <alignment horizontal="center" vertical="center" wrapText="1"/>
    </xf>
    <xf numFmtId="0" fontId="2" fillId="76" borderId="17" xfId="0" applyFont="1" applyFill="1" applyBorder="1" applyAlignment="1">
      <alignment horizontal="center" vertical="center" wrapText="1"/>
    </xf>
    <xf numFmtId="2" fontId="2" fillId="76" borderId="22" xfId="0" applyNumberFormat="1" applyFont="1" applyFill="1" applyBorder="1" applyAlignment="1">
      <alignment horizontal="center" vertical="center" wrapText="1"/>
    </xf>
    <xf numFmtId="2" fontId="2" fillId="76" borderId="35" xfId="0" applyNumberFormat="1" applyFont="1" applyFill="1" applyBorder="1" applyAlignment="1">
      <alignment horizontal="center" vertical="center"/>
    </xf>
    <xf numFmtId="0" fontId="1" fillId="70" borderId="22" xfId="0" applyFont="1" applyFill="1" applyBorder="1" applyAlignment="1">
      <alignment horizontal="center" vertical="center"/>
    </xf>
    <xf numFmtId="0" fontId="1" fillId="70" borderId="24" xfId="0" applyFont="1" applyFill="1" applyBorder="1" applyAlignment="1">
      <alignment horizontal="center" vertical="center"/>
    </xf>
    <xf numFmtId="0" fontId="1" fillId="0" borderId="110" xfId="0" applyFont="1" applyBorder="1" applyAlignment="1">
      <alignment horizontal="center" vertical="center" wrapText="1"/>
    </xf>
    <xf numFmtId="0" fontId="1" fillId="0" borderId="111" xfId="0" applyFont="1" applyBorder="1" applyAlignment="1">
      <alignment horizontal="center" vertical="center"/>
    </xf>
    <xf numFmtId="0" fontId="1" fillId="0" borderId="112" xfId="0" applyFont="1" applyBorder="1" applyAlignment="1">
      <alignment horizontal="center" vertical="center"/>
    </xf>
    <xf numFmtId="0" fontId="1" fillId="41" borderId="110" xfId="0" applyFont="1" applyFill="1" applyBorder="1" applyAlignment="1">
      <alignment horizontal="center" vertical="center" wrapText="1"/>
    </xf>
    <xf numFmtId="0" fontId="1" fillId="41" borderId="111" xfId="0" applyFont="1" applyFill="1" applyBorder="1" applyAlignment="1">
      <alignment horizontal="center" vertical="center"/>
    </xf>
    <xf numFmtId="0" fontId="1" fillId="41" borderId="112" xfId="0" applyFont="1" applyFill="1" applyBorder="1" applyAlignment="1">
      <alignment horizontal="center" vertical="center"/>
    </xf>
    <xf numFmtId="0" fontId="1" fillId="41" borderId="68" xfId="0" applyFont="1" applyFill="1" applyBorder="1" applyAlignment="1">
      <alignment horizontal="center" vertical="center"/>
    </xf>
    <xf numFmtId="0" fontId="1" fillId="41" borderId="69" xfId="0" applyFont="1" applyFill="1" applyBorder="1" applyAlignment="1">
      <alignment horizontal="center" vertical="center"/>
    </xf>
    <xf numFmtId="0" fontId="1" fillId="41" borderId="70" xfId="0" applyFont="1" applyFill="1" applyBorder="1" applyAlignment="1">
      <alignment horizontal="center" vertical="center"/>
    </xf>
    <xf numFmtId="0" fontId="1" fillId="41" borderId="101" xfId="0" applyFont="1" applyFill="1" applyBorder="1" applyAlignment="1">
      <alignment horizontal="center" vertical="center" wrapText="1"/>
    </xf>
    <xf numFmtId="0" fontId="1" fillId="41" borderId="19" xfId="0" applyFont="1" applyFill="1" applyBorder="1" applyAlignment="1">
      <alignment horizontal="center" vertical="center"/>
    </xf>
    <xf numFmtId="0" fontId="1" fillId="41" borderId="49" xfId="0" applyFont="1" applyFill="1" applyBorder="1" applyAlignment="1">
      <alignment horizontal="center" vertical="center"/>
    </xf>
    <xf numFmtId="0" fontId="1" fillId="0" borderId="68" xfId="0" applyFont="1" applyBorder="1" applyAlignment="1">
      <alignment horizontal="center" vertical="center"/>
    </xf>
    <xf numFmtId="0" fontId="1" fillId="0" borderId="101" xfId="0" applyFont="1" applyBorder="1" applyAlignment="1">
      <alignment horizontal="center" vertical="center" wrapText="1"/>
    </xf>
    <xf numFmtId="0" fontId="1" fillId="0" borderId="101" xfId="0" applyFont="1" applyBorder="1" applyAlignment="1">
      <alignment horizontal="center" vertical="center"/>
    </xf>
    <xf numFmtId="0" fontId="1" fillId="41" borderId="101" xfId="0" applyFont="1" applyFill="1" applyBorder="1" applyAlignment="1">
      <alignment horizontal="center" vertical="center"/>
    </xf>
    <xf numFmtId="0" fontId="55" fillId="33" borderId="18" xfId="696" applyFont="1" applyFill="1" applyBorder="1" applyAlignment="1">
      <alignment horizontal="center" vertical="center" textRotation="90" wrapText="1"/>
    </xf>
    <xf numFmtId="0" fontId="55" fillId="33" borderId="19" xfId="696" applyFont="1" applyFill="1" applyBorder="1" applyAlignment="1">
      <alignment horizontal="center" vertical="center" textRotation="90" wrapText="1"/>
    </xf>
    <xf numFmtId="0" fontId="55" fillId="33" borderId="64" xfId="696" applyFont="1" applyFill="1" applyBorder="1" applyAlignment="1">
      <alignment horizontal="center" vertical="center" textRotation="90" wrapText="1"/>
    </xf>
    <xf numFmtId="0" fontId="50" fillId="33" borderId="18" xfId="696" applyFont="1" applyFill="1" applyBorder="1" applyAlignment="1">
      <alignment horizontal="center" vertical="center" textRotation="90" wrapText="1"/>
    </xf>
    <xf numFmtId="0" fontId="50" fillId="33" borderId="19" xfId="696" applyFont="1" applyFill="1" applyBorder="1" applyAlignment="1">
      <alignment horizontal="center" vertical="center" textRotation="90" wrapText="1"/>
    </xf>
    <xf numFmtId="0" fontId="50" fillId="33" borderId="64" xfId="696" applyFont="1" applyFill="1" applyBorder="1" applyAlignment="1">
      <alignment horizontal="center" vertical="center" textRotation="90" wrapText="1"/>
    </xf>
    <xf numFmtId="0" fontId="63" fillId="77" borderId="19" xfId="696" applyFont="1" applyFill="1" applyBorder="1" applyAlignment="1">
      <alignment horizontal="center" vertical="center" textRotation="90" wrapText="1"/>
    </xf>
    <xf numFmtId="0" fontId="52" fillId="33" borderId="18" xfId="696" applyFont="1" applyFill="1" applyBorder="1" applyAlignment="1">
      <alignment horizontal="center" vertical="center" textRotation="90" wrapText="1"/>
    </xf>
    <xf numFmtId="0" fontId="52" fillId="33" borderId="19" xfId="696" applyFont="1" applyFill="1" applyBorder="1" applyAlignment="1">
      <alignment horizontal="center" vertical="center" textRotation="90" wrapText="1"/>
    </xf>
    <xf numFmtId="0" fontId="52" fillId="33" borderId="66" xfId="696" applyFont="1" applyFill="1" applyBorder="1" applyAlignment="1">
      <alignment horizontal="center" vertical="center" textRotation="90" wrapText="1"/>
    </xf>
    <xf numFmtId="0" fontId="52" fillId="37" borderId="18" xfId="696" quotePrefix="1" applyFont="1" applyFill="1" applyBorder="1" applyAlignment="1">
      <alignment horizontal="center" vertical="center" textRotation="90" wrapText="1"/>
    </xf>
    <xf numFmtId="0" fontId="52" fillId="37" borderId="19" xfId="696" quotePrefix="1" applyFont="1" applyFill="1" applyBorder="1" applyAlignment="1">
      <alignment horizontal="center" vertical="center" textRotation="90" wrapText="1"/>
    </xf>
    <xf numFmtId="0" fontId="52" fillId="37" borderId="66" xfId="696" quotePrefix="1" applyFont="1" applyFill="1" applyBorder="1" applyAlignment="1">
      <alignment horizontal="center" vertical="center" textRotation="90" wrapText="1"/>
    </xf>
    <xf numFmtId="0" fontId="54" fillId="33" borderId="18" xfId="696" applyFont="1" applyFill="1" applyBorder="1" applyAlignment="1">
      <alignment horizontal="center" vertical="center" textRotation="90" wrapText="1"/>
    </xf>
    <xf numFmtId="0" fontId="54" fillId="33" borderId="66" xfId="696" applyFont="1" applyFill="1" applyBorder="1" applyAlignment="1">
      <alignment horizontal="center" vertical="center" textRotation="90" wrapText="1"/>
    </xf>
    <xf numFmtId="0" fontId="57" fillId="37" borderId="18" xfId="696" quotePrefix="1" applyFont="1" applyFill="1" applyBorder="1" applyAlignment="1">
      <alignment horizontal="center" vertical="center" textRotation="90" wrapText="1"/>
    </xf>
    <xf numFmtId="0" fontId="57" fillId="37" borderId="19" xfId="696" quotePrefix="1" applyFont="1" applyFill="1" applyBorder="1" applyAlignment="1">
      <alignment horizontal="center" vertical="center" textRotation="90" wrapText="1"/>
    </xf>
    <xf numFmtId="0" fontId="57" fillId="37" borderId="66" xfId="696" quotePrefix="1" applyFont="1" applyFill="1" applyBorder="1" applyAlignment="1">
      <alignment horizontal="center" vertical="center" textRotation="90" wrapText="1"/>
    </xf>
    <xf numFmtId="0" fontId="52" fillId="33" borderId="21" xfId="696" applyFont="1" applyFill="1" applyBorder="1" applyAlignment="1">
      <alignment horizontal="center" vertical="center" wrapText="1"/>
    </xf>
    <xf numFmtId="0" fontId="52" fillId="33" borderId="23" xfId="696" applyFont="1" applyFill="1" applyBorder="1" applyAlignment="1">
      <alignment horizontal="center" vertical="center" wrapText="1"/>
    </xf>
    <xf numFmtId="0" fontId="52" fillId="33" borderId="67" xfId="696" applyFont="1" applyFill="1" applyBorder="1" applyAlignment="1">
      <alignment horizontal="center" vertical="center" wrapText="1"/>
    </xf>
    <xf numFmtId="0" fontId="52" fillId="33" borderId="16" xfId="696" applyFont="1" applyFill="1" applyBorder="1" applyAlignment="1">
      <alignment horizontal="center" vertical="center" wrapText="1"/>
    </xf>
    <xf numFmtId="0" fontId="52" fillId="33" borderId="21" xfId="696" applyFont="1" applyFill="1" applyBorder="1" applyAlignment="1">
      <alignment horizontal="center" vertical="center" textRotation="90" wrapText="1"/>
    </xf>
    <xf numFmtId="0" fontId="52" fillId="33" borderId="20" xfId="696" applyFont="1" applyFill="1" applyBorder="1" applyAlignment="1">
      <alignment horizontal="center" vertical="center" textRotation="90" wrapText="1"/>
    </xf>
    <xf numFmtId="0" fontId="52" fillId="33" borderId="67" xfId="696" applyFont="1" applyFill="1" applyBorder="1" applyAlignment="1">
      <alignment horizontal="center" vertical="center" textRotation="90" wrapText="1"/>
    </xf>
    <xf numFmtId="0" fontId="50" fillId="33" borderId="66" xfId="696" applyFont="1" applyFill="1" applyBorder="1" applyAlignment="1">
      <alignment horizontal="center" vertical="center" textRotation="90" wrapText="1"/>
    </xf>
    <xf numFmtId="0" fontId="55" fillId="33" borderId="18" xfId="696" applyFont="1" applyFill="1" applyBorder="1" applyAlignment="1">
      <alignment horizontal="center" vertical="center" wrapText="1"/>
    </xf>
    <xf numFmtId="0" fontId="55" fillId="33" borderId="66" xfId="696" applyFont="1" applyFill="1" applyBorder="1" applyAlignment="1">
      <alignment horizontal="center" vertical="center" wrapText="1"/>
    </xf>
    <xf numFmtId="0" fontId="53" fillId="33" borderId="18" xfId="696" applyFont="1" applyFill="1" applyBorder="1" applyAlignment="1">
      <alignment horizontal="center" vertical="center" textRotation="90" wrapText="1"/>
    </xf>
    <xf numFmtId="0" fontId="53" fillId="33" borderId="19" xfId="696" applyFont="1" applyFill="1" applyBorder="1" applyAlignment="1">
      <alignment horizontal="center" vertical="center" textRotation="90" wrapText="1"/>
    </xf>
    <xf numFmtId="0" fontId="53" fillId="33" borderId="66" xfId="696" applyFont="1" applyFill="1" applyBorder="1" applyAlignment="1">
      <alignment horizontal="center" vertical="center" textRotation="90" wrapText="1"/>
    </xf>
    <xf numFmtId="0" fontId="55" fillId="33" borderId="19" xfId="696" applyFont="1" applyFill="1" applyBorder="1" applyAlignment="1">
      <alignment horizontal="center" vertical="center" wrapText="1"/>
    </xf>
    <xf numFmtId="0" fontId="52" fillId="33" borderId="18" xfId="696" quotePrefix="1" applyFont="1" applyFill="1" applyBorder="1" applyAlignment="1">
      <alignment horizontal="center" vertical="center" textRotation="90" wrapText="1"/>
    </xf>
    <xf numFmtId="0" fontId="52" fillId="33" borderId="19" xfId="696" quotePrefix="1" applyFont="1" applyFill="1" applyBorder="1" applyAlignment="1">
      <alignment horizontal="center" vertical="center" textRotation="90" wrapText="1"/>
    </xf>
    <xf numFmtId="0" fontId="52" fillId="33" borderId="66" xfId="696" quotePrefix="1" applyFont="1" applyFill="1" applyBorder="1" applyAlignment="1">
      <alignment horizontal="center" vertical="center" textRotation="90" wrapText="1"/>
    </xf>
    <xf numFmtId="0" fontId="51" fillId="37" borderId="19" xfId="696" applyFont="1" applyFill="1" applyBorder="1" applyAlignment="1">
      <alignment horizontal="center" vertical="center" textRotation="90" wrapText="1"/>
    </xf>
    <xf numFmtId="0" fontId="52" fillId="33" borderId="18" xfId="900" applyFont="1" applyFill="1" applyBorder="1" applyAlignment="1">
      <alignment horizontal="center" vertical="center" textRotation="90"/>
    </xf>
    <xf numFmtId="0" fontId="52" fillId="33" borderId="19" xfId="900" applyFont="1" applyFill="1" applyBorder="1" applyAlignment="1">
      <alignment horizontal="center" vertical="center" textRotation="90"/>
    </xf>
    <xf numFmtId="0" fontId="57" fillId="37" borderId="19" xfId="696" applyFont="1" applyFill="1" applyBorder="1" applyAlignment="1">
      <alignment horizontal="center" vertical="center" textRotation="90" wrapText="1"/>
    </xf>
    <xf numFmtId="0" fontId="57" fillId="37" borderId="66" xfId="696" applyFont="1" applyFill="1" applyBorder="1" applyAlignment="1">
      <alignment horizontal="center" vertical="center" textRotation="90" wrapText="1"/>
    </xf>
    <xf numFmtId="0" fontId="30" fillId="49" borderId="17" xfId="910" applyFont="1" applyFill="1" applyBorder="1" applyAlignment="1">
      <alignment horizontal="center"/>
    </xf>
    <xf numFmtId="0" fontId="1" fillId="49" borderId="0" xfId="0" applyFont="1" applyFill="1" applyAlignment="1">
      <alignment horizontal="left"/>
    </xf>
    <xf numFmtId="0" fontId="41" fillId="49" borderId="26" xfId="0" applyFont="1" applyFill="1" applyBorder="1" applyAlignment="1" applyProtection="1">
      <alignment horizontal="center" vertical="center" wrapText="1"/>
      <protection locked="0"/>
    </xf>
    <xf numFmtId="0" fontId="41" fillId="49" borderId="14" xfId="0" applyFont="1" applyFill="1" applyBorder="1" applyAlignment="1" applyProtection="1">
      <alignment horizontal="center" vertical="center" wrapText="1"/>
      <protection locked="0"/>
    </xf>
    <xf numFmtId="0" fontId="41" fillId="49" borderId="30" xfId="0" applyFont="1" applyFill="1" applyBorder="1" applyAlignment="1" applyProtection="1">
      <alignment horizontal="center" vertical="center" wrapText="1"/>
      <protection locked="0"/>
    </xf>
    <xf numFmtId="0" fontId="30" fillId="49" borderId="64" xfId="910" applyFont="1" applyFill="1" applyBorder="1" applyAlignment="1">
      <alignment horizontal="center"/>
    </xf>
    <xf numFmtId="0" fontId="41" fillId="49" borderId="27" xfId="910" applyFont="1" applyFill="1" applyBorder="1" applyAlignment="1">
      <alignment horizontal="center" vertical="center"/>
    </xf>
    <xf numFmtId="0" fontId="41" fillId="49" borderId="41" xfId="910" applyFont="1" applyFill="1" applyBorder="1" applyAlignment="1">
      <alignment horizontal="center" vertical="center"/>
    </xf>
    <xf numFmtId="0" fontId="41" fillId="49" borderId="42" xfId="910" applyFont="1" applyFill="1" applyBorder="1" applyAlignment="1">
      <alignment horizontal="center" vertical="center"/>
    </xf>
    <xf numFmtId="0" fontId="41" fillId="49" borderId="29" xfId="910" applyFont="1" applyFill="1" applyBorder="1" applyAlignment="1">
      <alignment horizontal="center" vertical="center"/>
    </xf>
    <xf numFmtId="0" fontId="41" fillId="49" borderId="25" xfId="910" applyFont="1" applyFill="1" applyBorder="1" applyAlignment="1">
      <alignment horizontal="center" vertical="center"/>
    </xf>
    <xf numFmtId="0" fontId="41" fillId="49" borderId="43" xfId="910" applyFont="1" applyFill="1" applyBorder="1" applyAlignment="1">
      <alignment horizontal="center" vertical="center"/>
    </xf>
    <xf numFmtId="0" fontId="41" fillId="49" borderId="47" xfId="910" applyFont="1" applyFill="1" applyBorder="1" applyAlignment="1">
      <alignment horizontal="center"/>
    </xf>
    <xf numFmtId="0" fontId="41" fillId="49" borderId="48" xfId="910" applyFont="1" applyFill="1" applyBorder="1" applyAlignment="1">
      <alignment horizontal="center"/>
    </xf>
    <xf numFmtId="0" fontId="41" fillId="49" borderId="38" xfId="910" applyFont="1" applyFill="1" applyBorder="1" applyAlignment="1">
      <alignment horizontal="center" vertical="center"/>
    </xf>
    <xf numFmtId="0" fontId="41" fillId="49" borderId="51" xfId="910" applyFont="1" applyFill="1" applyBorder="1" applyAlignment="1">
      <alignment horizontal="center" vertical="center"/>
    </xf>
    <xf numFmtId="0" fontId="41" fillId="49" borderId="39" xfId="910" applyFont="1" applyFill="1" applyBorder="1" applyAlignment="1">
      <alignment horizontal="center" vertical="center"/>
    </xf>
    <xf numFmtId="0" fontId="41" fillId="49" borderId="37" xfId="910" applyFont="1" applyFill="1" applyBorder="1" applyAlignment="1">
      <alignment horizontal="center" vertical="center"/>
    </xf>
    <xf numFmtId="0" fontId="41" fillId="49" borderId="46" xfId="910" applyFont="1" applyFill="1" applyBorder="1" applyAlignment="1">
      <alignment horizontal="center" vertical="center"/>
    </xf>
    <xf numFmtId="0" fontId="41" fillId="49" borderId="50" xfId="910" applyFont="1" applyFill="1" applyBorder="1" applyAlignment="1">
      <alignment horizontal="center" vertical="center"/>
    </xf>
    <xf numFmtId="0" fontId="41" fillId="49" borderId="22" xfId="910" applyFont="1" applyFill="1" applyBorder="1" applyAlignment="1">
      <alignment horizontal="center" vertical="center"/>
    </xf>
    <xf numFmtId="0" fontId="41" fillId="49" borderId="35" xfId="910" applyFont="1" applyFill="1" applyBorder="1" applyAlignment="1">
      <alignment horizontal="center" vertical="center"/>
    </xf>
    <xf numFmtId="0" fontId="41" fillId="49" borderId="24" xfId="910" applyFont="1" applyFill="1" applyBorder="1" applyAlignment="1">
      <alignment horizontal="center" vertical="center"/>
    </xf>
    <xf numFmtId="0" fontId="30" fillId="49" borderId="17" xfId="910" applyFont="1" applyFill="1" applyBorder="1" applyAlignment="1">
      <alignment horizontal="center" vertical="center"/>
    </xf>
    <xf numFmtId="0" fontId="30" fillId="49" borderId="17" xfId="910" applyFont="1" applyFill="1" applyBorder="1" applyAlignment="1">
      <alignment horizontal="left"/>
    </xf>
  </cellXfs>
  <cellStyles count="958">
    <cellStyle name="20% - Accent1" xfId="7" xr:uid="{00000000-0005-0000-0000-000000000000}"/>
    <cellStyle name="20% - Accent1 2" xfId="1" xr:uid="{00000000-0005-0000-0000-000001000000}"/>
    <cellStyle name="20% - Accent2" xfId="26" xr:uid="{00000000-0005-0000-0000-000002000000}"/>
    <cellStyle name="20% - Accent2 2" xfId="2" xr:uid="{00000000-0005-0000-0000-000003000000}"/>
    <cellStyle name="20% - Accent3" xfId="45" xr:uid="{00000000-0005-0000-0000-000004000000}"/>
    <cellStyle name="20% - Accent3 2" xfId="3" xr:uid="{00000000-0005-0000-0000-000005000000}"/>
    <cellStyle name="20% - Accent4" xfId="64" xr:uid="{00000000-0005-0000-0000-000006000000}"/>
    <cellStyle name="20% - Accent4 2" xfId="4" xr:uid="{00000000-0005-0000-0000-000007000000}"/>
    <cellStyle name="20% - Accent5" xfId="83" xr:uid="{00000000-0005-0000-0000-000008000000}"/>
    <cellStyle name="20% - Accent5 2" xfId="5" xr:uid="{00000000-0005-0000-0000-000009000000}"/>
    <cellStyle name="20% - Accent6" xfId="102" xr:uid="{00000000-0005-0000-0000-00000A000000}"/>
    <cellStyle name="20% - Accent6 2" xfId="6" xr:uid="{00000000-0005-0000-0000-00000B000000}"/>
    <cellStyle name="20% - Énfasis1 10" xfId="8" xr:uid="{00000000-0005-0000-0000-00000C000000}"/>
    <cellStyle name="20% - Énfasis1 11" xfId="9" xr:uid="{00000000-0005-0000-0000-00000D000000}"/>
    <cellStyle name="20% - Énfasis1 12" xfId="10" xr:uid="{00000000-0005-0000-0000-00000E000000}"/>
    <cellStyle name="20% - Énfasis1 13" xfId="11" xr:uid="{00000000-0005-0000-0000-00000F000000}"/>
    <cellStyle name="20% - Énfasis1 14" xfId="12" xr:uid="{00000000-0005-0000-0000-000010000000}"/>
    <cellStyle name="20% - Énfasis1 15" xfId="13" xr:uid="{00000000-0005-0000-0000-000011000000}"/>
    <cellStyle name="20% - Énfasis1 16" xfId="14" xr:uid="{00000000-0005-0000-0000-000012000000}"/>
    <cellStyle name="20% - Énfasis1 17" xfId="15" xr:uid="{00000000-0005-0000-0000-000013000000}"/>
    <cellStyle name="20% - Énfasis1 18" xfId="16" xr:uid="{00000000-0005-0000-0000-000014000000}"/>
    <cellStyle name="20% - Énfasis1 19" xfId="17" xr:uid="{00000000-0005-0000-0000-000015000000}"/>
    <cellStyle name="20% - Énfasis1 2" xfId="18" xr:uid="{00000000-0005-0000-0000-000016000000}"/>
    <cellStyle name="20% - Énfasis1 3" xfId="19" xr:uid="{00000000-0005-0000-0000-000017000000}"/>
    <cellStyle name="20% - Énfasis1 4" xfId="20" xr:uid="{00000000-0005-0000-0000-000018000000}"/>
    <cellStyle name="20% - Énfasis1 5" xfId="21" xr:uid="{00000000-0005-0000-0000-000019000000}"/>
    <cellStyle name="20% - Énfasis1 6" xfId="22" xr:uid="{00000000-0005-0000-0000-00001A000000}"/>
    <cellStyle name="20% - Énfasis1 7" xfId="23" xr:uid="{00000000-0005-0000-0000-00001B000000}"/>
    <cellStyle name="20% - Énfasis1 8" xfId="24" xr:uid="{00000000-0005-0000-0000-00001C000000}"/>
    <cellStyle name="20% - Énfasis1 9" xfId="25" xr:uid="{00000000-0005-0000-0000-00001D000000}"/>
    <cellStyle name="20% - Énfasis2 10" xfId="27" xr:uid="{00000000-0005-0000-0000-00001E000000}"/>
    <cellStyle name="20% - Énfasis2 11" xfId="28" xr:uid="{00000000-0005-0000-0000-00001F000000}"/>
    <cellStyle name="20% - Énfasis2 12" xfId="29" xr:uid="{00000000-0005-0000-0000-000020000000}"/>
    <cellStyle name="20% - Énfasis2 13" xfId="30" xr:uid="{00000000-0005-0000-0000-000021000000}"/>
    <cellStyle name="20% - Énfasis2 14" xfId="31" xr:uid="{00000000-0005-0000-0000-000022000000}"/>
    <cellStyle name="20% - Énfasis2 15" xfId="32" xr:uid="{00000000-0005-0000-0000-000023000000}"/>
    <cellStyle name="20% - Énfasis2 16" xfId="33" xr:uid="{00000000-0005-0000-0000-000024000000}"/>
    <cellStyle name="20% - Énfasis2 17" xfId="34" xr:uid="{00000000-0005-0000-0000-000025000000}"/>
    <cellStyle name="20% - Énfasis2 18" xfId="35" xr:uid="{00000000-0005-0000-0000-000026000000}"/>
    <cellStyle name="20% - Énfasis2 19" xfId="36" xr:uid="{00000000-0005-0000-0000-000027000000}"/>
    <cellStyle name="20% - Énfasis2 2" xfId="37" xr:uid="{00000000-0005-0000-0000-000028000000}"/>
    <cellStyle name="20% - Énfasis2 3" xfId="38" xr:uid="{00000000-0005-0000-0000-000029000000}"/>
    <cellStyle name="20% - Énfasis2 4" xfId="39" xr:uid="{00000000-0005-0000-0000-00002A000000}"/>
    <cellStyle name="20% - Énfasis2 5" xfId="40" xr:uid="{00000000-0005-0000-0000-00002B000000}"/>
    <cellStyle name="20% - Énfasis2 6" xfId="41" xr:uid="{00000000-0005-0000-0000-00002C000000}"/>
    <cellStyle name="20% - Énfasis2 7" xfId="42" xr:uid="{00000000-0005-0000-0000-00002D000000}"/>
    <cellStyle name="20% - Énfasis2 8" xfId="43" xr:uid="{00000000-0005-0000-0000-00002E000000}"/>
    <cellStyle name="20% - Énfasis2 9" xfId="44" xr:uid="{00000000-0005-0000-0000-00002F000000}"/>
    <cellStyle name="20% - Énfasis3 10" xfId="46" xr:uid="{00000000-0005-0000-0000-000030000000}"/>
    <cellStyle name="20% - Énfasis3 11" xfId="47" xr:uid="{00000000-0005-0000-0000-000031000000}"/>
    <cellStyle name="20% - Énfasis3 12" xfId="48" xr:uid="{00000000-0005-0000-0000-000032000000}"/>
    <cellStyle name="20% - Énfasis3 13" xfId="49" xr:uid="{00000000-0005-0000-0000-000033000000}"/>
    <cellStyle name="20% - Énfasis3 14" xfId="50" xr:uid="{00000000-0005-0000-0000-000034000000}"/>
    <cellStyle name="20% - Énfasis3 15" xfId="51" xr:uid="{00000000-0005-0000-0000-000035000000}"/>
    <cellStyle name="20% - Énfasis3 16" xfId="52" xr:uid="{00000000-0005-0000-0000-000036000000}"/>
    <cellStyle name="20% - Énfasis3 17" xfId="53" xr:uid="{00000000-0005-0000-0000-000037000000}"/>
    <cellStyle name="20% - Énfasis3 18" xfId="54" xr:uid="{00000000-0005-0000-0000-000038000000}"/>
    <cellStyle name="20% - Énfasis3 19" xfId="55" xr:uid="{00000000-0005-0000-0000-000039000000}"/>
    <cellStyle name="20% - Énfasis3 2" xfId="56" xr:uid="{00000000-0005-0000-0000-00003A000000}"/>
    <cellStyle name="20% - Énfasis3 3" xfId="57" xr:uid="{00000000-0005-0000-0000-00003B000000}"/>
    <cellStyle name="20% - Énfasis3 4" xfId="58" xr:uid="{00000000-0005-0000-0000-00003C000000}"/>
    <cellStyle name="20% - Énfasis3 5" xfId="59" xr:uid="{00000000-0005-0000-0000-00003D000000}"/>
    <cellStyle name="20% - Énfasis3 6" xfId="60" xr:uid="{00000000-0005-0000-0000-00003E000000}"/>
    <cellStyle name="20% - Énfasis3 7" xfId="61" xr:uid="{00000000-0005-0000-0000-00003F000000}"/>
    <cellStyle name="20% - Énfasis3 8" xfId="62" xr:uid="{00000000-0005-0000-0000-000040000000}"/>
    <cellStyle name="20% - Énfasis3 9" xfId="63" xr:uid="{00000000-0005-0000-0000-000041000000}"/>
    <cellStyle name="20% - Énfasis4 10" xfId="65" xr:uid="{00000000-0005-0000-0000-000042000000}"/>
    <cellStyle name="20% - Énfasis4 11" xfId="66" xr:uid="{00000000-0005-0000-0000-000043000000}"/>
    <cellStyle name="20% - Énfasis4 12" xfId="67" xr:uid="{00000000-0005-0000-0000-000044000000}"/>
    <cellStyle name="20% - Énfasis4 13" xfId="68" xr:uid="{00000000-0005-0000-0000-000045000000}"/>
    <cellStyle name="20% - Énfasis4 14" xfId="69" xr:uid="{00000000-0005-0000-0000-000046000000}"/>
    <cellStyle name="20% - Énfasis4 15" xfId="70" xr:uid="{00000000-0005-0000-0000-000047000000}"/>
    <cellStyle name="20% - Énfasis4 16" xfId="71" xr:uid="{00000000-0005-0000-0000-000048000000}"/>
    <cellStyle name="20% - Énfasis4 17" xfId="72" xr:uid="{00000000-0005-0000-0000-000049000000}"/>
    <cellStyle name="20% - Énfasis4 18" xfId="73" xr:uid="{00000000-0005-0000-0000-00004A000000}"/>
    <cellStyle name="20% - Énfasis4 19" xfId="74" xr:uid="{00000000-0005-0000-0000-00004B000000}"/>
    <cellStyle name="20% - Énfasis4 2" xfId="75" xr:uid="{00000000-0005-0000-0000-00004C000000}"/>
    <cellStyle name="20% - Énfasis4 3" xfId="76" xr:uid="{00000000-0005-0000-0000-00004D000000}"/>
    <cellStyle name="20% - Énfasis4 4" xfId="77" xr:uid="{00000000-0005-0000-0000-00004E000000}"/>
    <cellStyle name="20% - Énfasis4 5" xfId="78" xr:uid="{00000000-0005-0000-0000-00004F000000}"/>
    <cellStyle name="20% - Énfasis4 6" xfId="79" xr:uid="{00000000-0005-0000-0000-000050000000}"/>
    <cellStyle name="20% - Énfasis4 7" xfId="80" xr:uid="{00000000-0005-0000-0000-000051000000}"/>
    <cellStyle name="20% - Énfasis4 8" xfId="81" xr:uid="{00000000-0005-0000-0000-000052000000}"/>
    <cellStyle name="20% - Énfasis4 9" xfId="82" xr:uid="{00000000-0005-0000-0000-000053000000}"/>
    <cellStyle name="20% - Énfasis5 10" xfId="84" xr:uid="{00000000-0005-0000-0000-000054000000}"/>
    <cellStyle name="20% - Énfasis5 11" xfId="85" xr:uid="{00000000-0005-0000-0000-000055000000}"/>
    <cellStyle name="20% - Énfasis5 12" xfId="86" xr:uid="{00000000-0005-0000-0000-000056000000}"/>
    <cellStyle name="20% - Énfasis5 13" xfId="87" xr:uid="{00000000-0005-0000-0000-000057000000}"/>
    <cellStyle name="20% - Énfasis5 14" xfId="88" xr:uid="{00000000-0005-0000-0000-000058000000}"/>
    <cellStyle name="20% - Énfasis5 15" xfId="89" xr:uid="{00000000-0005-0000-0000-000059000000}"/>
    <cellStyle name="20% - Énfasis5 16" xfId="90" xr:uid="{00000000-0005-0000-0000-00005A000000}"/>
    <cellStyle name="20% - Énfasis5 17" xfId="91" xr:uid="{00000000-0005-0000-0000-00005B000000}"/>
    <cellStyle name="20% - Énfasis5 18" xfId="92" xr:uid="{00000000-0005-0000-0000-00005C000000}"/>
    <cellStyle name="20% - Énfasis5 19" xfId="93" xr:uid="{00000000-0005-0000-0000-00005D000000}"/>
    <cellStyle name="20% - Énfasis5 2" xfId="94" xr:uid="{00000000-0005-0000-0000-00005E000000}"/>
    <cellStyle name="20% - Énfasis5 3" xfId="95" xr:uid="{00000000-0005-0000-0000-00005F000000}"/>
    <cellStyle name="20% - Énfasis5 4" xfId="96" xr:uid="{00000000-0005-0000-0000-000060000000}"/>
    <cellStyle name="20% - Énfasis5 5" xfId="97" xr:uid="{00000000-0005-0000-0000-000061000000}"/>
    <cellStyle name="20% - Énfasis5 6" xfId="98" xr:uid="{00000000-0005-0000-0000-000062000000}"/>
    <cellStyle name="20% - Énfasis5 7" xfId="99" xr:uid="{00000000-0005-0000-0000-000063000000}"/>
    <cellStyle name="20% - Énfasis5 8" xfId="100" xr:uid="{00000000-0005-0000-0000-000064000000}"/>
    <cellStyle name="20% - Énfasis5 9" xfId="101" xr:uid="{00000000-0005-0000-0000-000065000000}"/>
    <cellStyle name="20% - Énfasis6 10" xfId="103" xr:uid="{00000000-0005-0000-0000-000066000000}"/>
    <cellStyle name="20% - Énfasis6 11" xfId="104" xr:uid="{00000000-0005-0000-0000-000067000000}"/>
    <cellStyle name="20% - Énfasis6 12" xfId="105" xr:uid="{00000000-0005-0000-0000-000068000000}"/>
    <cellStyle name="20% - Énfasis6 13" xfId="106" xr:uid="{00000000-0005-0000-0000-000069000000}"/>
    <cellStyle name="20% - Énfasis6 14" xfId="107" xr:uid="{00000000-0005-0000-0000-00006A000000}"/>
    <cellStyle name="20% - Énfasis6 15" xfId="108" xr:uid="{00000000-0005-0000-0000-00006B000000}"/>
    <cellStyle name="20% - Énfasis6 16" xfId="109" xr:uid="{00000000-0005-0000-0000-00006C000000}"/>
    <cellStyle name="20% - Énfasis6 17" xfId="110" xr:uid="{00000000-0005-0000-0000-00006D000000}"/>
    <cellStyle name="20% - Énfasis6 18" xfId="111" xr:uid="{00000000-0005-0000-0000-00006E000000}"/>
    <cellStyle name="20% - Énfasis6 19" xfId="112" xr:uid="{00000000-0005-0000-0000-00006F000000}"/>
    <cellStyle name="20% - Énfasis6 2" xfId="113" xr:uid="{00000000-0005-0000-0000-000070000000}"/>
    <cellStyle name="20% - Énfasis6 3" xfId="114" xr:uid="{00000000-0005-0000-0000-000071000000}"/>
    <cellStyle name="20% - Énfasis6 4" xfId="115" xr:uid="{00000000-0005-0000-0000-000072000000}"/>
    <cellStyle name="20% - Énfasis6 5" xfId="116" xr:uid="{00000000-0005-0000-0000-000073000000}"/>
    <cellStyle name="20% - Énfasis6 6" xfId="117" xr:uid="{00000000-0005-0000-0000-000074000000}"/>
    <cellStyle name="20% - Énfasis6 7" xfId="118" xr:uid="{00000000-0005-0000-0000-000075000000}"/>
    <cellStyle name="20% - Énfasis6 8" xfId="119" xr:uid="{00000000-0005-0000-0000-000076000000}"/>
    <cellStyle name="20% - Énfasis6 9" xfId="120" xr:uid="{00000000-0005-0000-0000-000077000000}"/>
    <cellStyle name="40% - Accent1" xfId="127" xr:uid="{00000000-0005-0000-0000-000078000000}"/>
    <cellStyle name="40% - Accent1 2" xfId="121" xr:uid="{00000000-0005-0000-0000-000079000000}"/>
    <cellStyle name="40% - Accent2" xfId="146" xr:uid="{00000000-0005-0000-0000-00007A000000}"/>
    <cellStyle name="40% - Accent2 2" xfId="122" xr:uid="{00000000-0005-0000-0000-00007B000000}"/>
    <cellStyle name="40% - Accent3" xfId="165" xr:uid="{00000000-0005-0000-0000-00007C000000}"/>
    <cellStyle name="40% - Accent3 2" xfId="123" xr:uid="{00000000-0005-0000-0000-00007D000000}"/>
    <cellStyle name="40% - Accent4" xfId="184" xr:uid="{00000000-0005-0000-0000-00007E000000}"/>
    <cellStyle name="40% - Accent4 2" xfId="124" xr:uid="{00000000-0005-0000-0000-00007F000000}"/>
    <cellStyle name="40% - Accent5" xfId="203" xr:uid="{00000000-0005-0000-0000-000080000000}"/>
    <cellStyle name="40% - Accent5 2" xfId="125" xr:uid="{00000000-0005-0000-0000-000081000000}"/>
    <cellStyle name="40% - Accent6" xfId="222" xr:uid="{00000000-0005-0000-0000-000082000000}"/>
    <cellStyle name="40% - Accent6 2" xfId="126" xr:uid="{00000000-0005-0000-0000-000083000000}"/>
    <cellStyle name="40% - Énfasis1 10" xfId="128" xr:uid="{00000000-0005-0000-0000-000084000000}"/>
    <cellStyle name="40% - Énfasis1 11" xfId="129" xr:uid="{00000000-0005-0000-0000-000085000000}"/>
    <cellStyle name="40% - Énfasis1 12" xfId="130" xr:uid="{00000000-0005-0000-0000-000086000000}"/>
    <cellStyle name="40% - Énfasis1 13" xfId="131" xr:uid="{00000000-0005-0000-0000-000087000000}"/>
    <cellStyle name="40% - Énfasis1 14" xfId="132" xr:uid="{00000000-0005-0000-0000-000088000000}"/>
    <cellStyle name="40% - Énfasis1 15" xfId="133" xr:uid="{00000000-0005-0000-0000-000089000000}"/>
    <cellStyle name="40% - Énfasis1 16" xfId="134" xr:uid="{00000000-0005-0000-0000-00008A000000}"/>
    <cellStyle name="40% - Énfasis1 17" xfId="135" xr:uid="{00000000-0005-0000-0000-00008B000000}"/>
    <cellStyle name="40% - Énfasis1 18" xfId="136" xr:uid="{00000000-0005-0000-0000-00008C000000}"/>
    <cellStyle name="40% - Énfasis1 19" xfId="137" xr:uid="{00000000-0005-0000-0000-00008D000000}"/>
    <cellStyle name="40% - Énfasis1 2" xfId="138" xr:uid="{00000000-0005-0000-0000-00008E000000}"/>
    <cellStyle name="40% - Énfasis1 3" xfId="139" xr:uid="{00000000-0005-0000-0000-00008F000000}"/>
    <cellStyle name="40% - Énfasis1 4" xfId="140" xr:uid="{00000000-0005-0000-0000-000090000000}"/>
    <cellStyle name="40% - Énfasis1 5" xfId="141" xr:uid="{00000000-0005-0000-0000-000091000000}"/>
    <cellStyle name="40% - Énfasis1 6" xfId="142" xr:uid="{00000000-0005-0000-0000-000092000000}"/>
    <cellStyle name="40% - Énfasis1 7" xfId="143" xr:uid="{00000000-0005-0000-0000-000093000000}"/>
    <cellStyle name="40% - Énfasis1 8" xfId="144" xr:uid="{00000000-0005-0000-0000-000094000000}"/>
    <cellStyle name="40% - Énfasis1 9" xfId="145" xr:uid="{00000000-0005-0000-0000-000095000000}"/>
    <cellStyle name="40% - Énfasis2 10" xfId="147" xr:uid="{00000000-0005-0000-0000-000096000000}"/>
    <cellStyle name="40% - Énfasis2 11" xfId="148" xr:uid="{00000000-0005-0000-0000-000097000000}"/>
    <cellStyle name="40% - Énfasis2 12" xfId="149" xr:uid="{00000000-0005-0000-0000-000098000000}"/>
    <cellStyle name="40% - Énfasis2 13" xfId="150" xr:uid="{00000000-0005-0000-0000-000099000000}"/>
    <cellStyle name="40% - Énfasis2 14" xfId="151" xr:uid="{00000000-0005-0000-0000-00009A000000}"/>
    <cellStyle name="40% - Énfasis2 15" xfId="152" xr:uid="{00000000-0005-0000-0000-00009B000000}"/>
    <cellStyle name="40% - Énfasis2 16" xfId="153" xr:uid="{00000000-0005-0000-0000-00009C000000}"/>
    <cellStyle name="40% - Énfasis2 17" xfId="154" xr:uid="{00000000-0005-0000-0000-00009D000000}"/>
    <cellStyle name="40% - Énfasis2 18" xfId="155" xr:uid="{00000000-0005-0000-0000-00009E000000}"/>
    <cellStyle name="40% - Énfasis2 19" xfId="156" xr:uid="{00000000-0005-0000-0000-00009F000000}"/>
    <cellStyle name="40% - Énfasis2 2" xfId="157" xr:uid="{00000000-0005-0000-0000-0000A0000000}"/>
    <cellStyle name="40% - Énfasis2 3" xfId="158" xr:uid="{00000000-0005-0000-0000-0000A1000000}"/>
    <cellStyle name="40% - Énfasis2 4" xfId="159" xr:uid="{00000000-0005-0000-0000-0000A2000000}"/>
    <cellStyle name="40% - Énfasis2 5" xfId="160" xr:uid="{00000000-0005-0000-0000-0000A3000000}"/>
    <cellStyle name="40% - Énfasis2 6" xfId="161" xr:uid="{00000000-0005-0000-0000-0000A4000000}"/>
    <cellStyle name="40% - Énfasis2 7" xfId="162" xr:uid="{00000000-0005-0000-0000-0000A5000000}"/>
    <cellStyle name="40% - Énfasis2 8" xfId="163" xr:uid="{00000000-0005-0000-0000-0000A6000000}"/>
    <cellStyle name="40% - Énfasis2 9" xfId="164" xr:uid="{00000000-0005-0000-0000-0000A7000000}"/>
    <cellStyle name="40% - Énfasis3 10" xfId="166" xr:uid="{00000000-0005-0000-0000-0000A8000000}"/>
    <cellStyle name="40% - Énfasis3 11" xfId="167" xr:uid="{00000000-0005-0000-0000-0000A9000000}"/>
    <cellStyle name="40% - Énfasis3 12" xfId="168" xr:uid="{00000000-0005-0000-0000-0000AA000000}"/>
    <cellStyle name="40% - Énfasis3 13" xfId="169" xr:uid="{00000000-0005-0000-0000-0000AB000000}"/>
    <cellStyle name="40% - Énfasis3 14" xfId="170" xr:uid="{00000000-0005-0000-0000-0000AC000000}"/>
    <cellStyle name="40% - Énfasis3 15" xfId="171" xr:uid="{00000000-0005-0000-0000-0000AD000000}"/>
    <cellStyle name="40% - Énfasis3 16" xfId="172" xr:uid="{00000000-0005-0000-0000-0000AE000000}"/>
    <cellStyle name="40% - Énfasis3 17" xfId="173" xr:uid="{00000000-0005-0000-0000-0000AF000000}"/>
    <cellStyle name="40% - Énfasis3 18" xfId="174" xr:uid="{00000000-0005-0000-0000-0000B0000000}"/>
    <cellStyle name="40% - Énfasis3 19" xfId="175" xr:uid="{00000000-0005-0000-0000-0000B1000000}"/>
    <cellStyle name="40% - Énfasis3 2" xfId="176" xr:uid="{00000000-0005-0000-0000-0000B2000000}"/>
    <cellStyle name="40% - Énfasis3 3" xfId="177" xr:uid="{00000000-0005-0000-0000-0000B3000000}"/>
    <cellStyle name="40% - Énfasis3 4" xfId="178" xr:uid="{00000000-0005-0000-0000-0000B4000000}"/>
    <cellStyle name="40% - Énfasis3 5" xfId="179" xr:uid="{00000000-0005-0000-0000-0000B5000000}"/>
    <cellStyle name="40% - Énfasis3 6" xfId="180" xr:uid="{00000000-0005-0000-0000-0000B6000000}"/>
    <cellStyle name="40% - Énfasis3 7" xfId="181" xr:uid="{00000000-0005-0000-0000-0000B7000000}"/>
    <cellStyle name="40% - Énfasis3 8" xfId="182" xr:uid="{00000000-0005-0000-0000-0000B8000000}"/>
    <cellStyle name="40% - Énfasis3 9" xfId="183" xr:uid="{00000000-0005-0000-0000-0000B9000000}"/>
    <cellStyle name="40% - Énfasis4 10" xfId="185" xr:uid="{00000000-0005-0000-0000-0000BA000000}"/>
    <cellStyle name="40% - Énfasis4 11" xfId="186" xr:uid="{00000000-0005-0000-0000-0000BB000000}"/>
    <cellStyle name="40% - Énfasis4 12" xfId="187" xr:uid="{00000000-0005-0000-0000-0000BC000000}"/>
    <cellStyle name="40% - Énfasis4 13" xfId="188" xr:uid="{00000000-0005-0000-0000-0000BD000000}"/>
    <cellStyle name="40% - Énfasis4 14" xfId="189" xr:uid="{00000000-0005-0000-0000-0000BE000000}"/>
    <cellStyle name="40% - Énfasis4 15" xfId="190" xr:uid="{00000000-0005-0000-0000-0000BF000000}"/>
    <cellStyle name="40% - Énfasis4 16" xfId="191" xr:uid="{00000000-0005-0000-0000-0000C0000000}"/>
    <cellStyle name="40% - Énfasis4 17" xfId="192" xr:uid="{00000000-0005-0000-0000-0000C1000000}"/>
    <cellStyle name="40% - Énfasis4 18" xfId="193" xr:uid="{00000000-0005-0000-0000-0000C2000000}"/>
    <cellStyle name="40% - Énfasis4 19" xfId="194" xr:uid="{00000000-0005-0000-0000-0000C3000000}"/>
    <cellStyle name="40% - Énfasis4 2" xfId="195" xr:uid="{00000000-0005-0000-0000-0000C4000000}"/>
    <cellStyle name="40% - Énfasis4 3" xfId="196" xr:uid="{00000000-0005-0000-0000-0000C5000000}"/>
    <cellStyle name="40% - Énfasis4 4" xfId="197" xr:uid="{00000000-0005-0000-0000-0000C6000000}"/>
    <cellStyle name="40% - Énfasis4 5" xfId="198" xr:uid="{00000000-0005-0000-0000-0000C7000000}"/>
    <cellStyle name="40% - Énfasis4 6" xfId="199" xr:uid="{00000000-0005-0000-0000-0000C8000000}"/>
    <cellStyle name="40% - Énfasis4 7" xfId="200" xr:uid="{00000000-0005-0000-0000-0000C9000000}"/>
    <cellStyle name="40% - Énfasis4 8" xfId="201" xr:uid="{00000000-0005-0000-0000-0000CA000000}"/>
    <cellStyle name="40% - Énfasis4 9" xfId="202" xr:uid="{00000000-0005-0000-0000-0000CB000000}"/>
    <cellStyle name="40% - Énfasis5 10" xfId="204" xr:uid="{00000000-0005-0000-0000-0000CC000000}"/>
    <cellStyle name="40% - Énfasis5 11" xfId="205" xr:uid="{00000000-0005-0000-0000-0000CD000000}"/>
    <cellStyle name="40% - Énfasis5 12" xfId="206" xr:uid="{00000000-0005-0000-0000-0000CE000000}"/>
    <cellStyle name="40% - Énfasis5 13" xfId="207" xr:uid="{00000000-0005-0000-0000-0000CF000000}"/>
    <cellStyle name="40% - Énfasis5 14" xfId="208" xr:uid="{00000000-0005-0000-0000-0000D0000000}"/>
    <cellStyle name="40% - Énfasis5 15" xfId="209" xr:uid="{00000000-0005-0000-0000-0000D1000000}"/>
    <cellStyle name="40% - Énfasis5 16" xfId="210" xr:uid="{00000000-0005-0000-0000-0000D2000000}"/>
    <cellStyle name="40% - Énfasis5 17" xfId="211" xr:uid="{00000000-0005-0000-0000-0000D3000000}"/>
    <cellStyle name="40% - Énfasis5 18" xfId="212" xr:uid="{00000000-0005-0000-0000-0000D4000000}"/>
    <cellStyle name="40% - Énfasis5 19" xfId="213" xr:uid="{00000000-0005-0000-0000-0000D5000000}"/>
    <cellStyle name="40% - Énfasis5 2" xfId="214" xr:uid="{00000000-0005-0000-0000-0000D6000000}"/>
    <cellStyle name="40% - Énfasis5 3" xfId="215" xr:uid="{00000000-0005-0000-0000-0000D7000000}"/>
    <cellStyle name="40% - Énfasis5 4" xfId="216" xr:uid="{00000000-0005-0000-0000-0000D8000000}"/>
    <cellStyle name="40% - Énfasis5 5" xfId="217" xr:uid="{00000000-0005-0000-0000-0000D9000000}"/>
    <cellStyle name="40% - Énfasis5 6" xfId="218" xr:uid="{00000000-0005-0000-0000-0000DA000000}"/>
    <cellStyle name="40% - Énfasis5 7" xfId="219" xr:uid="{00000000-0005-0000-0000-0000DB000000}"/>
    <cellStyle name="40% - Énfasis5 8" xfId="220" xr:uid="{00000000-0005-0000-0000-0000DC000000}"/>
    <cellStyle name="40% - Énfasis5 9" xfId="221" xr:uid="{00000000-0005-0000-0000-0000DD000000}"/>
    <cellStyle name="40% - Énfasis6 10" xfId="223" xr:uid="{00000000-0005-0000-0000-0000DE000000}"/>
    <cellStyle name="40% - Énfasis6 11" xfId="224" xr:uid="{00000000-0005-0000-0000-0000DF000000}"/>
    <cellStyle name="40% - Énfasis6 12" xfId="225" xr:uid="{00000000-0005-0000-0000-0000E0000000}"/>
    <cellStyle name="40% - Énfasis6 13" xfId="226" xr:uid="{00000000-0005-0000-0000-0000E1000000}"/>
    <cellStyle name="40% - Énfasis6 14" xfId="227" xr:uid="{00000000-0005-0000-0000-0000E2000000}"/>
    <cellStyle name="40% - Énfasis6 15" xfId="228" xr:uid="{00000000-0005-0000-0000-0000E3000000}"/>
    <cellStyle name="40% - Énfasis6 16" xfId="229" xr:uid="{00000000-0005-0000-0000-0000E4000000}"/>
    <cellStyle name="40% - Énfasis6 17" xfId="230" xr:uid="{00000000-0005-0000-0000-0000E5000000}"/>
    <cellStyle name="40% - Énfasis6 18" xfId="231" xr:uid="{00000000-0005-0000-0000-0000E6000000}"/>
    <cellStyle name="40% - Énfasis6 19" xfId="232" xr:uid="{00000000-0005-0000-0000-0000E7000000}"/>
    <cellStyle name="40% - Énfasis6 2" xfId="233" xr:uid="{00000000-0005-0000-0000-0000E8000000}"/>
    <cellStyle name="40% - Énfasis6 3" xfId="234" xr:uid="{00000000-0005-0000-0000-0000E9000000}"/>
    <cellStyle name="40% - Énfasis6 4" xfId="235" xr:uid="{00000000-0005-0000-0000-0000EA000000}"/>
    <cellStyle name="40% - Énfasis6 5" xfId="236" xr:uid="{00000000-0005-0000-0000-0000EB000000}"/>
    <cellStyle name="40% - Énfasis6 6" xfId="237" xr:uid="{00000000-0005-0000-0000-0000EC000000}"/>
    <cellStyle name="40% - Énfasis6 7" xfId="238" xr:uid="{00000000-0005-0000-0000-0000ED000000}"/>
    <cellStyle name="40% - Énfasis6 8" xfId="239" xr:uid="{00000000-0005-0000-0000-0000EE000000}"/>
    <cellStyle name="40% - Énfasis6 9" xfId="240" xr:uid="{00000000-0005-0000-0000-0000EF000000}"/>
    <cellStyle name="60% - Accent1" xfId="247" xr:uid="{00000000-0005-0000-0000-0000F0000000}"/>
    <cellStyle name="60% - Accent1 2" xfId="241" xr:uid="{00000000-0005-0000-0000-0000F1000000}"/>
    <cellStyle name="60% - Accent2" xfId="266" xr:uid="{00000000-0005-0000-0000-0000F2000000}"/>
    <cellStyle name="60% - Accent2 2" xfId="242" xr:uid="{00000000-0005-0000-0000-0000F3000000}"/>
    <cellStyle name="60% - Accent3" xfId="285" xr:uid="{00000000-0005-0000-0000-0000F4000000}"/>
    <cellStyle name="60% - Accent3 2" xfId="243" xr:uid="{00000000-0005-0000-0000-0000F5000000}"/>
    <cellStyle name="60% - Accent4" xfId="304" xr:uid="{00000000-0005-0000-0000-0000F6000000}"/>
    <cellStyle name="60% - Accent4 2" xfId="244" xr:uid="{00000000-0005-0000-0000-0000F7000000}"/>
    <cellStyle name="60% - Accent5" xfId="323" xr:uid="{00000000-0005-0000-0000-0000F8000000}"/>
    <cellStyle name="60% - Accent5 2" xfId="245" xr:uid="{00000000-0005-0000-0000-0000F9000000}"/>
    <cellStyle name="60% - Accent6" xfId="342" xr:uid="{00000000-0005-0000-0000-0000FA000000}"/>
    <cellStyle name="60% - Accent6 2" xfId="246" xr:uid="{00000000-0005-0000-0000-0000FB000000}"/>
    <cellStyle name="60% - Énfasis1 10" xfId="248" xr:uid="{00000000-0005-0000-0000-0000FC000000}"/>
    <cellStyle name="60% - Énfasis1 11" xfId="249" xr:uid="{00000000-0005-0000-0000-0000FD000000}"/>
    <cellStyle name="60% - Énfasis1 12" xfId="250" xr:uid="{00000000-0005-0000-0000-0000FE000000}"/>
    <cellStyle name="60% - Énfasis1 13" xfId="251" xr:uid="{00000000-0005-0000-0000-0000FF000000}"/>
    <cellStyle name="60% - Énfasis1 14" xfId="252" xr:uid="{00000000-0005-0000-0000-000000010000}"/>
    <cellStyle name="60% - Énfasis1 15" xfId="253" xr:uid="{00000000-0005-0000-0000-000001010000}"/>
    <cellStyle name="60% - Énfasis1 16" xfId="254" xr:uid="{00000000-0005-0000-0000-000002010000}"/>
    <cellStyle name="60% - Énfasis1 17" xfId="255" xr:uid="{00000000-0005-0000-0000-000003010000}"/>
    <cellStyle name="60% - Énfasis1 18" xfId="256" xr:uid="{00000000-0005-0000-0000-000004010000}"/>
    <cellStyle name="60% - Énfasis1 19" xfId="257" xr:uid="{00000000-0005-0000-0000-000005010000}"/>
    <cellStyle name="60% - Énfasis1 2" xfId="258" xr:uid="{00000000-0005-0000-0000-000006010000}"/>
    <cellStyle name="60% - Énfasis1 3" xfId="259" xr:uid="{00000000-0005-0000-0000-000007010000}"/>
    <cellStyle name="60% - Énfasis1 4" xfId="260" xr:uid="{00000000-0005-0000-0000-000008010000}"/>
    <cellStyle name="60% - Énfasis1 5" xfId="261" xr:uid="{00000000-0005-0000-0000-000009010000}"/>
    <cellStyle name="60% - Énfasis1 6" xfId="262" xr:uid="{00000000-0005-0000-0000-00000A010000}"/>
    <cellStyle name="60% - Énfasis1 7" xfId="263" xr:uid="{00000000-0005-0000-0000-00000B010000}"/>
    <cellStyle name="60% - Énfasis1 8" xfId="264" xr:uid="{00000000-0005-0000-0000-00000C010000}"/>
    <cellStyle name="60% - Énfasis1 9" xfId="265" xr:uid="{00000000-0005-0000-0000-00000D010000}"/>
    <cellStyle name="60% - Énfasis2 10" xfId="267" xr:uid="{00000000-0005-0000-0000-00000E010000}"/>
    <cellStyle name="60% - Énfasis2 11" xfId="268" xr:uid="{00000000-0005-0000-0000-00000F010000}"/>
    <cellStyle name="60% - Énfasis2 12" xfId="269" xr:uid="{00000000-0005-0000-0000-000010010000}"/>
    <cellStyle name="60% - Énfasis2 13" xfId="270" xr:uid="{00000000-0005-0000-0000-000011010000}"/>
    <cellStyle name="60% - Énfasis2 14" xfId="271" xr:uid="{00000000-0005-0000-0000-000012010000}"/>
    <cellStyle name="60% - Énfasis2 15" xfId="272" xr:uid="{00000000-0005-0000-0000-000013010000}"/>
    <cellStyle name="60% - Énfasis2 16" xfId="273" xr:uid="{00000000-0005-0000-0000-000014010000}"/>
    <cellStyle name="60% - Énfasis2 17" xfId="274" xr:uid="{00000000-0005-0000-0000-000015010000}"/>
    <cellStyle name="60% - Énfasis2 18" xfId="275" xr:uid="{00000000-0005-0000-0000-000016010000}"/>
    <cellStyle name="60% - Énfasis2 19" xfId="276" xr:uid="{00000000-0005-0000-0000-000017010000}"/>
    <cellStyle name="60% - Énfasis2 2" xfId="277" xr:uid="{00000000-0005-0000-0000-000018010000}"/>
    <cellStyle name="60% - Énfasis2 3" xfId="278" xr:uid="{00000000-0005-0000-0000-000019010000}"/>
    <cellStyle name="60% - Énfasis2 4" xfId="279" xr:uid="{00000000-0005-0000-0000-00001A010000}"/>
    <cellStyle name="60% - Énfasis2 5" xfId="280" xr:uid="{00000000-0005-0000-0000-00001B010000}"/>
    <cellStyle name="60% - Énfasis2 6" xfId="281" xr:uid="{00000000-0005-0000-0000-00001C010000}"/>
    <cellStyle name="60% - Énfasis2 7" xfId="282" xr:uid="{00000000-0005-0000-0000-00001D010000}"/>
    <cellStyle name="60% - Énfasis2 8" xfId="283" xr:uid="{00000000-0005-0000-0000-00001E010000}"/>
    <cellStyle name="60% - Énfasis2 9" xfId="284" xr:uid="{00000000-0005-0000-0000-00001F010000}"/>
    <cellStyle name="60% - Énfasis3 10" xfId="286" xr:uid="{00000000-0005-0000-0000-000020010000}"/>
    <cellStyle name="60% - Énfasis3 11" xfId="287" xr:uid="{00000000-0005-0000-0000-000021010000}"/>
    <cellStyle name="60% - Énfasis3 12" xfId="288" xr:uid="{00000000-0005-0000-0000-000022010000}"/>
    <cellStyle name="60% - Énfasis3 13" xfId="289" xr:uid="{00000000-0005-0000-0000-000023010000}"/>
    <cellStyle name="60% - Énfasis3 14" xfId="290" xr:uid="{00000000-0005-0000-0000-000024010000}"/>
    <cellStyle name="60% - Énfasis3 15" xfId="291" xr:uid="{00000000-0005-0000-0000-000025010000}"/>
    <cellStyle name="60% - Énfasis3 16" xfId="292" xr:uid="{00000000-0005-0000-0000-000026010000}"/>
    <cellStyle name="60% - Énfasis3 17" xfId="293" xr:uid="{00000000-0005-0000-0000-000027010000}"/>
    <cellStyle name="60% - Énfasis3 18" xfId="294" xr:uid="{00000000-0005-0000-0000-000028010000}"/>
    <cellStyle name="60% - Énfasis3 19" xfId="295" xr:uid="{00000000-0005-0000-0000-000029010000}"/>
    <cellStyle name="60% - Énfasis3 2" xfId="296" xr:uid="{00000000-0005-0000-0000-00002A010000}"/>
    <cellStyle name="60% - Énfasis3 3" xfId="297" xr:uid="{00000000-0005-0000-0000-00002B010000}"/>
    <cellStyle name="60% - Énfasis3 4" xfId="298" xr:uid="{00000000-0005-0000-0000-00002C010000}"/>
    <cellStyle name="60% - Énfasis3 5" xfId="299" xr:uid="{00000000-0005-0000-0000-00002D010000}"/>
    <cellStyle name="60% - Énfasis3 6" xfId="300" xr:uid="{00000000-0005-0000-0000-00002E010000}"/>
    <cellStyle name="60% - Énfasis3 7" xfId="301" xr:uid="{00000000-0005-0000-0000-00002F010000}"/>
    <cellStyle name="60% - Énfasis3 8" xfId="302" xr:uid="{00000000-0005-0000-0000-000030010000}"/>
    <cellStyle name="60% - Énfasis3 9" xfId="303" xr:uid="{00000000-0005-0000-0000-000031010000}"/>
    <cellStyle name="60% - Énfasis4 10" xfId="305" xr:uid="{00000000-0005-0000-0000-000032010000}"/>
    <cellStyle name="60% - Énfasis4 11" xfId="306" xr:uid="{00000000-0005-0000-0000-000033010000}"/>
    <cellStyle name="60% - Énfasis4 12" xfId="307" xr:uid="{00000000-0005-0000-0000-000034010000}"/>
    <cellStyle name="60% - Énfasis4 13" xfId="308" xr:uid="{00000000-0005-0000-0000-000035010000}"/>
    <cellStyle name="60% - Énfasis4 14" xfId="309" xr:uid="{00000000-0005-0000-0000-000036010000}"/>
    <cellStyle name="60% - Énfasis4 15" xfId="310" xr:uid="{00000000-0005-0000-0000-000037010000}"/>
    <cellStyle name="60% - Énfasis4 16" xfId="311" xr:uid="{00000000-0005-0000-0000-000038010000}"/>
    <cellStyle name="60% - Énfasis4 17" xfId="312" xr:uid="{00000000-0005-0000-0000-000039010000}"/>
    <cellStyle name="60% - Énfasis4 18" xfId="313" xr:uid="{00000000-0005-0000-0000-00003A010000}"/>
    <cellStyle name="60% - Énfasis4 19" xfId="314" xr:uid="{00000000-0005-0000-0000-00003B010000}"/>
    <cellStyle name="60% - Énfasis4 2" xfId="315" xr:uid="{00000000-0005-0000-0000-00003C010000}"/>
    <cellStyle name="60% - Énfasis4 3" xfId="316" xr:uid="{00000000-0005-0000-0000-00003D010000}"/>
    <cellStyle name="60% - Énfasis4 4" xfId="317" xr:uid="{00000000-0005-0000-0000-00003E010000}"/>
    <cellStyle name="60% - Énfasis4 5" xfId="318" xr:uid="{00000000-0005-0000-0000-00003F010000}"/>
    <cellStyle name="60% - Énfasis4 6" xfId="319" xr:uid="{00000000-0005-0000-0000-000040010000}"/>
    <cellStyle name="60% - Énfasis4 7" xfId="320" xr:uid="{00000000-0005-0000-0000-000041010000}"/>
    <cellStyle name="60% - Énfasis4 8" xfId="321" xr:uid="{00000000-0005-0000-0000-000042010000}"/>
    <cellStyle name="60% - Énfasis4 9" xfId="322" xr:uid="{00000000-0005-0000-0000-000043010000}"/>
    <cellStyle name="60% - Énfasis5 10" xfId="324" xr:uid="{00000000-0005-0000-0000-000044010000}"/>
    <cellStyle name="60% - Énfasis5 11" xfId="325" xr:uid="{00000000-0005-0000-0000-000045010000}"/>
    <cellStyle name="60% - Énfasis5 12" xfId="326" xr:uid="{00000000-0005-0000-0000-000046010000}"/>
    <cellStyle name="60% - Énfasis5 13" xfId="327" xr:uid="{00000000-0005-0000-0000-000047010000}"/>
    <cellStyle name="60% - Énfasis5 14" xfId="328" xr:uid="{00000000-0005-0000-0000-000048010000}"/>
    <cellStyle name="60% - Énfasis5 15" xfId="329" xr:uid="{00000000-0005-0000-0000-000049010000}"/>
    <cellStyle name="60% - Énfasis5 16" xfId="330" xr:uid="{00000000-0005-0000-0000-00004A010000}"/>
    <cellStyle name="60% - Énfasis5 17" xfId="331" xr:uid="{00000000-0005-0000-0000-00004B010000}"/>
    <cellStyle name="60% - Énfasis5 18" xfId="332" xr:uid="{00000000-0005-0000-0000-00004C010000}"/>
    <cellStyle name="60% - Énfasis5 19" xfId="333" xr:uid="{00000000-0005-0000-0000-00004D010000}"/>
    <cellStyle name="60% - Énfasis5 2" xfId="334" xr:uid="{00000000-0005-0000-0000-00004E010000}"/>
    <cellStyle name="60% - Énfasis5 3" xfId="335" xr:uid="{00000000-0005-0000-0000-00004F010000}"/>
    <cellStyle name="60% - Énfasis5 4" xfId="336" xr:uid="{00000000-0005-0000-0000-000050010000}"/>
    <cellStyle name="60% - Énfasis5 5" xfId="337" xr:uid="{00000000-0005-0000-0000-000051010000}"/>
    <cellStyle name="60% - Énfasis5 6" xfId="338" xr:uid="{00000000-0005-0000-0000-000052010000}"/>
    <cellStyle name="60% - Énfasis5 7" xfId="339" xr:uid="{00000000-0005-0000-0000-000053010000}"/>
    <cellStyle name="60% - Énfasis5 8" xfId="340" xr:uid="{00000000-0005-0000-0000-000054010000}"/>
    <cellStyle name="60% - Énfasis5 9" xfId="341" xr:uid="{00000000-0005-0000-0000-000055010000}"/>
    <cellStyle name="60% - Énfasis6 10" xfId="343" xr:uid="{00000000-0005-0000-0000-000056010000}"/>
    <cellStyle name="60% - Énfasis6 11" xfId="344" xr:uid="{00000000-0005-0000-0000-000057010000}"/>
    <cellStyle name="60% - Énfasis6 12" xfId="345" xr:uid="{00000000-0005-0000-0000-000058010000}"/>
    <cellStyle name="60% - Énfasis6 13" xfId="346" xr:uid="{00000000-0005-0000-0000-000059010000}"/>
    <cellStyle name="60% - Énfasis6 14" xfId="347" xr:uid="{00000000-0005-0000-0000-00005A010000}"/>
    <cellStyle name="60% - Énfasis6 15" xfId="348" xr:uid="{00000000-0005-0000-0000-00005B010000}"/>
    <cellStyle name="60% - Énfasis6 16" xfId="349" xr:uid="{00000000-0005-0000-0000-00005C010000}"/>
    <cellStyle name="60% - Énfasis6 17" xfId="350" xr:uid="{00000000-0005-0000-0000-00005D010000}"/>
    <cellStyle name="60% - Énfasis6 18" xfId="351" xr:uid="{00000000-0005-0000-0000-00005E010000}"/>
    <cellStyle name="60% - Énfasis6 19" xfId="352" xr:uid="{00000000-0005-0000-0000-00005F010000}"/>
    <cellStyle name="60% - Énfasis6 2" xfId="353" xr:uid="{00000000-0005-0000-0000-000060010000}"/>
    <cellStyle name="60% - Énfasis6 3" xfId="354" xr:uid="{00000000-0005-0000-0000-000061010000}"/>
    <cellStyle name="60% - Énfasis6 4" xfId="355" xr:uid="{00000000-0005-0000-0000-000062010000}"/>
    <cellStyle name="60% - Énfasis6 5" xfId="356" xr:uid="{00000000-0005-0000-0000-000063010000}"/>
    <cellStyle name="60% - Énfasis6 6" xfId="357" xr:uid="{00000000-0005-0000-0000-000064010000}"/>
    <cellStyle name="60% - Énfasis6 7" xfId="358" xr:uid="{00000000-0005-0000-0000-000065010000}"/>
    <cellStyle name="60% - Énfasis6 8" xfId="359" xr:uid="{00000000-0005-0000-0000-000066010000}"/>
    <cellStyle name="60% - Énfasis6 9" xfId="360" xr:uid="{00000000-0005-0000-0000-000067010000}"/>
    <cellStyle name="Accent1" xfId="462" xr:uid="{00000000-0005-0000-0000-000068010000}"/>
    <cellStyle name="Accent1 2" xfId="361" xr:uid="{00000000-0005-0000-0000-000069010000}"/>
    <cellStyle name="Accent2" xfId="481" xr:uid="{00000000-0005-0000-0000-00006A010000}"/>
    <cellStyle name="Accent2 2" xfId="362" xr:uid="{00000000-0005-0000-0000-00006B010000}"/>
    <cellStyle name="Accent3" xfId="500" xr:uid="{00000000-0005-0000-0000-00006C010000}"/>
    <cellStyle name="Accent3 2" xfId="363" xr:uid="{00000000-0005-0000-0000-00006D010000}"/>
    <cellStyle name="Accent4" xfId="519" xr:uid="{00000000-0005-0000-0000-00006E010000}"/>
    <cellStyle name="Accent4 2" xfId="364" xr:uid="{00000000-0005-0000-0000-00006F010000}"/>
    <cellStyle name="Accent5" xfId="538" xr:uid="{00000000-0005-0000-0000-000070010000}"/>
    <cellStyle name="Accent5 2" xfId="365" xr:uid="{00000000-0005-0000-0000-000071010000}"/>
    <cellStyle name="Accent6" xfId="557" xr:uid="{00000000-0005-0000-0000-000072010000}"/>
    <cellStyle name="Accent6 2" xfId="366" xr:uid="{00000000-0005-0000-0000-000073010000}"/>
    <cellStyle name="Bad" xfId="611" xr:uid="{00000000-0005-0000-0000-000074010000}"/>
    <cellStyle name="Bad 2" xfId="367" xr:uid="{00000000-0005-0000-0000-000075010000}"/>
    <cellStyle name="Buena 10" xfId="368" xr:uid="{00000000-0005-0000-0000-000076010000}"/>
    <cellStyle name="Buena 11" xfId="369" xr:uid="{00000000-0005-0000-0000-000077010000}"/>
    <cellStyle name="Buena 12" xfId="370" xr:uid="{00000000-0005-0000-0000-000078010000}"/>
    <cellStyle name="Buena 13" xfId="371" xr:uid="{00000000-0005-0000-0000-000079010000}"/>
    <cellStyle name="Buena 14" xfId="372" xr:uid="{00000000-0005-0000-0000-00007A010000}"/>
    <cellStyle name="Buena 15" xfId="373" xr:uid="{00000000-0005-0000-0000-00007B010000}"/>
    <cellStyle name="Buena 16" xfId="374" xr:uid="{00000000-0005-0000-0000-00007C010000}"/>
    <cellStyle name="Buena 17" xfId="375" xr:uid="{00000000-0005-0000-0000-00007D010000}"/>
    <cellStyle name="Buena 18" xfId="376" xr:uid="{00000000-0005-0000-0000-00007E010000}"/>
    <cellStyle name="Buena 19" xfId="377" xr:uid="{00000000-0005-0000-0000-00007F010000}"/>
    <cellStyle name="Buena 2" xfId="378" xr:uid="{00000000-0005-0000-0000-000080010000}"/>
    <cellStyle name="Buena 3" xfId="379" xr:uid="{00000000-0005-0000-0000-000081010000}"/>
    <cellStyle name="Buena 4" xfId="380" xr:uid="{00000000-0005-0000-0000-000082010000}"/>
    <cellStyle name="Buena 5" xfId="381" xr:uid="{00000000-0005-0000-0000-000083010000}"/>
    <cellStyle name="Buena 6" xfId="382" xr:uid="{00000000-0005-0000-0000-000084010000}"/>
    <cellStyle name="Buena 7" xfId="383" xr:uid="{00000000-0005-0000-0000-000085010000}"/>
    <cellStyle name="Buena 8" xfId="384" xr:uid="{00000000-0005-0000-0000-000086010000}"/>
    <cellStyle name="Buena 9" xfId="385" xr:uid="{00000000-0005-0000-0000-000087010000}"/>
    <cellStyle name="Calculation" xfId="387" xr:uid="{00000000-0005-0000-0000-000088010000}"/>
    <cellStyle name="Calculation 2" xfId="386" xr:uid="{00000000-0005-0000-0000-000089010000}"/>
    <cellStyle name="Cálculo 10" xfId="388" xr:uid="{00000000-0005-0000-0000-00008A010000}"/>
    <cellStyle name="Cálculo 11" xfId="389" xr:uid="{00000000-0005-0000-0000-00008B010000}"/>
    <cellStyle name="Cálculo 12" xfId="390" xr:uid="{00000000-0005-0000-0000-00008C010000}"/>
    <cellStyle name="Cálculo 13" xfId="391" xr:uid="{00000000-0005-0000-0000-00008D010000}"/>
    <cellStyle name="Cálculo 14" xfId="392" xr:uid="{00000000-0005-0000-0000-00008E010000}"/>
    <cellStyle name="Cálculo 15" xfId="393" xr:uid="{00000000-0005-0000-0000-00008F010000}"/>
    <cellStyle name="Cálculo 16" xfId="394" xr:uid="{00000000-0005-0000-0000-000090010000}"/>
    <cellStyle name="Cálculo 17" xfId="395" xr:uid="{00000000-0005-0000-0000-000091010000}"/>
    <cellStyle name="Cálculo 18" xfId="396" xr:uid="{00000000-0005-0000-0000-000092010000}"/>
    <cellStyle name="Cálculo 19" xfId="397" xr:uid="{00000000-0005-0000-0000-000093010000}"/>
    <cellStyle name="Cálculo 2" xfId="398" xr:uid="{00000000-0005-0000-0000-000094010000}"/>
    <cellStyle name="Cálculo 3" xfId="399" xr:uid="{00000000-0005-0000-0000-000095010000}"/>
    <cellStyle name="Cálculo 4" xfId="400" xr:uid="{00000000-0005-0000-0000-000096010000}"/>
    <cellStyle name="Cálculo 5" xfId="401" xr:uid="{00000000-0005-0000-0000-000097010000}"/>
    <cellStyle name="Cálculo 6" xfId="402" xr:uid="{00000000-0005-0000-0000-000098010000}"/>
    <cellStyle name="Cálculo 7" xfId="403" xr:uid="{00000000-0005-0000-0000-000099010000}"/>
    <cellStyle name="Cálculo 8" xfId="404" xr:uid="{00000000-0005-0000-0000-00009A010000}"/>
    <cellStyle name="Cálculo 9" xfId="405" xr:uid="{00000000-0005-0000-0000-00009B010000}"/>
    <cellStyle name="Celda de comprobación" xfId="442" builtinId="23" customBuiltin="1"/>
    <cellStyle name="Celda de comprobación 10" xfId="406" xr:uid="{00000000-0005-0000-0000-00009D010000}"/>
    <cellStyle name="Celda de comprobación 11" xfId="407" xr:uid="{00000000-0005-0000-0000-00009E010000}"/>
    <cellStyle name="Celda de comprobación 12" xfId="408" xr:uid="{00000000-0005-0000-0000-00009F010000}"/>
    <cellStyle name="Celda de comprobación 13" xfId="409" xr:uid="{00000000-0005-0000-0000-0000A0010000}"/>
    <cellStyle name="Celda de comprobación 14" xfId="410" xr:uid="{00000000-0005-0000-0000-0000A1010000}"/>
    <cellStyle name="Celda de comprobación 15" xfId="411" xr:uid="{00000000-0005-0000-0000-0000A2010000}"/>
    <cellStyle name="Celda de comprobación 16" xfId="412" xr:uid="{00000000-0005-0000-0000-0000A3010000}"/>
    <cellStyle name="Celda de comprobación 17" xfId="413" xr:uid="{00000000-0005-0000-0000-0000A4010000}"/>
    <cellStyle name="Celda de comprobación 18" xfId="414" xr:uid="{00000000-0005-0000-0000-0000A5010000}"/>
    <cellStyle name="Celda de comprobación 19" xfId="415" xr:uid="{00000000-0005-0000-0000-0000A6010000}"/>
    <cellStyle name="Celda de comprobación 2" xfId="416" xr:uid="{00000000-0005-0000-0000-0000A7010000}"/>
    <cellStyle name="Celda de comprobación 3" xfId="417" xr:uid="{00000000-0005-0000-0000-0000A8010000}"/>
    <cellStyle name="Celda de comprobación 4" xfId="418" xr:uid="{00000000-0005-0000-0000-0000A9010000}"/>
    <cellStyle name="Celda de comprobación 5" xfId="419" xr:uid="{00000000-0005-0000-0000-0000AA010000}"/>
    <cellStyle name="Celda de comprobación 6" xfId="420" xr:uid="{00000000-0005-0000-0000-0000AB010000}"/>
    <cellStyle name="Celda de comprobación 7" xfId="421" xr:uid="{00000000-0005-0000-0000-0000AC010000}"/>
    <cellStyle name="Celda de comprobación 8" xfId="422" xr:uid="{00000000-0005-0000-0000-0000AD010000}"/>
    <cellStyle name="Celda de comprobación 9" xfId="423" xr:uid="{00000000-0005-0000-0000-0000AE010000}"/>
    <cellStyle name="Celda vinculada" xfId="632" builtinId="24" customBuiltin="1"/>
    <cellStyle name="Celda vinculada 10" xfId="424" xr:uid="{00000000-0005-0000-0000-0000B0010000}"/>
    <cellStyle name="Celda vinculada 11" xfId="425" xr:uid="{00000000-0005-0000-0000-0000B1010000}"/>
    <cellStyle name="Celda vinculada 12" xfId="426" xr:uid="{00000000-0005-0000-0000-0000B2010000}"/>
    <cellStyle name="Celda vinculada 13" xfId="427" xr:uid="{00000000-0005-0000-0000-0000B3010000}"/>
    <cellStyle name="Celda vinculada 14" xfId="428" xr:uid="{00000000-0005-0000-0000-0000B4010000}"/>
    <cellStyle name="Celda vinculada 15" xfId="429" xr:uid="{00000000-0005-0000-0000-0000B5010000}"/>
    <cellStyle name="Celda vinculada 16" xfId="430" xr:uid="{00000000-0005-0000-0000-0000B6010000}"/>
    <cellStyle name="Celda vinculada 17" xfId="431" xr:uid="{00000000-0005-0000-0000-0000B7010000}"/>
    <cellStyle name="Celda vinculada 18" xfId="432" xr:uid="{00000000-0005-0000-0000-0000B8010000}"/>
    <cellStyle name="Celda vinculada 19" xfId="433" xr:uid="{00000000-0005-0000-0000-0000B9010000}"/>
    <cellStyle name="Celda vinculada 2" xfId="434" xr:uid="{00000000-0005-0000-0000-0000BA010000}"/>
    <cellStyle name="Celda vinculada 3" xfId="435" xr:uid="{00000000-0005-0000-0000-0000BB010000}"/>
    <cellStyle name="Celda vinculada 4" xfId="436" xr:uid="{00000000-0005-0000-0000-0000BC010000}"/>
    <cellStyle name="Celda vinculada 5" xfId="437" xr:uid="{00000000-0005-0000-0000-0000BD010000}"/>
    <cellStyle name="Celda vinculada 6" xfId="438" xr:uid="{00000000-0005-0000-0000-0000BE010000}"/>
    <cellStyle name="Celda vinculada 7" xfId="439" xr:uid="{00000000-0005-0000-0000-0000BF010000}"/>
    <cellStyle name="Celda vinculada 8" xfId="440" xr:uid="{00000000-0005-0000-0000-0000C0010000}"/>
    <cellStyle name="Celda vinculada 9" xfId="441" xr:uid="{00000000-0005-0000-0000-0000C1010000}"/>
    <cellStyle name="Check Cell 2" xfId="443" xr:uid="{00000000-0005-0000-0000-0000C2010000}"/>
    <cellStyle name="Encabezado 4" xfId="608" builtinId="19" customBuiltin="1"/>
    <cellStyle name="Encabezado 4 10" xfId="444" xr:uid="{00000000-0005-0000-0000-0000C4010000}"/>
    <cellStyle name="Encabezado 4 11" xfId="445" xr:uid="{00000000-0005-0000-0000-0000C5010000}"/>
    <cellStyle name="Encabezado 4 12" xfId="446" xr:uid="{00000000-0005-0000-0000-0000C6010000}"/>
    <cellStyle name="Encabezado 4 13" xfId="447" xr:uid="{00000000-0005-0000-0000-0000C7010000}"/>
    <cellStyle name="Encabezado 4 14" xfId="448" xr:uid="{00000000-0005-0000-0000-0000C8010000}"/>
    <cellStyle name="Encabezado 4 15" xfId="449" xr:uid="{00000000-0005-0000-0000-0000C9010000}"/>
    <cellStyle name="Encabezado 4 16" xfId="450" xr:uid="{00000000-0005-0000-0000-0000CA010000}"/>
    <cellStyle name="Encabezado 4 17" xfId="451" xr:uid="{00000000-0005-0000-0000-0000CB010000}"/>
    <cellStyle name="Encabezado 4 18" xfId="452" xr:uid="{00000000-0005-0000-0000-0000CC010000}"/>
    <cellStyle name="Encabezado 4 19" xfId="453" xr:uid="{00000000-0005-0000-0000-0000CD010000}"/>
    <cellStyle name="Encabezado 4 2" xfId="454" xr:uid="{00000000-0005-0000-0000-0000CE010000}"/>
    <cellStyle name="Encabezado 4 3" xfId="455" xr:uid="{00000000-0005-0000-0000-0000CF010000}"/>
    <cellStyle name="Encabezado 4 4" xfId="456" xr:uid="{00000000-0005-0000-0000-0000D0010000}"/>
    <cellStyle name="Encabezado 4 5" xfId="457" xr:uid="{00000000-0005-0000-0000-0000D1010000}"/>
    <cellStyle name="Encabezado 4 6" xfId="458" xr:uid="{00000000-0005-0000-0000-0000D2010000}"/>
    <cellStyle name="Encabezado 4 7" xfId="459" xr:uid="{00000000-0005-0000-0000-0000D3010000}"/>
    <cellStyle name="Encabezado 4 8" xfId="460" xr:uid="{00000000-0005-0000-0000-0000D4010000}"/>
    <cellStyle name="Encabezado 4 9" xfId="461" xr:uid="{00000000-0005-0000-0000-0000D5010000}"/>
    <cellStyle name="Énfasis1 10" xfId="463" xr:uid="{00000000-0005-0000-0000-0000D6010000}"/>
    <cellStyle name="Énfasis1 11" xfId="464" xr:uid="{00000000-0005-0000-0000-0000D7010000}"/>
    <cellStyle name="Énfasis1 12" xfId="465" xr:uid="{00000000-0005-0000-0000-0000D8010000}"/>
    <cellStyle name="Énfasis1 13" xfId="466" xr:uid="{00000000-0005-0000-0000-0000D9010000}"/>
    <cellStyle name="Énfasis1 14" xfId="467" xr:uid="{00000000-0005-0000-0000-0000DA010000}"/>
    <cellStyle name="Énfasis1 15" xfId="468" xr:uid="{00000000-0005-0000-0000-0000DB010000}"/>
    <cellStyle name="Énfasis1 16" xfId="469" xr:uid="{00000000-0005-0000-0000-0000DC010000}"/>
    <cellStyle name="Énfasis1 17" xfId="470" xr:uid="{00000000-0005-0000-0000-0000DD010000}"/>
    <cellStyle name="Énfasis1 18" xfId="471" xr:uid="{00000000-0005-0000-0000-0000DE010000}"/>
    <cellStyle name="Énfasis1 19" xfId="472" xr:uid="{00000000-0005-0000-0000-0000DF010000}"/>
    <cellStyle name="Énfasis1 2" xfId="473" xr:uid="{00000000-0005-0000-0000-0000E0010000}"/>
    <cellStyle name="Énfasis1 3" xfId="474" xr:uid="{00000000-0005-0000-0000-0000E1010000}"/>
    <cellStyle name="Énfasis1 4" xfId="475" xr:uid="{00000000-0005-0000-0000-0000E2010000}"/>
    <cellStyle name="Énfasis1 5" xfId="476" xr:uid="{00000000-0005-0000-0000-0000E3010000}"/>
    <cellStyle name="Énfasis1 6" xfId="477" xr:uid="{00000000-0005-0000-0000-0000E4010000}"/>
    <cellStyle name="Énfasis1 7" xfId="478" xr:uid="{00000000-0005-0000-0000-0000E5010000}"/>
    <cellStyle name="Énfasis1 8" xfId="479" xr:uid="{00000000-0005-0000-0000-0000E6010000}"/>
    <cellStyle name="Énfasis1 9" xfId="480" xr:uid="{00000000-0005-0000-0000-0000E7010000}"/>
    <cellStyle name="Énfasis2 10" xfId="482" xr:uid="{00000000-0005-0000-0000-0000E8010000}"/>
    <cellStyle name="Énfasis2 11" xfId="483" xr:uid="{00000000-0005-0000-0000-0000E9010000}"/>
    <cellStyle name="Énfasis2 12" xfId="484" xr:uid="{00000000-0005-0000-0000-0000EA010000}"/>
    <cellStyle name="Énfasis2 13" xfId="485" xr:uid="{00000000-0005-0000-0000-0000EB010000}"/>
    <cellStyle name="Énfasis2 14" xfId="486" xr:uid="{00000000-0005-0000-0000-0000EC010000}"/>
    <cellStyle name="Énfasis2 15" xfId="487" xr:uid="{00000000-0005-0000-0000-0000ED010000}"/>
    <cellStyle name="Énfasis2 16" xfId="488" xr:uid="{00000000-0005-0000-0000-0000EE010000}"/>
    <cellStyle name="Énfasis2 17" xfId="489" xr:uid="{00000000-0005-0000-0000-0000EF010000}"/>
    <cellStyle name="Énfasis2 18" xfId="490" xr:uid="{00000000-0005-0000-0000-0000F0010000}"/>
    <cellStyle name="Énfasis2 19" xfId="491" xr:uid="{00000000-0005-0000-0000-0000F1010000}"/>
    <cellStyle name="Énfasis2 2" xfId="492" xr:uid="{00000000-0005-0000-0000-0000F2010000}"/>
    <cellStyle name="Énfasis2 3" xfId="493" xr:uid="{00000000-0005-0000-0000-0000F3010000}"/>
    <cellStyle name="Énfasis2 4" xfId="494" xr:uid="{00000000-0005-0000-0000-0000F4010000}"/>
    <cellStyle name="Énfasis2 5" xfId="495" xr:uid="{00000000-0005-0000-0000-0000F5010000}"/>
    <cellStyle name="Énfasis2 6" xfId="496" xr:uid="{00000000-0005-0000-0000-0000F6010000}"/>
    <cellStyle name="Énfasis2 7" xfId="497" xr:uid="{00000000-0005-0000-0000-0000F7010000}"/>
    <cellStyle name="Énfasis2 8" xfId="498" xr:uid="{00000000-0005-0000-0000-0000F8010000}"/>
    <cellStyle name="Énfasis2 9" xfId="499" xr:uid="{00000000-0005-0000-0000-0000F9010000}"/>
    <cellStyle name="Énfasis3 10" xfId="501" xr:uid="{00000000-0005-0000-0000-0000FA010000}"/>
    <cellStyle name="Énfasis3 11" xfId="502" xr:uid="{00000000-0005-0000-0000-0000FB010000}"/>
    <cellStyle name="Énfasis3 12" xfId="503" xr:uid="{00000000-0005-0000-0000-0000FC010000}"/>
    <cellStyle name="Énfasis3 13" xfId="504" xr:uid="{00000000-0005-0000-0000-0000FD010000}"/>
    <cellStyle name="Énfasis3 14" xfId="505" xr:uid="{00000000-0005-0000-0000-0000FE010000}"/>
    <cellStyle name="Énfasis3 15" xfId="506" xr:uid="{00000000-0005-0000-0000-0000FF010000}"/>
    <cellStyle name="Énfasis3 16" xfId="507" xr:uid="{00000000-0005-0000-0000-000000020000}"/>
    <cellStyle name="Énfasis3 17" xfId="508" xr:uid="{00000000-0005-0000-0000-000001020000}"/>
    <cellStyle name="Énfasis3 18" xfId="509" xr:uid="{00000000-0005-0000-0000-000002020000}"/>
    <cellStyle name="Énfasis3 19" xfId="510" xr:uid="{00000000-0005-0000-0000-000003020000}"/>
    <cellStyle name="Énfasis3 2" xfId="511" xr:uid="{00000000-0005-0000-0000-000004020000}"/>
    <cellStyle name="Énfasis3 3" xfId="512" xr:uid="{00000000-0005-0000-0000-000005020000}"/>
    <cellStyle name="Énfasis3 4" xfId="513" xr:uid="{00000000-0005-0000-0000-000006020000}"/>
    <cellStyle name="Énfasis3 5" xfId="514" xr:uid="{00000000-0005-0000-0000-000007020000}"/>
    <cellStyle name="Énfasis3 6" xfId="515" xr:uid="{00000000-0005-0000-0000-000008020000}"/>
    <cellStyle name="Énfasis3 7" xfId="516" xr:uid="{00000000-0005-0000-0000-000009020000}"/>
    <cellStyle name="Énfasis3 8" xfId="517" xr:uid="{00000000-0005-0000-0000-00000A020000}"/>
    <cellStyle name="Énfasis3 9" xfId="518" xr:uid="{00000000-0005-0000-0000-00000B020000}"/>
    <cellStyle name="Énfasis4 10" xfId="520" xr:uid="{00000000-0005-0000-0000-00000C020000}"/>
    <cellStyle name="Énfasis4 11" xfId="521" xr:uid="{00000000-0005-0000-0000-00000D020000}"/>
    <cellStyle name="Énfasis4 12" xfId="522" xr:uid="{00000000-0005-0000-0000-00000E020000}"/>
    <cellStyle name="Énfasis4 13" xfId="523" xr:uid="{00000000-0005-0000-0000-00000F020000}"/>
    <cellStyle name="Énfasis4 14" xfId="524" xr:uid="{00000000-0005-0000-0000-000010020000}"/>
    <cellStyle name="Énfasis4 15" xfId="525" xr:uid="{00000000-0005-0000-0000-000011020000}"/>
    <cellStyle name="Énfasis4 16" xfId="526" xr:uid="{00000000-0005-0000-0000-000012020000}"/>
    <cellStyle name="Énfasis4 17" xfId="527" xr:uid="{00000000-0005-0000-0000-000013020000}"/>
    <cellStyle name="Énfasis4 18" xfId="528" xr:uid="{00000000-0005-0000-0000-000014020000}"/>
    <cellStyle name="Énfasis4 19" xfId="529" xr:uid="{00000000-0005-0000-0000-000015020000}"/>
    <cellStyle name="Énfasis4 2" xfId="530" xr:uid="{00000000-0005-0000-0000-000016020000}"/>
    <cellStyle name="Énfasis4 3" xfId="531" xr:uid="{00000000-0005-0000-0000-000017020000}"/>
    <cellStyle name="Énfasis4 4" xfId="532" xr:uid="{00000000-0005-0000-0000-000018020000}"/>
    <cellStyle name="Énfasis4 5" xfId="533" xr:uid="{00000000-0005-0000-0000-000019020000}"/>
    <cellStyle name="Énfasis4 6" xfId="534" xr:uid="{00000000-0005-0000-0000-00001A020000}"/>
    <cellStyle name="Énfasis4 7" xfId="535" xr:uid="{00000000-0005-0000-0000-00001B020000}"/>
    <cellStyle name="Énfasis4 8" xfId="536" xr:uid="{00000000-0005-0000-0000-00001C020000}"/>
    <cellStyle name="Énfasis4 9" xfId="537" xr:uid="{00000000-0005-0000-0000-00001D020000}"/>
    <cellStyle name="Énfasis5 10" xfId="539" xr:uid="{00000000-0005-0000-0000-00001E020000}"/>
    <cellStyle name="Énfasis5 11" xfId="540" xr:uid="{00000000-0005-0000-0000-00001F020000}"/>
    <cellStyle name="Énfasis5 12" xfId="541" xr:uid="{00000000-0005-0000-0000-000020020000}"/>
    <cellStyle name="Énfasis5 13" xfId="542" xr:uid="{00000000-0005-0000-0000-000021020000}"/>
    <cellStyle name="Énfasis5 14" xfId="543" xr:uid="{00000000-0005-0000-0000-000022020000}"/>
    <cellStyle name="Énfasis5 15" xfId="544" xr:uid="{00000000-0005-0000-0000-000023020000}"/>
    <cellStyle name="Énfasis5 16" xfId="545" xr:uid="{00000000-0005-0000-0000-000024020000}"/>
    <cellStyle name="Énfasis5 17" xfId="546" xr:uid="{00000000-0005-0000-0000-000025020000}"/>
    <cellStyle name="Énfasis5 18" xfId="547" xr:uid="{00000000-0005-0000-0000-000026020000}"/>
    <cellStyle name="Énfasis5 19" xfId="548" xr:uid="{00000000-0005-0000-0000-000027020000}"/>
    <cellStyle name="Énfasis5 2" xfId="549" xr:uid="{00000000-0005-0000-0000-000028020000}"/>
    <cellStyle name="Énfasis5 3" xfId="550" xr:uid="{00000000-0005-0000-0000-000029020000}"/>
    <cellStyle name="Énfasis5 4" xfId="551" xr:uid="{00000000-0005-0000-0000-00002A020000}"/>
    <cellStyle name="Énfasis5 5" xfId="552" xr:uid="{00000000-0005-0000-0000-00002B020000}"/>
    <cellStyle name="Énfasis5 6" xfId="553" xr:uid="{00000000-0005-0000-0000-00002C020000}"/>
    <cellStyle name="Énfasis5 7" xfId="554" xr:uid="{00000000-0005-0000-0000-00002D020000}"/>
    <cellStyle name="Énfasis5 8" xfId="555" xr:uid="{00000000-0005-0000-0000-00002E020000}"/>
    <cellStyle name="Énfasis5 9" xfId="556" xr:uid="{00000000-0005-0000-0000-00002F020000}"/>
    <cellStyle name="Énfasis6 10" xfId="558" xr:uid="{00000000-0005-0000-0000-000030020000}"/>
    <cellStyle name="Énfasis6 11" xfId="559" xr:uid="{00000000-0005-0000-0000-000031020000}"/>
    <cellStyle name="Énfasis6 12" xfId="560" xr:uid="{00000000-0005-0000-0000-000032020000}"/>
    <cellStyle name="Énfasis6 13" xfId="561" xr:uid="{00000000-0005-0000-0000-000033020000}"/>
    <cellStyle name="Énfasis6 14" xfId="562" xr:uid="{00000000-0005-0000-0000-000034020000}"/>
    <cellStyle name="Énfasis6 15" xfId="563" xr:uid="{00000000-0005-0000-0000-000035020000}"/>
    <cellStyle name="Énfasis6 16" xfId="564" xr:uid="{00000000-0005-0000-0000-000036020000}"/>
    <cellStyle name="Énfasis6 17" xfId="565" xr:uid="{00000000-0005-0000-0000-000037020000}"/>
    <cellStyle name="Énfasis6 18" xfId="566" xr:uid="{00000000-0005-0000-0000-000038020000}"/>
    <cellStyle name="Énfasis6 19" xfId="567" xr:uid="{00000000-0005-0000-0000-000039020000}"/>
    <cellStyle name="Énfasis6 2" xfId="568" xr:uid="{00000000-0005-0000-0000-00003A020000}"/>
    <cellStyle name="Énfasis6 3" xfId="569" xr:uid="{00000000-0005-0000-0000-00003B020000}"/>
    <cellStyle name="Énfasis6 4" xfId="570" xr:uid="{00000000-0005-0000-0000-00003C020000}"/>
    <cellStyle name="Énfasis6 5" xfId="571" xr:uid="{00000000-0005-0000-0000-00003D020000}"/>
    <cellStyle name="Énfasis6 6" xfId="572" xr:uid="{00000000-0005-0000-0000-00003E020000}"/>
    <cellStyle name="Énfasis6 7" xfId="573" xr:uid="{00000000-0005-0000-0000-00003F020000}"/>
    <cellStyle name="Énfasis6 8" xfId="574" xr:uid="{00000000-0005-0000-0000-000040020000}"/>
    <cellStyle name="Énfasis6 9" xfId="575" xr:uid="{00000000-0005-0000-0000-000041020000}"/>
    <cellStyle name="Entrada" xfId="630" builtinId="20" customBuiltin="1"/>
    <cellStyle name="Entrada 10" xfId="576" xr:uid="{00000000-0005-0000-0000-000043020000}"/>
    <cellStyle name="Entrada 11" xfId="577" xr:uid="{00000000-0005-0000-0000-000044020000}"/>
    <cellStyle name="Entrada 12" xfId="578" xr:uid="{00000000-0005-0000-0000-000045020000}"/>
    <cellStyle name="Entrada 13" xfId="579" xr:uid="{00000000-0005-0000-0000-000046020000}"/>
    <cellStyle name="Entrada 14" xfId="580" xr:uid="{00000000-0005-0000-0000-000047020000}"/>
    <cellStyle name="Entrada 15" xfId="581" xr:uid="{00000000-0005-0000-0000-000048020000}"/>
    <cellStyle name="Entrada 16" xfId="582" xr:uid="{00000000-0005-0000-0000-000049020000}"/>
    <cellStyle name="Entrada 17" xfId="583" xr:uid="{00000000-0005-0000-0000-00004A020000}"/>
    <cellStyle name="Entrada 18" xfId="584" xr:uid="{00000000-0005-0000-0000-00004B020000}"/>
    <cellStyle name="Entrada 19" xfId="585" xr:uid="{00000000-0005-0000-0000-00004C020000}"/>
    <cellStyle name="Entrada 2" xfId="586" xr:uid="{00000000-0005-0000-0000-00004D020000}"/>
    <cellStyle name="Entrada 3" xfId="587" xr:uid="{00000000-0005-0000-0000-00004E020000}"/>
    <cellStyle name="Entrada 4" xfId="588" xr:uid="{00000000-0005-0000-0000-00004F020000}"/>
    <cellStyle name="Entrada 5" xfId="589" xr:uid="{00000000-0005-0000-0000-000050020000}"/>
    <cellStyle name="Entrada 6" xfId="590" xr:uid="{00000000-0005-0000-0000-000051020000}"/>
    <cellStyle name="Entrada 7" xfId="591" xr:uid="{00000000-0005-0000-0000-000052020000}"/>
    <cellStyle name="Entrada 8" xfId="592" xr:uid="{00000000-0005-0000-0000-000053020000}"/>
    <cellStyle name="Entrada 9" xfId="593" xr:uid="{00000000-0005-0000-0000-000054020000}"/>
    <cellStyle name="Euro" xfId="594" xr:uid="{00000000-0005-0000-0000-000055020000}"/>
    <cellStyle name="Euro 2" xfId="595" xr:uid="{00000000-0005-0000-0000-000056020000}"/>
    <cellStyle name="Euro 2 2" xfId="596" xr:uid="{00000000-0005-0000-0000-000057020000}"/>
    <cellStyle name="Euro 2 2 2" xfId="895" xr:uid="{00000000-0005-0000-0000-000058020000}"/>
    <cellStyle name="Euro 2 2 2 2" xfId="953" xr:uid="{00000000-0005-0000-0000-000059020000}"/>
    <cellStyle name="Euro 2 2 3" xfId="947" xr:uid="{00000000-0005-0000-0000-00005A020000}"/>
    <cellStyle name="Euro 2 3" xfId="894" xr:uid="{00000000-0005-0000-0000-00005B020000}"/>
    <cellStyle name="Euro 2 3 2" xfId="952" xr:uid="{00000000-0005-0000-0000-00005C020000}"/>
    <cellStyle name="Euro 2 4" xfId="946" xr:uid="{00000000-0005-0000-0000-00005D020000}"/>
    <cellStyle name="Euro 3" xfId="597" xr:uid="{00000000-0005-0000-0000-00005E020000}"/>
    <cellStyle name="Euro 3 2" xfId="598" xr:uid="{00000000-0005-0000-0000-00005F020000}"/>
    <cellStyle name="Euro 3 2 2" xfId="897" xr:uid="{00000000-0005-0000-0000-000060020000}"/>
    <cellStyle name="Euro 3 2 2 2" xfId="955" xr:uid="{00000000-0005-0000-0000-000061020000}"/>
    <cellStyle name="Euro 3 2 3" xfId="949" xr:uid="{00000000-0005-0000-0000-000062020000}"/>
    <cellStyle name="Euro 3 3" xfId="896" xr:uid="{00000000-0005-0000-0000-000063020000}"/>
    <cellStyle name="Euro 3 3 2" xfId="954" xr:uid="{00000000-0005-0000-0000-000064020000}"/>
    <cellStyle name="Euro 3 4" xfId="948" xr:uid="{00000000-0005-0000-0000-000065020000}"/>
    <cellStyle name="Euro 4" xfId="599" xr:uid="{00000000-0005-0000-0000-000066020000}"/>
    <cellStyle name="Euro 4 2" xfId="898" xr:uid="{00000000-0005-0000-0000-000067020000}"/>
    <cellStyle name="Euro 4 2 2" xfId="956" xr:uid="{00000000-0005-0000-0000-000068020000}"/>
    <cellStyle name="Euro 4 3" xfId="950" xr:uid="{00000000-0005-0000-0000-000069020000}"/>
    <cellStyle name="Euro 5" xfId="600" xr:uid="{00000000-0005-0000-0000-00006A020000}"/>
    <cellStyle name="Euro 5 2" xfId="899" xr:uid="{00000000-0005-0000-0000-00006B020000}"/>
    <cellStyle name="Euro 5 2 2" xfId="957" xr:uid="{00000000-0005-0000-0000-00006C020000}"/>
    <cellStyle name="Euro 5 3" xfId="951" xr:uid="{00000000-0005-0000-0000-00006D020000}"/>
    <cellStyle name="Euro 6" xfId="945" xr:uid="{00000000-0005-0000-0000-00006E020000}"/>
    <cellStyle name="Explanatory Text" xfId="777" xr:uid="{00000000-0005-0000-0000-00006F020000}"/>
    <cellStyle name="Explanatory Text 2" xfId="601" xr:uid="{00000000-0005-0000-0000-000070020000}"/>
    <cellStyle name="Good" xfId="602" xr:uid="{00000000-0005-0000-0000-000071020000}"/>
    <cellStyle name="Good 2" xfId="603" xr:uid="{00000000-0005-0000-0000-000072020000}"/>
    <cellStyle name="Heading 1" xfId="604" xr:uid="{00000000-0005-0000-0000-000073020000}"/>
    <cellStyle name="Heading 1 2" xfId="605" xr:uid="{00000000-0005-0000-0000-000074020000}"/>
    <cellStyle name="Heading 2" xfId="826" xr:uid="{00000000-0005-0000-0000-000075020000}"/>
    <cellStyle name="Heading 2 2" xfId="606" xr:uid="{00000000-0005-0000-0000-000076020000}"/>
    <cellStyle name="Heading 3" xfId="847" xr:uid="{00000000-0005-0000-0000-000077020000}"/>
    <cellStyle name="Heading 3 2" xfId="607" xr:uid="{00000000-0005-0000-0000-000078020000}"/>
    <cellStyle name="Heading 4 2" xfId="609" xr:uid="{00000000-0005-0000-0000-000079020000}"/>
    <cellStyle name="Hipervínculo 2" xfId="610" xr:uid="{00000000-0005-0000-0000-00007A020000}"/>
    <cellStyle name="Incorrecto 10" xfId="612" xr:uid="{00000000-0005-0000-0000-00007B020000}"/>
    <cellStyle name="Incorrecto 11" xfId="613" xr:uid="{00000000-0005-0000-0000-00007C020000}"/>
    <cellStyle name="Incorrecto 12" xfId="614" xr:uid="{00000000-0005-0000-0000-00007D020000}"/>
    <cellStyle name="Incorrecto 13" xfId="615" xr:uid="{00000000-0005-0000-0000-00007E020000}"/>
    <cellStyle name="Incorrecto 14" xfId="616" xr:uid="{00000000-0005-0000-0000-00007F020000}"/>
    <cellStyle name="Incorrecto 15" xfId="617" xr:uid="{00000000-0005-0000-0000-000080020000}"/>
    <cellStyle name="Incorrecto 16" xfId="618" xr:uid="{00000000-0005-0000-0000-000081020000}"/>
    <cellStyle name="Incorrecto 17" xfId="619" xr:uid="{00000000-0005-0000-0000-000082020000}"/>
    <cellStyle name="Incorrecto 18" xfId="620" xr:uid="{00000000-0005-0000-0000-000083020000}"/>
    <cellStyle name="Incorrecto 19" xfId="621" xr:uid="{00000000-0005-0000-0000-000084020000}"/>
    <cellStyle name="Incorrecto 2" xfId="622" xr:uid="{00000000-0005-0000-0000-000085020000}"/>
    <cellStyle name="Incorrecto 3" xfId="623" xr:uid="{00000000-0005-0000-0000-000086020000}"/>
    <cellStyle name="Incorrecto 4" xfId="624" xr:uid="{00000000-0005-0000-0000-000087020000}"/>
    <cellStyle name="Incorrecto 5" xfId="625" xr:uid="{00000000-0005-0000-0000-000088020000}"/>
    <cellStyle name="Incorrecto 6" xfId="626" xr:uid="{00000000-0005-0000-0000-000089020000}"/>
    <cellStyle name="Incorrecto 7" xfId="627" xr:uid="{00000000-0005-0000-0000-00008A020000}"/>
    <cellStyle name="Incorrecto 8" xfId="628" xr:uid="{00000000-0005-0000-0000-00008B020000}"/>
    <cellStyle name="Incorrecto 9" xfId="629" xr:uid="{00000000-0005-0000-0000-00008C020000}"/>
    <cellStyle name="Input 2" xfId="631" xr:uid="{00000000-0005-0000-0000-00008D020000}"/>
    <cellStyle name="Linked Cell 2" xfId="633" xr:uid="{00000000-0005-0000-0000-00008E020000}"/>
    <cellStyle name="Neutral" xfId="634" builtinId="28" customBuiltin="1"/>
    <cellStyle name="Neutral 10" xfId="635" xr:uid="{00000000-0005-0000-0000-000090020000}"/>
    <cellStyle name="Neutral 11" xfId="636" xr:uid="{00000000-0005-0000-0000-000091020000}"/>
    <cellStyle name="Neutral 12" xfId="637" xr:uid="{00000000-0005-0000-0000-000092020000}"/>
    <cellStyle name="Neutral 13" xfId="638" xr:uid="{00000000-0005-0000-0000-000093020000}"/>
    <cellStyle name="Neutral 14" xfId="639" xr:uid="{00000000-0005-0000-0000-000094020000}"/>
    <cellStyle name="Neutral 15" xfId="640" xr:uid="{00000000-0005-0000-0000-000095020000}"/>
    <cellStyle name="Neutral 16" xfId="641" xr:uid="{00000000-0005-0000-0000-000096020000}"/>
    <cellStyle name="Neutral 17" xfId="642" xr:uid="{00000000-0005-0000-0000-000097020000}"/>
    <cellStyle name="Neutral 18" xfId="643" xr:uid="{00000000-0005-0000-0000-000098020000}"/>
    <cellStyle name="Neutral 19" xfId="644" xr:uid="{00000000-0005-0000-0000-000099020000}"/>
    <cellStyle name="Neutral 2" xfId="645" xr:uid="{00000000-0005-0000-0000-00009A020000}"/>
    <cellStyle name="Neutral 3" xfId="646" xr:uid="{00000000-0005-0000-0000-00009B020000}"/>
    <cellStyle name="Neutral 4" xfId="647" xr:uid="{00000000-0005-0000-0000-00009C020000}"/>
    <cellStyle name="Neutral 5" xfId="648" xr:uid="{00000000-0005-0000-0000-00009D020000}"/>
    <cellStyle name="Neutral 6" xfId="649" xr:uid="{00000000-0005-0000-0000-00009E020000}"/>
    <cellStyle name="Neutral 7" xfId="650" xr:uid="{00000000-0005-0000-0000-00009F020000}"/>
    <cellStyle name="Neutral 8" xfId="651" xr:uid="{00000000-0005-0000-0000-0000A0020000}"/>
    <cellStyle name="Neutral 9" xfId="652" xr:uid="{00000000-0005-0000-0000-0000A1020000}"/>
    <cellStyle name="Normal" xfId="0" builtinId="0"/>
    <cellStyle name="Normal 10" xfId="653" xr:uid="{00000000-0005-0000-0000-0000A3020000}"/>
    <cellStyle name="Normal 10 2" xfId="900" xr:uid="{00000000-0005-0000-0000-0000A4020000}"/>
    <cellStyle name="Normal 11" xfId="654" xr:uid="{00000000-0005-0000-0000-0000A5020000}"/>
    <cellStyle name="Normal 11 2" xfId="901" xr:uid="{00000000-0005-0000-0000-0000A6020000}"/>
    <cellStyle name="Normal 12" xfId="655" xr:uid="{00000000-0005-0000-0000-0000A7020000}"/>
    <cellStyle name="Normal 12 2" xfId="902" xr:uid="{00000000-0005-0000-0000-0000A8020000}"/>
    <cellStyle name="Normal 13" xfId="656" xr:uid="{00000000-0005-0000-0000-0000A9020000}"/>
    <cellStyle name="Normal 13 2" xfId="903" xr:uid="{00000000-0005-0000-0000-0000AA020000}"/>
    <cellStyle name="Normal 14" xfId="657" xr:uid="{00000000-0005-0000-0000-0000AB020000}"/>
    <cellStyle name="Normal 14 2" xfId="904" xr:uid="{00000000-0005-0000-0000-0000AC020000}"/>
    <cellStyle name="Normal 15" xfId="658" xr:uid="{00000000-0005-0000-0000-0000AD020000}"/>
    <cellStyle name="Normal 15 2" xfId="905" xr:uid="{00000000-0005-0000-0000-0000AE020000}"/>
    <cellStyle name="Normal 16" xfId="659" xr:uid="{00000000-0005-0000-0000-0000AF020000}"/>
    <cellStyle name="Normal 16 2" xfId="906" xr:uid="{00000000-0005-0000-0000-0000B0020000}"/>
    <cellStyle name="Normal 17" xfId="660" xr:uid="{00000000-0005-0000-0000-0000B1020000}"/>
    <cellStyle name="Normal 17 2" xfId="907" xr:uid="{00000000-0005-0000-0000-0000B2020000}"/>
    <cellStyle name="Normal 18" xfId="661" xr:uid="{00000000-0005-0000-0000-0000B3020000}"/>
    <cellStyle name="Normal 18 2" xfId="908" xr:uid="{00000000-0005-0000-0000-0000B4020000}"/>
    <cellStyle name="Normal 19" xfId="662" xr:uid="{00000000-0005-0000-0000-0000B5020000}"/>
    <cellStyle name="Normal 19 2" xfId="909" xr:uid="{00000000-0005-0000-0000-0000B6020000}"/>
    <cellStyle name="Normal 2" xfId="663" xr:uid="{00000000-0005-0000-0000-0000B7020000}"/>
    <cellStyle name="Normal 2 2" xfId="910" xr:uid="{00000000-0005-0000-0000-0000B8020000}"/>
    <cellStyle name="Normal 20" xfId="664" xr:uid="{00000000-0005-0000-0000-0000B9020000}"/>
    <cellStyle name="Normal 20 2" xfId="911" xr:uid="{00000000-0005-0000-0000-0000BA020000}"/>
    <cellStyle name="Normal 21" xfId="665" xr:uid="{00000000-0005-0000-0000-0000BB020000}"/>
    <cellStyle name="Normal 21 2" xfId="912" xr:uid="{00000000-0005-0000-0000-0000BC020000}"/>
    <cellStyle name="Normal 22" xfId="666" xr:uid="{00000000-0005-0000-0000-0000BD020000}"/>
    <cellStyle name="Normal 22 2" xfId="913" xr:uid="{00000000-0005-0000-0000-0000BE020000}"/>
    <cellStyle name="Normal 23" xfId="667" xr:uid="{00000000-0005-0000-0000-0000BF020000}"/>
    <cellStyle name="Normal 23 2" xfId="914" xr:uid="{00000000-0005-0000-0000-0000C0020000}"/>
    <cellStyle name="Normal 24" xfId="668" xr:uid="{00000000-0005-0000-0000-0000C1020000}"/>
    <cellStyle name="Normal 25" xfId="669" xr:uid="{00000000-0005-0000-0000-0000C2020000}"/>
    <cellStyle name="Normal 26" xfId="670" xr:uid="{00000000-0005-0000-0000-0000C3020000}"/>
    <cellStyle name="Normal 27" xfId="671" xr:uid="{00000000-0005-0000-0000-0000C4020000}"/>
    <cellStyle name="Normal 28" xfId="672" xr:uid="{00000000-0005-0000-0000-0000C5020000}"/>
    <cellStyle name="Normal 29" xfId="673" xr:uid="{00000000-0005-0000-0000-0000C6020000}"/>
    <cellStyle name="Normal 3" xfId="674" xr:uid="{00000000-0005-0000-0000-0000C7020000}"/>
    <cellStyle name="Normal 3 2" xfId="915" xr:uid="{00000000-0005-0000-0000-0000C8020000}"/>
    <cellStyle name="Normal 30" xfId="675" xr:uid="{00000000-0005-0000-0000-0000C9020000}"/>
    <cellStyle name="Normal 31" xfId="676" xr:uid="{00000000-0005-0000-0000-0000CA020000}"/>
    <cellStyle name="Normal 32" xfId="677" xr:uid="{00000000-0005-0000-0000-0000CB020000}"/>
    <cellStyle name="Normal 33" xfId="678" xr:uid="{00000000-0005-0000-0000-0000CC020000}"/>
    <cellStyle name="Normal 34" xfId="679" xr:uid="{00000000-0005-0000-0000-0000CD020000}"/>
    <cellStyle name="Normal 35" xfId="680" xr:uid="{00000000-0005-0000-0000-0000CE020000}"/>
    <cellStyle name="Normal 36" xfId="681" xr:uid="{00000000-0005-0000-0000-0000CF020000}"/>
    <cellStyle name="Normal 37" xfId="682" xr:uid="{00000000-0005-0000-0000-0000D0020000}"/>
    <cellStyle name="Normal 38" xfId="683" xr:uid="{00000000-0005-0000-0000-0000D1020000}"/>
    <cellStyle name="Normal 39" xfId="684" xr:uid="{00000000-0005-0000-0000-0000D2020000}"/>
    <cellStyle name="Normal 4" xfId="685" xr:uid="{00000000-0005-0000-0000-0000D3020000}"/>
    <cellStyle name="Normal 4 2" xfId="916" xr:uid="{00000000-0005-0000-0000-0000D4020000}"/>
    <cellStyle name="Normal 40" xfId="686" xr:uid="{00000000-0005-0000-0000-0000D5020000}"/>
    <cellStyle name="Normal 41" xfId="687" xr:uid="{00000000-0005-0000-0000-0000D6020000}"/>
    <cellStyle name="Normal 41 2" xfId="688" xr:uid="{00000000-0005-0000-0000-0000D7020000}"/>
    <cellStyle name="Normal 41 2 2" xfId="918" xr:uid="{00000000-0005-0000-0000-0000D8020000}"/>
    <cellStyle name="Normal 41 3" xfId="917" xr:uid="{00000000-0005-0000-0000-0000D9020000}"/>
    <cellStyle name="Normal 42" xfId="689" xr:uid="{00000000-0005-0000-0000-0000DA020000}"/>
    <cellStyle name="Normal 42 2" xfId="690" xr:uid="{00000000-0005-0000-0000-0000DB020000}"/>
    <cellStyle name="Normal 43" xfId="893" xr:uid="{00000000-0005-0000-0000-0000DC020000}"/>
    <cellStyle name="Normal 5" xfId="691" xr:uid="{00000000-0005-0000-0000-0000DD020000}"/>
    <cellStyle name="Normal 5 2" xfId="919" xr:uid="{00000000-0005-0000-0000-0000DE020000}"/>
    <cellStyle name="Normal 6" xfId="692" xr:uid="{00000000-0005-0000-0000-0000DF020000}"/>
    <cellStyle name="Normal 6 2" xfId="920" xr:uid="{00000000-0005-0000-0000-0000E0020000}"/>
    <cellStyle name="Normal 7" xfId="693" xr:uid="{00000000-0005-0000-0000-0000E1020000}"/>
    <cellStyle name="Normal 7 2" xfId="921" xr:uid="{00000000-0005-0000-0000-0000E2020000}"/>
    <cellStyle name="Normal 8" xfId="694" xr:uid="{00000000-0005-0000-0000-0000E3020000}"/>
    <cellStyle name="Normal 8 2" xfId="922" xr:uid="{00000000-0005-0000-0000-0000E4020000}"/>
    <cellStyle name="Normal 9" xfId="695" xr:uid="{00000000-0005-0000-0000-0000E5020000}"/>
    <cellStyle name="Normal 9 2" xfId="923" xr:uid="{00000000-0005-0000-0000-0000E6020000}"/>
    <cellStyle name="Normal_Recuento Conjuntos" xfId="696" xr:uid="{00000000-0005-0000-0000-0000E7020000}"/>
    <cellStyle name="Notas" xfId="716" builtinId="10" customBuiltin="1"/>
    <cellStyle name="Notas 10" xfId="697" xr:uid="{00000000-0005-0000-0000-0000E9020000}"/>
    <cellStyle name="Notas 10 2" xfId="924" xr:uid="{00000000-0005-0000-0000-0000EA020000}"/>
    <cellStyle name="Notas 11" xfId="698" xr:uid="{00000000-0005-0000-0000-0000EB020000}"/>
    <cellStyle name="Notas 11 2" xfId="925" xr:uid="{00000000-0005-0000-0000-0000EC020000}"/>
    <cellStyle name="Notas 12" xfId="699" xr:uid="{00000000-0005-0000-0000-0000ED020000}"/>
    <cellStyle name="Notas 12 2" xfId="926" xr:uid="{00000000-0005-0000-0000-0000EE020000}"/>
    <cellStyle name="Notas 13" xfId="700" xr:uid="{00000000-0005-0000-0000-0000EF020000}"/>
    <cellStyle name="Notas 13 2" xfId="927" xr:uid="{00000000-0005-0000-0000-0000F0020000}"/>
    <cellStyle name="Notas 14" xfId="701" xr:uid="{00000000-0005-0000-0000-0000F1020000}"/>
    <cellStyle name="Notas 14 2" xfId="928" xr:uid="{00000000-0005-0000-0000-0000F2020000}"/>
    <cellStyle name="Notas 15" xfId="702" xr:uid="{00000000-0005-0000-0000-0000F3020000}"/>
    <cellStyle name="Notas 15 2" xfId="929" xr:uid="{00000000-0005-0000-0000-0000F4020000}"/>
    <cellStyle name="Notas 16" xfId="703" xr:uid="{00000000-0005-0000-0000-0000F5020000}"/>
    <cellStyle name="Notas 16 2" xfId="930" xr:uid="{00000000-0005-0000-0000-0000F6020000}"/>
    <cellStyle name="Notas 17" xfId="704" xr:uid="{00000000-0005-0000-0000-0000F7020000}"/>
    <cellStyle name="Notas 17 2" xfId="931" xr:uid="{00000000-0005-0000-0000-0000F8020000}"/>
    <cellStyle name="Notas 18" xfId="705" xr:uid="{00000000-0005-0000-0000-0000F9020000}"/>
    <cellStyle name="Notas 18 2" xfId="932" xr:uid="{00000000-0005-0000-0000-0000FA020000}"/>
    <cellStyle name="Notas 19" xfId="706" xr:uid="{00000000-0005-0000-0000-0000FB020000}"/>
    <cellStyle name="Notas 19 2" xfId="933" xr:uid="{00000000-0005-0000-0000-0000FC020000}"/>
    <cellStyle name="Notas 2" xfId="707" xr:uid="{00000000-0005-0000-0000-0000FD020000}"/>
    <cellStyle name="Notas 2 2" xfId="934" xr:uid="{00000000-0005-0000-0000-0000FE020000}"/>
    <cellStyle name="Notas 20" xfId="708" xr:uid="{00000000-0005-0000-0000-0000FF020000}"/>
    <cellStyle name="Notas 20 2" xfId="935" xr:uid="{00000000-0005-0000-0000-000000030000}"/>
    <cellStyle name="Notas 3" xfId="709" xr:uid="{00000000-0005-0000-0000-000001030000}"/>
    <cellStyle name="Notas 3 2" xfId="936" xr:uid="{00000000-0005-0000-0000-000002030000}"/>
    <cellStyle name="Notas 4" xfId="710" xr:uid="{00000000-0005-0000-0000-000003030000}"/>
    <cellStyle name="Notas 4 2" xfId="937" xr:uid="{00000000-0005-0000-0000-000004030000}"/>
    <cellStyle name="Notas 5" xfId="711" xr:uid="{00000000-0005-0000-0000-000005030000}"/>
    <cellStyle name="Notas 5 2" xfId="938" xr:uid="{00000000-0005-0000-0000-000006030000}"/>
    <cellStyle name="Notas 6" xfId="712" xr:uid="{00000000-0005-0000-0000-000007030000}"/>
    <cellStyle name="Notas 6 2" xfId="939" xr:uid="{00000000-0005-0000-0000-000008030000}"/>
    <cellStyle name="Notas 7" xfId="713" xr:uid="{00000000-0005-0000-0000-000009030000}"/>
    <cellStyle name="Notas 7 2" xfId="940" xr:uid="{00000000-0005-0000-0000-00000A030000}"/>
    <cellStyle name="Notas 8" xfId="714" xr:uid="{00000000-0005-0000-0000-00000B030000}"/>
    <cellStyle name="Notas 8 2" xfId="941" xr:uid="{00000000-0005-0000-0000-00000C030000}"/>
    <cellStyle name="Notas 9" xfId="715" xr:uid="{00000000-0005-0000-0000-00000D030000}"/>
    <cellStyle name="Notas 9 2" xfId="942" xr:uid="{00000000-0005-0000-0000-00000E030000}"/>
    <cellStyle name="Note 2" xfId="717" xr:uid="{00000000-0005-0000-0000-00000F030000}"/>
    <cellStyle name="Output" xfId="740" xr:uid="{00000000-0005-0000-0000-000010030000}"/>
    <cellStyle name="Output 2" xfId="718" xr:uid="{00000000-0005-0000-0000-000011030000}"/>
    <cellStyle name="Porcentual 10" xfId="719" xr:uid="{00000000-0005-0000-0000-000012030000}"/>
    <cellStyle name="Porcentual 11" xfId="720" xr:uid="{00000000-0005-0000-0000-000013030000}"/>
    <cellStyle name="Porcentual 12" xfId="721" xr:uid="{00000000-0005-0000-0000-000014030000}"/>
    <cellStyle name="Porcentual 13" xfId="722" xr:uid="{00000000-0005-0000-0000-000015030000}"/>
    <cellStyle name="Porcentual 14" xfId="723" xr:uid="{00000000-0005-0000-0000-000016030000}"/>
    <cellStyle name="Porcentual 15" xfId="724" xr:uid="{00000000-0005-0000-0000-000017030000}"/>
    <cellStyle name="Porcentual 16" xfId="725" xr:uid="{00000000-0005-0000-0000-000018030000}"/>
    <cellStyle name="Porcentual 17" xfId="726" xr:uid="{00000000-0005-0000-0000-000019030000}"/>
    <cellStyle name="Porcentual 18" xfId="727" xr:uid="{00000000-0005-0000-0000-00001A030000}"/>
    <cellStyle name="Porcentual 19" xfId="728" xr:uid="{00000000-0005-0000-0000-00001B030000}"/>
    <cellStyle name="Porcentual 19 2" xfId="729" xr:uid="{00000000-0005-0000-0000-00001C030000}"/>
    <cellStyle name="Porcentual 19 2 2" xfId="944" xr:uid="{00000000-0005-0000-0000-00001D030000}"/>
    <cellStyle name="Porcentual 19 3" xfId="943" xr:uid="{00000000-0005-0000-0000-00001E030000}"/>
    <cellStyle name="Porcentual 2" xfId="730" xr:uid="{00000000-0005-0000-0000-00001F030000}"/>
    <cellStyle name="Porcentual 20" xfId="731" xr:uid="{00000000-0005-0000-0000-000020030000}"/>
    <cellStyle name="Porcentual 20 2" xfId="732" xr:uid="{00000000-0005-0000-0000-000021030000}"/>
    <cellStyle name="Porcentual 3" xfId="733" xr:uid="{00000000-0005-0000-0000-000022030000}"/>
    <cellStyle name="Porcentual 4" xfId="734" xr:uid="{00000000-0005-0000-0000-000023030000}"/>
    <cellStyle name="Porcentual 5" xfId="735" xr:uid="{00000000-0005-0000-0000-000024030000}"/>
    <cellStyle name="Porcentual 6" xfId="736" xr:uid="{00000000-0005-0000-0000-000025030000}"/>
    <cellStyle name="Porcentual 7" xfId="737" xr:uid="{00000000-0005-0000-0000-000026030000}"/>
    <cellStyle name="Porcentual 8" xfId="738" xr:uid="{00000000-0005-0000-0000-000027030000}"/>
    <cellStyle name="Porcentual 9" xfId="739" xr:uid="{00000000-0005-0000-0000-000028030000}"/>
    <cellStyle name="Salida 10" xfId="741" xr:uid="{00000000-0005-0000-0000-000029030000}"/>
    <cellStyle name="Salida 11" xfId="742" xr:uid="{00000000-0005-0000-0000-00002A030000}"/>
    <cellStyle name="Salida 12" xfId="743" xr:uid="{00000000-0005-0000-0000-00002B030000}"/>
    <cellStyle name="Salida 13" xfId="744" xr:uid="{00000000-0005-0000-0000-00002C030000}"/>
    <cellStyle name="Salida 14" xfId="745" xr:uid="{00000000-0005-0000-0000-00002D030000}"/>
    <cellStyle name="Salida 15" xfId="746" xr:uid="{00000000-0005-0000-0000-00002E030000}"/>
    <cellStyle name="Salida 16" xfId="747" xr:uid="{00000000-0005-0000-0000-00002F030000}"/>
    <cellStyle name="Salida 17" xfId="748" xr:uid="{00000000-0005-0000-0000-000030030000}"/>
    <cellStyle name="Salida 18" xfId="749" xr:uid="{00000000-0005-0000-0000-000031030000}"/>
    <cellStyle name="Salida 19" xfId="750" xr:uid="{00000000-0005-0000-0000-000032030000}"/>
    <cellStyle name="Salida 2" xfId="751" xr:uid="{00000000-0005-0000-0000-000033030000}"/>
    <cellStyle name="Salida 3" xfId="752" xr:uid="{00000000-0005-0000-0000-000034030000}"/>
    <cellStyle name="Salida 4" xfId="753" xr:uid="{00000000-0005-0000-0000-000035030000}"/>
    <cellStyle name="Salida 5" xfId="754" xr:uid="{00000000-0005-0000-0000-000036030000}"/>
    <cellStyle name="Salida 6" xfId="755" xr:uid="{00000000-0005-0000-0000-000037030000}"/>
    <cellStyle name="Salida 7" xfId="756" xr:uid="{00000000-0005-0000-0000-000038030000}"/>
    <cellStyle name="Salida 8" xfId="757" xr:uid="{00000000-0005-0000-0000-000039030000}"/>
    <cellStyle name="Salida 9" xfId="758" xr:uid="{00000000-0005-0000-0000-00003A030000}"/>
    <cellStyle name="Texto de advertencia" xfId="891" builtinId="11" customBuiltin="1"/>
    <cellStyle name="Texto de advertencia 10" xfId="759" xr:uid="{00000000-0005-0000-0000-00003C030000}"/>
    <cellStyle name="Texto de advertencia 11" xfId="760" xr:uid="{00000000-0005-0000-0000-00003D030000}"/>
    <cellStyle name="Texto de advertencia 12" xfId="761" xr:uid="{00000000-0005-0000-0000-00003E030000}"/>
    <cellStyle name="Texto de advertencia 13" xfId="762" xr:uid="{00000000-0005-0000-0000-00003F030000}"/>
    <cellStyle name="Texto de advertencia 14" xfId="763" xr:uid="{00000000-0005-0000-0000-000040030000}"/>
    <cellStyle name="Texto de advertencia 15" xfId="764" xr:uid="{00000000-0005-0000-0000-000041030000}"/>
    <cellStyle name="Texto de advertencia 16" xfId="765" xr:uid="{00000000-0005-0000-0000-000042030000}"/>
    <cellStyle name="Texto de advertencia 17" xfId="766" xr:uid="{00000000-0005-0000-0000-000043030000}"/>
    <cellStyle name="Texto de advertencia 18" xfId="767" xr:uid="{00000000-0005-0000-0000-000044030000}"/>
    <cellStyle name="Texto de advertencia 19" xfId="768" xr:uid="{00000000-0005-0000-0000-000045030000}"/>
    <cellStyle name="Texto de advertencia 2" xfId="769" xr:uid="{00000000-0005-0000-0000-000046030000}"/>
    <cellStyle name="Texto de advertencia 3" xfId="770" xr:uid="{00000000-0005-0000-0000-000047030000}"/>
    <cellStyle name="Texto de advertencia 4" xfId="771" xr:uid="{00000000-0005-0000-0000-000048030000}"/>
    <cellStyle name="Texto de advertencia 5" xfId="772" xr:uid="{00000000-0005-0000-0000-000049030000}"/>
    <cellStyle name="Texto de advertencia 6" xfId="773" xr:uid="{00000000-0005-0000-0000-00004A030000}"/>
    <cellStyle name="Texto de advertencia 7" xfId="774" xr:uid="{00000000-0005-0000-0000-00004B030000}"/>
    <cellStyle name="Texto de advertencia 8" xfId="775" xr:uid="{00000000-0005-0000-0000-00004C030000}"/>
    <cellStyle name="Texto de advertencia 9" xfId="776" xr:uid="{00000000-0005-0000-0000-00004D030000}"/>
    <cellStyle name="Texto explicativo 10" xfId="778" xr:uid="{00000000-0005-0000-0000-00004E030000}"/>
    <cellStyle name="Texto explicativo 11" xfId="779" xr:uid="{00000000-0005-0000-0000-00004F030000}"/>
    <cellStyle name="Texto explicativo 12" xfId="780" xr:uid="{00000000-0005-0000-0000-000050030000}"/>
    <cellStyle name="Texto explicativo 13" xfId="781" xr:uid="{00000000-0005-0000-0000-000051030000}"/>
    <cellStyle name="Texto explicativo 14" xfId="782" xr:uid="{00000000-0005-0000-0000-000052030000}"/>
    <cellStyle name="Texto explicativo 15" xfId="783" xr:uid="{00000000-0005-0000-0000-000053030000}"/>
    <cellStyle name="Texto explicativo 16" xfId="784" xr:uid="{00000000-0005-0000-0000-000054030000}"/>
    <cellStyle name="Texto explicativo 17" xfId="785" xr:uid="{00000000-0005-0000-0000-000055030000}"/>
    <cellStyle name="Texto explicativo 18" xfId="786" xr:uid="{00000000-0005-0000-0000-000056030000}"/>
    <cellStyle name="Texto explicativo 19" xfId="787" xr:uid="{00000000-0005-0000-0000-000057030000}"/>
    <cellStyle name="Texto explicativo 2" xfId="788" xr:uid="{00000000-0005-0000-0000-000058030000}"/>
    <cellStyle name="Texto explicativo 3" xfId="789" xr:uid="{00000000-0005-0000-0000-000059030000}"/>
    <cellStyle name="Texto explicativo 4" xfId="790" xr:uid="{00000000-0005-0000-0000-00005A030000}"/>
    <cellStyle name="Texto explicativo 5" xfId="791" xr:uid="{00000000-0005-0000-0000-00005B030000}"/>
    <cellStyle name="Texto explicativo 6" xfId="792" xr:uid="{00000000-0005-0000-0000-00005C030000}"/>
    <cellStyle name="Texto explicativo 7" xfId="793" xr:uid="{00000000-0005-0000-0000-00005D030000}"/>
    <cellStyle name="Texto explicativo 8" xfId="794" xr:uid="{00000000-0005-0000-0000-00005E030000}"/>
    <cellStyle name="Texto explicativo 9" xfId="795" xr:uid="{00000000-0005-0000-0000-00005F030000}"/>
    <cellStyle name="Title" xfId="797" xr:uid="{00000000-0005-0000-0000-000060030000}"/>
    <cellStyle name="Title 2" xfId="796" xr:uid="{00000000-0005-0000-0000-000061030000}"/>
    <cellStyle name="Título 1 10" xfId="798" xr:uid="{00000000-0005-0000-0000-000062030000}"/>
    <cellStyle name="Título 1 11" xfId="799" xr:uid="{00000000-0005-0000-0000-000063030000}"/>
    <cellStyle name="Título 1 12" xfId="800" xr:uid="{00000000-0005-0000-0000-000064030000}"/>
    <cellStyle name="Título 1 13" xfId="801" xr:uid="{00000000-0005-0000-0000-000065030000}"/>
    <cellStyle name="Título 1 14" xfId="802" xr:uid="{00000000-0005-0000-0000-000066030000}"/>
    <cellStyle name="Título 1 15" xfId="803" xr:uid="{00000000-0005-0000-0000-000067030000}"/>
    <cellStyle name="Título 1 16" xfId="804" xr:uid="{00000000-0005-0000-0000-000068030000}"/>
    <cellStyle name="Título 1 17" xfId="805" xr:uid="{00000000-0005-0000-0000-000069030000}"/>
    <cellStyle name="Título 1 18" xfId="806" xr:uid="{00000000-0005-0000-0000-00006A030000}"/>
    <cellStyle name="Título 1 19" xfId="807" xr:uid="{00000000-0005-0000-0000-00006B030000}"/>
    <cellStyle name="Título 1 2" xfId="808" xr:uid="{00000000-0005-0000-0000-00006C030000}"/>
    <cellStyle name="Título 1 3" xfId="809" xr:uid="{00000000-0005-0000-0000-00006D030000}"/>
    <cellStyle name="Título 1 4" xfId="810" xr:uid="{00000000-0005-0000-0000-00006E030000}"/>
    <cellStyle name="Título 1 5" xfId="811" xr:uid="{00000000-0005-0000-0000-00006F030000}"/>
    <cellStyle name="Título 1 6" xfId="812" xr:uid="{00000000-0005-0000-0000-000070030000}"/>
    <cellStyle name="Título 1 7" xfId="813" xr:uid="{00000000-0005-0000-0000-000071030000}"/>
    <cellStyle name="Título 1 8" xfId="814" xr:uid="{00000000-0005-0000-0000-000072030000}"/>
    <cellStyle name="Título 1 9" xfId="815" xr:uid="{00000000-0005-0000-0000-000073030000}"/>
    <cellStyle name="Título 10" xfId="816" xr:uid="{00000000-0005-0000-0000-000074030000}"/>
    <cellStyle name="Título 11" xfId="817" xr:uid="{00000000-0005-0000-0000-000075030000}"/>
    <cellStyle name="Título 12" xfId="818" xr:uid="{00000000-0005-0000-0000-000076030000}"/>
    <cellStyle name="Título 13" xfId="819" xr:uid="{00000000-0005-0000-0000-000077030000}"/>
    <cellStyle name="Título 14" xfId="820" xr:uid="{00000000-0005-0000-0000-000078030000}"/>
    <cellStyle name="Título 15" xfId="821" xr:uid="{00000000-0005-0000-0000-000079030000}"/>
    <cellStyle name="Título 16" xfId="822" xr:uid="{00000000-0005-0000-0000-00007A030000}"/>
    <cellStyle name="Título 17" xfId="823" xr:uid="{00000000-0005-0000-0000-00007B030000}"/>
    <cellStyle name="Título 18" xfId="824" xr:uid="{00000000-0005-0000-0000-00007C030000}"/>
    <cellStyle name="Título 19" xfId="825" xr:uid="{00000000-0005-0000-0000-00007D030000}"/>
    <cellStyle name="Título 2 10" xfId="827" xr:uid="{00000000-0005-0000-0000-00007E030000}"/>
    <cellStyle name="Título 2 11" xfId="828" xr:uid="{00000000-0005-0000-0000-00007F030000}"/>
    <cellStyle name="Título 2 12" xfId="829" xr:uid="{00000000-0005-0000-0000-000080030000}"/>
    <cellStyle name="Título 2 13" xfId="830" xr:uid="{00000000-0005-0000-0000-000081030000}"/>
    <cellStyle name="Título 2 14" xfId="831" xr:uid="{00000000-0005-0000-0000-000082030000}"/>
    <cellStyle name="Título 2 15" xfId="832" xr:uid="{00000000-0005-0000-0000-000083030000}"/>
    <cellStyle name="Título 2 16" xfId="833" xr:uid="{00000000-0005-0000-0000-000084030000}"/>
    <cellStyle name="Título 2 17" xfId="834" xr:uid="{00000000-0005-0000-0000-000085030000}"/>
    <cellStyle name="Título 2 18" xfId="835" xr:uid="{00000000-0005-0000-0000-000086030000}"/>
    <cellStyle name="Título 2 19" xfId="836" xr:uid="{00000000-0005-0000-0000-000087030000}"/>
    <cellStyle name="Título 2 2" xfId="837" xr:uid="{00000000-0005-0000-0000-000088030000}"/>
    <cellStyle name="Título 2 3" xfId="838" xr:uid="{00000000-0005-0000-0000-000089030000}"/>
    <cellStyle name="Título 2 4" xfId="839" xr:uid="{00000000-0005-0000-0000-00008A030000}"/>
    <cellStyle name="Título 2 5" xfId="840" xr:uid="{00000000-0005-0000-0000-00008B030000}"/>
    <cellStyle name="Título 2 6" xfId="841" xr:uid="{00000000-0005-0000-0000-00008C030000}"/>
    <cellStyle name="Título 2 7" xfId="842" xr:uid="{00000000-0005-0000-0000-00008D030000}"/>
    <cellStyle name="Título 2 8" xfId="843" xr:uid="{00000000-0005-0000-0000-00008E030000}"/>
    <cellStyle name="Título 2 9" xfId="844" xr:uid="{00000000-0005-0000-0000-00008F030000}"/>
    <cellStyle name="Título 20" xfId="845" xr:uid="{00000000-0005-0000-0000-000090030000}"/>
    <cellStyle name="Título 21" xfId="846" xr:uid="{00000000-0005-0000-0000-000091030000}"/>
    <cellStyle name="Título 3 10" xfId="848" xr:uid="{00000000-0005-0000-0000-000092030000}"/>
    <cellStyle name="Título 3 11" xfId="849" xr:uid="{00000000-0005-0000-0000-000093030000}"/>
    <cellStyle name="Título 3 12" xfId="850" xr:uid="{00000000-0005-0000-0000-000094030000}"/>
    <cellStyle name="Título 3 13" xfId="851" xr:uid="{00000000-0005-0000-0000-000095030000}"/>
    <cellStyle name="Título 3 14" xfId="852" xr:uid="{00000000-0005-0000-0000-000096030000}"/>
    <cellStyle name="Título 3 15" xfId="853" xr:uid="{00000000-0005-0000-0000-000097030000}"/>
    <cellStyle name="Título 3 16" xfId="854" xr:uid="{00000000-0005-0000-0000-000098030000}"/>
    <cellStyle name="Título 3 17" xfId="855" xr:uid="{00000000-0005-0000-0000-000099030000}"/>
    <cellStyle name="Título 3 18" xfId="856" xr:uid="{00000000-0005-0000-0000-00009A030000}"/>
    <cellStyle name="Título 3 19" xfId="857" xr:uid="{00000000-0005-0000-0000-00009B030000}"/>
    <cellStyle name="Título 3 2" xfId="858" xr:uid="{00000000-0005-0000-0000-00009C030000}"/>
    <cellStyle name="Título 3 3" xfId="859" xr:uid="{00000000-0005-0000-0000-00009D030000}"/>
    <cellStyle name="Título 3 4" xfId="860" xr:uid="{00000000-0005-0000-0000-00009E030000}"/>
    <cellStyle name="Título 3 5" xfId="861" xr:uid="{00000000-0005-0000-0000-00009F030000}"/>
    <cellStyle name="Título 3 6" xfId="862" xr:uid="{00000000-0005-0000-0000-0000A0030000}"/>
    <cellStyle name="Título 3 7" xfId="863" xr:uid="{00000000-0005-0000-0000-0000A1030000}"/>
    <cellStyle name="Título 3 8" xfId="864" xr:uid="{00000000-0005-0000-0000-0000A2030000}"/>
    <cellStyle name="Título 3 9" xfId="865" xr:uid="{00000000-0005-0000-0000-0000A3030000}"/>
    <cellStyle name="Título 4" xfId="866" xr:uid="{00000000-0005-0000-0000-0000A4030000}"/>
    <cellStyle name="Título 5" xfId="867" xr:uid="{00000000-0005-0000-0000-0000A5030000}"/>
    <cellStyle name="Título 6" xfId="868" xr:uid="{00000000-0005-0000-0000-0000A6030000}"/>
    <cellStyle name="Título 7" xfId="869" xr:uid="{00000000-0005-0000-0000-0000A7030000}"/>
    <cellStyle name="Título 8" xfId="870" xr:uid="{00000000-0005-0000-0000-0000A8030000}"/>
    <cellStyle name="Título 9" xfId="871" xr:uid="{00000000-0005-0000-0000-0000A9030000}"/>
    <cellStyle name="Total" xfId="872" builtinId="25" customBuiltin="1"/>
    <cellStyle name="Total 10" xfId="873" xr:uid="{00000000-0005-0000-0000-0000AB030000}"/>
    <cellStyle name="Total 11" xfId="874" xr:uid="{00000000-0005-0000-0000-0000AC030000}"/>
    <cellStyle name="Total 12" xfId="875" xr:uid="{00000000-0005-0000-0000-0000AD030000}"/>
    <cellStyle name="Total 13" xfId="876" xr:uid="{00000000-0005-0000-0000-0000AE030000}"/>
    <cellStyle name="Total 14" xfId="877" xr:uid="{00000000-0005-0000-0000-0000AF030000}"/>
    <cellStyle name="Total 15" xfId="878" xr:uid="{00000000-0005-0000-0000-0000B0030000}"/>
    <cellStyle name="Total 16" xfId="879" xr:uid="{00000000-0005-0000-0000-0000B1030000}"/>
    <cellStyle name="Total 17" xfId="880" xr:uid="{00000000-0005-0000-0000-0000B2030000}"/>
    <cellStyle name="Total 18" xfId="881" xr:uid="{00000000-0005-0000-0000-0000B3030000}"/>
    <cellStyle name="Total 19" xfId="882" xr:uid="{00000000-0005-0000-0000-0000B4030000}"/>
    <cellStyle name="Total 2" xfId="883" xr:uid="{00000000-0005-0000-0000-0000B5030000}"/>
    <cellStyle name="Total 3" xfId="884" xr:uid="{00000000-0005-0000-0000-0000B6030000}"/>
    <cellStyle name="Total 4" xfId="885" xr:uid="{00000000-0005-0000-0000-0000B7030000}"/>
    <cellStyle name="Total 5" xfId="886" xr:uid="{00000000-0005-0000-0000-0000B8030000}"/>
    <cellStyle name="Total 6" xfId="887" xr:uid="{00000000-0005-0000-0000-0000B9030000}"/>
    <cellStyle name="Total 7" xfId="888" xr:uid="{00000000-0005-0000-0000-0000BA030000}"/>
    <cellStyle name="Total 8" xfId="889" xr:uid="{00000000-0005-0000-0000-0000BB030000}"/>
    <cellStyle name="Total 9" xfId="890" xr:uid="{00000000-0005-0000-0000-0000BC030000}"/>
    <cellStyle name="Warning Text 2" xfId="892" xr:uid="{00000000-0005-0000-0000-0000BD030000}"/>
  </cellStyles>
  <dxfs count="12881">
    <dxf>
      <font>
        <color theme="0"/>
      </font>
    </dxf>
    <dxf>
      <font>
        <b/>
        <i val="0"/>
        <color rgb="FFFF0000"/>
      </font>
    </dxf>
    <dxf>
      <font>
        <color theme="0"/>
      </font>
    </dxf>
    <dxf>
      <font>
        <color theme="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color rgb="FF00B050"/>
      </font>
    </dxf>
    <dxf>
      <font>
        <b/>
        <i val="0"/>
        <color rgb="FFFFC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b/>
        <i val="0"/>
        <color rgb="FFFF0000"/>
      </font>
    </dxf>
    <dxf>
      <font>
        <b/>
        <i val="0"/>
        <color rgb="FFFF0000"/>
      </font>
    </dxf>
    <dxf>
      <font>
        <b/>
        <i val="0"/>
        <color rgb="FFFF0000"/>
      </font>
    </dxf>
    <dxf>
      <font>
        <b/>
        <i val="0"/>
        <color rgb="FFFF0000"/>
      </font>
    </dxf>
    <dxf>
      <font>
        <b/>
        <i val="0"/>
        <color rgb="FFFF0000"/>
      </font>
    </dxf>
    <dxf>
      <font>
        <b/>
        <i val="0"/>
        <color rgb="FF00FF00"/>
      </font>
    </dxf>
    <dxf>
      <font>
        <b/>
        <i val="0"/>
        <color rgb="FF00B0F0"/>
      </font>
    </dxf>
    <dxf>
      <font>
        <b/>
        <i val="0"/>
        <color rgb="FF7030A0"/>
      </font>
    </dxf>
    <dxf>
      <font>
        <b/>
        <i val="0"/>
        <color rgb="FF00FF00"/>
      </font>
    </dxf>
    <dxf>
      <font>
        <b/>
        <i val="0"/>
        <color rgb="FF00B0F0"/>
      </font>
    </dxf>
    <dxf>
      <font>
        <b/>
        <i val="0"/>
        <color rgb="FF7030A0"/>
      </font>
    </dxf>
    <dxf>
      <font>
        <b/>
        <i val="0"/>
        <color rgb="FF00FF00"/>
      </font>
    </dxf>
    <dxf>
      <font>
        <b/>
        <i val="0"/>
        <color rgb="FF00B0F0"/>
      </font>
    </dxf>
    <dxf>
      <font>
        <b/>
        <i val="0"/>
        <color rgb="FF7030A0"/>
      </font>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b/>
        <i val="0"/>
        <color rgb="FFFF000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color rgb="FF00B050"/>
      </font>
    </dxf>
    <dxf>
      <font>
        <b/>
        <i val="0"/>
        <color rgb="FFFFC000"/>
      </font>
    </dxf>
    <dxf>
      <font>
        <b/>
        <i val="0"/>
        <color rgb="FFFF0000"/>
      </font>
    </dxf>
    <dxf>
      <font>
        <b/>
        <i val="0"/>
        <color rgb="FFFF0000"/>
      </font>
    </dxf>
    <dxf>
      <font>
        <b/>
        <i val="0"/>
        <color rgb="FFFF0000"/>
      </font>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ont>
        <b/>
        <i val="0"/>
        <color rgb="FFFF0000"/>
      </font>
    </dxf>
    <dxf>
      <font>
        <b/>
        <i val="0"/>
        <color rgb="FFFF0000"/>
      </font>
    </dxf>
    <dxf>
      <font>
        <b/>
        <i val="0"/>
        <color rgb="FFFF0000"/>
      </font>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rgb="FFFFFF00"/>
      </font>
      <fill>
        <patternFill>
          <bgColor rgb="FFFFFF00"/>
        </patternFill>
      </fill>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fill>
        <patternFill patternType="none">
          <bgColor auto="1"/>
        </patternFill>
      </fill>
    </dxf>
    <dxf>
      <font>
        <color theme="1"/>
      </font>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ill>
        <patternFill>
          <bgColor rgb="FFFFC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rgb="FFFFFF00"/>
      </font>
      <fill>
        <patternFill>
          <bgColor rgb="FFFFFF00"/>
        </patternFill>
      </fill>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00B050"/>
      </font>
      <fill>
        <patternFill patternType="none">
          <bgColor auto="1"/>
        </patternFill>
      </fill>
    </dxf>
    <dxf>
      <font>
        <color theme="1"/>
      </font>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ont>
        <color rgb="FFFFFF00"/>
      </font>
      <fill>
        <patternFill>
          <bgColor rgb="FFFFFF00"/>
        </patternFill>
      </fill>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fill>
        <patternFill patternType="none">
          <bgColor auto="1"/>
        </patternFill>
      </fill>
    </dxf>
    <dxf>
      <font>
        <color theme="1"/>
      </font>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C000"/>
        </patternFill>
      </fill>
    </dxf>
    <dxf>
      <font>
        <b/>
        <i val="0"/>
      </font>
    </dxf>
    <dxf>
      <font>
        <color theme="0"/>
      </font>
    </dxf>
    <dxf>
      <fill>
        <patternFill>
          <bgColor rgb="FFFF0000"/>
        </patternFill>
      </fill>
    </dxf>
    <dxf>
      <fill>
        <patternFill>
          <bgColor rgb="FFFF0000"/>
        </patternFill>
      </fill>
    </dxf>
    <dxf>
      <font>
        <color rgb="FF00CC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FF00"/>
      </font>
      <fill>
        <patternFill>
          <bgColor rgb="FFFFFF00"/>
        </patternFill>
      </fill>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fill>
        <patternFill patternType="none">
          <bgColor auto="1"/>
        </patternFill>
      </fill>
    </dxf>
    <dxf>
      <font>
        <color theme="1"/>
      </font>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rgb="FFFFC000"/>
        </patternFill>
      </fill>
    </dxf>
    <dxf>
      <font>
        <b/>
        <i val="0"/>
      </font>
    </dxf>
    <dxf>
      <font>
        <color theme="0"/>
      </font>
    </dxf>
    <dxf>
      <fill>
        <patternFill>
          <bgColor rgb="FFFF0000"/>
        </patternFill>
      </fill>
    </dxf>
    <dxf>
      <fill>
        <patternFill>
          <bgColor rgb="FFFF0000"/>
        </patternFill>
      </fill>
    </dxf>
    <dxf>
      <font>
        <color rgb="FF00CC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rgb="FFFFFF00"/>
      </font>
      <fill>
        <patternFill>
          <bgColor rgb="FFFFFF00"/>
        </patternFill>
      </fill>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auto="1"/>
      </font>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00B050"/>
      </font>
      <fill>
        <patternFill patternType="none">
          <bgColor auto="1"/>
        </patternFill>
      </fill>
    </dxf>
    <dxf>
      <font>
        <color theme="1"/>
      </font>
    </dxf>
    <dxf>
      <font>
        <color theme="0"/>
      </font>
    </dxf>
    <dxf>
      <fill>
        <patternFill>
          <bgColor rgb="FFFF0000"/>
        </patternFill>
      </fill>
    </dxf>
    <dxf>
      <fill>
        <patternFill>
          <bgColor rgb="FFFF0000"/>
        </patternFill>
      </fill>
    </dxf>
    <dxf>
      <font>
        <color rgb="FF00CC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ont>
        <color rgb="FFFFFF00"/>
      </font>
      <fill>
        <patternFill>
          <bgColor rgb="FFFFFF00"/>
        </patternFill>
      </fill>
    </dxf>
    <dxf>
      <font>
        <color theme="0"/>
      </font>
    </dxf>
  </dxfs>
  <tableStyles count="0" defaultTableStyle="TableStyleMedium9" defaultPivotStyle="PivotStyleLight16"/>
  <colors>
    <mruColors>
      <color rgb="FFDA9694"/>
      <color rgb="FFFF7C80"/>
      <color rgb="FF99FF33"/>
      <color rgb="FFCCFF66"/>
      <color rgb="FFFFCC99"/>
      <color rgb="FFCCFFCC"/>
      <color rgb="FFFFFF99"/>
      <color rgb="FF00CC00"/>
      <color rgb="FFFF9999"/>
      <color rgb="FF9BBB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tif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jpeg"/><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jpeg"/><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jpeg"/><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jpeg"/><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jpeg"/><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jpeg"/><Relationship Id="rId1" Type="http://schemas.openxmlformats.org/officeDocument/2006/relationships/image" Target="../media/image3.png"/></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tiff"/></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vmlDrawing" Target="../drawings/vmlDrawing8.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vmlDrawing" Target="../drawings/vmlDrawing10.v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vmlDrawing" Target="../drawings/vmlDrawing12.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2">
    <tabColor rgb="FF92D050"/>
    <pageSetUpPr fitToPage="1"/>
  </sheetPr>
  <dimension ref="A1:O374"/>
  <sheetViews>
    <sheetView showGridLines="0" view="pageBreakPreview" zoomScale="90" zoomScaleNormal="90" zoomScaleSheetLayoutView="90" workbookViewId="0">
      <pane xSplit="2" ySplit="2" topLeftCell="C3" activePane="bottomRight" state="frozen"/>
      <selection activeCell="J9" sqref="J9"/>
      <selection pane="topRight" activeCell="J9" sqref="J9"/>
      <selection pane="bottomLeft" activeCell="J9" sqref="J9"/>
      <selection pane="bottomRight" activeCell="C42" sqref="C42"/>
    </sheetView>
  </sheetViews>
  <sheetFormatPr baseColWidth="10" defaultColWidth="11.44140625" defaultRowHeight="13.2"/>
  <cols>
    <col min="1" max="1" width="15" customWidth="1"/>
    <col min="2" max="2" width="13.5546875" customWidth="1"/>
    <col min="3" max="3" width="120.6640625" customWidth="1"/>
    <col min="4" max="4" width="14.33203125" customWidth="1"/>
    <col min="5" max="5" width="14.88671875" bestFit="1" customWidth="1"/>
    <col min="6" max="6" width="11.5546875" customWidth="1"/>
    <col min="7" max="7" width="37.6640625" customWidth="1"/>
    <col min="8" max="8" width="11.5546875" customWidth="1"/>
    <col min="9" max="9" width="37.6640625" customWidth="1"/>
    <col min="10" max="10" width="11.5546875" customWidth="1"/>
    <col min="11" max="11" width="37.6640625" customWidth="1"/>
    <col min="12" max="12" width="11.5546875" customWidth="1"/>
    <col min="13" max="13" width="37.6640625" customWidth="1"/>
    <col min="14" max="14" width="11.5546875" customWidth="1"/>
    <col min="15" max="15" width="37.6640625" customWidth="1"/>
  </cols>
  <sheetData>
    <row r="1" spans="1:7" ht="24.6" customHeight="1">
      <c r="A1" s="681" t="s">
        <v>616</v>
      </c>
      <c r="B1" s="681" t="s">
        <v>609</v>
      </c>
      <c r="C1" s="681" t="s">
        <v>615</v>
      </c>
      <c r="D1" s="681" t="s">
        <v>690</v>
      </c>
    </row>
    <row r="2" spans="1:7" ht="24" customHeight="1">
      <c r="A2" s="681"/>
      <c r="B2" s="681"/>
      <c r="C2" s="681"/>
      <c r="D2" s="681"/>
    </row>
    <row r="3" spans="1:7" ht="24.9" customHeight="1">
      <c r="A3" s="683">
        <v>0</v>
      </c>
      <c r="B3" s="55">
        <v>44019</v>
      </c>
      <c r="C3" s="132" t="s">
        <v>1729</v>
      </c>
      <c r="D3" s="685" t="s">
        <v>1730</v>
      </c>
    </row>
    <row r="4" spans="1:7" ht="24.9" customHeight="1">
      <c r="A4" s="684"/>
      <c r="B4" s="55">
        <v>44062</v>
      </c>
      <c r="C4" s="132" t="s">
        <v>2522</v>
      </c>
      <c r="D4" s="686"/>
    </row>
    <row r="5" spans="1:7" ht="24.9" customHeight="1">
      <c r="A5" s="68">
        <v>1</v>
      </c>
      <c r="B5" s="2">
        <v>44077</v>
      </c>
      <c r="C5" s="132" t="s">
        <v>2543</v>
      </c>
      <c r="D5" s="686"/>
      <c r="G5" s="1"/>
    </row>
    <row r="6" spans="1:7" ht="24.9" customHeight="1">
      <c r="A6" s="68">
        <v>2</v>
      </c>
      <c r="B6" s="2">
        <v>44307</v>
      </c>
      <c r="C6" s="132" t="s">
        <v>2549</v>
      </c>
      <c r="D6" s="686"/>
    </row>
    <row r="7" spans="1:7" ht="24.9" customHeight="1">
      <c r="A7" s="68">
        <v>3</v>
      </c>
      <c r="B7" s="2">
        <v>44340</v>
      </c>
      <c r="C7" s="132" t="s">
        <v>2550</v>
      </c>
      <c r="D7" s="686"/>
    </row>
    <row r="8" spans="1:7" ht="24.9" customHeight="1">
      <c r="A8" s="68">
        <v>4</v>
      </c>
      <c r="B8" s="2">
        <v>44351</v>
      </c>
      <c r="C8" s="132" t="s">
        <v>2552</v>
      </c>
      <c r="D8" s="686"/>
    </row>
    <row r="9" spans="1:7" ht="24.9" customHeight="1">
      <c r="A9" s="68">
        <v>5</v>
      </c>
      <c r="B9" s="2">
        <v>44368</v>
      </c>
      <c r="C9" s="132" t="s">
        <v>2553</v>
      </c>
      <c r="D9" s="687"/>
    </row>
    <row r="10" spans="1:7" ht="24.9" customHeight="1">
      <c r="A10" s="683">
        <v>6</v>
      </c>
      <c r="B10" s="2">
        <v>44419</v>
      </c>
      <c r="C10" s="132" t="s">
        <v>2554</v>
      </c>
      <c r="D10" s="689" t="s">
        <v>1730</v>
      </c>
    </row>
    <row r="11" spans="1:7" ht="24.9" customHeight="1">
      <c r="A11" s="688"/>
      <c r="B11" s="2">
        <v>44434</v>
      </c>
      <c r="C11" s="675" t="s">
        <v>2561</v>
      </c>
      <c r="D11" s="690"/>
    </row>
    <row r="12" spans="1:7" ht="24.9" customHeight="1">
      <c r="A12" s="688"/>
      <c r="B12" s="2">
        <v>44441</v>
      </c>
      <c r="C12" s="132" t="s">
        <v>2562</v>
      </c>
      <c r="D12" s="690"/>
    </row>
    <row r="13" spans="1:7" ht="24.9" customHeight="1">
      <c r="A13" s="688"/>
      <c r="B13" s="2">
        <v>44476</v>
      </c>
      <c r="C13" s="132" t="s">
        <v>2563</v>
      </c>
      <c r="D13" s="690"/>
    </row>
    <row r="14" spans="1:7" ht="24.9" customHeight="1">
      <c r="A14" s="688"/>
      <c r="B14" s="2">
        <v>44484</v>
      </c>
      <c r="C14" s="132" t="s">
        <v>2566</v>
      </c>
      <c r="D14" s="690"/>
    </row>
    <row r="15" spans="1:7" ht="24.6" customHeight="1">
      <c r="A15" s="684"/>
      <c r="B15" s="2">
        <v>44494</v>
      </c>
      <c r="C15" s="132" t="s">
        <v>2569</v>
      </c>
      <c r="D15" s="691"/>
    </row>
    <row r="16" spans="1:7" ht="24.6" hidden="1" customHeight="1">
      <c r="A16" s="36"/>
      <c r="B16" s="36"/>
      <c r="C16" s="67"/>
      <c r="D16" s="36"/>
    </row>
    <row r="17" spans="1:4" ht="24.6" hidden="1" customHeight="1">
      <c r="A17" s="36"/>
      <c r="B17" s="36"/>
      <c r="C17" s="67"/>
      <c r="D17" s="36"/>
    </row>
    <row r="18" spans="1:4" ht="24.6" hidden="1" customHeight="1">
      <c r="A18" s="36"/>
      <c r="B18" s="36"/>
      <c r="C18" s="67"/>
      <c r="D18" s="36"/>
    </row>
    <row r="19" spans="1:4" ht="24.6" hidden="1" customHeight="1">
      <c r="A19" s="36"/>
      <c r="B19" s="36"/>
      <c r="C19" s="67"/>
      <c r="D19" s="36"/>
    </row>
    <row r="20" spans="1:4" ht="24.6" hidden="1" customHeight="1">
      <c r="A20" s="36"/>
      <c r="B20" s="36"/>
      <c r="C20" s="67"/>
      <c r="D20" s="36"/>
    </row>
    <row r="21" spans="1:4" ht="24.6" hidden="1" customHeight="1">
      <c r="A21" s="36"/>
      <c r="B21" s="36"/>
      <c r="C21" s="67"/>
      <c r="D21" s="36"/>
    </row>
    <row r="22" spans="1:4" ht="24.6" hidden="1" customHeight="1">
      <c r="A22" s="36"/>
      <c r="B22" s="36"/>
      <c r="C22" s="67"/>
      <c r="D22" s="36"/>
    </row>
    <row r="23" spans="1:4" ht="24.6" hidden="1" customHeight="1">
      <c r="A23" s="36"/>
      <c r="B23" s="36"/>
      <c r="C23" s="67"/>
      <c r="D23" s="36"/>
    </row>
    <row r="24" spans="1:4" ht="24.6" hidden="1" customHeight="1">
      <c r="A24" s="36"/>
      <c r="B24" s="36"/>
      <c r="C24" s="67"/>
      <c r="D24" s="36"/>
    </row>
    <row r="25" spans="1:4" ht="24.6" hidden="1" customHeight="1">
      <c r="A25" s="36"/>
      <c r="B25" s="36"/>
      <c r="C25" s="67"/>
      <c r="D25" s="36"/>
    </row>
    <row r="26" spans="1:4" ht="24.6" customHeight="1">
      <c r="A26" s="692">
        <v>7</v>
      </c>
      <c r="B26" s="2">
        <v>44496</v>
      </c>
      <c r="C26" s="676" t="s">
        <v>2570</v>
      </c>
      <c r="D26" s="693" t="s">
        <v>1730</v>
      </c>
    </row>
    <row r="27" spans="1:4" ht="24.6" customHeight="1">
      <c r="A27" s="692"/>
      <c r="B27" s="2">
        <v>44515</v>
      </c>
      <c r="C27" s="132" t="s">
        <v>2571</v>
      </c>
      <c r="D27" s="694"/>
    </row>
    <row r="28" spans="1:4" ht="24.6" customHeight="1">
      <c r="A28" s="68">
        <v>8</v>
      </c>
      <c r="B28" s="2">
        <v>44540</v>
      </c>
      <c r="C28" s="132" t="s">
        <v>2575</v>
      </c>
      <c r="D28" s="5" t="s">
        <v>1730</v>
      </c>
    </row>
    <row r="29" spans="1:4" ht="24.6" customHeight="1">
      <c r="A29" s="68">
        <v>9</v>
      </c>
      <c r="B29" s="2">
        <v>44586</v>
      </c>
      <c r="C29" s="132" t="s">
        <v>2579</v>
      </c>
      <c r="D29" s="5" t="s">
        <v>1730</v>
      </c>
    </row>
    <row r="30" spans="1:4" ht="24.6" customHeight="1">
      <c r="A30" s="678"/>
      <c r="B30" s="679"/>
      <c r="C30" s="680"/>
      <c r="D30" s="16"/>
    </row>
    <row r="31" spans="1:4" ht="24.6" customHeight="1">
      <c r="A31" s="682" t="s">
        <v>1731</v>
      </c>
      <c r="B31" s="682"/>
      <c r="C31" s="682"/>
    </row>
    <row r="32" spans="1:4">
      <c r="B32" s="496" t="s">
        <v>1732</v>
      </c>
      <c r="C32" s="497" t="s">
        <v>403</v>
      </c>
    </row>
    <row r="33" spans="2:15" ht="14.4" customHeight="1">
      <c r="B33" s="496" t="s">
        <v>1733</v>
      </c>
      <c r="C33" s="497" t="s">
        <v>1734</v>
      </c>
      <c r="F33" s="41"/>
      <c r="G33" s="42" t="s">
        <v>683</v>
      </c>
      <c r="H33" s="43"/>
      <c r="I33" t="s">
        <v>724</v>
      </c>
      <c r="J33" s="44"/>
      <c r="K33" s="42" t="s">
        <v>385</v>
      </c>
      <c r="L33" s="45"/>
      <c r="M33" s="42" t="s">
        <v>383</v>
      </c>
      <c r="N33" s="46"/>
      <c r="O33" s="42" t="s">
        <v>725</v>
      </c>
    </row>
    <row r="34" spans="2:15" ht="14.4" customHeight="1">
      <c r="B34" s="496" t="s">
        <v>2460</v>
      </c>
      <c r="C34" s="497" t="s">
        <v>2469</v>
      </c>
      <c r="F34" s="47"/>
      <c r="G34" s="42" t="s">
        <v>870</v>
      </c>
      <c r="H34" s="48"/>
      <c r="I34" s="42" t="s">
        <v>871</v>
      </c>
      <c r="J34" s="49"/>
      <c r="K34" s="42" t="s">
        <v>384</v>
      </c>
      <c r="L34" s="50"/>
      <c r="M34" s="42" t="s">
        <v>869</v>
      </c>
      <c r="N34" s="51"/>
      <c r="O34" s="42" t="s">
        <v>727</v>
      </c>
    </row>
    <row r="35" spans="2:15" ht="14.4" customHeight="1">
      <c r="B35" s="496" t="s">
        <v>2517</v>
      </c>
      <c r="C35" s="551" t="s">
        <v>2461</v>
      </c>
      <c r="F35" s="52"/>
      <c r="G35" s="42" t="s">
        <v>685</v>
      </c>
      <c r="H35" s="53"/>
      <c r="I35" t="s">
        <v>728</v>
      </c>
      <c r="J35" s="54"/>
      <c r="K35" s="42" t="s">
        <v>726</v>
      </c>
    </row>
    <row r="36" spans="2:15" ht="14.4" customHeight="1"/>
    <row r="37" spans="2:15" ht="14.4" customHeight="1">
      <c r="F37" s="41"/>
      <c r="G37" s="42" t="s">
        <v>683</v>
      </c>
      <c r="H37" s="43"/>
      <c r="I37" t="s">
        <v>724</v>
      </c>
      <c r="J37" s="44"/>
      <c r="K37" s="42" t="s">
        <v>385</v>
      </c>
      <c r="L37" s="45"/>
      <c r="M37" s="42" t="s">
        <v>383</v>
      </c>
      <c r="N37" s="46"/>
      <c r="O37" s="42" t="s">
        <v>725</v>
      </c>
    </row>
    <row r="38" spans="2:15" ht="14.4" customHeight="1">
      <c r="F38" s="47"/>
      <c r="G38" s="42" t="s">
        <v>684</v>
      </c>
      <c r="H38" s="48"/>
      <c r="I38" s="42" t="s">
        <v>868</v>
      </c>
      <c r="J38" s="49"/>
      <c r="K38" s="42" t="s">
        <v>384</v>
      </c>
      <c r="L38" s="50"/>
      <c r="M38" s="42" t="s">
        <v>869</v>
      </c>
      <c r="N38" s="51"/>
      <c r="O38" s="42" t="s">
        <v>727</v>
      </c>
    </row>
    <row r="39" spans="2:15" ht="14.4" customHeight="1">
      <c r="F39" s="52"/>
      <c r="G39" s="42" t="s">
        <v>685</v>
      </c>
      <c r="H39" s="53"/>
      <c r="I39" t="s">
        <v>728</v>
      </c>
      <c r="J39" s="54"/>
      <c r="K39" s="42" t="s">
        <v>726</v>
      </c>
    </row>
    <row r="40" spans="2:15" ht="14.4" customHeight="1"/>
    <row r="41" spans="2:15" ht="14.4" customHeight="1"/>
    <row r="42" spans="2:15" ht="14.4" customHeight="1"/>
    <row r="43" spans="2:15" ht="14.4" customHeight="1"/>
    <row r="374" spans="2:2">
      <c r="B374" t="s">
        <v>662</v>
      </c>
    </row>
  </sheetData>
  <mergeCells count="11">
    <mergeCell ref="A1:A2"/>
    <mergeCell ref="B1:B2"/>
    <mergeCell ref="C1:C2"/>
    <mergeCell ref="D1:D2"/>
    <mergeCell ref="A31:C31"/>
    <mergeCell ref="A3:A4"/>
    <mergeCell ref="D3:D9"/>
    <mergeCell ref="A10:A15"/>
    <mergeCell ref="D10:D15"/>
    <mergeCell ref="A26:A27"/>
    <mergeCell ref="D26:D27"/>
  </mergeCells>
  <printOptions horizontalCentered="1"/>
  <pageMargins left="0.39370078740157483" right="0.39370078740157483" top="0.94488188976377963" bottom="0.74803149606299213" header="0.31496062992125984" footer="0.31496062992125984"/>
  <pageSetup paperSize="9" scale="86" orientation="landscape" r:id="rId1"/>
  <headerFooter alignWithMargins="0">
    <oddHeader>&amp;L&amp;G&amp;CLAYOUT EP11A 
CONTROL SHEET&amp;R&amp;G</oddHeader>
    <oddFooter>&amp;L&amp;F&amp;C&amp;D&amp;RPage &amp;P of &amp;N</oddFooter>
  </headerFooter>
  <colBreaks count="1" manualBreakCount="1">
    <brk id="3" max="1048575" man="1"/>
  </colBreaks>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tabColor theme="3" tint="0.59999389629810485"/>
    <pageSetUpPr fitToPage="1"/>
  </sheetPr>
  <dimension ref="A1:BM4348"/>
  <sheetViews>
    <sheetView showGridLines="0" view="pageBreakPreview" zoomScale="80" zoomScaleNormal="80" zoomScaleSheetLayoutView="80" workbookViewId="0">
      <pane xSplit="3" ySplit="3" topLeftCell="D360" activePane="bottomRight" state="frozen"/>
      <selection activeCell="C42" sqref="C42"/>
      <selection pane="topRight" activeCell="C42" sqref="C42"/>
      <selection pane="bottomLeft" activeCell="C42" sqref="C42"/>
      <selection pane="bottomRight" activeCell="C334" sqref="C334"/>
    </sheetView>
  </sheetViews>
  <sheetFormatPr baseColWidth="10" defaultColWidth="11.44140625" defaultRowHeight="15.75" customHeight="1"/>
  <cols>
    <col min="1" max="1" width="20.6640625" style="12" customWidth="1"/>
    <col min="2" max="2" width="12.6640625" style="8" customWidth="1"/>
    <col min="3" max="3" width="12.6640625" style="12" customWidth="1"/>
    <col min="4" max="5" width="12.6640625" style="8" hidden="1" customWidth="1"/>
    <col min="6" max="7" width="12.6640625" style="14" customWidth="1"/>
    <col min="8" max="8" width="18.6640625" style="8" customWidth="1"/>
    <col min="9" max="9" width="12.6640625" style="8" customWidth="1"/>
    <col min="10" max="10" width="12.6640625" style="19" customWidth="1"/>
    <col min="11" max="11" width="12.6640625" style="8" customWidth="1"/>
    <col min="12" max="13" width="14.6640625" style="8" customWidth="1"/>
    <col min="14" max="16" width="8.6640625" style="8" hidden="1" customWidth="1"/>
    <col min="17" max="19" width="12.6640625" style="8" hidden="1" customWidth="1"/>
    <col min="20" max="28" width="8.6640625" style="8" hidden="1" customWidth="1"/>
    <col min="29" max="31" width="10.6640625" style="8" hidden="1" customWidth="1"/>
    <col min="32" max="36" width="12.6640625" style="8" hidden="1" customWidth="1"/>
    <col min="37" max="38" width="12.6640625" style="8" customWidth="1"/>
    <col min="39" max="39" width="12.6640625" style="8" hidden="1" customWidth="1"/>
    <col min="40" max="45" width="8.6640625" style="8" hidden="1" customWidth="1"/>
    <col min="46" max="46" width="8.6640625" style="18" hidden="1" customWidth="1"/>
    <col min="47" max="48" width="8.6640625" style="8" hidden="1" customWidth="1"/>
    <col min="49" max="52" width="12.6640625" style="8" customWidth="1"/>
    <col min="53" max="55" width="4.6640625" style="8" customWidth="1"/>
    <col min="56" max="56" width="21.6640625" style="8" customWidth="1"/>
    <col min="57" max="57" width="16.33203125" style="8" customWidth="1"/>
    <col min="58" max="61" width="14" style="8" customWidth="1"/>
    <col min="62" max="16384" width="11.44140625" style="8"/>
  </cols>
  <sheetData>
    <row r="1" spans="1:65" s="448" customFormat="1" ht="35.25" customHeight="1">
      <c r="A1" s="700" t="s">
        <v>43</v>
      </c>
      <c r="B1" s="701"/>
      <c r="C1" s="701"/>
      <c r="D1" s="701"/>
      <c r="E1" s="701"/>
      <c r="F1" s="701"/>
      <c r="G1" s="701"/>
      <c r="H1" s="701"/>
      <c r="I1" s="701"/>
      <c r="J1" s="701"/>
      <c r="K1" s="701"/>
      <c r="L1" s="701"/>
      <c r="M1" s="701"/>
      <c r="N1" s="701"/>
      <c r="O1" s="701"/>
      <c r="P1" s="701"/>
      <c r="Q1" s="701"/>
      <c r="R1" s="701"/>
      <c r="S1" s="701"/>
      <c r="T1" s="701"/>
      <c r="U1" s="701"/>
      <c r="V1" s="701"/>
      <c r="W1" s="701"/>
      <c r="X1" s="701"/>
      <c r="Y1" s="701"/>
      <c r="Z1" s="701"/>
      <c r="AA1" s="701"/>
      <c r="AB1" s="701"/>
      <c r="AC1" s="701"/>
      <c r="AD1" s="701"/>
      <c r="AE1" s="701"/>
      <c r="AF1" s="701"/>
      <c r="AG1" s="701"/>
      <c r="AH1" s="701"/>
      <c r="AI1" s="701"/>
      <c r="AJ1" s="701"/>
      <c r="AK1" s="701"/>
      <c r="AL1" s="701"/>
      <c r="AM1" s="701"/>
      <c r="AN1" s="701"/>
      <c r="AO1" s="701"/>
      <c r="AP1" s="701"/>
      <c r="AQ1" s="701"/>
      <c r="AR1" s="701"/>
      <c r="AS1" s="701"/>
      <c r="AT1" s="701"/>
      <c r="AU1" s="701"/>
      <c r="AV1" s="701"/>
      <c r="AW1" s="701"/>
      <c r="AX1" s="701"/>
      <c r="AY1" s="701"/>
      <c r="AZ1" s="701"/>
      <c r="BA1" s="701"/>
      <c r="BB1" s="701"/>
      <c r="BC1" s="701"/>
      <c r="BD1" s="702"/>
      <c r="BE1" s="449" t="s">
        <v>1596</v>
      </c>
      <c r="BF1" s="695" t="s">
        <v>1598</v>
      </c>
      <c r="BG1" s="695"/>
      <c r="BH1" s="695"/>
      <c r="BI1" s="695"/>
    </row>
    <row r="2" spans="1:65" s="448" customFormat="1" ht="42" customHeight="1">
      <c r="A2" s="558" t="s">
        <v>1321</v>
      </c>
      <c r="B2" s="546" t="s">
        <v>1322</v>
      </c>
      <c r="C2" s="545" t="s">
        <v>1325</v>
      </c>
      <c r="D2" s="545" t="s">
        <v>1323</v>
      </c>
      <c r="E2" s="545" t="s">
        <v>1327</v>
      </c>
      <c r="F2" s="545" t="s">
        <v>1328</v>
      </c>
      <c r="G2" s="545" t="s">
        <v>1326</v>
      </c>
      <c r="H2" s="546" t="s">
        <v>46</v>
      </c>
      <c r="I2" s="546" t="s">
        <v>45</v>
      </c>
      <c r="J2" s="545" t="s">
        <v>1493</v>
      </c>
      <c r="K2" s="545" t="s">
        <v>185</v>
      </c>
      <c r="L2" s="545" t="s">
        <v>47</v>
      </c>
      <c r="M2" s="545" t="s">
        <v>44</v>
      </c>
      <c r="N2" s="703" t="s">
        <v>48</v>
      </c>
      <c r="O2" s="703"/>
      <c r="P2" s="703"/>
      <c r="Q2" s="545" t="s">
        <v>1329</v>
      </c>
      <c r="R2" s="545" t="s">
        <v>1330</v>
      </c>
      <c r="S2" s="545" t="s">
        <v>1331</v>
      </c>
      <c r="T2" s="704" t="s">
        <v>1332</v>
      </c>
      <c r="U2" s="704"/>
      <c r="V2" s="704"/>
      <c r="W2" s="703" t="s">
        <v>1333</v>
      </c>
      <c r="X2" s="703"/>
      <c r="Y2" s="703"/>
      <c r="Z2" s="704" t="s">
        <v>1334</v>
      </c>
      <c r="AA2" s="704"/>
      <c r="AB2" s="704"/>
      <c r="AC2" s="703" t="s">
        <v>186</v>
      </c>
      <c r="AD2" s="703"/>
      <c r="AE2" s="703"/>
      <c r="AF2" s="545" t="s">
        <v>1494</v>
      </c>
      <c r="AG2" s="546" t="s">
        <v>1324</v>
      </c>
      <c r="AH2" s="545" t="s">
        <v>1335</v>
      </c>
      <c r="AI2" s="545" t="s">
        <v>1336</v>
      </c>
      <c r="AJ2" s="472" t="s">
        <v>187</v>
      </c>
      <c r="AK2" s="545" t="s">
        <v>49</v>
      </c>
      <c r="AL2" s="545" t="s">
        <v>50</v>
      </c>
      <c r="AM2" s="545" t="s">
        <v>872</v>
      </c>
      <c r="AN2" s="703" t="s">
        <v>1337</v>
      </c>
      <c r="AO2" s="703"/>
      <c r="AP2" s="703"/>
      <c r="AQ2" s="703" t="s">
        <v>52</v>
      </c>
      <c r="AR2" s="703"/>
      <c r="AS2" s="703"/>
      <c r="AT2" s="703" t="s">
        <v>188</v>
      </c>
      <c r="AU2" s="703"/>
      <c r="AV2" s="703"/>
      <c r="AW2" s="545" t="s">
        <v>875</v>
      </c>
      <c r="AX2" s="545" t="s">
        <v>1495</v>
      </c>
      <c r="AY2" s="545" t="s">
        <v>1338</v>
      </c>
      <c r="AZ2" s="545" t="s">
        <v>1339</v>
      </c>
      <c r="BA2" s="705" t="s">
        <v>753</v>
      </c>
      <c r="BB2" s="706"/>
      <c r="BC2" s="707"/>
      <c r="BD2" s="559" t="s">
        <v>873</v>
      </c>
      <c r="BE2" s="449" t="s">
        <v>1597</v>
      </c>
      <c r="BF2" s="450" t="s">
        <v>44</v>
      </c>
      <c r="BG2" s="450" t="s">
        <v>1599</v>
      </c>
      <c r="BH2" s="450" t="s">
        <v>1600</v>
      </c>
      <c r="BI2" s="450" t="s">
        <v>48</v>
      </c>
    </row>
    <row r="3" spans="1:65" s="448" customFormat="1" ht="15.75" customHeight="1" thickBot="1">
      <c r="A3" s="696"/>
      <c r="B3" s="697"/>
      <c r="C3" s="697"/>
      <c r="D3" s="697"/>
      <c r="E3" s="697"/>
      <c r="F3" s="697"/>
      <c r="G3" s="697"/>
      <c r="H3" s="697"/>
      <c r="I3" s="697"/>
      <c r="J3" s="697"/>
      <c r="K3" s="697"/>
      <c r="L3" s="697"/>
      <c r="M3" s="698"/>
      <c r="N3" s="471" t="s">
        <v>11</v>
      </c>
      <c r="O3" s="471" t="s">
        <v>12</v>
      </c>
      <c r="P3" s="471" t="s">
        <v>13</v>
      </c>
      <c r="Q3" s="699"/>
      <c r="R3" s="697"/>
      <c r="S3" s="698"/>
      <c r="T3" s="451" t="s">
        <v>14</v>
      </c>
      <c r="U3" s="451" t="s">
        <v>15</v>
      </c>
      <c r="V3" s="451" t="s">
        <v>16</v>
      </c>
      <c r="W3" s="451" t="s">
        <v>17</v>
      </c>
      <c r="X3" s="451" t="s">
        <v>18</v>
      </c>
      <c r="Y3" s="451" t="s">
        <v>19</v>
      </c>
      <c r="Z3" s="451" t="s">
        <v>20</v>
      </c>
      <c r="AA3" s="451" t="s">
        <v>21</v>
      </c>
      <c r="AB3" s="451" t="s">
        <v>22</v>
      </c>
      <c r="AC3" s="471" t="s">
        <v>23</v>
      </c>
      <c r="AD3" s="471" t="s">
        <v>24</v>
      </c>
      <c r="AE3" s="471" t="s">
        <v>25</v>
      </c>
      <c r="AF3" s="699"/>
      <c r="AG3" s="697"/>
      <c r="AH3" s="697"/>
      <c r="AI3" s="697"/>
      <c r="AJ3" s="697"/>
      <c r="AK3" s="697"/>
      <c r="AL3" s="697"/>
      <c r="AM3" s="698"/>
      <c r="AN3" s="451" t="s">
        <v>17</v>
      </c>
      <c r="AO3" s="451" t="s">
        <v>18</v>
      </c>
      <c r="AP3" s="451" t="s">
        <v>19</v>
      </c>
      <c r="AQ3" s="451" t="s">
        <v>173</v>
      </c>
      <c r="AR3" s="451" t="s">
        <v>174</v>
      </c>
      <c r="AS3" s="451" t="s">
        <v>175</v>
      </c>
      <c r="AT3" s="649" t="s">
        <v>176</v>
      </c>
      <c r="AU3" s="451" t="s">
        <v>177</v>
      </c>
      <c r="AV3" s="451" t="s">
        <v>178</v>
      </c>
      <c r="AW3" s="473"/>
      <c r="AX3" s="474"/>
      <c r="AY3" s="452"/>
      <c r="AZ3" s="452"/>
      <c r="BA3" s="471" t="s">
        <v>1624</v>
      </c>
      <c r="BB3" s="471" t="s">
        <v>180</v>
      </c>
      <c r="BC3" s="471" t="s">
        <v>1625</v>
      </c>
      <c r="BD3" s="560"/>
      <c r="BF3" s="453"/>
      <c r="BG3" s="453"/>
      <c r="BH3" s="453"/>
      <c r="BI3" s="453"/>
    </row>
    <row r="4" spans="1:65" s="16" customFormat="1" ht="15.75" customHeight="1" thickTop="1">
      <c r="A4" s="561"/>
      <c r="B4" s="562"/>
      <c r="C4" s="563"/>
      <c r="D4" s="564"/>
      <c r="E4" s="565"/>
      <c r="F4" s="565"/>
      <c r="G4" s="566"/>
      <c r="H4" s="567"/>
      <c r="I4" s="567"/>
      <c r="J4" s="568"/>
      <c r="K4" s="567"/>
      <c r="L4" s="567"/>
      <c r="M4" s="567"/>
      <c r="N4" s="567"/>
      <c r="O4" s="567"/>
      <c r="P4" s="567"/>
      <c r="Q4" s="565"/>
      <c r="R4" s="566"/>
      <c r="S4" s="566"/>
      <c r="T4" s="565"/>
      <c r="U4" s="565"/>
      <c r="V4" s="565"/>
      <c r="W4" s="569"/>
      <c r="X4" s="569"/>
      <c r="Y4" s="569"/>
      <c r="Z4" s="569"/>
      <c r="AA4" s="569"/>
      <c r="AB4" s="569"/>
      <c r="AC4" s="567"/>
      <c r="AD4" s="567"/>
      <c r="AE4" s="567"/>
      <c r="AF4" s="565"/>
      <c r="AG4" s="564"/>
      <c r="AH4" s="565"/>
      <c r="AI4" s="565"/>
      <c r="AJ4" s="567"/>
      <c r="AK4" s="567"/>
      <c r="AL4" s="567"/>
      <c r="AM4" s="567"/>
      <c r="AN4" s="569"/>
      <c r="AO4" s="567"/>
      <c r="AP4" s="567"/>
      <c r="AQ4" s="569"/>
      <c r="AR4" s="569"/>
      <c r="AS4" s="569"/>
      <c r="AT4" s="569"/>
      <c r="AU4" s="570"/>
      <c r="AV4" s="570"/>
      <c r="AW4" s="567"/>
      <c r="AX4" s="567"/>
      <c r="AY4" s="569"/>
      <c r="AZ4" s="569"/>
      <c r="BA4" s="517"/>
      <c r="BB4" s="517"/>
      <c r="BC4" s="517"/>
      <c r="BD4" s="571"/>
      <c r="BE4" s="557"/>
      <c r="BF4" s="308"/>
      <c r="BG4" s="308"/>
      <c r="BH4" s="308"/>
      <c r="BI4" s="308"/>
      <c r="BK4" s="309"/>
    </row>
    <row r="5" spans="1:65" ht="16.2" customHeight="1">
      <c r="A5" s="561"/>
      <c r="B5" s="562"/>
      <c r="C5" s="563"/>
      <c r="D5" s="564"/>
      <c r="E5" s="565"/>
      <c r="F5" s="565"/>
      <c r="G5" s="566"/>
      <c r="H5" s="567"/>
      <c r="I5" s="567"/>
      <c r="J5" s="568"/>
      <c r="K5" s="567"/>
      <c r="L5" s="567"/>
      <c r="M5" s="567" t="str">
        <f>IF(L5="","",
IF(AX5="PT",VLOOKUP(L5,Foundation_Calc!$V$4:$X$37,VLOOKUP(AX5,Foundation_Calc!$I$10:$J$13,2,FALSE),0),
IF(AX5="K",VLOOKUP(L5,Foundation_Calc!$V$41:$X$74,VLOOKUP(AX5,Foundation_Calc!$I$10:$J$13,2,FALSE),0),"")))</f>
        <v/>
      </c>
      <c r="N5" s="567"/>
      <c r="O5" s="567"/>
      <c r="P5" s="567"/>
      <c r="Q5" s="565"/>
      <c r="R5" s="566"/>
      <c r="S5" s="566"/>
      <c r="T5" s="565"/>
      <c r="U5" s="565"/>
      <c r="V5" s="565"/>
      <c r="W5" s="569"/>
      <c r="X5" s="569"/>
      <c r="Y5" s="569"/>
      <c r="Z5" s="569"/>
      <c r="AA5" s="569"/>
      <c r="AB5" s="569"/>
      <c r="AC5" s="567" t="str">
        <f t="shared" ref="AC5" si="0">IF(OR(AT5&gt;8,AT5&lt;-8),"PH",
IF(OR(AT5&gt;5,AT5&lt;-5),"PHQ",
IF(OR(AT5&gt;1,AT5&lt;-1),
"PHC","")))</f>
        <v/>
      </c>
      <c r="AD5" s="567"/>
      <c r="AE5" s="567"/>
      <c r="AF5" s="565"/>
      <c r="AG5" s="564"/>
      <c r="AH5" s="565"/>
      <c r="AI5" s="565"/>
      <c r="AJ5" s="567"/>
      <c r="AK5" s="567"/>
      <c r="AL5" s="567"/>
      <c r="AM5" s="567"/>
      <c r="AN5" s="569"/>
      <c r="AO5" s="567"/>
      <c r="AP5" s="567"/>
      <c r="AQ5" s="569"/>
      <c r="AR5" s="569"/>
      <c r="AS5" s="569"/>
      <c r="AT5" s="569"/>
      <c r="AU5" s="570"/>
      <c r="AV5" s="570"/>
      <c r="AW5" s="567" t="str">
        <f>IF(C5&gt;0,VLOOKUP(C5,Foundation_Calc!$A$2:$C$986,3,1),
IF(J5&gt;0,VLOOKUP(J5,Foundation_Calc!$A$2:$C$986,3,1),""))</f>
        <v/>
      </c>
      <c r="AX5" s="567" t="str">
        <f>IF(C5&gt;0,VLOOKUP(C5,Foundation_Calc!$E$2:$G$986,3,1),
IF(J5&gt;0,VLOOKUP(J5,Foundation_Calc!$E$2:$G$986,3,1),""))</f>
        <v/>
      </c>
      <c r="AY5" s="569" t="str">
        <f>IF(L5="","",
IF(AX5="PT",VLOOKUP(L5,Foundation_Calc!$K$4:$R$37,VLOOKUP(AW5,Foundation_Calc!$I$2:$J$8,2,FALSE),0),
IF(AX5="K",VLOOKUP(L5,Foundation_Calc!$K$41:$R$74,VLOOKUP(AW5,Foundation_Calc!$I$2:$J$8,2,FALSE),0),"")))</f>
        <v/>
      </c>
      <c r="AZ5" s="569" t="str">
        <f>IF(K5="","",
IF(AX5="PT",VLOOKUP(K5,Foundation_Calc!$K$4:$R$37,VLOOKUP(AW5,Foundation_Calc!$I$2:$J$8,2,FALSE),0),
IF(AX5="K",VLOOKUP(K5,Foundation_Calc!$K$41:$R$74,VLOOKUP(AW5,Foundation_Calc!$I$2:$J$8,2,FALSE),0),"")))</f>
        <v/>
      </c>
      <c r="BA5" s="553" t="str">
        <f>IF(AY5="","",IF(AY5&gt;0,"ü",""))</f>
        <v/>
      </c>
      <c r="BB5" s="553" t="str">
        <f>IF(AZ5="","",IF(AZ5&gt;0,"ü",""))</f>
        <v/>
      </c>
      <c r="BC5" s="553" t="str">
        <f>IF(M5="","",IF(M5="Unique Solution","ü",""))</f>
        <v/>
      </c>
      <c r="BD5" s="572" t="str">
        <f>IF(AND(L5="",H5=""),"",
IF(H5="",Pole_Calc!A9,
IF(H5="MP",Pole_Calc!A10,
IF(H5="AnMP",Pole_Calc!A11,
IF(H5="A",Pole_Calc!A12,
IF(H5="S/A",Pole_Calc!A13,
IF(H5="A/S",Pole_Calc!A14,"Poner a mano")))))))</f>
        <v/>
      </c>
      <c r="BE5" s="448" t="s">
        <v>1726</v>
      </c>
      <c r="BF5" s="306"/>
      <c r="BG5" s="306"/>
      <c r="BH5" s="306"/>
      <c r="BI5" s="306"/>
      <c r="BK5" s="446"/>
    </row>
    <row r="6" spans="1:65" ht="16.2" customHeight="1">
      <c r="A6" s="561"/>
      <c r="B6" s="562" t="s">
        <v>1735</v>
      </c>
      <c r="C6" s="563">
        <v>17858</v>
      </c>
      <c r="D6" s="564"/>
      <c r="E6" s="565"/>
      <c r="F6" s="565">
        <v>0</v>
      </c>
      <c r="G6" s="566"/>
      <c r="H6" s="567" t="s">
        <v>388</v>
      </c>
      <c r="I6" s="567" t="s">
        <v>339</v>
      </c>
      <c r="J6" s="568"/>
      <c r="K6" s="567"/>
      <c r="L6" s="567"/>
      <c r="M6" s="567" t="str">
        <f>IF(L6="","",
IF(AX6="PT",VLOOKUP(L6,Foundation_Calc!$V$4:$X$37,VLOOKUP(AX6,Foundation_Calc!$I$10:$J$13,2,FALSE),0),
IF(AX6="K",VLOOKUP(L6,Foundation_Calc!$V$41:$X$74,VLOOKUP(AX6,Foundation_Calc!$I$10:$J$13,2,FALSE),0),"")))</f>
        <v/>
      </c>
      <c r="N6" s="567" t="s">
        <v>192</v>
      </c>
      <c r="O6" s="567"/>
      <c r="P6" s="567"/>
      <c r="Q6" s="565"/>
      <c r="R6" s="566"/>
      <c r="S6" s="566"/>
      <c r="T6" s="565">
        <v>35</v>
      </c>
      <c r="U6" s="565"/>
      <c r="V6" s="565"/>
      <c r="W6" s="569">
        <v>1.4</v>
      </c>
      <c r="X6" s="569"/>
      <c r="Y6" s="569"/>
      <c r="Z6" s="569"/>
      <c r="AA6" s="569"/>
      <c r="AB6" s="569"/>
      <c r="AC6" s="567" t="str">
        <f t="shared" ref="AC6:AC70" si="1">IF(OR(AT6&gt;8,AT6&lt;-8),"PH",
IF(OR(AT6&gt;5,AT6&lt;-5),"PHQ",
IF(OR(AT6&gt;1,AT6&lt;-1),
"PHC","")))</f>
        <v/>
      </c>
      <c r="AD6" s="567"/>
      <c r="AE6" s="567"/>
      <c r="AF6" s="565"/>
      <c r="AG6" s="564"/>
      <c r="AH6" s="565"/>
      <c r="AI6" s="565"/>
      <c r="AJ6" s="567"/>
      <c r="AK6" s="567" t="s">
        <v>763</v>
      </c>
      <c r="AL6" s="567"/>
      <c r="AM6" s="567"/>
      <c r="AN6" s="569">
        <v>5.33</v>
      </c>
      <c r="AO6" s="567"/>
      <c r="AP6" s="567"/>
      <c r="AQ6" s="569"/>
      <c r="AR6" s="569"/>
      <c r="AS6" s="569"/>
      <c r="AT6" s="569"/>
      <c r="AU6" s="570"/>
      <c r="AV6" s="570"/>
      <c r="AW6" s="567"/>
      <c r="AX6" s="567"/>
      <c r="AY6" s="569"/>
      <c r="AZ6" s="569"/>
      <c r="BA6" s="553" t="str">
        <f t="shared" ref="BA6:BA69" si="2">IF(AY6="","",IF(AY6&gt;0,"ü",""))</f>
        <v/>
      </c>
      <c r="BB6" s="553" t="str">
        <f t="shared" ref="BB6:BB69" si="3">IF(AZ6="","",IF(AZ6&gt;0,"ü",""))</f>
        <v/>
      </c>
      <c r="BC6" s="553" t="str">
        <f>IF(M6="","",IF(M6="U.S.","ü",IF(M6="U.S. N.D.","ü","")))</f>
        <v/>
      </c>
      <c r="BD6" s="572"/>
      <c r="BE6" s="448" t="s">
        <v>1726</v>
      </c>
      <c r="BF6" s="305"/>
      <c r="BG6" s="305"/>
      <c r="BH6" s="306"/>
      <c r="BI6" s="305"/>
    </row>
    <row r="7" spans="1:65" ht="16.2" customHeight="1">
      <c r="A7" s="561"/>
      <c r="B7" s="562"/>
      <c r="C7" s="563"/>
      <c r="D7" s="564"/>
      <c r="E7" s="565"/>
      <c r="F7" s="565"/>
      <c r="G7" s="566">
        <v>53.3</v>
      </c>
      <c r="H7" s="567"/>
      <c r="I7" s="567"/>
      <c r="J7" s="568"/>
      <c r="K7" s="567"/>
      <c r="L7" s="567"/>
      <c r="M7" s="567" t="str">
        <f>IF(L7="","",
IF(AX7="PT",VLOOKUP(L7,Foundation_Calc!$V$4:$X$37,VLOOKUP(AX7,Foundation_Calc!$I$10:$J$13,2,FALSE),0),
IF(AX7="K",VLOOKUP(L7,Foundation_Calc!$V$41:$X$74,VLOOKUP(AX7,Foundation_Calc!$I$10:$J$13,2,FALSE),0),"")))</f>
        <v/>
      </c>
      <c r="N7" s="567"/>
      <c r="O7" s="567"/>
      <c r="P7" s="567"/>
      <c r="Q7" s="565"/>
      <c r="R7" s="566"/>
      <c r="S7" s="566"/>
      <c r="T7" s="565"/>
      <c r="U7" s="565"/>
      <c r="V7" s="565"/>
      <c r="W7" s="569"/>
      <c r="X7" s="569"/>
      <c r="Y7" s="569"/>
      <c r="Z7" s="569"/>
      <c r="AA7" s="569"/>
      <c r="AB7" s="569"/>
      <c r="AC7" s="567" t="str">
        <f t="shared" si="1"/>
        <v/>
      </c>
      <c r="AD7" s="567"/>
      <c r="AE7" s="567"/>
      <c r="AF7" s="565"/>
      <c r="AG7" s="564"/>
      <c r="AH7" s="565"/>
      <c r="AI7" s="565"/>
      <c r="AJ7" s="567"/>
      <c r="AK7" s="567"/>
      <c r="AL7" s="567"/>
      <c r="AM7" s="567"/>
      <c r="AN7" s="569"/>
      <c r="AO7" s="567"/>
      <c r="AP7" s="567"/>
      <c r="AQ7" s="569"/>
      <c r="AR7" s="569"/>
      <c r="AS7" s="569"/>
      <c r="AT7" s="569"/>
      <c r="AU7" s="570"/>
      <c r="AV7" s="570"/>
      <c r="AW7" s="567"/>
      <c r="AX7" s="567"/>
      <c r="AY7" s="569"/>
      <c r="AZ7" s="569"/>
      <c r="BA7" s="553" t="str">
        <f t="shared" si="2"/>
        <v/>
      </c>
      <c r="BB7" s="553" t="str">
        <f t="shared" si="3"/>
        <v/>
      </c>
      <c r="BC7" s="553" t="str">
        <f t="shared" ref="BC7:BC70" si="4">IF(M7="","",IF(M7="U.S.","ü",IF(M7="U.S. N.D.","ü","")))</f>
        <v/>
      </c>
      <c r="BD7" s="572" t="str">
        <f>IF(AND(L7="",H7=""),"",
IF(H7="",Pole_Calc!A$9,
IF(H7="MP",Pole_Calc!A$10,
IF(H7="AnMP",Pole_Calc!A$11,
IF(H7="A",Pole_Calc!A$12,
IF(H7="S/A",Pole_Calc!A$13,
IF(H7="A/S",Pole_Calc!A$14,"Poner a mano")))))))</f>
        <v/>
      </c>
      <c r="BE7" s="448" t="s">
        <v>1726</v>
      </c>
      <c r="BF7" s="306"/>
      <c r="BG7" s="306"/>
      <c r="BH7" s="306"/>
      <c r="BI7" s="306"/>
      <c r="BL7" s="446"/>
    </row>
    <row r="8" spans="1:65" ht="16.2" customHeight="1">
      <c r="A8" s="561"/>
      <c r="B8" s="562" t="s">
        <v>1736</v>
      </c>
      <c r="C8" s="563">
        <v>17912</v>
      </c>
      <c r="D8" s="564"/>
      <c r="E8" s="565"/>
      <c r="F8" s="565">
        <v>0</v>
      </c>
      <c r="G8" s="566"/>
      <c r="H8" s="567" t="s">
        <v>179</v>
      </c>
      <c r="I8" s="567"/>
      <c r="J8" s="568"/>
      <c r="K8" s="567"/>
      <c r="L8" s="567"/>
      <c r="M8" s="567" t="str">
        <f>IF(L8="","",
IF(AX8="PT",VLOOKUP(L8,Foundation_Calc!$V$4:$X$37,VLOOKUP(AX8,Foundation_Calc!$I$10:$J$13,2,FALSE),0),
IF(AX8="K",VLOOKUP(L8,Foundation_Calc!$V$41:$X$74,VLOOKUP(AX8,Foundation_Calc!$I$10:$J$13,2,FALSE),0),"")))</f>
        <v/>
      </c>
      <c r="N8" s="650" t="s">
        <v>193</v>
      </c>
      <c r="O8" s="567" t="s">
        <v>32</v>
      </c>
      <c r="P8" s="567"/>
      <c r="Q8" s="565"/>
      <c r="R8" s="566"/>
      <c r="S8" s="566"/>
      <c r="T8" s="565">
        <v>-70</v>
      </c>
      <c r="U8" s="565">
        <v>-20</v>
      </c>
      <c r="V8" s="565"/>
      <c r="W8" s="569">
        <v>1.1000000000000001</v>
      </c>
      <c r="X8" s="569">
        <v>0.9</v>
      </c>
      <c r="Y8" s="569"/>
      <c r="Z8" s="569">
        <v>0.45</v>
      </c>
      <c r="AA8" s="569"/>
      <c r="AB8" s="569"/>
      <c r="AC8" s="567" t="str">
        <f t="shared" si="1"/>
        <v/>
      </c>
      <c r="AD8" s="567"/>
      <c r="AE8" s="567"/>
      <c r="AF8" s="565"/>
      <c r="AG8" s="564"/>
      <c r="AH8" s="565"/>
      <c r="AI8" s="565"/>
      <c r="AJ8" s="567"/>
      <c r="AK8" s="567" t="s">
        <v>764</v>
      </c>
      <c r="AL8" s="567"/>
      <c r="AM8" s="567"/>
      <c r="AN8" s="569">
        <v>5.25</v>
      </c>
      <c r="AO8" s="567"/>
      <c r="AP8" s="567"/>
      <c r="AQ8" s="569"/>
      <c r="AR8" s="569"/>
      <c r="AS8" s="569"/>
      <c r="AT8" s="569"/>
      <c r="AU8" s="570"/>
      <c r="AV8" s="570"/>
      <c r="AW8" s="567"/>
      <c r="AX8" s="567"/>
      <c r="AY8" s="569"/>
      <c r="AZ8" s="569"/>
      <c r="BA8" s="553" t="str">
        <f t="shared" si="2"/>
        <v/>
      </c>
      <c r="BB8" s="553" t="str">
        <f t="shared" si="3"/>
        <v/>
      </c>
      <c r="BC8" s="553" t="str">
        <f t="shared" si="4"/>
        <v/>
      </c>
      <c r="BD8" s="572"/>
      <c r="BE8" s="448" t="s">
        <v>1726</v>
      </c>
      <c r="BF8" s="305"/>
      <c r="BG8" s="305"/>
      <c r="BH8" s="306"/>
      <c r="BI8" s="305"/>
    </row>
    <row r="9" spans="1:65" ht="16.2" customHeight="1">
      <c r="A9" s="561"/>
      <c r="B9" s="562"/>
      <c r="C9" s="563"/>
      <c r="D9" s="564"/>
      <c r="E9" s="565"/>
      <c r="F9" s="565"/>
      <c r="G9" s="566">
        <v>54.8</v>
      </c>
      <c r="H9" s="567"/>
      <c r="I9" s="567"/>
      <c r="J9" s="568"/>
      <c r="K9" s="567"/>
      <c r="L9" s="567"/>
      <c r="M9" s="567" t="str">
        <f>IF(L9="","",
IF(AX9="PT",VLOOKUP(L9,Foundation_Calc!$V$4:$X$37,VLOOKUP(AX9,Foundation_Calc!$I$10:$J$13,2,FALSE),0),
IF(AX9="K",VLOOKUP(L9,Foundation_Calc!$V$41:$X$74,VLOOKUP(AX9,Foundation_Calc!$I$10:$J$13,2,FALSE),0),"")))</f>
        <v/>
      </c>
      <c r="N9" s="650"/>
      <c r="O9" s="567"/>
      <c r="P9" s="567"/>
      <c r="Q9" s="565"/>
      <c r="R9" s="566"/>
      <c r="S9" s="566"/>
      <c r="T9" s="565"/>
      <c r="U9" s="565"/>
      <c r="V9" s="565"/>
      <c r="W9" s="569"/>
      <c r="X9" s="569"/>
      <c r="Y9" s="569"/>
      <c r="Z9" s="569"/>
      <c r="AA9" s="569"/>
      <c r="AB9" s="569"/>
      <c r="AC9" s="567" t="str">
        <f t="shared" si="1"/>
        <v/>
      </c>
      <c r="AD9" s="567"/>
      <c r="AE9" s="567"/>
      <c r="AF9" s="565"/>
      <c r="AG9" s="564"/>
      <c r="AH9" s="565"/>
      <c r="AI9" s="565"/>
      <c r="AJ9" s="567"/>
      <c r="AK9" s="567"/>
      <c r="AL9" s="567"/>
      <c r="AM9" s="567"/>
      <c r="AN9" s="569"/>
      <c r="AO9" s="567"/>
      <c r="AP9" s="567"/>
      <c r="AQ9" s="569"/>
      <c r="AR9" s="569"/>
      <c r="AS9" s="569"/>
      <c r="AT9" s="569"/>
      <c r="AU9" s="570"/>
      <c r="AV9" s="570"/>
      <c r="AW9" s="567"/>
      <c r="AX9" s="567"/>
      <c r="AY9" s="569"/>
      <c r="AZ9" s="569"/>
      <c r="BA9" s="553" t="str">
        <f t="shared" si="2"/>
        <v/>
      </c>
      <c r="BB9" s="553" t="str">
        <f t="shared" si="3"/>
        <v/>
      </c>
      <c r="BC9" s="553" t="str">
        <f t="shared" si="4"/>
        <v/>
      </c>
      <c r="BD9" s="572" t="str">
        <f>IF(AND(L9="",H9=""),"",
IF(H9="",Pole_Calc!A$9,
IF(H9="MP",Pole_Calc!A$10,
IF(H9="AnMP",Pole_Calc!A$11,
IF(H9="A",Pole_Calc!A$12,
IF(H9="S/A",Pole_Calc!A$13,
IF(H9="A/S",Pole_Calc!A$14,"Poner a mano")))))))</f>
        <v/>
      </c>
      <c r="BE9" s="448" t="s">
        <v>1726</v>
      </c>
      <c r="BF9" s="306"/>
      <c r="BG9" s="306"/>
      <c r="BH9" s="306"/>
      <c r="BI9" s="306"/>
      <c r="BM9" s="446"/>
    </row>
    <row r="10" spans="1:65" ht="16.2" customHeight="1">
      <c r="A10" s="561"/>
      <c r="B10" s="562" t="s">
        <v>1737</v>
      </c>
      <c r="C10" s="563">
        <v>17967</v>
      </c>
      <c r="D10" s="564"/>
      <c r="E10" s="565"/>
      <c r="F10" s="565">
        <v>0</v>
      </c>
      <c r="G10" s="566"/>
      <c r="H10" s="567" t="s">
        <v>1738</v>
      </c>
      <c r="I10" s="567"/>
      <c r="J10" s="568"/>
      <c r="K10" s="567"/>
      <c r="L10" s="567" t="s">
        <v>38</v>
      </c>
      <c r="M10" s="567" t="s">
        <v>674</v>
      </c>
      <c r="N10" s="650" t="s">
        <v>33</v>
      </c>
      <c r="O10" s="567" t="s">
        <v>32</v>
      </c>
      <c r="P10" s="567"/>
      <c r="Q10" s="565"/>
      <c r="R10" s="566"/>
      <c r="S10" s="566"/>
      <c r="T10" s="565">
        <v>-80</v>
      </c>
      <c r="U10" s="565">
        <v>-25</v>
      </c>
      <c r="V10" s="565"/>
      <c r="W10" s="569">
        <v>1.4</v>
      </c>
      <c r="X10" s="569">
        <v>0.9</v>
      </c>
      <c r="Y10" s="569"/>
      <c r="Z10" s="569"/>
      <c r="AA10" s="569"/>
      <c r="AB10" s="569"/>
      <c r="AC10" s="567" t="str">
        <f t="shared" si="1"/>
        <v/>
      </c>
      <c r="AD10" s="567"/>
      <c r="AE10" s="567"/>
      <c r="AF10" s="565"/>
      <c r="AG10" s="564"/>
      <c r="AH10" s="565"/>
      <c r="AI10" s="565"/>
      <c r="AJ10" s="567"/>
      <c r="AK10" s="567"/>
      <c r="AL10" s="567"/>
      <c r="AM10" s="567"/>
      <c r="AN10" s="569">
        <v>5.25</v>
      </c>
      <c r="AO10" s="567"/>
      <c r="AP10" s="567"/>
      <c r="AQ10" s="569"/>
      <c r="AR10" s="569"/>
      <c r="AS10" s="569"/>
      <c r="AT10" s="569"/>
      <c r="AU10" s="570"/>
      <c r="AV10" s="570"/>
      <c r="AW10" s="567"/>
      <c r="AX10" s="567"/>
      <c r="AY10" s="569"/>
      <c r="AZ10" s="569"/>
      <c r="BA10" s="553" t="str">
        <f t="shared" si="2"/>
        <v/>
      </c>
      <c r="BB10" s="553" t="str">
        <f t="shared" si="3"/>
        <v/>
      </c>
      <c r="BC10" s="553" t="str">
        <f t="shared" si="4"/>
        <v/>
      </c>
      <c r="BD10" s="572"/>
      <c r="BE10" s="448" t="s">
        <v>1726</v>
      </c>
      <c r="BF10" s="305"/>
      <c r="BG10" s="305"/>
      <c r="BH10" s="306"/>
      <c r="BI10" s="305"/>
    </row>
    <row r="11" spans="1:65" ht="16.2" customHeight="1">
      <c r="A11" s="573"/>
      <c r="B11" s="469"/>
      <c r="C11" s="3"/>
      <c r="D11" s="88"/>
      <c r="E11" s="4"/>
      <c r="F11" s="4"/>
      <c r="G11" s="566">
        <v>63.7</v>
      </c>
      <c r="H11" s="468"/>
      <c r="I11" s="468"/>
      <c r="J11" s="3">
        <f>C12-9.5</f>
        <v>-87.46</v>
      </c>
      <c r="K11" s="468" t="s">
        <v>1095</v>
      </c>
      <c r="L11" s="468"/>
      <c r="M11" s="468" t="str">
        <f>IF(L11="","",
IF(AX11="PT",VLOOKUP(L11,Foundation_Calc!$V$79:$X$112,VLOOKUP(AX11,Foundation_Calc!$I$10:$J$13,2,FALSE),0),
IF(AX11="K",VLOOKUP(L11,Foundation_Calc!$V$116:$X$149,VLOOKUP(AX11,Foundation_Calc!$I$10:$J$13,2,FALSE),0),"")))</f>
        <v/>
      </c>
      <c r="N11" s="468"/>
      <c r="O11" s="468"/>
      <c r="P11" s="468"/>
      <c r="Q11" s="4"/>
      <c r="R11" s="6"/>
      <c r="S11" s="6"/>
      <c r="T11" s="4"/>
      <c r="U11" s="4"/>
      <c r="V11" s="4"/>
      <c r="W11" s="9"/>
      <c r="X11" s="9"/>
      <c r="Y11" s="9"/>
      <c r="Z11" s="9"/>
      <c r="AA11" s="9"/>
      <c r="AB11" s="9"/>
      <c r="AC11" s="468" t="str">
        <f t="shared" si="1"/>
        <v/>
      </c>
      <c r="AD11" s="468"/>
      <c r="AE11" s="468"/>
      <c r="AF11" s="4"/>
      <c r="AG11" s="88"/>
      <c r="AH11" s="4"/>
      <c r="AI11" s="4"/>
      <c r="AJ11" s="468"/>
      <c r="AK11" s="468"/>
      <c r="AL11" s="468"/>
      <c r="AM11" s="468"/>
      <c r="AN11" s="10"/>
      <c r="AO11" s="9"/>
      <c r="AP11" s="9"/>
      <c r="AQ11" s="9"/>
      <c r="AR11" s="9"/>
      <c r="AS11" s="9"/>
      <c r="AT11" s="9"/>
      <c r="AU11" s="447"/>
      <c r="AV11" s="447"/>
      <c r="AW11" s="468" t="s">
        <v>2519</v>
      </c>
      <c r="AX11" s="468" t="s">
        <v>611</v>
      </c>
      <c r="AY11" s="10" t="str">
        <f>IF(L11="","",
IF(AX11="PT",VLOOKUP(L11,Foundation_Calc!$K$79:$R$112,VLOOKUP(AW11,Foundation_Calc!$I$2:$J$8,2,FALSE),0),
IF(AX11="K",VLOOKUP(L11,Foundation_Calc!$K$116:$R$149,VLOOKUP(AW11,Foundation_Calc!$I$2:$J$8,2,FALSE),0),"")))</f>
        <v/>
      </c>
      <c r="AZ11" s="10">
        <f>IF(K11="","",
IF(AX11="PT",VLOOKUP(K11,Foundation_Calc!$K$79:$R$112,VLOOKUP(AW11,Foundation_Calc!$I$2:$J$8,2,FALSE),0),
IF(AX11="K",VLOOKUP(K11,Foundation_Calc!$K$116:$R$149,VLOOKUP(AW11,Foundation_Calc!$I$2:$J$8,2,FALSE),0),"")))</f>
        <v>3.9</v>
      </c>
      <c r="BA11" s="553" t="str">
        <f t="shared" si="2"/>
        <v/>
      </c>
      <c r="BB11" s="553" t="str">
        <f t="shared" si="3"/>
        <v>ü</v>
      </c>
      <c r="BC11" s="553" t="str">
        <f t="shared" si="4"/>
        <v/>
      </c>
      <c r="BD11" s="572" t="str">
        <f>IF(AND(L11="",H11=""),"",
IF(H11="",Pole_Calc!A$9,
IF(H11="MP",Pole_Calc!A$10,
IF(H11="AnMP",Pole_Calc!A$11,
IF(H11="A",Pole_Calc!A$12,
IF(H11="S/A",Pole_Calc!A$13,
IF(H11="A/S",Pole_Calc!A$14,"Poner a mano")))))))</f>
        <v/>
      </c>
      <c r="BE11" s="448" t="s">
        <v>1726</v>
      </c>
      <c r="BF11" s="306"/>
      <c r="BG11" s="306"/>
      <c r="BH11" s="306"/>
      <c r="BI11" s="306"/>
    </row>
    <row r="12" spans="1:65" ht="16.2" customHeight="1">
      <c r="A12" s="573"/>
      <c r="B12" s="469" t="s">
        <v>2524</v>
      </c>
      <c r="C12" s="3">
        <v>-77.959999999999994</v>
      </c>
      <c r="D12" s="88"/>
      <c r="E12" s="4"/>
      <c r="F12" s="4">
        <v>0</v>
      </c>
      <c r="G12" s="6"/>
      <c r="H12" s="468" t="s">
        <v>26</v>
      </c>
      <c r="I12" s="468" t="s">
        <v>183</v>
      </c>
      <c r="J12" s="3">
        <f>C12-7.5</f>
        <v>-85.46</v>
      </c>
      <c r="K12" s="468" t="s">
        <v>1096</v>
      </c>
      <c r="L12" s="468" t="s">
        <v>452</v>
      </c>
      <c r="M12" s="468" t="str">
        <f>IF(L12="","",
IF(AX12="PT",VLOOKUP(L12,Foundation_Calc!$V$79:$X$112,VLOOKUP(AX12,Foundation_Calc!$I$10:$J$13,2,FALSE),0),
IF(AX12="K",VLOOKUP(L12,Foundation_Calc!$V$116:$X$149,VLOOKUP(AX12,Foundation_Calc!$I$10:$J$13,2,FALSE),0),"")))</f>
        <v>C4R</v>
      </c>
      <c r="N12" s="468"/>
      <c r="O12" s="468"/>
      <c r="P12" s="468"/>
      <c r="Q12" s="4"/>
      <c r="R12" s="6"/>
      <c r="S12" s="6"/>
      <c r="T12" s="4"/>
      <c r="U12" s="4"/>
      <c r="V12" s="4"/>
      <c r="W12" s="9"/>
      <c r="X12" s="9"/>
      <c r="Y12" s="9"/>
      <c r="Z12" s="9"/>
      <c r="AA12" s="9"/>
      <c r="AB12" s="9"/>
      <c r="AC12" s="468" t="str">
        <f t="shared" si="1"/>
        <v/>
      </c>
      <c r="AD12" s="468"/>
      <c r="AE12" s="468"/>
      <c r="AF12" s="4"/>
      <c r="AG12" s="88"/>
      <c r="AH12" s="4"/>
      <c r="AI12" s="4"/>
      <c r="AJ12" s="468"/>
      <c r="AK12" s="468"/>
      <c r="AL12" s="468"/>
      <c r="AM12" s="468" t="s">
        <v>486</v>
      </c>
      <c r="AN12" s="10"/>
      <c r="AO12" s="9"/>
      <c r="AP12" s="9"/>
      <c r="AQ12" s="9"/>
      <c r="AR12" s="9"/>
      <c r="AS12" s="9"/>
      <c r="AT12" s="9"/>
      <c r="AU12" s="447"/>
      <c r="AV12" s="447"/>
      <c r="AW12" s="468" t="s">
        <v>2519</v>
      </c>
      <c r="AX12" s="468" t="s">
        <v>611</v>
      </c>
      <c r="AY12" s="10">
        <f>IF(L12="","",
IF(AX12="PT",VLOOKUP(L12,Foundation_Calc!$K$79:$R$112,VLOOKUP(AW12,Foundation_Calc!$I$2:$J$8,2,FALSE),0),
IF(AX12="K",VLOOKUP(L12,Foundation_Calc!$K$116:$R$149,VLOOKUP(AW12,Foundation_Calc!$I$2:$J$8,2,FALSE),0),"")))</f>
        <v>3.5</v>
      </c>
      <c r="AZ12" s="10">
        <f>IF(K12="","",
IF(AX12="PT",VLOOKUP(K12,Foundation_Calc!$K$79:$R$112,VLOOKUP(AW12,Foundation_Calc!$I$2:$J$8,2,FALSE),0),
IF(AX12="K",VLOOKUP(K12,Foundation_Calc!$K$116:$R$149,VLOOKUP(AW12,Foundation_Calc!$I$2:$J$8,2,FALSE),0),"")))</f>
        <v>2.8</v>
      </c>
      <c r="BA12" s="553" t="str">
        <f t="shared" si="2"/>
        <v>ü</v>
      </c>
      <c r="BB12" s="553" t="str">
        <f t="shared" si="3"/>
        <v>ü</v>
      </c>
      <c r="BC12" s="553" t="str">
        <f t="shared" si="4"/>
        <v/>
      </c>
      <c r="BD12" s="572" t="str">
        <f>IF(AND(L12="",H12=""),"",
IF(H12="",Pole_Calc!A$9,
IF(H12="MP",Pole_Calc!A$10,
IF(H12="AnMP",Pole_Calc!A$11,
IF(H12="A",Pole_Calc!A$12,
IF(H12="S/A",Pole_Calc!A$13,
IF(H12="A/S",Pole_Calc!A$14,"Poner a mano")))))))</f>
        <v>App.7-V11H-P9.5.1.6</v>
      </c>
      <c r="BE12" s="448" t="s">
        <v>1726</v>
      </c>
      <c r="BF12" s="305"/>
      <c r="BG12" s="305"/>
      <c r="BH12" s="306"/>
      <c r="BI12" s="305"/>
    </row>
    <row r="13" spans="1:65" ht="16.2" customHeight="1">
      <c r="A13" s="573"/>
      <c r="B13" s="469"/>
      <c r="C13" s="3"/>
      <c r="D13" s="88"/>
      <c r="E13" s="4"/>
      <c r="F13" s="4"/>
      <c r="G13" s="6">
        <v>29.7</v>
      </c>
      <c r="H13" s="468"/>
      <c r="I13" s="468" t="s">
        <v>482</v>
      </c>
      <c r="J13" s="3"/>
      <c r="K13" s="468"/>
      <c r="L13" s="468"/>
      <c r="M13" s="468" t="str">
        <f>IF(L13="","",
IF(AX13="PT",VLOOKUP(L13,Foundation_Calc!$V$79:$X$112,VLOOKUP(AX13,Foundation_Calc!$I$10:$J$13,2,FALSE),0),
IF(AX13="K",VLOOKUP(L13,Foundation_Calc!$V$116:$X$149,VLOOKUP(AX13,Foundation_Calc!$I$10:$J$13,2,FALSE),0),"")))</f>
        <v/>
      </c>
      <c r="N13" s="468"/>
      <c r="O13" s="468"/>
      <c r="P13" s="468"/>
      <c r="Q13" s="4"/>
      <c r="R13" s="6"/>
      <c r="S13" s="6"/>
      <c r="T13" s="4"/>
      <c r="U13" s="4"/>
      <c r="V13" s="4"/>
      <c r="W13" s="9"/>
      <c r="X13" s="9"/>
      <c r="Y13" s="9"/>
      <c r="Z13" s="9"/>
      <c r="AA13" s="9"/>
      <c r="AB13" s="9"/>
      <c r="AC13" s="468" t="str">
        <f t="shared" si="1"/>
        <v/>
      </c>
      <c r="AD13" s="468"/>
      <c r="AE13" s="468"/>
      <c r="AF13" s="4"/>
      <c r="AG13" s="88"/>
      <c r="AH13" s="4"/>
      <c r="AI13" s="4"/>
      <c r="AJ13" s="468"/>
      <c r="AK13" s="468"/>
      <c r="AL13" s="468"/>
      <c r="AM13" s="468"/>
      <c r="AN13" s="10"/>
      <c r="AO13" s="9"/>
      <c r="AP13" s="9"/>
      <c r="AQ13" s="9"/>
      <c r="AR13" s="9"/>
      <c r="AS13" s="9"/>
      <c r="AT13" s="9"/>
      <c r="AU13" s="447"/>
      <c r="AV13" s="447"/>
      <c r="AW13" s="468" t="str">
        <f>IF(C13&gt;0,VLOOKUP(C13,Foundation_Calc!$A$2:$C$13,3,1),
IF(J13&gt;0,VLOOKUP(J13,Foundation_Calc!$A$2:$C$13,3,1),""))</f>
        <v/>
      </c>
      <c r="AX13" s="468" t="str">
        <f>IF(C13&gt;0,VLOOKUP(C13,Foundation_Calc!$E$2:$G$13,3,1),
IF(J13&gt;0,VLOOKUP(J13,Foundation_Calc!$E$2:$G$13,3,1),""))</f>
        <v/>
      </c>
      <c r="AY13" s="10" t="str">
        <f>IF(L13="","",
IF(AX13="PT",VLOOKUP(L13,Foundation_Calc!$K$79:$R$112,VLOOKUP(AW13,Foundation_Calc!$I$2:$J$8,2,FALSE),0),
IF(AX13="K",VLOOKUP(L13,Foundation_Calc!$K$116:$R$149,VLOOKUP(AW13,Foundation_Calc!$I$2:$J$8,2,FALSE),0),"")))</f>
        <v/>
      </c>
      <c r="AZ13" s="10" t="str">
        <f>IF(K13="","",
IF(AX13="PT",VLOOKUP(K13,Foundation_Calc!$K$79:$R$112,VLOOKUP(AW13,Foundation_Calc!$I$2:$J$8,2,FALSE),0),
IF(AX13="K",VLOOKUP(K13,Foundation_Calc!$K$116:$R$149,VLOOKUP(AW13,Foundation_Calc!$I$2:$J$8,2,FALSE),0),"")))</f>
        <v/>
      </c>
      <c r="BA13" s="553" t="str">
        <f t="shared" si="2"/>
        <v/>
      </c>
      <c r="BB13" s="553" t="str">
        <f t="shared" si="3"/>
        <v/>
      </c>
      <c r="BC13" s="553" t="str">
        <f t="shared" si="4"/>
        <v/>
      </c>
      <c r="BD13" s="572" t="str">
        <f>IF(AND(L13="",H13=""),"",
IF(H13="",Pole_Calc!A$9,
IF(H13="MP",Pole_Calc!A$10,
IF(H13="AnMP",Pole_Calc!A$11,
IF(H13="A",Pole_Calc!A$12,
IF(H13="S/A",Pole_Calc!A$13,
IF(H13="A/S",Pole_Calc!A$14,"Poner a mano")))))))</f>
        <v/>
      </c>
      <c r="BE13" s="448" t="s">
        <v>1726</v>
      </c>
      <c r="BF13" s="306"/>
      <c r="BG13" s="306"/>
      <c r="BH13" s="306"/>
      <c r="BI13" s="306"/>
    </row>
    <row r="14" spans="1:65" ht="16.2" customHeight="1">
      <c r="A14" s="573"/>
      <c r="B14" s="469" t="s">
        <v>2525</v>
      </c>
      <c r="C14" s="3">
        <f>C12+G13</f>
        <v>-48.259999999999991</v>
      </c>
      <c r="D14" s="88"/>
      <c r="E14" s="4"/>
      <c r="F14" s="4">
        <v>250</v>
      </c>
      <c r="G14" s="6"/>
      <c r="H14" s="468"/>
      <c r="I14" s="468"/>
      <c r="J14" s="3"/>
      <c r="K14" s="468"/>
      <c r="L14" s="468" t="s">
        <v>39</v>
      </c>
      <c r="M14" s="468" t="str">
        <f>IF(L14="","",
IF(AX14="PT",VLOOKUP(L14,Foundation_Calc!$V$79:$X$112,VLOOKUP(AX14,Foundation_Calc!$I$10:$J$13,2,FALSE),0),
IF(AX14="K",VLOOKUP(L14,Foundation_Calc!$V$116:$X$149,VLOOKUP(AX14,Foundation_Calc!$I$10:$J$13,2,FALSE),0),"")))</f>
        <v>C7R</v>
      </c>
      <c r="N14" s="468" t="s">
        <v>32</v>
      </c>
      <c r="O14" s="468"/>
      <c r="P14" s="468"/>
      <c r="Q14" s="4"/>
      <c r="R14" s="6"/>
      <c r="S14" s="6"/>
      <c r="T14" s="4">
        <v>-30</v>
      </c>
      <c r="U14" s="4"/>
      <c r="V14" s="4"/>
      <c r="W14" s="9">
        <v>1.4</v>
      </c>
      <c r="X14" s="9"/>
      <c r="Y14" s="9"/>
      <c r="Z14" s="9"/>
      <c r="AA14" s="9"/>
      <c r="AB14" s="9"/>
      <c r="AC14" s="468" t="s">
        <v>630</v>
      </c>
      <c r="AD14" s="468"/>
      <c r="AE14" s="468"/>
      <c r="AF14" s="4"/>
      <c r="AG14" s="88"/>
      <c r="AH14" s="4"/>
      <c r="AI14" s="4"/>
      <c r="AJ14" s="468"/>
      <c r="AK14" s="468"/>
      <c r="AL14" s="468"/>
      <c r="AM14" s="468" t="s">
        <v>486</v>
      </c>
      <c r="AN14" s="10">
        <v>5.25</v>
      </c>
      <c r="AO14" s="9"/>
      <c r="AP14" s="9"/>
      <c r="AQ14" s="9"/>
      <c r="AR14" s="9"/>
      <c r="AS14" s="9"/>
      <c r="AT14" s="9"/>
      <c r="AU14" s="447"/>
      <c r="AV14" s="447"/>
      <c r="AW14" s="468" t="s">
        <v>2519</v>
      </c>
      <c r="AX14" s="468" t="s">
        <v>611</v>
      </c>
      <c r="AY14" s="10">
        <f>IF(L14="","",
IF(AX14="PT",VLOOKUP(L14,Foundation_Calc!$K$79:$R$112,VLOOKUP(AW14,Foundation_Calc!$I$2:$J$8,2,FALSE),0),
IF(AX14="K",VLOOKUP(L14,Foundation_Calc!$K$116:$R$149,VLOOKUP(AW14,Foundation_Calc!$I$2:$J$8,2,FALSE),0),"")))</f>
        <v>4</v>
      </c>
      <c r="AZ14" s="10" t="str">
        <f>IF(K14="","",
IF(AX14="PT",VLOOKUP(K14,Foundation_Calc!$K$79:$R$112,VLOOKUP(AW14,Foundation_Calc!$I$2:$J$8,2,FALSE),0),
IF(AX14="K",VLOOKUP(K14,Foundation_Calc!$K$116:$R$149,VLOOKUP(AW14,Foundation_Calc!$I$2:$J$8,2,FALSE),0),"")))</f>
        <v/>
      </c>
      <c r="BA14" s="553" t="str">
        <f t="shared" si="2"/>
        <v>ü</v>
      </c>
      <c r="BB14" s="553" t="str">
        <f t="shared" si="3"/>
        <v/>
      </c>
      <c r="BC14" s="553" t="str">
        <f t="shared" si="4"/>
        <v/>
      </c>
      <c r="BD14" s="572" t="str">
        <f>IF(AND(L14="",H14=""),"",
IF(H14="",Pole_Calc!A$9,
IF(H14="MP",Pole_Calc!A$10,
IF(H14="AnMP",Pole_Calc!A$11,
IF(H14="A",Pole_Calc!A$12,
IF(H14="S/A",Pole_Calc!A$13,
IF(H14="A/S",Pole_Calc!A$14,"Poner a mano")))))))</f>
        <v>App.7-V11H-P9.5.1.1</v>
      </c>
      <c r="BE14" s="448" t="s">
        <v>1726</v>
      </c>
      <c r="BF14" s="305"/>
      <c r="BG14" s="305"/>
      <c r="BH14" s="306"/>
      <c r="BI14" s="305"/>
    </row>
    <row r="15" spans="1:65" ht="16.2" customHeight="1">
      <c r="A15" s="573"/>
      <c r="B15" s="469"/>
      <c r="C15" s="3"/>
      <c r="D15" s="88"/>
      <c r="E15" s="4"/>
      <c r="F15" s="4"/>
      <c r="G15" s="6">
        <v>34</v>
      </c>
      <c r="H15" s="468"/>
      <c r="I15" s="468"/>
      <c r="J15" s="3"/>
      <c r="K15" s="468"/>
      <c r="L15" s="468"/>
      <c r="M15" s="468" t="str">
        <f>IF(L15="","",
IF(AX15="PT",VLOOKUP(L15,Foundation_Calc!$V$79:$X$112,VLOOKUP(AX15,Foundation_Calc!$I$10:$J$13,2,FALSE),0),
IF(AX15="K",VLOOKUP(L15,Foundation_Calc!$V$116:$X$149,VLOOKUP(AX15,Foundation_Calc!$I$10:$J$13,2,FALSE),0),"")))</f>
        <v/>
      </c>
      <c r="N15" s="468"/>
      <c r="O15" s="468"/>
      <c r="P15" s="468"/>
      <c r="Q15" s="4"/>
      <c r="R15" s="6"/>
      <c r="S15" s="6"/>
      <c r="T15" s="4"/>
      <c r="U15" s="4"/>
      <c r="V15" s="4"/>
      <c r="W15" s="9"/>
      <c r="X15" s="9"/>
      <c r="Y15" s="9"/>
      <c r="Z15" s="9"/>
      <c r="AA15" s="9"/>
      <c r="AB15" s="9"/>
      <c r="AC15" s="468" t="str">
        <f t="shared" si="1"/>
        <v/>
      </c>
      <c r="AD15" s="468"/>
      <c r="AE15" s="468"/>
      <c r="AF15" s="4"/>
      <c r="AG15" s="88"/>
      <c r="AH15" s="4"/>
      <c r="AI15" s="4"/>
      <c r="AJ15" s="468"/>
      <c r="AK15" s="468"/>
      <c r="AL15" s="468"/>
      <c r="AM15" s="468"/>
      <c r="AN15" s="10"/>
      <c r="AO15" s="9"/>
      <c r="AP15" s="9"/>
      <c r="AQ15" s="9">
        <f>+FL_1($U$16,$T$14,$G$15,1200,9.28,-1*$F$16)</f>
        <v>0.2</v>
      </c>
      <c r="AR15" s="9"/>
      <c r="AS15" s="9"/>
      <c r="AT15" s="9"/>
      <c r="AU15" s="447"/>
      <c r="AV15" s="447"/>
      <c r="AW15" s="468" t="str">
        <f>IF(C15&gt;0,VLOOKUP(C15,Foundation_Calc!$A$2:$C$13,3,1),
IF(J15&gt;0,VLOOKUP(J15,Foundation_Calc!$A$2:$C$13,3,1),""))</f>
        <v/>
      </c>
      <c r="AX15" s="468" t="str">
        <f>IF(C15&gt;0,VLOOKUP(C15,Foundation_Calc!$E$2:$G$13,3,1),
IF(J15&gt;0,VLOOKUP(J15,Foundation_Calc!$E$2:$G$13,3,1),""))</f>
        <v/>
      </c>
      <c r="AY15" s="10" t="str">
        <f>IF(L15="","",
IF(AX15="PT",VLOOKUP(L15,Foundation_Calc!$K$79:$R$112,VLOOKUP(AW15,Foundation_Calc!$I$2:$J$8,2,FALSE),0),
IF(AX15="K",VLOOKUP(L15,Foundation_Calc!$K$116:$R$149,VLOOKUP(AW15,Foundation_Calc!$I$2:$J$8,2,FALSE),0),"")))</f>
        <v/>
      </c>
      <c r="AZ15" s="10" t="str">
        <f>IF(K15="","",
IF(AX15="PT",VLOOKUP(K15,Foundation_Calc!$K$79:$R$112,VLOOKUP(AW15,Foundation_Calc!$I$2:$J$8,2,FALSE),0),
IF(AX15="K",VLOOKUP(K15,Foundation_Calc!$K$116:$R$149,VLOOKUP(AW15,Foundation_Calc!$I$2:$J$8,2,FALSE),0),"")))</f>
        <v/>
      </c>
      <c r="BA15" s="553" t="str">
        <f t="shared" si="2"/>
        <v/>
      </c>
      <c r="BB15" s="553" t="str">
        <f t="shared" si="3"/>
        <v/>
      </c>
      <c r="BC15" s="553" t="str">
        <f t="shared" si="4"/>
        <v/>
      </c>
      <c r="BD15" s="572" t="str">
        <f>IF(AND(L15="",H15=""),"",
IF(H15="",Pole_Calc!A$9,
IF(H15="MP",Pole_Calc!A$10,
IF(H15="AnMP",Pole_Calc!A$11,
IF(H15="A",Pole_Calc!A$12,
IF(H15="S/A",Pole_Calc!A$13,
IF(H15="A/S",Pole_Calc!A$14,"Poner a mano")))))))</f>
        <v/>
      </c>
      <c r="BE15" s="448" t="s">
        <v>1726</v>
      </c>
      <c r="BF15" s="306"/>
      <c r="BG15" s="306"/>
      <c r="BH15" s="306"/>
      <c r="BI15" s="306"/>
    </row>
    <row r="16" spans="1:65" ht="16.2" customHeight="1">
      <c r="A16" s="573"/>
      <c r="B16" s="498" t="s">
        <v>2526</v>
      </c>
      <c r="C16" s="499">
        <v>110.5</v>
      </c>
      <c r="D16" s="88"/>
      <c r="E16" s="4"/>
      <c r="F16" s="4">
        <v>0</v>
      </c>
      <c r="G16" s="6"/>
      <c r="H16" s="468" t="s">
        <v>1739</v>
      </c>
      <c r="I16" s="468"/>
      <c r="J16" s="3"/>
      <c r="K16" s="468"/>
      <c r="L16" s="602" t="s">
        <v>325</v>
      </c>
      <c r="M16" s="602" t="s">
        <v>677</v>
      </c>
      <c r="N16" s="468" t="s">
        <v>32</v>
      </c>
      <c r="O16" s="669" t="s">
        <v>33</v>
      </c>
      <c r="P16" s="468"/>
      <c r="Q16" s="4"/>
      <c r="R16" s="6"/>
      <c r="S16" s="6"/>
      <c r="T16" s="4">
        <v>35</v>
      </c>
      <c r="U16" s="4">
        <v>20</v>
      </c>
      <c r="V16" s="4"/>
      <c r="W16" s="9">
        <v>2.2999999999999998</v>
      </c>
      <c r="X16" s="9">
        <v>1.4</v>
      </c>
      <c r="Y16" s="9"/>
      <c r="Z16" s="9"/>
      <c r="AA16" s="9"/>
      <c r="AB16" s="9"/>
      <c r="AC16" s="468" t="s">
        <v>647</v>
      </c>
      <c r="AD16" s="468" t="s">
        <v>1068</v>
      </c>
      <c r="AE16" s="468"/>
      <c r="AF16" s="4"/>
      <c r="AG16" s="88"/>
      <c r="AH16" s="4"/>
      <c r="AI16" s="4"/>
      <c r="AJ16" s="468"/>
      <c r="AK16" s="468"/>
      <c r="AL16" s="468" t="s">
        <v>1113</v>
      </c>
      <c r="AM16" s="468" t="s">
        <v>486</v>
      </c>
      <c r="AN16" s="10">
        <v>5.25</v>
      </c>
      <c r="AO16" s="9"/>
      <c r="AP16" s="9"/>
      <c r="AQ16" s="9"/>
      <c r="AR16" s="9"/>
      <c r="AS16" s="9"/>
      <c r="AT16" s="9">
        <f>+ab($U$16,$T$14,$U$18,$G$15,$G$17,-1*$F$16,1200)</f>
        <v>23.885231506817817</v>
      </c>
      <c r="AU16" s="447"/>
      <c r="AV16" s="447"/>
      <c r="AW16" s="468" t="str">
        <f>IF(C16&gt;0,VLOOKUP(C16,Foundation_Calc!$A$2:$C$13,3,1),
IF(J16&gt;0,VLOOKUP(J16,Foundation_Calc!$A$2:$C$13,3,1),""))</f>
        <v>MultiSoil</v>
      </c>
      <c r="AX16" s="468" t="str">
        <f>IF(C16&gt;0,VLOOKUP(C16,Foundation_Calc!$E$2:$G$13,3,1),
IF(J16&gt;0,VLOOKUP(J16,Foundation_Calc!$E$2:$G$13,3,1),""))</f>
        <v>PT</v>
      </c>
      <c r="AY16" s="10"/>
      <c r="AZ16" s="10" t="str">
        <f>IF(K16="","",
IF(AX16="PT",VLOOKUP(K16,Foundation_Calc!$K$79:$R$112,VLOOKUP(AW16,Foundation_Calc!$I$2:$J$8,2,FALSE),0),
IF(AX16="K",VLOOKUP(K16,Foundation_Calc!$K$116:$R$149,VLOOKUP(AW16,Foundation_Calc!$I$2:$J$8,2,FALSE),0),"")))</f>
        <v/>
      </c>
      <c r="BA16" s="553" t="str">
        <f t="shared" si="2"/>
        <v/>
      </c>
      <c r="BB16" s="553" t="str">
        <f t="shared" si="3"/>
        <v/>
      </c>
      <c r="BC16" s="553" t="str">
        <f t="shared" si="4"/>
        <v/>
      </c>
      <c r="BD16" s="572" t="str">
        <f>Pole_Calc!A$251</f>
        <v>App.8-V08H-P10.3</v>
      </c>
      <c r="BE16" s="448" t="s">
        <v>1726</v>
      </c>
      <c r="BF16" s="305"/>
      <c r="BG16" s="305"/>
      <c r="BH16" s="306"/>
      <c r="BI16" s="305"/>
    </row>
    <row r="17" spans="1:61" ht="16.2" customHeight="1">
      <c r="A17" s="573"/>
      <c r="B17" s="469"/>
      <c r="C17" s="3"/>
      <c r="D17" s="88"/>
      <c r="E17" s="4"/>
      <c r="F17" s="4"/>
      <c r="G17" s="6">
        <v>49</v>
      </c>
      <c r="H17" s="468"/>
      <c r="I17" s="468"/>
      <c r="J17" s="3">
        <f>C18-7.5</f>
        <v>152</v>
      </c>
      <c r="K17" s="468" t="s">
        <v>1095</v>
      </c>
      <c r="L17" s="468"/>
      <c r="M17" s="468" t="str">
        <f>IF(L17="","",
IF(AX17="PT",VLOOKUP(L17,Foundation_Calc!$V$79:$X$112,VLOOKUP(AX17,Foundation_Calc!$I$10:$J$13,2,FALSE),0),
IF(AX17="K",VLOOKUP(L17,Foundation_Calc!$V$116:$X$149,VLOOKUP(AX17,Foundation_Calc!$I$10:$J$13,2,FALSE),0),"")))</f>
        <v/>
      </c>
      <c r="N17" s="468"/>
      <c r="O17" s="468"/>
      <c r="P17" s="468"/>
      <c r="Q17" s="4"/>
      <c r="R17" s="6"/>
      <c r="S17" s="6"/>
      <c r="T17" s="4"/>
      <c r="U17" s="4"/>
      <c r="V17" s="4"/>
      <c r="W17" s="9"/>
      <c r="X17" s="9"/>
      <c r="Y17" s="9"/>
      <c r="Z17" s="9"/>
      <c r="AA17" s="9"/>
      <c r="AB17" s="9"/>
      <c r="AC17" s="468" t="str">
        <f t="shared" si="1"/>
        <v/>
      </c>
      <c r="AD17" s="468"/>
      <c r="AE17" s="468"/>
      <c r="AF17" s="4"/>
      <c r="AG17" s="88"/>
      <c r="AH17" s="4"/>
      <c r="AI17" s="4"/>
      <c r="AJ17" s="468"/>
      <c r="AK17" s="468"/>
      <c r="AL17" s="468"/>
      <c r="AM17" s="468"/>
      <c r="AN17" s="10"/>
      <c r="AO17" s="9"/>
      <c r="AP17" s="9"/>
      <c r="AQ17" s="9">
        <f>+FL_1($T$18,$T$16,$G$17,1200,9.28,-1*$F$18)</f>
        <v>0.70928990982663243</v>
      </c>
      <c r="AR17" s="9"/>
      <c r="AS17" s="9"/>
      <c r="AT17" s="9"/>
      <c r="AU17" s="447"/>
      <c r="AV17" s="447"/>
      <c r="AW17" s="468" t="str">
        <f>IF(C17&gt;0,VLOOKUP(C17,Foundation_Calc!$A$2:$C$13,3,1),
IF(J17&gt;0,VLOOKUP(J17,Foundation_Calc!$A$2:$C$13,3,1),""))</f>
        <v>MultiSoil</v>
      </c>
      <c r="AX17" s="468" t="str">
        <f>IF(C17&gt;0,VLOOKUP(C17,Foundation_Calc!$E$2:$G$13,3,1),
IF(J17&gt;0,VLOOKUP(J17,Foundation_Calc!$E$2:$G$13,3,1),""))</f>
        <v>PT</v>
      </c>
      <c r="AY17" s="10" t="str">
        <f>IF(L17="","",
IF(AX17="PT",VLOOKUP(L17,Foundation_Calc!$K$79:$R$112,VLOOKUP(AW17,Foundation_Calc!$I$2:$J$8,2,FALSE),0),
IF(AX17="K",VLOOKUP(L17,Foundation_Calc!$K$116:$R$149,VLOOKUP(AW17,Foundation_Calc!$I$2:$J$8,2,FALSE),0),"")))</f>
        <v/>
      </c>
      <c r="AZ17" s="10">
        <f>IF(K17="","",
IF(AX17="PT",VLOOKUP(K17,Foundation_Calc!$K$79:$R$112,VLOOKUP(AW17,Foundation_Calc!$I$2:$J$8,2,FALSE),0),
IF(AX17="K",VLOOKUP(K17,Foundation_Calc!$K$116:$R$149,VLOOKUP(AW17,Foundation_Calc!$I$2:$J$8,2,FALSE),0),"")))</f>
        <v>3.9</v>
      </c>
      <c r="BA17" s="553" t="str">
        <f t="shared" si="2"/>
        <v/>
      </c>
      <c r="BB17" s="553" t="str">
        <f t="shared" si="3"/>
        <v>ü</v>
      </c>
      <c r="BC17" s="553" t="str">
        <f t="shared" si="4"/>
        <v/>
      </c>
      <c r="BD17" s="572" t="str">
        <f>IF(AND(L17="",H17=""),"",
IF(H17="",Pole_Calc!A$9,
IF(H17="MP",Pole_Calc!A$10,
IF(H17="AnMP",Pole_Calc!A$11,
IF(H17="A",Pole_Calc!A$12,
IF(H17="S/A",Pole_Calc!A$13,
IF(H17="A/S",Pole_Calc!A$14,"Poner a mano")))))))</f>
        <v/>
      </c>
      <c r="BE17" s="448" t="s">
        <v>1726</v>
      </c>
      <c r="BF17" s="306"/>
      <c r="BG17" s="306"/>
      <c r="BH17" s="306"/>
      <c r="BI17" s="306"/>
    </row>
    <row r="18" spans="1:61" ht="16.2" customHeight="1">
      <c r="A18" s="573"/>
      <c r="B18" s="469" t="s">
        <v>2527</v>
      </c>
      <c r="C18" s="3">
        <f>+$C$16+$G$17</f>
        <v>159.5</v>
      </c>
      <c r="D18" s="88"/>
      <c r="E18" s="4"/>
      <c r="F18" s="4">
        <v>1508.79</v>
      </c>
      <c r="G18" s="6"/>
      <c r="H18" s="468" t="s">
        <v>1745</v>
      </c>
      <c r="I18" s="468" t="s">
        <v>182</v>
      </c>
      <c r="J18" s="3"/>
      <c r="K18" s="468"/>
      <c r="L18" s="468" t="s">
        <v>448</v>
      </c>
      <c r="M18" s="468" t="str">
        <f>IF(L18="","",
IF(AX18="PT",VLOOKUP(L18,Foundation_Calc!$V$79:$X$112,VLOOKUP(AX18,Foundation_Calc!$I$10:$J$13,2,FALSE),0),
IF(AX18="K",VLOOKUP(L18,Foundation_Calc!$V$116:$X$149,VLOOKUP(AX18,Foundation_Calc!$I$10:$J$13,2,FALSE),0),"")))</f>
        <v>2C3R</v>
      </c>
      <c r="N18" s="468" t="s">
        <v>33</v>
      </c>
      <c r="O18" s="669" t="s">
        <v>28</v>
      </c>
      <c r="P18" s="468"/>
      <c r="Q18" s="4"/>
      <c r="R18" s="6"/>
      <c r="S18" s="6"/>
      <c r="T18" s="4">
        <v>20</v>
      </c>
      <c r="U18" s="4">
        <v>55</v>
      </c>
      <c r="V18" s="4"/>
      <c r="W18" s="9">
        <v>2.2999999999999998</v>
      </c>
      <c r="X18" s="9">
        <v>1.4</v>
      </c>
      <c r="Y18" s="9"/>
      <c r="Z18" s="9"/>
      <c r="AA18" s="9">
        <v>0.45</v>
      </c>
      <c r="AB18" s="9"/>
      <c r="AC18" s="468" t="str">
        <f t="shared" si="1"/>
        <v>PH</v>
      </c>
      <c r="AD18" s="468"/>
      <c r="AE18" s="468"/>
      <c r="AF18" s="4"/>
      <c r="AG18" s="88"/>
      <c r="AH18" s="4"/>
      <c r="AI18" s="4"/>
      <c r="AJ18" s="468"/>
      <c r="AK18" s="468"/>
      <c r="AL18" s="468"/>
      <c r="AM18" s="468" t="s">
        <v>486</v>
      </c>
      <c r="AN18" s="10">
        <v>5.25</v>
      </c>
      <c r="AO18" s="9"/>
      <c r="AP18" s="9"/>
      <c r="AQ18" s="9"/>
      <c r="AR18" s="9"/>
      <c r="AS18" s="9"/>
      <c r="AT18" s="9">
        <f>+ab($T$18,$T$16,$U$20,$G$17,$G$19,-1*$F$18,1200)</f>
        <v>-9.1129278288024924</v>
      </c>
      <c r="AU18" s="447"/>
      <c r="AV18" s="447"/>
      <c r="AW18" s="468" t="str">
        <f>IF(C18&gt;0,VLOOKUP(C18,Foundation_Calc!$A$2:$C$13,3,1),
IF(J18&gt;0,VLOOKUP(J18,Foundation_Calc!$A$2:$C$13,3,1),""))</f>
        <v>MultiSoil</v>
      </c>
      <c r="AX18" s="468" t="str">
        <f>IF(C18&gt;0,VLOOKUP(C18,Foundation_Calc!$E$2:$G$13,3,1),
IF(J18&gt;0,VLOOKUP(J18,Foundation_Calc!$E$2:$G$13,3,1),""))</f>
        <v>PT</v>
      </c>
      <c r="AY18" s="10">
        <f>IF(L18="","",
IF(AX18="PT",VLOOKUP(L18,Foundation_Calc!$K$79:$R$112,VLOOKUP(AW18,Foundation_Calc!$I$2:$J$8,2,FALSE),0),
IF(AX18="K",VLOOKUP(L18,Foundation_Calc!$K$116:$R$149,VLOOKUP(AW18,Foundation_Calc!$I$2:$J$8,2,FALSE),0),"")))</f>
        <v>3.7</v>
      </c>
      <c r="AZ18" s="10" t="str">
        <f>IF(K18="","",
IF(AX18="PT",VLOOKUP(K18,Foundation_Calc!$K$79:$R$112,VLOOKUP(AW18,Foundation_Calc!$I$2:$J$8,2,FALSE),0),
IF(AX18="K",VLOOKUP(K18,Foundation_Calc!$K$116:$R$149,VLOOKUP(AW18,Foundation_Calc!$I$2:$J$8,2,FALSE),0),"")))</f>
        <v/>
      </c>
      <c r="BA18" s="553" t="str">
        <f t="shared" si="2"/>
        <v>ü</v>
      </c>
      <c r="BB18" s="553" t="str">
        <f t="shared" si="3"/>
        <v/>
      </c>
      <c r="BC18" s="553" t="str">
        <f t="shared" si="4"/>
        <v/>
      </c>
      <c r="BD18" s="572" t="str">
        <f>Pole_Calc!A$16</f>
        <v>App.7-V11H-P9.5.1.8</v>
      </c>
      <c r="BE18" s="448" t="s">
        <v>1726</v>
      </c>
      <c r="BF18" s="305"/>
      <c r="BG18" s="305"/>
      <c r="BH18" s="306"/>
      <c r="BI18" s="305"/>
    </row>
    <row r="19" spans="1:61" ht="16.2" customHeight="1">
      <c r="A19" s="573"/>
      <c r="B19" s="469"/>
      <c r="C19" s="3"/>
      <c r="D19" s="88"/>
      <c r="E19" s="4"/>
      <c r="F19" s="4"/>
      <c r="G19" s="6">
        <v>41.3</v>
      </c>
      <c r="H19" s="468"/>
      <c r="I19" s="4">
        <f>SUM(G13:G19)</f>
        <v>154</v>
      </c>
      <c r="J19" s="3"/>
      <c r="K19" s="468"/>
      <c r="L19" s="468"/>
      <c r="M19" s="468" t="str">
        <f>IF(L19="","",
IF(AX19="PT",VLOOKUP(L19,Foundation_Calc!$V$79:$X$112,VLOOKUP(AX19,Foundation_Calc!$I$10:$J$13,2,FALSE),0),
IF(AX19="K",VLOOKUP(L19,Foundation_Calc!$V$116:$X$149,VLOOKUP(AX19,Foundation_Calc!$I$10:$J$13,2,FALSE),0),"")))</f>
        <v/>
      </c>
      <c r="N19" s="468"/>
      <c r="O19" s="468"/>
      <c r="P19" s="468"/>
      <c r="Q19" s="4"/>
      <c r="R19" s="6"/>
      <c r="S19" s="6"/>
      <c r="T19" s="4"/>
      <c r="U19" s="4"/>
      <c r="V19" s="4"/>
      <c r="W19" s="9"/>
      <c r="X19" s="9"/>
      <c r="Y19" s="9"/>
      <c r="Z19" s="9"/>
      <c r="AA19" s="9"/>
      <c r="AB19" s="9"/>
      <c r="AC19" s="468" t="str">
        <f t="shared" si="1"/>
        <v/>
      </c>
      <c r="AD19" s="468"/>
      <c r="AE19" s="468"/>
      <c r="AF19" s="4"/>
      <c r="AG19" s="88"/>
      <c r="AH19" s="4"/>
      <c r="AI19" s="4"/>
      <c r="AJ19" s="468"/>
      <c r="AK19" s="468"/>
      <c r="AL19" s="468"/>
      <c r="AM19" s="468"/>
      <c r="AN19" s="10"/>
      <c r="AO19" s="9"/>
      <c r="AP19" s="9"/>
      <c r="AQ19" s="9">
        <f>+FL_1($U$20,$T$18,$G$19,1200,9.28,-1*$F$20)</f>
        <v>0.31652847538316048</v>
      </c>
      <c r="AR19" s="9"/>
      <c r="AS19" s="9"/>
      <c r="AT19" s="9"/>
      <c r="AU19" s="447"/>
      <c r="AV19" s="447"/>
      <c r="AW19" s="468" t="str">
        <f>IF(C19&gt;0,VLOOKUP(C19,Foundation_Calc!$A$2:$C$13,3,1),
IF(J19&gt;0,VLOOKUP(J19,Foundation_Calc!$A$2:$C$13,3,1),""))</f>
        <v/>
      </c>
      <c r="AX19" s="468" t="str">
        <f>IF(C19&gt;0,VLOOKUP(C19,Foundation_Calc!$E$2:$G$13,3,1),
IF(J19&gt;0,VLOOKUP(J19,Foundation_Calc!$E$2:$G$13,3,1),""))</f>
        <v/>
      </c>
      <c r="AY19" s="10" t="str">
        <f>IF(L19="","",
IF(AX19="PT",VLOOKUP(L19,Foundation_Calc!$K$79:$R$112,VLOOKUP(AW19,Foundation_Calc!$I$2:$J$8,2,FALSE),0),
IF(AX19="K",VLOOKUP(L19,Foundation_Calc!$K$116:$R$149,VLOOKUP(AW19,Foundation_Calc!$I$2:$J$8,2,FALSE),0),"")))</f>
        <v/>
      </c>
      <c r="AZ19" s="10" t="str">
        <f>IF(K19="","",
IF(AX19="PT",VLOOKUP(K19,Foundation_Calc!$K$79:$R$112,VLOOKUP(AW19,Foundation_Calc!$I$2:$J$8,2,FALSE),0),
IF(AX19="K",VLOOKUP(K19,Foundation_Calc!$K$116:$R$149,VLOOKUP(AW19,Foundation_Calc!$I$2:$J$8,2,FALSE),0),"")))</f>
        <v/>
      </c>
      <c r="BA19" s="553" t="str">
        <f t="shared" si="2"/>
        <v/>
      </c>
      <c r="BB19" s="553" t="str">
        <f t="shared" si="3"/>
        <v/>
      </c>
      <c r="BC19" s="553" t="str">
        <f t="shared" si="4"/>
        <v/>
      </c>
      <c r="BD19" s="572" t="str">
        <f>IF(AND(L19="",H19=""),"",
IF(H19="",Pole_Calc!A$9,
IF(H19="MP",Pole_Calc!A$10,
IF(H19="AnMP",Pole_Calc!A$11,
IF(H19="A",Pole_Calc!A$12,
IF(H19="S/A",Pole_Calc!A$13,
IF(H19="A/S",Pole_Calc!A$14,"Poner a mano")))))))</f>
        <v/>
      </c>
      <c r="BE19" s="448" t="s">
        <v>1726</v>
      </c>
      <c r="BF19" s="306"/>
      <c r="BG19" s="306"/>
      <c r="BH19" s="306"/>
      <c r="BI19" s="306"/>
    </row>
    <row r="20" spans="1:61" ht="16.2" customHeight="1">
      <c r="A20" s="573"/>
      <c r="B20" s="469" t="s">
        <v>2528</v>
      </c>
      <c r="C20" s="3">
        <f>+$C$18+$G$19</f>
        <v>200.8</v>
      </c>
      <c r="D20" s="88"/>
      <c r="E20" s="4"/>
      <c r="F20" s="4">
        <v>1399.1</v>
      </c>
      <c r="G20" s="6"/>
      <c r="H20" s="468" t="s">
        <v>1746</v>
      </c>
      <c r="I20" s="468" t="s">
        <v>182</v>
      </c>
      <c r="J20" s="3"/>
      <c r="K20" s="468"/>
      <c r="L20" s="468" t="s">
        <v>448</v>
      </c>
      <c r="M20" s="468" t="str">
        <f>IF(L20="","",
IF(AX20="PT",VLOOKUP(L20,Foundation_Calc!$V$79:$X$112,VLOOKUP(AX20,Foundation_Calc!$I$10:$J$13,2,FALSE),0),
IF(AX20="K",VLOOKUP(L20,Foundation_Calc!$V$116:$X$149,VLOOKUP(AX20,Foundation_Calc!$I$10:$J$13,2,FALSE),0),"")))</f>
        <v>2C3R</v>
      </c>
      <c r="N20" s="468" t="s">
        <v>28</v>
      </c>
      <c r="O20" s="468" t="s">
        <v>32</v>
      </c>
      <c r="P20" s="468"/>
      <c r="Q20" s="4"/>
      <c r="R20" s="6"/>
      <c r="S20" s="6"/>
      <c r="T20" s="4">
        <v>15</v>
      </c>
      <c r="U20" s="4">
        <v>-30</v>
      </c>
      <c r="V20" s="4"/>
      <c r="W20" s="9">
        <v>1.4</v>
      </c>
      <c r="X20" s="9">
        <v>2.2999999999999998</v>
      </c>
      <c r="Y20" s="9"/>
      <c r="Z20" s="9">
        <v>0.45</v>
      </c>
      <c r="AA20" s="9"/>
      <c r="AB20" s="9"/>
      <c r="AC20" s="468"/>
      <c r="AD20" s="468"/>
      <c r="AE20" s="468"/>
      <c r="AF20" s="4"/>
      <c r="AG20" s="88"/>
      <c r="AH20" s="4"/>
      <c r="AI20" s="4"/>
      <c r="AJ20" s="468"/>
      <c r="AK20" s="468"/>
      <c r="AL20" s="468"/>
      <c r="AM20" s="468" t="s">
        <v>486</v>
      </c>
      <c r="AN20" s="10">
        <v>5.25</v>
      </c>
      <c r="AO20" s="9"/>
      <c r="AP20" s="9"/>
      <c r="AQ20" s="9"/>
      <c r="AR20" s="9"/>
      <c r="AS20" s="9"/>
      <c r="AT20" s="9">
        <f>+ab($U$20,$T$18,$T$22,$G$19,$G$21,-1*$F$20,1200)</f>
        <v>-3.6339535607364613</v>
      </c>
      <c r="AU20" s="447"/>
      <c r="AV20" s="447"/>
      <c r="AW20" s="468" t="str">
        <f>IF(C20&gt;0,VLOOKUP(C20,Foundation_Calc!$A$2:$C$13,3,1),
IF(J20&gt;0,VLOOKUP(J20,Foundation_Calc!$A$2:$C$13,3,1),""))</f>
        <v>MultiSoil</v>
      </c>
      <c r="AX20" s="468" t="str">
        <f>IF(C20&gt;0,VLOOKUP(C20,Foundation_Calc!$E$2:$G$13,3,1),
IF(J20&gt;0,VLOOKUP(J20,Foundation_Calc!$E$2:$G$13,3,1),""))</f>
        <v>PT</v>
      </c>
      <c r="AY20" s="10">
        <f>IF(L20="","",
IF(AX20="PT",VLOOKUP(L20,Foundation_Calc!$K$79:$R$112,VLOOKUP(AW20,Foundation_Calc!$I$2:$J$8,2,FALSE),0),
IF(AX20="K",VLOOKUP(L20,Foundation_Calc!$K$116:$R$149,VLOOKUP(AW20,Foundation_Calc!$I$2:$J$8,2,FALSE),0),"")))</f>
        <v>3.7</v>
      </c>
      <c r="AZ20" s="10" t="str">
        <f>IF(K20="","",
IF(AX20="PT",VLOOKUP(K20,Foundation_Calc!$K$79:$R$112,VLOOKUP(AW20,Foundation_Calc!$I$2:$J$8,2,FALSE),0),
IF(AX20="K",VLOOKUP(K20,Foundation_Calc!$K$116:$R$149,VLOOKUP(AW20,Foundation_Calc!$I$2:$J$8,2,FALSE),0),"")))</f>
        <v/>
      </c>
      <c r="BA20" s="553" t="str">
        <f t="shared" si="2"/>
        <v>ü</v>
      </c>
      <c r="BB20" s="553" t="str">
        <f t="shared" si="3"/>
        <v/>
      </c>
      <c r="BC20" s="553" t="str">
        <f t="shared" si="4"/>
        <v/>
      </c>
      <c r="BD20" s="572" t="str">
        <f>Pole_Calc!A$16</f>
        <v>App.7-V11H-P9.5.1.8</v>
      </c>
      <c r="BE20" s="448" t="s">
        <v>1726</v>
      </c>
      <c r="BF20" s="305"/>
      <c r="BG20" s="305"/>
      <c r="BH20" s="306"/>
      <c r="BI20" s="305"/>
    </row>
    <row r="21" spans="1:61" ht="16.2" customHeight="1">
      <c r="A21" s="573"/>
      <c r="B21" s="469"/>
      <c r="C21" s="3"/>
      <c r="D21" s="88"/>
      <c r="E21" s="4"/>
      <c r="F21" s="4"/>
      <c r="G21" s="6">
        <v>50</v>
      </c>
      <c r="H21" s="468"/>
      <c r="I21" s="468"/>
      <c r="J21" s="3">
        <f>C20+7.5</f>
        <v>208.3</v>
      </c>
      <c r="K21" s="468" t="s">
        <v>1095</v>
      </c>
      <c r="L21" s="468"/>
      <c r="M21" s="468" t="str">
        <f>IF(L21="","",
IF(AX21="PT",VLOOKUP(L21,Foundation_Calc!$V$79:$X$112,VLOOKUP(AX21,Foundation_Calc!$I$10:$J$13,2,FALSE),0),
IF(AX21="K",VLOOKUP(L21,Foundation_Calc!$V$116:$X$149,VLOOKUP(AX21,Foundation_Calc!$I$10:$J$13,2,FALSE),0),"")))</f>
        <v/>
      </c>
      <c r="N21" s="468"/>
      <c r="O21" s="468"/>
      <c r="P21" s="468"/>
      <c r="Q21" s="4"/>
      <c r="R21" s="6"/>
      <c r="S21" s="6"/>
      <c r="T21" s="4"/>
      <c r="U21" s="4"/>
      <c r="V21" s="4"/>
      <c r="W21" s="9"/>
      <c r="X21" s="9"/>
      <c r="Y21" s="9"/>
      <c r="Z21" s="9"/>
      <c r="AA21" s="9"/>
      <c r="AB21" s="9"/>
      <c r="AC21" s="468" t="str">
        <f t="shared" si="1"/>
        <v/>
      </c>
      <c r="AD21" s="468"/>
      <c r="AE21" s="468"/>
      <c r="AF21" s="4"/>
      <c r="AG21" s="88"/>
      <c r="AH21" s="4"/>
      <c r="AI21" s="4"/>
      <c r="AJ21" s="468"/>
      <c r="AK21" s="468"/>
      <c r="AL21" s="468"/>
      <c r="AM21" s="468"/>
      <c r="AN21" s="10"/>
      <c r="AO21" s="9"/>
      <c r="AP21" s="9"/>
      <c r="AQ21" s="9">
        <f>+FL_1($T$22,$U$20,$G$21,1200,9.28,-1*$F$22)</f>
        <v>0.33450586266153021</v>
      </c>
      <c r="AR21" s="9"/>
      <c r="AS21" s="9"/>
      <c r="AT21" s="9"/>
      <c r="AU21" s="447"/>
      <c r="AV21" s="447"/>
      <c r="AW21" s="468" t="str">
        <f>IF(C21&gt;0,VLOOKUP(C21,Foundation_Calc!$A$2:$C$13,3,1),
IF(J21&gt;0,VLOOKUP(J21,Foundation_Calc!$A$2:$C$13,3,1),""))</f>
        <v>MultiSoil</v>
      </c>
      <c r="AX21" s="468" t="str">
        <f>IF(C21&gt;0,VLOOKUP(C21,Foundation_Calc!$E$2:$G$13,3,1),
IF(J21&gt;0,VLOOKUP(J21,Foundation_Calc!$E$2:$G$13,3,1),""))</f>
        <v>PT</v>
      </c>
      <c r="AY21" s="10" t="str">
        <f>IF(L21="","",
IF(AX21="PT",VLOOKUP(L21,Foundation_Calc!$K$79:$R$112,VLOOKUP(AW21,Foundation_Calc!$I$2:$J$8,2,FALSE),0),
IF(AX21="K",VLOOKUP(L21,Foundation_Calc!$K$116:$R$149,VLOOKUP(AW21,Foundation_Calc!$I$2:$J$8,2,FALSE),0),"")))</f>
        <v/>
      </c>
      <c r="AZ21" s="10">
        <f>IF(K21="","",
IF(AX21="PT",VLOOKUP(K21,Foundation_Calc!$K$79:$R$112,VLOOKUP(AW21,Foundation_Calc!$I$2:$J$8,2,FALSE),0),
IF(AX21="K",VLOOKUP(K21,Foundation_Calc!$K$116:$R$149,VLOOKUP(AW21,Foundation_Calc!$I$2:$J$8,2,FALSE),0),"")))</f>
        <v>3.9</v>
      </c>
      <c r="BA21" s="553" t="str">
        <f t="shared" si="2"/>
        <v/>
      </c>
      <c r="BB21" s="553" t="str">
        <f t="shared" si="3"/>
        <v>ü</v>
      </c>
      <c r="BC21" s="553" t="str">
        <f t="shared" si="4"/>
        <v/>
      </c>
      <c r="BD21" s="572" t="str">
        <f>IF(AND(L21="",H21=""),"",
IF(H21="",Pole_Calc!A$9,
IF(H21="MP",Pole_Calc!A$10,
IF(H21="AnMP",Pole_Calc!A$11,
IF(H21="A",Pole_Calc!A$12,
IF(H21="S/A",Pole_Calc!A$13,
IF(H21="A/S",Pole_Calc!A$14,"Poner a mano")))))))</f>
        <v/>
      </c>
      <c r="BE21" s="448" t="s">
        <v>1726</v>
      </c>
      <c r="BF21" s="306"/>
      <c r="BG21" s="306"/>
      <c r="BH21" s="306"/>
      <c r="BI21" s="306"/>
    </row>
    <row r="22" spans="1:61" ht="16.2" customHeight="1">
      <c r="A22" s="573" t="s">
        <v>2359</v>
      </c>
      <c r="B22" s="469" t="s">
        <v>2529</v>
      </c>
      <c r="C22" s="3">
        <f>+$C$20+$G$21</f>
        <v>250.8</v>
      </c>
      <c r="D22" s="88"/>
      <c r="E22" s="4"/>
      <c r="F22" s="4">
        <v>1855.16</v>
      </c>
      <c r="G22" s="6"/>
      <c r="H22" s="468" t="s">
        <v>179</v>
      </c>
      <c r="I22" s="468" t="s">
        <v>653</v>
      </c>
      <c r="J22" s="3"/>
      <c r="K22" s="468"/>
      <c r="L22" s="468" t="s">
        <v>448</v>
      </c>
      <c r="M22" s="468" t="str">
        <f>IF(L22="","",
IF(AX22="PT",VLOOKUP(L22,Foundation_Calc!$V$79:$X$112,VLOOKUP(AX22,Foundation_Calc!$I$10:$J$13,2,FALSE),0),
IF(AX22="K",VLOOKUP(L22,Foundation_Calc!$V$116:$X$149,VLOOKUP(AX22,Foundation_Calc!$I$10:$J$13,2,FALSE),0),"")))</f>
        <v>2C3R</v>
      </c>
      <c r="N22" s="468" t="s">
        <v>33</v>
      </c>
      <c r="O22" s="468" t="s">
        <v>28</v>
      </c>
      <c r="P22" s="468"/>
      <c r="Q22" s="4"/>
      <c r="R22" s="6"/>
      <c r="S22" s="6"/>
      <c r="T22" s="4">
        <v>10</v>
      </c>
      <c r="U22" s="4">
        <v>-35</v>
      </c>
      <c r="V22" s="4"/>
      <c r="W22" s="9">
        <v>1.4</v>
      </c>
      <c r="X22" s="9">
        <v>2.2999999999999998</v>
      </c>
      <c r="Y22" s="9"/>
      <c r="Z22" s="9"/>
      <c r="AA22" s="9">
        <v>0.45</v>
      </c>
      <c r="AB22" s="9"/>
      <c r="AC22" s="468" t="str">
        <f t="shared" si="1"/>
        <v>PH</v>
      </c>
      <c r="AD22" s="468"/>
      <c r="AE22" s="468"/>
      <c r="AF22" s="4"/>
      <c r="AG22" s="88"/>
      <c r="AH22" s="4"/>
      <c r="AI22" s="4"/>
      <c r="AJ22" s="468" t="s">
        <v>1162</v>
      </c>
      <c r="AK22" s="468"/>
      <c r="AL22" s="468"/>
      <c r="AM22" s="468" t="s">
        <v>486</v>
      </c>
      <c r="AN22" s="10">
        <v>5.25</v>
      </c>
      <c r="AO22" s="9"/>
      <c r="AP22" s="9"/>
      <c r="AQ22" s="9"/>
      <c r="AR22" s="9"/>
      <c r="AS22" s="9"/>
      <c r="AT22" s="9">
        <f>+ab($T$22,$U$20,$T$24,$G$21,$G$23,-1*$F$22,1200)</f>
        <v>-17.004022688621987</v>
      </c>
      <c r="AU22" s="447"/>
      <c r="AV22" s="447"/>
      <c r="AW22" s="468" t="str">
        <f>IF(C22&gt;0,VLOOKUP(C22,Foundation_Calc!$A$2:$C$13,3,1),
IF(J22&gt;0,VLOOKUP(J22,Foundation_Calc!$A$2:$C$13,3,1),""))</f>
        <v>MultiSoil</v>
      </c>
      <c r="AX22" s="468" t="str">
        <f>IF(C22&gt;0,VLOOKUP(C22,Foundation_Calc!$E$2:$G$13,3,1),
IF(J22&gt;0,VLOOKUP(J22,Foundation_Calc!$E$2:$G$13,3,1),""))</f>
        <v>PT</v>
      </c>
      <c r="AY22" s="10">
        <f>IF(L22="","",
IF(AX22="PT",VLOOKUP(L22,Foundation_Calc!$K$79:$R$112,VLOOKUP(AW22,Foundation_Calc!$I$2:$J$8,2,FALSE),0),
IF(AX22="K",VLOOKUP(L22,Foundation_Calc!$K$116:$R$149,VLOOKUP(AW22,Foundation_Calc!$I$2:$J$8,2,FALSE),0),"")))</f>
        <v>3.7</v>
      </c>
      <c r="AZ22" s="10" t="str">
        <f>IF(K22="","",
IF(AX22="PT",VLOOKUP(K22,Foundation_Calc!$K$79:$R$112,VLOOKUP(AW22,Foundation_Calc!$I$2:$J$8,2,FALSE),0),
IF(AX22="K",VLOOKUP(K22,Foundation_Calc!$K$116:$R$149,VLOOKUP(AW22,Foundation_Calc!$I$2:$J$8,2,FALSE),0),"")))</f>
        <v/>
      </c>
      <c r="BA22" s="553" t="str">
        <f t="shared" si="2"/>
        <v>ü</v>
      </c>
      <c r="BB22" s="553" t="str">
        <f t="shared" si="3"/>
        <v/>
      </c>
      <c r="BC22" s="553" t="str">
        <f t="shared" si="4"/>
        <v/>
      </c>
      <c r="BD22" s="572" t="str">
        <f>IF(AND(L22="",H22=""),"",
IF(H22="",Pole_Calc!A$9,
IF(H22="MP",Pole_Calc!A$10,
IF(H22="AnMP",Pole_Calc!A$11,
IF(H22="A",Pole_Calc!A$12,
IF(H22="S/A",Pole_Calc!A$13,
IF(H22="A/S",Pole_Calc!A$14,"Poner a mano")))))))</f>
        <v>App.7-V11H-P9.5.1.5</v>
      </c>
      <c r="BE22" s="448" t="s">
        <v>1726</v>
      </c>
      <c r="BF22" s="305"/>
      <c r="BG22" s="305"/>
      <c r="BH22" s="306"/>
      <c r="BI22" s="305"/>
    </row>
    <row r="23" spans="1:61" ht="16.2" customHeight="1">
      <c r="A23" s="573"/>
      <c r="B23" s="469"/>
      <c r="C23" s="3"/>
      <c r="D23" s="88"/>
      <c r="E23" s="4"/>
      <c r="F23" s="4"/>
      <c r="G23" s="6">
        <v>50</v>
      </c>
      <c r="H23" s="468"/>
      <c r="I23" s="4">
        <f>G7+G9+G11+G17+G19+G21+G23</f>
        <v>362.1</v>
      </c>
      <c r="J23" s="3"/>
      <c r="K23" s="468"/>
      <c r="L23" s="468"/>
      <c r="M23" s="468" t="str">
        <f>IF(L23="","",
IF(AX23="PT",VLOOKUP(L23,Foundation_Calc!$V$79:$X$112,VLOOKUP(AX23,Foundation_Calc!$I$10:$J$13,2,FALSE),0),
IF(AX23="K",VLOOKUP(L23,Foundation_Calc!$V$116:$X$149,VLOOKUP(AX23,Foundation_Calc!$I$10:$J$13,2,FALSE),0),"")))</f>
        <v/>
      </c>
      <c r="N23" s="468"/>
      <c r="O23" s="468"/>
      <c r="P23" s="468"/>
      <c r="Q23" s="4"/>
      <c r="R23" s="6"/>
      <c r="S23" s="6"/>
      <c r="T23" s="4"/>
      <c r="U23" s="4"/>
      <c r="V23" s="4"/>
      <c r="W23" s="9"/>
      <c r="X23" s="9"/>
      <c r="Y23" s="9"/>
      <c r="Z23" s="9"/>
      <c r="AA23" s="9"/>
      <c r="AB23" s="9"/>
      <c r="AC23" s="468" t="str">
        <f t="shared" si="1"/>
        <v/>
      </c>
      <c r="AD23" s="468"/>
      <c r="AE23" s="468"/>
      <c r="AF23" s="4"/>
      <c r="AG23" s="88"/>
      <c r="AH23" s="4"/>
      <c r="AI23" s="4"/>
      <c r="AJ23" s="468" t="s">
        <v>730</v>
      </c>
      <c r="AK23" s="468"/>
      <c r="AL23" s="468"/>
      <c r="AM23" s="468"/>
      <c r="AN23" s="10"/>
      <c r="AO23" s="9"/>
      <c r="AP23" s="9"/>
      <c r="AQ23" s="9">
        <f>+FL_2($T$24,$T$22,$G$23,1200,9.28,-1*$F$24)</f>
        <v>-0.38304596799999996</v>
      </c>
      <c r="AR23" s="9"/>
      <c r="AS23" s="9"/>
      <c r="AT23" s="9"/>
      <c r="AU23" s="447"/>
      <c r="AV23" s="447"/>
      <c r="AW23" s="468" t="str">
        <f>IF(C23&gt;0,VLOOKUP(C23,Foundation_Calc!$A$2:$C$13,3,1),
IF(J23&gt;0,VLOOKUP(J23,Foundation_Calc!$A$2:$C$13,3,1),""))</f>
        <v/>
      </c>
      <c r="AX23" s="468" t="str">
        <f>IF(C23&gt;0,VLOOKUP(C23,Foundation_Calc!$E$2:$G$13,3,1),
IF(J23&gt;0,VLOOKUP(J23,Foundation_Calc!$E$2:$G$13,3,1),""))</f>
        <v/>
      </c>
      <c r="AY23" s="10" t="str">
        <f>IF(L23="","",
IF(AX23="PT",VLOOKUP(L23,Foundation_Calc!$K$79:$R$112,VLOOKUP(AW23,Foundation_Calc!$I$2:$J$8,2,FALSE),0),
IF(AX23="K",VLOOKUP(L23,Foundation_Calc!$K$116:$R$149,VLOOKUP(AW23,Foundation_Calc!$I$2:$J$8,2,FALSE),0),"")))</f>
        <v/>
      </c>
      <c r="AZ23" s="10" t="str">
        <f>IF(K23="","",
IF(AX23="PT",VLOOKUP(K23,Foundation_Calc!$K$79:$R$112,VLOOKUP(AW23,Foundation_Calc!$I$2:$J$8,2,FALSE),0),
IF(AX23="K",VLOOKUP(K23,Foundation_Calc!$K$116:$R$149,VLOOKUP(AW23,Foundation_Calc!$I$2:$J$8,2,FALSE),0),"")))</f>
        <v/>
      </c>
      <c r="BA23" s="553" t="str">
        <f t="shared" si="2"/>
        <v/>
      </c>
      <c r="BB23" s="553" t="str">
        <f t="shared" si="3"/>
        <v/>
      </c>
      <c r="BC23" s="553" t="str">
        <f t="shared" si="4"/>
        <v/>
      </c>
      <c r="BD23" s="572" t="str">
        <f>IF(AND(L23="",H23=""),"",
IF(H23="",Pole_Calc!A$9,
IF(H23="MP",Pole_Calc!A$10,
IF(H23="AnMP",Pole_Calc!A$11,
IF(H23="A",Pole_Calc!A$12,
IF(H23="S/A",Pole_Calc!A$13,
IF(H23="A/S",Pole_Calc!A$14,"Poner a mano")))))))</f>
        <v/>
      </c>
      <c r="BE23" s="448" t="s">
        <v>1726</v>
      </c>
      <c r="BF23" s="306"/>
      <c r="BG23" s="306"/>
      <c r="BH23" s="306"/>
      <c r="BI23" s="306"/>
    </row>
    <row r="24" spans="1:61" ht="16.2" customHeight="1">
      <c r="A24" s="573"/>
      <c r="B24" s="469" t="s">
        <v>2530</v>
      </c>
      <c r="C24" s="3">
        <f>+$C$22+$G$23</f>
        <v>300.8</v>
      </c>
      <c r="D24" s="88"/>
      <c r="E24" s="4"/>
      <c r="F24" s="4">
        <v>0</v>
      </c>
      <c r="G24" s="6"/>
      <c r="H24" s="468" t="s">
        <v>26</v>
      </c>
      <c r="I24" s="468" t="s">
        <v>182</v>
      </c>
      <c r="J24" s="3"/>
      <c r="K24" s="468"/>
      <c r="L24" s="468" t="s">
        <v>452</v>
      </c>
      <c r="M24" s="468" t="str">
        <f>IF(L24="","",
IF(AX24="PT",VLOOKUP(L24,Foundation_Calc!$V$79:$X$112,VLOOKUP(AX24,Foundation_Calc!$I$10:$J$13,2,FALSE),0),
IF(AX24="K",VLOOKUP(L24,Foundation_Calc!$V$116:$X$149,VLOOKUP(AX24,Foundation_Calc!$I$10:$J$13,2,FALSE),0),"")))</f>
        <v>C4R</v>
      </c>
      <c r="N24" s="468" t="s">
        <v>32</v>
      </c>
      <c r="O24" s="468"/>
      <c r="P24" s="468"/>
      <c r="Q24" s="4"/>
      <c r="R24" s="6"/>
      <c r="S24" s="6"/>
      <c r="T24" s="4">
        <v>-30</v>
      </c>
      <c r="U24" s="4"/>
      <c r="V24" s="4"/>
      <c r="W24" s="9">
        <v>1.4</v>
      </c>
      <c r="X24" s="9"/>
      <c r="Y24" s="9"/>
      <c r="Z24" s="9"/>
      <c r="AA24" s="9"/>
      <c r="AB24" s="9"/>
      <c r="AC24" s="468" t="str">
        <f t="shared" si="1"/>
        <v>PH</v>
      </c>
      <c r="AD24" s="468"/>
      <c r="AE24" s="468"/>
      <c r="AF24" s="4"/>
      <c r="AG24" s="88"/>
      <c r="AH24" s="4"/>
      <c r="AI24" s="4"/>
      <c r="AJ24" s="468"/>
      <c r="AK24" s="468"/>
      <c r="AL24" s="468"/>
      <c r="AM24" s="468" t="s">
        <v>486</v>
      </c>
      <c r="AN24" s="10">
        <v>5.25</v>
      </c>
      <c r="AO24" s="9"/>
      <c r="AP24" s="9"/>
      <c r="AQ24" s="9"/>
      <c r="AR24" s="9"/>
      <c r="AS24" s="9"/>
      <c r="AT24" s="9">
        <f>+ab($T$24,$T$22,$T$26,$G$23,$G$25,-1*$F$24,1200)</f>
        <v>-9.0614550653505841</v>
      </c>
      <c r="AU24" s="447"/>
      <c r="AV24" s="447"/>
      <c r="AW24" s="468" t="str">
        <f>IF(C24&gt;0,VLOOKUP(C24,Foundation_Calc!$A$2:$C$13,3,1),
IF(J24&gt;0,VLOOKUP(J24,Foundation_Calc!$A$2:$C$13,3,1),""))</f>
        <v>MultiSoil</v>
      </c>
      <c r="AX24" s="468" t="str">
        <f>IF(C24&gt;0,VLOOKUP(C24,Foundation_Calc!$E$2:$G$13,3,1),
IF(J24&gt;0,VLOOKUP(J24,Foundation_Calc!$E$2:$G$13,3,1),""))</f>
        <v>PT</v>
      </c>
      <c r="AY24" s="10">
        <f>IF(L24="","",
IF(AX24="PT",VLOOKUP(L24,Foundation_Calc!$K$79:$R$112,VLOOKUP(AW24,Foundation_Calc!$I$2:$J$8,2,FALSE),0),
IF(AX24="K",VLOOKUP(L24,Foundation_Calc!$K$116:$R$149,VLOOKUP(AW24,Foundation_Calc!$I$2:$J$8,2,FALSE),0),"")))</f>
        <v>3.5</v>
      </c>
      <c r="AZ24" s="10" t="str">
        <f>IF(K24="","",
IF(AX24="PT",VLOOKUP(K24,Foundation_Calc!$K$79:$R$112,VLOOKUP(AW24,Foundation_Calc!$I$2:$J$8,2,FALSE),0),
IF(AX24="K",VLOOKUP(K24,Foundation_Calc!$K$116:$R$149,VLOOKUP(AW24,Foundation_Calc!$I$2:$J$8,2,FALSE),0),"")))</f>
        <v/>
      </c>
      <c r="BA24" s="553" t="str">
        <f t="shared" si="2"/>
        <v>ü</v>
      </c>
      <c r="BB24" s="553" t="str">
        <f t="shared" si="3"/>
        <v/>
      </c>
      <c r="BC24" s="553" t="str">
        <f t="shared" si="4"/>
        <v/>
      </c>
      <c r="BD24" s="572" t="str">
        <f>IF(AND(L24="",H24=""),"",
IF(H24="",Pole_Calc!A$9,
IF(H24="MP",Pole_Calc!A$10,
IF(H24="AnMP",Pole_Calc!A$11,
IF(H24="A",Pole_Calc!A$12,
IF(H24="S/A",Pole_Calc!A$13,
IF(H24="A/S",Pole_Calc!A$14,"Poner a mano")))))))</f>
        <v>App.7-V11H-P9.5.1.6</v>
      </c>
      <c r="BE24" s="448" t="s">
        <v>1726</v>
      </c>
      <c r="BF24" s="305"/>
      <c r="BG24" s="305"/>
      <c r="BH24" s="306"/>
      <c r="BI24" s="305"/>
    </row>
    <row r="25" spans="1:61" ht="16.2" customHeight="1">
      <c r="A25" s="573"/>
      <c r="B25" s="469"/>
      <c r="C25" s="3"/>
      <c r="D25" s="88"/>
      <c r="E25" s="4"/>
      <c r="F25" s="4"/>
      <c r="G25" s="6">
        <v>50</v>
      </c>
      <c r="H25" s="468"/>
      <c r="I25" s="468"/>
      <c r="J25" s="3">
        <f>C24+7.5</f>
        <v>308.3</v>
      </c>
      <c r="K25" s="468" t="s">
        <v>1095</v>
      </c>
      <c r="L25" s="468"/>
      <c r="M25" s="468" t="str">
        <f>IF(L25="","",
IF(AX25="PT",VLOOKUP(L25,Foundation_Calc!$V$79:$X$112,VLOOKUP(AX25,Foundation_Calc!$I$10:$J$13,2,FALSE),0),
IF(AX25="K",VLOOKUP(L25,Foundation_Calc!$V$116:$X$149,VLOOKUP(AX25,Foundation_Calc!$I$10:$J$13,2,FALSE),0),"")))</f>
        <v/>
      </c>
      <c r="N25" s="468"/>
      <c r="O25" s="468"/>
      <c r="P25" s="468"/>
      <c r="Q25" s="4"/>
      <c r="R25" s="6"/>
      <c r="S25" s="6"/>
      <c r="T25" s="4"/>
      <c r="U25" s="4"/>
      <c r="V25" s="4"/>
      <c r="W25" s="9"/>
      <c r="X25" s="9"/>
      <c r="Y25" s="9"/>
      <c r="Z25" s="9"/>
      <c r="AA25" s="9"/>
      <c r="AB25" s="9"/>
      <c r="AC25" s="468" t="str">
        <f t="shared" si="1"/>
        <v/>
      </c>
      <c r="AD25" s="468"/>
      <c r="AE25" s="468"/>
      <c r="AF25" s="4"/>
      <c r="AG25" s="88"/>
      <c r="AH25" s="4"/>
      <c r="AI25" s="4"/>
      <c r="AJ25" s="468"/>
      <c r="AK25" s="468"/>
      <c r="AL25" s="468"/>
      <c r="AM25" s="468"/>
      <c r="AN25" s="10"/>
      <c r="AO25" s="9"/>
      <c r="AP25" s="9"/>
      <c r="AQ25" s="9">
        <f>+FL_1($T$26,$T$24,$G$25,1200,9.28,-1*$F$26)</f>
        <v>0.37593390799999998</v>
      </c>
      <c r="AR25" s="9"/>
      <c r="AS25" s="9"/>
      <c r="AT25" s="9"/>
      <c r="AU25" s="447"/>
      <c r="AV25" s="447"/>
      <c r="AW25" s="468" t="str">
        <f>IF(C25&gt;0,VLOOKUP(C25,Foundation_Calc!$A$2:$C$13,3,1),
IF(J25&gt;0,VLOOKUP(J25,Foundation_Calc!$A$2:$C$13,3,1),""))</f>
        <v>MultiSoil</v>
      </c>
      <c r="AX25" s="468" t="str">
        <f>IF(C25&gt;0,VLOOKUP(C25,Foundation_Calc!$E$2:$G$13,3,1),
IF(J25&gt;0,VLOOKUP(J25,Foundation_Calc!$E$2:$G$13,3,1),""))</f>
        <v>PT</v>
      </c>
      <c r="AY25" s="10" t="str">
        <f>IF(L25="","",
IF(AX25="PT",VLOOKUP(L25,Foundation_Calc!$K$79:$R$112,VLOOKUP(AW25,Foundation_Calc!$I$2:$J$8,2,FALSE),0),
IF(AX25="K",VLOOKUP(L25,Foundation_Calc!$K$116:$R$149,VLOOKUP(AW25,Foundation_Calc!$I$2:$J$8,2,FALSE),0),"")))</f>
        <v/>
      </c>
      <c r="AZ25" s="10">
        <f>IF(K25="","",
IF(AX25="PT",VLOOKUP(K25,Foundation_Calc!$K$79:$R$112,VLOOKUP(AW25,Foundation_Calc!$I$2:$J$8,2,FALSE),0),
IF(AX25="K",VLOOKUP(K25,Foundation_Calc!$K$116:$R$149,VLOOKUP(AW25,Foundation_Calc!$I$2:$J$8,2,FALSE),0),"")))</f>
        <v>3.9</v>
      </c>
      <c r="BA25" s="553" t="str">
        <f t="shared" si="2"/>
        <v/>
      </c>
      <c r="BB25" s="553" t="str">
        <f t="shared" si="3"/>
        <v>ü</v>
      </c>
      <c r="BC25" s="553" t="str">
        <f t="shared" si="4"/>
        <v/>
      </c>
      <c r="BD25" s="572" t="str">
        <f>IF(AND(L25="",H25=""),"",
IF(H25="",Pole_Calc!A$9,
IF(H25="MP",Pole_Calc!A$10,
IF(H25="AnMP",Pole_Calc!A$11,
IF(H25="A",Pole_Calc!A$12,
IF(H25="S/A",Pole_Calc!A$13,
IF(H25="A/S",Pole_Calc!A$14,"Poner a mano")))))))</f>
        <v/>
      </c>
      <c r="BE25" s="448" t="s">
        <v>1726</v>
      </c>
      <c r="BF25" s="306"/>
      <c r="BG25" s="306"/>
      <c r="BH25" s="306"/>
      <c r="BI25" s="306"/>
    </row>
    <row r="26" spans="1:61" ht="16.2" customHeight="1">
      <c r="A26" s="573"/>
      <c r="B26" s="469" t="s">
        <v>2531</v>
      </c>
      <c r="C26" s="3">
        <f>+$C$24+$G$25</f>
        <v>350.8</v>
      </c>
      <c r="D26" s="88"/>
      <c r="E26" s="4"/>
      <c r="F26" s="4">
        <v>0</v>
      </c>
      <c r="G26" s="6"/>
      <c r="H26" s="468"/>
      <c r="I26" s="468"/>
      <c r="J26" s="3"/>
      <c r="K26" s="468"/>
      <c r="L26" s="468" t="s">
        <v>37</v>
      </c>
      <c r="M26" s="468" t="str">
        <f>IF(L26="","",
IF(AX26="PT",VLOOKUP(L26,Foundation_Calc!$V$79:$X$112,VLOOKUP(AX26,Foundation_Calc!$I$10:$J$13,2,FALSE),0),
IF(AX26="K",VLOOKUP(L26,Foundation_Calc!$V$116:$X$149,VLOOKUP(AX26,Foundation_Calc!$I$10:$J$13,2,FALSE),0),"")))</f>
        <v>C3R</v>
      </c>
      <c r="N26" s="468" t="s">
        <v>33</v>
      </c>
      <c r="O26" s="468"/>
      <c r="P26" s="468"/>
      <c r="Q26" s="4"/>
      <c r="R26" s="6"/>
      <c r="S26" s="6"/>
      <c r="T26" s="4">
        <v>35</v>
      </c>
      <c r="U26" s="4"/>
      <c r="V26" s="4"/>
      <c r="W26" s="9">
        <v>1.4</v>
      </c>
      <c r="X26" s="9"/>
      <c r="Y26" s="9"/>
      <c r="Z26" s="9"/>
      <c r="AA26" s="9"/>
      <c r="AB26" s="9"/>
      <c r="AC26" s="468" t="str">
        <f t="shared" si="1"/>
        <v>PHQ</v>
      </c>
      <c r="AD26" s="468"/>
      <c r="AE26" s="468"/>
      <c r="AF26" s="4"/>
      <c r="AG26" s="88"/>
      <c r="AH26" s="4"/>
      <c r="AI26" s="4"/>
      <c r="AJ26" s="468"/>
      <c r="AK26" s="468"/>
      <c r="AL26" s="468"/>
      <c r="AM26" s="468" t="s">
        <v>486</v>
      </c>
      <c r="AN26" s="10">
        <f>AN24+0.06</f>
        <v>5.31</v>
      </c>
      <c r="AO26" s="9"/>
      <c r="AP26" s="9"/>
      <c r="AQ26" s="9"/>
      <c r="AR26" s="9"/>
      <c r="AS26" s="9"/>
      <c r="AT26" s="9">
        <f>+ab($T$26,$T$24,$T$28,$G$25,$G$27,-1*$F$26,1200)</f>
        <v>7.4367357332245518</v>
      </c>
      <c r="AU26" s="447"/>
      <c r="AV26" s="447"/>
      <c r="AW26" s="468" t="str">
        <f>IF(C26&gt;0,VLOOKUP(C26,Foundation_Calc!$A$2:$C$13,3,1),
IF(J26&gt;0,VLOOKUP(J26,Foundation_Calc!$A$2:$C$13,3,1),""))</f>
        <v>MultiSoil</v>
      </c>
      <c r="AX26" s="468" t="str">
        <f>IF(C26&gt;0,VLOOKUP(C26,Foundation_Calc!$E$2:$G$13,3,1),
IF(J26&gt;0,VLOOKUP(J26,Foundation_Calc!$E$2:$G$13,3,1),""))</f>
        <v>PT</v>
      </c>
      <c r="AY26" s="10">
        <f>IF(L26="","",
IF(AX26="PT",VLOOKUP(L26,Foundation_Calc!$K$79:$R$112,VLOOKUP(AW26,Foundation_Calc!$I$2:$J$8,2,FALSE),0),
IF(AX26="K",VLOOKUP(L26,Foundation_Calc!$K$116:$R$149,VLOOKUP(AW26,Foundation_Calc!$I$2:$J$8,2,FALSE),0),"")))</f>
        <v>3.5</v>
      </c>
      <c r="AZ26" s="10" t="str">
        <f>IF(K26="","",
IF(AX26="PT",VLOOKUP(K26,Foundation_Calc!$K$79:$R$112,VLOOKUP(AW26,Foundation_Calc!$I$2:$J$8,2,FALSE),0),
IF(AX26="K",VLOOKUP(K26,Foundation_Calc!$K$116:$R$149,VLOOKUP(AW26,Foundation_Calc!$I$2:$J$8,2,FALSE),0),"")))</f>
        <v/>
      </c>
      <c r="BA26" s="553" t="str">
        <f t="shared" si="2"/>
        <v>ü</v>
      </c>
      <c r="BB26" s="553" t="str">
        <f t="shared" si="3"/>
        <v/>
      </c>
      <c r="BC26" s="553" t="str">
        <f t="shared" si="4"/>
        <v/>
      </c>
      <c r="BD26" s="572" t="str">
        <f>IF(AND(L26="",H26=""),"",
IF(H26="",Pole_Calc!A$9,
IF(H26="MP",Pole_Calc!A$10,
IF(H26="AnMP",Pole_Calc!A$11,
IF(H26="A",Pole_Calc!A$12,
IF(H26="S/A",Pole_Calc!A$13,
IF(H26="A/S",Pole_Calc!A$14,"Poner a mano")))))))</f>
        <v>App.7-V11H-P9.5.1.1</v>
      </c>
      <c r="BE26" s="448" t="s">
        <v>1726</v>
      </c>
      <c r="BF26" s="305"/>
      <c r="BG26" s="305"/>
      <c r="BH26" s="306"/>
      <c r="BI26" s="305"/>
    </row>
    <row r="27" spans="1:61" ht="16.2" customHeight="1">
      <c r="A27" s="573"/>
      <c r="B27" s="469"/>
      <c r="C27" s="3"/>
      <c r="D27" s="88"/>
      <c r="E27" s="4"/>
      <c r="F27" s="4"/>
      <c r="G27" s="6">
        <v>55.3</v>
      </c>
      <c r="H27" s="468"/>
      <c r="I27" s="468"/>
      <c r="J27" s="3"/>
      <c r="K27" s="468"/>
      <c r="L27" s="468"/>
      <c r="M27" s="468" t="str">
        <f>IF(L27="","",
IF(AX27="PT",VLOOKUP(L27,Foundation_Calc!$V$79:$X$112,VLOOKUP(AX27,Foundation_Calc!$I$10:$J$13,2,FALSE),0),
IF(AX27="K",VLOOKUP(L27,Foundation_Calc!$V$116:$X$149,VLOOKUP(AX27,Foundation_Calc!$I$10:$J$13,2,FALSE),0),"")))</f>
        <v/>
      </c>
      <c r="N27" s="468"/>
      <c r="O27" s="468"/>
      <c r="P27" s="468"/>
      <c r="Q27" s="4"/>
      <c r="R27" s="6"/>
      <c r="S27" s="6"/>
      <c r="T27" s="4"/>
      <c r="U27" s="4"/>
      <c r="V27" s="4"/>
      <c r="W27" s="9"/>
      <c r="X27" s="9"/>
      <c r="Y27" s="9"/>
      <c r="Z27" s="9"/>
      <c r="AA27" s="9"/>
      <c r="AB27" s="9"/>
      <c r="AC27" s="468" t="str">
        <f t="shared" si="1"/>
        <v/>
      </c>
      <c r="AD27" s="468"/>
      <c r="AE27" s="468"/>
      <c r="AF27" s="4"/>
      <c r="AG27" s="88"/>
      <c r="AH27" s="4"/>
      <c r="AI27" s="4"/>
      <c r="AJ27" s="468"/>
      <c r="AK27" s="468"/>
      <c r="AL27" s="468"/>
      <c r="AM27" s="468"/>
      <c r="AN27" s="10"/>
      <c r="AO27" s="9"/>
      <c r="AP27" s="9"/>
      <c r="AQ27" s="9">
        <f>+FL_1($T$28,$T$26,$G$27,1200,9.28,-1*$F$28)</f>
        <v>0.39921282187341767</v>
      </c>
      <c r="AR27" s="9"/>
      <c r="AS27" s="9"/>
      <c r="AT27" s="9"/>
      <c r="AU27" s="447"/>
      <c r="AV27" s="447"/>
      <c r="AW27" s="468" t="str">
        <f>IF(C27&gt;0,VLOOKUP(C27,Foundation_Calc!$A$2:$C$13,3,1),
IF(J27&gt;0,VLOOKUP(J27,Foundation_Calc!$A$2:$C$13,3,1),""))</f>
        <v/>
      </c>
      <c r="AX27" s="468" t="str">
        <f>IF(C27&gt;0,VLOOKUP(C27,Foundation_Calc!$E$2:$G$13,3,1),
IF(J27&gt;0,VLOOKUP(J27,Foundation_Calc!$E$2:$G$13,3,1),""))</f>
        <v/>
      </c>
      <c r="AY27" s="10" t="str">
        <f>IF(L27="","",
IF(AX27="PT",VLOOKUP(L27,Foundation_Calc!$K$79:$R$112,VLOOKUP(AW27,Foundation_Calc!$I$2:$J$8,2,FALSE),0),
IF(AX27="K",VLOOKUP(L27,Foundation_Calc!$K$116:$R$149,VLOOKUP(AW27,Foundation_Calc!$I$2:$J$8,2,FALSE),0),"")))</f>
        <v/>
      </c>
      <c r="AZ27" s="10" t="str">
        <f>IF(K27="","",
IF(AX27="PT",VLOOKUP(K27,Foundation_Calc!$K$79:$R$112,VLOOKUP(AW27,Foundation_Calc!$I$2:$J$8,2,FALSE),0),
IF(AX27="K",VLOOKUP(K27,Foundation_Calc!$K$116:$R$149,VLOOKUP(AW27,Foundation_Calc!$I$2:$J$8,2,FALSE),0),"")))</f>
        <v/>
      </c>
      <c r="BA27" s="553" t="str">
        <f t="shared" si="2"/>
        <v/>
      </c>
      <c r="BB27" s="553" t="str">
        <f t="shared" si="3"/>
        <v/>
      </c>
      <c r="BC27" s="553" t="str">
        <f t="shared" si="4"/>
        <v/>
      </c>
      <c r="BD27" s="572" t="str">
        <f>IF(AND(L27="",H27=""),"",
IF(H27="",Pole_Calc!A$9,
IF(H27="MP",Pole_Calc!A$10,
IF(H27="AnMP",Pole_Calc!A$11,
IF(H27="A",Pole_Calc!A$12,
IF(H27="S/A",Pole_Calc!A$13,
IF(H27="A/S",Pole_Calc!A$14,"Poner a mano")))))))</f>
        <v/>
      </c>
      <c r="BE27" s="448" t="s">
        <v>1726</v>
      </c>
      <c r="BF27" s="306"/>
      <c r="BG27" s="306"/>
      <c r="BH27" s="306"/>
      <c r="BI27" s="306"/>
    </row>
    <row r="28" spans="1:61" ht="16.2" customHeight="1">
      <c r="A28" s="573"/>
      <c r="B28" s="469" t="s">
        <v>2532</v>
      </c>
      <c r="C28" s="3">
        <f>+$C$26+$G$27</f>
        <v>406.1</v>
      </c>
      <c r="D28" s="88"/>
      <c r="E28" s="4"/>
      <c r="F28" s="4">
        <v>0</v>
      </c>
      <c r="G28" s="6"/>
      <c r="H28" s="468"/>
      <c r="I28" s="468"/>
      <c r="J28" s="3"/>
      <c r="K28" s="468"/>
      <c r="L28" s="468" t="s">
        <v>37</v>
      </c>
      <c r="M28" s="468" t="str">
        <f>IF(L28="","",
IF(AX28="PT",VLOOKUP(L28,Foundation_Calc!$V$79:$X$112,VLOOKUP(AX28,Foundation_Calc!$I$10:$J$13,2,FALSE),0),
IF(AX28="K",VLOOKUP(L28,Foundation_Calc!$V$116:$X$149,VLOOKUP(AX28,Foundation_Calc!$I$10:$J$13,2,FALSE),0),"")))</f>
        <v>C3R</v>
      </c>
      <c r="N28" s="468" t="s">
        <v>32</v>
      </c>
      <c r="O28" s="468"/>
      <c r="P28" s="468"/>
      <c r="Q28" s="4"/>
      <c r="R28" s="6"/>
      <c r="S28" s="6"/>
      <c r="T28" s="4">
        <v>-35</v>
      </c>
      <c r="U28" s="4"/>
      <c r="V28" s="4"/>
      <c r="W28" s="9">
        <v>1.4</v>
      </c>
      <c r="X28" s="9"/>
      <c r="Y28" s="9"/>
      <c r="Z28" s="9"/>
      <c r="AA28" s="9"/>
      <c r="AB28" s="9"/>
      <c r="AC28" s="468" t="str">
        <f t="shared" si="1"/>
        <v>PHQ</v>
      </c>
      <c r="AD28" s="468"/>
      <c r="AE28" s="468"/>
      <c r="AF28" s="4"/>
      <c r="AG28" s="88"/>
      <c r="AH28" s="4"/>
      <c r="AI28" s="4"/>
      <c r="AJ28" s="468"/>
      <c r="AK28" s="468"/>
      <c r="AL28" s="468"/>
      <c r="AM28" s="468" t="s">
        <v>486</v>
      </c>
      <c r="AN28" s="10">
        <f>AN26+0.07</f>
        <v>5.38</v>
      </c>
      <c r="AO28" s="9"/>
      <c r="AP28" s="9"/>
      <c r="AQ28" s="9"/>
      <c r="AR28" s="9"/>
      <c r="AS28" s="9"/>
      <c r="AT28" s="9">
        <f>+ab($T$28,$T$26,$T$30,$G$27,$G$29,-1*$F$28,1200)</f>
        <v>-7.4473962271221623</v>
      </c>
      <c r="AU28" s="447"/>
      <c r="AV28" s="447"/>
      <c r="AW28" s="468" t="str">
        <f>IF(C28&gt;0,VLOOKUP(C28,Foundation_Calc!$A$2:$C$13,3,1),
IF(J28&gt;0,VLOOKUP(J28,Foundation_Calc!$A$2:$C$13,3,1),""))</f>
        <v>MultiSoil</v>
      </c>
      <c r="AX28" s="468" t="str">
        <f>IF(C28&gt;0,VLOOKUP(C28,Foundation_Calc!$E$2:$G$13,3,1),
IF(J28&gt;0,VLOOKUP(J28,Foundation_Calc!$E$2:$G$13,3,1),""))</f>
        <v>PT</v>
      </c>
      <c r="AY28" s="10">
        <f>IF(L28="","",
IF(AX28="PT",VLOOKUP(L28,Foundation_Calc!$K$79:$R$112,VLOOKUP(AW28,Foundation_Calc!$I$2:$J$8,2,FALSE),0),
IF(AX28="K",VLOOKUP(L28,Foundation_Calc!$K$116:$R$149,VLOOKUP(AW28,Foundation_Calc!$I$2:$J$8,2,FALSE),0),"")))</f>
        <v>3.5</v>
      </c>
      <c r="AZ28" s="10" t="str">
        <f>IF(K28="","",
IF(AX28="PT",VLOOKUP(K28,Foundation_Calc!$K$79:$R$112,VLOOKUP(AW28,Foundation_Calc!$I$2:$J$8,2,FALSE),0),
IF(AX28="K",VLOOKUP(K28,Foundation_Calc!$K$116:$R$149,VLOOKUP(AW28,Foundation_Calc!$I$2:$J$8,2,FALSE),0),"")))</f>
        <v/>
      </c>
      <c r="BA28" s="553" t="str">
        <f t="shared" si="2"/>
        <v>ü</v>
      </c>
      <c r="BB28" s="553" t="str">
        <f t="shared" si="3"/>
        <v/>
      </c>
      <c r="BC28" s="553" t="str">
        <f t="shared" si="4"/>
        <v/>
      </c>
      <c r="BD28" s="572" t="str">
        <f>IF(AND(L28="",H28=""),"",
IF(H28="",Pole_Calc!A$9,
IF(H28="MP",Pole_Calc!A$10,
IF(H28="AnMP",Pole_Calc!A$11,
IF(H28="A",Pole_Calc!A$12,
IF(H28="S/A",Pole_Calc!A$13,
IF(H28="A/S",Pole_Calc!A$14,"Poner a mano")))))))</f>
        <v>App.7-V11H-P9.5.1.1</v>
      </c>
      <c r="BE28" s="448" t="s">
        <v>1726</v>
      </c>
      <c r="BF28" s="305"/>
      <c r="BG28" s="305"/>
      <c r="BH28" s="306"/>
      <c r="BI28" s="305"/>
    </row>
    <row r="29" spans="1:61" ht="16.2" customHeight="1">
      <c r="A29" s="573"/>
      <c r="B29" s="469"/>
      <c r="C29" s="3"/>
      <c r="D29" s="88"/>
      <c r="E29" s="4"/>
      <c r="F29" s="4"/>
      <c r="G29" s="6">
        <v>54</v>
      </c>
      <c r="H29" s="468"/>
      <c r="I29" s="468"/>
      <c r="J29" s="3"/>
      <c r="K29" s="468"/>
      <c r="L29" s="468"/>
      <c r="M29" s="468" t="str">
        <f>IF(L29="","",
IF(AX29="PT",VLOOKUP(L29,Foundation_Calc!$V$79:$X$112,VLOOKUP(AX29,Foundation_Calc!$I$10:$J$13,2,FALSE),0),
IF(AX29="K",VLOOKUP(L29,Foundation_Calc!$V$116:$X$149,VLOOKUP(AX29,Foundation_Calc!$I$10:$J$13,2,FALSE),0),"")))</f>
        <v/>
      </c>
      <c r="N29" s="468"/>
      <c r="O29" s="468"/>
      <c r="P29" s="468"/>
      <c r="Q29" s="4"/>
      <c r="R29" s="6"/>
      <c r="S29" s="6"/>
      <c r="T29" s="4"/>
      <c r="U29" s="4"/>
      <c r="V29" s="4"/>
      <c r="W29" s="9"/>
      <c r="X29" s="9"/>
      <c r="Y29" s="9"/>
      <c r="Z29" s="9"/>
      <c r="AA29" s="9"/>
      <c r="AB29" s="9"/>
      <c r="AC29" s="468" t="str">
        <f t="shared" si="1"/>
        <v/>
      </c>
      <c r="AD29" s="468"/>
      <c r="AE29" s="468"/>
      <c r="AF29" s="4"/>
      <c r="AG29" s="88"/>
      <c r="AH29" s="4"/>
      <c r="AI29" s="4"/>
      <c r="AJ29" s="468"/>
      <c r="AK29" s="468"/>
      <c r="AL29" s="468"/>
      <c r="AM29" s="468"/>
      <c r="AN29" s="10"/>
      <c r="AO29" s="9"/>
      <c r="AP29" s="9"/>
      <c r="AQ29" s="9">
        <f>+FL_2($T$30,$T$28,$G$29,1200,9.28,-1*$F$30)</f>
        <v>-0.39052552059259249</v>
      </c>
      <c r="AR29" s="9"/>
      <c r="AS29" s="9"/>
      <c r="AT29" s="9"/>
      <c r="AU29" s="447"/>
      <c r="AV29" s="447"/>
      <c r="AW29" s="468" t="str">
        <f>IF(C29&gt;0,VLOOKUP(C29,Foundation_Calc!$A$2:$C$13,3,1),
IF(J29&gt;0,VLOOKUP(J29,Foundation_Calc!$A$2:$C$13,3,1),""))</f>
        <v/>
      </c>
      <c r="AX29" s="468" t="str">
        <f>IF(C29&gt;0,VLOOKUP(C29,Foundation_Calc!$E$2:$G$13,3,1),
IF(J29&gt;0,VLOOKUP(J29,Foundation_Calc!$E$2:$G$13,3,1),""))</f>
        <v/>
      </c>
      <c r="AY29" s="10" t="str">
        <f>IF(L29="","",
IF(AX29="PT",VLOOKUP(L29,Foundation_Calc!$K$79:$R$112,VLOOKUP(AW29,Foundation_Calc!$I$2:$J$8,2,FALSE),0),
IF(AX29="K",VLOOKUP(L29,Foundation_Calc!$K$116:$R$149,VLOOKUP(AW29,Foundation_Calc!$I$2:$J$8,2,FALSE),0),"")))</f>
        <v/>
      </c>
      <c r="AZ29" s="10" t="str">
        <f>IF(K29="","",
IF(AX29="PT",VLOOKUP(K29,Foundation_Calc!$K$79:$R$112,VLOOKUP(AW29,Foundation_Calc!$I$2:$J$8,2,FALSE),0),
IF(AX29="K",VLOOKUP(K29,Foundation_Calc!$K$116:$R$149,VLOOKUP(AW29,Foundation_Calc!$I$2:$J$8,2,FALSE),0),"")))</f>
        <v/>
      </c>
      <c r="BA29" s="553" t="str">
        <f t="shared" si="2"/>
        <v/>
      </c>
      <c r="BB29" s="553" t="str">
        <f t="shared" si="3"/>
        <v/>
      </c>
      <c r="BC29" s="553" t="str">
        <f t="shared" si="4"/>
        <v/>
      </c>
      <c r="BD29" s="572" t="str">
        <f>IF(AND(L29="",H29=""),"",
IF(H29="",Pole_Calc!A$9,
IF(H29="MP",Pole_Calc!A$10,
IF(H29="AnMP",Pole_Calc!A$11,
IF(H29="A",Pole_Calc!A$12,
IF(H29="S/A",Pole_Calc!A$13,
IF(H29="A/S",Pole_Calc!A$14,"Poner a mano")))))))</f>
        <v/>
      </c>
      <c r="BE29" s="448" t="s">
        <v>1726</v>
      </c>
      <c r="BF29" s="306"/>
      <c r="BG29" s="306"/>
      <c r="BH29" s="306"/>
      <c r="BI29" s="306"/>
    </row>
    <row r="30" spans="1:61" ht="16.2" customHeight="1">
      <c r="A30" s="573"/>
      <c r="B30" s="469" t="s">
        <v>2533</v>
      </c>
      <c r="C30" s="3">
        <f>+$C$28+$G$29</f>
        <v>460.1</v>
      </c>
      <c r="D30" s="88"/>
      <c r="E30" s="4"/>
      <c r="F30" s="4">
        <v>0</v>
      </c>
      <c r="G30" s="6"/>
      <c r="H30" s="468"/>
      <c r="I30" s="468"/>
      <c r="J30" s="3"/>
      <c r="K30" s="468"/>
      <c r="L30" s="468" t="s">
        <v>37</v>
      </c>
      <c r="M30" s="468" t="str">
        <f>IF(L30="","",
IF(AX30="PT",VLOOKUP(L30,Foundation_Calc!$V$79:$X$112,VLOOKUP(AX30,Foundation_Calc!$I$10:$J$13,2,FALSE),0),
IF(AX30="K",VLOOKUP(L30,Foundation_Calc!$V$116:$X$149,VLOOKUP(AX30,Foundation_Calc!$I$10:$J$13,2,FALSE),0),"")))</f>
        <v>C3R</v>
      </c>
      <c r="N30" s="468" t="s">
        <v>33</v>
      </c>
      <c r="O30" s="468"/>
      <c r="P30" s="468"/>
      <c r="Q30" s="4"/>
      <c r="R30" s="6"/>
      <c r="S30" s="6"/>
      <c r="T30" s="4">
        <v>35</v>
      </c>
      <c r="U30" s="4"/>
      <c r="V30" s="4"/>
      <c r="W30" s="9">
        <v>1.4</v>
      </c>
      <c r="X30" s="9"/>
      <c r="Y30" s="9"/>
      <c r="Z30" s="9"/>
      <c r="AA30" s="9"/>
      <c r="AB30" s="9"/>
      <c r="AC30" s="468" t="str">
        <f t="shared" si="1"/>
        <v>PHQ</v>
      </c>
      <c r="AD30" s="468"/>
      <c r="AE30" s="468"/>
      <c r="AF30" s="4"/>
      <c r="AG30" s="88"/>
      <c r="AH30" s="4"/>
      <c r="AI30" s="4"/>
      <c r="AJ30" s="468"/>
      <c r="AK30" s="468"/>
      <c r="AL30" s="468"/>
      <c r="AM30" s="468" t="s">
        <v>486</v>
      </c>
      <c r="AN30" s="10">
        <f>AN32-0.06</f>
        <v>5.44</v>
      </c>
      <c r="AO30" s="9"/>
      <c r="AP30" s="9"/>
      <c r="AQ30" s="9"/>
      <c r="AR30" s="9"/>
      <c r="AS30" s="9"/>
      <c r="AT30" s="9">
        <f>+ab($T$30,$T$28,$T$32,$G$29,$G$31,-1*$F$30,1200)</f>
        <v>7.3504090256607766</v>
      </c>
      <c r="AU30" s="447"/>
      <c r="AV30" s="447"/>
      <c r="AW30" s="468" t="str">
        <f>IF(C30&gt;0,VLOOKUP(C30,Foundation_Calc!$A$2:$C$13,3,1),
IF(J30&gt;0,VLOOKUP(J30,Foundation_Calc!$A$2:$C$13,3,1),""))</f>
        <v>MultiSoil</v>
      </c>
      <c r="AX30" s="468" t="str">
        <f>IF(C30&gt;0,VLOOKUP(C30,Foundation_Calc!$E$2:$G$13,3,1),
IF(J30&gt;0,VLOOKUP(J30,Foundation_Calc!$E$2:$G$13,3,1),""))</f>
        <v>PT</v>
      </c>
      <c r="AY30" s="10">
        <f>IF(L30="","",
IF(AX30="PT",VLOOKUP(L30,Foundation_Calc!$K$79:$R$112,VLOOKUP(AW30,Foundation_Calc!$I$2:$J$8,2,FALSE),0),
IF(AX30="K",VLOOKUP(L30,Foundation_Calc!$K$116:$R$149,VLOOKUP(AW30,Foundation_Calc!$I$2:$J$8,2,FALSE),0),"")))</f>
        <v>3.5</v>
      </c>
      <c r="AZ30" s="10" t="str">
        <f>IF(K30="","",
IF(AX30="PT",VLOOKUP(K30,Foundation_Calc!$K$79:$R$112,VLOOKUP(AW30,Foundation_Calc!$I$2:$J$8,2,FALSE),0),
IF(AX30="K",VLOOKUP(K30,Foundation_Calc!$K$116:$R$149,VLOOKUP(AW30,Foundation_Calc!$I$2:$J$8,2,FALSE),0),"")))</f>
        <v/>
      </c>
      <c r="BA30" s="553" t="str">
        <f t="shared" si="2"/>
        <v>ü</v>
      </c>
      <c r="BB30" s="553" t="str">
        <f t="shared" si="3"/>
        <v/>
      </c>
      <c r="BC30" s="553" t="str">
        <f t="shared" si="4"/>
        <v/>
      </c>
      <c r="BD30" s="572" t="str">
        <f>IF(AND(L30="",H30=""),"",
IF(H30="",Pole_Calc!A$9,
IF(H30="MP",Pole_Calc!A$10,
IF(H30="AnMP",Pole_Calc!A$11,
IF(H30="A",Pole_Calc!A$12,
IF(H30="S/A",Pole_Calc!A$13,
IF(H30="A/S",Pole_Calc!A$14,"Poner a mano")))))))</f>
        <v>App.7-V11H-P9.5.1.1</v>
      </c>
      <c r="BE30" s="448" t="s">
        <v>1726</v>
      </c>
      <c r="BF30" s="305"/>
      <c r="BG30" s="305"/>
      <c r="BH30" s="306"/>
      <c r="BI30" s="305"/>
    </row>
    <row r="31" spans="1:61" ht="16.2" customHeight="1">
      <c r="A31" s="573"/>
      <c r="B31" s="469"/>
      <c r="C31" s="3"/>
      <c r="D31" s="88"/>
      <c r="E31" s="4"/>
      <c r="F31" s="4"/>
      <c r="G31" s="6">
        <v>50</v>
      </c>
      <c r="H31" s="468"/>
      <c r="I31" s="468"/>
      <c r="J31" s="3"/>
      <c r="K31" s="468"/>
      <c r="L31" s="468"/>
      <c r="M31" s="468" t="str">
        <f>IF(L31="","",
IF(AX31="PT",VLOOKUP(L31,Foundation_Calc!$V$79:$X$112,VLOOKUP(AX31,Foundation_Calc!$I$10:$J$13,2,FALSE),0),
IF(AX31="K",VLOOKUP(L31,Foundation_Calc!$V$116:$X$149,VLOOKUP(AX31,Foundation_Calc!$I$10:$J$13,2,FALSE),0),"")))</f>
        <v/>
      </c>
      <c r="N31" s="468"/>
      <c r="O31" s="468"/>
      <c r="P31" s="468"/>
      <c r="Q31" s="4"/>
      <c r="R31" s="6"/>
      <c r="S31" s="6"/>
      <c r="T31" s="4"/>
      <c r="U31" s="4"/>
      <c r="V31" s="4"/>
      <c r="W31" s="9"/>
      <c r="X31" s="9"/>
      <c r="Y31" s="9"/>
      <c r="Z31" s="9"/>
      <c r="AA31" s="9"/>
      <c r="AB31" s="9"/>
      <c r="AC31" s="468" t="str">
        <f t="shared" si="1"/>
        <v/>
      </c>
      <c r="AD31" s="468"/>
      <c r="AE31" s="468"/>
      <c r="AF31" s="4"/>
      <c r="AG31" s="88"/>
      <c r="AH31" s="4"/>
      <c r="AI31" s="4"/>
      <c r="AJ31" s="468"/>
      <c r="AK31" s="468"/>
      <c r="AL31" s="468"/>
      <c r="AM31" s="468"/>
      <c r="AN31" s="10"/>
      <c r="AO31" s="9"/>
      <c r="AP31" s="9"/>
      <c r="AQ31" s="9">
        <f>+FL_2($T$32,$T$30,$G$31,1200,9.28,-1*$F$32)</f>
        <v>-0.32593390799999999</v>
      </c>
      <c r="AR31" s="9"/>
      <c r="AS31" s="9"/>
      <c r="AT31" s="9"/>
      <c r="AU31" s="447"/>
      <c r="AV31" s="447"/>
      <c r="AW31" s="468" t="str">
        <f>IF(C31&gt;0,VLOOKUP(C31,Foundation_Calc!$A$2:$C$13,3,1),
IF(J31&gt;0,VLOOKUP(J31,Foundation_Calc!$A$2:$C$13,3,1),""))</f>
        <v/>
      </c>
      <c r="AX31" s="468" t="str">
        <f>IF(C31&gt;0,VLOOKUP(C31,Foundation_Calc!$E$2:$G$13,3,1),
IF(J31&gt;0,VLOOKUP(J31,Foundation_Calc!$E$2:$G$13,3,1),""))</f>
        <v/>
      </c>
      <c r="AY31" s="10" t="str">
        <f>IF(L31="","",
IF(AX31="PT",VLOOKUP(L31,Foundation_Calc!$K$79:$R$112,VLOOKUP(AW31,Foundation_Calc!$I$2:$J$8,2,FALSE),0),
IF(AX31="K",VLOOKUP(L31,Foundation_Calc!$K$116:$R$149,VLOOKUP(AW31,Foundation_Calc!$I$2:$J$8,2,FALSE),0),"")))</f>
        <v/>
      </c>
      <c r="AZ31" s="10" t="str">
        <f>IF(K31="","",
IF(AX31="PT",VLOOKUP(K31,Foundation_Calc!$K$79:$R$112,VLOOKUP(AW31,Foundation_Calc!$I$2:$J$8,2,FALSE),0),
IF(AX31="K",VLOOKUP(K31,Foundation_Calc!$K$116:$R$149,VLOOKUP(AW31,Foundation_Calc!$I$2:$J$8,2,FALSE),0),"")))</f>
        <v/>
      </c>
      <c r="BA31" s="553" t="str">
        <f t="shared" si="2"/>
        <v/>
      </c>
      <c r="BB31" s="553" t="str">
        <f t="shared" si="3"/>
        <v/>
      </c>
      <c r="BC31" s="553" t="str">
        <f t="shared" si="4"/>
        <v/>
      </c>
      <c r="BD31" s="572" t="str">
        <f>IF(AND(L31="",H31=""),"",
IF(H31="",Pole_Calc!A$9,
IF(H31="MP",Pole_Calc!A$10,
IF(H31="AnMP",Pole_Calc!A$11,
IF(H31="A",Pole_Calc!A$12,
IF(H31="S/A",Pole_Calc!A$13,
IF(H31="A/S",Pole_Calc!A$14,"Poner a mano")))))))</f>
        <v/>
      </c>
      <c r="BE31" s="448" t="s">
        <v>1726</v>
      </c>
      <c r="BF31" s="306"/>
      <c r="BG31" s="306"/>
      <c r="BH31" s="306"/>
      <c r="BI31" s="306"/>
    </row>
    <row r="32" spans="1:61" ht="16.2" customHeight="1">
      <c r="A32" s="573"/>
      <c r="B32" s="469" t="s">
        <v>2534</v>
      </c>
      <c r="C32" s="3">
        <f>+$C$30+$G$31</f>
        <v>510.1</v>
      </c>
      <c r="D32" s="88"/>
      <c r="E32" s="4"/>
      <c r="F32" s="4">
        <v>0</v>
      </c>
      <c r="G32" s="6"/>
      <c r="H32" s="468"/>
      <c r="I32" s="468"/>
      <c r="J32" s="3"/>
      <c r="K32" s="468"/>
      <c r="L32" s="468" t="s">
        <v>37</v>
      </c>
      <c r="M32" s="468" t="str">
        <f>IF(L32="","",
IF(AX32="PT",VLOOKUP(L32,Foundation_Calc!$V$79:$X$112,VLOOKUP(AX32,Foundation_Calc!$I$10:$J$13,2,FALSE),0),
IF(AX32="K",VLOOKUP(L32,Foundation_Calc!$V$116:$X$149,VLOOKUP(AX32,Foundation_Calc!$I$10:$J$13,2,FALSE),0),"")))</f>
        <v>C3R</v>
      </c>
      <c r="N32" s="468" t="s">
        <v>32</v>
      </c>
      <c r="O32" s="468"/>
      <c r="P32" s="468"/>
      <c r="Q32" s="4"/>
      <c r="R32" s="6"/>
      <c r="S32" s="6"/>
      <c r="T32" s="4">
        <v>-30</v>
      </c>
      <c r="U32" s="4"/>
      <c r="V32" s="4"/>
      <c r="W32" s="9">
        <v>1.4</v>
      </c>
      <c r="X32" s="9"/>
      <c r="Y32" s="9"/>
      <c r="Z32" s="9"/>
      <c r="AA32" s="9"/>
      <c r="AB32" s="9"/>
      <c r="AC32" s="468" t="str">
        <f t="shared" si="1"/>
        <v>PH</v>
      </c>
      <c r="AD32" s="468"/>
      <c r="AE32" s="468"/>
      <c r="AF32" s="4"/>
      <c r="AG32" s="88"/>
      <c r="AH32" s="4"/>
      <c r="AI32" s="4"/>
      <c r="AJ32" s="468"/>
      <c r="AK32" s="468"/>
      <c r="AL32" s="468"/>
      <c r="AM32" s="468" t="s">
        <v>486</v>
      </c>
      <c r="AN32" s="10">
        <v>5.5</v>
      </c>
      <c r="AO32" s="9"/>
      <c r="AP32" s="9"/>
      <c r="AQ32" s="9"/>
      <c r="AR32" s="9"/>
      <c r="AS32" s="9"/>
      <c r="AT32" s="9">
        <f>+ab($T$32,$T$30,$T$34,$G$31,$G$33,-1*$F$32,1200)</f>
        <v>-14.446875333525323</v>
      </c>
      <c r="AU32" s="447"/>
      <c r="AV32" s="447"/>
      <c r="AW32" s="468" t="str">
        <f>IF(C32&gt;0,VLOOKUP(C32,Foundation_Calc!$A$2:$C$13,3,1),
IF(J32&gt;0,VLOOKUP(J32,Foundation_Calc!$A$2:$C$13,3,1),""))</f>
        <v>MultiSoil</v>
      </c>
      <c r="AX32" s="468" t="str">
        <f>IF(C32&gt;0,VLOOKUP(C32,Foundation_Calc!$E$2:$G$13,3,1),
IF(J32&gt;0,VLOOKUP(J32,Foundation_Calc!$E$2:$G$13,3,1),""))</f>
        <v>PT</v>
      </c>
      <c r="AY32" s="10">
        <f>IF(L32="","",
IF(AX32="PT",VLOOKUP(L32,Foundation_Calc!$K$79:$R$112,VLOOKUP(AW32,Foundation_Calc!$I$2:$J$8,2,FALSE),0),
IF(AX32="K",VLOOKUP(L32,Foundation_Calc!$K$116:$R$149,VLOOKUP(AW32,Foundation_Calc!$I$2:$J$8,2,FALSE),0),"")))</f>
        <v>3.5</v>
      </c>
      <c r="AZ32" s="10" t="str">
        <f>IF(K32="","",
IF(AX32="PT",VLOOKUP(K32,Foundation_Calc!$K$79:$R$112,VLOOKUP(AW32,Foundation_Calc!$I$2:$J$8,2,FALSE),0),
IF(AX32="K",VLOOKUP(K32,Foundation_Calc!$K$116:$R$149,VLOOKUP(AW32,Foundation_Calc!$I$2:$J$8,2,FALSE),0),"")))</f>
        <v/>
      </c>
      <c r="BA32" s="553" t="str">
        <f t="shared" si="2"/>
        <v>ü</v>
      </c>
      <c r="BB32" s="553" t="str">
        <f t="shared" si="3"/>
        <v/>
      </c>
      <c r="BC32" s="553" t="str">
        <f t="shared" si="4"/>
        <v/>
      </c>
      <c r="BD32" s="572" t="str">
        <f>IF(AND(L32="",H32=""),"",
IF(H32="",Pole_Calc!A$9,
IF(H32="MP",Pole_Calc!A$10,
IF(H32="AnMP",Pole_Calc!A$11,
IF(H32="A",Pole_Calc!A$12,
IF(H32="S/A",Pole_Calc!A$13,
IF(H32="A/S",Pole_Calc!A$14,"Poner a mano")))))))</f>
        <v>App.7-V11H-P9.5.1.1</v>
      </c>
      <c r="BE32" s="448" t="s">
        <v>1726</v>
      </c>
      <c r="BF32" s="305"/>
      <c r="BG32" s="305"/>
      <c r="BH32" s="306"/>
      <c r="BI32" s="305"/>
    </row>
    <row r="33" spans="1:61" ht="16.2" customHeight="1">
      <c r="A33" s="573"/>
      <c r="B33" s="469"/>
      <c r="C33" s="3"/>
      <c r="D33" s="88"/>
      <c r="E33" s="4"/>
      <c r="F33" s="4"/>
      <c r="G33" s="6">
        <v>54</v>
      </c>
      <c r="H33" s="468"/>
      <c r="I33" s="468"/>
      <c r="J33" s="3">
        <f>C34-7.5</f>
        <v>556.6</v>
      </c>
      <c r="K33" s="468" t="s">
        <v>1095</v>
      </c>
      <c r="L33" s="468"/>
      <c r="M33" s="468" t="str">
        <f>IF(L33="","",
IF(AX33="PT",VLOOKUP(L33,Foundation_Calc!$V$79:$X$112,VLOOKUP(AX33,Foundation_Calc!$I$10:$J$13,2,FALSE),0),
IF(AX33="K",VLOOKUP(L33,Foundation_Calc!$V$116:$X$149,VLOOKUP(AX33,Foundation_Calc!$I$10:$J$13,2,FALSE),0),"")))</f>
        <v/>
      </c>
      <c r="N33" s="468"/>
      <c r="O33" s="468"/>
      <c r="P33" s="468"/>
      <c r="Q33" s="4"/>
      <c r="R33" s="6"/>
      <c r="S33" s="6"/>
      <c r="T33" s="4"/>
      <c r="U33" s="4"/>
      <c r="V33" s="4"/>
      <c r="W33" s="9"/>
      <c r="X33" s="9"/>
      <c r="Y33" s="9"/>
      <c r="Z33" s="9"/>
      <c r="AA33" s="9"/>
      <c r="AB33" s="9"/>
      <c r="AC33" s="468" t="str">
        <f t="shared" si="1"/>
        <v/>
      </c>
      <c r="AD33" s="468"/>
      <c r="AE33" s="468"/>
      <c r="AF33" s="4"/>
      <c r="AG33" s="88"/>
      <c r="AH33" s="4"/>
      <c r="AI33" s="4"/>
      <c r="AJ33" s="468"/>
      <c r="AK33" s="468"/>
      <c r="AL33" s="468"/>
      <c r="AM33" s="468"/>
      <c r="AN33" s="10"/>
      <c r="AO33" s="9"/>
      <c r="AP33" s="9"/>
      <c r="AQ33" s="9">
        <f>+FL_2($T$34,$T$32,$G$33,1200,9.28,-1*$F$34)</f>
        <v>-0.44291753782481358</v>
      </c>
      <c r="AR33" s="9"/>
      <c r="AS33" s="9"/>
      <c r="AT33" s="9"/>
      <c r="AU33" s="447"/>
      <c r="AV33" s="447"/>
      <c r="AW33" s="468" t="str">
        <f>IF(C33&gt;0,VLOOKUP(C33,Foundation_Calc!$A$2:$C$13,3,1),
IF(J33&gt;0,VLOOKUP(J33,Foundation_Calc!$A$2:$C$13,3,1),""))</f>
        <v>MultiSoil</v>
      </c>
      <c r="AX33" s="468" t="str">
        <f>IF(C33&gt;0,VLOOKUP(C33,Foundation_Calc!$E$2:$G$13,3,1),
IF(J33&gt;0,VLOOKUP(J33,Foundation_Calc!$E$2:$G$13,3,1),""))</f>
        <v>PT</v>
      </c>
      <c r="AY33" s="10" t="str">
        <f>IF(L33="","",
IF(AX33="PT",VLOOKUP(L33,Foundation_Calc!$K$79:$R$112,VLOOKUP(AW33,Foundation_Calc!$I$2:$J$8,2,FALSE),0),
IF(AX33="K",VLOOKUP(L33,Foundation_Calc!$K$116:$R$149,VLOOKUP(AW33,Foundation_Calc!$I$2:$J$8,2,FALSE),0),"")))</f>
        <v/>
      </c>
      <c r="AZ33" s="10">
        <f>IF(K33="","",
IF(AX33="PT",VLOOKUP(K33,Foundation_Calc!$K$79:$R$112,VLOOKUP(AW33,Foundation_Calc!$I$2:$J$8,2,FALSE),0),
IF(AX33="K",VLOOKUP(K33,Foundation_Calc!$K$116:$R$149,VLOOKUP(AW33,Foundation_Calc!$I$2:$J$8,2,FALSE),0),"")))</f>
        <v>3.9</v>
      </c>
      <c r="BA33" s="553" t="str">
        <f t="shared" si="2"/>
        <v/>
      </c>
      <c r="BB33" s="553" t="str">
        <f t="shared" si="3"/>
        <v>ü</v>
      </c>
      <c r="BC33" s="553" t="str">
        <f t="shared" si="4"/>
        <v/>
      </c>
      <c r="BD33" s="572" t="str">
        <f>IF(AND(L33="",H33=""),"",
IF(H33="",Pole_Calc!A$9,
IF(H33="MP",Pole_Calc!A$10,
IF(H33="AnMP",Pole_Calc!A$11,
IF(H33="A",Pole_Calc!A$12,
IF(H33="S/A",Pole_Calc!A$13,
IF(H33="A/S",Pole_Calc!A$14,"Poner a mano")))))))</f>
        <v/>
      </c>
      <c r="BE33" s="448" t="s">
        <v>1726</v>
      </c>
      <c r="BF33" s="306"/>
      <c r="BG33" s="306"/>
      <c r="BH33" s="306"/>
      <c r="BI33" s="306"/>
    </row>
    <row r="34" spans="1:61" ht="16.2" customHeight="1">
      <c r="A34" s="573"/>
      <c r="B34" s="469" t="s">
        <v>2535</v>
      </c>
      <c r="C34" s="3">
        <f>+$C$32+$G$33</f>
        <v>564.1</v>
      </c>
      <c r="D34" s="88"/>
      <c r="E34" s="4"/>
      <c r="F34" s="4">
        <v>2623.08</v>
      </c>
      <c r="G34" s="6"/>
      <c r="H34" s="468" t="s">
        <v>26</v>
      </c>
      <c r="I34" s="468" t="s">
        <v>182</v>
      </c>
      <c r="J34" s="3"/>
      <c r="K34" s="468"/>
      <c r="L34" s="468" t="s">
        <v>453</v>
      </c>
      <c r="M34" s="468" t="str">
        <f>IF(L34="","",
IF(AX34="PT",VLOOKUP(L34,Foundation_Calc!$V$79:$X$112,VLOOKUP(AX34,Foundation_Calc!$I$10:$J$13,2,FALSE),0),
IF(AX34="K",VLOOKUP(L34,Foundation_Calc!$V$116:$X$149,VLOOKUP(AX34,Foundation_Calc!$I$10:$J$13,2,FALSE),0),"")))</f>
        <v>C5R</v>
      </c>
      <c r="N34" s="468" t="s">
        <v>32</v>
      </c>
      <c r="O34" s="468"/>
      <c r="P34" s="468"/>
      <c r="Q34" s="4"/>
      <c r="R34" s="6"/>
      <c r="S34" s="6"/>
      <c r="T34" s="4">
        <v>-30</v>
      </c>
      <c r="U34" s="4"/>
      <c r="V34" s="4"/>
      <c r="W34" s="9">
        <v>1.4</v>
      </c>
      <c r="X34" s="9"/>
      <c r="Y34" s="9"/>
      <c r="Z34" s="9"/>
      <c r="AA34" s="9"/>
      <c r="AB34" s="9"/>
      <c r="AC34" s="468" t="str">
        <f t="shared" si="1"/>
        <v>PH</v>
      </c>
      <c r="AD34" s="468"/>
      <c r="AE34" s="468"/>
      <c r="AF34" s="4"/>
      <c r="AG34" s="88"/>
      <c r="AH34" s="4"/>
      <c r="AI34" s="4"/>
      <c r="AJ34" s="468"/>
      <c r="AK34" s="468"/>
      <c r="AL34" s="468"/>
      <c r="AM34" s="468" t="s">
        <v>486</v>
      </c>
      <c r="AN34" s="10">
        <v>5.5</v>
      </c>
      <c r="AO34" s="9"/>
      <c r="AP34" s="9"/>
      <c r="AQ34" s="9"/>
      <c r="AR34" s="9"/>
      <c r="AS34" s="9"/>
      <c r="AT34" s="9">
        <f>+ab($T$34,$T$32,$U$36,$G$33,$G$35,-1*$F$34,1200)</f>
        <v>-8.7246605457144817</v>
      </c>
      <c r="AU34" s="447"/>
      <c r="AV34" s="447"/>
      <c r="AW34" s="468" t="str">
        <f>IF(C34&gt;0,VLOOKUP(C34,Foundation_Calc!$A$2:$C$13,3,1),
IF(J34&gt;0,VLOOKUP(J34,Foundation_Calc!$A$2:$C$13,3,1),""))</f>
        <v>MultiSoil</v>
      </c>
      <c r="AX34" s="468" t="str">
        <f>IF(C34&gt;0,VLOOKUP(C34,Foundation_Calc!$E$2:$G$13,3,1),
IF(J34&gt;0,VLOOKUP(J34,Foundation_Calc!$E$2:$G$13,3,1),""))</f>
        <v>PT</v>
      </c>
      <c r="AY34" s="10">
        <f>IF(L34="","",
IF(AX34="PT",VLOOKUP(L34,Foundation_Calc!$K$79:$R$112,VLOOKUP(AW34,Foundation_Calc!$I$2:$J$8,2,FALSE),0),
IF(AX34="K",VLOOKUP(L34,Foundation_Calc!$K$116:$R$149,VLOOKUP(AW34,Foundation_Calc!$I$2:$J$8,2,FALSE),0),"")))</f>
        <v>3.5</v>
      </c>
      <c r="AZ34" s="10" t="str">
        <f>IF(K34="","",
IF(AX34="PT",VLOOKUP(K34,Foundation_Calc!$K$79:$R$112,VLOOKUP(AW34,Foundation_Calc!$I$2:$J$8,2,FALSE),0),
IF(AX34="K",VLOOKUP(K34,Foundation_Calc!$K$116:$R$149,VLOOKUP(AW34,Foundation_Calc!$I$2:$J$8,2,FALSE),0),"")))</f>
        <v/>
      </c>
      <c r="BA34" s="553" t="str">
        <f t="shared" si="2"/>
        <v>ü</v>
      </c>
      <c r="BB34" s="553" t="str">
        <f t="shared" si="3"/>
        <v/>
      </c>
      <c r="BC34" s="553" t="str">
        <f t="shared" si="4"/>
        <v/>
      </c>
      <c r="BD34" s="572" t="str">
        <f>IF(AND(L34="",H34=""),"",
IF(H34="",Pole_Calc!A$9,
IF(H34="MP",Pole_Calc!A$10,
IF(H34="AnMP",Pole_Calc!A$11,
IF(H34="A",Pole_Calc!A$12,
IF(H34="S/A",Pole_Calc!A$13,
IF(H34="A/S",Pole_Calc!A$14,"Poner a mano")))))))</f>
        <v>App.7-V11H-P9.5.1.6</v>
      </c>
      <c r="BE34" s="448" t="s">
        <v>1726</v>
      </c>
      <c r="BF34" s="305"/>
      <c r="BG34" s="305"/>
      <c r="BH34" s="306"/>
      <c r="BI34" s="305"/>
    </row>
    <row r="35" spans="1:61" ht="16.2" customHeight="1">
      <c r="A35" s="573"/>
      <c r="B35" s="469"/>
      <c r="C35" s="3"/>
      <c r="D35" s="88"/>
      <c r="E35" s="4"/>
      <c r="F35" s="4"/>
      <c r="G35" s="6">
        <v>50</v>
      </c>
      <c r="H35" s="468"/>
      <c r="I35" s="468"/>
      <c r="J35" s="3"/>
      <c r="K35" s="468"/>
      <c r="L35" s="468"/>
      <c r="M35" s="468" t="str">
        <f>IF(L35="","",
IF(AX35="PT",VLOOKUP(L35,Foundation_Calc!$V$79:$X$112,VLOOKUP(AX35,Foundation_Calc!$I$10:$J$13,2,FALSE),0),
IF(AX35="K",VLOOKUP(L35,Foundation_Calc!$V$116:$X$149,VLOOKUP(AX35,Foundation_Calc!$I$10:$J$13,2,FALSE),0),"")))</f>
        <v/>
      </c>
      <c r="N35" s="468"/>
      <c r="O35" s="468"/>
      <c r="P35" s="468"/>
      <c r="Q35" s="4"/>
      <c r="R35" s="6"/>
      <c r="S35" s="6"/>
      <c r="T35" s="4"/>
      <c r="U35" s="4"/>
      <c r="V35" s="4"/>
      <c r="W35" s="9"/>
      <c r="X35" s="9"/>
      <c r="Y35" s="9"/>
      <c r="Z35" s="9"/>
      <c r="AA35" s="9"/>
      <c r="AB35" s="9"/>
      <c r="AC35" s="468" t="str">
        <f t="shared" si="1"/>
        <v/>
      </c>
      <c r="AD35" s="468"/>
      <c r="AE35" s="468"/>
      <c r="AF35" s="4"/>
      <c r="AG35" s="88"/>
      <c r="AH35" s="4"/>
      <c r="AI35" s="4"/>
      <c r="AJ35" s="468"/>
      <c r="AK35" s="468"/>
      <c r="AL35" s="468"/>
      <c r="AM35" s="468"/>
      <c r="AN35" s="10"/>
      <c r="AO35" s="9"/>
      <c r="AP35" s="9"/>
      <c r="AQ35" s="9">
        <f>+FL_2($U$36,$T$34,$G$35,1200,9.28,-1*$F$36)</f>
        <v>-0.39204375931618951</v>
      </c>
      <c r="AR35" s="9"/>
      <c r="AS35" s="9"/>
      <c r="AT35" s="9"/>
      <c r="AU35" s="447"/>
      <c r="AV35" s="447"/>
      <c r="AW35" s="468" t="str">
        <f>IF(C35&gt;0,VLOOKUP(C35,Foundation_Calc!$A$2:$C$13,3,1),
IF(J35&gt;0,VLOOKUP(J35,Foundation_Calc!$A$2:$C$13,3,1),""))</f>
        <v/>
      </c>
      <c r="AX35" s="468" t="str">
        <f>IF(C35&gt;0,VLOOKUP(C35,Foundation_Calc!$E$2:$G$13,3,1),
IF(J35&gt;0,VLOOKUP(J35,Foundation_Calc!$E$2:$G$13,3,1),""))</f>
        <v/>
      </c>
      <c r="AY35" s="10" t="str">
        <f>IF(L35="","",
IF(AX35="PT",VLOOKUP(L35,Foundation_Calc!$K$79:$R$112,VLOOKUP(AW35,Foundation_Calc!$I$2:$J$8,2,FALSE),0),
IF(AX35="K",VLOOKUP(L35,Foundation_Calc!$K$116:$R$149,VLOOKUP(AW35,Foundation_Calc!$I$2:$J$8,2,FALSE),0),"")))</f>
        <v/>
      </c>
      <c r="AZ35" s="10" t="str">
        <f>IF(K35="","",
IF(AX35="PT",VLOOKUP(K35,Foundation_Calc!$K$79:$R$112,VLOOKUP(AW35,Foundation_Calc!$I$2:$J$8,2,FALSE),0),
IF(AX35="K",VLOOKUP(K35,Foundation_Calc!$K$116:$R$149,VLOOKUP(AW35,Foundation_Calc!$I$2:$J$8,2,FALSE),0),"")))</f>
        <v/>
      </c>
      <c r="BA35" s="553" t="str">
        <f t="shared" si="2"/>
        <v/>
      </c>
      <c r="BB35" s="553" t="str">
        <f t="shared" si="3"/>
        <v/>
      </c>
      <c r="BC35" s="553" t="str">
        <f t="shared" si="4"/>
        <v/>
      </c>
      <c r="BD35" s="572" t="str">
        <f>IF(AND(L35="",H35=""),"",
IF(H35="",Pole_Calc!A$9,
IF(H35="MP",Pole_Calc!A$10,
IF(H35="AnMP",Pole_Calc!A$11,
IF(H35="A",Pole_Calc!A$12,
IF(H35="S/A",Pole_Calc!A$13,
IF(H35="A/S",Pole_Calc!A$14,"Poner a mano")))))))</f>
        <v/>
      </c>
      <c r="BE35" s="448" t="s">
        <v>1726</v>
      </c>
      <c r="BF35" s="306"/>
      <c r="BG35" s="306"/>
      <c r="BH35" s="306"/>
      <c r="BI35" s="306"/>
    </row>
    <row r="36" spans="1:61" ht="16.2" customHeight="1">
      <c r="A36" s="573"/>
      <c r="B36" s="469" t="s">
        <v>2536</v>
      </c>
      <c r="C36" s="3">
        <f>+$C$34+$G$35</f>
        <v>614.1</v>
      </c>
      <c r="D36" s="88"/>
      <c r="E36" s="4"/>
      <c r="F36" s="4">
        <v>3000</v>
      </c>
      <c r="G36" s="6"/>
      <c r="H36" s="468" t="s">
        <v>179</v>
      </c>
      <c r="I36" s="468"/>
      <c r="J36" s="3"/>
      <c r="K36" s="468"/>
      <c r="L36" s="468" t="s">
        <v>448</v>
      </c>
      <c r="M36" s="468" t="str">
        <f>IF(L36="","",
IF(AX36="PT",VLOOKUP(L36,Foundation_Calc!$V$79:$X$112,VLOOKUP(AX36,Foundation_Calc!$I$10:$J$13,2,FALSE),0),
IF(AX36="K",VLOOKUP(L36,Foundation_Calc!$V$116:$X$149,VLOOKUP(AX36,Foundation_Calc!$I$10:$J$13,2,FALSE),0),"")))</f>
        <v>2C3R</v>
      </c>
      <c r="N36" s="468" t="s">
        <v>28</v>
      </c>
      <c r="O36" s="468" t="s">
        <v>32</v>
      </c>
      <c r="P36" s="468"/>
      <c r="Q36" s="4"/>
      <c r="R36" s="6"/>
      <c r="S36" s="6"/>
      <c r="T36" s="4">
        <v>0</v>
      </c>
      <c r="U36" s="4">
        <v>-20</v>
      </c>
      <c r="V36" s="4"/>
      <c r="W36" s="9">
        <v>1.4</v>
      </c>
      <c r="X36" s="9">
        <v>2.2999999999999998</v>
      </c>
      <c r="Y36" s="9"/>
      <c r="Z36" s="9">
        <v>0.5</v>
      </c>
      <c r="AA36" s="9"/>
      <c r="AB36" s="9"/>
      <c r="AC36" s="468"/>
      <c r="AD36" s="468"/>
      <c r="AE36" s="468"/>
      <c r="AF36" s="4"/>
      <c r="AG36" s="88"/>
      <c r="AH36" s="4"/>
      <c r="AI36" s="4"/>
      <c r="AJ36" s="468"/>
      <c r="AK36" s="468"/>
      <c r="AL36" s="468"/>
      <c r="AM36" s="468" t="s">
        <v>486</v>
      </c>
      <c r="AN36" s="10">
        <v>5.5</v>
      </c>
      <c r="AO36" s="9"/>
      <c r="AP36" s="9"/>
      <c r="AQ36" s="9"/>
      <c r="AR36" s="9"/>
      <c r="AS36" s="9"/>
      <c r="AT36" s="9">
        <f>+ab($U$36,$T$34,$U$38,$G$35,$G$37,-1*$F$36,1200)</f>
        <v>-11.822590957682909</v>
      </c>
      <c r="AU36" s="447"/>
      <c r="AV36" s="447"/>
      <c r="AW36" s="468" t="str">
        <f>IF(C36&gt;0,VLOOKUP(C36,Foundation_Calc!$A$2:$C$13,3,1),
IF(J36&gt;0,VLOOKUP(J36,Foundation_Calc!$A$2:$C$13,3,1),""))</f>
        <v>MultiSoil</v>
      </c>
      <c r="AX36" s="468" t="str">
        <f>IF(C36&gt;0,VLOOKUP(C36,Foundation_Calc!$E$2:$G$13,3,1),
IF(J36&gt;0,VLOOKUP(J36,Foundation_Calc!$E$2:$G$13,3,1),""))</f>
        <v>PT</v>
      </c>
      <c r="AY36" s="10">
        <f>IF(L36="","",
IF(AX36="PT",VLOOKUP(L36,Foundation_Calc!$K$79:$R$112,VLOOKUP(AW36,Foundation_Calc!$I$2:$J$8,2,FALSE),0),
IF(AX36="K",VLOOKUP(L36,Foundation_Calc!$K$116:$R$149,VLOOKUP(AW36,Foundation_Calc!$I$2:$J$8,2,FALSE),0),"")))</f>
        <v>3.7</v>
      </c>
      <c r="AZ36" s="10" t="str">
        <f>IF(K36="","",
IF(AX36="PT",VLOOKUP(K36,Foundation_Calc!$K$79:$R$112,VLOOKUP(AW36,Foundation_Calc!$I$2:$J$8,2,FALSE),0),
IF(AX36="K",VLOOKUP(K36,Foundation_Calc!$K$116:$R$149,VLOOKUP(AW36,Foundation_Calc!$I$2:$J$8,2,FALSE),0),"")))</f>
        <v/>
      </c>
      <c r="BA36" s="553" t="str">
        <f t="shared" si="2"/>
        <v>ü</v>
      </c>
      <c r="BB36" s="553" t="str">
        <f t="shared" si="3"/>
        <v/>
      </c>
      <c r="BC36" s="553" t="str">
        <f t="shared" si="4"/>
        <v/>
      </c>
      <c r="BD36" s="572" t="str">
        <f>IF(AND(L36="",H36=""),"",
IF(H36="",Pole_Calc!A$9,
IF(H36="MP",Pole_Calc!A$10,
IF(H36="AnMP",Pole_Calc!A$11,
IF(H36="A",Pole_Calc!A$12,
IF(H36="S/A",Pole_Calc!A$13,
IF(H36="A/S",Pole_Calc!A$14,"Poner a mano")))))))</f>
        <v>App.7-V11H-P9.5.1.5</v>
      </c>
      <c r="BE36" s="448" t="s">
        <v>1726</v>
      </c>
      <c r="BF36" s="305"/>
      <c r="BG36" s="305"/>
      <c r="BH36" s="306"/>
      <c r="BI36" s="305"/>
    </row>
    <row r="37" spans="1:61" ht="16.2" customHeight="1">
      <c r="A37" s="573"/>
      <c r="B37" s="469"/>
      <c r="C37" s="3"/>
      <c r="D37" s="88"/>
      <c r="E37" s="4"/>
      <c r="F37" s="4"/>
      <c r="G37" s="6">
        <v>58</v>
      </c>
      <c r="H37" s="468"/>
      <c r="I37" s="468"/>
      <c r="J37" s="3"/>
      <c r="K37" s="468"/>
      <c r="L37" s="468"/>
      <c r="M37" s="468" t="str">
        <f>IF(L37="","",
IF(AX37="PT",VLOOKUP(L37,Foundation_Calc!$V$79:$X$112,VLOOKUP(AX37,Foundation_Calc!$I$10:$J$13,2,FALSE),0),
IF(AX37="K",VLOOKUP(L37,Foundation_Calc!$V$116:$X$149,VLOOKUP(AX37,Foundation_Calc!$I$10:$J$13,2,FALSE),0),"")))</f>
        <v/>
      </c>
      <c r="N37" s="468"/>
      <c r="O37" s="468"/>
      <c r="P37" s="468"/>
      <c r="Q37" s="4"/>
      <c r="R37" s="6"/>
      <c r="S37" s="6"/>
      <c r="T37" s="4"/>
      <c r="U37" s="4"/>
      <c r="V37" s="4"/>
      <c r="W37" s="9"/>
      <c r="X37" s="9"/>
      <c r="Y37" s="9"/>
      <c r="Z37" s="9"/>
      <c r="AA37" s="9"/>
      <c r="AB37" s="9"/>
      <c r="AC37" s="468" t="str">
        <f t="shared" si="1"/>
        <v/>
      </c>
      <c r="AD37" s="468"/>
      <c r="AE37" s="468"/>
      <c r="AF37" s="4"/>
      <c r="AG37" s="88"/>
      <c r="AH37" s="4"/>
      <c r="AI37" s="4"/>
      <c r="AJ37" s="468"/>
      <c r="AK37" s="468"/>
      <c r="AL37" s="468"/>
      <c r="AM37" s="468"/>
      <c r="AN37" s="10"/>
      <c r="AO37" s="9"/>
      <c r="AP37" s="9"/>
      <c r="AQ37" s="9">
        <f>+FL_1($U$38,$U$36,$G$37,1200,9.28,-1*$F$38)</f>
        <v>0.26535660793526239</v>
      </c>
      <c r="AR37" s="9"/>
      <c r="AS37" s="9"/>
      <c r="AT37" s="9"/>
      <c r="AU37" s="447"/>
      <c r="AV37" s="447"/>
      <c r="AW37" s="468" t="str">
        <f>IF(C37&gt;0,VLOOKUP(C37,Foundation_Calc!$A$2:$C$13,3,1),
IF(J37&gt;0,VLOOKUP(J37,Foundation_Calc!$A$2:$C$13,3,1),""))</f>
        <v/>
      </c>
      <c r="AX37" s="468" t="str">
        <f>IF(C37&gt;0,VLOOKUP(C37,Foundation_Calc!$E$2:$G$13,3,1),
IF(J37&gt;0,VLOOKUP(J37,Foundation_Calc!$E$2:$G$13,3,1),""))</f>
        <v/>
      </c>
      <c r="AY37" s="10" t="str">
        <f>IF(L37="","",
IF(AX37="PT",VLOOKUP(L37,Foundation_Calc!$K$79:$R$112,VLOOKUP(AW37,Foundation_Calc!$I$2:$J$8,2,FALSE),0),
IF(AX37="K",VLOOKUP(L37,Foundation_Calc!$K$116:$R$149,VLOOKUP(AW37,Foundation_Calc!$I$2:$J$8,2,FALSE),0),"")))</f>
        <v/>
      </c>
      <c r="AZ37" s="10" t="str">
        <f>IF(K37="","",
IF(AX37="PT",VLOOKUP(K37,Foundation_Calc!$K$79:$R$112,VLOOKUP(AW37,Foundation_Calc!$I$2:$J$8,2,FALSE),0),
IF(AX37="K",VLOOKUP(K37,Foundation_Calc!$K$116:$R$149,VLOOKUP(AW37,Foundation_Calc!$I$2:$J$8,2,FALSE),0),"")))</f>
        <v/>
      </c>
      <c r="BA37" s="553" t="str">
        <f t="shared" si="2"/>
        <v/>
      </c>
      <c r="BB37" s="553" t="str">
        <f t="shared" si="3"/>
        <v/>
      </c>
      <c r="BC37" s="553" t="str">
        <f t="shared" si="4"/>
        <v/>
      </c>
      <c r="BD37" s="572" t="str">
        <f>IF(AND(L37="",H37=""),"",
IF(H37="",Pole_Calc!A$9,
IF(H37="MP",Pole_Calc!A$10,
IF(H37="AnMP",Pole_Calc!A$11,
IF(H37="A",Pole_Calc!A$12,
IF(H37="S/A",Pole_Calc!A$13,
IF(H37="A/S",Pole_Calc!A$14,"Poner a mano")))))))</f>
        <v/>
      </c>
      <c r="BE37" s="448" t="s">
        <v>1726</v>
      </c>
      <c r="BF37" s="306"/>
      <c r="BG37" s="306"/>
      <c r="BH37" s="306"/>
      <c r="BI37" s="306"/>
    </row>
    <row r="38" spans="1:61" ht="16.2" customHeight="1">
      <c r="A38" s="573"/>
      <c r="B38" s="469" t="s">
        <v>2537</v>
      </c>
      <c r="C38" s="3">
        <f>+$C$36+$G$37</f>
        <v>672.1</v>
      </c>
      <c r="D38" s="88"/>
      <c r="E38" s="4"/>
      <c r="F38" s="4">
        <v>3000</v>
      </c>
      <c r="G38" s="6"/>
      <c r="H38" s="468" t="s">
        <v>179</v>
      </c>
      <c r="I38" s="468"/>
      <c r="J38" s="3"/>
      <c r="K38" s="468"/>
      <c r="L38" s="468" t="s">
        <v>38</v>
      </c>
      <c r="M38" s="468" t="str">
        <f>IF(L38="","",
IF(AX38="PT",VLOOKUP(L38,Foundation_Calc!$V$79:$X$112,VLOOKUP(AX38,Foundation_Calc!$I$10:$J$13,2,FALSE),0),
IF(AX38="K",VLOOKUP(L38,Foundation_Calc!$V$116:$X$149,VLOOKUP(AX38,Foundation_Calc!$I$10:$J$13,2,FALSE),0),"")))</f>
        <v>C4R</v>
      </c>
      <c r="N38" s="468" t="s">
        <v>32</v>
      </c>
      <c r="O38" s="468" t="s">
        <v>28</v>
      </c>
      <c r="P38" s="468"/>
      <c r="Q38" s="4"/>
      <c r="R38" s="6"/>
      <c r="S38" s="6"/>
      <c r="T38" s="4">
        <v>0</v>
      </c>
      <c r="U38" s="4">
        <v>-20</v>
      </c>
      <c r="V38" s="4"/>
      <c r="W38" s="9">
        <v>1.4</v>
      </c>
      <c r="X38" s="9">
        <v>2.2999999999999998</v>
      </c>
      <c r="Y38" s="9"/>
      <c r="Z38" s="9"/>
      <c r="AA38" s="9">
        <v>0.5</v>
      </c>
      <c r="AB38" s="9"/>
      <c r="AC38" s="468" t="str">
        <f t="shared" si="1"/>
        <v>PH</v>
      </c>
      <c r="AD38" s="468"/>
      <c r="AE38" s="468"/>
      <c r="AF38" s="4"/>
      <c r="AG38" s="88"/>
      <c r="AH38" s="4"/>
      <c r="AI38" s="4"/>
      <c r="AJ38" s="468"/>
      <c r="AK38" s="468"/>
      <c r="AL38" s="468"/>
      <c r="AM38" s="468" t="s">
        <v>486</v>
      </c>
      <c r="AN38" s="10">
        <v>5.5</v>
      </c>
      <c r="AO38" s="9"/>
      <c r="AP38" s="9"/>
      <c r="AQ38" s="9"/>
      <c r="AR38" s="9"/>
      <c r="AS38" s="9"/>
      <c r="AT38" s="9">
        <f>+ab($T$38,$T$36,$T$40,$G$37,$G$39,-1*$F$38,1200)</f>
        <v>-12.247472644781668</v>
      </c>
      <c r="AU38" s="447"/>
      <c r="AV38" s="447"/>
      <c r="AW38" s="468" t="str">
        <f>IF(C38&gt;0,VLOOKUP(C38,Foundation_Calc!$A$2:$C$13,3,1),
IF(J38&gt;0,VLOOKUP(J38,Foundation_Calc!$A$2:$C$13,3,1),""))</f>
        <v>MultiSoil</v>
      </c>
      <c r="AX38" s="468" t="str">
        <f>IF(C38&gt;0,VLOOKUP(C38,Foundation_Calc!$E$2:$G$13,3,1),
IF(J38&gt;0,VLOOKUP(J38,Foundation_Calc!$E$2:$G$13,3,1),""))</f>
        <v>PT</v>
      </c>
      <c r="AY38" s="10">
        <f>IF(L38="","",
IF(AX38="PT",VLOOKUP(L38,Foundation_Calc!$K$79:$R$112,VLOOKUP(AW38,Foundation_Calc!$I$2:$J$8,2,FALSE),0),
IF(AX38="K",VLOOKUP(L38,Foundation_Calc!$K$116:$R$149,VLOOKUP(AW38,Foundation_Calc!$I$2:$J$8,2,FALSE),0),"")))</f>
        <v>3.5</v>
      </c>
      <c r="AZ38" s="10" t="str">
        <f>IF(K38="","",
IF(AX38="PT",VLOOKUP(K38,Foundation_Calc!$K$79:$R$112,VLOOKUP(AW38,Foundation_Calc!$I$2:$J$8,2,FALSE),0),
IF(AX38="K",VLOOKUP(K38,Foundation_Calc!$K$116:$R$149,VLOOKUP(AW38,Foundation_Calc!$I$2:$J$8,2,FALSE),0),"")))</f>
        <v/>
      </c>
      <c r="BA38" s="553" t="str">
        <f t="shared" si="2"/>
        <v>ü</v>
      </c>
      <c r="BB38" s="553" t="str">
        <f t="shared" si="3"/>
        <v/>
      </c>
      <c r="BC38" s="553" t="str">
        <f t="shared" si="4"/>
        <v/>
      </c>
      <c r="BD38" s="572" t="str">
        <f>IF(AND(L38="",H38=""),"",
IF(H38="",Pole_Calc!A$9,
IF(H38="MP",Pole_Calc!A$10,
IF(H38="AnMP",Pole_Calc!A$11,
IF(H38="A",Pole_Calc!A$12,
IF(H38="S/A",Pole_Calc!A$13,
IF(H38="A/S",Pole_Calc!A$14,"Poner a mano")))))))</f>
        <v>App.7-V11H-P9.5.1.5</v>
      </c>
      <c r="BE38" s="448" t="s">
        <v>1726</v>
      </c>
      <c r="BF38" s="305"/>
      <c r="BG38" s="305"/>
      <c r="BH38" s="306"/>
      <c r="BI38" s="305"/>
    </row>
    <row r="39" spans="1:61" ht="16.2" customHeight="1">
      <c r="A39" s="573"/>
      <c r="B39" s="469"/>
      <c r="C39" s="3"/>
      <c r="D39" s="88"/>
      <c r="E39" s="4"/>
      <c r="F39" s="4"/>
      <c r="G39" s="6">
        <v>56</v>
      </c>
      <c r="H39" s="468"/>
      <c r="I39" s="4">
        <f>SUM(G19:G39)</f>
        <v>568.6</v>
      </c>
      <c r="J39" s="3"/>
      <c r="K39" s="468"/>
      <c r="L39" s="468"/>
      <c r="M39" s="468" t="str">
        <f>IF(L39="","",
IF(AX39="PT",VLOOKUP(L39,Foundation_Calc!$V$79:$X$112,VLOOKUP(AX39,Foundation_Calc!$I$10:$J$13,2,FALSE),0),
IF(AX39="K",VLOOKUP(L39,Foundation_Calc!$V$116:$X$149,VLOOKUP(AX39,Foundation_Calc!$I$10:$J$13,2,FALSE),0),"")))</f>
        <v/>
      </c>
      <c r="N39" s="468"/>
      <c r="O39" s="468"/>
      <c r="P39" s="468"/>
      <c r="Q39" s="4"/>
      <c r="R39" s="6"/>
      <c r="S39" s="6"/>
      <c r="T39" s="4"/>
      <c r="U39" s="4"/>
      <c r="V39" s="4"/>
      <c r="W39" s="9"/>
      <c r="X39" s="9"/>
      <c r="Y39" s="9"/>
      <c r="Z39" s="9"/>
      <c r="AA39" s="9"/>
      <c r="AB39" s="9"/>
      <c r="AC39" s="468" t="str">
        <f t="shared" si="1"/>
        <v/>
      </c>
      <c r="AD39" s="468"/>
      <c r="AE39" s="468"/>
      <c r="AF39" s="4"/>
      <c r="AG39" s="88"/>
      <c r="AH39" s="4"/>
      <c r="AI39" s="4"/>
      <c r="AJ39" s="468"/>
      <c r="AK39" s="468"/>
      <c r="AL39" s="468"/>
      <c r="AM39" s="468"/>
      <c r="AN39" s="10"/>
      <c r="AO39" s="9"/>
      <c r="AP39" s="9"/>
      <c r="AQ39" s="9">
        <f>+FL_1($T$40,$T$38,$G$39,1200,9.28,-1*$F$40)</f>
        <v>0.32674594419857345</v>
      </c>
      <c r="AR39" s="9"/>
      <c r="AS39" s="9"/>
      <c r="AT39" s="9"/>
      <c r="AU39" s="447"/>
      <c r="AV39" s="447"/>
      <c r="AW39" s="468" t="str">
        <f>IF(C39&gt;0,VLOOKUP(C39,Foundation_Calc!$A$2:$C$13,3,1),
IF(J39&gt;0,VLOOKUP(J39,Foundation_Calc!$A$2:$C$13,3,1),""))</f>
        <v/>
      </c>
      <c r="AX39" s="468" t="str">
        <f>IF(C39&gt;0,VLOOKUP(C39,Foundation_Calc!$E$2:$G$13,3,1),
IF(J39&gt;0,VLOOKUP(J39,Foundation_Calc!$E$2:$G$13,3,1),""))</f>
        <v/>
      </c>
      <c r="AY39" s="10" t="str">
        <f>IF(L39="","",
IF(AX39="PT",VLOOKUP(L39,Foundation_Calc!$K$79:$R$112,VLOOKUP(AW39,Foundation_Calc!$I$2:$J$8,2,FALSE),0),
IF(AX39="K",VLOOKUP(L39,Foundation_Calc!$K$116:$R$149,VLOOKUP(AW39,Foundation_Calc!$I$2:$J$8,2,FALSE),0),"")))</f>
        <v/>
      </c>
      <c r="AZ39" s="10" t="str">
        <f>IF(K39="","",
IF(AX39="PT",VLOOKUP(K39,Foundation_Calc!$K$79:$R$112,VLOOKUP(AW39,Foundation_Calc!$I$2:$J$8,2,FALSE),0),
IF(AX39="K",VLOOKUP(K39,Foundation_Calc!$K$116:$R$149,VLOOKUP(AW39,Foundation_Calc!$I$2:$J$8,2,FALSE),0),"")))</f>
        <v/>
      </c>
      <c r="BA39" s="553" t="str">
        <f t="shared" si="2"/>
        <v/>
      </c>
      <c r="BB39" s="553" t="str">
        <f t="shared" si="3"/>
        <v/>
      </c>
      <c r="BC39" s="553" t="str">
        <f t="shared" si="4"/>
        <v/>
      </c>
      <c r="BD39" s="572" t="str">
        <f>IF(AND(L39="",H39=""),"",
IF(H39="",Pole_Calc!A$9,
IF(H39="MP",Pole_Calc!A$10,
IF(H39="AnMP",Pole_Calc!A$11,
IF(H39="A",Pole_Calc!A$12,
IF(H39="S/A",Pole_Calc!A$13,
IF(H39="A/S",Pole_Calc!A$14,"Poner a mano")))))))</f>
        <v/>
      </c>
      <c r="BE39" s="448" t="s">
        <v>1726</v>
      </c>
      <c r="BF39" s="306"/>
      <c r="BG39" s="306"/>
      <c r="BH39" s="306"/>
      <c r="BI39" s="306"/>
    </row>
    <row r="40" spans="1:61" ht="16.2" customHeight="1">
      <c r="A40" s="573"/>
      <c r="B40" s="469" t="s">
        <v>2538</v>
      </c>
      <c r="C40" s="3">
        <f>+$C$38+$G$39</f>
        <v>728.1</v>
      </c>
      <c r="D40" s="88"/>
      <c r="E40" s="4"/>
      <c r="F40" s="4">
        <v>3331.74</v>
      </c>
      <c r="G40" s="6"/>
      <c r="H40" s="468" t="s">
        <v>26</v>
      </c>
      <c r="I40" s="468" t="s">
        <v>183</v>
      </c>
      <c r="J40" s="3"/>
      <c r="K40" s="468"/>
      <c r="L40" s="468" t="s">
        <v>452</v>
      </c>
      <c r="M40" s="468" t="str">
        <f>IF(L40="","",
IF(AX40="PT",VLOOKUP(L40,Foundation_Calc!$V$79:$X$112,VLOOKUP(AX40,Foundation_Calc!$I$10:$J$13,2,FALSE),0),
IF(AX40="K",VLOOKUP(L40,Foundation_Calc!$V$116:$X$149,VLOOKUP(AX40,Foundation_Calc!$I$10:$J$13,2,FALSE),0),"")))</f>
        <v>C4R</v>
      </c>
      <c r="N40" s="468" t="s">
        <v>32</v>
      </c>
      <c r="O40" s="468"/>
      <c r="P40" s="468"/>
      <c r="Q40" s="4"/>
      <c r="R40" s="6"/>
      <c r="S40" s="6"/>
      <c r="T40" s="4">
        <v>-20</v>
      </c>
      <c r="U40" s="4"/>
      <c r="V40" s="4"/>
      <c r="W40" s="9">
        <v>1.4</v>
      </c>
      <c r="X40" s="9"/>
      <c r="Y40" s="9"/>
      <c r="Z40" s="9"/>
      <c r="AA40" s="9"/>
      <c r="AB40" s="9"/>
      <c r="AC40" s="468" t="str">
        <f t="shared" si="1"/>
        <v>PHQ</v>
      </c>
      <c r="AD40" s="468"/>
      <c r="AE40" s="468"/>
      <c r="AF40" s="4"/>
      <c r="AG40" s="88"/>
      <c r="AH40" s="4"/>
      <c r="AI40" s="4"/>
      <c r="AJ40" s="468"/>
      <c r="AK40" s="468"/>
      <c r="AL40" s="468"/>
      <c r="AM40" s="468" t="s">
        <v>486</v>
      </c>
      <c r="AN40" s="10">
        <v>5.5</v>
      </c>
      <c r="AO40" s="9"/>
      <c r="AP40" s="9"/>
      <c r="AQ40" s="9"/>
      <c r="AR40" s="9"/>
      <c r="AS40" s="9"/>
      <c r="AT40" s="9">
        <f>+ab($T$40,$T$38,$T$42,$G$39,$G$41,-1*$F$40,1200)</f>
        <v>-6.5180500863034156</v>
      </c>
      <c r="AU40" s="447"/>
      <c r="AV40" s="447"/>
      <c r="AW40" s="468" t="str">
        <f>IF(C40&gt;0,VLOOKUP(C40,Foundation_Calc!$A$2:$C$13,3,1),
IF(J40&gt;0,VLOOKUP(J40,Foundation_Calc!$A$2:$C$13,3,1),""))</f>
        <v>MultiSoil</v>
      </c>
      <c r="AX40" s="468" t="str">
        <f>IF(C40&gt;0,VLOOKUP(C40,Foundation_Calc!$E$2:$G$13,3,1),
IF(J40&gt;0,VLOOKUP(J40,Foundation_Calc!$E$2:$G$13,3,1),""))</f>
        <v>PT</v>
      </c>
      <c r="AY40" s="10">
        <f>IF(L40="","",
IF(AX40="PT",VLOOKUP(L40,Foundation_Calc!$K$79:$R$112,VLOOKUP(AW40,Foundation_Calc!$I$2:$J$8,2,FALSE),0),
IF(AX40="K",VLOOKUP(L40,Foundation_Calc!$K$116:$R$149,VLOOKUP(AW40,Foundation_Calc!$I$2:$J$8,2,FALSE),0),"")))</f>
        <v>3.5</v>
      </c>
      <c r="AZ40" s="10" t="str">
        <f>IF(K40="","",
IF(AX40="PT",VLOOKUP(K40,Foundation_Calc!$K$79:$R$112,VLOOKUP(AW40,Foundation_Calc!$I$2:$J$8,2,FALSE),0),
IF(AX40="K",VLOOKUP(K40,Foundation_Calc!$K$116:$R$149,VLOOKUP(AW40,Foundation_Calc!$I$2:$J$8,2,FALSE),0),"")))</f>
        <v/>
      </c>
      <c r="BA40" s="553" t="str">
        <f t="shared" si="2"/>
        <v>ü</v>
      </c>
      <c r="BB40" s="553" t="str">
        <f t="shared" si="3"/>
        <v/>
      </c>
      <c r="BC40" s="553" t="str">
        <f t="shared" si="4"/>
        <v/>
      </c>
      <c r="BD40" s="572" t="str">
        <f>IF(AND(L40="",H40=""),"",
IF(H40="",Pole_Calc!A$9,
IF(H40="MP",Pole_Calc!A$10,
IF(H40="AnMP",Pole_Calc!A$11,
IF(H40="A",Pole_Calc!A$12,
IF(H40="S/A",Pole_Calc!A$13,
IF(H40="A/S",Pole_Calc!A$14,"Poner a mano")))))))</f>
        <v>App.7-V11H-P9.5.1.6</v>
      </c>
      <c r="BE40" s="448" t="s">
        <v>1726</v>
      </c>
      <c r="BF40" s="305"/>
      <c r="BG40" s="305"/>
      <c r="BH40" s="306"/>
      <c r="BI40" s="305"/>
    </row>
    <row r="41" spans="1:61" ht="16.2" customHeight="1">
      <c r="A41" s="573"/>
      <c r="B41" s="469"/>
      <c r="C41" s="3"/>
      <c r="D41" s="88"/>
      <c r="E41" s="4"/>
      <c r="F41" s="4"/>
      <c r="G41" s="6">
        <v>60</v>
      </c>
      <c r="H41" s="468"/>
      <c r="I41" s="468"/>
      <c r="J41" s="3">
        <f>C40+7.5</f>
        <v>735.6</v>
      </c>
      <c r="K41" s="468" t="s">
        <v>1095</v>
      </c>
      <c r="L41" s="468"/>
      <c r="M41" s="468" t="str">
        <f>IF(L41="","",
IF(AX41="PT",VLOOKUP(L41,Foundation_Calc!$V$79:$X$112,VLOOKUP(AX41,Foundation_Calc!$I$10:$J$13,2,FALSE),0),
IF(AX41="K",VLOOKUP(L41,Foundation_Calc!$V$116:$X$149,VLOOKUP(AX41,Foundation_Calc!$I$10:$J$13,2,FALSE),0),"")))</f>
        <v/>
      </c>
      <c r="N41" s="468"/>
      <c r="O41" s="468"/>
      <c r="P41" s="468"/>
      <c r="Q41" s="4"/>
      <c r="R41" s="6"/>
      <c r="S41" s="6"/>
      <c r="T41" s="4"/>
      <c r="U41" s="4"/>
      <c r="V41" s="4"/>
      <c r="W41" s="9"/>
      <c r="X41" s="9"/>
      <c r="Y41" s="9"/>
      <c r="Z41" s="9"/>
      <c r="AA41" s="9"/>
      <c r="AB41" s="9"/>
      <c r="AC41" s="468" t="str">
        <f t="shared" si="1"/>
        <v/>
      </c>
      <c r="AD41" s="468"/>
      <c r="AE41" s="468"/>
      <c r="AF41" s="4"/>
      <c r="AG41" s="88"/>
      <c r="AH41" s="4"/>
      <c r="AI41" s="4"/>
      <c r="AJ41" s="468"/>
      <c r="AK41" s="468"/>
      <c r="AL41" s="468"/>
      <c r="AM41" s="468"/>
      <c r="AN41" s="10"/>
      <c r="AO41" s="9"/>
      <c r="AP41" s="9"/>
      <c r="AQ41" s="9">
        <f>+FL_1($T$42,$T$40,$G$41,1200,9.28,-1*$F$42)</f>
        <v>0.4428994186666666</v>
      </c>
      <c r="AR41" s="9"/>
      <c r="AS41" s="9"/>
      <c r="AT41" s="9"/>
      <c r="AU41" s="447"/>
      <c r="AV41" s="447"/>
      <c r="AW41" s="468" t="str">
        <f>IF(C41&gt;0,VLOOKUP(C41,Foundation_Calc!$A$2:$C$13,3,1),
IF(J41&gt;0,VLOOKUP(J41,Foundation_Calc!$A$2:$C$13,3,1),""))</f>
        <v>MultiSoil</v>
      </c>
      <c r="AX41" s="468" t="str">
        <f>IF(C41&gt;0,VLOOKUP(C41,Foundation_Calc!$E$2:$G$13,3,1),
IF(J41&gt;0,VLOOKUP(J41,Foundation_Calc!$E$2:$G$13,3,1),""))</f>
        <v>PT</v>
      </c>
      <c r="AY41" s="10" t="str">
        <f>IF(L41="","",
IF(AX41="PT",VLOOKUP(L41,Foundation_Calc!$K$79:$R$112,VLOOKUP(AW41,Foundation_Calc!$I$2:$J$8,2,FALSE),0),
IF(AX41="K",VLOOKUP(L41,Foundation_Calc!$K$116:$R$149,VLOOKUP(AW41,Foundation_Calc!$I$2:$J$8,2,FALSE),0),"")))</f>
        <v/>
      </c>
      <c r="AZ41" s="10">
        <f>IF(K41="","",
IF(AX41="PT",VLOOKUP(K41,Foundation_Calc!$K$79:$R$112,VLOOKUP(AW41,Foundation_Calc!$I$2:$J$8,2,FALSE),0),
IF(AX41="K",VLOOKUP(K41,Foundation_Calc!$K$116:$R$149,VLOOKUP(AW41,Foundation_Calc!$I$2:$J$8,2,FALSE),0),"")))</f>
        <v>3.9</v>
      </c>
      <c r="BA41" s="553" t="str">
        <f t="shared" si="2"/>
        <v/>
      </c>
      <c r="BB41" s="553" t="str">
        <f t="shared" si="3"/>
        <v>ü</v>
      </c>
      <c r="BC41" s="553" t="str">
        <f t="shared" si="4"/>
        <v/>
      </c>
      <c r="BD41" s="572" t="str">
        <f>IF(AND(L41="",H41=""),"",
IF(H41="",Pole_Calc!A$9,
IF(H41="MP",Pole_Calc!A$10,
IF(H41="AnMP",Pole_Calc!A$11,
IF(H41="A",Pole_Calc!A$12,
IF(H41="S/A",Pole_Calc!A$13,
IF(H41="A/S",Pole_Calc!A$14,"Poner a mano")))))))</f>
        <v/>
      </c>
      <c r="BE41" s="448" t="s">
        <v>1726</v>
      </c>
      <c r="BF41" s="306"/>
      <c r="BG41" s="306"/>
      <c r="BH41" s="306"/>
      <c r="BI41" s="306"/>
    </row>
    <row r="42" spans="1:61" ht="16.2" customHeight="1">
      <c r="A42" s="573"/>
      <c r="B42" s="469" t="s">
        <v>1747</v>
      </c>
      <c r="C42" s="3">
        <f>+$C$40+$G$41</f>
        <v>788.1</v>
      </c>
      <c r="D42" s="88"/>
      <c r="E42" s="4"/>
      <c r="F42" s="4">
        <v>0</v>
      </c>
      <c r="G42" s="6"/>
      <c r="H42" s="468"/>
      <c r="I42" s="468"/>
      <c r="J42" s="3"/>
      <c r="K42" s="468"/>
      <c r="L42" s="468" t="s">
        <v>37</v>
      </c>
      <c r="M42" s="468" t="str">
        <f>IF(L42="","",
IF(AX42="PT",VLOOKUP(L42,Foundation_Calc!$V$79:$X$112,VLOOKUP(AX42,Foundation_Calc!$I$10:$J$13,2,FALSE),0),
IF(AX42="K",VLOOKUP(L42,Foundation_Calc!$V$116:$X$149,VLOOKUP(AX42,Foundation_Calc!$I$10:$J$13,2,FALSE),0),"")))</f>
        <v>C3R</v>
      </c>
      <c r="N42" s="468" t="s">
        <v>33</v>
      </c>
      <c r="O42" s="468"/>
      <c r="P42" s="468"/>
      <c r="Q42" s="4"/>
      <c r="R42" s="6"/>
      <c r="S42" s="6"/>
      <c r="T42" s="4">
        <v>30</v>
      </c>
      <c r="U42" s="4"/>
      <c r="V42" s="4"/>
      <c r="W42" s="9">
        <v>1.4</v>
      </c>
      <c r="X42" s="9"/>
      <c r="Y42" s="9"/>
      <c r="Z42" s="9"/>
      <c r="AA42" s="9"/>
      <c r="AB42" s="9"/>
      <c r="AC42" s="468" t="str">
        <f t="shared" si="1"/>
        <v>PH</v>
      </c>
      <c r="AD42" s="468"/>
      <c r="AE42" s="468"/>
      <c r="AF42" s="4"/>
      <c r="AG42" s="88"/>
      <c r="AH42" s="4"/>
      <c r="AI42" s="4"/>
      <c r="AJ42" s="468"/>
      <c r="AK42" s="468"/>
      <c r="AL42" s="468"/>
      <c r="AM42" s="468" t="s">
        <v>486</v>
      </c>
      <c r="AN42" s="10">
        <v>5.5</v>
      </c>
      <c r="AO42" s="9"/>
      <c r="AP42" s="9"/>
      <c r="AQ42" s="9"/>
      <c r="AR42" s="9"/>
      <c r="AS42" s="9"/>
      <c r="AT42" s="9">
        <f>+ab($T$42,$T$40,$T$44,$G$41,$G$43,-1*$F$42,1200)</f>
        <v>8.9541404058784835</v>
      </c>
      <c r="AU42" s="447"/>
      <c r="AV42" s="447"/>
      <c r="AW42" s="468" t="str">
        <f>IF(C42&gt;0,VLOOKUP(C42,Foundation_Calc!$A$2:$C$13,3,1),
IF(J42&gt;0,VLOOKUP(J42,Foundation_Calc!$A$2:$C$13,3,1),""))</f>
        <v>MultiSoil</v>
      </c>
      <c r="AX42" s="468" t="str">
        <f>IF(C42&gt;0,VLOOKUP(C42,Foundation_Calc!$E$2:$G$13,3,1),
IF(J42&gt;0,VLOOKUP(J42,Foundation_Calc!$E$2:$G$13,3,1),""))</f>
        <v>PT</v>
      </c>
      <c r="AY42" s="10">
        <f>IF(L42="","",
IF(AX42="PT",VLOOKUP(L42,Foundation_Calc!$K$79:$R$112,VLOOKUP(AW42,Foundation_Calc!$I$2:$J$8,2,FALSE),0),
IF(AX42="K",VLOOKUP(L42,Foundation_Calc!$K$116:$R$149,VLOOKUP(AW42,Foundation_Calc!$I$2:$J$8,2,FALSE),0),"")))</f>
        <v>3.5</v>
      </c>
      <c r="AZ42" s="10" t="str">
        <f>IF(K42="","",
IF(AX42="PT",VLOOKUP(K42,Foundation_Calc!$K$79:$R$112,VLOOKUP(AW42,Foundation_Calc!$I$2:$J$8,2,FALSE),0),
IF(AX42="K",VLOOKUP(K42,Foundation_Calc!$K$116:$R$149,VLOOKUP(AW42,Foundation_Calc!$I$2:$J$8,2,FALSE),0),"")))</f>
        <v/>
      </c>
      <c r="BA42" s="553" t="str">
        <f t="shared" si="2"/>
        <v>ü</v>
      </c>
      <c r="BB42" s="553" t="str">
        <f t="shared" si="3"/>
        <v/>
      </c>
      <c r="BC42" s="553" t="str">
        <f t="shared" si="4"/>
        <v/>
      </c>
      <c r="BD42" s="572" t="str">
        <f>IF(AND(L42="",H42=""),"",
IF(H42="",Pole_Calc!A$9,
IF(H42="MP",Pole_Calc!A$10,
IF(H42="AnMP",Pole_Calc!A$11,
IF(H42="A",Pole_Calc!A$12,
IF(H42="S/A",Pole_Calc!A$13,
IF(H42="A/S",Pole_Calc!A$14,"Poner a mano")))))))</f>
        <v>App.7-V11H-P9.5.1.1</v>
      </c>
      <c r="BE42" s="448" t="s">
        <v>1726</v>
      </c>
      <c r="BF42" s="305"/>
      <c r="BG42" s="305"/>
      <c r="BH42" s="306"/>
      <c r="BI42" s="305"/>
    </row>
    <row r="43" spans="1:61" ht="16.2" customHeight="1">
      <c r="A43" s="573"/>
      <c r="B43" s="469"/>
      <c r="C43" s="3"/>
      <c r="D43" s="88"/>
      <c r="E43" s="4"/>
      <c r="F43" s="4"/>
      <c r="G43" s="6">
        <v>50.3</v>
      </c>
      <c r="H43" s="468"/>
      <c r="I43" s="468"/>
      <c r="J43" s="3"/>
      <c r="K43" s="468"/>
      <c r="L43" s="468"/>
      <c r="M43" s="468" t="str">
        <f>IF(L43="","",
IF(AX43="PT",VLOOKUP(L43,Foundation_Calc!$V$79:$X$112,VLOOKUP(AX43,Foundation_Calc!$I$10:$J$13,2,FALSE),0),
IF(AX43="K",VLOOKUP(L43,Foundation_Calc!$V$116:$X$149,VLOOKUP(AX43,Foundation_Calc!$I$10:$J$13,2,FALSE),0),"")))</f>
        <v/>
      </c>
      <c r="N43" s="468"/>
      <c r="O43" s="468"/>
      <c r="P43" s="468"/>
      <c r="Q43" s="4"/>
      <c r="R43" s="6"/>
      <c r="S43" s="6"/>
      <c r="T43" s="4"/>
      <c r="U43" s="4"/>
      <c r="V43" s="4"/>
      <c r="W43" s="9"/>
      <c r="X43" s="9"/>
      <c r="Y43" s="9"/>
      <c r="Z43" s="9"/>
      <c r="AA43" s="9"/>
      <c r="AB43" s="9"/>
      <c r="AC43" s="468" t="str">
        <f t="shared" si="1"/>
        <v/>
      </c>
      <c r="AD43" s="468"/>
      <c r="AE43" s="468"/>
      <c r="AF43" s="4"/>
      <c r="AG43" s="88"/>
      <c r="AH43" s="4"/>
      <c r="AI43" s="4"/>
      <c r="AJ43" s="468"/>
      <c r="AK43" s="468"/>
      <c r="AL43" s="468"/>
      <c r="AM43" s="468"/>
      <c r="AN43" s="10"/>
      <c r="AO43" s="9"/>
      <c r="AP43" s="9"/>
      <c r="AQ43" s="9">
        <f>+FL_1($T$44,$T$42,$G$43,1200,9.28,-1*$F$44)</f>
        <v>0.32754310830483752</v>
      </c>
      <c r="AR43" s="9"/>
      <c r="AS43" s="9"/>
      <c r="AT43" s="9"/>
      <c r="AU43" s="447"/>
      <c r="AV43" s="447"/>
      <c r="AW43" s="468" t="str">
        <f>IF(C43&gt;0,VLOOKUP(C43,Foundation_Calc!$A$2:$C$13,3,1),
IF(J43&gt;0,VLOOKUP(J43,Foundation_Calc!$A$2:$C$13,3,1),""))</f>
        <v/>
      </c>
      <c r="AX43" s="468" t="str">
        <f>IF(C43&gt;0,VLOOKUP(C43,Foundation_Calc!$E$2:$G$13,3,1),
IF(J43&gt;0,VLOOKUP(J43,Foundation_Calc!$E$2:$G$13,3,1),""))</f>
        <v/>
      </c>
      <c r="AY43" s="10" t="str">
        <f>IF(L43="","",
IF(AX43="PT",VLOOKUP(L43,Foundation_Calc!$K$79:$R$112,VLOOKUP(AW43,Foundation_Calc!$I$2:$J$8,2,FALSE),0),
IF(AX43="K",VLOOKUP(L43,Foundation_Calc!$K$116:$R$149,VLOOKUP(AW43,Foundation_Calc!$I$2:$J$8,2,FALSE),0),"")))</f>
        <v/>
      </c>
      <c r="AZ43" s="10" t="str">
        <f>IF(K43="","",
IF(AX43="PT",VLOOKUP(K43,Foundation_Calc!$K$79:$R$112,VLOOKUP(AW43,Foundation_Calc!$I$2:$J$8,2,FALSE),0),
IF(AX43="K",VLOOKUP(K43,Foundation_Calc!$K$116:$R$149,VLOOKUP(AW43,Foundation_Calc!$I$2:$J$8,2,FALSE),0),"")))</f>
        <v/>
      </c>
      <c r="BA43" s="553" t="str">
        <f t="shared" si="2"/>
        <v/>
      </c>
      <c r="BB43" s="553" t="str">
        <f t="shared" si="3"/>
        <v/>
      </c>
      <c r="BC43" s="553" t="str">
        <f t="shared" si="4"/>
        <v/>
      </c>
      <c r="BD43" s="572" t="str">
        <f>IF(AND(L43="",H43=""),"",
IF(H43="",Pole_Calc!A$9,
IF(H43="MP",Pole_Calc!A$10,
IF(H43="AnMP",Pole_Calc!A$11,
IF(H43="A",Pole_Calc!A$12,
IF(H43="S/A",Pole_Calc!A$13,
IF(H43="A/S",Pole_Calc!A$14,"Poner a mano")))))))</f>
        <v/>
      </c>
      <c r="BE43" s="448" t="s">
        <v>1726</v>
      </c>
      <c r="BF43" s="306"/>
      <c r="BG43" s="306"/>
      <c r="BH43" s="306"/>
      <c r="BI43" s="306"/>
    </row>
    <row r="44" spans="1:61" ht="16.2" customHeight="1">
      <c r="A44" s="573"/>
      <c r="B44" s="469" t="s">
        <v>1748</v>
      </c>
      <c r="C44" s="3">
        <f>+$C$42+$G$43</f>
        <v>838.4</v>
      </c>
      <c r="D44" s="88"/>
      <c r="E44" s="4"/>
      <c r="F44" s="4">
        <v>0</v>
      </c>
      <c r="G44" s="6"/>
      <c r="H44" s="468"/>
      <c r="I44" s="468"/>
      <c r="J44" s="3"/>
      <c r="K44" s="468"/>
      <c r="L44" s="468" t="s">
        <v>37</v>
      </c>
      <c r="M44" s="468" t="str">
        <f>IF(L44="","",
IF(AX44="PT",VLOOKUP(L44,Foundation_Calc!$V$79:$X$112,VLOOKUP(AX44,Foundation_Calc!$I$10:$J$13,2,FALSE),0),
IF(AX44="K",VLOOKUP(L44,Foundation_Calc!$V$116:$X$149,VLOOKUP(AX44,Foundation_Calc!$I$10:$J$13,2,FALSE),0),"")))</f>
        <v>C3R</v>
      </c>
      <c r="N44" s="468" t="s">
        <v>32</v>
      </c>
      <c r="O44" s="468"/>
      <c r="P44" s="468"/>
      <c r="Q44" s="4"/>
      <c r="R44" s="6"/>
      <c r="S44" s="6"/>
      <c r="T44" s="4">
        <v>-35</v>
      </c>
      <c r="U44" s="4"/>
      <c r="V44" s="4"/>
      <c r="W44" s="9">
        <v>1.4</v>
      </c>
      <c r="X44" s="9"/>
      <c r="Y44" s="9"/>
      <c r="Z44" s="9"/>
      <c r="AA44" s="9"/>
      <c r="AB44" s="9"/>
      <c r="AC44" s="468" t="str">
        <f t="shared" si="1"/>
        <v>PHQ</v>
      </c>
      <c r="AD44" s="468"/>
      <c r="AE44" s="468"/>
      <c r="AF44" s="4"/>
      <c r="AG44" s="88"/>
      <c r="AH44" s="4"/>
      <c r="AI44" s="4"/>
      <c r="AJ44" s="468"/>
      <c r="AK44" s="468"/>
      <c r="AL44" s="468"/>
      <c r="AM44" s="468" t="s">
        <v>486</v>
      </c>
      <c r="AN44" s="10">
        <v>5.5</v>
      </c>
      <c r="AO44" s="9"/>
      <c r="AP44" s="9"/>
      <c r="AQ44" s="9"/>
      <c r="AR44" s="9"/>
      <c r="AS44" s="9"/>
      <c r="AT44" s="9">
        <f>+ab($T$44,$T$42,$T$46,$G$43,$G$45,-1*$F$44,1200)</f>
        <v>-7.0911868997353418</v>
      </c>
      <c r="AU44" s="447"/>
      <c r="AV44" s="447"/>
      <c r="AW44" s="468" t="str">
        <f>IF(C44&gt;0,VLOOKUP(C44,Foundation_Calc!$A$2:$C$13,3,1),
IF(J44&gt;0,VLOOKUP(J44,Foundation_Calc!$A$2:$C$13,3,1),""))</f>
        <v>MultiSoil</v>
      </c>
      <c r="AX44" s="468" t="str">
        <f>IF(C44&gt;0,VLOOKUP(C44,Foundation_Calc!$E$2:$G$13,3,1),
IF(J44&gt;0,VLOOKUP(J44,Foundation_Calc!$E$2:$G$13,3,1),""))</f>
        <v>PT</v>
      </c>
      <c r="AY44" s="10">
        <f>IF(L44="","",
IF(AX44="PT",VLOOKUP(L44,Foundation_Calc!$K$79:$R$112,VLOOKUP(AW44,Foundation_Calc!$I$2:$J$8,2,FALSE),0),
IF(AX44="K",VLOOKUP(L44,Foundation_Calc!$K$116:$R$149,VLOOKUP(AW44,Foundation_Calc!$I$2:$J$8,2,FALSE),0),"")))</f>
        <v>3.5</v>
      </c>
      <c r="AZ44" s="10" t="str">
        <f>IF(K44="","",
IF(AX44="PT",VLOOKUP(K44,Foundation_Calc!$K$79:$R$112,VLOOKUP(AW44,Foundation_Calc!$I$2:$J$8,2,FALSE),0),
IF(AX44="K",VLOOKUP(K44,Foundation_Calc!$K$116:$R$149,VLOOKUP(AW44,Foundation_Calc!$I$2:$J$8,2,FALSE),0),"")))</f>
        <v/>
      </c>
      <c r="BA44" s="553" t="str">
        <f t="shared" si="2"/>
        <v>ü</v>
      </c>
      <c r="BB44" s="553" t="str">
        <f t="shared" si="3"/>
        <v/>
      </c>
      <c r="BC44" s="553" t="str">
        <f t="shared" si="4"/>
        <v/>
      </c>
      <c r="BD44" s="572" t="str">
        <f>IF(AND(L44="",H44=""),"",
IF(H44="",Pole_Calc!A$9,
IF(H44="MP",Pole_Calc!A$10,
IF(H44="AnMP",Pole_Calc!A$11,
IF(H44="A",Pole_Calc!A$12,
IF(H44="S/A",Pole_Calc!A$13,
IF(H44="A/S",Pole_Calc!A$14,"Poner a mano")))))))</f>
        <v>App.7-V11H-P9.5.1.1</v>
      </c>
      <c r="BE44" s="448" t="s">
        <v>2459</v>
      </c>
      <c r="BF44" s="305"/>
      <c r="BG44" s="305"/>
      <c r="BH44" s="306"/>
      <c r="BI44" s="305"/>
    </row>
    <row r="45" spans="1:61" ht="16.2" customHeight="1">
      <c r="A45" s="573"/>
      <c r="B45" s="469"/>
      <c r="C45" s="3"/>
      <c r="D45" s="88"/>
      <c r="E45" s="4"/>
      <c r="F45" s="4"/>
      <c r="G45" s="6">
        <v>50</v>
      </c>
      <c r="H45" s="468"/>
      <c r="I45" s="468"/>
      <c r="J45" s="3"/>
      <c r="K45" s="468"/>
      <c r="L45" s="468"/>
      <c r="M45" s="468" t="str">
        <f>IF(L45="","",
IF(AX45="PT",VLOOKUP(L45,Foundation_Calc!$V$79:$X$112,VLOOKUP(AX45,Foundation_Calc!$I$10:$J$13,2,FALSE),0),
IF(AX45="K",VLOOKUP(L45,Foundation_Calc!$V$116:$X$149,VLOOKUP(AX45,Foundation_Calc!$I$10:$J$13,2,FALSE),0),"")))</f>
        <v/>
      </c>
      <c r="N45" s="468"/>
      <c r="O45" s="468"/>
      <c r="P45" s="468"/>
      <c r="Q45" s="4"/>
      <c r="R45" s="6"/>
      <c r="S45" s="6"/>
      <c r="T45" s="4"/>
      <c r="U45" s="4"/>
      <c r="V45" s="4"/>
      <c r="W45" s="9"/>
      <c r="X45" s="9"/>
      <c r="Y45" s="9"/>
      <c r="Z45" s="9"/>
      <c r="AA45" s="9"/>
      <c r="AB45" s="9"/>
      <c r="AC45" s="468" t="str">
        <f t="shared" si="1"/>
        <v/>
      </c>
      <c r="AD45" s="468"/>
      <c r="AE45" s="468"/>
      <c r="AF45" s="4"/>
      <c r="AG45" s="88"/>
      <c r="AH45" s="4"/>
      <c r="AI45" s="4"/>
      <c r="AJ45" s="468"/>
      <c r="AK45" s="468"/>
      <c r="AL45" s="468"/>
      <c r="AM45" s="468"/>
      <c r="AN45" s="10"/>
      <c r="AO45" s="9"/>
      <c r="AP45" s="9"/>
      <c r="AQ45" s="9">
        <f>+FL_1($T$46,$T$44,$G$45,1200,9.28,-1*$F$46)</f>
        <v>0.36839079999999996</v>
      </c>
      <c r="AR45" s="9"/>
      <c r="AS45" s="9"/>
      <c r="AT45" s="9"/>
      <c r="AU45" s="447"/>
      <c r="AV45" s="447"/>
      <c r="AW45" s="468" t="str">
        <f>IF(C45&gt;0,VLOOKUP(C45,Foundation_Calc!$A$2:$C$13,3,1),
IF(J45&gt;0,VLOOKUP(J45,Foundation_Calc!$A$2:$C$13,3,1),""))</f>
        <v/>
      </c>
      <c r="AX45" s="468" t="str">
        <f>IF(C45&gt;0,VLOOKUP(C45,Foundation_Calc!$E$2:$G$13,3,1),
IF(J45&gt;0,VLOOKUP(J45,Foundation_Calc!$E$2:$G$13,3,1),""))</f>
        <v/>
      </c>
      <c r="AY45" s="10" t="str">
        <f>IF(L45="","",
IF(AX45="PT",VLOOKUP(L45,Foundation_Calc!$K$79:$R$112,VLOOKUP(AW45,Foundation_Calc!$I$2:$J$8,2,FALSE),0),
IF(AX45="K",VLOOKUP(L45,Foundation_Calc!$K$116:$R$149,VLOOKUP(AW45,Foundation_Calc!$I$2:$J$8,2,FALSE),0),"")))</f>
        <v/>
      </c>
      <c r="AZ45" s="10" t="str">
        <f>IF(K45="","",
IF(AX45="PT",VLOOKUP(K45,Foundation_Calc!$K$79:$R$112,VLOOKUP(AW45,Foundation_Calc!$I$2:$J$8,2,FALSE),0),
IF(AX45="K",VLOOKUP(K45,Foundation_Calc!$K$116:$R$149,VLOOKUP(AW45,Foundation_Calc!$I$2:$J$8,2,FALSE),0),"")))</f>
        <v/>
      </c>
      <c r="BA45" s="553" t="str">
        <f t="shared" si="2"/>
        <v/>
      </c>
      <c r="BB45" s="553" t="str">
        <f t="shared" si="3"/>
        <v/>
      </c>
      <c r="BC45" s="553" t="str">
        <f t="shared" si="4"/>
        <v/>
      </c>
      <c r="BD45" s="572" t="str">
        <f>IF(AND(L45="",H45=""),"",
IF(H45="",Pole_Calc!A$9,
IF(H45="MP",Pole_Calc!A$10,
IF(H45="AnMP",Pole_Calc!A$11,
IF(H45="A",Pole_Calc!A$12,
IF(H45="S/A",Pole_Calc!A$13,
IF(H45="A/S",Pole_Calc!A$14,"Poner a mano")))))))</f>
        <v/>
      </c>
      <c r="BE45" s="448" t="s">
        <v>1726</v>
      </c>
      <c r="BF45" s="306"/>
      <c r="BG45" s="306"/>
      <c r="BH45" s="306"/>
      <c r="BI45" s="306"/>
    </row>
    <row r="46" spans="1:61" ht="16.2" customHeight="1">
      <c r="A46" s="573"/>
      <c r="B46" s="469" t="s">
        <v>1749</v>
      </c>
      <c r="C46" s="3">
        <f>+$C$44+$G$45</f>
        <v>888.4</v>
      </c>
      <c r="D46" s="88"/>
      <c r="E46" s="4"/>
      <c r="F46" s="4">
        <v>0</v>
      </c>
      <c r="G46" s="6"/>
      <c r="H46" s="468"/>
      <c r="I46" s="468"/>
      <c r="J46" s="3"/>
      <c r="K46" s="468"/>
      <c r="L46" s="468" t="s">
        <v>37</v>
      </c>
      <c r="M46" s="468" t="str">
        <f>IF(L46="","",
IF(AX46="PT",VLOOKUP(L46,Foundation_Calc!$V$79:$X$112,VLOOKUP(AX46,Foundation_Calc!$I$10:$J$13,2,FALSE),0),
IF(AX46="K",VLOOKUP(L46,Foundation_Calc!$V$116:$X$149,VLOOKUP(AX46,Foundation_Calc!$I$10:$J$13,2,FALSE),0),"")))</f>
        <v>C3R</v>
      </c>
      <c r="N46" s="468" t="s">
        <v>33</v>
      </c>
      <c r="O46" s="468"/>
      <c r="P46" s="468"/>
      <c r="Q46" s="4"/>
      <c r="R46" s="6"/>
      <c r="S46" s="6"/>
      <c r="T46" s="4">
        <v>35</v>
      </c>
      <c r="U46" s="4"/>
      <c r="V46" s="4"/>
      <c r="W46" s="9">
        <v>1.4</v>
      </c>
      <c r="X46" s="9"/>
      <c r="Y46" s="9"/>
      <c r="Z46" s="9"/>
      <c r="AA46" s="9"/>
      <c r="AB46" s="9"/>
      <c r="AC46" s="468" t="str">
        <f t="shared" si="1"/>
        <v>PH</v>
      </c>
      <c r="AD46" s="468"/>
      <c r="AE46" s="468"/>
      <c r="AF46" s="4"/>
      <c r="AG46" s="88"/>
      <c r="AH46" s="4"/>
      <c r="AI46" s="4"/>
      <c r="AJ46" s="468"/>
      <c r="AK46" s="468"/>
      <c r="AL46" s="468"/>
      <c r="AM46" s="468" t="s">
        <v>486</v>
      </c>
      <c r="AN46" s="10">
        <v>5.5</v>
      </c>
      <c r="AO46" s="9"/>
      <c r="AP46" s="9"/>
      <c r="AQ46" s="9"/>
      <c r="AR46" s="9"/>
      <c r="AS46" s="9"/>
      <c r="AT46" s="9">
        <f>+ab($T$46,$T$44,$T$48,$G$45,$G$47,-1*$F$46,1200)</f>
        <v>12.556093251854309</v>
      </c>
      <c r="AU46" s="447"/>
      <c r="AV46" s="447"/>
      <c r="AW46" s="468" t="str">
        <f>IF(C46&gt;0,VLOOKUP(C46,Foundation_Calc!$A$2:$C$13,3,1),
IF(J46&gt;0,VLOOKUP(J46,Foundation_Calc!$A$2:$C$13,3,1),""))</f>
        <v>MultiSoil</v>
      </c>
      <c r="AX46" s="468" t="str">
        <f>IF(C46&gt;0,VLOOKUP(C46,Foundation_Calc!$E$2:$G$13,3,1),
IF(J46&gt;0,VLOOKUP(J46,Foundation_Calc!$E$2:$G$13,3,1),""))</f>
        <v>PT</v>
      </c>
      <c r="AY46" s="10">
        <f>IF(L46="","",
IF(AX46="PT",VLOOKUP(L46,Foundation_Calc!$K$79:$R$112,VLOOKUP(AW46,Foundation_Calc!$I$2:$J$8,2,FALSE),0),
IF(AX46="K",VLOOKUP(L46,Foundation_Calc!$K$116:$R$149,VLOOKUP(AW46,Foundation_Calc!$I$2:$J$8,2,FALSE),0),"")))</f>
        <v>3.5</v>
      </c>
      <c r="AZ46" s="10" t="str">
        <f>IF(K46="","",
IF(AX46="PT",VLOOKUP(K46,Foundation_Calc!$K$79:$R$112,VLOOKUP(AW46,Foundation_Calc!$I$2:$J$8,2,FALSE),0),
IF(AX46="K",VLOOKUP(K46,Foundation_Calc!$K$116:$R$149,VLOOKUP(AW46,Foundation_Calc!$I$2:$J$8,2,FALSE),0),"")))</f>
        <v/>
      </c>
      <c r="BA46" s="553" t="str">
        <f t="shared" si="2"/>
        <v>ü</v>
      </c>
      <c r="BB46" s="553" t="str">
        <f t="shared" si="3"/>
        <v/>
      </c>
      <c r="BC46" s="553" t="str">
        <f t="shared" si="4"/>
        <v/>
      </c>
      <c r="BD46" s="572" t="str">
        <f>IF(AND(L46="",H46=""),"",
IF(H46="",Pole_Calc!A$9,
IF(H46="MP",Pole_Calc!A$10,
IF(H46="AnMP",Pole_Calc!A$11,
IF(H46="A",Pole_Calc!A$12,
IF(H46="S/A",Pole_Calc!A$13,
IF(H46="A/S",Pole_Calc!A$14,"Poner a mano")))))))</f>
        <v>App.7-V11H-P9.5.1.1</v>
      </c>
      <c r="BE46" s="448" t="s">
        <v>1726</v>
      </c>
      <c r="BF46" s="305"/>
      <c r="BG46" s="305"/>
      <c r="BH46" s="306"/>
      <c r="BI46" s="305"/>
    </row>
    <row r="47" spans="1:61" ht="16.2" customHeight="1">
      <c r="A47" s="573"/>
      <c r="B47" s="469"/>
      <c r="C47" s="3"/>
      <c r="D47" s="88"/>
      <c r="E47" s="4"/>
      <c r="F47" s="4"/>
      <c r="G47" s="6">
        <v>48.2</v>
      </c>
      <c r="H47" s="468"/>
      <c r="I47" s="468"/>
      <c r="J47" s="3"/>
      <c r="K47" s="468"/>
      <c r="L47" s="468"/>
      <c r="M47" s="468" t="str">
        <f>IF(L47="","",
IF(AX47="PT",VLOOKUP(L47,Foundation_Calc!$V$79:$X$112,VLOOKUP(AX47,Foundation_Calc!$I$10:$J$13,2,FALSE),0),
IF(AX47="K",VLOOKUP(L47,Foundation_Calc!$V$116:$X$149,VLOOKUP(AX47,Foundation_Calc!$I$10:$J$13,2,FALSE),0),"")))</f>
        <v/>
      </c>
      <c r="N47" s="468"/>
      <c r="O47" s="468"/>
      <c r="P47" s="468"/>
      <c r="Q47" s="4"/>
      <c r="R47" s="6"/>
      <c r="S47" s="6"/>
      <c r="T47" s="4"/>
      <c r="U47" s="4"/>
      <c r="V47" s="4"/>
      <c r="W47" s="9"/>
      <c r="X47" s="9"/>
      <c r="Y47" s="9"/>
      <c r="Z47" s="9"/>
      <c r="AA47" s="9"/>
      <c r="AB47" s="9"/>
      <c r="AC47" s="468" t="str">
        <f t="shared" si="1"/>
        <v/>
      </c>
      <c r="AD47" s="468"/>
      <c r="AE47" s="468"/>
      <c r="AF47" s="4"/>
      <c r="AG47" s="88"/>
      <c r="AH47" s="4"/>
      <c r="AI47" s="4"/>
      <c r="AJ47" s="468"/>
      <c r="AK47" s="468"/>
      <c r="AL47" s="468"/>
      <c r="AM47" s="468"/>
      <c r="AN47" s="10"/>
      <c r="AO47" s="9"/>
      <c r="AP47" s="9"/>
      <c r="AQ47" s="9">
        <f>+FL_1($T$48,$T$46,$G$47,1200,9.28,-1*$F$48)</f>
        <v>0.42673187057556539</v>
      </c>
      <c r="AR47" s="9"/>
      <c r="AS47" s="9"/>
      <c r="AT47" s="9"/>
      <c r="AU47" s="447"/>
      <c r="AV47" s="447"/>
      <c r="AW47" s="468" t="str">
        <f>IF(C47&gt;0,VLOOKUP(C47,Foundation_Calc!$A$2:$C$13,3,1),
IF(J47&gt;0,VLOOKUP(J47,Foundation_Calc!$A$2:$C$13,3,1),""))</f>
        <v/>
      </c>
      <c r="AX47" s="468" t="str">
        <f>IF(C47&gt;0,VLOOKUP(C47,Foundation_Calc!$E$2:$G$13,3,1),
IF(J47&gt;0,VLOOKUP(J47,Foundation_Calc!$E$2:$G$13,3,1),""))</f>
        <v/>
      </c>
      <c r="AY47" s="10" t="str">
        <f>IF(L47="","",
IF(AX47="PT",VLOOKUP(L47,Foundation_Calc!$K$79:$R$112,VLOOKUP(AW47,Foundation_Calc!$I$2:$J$8,2,FALSE),0),
IF(AX47="K",VLOOKUP(L47,Foundation_Calc!$K$116:$R$149,VLOOKUP(AW47,Foundation_Calc!$I$2:$J$8,2,FALSE),0),"")))</f>
        <v/>
      </c>
      <c r="AZ47" s="10" t="str">
        <f>IF(K47="","",
IF(AX47="PT",VLOOKUP(K47,Foundation_Calc!$K$79:$R$112,VLOOKUP(AW47,Foundation_Calc!$I$2:$J$8,2,FALSE),0),
IF(AX47="K",VLOOKUP(K47,Foundation_Calc!$K$116:$R$149,VLOOKUP(AW47,Foundation_Calc!$I$2:$J$8,2,FALSE),0),"")))</f>
        <v/>
      </c>
      <c r="BA47" s="553" t="str">
        <f t="shared" si="2"/>
        <v/>
      </c>
      <c r="BB47" s="553" t="str">
        <f t="shared" si="3"/>
        <v/>
      </c>
      <c r="BC47" s="553" t="str">
        <f t="shared" si="4"/>
        <v/>
      </c>
      <c r="BD47" s="572" t="str">
        <f>IF(AND(L47="",H47=""),"",
IF(H47="",Pole_Calc!A$9,
IF(H47="MP",Pole_Calc!A$10,
IF(H47="AnMP",Pole_Calc!A$11,
IF(H47="A",Pole_Calc!A$12,
IF(H47="S/A",Pole_Calc!A$13,
IF(H47="A/S",Pole_Calc!A$14,"Poner a mano")))))))</f>
        <v/>
      </c>
      <c r="BE47" s="448" t="s">
        <v>1726</v>
      </c>
      <c r="BF47" s="306"/>
      <c r="BG47" s="306"/>
      <c r="BH47" s="306"/>
      <c r="BI47" s="306"/>
    </row>
    <row r="48" spans="1:61" ht="16.2" customHeight="1">
      <c r="A48" s="573"/>
      <c r="B48" s="469" t="s">
        <v>1750</v>
      </c>
      <c r="C48" s="3">
        <f>+$C$46+$G$47</f>
        <v>936.6</v>
      </c>
      <c r="D48" s="88"/>
      <c r="E48" s="4"/>
      <c r="F48" s="4">
        <v>-2334.36</v>
      </c>
      <c r="G48" s="6"/>
      <c r="H48" s="468"/>
      <c r="I48" s="468"/>
      <c r="J48" s="3"/>
      <c r="K48" s="468"/>
      <c r="L48" s="468" t="s">
        <v>38</v>
      </c>
      <c r="M48" s="468" t="str">
        <f>IF(L48="","",
IF(AX48="PT",VLOOKUP(L48,Foundation_Calc!$V$79:$X$112,VLOOKUP(AX48,Foundation_Calc!$I$10:$J$13,2,FALSE),0),
IF(AX48="K",VLOOKUP(L48,Foundation_Calc!$V$116:$X$149,VLOOKUP(AX48,Foundation_Calc!$I$10:$J$13,2,FALSE),0),"")))</f>
        <v>C4R</v>
      </c>
      <c r="N48" s="468" t="s">
        <v>33</v>
      </c>
      <c r="O48" s="468"/>
      <c r="P48" s="468"/>
      <c r="Q48" s="4"/>
      <c r="R48" s="6"/>
      <c r="S48" s="6"/>
      <c r="T48" s="4">
        <v>30</v>
      </c>
      <c r="U48" s="4"/>
      <c r="V48" s="4"/>
      <c r="W48" s="9">
        <v>1.4</v>
      </c>
      <c r="X48" s="9"/>
      <c r="Y48" s="9"/>
      <c r="Z48" s="9"/>
      <c r="AA48" s="9"/>
      <c r="AB48" s="9"/>
      <c r="AC48" s="468" t="str">
        <f t="shared" si="1"/>
        <v>PH</v>
      </c>
      <c r="AD48" s="468"/>
      <c r="AE48" s="468"/>
      <c r="AF48" s="4"/>
      <c r="AG48" s="88"/>
      <c r="AH48" s="4"/>
      <c r="AI48" s="4"/>
      <c r="AJ48" s="468"/>
      <c r="AK48" s="468"/>
      <c r="AL48" s="468"/>
      <c r="AM48" s="468" t="s">
        <v>486</v>
      </c>
      <c r="AN48" s="10">
        <v>5.5</v>
      </c>
      <c r="AO48" s="9"/>
      <c r="AP48" s="9"/>
      <c r="AQ48" s="9"/>
      <c r="AR48" s="9"/>
      <c r="AS48" s="9"/>
      <c r="AT48" s="9">
        <f>+ab($T$48,$T$46,$T$50,$G$47,$G$49,-1*$F$48,1200)</f>
        <v>10.38074868238402</v>
      </c>
      <c r="AU48" s="447"/>
      <c r="AV48" s="447"/>
      <c r="AW48" s="468" t="str">
        <f>IF(C48&gt;0,VLOOKUP(C48,Foundation_Calc!$A$2:$C$13,3,1),
IF(J48&gt;0,VLOOKUP(J48,Foundation_Calc!$A$2:$C$13,3,1),""))</f>
        <v>MultiSoil</v>
      </c>
      <c r="AX48" s="468" t="str">
        <f>IF(C48&gt;0,VLOOKUP(C48,Foundation_Calc!$E$2:$G$13,3,1),
IF(J48&gt;0,VLOOKUP(J48,Foundation_Calc!$E$2:$G$13,3,1),""))</f>
        <v>PT</v>
      </c>
      <c r="AY48" s="10">
        <f>IF(L48="","",
IF(AX48="PT",VLOOKUP(L48,Foundation_Calc!$K$79:$R$112,VLOOKUP(AW48,Foundation_Calc!$I$2:$J$8,2,FALSE),0),
IF(AX48="K",VLOOKUP(L48,Foundation_Calc!$K$116:$R$149,VLOOKUP(AW48,Foundation_Calc!$I$2:$J$8,2,FALSE),0),"")))</f>
        <v>3.5</v>
      </c>
      <c r="AZ48" s="10" t="str">
        <f>IF(K48="","",
IF(AX48="PT",VLOOKUP(K48,Foundation_Calc!$K$79:$R$112,VLOOKUP(AW48,Foundation_Calc!$I$2:$J$8,2,FALSE),0),
IF(AX48="K",VLOOKUP(K48,Foundation_Calc!$K$116:$R$149,VLOOKUP(AW48,Foundation_Calc!$I$2:$J$8,2,FALSE),0),"")))</f>
        <v/>
      </c>
      <c r="BA48" s="553" t="str">
        <f t="shared" si="2"/>
        <v>ü</v>
      </c>
      <c r="BB48" s="553" t="str">
        <f t="shared" si="3"/>
        <v/>
      </c>
      <c r="BC48" s="553" t="str">
        <f t="shared" si="4"/>
        <v/>
      </c>
      <c r="BD48" s="572" t="str">
        <f>IF(AND(L48="",H48=""),"",
IF(H48="",Pole_Calc!A$9,
IF(H48="MP",Pole_Calc!A$10,
IF(H48="AnMP",Pole_Calc!A$11,
IF(H48="A",Pole_Calc!A$12,
IF(H48="S/A",Pole_Calc!A$13,
IF(H48="A/S",Pole_Calc!A$14,"Poner a mano")))))))</f>
        <v>App.7-V11H-P9.5.1.1</v>
      </c>
      <c r="BE48" s="448" t="s">
        <v>1726</v>
      </c>
      <c r="BF48" s="305"/>
      <c r="BG48" s="305"/>
      <c r="BH48" s="306"/>
      <c r="BI48" s="305"/>
    </row>
    <row r="49" spans="1:61" ht="16.2" customHeight="1">
      <c r="A49" s="573"/>
      <c r="B49" s="469"/>
      <c r="C49" s="3"/>
      <c r="D49" s="88"/>
      <c r="E49" s="4"/>
      <c r="F49" s="4"/>
      <c r="G49" s="6">
        <v>42</v>
      </c>
      <c r="H49" s="468"/>
      <c r="I49" s="468"/>
      <c r="J49" s="3"/>
      <c r="K49" s="468"/>
      <c r="L49" s="468"/>
      <c r="M49" s="468" t="str">
        <f>IF(L49="","",
IF(AX49="PT",VLOOKUP(L49,Foundation_Calc!$V$79:$X$112,VLOOKUP(AX49,Foundation_Calc!$I$10:$J$13,2,FALSE),0),
IF(AX49="K",VLOOKUP(L49,Foundation_Calc!$V$116:$X$149,VLOOKUP(AX49,Foundation_Calc!$I$10:$J$13,2,FALSE),0),"")))</f>
        <v/>
      </c>
      <c r="N49" s="468"/>
      <c r="O49" s="468"/>
      <c r="P49" s="468"/>
      <c r="Q49" s="4"/>
      <c r="R49" s="6"/>
      <c r="S49" s="6"/>
      <c r="T49" s="4"/>
      <c r="U49" s="4"/>
      <c r="V49" s="4"/>
      <c r="W49" s="9"/>
      <c r="X49" s="9"/>
      <c r="Y49" s="9"/>
      <c r="Z49" s="9"/>
      <c r="AA49" s="9"/>
      <c r="AB49" s="9"/>
      <c r="AC49" s="468" t="str">
        <f t="shared" si="1"/>
        <v/>
      </c>
      <c r="AD49" s="468"/>
      <c r="AE49" s="468"/>
      <c r="AF49" s="4"/>
      <c r="AG49" s="88"/>
      <c r="AH49" s="4"/>
      <c r="AI49" s="4"/>
      <c r="AJ49" s="468"/>
      <c r="AK49" s="468"/>
      <c r="AL49" s="468"/>
      <c r="AM49" s="468"/>
      <c r="AN49" s="10"/>
      <c r="AO49" s="9"/>
      <c r="AP49" s="9"/>
      <c r="AQ49" s="9">
        <f>+FL_1($T$50,$T$48,$G$49,1200,9.28,-1*$F$50)</f>
        <v>0.3</v>
      </c>
      <c r="AR49" s="9"/>
      <c r="AS49" s="9"/>
      <c r="AT49" s="9"/>
      <c r="AU49" s="447"/>
      <c r="AV49" s="447"/>
      <c r="AW49" s="468" t="str">
        <f>IF(C49&gt;0,VLOOKUP(C49,Foundation_Calc!$A$2:$C$13,3,1),
IF(J49&gt;0,VLOOKUP(J49,Foundation_Calc!$A$2:$C$13,3,1),""))</f>
        <v/>
      </c>
      <c r="AX49" s="468" t="str">
        <f>IF(C49&gt;0,VLOOKUP(C49,Foundation_Calc!$E$2:$G$13,3,1),
IF(J49&gt;0,VLOOKUP(J49,Foundation_Calc!$E$2:$G$13,3,1),""))</f>
        <v/>
      </c>
      <c r="AY49" s="10" t="str">
        <f>IF(L49="","",
IF(AX49="PT",VLOOKUP(L49,Foundation_Calc!$K$79:$R$112,VLOOKUP(AW49,Foundation_Calc!$I$2:$J$8,2,FALSE),0),
IF(AX49="K",VLOOKUP(L49,Foundation_Calc!$K$116:$R$149,VLOOKUP(AW49,Foundation_Calc!$I$2:$J$8,2,FALSE),0),"")))</f>
        <v/>
      </c>
      <c r="AZ49" s="10" t="str">
        <f>IF(K49="","",
IF(AX49="PT",VLOOKUP(K49,Foundation_Calc!$K$79:$R$112,VLOOKUP(AW49,Foundation_Calc!$I$2:$J$8,2,FALSE),0),
IF(AX49="K",VLOOKUP(K49,Foundation_Calc!$K$116:$R$149,VLOOKUP(AW49,Foundation_Calc!$I$2:$J$8,2,FALSE),0),"")))</f>
        <v/>
      </c>
      <c r="BA49" s="553" t="str">
        <f t="shared" si="2"/>
        <v/>
      </c>
      <c r="BB49" s="553" t="str">
        <f t="shared" si="3"/>
        <v/>
      </c>
      <c r="BC49" s="553" t="str">
        <f t="shared" si="4"/>
        <v/>
      </c>
      <c r="BD49" s="572" t="str">
        <f>IF(AND(L49="",H49=""),"",
IF(H49="",Pole_Calc!A$9,
IF(H49="MP",Pole_Calc!A$10,
IF(H49="AnMP",Pole_Calc!A$11,
IF(H49="A",Pole_Calc!A$12,
IF(H49="S/A",Pole_Calc!A$13,
IF(H49="A/S",Pole_Calc!A$14,"Poner a mano")))))))</f>
        <v/>
      </c>
      <c r="BE49" s="448" t="s">
        <v>1726</v>
      </c>
      <c r="BF49" s="306"/>
      <c r="BG49" s="306"/>
      <c r="BH49" s="306"/>
      <c r="BI49" s="306"/>
    </row>
    <row r="50" spans="1:61" ht="16.2" customHeight="1">
      <c r="A50" s="573" t="s">
        <v>1497</v>
      </c>
      <c r="B50" s="469" t="s">
        <v>1751</v>
      </c>
      <c r="C50" s="3">
        <f>+$C$48+$G$49</f>
        <v>978.6</v>
      </c>
      <c r="D50" s="88"/>
      <c r="E50" s="4"/>
      <c r="F50" s="4">
        <v>-676.68</v>
      </c>
      <c r="G50" s="6"/>
      <c r="H50" s="468"/>
      <c r="I50" s="468"/>
      <c r="J50" s="3"/>
      <c r="K50" s="468"/>
      <c r="L50" s="468" t="s">
        <v>449</v>
      </c>
      <c r="M50" s="468" t="s">
        <v>1625</v>
      </c>
      <c r="N50" s="468" t="s">
        <v>33</v>
      </c>
      <c r="O50" s="468"/>
      <c r="P50" s="468"/>
      <c r="Q50" s="4"/>
      <c r="R50" s="6"/>
      <c r="S50" s="6"/>
      <c r="T50" s="4">
        <v>30</v>
      </c>
      <c r="U50" s="4"/>
      <c r="V50" s="4"/>
      <c r="W50" s="9">
        <v>1.4</v>
      </c>
      <c r="X50" s="9"/>
      <c r="Y50" s="9"/>
      <c r="Z50" s="9"/>
      <c r="AA50" s="9"/>
      <c r="AB50" s="9"/>
      <c r="AC50" s="468" t="str">
        <f t="shared" si="1"/>
        <v>PHC</v>
      </c>
      <c r="AD50" s="468"/>
      <c r="AE50" s="468"/>
      <c r="AF50" s="4"/>
      <c r="AG50" s="88"/>
      <c r="AH50" s="4"/>
      <c r="AI50" s="4"/>
      <c r="AJ50" s="468"/>
      <c r="AK50" s="468"/>
      <c r="AL50" s="468"/>
      <c r="AM50" s="468" t="s">
        <v>486</v>
      </c>
      <c r="AN50" s="10">
        <v>5.5</v>
      </c>
      <c r="AO50" s="9"/>
      <c r="AP50" s="9"/>
      <c r="AQ50" s="9"/>
      <c r="AR50" s="9"/>
      <c r="AS50" s="9"/>
      <c r="AT50" s="9">
        <f>+ab($T$50,$T$48,$T$52,$G$49,$G$51,-1*$F$50,1200)</f>
        <v>3.6021888867113918</v>
      </c>
      <c r="AU50" s="447"/>
      <c r="AV50" s="447"/>
      <c r="AW50" s="468" t="s">
        <v>2558</v>
      </c>
      <c r="AX50" s="468" t="s">
        <v>199</v>
      </c>
      <c r="AY50" s="10"/>
      <c r="AZ50" s="10"/>
      <c r="BA50" s="553" t="str">
        <f t="shared" si="2"/>
        <v/>
      </c>
      <c r="BB50" s="553" t="str">
        <f t="shared" si="3"/>
        <v/>
      </c>
      <c r="BC50" s="553" t="str">
        <f t="shared" si="4"/>
        <v>ü</v>
      </c>
      <c r="BD50" s="572" t="str">
        <f>IF(AND(L50="",H50=""),"",
IF(H50="",Pole_Calc!A$9,
IF(H50="MP",Pole_Calc!A$10,
IF(H50="AnMP",Pole_Calc!A$11,
IF(H50="A",Pole_Calc!A$12,
IF(H50="S/A",Pole_Calc!A$13,
IF(H50="A/S",Pole_Calc!A$14,"Poner a mano")))))))</f>
        <v>App.7-V11H-P9.5.1.1</v>
      </c>
      <c r="BE50" s="448" t="s">
        <v>2459</v>
      </c>
      <c r="BF50" s="305"/>
      <c r="BG50" s="305"/>
      <c r="BH50" s="306"/>
      <c r="BI50" s="305"/>
    </row>
    <row r="51" spans="1:61" ht="16.2" customHeight="1">
      <c r="A51" s="574" t="s">
        <v>1497</v>
      </c>
      <c r="B51" s="469"/>
      <c r="C51" s="3"/>
      <c r="D51" s="88"/>
      <c r="E51" s="4"/>
      <c r="F51" s="4"/>
      <c r="G51" s="6">
        <v>30</v>
      </c>
      <c r="H51" s="468"/>
      <c r="I51" s="4"/>
      <c r="J51" s="3"/>
      <c r="K51" s="468"/>
      <c r="L51" s="468"/>
      <c r="M51" s="468" t="str">
        <f>IF(L51="","",
IF(AX51="PT",VLOOKUP(L51,Foundation_Calc!$V$4:$X$37,VLOOKUP(AX51,Foundation_Calc!$I$10:$J$13,2,FALSE),0),
IF(AX51="K",VLOOKUP(L51,Foundation_Calc!$V$41:$X$74,VLOOKUP(AX51,Foundation_Calc!$I$10:$J$13,2,FALSE),0),"")))</f>
        <v/>
      </c>
      <c r="N51" s="468"/>
      <c r="O51" s="468"/>
      <c r="P51" s="468"/>
      <c r="Q51" s="4"/>
      <c r="R51" s="6"/>
      <c r="S51" s="6"/>
      <c r="T51" s="4"/>
      <c r="U51" s="4"/>
      <c r="V51" s="4"/>
      <c r="W51" s="9"/>
      <c r="X51" s="9"/>
      <c r="Y51" s="9"/>
      <c r="Z51" s="9"/>
      <c r="AA51" s="9"/>
      <c r="AB51" s="9"/>
      <c r="AC51" s="468" t="str">
        <f t="shared" si="1"/>
        <v/>
      </c>
      <c r="AD51" s="468"/>
      <c r="AE51" s="468"/>
      <c r="AF51" s="4"/>
      <c r="AG51" s="88"/>
      <c r="AH51" s="4"/>
      <c r="AI51" s="4"/>
      <c r="AJ51" s="468"/>
      <c r="AK51" s="468"/>
      <c r="AL51" s="468"/>
      <c r="AM51" s="468"/>
      <c r="AN51" s="10"/>
      <c r="AO51" s="9"/>
      <c r="AP51" s="9"/>
      <c r="AQ51" s="9">
        <f>+FL_1($T$52,$T$50,$G$51,1200,9.28,-1*$F$52)</f>
        <v>0.30000000000000004</v>
      </c>
      <c r="AR51" s="9"/>
      <c r="AS51" s="9"/>
      <c r="AT51" s="9"/>
      <c r="AU51" s="447"/>
      <c r="AV51" s="447"/>
      <c r="AW51" s="468"/>
      <c r="AX51" s="468"/>
      <c r="AY51" s="10"/>
      <c r="AZ51" s="10"/>
      <c r="BA51" s="553" t="str">
        <f t="shared" si="2"/>
        <v/>
      </c>
      <c r="BB51" s="553" t="str">
        <f t="shared" si="3"/>
        <v/>
      </c>
      <c r="BC51" s="553" t="str">
        <f t="shared" si="4"/>
        <v/>
      </c>
      <c r="BD51" s="572" t="str">
        <f>IF(AND(L51="",H51=""),"",
IF(H51="",Pole_Calc!A$9,
IF(H51="MP",Pole_Calc!A$10,
IF(H51="AnMP",Pole_Calc!A$11,
IF(H51="A",Pole_Calc!A$12,
IF(H51="S/A",Pole_Calc!A$13,
IF(H51="A/S",Pole_Calc!A$14,"Poner a mano")))))))</f>
        <v/>
      </c>
      <c r="BE51" s="448" t="s">
        <v>1726</v>
      </c>
      <c r="BF51" s="306"/>
      <c r="BG51" s="306"/>
      <c r="BH51" s="306"/>
      <c r="BI51" s="306"/>
    </row>
    <row r="52" spans="1:61" ht="16.2" customHeight="1">
      <c r="A52" s="574" t="s">
        <v>1497</v>
      </c>
      <c r="B52" s="469" t="s">
        <v>1752</v>
      </c>
      <c r="C52" s="3">
        <f>+$C$50+$G$51</f>
        <v>1008.6</v>
      </c>
      <c r="D52" s="88"/>
      <c r="E52" s="4"/>
      <c r="F52" s="4">
        <v>-676.68</v>
      </c>
      <c r="G52" s="6"/>
      <c r="H52" s="468"/>
      <c r="I52" s="468"/>
      <c r="J52" s="3"/>
      <c r="K52" s="468"/>
      <c r="L52" s="468" t="s">
        <v>38</v>
      </c>
      <c r="M52" s="468" t="s">
        <v>1625</v>
      </c>
      <c r="N52" s="468" t="s">
        <v>33</v>
      </c>
      <c r="O52" s="468"/>
      <c r="P52" s="468"/>
      <c r="Q52" s="4"/>
      <c r="R52" s="6"/>
      <c r="S52" s="6"/>
      <c r="T52" s="4">
        <v>30</v>
      </c>
      <c r="U52" s="4"/>
      <c r="V52" s="4"/>
      <c r="W52" s="9">
        <v>1.4</v>
      </c>
      <c r="X52" s="9"/>
      <c r="Y52" s="9"/>
      <c r="Z52" s="9"/>
      <c r="AA52" s="9"/>
      <c r="AB52" s="9"/>
      <c r="AC52" s="468" t="str">
        <f t="shared" si="1"/>
        <v>PHC</v>
      </c>
      <c r="AD52" s="468"/>
      <c r="AE52" s="468"/>
      <c r="AF52" s="4"/>
      <c r="AG52" s="88"/>
      <c r="AH52" s="4"/>
      <c r="AI52" s="4"/>
      <c r="AJ52" s="468"/>
      <c r="AK52" s="468"/>
      <c r="AL52" s="468"/>
      <c r="AM52" s="468" t="s">
        <v>486</v>
      </c>
      <c r="AN52" s="10">
        <v>5.5</v>
      </c>
      <c r="AO52" s="9"/>
      <c r="AP52" s="9"/>
      <c r="AQ52" s="9"/>
      <c r="AR52" s="9"/>
      <c r="AS52" s="9"/>
      <c r="AT52" s="9">
        <f>+ab($T$52,$T$50,$T$54,$G$51,$G$53,-1*$F$52,1200)</f>
        <v>4.11512937762192</v>
      </c>
      <c r="AU52" s="447"/>
      <c r="AV52" s="447"/>
      <c r="AW52" s="468" t="s">
        <v>2557</v>
      </c>
      <c r="AX52" s="468" t="s">
        <v>199</v>
      </c>
      <c r="AY52" s="10"/>
      <c r="AZ52" s="10"/>
      <c r="BA52" s="553" t="str">
        <f t="shared" si="2"/>
        <v/>
      </c>
      <c r="BB52" s="553" t="str">
        <f t="shared" si="3"/>
        <v/>
      </c>
      <c r="BC52" s="553" t="str">
        <f t="shared" si="4"/>
        <v>ü</v>
      </c>
      <c r="BD52" s="572" t="str">
        <f>IF(AND(L52="",H52=""),"",
IF(H52="",Pole_Calc!A$9,
IF(H52="MP",Pole_Calc!A$10,
IF(H52="AnMP",Pole_Calc!A$11,
IF(H52="A",Pole_Calc!A$12,
IF(H52="S/A",Pole_Calc!A$13,
IF(H52="A/S",Pole_Calc!A$14,"Poner a mano")))))))</f>
        <v>App.7-V11H-P9.5.1.1</v>
      </c>
      <c r="BE52" s="448" t="s">
        <v>1726</v>
      </c>
      <c r="BF52" s="305"/>
      <c r="BG52" s="305"/>
      <c r="BH52" s="306"/>
      <c r="BI52" s="305"/>
    </row>
    <row r="53" spans="1:61" ht="16.2" customHeight="1">
      <c r="A53" s="574" t="s">
        <v>1497</v>
      </c>
      <c r="B53" s="469"/>
      <c r="C53" s="3"/>
      <c r="D53" s="88"/>
      <c r="E53" s="4"/>
      <c r="F53" s="4"/>
      <c r="G53" s="6">
        <v>33</v>
      </c>
      <c r="H53" s="468"/>
      <c r="I53" s="4"/>
      <c r="J53" s="3"/>
      <c r="K53" s="468"/>
      <c r="L53" s="468"/>
      <c r="M53" s="468" t="str">
        <f>IF(L53="","",
IF(AX53="PT",VLOOKUP(L53,Foundation_Calc!$V$4:$X$37,VLOOKUP(AX53,Foundation_Calc!$I$10:$J$13,2,FALSE),0),
IF(AX53="K",VLOOKUP(L53,Foundation_Calc!$V$41:$X$74,VLOOKUP(AX53,Foundation_Calc!$I$10:$J$13,2,FALSE),0),"")))</f>
        <v/>
      </c>
      <c r="N53" s="468"/>
      <c r="O53" s="468"/>
      <c r="P53" s="468"/>
      <c r="Q53" s="4"/>
      <c r="R53" s="6"/>
      <c r="S53" s="6"/>
      <c r="T53" s="4"/>
      <c r="U53" s="4"/>
      <c r="V53" s="4"/>
      <c r="W53" s="9"/>
      <c r="X53" s="9"/>
      <c r="Y53" s="9"/>
      <c r="Z53" s="9"/>
      <c r="AA53" s="9"/>
      <c r="AB53" s="9"/>
      <c r="AC53" s="468" t="str">
        <f t="shared" si="1"/>
        <v/>
      </c>
      <c r="AD53" s="468"/>
      <c r="AE53" s="468"/>
      <c r="AF53" s="4"/>
      <c r="AG53" s="88"/>
      <c r="AH53" s="4"/>
      <c r="AI53" s="4"/>
      <c r="AJ53" s="468"/>
      <c r="AK53" s="468"/>
      <c r="AL53" s="468"/>
      <c r="AM53" s="468"/>
      <c r="AN53" s="10"/>
      <c r="AO53" s="9"/>
      <c r="AP53" s="9"/>
      <c r="AQ53" s="9">
        <f>+FL_1($T$54,$T$52,$G$53,1200,9.28,-1*$F$54)</f>
        <v>0.30000000000003124</v>
      </c>
      <c r="AR53" s="9"/>
      <c r="AS53" s="9"/>
      <c r="AT53" s="9"/>
      <c r="AU53" s="447"/>
      <c r="AV53" s="447"/>
      <c r="AW53" s="468"/>
      <c r="AX53" s="468"/>
      <c r="AY53" s="10"/>
      <c r="AZ53" s="10"/>
      <c r="BA53" s="553" t="str">
        <f t="shared" si="2"/>
        <v/>
      </c>
      <c r="BB53" s="553" t="str">
        <f t="shared" si="3"/>
        <v/>
      </c>
      <c r="BC53" s="553" t="str">
        <f t="shared" si="4"/>
        <v/>
      </c>
      <c r="BD53" s="572" t="str">
        <f>IF(AND(L53="",H53=""),"",
IF(H53="",Pole_Calc!A$9,
IF(H53="MP",Pole_Calc!A$10,
IF(H53="AnMP",Pole_Calc!A$11,
IF(H53="A",Pole_Calc!A$12,
IF(H53="S/A",Pole_Calc!A$13,
IF(H53="A/S",Pole_Calc!A$14,"Poner a mano")))))))</f>
        <v/>
      </c>
      <c r="BE53" s="448" t="s">
        <v>1726</v>
      </c>
      <c r="BF53" s="306"/>
      <c r="BG53" s="306"/>
      <c r="BH53" s="306"/>
      <c r="BI53" s="306"/>
    </row>
    <row r="54" spans="1:61" ht="16.2" customHeight="1">
      <c r="A54" s="574" t="s">
        <v>1497</v>
      </c>
      <c r="B54" s="469" t="s">
        <v>1753</v>
      </c>
      <c r="C54" s="3">
        <f>+$C$52+$G$53</f>
        <v>1041.5999999999999</v>
      </c>
      <c r="D54" s="88"/>
      <c r="E54" s="4"/>
      <c r="F54" s="4">
        <v>-400</v>
      </c>
      <c r="G54" s="6"/>
      <c r="H54" s="468"/>
      <c r="I54" s="468"/>
      <c r="J54" s="3"/>
      <c r="K54" s="468"/>
      <c r="L54" s="468" t="s">
        <v>449</v>
      </c>
      <c r="M54" s="468" t="s">
        <v>1625</v>
      </c>
      <c r="N54" s="468" t="s">
        <v>33</v>
      </c>
      <c r="O54" s="468"/>
      <c r="P54" s="468"/>
      <c r="Q54" s="4"/>
      <c r="R54" s="6"/>
      <c r="S54" s="6"/>
      <c r="T54" s="4">
        <v>30</v>
      </c>
      <c r="U54" s="4"/>
      <c r="V54" s="4"/>
      <c r="W54" s="9">
        <v>1.4</v>
      </c>
      <c r="X54" s="9"/>
      <c r="Y54" s="9"/>
      <c r="Z54" s="9"/>
      <c r="AA54" s="9"/>
      <c r="AB54" s="9"/>
      <c r="AC54" s="468" t="str">
        <f t="shared" si="1"/>
        <v>PHC</v>
      </c>
      <c r="AD54" s="468"/>
      <c r="AE54" s="468"/>
      <c r="AF54" s="4"/>
      <c r="AG54" s="88"/>
      <c r="AH54" s="4"/>
      <c r="AI54" s="4"/>
      <c r="AJ54" s="468"/>
      <c r="AK54" s="468"/>
      <c r="AL54" s="468"/>
      <c r="AM54" s="468" t="s">
        <v>486</v>
      </c>
      <c r="AN54" s="10">
        <v>5.5</v>
      </c>
      <c r="AO54" s="9"/>
      <c r="AP54" s="9"/>
      <c r="AQ54" s="9"/>
      <c r="AR54" s="9"/>
      <c r="AS54" s="9"/>
      <c r="AT54" s="9">
        <f>+ab($T$54,$T$52,$T$56,$G$53,$G$55,-1*$F$54,1200)</f>
        <v>2.4469025907778699</v>
      </c>
      <c r="AU54" s="447"/>
      <c r="AV54" s="447"/>
      <c r="AW54" s="468" t="s">
        <v>2558</v>
      </c>
      <c r="AX54" s="468" t="s">
        <v>199</v>
      </c>
      <c r="AY54" s="10"/>
      <c r="AZ54" s="10"/>
      <c r="BA54" s="553" t="str">
        <f t="shared" si="2"/>
        <v/>
      </c>
      <c r="BB54" s="553" t="str">
        <f t="shared" si="3"/>
        <v/>
      </c>
      <c r="BC54" s="553" t="str">
        <f t="shared" si="4"/>
        <v>ü</v>
      </c>
      <c r="BD54" s="572" t="str">
        <f>IF(AND(L54="",H54=""),"",
IF(H54="",Pole_Calc!A$9,
IF(H54="MP",Pole_Calc!A$10,
IF(H54="AnMP",Pole_Calc!A$11,
IF(H54="A",Pole_Calc!A$12,
IF(H54="S/A",Pole_Calc!A$13,
IF(H54="A/S",Pole_Calc!A$14,"Poner a mano")))))))</f>
        <v>App.7-V11H-P9.5.1.1</v>
      </c>
      <c r="BE54" s="448" t="s">
        <v>1726</v>
      </c>
      <c r="BF54" s="305"/>
      <c r="BG54" s="305"/>
      <c r="BH54" s="306"/>
      <c r="BI54" s="305"/>
    </row>
    <row r="55" spans="1:61" ht="16.2" customHeight="1">
      <c r="A55" s="574" t="s">
        <v>1497</v>
      </c>
      <c r="B55" s="469"/>
      <c r="C55" s="3"/>
      <c r="D55" s="88"/>
      <c r="E55" s="4"/>
      <c r="F55" s="4"/>
      <c r="G55" s="6">
        <v>29.7</v>
      </c>
      <c r="H55" s="468"/>
      <c r="I55" s="4"/>
      <c r="J55" s="3"/>
      <c r="K55" s="468"/>
      <c r="L55" s="468"/>
      <c r="M55" s="468" t="str">
        <f>IF(L55="","",
IF(AX55="PT",VLOOKUP(L55,Foundation_Calc!$V$4:$X$37,VLOOKUP(AX55,Foundation_Calc!$I$10:$J$13,2,FALSE),0),
IF(AX55="K",VLOOKUP(L55,Foundation_Calc!$V$41:$X$74,VLOOKUP(AX55,Foundation_Calc!$I$10:$J$13,2,FALSE),0),"")))</f>
        <v/>
      </c>
      <c r="N55" s="468"/>
      <c r="O55" s="468"/>
      <c r="P55" s="468"/>
      <c r="Q55" s="4"/>
      <c r="R55" s="6"/>
      <c r="S55" s="6"/>
      <c r="T55" s="4"/>
      <c r="U55" s="4"/>
      <c r="V55" s="4"/>
      <c r="W55" s="9"/>
      <c r="X55" s="9"/>
      <c r="Y55" s="9"/>
      <c r="Z55" s="9"/>
      <c r="AA55" s="9"/>
      <c r="AB55" s="9"/>
      <c r="AC55" s="468" t="str">
        <f t="shared" si="1"/>
        <v/>
      </c>
      <c r="AD55" s="468"/>
      <c r="AE55" s="468"/>
      <c r="AF55" s="4"/>
      <c r="AG55" s="88"/>
      <c r="AH55" s="4"/>
      <c r="AI55" s="4"/>
      <c r="AJ55" s="468"/>
      <c r="AK55" s="468"/>
      <c r="AL55" s="468"/>
      <c r="AM55" s="468"/>
      <c r="AN55" s="10"/>
      <c r="AO55" s="9"/>
      <c r="AP55" s="9"/>
      <c r="AQ55" s="9">
        <f>+FL_1($T$56,$T$54,$G$55,1200,9.28,-1*$F$56)</f>
        <v>0.30000000000003563</v>
      </c>
      <c r="AR55" s="9"/>
      <c r="AS55" s="9"/>
      <c r="AT55" s="9"/>
      <c r="AU55" s="447"/>
      <c r="AV55" s="447"/>
      <c r="AW55" s="468"/>
      <c r="AX55" s="468"/>
      <c r="AY55" s="10"/>
      <c r="AZ55" s="10"/>
      <c r="BA55" s="553" t="str">
        <f t="shared" si="2"/>
        <v/>
      </c>
      <c r="BB55" s="553" t="str">
        <f t="shared" si="3"/>
        <v/>
      </c>
      <c r="BC55" s="553" t="str">
        <f t="shared" si="4"/>
        <v/>
      </c>
      <c r="BD55" s="572" t="str">
        <f>IF(AND(L55="",H55=""),"",
IF(H55="",Pole_Calc!A$9,
IF(H55="MP",Pole_Calc!A$10,
IF(H55="AnMP",Pole_Calc!A$11,
IF(H55="A",Pole_Calc!A$12,
IF(H55="S/A",Pole_Calc!A$13,
IF(H55="A/S",Pole_Calc!A$14,"Poner a mano")))))))</f>
        <v/>
      </c>
      <c r="BE55" s="448" t="s">
        <v>1726</v>
      </c>
      <c r="BF55" s="306"/>
      <c r="BG55" s="306"/>
      <c r="BH55" s="306"/>
      <c r="BI55" s="306"/>
    </row>
    <row r="56" spans="1:61" ht="16.2" customHeight="1">
      <c r="A56" s="574" t="s">
        <v>1497</v>
      </c>
      <c r="B56" s="469" t="s">
        <v>1754</v>
      </c>
      <c r="C56" s="3">
        <f>+$C$54+$G$55</f>
        <v>1071.3</v>
      </c>
      <c r="D56" s="88"/>
      <c r="E56" s="4"/>
      <c r="F56" s="4">
        <v>-400</v>
      </c>
      <c r="G56" s="6"/>
      <c r="H56" s="468"/>
      <c r="I56" s="468"/>
      <c r="J56" s="3"/>
      <c r="K56" s="468"/>
      <c r="L56" s="468" t="s">
        <v>38</v>
      </c>
      <c r="M56" s="468" t="s">
        <v>1625</v>
      </c>
      <c r="N56" s="468" t="s">
        <v>33</v>
      </c>
      <c r="O56" s="468"/>
      <c r="P56" s="468"/>
      <c r="Q56" s="4"/>
      <c r="R56" s="6"/>
      <c r="S56" s="6"/>
      <c r="T56" s="4">
        <v>30</v>
      </c>
      <c r="U56" s="4"/>
      <c r="V56" s="4"/>
      <c r="W56" s="9">
        <v>1.4</v>
      </c>
      <c r="X56" s="9"/>
      <c r="Y56" s="9"/>
      <c r="Z56" s="9"/>
      <c r="AA56" s="9"/>
      <c r="AB56" s="9"/>
      <c r="AC56" s="468" t="str">
        <f t="shared" si="1"/>
        <v>PHC</v>
      </c>
      <c r="AD56" s="468"/>
      <c r="AE56" s="468"/>
      <c r="AF56" s="4"/>
      <c r="AG56" s="88"/>
      <c r="AH56" s="4"/>
      <c r="AI56" s="4"/>
      <c r="AJ56" s="468"/>
      <c r="AK56" s="468"/>
      <c r="AL56" s="468"/>
      <c r="AM56" s="468" t="s">
        <v>486</v>
      </c>
      <c r="AN56" s="10">
        <v>5.5</v>
      </c>
      <c r="AO56" s="9"/>
      <c r="AP56" s="9"/>
      <c r="AQ56" s="9"/>
      <c r="AR56" s="9"/>
      <c r="AS56" s="9"/>
      <c r="AT56" s="9">
        <f>+ab($T$56,$T$54,$T$58,$G$55,$G$57,-1*$F$56,1200)</f>
        <v>2.5826623935993949</v>
      </c>
      <c r="AU56" s="447"/>
      <c r="AV56" s="447"/>
      <c r="AW56" s="468" t="s">
        <v>2557</v>
      </c>
      <c r="AX56" s="468" t="s">
        <v>199</v>
      </c>
      <c r="AY56" s="10"/>
      <c r="AZ56" s="10"/>
      <c r="BA56" s="553" t="str">
        <f t="shared" si="2"/>
        <v/>
      </c>
      <c r="BB56" s="553" t="str">
        <f t="shared" si="3"/>
        <v/>
      </c>
      <c r="BC56" s="553" t="str">
        <f t="shared" si="4"/>
        <v>ü</v>
      </c>
      <c r="BD56" s="572" t="str">
        <f>IF(AND(L56="",H56=""),"",
IF(H56="",Pole_Calc!A$9,
IF(H56="MP",Pole_Calc!A$10,
IF(H56="AnMP",Pole_Calc!A$11,
IF(H56="A",Pole_Calc!A$12,
IF(H56="S/A",Pole_Calc!A$13,
IF(H56="A/S",Pole_Calc!A$14,"Poner a mano")))))))</f>
        <v>App.7-V11H-P9.5.1.1</v>
      </c>
      <c r="BE56" s="448" t="s">
        <v>1726</v>
      </c>
      <c r="BF56" s="305"/>
      <c r="BG56" s="305"/>
      <c r="BH56" s="306"/>
      <c r="BI56" s="305"/>
    </row>
    <row r="57" spans="1:61" ht="16.2" customHeight="1">
      <c r="A57" s="574" t="s">
        <v>1497</v>
      </c>
      <c r="B57" s="469"/>
      <c r="C57" s="3"/>
      <c r="D57" s="88"/>
      <c r="E57" s="4"/>
      <c r="F57" s="4"/>
      <c r="G57" s="6">
        <v>29.7</v>
      </c>
      <c r="H57" s="468"/>
      <c r="I57" s="4"/>
      <c r="J57" s="3"/>
      <c r="K57" s="468"/>
      <c r="L57" s="468"/>
      <c r="M57" s="468" t="str">
        <f>IF(L57="","",
IF(AX57="PT",VLOOKUP(L57,Foundation_Calc!$V$4:$X$37,VLOOKUP(AX57,Foundation_Calc!$I$10:$J$13,2,FALSE),0),
IF(AX57="K",VLOOKUP(L57,Foundation_Calc!$V$41:$X$74,VLOOKUP(AX57,Foundation_Calc!$I$10:$J$13,2,FALSE),0),"")))</f>
        <v/>
      </c>
      <c r="N57" s="468"/>
      <c r="O57" s="468"/>
      <c r="P57" s="468"/>
      <c r="Q57" s="4"/>
      <c r="R57" s="6"/>
      <c r="S57" s="6"/>
      <c r="T57" s="4"/>
      <c r="U57" s="4"/>
      <c r="V57" s="4"/>
      <c r="W57" s="9"/>
      <c r="X57" s="9"/>
      <c r="Y57" s="9"/>
      <c r="Z57" s="9"/>
      <c r="AA57" s="9"/>
      <c r="AB57" s="9"/>
      <c r="AC57" s="468" t="str">
        <f t="shared" si="1"/>
        <v/>
      </c>
      <c r="AD57" s="468"/>
      <c r="AE57" s="468"/>
      <c r="AF57" s="4"/>
      <c r="AG57" s="88"/>
      <c r="AH57" s="4"/>
      <c r="AI57" s="4"/>
      <c r="AJ57" s="468"/>
      <c r="AK57" s="468"/>
      <c r="AL57" s="468"/>
      <c r="AM57" s="468"/>
      <c r="AN57" s="10"/>
      <c r="AO57" s="9"/>
      <c r="AP57" s="9"/>
      <c r="AQ57" s="9">
        <f>+FL_1($T$58,$T$56,$G$57,1200,9.28,-1*$F$58)</f>
        <v>0.30000000000003563</v>
      </c>
      <c r="AR57" s="9"/>
      <c r="AS57" s="9"/>
      <c r="AT57" s="9"/>
      <c r="AU57" s="447"/>
      <c r="AV57" s="447"/>
      <c r="AW57" s="468"/>
      <c r="AX57" s="468"/>
      <c r="AY57" s="10"/>
      <c r="AZ57" s="10"/>
      <c r="BA57" s="553" t="str">
        <f t="shared" si="2"/>
        <v/>
      </c>
      <c r="BB57" s="553" t="str">
        <f t="shared" si="3"/>
        <v/>
      </c>
      <c r="BC57" s="553" t="str">
        <f t="shared" si="4"/>
        <v/>
      </c>
      <c r="BD57" s="572" t="str">
        <f>IF(AND(L57="",H57=""),"",
IF(H57="",Pole_Calc!A$9,
IF(H57="MP",Pole_Calc!A$10,
IF(H57="AnMP",Pole_Calc!A$11,
IF(H57="A",Pole_Calc!A$12,
IF(H57="S/A",Pole_Calc!A$13,
IF(H57="A/S",Pole_Calc!A$14,"Poner a mano")))))))</f>
        <v/>
      </c>
      <c r="BE57" s="448" t="s">
        <v>1726</v>
      </c>
      <c r="BF57" s="306"/>
      <c r="BG57" s="306"/>
      <c r="BH57" s="306"/>
      <c r="BI57" s="306"/>
    </row>
    <row r="58" spans="1:61" ht="16.2" customHeight="1">
      <c r="A58" s="574" t="s">
        <v>1497</v>
      </c>
      <c r="B58" s="469" t="s">
        <v>1755</v>
      </c>
      <c r="C58" s="3">
        <f>+$C$56+$G$57</f>
        <v>1101</v>
      </c>
      <c r="D58" s="88"/>
      <c r="E58" s="4"/>
      <c r="F58" s="4">
        <v>-400</v>
      </c>
      <c r="G58" s="6"/>
      <c r="H58" s="468"/>
      <c r="I58" s="468"/>
      <c r="J58" s="3"/>
      <c r="K58" s="468"/>
      <c r="L58" s="468" t="s">
        <v>38</v>
      </c>
      <c r="M58" s="468" t="s">
        <v>1625</v>
      </c>
      <c r="N58" s="468" t="s">
        <v>33</v>
      </c>
      <c r="O58" s="468"/>
      <c r="P58" s="468"/>
      <c r="Q58" s="4"/>
      <c r="R58" s="6"/>
      <c r="S58" s="6"/>
      <c r="T58" s="4">
        <v>30</v>
      </c>
      <c r="U58" s="4"/>
      <c r="V58" s="4"/>
      <c r="W58" s="9">
        <v>1.4</v>
      </c>
      <c r="X58" s="9"/>
      <c r="Y58" s="9"/>
      <c r="Z58" s="9"/>
      <c r="AA58" s="9"/>
      <c r="AB58" s="9"/>
      <c r="AC58" s="468" t="str">
        <f t="shared" si="1"/>
        <v>PHC</v>
      </c>
      <c r="AD58" s="468"/>
      <c r="AE58" s="468"/>
      <c r="AF58" s="4"/>
      <c r="AG58" s="88"/>
      <c r="AH58" s="4"/>
      <c r="AI58" s="4"/>
      <c r="AJ58" s="468"/>
      <c r="AK58" s="468"/>
      <c r="AL58" s="468"/>
      <c r="AM58" s="468" t="s">
        <v>486</v>
      </c>
      <c r="AN58" s="10">
        <v>5.5</v>
      </c>
      <c r="AO58" s="9"/>
      <c r="AP58" s="9"/>
      <c r="AQ58" s="9"/>
      <c r="AR58" s="9"/>
      <c r="AS58" s="9"/>
      <c r="AT58" s="9">
        <f>+ab($T$58,$T$56,$T$60,$G$57,$G$59,-1*$F$58,1200)</f>
        <v>2.5870117301713553</v>
      </c>
      <c r="AU58" s="447"/>
      <c r="AV58" s="447"/>
      <c r="AW58" s="468" t="s">
        <v>2557</v>
      </c>
      <c r="AX58" s="468" t="s">
        <v>199</v>
      </c>
      <c r="AY58" s="10"/>
      <c r="AZ58" s="10"/>
      <c r="BA58" s="553" t="str">
        <f t="shared" si="2"/>
        <v/>
      </c>
      <c r="BB58" s="553" t="str">
        <f t="shared" si="3"/>
        <v/>
      </c>
      <c r="BC58" s="553" t="str">
        <f t="shared" si="4"/>
        <v>ü</v>
      </c>
      <c r="BD58" s="572" t="str">
        <f>IF(AND(L58="",H58=""),"",
IF(H58="",Pole_Calc!A$9,
IF(H58="MP",Pole_Calc!A$10,
IF(H58="AnMP",Pole_Calc!A$11,
IF(H58="A",Pole_Calc!A$12,
IF(H58="S/A",Pole_Calc!A$13,
IF(H58="A/S",Pole_Calc!A$14,"Poner a mano")))))))</f>
        <v>App.7-V11H-P9.5.1.1</v>
      </c>
      <c r="BE58" s="448" t="s">
        <v>1726</v>
      </c>
      <c r="BF58" s="305"/>
      <c r="BG58" s="305"/>
      <c r="BH58" s="306"/>
      <c r="BI58" s="305"/>
    </row>
    <row r="59" spans="1:61" ht="16.2" customHeight="1">
      <c r="A59" s="574" t="s">
        <v>1497</v>
      </c>
      <c r="B59" s="469"/>
      <c r="C59" s="3"/>
      <c r="D59" s="88"/>
      <c r="E59" s="4"/>
      <c r="F59" s="4"/>
      <c r="G59" s="6">
        <v>29.6</v>
      </c>
      <c r="H59" s="468"/>
      <c r="I59" s="468"/>
      <c r="J59" s="3">
        <f>C60-7.5</f>
        <v>1123.0999999999999</v>
      </c>
      <c r="K59" s="468" t="s">
        <v>2576</v>
      </c>
      <c r="L59" s="468"/>
      <c r="M59" s="468" t="str">
        <f>IF(L59="","",
IF(AX59="PT",VLOOKUP(L59,Foundation_Calc!$V$4:$X$37,VLOOKUP(AX59,Foundation_Calc!$I$10:$J$13,2,FALSE),0),
IF(AX59="K",VLOOKUP(L59,Foundation_Calc!$V$41:$X$74,VLOOKUP(AX59,Foundation_Calc!$I$10:$J$13,2,FALSE),0),"")))</f>
        <v/>
      </c>
      <c r="N59" s="468"/>
      <c r="O59" s="468"/>
      <c r="P59" s="468"/>
      <c r="Q59" s="4"/>
      <c r="R59" s="6"/>
      <c r="S59" s="6"/>
      <c r="T59" s="4"/>
      <c r="U59" s="4"/>
      <c r="V59" s="4"/>
      <c r="W59" s="9"/>
      <c r="X59" s="9"/>
      <c r="Y59" s="9"/>
      <c r="Z59" s="9"/>
      <c r="AA59" s="9"/>
      <c r="AB59" s="9"/>
      <c r="AC59" s="468" t="str">
        <f t="shared" si="1"/>
        <v/>
      </c>
      <c r="AD59" s="468"/>
      <c r="AE59" s="468"/>
      <c r="AF59" s="4"/>
      <c r="AG59" s="88"/>
      <c r="AH59" s="4"/>
      <c r="AI59" s="4"/>
      <c r="AJ59" s="468"/>
      <c r="AK59" s="468"/>
      <c r="AL59" s="468"/>
      <c r="AM59" s="468"/>
      <c r="AN59" s="10"/>
      <c r="AO59" s="9"/>
      <c r="AP59" s="9"/>
      <c r="AQ59" s="9">
        <f>+FL_1($T$60,$T$58,$G$59,1200,9.28,-1*$F$60)</f>
        <v>0.3000000000000359</v>
      </c>
      <c r="AR59" s="9"/>
      <c r="AS59" s="9"/>
      <c r="AT59" s="9"/>
      <c r="AU59" s="447"/>
      <c r="AV59" s="447"/>
      <c r="AW59" s="468"/>
      <c r="AX59" s="468"/>
      <c r="AY59" s="10"/>
      <c r="AZ59" s="10"/>
      <c r="BA59" s="553" t="str">
        <f t="shared" si="2"/>
        <v/>
      </c>
      <c r="BB59" s="553" t="str">
        <f t="shared" si="3"/>
        <v/>
      </c>
      <c r="BC59" s="553" t="str">
        <f t="shared" si="4"/>
        <v/>
      </c>
      <c r="BD59" s="572" t="str">
        <f>IF(AND(L59="",H59=""),"",
IF(H59="",Pole_Calc!A$9,
IF(H59="MP",Pole_Calc!A$10,
IF(H59="AnMP",Pole_Calc!A$11,
IF(H59="A",Pole_Calc!A$12,
IF(H59="S/A",Pole_Calc!A$13,
IF(H59="A/S",Pole_Calc!A$14,"Poner a mano")))))))</f>
        <v/>
      </c>
      <c r="BE59" s="448" t="s">
        <v>1726</v>
      </c>
      <c r="BF59" s="306"/>
      <c r="BG59" s="306"/>
      <c r="BH59" s="306"/>
      <c r="BI59" s="306"/>
    </row>
    <row r="60" spans="1:61" ht="16.2" customHeight="1">
      <c r="A60" s="574" t="s">
        <v>1497</v>
      </c>
      <c r="B60" s="469" t="s">
        <v>1756</v>
      </c>
      <c r="C60" s="3">
        <f>+$C$58+$G$59</f>
        <v>1130.5999999999999</v>
      </c>
      <c r="D60" s="88"/>
      <c r="E60" s="4"/>
      <c r="F60" s="4">
        <v>-400</v>
      </c>
      <c r="G60" s="6"/>
      <c r="H60" s="468" t="s">
        <v>365</v>
      </c>
      <c r="I60" s="468"/>
      <c r="J60" s="3"/>
      <c r="K60" s="468"/>
      <c r="L60" s="468" t="s">
        <v>38</v>
      </c>
      <c r="M60" s="468" t="s">
        <v>1625</v>
      </c>
      <c r="N60" s="468" t="s">
        <v>33</v>
      </c>
      <c r="O60" s="468"/>
      <c r="P60" s="468"/>
      <c r="Q60" s="4"/>
      <c r="R60" s="6"/>
      <c r="S60" s="6"/>
      <c r="T60" s="4">
        <v>30</v>
      </c>
      <c r="U60" s="4"/>
      <c r="V60" s="4"/>
      <c r="W60" s="9">
        <v>1.4</v>
      </c>
      <c r="X60" s="9"/>
      <c r="Y60" s="9"/>
      <c r="Z60" s="9"/>
      <c r="AA60" s="9"/>
      <c r="AB60" s="9"/>
      <c r="AC60" s="468" t="str">
        <f t="shared" si="1"/>
        <v>PHC</v>
      </c>
      <c r="AD60" s="468"/>
      <c r="AE60" s="468"/>
      <c r="AF60" s="4"/>
      <c r="AG60" s="88"/>
      <c r="AH60" s="4"/>
      <c r="AI60" s="4"/>
      <c r="AJ60" s="468"/>
      <c r="AK60" s="468"/>
      <c r="AL60" s="468"/>
      <c r="AM60" s="468" t="s">
        <v>486</v>
      </c>
      <c r="AN60" s="10">
        <v>5.5</v>
      </c>
      <c r="AO60" s="9"/>
      <c r="AP60" s="9"/>
      <c r="AQ60" s="9"/>
      <c r="AR60" s="9"/>
      <c r="AS60" s="9"/>
      <c r="AT60" s="9">
        <f>+ab($T$60,$T$58,$T$62,$G$59,$G$61,-1*$F$60,1200)</f>
        <v>2.5913757304617091</v>
      </c>
      <c r="AU60" s="447"/>
      <c r="AV60" s="447"/>
      <c r="AW60" s="468" t="s">
        <v>2557</v>
      </c>
      <c r="AX60" s="468" t="s">
        <v>199</v>
      </c>
      <c r="AY60" s="10"/>
      <c r="AZ60" s="10"/>
      <c r="BA60" s="553" t="str">
        <f t="shared" si="2"/>
        <v/>
      </c>
      <c r="BB60" s="553" t="str">
        <f t="shared" si="3"/>
        <v/>
      </c>
      <c r="BC60" s="553" t="str">
        <f t="shared" si="4"/>
        <v>ü</v>
      </c>
      <c r="BD60" s="572" t="str">
        <f>IF(AND(L60="",H60=""),"",
IF(H60="",Pole_Calc!A$9,
IF(H60="MP",Pole_Calc!A$10,
IF(H60="AnMP",Pole_Calc!A$11,
IF(H60="A",Pole_Calc!A$12,
IF(H60="S/A",Pole_Calc!A$13,
IF(H60="A/S",Pole_Calc!A$14,"Poner a mano")))))))</f>
        <v>App.7-V11H-P9.5.1.3</v>
      </c>
      <c r="BE60" s="448" t="s">
        <v>1726</v>
      </c>
      <c r="BF60" s="305"/>
      <c r="BG60" s="305"/>
      <c r="BH60" s="306"/>
      <c r="BI60" s="305"/>
    </row>
    <row r="61" spans="1:61" ht="16.2" customHeight="1">
      <c r="A61" s="574" t="s">
        <v>1497</v>
      </c>
      <c r="B61" s="469"/>
      <c r="C61" s="3"/>
      <c r="D61" s="88"/>
      <c r="E61" s="4"/>
      <c r="F61" s="4"/>
      <c r="G61" s="6">
        <v>29.6</v>
      </c>
      <c r="H61" s="468"/>
      <c r="I61" s="4">
        <f>SUM(G35:G61)</f>
        <v>596.1</v>
      </c>
      <c r="J61" s="3"/>
      <c r="K61" s="468"/>
      <c r="L61" s="468"/>
      <c r="M61" s="468" t="str">
        <f>IF(L61="","",
IF(AX61="PT",VLOOKUP(L61,Foundation_Calc!$V$4:$X$37,VLOOKUP(AX61,Foundation_Calc!$I$10:$J$13,2,FALSE),0),
IF(AX61="K",VLOOKUP(L61,Foundation_Calc!$V$41:$X$74,VLOOKUP(AX61,Foundation_Calc!$I$10:$J$13,2,FALSE),0),"")))</f>
        <v/>
      </c>
      <c r="N61" s="468"/>
      <c r="O61" s="468"/>
      <c r="P61" s="468"/>
      <c r="Q61" s="4"/>
      <c r="R61" s="6"/>
      <c r="S61" s="6"/>
      <c r="T61" s="4"/>
      <c r="U61" s="4"/>
      <c r="V61" s="4"/>
      <c r="W61" s="9"/>
      <c r="X61" s="9"/>
      <c r="Y61" s="9"/>
      <c r="Z61" s="9"/>
      <c r="AA61" s="9"/>
      <c r="AB61" s="9"/>
      <c r="AC61" s="468" t="str">
        <f t="shared" si="1"/>
        <v/>
      </c>
      <c r="AD61" s="468"/>
      <c r="AE61" s="468"/>
      <c r="AF61" s="4"/>
      <c r="AG61" s="88"/>
      <c r="AH61" s="4"/>
      <c r="AI61" s="4"/>
      <c r="AJ61" s="468"/>
      <c r="AK61" s="468"/>
      <c r="AL61" s="468"/>
      <c r="AM61" s="468"/>
      <c r="AN61" s="10"/>
      <c r="AO61" s="9"/>
      <c r="AP61" s="9"/>
      <c r="AQ61" s="9">
        <f>+FL_1($T$62,$T$60,$G$61,1200,9.28,-1*$F$62)</f>
        <v>0.3000000000000359</v>
      </c>
      <c r="AR61" s="9"/>
      <c r="AS61" s="9"/>
      <c r="AT61" s="9"/>
      <c r="AU61" s="447"/>
      <c r="AV61" s="447"/>
      <c r="AW61" s="468"/>
      <c r="AX61" s="468"/>
      <c r="AY61" s="10"/>
      <c r="AZ61" s="10"/>
      <c r="BA61" s="553" t="str">
        <f t="shared" si="2"/>
        <v/>
      </c>
      <c r="BB61" s="553" t="str">
        <f t="shared" si="3"/>
        <v/>
      </c>
      <c r="BC61" s="553" t="str">
        <f t="shared" si="4"/>
        <v/>
      </c>
      <c r="BD61" s="572" t="str">
        <f>IF(AND(L61="",H61=""),"",
IF(H61="",Pole_Calc!A$9,
IF(H61="MP",Pole_Calc!A$10,
IF(H61="AnMP",Pole_Calc!A$11,
IF(H61="A",Pole_Calc!A$12,
IF(H61="S/A",Pole_Calc!A$13,
IF(H61="A/S",Pole_Calc!A$14,"Poner a mano")))))))</f>
        <v/>
      </c>
      <c r="BE61" s="448" t="s">
        <v>1726</v>
      </c>
      <c r="BF61" s="306"/>
      <c r="BG61" s="306"/>
      <c r="BH61" s="306"/>
      <c r="BI61" s="306"/>
    </row>
    <row r="62" spans="1:61" ht="16.2" customHeight="1">
      <c r="A62" s="574" t="s">
        <v>1497</v>
      </c>
      <c r="B62" s="469" t="s">
        <v>1757</v>
      </c>
      <c r="C62" s="3">
        <f>+$C$60+$G$61</f>
        <v>1160.1999999999998</v>
      </c>
      <c r="D62" s="88"/>
      <c r="E62" s="4"/>
      <c r="F62" s="4">
        <v>-400</v>
      </c>
      <c r="G62" s="6"/>
      <c r="H62" s="468" t="s">
        <v>366</v>
      </c>
      <c r="I62" s="468"/>
      <c r="J62" s="3"/>
      <c r="K62" s="468"/>
      <c r="L62" s="468" t="s">
        <v>38</v>
      </c>
      <c r="M62" s="468" t="s">
        <v>1625</v>
      </c>
      <c r="N62" s="468" t="s">
        <v>33</v>
      </c>
      <c r="O62" s="468"/>
      <c r="P62" s="468"/>
      <c r="Q62" s="4"/>
      <c r="R62" s="6"/>
      <c r="S62" s="6"/>
      <c r="T62" s="4">
        <v>30</v>
      </c>
      <c r="U62" s="4"/>
      <c r="V62" s="4"/>
      <c r="W62" s="9">
        <v>1.4</v>
      </c>
      <c r="X62" s="9"/>
      <c r="Y62" s="9"/>
      <c r="Z62" s="9"/>
      <c r="AA62" s="9"/>
      <c r="AB62" s="9"/>
      <c r="AC62" s="468" t="str">
        <f t="shared" si="1"/>
        <v>PHC</v>
      </c>
      <c r="AD62" s="468"/>
      <c r="AE62" s="468"/>
      <c r="AF62" s="4"/>
      <c r="AG62" s="88"/>
      <c r="AH62" s="4"/>
      <c r="AI62" s="4"/>
      <c r="AJ62" s="468"/>
      <c r="AK62" s="468"/>
      <c r="AL62" s="468"/>
      <c r="AM62" s="468" t="s">
        <v>486</v>
      </c>
      <c r="AN62" s="10">
        <v>5.5</v>
      </c>
      <c r="AO62" s="9"/>
      <c r="AP62" s="9"/>
      <c r="AQ62" s="9"/>
      <c r="AR62" s="9"/>
      <c r="AS62" s="9"/>
      <c r="AT62" s="9">
        <f>+ab($T$62,$T$60,$T$64,$G$61,$G$63,-1*$F$62,1200)</f>
        <v>2.5870117301713553</v>
      </c>
      <c r="AU62" s="447"/>
      <c r="AV62" s="447"/>
      <c r="AW62" s="468" t="s">
        <v>2557</v>
      </c>
      <c r="AX62" s="468" t="s">
        <v>199</v>
      </c>
      <c r="AY62" s="10"/>
      <c r="AZ62" s="10"/>
      <c r="BA62" s="553" t="str">
        <f t="shared" si="2"/>
        <v/>
      </c>
      <c r="BB62" s="553" t="str">
        <f t="shared" si="3"/>
        <v/>
      </c>
      <c r="BC62" s="553" t="str">
        <f t="shared" si="4"/>
        <v>ü</v>
      </c>
      <c r="BD62" s="572" t="str">
        <f>IF(AND(L62="",H62=""),"",
IF(H62="",Pole_Calc!A$9,
IF(H62="MP",Pole_Calc!A$10,
IF(H62="AnMP",Pole_Calc!A$11,
IF(H62="A",Pole_Calc!A$12,
IF(H62="S/A",Pole_Calc!A$13,
IF(H62="A/S",Pole_Calc!A$14,"Poner a mano")))))))</f>
        <v>App.7-V11H-P9.5.1.2</v>
      </c>
      <c r="BE62" s="448" t="s">
        <v>1726</v>
      </c>
      <c r="BF62" s="305"/>
      <c r="BG62" s="305"/>
      <c r="BH62" s="306"/>
      <c r="BI62" s="305"/>
    </row>
    <row r="63" spans="1:61" ht="16.2" customHeight="1">
      <c r="A63" s="574" t="s">
        <v>1497</v>
      </c>
      <c r="B63" s="469"/>
      <c r="C63" s="3"/>
      <c r="D63" s="88"/>
      <c r="E63" s="4"/>
      <c r="F63" s="4"/>
      <c r="G63" s="6">
        <v>29.7</v>
      </c>
      <c r="H63" s="468"/>
      <c r="I63" s="4">
        <f>SUM(G63:G91)</f>
        <v>662.30000000000007</v>
      </c>
      <c r="J63" s="3"/>
      <c r="K63" s="468"/>
      <c r="L63" s="468"/>
      <c r="M63" s="468" t="str">
        <f>IF(L63="","",
IF(AX63="PT",VLOOKUP(L63,Foundation_Calc!$V$4:$X$37,VLOOKUP(AX63,Foundation_Calc!$I$10:$J$13,2,FALSE),0),
IF(AX63="K",VLOOKUP(L63,Foundation_Calc!$V$41:$X$74,VLOOKUP(AX63,Foundation_Calc!$I$10:$J$13,2,FALSE),0),"")))</f>
        <v/>
      </c>
      <c r="N63" s="468"/>
      <c r="O63" s="468"/>
      <c r="P63" s="468"/>
      <c r="Q63" s="4"/>
      <c r="R63" s="6"/>
      <c r="S63" s="6"/>
      <c r="T63" s="4"/>
      <c r="U63" s="4"/>
      <c r="V63" s="4"/>
      <c r="W63" s="9"/>
      <c r="X63" s="9"/>
      <c r="Y63" s="9"/>
      <c r="Z63" s="9"/>
      <c r="AA63" s="9"/>
      <c r="AB63" s="9"/>
      <c r="AC63" s="468" t="str">
        <f t="shared" si="1"/>
        <v/>
      </c>
      <c r="AD63" s="468"/>
      <c r="AE63" s="468"/>
      <c r="AF63" s="4"/>
      <c r="AG63" s="88"/>
      <c r="AH63" s="4"/>
      <c r="AI63" s="4"/>
      <c r="AJ63" s="468"/>
      <c r="AK63" s="468"/>
      <c r="AL63" s="468"/>
      <c r="AM63" s="468"/>
      <c r="AN63" s="10"/>
      <c r="AO63" s="9"/>
      <c r="AP63" s="9"/>
      <c r="AQ63" s="9">
        <f>+FL_1($T$64,$T$62,$G$63,1200,9.28,-1*$F$64)</f>
        <v>0.30000000000003563</v>
      </c>
      <c r="AR63" s="9"/>
      <c r="AS63" s="9"/>
      <c r="AT63" s="9"/>
      <c r="AU63" s="447"/>
      <c r="AV63" s="447"/>
      <c r="AW63" s="468"/>
      <c r="AX63" s="468"/>
      <c r="AY63" s="10"/>
      <c r="AZ63" s="10"/>
      <c r="BA63" s="553" t="str">
        <f t="shared" si="2"/>
        <v/>
      </c>
      <c r="BB63" s="553" t="str">
        <f t="shared" si="3"/>
        <v/>
      </c>
      <c r="BC63" s="553" t="str">
        <f t="shared" si="4"/>
        <v/>
      </c>
      <c r="BD63" s="572" t="str">
        <f>IF(AND(L63="",H63=""),"",
IF(H63="",Pole_Calc!A$9,
IF(H63="MP",Pole_Calc!A$10,
IF(H63="AnMP",Pole_Calc!A$11,
IF(H63="A",Pole_Calc!A$12,
IF(H63="S/A",Pole_Calc!A$13,
IF(H63="A/S",Pole_Calc!A$14,"Poner a mano")))))))</f>
        <v/>
      </c>
      <c r="BE63" s="448" t="s">
        <v>1726</v>
      </c>
      <c r="BF63" s="306"/>
      <c r="BG63" s="306"/>
      <c r="BH63" s="306"/>
      <c r="BI63" s="306"/>
    </row>
    <row r="64" spans="1:61" ht="16.2" customHeight="1">
      <c r="A64" s="574" t="s">
        <v>1497</v>
      </c>
      <c r="B64" s="469" t="s">
        <v>1758</v>
      </c>
      <c r="C64" s="3">
        <f>+$C$62+$G$63</f>
        <v>1189.8999999999999</v>
      </c>
      <c r="D64" s="88"/>
      <c r="E64" s="4"/>
      <c r="F64" s="4">
        <v>-415</v>
      </c>
      <c r="G64" s="6"/>
      <c r="H64" s="468" t="s">
        <v>365</v>
      </c>
      <c r="I64" s="468"/>
      <c r="J64" s="3"/>
      <c r="K64" s="468"/>
      <c r="L64" s="468" t="s">
        <v>38</v>
      </c>
      <c r="M64" s="468" t="s">
        <v>1625</v>
      </c>
      <c r="N64" s="468" t="s">
        <v>33</v>
      </c>
      <c r="O64" s="468"/>
      <c r="P64" s="468"/>
      <c r="Q64" s="4"/>
      <c r="R64" s="6"/>
      <c r="S64" s="6"/>
      <c r="T64" s="4">
        <v>30</v>
      </c>
      <c r="U64" s="4"/>
      <c r="V64" s="4"/>
      <c r="W64" s="9">
        <v>1.4</v>
      </c>
      <c r="X64" s="9"/>
      <c r="Y64" s="9"/>
      <c r="Z64" s="9"/>
      <c r="AA64" s="9"/>
      <c r="AB64" s="9"/>
      <c r="AC64" s="468" t="str">
        <f t="shared" si="1"/>
        <v>PHC</v>
      </c>
      <c r="AD64" s="468"/>
      <c r="AE64" s="468"/>
      <c r="AF64" s="4"/>
      <c r="AG64" s="88"/>
      <c r="AH64" s="4"/>
      <c r="AI64" s="4"/>
      <c r="AJ64" s="468"/>
      <c r="AK64" s="468"/>
      <c r="AL64" s="468"/>
      <c r="AM64" s="468" t="s">
        <v>486</v>
      </c>
      <c r="AN64" s="10">
        <v>5.5</v>
      </c>
      <c r="AO64" s="9"/>
      <c r="AP64" s="9"/>
      <c r="AQ64" s="9"/>
      <c r="AR64" s="9"/>
      <c r="AS64" s="9"/>
      <c r="AT64" s="9">
        <f>+ab($T$64,$T$62,$T$66,$G$63,$G$65,-1*$F$64,1200)</f>
        <v>2.7205333127278033</v>
      </c>
      <c r="AU64" s="447"/>
      <c r="AV64" s="447"/>
      <c r="AW64" s="468" t="s">
        <v>2557</v>
      </c>
      <c r="AX64" s="468" t="s">
        <v>199</v>
      </c>
      <c r="AY64" s="10"/>
      <c r="AZ64" s="10"/>
      <c r="BA64" s="553" t="str">
        <f t="shared" si="2"/>
        <v/>
      </c>
      <c r="BB64" s="553" t="str">
        <f t="shared" si="3"/>
        <v/>
      </c>
      <c r="BC64" s="553" t="str">
        <f t="shared" si="4"/>
        <v>ü</v>
      </c>
      <c r="BD64" s="572" t="str">
        <f>IF(AND(L64="",H64=""),"",
IF(H64="",Pole_Calc!A$9,
IF(H64="MP",Pole_Calc!A$10,
IF(H64="AnMP",Pole_Calc!A$11,
IF(H64="A",Pole_Calc!A$12,
IF(H64="S/A",Pole_Calc!A$13,
IF(H64="A/S",Pole_Calc!A$14,"Poner a mano")))))))</f>
        <v>App.7-V11H-P9.5.1.3</v>
      </c>
      <c r="BE64" s="448" t="s">
        <v>1726</v>
      </c>
      <c r="BF64" s="305"/>
      <c r="BG64" s="305"/>
      <c r="BH64" s="306"/>
      <c r="BI64" s="305"/>
    </row>
    <row r="65" spans="1:61" ht="16.2" customHeight="1">
      <c r="A65" s="574" t="s">
        <v>1497</v>
      </c>
      <c r="B65" s="469"/>
      <c r="C65" s="3"/>
      <c r="D65" s="88"/>
      <c r="E65" s="4"/>
      <c r="F65" s="4"/>
      <c r="G65" s="6">
        <v>28.8</v>
      </c>
      <c r="H65" s="468"/>
      <c r="I65" s="468"/>
      <c r="J65" s="3">
        <f>C64+7.5</f>
        <v>1197.3999999999999</v>
      </c>
      <c r="K65" s="468" t="s">
        <v>2576</v>
      </c>
      <c r="L65" s="468"/>
      <c r="M65" s="468" t="str">
        <f>IF(L65="","",
IF(AX65="PT",VLOOKUP(L65,Foundation_Calc!$V$4:$X$37,VLOOKUP(AX65,Foundation_Calc!$I$10:$J$13,2,FALSE),0),
IF(AX65="K",VLOOKUP(L65,Foundation_Calc!$V$41:$X$74,VLOOKUP(AX65,Foundation_Calc!$I$10:$J$13,2,FALSE),0),"")))</f>
        <v/>
      </c>
      <c r="N65" s="468"/>
      <c r="O65" s="468"/>
      <c r="P65" s="468"/>
      <c r="Q65" s="4"/>
      <c r="R65" s="6"/>
      <c r="S65" s="6"/>
      <c r="T65" s="4"/>
      <c r="U65" s="4"/>
      <c r="V65" s="4"/>
      <c r="W65" s="9"/>
      <c r="X65" s="9"/>
      <c r="Y65" s="9"/>
      <c r="Z65" s="9"/>
      <c r="AA65" s="9"/>
      <c r="AB65" s="9"/>
      <c r="AC65" s="468" t="str">
        <f t="shared" si="1"/>
        <v/>
      </c>
      <c r="AD65" s="468"/>
      <c r="AE65" s="468"/>
      <c r="AF65" s="4"/>
      <c r="AG65" s="88"/>
      <c r="AH65" s="4"/>
      <c r="AI65" s="4"/>
      <c r="AJ65" s="468"/>
      <c r="AK65" s="468"/>
      <c r="AL65" s="468"/>
      <c r="AM65" s="468"/>
      <c r="AN65" s="10"/>
      <c r="AO65" s="9"/>
      <c r="AP65" s="9"/>
      <c r="AQ65" s="9">
        <f>+FL_1($T$66,$T$64,$G$65,1200,9.28,-1*$F$66)</f>
        <v>0.3</v>
      </c>
      <c r="AR65" s="9"/>
      <c r="AS65" s="9"/>
      <c r="AT65" s="9"/>
      <c r="AU65" s="447"/>
      <c r="AV65" s="447"/>
      <c r="AW65" s="468"/>
      <c r="AX65" s="468"/>
      <c r="AY65" s="10"/>
      <c r="AZ65" s="10"/>
      <c r="BA65" s="553" t="str">
        <f t="shared" si="2"/>
        <v/>
      </c>
      <c r="BB65" s="553" t="str">
        <f t="shared" si="3"/>
        <v/>
      </c>
      <c r="BC65" s="553" t="str">
        <f t="shared" si="4"/>
        <v/>
      </c>
      <c r="BD65" s="572" t="str">
        <f>IF(AND(L65="",H65=""),"",
IF(H65="",Pole_Calc!A$9,
IF(H65="MP",Pole_Calc!A$10,
IF(H65="AnMP",Pole_Calc!A$11,
IF(H65="A",Pole_Calc!A$12,
IF(H65="S/A",Pole_Calc!A$13,
IF(H65="A/S",Pole_Calc!A$14,"Poner a mano")))))))</f>
        <v/>
      </c>
      <c r="BE65" s="448" t="s">
        <v>1726</v>
      </c>
      <c r="BF65" s="306"/>
      <c r="BG65" s="306"/>
      <c r="BH65" s="306"/>
      <c r="BI65" s="306"/>
    </row>
    <row r="66" spans="1:61" ht="16.2" customHeight="1">
      <c r="A66" s="574" t="s">
        <v>1497</v>
      </c>
      <c r="B66" s="469" t="s">
        <v>1759</v>
      </c>
      <c r="C66" s="3">
        <f>+$C$64+$G$65</f>
        <v>1218.6999999999998</v>
      </c>
      <c r="D66" s="88"/>
      <c r="E66" s="4"/>
      <c r="F66" s="4">
        <v>-1259.69</v>
      </c>
      <c r="G66" s="6"/>
      <c r="H66" s="468"/>
      <c r="I66" s="468"/>
      <c r="J66" s="3"/>
      <c r="K66" s="468"/>
      <c r="L66" s="468" t="s">
        <v>38</v>
      </c>
      <c r="M66" s="468" t="s">
        <v>1625</v>
      </c>
      <c r="N66" s="468" t="s">
        <v>33</v>
      </c>
      <c r="O66" s="468"/>
      <c r="P66" s="468"/>
      <c r="Q66" s="4"/>
      <c r="R66" s="6"/>
      <c r="S66" s="6"/>
      <c r="T66" s="4">
        <v>30</v>
      </c>
      <c r="U66" s="4"/>
      <c r="V66" s="4"/>
      <c r="W66" s="9">
        <v>1.4</v>
      </c>
      <c r="X66" s="9"/>
      <c r="Y66" s="9"/>
      <c r="Z66" s="9"/>
      <c r="AA66" s="9"/>
      <c r="AB66" s="9"/>
      <c r="AC66" s="468" t="str">
        <f t="shared" si="1"/>
        <v>PHQ</v>
      </c>
      <c r="AD66" s="468"/>
      <c r="AE66" s="468"/>
      <c r="AF66" s="4"/>
      <c r="AG66" s="88"/>
      <c r="AH66" s="4"/>
      <c r="AI66" s="4"/>
      <c r="AJ66" s="468"/>
      <c r="AK66" s="468"/>
      <c r="AL66" s="468"/>
      <c r="AM66" s="468" t="s">
        <v>486</v>
      </c>
      <c r="AN66" s="10">
        <v>5.5</v>
      </c>
      <c r="AO66" s="9"/>
      <c r="AP66" s="9"/>
      <c r="AQ66" s="9"/>
      <c r="AR66" s="9"/>
      <c r="AS66" s="9"/>
      <c r="AT66" s="9">
        <f>+ab($T$66,$T$64,$T$68,$G$65,$G$67,-1*$F$66,1200)</f>
        <v>7.0324614453332295</v>
      </c>
      <c r="AU66" s="447"/>
      <c r="AV66" s="447"/>
      <c r="AW66" s="468" t="s">
        <v>2557</v>
      </c>
      <c r="AX66" s="468" t="s">
        <v>199</v>
      </c>
      <c r="AY66" s="10"/>
      <c r="AZ66" s="10"/>
      <c r="BA66" s="553" t="str">
        <f t="shared" si="2"/>
        <v/>
      </c>
      <c r="BB66" s="553" t="str">
        <f t="shared" si="3"/>
        <v/>
      </c>
      <c r="BC66" s="553" t="str">
        <f t="shared" si="4"/>
        <v>ü</v>
      </c>
      <c r="BD66" s="572" t="str">
        <f>IF(AND(L66="",H66=""),"",
IF(H66="",Pole_Calc!A$9,
IF(H66="MP",Pole_Calc!A$10,
IF(H66="AnMP",Pole_Calc!A$11,
IF(H66="A",Pole_Calc!A$12,
IF(H66="S/A",Pole_Calc!A$13,
IF(H66="A/S",Pole_Calc!A$14,"Poner a mano")))))))</f>
        <v>App.7-V11H-P9.5.1.1</v>
      </c>
      <c r="BE66" s="448" t="s">
        <v>1726</v>
      </c>
      <c r="BF66" s="305"/>
      <c r="BG66" s="305"/>
      <c r="BH66" s="306"/>
      <c r="BI66" s="305"/>
    </row>
    <row r="67" spans="1:61" ht="16.2" customHeight="1">
      <c r="A67" s="574" t="s">
        <v>1497</v>
      </c>
      <c r="B67" s="469"/>
      <c r="C67" s="3"/>
      <c r="D67" s="88"/>
      <c r="E67" s="4"/>
      <c r="F67" s="4"/>
      <c r="G67" s="6">
        <v>39.6</v>
      </c>
      <c r="H67" s="468"/>
      <c r="I67" s="468"/>
      <c r="J67" s="3"/>
      <c r="K67" s="468"/>
      <c r="L67" s="468"/>
      <c r="M67" s="468" t="str">
        <f>IF(L67="","",
IF(AX67="PT",VLOOKUP(L67,Foundation_Calc!$V$4:$X$37,VLOOKUP(AX67,Foundation_Calc!$I$10:$J$13,2,FALSE),0),
IF(AX67="K",VLOOKUP(L67,Foundation_Calc!$V$41:$X$74,VLOOKUP(AX67,Foundation_Calc!$I$10:$J$13,2,FALSE),0),"")))</f>
        <v/>
      </c>
      <c r="N67" s="468"/>
      <c r="O67" s="468"/>
      <c r="P67" s="468"/>
      <c r="Q67" s="4"/>
      <c r="R67" s="6"/>
      <c r="S67" s="6"/>
      <c r="T67" s="4"/>
      <c r="U67" s="4"/>
      <c r="V67" s="4"/>
      <c r="W67" s="9"/>
      <c r="X67" s="9"/>
      <c r="Y67" s="9"/>
      <c r="Z67" s="9"/>
      <c r="AA67" s="9"/>
      <c r="AB67" s="9"/>
      <c r="AC67" s="468" t="str">
        <f t="shared" si="1"/>
        <v/>
      </c>
      <c r="AD67" s="468"/>
      <c r="AE67" s="468"/>
      <c r="AF67" s="4"/>
      <c r="AG67" s="88"/>
      <c r="AH67" s="4"/>
      <c r="AI67" s="4"/>
      <c r="AJ67" s="468"/>
      <c r="AK67" s="468"/>
      <c r="AL67" s="468"/>
      <c r="AM67" s="468"/>
      <c r="AN67" s="10"/>
      <c r="AO67" s="9"/>
      <c r="AP67" s="9"/>
      <c r="AQ67" s="9">
        <f>+FL_1($T$68,$T$66,$G$67,1200,9.28,-1*$F$68)</f>
        <v>0.3</v>
      </c>
      <c r="AR67" s="9"/>
      <c r="AS67" s="9"/>
      <c r="AT67" s="9"/>
      <c r="AU67" s="447"/>
      <c r="AV67" s="447"/>
      <c r="AW67" s="468"/>
      <c r="AX67" s="468"/>
      <c r="AY67" s="10"/>
      <c r="AZ67" s="10"/>
      <c r="BA67" s="553" t="str">
        <f t="shared" si="2"/>
        <v/>
      </c>
      <c r="BB67" s="553" t="str">
        <f t="shared" si="3"/>
        <v/>
      </c>
      <c r="BC67" s="553" t="str">
        <f t="shared" si="4"/>
        <v/>
      </c>
      <c r="BD67" s="572" t="str">
        <f>IF(AND(L67="",H67=""),"",
IF(H67="",Pole_Calc!A$9,
IF(H67="MP",Pole_Calc!A$10,
IF(H67="AnMP",Pole_Calc!A$11,
IF(H67="A",Pole_Calc!A$12,
IF(H67="S/A",Pole_Calc!A$13,
IF(H67="A/S",Pole_Calc!A$14,"Poner a mano")))))))</f>
        <v/>
      </c>
      <c r="BE67" s="448" t="s">
        <v>1726</v>
      </c>
      <c r="BF67" s="306"/>
      <c r="BG67" s="306"/>
      <c r="BH67" s="306"/>
      <c r="BI67" s="306"/>
    </row>
    <row r="68" spans="1:61" ht="16.2" customHeight="1">
      <c r="A68" s="574" t="s">
        <v>1497</v>
      </c>
      <c r="B68" s="469" t="s">
        <v>1760</v>
      </c>
      <c r="C68" s="3">
        <f>+$C$66+$G$67</f>
        <v>1258.2999999999997</v>
      </c>
      <c r="D68" s="88"/>
      <c r="E68" s="4"/>
      <c r="F68" s="4">
        <v>-1259.69</v>
      </c>
      <c r="G68" s="6"/>
      <c r="H68" s="468"/>
      <c r="I68" s="468"/>
      <c r="J68" s="3"/>
      <c r="K68" s="468"/>
      <c r="L68" s="468" t="s">
        <v>449</v>
      </c>
      <c r="M68" s="468" t="s">
        <v>1625</v>
      </c>
      <c r="N68" s="468" t="s">
        <v>33</v>
      </c>
      <c r="O68" s="468"/>
      <c r="P68" s="468"/>
      <c r="Q68" s="4"/>
      <c r="R68" s="6"/>
      <c r="S68" s="6"/>
      <c r="T68" s="4">
        <v>30</v>
      </c>
      <c r="U68" s="4"/>
      <c r="V68" s="4"/>
      <c r="W68" s="9">
        <v>1.4</v>
      </c>
      <c r="X68" s="9"/>
      <c r="Y68" s="9"/>
      <c r="Z68" s="9"/>
      <c r="AA68" s="9"/>
      <c r="AB68" s="9"/>
      <c r="AC68" s="468" t="str">
        <f t="shared" si="1"/>
        <v>PHC</v>
      </c>
      <c r="AD68" s="468"/>
      <c r="AE68" s="468"/>
      <c r="AF68" s="4"/>
      <c r="AG68" s="88"/>
      <c r="AH68" s="4"/>
      <c r="AI68" s="4"/>
      <c r="AJ68" s="468"/>
      <c r="AK68" s="468"/>
      <c r="AL68" s="468"/>
      <c r="AM68" s="468" t="s">
        <v>486</v>
      </c>
      <c r="AN68" s="10">
        <v>5.5</v>
      </c>
      <c r="AO68" s="9"/>
      <c r="AP68" s="9"/>
      <c r="AQ68" s="9"/>
      <c r="AR68" s="9"/>
      <c r="AS68" s="9"/>
      <c r="AT68" s="9">
        <f>+ab($T$68,$T$66,$T$70,$G$67,$G$69,-1*$F$68,1200)</f>
        <v>4.1112331717338098</v>
      </c>
      <c r="AU68" s="447"/>
      <c r="AV68" s="447"/>
      <c r="AW68" s="468" t="s">
        <v>2558</v>
      </c>
      <c r="AX68" s="468" t="s">
        <v>199</v>
      </c>
      <c r="AY68" s="10"/>
      <c r="AZ68" s="10"/>
      <c r="BA68" s="553" t="str">
        <f t="shared" si="2"/>
        <v/>
      </c>
      <c r="BB68" s="553" t="str">
        <f t="shared" si="3"/>
        <v/>
      </c>
      <c r="BC68" s="553" t="str">
        <f t="shared" si="4"/>
        <v>ü</v>
      </c>
      <c r="BD68" s="572" t="str">
        <f>IF(AND(L68="",H68=""),"",
IF(H68="",Pole_Calc!A$9,
IF(H68="MP",Pole_Calc!A$10,
IF(H68="AnMP",Pole_Calc!A$11,
IF(H68="A",Pole_Calc!A$12,
IF(H68="S/A",Pole_Calc!A$13,
IF(H68="A/S",Pole_Calc!A$14,"Poner a mano")))))))</f>
        <v>App.7-V11H-P9.5.1.1</v>
      </c>
      <c r="BE68" s="448" t="s">
        <v>1726</v>
      </c>
      <c r="BF68" s="305"/>
      <c r="BG68" s="305"/>
      <c r="BH68" s="306"/>
      <c r="BI68" s="305"/>
    </row>
    <row r="69" spans="1:61" ht="16.2" customHeight="1">
      <c r="A69" s="574" t="s">
        <v>1497</v>
      </c>
      <c r="B69" s="469"/>
      <c r="C69" s="3"/>
      <c r="D69" s="88"/>
      <c r="E69" s="4"/>
      <c r="F69" s="4"/>
      <c r="G69" s="6">
        <v>40</v>
      </c>
      <c r="H69" s="468"/>
      <c r="I69" s="468"/>
      <c r="J69" s="3"/>
      <c r="K69" s="468"/>
      <c r="L69" s="468"/>
      <c r="M69" s="468" t="str">
        <f>IF(L69="","",
IF(AX69="PT",VLOOKUP(L69,Foundation_Calc!$V$4:$X$37,VLOOKUP(AX69,Foundation_Calc!$I$10:$J$13,2,FALSE),0),
IF(AX69="K",VLOOKUP(L69,Foundation_Calc!$V$41:$X$74,VLOOKUP(AX69,Foundation_Calc!$I$10:$J$13,2,FALSE),0),"")))</f>
        <v/>
      </c>
      <c r="N69" s="468"/>
      <c r="O69" s="468"/>
      <c r="P69" s="468"/>
      <c r="Q69" s="4"/>
      <c r="R69" s="6"/>
      <c r="S69" s="6"/>
      <c r="T69" s="4"/>
      <c r="U69" s="4"/>
      <c r="V69" s="4"/>
      <c r="W69" s="9"/>
      <c r="X69" s="9"/>
      <c r="Y69" s="9"/>
      <c r="Z69" s="9"/>
      <c r="AA69" s="9"/>
      <c r="AB69" s="9"/>
      <c r="AC69" s="468" t="str">
        <f t="shared" si="1"/>
        <v/>
      </c>
      <c r="AD69" s="468"/>
      <c r="AE69" s="468"/>
      <c r="AF69" s="4"/>
      <c r="AG69" s="88"/>
      <c r="AH69" s="4"/>
      <c r="AI69" s="4"/>
      <c r="AJ69" s="468"/>
      <c r="AK69" s="468"/>
      <c r="AL69" s="468"/>
      <c r="AM69" s="468"/>
      <c r="AN69" s="10"/>
      <c r="AO69" s="9"/>
      <c r="AP69" s="9"/>
      <c r="AQ69" s="9">
        <f>+FL_1($T$70,$T$68,$G$69,1200,9.28,-1*$F$70)</f>
        <v>0.2999999999999996</v>
      </c>
      <c r="AR69" s="9"/>
      <c r="AS69" s="9"/>
      <c r="AT69" s="9"/>
      <c r="AU69" s="447"/>
      <c r="AV69" s="447"/>
      <c r="AW69" s="468"/>
      <c r="AX69" s="468"/>
      <c r="AY69" s="10"/>
      <c r="AZ69" s="10"/>
      <c r="BA69" s="553" t="str">
        <f t="shared" si="2"/>
        <v/>
      </c>
      <c r="BB69" s="553" t="str">
        <f t="shared" si="3"/>
        <v/>
      </c>
      <c r="BC69" s="553" t="str">
        <f t="shared" si="4"/>
        <v/>
      </c>
      <c r="BD69" s="572" t="str">
        <f>IF(AND(L69="",H69=""),"",
IF(H69="",Pole_Calc!A$9,
IF(H69="MP",Pole_Calc!A$10,
IF(H69="AnMP",Pole_Calc!A$11,
IF(H69="A",Pole_Calc!A$12,
IF(H69="S/A",Pole_Calc!A$13,
IF(H69="A/S",Pole_Calc!A$14,"Poner a mano")))))))</f>
        <v/>
      </c>
      <c r="BE69" s="448" t="s">
        <v>1726</v>
      </c>
      <c r="BF69" s="306"/>
      <c r="BG69" s="306"/>
      <c r="BH69" s="306"/>
      <c r="BI69" s="306"/>
    </row>
    <row r="70" spans="1:61" ht="16.2" customHeight="1">
      <c r="A70" s="574" t="s">
        <v>1497</v>
      </c>
      <c r="B70" s="469" t="s">
        <v>1761</v>
      </c>
      <c r="C70" s="3">
        <f>+$C$68+$G$69</f>
        <v>1298.2999999999997</v>
      </c>
      <c r="D70" s="88"/>
      <c r="E70" s="4"/>
      <c r="F70" s="4">
        <v>-5500</v>
      </c>
      <c r="G70" s="6"/>
      <c r="H70" s="468"/>
      <c r="I70" s="468"/>
      <c r="J70" s="3"/>
      <c r="K70" s="468"/>
      <c r="L70" s="468" t="s">
        <v>448</v>
      </c>
      <c r="M70" s="468" t="s">
        <v>1625</v>
      </c>
      <c r="N70" s="468" t="s">
        <v>32</v>
      </c>
      <c r="O70" s="468"/>
      <c r="P70" s="468"/>
      <c r="Q70" s="4"/>
      <c r="R70" s="6"/>
      <c r="S70" s="6"/>
      <c r="T70" s="4">
        <v>-30</v>
      </c>
      <c r="U70" s="4"/>
      <c r="V70" s="4"/>
      <c r="W70" s="9">
        <v>1.4</v>
      </c>
      <c r="X70" s="9"/>
      <c r="Y70" s="9"/>
      <c r="Z70" s="9"/>
      <c r="AA70" s="9"/>
      <c r="AB70" s="9"/>
      <c r="AC70" s="468" t="str">
        <f t="shared" si="1"/>
        <v>PH</v>
      </c>
      <c r="AD70" s="468"/>
      <c r="AE70" s="468"/>
      <c r="AF70" s="4"/>
      <c r="AG70" s="88"/>
      <c r="AH70" s="4"/>
      <c r="AI70" s="4"/>
      <c r="AJ70" s="468"/>
      <c r="AK70" s="468"/>
      <c r="AL70" s="468"/>
      <c r="AM70" s="468" t="s">
        <v>486</v>
      </c>
      <c r="AN70" s="10">
        <v>5.5</v>
      </c>
      <c r="AO70" s="9"/>
      <c r="AP70" s="9"/>
      <c r="AQ70" s="9"/>
      <c r="AR70" s="9"/>
      <c r="AS70" s="9"/>
      <c r="AT70" s="9">
        <f>+ab($T$70,$T$68,$T$72,$G$69,$G$71,-1*$F$70,1200)</f>
        <v>-8.3829435690853504</v>
      </c>
      <c r="AU70" s="447"/>
      <c r="AV70" s="447"/>
      <c r="AW70" s="468" t="s">
        <v>2559</v>
      </c>
      <c r="AX70" s="468" t="s">
        <v>199</v>
      </c>
      <c r="AY70" s="10"/>
      <c r="AZ70" s="10"/>
      <c r="BA70" s="553" t="str">
        <f t="shared" ref="BA70:BA137" si="5">IF(AY70="","",IF(AY70&gt;0,"ü",""))</f>
        <v/>
      </c>
      <c r="BB70" s="553" t="str">
        <f t="shared" ref="BB70:BB137" si="6">IF(AZ70="","",IF(AZ70&gt;0,"ü",""))</f>
        <v/>
      </c>
      <c r="BC70" s="553" t="str">
        <f t="shared" si="4"/>
        <v>ü</v>
      </c>
      <c r="BD70" s="572" t="str">
        <f>IF(AND(L70="",H70=""),"",
IF(H70="",Pole_Calc!A$9,
IF(H70="MP",Pole_Calc!A$10,
IF(H70="AnMP",Pole_Calc!A$11,
IF(H70="A",Pole_Calc!A$12,
IF(H70="S/A",Pole_Calc!A$13,
IF(H70="A/S",Pole_Calc!A$14,"Poner a mano")))))))</f>
        <v>App.7-V11H-P9.5.1.1</v>
      </c>
      <c r="BE70" s="448" t="s">
        <v>1726</v>
      </c>
      <c r="BF70" s="305"/>
      <c r="BG70" s="305"/>
      <c r="BH70" s="306"/>
      <c r="BI70" s="305"/>
    </row>
    <row r="71" spans="1:61" ht="16.2" customHeight="1">
      <c r="A71" s="574" t="s">
        <v>1497</v>
      </c>
      <c r="B71" s="469"/>
      <c r="C71" s="3"/>
      <c r="D71" s="88"/>
      <c r="E71" s="4"/>
      <c r="F71" s="4"/>
      <c r="G71" s="6">
        <v>40</v>
      </c>
      <c r="H71" s="468"/>
      <c r="I71" s="468"/>
      <c r="J71" s="3"/>
      <c r="K71" s="468"/>
      <c r="L71" s="468"/>
      <c r="M71" s="468" t="str">
        <f>IF(L71="","",
IF(AX71="PT",VLOOKUP(L71,Foundation_Calc!$V$4:$X$37,VLOOKUP(AX71,Foundation_Calc!$I$10:$J$13,2,FALSE),0),
IF(AX71="K",VLOOKUP(L71,Foundation_Calc!$V$41:$X$74,VLOOKUP(AX71,Foundation_Calc!$I$10:$J$13,2,FALSE),0),"")))</f>
        <v/>
      </c>
      <c r="N71" s="468"/>
      <c r="O71" s="468"/>
      <c r="P71" s="468"/>
      <c r="Q71" s="4"/>
      <c r="R71" s="6"/>
      <c r="S71" s="6"/>
      <c r="T71" s="4"/>
      <c r="U71" s="4"/>
      <c r="V71" s="4"/>
      <c r="W71" s="9"/>
      <c r="X71" s="9"/>
      <c r="Y71" s="9"/>
      <c r="Z71" s="9"/>
      <c r="AA71" s="9"/>
      <c r="AB71" s="9"/>
      <c r="AC71" s="468" t="str">
        <f t="shared" ref="AC71:AC76" si="7">IF(OR(AT71&gt;8,AT71&lt;-8),"PH",
IF(OR(AT71&gt;5,AT71&lt;-5),"PHQ",
IF(OR(AT71&gt;1,AT71&lt;-1),
"PHC","")))</f>
        <v/>
      </c>
      <c r="AD71" s="468"/>
      <c r="AE71" s="468"/>
      <c r="AF71" s="4"/>
      <c r="AG71" s="88"/>
      <c r="AH71" s="4"/>
      <c r="AI71" s="4"/>
      <c r="AJ71" s="468"/>
      <c r="AK71" s="468"/>
      <c r="AL71" s="468"/>
      <c r="AM71" s="468"/>
      <c r="AN71" s="10"/>
      <c r="AO71" s="9"/>
      <c r="AP71" s="9"/>
      <c r="AQ71" s="9">
        <f>+FL_1($T$72,$T$70,$G$71,1200,9.28,-1*$F$72)</f>
        <v>0.3</v>
      </c>
      <c r="AR71" s="9"/>
      <c r="AS71" s="9"/>
      <c r="AT71" s="9"/>
      <c r="AU71" s="447"/>
      <c r="AV71" s="447"/>
      <c r="AW71" s="468"/>
      <c r="AX71" s="468"/>
      <c r="AY71" s="10"/>
      <c r="AZ71" s="10"/>
      <c r="BA71" s="553" t="str">
        <f t="shared" si="5"/>
        <v/>
      </c>
      <c r="BB71" s="553" t="str">
        <f t="shared" si="6"/>
        <v/>
      </c>
      <c r="BC71" s="553" t="str">
        <f t="shared" ref="BC71:BC138" si="8">IF(M71="","",IF(M71="U.S.","ü",IF(M71="U.S. N.D.","ü","")))</f>
        <v/>
      </c>
      <c r="BD71" s="572" t="str">
        <f>IF(AND(L71="",H71=""),"",
IF(H71="",Pole_Calc!A$9,
IF(H71="MP",Pole_Calc!A$10,
IF(H71="AnMP",Pole_Calc!A$11,
IF(H71="A",Pole_Calc!A$12,
IF(H71="S/A",Pole_Calc!A$13,
IF(H71="A/S",Pole_Calc!A$14,"Poner a mano")))))))</f>
        <v/>
      </c>
      <c r="BE71" s="448" t="s">
        <v>1726</v>
      </c>
      <c r="BF71" s="306"/>
      <c r="BG71" s="306"/>
      <c r="BH71" s="306"/>
      <c r="BI71" s="306"/>
    </row>
    <row r="72" spans="1:61" ht="16.2" customHeight="1">
      <c r="A72" s="574" t="s">
        <v>1497</v>
      </c>
      <c r="B72" s="469" t="s">
        <v>1762</v>
      </c>
      <c r="C72" s="3">
        <f>+$C$70+$G$71</f>
        <v>1338.2999999999997</v>
      </c>
      <c r="D72" s="88"/>
      <c r="E72" s="4"/>
      <c r="F72" s="4">
        <v>-1995.3</v>
      </c>
      <c r="G72" s="6"/>
      <c r="H72" s="468"/>
      <c r="I72" s="468"/>
      <c r="J72" s="3"/>
      <c r="K72" s="468"/>
      <c r="L72" s="468" t="s">
        <v>40</v>
      </c>
      <c r="M72" s="468" t="s">
        <v>1625</v>
      </c>
      <c r="N72" s="468" t="s">
        <v>33</v>
      </c>
      <c r="O72" s="468"/>
      <c r="P72" s="468"/>
      <c r="Q72" s="4"/>
      <c r="R72" s="6"/>
      <c r="S72" s="6"/>
      <c r="T72" s="4">
        <v>30</v>
      </c>
      <c r="U72" s="4"/>
      <c r="V72" s="4"/>
      <c r="W72" s="9">
        <v>1.4</v>
      </c>
      <c r="X72" s="9"/>
      <c r="Y72" s="9"/>
      <c r="Z72" s="9"/>
      <c r="AA72" s="9"/>
      <c r="AB72" s="9"/>
      <c r="AC72" s="468" t="str">
        <f t="shared" si="7"/>
        <v>PHQ</v>
      </c>
      <c r="AD72" s="468"/>
      <c r="AE72" s="468"/>
      <c r="AF72" s="4"/>
      <c r="AG72" s="88"/>
      <c r="AH72" s="4"/>
      <c r="AI72" s="4"/>
      <c r="AJ72" s="468"/>
      <c r="AK72" s="468"/>
      <c r="AL72" s="468"/>
      <c r="AM72" s="468" t="s">
        <v>486</v>
      </c>
      <c r="AN72" s="10">
        <v>5.5</v>
      </c>
      <c r="AO72" s="9"/>
      <c r="AP72" s="9"/>
      <c r="AQ72" s="9"/>
      <c r="AR72" s="9"/>
      <c r="AS72" s="9"/>
      <c r="AT72" s="9">
        <f>+ab($T$72,$T$70,$T$74,$G$71,$G$73,-1*$F$72,1200)</f>
        <v>5.4587016323710502</v>
      </c>
      <c r="AU72" s="447"/>
      <c r="AV72" s="447"/>
      <c r="AW72" s="468" t="s">
        <v>2560</v>
      </c>
      <c r="AX72" s="468" t="s">
        <v>199</v>
      </c>
      <c r="AY72" s="10"/>
      <c r="AZ72" s="10"/>
      <c r="BA72" s="553" t="str">
        <f t="shared" si="5"/>
        <v/>
      </c>
      <c r="BB72" s="553" t="str">
        <f t="shared" si="6"/>
        <v/>
      </c>
      <c r="BC72" s="553" t="str">
        <f t="shared" si="8"/>
        <v>ü</v>
      </c>
      <c r="BD72" s="572" t="str">
        <f>IF(AND(L72="",H72=""),"",
IF(H72="",Pole_Calc!A$9,
IF(H72="MP",Pole_Calc!A$10,
IF(H72="AnMP",Pole_Calc!A$11,
IF(H72="A",Pole_Calc!A$12,
IF(H72="S/A",Pole_Calc!A$13,
IF(H72="A/S",Pole_Calc!A$14,"Poner a mano")))))))</f>
        <v>App.7-V11H-P9.5.1.1</v>
      </c>
      <c r="BE72" s="448" t="s">
        <v>1726</v>
      </c>
      <c r="BF72" s="305"/>
      <c r="BG72" s="305"/>
      <c r="BH72" s="306"/>
      <c r="BI72" s="305"/>
    </row>
    <row r="73" spans="1:61" ht="16.2" customHeight="1">
      <c r="A73" s="574" t="s">
        <v>1497</v>
      </c>
      <c r="B73" s="469"/>
      <c r="C73" s="3"/>
      <c r="D73" s="88"/>
      <c r="E73" s="4"/>
      <c r="F73" s="4"/>
      <c r="G73" s="6">
        <v>40</v>
      </c>
      <c r="H73" s="468"/>
      <c r="I73" s="468"/>
      <c r="J73" s="3"/>
      <c r="K73" s="468"/>
      <c r="L73" s="468"/>
      <c r="M73" s="468" t="str">
        <f>IF(L73="","",
IF(AX73="PT",VLOOKUP(L73,Foundation_Calc!$V$4:$X$37,VLOOKUP(AX73,Foundation_Calc!$I$10:$J$13,2,FALSE),0),
IF(AX73="K",VLOOKUP(L73,Foundation_Calc!$V$41:$X$74,VLOOKUP(AX73,Foundation_Calc!$I$10:$J$13,2,FALSE),0),"")))</f>
        <v/>
      </c>
      <c r="N73" s="468"/>
      <c r="O73" s="468"/>
      <c r="P73" s="468"/>
      <c r="Q73" s="4"/>
      <c r="R73" s="6"/>
      <c r="S73" s="6"/>
      <c r="T73" s="4"/>
      <c r="U73" s="4"/>
      <c r="V73" s="4"/>
      <c r="W73" s="9"/>
      <c r="X73" s="9"/>
      <c r="Y73" s="9"/>
      <c r="Z73" s="9"/>
      <c r="AA73" s="9"/>
      <c r="AB73" s="9"/>
      <c r="AC73" s="468" t="str">
        <f t="shared" si="7"/>
        <v/>
      </c>
      <c r="AD73" s="468"/>
      <c r="AE73" s="468"/>
      <c r="AF73" s="4"/>
      <c r="AG73" s="88"/>
      <c r="AH73" s="4"/>
      <c r="AI73" s="4"/>
      <c r="AJ73" s="468"/>
      <c r="AK73" s="468"/>
      <c r="AL73" s="468"/>
      <c r="AM73" s="468"/>
      <c r="AN73" s="10"/>
      <c r="AO73" s="9"/>
      <c r="AP73" s="9"/>
      <c r="AQ73" s="9">
        <f>+FL_1($T$74,$T$72,$G$73,1200,9.28,-1*$F$74)</f>
        <v>0.35442859528111936</v>
      </c>
      <c r="AR73" s="9"/>
      <c r="AS73" s="9"/>
      <c r="AT73" s="9"/>
      <c r="AU73" s="447"/>
      <c r="AV73" s="447"/>
      <c r="AW73" s="468"/>
      <c r="AX73" s="468"/>
      <c r="AY73" s="10"/>
      <c r="AZ73" s="10"/>
      <c r="BA73" s="553" t="str">
        <f t="shared" si="5"/>
        <v/>
      </c>
      <c r="BB73" s="553" t="str">
        <f t="shared" si="6"/>
        <v/>
      </c>
      <c r="BC73" s="553" t="str">
        <f t="shared" si="8"/>
        <v/>
      </c>
      <c r="BD73" s="572" t="str">
        <f>IF(AND(L73="",H73=""),"",
IF(H73="",Pole_Calc!A$9,
IF(H73="MP",Pole_Calc!A$10,
IF(H73="AnMP",Pole_Calc!A$11,
IF(H73="A",Pole_Calc!A$12,
IF(H73="S/A",Pole_Calc!A$13,
IF(H73="A/S",Pole_Calc!A$14,"Poner a mano")))))))</f>
        <v/>
      </c>
      <c r="BE73" s="448" t="s">
        <v>1726</v>
      </c>
      <c r="BF73" s="306"/>
      <c r="BG73" s="306"/>
      <c r="BH73" s="306"/>
      <c r="BI73" s="306"/>
    </row>
    <row r="74" spans="1:61" ht="16.2" customHeight="1">
      <c r="A74" s="574" t="s">
        <v>1497</v>
      </c>
      <c r="B74" s="469" t="s">
        <v>1763</v>
      </c>
      <c r="C74" s="3">
        <f>+$C$72+$G$73</f>
        <v>1378.2999999999997</v>
      </c>
      <c r="D74" s="88"/>
      <c r="E74" s="4"/>
      <c r="F74" s="4">
        <v>-1995.3</v>
      </c>
      <c r="G74" s="6"/>
      <c r="H74" s="468"/>
      <c r="I74" s="468"/>
      <c r="J74" s="3"/>
      <c r="K74" s="468"/>
      <c r="L74" s="468" t="s">
        <v>40</v>
      </c>
      <c r="M74" s="468" t="s">
        <v>1625</v>
      </c>
      <c r="N74" s="468" t="s">
        <v>33</v>
      </c>
      <c r="O74" s="468"/>
      <c r="P74" s="468"/>
      <c r="Q74" s="4"/>
      <c r="R74" s="6"/>
      <c r="S74" s="6"/>
      <c r="T74" s="4">
        <v>30</v>
      </c>
      <c r="U74" s="4"/>
      <c r="V74" s="4"/>
      <c r="W74" s="9">
        <v>1.4</v>
      </c>
      <c r="X74" s="9"/>
      <c r="Y74" s="9"/>
      <c r="Z74" s="9"/>
      <c r="AA74" s="9"/>
      <c r="AB74" s="9"/>
      <c r="AC74" s="468" t="str">
        <f t="shared" si="7"/>
        <v>PH</v>
      </c>
      <c r="AD74" s="468"/>
      <c r="AE74" s="468"/>
      <c r="AF74" s="4"/>
      <c r="AG74" s="88"/>
      <c r="AH74" s="4"/>
      <c r="AI74" s="4"/>
      <c r="AJ74" s="468"/>
      <c r="AK74" s="468"/>
      <c r="AL74" s="468"/>
      <c r="AM74" s="468" t="s">
        <v>486</v>
      </c>
      <c r="AN74" s="10">
        <v>5.5</v>
      </c>
      <c r="AO74" s="9"/>
      <c r="AP74" s="9"/>
      <c r="AQ74" s="9"/>
      <c r="AR74" s="9"/>
      <c r="AS74" s="9"/>
      <c r="AT74" s="9">
        <f>+ab($T$74,$T$72,$T$76,$G$73,$G$75,-1*$F$74,1200)</f>
        <v>8.9358591115867245</v>
      </c>
      <c r="AU74" s="447"/>
      <c r="AV74" s="447"/>
      <c r="AW74" s="468" t="s">
        <v>2560</v>
      </c>
      <c r="AX74" s="468" t="s">
        <v>199</v>
      </c>
      <c r="AY74" s="10"/>
      <c r="AZ74" s="10"/>
      <c r="BA74" s="553" t="str">
        <f t="shared" si="5"/>
        <v/>
      </c>
      <c r="BB74" s="553" t="str">
        <f t="shared" si="6"/>
        <v/>
      </c>
      <c r="BC74" s="553" t="str">
        <f t="shared" si="8"/>
        <v>ü</v>
      </c>
      <c r="BD74" s="572" t="str">
        <f>IF(AND(L74="",H74=""),"",
IF(H74="",Pole_Calc!A$9,
IF(H74="MP",Pole_Calc!A$10,
IF(H74="AnMP",Pole_Calc!A$11,
IF(H74="A",Pole_Calc!A$12,
IF(H74="S/A",Pole_Calc!A$13,
IF(H74="A/S",Pole_Calc!A$14,"Poner a mano")))))))</f>
        <v>App.7-V11H-P9.5.1.1</v>
      </c>
      <c r="BE74" s="448" t="s">
        <v>1726</v>
      </c>
      <c r="BF74" s="305"/>
      <c r="BG74" s="305"/>
      <c r="BH74" s="306"/>
      <c r="BI74" s="305"/>
    </row>
    <row r="75" spans="1:61" ht="16.2" customHeight="1">
      <c r="A75" s="574" t="s">
        <v>1497</v>
      </c>
      <c r="B75" s="469"/>
      <c r="C75" s="3"/>
      <c r="D75" s="88"/>
      <c r="E75" s="4"/>
      <c r="F75" s="4"/>
      <c r="G75" s="6">
        <v>45</v>
      </c>
      <c r="H75" s="468"/>
      <c r="I75" s="468"/>
      <c r="J75" s="3"/>
      <c r="K75" s="468"/>
      <c r="L75" s="468"/>
      <c r="M75" s="468" t="str">
        <f>IF(L75="","",
IF(AX75="PT",VLOOKUP(L75,Foundation_Calc!$V$4:$X$37,VLOOKUP(AX75,Foundation_Calc!$I$10:$J$13,2,FALSE),0),
IF(AX75="K",VLOOKUP(L75,Foundation_Calc!$V$41:$X$74,VLOOKUP(AX75,Foundation_Calc!$I$10:$J$13,2,FALSE),0),"")))</f>
        <v/>
      </c>
      <c r="N75" s="468"/>
      <c r="O75" s="468"/>
      <c r="P75" s="468"/>
      <c r="Q75" s="4"/>
      <c r="R75" s="6"/>
      <c r="S75" s="6"/>
      <c r="T75" s="4"/>
      <c r="U75" s="4"/>
      <c r="V75" s="4"/>
      <c r="W75" s="9"/>
      <c r="X75" s="9"/>
      <c r="Y75" s="9"/>
      <c r="Z75" s="9"/>
      <c r="AA75" s="9"/>
      <c r="AB75" s="9"/>
      <c r="AC75" s="468" t="str">
        <f t="shared" si="7"/>
        <v/>
      </c>
      <c r="AD75" s="468"/>
      <c r="AE75" s="468"/>
      <c r="AF75" s="4"/>
      <c r="AG75" s="88"/>
      <c r="AH75" s="4"/>
      <c r="AI75" s="4"/>
      <c r="AJ75" s="468"/>
      <c r="AK75" s="468"/>
      <c r="AL75" s="468"/>
      <c r="AM75" s="468"/>
      <c r="AN75" s="10"/>
      <c r="AO75" s="9"/>
      <c r="AP75" s="9"/>
      <c r="AQ75" s="9">
        <f>+FL_1($T$76,$T$74,$G$75,1200,9.28,-1*$F$76)</f>
        <v>0.36888534439908832</v>
      </c>
      <c r="AR75" s="9"/>
      <c r="AS75" s="9"/>
      <c r="AT75" s="9"/>
      <c r="AU75" s="447"/>
      <c r="AV75" s="447"/>
      <c r="AW75" s="468"/>
      <c r="AX75" s="468"/>
      <c r="AY75" s="10"/>
      <c r="AZ75" s="10"/>
      <c r="BA75" s="553" t="str">
        <f t="shared" si="5"/>
        <v/>
      </c>
      <c r="BB75" s="553" t="str">
        <f t="shared" si="6"/>
        <v/>
      </c>
      <c r="BC75" s="553" t="str">
        <f t="shared" si="8"/>
        <v/>
      </c>
      <c r="BD75" s="572" t="str">
        <f>IF(AND(L75="",H75=""),"",
IF(H75="",Pole_Calc!A$9,
IF(H75="MP",Pole_Calc!A$10,
IF(H75="AnMP",Pole_Calc!A$11,
IF(H75="A",Pole_Calc!A$12,
IF(H75="S/A",Pole_Calc!A$13,
IF(H75="A/S",Pole_Calc!A$14,"Poner a mano")))))))</f>
        <v/>
      </c>
      <c r="BE75" s="448" t="s">
        <v>1726</v>
      </c>
      <c r="BF75" s="306"/>
      <c r="BG75" s="306"/>
      <c r="BH75" s="306"/>
      <c r="BI75" s="306"/>
    </row>
    <row r="76" spans="1:61" ht="16.2" customHeight="1">
      <c r="A76" s="574" t="s">
        <v>1497</v>
      </c>
      <c r="B76" s="469" t="s">
        <v>1764</v>
      </c>
      <c r="C76" s="3">
        <f>+$C$74+$G$75</f>
        <v>1423.2999999999997</v>
      </c>
      <c r="D76" s="88"/>
      <c r="E76" s="4"/>
      <c r="F76" s="4">
        <v>-1995.3</v>
      </c>
      <c r="G76" s="6"/>
      <c r="H76" s="468"/>
      <c r="I76" s="468"/>
      <c r="J76" s="3"/>
      <c r="K76" s="468"/>
      <c r="L76" s="468" t="s">
        <v>448</v>
      </c>
      <c r="M76" s="468" t="s">
        <v>1625</v>
      </c>
      <c r="N76" s="468" t="s">
        <v>33</v>
      </c>
      <c r="O76" s="468"/>
      <c r="P76" s="468"/>
      <c r="Q76" s="4"/>
      <c r="R76" s="6"/>
      <c r="S76" s="6"/>
      <c r="T76" s="4">
        <v>30</v>
      </c>
      <c r="U76" s="4"/>
      <c r="V76" s="4"/>
      <c r="W76" s="9">
        <v>1.4</v>
      </c>
      <c r="X76" s="9"/>
      <c r="Y76" s="9"/>
      <c r="Z76" s="9"/>
      <c r="AA76" s="9"/>
      <c r="AB76" s="9"/>
      <c r="AC76" s="468" t="str">
        <f t="shared" si="7"/>
        <v>PH</v>
      </c>
      <c r="AD76" s="468"/>
      <c r="AE76" s="468"/>
      <c r="AF76" s="4"/>
      <c r="AG76" s="88"/>
      <c r="AH76" s="4"/>
      <c r="AI76" s="4"/>
      <c r="AJ76" s="468"/>
      <c r="AK76" s="468"/>
      <c r="AL76" s="468"/>
      <c r="AM76" s="468" t="s">
        <v>486</v>
      </c>
      <c r="AN76" s="10">
        <v>5.5</v>
      </c>
      <c r="AO76" s="9"/>
      <c r="AP76" s="9"/>
      <c r="AQ76" s="9"/>
      <c r="AR76" s="9"/>
      <c r="AS76" s="9"/>
      <c r="AT76" s="9">
        <f>+ab($T$76,$T$74,$T$78,$G$75,$G$77,-1*$F$76,1200)</f>
        <v>8.5308616931018815</v>
      </c>
      <c r="AU76" s="447"/>
      <c r="AV76" s="447"/>
      <c r="AW76" s="468" t="s">
        <v>2559</v>
      </c>
      <c r="AX76" s="468" t="s">
        <v>199</v>
      </c>
      <c r="AY76" s="10"/>
      <c r="AZ76" s="10"/>
      <c r="BA76" s="553" t="str">
        <f t="shared" si="5"/>
        <v/>
      </c>
      <c r="BB76" s="553" t="str">
        <f t="shared" si="6"/>
        <v/>
      </c>
      <c r="BC76" s="553" t="str">
        <f t="shared" si="8"/>
        <v>ü</v>
      </c>
      <c r="BD76" s="572" t="str">
        <f>IF(AND(L76="",H76=""),"",
IF(H76="",Pole_Calc!A$9,
IF(H76="MP",Pole_Calc!A$10,
IF(H76="AnMP",Pole_Calc!A$11,
IF(H76="A",Pole_Calc!A$12,
IF(H76="S/A",Pole_Calc!A$13,
IF(H76="A/S",Pole_Calc!A$14,"Poner a mano")))))))</f>
        <v>App.7-V11H-P9.5.1.1</v>
      </c>
      <c r="BE76" s="448" t="s">
        <v>1726</v>
      </c>
      <c r="BF76" s="305"/>
      <c r="BG76" s="305"/>
      <c r="BH76" s="306"/>
      <c r="BI76" s="305"/>
    </row>
    <row r="77" spans="1:61" ht="16.2" customHeight="1">
      <c r="A77" s="574" t="s">
        <v>1497</v>
      </c>
      <c r="B77" s="469"/>
      <c r="C77" s="3"/>
      <c r="D77" s="88"/>
      <c r="E77" s="4"/>
      <c r="F77" s="4"/>
      <c r="G77" s="6">
        <v>44.1</v>
      </c>
      <c r="H77" s="468"/>
      <c r="I77" s="468"/>
      <c r="J77" s="3"/>
      <c r="K77" s="468"/>
      <c r="L77" s="468"/>
      <c r="M77" s="468" t="str">
        <f>IF(L77="","",
IF(AX77="PT",VLOOKUP(L77,Foundation_Calc!$V$4:$X$37,VLOOKUP(AX77,Foundation_Calc!$I$10:$J$13,2,FALSE),0),
IF(AX77="K",VLOOKUP(L77,Foundation_Calc!$V$41:$X$74,VLOOKUP(AX77,Foundation_Calc!$I$10:$J$13,2,FALSE),0),"")))</f>
        <v/>
      </c>
      <c r="N77" s="468"/>
      <c r="O77" s="468"/>
      <c r="P77" s="468"/>
      <c r="Q77" s="4"/>
      <c r="R77" s="6"/>
      <c r="S77" s="6"/>
      <c r="T77" s="4"/>
      <c r="U77" s="4"/>
      <c r="V77" s="4"/>
      <c r="W77" s="9"/>
      <c r="X77" s="9"/>
      <c r="Y77" s="9"/>
      <c r="Z77" s="9"/>
      <c r="AA77" s="9"/>
      <c r="AB77" s="9"/>
      <c r="AC77" s="468" t="str">
        <f t="shared" ref="AC77:AC137" si="9">IF(OR(AT77&gt;8,AT77&lt;-8),"PH",
IF(OR(AT77&gt;5,AT77&lt;-5),"PHQ",
IF(OR(AT77&gt;1,AT77&lt;-1),
"PHC","")))</f>
        <v/>
      </c>
      <c r="AD77" s="468"/>
      <c r="AE77" s="468"/>
      <c r="AF77" s="4"/>
      <c r="AG77" s="88"/>
      <c r="AH77" s="4"/>
      <c r="AI77" s="4"/>
      <c r="AJ77" s="468"/>
      <c r="AK77" s="468"/>
      <c r="AL77" s="468"/>
      <c r="AM77" s="468"/>
      <c r="AN77" s="10"/>
      <c r="AO77" s="9"/>
      <c r="AP77" s="9"/>
      <c r="AQ77" s="9">
        <f>+FL_1($T$78,$T$76,$G$77,1200,9.28,-1*$F$78)</f>
        <v>0.36615763815795688</v>
      </c>
      <c r="AR77" s="9"/>
      <c r="AS77" s="9"/>
      <c r="AT77" s="9"/>
      <c r="AU77" s="447"/>
      <c r="AV77" s="447"/>
      <c r="AW77" s="468"/>
      <c r="AX77" s="468"/>
      <c r="AY77" s="10"/>
      <c r="AZ77" s="10"/>
      <c r="BA77" s="553" t="str">
        <f t="shared" si="5"/>
        <v/>
      </c>
      <c r="BB77" s="553" t="str">
        <f t="shared" si="6"/>
        <v/>
      </c>
      <c r="BC77" s="553" t="str">
        <f t="shared" si="8"/>
        <v/>
      </c>
      <c r="BD77" s="572" t="str">
        <f>IF(AND(L77="",H77=""),"",
IF(H77="",Pole_Calc!A$9,
IF(H77="MP",Pole_Calc!A$10,
IF(H77="AnMP",Pole_Calc!A$11,
IF(H77="A",Pole_Calc!A$12,
IF(H77="S/A",Pole_Calc!A$13,
IF(H77="A/S",Pole_Calc!A$14,"Poner a mano")))))))</f>
        <v/>
      </c>
      <c r="BE77" s="448" t="s">
        <v>1726</v>
      </c>
      <c r="BF77" s="306"/>
      <c r="BG77" s="306"/>
      <c r="BH77" s="306"/>
      <c r="BI77" s="306"/>
    </row>
    <row r="78" spans="1:61" ht="16.2" customHeight="1">
      <c r="A78" s="574" t="s">
        <v>1497</v>
      </c>
      <c r="B78" s="469" t="s">
        <v>1765</v>
      </c>
      <c r="C78" s="3">
        <f>+$C$76+$G$77</f>
        <v>1467.3999999999996</v>
      </c>
      <c r="D78" s="88"/>
      <c r="E78" s="4"/>
      <c r="F78" s="4">
        <v>-1995.3</v>
      </c>
      <c r="G78" s="6"/>
      <c r="H78" s="468"/>
      <c r="I78" s="468"/>
      <c r="J78" s="3"/>
      <c r="K78" s="468"/>
      <c r="L78" s="468" t="s">
        <v>449</v>
      </c>
      <c r="M78" s="468" t="s">
        <v>1625</v>
      </c>
      <c r="N78" s="468" t="s">
        <v>33</v>
      </c>
      <c r="O78" s="468"/>
      <c r="P78" s="468"/>
      <c r="Q78" s="4"/>
      <c r="R78" s="6"/>
      <c r="S78" s="6"/>
      <c r="T78" s="4">
        <v>30</v>
      </c>
      <c r="U78" s="4"/>
      <c r="V78" s="4"/>
      <c r="W78" s="9">
        <v>1.4</v>
      </c>
      <c r="X78" s="9"/>
      <c r="Y78" s="9"/>
      <c r="Z78" s="9"/>
      <c r="AA78" s="9"/>
      <c r="AB78" s="9"/>
      <c r="AC78" s="468" t="str">
        <f t="shared" si="9"/>
        <v>PH</v>
      </c>
      <c r="AD78" s="468"/>
      <c r="AE78" s="468"/>
      <c r="AF78" s="4"/>
      <c r="AG78" s="88"/>
      <c r="AH78" s="4"/>
      <c r="AI78" s="4"/>
      <c r="AJ78" s="468"/>
      <c r="AK78" s="468"/>
      <c r="AL78" s="468"/>
      <c r="AM78" s="468" t="s">
        <v>486</v>
      </c>
      <c r="AN78" s="10">
        <v>5.5</v>
      </c>
      <c r="AO78" s="9"/>
      <c r="AP78" s="9"/>
      <c r="AQ78" s="9"/>
      <c r="AR78" s="9"/>
      <c r="AS78" s="9"/>
      <c r="AT78" s="9">
        <f>+ab($T$78,$T$76,$T$80,$G$77,$G$79,-1*$F$78,1200)</f>
        <v>8.4560498435568778</v>
      </c>
      <c r="AU78" s="447"/>
      <c r="AV78" s="447"/>
      <c r="AW78" s="468" t="s">
        <v>2558</v>
      </c>
      <c r="AX78" s="468" t="s">
        <v>199</v>
      </c>
      <c r="AY78" s="10"/>
      <c r="AZ78" s="10"/>
      <c r="BA78" s="553" t="str">
        <f t="shared" si="5"/>
        <v/>
      </c>
      <c r="BB78" s="553" t="str">
        <f t="shared" si="6"/>
        <v/>
      </c>
      <c r="BC78" s="553" t="str">
        <f t="shared" si="8"/>
        <v>ü</v>
      </c>
      <c r="BD78" s="572" t="str">
        <f>IF(AND(L78="",H78=""),"",
IF(H78="",Pole_Calc!A$9,
IF(H78="MP",Pole_Calc!A$10,
IF(H78="AnMP",Pole_Calc!A$11,
IF(H78="A",Pole_Calc!A$12,
IF(H78="S/A",Pole_Calc!A$13,
IF(H78="A/S",Pole_Calc!A$14,"Poner a mano")))))))</f>
        <v>App.7-V11H-P9.5.1.1</v>
      </c>
      <c r="BE78" s="448" t="s">
        <v>1726</v>
      </c>
      <c r="BF78" s="305"/>
      <c r="BG78" s="305"/>
      <c r="BH78" s="306"/>
      <c r="BI78" s="305"/>
    </row>
    <row r="79" spans="1:61" ht="16.2" customHeight="1">
      <c r="A79" s="574" t="s">
        <v>1497</v>
      </c>
      <c r="B79" s="469"/>
      <c r="C79" s="3"/>
      <c r="D79" s="88"/>
      <c r="E79" s="4"/>
      <c r="F79" s="4"/>
      <c r="G79" s="6">
        <v>45.8</v>
      </c>
      <c r="H79" s="468"/>
      <c r="I79" s="468"/>
      <c r="J79" s="3"/>
      <c r="K79" s="468"/>
      <c r="L79" s="468"/>
      <c r="M79" s="468" t="str">
        <f>IF(L79="","",
IF(AX79="PT",VLOOKUP(L79,Foundation_Calc!$V$4:$X$37,VLOOKUP(AX79,Foundation_Calc!$I$10:$J$13,2,FALSE),0),
IF(AX79="K",VLOOKUP(L79,Foundation_Calc!$V$41:$X$74,VLOOKUP(AX79,Foundation_Calc!$I$10:$J$13,2,FALSE),0),"")))</f>
        <v/>
      </c>
      <c r="N79" s="468"/>
      <c r="O79" s="468"/>
      <c r="P79" s="468"/>
      <c r="Q79" s="4"/>
      <c r="R79" s="6"/>
      <c r="S79" s="6"/>
      <c r="T79" s="4"/>
      <c r="U79" s="4"/>
      <c r="V79" s="4"/>
      <c r="W79" s="9"/>
      <c r="X79" s="9"/>
      <c r="Y79" s="9"/>
      <c r="Z79" s="9"/>
      <c r="AA79" s="9"/>
      <c r="AB79" s="9"/>
      <c r="AC79" s="468" t="str">
        <f t="shared" si="9"/>
        <v/>
      </c>
      <c r="AD79" s="468"/>
      <c r="AE79" s="468"/>
      <c r="AF79" s="4"/>
      <c r="AG79" s="88"/>
      <c r="AH79" s="4"/>
      <c r="AI79" s="4"/>
      <c r="AJ79" s="468"/>
      <c r="AK79" s="468"/>
      <c r="AL79" s="468"/>
      <c r="AM79" s="468"/>
      <c r="AN79" s="10"/>
      <c r="AO79" s="9"/>
      <c r="AP79" s="9"/>
      <c r="AQ79" s="9">
        <f>+FL_1($T$80,$T$78,$G$79,1200,9.28,-1*$F$80)</f>
        <v>0.37135622238465171</v>
      </c>
      <c r="AR79" s="9"/>
      <c r="AS79" s="9"/>
      <c r="AT79" s="9"/>
      <c r="AU79" s="447"/>
      <c r="AV79" s="447"/>
      <c r="AW79" s="468"/>
      <c r="AX79" s="468"/>
      <c r="AY79" s="10"/>
      <c r="AZ79" s="10"/>
      <c r="BA79" s="553" t="str">
        <f t="shared" si="5"/>
        <v/>
      </c>
      <c r="BB79" s="553" t="str">
        <f t="shared" si="6"/>
        <v/>
      </c>
      <c r="BC79" s="553" t="str">
        <f t="shared" si="8"/>
        <v/>
      </c>
      <c r="BD79" s="572" t="str">
        <f>IF(AND(L79="",H79=""),"",
IF(H79="",Pole_Calc!A$9,
IF(H79="MP",Pole_Calc!A$10,
IF(H79="AnMP",Pole_Calc!A$11,
IF(H79="A",Pole_Calc!A$12,
IF(H79="S/A",Pole_Calc!A$13,
IF(H79="A/S",Pole_Calc!A$14,"Poner a mano")))))))</f>
        <v/>
      </c>
      <c r="BE79" s="448" t="s">
        <v>1726</v>
      </c>
      <c r="BF79" s="306"/>
      <c r="BG79" s="306"/>
      <c r="BH79" s="306"/>
      <c r="BI79" s="306"/>
    </row>
    <row r="80" spans="1:61" ht="16.2" customHeight="1">
      <c r="A80" s="574" t="s">
        <v>1497</v>
      </c>
      <c r="B80" s="469" t="s">
        <v>1766</v>
      </c>
      <c r="C80" s="3">
        <f>+$C$78+$G$79</f>
        <v>1513.1999999999996</v>
      </c>
      <c r="D80" s="88"/>
      <c r="E80" s="4"/>
      <c r="F80" s="4">
        <v>-1995.3</v>
      </c>
      <c r="G80" s="6"/>
      <c r="H80" s="468"/>
      <c r="I80" s="468"/>
      <c r="J80" s="3"/>
      <c r="K80" s="468"/>
      <c r="L80" s="468" t="s">
        <v>38</v>
      </c>
      <c r="M80" s="468" t="s">
        <v>1625</v>
      </c>
      <c r="N80" s="468" t="s">
        <v>33</v>
      </c>
      <c r="O80" s="468"/>
      <c r="P80" s="468"/>
      <c r="Q80" s="4"/>
      <c r="R80" s="6"/>
      <c r="S80" s="6"/>
      <c r="T80" s="4">
        <v>30</v>
      </c>
      <c r="U80" s="4"/>
      <c r="V80" s="4"/>
      <c r="W80" s="9">
        <v>1.4</v>
      </c>
      <c r="X80" s="9"/>
      <c r="Y80" s="9"/>
      <c r="Z80" s="9"/>
      <c r="AA80" s="9"/>
      <c r="AB80" s="9"/>
      <c r="AC80" s="468" t="str">
        <f t="shared" si="9"/>
        <v>PH</v>
      </c>
      <c r="AD80" s="468"/>
      <c r="AE80" s="468"/>
      <c r="AF80" s="4"/>
      <c r="AG80" s="88"/>
      <c r="AH80" s="4"/>
      <c r="AI80" s="4"/>
      <c r="AJ80" s="468"/>
      <c r="AK80" s="468"/>
      <c r="AL80" s="468"/>
      <c r="AM80" s="468" t="s">
        <v>486</v>
      </c>
      <c r="AN80" s="10">
        <v>5.5</v>
      </c>
      <c r="AO80" s="9"/>
      <c r="AP80" s="9"/>
      <c r="AQ80" s="9"/>
      <c r="AR80" s="9"/>
      <c r="AS80" s="9"/>
      <c r="AT80" s="9">
        <f>+ab($T$80,$T$78,$T$82,$G$79,$G$81,-1*$F$80,1200)</f>
        <v>8.3916499881500268</v>
      </c>
      <c r="AU80" s="447"/>
      <c r="AV80" s="447"/>
      <c r="AW80" s="468" t="s">
        <v>2557</v>
      </c>
      <c r="AX80" s="468" t="s">
        <v>199</v>
      </c>
      <c r="AY80" s="10"/>
      <c r="AZ80" s="10"/>
      <c r="BA80" s="553" t="str">
        <f t="shared" si="5"/>
        <v/>
      </c>
      <c r="BB80" s="553" t="str">
        <f t="shared" si="6"/>
        <v/>
      </c>
      <c r="BC80" s="553" t="str">
        <f t="shared" si="8"/>
        <v>ü</v>
      </c>
      <c r="BD80" s="572" t="str">
        <f>IF(AND(L80="",H80=""),"",
IF(H80="",Pole_Calc!A$9,
IF(H80="MP",Pole_Calc!A$10,
IF(H80="AnMP",Pole_Calc!A$11,
IF(H80="A",Pole_Calc!A$12,
IF(H80="S/A",Pole_Calc!A$13,
IF(H80="A/S",Pole_Calc!A$14,"Poner a mano")))))))</f>
        <v>App.7-V11H-P9.5.1.1</v>
      </c>
      <c r="BE80" s="448" t="s">
        <v>1726</v>
      </c>
      <c r="BF80" s="305"/>
      <c r="BG80" s="305"/>
      <c r="BH80" s="306"/>
      <c r="BI80" s="305"/>
    </row>
    <row r="81" spans="1:61" ht="16.2" customHeight="1">
      <c r="A81" s="574" t="s">
        <v>1497</v>
      </c>
      <c r="B81" s="469"/>
      <c r="C81" s="3"/>
      <c r="D81" s="88"/>
      <c r="E81" s="4"/>
      <c r="F81" s="4"/>
      <c r="G81" s="6">
        <v>44.8</v>
      </c>
      <c r="H81" s="468"/>
      <c r="I81" s="468"/>
      <c r="J81" s="3"/>
      <c r="K81" s="468"/>
      <c r="L81" s="468"/>
      <c r="M81" s="468" t="str">
        <f>IF(L81="","",
IF(AX81="PT",VLOOKUP(L81,Foundation_Calc!$V$4:$X$37,VLOOKUP(AX81,Foundation_Calc!$I$10:$J$13,2,FALSE),0),
IF(AX81="K",VLOOKUP(L81,Foundation_Calc!$V$41:$X$74,VLOOKUP(AX81,Foundation_Calc!$I$10:$J$13,2,FALSE),0),"")))</f>
        <v/>
      </c>
      <c r="N81" s="468"/>
      <c r="O81" s="468"/>
      <c r="P81" s="468"/>
      <c r="Q81" s="4"/>
      <c r="R81" s="6"/>
      <c r="S81" s="6"/>
      <c r="T81" s="4"/>
      <c r="U81" s="4"/>
      <c r="V81" s="4"/>
      <c r="W81" s="9"/>
      <c r="X81" s="9"/>
      <c r="Y81" s="9"/>
      <c r="Z81" s="9"/>
      <c r="AA81" s="9"/>
      <c r="AB81" s="9"/>
      <c r="AC81" s="468" t="str">
        <f t="shared" si="9"/>
        <v/>
      </c>
      <c r="AD81" s="468"/>
      <c r="AE81" s="468"/>
      <c r="AF81" s="4"/>
      <c r="AG81" s="88"/>
      <c r="AH81" s="4"/>
      <c r="AI81" s="4"/>
      <c r="AJ81" s="468"/>
      <c r="AK81" s="468"/>
      <c r="AL81" s="468"/>
      <c r="AM81" s="468"/>
      <c r="AN81" s="10"/>
      <c r="AO81" s="9"/>
      <c r="AP81" s="9"/>
      <c r="AQ81" s="9">
        <f>+FL_1($T$82,$T$80,$G$81,1200,9.28,-1*$F$82)</f>
        <v>0.36827442638021463</v>
      </c>
      <c r="AR81" s="9"/>
      <c r="AS81" s="9"/>
      <c r="AT81" s="9"/>
      <c r="AU81" s="447"/>
      <c r="AV81" s="447"/>
      <c r="AW81" s="468"/>
      <c r="AX81" s="468"/>
      <c r="AY81" s="10"/>
      <c r="AZ81" s="10"/>
      <c r="BA81" s="553" t="str">
        <f t="shared" si="5"/>
        <v/>
      </c>
      <c r="BB81" s="553" t="str">
        <f t="shared" si="6"/>
        <v/>
      </c>
      <c r="BC81" s="553" t="str">
        <f t="shared" si="8"/>
        <v/>
      </c>
      <c r="BD81" s="572" t="str">
        <f>IF(AND(L81="",H81=""),"",
IF(H81="",Pole_Calc!A$9,
IF(H81="MP",Pole_Calc!A$10,
IF(H81="AnMP",Pole_Calc!A$11,
IF(H81="A",Pole_Calc!A$12,
IF(H81="S/A",Pole_Calc!A$13,
IF(H81="A/S",Pole_Calc!A$14,"Poner a mano")))))))</f>
        <v/>
      </c>
      <c r="BE81" s="448" t="s">
        <v>1726</v>
      </c>
      <c r="BF81" s="306"/>
      <c r="BG81" s="306"/>
      <c r="BH81" s="306"/>
      <c r="BI81" s="306"/>
    </row>
    <row r="82" spans="1:61" ht="16.2" customHeight="1">
      <c r="A82" s="574" t="s">
        <v>1497</v>
      </c>
      <c r="B82" s="469" t="s">
        <v>1767</v>
      </c>
      <c r="C82" s="3">
        <f>+$C$80+$G$81</f>
        <v>1557.9999999999995</v>
      </c>
      <c r="D82" s="88"/>
      <c r="E82" s="4"/>
      <c r="F82" s="4">
        <v>-1995.3</v>
      </c>
      <c r="G82" s="6"/>
      <c r="H82" s="468"/>
      <c r="I82" s="468"/>
      <c r="J82" s="3"/>
      <c r="K82" s="468"/>
      <c r="L82" s="468" t="s">
        <v>38</v>
      </c>
      <c r="M82" s="468" t="s">
        <v>1625</v>
      </c>
      <c r="N82" s="468" t="s">
        <v>33</v>
      </c>
      <c r="O82" s="468"/>
      <c r="P82" s="468"/>
      <c r="Q82" s="4"/>
      <c r="R82" s="6"/>
      <c r="S82" s="6"/>
      <c r="T82" s="4">
        <v>30</v>
      </c>
      <c r="U82" s="4"/>
      <c r="V82" s="4"/>
      <c r="W82" s="9">
        <v>1.4</v>
      </c>
      <c r="X82" s="9"/>
      <c r="Y82" s="9"/>
      <c r="Z82" s="9"/>
      <c r="AA82" s="9"/>
      <c r="AB82" s="9"/>
      <c r="AC82" s="468" t="str">
        <f t="shared" si="9"/>
        <v>PH</v>
      </c>
      <c r="AD82" s="468"/>
      <c r="AE82" s="468"/>
      <c r="AF82" s="4"/>
      <c r="AG82" s="88"/>
      <c r="AH82" s="4"/>
      <c r="AI82" s="4"/>
      <c r="AJ82" s="468"/>
      <c r="AK82" s="468"/>
      <c r="AL82" s="468"/>
      <c r="AM82" s="468" t="s">
        <v>486</v>
      </c>
      <c r="AN82" s="10">
        <v>5.5</v>
      </c>
      <c r="AO82" s="9"/>
      <c r="AP82" s="9"/>
      <c r="AQ82" s="9"/>
      <c r="AR82" s="9"/>
      <c r="AS82" s="9"/>
      <c r="AT82" s="9">
        <f>+ab($T$82,$T$80,$T$84,$G$81,$G$83,-1*$F$82,1200)</f>
        <v>8.4560498435568778</v>
      </c>
      <c r="AU82" s="447"/>
      <c r="AV82" s="447"/>
      <c r="AW82" s="468" t="s">
        <v>2557</v>
      </c>
      <c r="AX82" s="468" t="s">
        <v>199</v>
      </c>
      <c r="AY82" s="10"/>
      <c r="AZ82" s="10"/>
      <c r="BA82" s="553" t="str">
        <f t="shared" si="5"/>
        <v/>
      </c>
      <c r="BB82" s="553" t="str">
        <f t="shared" si="6"/>
        <v/>
      </c>
      <c r="BC82" s="553" t="str">
        <f t="shared" si="8"/>
        <v>ü</v>
      </c>
      <c r="BD82" s="572" t="str">
        <f>IF(AND(L82="",H82=""),"",
IF(H82="",Pole_Calc!A$9,
IF(H82="MP",Pole_Calc!A$10,
IF(H82="AnMP",Pole_Calc!A$11,
IF(H82="A",Pole_Calc!A$12,
IF(H82="S/A",Pole_Calc!A$13,
IF(H82="A/S",Pole_Calc!A$14,"Poner a mano")))))))</f>
        <v>App.7-V11H-P9.5.1.1</v>
      </c>
      <c r="BE82" s="448" t="s">
        <v>1726</v>
      </c>
      <c r="BF82" s="305"/>
      <c r="BG82" s="305"/>
      <c r="BH82" s="306"/>
      <c r="BI82" s="305"/>
    </row>
    <row r="83" spans="1:61" ht="16.2" customHeight="1">
      <c r="A83" s="574" t="s">
        <v>1497</v>
      </c>
      <c r="B83" s="469"/>
      <c r="C83" s="3"/>
      <c r="D83" s="88"/>
      <c r="E83" s="4"/>
      <c r="F83" s="4"/>
      <c r="G83" s="6">
        <v>45.1</v>
      </c>
      <c r="H83" s="468"/>
      <c r="I83" s="468"/>
      <c r="J83" s="3"/>
      <c r="K83" s="468"/>
      <c r="L83" s="468"/>
      <c r="M83" s="468" t="str">
        <f>IF(L83="","",
IF(AX83="PT",VLOOKUP(L83,Foundation_Calc!$V$4:$X$37,VLOOKUP(AX83,Foundation_Calc!$I$10:$J$13,2,FALSE),0),
IF(AX83="K",VLOOKUP(L83,Foundation_Calc!$V$41:$X$74,VLOOKUP(AX83,Foundation_Calc!$I$10:$J$13,2,FALSE),0),"")))</f>
        <v/>
      </c>
      <c r="N83" s="468"/>
      <c r="O83" s="468"/>
      <c r="P83" s="468"/>
      <c r="Q83" s="4"/>
      <c r="R83" s="6"/>
      <c r="S83" s="6"/>
      <c r="T83" s="4"/>
      <c r="U83" s="4"/>
      <c r="V83" s="4"/>
      <c r="W83" s="9"/>
      <c r="X83" s="9"/>
      <c r="Y83" s="9"/>
      <c r="Z83" s="9"/>
      <c r="AA83" s="9"/>
      <c r="AB83" s="9"/>
      <c r="AC83" s="468" t="str">
        <f t="shared" si="9"/>
        <v/>
      </c>
      <c r="AD83" s="468"/>
      <c r="AE83" s="468"/>
      <c r="AF83" s="4"/>
      <c r="AG83" s="88"/>
      <c r="AH83" s="4"/>
      <c r="AI83" s="4"/>
      <c r="AJ83" s="468"/>
      <c r="AK83" s="468"/>
      <c r="AL83" s="468"/>
      <c r="AM83" s="468"/>
      <c r="AN83" s="10"/>
      <c r="AO83" s="9"/>
      <c r="AP83" s="9"/>
      <c r="AQ83" s="9">
        <f>+FL_1($T$84,$T$82,$G$83,1200,9.28,-1*$F$84)</f>
        <v>0.36919182363395275</v>
      </c>
      <c r="AR83" s="9"/>
      <c r="AS83" s="9"/>
      <c r="AT83" s="9"/>
      <c r="AU83" s="447"/>
      <c r="AV83" s="447"/>
      <c r="AW83" s="468"/>
      <c r="AX83" s="468"/>
      <c r="AY83" s="10"/>
      <c r="AZ83" s="10"/>
      <c r="BA83" s="553" t="str">
        <f t="shared" si="5"/>
        <v/>
      </c>
      <c r="BB83" s="553" t="str">
        <f t="shared" si="6"/>
        <v/>
      </c>
      <c r="BC83" s="553" t="str">
        <f t="shared" si="8"/>
        <v/>
      </c>
      <c r="BD83" s="572" t="str">
        <f>IF(AND(L83="",H83=""),"",
IF(H83="",Pole_Calc!A$9,
IF(H83="MP",Pole_Calc!A$10,
IF(H83="AnMP",Pole_Calc!A$11,
IF(H83="A",Pole_Calc!A$12,
IF(H83="S/A",Pole_Calc!A$13,
IF(H83="A/S",Pole_Calc!A$14,"Poner a mano")))))))</f>
        <v/>
      </c>
      <c r="BE83" s="448" t="s">
        <v>1726</v>
      </c>
      <c r="BF83" s="306"/>
      <c r="BG83" s="306"/>
      <c r="BH83" s="306"/>
      <c r="BI83" s="306"/>
    </row>
    <row r="84" spans="1:61" ht="16.2" customHeight="1">
      <c r="A84" s="573" t="s">
        <v>1497</v>
      </c>
      <c r="B84" s="469" t="s">
        <v>1768</v>
      </c>
      <c r="C84" s="3">
        <f>+$C$82+$G$83</f>
        <v>1603.0999999999995</v>
      </c>
      <c r="D84" s="88"/>
      <c r="E84" s="4"/>
      <c r="F84" s="4">
        <v>-1995.3</v>
      </c>
      <c r="G84" s="6"/>
      <c r="H84" s="468"/>
      <c r="I84" s="468"/>
      <c r="J84" s="3"/>
      <c r="K84" s="468"/>
      <c r="L84" s="468" t="s">
        <v>38</v>
      </c>
      <c r="M84" s="468" t="s">
        <v>1625</v>
      </c>
      <c r="N84" s="468" t="s">
        <v>33</v>
      </c>
      <c r="O84" s="468"/>
      <c r="P84" s="468"/>
      <c r="Q84" s="4"/>
      <c r="R84" s="6"/>
      <c r="S84" s="6"/>
      <c r="T84" s="4">
        <v>30</v>
      </c>
      <c r="U84" s="4"/>
      <c r="V84" s="4"/>
      <c r="W84" s="9">
        <v>1.4</v>
      </c>
      <c r="X84" s="9"/>
      <c r="Y84" s="9"/>
      <c r="Z84" s="9"/>
      <c r="AA84" s="9"/>
      <c r="AB84" s="9"/>
      <c r="AC84" s="468" t="str">
        <f t="shared" si="9"/>
        <v>PHQ</v>
      </c>
      <c r="AD84" s="468"/>
      <c r="AE84" s="468"/>
      <c r="AF84" s="4"/>
      <c r="AG84" s="88"/>
      <c r="AH84" s="4"/>
      <c r="AI84" s="4"/>
      <c r="AJ84" s="468"/>
      <c r="AK84" s="468"/>
      <c r="AL84" s="468"/>
      <c r="AM84" s="468" t="s">
        <v>486</v>
      </c>
      <c r="AN84" s="10">
        <v>5.5</v>
      </c>
      <c r="AO84" s="9"/>
      <c r="AP84" s="9"/>
      <c r="AQ84" s="9"/>
      <c r="AR84" s="9"/>
      <c r="AS84" s="9"/>
      <c r="AT84" s="9">
        <f>+ab($T$84,$T$82,$T$86,$G$83,$G$85,-1*$F$84,1200)</f>
        <v>7.7660364518817886</v>
      </c>
      <c r="AU84" s="447"/>
      <c r="AV84" s="447"/>
      <c r="AW84" s="468" t="s">
        <v>2557</v>
      </c>
      <c r="AX84" s="468" t="s">
        <v>199</v>
      </c>
      <c r="AY84" s="10"/>
      <c r="AZ84" s="10"/>
      <c r="BA84" s="553" t="str">
        <f t="shared" si="5"/>
        <v/>
      </c>
      <c r="BB84" s="553" t="str">
        <f t="shared" si="6"/>
        <v/>
      </c>
      <c r="BC84" s="553" t="str">
        <f t="shared" si="8"/>
        <v>ü</v>
      </c>
      <c r="BD84" s="572" t="str">
        <f>IF(AND(L84="",H84=""),"",
IF(H84="",Pole_Calc!A$9,
IF(H84="MP",Pole_Calc!A$10,
IF(H84="AnMP",Pole_Calc!A$11,
IF(H84="A",Pole_Calc!A$12,
IF(H84="S/A",Pole_Calc!A$13,
IF(H84="A/S",Pole_Calc!A$14,"Poner a mano")))))))</f>
        <v>App.7-V11H-P9.5.1.1</v>
      </c>
      <c r="BE84" s="448" t="s">
        <v>2459</v>
      </c>
      <c r="BF84" s="305"/>
      <c r="BG84" s="305"/>
      <c r="BH84" s="306"/>
      <c r="BI84" s="305"/>
    </row>
    <row r="85" spans="1:61" ht="16.2" customHeight="1">
      <c r="A85" s="573"/>
      <c r="B85" s="469"/>
      <c r="C85" s="3"/>
      <c r="D85" s="88"/>
      <c r="E85" s="4"/>
      <c r="F85" s="4"/>
      <c r="G85" s="6">
        <v>52.9</v>
      </c>
      <c r="H85" s="468"/>
      <c r="I85" s="468"/>
      <c r="J85" s="3">
        <f>C86-7.5</f>
        <v>1648.4999999999995</v>
      </c>
      <c r="K85" s="468" t="s">
        <v>1095</v>
      </c>
      <c r="L85" s="468"/>
      <c r="M85" s="468" t="str">
        <f>IF(L85="","",
IF(AX85="PT",VLOOKUP(L85,Foundation_Calc!$V$79:$X$112,VLOOKUP(AX85,Foundation_Calc!$I$10:$J$13,2,FALSE),0),
IF(AX85="K",VLOOKUP(L85,Foundation_Calc!$V$116:$X$149,VLOOKUP(AX85,Foundation_Calc!$I$10:$J$13,2,FALSE),0),"")))</f>
        <v/>
      </c>
      <c r="N85" s="468"/>
      <c r="O85" s="468"/>
      <c r="P85" s="468"/>
      <c r="Q85" s="4"/>
      <c r="R85" s="6"/>
      <c r="S85" s="6"/>
      <c r="T85" s="4"/>
      <c r="U85" s="4"/>
      <c r="V85" s="4"/>
      <c r="W85" s="9"/>
      <c r="X85" s="9"/>
      <c r="Y85" s="9"/>
      <c r="Z85" s="9"/>
      <c r="AA85" s="9"/>
      <c r="AB85" s="9"/>
      <c r="AC85" s="468" t="str">
        <f t="shared" si="9"/>
        <v/>
      </c>
      <c r="AD85" s="468"/>
      <c r="AE85" s="468"/>
      <c r="AF85" s="4"/>
      <c r="AG85" s="88"/>
      <c r="AH85" s="4"/>
      <c r="AI85" s="4"/>
      <c r="AJ85" s="468"/>
      <c r="AK85" s="468"/>
      <c r="AL85" s="468"/>
      <c r="AM85" s="468"/>
      <c r="AN85" s="10"/>
      <c r="AO85" s="9"/>
      <c r="AP85" s="9"/>
      <c r="AQ85" s="9">
        <f>+FL_1($T$86,$T$84,$G$85,1200,9.28,-1*$F$86)</f>
        <v>0.39519265463034703</v>
      </c>
      <c r="AR85" s="9"/>
      <c r="AS85" s="9"/>
      <c r="AT85" s="9"/>
      <c r="AU85" s="447"/>
      <c r="AV85" s="447"/>
      <c r="AW85" s="468"/>
      <c r="AX85" s="468"/>
      <c r="AY85" s="10"/>
      <c r="AZ85" s="10"/>
      <c r="BA85" s="553" t="str">
        <f t="shared" si="5"/>
        <v/>
      </c>
      <c r="BB85" s="553" t="str">
        <f t="shared" si="6"/>
        <v/>
      </c>
      <c r="BC85" s="553" t="str">
        <f t="shared" si="8"/>
        <v/>
      </c>
      <c r="BD85" s="572" t="str">
        <f>IF(AND(L85="",H85=""),"",
IF(H85="",Pole_Calc!A$9,
IF(H85="MP",Pole_Calc!A$10,
IF(H85="AnMP",Pole_Calc!A$11,
IF(H85="A",Pole_Calc!A$12,
IF(H85="S/A",Pole_Calc!A$13,
IF(H85="A/S",Pole_Calc!A$14,"Poner a mano")))))))</f>
        <v/>
      </c>
      <c r="BE85" s="448" t="s">
        <v>1726</v>
      </c>
      <c r="BF85" s="306"/>
      <c r="BG85" s="306"/>
      <c r="BH85" s="306"/>
      <c r="BI85" s="306"/>
    </row>
    <row r="86" spans="1:61" ht="16.2" customHeight="1">
      <c r="A86" s="573"/>
      <c r="B86" s="638" t="s">
        <v>1769</v>
      </c>
      <c r="C86" s="3">
        <f>+$C$84+$G$85</f>
        <v>1655.9999999999995</v>
      </c>
      <c r="D86" s="88"/>
      <c r="E86" s="4"/>
      <c r="F86" s="4">
        <v>-1995.3</v>
      </c>
      <c r="G86" s="6"/>
      <c r="H86" s="468" t="s">
        <v>26</v>
      </c>
      <c r="I86" s="4" t="s">
        <v>182</v>
      </c>
      <c r="J86" s="3"/>
      <c r="K86" s="468"/>
      <c r="L86" s="468" t="s">
        <v>38</v>
      </c>
      <c r="M86" s="468" t="s">
        <v>1625</v>
      </c>
      <c r="N86" s="468" t="s">
        <v>33</v>
      </c>
      <c r="O86" s="468"/>
      <c r="P86" s="468"/>
      <c r="Q86" s="4"/>
      <c r="R86" s="6"/>
      <c r="S86" s="6"/>
      <c r="T86" s="4">
        <v>30</v>
      </c>
      <c r="U86" s="4"/>
      <c r="V86" s="4"/>
      <c r="W86" s="9">
        <v>1.4</v>
      </c>
      <c r="X86" s="9"/>
      <c r="Y86" s="9"/>
      <c r="Z86" s="9"/>
      <c r="AA86" s="9"/>
      <c r="AB86" s="9"/>
      <c r="AC86" s="468" t="str">
        <f t="shared" si="9"/>
        <v>PHQ</v>
      </c>
      <c r="AD86" s="468"/>
      <c r="AE86" s="468"/>
      <c r="AF86" s="4"/>
      <c r="AG86" s="88"/>
      <c r="AH86" s="4"/>
      <c r="AI86" s="4"/>
      <c r="AJ86" s="468"/>
      <c r="AK86" s="468"/>
      <c r="AL86" s="468"/>
      <c r="AM86" s="468" t="s">
        <v>486</v>
      </c>
      <c r="AN86" s="10">
        <v>5.5</v>
      </c>
      <c r="AO86" s="9"/>
      <c r="AP86" s="9"/>
      <c r="AQ86" s="9"/>
      <c r="AR86" s="9"/>
      <c r="AS86" s="9"/>
      <c r="AT86" s="9">
        <f>+ab($T$86,$T$84,$T$88,$G$85,$G$87,-1*$F$86,1200)</f>
        <v>6.9525965188501457</v>
      </c>
      <c r="AU86" s="447"/>
      <c r="AV86" s="447"/>
      <c r="AW86" s="468" t="s">
        <v>2572</v>
      </c>
      <c r="AX86" s="468" t="s">
        <v>199</v>
      </c>
      <c r="AY86" s="10"/>
      <c r="AZ86" s="10"/>
      <c r="BA86" s="553" t="str">
        <f t="shared" si="5"/>
        <v/>
      </c>
      <c r="BB86" s="553" t="str">
        <f t="shared" si="6"/>
        <v/>
      </c>
      <c r="BC86" s="553" t="str">
        <f t="shared" si="8"/>
        <v>ü</v>
      </c>
      <c r="BD86" s="572" t="str">
        <f>IF(AND(L86="",H86=""),"",
IF(H86="",Pole_Calc!A$9,
IF(H86="MP",Pole_Calc!A$10,
IF(H86="AnMP",Pole_Calc!A$11,
IF(H86="A",Pole_Calc!A$12,
IF(H86="S/A",Pole_Calc!A$13,
IF(H86="A/S",Pole_Calc!A$14,"Poner a mano")))))))</f>
        <v>App.7-V11H-P9.5.1.6</v>
      </c>
      <c r="BE86" s="448" t="s">
        <v>1726</v>
      </c>
      <c r="BF86" s="305"/>
      <c r="BG86" s="305"/>
      <c r="BH86" s="306"/>
      <c r="BI86" s="305"/>
    </row>
    <row r="87" spans="1:61" ht="16.2" customHeight="1">
      <c r="A87" s="573"/>
      <c r="B87" s="469"/>
      <c r="C87" s="3"/>
      <c r="D87" s="88"/>
      <c r="E87" s="4"/>
      <c r="F87" s="4"/>
      <c r="G87" s="6">
        <v>56.7</v>
      </c>
      <c r="H87" s="468"/>
      <c r="I87" s="468" t="s">
        <v>482</v>
      </c>
      <c r="J87" s="3">
        <f>C88-7.5</f>
        <v>1705.1999999999996</v>
      </c>
      <c r="K87" s="468" t="s">
        <v>1096</v>
      </c>
      <c r="L87" s="468"/>
      <c r="M87" s="468" t="str">
        <f>IF(L87="","",
IF(AX87="PT",VLOOKUP(L87,Foundation_Calc!$V$79:$X$112,VLOOKUP(AX87,Foundation_Calc!$I$10:$J$13,2,FALSE),0),
IF(AX87="K",VLOOKUP(L87,Foundation_Calc!$V$116:$X$149,VLOOKUP(AX87,Foundation_Calc!$I$10:$J$13,2,FALSE),0),"")))</f>
        <v/>
      </c>
      <c r="N87" s="468"/>
      <c r="O87" s="468"/>
      <c r="P87" s="468"/>
      <c r="Q87" s="4"/>
      <c r="R87" s="6"/>
      <c r="S87" s="6"/>
      <c r="T87" s="4"/>
      <c r="U87" s="4"/>
      <c r="V87" s="4"/>
      <c r="W87" s="9"/>
      <c r="X87" s="9"/>
      <c r="Y87" s="9"/>
      <c r="Z87" s="9"/>
      <c r="AA87" s="9"/>
      <c r="AB87" s="9"/>
      <c r="AC87" s="468" t="str">
        <f t="shared" si="9"/>
        <v/>
      </c>
      <c r="AD87" s="468"/>
      <c r="AE87" s="468"/>
      <c r="AF87" s="4"/>
      <c r="AG87" s="88"/>
      <c r="AH87" s="4"/>
      <c r="AI87" s="4"/>
      <c r="AJ87" s="468"/>
      <c r="AK87" s="468"/>
      <c r="AL87" s="468"/>
      <c r="AM87" s="468"/>
      <c r="AN87" s="10"/>
      <c r="AO87" s="9"/>
      <c r="AP87" s="9"/>
      <c r="AQ87" s="9">
        <f>+FL_1($T$88,$T$86,$G$87,1200,9.28,-1*$F$88)</f>
        <v>0.40935860997946516</v>
      </c>
      <c r="AR87" s="9"/>
      <c r="AS87" s="9"/>
      <c r="AT87" s="9"/>
      <c r="AU87" s="447"/>
      <c r="AV87" s="447"/>
      <c r="AW87" s="468"/>
      <c r="AX87" s="468"/>
      <c r="AY87" s="10"/>
      <c r="AZ87" s="10"/>
      <c r="BA87" s="553" t="str">
        <f t="shared" si="5"/>
        <v/>
      </c>
      <c r="BB87" s="553" t="str">
        <f t="shared" si="6"/>
        <v/>
      </c>
      <c r="BC87" s="553" t="str">
        <f t="shared" si="8"/>
        <v/>
      </c>
      <c r="BD87" s="572" t="str">
        <f>IF(AND(L87="",H87=""),"",
IF(H87="",Pole_Calc!A$9,
IF(H87="MP",Pole_Calc!A$10,
IF(H87="AnMP",Pole_Calc!A$11,
IF(H87="A",Pole_Calc!A$12,
IF(H87="S/A",Pole_Calc!A$13,
IF(H87="A/S",Pole_Calc!A$14,"Poner a mano")))))))</f>
        <v/>
      </c>
      <c r="BE87" s="448" t="s">
        <v>1726</v>
      </c>
      <c r="BF87" s="306"/>
      <c r="BG87" s="306"/>
      <c r="BH87" s="306"/>
      <c r="BI87" s="306"/>
    </row>
    <row r="88" spans="1:61" ht="16.2" customHeight="1">
      <c r="A88" s="573"/>
      <c r="B88" s="638" t="s">
        <v>1770</v>
      </c>
      <c r="C88" s="3">
        <f>+$C$86+$G$87</f>
        <v>1712.6999999999996</v>
      </c>
      <c r="D88" s="88"/>
      <c r="E88" s="4"/>
      <c r="F88" s="4">
        <v>-1995.3</v>
      </c>
      <c r="G88" s="6"/>
      <c r="H88" s="468" t="s">
        <v>179</v>
      </c>
      <c r="I88" s="4">
        <f>SUM(G87:G107)</f>
        <v>583.90000000000009</v>
      </c>
      <c r="J88" s="3"/>
      <c r="K88" s="468"/>
      <c r="L88" s="468" t="s">
        <v>38</v>
      </c>
      <c r="M88" s="468" t="s">
        <v>1625</v>
      </c>
      <c r="N88" s="468" t="s">
        <v>28</v>
      </c>
      <c r="O88" s="468" t="s">
        <v>33</v>
      </c>
      <c r="P88" s="468"/>
      <c r="Q88" s="4"/>
      <c r="R88" s="6"/>
      <c r="S88" s="6"/>
      <c r="T88" s="4">
        <v>30</v>
      </c>
      <c r="U88" s="4">
        <v>10</v>
      </c>
      <c r="V88" s="4"/>
      <c r="W88" s="9">
        <v>1.4</v>
      </c>
      <c r="X88" s="9">
        <v>2.2000000000000002</v>
      </c>
      <c r="Y88" s="9"/>
      <c r="Z88" s="9">
        <v>0.5</v>
      </c>
      <c r="AA88" s="9"/>
      <c r="AB88" s="9"/>
      <c r="AC88" s="468"/>
      <c r="AD88" s="468"/>
      <c r="AE88" s="468"/>
      <c r="AF88" s="4"/>
      <c r="AG88" s="88"/>
      <c r="AH88" s="4"/>
      <c r="AI88" s="4"/>
      <c r="AJ88" s="468"/>
      <c r="AK88" s="468"/>
      <c r="AL88" s="468"/>
      <c r="AM88" s="468" t="s">
        <v>486</v>
      </c>
      <c r="AN88" s="10">
        <v>5.5</v>
      </c>
      <c r="AO88" s="9"/>
      <c r="AP88" s="9"/>
      <c r="AQ88" s="9"/>
      <c r="AR88" s="9"/>
      <c r="AS88" s="9"/>
      <c r="AT88" s="9">
        <f>+ab($U$88,$T$86,$U$90,$G$87,$G$89,-1*$F$88,1200)</f>
        <v>7.8034904661162043</v>
      </c>
      <c r="AU88" s="447"/>
      <c r="AV88" s="447"/>
      <c r="AW88" s="468" t="s">
        <v>2572</v>
      </c>
      <c r="AX88" s="468" t="s">
        <v>199</v>
      </c>
      <c r="AY88" s="10"/>
      <c r="AZ88" s="10"/>
      <c r="BA88" s="553" t="str">
        <f t="shared" si="5"/>
        <v/>
      </c>
      <c r="BB88" s="553" t="str">
        <f t="shared" si="6"/>
        <v/>
      </c>
      <c r="BC88" s="553" t="str">
        <f t="shared" si="8"/>
        <v>ü</v>
      </c>
      <c r="BD88" s="572" t="str">
        <f>IF(AND(L88="",H88=""),"",
IF(H88="",Pole_Calc!A$9,
IF(H88="MP",Pole_Calc!A$10,
IF(H88="AnMP",Pole_Calc!A$11,
IF(H88="A",Pole_Calc!A$12,
IF(H88="S/A",Pole_Calc!A$13,
IF(H88="A/S",Pole_Calc!A$14,"Poner a mano")))))))</f>
        <v>App.7-V11H-P9.5.1.5</v>
      </c>
      <c r="BE88" s="448" t="s">
        <v>1726</v>
      </c>
      <c r="BF88" s="305"/>
      <c r="BG88" s="305"/>
      <c r="BH88" s="306"/>
      <c r="BI88" s="305"/>
    </row>
    <row r="89" spans="1:61" ht="16.2" customHeight="1">
      <c r="A89" s="573"/>
      <c r="B89" s="469"/>
      <c r="C89" s="3"/>
      <c r="D89" s="88"/>
      <c r="E89" s="4"/>
      <c r="F89" s="4"/>
      <c r="G89" s="6">
        <v>54.9</v>
      </c>
      <c r="H89" s="468"/>
      <c r="I89" s="468" t="s">
        <v>482</v>
      </c>
      <c r="J89" s="3">
        <f>C88+7.5</f>
        <v>1720.1999999999996</v>
      </c>
      <c r="K89" s="468" t="s">
        <v>1096</v>
      </c>
      <c r="L89" s="468"/>
      <c r="M89" s="468" t="str">
        <f>IF(L89="","",
IF(AX89="PT",VLOOKUP(L89,Foundation_Calc!$V$79:$X$112,VLOOKUP(AX89,Foundation_Calc!$I$10:$J$13,2,FALSE),0),
IF(AX89="K",VLOOKUP(L89,Foundation_Calc!$V$116:$X$149,VLOOKUP(AX89,Foundation_Calc!$I$10:$J$13,2,FALSE),0),"")))</f>
        <v/>
      </c>
      <c r="N89" s="468"/>
      <c r="O89" s="468"/>
      <c r="P89" s="468"/>
      <c r="Q89" s="4"/>
      <c r="R89" s="6"/>
      <c r="S89" s="6"/>
      <c r="T89" s="4"/>
      <c r="U89" s="4"/>
      <c r="V89" s="4"/>
      <c r="W89" s="9"/>
      <c r="X89" s="9"/>
      <c r="Y89" s="9"/>
      <c r="Z89" s="9"/>
      <c r="AA89" s="9"/>
      <c r="AB89" s="9"/>
      <c r="AC89" s="468" t="str">
        <f t="shared" si="9"/>
        <v/>
      </c>
      <c r="AD89" s="468"/>
      <c r="AE89" s="468"/>
      <c r="AF89" s="4"/>
      <c r="AG89" s="88"/>
      <c r="AH89" s="4"/>
      <c r="AI89" s="4"/>
      <c r="AJ89" s="468"/>
      <c r="AK89" s="468"/>
      <c r="AL89" s="468"/>
      <c r="AM89" s="468"/>
      <c r="AN89" s="10"/>
      <c r="AO89" s="9"/>
      <c r="AP89" s="9"/>
      <c r="AQ89" s="9">
        <f>+FL_1($T$90,$T$88,$G$89,1200,9.28,-1*$F$90)</f>
        <v>0.40252601449864145</v>
      </c>
      <c r="AR89" s="9"/>
      <c r="AS89" s="9"/>
      <c r="AT89" s="9"/>
      <c r="AU89" s="447"/>
      <c r="AV89" s="447"/>
      <c r="AW89" s="468"/>
      <c r="AX89" s="468"/>
      <c r="AY89" s="10"/>
      <c r="AZ89" s="10"/>
      <c r="BA89" s="553" t="str">
        <f t="shared" si="5"/>
        <v/>
      </c>
      <c r="BB89" s="553" t="str">
        <f t="shared" si="6"/>
        <v/>
      </c>
      <c r="BC89" s="553" t="str">
        <f t="shared" si="8"/>
        <v/>
      </c>
      <c r="BD89" s="572" t="str">
        <f>IF(AND(L89="",H89=""),"",
IF(H89="",Pole_Calc!A$9,
IF(H89="MP",Pole_Calc!A$10,
IF(H89="AnMP",Pole_Calc!A$11,
IF(H89="A",Pole_Calc!A$12,
IF(H89="S/A",Pole_Calc!A$13,
IF(H89="A/S",Pole_Calc!A$14,"Poner a mano")))))))</f>
        <v/>
      </c>
      <c r="BE89" s="448" t="s">
        <v>1726</v>
      </c>
      <c r="BF89" s="306"/>
      <c r="BG89" s="306"/>
      <c r="BH89" s="306"/>
      <c r="BI89" s="306"/>
    </row>
    <row r="90" spans="1:61" ht="16.2" customHeight="1">
      <c r="A90" s="573"/>
      <c r="B90" s="638" t="s">
        <v>1771</v>
      </c>
      <c r="C90" s="3">
        <f>+$C$88+$G$89</f>
        <v>1767.5999999999997</v>
      </c>
      <c r="D90" s="88"/>
      <c r="E90" s="4"/>
      <c r="F90" s="4">
        <v>-1995.3</v>
      </c>
      <c r="G90" s="6"/>
      <c r="H90" s="468" t="s">
        <v>179</v>
      </c>
      <c r="I90" s="4"/>
      <c r="J90" s="3"/>
      <c r="K90" s="468"/>
      <c r="L90" s="468" t="s">
        <v>38</v>
      </c>
      <c r="M90" s="468" t="s">
        <v>1625</v>
      </c>
      <c r="N90" s="468" t="s">
        <v>33</v>
      </c>
      <c r="O90" s="468" t="s">
        <v>28</v>
      </c>
      <c r="P90" s="468"/>
      <c r="Q90" s="4"/>
      <c r="R90" s="6"/>
      <c r="S90" s="6"/>
      <c r="T90" s="4">
        <v>30</v>
      </c>
      <c r="U90" s="4">
        <v>10</v>
      </c>
      <c r="V90" s="4"/>
      <c r="W90" s="9">
        <v>1.4</v>
      </c>
      <c r="X90" s="9">
        <v>2.2000000000000002</v>
      </c>
      <c r="Y90" s="9"/>
      <c r="Z90" s="9"/>
      <c r="AA90" s="9">
        <v>0.5</v>
      </c>
      <c r="AB90" s="9"/>
      <c r="AC90" s="468" t="str">
        <f t="shared" si="9"/>
        <v>PHQ</v>
      </c>
      <c r="AD90" s="468"/>
      <c r="AE90" s="468"/>
      <c r="AF90" s="4"/>
      <c r="AG90" s="88"/>
      <c r="AH90" s="4"/>
      <c r="AI90" s="4"/>
      <c r="AJ90" s="468"/>
      <c r="AK90" s="468"/>
      <c r="AL90" s="468"/>
      <c r="AM90" s="468" t="s">
        <v>486</v>
      </c>
      <c r="AN90" s="10">
        <v>5.5</v>
      </c>
      <c r="AO90" s="9"/>
      <c r="AP90" s="9"/>
      <c r="AQ90" s="9"/>
      <c r="AR90" s="9"/>
      <c r="AS90" s="9"/>
      <c r="AT90" s="9">
        <f>+ab($T$90,$T$88,$T$92,$G$89,$G$91,-1*$F$90,1200)</f>
        <v>6.9400560265774613</v>
      </c>
      <c r="AU90" s="447"/>
      <c r="AV90" s="447"/>
      <c r="AW90" s="468" t="s">
        <v>2572</v>
      </c>
      <c r="AX90" s="468" t="s">
        <v>199</v>
      </c>
      <c r="AY90" s="10"/>
      <c r="AZ90" s="10"/>
      <c r="BA90" s="553" t="str">
        <f t="shared" si="5"/>
        <v/>
      </c>
      <c r="BB90" s="553" t="str">
        <f t="shared" si="6"/>
        <v/>
      </c>
      <c r="BC90" s="553" t="str">
        <f t="shared" si="8"/>
        <v>ü</v>
      </c>
      <c r="BD90" s="572" t="str">
        <f>IF(AND(L90="",H90=""),"",
IF(H90="",Pole_Calc!A$9,
IF(H90="MP",Pole_Calc!A$10,
IF(H90="AnMP",Pole_Calc!A$11,
IF(H90="A",Pole_Calc!A$12,
IF(H90="S/A",Pole_Calc!A$13,
IF(H90="A/S",Pole_Calc!A$14,"Poner a mano")))))))</f>
        <v>App.7-V11H-P9.5.1.5</v>
      </c>
      <c r="BE90" s="448" t="s">
        <v>1726</v>
      </c>
      <c r="BF90" s="305"/>
      <c r="BG90" s="305"/>
      <c r="BH90" s="306"/>
      <c r="BI90" s="305"/>
    </row>
    <row r="91" spans="1:61" ht="16.2" customHeight="1">
      <c r="A91" s="573"/>
      <c r="B91" s="469"/>
      <c r="C91" s="3"/>
      <c r="D91" s="88"/>
      <c r="E91" s="4"/>
      <c r="F91" s="4"/>
      <c r="G91" s="6">
        <v>54.9</v>
      </c>
      <c r="H91" s="468"/>
      <c r="I91" s="468"/>
      <c r="J91" s="3"/>
      <c r="K91" s="468"/>
      <c r="L91" s="468"/>
      <c r="M91" s="468" t="str">
        <f>IF(L91="","",
IF(AX91="PT",VLOOKUP(L91,Foundation_Calc!$V$79:$X$112,VLOOKUP(AX91,Foundation_Calc!$I$10:$J$13,2,FALSE),0),
IF(AX91="K",VLOOKUP(L91,Foundation_Calc!$V$116:$X$149,VLOOKUP(AX91,Foundation_Calc!$I$10:$J$13,2,FALSE),0),"")))</f>
        <v/>
      </c>
      <c r="N91" s="468"/>
      <c r="O91" s="468"/>
      <c r="P91" s="468"/>
      <c r="Q91" s="4"/>
      <c r="R91" s="6"/>
      <c r="S91" s="6"/>
      <c r="T91" s="4"/>
      <c r="U91" s="4"/>
      <c r="V91" s="4"/>
      <c r="W91" s="9"/>
      <c r="X91" s="9"/>
      <c r="Y91" s="9"/>
      <c r="Z91" s="9"/>
      <c r="AA91" s="9"/>
      <c r="AB91" s="9"/>
      <c r="AC91" s="468" t="str">
        <f t="shared" si="9"/>
        <v/>
      </c>
      <c r="AD91" s="468"/>
      <c r="AE91" s="468"/>
      <c r="AF91" s="4"/>
      <c r="AG91" s="88"/>
      <c r="AH91" s="4"/>
      <c r="AI91" s="4"/>
      <c r="AJ91" s="468"/>
      <c r="AK91" s="468"/>
      <c r="AL91" s="468"/>
      <c r="AM91" s="468"/>
      <c r="AN91" s="10"/>
      <c r="AO91" s="9"/>
      <c r="AP91" s="9"/>
      <c r="AQ91" s="9">
        <f>+FL_1($T$92,$T$90,$G$91,1200,9.28,-1*$F$92)</f>
        <v>0.40252601449864145</v>
      </c>
      <c r="AR91" s="9"/>
      <c r="AS91" s="9"/>
      <c r="AT91" s="9"/>
      <c r="AU91" s="447"/>
      <c r="AV91" s="447"/>
      <c r="AW91" s="468"/>
      <c r="AX91" s="468"/>
      <c r="AY91" s="10"/>
      <c r="AZ91" s="10"/>
      <c r="BA91" s="553" t="str">
        <f t="shared" si="5"/>
        <v/>
      </c>
      <c r="BB91" s="553" t="str">
        <f t="shared" si="6"/>
        <v/>
      </c>
      <c r="BC91" s="553" t="str">
        <f t="shared" si="8"/>
        <v/>
      </c>
      <c r="BD91" s="572" t="str">
        <f>IF(AND(L91="",H91=""),"",
IF(H91="",Pole_Calc!A$9,
IF(H91="MP",Pole_Calc!A$10,
IF(H91="AnMP",Pole_Calc!A$11,
IF(H91="A",Pole_Calc!A$12,
IF(H91="S/A",Pole_Calc!A$13,
IF(H91="A/S",Pole_Calc!A$14,"Poner a mano")))))))</f>
        <v/>
      </c>
      <c r="BE91" s="448" t="s">
        <v>1726</v>
      </c>
      <c r="BF91" s="306"/>
      <c r="BG91" s="306"/>
      <c r="BH91" s="306"/>
      <c r="BI91" s="306"/>
    </row>
    <row r="92" spans="1:61" ht="16.2" customHeight="1">
      <c r="A92" s="573"/>
      <c r="B92" s="638" t="s">
        <v>1772</v>
      </c>
      <c r="C92" s="3">
        <f>+$C$90+$G$91</f>
        <v>1822.4999999999998</v>
      </c>
      <c r="D92" s="88"/>
      <c r="E92" s="4"/>
      <c r="F92" s="4">
        <v>-1995.3</v>
      </c>
      <c r="G92" s="6"/>
      <c r="H92" s="468" t="s">
        <v>26</v>
      </c>
      <c r="I92" s="468" t="s">
        <v>182</v>
      </c>
      <c r="J92" s="3"/>
      <c r="K92" s="468"/>
      <c r="L92" s="468" t="s">
        <v>38</v>
      </c>
      <c r="M92" s="468" t="s">
        <v>1625</v>
      </c>
      <c r="N92" s="468" t="s">
        <v>33</v>
      </c>
      <c r="O92" s="468"/>
      <c r="P92" s="468"/>
      <c r="Q92" s="4"/>
      <c r="R92" s="6"/>
      <c r="S92" s="6"/>
      <c r="T92" s="4">
        <v>30</v>
      </c>
      <c r="U92" s="4"/>
      <c r="V92" s="4"/>
      <c r="W92" s="9">
        <v>1.4</v>
      </c>
      <c r="X92" s="9"/>
      <c r="Y92" s="9"/>
      <c r="Z92" s="9"/>
      <c r="AA92" s="9"/>
      <c r="AB92" s="9"/>
      <c r="AC92" s="468" t="str">
        <f t="shared" si="9"/>
        <v>PHQ</v>
      </c>
      <c r="AD92" s="468"/>
      <c r="AE92" s="468"/>
      <c r="AF92" s="4"/>
      <c r="AG92" s="88"/>
      <c r="AH92" s="4"/>
      <c r="AI92" s="4"/>
      <c r="AJ92" s="468"/>
      <c r="AK92" s="468"/>
      <c r="AL92" s="468"/>
      <c r="AM92" s="468" t="s">
        <v>486</v>
      </c>
      <c r="AN92" s="10">
        <v>5.5</v>
      </c>
      <c r="AO92" s="9"/>
      <c r="AP92" s="9"/>
      <c r="AQ92" s="9"/>
      <c r="AR92" s="9"/>
      <c r="AS92" s="9"/>
      <c r="AT92" s="9">
        <f>+ab($T$92,$T$90,$T$94,$G$91,$G$93,-1*$F$92,1200)</f>
        <v>6.9400560265774613</v>
      </c>
      <c r="AU92" s="447"/>
      <c r="AV92" s="447"/>
      <c r="AW92" s="468" t="s">
        <v>2572</v>
      </c>
      <c r="AX92" s="468" t="s">
        <v>199</v>
      </c>
      <c r="AY92" s="10"/>
      <c r="AZ92" s="10"/>
      <c r="BA92" s="553" t="str">
        <f t="shared" si="5"/>
        <v/>
      </c>
      <c r="BB92" s="553" t="str">
        <f t="shared" si="6"/>
        <v/>
      </c>
      <c r="BC92" s="553" t="str">
        <f t="shared" si="8"/>
        <v>ü</v>
      </c>
      <c r="BD92" s="572" t="str">
        <f>IF(AND(L92="",H92=""),"",
IF(H92="",Pole_Calc!A$9,
IF(H92="MP",Pole_Calc!A$10,
IF(H92="AnMP",Pole_Calc!A$11,
IF(H92="A",Pole_Calc!A$12,
IF(H92="S/A",Pole_Calc!A$13,
IF(H92="A/S",Pole_Calc!A$14,"Poner a mano")))))))</f>
        <v>App.7-V11H-P9.5.1.6</v>
      </c>
      <c r="BE92" s="448" t="s">
        <v>1726</v>
      </c>
      <c r="BF92" s="305"/>
      <c r="BG92" s="305"/>
      <c r="BH92" s="306"/>
      <c r="BI92" s="305"/>
    </row>
    <row r="93" spans="1:61" ht="16.2" customHeight="1">
      <c r="A93" s="573"/>
      <c r="B93" s="469"/>
      <c r="C93" s="3"/>
      <c r="D93" s="88"/>
      <c r="E93" s="4"/>
      <c r="F93" s="4"/>
      <c r="G93" s="6">
        <v>54.9</v>
      </c>
      <c r="H93" s="468"/>
      <c r="I93" s="468"/>
      <c r="J93" s="3">
        <f>C92+7.5</f>
        <v>1829.9999999999998</v>
      </c>
      <c r="K93" s="468" t="s">
        <v>1095</v>
      </c>
      <c r="L93" s="468"/>
      <c r="M93" s="468" t="str">
        <f>IF(L93="","",
IF(AX93="PT",VLOOKUP(L93,Foundation_Calc!$V$79:$X$112,VLOOKUP(AX93,Foundation_Calc!$I$10:$J$13,2,FALSE),0),
IF(AX93="K",VLOOKUP(L93,Foundation_Calc!$V$116:$X$149,VLOOKUP(AX93,Foundation_Calc!$I$10:$J$13,2,FALSE),0),"")))</f>
        <v/>
      </c>
      <c r="N93" s="468"/>
      <c r="O93" s="468"/>
      <c r="P93" s="468"/>
      <c r="Q93" s="4"/>
      <c r="R93" s="6"/>
      <c r="S93" s="6"/>
      <c r="T93" s="4"/>
      <c r="U93" s="4"/>
      <c r="V93" s="4"/>
      <c r="W93" s="9"/>
      <c r="X93" s="9"/>
      <c r="Y93" s="9"/>
      <c r="Z93" s="9"/>
      <c r="AA93" s="9"/>
      <c r="AB93" s="9"/>
      <c r="AC93" s="468" t="str">
        <f t="shared" si="9"/>
        <v/>
      </c>
      <c r="AD93" s="468"/>
      <c r="AE93" s="468"/>
      <c r="AF93" s="4"/>
      <c r="AG93" s="88"/>
      <c r="AH93" s="4"/>
      <c r="AI93" s="4"/>
      <c r="AJ93" s="468"/>
      <c r="AK93" s="468"/>
      <c r="AL93" s="468"/>
      <c r="AM93" s="468"/>
      <c r="AN93" s="10"/>
      <c r="AO93" s="9"/>
      <c r="AP93" s="9"/>
      <c r="AQ93" s="9">
        <f>+FL_1($T$94,$T$92,$G$93,1200,9.28,-1*$F$94)</f>
        <v>0.40252601449864145</v>
      </c>
      <c r="AR93" s="9"/>
      <c r="AS93" s="9"/>
      <c r="AT93" s="9"/>
      <c r="AU93" s="447"/>
      <c r="AV93" s="447"/>
      <c r="AW93" s="468"/>
      <c r="AX93" s="468"/>
      <c r="AY93" s="10"/>
      <c r="AZ93" s="10"/>
      <c r="BA93" s="553" t="str">
        <f t="shared" si="5"/>
        <v/>
      </c>
      <c r="BB93" s="553" t="str">
        <f t="shared" si="6"/>
        <v/>
      </c>
      <c r="BC93" s="553" t="str">
        <f t="shared" si="8"/>
        <v/>
      </c>
      <c r="BD93" s="572" t="str">
        <f>IF(AND(L93="",H93=""),"",
IF(H93="",Pole_Calc!A$9,
IF(H93="MP",Pole_Calc!A$10,
IF(H93="AnMP",Pole_Calc!A$11,
IF(H93="A",Pole_Calc!A$12,
IF(H93="S/A",Pole_Calc!A$13,
IF(H93="A/S",Pole_Calc!A$14,"Poner a mano")))))))</f>
        <v/>
      </c>
      <c r="BE93" s="448" t="s">
        <v>1726</v>
      </c>
      <c r="BF93" s="306"/>
      <c r="BG93" s="306"/>
      <c r="BH93" s="306"/>
      <c r="BI93" s="306"/>
    </row>
    <row r="94" spans="1:61" ht="16.2" customHeight="1">
      <c r="A94" s="573"/>
      <c r="B94" s="638" t="s">
        <v>1773</v>
      </c>
      <c r="C94" s="3">
        <f>+$C$92+$G$93</f>
        <v>1877.3999999999999</v>
      </c>
      <c r="D94" s="88"/>
      <c r="E94" s="4"/>
      <c r="F94" s="4">
        <v>-1995.3</v>
      </c>
      <c r="G94" s="6"/>
      <c r="H94" s="468"/>
      <c r="I94" s="468"/>
      <c r="J94" s="3"/>
      <c r="K94" s="468"/>
      <c r="L94" s="468" t="s">
        <v>38</v>
      </c>
      <c r="M94" s="468" t="s">
        <v>1625</v>
      </c>
      <c r="N94" s="468" t="s">
        <v>33</v>
      </c>
      <c r="O94" s="468"/>
      <c r="P94" s="468"/>
      <c r="Q94" s="4"/>
      <c r="R94" s="6"/>
      <c r="S94" s="6"/>
      <c r="T94" s="4">
        <v>30</v>
      </c>
      <c r="U94" s="4"/>
      <c r="V94" s="4"/>
      <c r="W94" s="9">
        <v>1.4</v>
      </c>
      <c r="X94" s="9"/>
      <c r="Y94" s="9"/>
      <c r="Z94" s="9"/>
      <c r="AA94" s="9"/>
      <c r="AB94" s="9"/>
      <c r="AC94" s="468" t="str">
        <f t="shared" si="9"/>
        <v>PHQ</v>
      </c>
      <c r="AD94" s="468"/>
      <c r="AE94" s="468"/>
      <c r="AF94" s="4"/>
      <c r="AG94" s="88"/>
      <c r="AH94" s="4"/>
      <c r="AI94" s="4"/>
      <c r="AJ94" s="468"/>
      <c r="AK94" s="468"/>
      <c r="AL94" s="468"/>
      <c r="AM94" s="468" t="s">
        <v>486</v>
      </c>
      <c r="AN94" s="10">
        <v>5.5</v>
      </c>
      <c r="AO94" s="9"/>
      <c r="AP94" s="9"/>
      <c r="AQ94" s="9"/>
      <c r="AR94" s="9"/>
      <c r="AS94" s="9"/>
      <c r="AT94" s="9">
        <f>+ab($T$94,$T$92,$T$96,$G$93,$G$95,-1*$F$94,1200)</f>
        <v>6.9400560265774613</v>
      </c>
      <c r="AU94" s="447"/>
      <c r="AV94" s="447"/>
      <c r="AW94" s="468" t="s">
        <v>2572</v>
      </c>
      <c r="AX94" s="468" t="s">
        <v>199</v>
      </c>
      <c r="AY94" s="10"/>
      <c r="AZ94" s="10"/>
      <c r="BA94" s="553" t="str">
        <f t="shared" si="5"/>
        <v/>
      </c>
      <c r="BB94" s="553" t="str">
        <f t="shared" si="6"/>
        <v/>
      </c>
      <c r="BC94" s="553" t="str">
        <f t="shared" si="8"/>
        <v>ü</v>
      </c>
      <c r="BD94" s="572" t="str">
        <f>IF(AND(L94="",H94=""),"",
IF(H94="",Pole_Calc!A$9,
IF(H94="MP",Pole_Calc!A$10,
IF(H94="AnMP",Pole_Calc!A$11,
IF(H94="A",Pole_Calc!A$12,
IF(H94="S/A",Pole_Calc!A$13,
IF(H94="A/S",Pole_Calc!A$14,"Poner a mano")))))))</f>
        <v>App.7-V11H-P9.5.1.1</v>
      </c>
      <c r="BE94" s="448" t="s">
        <v>1726</v>
      </c>
      <c r="BF94" s="305"/>
      <c r="BG94" s="305"/>
      <c r="BH94" s="306"/>
      <c r="BI94" s="305"/>
    </row>
    <row r="95" spans="1:61" ht="16.2" customHeight="1">
      <c r="A95" s="573"/>
      <c r="B95" s="469"/>
      <c r="C95" s="3"/>
      <c r="D95" s="88"/>
      <c r="E95" s="4"/>
      <c r="F95" s="4"/>
      <c r="G95" s="6">
        <v>54.9</v>
      </c>
      <c r="H95" s="468"/>
      <c r="I95" s="468"/>
      <c r="J95" s="3"/>
      <c r="K95" s="468"/>
      <c r="L95" s="468"/>
      <c r="M95" s="468" t="str">
        <f>IF(L95="","",
IF(AX95="PT",VLOOKUP(L95,Foundation_Calc!$V$79:$X$112,VLOOKUP(AX95,Foundation_Calc!$I$10:$J$13,2,FALSE),0),
IF(AX95="K",VLOOKUP(L95,Foundation_Calc!$V$116:$X$149,VLOOKUP(AX95,Foundation_Calc!$I$10:$J$13,2,FALSE),0),"")))</f>
        <v/>
      </c>
      <c r="N95" s="468"/>
      <c r="O95" s="468"/>
      <c r="P95" s="468"/>
      <c r="Q95" s="4"/>
      <c r="R95" s="6"/>
      <c r="S95" s="6"/>
      <c r="T95" s="4"/>
      <c r="U95" s="4"/>
      <c r="V95" s="4"/>
      <c r="W95" s="9"/>
      <c r="X95" s="9"/>
      <c r="Y95" s="9"/>
      <c r="Z95" s="9"/>
      <c r="AA95" s="9"/>
      <c r="AB95" s="9"/>
      <c r="AC95" s="468" t="str">
        <f t="shared" si="9"/>
        <v/>
      </c>
      <c r="AD95" s="468"/>
      <c r="AE95" s="468"/>
      <c r="AF95" s="4"/>
      <c r="AG95" s="88"/>
      <c r="AH95" s="4"/>
      <c r="AI95" s="4"/>
      <c r="AJ95" s="468"/>
      <c r="AK95" s="468"/>
      <c r="AL95" s="468"/>
      <c r="AM95" s="468"/>
      <c r="AN95" s="10"/>
      <c r="AO95" s="9"/>
      <c r="AP95" s="9"/>
      <c r="AQ95" s="9">
        <f>+FL_1($T$96,$T$94,$G$95,1200,9.28,-1*$F$96)</f>
        <v>0.40252601449864145</v>
      </c>
      <c r="AR95" s="9"/>
      <c r="AS95" s="9"/>
      <c r="AT95" s="9"/>
      <c r="AU95" s="447"/>
      <c r="AV95" s="447"/>
      <c r="AW95" s="468"/>
      <c r="AX95" s="468"/>
      <c r="AY95" s="10"/>
      <c r="AZ95" s="10"/>
      <c r="BA95" s="553" t="str">
        <f t="shared" si="5"/>
        <v/>
      </c>
      <c r="BB95" s="553" t="str">
        <f t="shared" si="6"/>
        <v/>
      </c>
      <c r="BC95" s="553" t="str">
        <f t="shared" si="8"/>
        <v/>
      </c>
      <c r="BD95" s="572" t="str">
        <f>IF(AND(L95="",H95=""),"",
IF(H95="",Pole_Calc!A$9,
IF(H95="MP",Pole_Calc!A$10,
IF(H95="AnMP",Pole_Calc!A$11,
IF(H95="A",Pole_Calc!A$12,
IF(H95="S/A",Pole_Calc!A$13,
IF(H95="A/S",Pole_Calc!A$14,"Poner a mano")))))))</f>
        <v/>
      </c>
      <c r="BE95" s="448" t="s">
        <v>1726</v>
      </c>
      <c r="BF95" s="306"/>
      <c r="BG95" s="306"/>
      <c r="BH95" s="306"/>
      <c r="BI95" s="306"/>
    </row>
    <row r="96" spans="1:61" ht="16.2" customHeight="1">
      <c r="A96" s="573"/>
      <c r="B96" s="638" t="s">
        <v>1774</v>
      </c>
      <c r="C96" s="3">
        <f>+$C$94+$G$95</f>
        <v>1932.3</v>
      </c>
      <c r="D96" s="88"/>
      <c r="E96" s="4"/>
      <c r="F96" s="4">
        <v>-1995.3</v>
      </c>
      <c r="G96" s="6"/>
      <c r="H96" s="468"/>
      <c r="I96" s="468"/>
      <c r="J96" s="3"/>
      <c r="K96" s="468"/>
      <c r="L96" s="468" t="s">
        <v>38</v>
      </c>
      <c r="M96" s="468" t="s">
        <v>1625</v>
      </c>
      <c r="N96" s="468" t="s">
        <v>33</v>
      </c>
      <c r="O96" s="468"/>
      <c r="P96" s="468"/>
      <c r="Q96" s="4"/>
      <c r="R96" s="6"/>
      <c r="S96" s="6"/>
      <c r="T96" s="4">
        <v>30</v>
      </c>
      <c r="U96" s="4"/>
      <c r="V96" s="4"/>
      <c r="W96" s="9">
        <v>1.4</v>
      </c>
      <c r="X96" s="9"/>
      <c r="Y96" s="9"/>
      <c r="Z96" s="9"/>
      <c r="AA96" s="9"/>
      <c r="AB96" s="9"/>
      <c r="AC96" s="468" t="str">
        <f t="shared" si="9"/>
        <v>PHQ</v>
      </c>
      <c r="AD96" s="468"/>
      <c r="AE96" s="468"/>
      <c r="AF96" s="4"/>
      <c r="AG96" s="88"/>
      <c r="AH96" s="4"/>
      <c r="AI96" s="4"/>
      <c r="AJ96" s="468"/>
      <c r="AK96" s="468"/>
      <c r="AL96" s="468"/>
      <c r="AM96" s="468" t="s">
        <v>486</v>
      </c>
      <c r="AN96" s="10">
        <v>5.5</v>
      </c>
      <c r="AO96" s="9"/>
      <c r="AP96" s="9"/>
      <c r="AQ96" s="9"/>
      <c r="AR96" s="9"/>
      <c r="AS96" s="9"/>
      <c r="AT96" s="9">
        <f>+ab($T$96,$T$94,$T$98,$G$95,$G$97,-1*$F$96,1200)</f>
        <v>7.0032127185530273</v>
      </c>
      <c r="AU96" s="447"/>
      <c r="AV96" s="447"/>
      <c r="AW96" s="468" t="s">
        <v>2572</v>
      </c>
      <c r="AX96" s="468" t="s">
        <v>199</v>
      </c>
      <c r="AY96" s="10"/>
      <c r="AZ96" s="10"/>
      <c r="BA96" s="553" t="str">
        <f t="shared" si="5"/>
        <v/>
      </c>
      <c r="BB96" s="553" t="str">
        <f t="shared" si="6"/>
        <v/>
      </c>
      <c r="BC96" s="553" t="str">
        <f t="shared" si="8"/>
        <v>ü</v>
      </c>
      <c r="BD96" s="572" t="str">
        <f>IF(AND(L96="",H96=""),"",
IF(H96="",Pole_Calc!A$9,
IF(H96="MP",Pole_Calc!A$10,
IF(H96="AnMP",Pole_Calc!A$11,
IF(H96="A",Pole_Calc!A$12,
IF(H96="S/A",Pole_Calc!A$13,
IF(H96="A/S",Pole_Calc!A$14,"Poner a mano")))))))</f>
        <v>App.7-V11H-P9.5.1.1</v>
      </c>
      <c r="BE96" s="448" t="s">
        <v>1726</v>
      </c>
      <c r="BF96" s="305"/>
      <c r="BG96" s="305"/>
      <c r="BH96" s="306"/>
      <c r="BI96" s="305"/>
    </row>
    <row r="97" spans="1:61" ht="16.2" customHeight="1">
      <c r="A97" s="573"/>
      <c r="B97" s="469"/>
      <c r="C97" s="3"/>
      <c r="D97" s="88"/>
      <c r="E97" s="4"/>
      <c r="F97" s="4"/>
      <c r="G97" s="6">
        <v>53.9</v>
      </c>
      <c r="H97" s="468"/>
      <c r="I97" s="468"/>
      <c r="J97" s="3"/>
      <c r="K97" s="468"/>
      <c r="L97" s="468"/>
      <c r="M97" s="468" t="str">
        <f>IF(L97="","",
IF(AX97="PT",VLOOKUP(L97,Foundation_Calc!$V$79:$X$112,VLOOKUP(AX97,Foundation_Calc!$I$10:$J$13,2,FALSE),0),
IF(AX97="K",VLOOKUP(L97,Foundation_Calc!$V$116:$X$149,VLOOKUP(AX97,Foundation_Calc!$I$10:$J$13,2,FALSE),0),"")))</f>
        <v/>
      </c>
      <c r="N97" s="468"/>
      <c r="O97" s="468"/>
      <c r="P97" s="468"/>
      <c r="Q97" s="4"/>
      <c r="R97" s="6"/>
      <c r="S97" s="6"/>
      <c r="T97" s="4"/>
      <c r="U97" s="4"/>
      <c r="V97" s="4"/>
      <c r="W97" s="9"/>
      <c r="X97" s="9"/>
      <c r="Y97" s="9"/>
      <c r="Z97" s="9"/>
      <c r="AA97" s="9"/>
      <c r="AB97" s="9"/>
      <c r="AC97" s="468" t="str">
        <f t="shared" si="9"/>
        <v/>
      </c>
      <c r="AD97" s="468"/>
      <c r="AE97" s="468"/>
      <c r="AF97" s="4"/>
      <c r="AG97" s="88"/>
      <c r="AH97" s="4"/>
      <c r="AI97" s="4"/>
      <c r="AJ97" s="468"/>
      <c r="AK97" s="468"/>
      <c r="AL97" s="468"/>
      <c r="AM97" s="468"/>
      <c r="AN97" s="10"/>
      <c r="AO97" s="9"/>
      <c r="AP97" s="9"/>
      <c r="AQ97" s="9">
        <f>+FL_1($T$98,$T$96,$G$97,1200,9.28,-1*$F$98)</f>
        <v>0.39882533226695238</v>
      </c>
      <c r="AR97" s="9"/>
      <c r="AS97" s="9"/>
      <c r="AT97" s="9"/>
      <c r="AU97" s="447"/>
      <c r="AV97" s="447"/>
      <c r="AW97" s="468"/>
      <c r="AX97" s="468"/>
      <c r="AY97" s="10"/>
      <c r="AZ97" s="10"/>
      <c r="BA97" s="553" t="str">
        <f t="shared" si="5"/>
        <v/>
      </c>
      <c r="BB97" s="553" t="str">
        <f t="shared" si="6"/>
        <v/>
      </c>
      <c r="BC97" s="553" t="str">
        <f t="shared" si="8"/>
        <v/>
      </c>
      <c r="BD97" s="572" t="str">
        <f>IF(AND(L97="",H97=""),"",
IF(H97="",Pole_Calc!A$9,
IF(H97="MP",Pole_Calc!A$10,
IF(H97="AnMP",Pole_Calc!A$11,
IF(H97="A",Pole_Calc!A$12,
IF(H97="S/A",Pole_Calc!A$13,
IF(H97="A/S",Pole_Calc!A$14,"Poner a mano")))))))</f>
        <v/>
      </c>
      <c r="BE97" s="448" t="s">
        <v>1726</v>
      </c>
      <c r="BF97" s="306"/>
      <c r="BG97" s="306"/>
      <c r="BH97" s="306"/>
      <c r="BI97" s="306"/>
    </row>
    <row r="98" spans="1:61" ht="16.2" customHeight="1">
      <c r="A98" s="573"/>
      <c r="B98" s="638" t="s">
        <v>1775</v>
      </c>
      <c r="C98" s="3">
        <f>+$C$96+$G$97</f>
        <v>1986.2</v>
      </c>
      <c r="D98" s="88"/>
      <c r="E98" s="4"/>
      <c r="F98" s="4">
        <v>-1995.3</v>
      </c>
      <c r="G98" s="6"/>
      <c r="H98" s="468"/>
      <c r="I98" s="468"/>
      <c r="J98" s="3"/>
      <c r="K98" s="468"/>
      <c r="L98" s="468" t="s">
        <v>37</v>
      </c>
      <c r="M98" s="468" t="s">
        <v>1625</v>
      </c>
      <c r="N98" s="468" t="s">
        <v>33</v>
      </c>
      <c r="O98" s="468"/>
      <c r="P98" s="468"/>
      <c r="Q98" s="4"/>
      <c r="R98" s="6"/>
      <c r="S98" s="6"/>
      <c r="T98" s="4">
        <v>30</v>
      </c>
      <c r="U98" s="4"/>
      <c r="V98" s="4"/>
      <c r="W98" s="9">
        <v>1.4</v>
      </c>
      <c r="X98" s="9"/>
      <c r="Y98" s="9"/>
      <c r="Z98" s="9"/>
      <c r="AA98" s="9"/>
      <c r="AB98" s="9"/>
      <c r="AC98" s="468" t="str">
        <f t="shared" si="9"/>
        <v>PHC</v>
      </c>
      <c r="AD98" s="468"/>
      <c r="AE98" s="468"/>
      <c r="AF98" s="4"/>
      <c r="AG98" s="88"/>
      <c r="AH98" s="4"/>
      <c r="AI98" s="4"/>
      <c r="AJ98" s="468"/>
      <c r="AK98" s="468"/>
      <c r="AL98" s="468"/>
      <c r="AM98" s="468" t="s">
        <v>486</v>
      </c>
      <c r="AN98" s="10">
        <v>5.5</v>
      </c>
      <c r="AO98" s="9"/>
      <c r="AP98" s="9"/>
      <c r="AQ98" s="9"/>
      <c r="AR98" s="9"/>
      <c r="AS98" s="9"/>
      <c r="AT98" s="9">
        <f>+ab($T$98,$T$96,$T$100,$G$97,$G$99,-1*$F$98,1200)</f>
        <v>4.903755115355481</v>
      </c>
      <c r="AU98" s="447"/>
      <c r="AV98" s="447"/>
      <c r="AW98" s="468" t="s">
        <v>2573</v>
      </c>
      <c r="AX98" s="468" t="s">
        <v>199</v>
      </c>
      <c r="AY98" s="10"/>
      <c r="AZ98" s="10"/>
      <c r="BA98" s="553" t="str">
        <f t="shared" si="5"/>
        <v/>
      </c>
      <c r="BB98" s="553" t="str">
        <f t="shared" si="6"/>
        <v/>
      </c>
      <c r="BC98" s="553" t="str">
        <f t="shared" si="8"/>
        <v>ü</v>
      </c>
      <c r="BD98" s="572" t="str">
        <f>IF(AND(L98="",H98=""),"",
IF(H98="",Pole_Calc!A$9,
IF(H98="MP",Pole_Calc!A$10,
IF(H98="AnMP",Pole_Calc!A$11,
IF(H98="A",Pole_Calc!A$12,
IF(H98="S/A",Pole_Calc!A$13,
IF(H98="A/S",Pole_Calc!A$14,"Poner a mano")))))))</f>
        <v>App.7-V11H-P9.5.1.1</v>
      </c>
      <c r="BE98" s="448" t="s">
        <v>1726</v>
      </c>
      <c r="BF98" s="305"/>
      <c r="BG98" s="305"/>
      <c r="BH98" s="306"/>
      <c r="BI98" s="305"/>
    </row>
    <row r="99" spans="1:61" ht="16.2" customHeight="1">
      <c r="A99" s="573"/>
      <c r="B99" s="469"/>
      <c r="C99" s="3"/>
      <c r="D99" s="88"/>
      <c r="E99" s="4"/>
      <c r="F99" s="4"/>
      <c r="G99" s="6">
        <v>50</v>
      </c>
      <c r="H99" s="468"/>
      <c r="I99" s="468"/>
      <c r="J99" s="3"/>
      <c r="K99" s="468"/>
      <c r="L99" s="468"/>
      <c r="M99" s="468" t="str">
        <f>IF(L99="","",
IF(AX99="PT",VLOOKUP(L99,Foundation_Calc!$V$79:$X$112,VLOOKUP(AX99,Foundation_Calc!$I$10:$J$13,2,FALSE),0),
IF(AX99="K",VLOOKUP(L99,Foundation_Calc!$V$116:$X$149,VLOOKUP(AX99,Foundation_Calc!$I$10:$J$13,2,FALSE),0),"")))</f>
        <v/>
      </c>
      <c r="N99" s="468"/>
      <c r="O99" s="468"/>
      <c r="P99" s="468"/>
      <c r="Q99" s="4"/>
      <c r="R99" s="6"/>
      <c r="S99" s="6"/>
      <c r="T99" s="4"/>
      <c r="U99" s="4"/>
      <c r="V99" s="4"/>
      <c r="W99" s="9"/>
      <c r="X99" s="9"/>
      <c r="Y99" s="9"/>
      <c r="Z99" s="9"/>
      <c r="AA99" s="9"/>
      <c r="AB99" s="9"/>
      <c r="AC99" s="468" t="str">
        <f t="shared" si="9"/>
        <v/>
      </c>
      <c r="AD99" s="468"/>
      <c r="AE99" s="468"/>
      <c r="AF99" s="4"/>
      <c r="AG99" s="88"/>
      <c r="AH99" s="4"/>
      <c r="AI99" s="4"/>
      <c r="AJ99" s="468"/>
      <c r="AK99" s="468"/>
      <c r="AL99" s="468"/>
      <c r="AM99" s="468"/>
      <c r="AN99" s="10"/>
      <c r="AO99" s="9"/>
      <c r="AP99" s="9"/>
      <c r="AQ99" s="9">
        <f>+FL_2($T$100,$T$98,$G$99,1200,9.28,-1*$F$100)</f>
        <v>-0.37593390799999998</v>
      </c>
      <c r="AR99" s="9"/>
      <c r="AS99" s="9"/>
      <c r="AT99" s="9"/>
      <c r="AU99" s="447"/>
      <c r="AV99" s="447"/>
      <c r="AW99" s="468"/>
      <c r="AX99" s="468"/>
      <c r="AY99" s="10"/>
      <c r="AZ99" s="10"/>
      <c r="BA99" s="553" t="str">
        <f t="shared" si="5"/>
        <v/>
      </c>
      <c r="BB99" s="553" t="str">
        <f t="shared" si="6"/>
        <v/>
      </c>
      <c r="BC99" s="553" t="str">
        <f t="shared" si="8"/>
        <v/>
      </c>
      <c r="BD99" s="572" t="str">
        <f>IF(AND(L99="",H99=""),"",
IF(H99="",Pole_Calc!A$9,
IF(H99="MP",Pole_Calc!A$10,
IF(H99="AnMP",Pole_Calc!A$11,
IF(H99="A",Pole_Calc!A$12,
IF(H99="S/A",Pole_Calc!A$13,
IF(H99="A/S",Pole_Calc!A$14,"Poner a mano")))))))</f>
        <v/>
      </c>
      <c r="BE99" s="448" t="s">
        <v>1726</v>
      </c>
      <c r="BF99" s="306"/>
      <c r="BG99" s="306"/>
      <c r="BH99" s="306"/>
      <c r="BI99" s="306"/>
    </row>
    <row r="100" spans="1:61" ht="16.2" customHeight="1">
      <c r="A100" s="573"/>
      <c r="B100" s="638" t="s">
        <v>1776</v>
      </c>
      <c r="C100" s="3">
        <f>+$C$98+$G$99</f>
        <v>2036.2</v>
      </c>
      <c r="D100" s="88"/>
      <c r="E100" s="4"/>
      <c r="F100" s="4">
        <v>0</v>
      </c>
      <c r="G100" s="6"/>
      <c r="H100" s="468"/>
      <c r="I100" s="468"/>
      <c r="J100" s="3"/>
      <c r="K100" s="468"/>
      <c r="L100" s="468" t="s">
        <v>37</v>
      </c>
      <c r="M100" s="468" t="s">
        <v>1625</v>
      </c>
      <c r="N100" s="468" t="s">
        <v>32</v>
      </c>
      <c r="O100" s="468"/>
      <c r="P100" s="468"/>
      <c r="Q100" s="4"/>
      <c r="R100" s="6"/>
      <c r="S100" s="6"/>
      <c r="T100" s="4">
        <v>-35</v>
      </c>
      <c r="U100" s="4"/>
      <c r="V100" s="4"/>
      <c r="W100" s="9">
        <v>1.4</v>
      </c>
      <c r="X100" s="9"/>
      <c r="Y100" s="9"/>
      <c r="Z100" s="9"/>
      <c r="AA100" s="9"/>
      <c r="AB100" s="9"/>
      <c r="AC100" s="468" t="str">
        <f t="shared" si="9"/>
        <v>PHQ</v>
      </c>
      <c r="AD100" s="468"/>
      <c r="AE100" s="468"/>
      <c r="AF100" s="4"/>
      <c r="AG100" s="88"/>
      <c r="AH100" s="4"/>
      <c r="AI100" s="4"/>
      <c r="AJ100" s="468"/>
      <c r="AK100" s="468"/>
      <c r="AL100" s="468"/>
      <c r="AM100" s="468" t="s">
        <v>486</v>
      </c>
      <c r="AN100" s="10">
        <v>5.5</v>
      </c>
      <c r="AO100" s="9"/>
      <c r="AP100" s="9"/>
      <c r="AQ100" s="9"/>
      <c r="AR100" s="9"/>
      <c r="AS100" s="9"/>
      <c r="AT100" s="9">
        <f>+ab($T$100,$T$98,$T$102,$G$99,$G$101,-1*$F$100,1200)</f>
        <v>-7.0710297839483092</v>
      </c>
      <c r="AU100" s="447"/>
      <c r="AV100" s="447"/>
      <c r="AW100" s="468" t="s">
        <v>2573</v>
      </c>
      <c r="AX100" s="468" t="s">
        <v>199</v>
      </c>
      <c r="AY100" s="10"/>
      <c r="AZ100" s="10"/>
      <c r="BA100" s="553" t="str">
        <f t="shared" si="5"/>
        <v/>
      </c>
      <c r="BB100" s="553" t="str">
        <f t="shared" si="6"/>
        <v/>
      </c>
      <c r="BC100" s="553" t="str">
        <f t="shared" si="8"/>
        <v>ü</v>
      </c>
      <c r="BD100" s="572" t="str">
        <f>IF(AND(L100="",H100=""),"",
IF(H100="",Pole_Calc!A$9,
IF(H100="MP",Pole_Calc!A$10,
IF(H100="AnMP",Pole_Calc!A$11,
IF(H100="A",Pole_Calc!A$12,
IF(H100="S/A",Pole_Calc!A$13,
IF(H100="A/S",Pole_Calc!A$14,"Poner a mano")))))))</f>
        <v>App.7-V11H-P9.5.1.1</v>
      </c>
      <c r="BE100" s="448" t="s">
        <v>1726</v>
      </c>
      <c r="BF100" s="305"/>
      <c r="BG100" s="305"/>
      <c r="BH100" s="306"/>
      <c r="BI100" s="305"/>
    </row>
    <row r="101" spans="1:61" ht="16.2" customHeight="1">
      <c r="A101" s="573"/>
      <c r="B101" s="469"/>
      <c r="C101" s="3"/>
      <c r="D101" s="88"/>
      <c r="E101" s="4"/>
      <c r="F101" s="4"/>
      <c r="G101" s="6">
        <v>50</v>
      </c>
      <c r="H101" s="468"/>
      <c r="I101" s="468"/>
      <c r="J101" s="3">
        <f>C102-7.5</f>
        <v>2078.6999999999998</v>
      </c>
      <c r="K101" s="468" t="s">
        <v>1095</v>
      </c>
      <c r="L101" s="468"/>
      <c r="M101" s="468" t="str">
        <f>IF(L101="","",
IF(AX101="PT",VLOOKUP(L101,Foundation_Calc!$V$79:$X$112,VLOOKUP(AX101,Foundation_Calc!$I$10:$J$13,2,FALSE),0),
IF(AX101="K",VLOOKUP(L101,Foundation_Calc!$V$116:$X$149,VLOOKUP(AX101,Foundation_Calc!$I$10:$J$13,2,FALSE),0),"")))</f>
        <v/>
      </c>
      <c r="N101" s="468"/>
      <c r="O101" s="468"/>
      <c r="P101" s="468"/>
      <c r="Q101" s="4"/>
      <c r="R101" s="6"/>
      <c r="S101" s="6"/>
      <c r="T101" s="4"/>
      <c r="U101" s="4"/>
      <c r="V101" s="4"/>
      <c r="W101" s="9"/>
      <c r="X101" s="9"/>
      <c r="Y101" s="9"/>
      <c r="Z101" s="9"/>
      <c r="AA101" s="9"/>
      <c r="AB101" s="9"/>
      <c r="AC101" s="468" t="str">
        <f t="shared" si="9"/>
        <v/>
      </c>
      <c r="AD101" s="468"/>
      <c r="AE101" s="468"/>
      <c r="AF101" s="4"/>
      <c r="AG101" s="88"/>
      <c r="AH101" s="4"/>
      <c r="AI101" s="4"/>
      <c r="AJ101" s="468"/>
      <c r="AK101" s="468"/>
      <c r="AL101" s="468"/>
      <c r="AM101" s="468"/>
      <c r="AN101" s="10"/>
      <c r="AO101" s="9"/>
      <c r="AP101" s="9"/>
      <c r="AQ101" s="9">
        <f>+FL_1($T$102,$T$100,$G$101,1200,9.28,-1*$F$102)</f>
        <v>0.36839079999999996</v>
      </c>
      <c r="AR101" s="9"/>
      <c r="AS101" s="9"/>
      <c r="AT101" s="9"/>
      <c r="AU101" s="447"/>
      <c r="AV101" s="447"/>
      <c r="AW101" s="468"/>
      <c r="AX101" s="468"/>
      <c r="AY101" s="10"/>
      <c r="AZ101" s="10"/>
      <c r="BA101" s="553" t="str">
        <f t="shared" si="5"/>
        <v/>
      </c>
      <c r="BB101" s="553" t="str">
        <f t="shared" si="6"/>
        <v/>
      </c>
      <c r="BC101" s="553" t="str">
        <f t="shared" si="8"/>
        <v/>
      </c>
      <c r="BD101" s="572" t="str">
        <f>IF(AND(L101="",H101=""),"",
IF(H101="",Pole_Calc!A$9,
IF(H101="MP",Pole_Calc!A$10,
IF(H101="AnMP",Pole_Calc!A$11,
IF(H101="A",Pole_Calc!A$12,
IF(H101="S/A",Pole_Calc!A$13,
IF(H101="A/S",Pole_Calc!A$14,"Poner a mano")))))))</f>
        <v/>
      </c>
      <c r="BE101" s="448" t="s">
        <v>1726</v>
      </c>
      <c r="BF101" s="306"/>
      <c r="BG101" s="306"/>
      <c r="BH101" s="306"/>
      <c r="BI101" s="306"/>
    </row>
    <row r="102" spans="1:61" ht="16.2" customHeight="1">
      <c r="A102" s="573"/>
      <c r="B102" s="638" t="s">
        <v>1777</v>
      </c>
      <c r="C102" s="3">
        <f>+$C$100+$G$101</f>
        <v>2086.1999999999998</v>
      </c>
      <c r="D102" s="88"/>
      <c r="E102" s="4"/>
      <c r="F102" s="4">
        <v>0</v>
      </c>
      <c r="G102" s="6"/>
      <c r="H102" s="468" t="s">
        <v>26</v>
      </c>
      <c r="I102" s="468" t="s">
        <v>182</v>
      </c>
      <c r="J102" s="3"/>
      <c r="K102" s="468"/>
      <c r="L102" s="468" t="s">
        <v>452</v>
      </c>
      <c r="M102" s="468" t="s">
        <v>1625</v>
      </c>
      <c r="N102" s="468" t="s">
        <v>33</v>
      </c>
      <c r="O102" s="468"/>
      <c r="P102" s="468"/>
      <c r="Q102" s="4"/>
      <c r="R102" s="6"/>
      <c r="S102" s="6"/>
      <c r="T102" s="4">
        <v>35</v>
      </c>
      <c r="U102" s="4"/>
      <c r="V102" s="4"/>
      <c r="W102" s="9">
        <v>1.4</v>
      </c>
      <c r="X102" s="9"/>
      <c r="Y102" s="9"/>
      <c r="Z102" s="9"/>
      <c r="AA102" s="9"/>
      <c r="AB102" s="9"/>
      <c r="AC102" s="468" t="str">
        <f t="shared" si="9"/>
        <v>PHQ</v>
      </c>
      <c r="AD102" s="468"/>
      <c r="AE102" s="468"/>
      <c r="AF102" s="4"/>
      <c r="AG102" s="88"/>
      <c r="AH102" s="4"/>
      <c r="AI102" s="4"/>
      <c r="AJ102" s="468"/>
      <c r="AK102" s="468"/>
      <c r="AL102" s="468"/>
      <c r="AM102" s="468" t="s">
        <v>486</v>
      </c>
      <c r="AN102" s="10">
        <v>5.5</v>
      </c>
      <c r="AO102" s="9"/>
      <c r="AP102" s="9"/>
      <c r="AQ102" s="9"/>
      <c r="AR102" s="9"/>
      <c r="AS102" s="9"/>
      <c r="AT102" s="9">
        <f>+ab($T$102,$T$100,$U$104,$G$101,$G$103,-1*$F$102,1200)</f>
        <v>7.391173320288412</v>
      </c>
      <c r="AU102" s="447"/>
      <c r="AV102" s="447"/>
      <c r="AW102" s="468" t="s">
        <v>2572</v>
      </c>
      <c r="AX102" s="468" t="s">
        <v>199</v>
      </c>
      <c r="AY102" s="10"/>
      <c r="AZ102" s="10"/>
      <c r="BA102" s="553" t="str">
        <f t="shared" si="5"/>
        <v/>
      </c>
      <c r="BB102" s="553" t="str">
        <f t="shared" si="6"/>
        <v/>
      </c>
      <c r="BC102" s="553" t="str">
        <f t="shared" si="8"/>
        <v>ü</v>
      </c>
      <c r="BD102" s="572" t="str">
        <f>IF(AND(L102="",H102=""),"",
IF(H102="",Pole_Calc!A$9,
IF(H102="MP",Pole_Calc!A$10,
IF(H102="AnMP",Pole_Calc!A$11,
IF(H102="A",Pole_Calc!A$12,
IF(H102="S/A",Pole_Calc!A$13,
IF(H102="A/S",Pole_Calc!A$14,"Poner a mano")))))))</f>
        <v>App.7-V11H-P9.5.1.6</v>
      </c>
      <c r="BE102" s="448" t="s">
        <v>1726</v>
      </c>
      <c r="BF102" s="305"/>
      <c r="BG102" s="305"/>
      <c r="BH102" s="306"/>
      <c r="BI102" s="305"/>
    </row>
    <row r="103" spans="1:61" ht="16.2" customHeight="1" thickBot="1">
      <c r="A103" s="575"/>
      <c r="B103" s="518"/>
      <c r="C103" s="519"/>
      <c r="D103" s="520"/>
      <c r="E103" s="521"/>
      <c r="F103" s="521"/>
      <c r="G103" s="522">
        <v>55</v>
      </c>
      <c r="H103" s="523"/>
      <c r="I103" s="523"/>
      <c r="J103" s="519"/>
      <c r="K103" s="523"/>
      <c r="L103" s="523"/>
      <c r="M103" s="523" t="str">
        <f>IF(L103="","",
IF(AX103="PT",VLOOKUP(L103,Foundation_Calc!$V$4:$X$37,VLOOKUP(AX103,Foundation_Calc!$I$10:$J$13,2,FALSE),0),
IF(AX103="K",VLOOKUP(L103,Foundation_Calc!$V$41:$X$74,VLOOKUP(AX103,Foundation_Calc!$I$10:$J$13,2,FALSE),0),"")))</f>
        <v/>
      </c>
      <c r="N103" s="523"/>
      <c r="O103" s="523"/>
      <c r="P103" s="523"/>
      <c r="Q103" s="521"/>
      <c r="R103" s="522"/>
      <c r="S103" s="522"/>
      <c r="T103" s="521"/>
      <c r="U103" s="521"/>
      <c r="V103" s="521"/>
      <c r="W103" s="524"/>
      <c r="X103" s="524"/>
      <c r="Y103" s="524"/>
      <c r="Z103" s="524"/>
      <c r="AA103" s="524"/>
      <c r="AB103" s="524"/>
      <c r="AC103" s="523" t="str">
        <f t="shared" si="9"/>
        <v/>
      </c>
      <c r="AD103" s="523"/>
      <c r="AE103" s="523"/>
      <c r="AF103" s="521"/>
      <c r="AG103" s="520"/>
      <c r="AH103" s="521"/>
      <c r="AI103" s="521"/>
      <c r="AJ103" s="523"/>
      <c r="AK103" s="523"/>
      <c r="AL103" s="523"/>
      <c r="AM103" s="523"/>
      <c r="AN103" s="525"/>
      <c r="AO103" s="524"/>
      <c r="AP103" s="524"/>
      <c r="AQ103" s="524">
        <f>+FL_1($U$104,$T$102,$G$103,1200,9.28,-1*$F$104)</f>
        <v>0.40772017018181816</v>
      </c>
      <c r="AR103" s="524"/>
      <c r="AS103" s="524"/>
      <c r="AT103" s="524"/>
      <c r="AU103" s="526"/>
      <c r="AV103" s="526"/>
      <c r="AW103" s="523"/>
      <c r="AX103" s="523"/>
      <c r="AY103" s="525"/>
      <c r="AZ103" s="525"/>
      <c r="BA103" s="554" t="str">
        <f t="shared" si="5"/>
        <v/>
      </c>
      <c r="BB103" s="554" t="str">
        <f t="shared" si="6"/>
        <v/>
      </c>
      <c r="BC103" s="554" t="str">
        <f t="shared" si="8"/>
        <v/>
      </c>
      <c r="BD103" s="576" t="str">
        <f>IF(AND(L103="",H103=""),"",
IF(H103="",Pole_Calc!A$9,
IF(H103="MP",Pole_Calc!A$10,
IF(H103="AnMP",Pole_Calc!A$11,
IF(H103="A",Pole_Calc!A$12,
IF(H103="S/A",Pole_Calc!A$13,
IF(H103="A/S",Pole_Calc!A$14,"Poner a mano")))))))</f>
        <v/>
      </c>
      <c r="BE103" s="448" t="s">
        <v>1726</v>
      </c>
      <c r="BF103" s="306"/>
      <c r="BG103" s="306"/>
      <c r="BH103" s="306"/>
      <c r="BI103" s="306"/>
    </row>
    <row r="104" spans="1:61" ht="16.2" customHeight="1" thickTop="1">
      <c r="A104" s="577"/>
      <c r="B104" s="674" t="s">
        <v>1778</v>
      </c>
      <c r="C104" s="606">
        <f>+$C$102+$G$103</f>
        <v>2141.1999999999998</v>
      </c>
      <c r="D104" s="607"/>
      <c r="E104" s="608"/>
      <c r="F104" s="608">
        <v>0</v>
      </c>
      <c r="G104" s="609"/>
      <c r="H104" s="610" t="s">
        <v>179</v>
      </c>
      <c r="I104" s="610"/>
      <c r="J104" s="606"/>
      <c r="K104" s="610"/>
      <c r="L104" s="610" t="s">
        <v>38</v>
      </c>
      <c r="M104" s="610" t="s">
        <v>1625</v>
      </c>
      <c r="N104" s="610" t="s">
        <v>28</v>
      </c>
      <c r="O104" s="610" t="s">
        <v>32</v>
      </c>
      <c r="P104" s="610"/>
      <c r="Q104" s="608"/>
      <c r="R104" s="609"/>
      <c r="S104" s="609"/>
      <c r="T104" s="608">
        <v>15</v>
      </c>
      <c r="U104" s="608">
        <v>-30</v>
      </c>
      <c r="V104" s="608"/>
      <c r="W104" s="611">
        <v>1.4</v>
      </c>
      <c r="X104" s="611">
        <v>2.2999999999999998</v>
      </c>
      <c r="Y104" s="611"/>
      <c r="Z104" s="611">
        <v>0.45</v>
      </c>
      <c r="AA104" s="611"/>
      <c r="AB104" s="611"/>
      <c r="AC104" s="610"/>
      <c r="AD104" s="610"/>
      <c r="AE104" s="610"/>
      <c r="AF104" s="608"/>
      <c r="AG104" s="607"/>
      <c r="AH104" s="608"/>
      <c r="AI104" s="608"/>
      <c r="AJ104" s="610"/>
      <c r="AK104" s="610"/>
      <c r="AL104" s="610"/>
      <c r="AM104" s="610" t="s">
        <v>486</v>
      </c>
      <c r="AN104" s="612">
        <v>5.5</v>
      </c>
      <c r="AO104" s="611"/>
      <c r="AP104" s="611"/>
      <c r="AQ104" s="611"/>
      <c r="AR104" s="611"/>
      <c r="AS104" s="611"/>
      <c r="AT104" s="611">
        <f>+ab($U$104,$T$102,$U$106,$G$103,$G$105,-1*$F$104,1200)</f>
        <v>-12.923309352684333</v>
      </c>
      <c r="AU104" s="613"/>
      <c r="AV104" s="613"/>
      <c r="AW104" s="610" t="s">
        <v>2572</v>
      </c>
      <c r="AX104" s="610" t="s">
        <v>199</v>
      </c>
      <c r="AY104" s="612"/>
      <c r="AZ104" s="612"/>
      <c r="BA104" s="639" t="str">
        <f t="shared" si="5"/>
        <v/>
      </c>
      <c r="BB104" s="639" t="str">
        <f t="shared" si="6"/>
        <v/>
      </c>
      <c r="BC104" s="639" t="str">
        <f t="shared" si="8"/>
        <v>ü</v>
      </c>
      <c r="BD104" s="578" t="str">
        <f>IF(AND(L104="",H104=""),"",
IF(H104="",Pole_Calc!A$9,
IF(H104="MP",Pole_Calc!A$10,
IF(H104="AnMP",Pole_Calc!A$11,
IF(H104="A",Pole_Calc!A$12,
IF(H104="S/A",Pole_Calc!A$13,
IF(H104="A/S",Pole_Calc!A$14,"Poner a mano")))))))</f>
        <v>App.7-V11H-P9.5.1.5</v>
      </c>
      <c r="BE104" s="448" t="s">
        <v>1726</v>
      </c>
      <c r="BF104" s="305"/>
      <c r="BG104" s="305"/>
      <c r="BH104" s="306"/>
      <c r="BI104" s="305"/>
    </row>
    <row r="105" spans="1:61" ht="16.2" customHeight="1">
      <c r="A105" s="573"/>
      <c r="B105" s="469"/>
      <c r="C105" s="3"/>
      <c r="D105" s="88"/>
      <c r="E105" s="4"/>
      <c r="F105" s="4"/>
      <c r="G105" s="6">
        <v>54</v>
      </c>
      <c r="H105" s="468"/>
      <c r="I105" s="468"/>
      <c r="J105" s="3"/>
      <c r="K105" s="468"/>
      <c r="L105" s="468"/>
      <c r="M105" s="468" t="str">
        <f>IF(L105="","",
IF(AX105="PT",VLOOKUP(L105,Foundation_Calc!$V$4:$X$37,VLOOKUP(AX105,Foundation_Calc!$I$10:$J$13,2,FALSE),0),
IF(AX105="K",VLOOKUP(L105,Foundation_Calc!$V$41:$X$74,VLOOKUP(AX105,Foundation_Calc!$I$10:$J$13,2,FALSE),0),"")))</f>
        <v/>
      </c>
      <c r="N105" s="468"/>
      <c r="O105" s="468"/>
      <c r="P105" s="468"/>
      <c r="Q105" s="4"/>
      <c r="R105" s="6"/>
      <c r="S105" s="6"/>
      <c r="T105" s="4"/>
      <c r="U105" s="4"/>
      <c r="V105" s="4"/>
      <c r="W105" s="9"/>
      <c r="X105" s="9"/>
      <c r="Y105" s="9"/>
      <c r="Z105" s="9"/>
      <c r="AA105" s="9"/>
      <c r="AB105" s="9"/>
      <c r="AC105" s="468" t="str">
        <f t="shared" si="9"/>
        <v/>
      </c>
      <c r="AD105" s="468"/>
      <c r="AE105" s="468"/>
      <c r="AF105" s="4"/>
      <c r="AG105" s="88"/>
      <c r="AH105" s="4"/>
      <c r="AI105" s="4"/>
      <c r="AJ105" s="468"/>
      <c r="AK105" s="468"/>
      <c r="AL105" s="468"/>
      <c r="AM105" s="468"/>
      <c r="AN105" s="10"/>
      <c r="AO105" s="9"/>
      <c r="AP105" s="9"/>
      <c r="AQ105" s="9">
        <f>+FL_2($U$106,$U$104,$G$105,1200,9.28,-1*$F$106)</f>
        <v>-0.51186882355555552</v>
      </c>
      <c r="AR105" s="9"/>
      <c r="AS105" s="9"/>
      <c r="AT105" s="9"/>
      <c r="AU105" s="447"/>
      <c r="AV105" s="447"/>
      <c r="AW105" s="468" t="str">
        <f>IF(C105&gt;0,VLOOKUP(C105,Foundation_Calc!$A$2:$C$13,3,1),
IF(J105&gt;0,VLOOKUP(J105,Foundation_Calc!$A$2:$C$13,3,1),""))</f>
        <v/>
      </c>
      <c r="AX105" s="468" t="str">
        <f>IF(C105&gt;0,VLOOKUP(C105,Foundation_Calc!$E$2:$G$13,3,1),
IF(J105&gt;0,VLOOKUP(J105,Foundation_Calc!$E$2:$G$13,3,1),""))</f>
        <v/>
      </c>
      <c r="AY105" s="10" t="str">
        <f>IF(L105="","",
IF(AX105="PT",VLOOKUP(L105,Foundation_Calc!$K$4:$R$37,VLOOKUP(AW105,Foundation_Calc!$I$2:$J$8,2,FALSE),0),
IF(AX105="K",VLOOKUP(L105,Foundation_Calc!$K$41:$R$74,VLOOKUP(AW105,Foundation_Calc!$I$2:$J$8,2,FALSE),0),"")))</f>
        <v/>
      </c>
      <c r="AZ105" s="10" t="str">
        <f>IF(K105="","",
IF(AX105="PT",VLOOKUP(K105,Foundation_Calc!$K$4:$R$37,VLOOKUP(AW105,Foundation_Calc!$I$2:$J$8,2,FALSE),0),
IF(AX105="K",VLOOKUP(K105,Foundation_Calc!$K$41:$R$74,VLOOKUP(AW105,Foundation_Calc!$I$2:$J$8,2,FALSE),0),"")))</f>
        <v/>
      </c>
      <c r="BA105" s="553" t="str">
        <f t="shared" si="5"/>
        <v/>
      </c>
      <c r="BB105" s="553" t="str">
        <f t="shared" si="6"/>
        <v/>
      </c>
      <c r="BC105" s="553" t="str">
        <f t="shared" si="8"/>
        <v/>
      </c>
      <c r="BD105" s="572" t="str">
        <f>IF(AND(L105="",H105=""),"",
IF(H105="",Pole_Calc!A$9,
IF(H105="MP",Pole_Calc!A$10,
IF(H105="AnMP",Pole_Calc!A$11,
IF(H105="A",Pole_Calc!A$12,
IF(H105="S/A",Pole_Calc!A$13,
IF(H105="A/S",Pole_Calc!A$14,"Poner a mano")))))))</f>
        <v/>
      </c>
      <c r="BE105" s="448" t="s">
        <v>1726</v>
      </c>
      <c r="BF105" s="306"/>
      <c r="BG105" s="306"/>
      <c r="BH105" s="306"/>
      <c r="BI105" s="306"/>
    </row>
    <row r="106" spans="1:61" ht="16.2" customHeight="1">
      <c r="A106" s="573" t="s">
        <v>2360</v>
      </c>
      <c r="B106" s="638" t="s">
        <v>1779</v>
      </c>
      <c r="C106" s="3">
        <f>+$C$104+$G$105</f>
        <v>2195.1999999999998</v>
      </c>
      <c r="D106" s="88"/>
      <c r="E106" s="4"/>
      <c r="F106" s="4">
        <v>0</v>
      </c>
      <c r="G106" s="6"/>
      <c r="H106" s="468" t="s">
        <v>179</v>
      </c>
      <c r="I106" s="468" t="s">
        <v>653</v>
      </c>
      <c r="J106" s="3"/>
      <c r="K106" s="468"/>
      <c r="L106" s="468" t="s">
        <v>787</v>
      </c>
      <c r="M106" s="468" t="str">
        <f>IF(L106="","",
IF(AX106="PT",VLOOKUP(L106,Foundation_Calc!$V$4:$X$37,VLOOKUP(AX106,Foundation_Calc!$I$10:$J$13,2,FALSE),0),
IF(AX106="K",VLOOKUP(L106,Foundation_Calc!$V$41:$X$74,VLOOKUP(AX106,Foundation_Calc!$I$10:$J$13,2,FALSE),0),"")))</f>
        <v>2C3SR</v>
      </c>
      <c r="N106" s="468" t="s">
        <v>33</v>
      </c>
      <c r="O106" s="468" t="s">
        <v>28</v>
      </c>
      <c r="P106" s="468"/>
      <c r="Q106" s="4"/>
      <c r="R106" s="6"/>
      <c r="S106" s="6"/>
      <c r="T106" s="4">
        <v>30</v>
      </c>
      <c r="U106" s="4">
        <v>-15</v>
      </c>
      <c r="V106" s="4"/>
      <c r="W106" s="9">
        <v>1.4</v>
      </c>
      <c r="X106" s="9">
        <v>2.2999999999999998</v>
      </c>
      <c r="Y106" s="9"/>
      <c r="Z106" s="9"/>
      <c r="AA106" s="9">
        <v>0.45</v>
      </c>
      <c r="AB106" s="9"/>
      <c r="AC106" s="468" t="str">
        <f t="shared" si="9"/>
        <v>PH</v>
      </c>
      <c r="AD106" s="468"/>
      <c r="AE106" s="468"/>
      <c r="AF106" s="4"/>
      <c r="AG106" s="88"/>
      <c r="AH106" s="4"/>
      <c r="AI106" s="4"/>
      <c r="AJ106" s="468" t="s">
        <v>1162</v>
      </c>
      <c r="AK106" s="468"/>
      <c r="AL106" s="468"/>
      <c r="AM106" s="468" t="s">
        <v>486</v>
      </c>
      <c r="AN106" s="10">
        <v>5.5</v>
      </c>
      <c r="AO106" s="9"/>
      <c r="AP106" s="9"/>
      <c r="AQ106" s="9"/>
      <c r="AR106" s="9"/>
      <c r="AS106" s="9"/>
      <c r="AT106" s="9">
        <f>+ab($T$106,$T$104,$T$108,$G$105,$G$107,-1*$F$106,1200)</f>
        <v>10.944664018192505</v>
      </c>
      <c r="AU106" s="447"/>
      <c r="AV106" s="447"/>
      <c r="AW106" s="468" t="str">
        <f>IF(C106&gt;0,VLOOKUP(C106,Foundation_Calc!$A$2:$C$13,3,1),
IF(J106&gt;0,VLOOKUP(J106,Foundation_Calc!$A$2:$C$13,3,1),""))</f>
        <v>MultiSoil</v>
      </c>
      <c r="AX106" s="468" t="str">
        <f>IF(C106&gt;0,VLOOKUP(C106,Foundation_Calc!$E$2:$G$13,3,1),
IF(J106&gt;0,VLOOKUP(J106,Foundation_Calc!$E$2:$G$13,3,1),""))</f>
        <v>PT</v>
      </c>
      <c r="AY106" s="10">
        <f>IF(L106="","",
IF(AX106="PT",VLOOKUP(L106,Foundation_Calc!$K$4:$R$37,VLOOKUP(AW106,Foundation_Calc!$I$2:$J$8,2,FALSE),0),
IF(AX106="K",VLOOKUP(L106,Foundation_Calc!$K$41:$R$74,VLOOKUP(AW106,Foundation_Calc!$I$2:$J$8,2,FALSE),0),"")))</f>
        <v>4</v>
      </c>
      <c r="AZ106" s="10" t="str">
        <f>IF(K106="","",
IF(AX106="PT",VLOOKUP(K106,Foundation_Calc!$K$4:$R$37,VLOOKUP(AW106,Foundation_Calc!$I$2:$J$8,2,FALSE),0),
IF(AX106="K",VLOOKUP(K106,Foundation_Calc!$K$41:$R$74,VLOOKUP(AW106,Foundation_Calc!$I$2:$J$8,2,FALSE),0),"")))</f>
        <v/>
      </c>
      <c r="BA106" s="553" t="str">
        <f t="shared" si="5"/>
        <v>ü</v>
      </c>
      <c r="BB106" s="553" t="str">
        <f t="shared" si="6"/>
        <v/>
      </c>
      <c r="BC106" s="553" t="str">
        <f t="shared" si="8"/>
        <v/>
      </c>
      <c r="BD106" s="572" t="str">
        <f>IF(AND(L106="",H106=""),"",
IF(H106="",Pole_Calc!A$22,
IF(H106="MP",Pole_Calc!A$23,
IF(H106="AnMP",Pole_Calc!A$24,
IF(H106="A",Pole_Calc!A$25,
IF(H106="S/A",Pole_Calc!A$26,
IF(H106="A/S",Pole_Calc!A$27,"Poner a mano")))))))</f>
        <v>App.7-V11H-P9.5.2.5</v>
      </c>
      <c r="BE106" s="448" t="s">
        <v>1726</v>
      </c>
      <c r="BF106" s="305"/>
      <c r="BG106" s="305"/>
      <c r="BH106" s="306"/>
      <c r="BI106" s="305"/>
    </row>
    <row r="107" spans="1:61" ht="16.2" customHeight="1">
      <c r="A107" s="573" t="s">
        <v>2555</v>
      </c>
      <c r="B107" s="469"/>
      <c r="C107" s="3"/>
      <c r="D107" s="88"/>
      <c r="E107" s="4"/>
      <c r="F107" s="4"/>
      <c r="G107" s="6">
        <v>44.7</v>
      </c>
      <c r="H107" s="468"/>
      <c r="I107" s="677" t="s">
        <v>482</v>
      </c>
      <c r="J107" s="3"/>
      <c r="K107" s="468"/>
      <c r="L107" s="468"/>
      <c r="M107" s="468" t="str">
        <f>IF(L107="","",
IF(AX107="PT",VLOOKUP(L107,Foundation_Calc!$V$4:$X$37,VLOOKUP(AX107,Foundation_Calc!$I$10:$J$13,2,FALSE),0),
IF(AX107="K",VLOOKUP(L107,Foundation_Calc!$V$41:$X$74,VLOOKUP(AX107,Foundation_Calc!$I$10:$J$13,2,FALSE),0),"")))</f>
        <v/>
      </c>
      <c r="N107" s="468"/>
      <c r="O107" s="468"/>
      <c r="P107" s="468"/>
      <c r="Q107" s="4"/>
      <c r="R107" s="6"/>
      <c r="S107" s="6"/>
      <c r="T107" s="4"/>
      <c r="U107" s="4"/>
      <c r="V107" s="4"/>
      <c r="W107" s="9"/>
      <c r="X107" s="9"/>
      <c r="Y107" s="9"/>
      <c r="Z107" s="9"/>
      <c r="AA107" s="9"/>
      <c r="AB107" s="9"/>
      <c r="AC107" s="468" t="str">
        <f t="shared" si="9"/>
        <v/>
      </c>
      <c r="AD107" s="468"/>
      <c r="AE107" s="468"/>
      <c r="AF107" s="4"/>
      <c r="AG107" s="88"/>
      <c r="AH107" s="4"/>
      <c r="AI107" s="4"/>
      <c r="AJ107" s="468"/>
      <c r="AK107" s="468"/>
      <c r="AL107" s="468"/>
      <c r="AM107" s="468"/>
      <c r="AN107" s="10"/>
      <c r="AO107" s="9"/>
      <c r="AP107" s="9"/>
      <c r="AQ107" s="9">
        <f>+FL_2($T$108,$T$106,$G$107,1200,9.28,-1*$F$108)</f>
        <v>-0.3548633093959731</v>
      </c>
      <c r="AR107" s="9"/>
      <c r="AS107" s="9"/>
      <c r="AT107" s="9"/>
      <c r="AU107" s="447"/>
      <c r="AV107" s="447"/>
      <c r="AW107" s="468" t="str">
        <f>IF(C107&gt;0,VLOOKUP(C107,Foundation_Calc!$A$2:$C$13,3,1),
IF(J107&gt;0,VLOOKUP(J107,Foundation_Calc!$A$2:$C$13,3,1),""))</f>
        <v/>
      </c>
      <c r="AX107" s="468" t="str">
        <f>IF(C107&gt;0,VLOOKUP(C107,Foundation_Calc!$E$2:$G$13,3,1),
IF(J107&gt;0,VLOOKUP(J107,Foundation_Calc!$E$2:$G$13,3,1),""))</f>
        <v/>
      </c>
      <c r="AY107" s="10" t="str">
        <f>IF(L107="","",
IF(AX107="PT",VLOOKUP(L107,Foundation_Calc!$K$4:$R$37,VLOOKUP(AW107,Foundation_Calc!$I$2:$J$8,2,FALSE),0),
IF(AX107="K",VLOOKUP(L107,Foundation_Calc!$K$41:$R$74,VLOOKUP(AW107,Foundation_Calc!$I$2:$J$8,2,FALSE),0),"")))</f>
        <v/>
      </c>
      <c r="AZ107" s="10" t="str">
        <f>IF(K107="","",
IF(AX107="PT",VLOOKUP(K107,Foundation_Calc!$K$4:$R$37,VLOOKUP(AW107,Foundation_Calc!$I$2:$J$8,2,FALSE),0),
IF(AX107="K",VLOOKUP(K107,Foundation_Calc!$K$41:$R$74,VLOOKUP(AW107,Foundation_Calc!$I$2:$J$8,2,FALSE),0),"")))</f>
        <v/>
      </c>
      <c r="BA107" s="553" t="str">
        <f t="shared" si="5"/>
        <v/>
      </c>
      <c r="BB107" s="553" t="str">
        <f t="shared" si="6"/>
        <v/>
      </c>
      <c r="BC107" s="553" t="str">
        <f t="shared" si="8"/>
        <v/>
      </c>
      <c r="BD107" s="572" t="str">
        <f>IF(AND(L107="",H107=""),"",
IF(H107="",Pole_Calc!A$22,
IF(H107="MP",Pole_Calc!A$23,
IF(H107="AnMP",Pole_Calc!A$24,
IF(H107="A",Pole_Calc!A$25,
IF(H107="S/A",Pole_Calc!A$26,
IF(H107="A/S",Pole_Calc!A$27,"Poner a mano")))))))</f>
        <v/>
      </c>
      <c r="BE107" s="448" t="s">
        <v>1726</v>
      </c>
      <c r="BF107" s="306"/>
      <c r="BG107" s="306"/>
      <c r="BH107" s="306"/>
      <c r="BI107" s="306"/>
    </row>
    <row r="108" spans="1:61" ht="16.2" customHeight="1">
      <c r="A108" s="573"/>
      <c r="B108" s="638" t="s">
        <v>1780</v>
      </c>
      <c r="C108" s="3">
        <f>+$C$106+$G$107</f>
        <v>2239.8999999999996</v>
      </c>
      <c r="D108" s="88"/>
      <c r="E108" s="4"/>
      <c r="F108" s="4">
        <v>0</v>
      </c>
      <c r="G108" s="6"/>
      <c r="H108" s="468" t="s">
        <v>26</v>
      </c>
      <c r="I108" s="468" t="s">
        <v>183</v>
      </c>
      <c r="J108" s="3">
        <f>C108+7.5</f>
        <v>2247.3999999999996</v>
      </c>
      <c r="K108" s="468" t="s">
        <v>1095</v>
      </c>
      <c r="L108" s="468" t="s">
        <v>452</v>
      </c>
      <c r="M108" s="468" t="str">
        <f>IF(L108="","",
IF(AX108="PT",VLOOKUP(L108,Foundation_Calc!$V$4:$X$37,VLOOKUP(AX108,Foundation_Calc!$I$10:$J$13,2,FALSE),0),
IF(AX108="K",VLOOKUP(L108,Foundation_Calc!$V$41:$X$74,VLOOKUP(AX108,Foundation_Calc!$I$10:$J$13,2,FALSE),0),"")))</f>
        <v>C4SR</v>
      </c>
      <c r="N108" s="468" t="s">
        <v>32</v>
      </c>
      <c r="O108" s="468"/>
      <c r="P108" s="468"/>
      <c r="Q108" s="4"/>
      <c r="R108" s="6"/>
      <c r="S108" s="6"/>
      <c r="T108" s="4">
        <v>-35</v>
      </c>
      <c r="U108" s="4"/>
      <c r="V108" s="4"/>
      <c r="W108" s="9">
        <v>1.4</v>
      </c>
      <c r="X108" s="9"/>
      <c r="Y108" s="9"/>
      <c r="Z108" s="9"/>
      <c r="AA108" s="9"/>
      <c r="AB108" s="9"/>
      <c r="AC108" s="468" t="str">
        <f t="shared" si="9"/>
        <v>PHQ</v>
      </c>
      <c r="AD108" s="468"/>
      <c r="AE108" s="468"/>
      <c r="AF108" s="4"/>
      <c r="AG108" s="88"/>
      <c r="AH108" s="4"/>
      <c r="AI108" s="4"/>
      <c r="AJ108" s="468"/>
      <c r="AK108" s="468"/>
      <c r="AL108" s="468"/>
      <c r="AM108" s="468" t="s">
        <v>486</v>
      </c>
      <c r="AN108" s="10">
        <v>5.5</v>
      </c>
      <c r="AO108" s="9"/>
      <c r="AP108" s="9"/>
      <c r="AQ108" s="9"/>
      <c r="AR108" s="9"/>
      <c r="AS108" s="9"/>
      <c r="AT108" s="9">
        <f>+ab($T$108,$T$106,$T$110,$G$107,$G$109,-1*$F$108,1200)</f>
        <v>-5.5107209409946307</v>
      </c>
      <c r="AU108" s="447"/>
      <c r="AV108" s="447"/>
      <c r="AW108" s="468" t="str">
        <f>IF(C108&gt;0,VLOOKUP(C108,Foundation_Calc!$A$2:$C$13,3,1),
IF(J108&gt;0,VLOOKUP(J108,Foundation_Calc!$A$2:$C$13,3,1),""))</f>
        <v>MultiSoil</v>
      </c>
      <c r="AX108" s="468" t="str">
        <f>IF(C108&gt;0,VLOOKUP(C108,Foundation_Calc!$E$2:$G$13,3,1),
IF(J108&gt;0,VLOOKUP(J108,Foundation_Calc!$E$2:$G$13,3,1),""))</f>
        <v>PT</v>
      </c>
      <c r="AY108" s="10">
        <f>IF(L108="","",
IF(AX108="PT",VLOOKUP(L108,Foundation_Calc!$K$4:$R$37,VLOOKUP(AW108,Foundation_Calc!$I$2:$J$8,2,FALSE),0),
IF(AX108="K",VLOOKUP(L108,Foundation_Calc!$K$41:$R$74,VLOOKUP(AW108,Foundation_Calc!$I$2:$J$8,2,FALSE),0),"")))</f>
        <v>3.7</v>
      </c>
      <c r="AZ108" s="10">
        <f>IF(K108="","",
IF(AX108="PT",VLOOKUP(K108,Foundation_Calc!$K$4:$R$37,VLOOKUP(AW108,Foundation_Calc!$I$2:$J$8,2,FALSE),0),
IF(AX108="K",VLOOKUP(K108,Foundation_Calc!$K$41:$R$74,VLOOKUP(AW108,Foundation_Calc!$I$2:$J$8,2,FALSE),0),"")))</f>
        <v>3.9</v>
      </c>
      <c r="BA108" s="553" t="str">
        <f t="shared" si="5"/>
        <v>ü</v>
      </c>
      <c r="BB108" s="553" t="str">
        <f t="shared" si="6"/>
        <v>ü</v>
      </c>
      <c r="BC108" s="553" t="str">
        <f t="shared" si="8"/>
        <v/>
      </c>
      <c r="BD108" s="572" t="str">
        <f>IF(AND(L108="",H108=""),"",
IF(H108="",Pole_Calc!A$22,
IF(H108="MP",Pole_Calc!A$23,
IF(H108="AnMP",Pole_Calc!A$24,
IF(H108="A",Pole_Calc!A$25,
IF(H108="S/A",Pole_Calc!A$26,
IF(H108="A/S",Pole_Calc!A$27,"Poner a mano")))))))</f>
        <v>App.7-V11H-P9.5.2.6</v>
      </c>
      <c r="BE108" s="448" t="s">
        <v>1726</v>
      </c>
      <c r="BF108" s="305"/>
      <c r="BG108" s="305"/>
      <c r="BH108" s="306"/>
      <c r="BI108" s="305"/>
    </row>
    <row r="109" spans="1:61" ht="16.2" customHeight="1">
      <c r="A109" s="573"/>
      <c r="B109" s="469"/>
      <c r="C109" s="3"/>
      <c r="D109" s="88"/>
      <c r="E109" s="4"/>
      <c r="F109" s="4"/>
      <c r="G109" s="6">
        <v>34.700000000000003</v>
      </c>
      <c r="H109" s="468"/>
      <c r="I109" s="468"/>
      <c r="J109" s="3">
        <f>C108+9.5</f>
        <v>2249.3999999999996</v>
      </c>
      <c r="K109" s="468" t="s">
        <v>1096</v>
      </c>
      <c r="L109" s="468"/>
      <c r="M109" s="468" t="str">
        <f>IF(L109="","",
IF(AX109="PT",VLOOKUP(L109,Foundation_Calc!$V$4:$X$37,VLOOKUP(AX109,Foundation_Calc!$I$10:$J$13,2,FALSE),0),
IF(AX109="K",VLOOKUP(L109,Foundation_Calc!$V$41:$X$74,VLOOKUP(AX109,Foundation_Calc!$I$10:$J$13,2,FALSE),0),"")))</f>
        <v/>
      </c>
      <c r="N109" s="468"/>
      <c r="O109" s="468"/>
      <c r="P109" s="468"/>
      <c r="Q109" s="4"/>
      <c r="R109" s="6"/>
      <c r="S109" s="6"/>
      <c r="T109" s="4"/>
      <c r="U109" s="4"/>
      <c r="V109" s="4"/>
      <c r="W109" s="9"/>
      <c r="X109" s="9"/>
      <c r="Y109" s="9"/>
      <c r="Z109" s="9"/>
      <c r="AA109" s="9"/>
      <c r="AB109" s="9"/>
      <c r="AC109" s="468" t="str">
        <f t="shared" si="9"/>
        <v/>
      </c>
      <c r="AD109" s="468"/>
      <c r="AE109" s="468"/>
      <c r="AF109" s="4"/>
      <c r="AG109" s="88"/>
      <c r="AH109" s="4"/>
      <c r="AI109" s="4"/>
      <c r="AJ109" s="468"/>
      <c r="AK109" s="468"/>
      <c r="AL109" s="468"/>
      <c r="AM109" s="468"/>
      <c r="AN109" s="10"/>
      <c r="AO109" s="9"/>
      <c r="AP109" s="9"/>
      <c r="AQ109" s="9">
        <f>+FL_2($T$110,$T$108,$G$109,1200,9.28,-1*$F$110)</f>
        <v>-0.3500000000000113</v>
      </c>
      <c r="AR109" s="9"/>
      <c r="AS109" s="9"/>
      <c r="AT109" s="9"/>
      <c r="AU109" s="447"/>
      <c r="AV109" s="447"/>
      <c r="AW109" s="468" t="str">
        <f>IF(C109&gt;0,VLOOKUP(C109,Foundation_Calc!$A$2:$C$13,3,1),
IF(J109&gt;0,VLOOKUP(J109,Foundation_Calc!$A$2:$C$13,3,1),""))</f>
        <v>MultiSoil</v>
      </c>
      <c r="AX109" s="468" t="str">
        <f>IF(C109&gt;0,VLOOKUP(C109,Foundation_Calc!$E$2:$G$13,3,1),
IF(J109&gt;0,VLOOKUP(J109,Foundation_Calc!$E$2:$G$13,3,1),""))</f>
        <v>PT</v>
      </c>
      <c r="AY109" s="10" t="str">
        <f>IF(L109="","",
IF(AX109="PT",VLOOKUP(L109,Foundation_Calc!$K$4:$R$37,VLOOKUP(AW109,Foundation_Calc!$I$2:$J$8,2,FALSE),0),
IF(AX109="K",VLOOKUP(L109,Foundation_Calc!$K$41:$R$74,VLOOKUP(AW109,Foundation_Calc!$I$2:$J$8,2,FALSE),0),"")))</f>
        <v/>
      </c>
      <c r="AZ109" s="10">
        <f>IF(K109="","",
IF(AX109="PT",VLOOKUP(K109,Foundation_Calc!$K$4:$R$37,VLOOKUP(AW109,Foundation_Calc!$I$2:$J$8,2,FALSE),0),
IF(AX109="K",VLOOKUP(K109,Foundation_Calc!$K$41:$R$74,VLOOKUP(AW109,Foundation_Calc!$I$2:$J$8,2,FALSE),0),"")))</f>
        <v>2.8</v>
      </c>
      <c r="BA109" s="553" t="str">
        <f t="shared" si="5"/>
        <v/>
      </c>
      <c r="BB109" s="553" t="str">
        <f t="shared" si="6"/>
        <v>ü</v>
      </c>
      <c r="BC109" s="553" t="str">
        <f t="shared" si="8"/>
        <v/>
      </c>
      <c r="BD109" s="572" t="str">
        <f>IF(AND(L109="",H109=""),"",
IF(H109="",Pole_Calc!A$22,
IF(H109="MP",Pole_Calc!A$23,
IF(H109="AnMP",Pole_Calc!A$24,
IF(H109="A",Pole_Calc!A$25,
IF(H109="S/A",Pole_Calc!A$26,
IF(H109="A/S",Pole_Calc!A$27,"Poner a mano")))))))</f>
        <v/>
      </c>
      <c r="BE109" s="448" t="s">
        <v>1726</v>
      </c>
      <c r="BF109" s="306"/>
      <c r="BG109" s="306"/>
      <c r="BH109" s="306"/>
      <c r="BI109" s="306"/>
    </row>
    <row r="110" spans="1:61" ht="16.2" customHeight="1">
      <c r="A110" s="573"/>
      <c r="B110" s="638" t="s">
        <v>1781</v>
      </c>
      <c r="C110" s="3">
        <f>+$C$108+$G$109</f>
        <v>2274.5999999999995</v>
      </c>
      <c r="D110" s="88"/>
      <c r="E110" s="4"/>
      <c r="F110" s="4">
        <v>0</v>
      </c>
      <c r="G110" s="6"/>
      <c r="H110" s="468"/>
      <c r="I110" s="468"/>
      <c r="J110" s="3"/>
      <c r="K110" s="468"/>
      <c r="L110" s="468" t="s">
        <v>38</v>
      </c>
      <c r="M110" s="468" t="str">
        <f>IF(L110="","",
IF(AX110="PT",VLOOKUP(L110,Foundation_Calc!$V$4:$X$37,VLOOKUP(AX110,Foundation_Calc!$I$10:$J$13,2,FALSE),0),
IF(AX110="K",VLOOKUP(L110,Foundation_Calc!$V$41:$X$74,VLOOKUP(AX110,Foundation_Calc!$I$10:$J$13,2,FALSE),0),"")))</f>
        <v>C4SR</v>
      </c>
      <c r="N110" s="468" t="s">
        <v>33</v>
      </c>
      <c r="O110" s="468"/>
      <c r="P110" s="468"/>
      <c r="Q110" s="4"/>
      <c r="R110" s="6"/>
      <c r="S110" s="6"/>
      <c r="T110" s="4">
        <v>35</v>
      </c>
      <c r="U110" s="4"/>
      <c r="V110" s="4"/>
      <c r="W110" s="9">
        <v>1.4</v>
      </c>
      <c r="X110" s="9"/>
      <c r="Y110" s="9"/>
      <c r="Z110" s="9"/>
      <c r="AA110" s="9"/>
      <c r="AB110" s="9"/>
      <c r="AC110" s="468" t="str">
        <f t="shared" si="9"/>
        <v>PHC</v>
      </c>
      <c r="AD110" s="468"/>
      <c r="AE110" s="468"/>
      <c r="AF110" s="4"/>
      <c r="AG110" s="88"/>
      <c r="AH110" s="4"/>
      <c r="AI110" s="4"/>
      <c r="AJ110" s="468"/>
      <c r="AK110" s="468"/>
      <c r="AL110" s="468"/>
      <c r="AM110" s="468" t="s">
        <v>486</v>
      </c>
      <c r="AN110" s="10">
        <v>5.5</v>
      </c>
      <c r="AO110" s="9"/>
      <c r="AP110" s="9"/>
      <c r="AQ110" s="9"/>
      <c r="AR110" s="9"/>
      <c r="AS110" s="9"/>
      <c r="AT110" s="9">
        <f>+ab($T$110,$T$108,$T$112,$G$109,$G$111,-1*$F$110,1200)</f>
        <v>4.5318305723776318</v>
      </c>
      <c r="AU110" s="447"/>
      <c r="AV110" s="447"/>
      <c r="AW110" s="468" t="str">
        <f>IF(C110&gt;0,VLOOKUP(C110,Foundation_Calc!$A$2:$C$13,3,1),
IF(J110&gt;0,VLOOKUP(J110,Foundation_Calc!$A$2:$C$13,3,1),""))</f>
        <v>MultiSoil</v>
      </c>
      <c r="AX110" s="468" t="str">
        <f>IF(C110&gt;0,VLOOKUP(C110,Foundation_Calc!$E$2:$G$13,3,1),
IF(J110&gt;0,VLOOKUP(J110,Foundation_Calc!$E$2:$G$13,3,1),""))</f>
        <v>PT</v>
      </c>
      <c r="AY110" s="10">
        <f>IF(L110="","",
IF(AX110="PT",VLOOKUP(L110,Foundation_Calc!$K$4:$R$37,VLOOKUP(AW110,Foundation_Calc!$I$2:$J$8,2,FALSE),0),
IF(AX110="K",VLOOKUP(L110,Foundation_Calc!$K$41:$R$74,VLOOKUP(AW110,Foundation_Calc!$I$2:$J$8,2,FALSE),0),"")))</f>
        <v>3.7</v>
      </c>
      <c r="AZ110" s="10" t="str">
        <f>IF(K110="","",
IF(AX110="PT",VLOOKUP(K110,Foundation_Calc!$K$4:$R$37,VLOOKUP(AW110,Foundation_Calc!$I$2:$J$8,2,FALSE),0),
IF(AX110="K",VLOOKUP(K110,Foundation_Calc!$K$41:$R$74,VLOOKUP(AW110,Foundation_Calc!$I$2:$J$8,2,FALSE),0),"")))</f>
        <v/>
      </c>
      <c r="BA110" s="553" t="str">
        <f t="shared" ref="BA110:BA115" si="10">IF(AY110="","",IF(AY110&gt;0,"ü",""))</f>
        <v>ü</v>
      </c>
      <c r="BB110" s="553" t="str">
        <f t="shared" ref="BB110:BB115" si="11">IF(AZ110="","",IF(AZ110&gt;0,"ü",""))</f>
        <v/>
      </c>
      <c r="BC110" s="553" t="str">
        <f t="shared" ref="BC110:BC115" si="12">IF(M110="","",IF(M110="U.S.","ü",IF(M110="U.S. N.D.","ü","")))</f>
        <v/>
      </c>
      <c r="BD110" s="572" t="str">
        <f>IF(AND(L110="",H110=""),"",
IF(H110="",Pole_Calc!A$22,
IF(H110="MP",Pole_Calc!A$23,
IF(H110="AnMP",Pole_Calc!A$24,
IF(H110="A",Pole_Calc!A$25,
IF(H110="S/A",Pole_Calc!A$26,
IF(H110="A/S",Pole_Calc!A$27,"Poner a mano")))))))</f>
        <v>App.7-V11H-P9.5.2.1</v>
      </c>
      <c r="BE110" s="448" t="s">
        <v>1726</v>
      </c>
      <c r="BF110" s="305"/>
      <c r="BG110" s="305"/>
      <c r="BH110" s="306"/>
      <c r="BI110" s="305"/>
    </row>
    <row r="111" spans="1:61" ht="16.2" customHeight="1">
      <c r="A111" s="573"/>
      <c r="B111" s="469"/>
      <c r="C111" s="3"/>
      <c r="D111" s="88"/>
      <c r="E111" s="4"/>
      <c r="F111" s="4"/>
      <c r="G111" s="6">
        <v>31.7</v>
      </c>
      <c r="H111" s="468"/>
      <c r="I111" s="468"/>
      <c r="J111" s="3"/>
      <c r="K111" s="468"/>
      <c r="L111" s="468"/>
      <c r="M111" s="468" t="str">
        <f>IF(L111="","",
IF(AX111="PT",VLOOKUP(L111,Foundation_Calc!$V$4:$X$37,VLOOKUP(AX111,Foundation_Calc!$I$10:$J$13,2,FALSE),0),
IF(AX111="K",VLOOKUP(L111,Foundation_Calc!$V$41:$X$74,VLOOKUP(AX111,Foundation_Calc!$I$10:$J$13,2,FALSE),0),"")))</f>
        <v/>
      </c>
      <c r="N111" s="468"/>
      <c r="O111" s="468"/>
      <c r="P111" s="468"/>
      <c r="Q111" s="4"/>
      <c r="R111" s="6"/>
      <c r="S111" s="6"/>
      <c r="T111" s="4"/>
      <c r="U111" s="4"/>
      <c r="V111" s="4"/>
      <c r="W111" s="9"/>
      <c r="X111" s="9"/>
      <c r="Y111" s="9"/>
      <c r="Z111" s="9"/>
      <c r="AA111" s="9"/>
      <c r="AB111" s="9"/>
      <c r="AC111" s="468" t="str">
        <f t="shared" si="9"/>
        <v/>
      </c>
      <c r="AD111" s="468"/>
      <c r="AE111" s="468"/>
      <c r="AF111" s="4"/>
      <c r="AG111" s="88"/>
      <c r="AH111" s="4"/>
      <c r="AI111" s="4"/>
      <c r="AJ111" s="468"/>
      <c r="AK111" s="468"/>
      <c r="AL111" s="468"/>
      <c r="AM111" s="468"/>
      <c r="AN111" s="10"/>
      <c r="AO111" s="9"/>
      <c r="AP111" s="9"/>
      <c r="AQ111" s="9">
        <f>+FL_2($T$112,$T$110,$G$111,1200,9.28,-1*$F$112)</f>
        <v>-0.35</v>
      </c>
      <c r="AR111" s="9"/>
      <c r="AS111" s="9"/>
      <c r="AT111" s="9"/>
      <c r="AU111" s="447"/>
      <c r="AV111" s="447"/>
      <c r="AW111" s="468" t="str">
        <f>IF(C111&gt;0,VLOOKUP(C111,Foundation_Calc!$A$2:$C$13,3,1),
IF(J111&gt;0,VLOOKUP(J111,Foundation_Calc!$A$2:$C$13,3,1),""))</f>
        <v/>
      </c>
      <c r="AX111" s="468" t="str">
        <f>IF(C111&gt;0,VLOOKUP(C111,Foundation_Calc!$E$2:$G$13,3,1),
IF(J111&gt;0,VLOOKUP(J111,Foundation_Calc!$E$2:$G$13,3,1),""))</f>
        <v/>
      </c>
      <c r="AY111" s="10" t="str">
        <f>IF(L111="","",
IF(AX111="PT",VLOOKUP(L111,Foundation_Calc!$K$4:$R$37,VLOOKUP(AW111,Foundation_Calc!$I$2:$J$8,2,FALSE),0),
IF(AX111="K",VLOOKUP(L111,Foundation_Calc!$K$41:$R$74,VLOOKUP(AW111,Foundation_Calc!$I$2:$J$8,2,FALSE),0),"")))</f>
        <v/>
      </c>
      <c r="AZ111" s="10" t="str">
        <f>IF(K111="","",
IF(AX111="PT",VLOOKUP(K111,Foundation_Calc!$K$4:$R$37,VLOOKUP(AW111,Foundation_Calc!$I$2:$J$8,2,FALSE),0),
IF(AX111="K",VLOOKUP(K111,Foundation_Calc!$K$41:$R$74,VLOOKUP(AW111,Foundation_Calc!$I$2:$J$8,2,FALSE),0),"")))</f>
        <v/>
      </c>
      <c r="BA111" s="553" t="str">
        <f t="shared" si="10"/>
        <v/>
      </c>
      <c r="BB111" s="553" t="str">
        <f t="shared" si="11"/>
        <v/>
      </c>
      <c r="BC111" s="553" t="str">
        <f t="shared" si="12"/>
        <v/>
      </c>
      <c r="BD111" s="572" t="str">
        <f>IF(AND(L111="",H111=""),"",
IF(H111="",Pole_Calc!A$22,
IF(H111="MP",Pole_Calc!A$23,
IF(H111="AnMP",Pole_Calc!A$24,
IF(H111="A",Pole_Calc!A$25,
IF(H111="S/A",Pole_Calc!A$26,
IF(H111="A/S",Pole_Calc!A$27,"Poner a mano")))))))</f>
        <v/>
      </c>
      <c r="BE111" s="448" t="s">
        <v>1726</v>
      </c>
      <c r="BF111" s="306"/>
      <c r="BG111" s="306"/>
      <c r="BH111" s="306"/>
      <c r="BI111" s="306"/>
    </row>
    <row r="112" spans="1:61" ht="16.2" customHeight="1">
      <c r="A112" s="573"/>
      <c r="B112" s="638" t="s">
        <v>2545</v>
      </c>
      <c r="C112" s="3">
        <f>+$C$110+$G$111</f>
        <v>2306.2999999999993</v>
      </c>
      <c r="D112" s="88"/>
      <c r="E112" s="4"/>
      <c r="F112" s="4">
        <v>0</v>
      </c>
      <c r="G112" s="6"/>
      <c r="H112" s="468"/>
      <c r="I112" s="468"/>
      <c r="J112" s="3"/>
      <c r="K112" s="468"/>
      <c r="L112" s="468" t="s">
        <v>38</v>
      </c>
      <c r="M112" s="468" t="str">
        <f>IF(L112="","",
IF(AX112="PT",VLOOKUP(L112,Foundation_Calc!$V$4:$X$37,VLOOKUP(AX112,Foundation_Calc!$I$10:$J$13,2,FALSE),0),
IF(AX112="K",VLOOKUP(L112,Foundation_Calc!$V$41:$X$74,VLOOKUP(AX112,Foundation_Calc!$I$10:$J$13,2,FALSE),0),"")))</f>
        <v>C4SR</v>
      </c>
      <c r="N112" s="468" t="s">
        <v>32</v>
      </c>
      <c r="O112" s="468"/>
      <c r="P112" s="468"/>
      <c r="Q112" s="4"/>
      <c r="R112" s="6"/>
      <c r="S112" s="6"/>
      <c r="T112" s="4">
        <v>-35</v>
      </c>
      <c r="U112" s="4"/>
      <c r="V112" s="4"/>
      <c r="W112" s="9">
        <v>1.4</v>
      </c>
      <c r="X112" s="9"/>
      <c r="Y112" s="9"/>
      <c r="Z112" s="9"/>
      <c r="AA112" s="9"/>
      <c r="AB112" s="9"/>
      <c r="AC112" s="468" t="str">
        <f t="shared" si="9"/>
        <v>PHC</v>
      </c>
      <c r="AD112" s="468"/>
      <c r="AE112" s="468"/>
      <c r="AF112" s="4"/>
      <c r="AG112" s="88"/>
      <c r="AH112" s="4"/>
      <c r="AI112" s="4"/>
      <c r="AJ112" s="468"/>
      <c r="AK112" s="468"/>
      <c r="AL112" s="468"/>
      <c r="AM112" s="468" t="s">
        <v>486</v>
      </c>
      <c r="AN112" s="10">
        <v>5.5</v>
      </c>
      <c r="AO112" s="9"/>
      <c r="AP112" s="9"/>
      <c r="AQ112" s="9"/>
      <c r="AR112" s="9"/>
      <c r="AS112" s="9"/>
      <c r="AT112" s="9">
        <f>+ab($T$112,$T$110,$T$114,$G$111,$G$113,-1*$F$112,1200)</f>
        <v>-4.3502859034059886</v>
      </c>
      <c r="AU112" s="447"/>
      <c r="AV112" s="447"/>
      <c r="AW112" s="468" t="str">
        <f>IF(C112&gt;0,VLOOKUP(C112,Foundation_Calc!$A$2:$C$13,3,1),
IF(J112&gt;0,VLOOKUP(J112,Foundation_Calc!$A$2:$C$13,3,1),""))</f>
        <v>MultiSoil</v>
      </c>
      <c r="AX112" s="468" t="str">
        <f>IF(C112&gt;0,VLOOKUP(C112,Foundation_Calc!$E$2:$G$13,3,1),
IF(J112&gt;0,VLOOKUP(J112,Foundation_Calc!$E$2:$G$13,3,1),""))</f>
        <v>PT</v>
      </c>
      <c r="AY112" s="10">
        <f>IF(L112="","",
IF(AX112="PT",VLOOKUP(L112,Foundation_Calc!$K$4:$R$37,VLOOKUP(AW112,Foundation_Calc!$I$2:$J$8,2,FALSE),0),
IF(AX112="K",VLOOKUP(L112,Foundation_Calc!$K$41:$R$74,VLOOKUP(AW112,Foundation_Calc!$I$2:$J$8,2,FALSE),0),"")))</f>
        <v>3.7</v>
      </c>
      <c r="AZ112" s="10" t="str">
        <f>IF(K112="","",
IF(AX112="PT",VLOOKUP(K112,Foundation_Calc!$K$4:$R$37,VLOOKUP(AW112,Foundation_Calc!$I$2:$J$8,2,FALSE),0),
IF(AX112="K",VLOOKUP(K112,Foundation_Calc!$K$41:$R$74,VLOOKUP(AW112,Foundation_Calc!$I$2:$J$8,2,FALSE),0),"")))</f>
        <v/>
      </c>
      <c r="BA112" s="553" t="str">
        <f t="shared" si="10"/>
        <v>ü</v>
      </c>
      <c r="BB112" s="553" t="str">
        <f t="shared" si="11"/>
        <v/>
      </c>
      <c r="BC112" s="553" t="str">
        <f t="shared" si="12"/>
        <v/>
      </c>
      <c r="BD112" s="572" t="str">
        <f>IF(AND(L112="",H112=""),"",
IF(H112="",Pole_Calc!A$22,
IF(H112="MP",Pole_Calc!A$23,
IF(H112="AnMP",Pole_Calc!A$24,
IF(H112="A",Pole_Calc!A$25,
IF(H112="S/A",Pole_Calc!A$26,
IF(H112="A/S",Pole_Calc!A$27,"Poner a mano")))))))</f>
        <v>App.7-V11H-P9.5.2.1</v>
      </c>
      <c r="BE112" s="448" t="s">
        <v>1726</v>
      </c>
      <c r="BF112" s="305"/>
      <c r="BG112" s="305"/>
      <c r="BH112" s="306"/>
      <c r="BI112" s="305"/>
    </row>
    <row r="113" spans="1:61" ht="16.2" customHeight="1">
      <c r="A113" s="573"/>
      <c r="B113" s="469"/>
      <c r="C113" s="3"/>
      <c r="D113" s="88"/>
      <c r="E113" s="4"/>
      <c r="F113" s="4"/>
      <c r="G113" s="6">
        <v>31.9</v>
      </c>
      <c r="H113" s="468"/>
      <c r="I113" s="468"/>
      <c r="J113" s="3"/>
      <c r="K113" s="468"/>
      <c r="L113" s="468"/>
      <c r="M113" s="468" t="str">
        <f>IF(L113="","",
IF(AX113="PT",VLOOKUP(L113,Foundation_Calc!$V$4:$X$37,VLOOKUP(AX113,Foundation_Calc!$I$10:$J$13,2,FALSE),0),
IF(AX113="K",VLOOKUP(L113,Foundation_Calc!$V$41:$X$74,VLOOKUP(AX113,Foundation_Calc!$I$10:$J$13,2,FALSE),0),"")))</f>
        <v/>
      </c>
      <c r="N113" s="468"/>
      <c r="O113" s="468"/>
      <c r="P113" s="468"/>
      <c r="Q113" s="4"/>
      <c r="R113" s="6"/>
      <c r="S113" s="6"/>
      <c r="T113" s="4"/>
      <c r="U113" s="4"/>
      <c r="V113" s="4"/>
      <c r="W113" s="9"/>
      <c r="X113" s="9"/>
      <c r="Y113" s="9"/>
      <c r="Z113" s="9"/>
      <c r="AA113" s="9"/>
      <c r="AB113" s="9"/>
      <c r="AC113" s="468"/>
      <c r="AD113" s="468"/>
      <c r="AE113" s="468"/>
      <c r="AF113" s="4"/>
      <c r="AG113" s="88"/>
      <c r="AH113" s="4"/>
      <c r="AI113" s="4"/>
      <c r="AJ113" s="468"/>
      <c r="AK113" s="468"/>
      <c r="AL113" s="468"/>
      <c r="AM113" s="468"/>
      <c r="AN113" s="10"/>
      <c r="AO113" s="9"/>
      <c r="AP113" s="9"/>
      <c r="AQ113" s="9">
        <f>+FL_2($T$114,$T$112,$G$113,1200,9.28,-1*$F$114)</f>
        <v>-0.35000000000002102</v>
      </c>
      <c r="AR113" s="9"/>
      <c r="AS113" s="9"/>
      <c r="AT113" s="9"/>
      <c r="AU113" s="447"/>
      <c r="AV113" s="447"/>
      <c r="AW113" s="468" t="str">
        <f>IF(C113&gt;0,VLOOKUP(C113,Foundation_Calc!$A$2:$C$13,3,1),
IF(J113&gt;0,VLOOKUP(J113,Foundation_Calc!$A$2:$C$13,3,1),""))</f>
        <v/>
      </c>
      <c r="AX113" s="468" t="str">
        <f>IF(C113&gt;0,VLOOKUP(C113,Foundation_Calc!$E$2:$G$13,3,1),
IF(J113&gt;0,VLOOKUP(J113,Foundation_Calc!$E$2:$G$13,3,1),""))</f>
        <v/>
      </c>
      <c r="AY113" s="10" t="str">
        <f>IF(L113="","",
IF(AX113="PT",VLOOKUP(L113,Foundation_Calc!$K$4:$R$37,VLOOKUP(AW113,Foundation_Calc!$I$2:$J$8,2,FALSE),0),
IF(AX113="K",VLOOKUP(L113,Foundation_Calc!$K$41:$R$74,VLOOKUP(AW113,Foundation_Calc!$I$2:$J$8,2,FALSE),0),"")))</f>
        <v/>
      </c>
      <c r="AZ113" s="10" t="str">
        <f>IF(K113="","",
IF(AX113="PT",VLOOKUP(K113,Foundation_Calc!$K$4:$R$37,VLOOKUP(AW113,Foundation_Calc!$I$2:$J$8,2,FALSE),0),
IF(AX113="K",VLOOKUP(K113,Foundation_Calc!$K$41:$R$74,VLOOKUP(AW113,Foundation_Calc!$I$2:$J$8,2,FALSE),0),"")))</f>
        <v/>
      </c>
      <c r="BA113" s="553" t="str">
        <f t="shared" si="10"/>
        <v/>
      </c>
      <c r="BB113" s="553" t="str">
        <f t="shared" si="11"/>
        <v/>
      </c>
      <c r="BC113" s="553" t="str">
        <f t="shared" si="12"/>
        <v/>
      </c>
      <c r="BD113" s="572" t="str">
        <f>IF(AND(L113="",H113=""),"",
IF(H113="",Pole_Calc!A$22,
IF(H113="MP",Pole_Calc!A$23,
IF(H113="AnMP",Pole_Calc!A$24,
IF(H113="A",Pole_Calc!A$25,
IF(H113="S/A",Pole_Calc!A$26,
IF(H113="A/S",Pole_Calc!A$27,"Poner a mano")))))))</f>
        <v/>
      </c>
      <c r="BE113" s="448" t="s">
        <v>1726</v>
      </c>
      <c r="BF113" s="306"/>
      <c r="BG113" s="306"/>
      <c r="BH113" s="306"/>
      <c r="BI113" s="306"/>
    </row>
    <row r="114" spans="1:61" ht="16.2" customHeight="1">
      <c r="A114" s="573"/>
      <c r="B114" s="638" t="s">
        <v>1782</v>
      </c>
      <c r="C114" s="3">
        <f>+$C$112+$G$113</f>
        <v>2338.1999999999994</v>
      </c>
      <c r="D114" s="88"/>
      <c r="E114" s="4"/>
      <c r="F114" s="4">
        <v>0</v>
      </c>
      <c r="G114" s="6"/>
      <c r="H114" s="468"/>
      <c r="I114" s="468"/>
      <c r="J114" s="3"/>
      <c r="K114" s="468"/>
      <c r="L114" s="468" t="s">
        <v>38</v>
      </c>
      <c r="M114" s="468" t="str">
        <f>IF(L114="","",
IF(AX114="PT",VLOOKUP(L114,Foundation_Calc!$V$4:$X$37,VLOOKUP(AX114,Foundation_Calc!$I$10:$J$13,2,FALSE),0),
IF(AX114="K",VLOOKUP(L114,Foundation_Calc!$V$41:$X$74,VLOOKUP(AX114,Foundation_Calc!$I$10:$J$13,2,FALSE),0),"")))</f>
        <v>C4SR</v>
      </c>
      <c r="N114" s="468" t="s">
        <v>33</v>
      </c>
      <c r="O114" s="669"/>
      <c r="P114" s="468"/>
      <c r="Q114" s="4"/>
      <c r="R114" s="6"/>
      <c r="S114" s="6"/>
      <c r="T114" s="4">
        <v>35</v>
      </c>
      <c r="U114" s="4"/>
      <c r="V114" s="4"/>
      <c r="W114" s="9">
        <v>1.4</v>
      </c>
      <c r="X114" s="9"/>
      <c r="Y114" s="9"/>
      <c r="Z114" s="9"/>
      <c r="AA114" s="9"/>
      <c r="AB114" s="9"/>
      <c r="AC114" s="468" t="str">
        <f t="shared" si="9"/>
        <v>PHC</v>
      </c>
      <c r="AD114" s="468"/>
      <c r="AE114" s="468"/>
      <c r="AF114" s="4"/>
      <c r="AG114" s="88"/>
      <c r="AH114" s="4"/>
      <c r="AI114" s="4"/>
      <c r="AJ114" s="468"/>
      <c r="AK114" s="468"/>
      <c r="AL114" s="468"/>
      <c r="AM114" s="468" t="s">
        <v>486</v>
      </c>
      <c r="AN114" s="10">
        <v>5.5</v>
      </c>
      <c r="AO114" s="9"/>
      <c r="AP114" s="9"/>
      <c r="AQ114" s="9"/>
      <c r="AR114" s="9"/>
      <c r="AS114" s="9"/>
      <c r="AT114" s="9">
        <f>+ab($T$114,$T$112,$T$116,$G$113,$G$115,-1*$F$114,1200)</f>
        <v>4.2806100582210593</v>
      </c>
      <c r="AU114" s="447"/>
      <c r="AV114" s="447"/>
      <c r="AW114" s="468" t="str">
        <f>IF(C114&gt;0,VLOOKUP(C114,Foundation_Calc!$A$2:$C$13,3,1),
IF(J114&gt;0,VLOOKUP(J114,Foundation_Calc!$A$2:$C$13,3,1),""))</f>
        <v>MultiSoil</v>
      </c>
      <c r="AX114" s="468" t="str">
        <f>IF(C114&gt;0,VLOOKUP(C114,Foundation_Calc!$E$2:$G$13,3,1),
IF(J114&gt;0,VLOOKUP(J114,Foundation_Calc!$E$2:$G$13,3,1),""))</f>
        <v>PT</v>
      </c>
      <c r="AY114" s="10">
        <f>IF(L114="","",
IF(AX114="PT",VLOOKUP(L114,Foundation_Calc!$K$4:$R$37,VLOOKUP(AW114,Foundation_Calc!$I$2:$J$8,2,FALSE),0),
IF(AX114="K",VLOOKUP(L114,Foundation_Calc!$K$41:$R$74,VLOOKUP(AW114,Foundation_Calc!$I$2:$J$8,2,FALSE),0),"")))</f>
        <v>3.7</v>
      </c>
      <c r="AZ114" s="10" t="str">
        <f>IF(K114="","",
IF(AX114="PT",VLOOKUP(K114,Foundation_Calc!$K$4:$R$37,VLOOKUP(AW114,Foundation_Calc!$I$2:$J$8,2,FALSE),0),
IF(AX114="K",VLOOKUP(K114,Foundation_Calc!$K$41:$R$74,VLOOKUP(AW114,Foundation_Calc!$I$2:$J$8,2,FALSE),0),"")))</f>
        <v/>
      </c>
      <c r="BA114" s="553" t="str">
        <f t="shared" si="10"/>
        <v>ü</v>
      </c>
      <c r="BB114" s="553" t="str">
        <f t="shared" si="11"/>
        <v/>
      </c>
      <c r="BC114" s="553" t="str">
        <f t="shared" si="12"/>
        <v/>
      </c>
      <c r="BD114" s="572" t="str">
        <f>IF(AND(L114="",H114=""),"",
IF(H114="",Pole_Calc!A$22,
IF(H114="MP",Pole_Calc!A$23,
IF(H114="AnMP",Pole_Calc!A$24,
IF(H114="A",Pole_Calc!A$25,
IF(H114="S/A",Pole_Calc!A$26,
IF(H114="A/S",Pole_Calc!A$27,"Poner a mano")))))))</f>
        <v>App.7-V11H-P9.5.2.1</v>
      </c>
      <c r="BE114" s="448" t="s">
        <v>1726</v>
      </c>
      <c r="BF114" s="305"/>
      <c r="BG114" s="305"/>
      <c r="BH114" s="306"/>
      <c r="BI114" s="305"/>
    </row>
    <row r="115" spans="1:61" ht="16.2" customHeight="1">
      <c r="A115" s="573"/>
      <c r="B115" s="469"/>
      <c r="C115" s="3"/>
      <c r="D115" s="88"/>
      <c r="E115" s="4"/>
      <c r="F115" s="4"/>
      <c r="G115" s="6">
        <v>30.7</v>
      </c>
      <c r="H115" s="468"/>
      <c r="I115" s="468"/>
      <c r="J115" s="3"/>
      <c r="K115" s="468"/>
      <c r="L115" s="468"/>
      <c r="M115" s="468" t="str">
        <f>IF(L115="","",
IF(AX115="PT",VLOOKUP(L115,Foundation_Calc!$V$4:$X$37,VLOOKUP(AX115,Foundation_Calc!$I$10:$J$13,2,FALSE),0),
IF(AX115="K",VLOOKUP(L115,Foundation_Calc!$V$41:$X$74,VLOOKUP(AX115,Foundation_Calc!$I$10:$J$13,2,FALSE),0),"")))</f>
        <v/>
      </c>
      <c r="N115" s="468"/>
      <c r="O115" s="468"/>
      <c r="P115" s="468"/>
      <c r="Q115" s="4"/>
      <c r="R115" s="6"/>
      <c r="S115" s="6"/>
      <c r="T115" s="4"/>
      <c r="U115" s="4"/>
      <c r="V115" s="4"/>
      <c r="W115" s="9"/>
      <c r="X115" s="9"/>
      <c r="Y115" s="9"/>
      <c r="Z115" s="9"/>
      <c r="AA115" s="9"/>
      <c r="AB115" s="9"/>
      <c r="AC115" s="468"/>
      <c r="AD115" s="468"/>
      <c r="AE115" s="468"/>
      <c r="AF115" s="4"/>
      <c r="AG115" s="88"/>
      <c r="AH115" s="4"/>
      <c r="AI115" s="4"/>
      <c r="AJ115" s="468"/>
      <c r="AK115" s="468"/>
      <c r="AL115" s="468"/>
      <c r="AM115" s="468"/>
      <c r="AN115" s="10"/>
      <c r="AO115" s="9"/>
      <c r="AP115" s="9"/>
      <c r="AQ115" s="9">
        <f>+FL_2($T$116,$T$114,$G$115,1200,9.28,-1*$F$116)</f>
        <v>-0.35</v>
      </c>
      <c r="AR115" s="9"/>
      <c r="AS115" s="9"/>
      <c r="AT115" s="9"/>
      <c r="AU115" s="447"/>
      <c r="AV115" s="447"/>
      <c r="AW115" s="468" t="str">
        <f>IF(C115&gt;0,VLOOKUP(C115,Foundation_Calc!$A$2:$C$13,3,1),
IF(J115&gt;0,VLOOKUP(J115,Foundation_Calc!$A$2:$C$13,3,1),""))</f>
        <v/>
      </c>
      <c r="AX115" s="468" t="str">
        <f>IF(C115&gt;0,VLOOKUP(C115,Foundation_Calc!$E$2:$G$13,3,1),
IF(J115&gt;0,VLOOKUP(J115,Foundation_Calc!$E$2:$G$13,3,1),""))</f>
        <v/>
      </c>
      <c r="AY115" s="10" t="str">
        <f>IF(L115="","",
IF(AX115="PT",VLOOKUP(L115,Foundation_Calc!$K$4:$R$37,VLOOKUP(AW115,Foundation_Calc!$I$2:$J$8,2,FALSE),0),
IF(AX115="K",VLOOKUP(L115,Foundation_Calc!$K$41:$R$74,VLOOKUP(AW115,Foundation_Calc!$I$2:$J$8,2,FALSE),0),"")))</f>
        <v/>
      </c>
      <c r="AZ115" s="10" t="str">
        <f>IF(K115="","",
IF(AX115="PT",VLOOKUP(K115,Foundation_Calc!$K$4:$R$37,VLOOKUP(AW115,Foundation_Calc!$I$2:$J$8,2,FALSE),0),
IF(AX115="K",VLOOKUP(K115,Foundation_Calc!$K$41:$R$74,VLOOKUP(AW115,Foundation_Calc!$I$2:$J$8,2,FALSE),0),"")))</f>
        <v/>
      </c>
      <c r="BA115" s="553" t="str">
        <f t="shared" si="10"/>
        <v/>
      </c>
      <c r="BB115" s="553" t="str">
        <f t="shared" si="11"/>
        <v/>
      </c>
      <c r="BC115" s="553" t="str">
        <f t="shared" si="12"/>
        <v/>
      </c>
      <c r="BD115" s="572" t="str">
        <f>IF(AND(L115="",H115=""),"",
IF(H115="",Pole_Calc!A$22,
IF(H115="MP",Pole_Calc!A$23,
IF(H115="AnMP",Pole_Calc!A$24,
IF(H115="A",Pole_Calc!A$25,
IF(H115="S/A",Pole_Calc!A$26,
IF(H115="A/S",Pole_Calc!A$27,"Poner a mano")))))))</f>
        <v/>
      </c>
      <c r="BE115" s="448" t="s">
        <v>1726</v>
      </c>
      <c r="BF115" s="306"/>
      <c r="BG115" s="306"/>
      <c r="BH115" s="306"/>
      <c r="BI115" s="306"/>
    </row>
    <row r="116" spans="1:61" ht="16.2" customHeight="1">
      <c r="A116" s="573"/>
      <c r="B116" s="638" t="s">
        <v>2544</v>
      </c>
      <c r="C116" s="3">
        <f>+$C$114+$G$115+0.1</f>
        <v>2368.9999999999991</v>
      </c>
      <c r="D116" s="88"/>
      <c r="E116" s="4"/>
      <c r="F116" s="4">
        <v>0</v>
      </c>
      <c r="G116" s="6"/>
      <c r="H116" s="468"/>
      <c r="I116" s="468"/>
      <c r="J116" s="3"/>
      <c r="K116" s="468"/>
      <c r="L116" s="468" t="s">
        <v>448</v>
      </c>
      <c r="M116" s="468" t="str">
        <f>IF(L116="","",
IF(AX116="PT",VLOOKUP(L116,Foundation_Calc!$V$4:$X$37,VLOOKUP(AX116,Foundation_Calc!$I$10:$J$13,2,FALSE),0),
IF(AX116="K",VLOOKUP(L116,Foundation_Calc!$V$41:$X$74,VLOOKUP(AX116,Foundation_Calc!$I$10:$J$13,2,FALSE),0),"")))</f>
        <v>2C3SR</v>
      </c>
      <c r="N116" s="468" t="s">
        <v>32</v>
      </c>
      <c r="O116" s="669"/>
      <c r="P116" s="468"/>
      <c r="Q116" s="4"/>
      <c r="R116" s="6"/>
      <c r="S116" s="6"/>
      <c r="T116" s="4">
        <v>-35</v>
      </c>
      <c r="U116" s="4"/>
      <c r="V116" s="4"/>
      <c r="W116" s="9">
        <v>1.4</v>
      </c>
      <c r="X116" s="9"/>
      <c r="Y116" s="9"/>
      <c r="Z116" s="9"/>
      <c r="AA116" s="9"/>
      <c r="AB116" s="9"/>
      <c r="AC116" s="468" t="str">
        <f t="shared" si="9"/>
        <v>PHC</v>
      </c>
      <c r="AD116" s="468"/>
      <c r="AE116" s="468"/>
      <c r="AF116" s="4"/>
      <c r="AG116" s="88"/>
      <c r="AH116" s="4"/>
      <c r="AI116" s="4"/>
      <c r="AJ116" s="468"/>
      <c r="AK116" s="468"/>
      <c r="AL116" s="468"/>
      <c r="AM116" s="468" t="s">
        <v>486</v>
      </c>
      <c r="AN116" s="10">
        <v>5.5</v>
      </c>
      <c r="AO116" s="9"/>
      <c r="AP116" s="9"/>
      <c r="AQ116" s="9"/>
      <c r="AR116" s="9"/>
      <c r="AS116" s="9"/>
      <c r="AT116" s="9">
        <f>+ab($T$116,$T$114,$T$118,$G$109,$G$111,-1*$F$110,1200)</f>
        <v>-4.5318376641021576</v>
      </c>
      <c r="AU116" s="447"/>
      <c r="AV116" s="447"/>
      <c r="AW116" s="468" t="str">
        <f>IF(C116&gt;0,VLOOKUP(C116,Foundation_Calc!$A$2:$C$13,3,1),
IF(J116&gt;0,VLOOKUP(J116,Foundation_Calc!$A$2:$C$13,3,1),""))</f>
        <v>MultiSoil</v>
      </c>
      <c r="AX116" s="468" t="str">
        <f>IF(C116&gt;0,VLOOKUP(C116,Foundation_Calc!$E$2:$G$13,3,1),
IF(J116&gt;0,VLOOKUP(J116,Foundation_Calc!$E$2:$G$13,3,1),""))</f>
        <v>PT</v>
      </c>
      <c r="AY116" s="10">
        <f>IF(L116="","",
IF(AX116="PT",VLOOKUP(L116,Foundation_Calc!$K$4:$R$37,VLOOKUP(AW116,Foundation_Calc!$I$2:$J$8,2,FALSE),0),
IF(AX116="K",VLOOKUP(L116,Foundation_Calc!$K$41:$R$74,VLOOKUP(AW116,Foundation_Calc!$I$2:$J$8,2,FALSE),0),"")))</f>
        <v>3.9</v>
      </c>
      <c r="AZ116" s="10" t="str">
        <f>IF(K116="","",
IF(AX116="PT",VLOOKUP(K116,Foundation_Calc!$K$4:$R$37,VLOOKUP(AW116,Foundation_Calc!$I$2:$J$8,2,FALSE),0),
IF(AX116="K",VLOOKUP(K116,Foundation_Calc!$K$41:$R$74,VLOOKUP(AW116,Foundation_Calc!$I$2:$J$8,2,FALSE),0),"")))</f>
        <v/>
      </c>
      <c r="BA116" s="553" t="str">
        <f t="shared" ref="BA116" si="13">IF(AY116="","",IF(AY116&gt;0,"ü",""))</f>
        <v>ü</v>
      </c>
      <c r="BB116" s="553" t="str">
        <f t="shared" ref="BB116" si="14">IF(AZ116="","",IF(AZ116&gt;0,"ü",""))</f>
        <v/>
      </c>
      <c r="BC116" s="553" t="str">
        <f t="shared" ref="BC116" si="15">IF(M116="","",IF(M116="U.S.","ü",IF(M116="U.S. N.D.","ü","")))</f>
        <v/>
      </c>
      <c r="BD116" s="572" t="str">
        <f>IF(AND(L116="",H116=""),"",
IF(H116="",Pole_Calc!A$22,
IF(H116="MP",Pole_Calc!A$23,
IF(H116="AnMP",Pole_Calc!A$24,
IF(H116="A",Pole_Calc!A$25,
IF(H116="S/A",Pole_Calc!A$26,
IF(H116="A/S",Pole_Calc!A$27,"Poner a mano")))))))</f>
        <v>App.7-V11H-P9.5.2.1</v>
      </c>
      <c r="BE116" s="448" t="s">
        <v>1726</v>
      </c>
      <c r="BF116" s="305"/>
      <c r="BG116" s="305"/>
      <c r="BH116" s="306"/>
      <c r="BI116" s="305"/>
    </row>
    <row r="117" spans="1:61" ht="16.2" customHeight="1">
      <c r="A117" s="573" t="s">
        <v>1497</v>
      </c>
      <c r="B117" s="469"/>
      <c r="C117" s="3"/>
      <c r="D117" s="88"/>
      <c r="E117" s="4"/>
      <c r="F117" s="4"/>
      <c r="G117" s="6">
        <v>39</v>
      </c>
      <c r="H117" s="468"/>
      <c r="I117" s="468"/>
      <c r="J117" s="3"/>
      <c r="K117" s="468"/>
      <c r="L117" s="468"/>
      <c r="M117" s="468" t="str">
        <f>IF(L117="","",
IF(AX117="PT",VLOOKUP(L117,Foundation_Calc!$V$4:$X$37,VLOOKUP(AX117,Foundation_Calc!$I$10:$J$13,2,FALSE),0),
IF(AX117="K",VLOOKUP(L117,Foundation_Calc!$V$41:$X$74,VLOOKUP(AX117,Foundation_Calc!$I$10:$J$13,2,FALSE),0),"")))</f>
        <v/>
      </c>
      <c r="N117" s="468"/>
      <c r="O117" s="468"/>
      <c r="P117" s="468"/>
      <c r="Q117" s="4"/>
      <c r="R117" s="6"/>
      <c r="S117" s="6"/>
      <c r="T117" s="4"/>
      <c r="U117" s="4"/>
      <c r="V117" s="4"/>
      <c r="W117" s="9"/>
      <c r="X117" s="9"/>
      <c r="Y117" s="9"/>
      <c r="Z117" s="9"/>
      <c r="AA117" s="9"/>
      <c r="AB117" s="9"/>
      <c r="AC117" s="468" t="str">
        <f t="shared" si="9"/>
        <v/>
      </c>
      <c r="AD117" s="468"/>
      <c r="AE117" s="468"/>
      <c r="AF117" s="4"/>
      <c r="AG117" s="88"/>
      <c r="AH117" s="4"/>
      <c r="AI117" s="4"/>
      <c r="AJ117" s="468"/>
      <c r="AK117" s="468"/>
      <c r="AL117" s="468"/>
      <c r="AM117" s="468"/>
      <c r="AN117" s="10"/>
      <c r="AO117" s="9"/>
      <c r="AP117" s="9"/>
      <c r="AQ117" s="9">
        <f>+FL_1($T$118,$T$116,$G$117,1200,9.28,-1*$F$118)</f>
        <v>0.35</v>
      </c>
      <c r="AR117" s="9"/>
      <c r="AS117" s="9"/>
      <c r="AT117" s="9"/>
      <c r="AU117" s="447"/>
      <c r="AV117" s="447"/>
      <c r="AW117" s="468"/>
      <c r="AX117" s="468"/>
      <c r="AY117" s="10" t="str">
        <f>IF(L117="","",
IF(AX117="PT",VLOOKUP(L117,Foundation_Calc!$K$4:$R$37,VLOOKUP(AW117,Foundation_Calc!$I$2:$J$8,2,FALSE),0),
IF(AX117="K",VLOOKUP(L117,Foundation_Calc!$K$41:$R$74,VLOOKUP(AW117,Foundation_Calc!$I$2:$J$8,2,FALSE),0),"")))</f>
        <v/>
      </c>
      <c r="AZ117" s="10" t="str">
        <f>IF(K117="","",
IF(AX117="PT",VLOOKUP(K117,Foundation_Calc!$K$4:$R$37,VLOOKUP(AW117,Foundation_Calc!$I$2:$J$8,2,FALSE),0),
IF(AX117="K",VLOOKUP(K117,Foundation_Calc!$K$41:$R$74,VLOOKUP(AW117,Foundation_Calc!$I$2:$J$8,2,FALSE),0),"")))</f>
        <v/>
      </c>
      <c r="BA117" s="553" t="str">
        <f t="shared" si="5"/>
        <v/>
      </c>
      <c r="BB117" s="553" t="str">
        <f t="shared" si="6"/>
        <v/>
      </c>
      <c r="BC117" s="553" t="str">
        <f t="shared" si="8"/>
        <v/>
      </c>
      <c r="BD117" s="572"/>
      <c r="BE117" s="448" t="s">
        <v>1726</v>
      </c>
      <c r="BF117" s="306"/>
      <c r="BG117" s="306"/>
      <c r="BH117" s="306"/>
      <c r="BI117" s="306"/>
    </row>
    <row r="118" spans="1:61" ht="16.2" customHeight="1">
      <c r="A118" s="574" t="s">
        <v>1497</v>
      </c>
      <c r="B118" s="469" t="s">
        <v>1783</v>
      </c>
      <c r="C118" s="3">
        <f>+$C$116+$G$117</f>
        <v>2407.9999999999991</v>
      </c>
      <c r="D118" s="88"/>
      <c r="E118" s="4"/>
      <c r="F118" s="4">
        <v>0</v>
      </c>
      <c r="G118" s="6"/>
      <c r="H118" s="468"/>
      <c r="I118" s="468"/>
      <c r="J118" s="3"/>
      <c r="K118" s="468"/>
      <c r="L118" s="468" t="s">
        <v>38</v>
      </c>
      <c r="M118" s="468" t="s">
        <v>1625</v>
      </c>
      <c r="N118" s="468" t="s">
        <v>33</v>
      </c>
      <c r="O118" s="669"/>
      <c r="P118" s="468"/>
      <c r="Q118" s="4"/>
      <c r="R118" s="6"/>
      <c r="S118" s="6"/>
      <c r="T118" s="4">
        <v>35</v>
      </c>
      <c r="U118" s="4"/>
      <c r="V118" s="4"/>
      <c r="W118" s="9">
        <v>1.4</v>
      </c>
      <c r="X118" s="9"/>
      <c r="Y118" s="9"/>
      <c r="Z118" s="9"/>
      <c r="AA118" s="9"/>
      <c r="AB118" s="9"/>
      <c r="AC118" s="468" t="str">
        <f t="shared" si="9"/>
        <v>PHQ</v>
      </c>
      <c r="AD118" s="468"/>
      <c r="AE118" s="468"/>
      <c r="AF118" s="4"/>
      <c r="AG118" s="88"/>
      <c r="AH118" s="4"/>
      <c r="AI118" s="4"/>
      <c r="AJ118" s="468"/>
      <c r="AK118" s="468"/>
      <c r="AL118" s="468"/>
      <c r="AM118" s="468" t="s">
        <v>486</v>
      </c>
      <c r="AN118" s="10">
        <v>5.5</v>
      </c>
      <c r="AO118" s="9"/>
      <c r="AP118" s="9"/>
      <c r="AQ118" s="9"/>
      <c r="AR118" s="9"/>
      <c r="AS118" s="9"/>
      <c r="AT118" s="9">
        <f>+ab($T$118,$T$116,$T$120,$G$117,$G$119,-1*$F$118,1200)</f>
        <v>6.1836415490288594</v>
      </c>
      <c r="AU118" s="447"/>
      <c r="AV118" s="447"/>
      <c r="AW118" s="468" t="s">
        <v>2557</v>
      </c>
      <c r="AX118" s="468" t="s">
        <v>199</v>
      </c>
      <c r="AY118" s="10" t="str">
        <f>IF(L118="","",
IF(AX118="PT",VLOOKUP(L118,Foundation_Calc!$K$4:$R$37,VLOOKUP(AW118,Foundation_Calc!$I$2:$J$8,2,FALSE),0),
IF(AX118="K",VLOOKUP(L118,Foundation_Calc!$K$41:$R$74,VLOOKUP(AW118,Foundation_Calc!$I$2:$J$8,2,FALSE),0),"")))</f>
        <v/>
      </c>
      <c r="AZ118" s="10" t="str">
        <f>IF(K118="","",
IF(AX118="PT",VLOOKUP(K118,Foundation_Calc!$K$4:$R$37,VLOOKUP(AW118,Foundation_Calc!$I$2:$J$8,2,FALSE),0),
IF(AX118="K",VLOOKUP(K118,Foundation_Calc!$K$41:$R$74,VLOOKUP(AW118,Foundation_Calc!$I$2:$J$8,2,FALSE),0),"")))</f>
        <v/>
      </c>
      <c r="BA118" s="553" t="str">
        <f t="shared" si="5"/>
        <v/>
      </c>
      <c r="BB118" s="553" t="str">
        <f t="shared" si="6"/>
        <v/>
      </c>
      <c r="BC118" s="553" t="str">
        <f t="shared" si="8"/>
        <v>ü</v>
      </c>
      <c r="BD118" s="572" t="str">
        <f>IF(AND(L118="",H118=""),"",
IF(H118="",Pole_Calc!A$22,
IF(H118="MP",Pole_Calc!A$23,
IF(H118="AnMP",Pole_Calc!A$24,
IF(H118="A",Pole_Calc!A$25,
IF(H118="S/A",Pole_Calc!A$26,
IF(H118="A/S",Pole_Calc!A$27,"Poner a mano")))))))</f>
        <v>App.7-V11H-P9.5.2.1</v>
      </c>
      <c r="BE118" s="448" t="s">
        <v>1726</v>
      </c>
      <c r="BF118" s="305"/>
      <c r="BG118" s="305"/>
      <c r="BH118" s="306"/>
      <c r="BI118" s="305"/>
    </row>
    <row r="119" spans="1:61" ht="16.2" customHeight="1">
      <c r="A119" s="574" t="s">
        <v>1497</v>
      </c>
      <c r="B119" s="469"/>
      <c r="C119" s="3"/>
      <c r="D119" s="88"/>
      <c r="E119" s="4"/>
      <c r="F119" s="4"/>
      <c r="G119" s="6">
        <v>54</v>
      </c>
      <c r="H119" s="468"/>
      <c r="I119" s="468"/>
      <c r="J119" s="3"/>
      <c r="K119" s="468"/>
      <c r="L119" s="468"/>
      <c r="M119" s="468" t="str">
        <f>IF(L119="","",
IF(AX119="PT",VLOOKUP(L119,Foundation_Calc!$V$4:$X$37,VLOOKUP(AX119,Foundation_Calc!$I$10:$J$13,2,FALSE),0),
IF(AX119="K",VLOOKUP(L119,Foundation_Calc!$V$41:$X$74,VLOOKUP(AX119,Foundation_Calc!$I$10:$J$13,2,FALSE),0),"")))</f>
        <v/>
      </c>
      <c r="N119" s="468"/>
      <c r="O119" s="468"/>
      <c r="P119" s="468"/>
      <c r="Q119" s="4"/>
      <c r="R119" s="6"/>
      <c r="S119" s="6"/>
      <c r="T119" s="4"/>
      <c r="U119" s="4"/>
      <c r="V119" s="4"/>
      <c r="W119" s="9"/>
      <c r="X119" s="9"/>
      <c r="Y119" s="9"/>
      <c r="Z119" s="9"/>
      <c r="AA119" s="9"/>
      <c r="AB119" s="9"/>
      <c r="AC119" s="468" t="str">
        <f t="shared" si="9"/>
        <v/>
      </c>
      <c r="AD119" s="468"/>
      <c r="AE119" s="468"/>
      <c r="AF119" s="4"/>
      <c r="AG119" s="88"/>
      <c r="AH119" s="4"/>
      <c r="AI119" s="4"/>
      <c r="AJ119" s="468"/>
      <c r="AK119" s="468"/>
      <c r="AL119" s="468"/>
      <c r="AM119" s="468"/>
      <c r="AN119" s="10"/>
      <c r="AO119" s="9"/>
      <c r="AP119" s="9"/>
      <c r="AQ119" s="9">
        <f>+FL_1($T$120,$T$118,$G$119,1200,9.28,-1*$F$120)</f>
        <v>0.39052552059259249</v>
      </c>
      <c r="AR119" s="9"/>
      <c r="AS119" s="9"/>
      <c r="AT119" s="9"/>
      <c r="AU119" s="447"/>
      <c r="AV119" s="447"/>
      <c r="AW119" s="468"/>
      <c r="AX119" s="468"/>
      <c r="AY119" s="10" t="str">
        <f>IF(L119="","",
IF(AX119="PT",VLOOKUP(L119,Foundation_Calc!$K$4:$R$37,VLOOKUP(AW119,Foundation_Calc!$I$2:$J$8,2,FALSE),0),
IF(AX119="K",VLOOKUP(L119,Foundation_Calc!$K$41:$R$74,VLOOKUP(AW119,Foundation_Calc!$I$2:$J$8,2,FALSE),0),"")))</f>
        <v/>
      </c>
      <c r="AZ119" s="10" t="str">
        <f>IF(K119="","",
IF(AX119="PT",VLOOKUP(K119,Foundation_Calc!$K$4:$R$37,VLOOKUP(AW119,Foundation_Calc!$I$2:$J$8,2,FALSE),0),
IF(AX119="K",VLOOKUP(K119,Foundation_Calc!$K$41:$R$74,VLOOKUP(AW119,Foundation_Calc!$I$2:$J$8,2,FALSE),0),"")))</f>
        <v/>
      </c>
      <c r="BA119" s="553" t="str">
        <f t="shared" si="5"/>
        <v/>
      </c>
      <c r="BB119" s="553" t="str">
        <f t="shared" si="6"/>
        <v/>
      </c>
      <c r="BC119" s="553" t="str">
        <f t="shared" si="8"/>
        <v/>
      </c>
      <c r="BD119" s="572" t="str">
        <f>IF(AND(L119="",H119=""),"",
IF(H119="",Pole_Calc!A$22,
IF(H119="MP",Pole_Calc!A$23,
IF(H119="AnMP",Pole_Calc!A$24,
IF(H119="A",Pole_Calc!A$25,
IF(H119="S/A",Pole_Calc!A$26,
IF(H119="A/S",Pole_Calc!A$27,"Poner a mano")))))))</f>
        <v/>
      </c>
      <c r="BE119" s="448" t="s">
        <v>1726</v>
      </c>
      <c r="BF119" s="306"/>
      <c r="BG119" s="306"/>
      <c r="BH119" s="306"/>
      <c r="BI119" s="306"/>
    </row>
    <row r="120" spans="1:61" ht="16.2" customHeight="1">
      <c r="A120" s="574" t="s">
        <v>1497</v>
      </c>
      <c r="B120" s="469" t="s">
        <v>1784</v>
      </c>
      <c r="C120" s="3">
        <f>+$C$118+$G$119</f>
        <v>2461.9999999999991</v>
      </c>
      <c r="D120" s="88"/>
      <c r="E120" s="4"/>
      <c r="F120" s="4">
        <v>0</v>
      </c>
      <c r="G120" s="6"/>
      <c r="H120" s="468"/>
      <c r="I120" s="468"/>
      <c r="J120" s="3"/>
      <c r="K120" s="468"/>
      <c r="L120" s="468" t="s">
        <v>448</v>
      </c>
      <c r="M120" s="468" t="s">
        <v>1625</v>
      </c>
      <c r="N120" s="468" t="s">
        <v>32</v>
      </c>
      <c r="O120" s="669"/>
      <c r="P120" s="468"/>
      <c r="Q120" s="4"/>
      <c r="R120" s="6"/>
      <c r="S120" s="6"/>
      <c r="T120" s="4">
        <v>-35</v>
      </c>
      <c r="U120" s="4"/>
      <c r="V120" s="4"/>
      <c r="W120" s="9">
        <v>1.4</v>
      </c>
      <c r="X120" s="9"/>
      <c r="Y120" s="9"/>
      <c r="Z120" s="9"/>
      <c r="AA120" s="9"/>
      <c r="AB120" s="9"/>
      <c r="AC120" s="468" t="str">
        <f t="shared" si="9"/>
        <v>PHQ</v>
      </c>
      <c r="AD120" s="468"/>
      <c r="AE120" s="468"/>
      <c r="AF120" s="4"/>
      <c r="AG120" s="88"/>
      <c r="AH120" s="4"/>
      <c r="AI120" s="4"/>
      <c r="AJ120" s="468"/>
      <c r="AK120" s="468"/>
      <c r="AL120" s="468"/>
      <c r="AM120" s="468" t="s">
        <v>486</v>
      </c>
      <c r="AN120" s="10">
        <v>5.5</v>
      </c>
      <c r="AO120" s="9"/>
      <c r="AP120" s="9"/>
      <c r="AQ120" s="9"/>
      <c r="AR120" s="9"/>
      <c r="AS120" s="9"/>
      <c r="AT120" s="9">
        <f>+ab($T$120,$T$118,$T$122,$G$119,$G$121,-1*$F$120,1200)</f>
        <v>-7.0806447505394168</v>
      </c>
      <c r="AU120" s="447"/>
      <c r="AV120" s="447"/>
      <c r="AW120" s="468" t="s">
        <v>2559</v>
      </c>
      <c r="AX120" s="468" t="s">
        <v>199</v>
      </c>
      <c r="AY120" s="10" t="str">
        <f>IF(L120="","",
IF(AX120="PT",VLOOKUP(L120,Foundation_Calc!$K$4:$R$37,VLOOKUP(AW120,Foundation_Calc!$I$2:$J$8,2,FALSE),0),
IF(AX120="K",VLOOKUP(L120,Foundation_Calc!$K$41:$R$74,VLOOKUP(AW120,Foundation_Calc!$I$2:$J$8,2,FALSE),0),"")))</f>
        <v/>
      </c>
      <c r="AZ120" s="10" t="str">
        <f>IF(K120="","",
IF(AX120="PT",VLOOKUP(K120,Foundation_Calc!$K$4:$R$37,VLOOKUP(AW120,Foundation_Calc!$I$2:$J$8,2,FALSE),0),
IF(AX120="K",VLOOKUP(K120,Foundation_Calc!$K$41:$R$74,VLOOKUP(AW120,Foundation_Calc!$I$2:$J$8,2,FALSE),0),"")))</f>
        <v/>
      </c>
      <c r="BA120" s="553" t="str">
        <f t="shared" si="5"/>
        <v/>
      </c>
      <c r="BB120" s="553" t="str">
        <f t="shared" si="6"/>
        <v/>
      </c>
      <c r="BC120" s="553" t="str">
        <f t="shared" si="8"/>
        <v>ü</v>
      </c>
      <c r="BD120" s="572" t="str">
        <f>IF(AND(L120="",H120=""),"",
IF(H120="",Pole_Calc!A$22,
IF(H120="MP",Pole_Calc!A$23,
IF(H120="AnMP",Pole_Calc!A$24,
IF(H120="A",Pole_Calc!A$25,
IF(H120="S/A",Pole_Calc!A$26,
IF(H120="A/S",Pole_Calc!A$27,"Poner a mano")))))))</f>
        <v>App.7-V11H-P9.5.2.1</v>
      </c>
      <c r="BE120" s="448" t="s">
        <v>1726</v>
      </c>
      <c r="BF120" s="305"/>
      <c r="BG120" s="305"/>
      <c r="BH120" s="306"/>
      <c r="BI120" s="305"/>
    </row>
    <row r="121" spans="1:61" ht="16.2" customHeight="1">
      <c r="A121" s="573" t="s">
        <v>1497</v>
      </c>
      <c r="B121" s="469"/>
      <c r="C121" s="3"/>
      <c r="D121" s="88"/>
      <c r="E121" s="4"/>
      <c r="F121" s="4"/>
      <c r="G121" s="6">
        <v>50</v>
      </c>
      <c r="H121" s="677" t="s">
        <v>388</v>
      </c>
      <c r="I121" s="677" t="s">
        <v>182</v>
      </c>
      <c r="J121" s="3"/>
      <c r="K121" s="468"/>
      <c r="L121" s="468"/>
      <c r="M121" s="468" t="str">
        <f>IF(L121="","",
IF(AX121="PT",VLOOKUP(L121,Foundation_Calc!$V$4:$X$37,VLOOKUP(AX121,Foundation_Calc!$I$10:$J$13,2,FALSE),0),
IF(AX121="K",VLOOKUP(L121,Foundation_Calc!$V$41:$X$74,VLOOKUP(AX121,Foundation_Calc!$I$10:$J$13,2,FALSE),0),"")))</f>
        <v/>
      </c>
      <c r="N121" s="468"/>
      <c r="O121" s="468"/>
      <c r="P121" s="468"/>
      <c r="Q121" s="4"/>
      <c r="R121" s="6"/>
      <c r="S121" s="6"/>
      <c r="T121" s="4"/>
      <c r="U121" s="4"/>
      <c r="V121" s="4"/>
      <c r="W121" s="9"/>
      <c r="X121" s="9"/>
      <c r="Y121" s="9"/>
      <c r="Z121" s="9"/>
      <c r="AA121" s="9"/>
      <c r="AB121" s="9"/>
      <c r="AC121" s="468" t="str">
        <f t="shared" si="9"/>
        <v/>
      </c>
      <c r="AD121" s="468"/>
      <c r="AE121" s="468"/>
      <c r="AF121" s="4"/>
      <c r="AG121" s="88"/>
      <c r="AH121" s="4"/>
      <c r="AI121" s="4"/>
      <c r="AJ121" s="468"/>
      <c r="AK121" s="468"/>
      <c r="AL121" s="468"/>
      <c r="AM121" s="468"/>
      <c r="AN121" s="10"/>
      <c r="AO121" s="9"/>
      <c r="AP121" s="9"/>
      <c r="AQ121" s="9">
        <f>+FL_1($T$122,$T$120,$G$121,1200,9.28,-1*$F$122)</f>
        <v>0.36839079999999996</v>
      </c>
      <c r="AR121" s="9"/>
      <c r="AS121" s="9"/>
      <c r="AT121" s="9"/>
      <c r="AU121" s="447"/>
      <c r="AV121" s="447"/>
      <c r="AW121" s="468"/>
      <c r="AX121" s="468"/>
      <c r="AY121" s="10" t="str">
        <f>IF(L121="","",
IF(AX121="PT",VLOOKUP(L121,Foundation_Calc!$K$4:$R$37,VLOOKUP(AW121,Foundation_Calc!$I$2:$J$8,2,FALSE),0),
IF(AX121="K",VLOOKUP(L121,Foundation_Calc!$K$41:$R$74,VLOOKUP(AW121,Foundation_Calc!$I$2:$J$8,2,FALSE),0),"")))</f>
        <v/>
      </c>
      <c r="AZ121" s="10" t="str">
        <f>IF(K121="","",
IF(AX121="PT",VLOOKUP(K121,Foundation_Calc!$K$4:$R$37,VLOOKUP(AW121,Foundation_Calc!$I$2:$J$8,2,FALSE),0),
IF(AX121="K",VLOOKUP(K121,Foundation_Calc!$K$41:$R$74,VLOOKUP(AW121,Foundation_Calc!$I$2:$J$8,2,FALSE),0),"")))</f>
        <v/>
      </c>
      <c r="BA121" s="553" t="str">
        <f t="shared" si="5"/>
        <v/>
      </c>
      <c r="BB121" s="553" t="str">
        <f t="shared" si="6"/>
        <v/>
      </c>
      <c r="BC121" s="553" t="str">
        <f t="shared" si="8"/>
        <v/>
      </c>
      <c r="BD121" s="572"/>
      <c r="BE121" s="448" t="s">
        <v>1726</v>
      </c>
      <c r="BF121" s="306"/>
      <c r="BG121" s="306"/>
      <c r="BH121" s="306"/>
      <c r="BI121" s="306"/>
    </row>
    <row r="122" spans="1:61" ht="16.2" customHeight="1">
      <c r="A122" s="573"/>
      <c r="B122" s="469" t="s">
        <v>1785</v>
      </c>
      <c r="C122" s="3">
        <f>+$C$120+$G$121</f>
        <v>2511.9999999999991</v>
      </c>
      <c r="D122" s="88"/>
      <c r="E122" s="4"/>
      <c r="F122" s="4">
        <v>0</v>
      </c>
      <c r="G122" s="6"/>
      <c r="H122" s="468" t="s">
        <v>388</v>
      </c>
      <c r="I122" s="468" t="s">
        <v>182</v>
      </c>
      <c r="J122" s="3"/>
      <c r="K122" s="468"/>
      <c r="L122" s="468" t="s">
        <v>449</v>
      </c>
      <c r="M122" s="468" t="str">
        <f>IF(L122="","",
IF(AX122="PT",VLOOKUP(L122,Foundation_Calc!$V$4:$X$37,VLOOKUP(AX122,Foundation_Calc!$I$10:$J$13,2,FALSE),0),
IF(AX122="K",VLOOKUP(L122,Foundation_Calc!$V$41:$X$74,VLOOKUP(AX122,Foundation_Calc!$I$10:$J$13,2,FALSE),0),"")))</f>
        <v>2C4SR</v>
      </c>
      <c r="N122" s="468" t="s">
        <v>33</v>
      </c>
      <c r="O122" s="468"/>
      <c r="P122" s="468"/>
      <c r="Q122" s="4"/>
      <c r="R122" s="6"/>
      <c r="S122" s="6"/>
      <c r="T122" s="4">
        <v>35</v>
      </c>
      <c r="U122" s="4"/>
      <c r="V122" s="4"/>
      <c r="W122" s="9">
        <v>1.4</v>
      </c>
      <c r="X122" s="9"/>
      <c r="Y122" s="9"/>
      <c r="Z122" s="9"/>
      <c r="AA122" s="9"/>
      <c r="AB122" s="9"/>
      <c r="AC122" s="468" t="str">
        <f t="shared" si="9"/>
        <v>PHQ</v>
      </c>
      <c r="AD122" s="468"/>
      <c r="AE122" s="468"/>
      <c r="AF122" s="4"/>
      <c r="AG122" s="88"/>
      <c r="AH122" s="4"/>
      <c r="AI122" s="4"/>
      <c r="AJ122" s="468"/>
      <c r="AK122" s="468"/>
      <c r="AL122" s="468"/>
      <c r="AM122" s="468" t="s">
        <v>486</v>
      </c>
      <c r="AN122" s="10">
        <v>5.5</v>
      </c>
      <c r="AO122" s="9"/>
      <c r="AP122" s="9"/>
      <c r="AQ122" s="9"/>
      <c r="AR122" s="9"/>
      <c r="AS122" s="9"/>
      <c r="AT122" s="9">
        <f>+ab($T$122,$T$120,$U$124,$G$121,$G$123,-1*$F$122,1200)</f>
        <v>7.054418000013003</v>
      </c>
      <c r="AU122" s="447"/>
      <c r="AV122" s="447"/>
      <c r="AW122" s="468" t="str">
        <f>IF(C122&gt;0,VLOOKUP(C122,Foundation_Calc!$A$2:$C$13,3,1),
IF(J122&gt;0,VLOOKUP(J122,Foundation_Calc!$A$2:$C$13,3,1),""))</f>
        <v>MultiSoil</v>
      </c>
      <c r="AX122" s="468" t="str">
        <f>IF(C122&gt;0,VLOOKUP(C122,Foundation_Calc!$E$2:$G$13,3,1),
IF(J122&gt;0,VLOOKUP(J122,Foundation_Calc!$E$2:$G$13,3,1),""))</f>
        <v>PT</v>
      </c>
      <c r="AY122" s="10">
        <f>IF(L122="","",
IF(AX122="PT",VLOOKUP(L122,Foundation_Calc!$K$4:$R$37,VLOOKUP(AW122,Foundation_Calc!$I$2:$J$8,2,FALSE),0),
IF(AX122="K",VLOOKUP(L122,Foundation_Calc!$K$41:$R$74,VLOOKUP(AW122,Foundation_Calc!$I$2:$J$8,2,FALSE),0),"")))</f>
        <v>4.3</v>
      </c>
      <c r="AZ122" s="10" t="str">
        <f>IF(K122="","",
IF(AX122="PT",VLOOKUP(K122,Foundation_Calc!$K$4:$R$37,VLOOKUP(AW122,Foundation_Calc!$I$2:$J$8,2,FALSE),0),
IF(AX122="K",VLOOKUP(K122,Foundation_Calc!$K$41:$R$74,VLOOKUP(AW122,Foundation_Calc!$I$2:$J$8,2,FALSE),0),"")))</f>
        <v/>
      </c>
      <c r="BA122" s="553" t="str">
        <f t="shared" si="5"/>
        <v>ü</v>
      </c>
      <c r="BB122" s="553" t="str">
        <f t="shared" si="6"/>
        <v/>
      </c>
      <c r="BC122" s="553" t="str">
        <f t="shared" si="8"/>
        <v/>
      </c>
      <c r="BD122" s="572" t="str">
        <f>Pole_Calc!A$175</f>
        <v>App.7-V11H-P9.5.16.2</v>
      </c>
      <c r="BE122" s="448" t="s">
        <v>1726</v>
      </c>
      <c r="BF122" s="305"/>
      <c r="BG122" s="305"/>
      <c r="BH122" s="306"/>
      <c r="BI122" s="305"/>
    </row>
    <row r="123" spans="1:61" ht="16.2" customHeight="1">
      <c r="A123" s="573"/>
      <c r="B123" s="469"/>
      <c r="C123" s="3"/>
      <c r="D123" s="88"/>
      <c r="E123" s="4"/>
      <c r="F123" s="4"/>
      <c r="G123" s="6">
        <v>42.1</v>
      </c>
      <c r="H123" s="468"/>
      <c r="I123" s="468">
        <v>241</v>
      </c>
      <c r="J123" s="3"/>
      <c r="K123" s="468"/>
      <c r="L123" s="468"/>
      <c r="M123" s="468" t="str">
        <f>IF(L123="","",
IF(AX123="PT",VLOOKUP(L123,Foundation_Calc!$V$4:$X$37,VLOOKUP(AX123,Foundation_Calc!$I$10:$J$13,2,FALSE),0),
IF(AX123="K",VLOOKUP(L123,Foundation_Calc!$V$41:$X$74,VLOOKUP(AX123,Foundation_Calc!$I$10:$J$13,2,FALSE),0),"")))</f>
        <v/>
      </c>
      <c r="N123" s="468"/>
      <c r="O123" s="468"/>
      <c r="P123" s="468"/>
      <c r="Q123" s="4"/>
      <c r="R123" s="6"/>
      <c r="S123" s="6"/>
      <c r="T123" s="4"/>
      <c r="U123" s="4"/>
      <c r="V123" s="4"/>
      <c r="W123" s="9"/>
      <c r="X123" s="9"/>
      <c r="Y123" s="9"/>
      <c r="Z123" s="9"/>
      <c r="AA123" s="9"/>
      <c r="AB123" s="9"/>
      <c r="AC123" s="468" t="str">
        <f t="shared" si="9"/>
        <v/>
      </c>
      <c r="AD123" s="468"/>
      <c r="AE123" s="468"/>
      <c r="AF123" s="4"/>
      <c r="AG123" s="88"/>
      <c r="AH123" s="4"/>
      <c r="AI123" s="4"/>
      <c r="AJ123" s="468"/>
      <c r="AK123" s="468"/>
      <c r="AL123" s="468"/>
      <c r="AM123" s="468"/>
      <c r="AN123" s="10"/>
      <c r="AO123" s="9"/>
      <c r="AP123" s="9"/>
      <c r="AQ123" s="9">
        <f>+FL_2($U$124,$T$122,$G$123,1200,9.28,-1*$F$124)</f>
        <v>-0.20668096131749805</v>
      </c>
      <c r="AR123" s="9"/>
      <c r="AS123" s="9"/>
      <c r="AT123" s="9"/>
      <c r="AU123" s="447"/>
      <c r="AV123" s="447"/>
      <c r="AW123" s="468" t="str">
        <f>IF(C123&gt;0,VLOOKUP(C123,Foundation_Calc!$A$2:$C$13,3,1),
IF(J123&gt;0,VLOOKUP(J123,Foundation_Calc!$A$2:$C$13,3,1),""))</f>
        <v/>
      </c>
      <c r="AX123" s="468" t="str">
        <f>IF(C123&gt;0,VLOOKUP(C123,Foundation_Calc!$E$2:$G$13,3,1),
IF(J123&gt;0,VLOOKUP(J123,Foundation_Calc!$E$2:$G$13,3,1),""))</f>
        <v/>
      </c>
      <c r="AY123" s="10" t="str">
        <f>IF(L123="","",
IF(AX123="PT",VLOOKUP(L123,Foundation_Calc!$K$4:$R$37,VLOOKUP(AW123,Foundation_Calc!$I$2:$J$8,2,FALSE),0),
IF(AX123="K",VLOOKUP(L123,Foundation_Calc!$K$41:$R$74,VLOOKUP(AW123,Foundation_Calc!$I$2:$J$8,2,FALSE),0),"")))</f>
        <v/>
      </c>
      <c r="AZ123" s="10" t="str">
        <f>IF(K123="","",
IF(AX123="PT",VLOOKUP(K123,Foundation_Calc!$K$4:$R$37,VLOOKUP(AW123,Foundation_Calc!$I$2:$J$8,2,FALSE),0),
IF(AX123="K",VLOOKUP(K123,Foundation_Calc!$K$41:$R$74,VLOOKUP(AW123,Foundation_Calc!$I$2:$J$8,2,FALSE),0),"")))</f>
        <v/>
      </c>
      <c r="BA123" s="553" t="str">
        <f t="shared" si="5"/>
        <v/>
      </c>
      <c r="BB123" s="553" t="str">
        <f t="shared" si="6"/>
        <v/>
      </c>
      <c r="BC123" s="553" t="str">
        <f t="shared" si="8"/>
        <v/>
      </c>
      <c r="BD123" s="572" t="str">
        <f>IF(AND(L123="",H123=""),"",
IF(H123="",Pole_Calc!A$22,
IF(H123="MP",Pole_Calc!A$23,
IF(H123="AnMP",Pole_Calc!A$24,
IF(H123="A",Pole_Calc!A$25,
IF(H123="S/A",Pole_Calc!A$26,
IF(H123="A/S",Pole_Calc!A$27,"Poner a mano")))))))</f>
        <v/>
      </c>
      <c r="BE123" s="448" t="s">
        <v>1726</v>
      </c>
      <c r="BF123" s="306"/>
      <c r="BG123" s="306"/>
      <c r="BH123" s="306"/>
      <c r="BI123" s="306"/>
    </row>
    <row r="124" spans="1:61" ht="16.2" customHeight="1">
      <c r="A124" s="573"/>
      <c r="B124" s="469" t="s">
        <v>1786</v>
      </c>
      <c r="C124" s="3">
        <f>+$C$122+$G$123</f>
        <v>2554.099999999999</v>
      </c>
      <c r="D124" s="88"/>
      <c r="E124" s="4"/>
      <c r="F124" s="4">
        <v>0</v>
      </c>
      <c r="G124" s="6"/>
      <c r="H124" s="468" t="s">
        <v>179</v>
      </c>
      <c r="I124" s="468"/>
      <c r="J124" s="3"/>
      <c r="K124" s="468"/>
      <c r="L124" s="468" t="s">
        <v>448</v>
      </c>
      <c r="M124" s="468" t="str">
        <f>IF(L124="","",
IF(AX124="PT",VLOOKUP(L124,Foundation_Calc!$V$4:$X$37,VLOOKUP(AX124,Foundation_Calc!$I$10:$J$13,2,FALSE),0),
IF(AX124="K",VLOOKUP(L124,Foundation_Calc!$V$41:$X$74,VLOOKUP(AX124,Foundation_Calc!$I$10:$J$13,2,FALSE),0),"")))</f>
        <v>2C3SR</v>
      </c>
      <c r="N124" s="669" t="s">
        <v>28</v>
      </c>
      <c r="O124" s="468" t="s">
        <v>32</v>
      </c>
      <c r="P124" s="468"/>
      <c r="Q124" s="4"/>
      <c r="R124" s="6"/>
      <c r="S124" s="6"/>
      <c r="T124" s="4">
        <v>-55</v>
      </c>
      <c r="U124" s="4">
        <v>-20</v>
      </c>
      <c r="V124" s="4"/>
      <c r="W124" s="9">
        <v>2</v>
      </c>
      <c r="X124" s="9">
        <v>1.4</v>
      </c>
      <c r="Y124" s="9"/>
      <c r="Z124" s="9">
        <v>0.4</v>
      </c>
      <c r="AA124" s="9"/>
      <c r="AB124" s="9"/>
      <c r="AC124" s="468"/>
      <c r="AD124" s="468" t="s">
        <v>645</v>
      </c>
      <c r="AE124" s="468"/>
      <c r="AF124" s="4"/>
      <c r="AG124" s="88"/>
      <c r="AH124" s="4"/>
      <c r="AI124" s="4"/>
      <c r="AJ124" s="468"/>
      <c r="AK124" s="468"/>
      <c r="AL124" s="468"/>
      <c r="AM124" s="468" t="s">
        <v>486</v>
      </c>
      <c r="AN124" s="10">
        <v>5.5</v>
      </c>
      <c r="AO124" s="9"/>
      <c r="AP124" s="9"/>
      <c r="AQ124" s="9"/>
      <c r="AR124" s="9"/>
      <c r="AS124" s="9"/>
      <c r="AT124" s="9">
        <f>+ab($U$124,$T$122,$U$126,$G$123,$G$125,-1*$F$124,1200)</f>
        <v>-7.7014425441342809</v>
      </c>
      <c r="AU124" s="447"/>
      <c r="AV124" s="447"/>
      <c r="AW124" s="468" t="str">
        <f>IF(C124&gt;0,VLOOKUP(C124,Foundation_Calc!$A$2:$C$13,3,1),
IF(J124&gt;0,VLOOKUP(J124,Foundation_Calc!$A$2:$C$13,3,1),""))</f>
        <v>MultiSoil</v>
      </c>
      <c r="AX124" s="468" t="str">
        <f>IF(C124&gt;0,VLOOKUP(C124,Foundation_Calc!$E$2:$G$13,3,1),
IF(J124&gt;0,VLOOKUP(J124,Foundation_Calc!$E$2:$G$13,3,1),""))</f>
        <v>PT</v>
      </c>
      <c r="AY124" s="10">
        <f>IF(L124="","",
IF(AX124="PT",VLOOKUP(L124,Foundation_Calc!$K$4:$R$37,VLOOKUP(AW124,Foundation_Calc!$I$2:$J$8,2,FALSE),0),
IF(AX124="K",VLOOKUP(L124,Foundation_Calc!$K$41:$R$74,VLOOKUP(AW124,Foundation_Calc!$I$2:$J$8,2,FALSE),0),"")))</f>
        <v>3.9</v>
      </c>
      <c r="AZ124" s="10" t="str">
        <f>IF(K124="","",
IF(AX124="PT",VLOOKUP(K124,Foundation_Calc!$K$4:$R$37,VLOOKUP(AW124,Foundation_Calc!$I$2:$J$8,2,FALSE),0),
IF(AX124="K",VLOOKUP(K124,Foundation_Calc!$K$41:$R$74,VLOOKUP(AW124,Foundation_Calc!$I$2:$J$8,2,FALSE),0),"")))</f>
        <v/>
      </c>
      <c r="BA124" s="553" t="str">
        <f t="shared" si="5"/>
        <v>ü</v>
      </c>
      <c r="BB124" s="553" t="str">
        <f t="shared" si="6"/>
        <v/>
      </c>
      <c r="BC124" s="553" t="str">
        <f t="shared" si="8"/>
        <v/>
      </c>
      <c r="BD124" s="572" t="str">
        <f>IF(AND(L124="",H124=""),"",
IF(H124="",Pole_Calc!A$22,
IF(H124="MP",Pole_Calc!A$23,
IF(H124="AnMP",Pole_Calc!A$24,
IF(H124="A",Pole_Calc!A$25,
IF(H124="S/A",Pole_Calc!A$26,
IF(H124="A/S",Pole_Calc!A$27,"Poner a mano")))))))</f>
        <v>App.7-V11H-P9.5.2.5</v>
      </c>
      <c r="BE124" s="448" t="s">
        <v>1726</v>
      </c>
      <c r="BF124" s="305"/>
      <c r="BG124" s="305"/>
      <c r="BH124" s="306"/>
      <c r="BI124" s="305"/>
    </row>
    <row r="125" spans="1:61" ht="16.2" customHeight="1">
      <c r="A125" s="573"/>
      <c r="B125" s="469"/>
      <c r="C125" s="3"/>
      <c r="D125" s="88"/>
      <c r="E125" s="4"/>
      <c r="F125" s="4"/>
      <c r="G125" s="6">
        <v>47</v>
      </c>
      <c r="H125" s="468"/>
      <c r="I125" s="468"/>
      <c r="J125" s="3">
        <f>C126-7.5</f>
        <v>2593.599999999999</v>
      </c>
      <c r="K125" s="468" t="s">
        <v>1096</v>
      </c>
      <c r="L125" s="468"/>
      <c r="M125" s="468" t="str">
        <f>IF(L125="","",
IF(AX125="PT",VLOOKUP(L125,Foundation_Calc!$V$4:$X$37,VLOOKUP(AX125,Foundation_Calc!$I$10:$J$13,2,FALSE),0),
IF(AX125="K",VLOOKUP(L125,Foundation_Calc!$V$41:$X$74,VLOOKUP(AX125,Foundation_Calc!$I$10:$J$13,2,FALSE),0),"")))</f>
        <v/>
      </c>
      <c r="N125" s="468"/>
      <c r="O125" s="468"/>
      <c r="P125" s="468"/>
      <c r="Q125" s="4"/>
      <c r="R125" s="6"/>
      <c r="S125" s="6"/>
      <c r="T125" s="4"/>
      <c r="U125" s="4"/>
      <c r="V125" s="4"/>
      <c r="W125" s="9"/>
      <c r="X125" s="9"/>
      <c r="Y125" s="9"/>
      <c r="Z125" s="9"/>
      <c r="AA125" s="9"/>
      <c r="AB125" s="9"/>
      <c r="AC125" s="468" t="str">
        <f t="shared" si="9"/>
        <v/>
      </c>
      <c r="AD125" s="468"/>
      <c r="AE125" s="468"/>
      <c r="AF125" s="4"/>
      <c r="AG125" s="88"/>
      <c r="AH125" s="4"/>
      <c r="AI125" s="4"/>
      <c r="AJ125" s="468"/>
      <c r="AK125" s="468"/>
      <c r="AL125" s="468"/>
      <c r="AM125" s="468"/>
      <c r="AN125" s="10"/>
      <c r="AO125" s="9"/>
      <c r="AP125" s="9"/>
      <c r="AQ125" s="9">
        <f>+FL_2($U$126,$U$124,$G$125,1200,9.28,-1*$F$126)</f>
        <v>-0.22707532348936177</v>
      </c>
      <c r="AR125" s="9"/>
      <c r="AS125" s="9"/>
      <c r="AT125" s="9"/>
      <c r="AU125" s="447"/>
      <c r="AV125" s="447"/>
      <c r="AW125" s="468" t="str">
        <f>IF(C125&gt;0,VLOOKUP(C125,Foundation_Calc!$A$2:$C$13,3,1),
IF(J125&gt;0,VLOOKUP(J125,Foundation_Calc!$A$2:$C$13,3,1),""))</f>
        <v>MultiSoil</v>
      </c>
      <c r="AX125" s="468" t="str">
        <f>IF(C125&gt;0,VLOOKUP(C125,Foundation_Calc!$E$2:$G$13,3,1),
IF(J125&gt;0,VLOOKUP(J125,Foundation_Calc!$E$2:$G$13,3,1),""))</f>
        <v>PT</v>
      </c>
      <c r="AY125" s="10" t="str">
        <f>IF(L125="","",
IF(AX125="PT",VLOOKUP(L125,Foundation_Calc!$K$4:$R$37,VLOOKUP(AW125,Foundation_Calc!$I$2:$J$8,2,FALSE),0),
IF(AX125="K",VLOOKUP(L125,Foundation_Calc!$K$41:$R$74,VLOOKUP(AW125,Foundation_Calc!$I$2:$J$8,2,FALSE),0),"")))</f>
        <v/>
      </c>
      <c r="AZ125" s="10">
        <f>IF(K125="","",
IF(AX125="PT",VLOOKUP(K125,Foundation_Calc!$K$4:$R$37,VLOOKUP(AW125,Foundation_Calc!$I$2:$J$8,2,FALSE),0),
IF(AX125="K",VLOOKUP(K125,Foundation_Calc!$K$41:$R$74,VLOOKUP(AW125,Foundation_Calc!$I$2:$J$8,2,FALSE),0),"")))</f>
        <v>2.8</v>
      </c>
      <c r="BA125" s="553" t="str">
        <f t="shared" si="5"/>
        <v/>
      </c>
      <c r="BB125" s="553" t="str">
        <f t="shared" si="6"/>
        <v>ü</v>
      </c>
      <c r="BC125" s="553" t="str">
        <f t="shared" si="8"/>
        <v/>
      </c>
      <c r="BD125" s="572" t="str">
        <f>IF(AND(L125="",H125=""),"",
IF(H125="",Pole_Calc!A$22,
IF(H125="MP",Pole_Calc!A$23,
IF(H125="AnMP",Pole_Calc!A$24,
IF(H125="A",Pole_Calc!A$25,
IF(H125="S/A",Pole_Calc!A$26,
IF(H125="A/S",Pole_Calc!A$27,"Poner a mano")))))))</f>
        <v/>
      </c>
      <c r="BE125" s="448" t="s">
        <v>1726</v>
      </c>
      <c r="BF125" s="306"/>
      <c r="BG125" s="306"/>
      <c r="BH125" s="306"/>
      <c r="BI125" s="306"/>
    </row>
    <row r="126" spans="1:61" ht="16.2" customHeight="1">
      <c r="A126" s="573"/>
      <c r="B126" s="469" t="s">
        <v>1787</v>
      </c>
      <c r="C126" s="3">
        <f>+$C$124+$G$125</f>
        <v>2601.099999999999</v>
      </c>
      <c r="D126" s="88"/>
      <c r="E126" s="4"/>
      <c r="F126" s="4">
        <v>0</v>
      </c>
      <c r="G126" s="6"/>
      <c r="H126" s="468" t="s">
        <v>1742</v>
      </c>
      <c r="I126" s="468"/>
      <c r="J126" s="3"/>
      <c r="K126" s="468"/>
      <c r="L126" s="468" t="s">
        <v>448</v>
      </c>
      <c r="M126" s="468" t="str">
        <f>IF(L126="","",
IF(AX126="PT",VLOOKUP(L126,Foundation_Calc!$V$4:$X$37,VLOOKUP(AX126,Foundation_Calc!$I$10:$J$13,2,FALSE),0),
IF(AX126="K",VLOOKUP(L126,Foundation_Calc!$V$41:$X$74,VLOOKUP(AX126,Foundation_Calc!$I$10:$J$13,2,FALSE),0),"")))</f>
        <v>2C3SR</v>
      </c>
      <c r="N126" s="669" t="s">
        <v>32</v>
      </c>
      <c r="O126" s="468" t="s">
        <v>33</v>
      </c>
      <c r="P126" s="468"/>
      <c r="Q126" s="4"/>
      <c r="R126" s="6"/>
      <c r="S126" s="6"/>
      <c r="T126" s="4">
        <v>20</v>
      </c>
      <c r="U126" s="4">
        <v>35</v>
      </c>
      <c r="V126" s="4"/>
      <c r="W126" s="9">
        <v>2</v>
      </c>
      <c r="X126" s="9">
        <v>1.4</v>
      </c>
      <c r="Y126" s="9"/>
      <c r="Z126" s="9"/>
      <c r="AA126" s="9"/>
      <c r="AB126" s="9"/>
      <c r="AC126" s="468" t="s">
        <v>1068</v>
      </c>
      <c r="AD126" s="468" t="s">
        <v>647</v>
      </c>
      <c r="AE126" s="468"/>
      <c r="AF126" s="4"/>
      <c r="AG126" s="88"/>
      <c r="AH126" s="4"/>
      <c r="AI126" s="4"/>
      <c r="AJ126" s="468"/>
      <c r="AK126" s="468"/>
      <c r="AL126" s="468"/>
      <c r="AM126" s="468" t="s">
        <v>486</v>
      </c>
      <c r="AN126" s="10">
        <v>5.5</v>
      </c>
      <c r="AO126" s="9"/>
      <c r="AP126" s="9"/>
      <c r="AQ126" s="9"/>
      <c r="AR126" s="9"/>
      <c r="AS126" s="9"/>
      <c r="AT126" s="9">
        <f>+ab($U$126,$U$124,$T$128,$G$125,$G$127,-1*$F$126,1200)</f>
        <v>15.97110010249631</v>
      </c>
      <c r="AU126" s="447"/>
      <c r="AV126" s="447"/>
      <c r="AW126" s="468" t="str">
        <f>IF(C126&gt;0,VLOOKUP(C126,Foundation_Calc!$A$2:$C$13,3,1),
IF(J126&gt;0,VLOOKUP(J126,Foundation_Calc!$A$2:$C$13,3,1),""))</f>
        <v>MultiSoil</v>
      </c>
      <c r="AX126" s="468" t="str">
        <f>IF(C126&gt;0,VLOOKUP(C126,Foundation_Calc!$E$2:$G$13,3,1),
IF(J126&gt;0,VLOOKUP(J126,Foundation_Calc!$E$2:$G$13,3,1),""))</f>
        <v>PT</v>
      </c>
      <c r="AY126" s="10">
        <f>IF(L126="","",
IF(AX126="PT",VLOOKUP(L126,Foundation_Calc!$K$4:$R$37,VLOOKUP(AW126,Foundation_Calc!$I$2:$J$8,2,FALSE),0),
IF(AX126="K",VLOOKUP(L126,Foundation_Calc!$K$41:$R$74,VLOOKUP(AW126,Foundation_Calc!$I$2:$J$8,2,FALSE),0),"")))</f>
        <v>3.9</v>
      </c>
      <c r="AZ126" s="10" t="str">
        <f>IF(K126="","",
IF(AX126="PT",VLOOKUP(K126,Foundation_Calc!$K$4:$R$37,VLOOKUP(AW126,Foundation_Calc!$I$2:$J$8,2,FALSE),0),
IF(AX126="K",VLOOKUP(K126,Foundation_Calc!$K$41:$R$74,VLOOKUP(AW126,Foundation_Calc!$I$2:$J$8,2,FALSE),0),"")))</f>
        <v/>
      </c>
      <c r="BA126" s="553" t="str">
        <f t="shared" si="5"/>
        <v>ü</v>
      </c>
      <c r="BB126" s="553" t="str">
        <f t="shared" si="6"/>
        <v/>
      </c>
      <c r="BC126" s="553" t="str">
        <f t="shared" si="8"/>
        <v/>
      </c>
      <c r="BD126" s="572" t="str">
        <f>Pole_Calc!A$29</f>
        <v>App.7-V11H-P9.5.2.8</v>
      </c>
      <c r="BE126" s="448" t="s">
        <v>1726</v>
      </c>
      <c r="BF126" s="305"/>
      <c r="BG126" s="305"/>
      <c r="BH126" s="306"/>
      <c r="BI126" s="305"/>
    </row>
    <row r="127" spans="1:61" ht="16.2" customHeight="1">
      <c r="A127" s="573" t="s">
        <v>2031</v>
      </c>
      <c r="B127" s="469"/>
      <c r="C127" s="3"/>
      <c r="D127" s="88"/>
      <c r="E127" s="4"/>
      <c r="F127" s="4"/>
      <c r="G127" s="6">
        <v>52.5</v>
      </c>
      <c r="H127" s="468"/>
      <c r="I127" s="4">
        <f>SUM(G103:G127)</f>
        <v>567.29999999999995</v>
      </c>
      <c r="J127" s="3"/>
      <c r="K127" s="468"/>
      <c r="L127" s="468"/>
      <c r="M127" s="468" t="str">
        <f>IF(L127="","",
IF(AX127="PT",VLOOKUP(L127,Foundation_Calc!$V$4:$X$37,VLOOKUP(AX127,Foundation_Calc!$I$10:$J$13,2,FALSE),0),
IF(AX127="K",VLOOKUP(L127,Foundation_Calc!$V$41:$X$74,VLOOKUP(AX127,Foundation_Calc!$I$10:$J$13,2,FALSE),0),"")))</f>
        <v/>
      </c>
      <c r="N127" s="468"/>
      <c r="O127" s="468"/>
      <c r="P127" s="468"/>
      <c r="Q127" s="4"/>
      <c r="R127" s="6"/>
      <c r="S127" s="6"/>
      <c r="T127" s="4"/>
      <c r="U127" s="4"/>
      <c r="V127" s="4"/>
      <c r="W127" s="9"/>
      <c r="X127" s="9"/>
      <c r="Y127" s="9"/>
      <c r="Z127" s="9"/>
      <c r="AA127" s="9"/>
      <c r="AB127" s="9"/>
      <c r="AC127" s="468" t="str">
        <f t="shared" si="9"/>
        <v/>
      </c>
      <c r="AD127" s="468"/>
      <c r="AE127" s="468"/>
      <c r="AF127" s="4"/>
      <c r="AG127" s="88"/>
      <c r="AH127" s="4"/>
      <c r="AI127" s="4"/>
      <c r="AJ127" s="468"/>
      <c r="AK127" s="468"/>
      <c r="AL127" s="468"/>
      <c r="AM127" s="468"/>
      <c r="AN127" s="10"/>
      <c r="AO127" s="9"/>
      <c r="AP127" s="9"/>
      <c r="AQ127" s="9">
        <f>+FL_1($T$128,$U$126,$G$127,1200,9.28,-1*$F$128)</f>
        <v>0.61643749999999997</v>
      </c>
      <c r="AR127" s="9"/>
      <c r="AS127" s="9"/>
      <c r="AT127" s="9"/>
      <c r="AU127" s="447"/>
      <c r="AV127" s="447"/>
      <c r="AW127" s="468" t="str">
        <f>IF(C127&gt;0,VLOOKUP(C127,Foundation_Calc!$A$2:$C$13,3,1),
IF(J127&gt;0,VLOOKUP(J127,Foundation_Calc!$A$2:$C$13,3,1),""))</f>
        <v/>
      </c>
      <c r="AX127" s="468" t="str">
        <f>IF(C127&gt;0,VLOOKUP(C127,Foundation_Calc!$E$2:$G$13,3,1),
IF(J127&gt;0,VLOOKUP(J127,Foundation_Calc!$E$2:$G$13,3,1),""))</f>
        <v/>
      </c>
      <c r="AY127" s="10" t="str">
        <f>IF(L127="","",
IF(AX127="PT",VLOOKUP(L127,Foundation_Calc!$K$4:$R$37,VLOOKUP(AW127,Foundation_Calc!$I$2:$J$8,2,FALSE),0),
IF(AX127="K",VLOOKUP(L127,Foundation_Calc!$K$41:$R$74,VLOOKUP(AW127,Foundation_Calc!$I$2:$J$8,2,FALSE),0),"")))</f>
        <v/>
      </c>
      <c r="AZ127" s="10" t="str">
        <f>IF(K127="","",
IF(AX127="PT",VLOOKUP(K127,Foundation_Calc!$K$4:$R$37,VLOOKUP(AW127,Foundation_Calc!$I$2:$J$8,2,FALSE),0),
IF(AX127="K",VLOOKUP(K127,Foundation_Calc!$K$41:$R$74,VLOOKUP(AW127,Foundation_Calc!$I$2:$J$8,2,FALSE),0),"")))</f>
        <v/>
      </c>
      <c r="BA127" s="553" t="str">
        <f t="shared" si="5"/>
        <v/>
      </c>
      <c r="BB127" s="553" t="str">
        <f t="shared" si="6"/>
        <v/>
      </c>
      <c r="BC127" s="553" t="str">
        <f t="shared" si="8"/>
        <v/>
      </c>
      <c r="BD127" s="572" t="str">
        <f>IF(AND(L127="",H127=""),"",
IF(H127="",Pole_Calc!A$22,
IF(H127="MP",Pole_Calc!A$23,
IF(H127="AnMP",Pole_Calc!A$24,
IF(H127="A",Pole_Calc!A$25,
IF(H127="S/A",Pole_Calc!A$26,
IF(H127="A/S",Pole_Calc!A$27,"Poner a mano")))))))</f>
        <v/>
      </c>
      <c r="BE127" s="448" t="s">
        <v>1726</v>
      </c>
      <c r="BF127" s="306"/>
      <c r="BG127" s="306"/>
      <c r="BH127" s="306"/>
      <c r="BI127" s="306"/>
    </row>
    <row r="128" spans="1:61" ht="16.2" customHeight="1">
      <c r="A128" s="573"/>
      <c r="B128" s="469" t="s">
        <v>1788</v>
      </c>
      <c r="C128" s="3">
        <f>+$C$126+$G$127</f>
        <v>2653.599999999999</v>
      </c>
      <c r="D128" s="88"/>
      <c r="E128" s="4"/>
      <c r="F128" s="4">
        <v>0</v>
      </c>
      <c r="G128" s="6"/>
      <c r="H128" s="468" t="s">
        <v>1743</v>
      </c>
      <c r="I128" s="468"/>
      <c r="J128" s="3"/>
      <c r="K128" s="468"/>
      <c r="L128" s="468" t="s">
        <v>448</v>
      </c>
      <c r="M128" s="468" t="str">
        <f>IF(L128="","",
IF(AX128="PT",VLOOKUP(L128,Foundation_Calc!$V$4:$X$37,VLOOKUP(AX128,Foundation_Calc!$I$10:$J$13,2,FALSE),0),
IF(AX128="K",VLOOKUP(L128,Foundation_Calc!$V$41:$X$74,VLOOKUP(AX128,Foundation_Calc!$I$10:$J$13,2,FALSE),0),"")))</f>
        <v>2C3SR</v>
      </c>
      <c r="N128" s="468" t="s">
        <v>33</v>
      </c>
      <c r="O128" s="669" t="s">
        <v>32</v>
      </c>
      <c r="P128" s="468"/>
      <c r="Q128" s="4"/>
      <c r="R128" s="6"/>
      <c r="S128" s="6"/>
      <c r="T128" s="4">
        <v>35</v>
      </c>
      <c r="U128" s="4">
        <v>20</v>
      </c>
      <c r="V128" s="4"/>
      <c r="W128" s="9">
        <v>1.4</v>
      </c>
      <c r="X128" s="9">
        <v>2</v>
      </c>
      <c r="Y128" s="9"/>
      <c r="Z128" s="9"/>
      <c r="AA128" s="9"/>
      <c r="AB128" s="9"/>
      <c r="AC128" s="468" t="s">
        <v>647</v>
      </c>
      <c r="AD128" s="468" t="s">
        <v>1068</v>
      </c>
      <c r="AE128" s="468"/>
      <c r="AF128" s="4"/>
      <c r="AG128" s="88"/>
      <c r="AH128" s="4"/>
      <c r="AI128" s="4"/>
      <c r="AJ128" s="468"/>
      <c r="AK128" s="468"/>
      <c r="AL128" s="468"/>
      <c r="AM128" s="468" t="s">
        <v>486</v>
      </c>
      <c r="AN128" s="10">
        <v>5.5</v>
      </c>
      <c r="AO128" s="9"/>
      <c r="AP128" s="9"/>
      <c r="AQ128" s="9"/>
      <c r="AR128" s="9"/>
      <c r="AS128" s="9"/>
      <c r="AT128" s="9">
        <f>+ab($T$128,$U$126,$T$130,$G$127,$G$129,-1*$F$128,1200)</f>
        <v>16.933789596524225</v>
      </c>
      <c r="AU128" s="447"/>
      <c r="AV128" s="447"/>
      <c r="AW128" s="468" t="str">
        <f>IF(C128&gt;0,VLOOKUP(C128,Foundation_Calc!$A$2:$C$13,3,1),
IF(J128&gt;0,VLOOKUP(J128,Foundation_Calc!$A$2:$C$13,3,1),""))</f>
        <v>MultiSoil</v>
      </c>
      <c r="AX128" s="468" t="str">
        <f>IF(C128&gt;0,VLOOKUP(C128,Foundation_Calc!$E$2:$G$13,3,1),
IF(J128&gt;0,VLOOKUP(J128,Foundation_Calc!$E$2:$G$13,3,1),""))</f>
        <v>PT</v>
      </c>
      <c r="AY128" s="10">
        <f>IF(L128="","",
IF(AX128="PT",VLOOKUP(L128,Foundation_Calc!$K$4:$R$37,VLOOKUP(AW128,Foundation_Calc!$I$2:$J$8,2,FALSE),0),
IF(AX128="K",VLOOKUP(L128,Foundation_Calc!$K$41:$R$74,VLOOKUP(AW128,Foundation_Calc!$I$2:$J$8,2,FALSE),0),"")))</f>
        <v>3.9</v>
      </c>
      <c r="AZ128" s="10" t="str">
        <f>IF(K128="","",
IF(AX128="PT",VLOOKUP(K128,Foundation_Calc!$K$4:$R$37,VLOOKUP(AW128,Foundation_Calc!$I$2:$J$8,2,FALSE),0),
IF(AX128="K",VLOOKUP(K128,Foundation_Calc!$K$41:$R$74,VLOOKUP(AW128,Foundation_Calc!$I$2:$J$8,2,FALSE),0),"")))</f>
        <v/>
      </c>
      <c r="BA128" s="553" t="str">
        <f t="shared" si="5"/>
        <v>ü</v>
      </c>
      <c r="BB128" s="553" t="str">
        <f t="shared" si="6"/>
        <v/>
      </c>
      <c r="BC128" s="553" t="str">
        <f t="shared" si="8"/>
        <v/>
      </c>
      <c r="BD128" s="572" t="str">
        <f>Pole_Calc!A$26</f>
        <v>App.7-V11H-P9.5.2.5</v>
      </c>
      <c r="BE128" s="448" t="s">
        <v>1726</v>
      </c>
      <c r="BF128" s="305"/>
      <c r="BG128" s="305"/>
      <c r="BH128" s="306"/>
      <c r="BI128" s="305"/>
    </row>
    <row r="129" spans="1:61" ht="16.2" customHeight="1">
      <c r="A129" s="573"/>
      <c r="B129" s="469"/>
      <c r="C129" s="3"/>
      <c r="D129" s="88"/>
      <c r="E129" s="4"/>
      <c r="F129" s="4"/>
      <c r="G129" s="6">
        <v>50</v>
      </c>
      <c r="H129" s="468"/>
      <c r="I129" s="4">
        <f>SUM(G129:G153)</f>
        <v>644.11</v>
      </c>
      <c r="J129" s="3"/>
      <c r="K129" s="468"/>
      <c r="L129" s="468"/>
      <c r="M129" s="468" t="str">
        <f>IF(L129="","",
IF(AX129="PT",VLOOKUP(L129,Foundation_Calc!$V$4:$X$37,VLOOKUP(AX129,Foundation_Calc!$I$10:$J$13,2,FALSE),0),
IF(AX129="K",VLOOKUP(L129,Foundation_Calc!$V$41:$X$74,VLOOKUP(AX129,Foundation_Calc!$I$10:$J$13,2,FALSE),0),"")))</f>
        <v/>
      </c>
      <c r="N129" s="468"/>
      <c r="O129" s="647"/>
      <c r="P129" s="468"/>
      <c r="Q129" s="4"/>
      <c r="R129" s="6"/>
      <c r="S129" s="6"/>
      <c r="T129" s="4"/>
      <c r="U129" s="4"/>
      <c r="V129" s="4"/>
      <c r="W129" s="9"/>
      <c r="X129" s="9"/>
      <c r="Y129" s="9"/>
      <c r="Z129" s="9"/>
      <c r="AA129" s="9"/>
      <c r="AB129" s="9"/>
      <c r="AC129" s="468" t="str">
        <f t="shared" si="9"/>
        <v/>
      </c>
      <c r="AD129" s="468"/>
      <c r="AE129" s="468"/>
      <c r="AF129" s="4"/>
      <c r="AG129" s="88"/>
      <c r="AH129" s="4"/>
      <c r="AI129" s="4"/>
      <c r="AJ129" s="468"/>
      <c r="AK129" s="468"/>
      <c r="AL129" s="468"/>
      <c r="AM129" s="468"/>
      <c r="AN129" s="10"/>
      <c r="AO129" s="9"/>
      <c r="AP129" s="9"/>
      <c r="AQ129" s="9">
        <f>+FL_1($T$130,$T$128,$G$129,1200,9.28,-1*$F$130)</f>
        <v>0.39489941866666667</v>
      </c>
      <c r="AR129" s="9"/>
      <c r="AS129" s="9"/>
      <c r="AT129" s="9"/>
      <c r="AU129" s="447"/>
      <c r="AV129" s="447"/>
      <c r="AW129" s="468" t="str">
        <f>IF(C129&gt;0,VLOOKUP(C129,Foundation_Calc!$A$2:$C$13,3,1),
IF(J129&gt;0,VLOOKUP(J129,Foundation_Calc!$A$2:$C$13,3,1),""))</f>
        <v/>
      </c>
      <c r="AX129" s="468" t="str">
        <f>IF(C129&gt;0,VLOOKUP(C129,Foundation_Calc!$E$2:$G$13,3,1),
IF(J129&gt;0,VLOOKUP(J129,Foundation_Calc!$E$2:$G$13,3,1),""))</f>
        <v/>
      </c>
      <c r="AY129" s="10" t="str">
        <f>IF(L129="","",
IF(AX129="PT",VLOOKUP(L129,Foundation_Calc!$K$4:$R$37,VLOOKUP(AW129,Foundation_Calc!$I$2:$J$8,2,FALSE),0),
IF(AX129="K",VLOOKUP(L129,Foundation_Calc!$K$41:$R$74,VLOOKUP(AW129,Foundation_Calc!$I$2:$J$8,2,FALSE),0),"")))</f>
        <v/>
      </c>
      <c r="AZ129" s="10" t="str">
        <f>IF(K129="","",
IF(AX129="PT",VLOOKUP(K129,Foundation_Calc!$K$4:$R$37,VLOOKUP(AW129,Foundation_Calc!$I$2:$J$8,2,FALSE),0),
IF(AX129="K",VLOOKUP(K129,Foundation_Calc!$K$41:$R$74,VLOOKUP(AW129,Foundation_Calc!$I$2:$J$8,2,FALSE),0),"")))</f>
        <v/>
      </c>
      <c r="BA129" s="553" t="str">
        <f t="shared" si="5"/>
        <v/>
      </c>
      <c r="BB129" s="553" t="str">
        <f t="shared" si="6"/>
        <v/>
      </c>
      <c r="BC129" s="553" t="str">
        <f t="shared" si="8"/>
        <v/>
      </c>
      <c r="BD129" s="572" t="str">
        <f>IF(AND(L129="",H129=""),"",
IF(H129="",Pole_Calc!A$22,
IF(H129="MP",Pole_Calc!A$23,
IF(H129="AnMP",Pole_Calc!A$24,
IF(H129="A",Pole_Calc!A$25,
IF(H129="S/A",Pole_Calc!A$26,
IF(H129="A/S",Pole_Calc!A$27,"Poner a mano")))))))</f>
        <v/>
      </c>
      <c r="BE129" s="448" t="s">
        <v>1726</v>
      </c>
      <c r="BF129" s="306"/>
      <c r="BG129" s="306"/>
      <c r="BH129" s="306"/>
      <c r="BI129" s="306"/>
    </row>
    <row r="130" spans="1:61" ht="16.2" customHeight="1">
      <c r="A130" s="573"/>
      <c r="B130" s="469" t="s">
        <v>1789</v>
      </c>
      <c r="C130" s="3">
        <f>+$C$128+$G$129</f>
        <v>2703.599999999999</v>
      </c>
      <c r="D130" s="88"/>
      <c r="E130" s="4"/>
      <c r="F130" s="4">
        <v>0</v>
      </c>
      <c r="G130" s="6"/>
      <c r="H130" s="468" t="s">
        <v>1744</v>
      </c>
      <c r="I130" s="468"/>
      <c r="J130" s="3"/>
      <c r="K130" s="468"/>
      <c r="L130" s="468" t="s">
        <v>448</v>
      </c>
      <c r="M130" s="468" t="str">
        <f>IF(L130="","",
IF(AX130="PT",VLOOKUP(L130,Foundation_Calc!$V$4:$X$37,VLOOKUP(AX130,Foundation_Calc!$I$10:$J$13,2,FALSE),0),
IF(AX130="K",VLOOKUP(L130,Foundation_Calc!$V$41:$X$74,VLOOKUP(AX130,Foundation_Calc!$I$10:$J$13,2,FALSE),0),"")))</f>
        <v>2C3SR</v>
      </c>
      <c r="N130" s="468" t="s">
        <v>32</v>
      </c>
      <c r="O130" s="669" t="s">
        <v>28</v>
      </c>
      <c r="P130" s="468"/>
      <c r="Q130" s="4"/>
      <c r="R130" s="6"/>
      <c r="S130" s="6"/>
      <c r="T130" s="4">
        <v>-20</v>
      </c>
      <c r="U130" s="4">
        <v>-55</v>
      </c>
      <c r="V130" s="4"/>
      <c r="W130" s="9">
        <v>1.4</v>
      </c>
      <c r="X130" s="9">
        <v>2</v>
      </c>
      <c r="Y130" s="9"/>
      <c r="Z130" s="9"/>
      <c r="AA130" s="9">
        <v>0.45</v>
      </c>
      <c r="AB130" s="9"/>
      <c r="AC130" s="468" t="s">
        <v>645</v>
      </c>
      <c r="AD130" s="468"/>
      <c r="AE130" s="468"/>
      <c r="AF130" s="4"/>
      <c r="AG130" s="88"/>
      <c r="AH130" s="4"/>
      <c r="AI130" s="4"/>
      <c r="AJ130" s="468"/>
      <c r="AK130" s="468"/>
      <c r="AL130" s="468"/>
      <c r="AM130" s="468" t="s">
        <v>486</v>
      </c>
      <c r="AN130" s="10">
        <v>5.5</v>
      </c>
      <c r="AO130" s="9"/>
      <c r="AP130" s="9"/>
      <c r="AQ130" s="9"/>
      <c r="AR130" s="9"/>
      <c r="AS130" s="9"/>
      <c r="AT130" s="9">
        <f>+ab($T$130,$T$128,$T$132,$G$129,$G$131,-1*$F$130,1200)</f>
        <v>-8.9756680124452703</v>
      </c>
      <c r="AU130" s="447"/>
      <c r="AV130" s="447"/>
      <c r="AW130" s="468" t="str">
        <f>IF(C130&gt;0,VLOOKUP(C130,Foundation_Calc!$A$2:$C$13,3,1),
IF(J130&gt;0,VLOOKUP(J130,Foundation_Calc!$A$2:$C$13,3,1),""))</f>
        <v>MultiSoil</v>
      </c>
      <c r="AX130" s="468" t="str">
        <f>IF(C130&gt;0,VLOOKUP(C130,Foundation_Calc!$E$2:$G$13,3,1),
IF(J130&gt;0,VLOOKUP(J130,Foundation_Calc!$E$2:$G$13,3,1),""))</f>
        <v>PT</v>
      </c>
      <c r="AY130" s="10">
        <f>IF(L130="","",
IF(AX130="PT",VLOOKUP(L130,Foundation_Calc!$K$4:$R$37,VLOOKUP(AW130,Foundation_Calc!$I$2:$J$8,2,FALSE),0),
IF(AX130="K",VLOOKUP(L130,Foundation_Calc!$K$41:$R$74,VLOOKUP(AW130,Foundation_Calc!$I$2:$J$8,2,FALSE),0),"")))</f>
        <v>3.9</v>
      </c>
      <c r="AZ130" s="10" t="str">
        <f>IF(K130="","",
IF(AX130="PT",VLOOKUP(K130,Foundation_Calc!$K$4:$R$37,VLOOKUP(AW130,Foundation_Calc!$I$2:$J$8,2,FALSE),0),
IF(AX130="K",VLOOKUP(K130,Foundation_Calc!$K$41:$R$74,VLOOKUP(AW130,Foundation_Calc!$I$2:$J$8,2,FALSE),0),"")))</f>
        <v/>
      </c>
      <c r="BA130" s="553" t="str">
        <f t="shared" si="5"/>
        <v>ü</v>
      </c>
      <c r="BB130" s="553" t="str">
        <f t="shared" si="6"/>
        <v/>
      </c>
      <c r="BC130" s="553" t="str">
        <f t="shared" si="8"/>
        <v/>
      </c>
      <c r="BD130" s="572" t="str">
        <f>Pole_Calc!A$29</f>
        <v>App.7-V11H-P9.5.2.8</v>
      </c>
      <c r="BE130" s="448" t="s">
        <v>1726</v>
      </c>
      <c r="BF130" s="305"/>
      <c r="BG130" s="305"/>
      <c r="BH130" s="306"/>
      <c r="BI130" s="305"/>
    </row>
    <row r="131" spans="1:61" ht="16.2" customHeight="1">
      <c r="A131" s="573"/>
      <c r="B131" s="469"/>
      <c r="C131" s="3"/>
      <c r="D131" s="88"/>
      <c r="E131" s="4"/>
      <c r="F131" s="4"/>
      <c r="G131" s="6">
        <v>49</v>
      </c>
      <c r="H131" s="468"/>
      <c r="I131" s="4">
        <f>SUM(G123:G131)</f>
        <v>240.6</v>
      </c>
      <c r="J131" s="3">
        <f>C130+7.5</f>
        <v>2711.099999999999</v>
      </c>
      <c r="K131" s="468" t="s">
        <v>1096</v>
      </c>
      <c r="L131" s="468"/>
      <c r="M131" s="468" t="str">
        <f>IF(L131="","",
IF(AX131="PT",VLOOKUP(L131,Foundation_Calc!$V$4:$X$37,VLOOKUP(AX131,Foundation_Calc!$I$10:$J$13,2,FALSE),0),
IF(AX131="K",VLOOKUP(L131,Foundation_Calc!$V$41:$X$74,VLOOKUP(AX131,Foundation_Calc!$I$10:$J$13,2,FALSE),0),"")))</f>
        <v/>
      </c>
      <c r="N131" s="468"/>
      <c r="O131" s="468"/>
      <c r="P131" s="468"/>
      <c r="Q131" s="4"/>
      <c r="R131" s="6"/>
      <c r="S131" s="6"/>
      <c r="T131" s="4"/>
      <c r="U131" s="4"/>
      <c r="V131" s="4"/>
      <c r="W131" s="9"/>
      <c r="X131" s="9"/>
      <c r="Y131" s="9"/>
      <c r="Z131" s="9"/>
      <c r="AA131" s="9"/>
      <c r="AB131" s="9"/>
      <c r="AC131" s="468" t="str">
        <f t="shared" si="9"/>
        <v/>
      </c>
      <c r="AD131" s="468"/>
      <c r="AE131" s="468"/>
      <c r="AF131" s="4"/>
      <c r="AG131" s="88"/>
      <c r="AH131" s="4"/>
      <c r="AI131" s="4"/>
      <c r="AJ131" s="468"/>
      <c r="AK131" s="468"/>
      <c r="AL131" s="468"/>
      <c r="AM131" s="468"/>
      <c r="AN131" s="10"/>
      <c r="AO131" s="9"/>
      <c r="AP131" s="9"/>
      <c r="AQ131" s="9">
        <f>+FL_1($T$132,$T$130,$G$131,1200,9.28,-1*$F$132)</f>
        <v>0.34941774473469384</v>
      </c>
      <c r="AR131" s="9"/>
      <c r="AS131" s="9"/>
      <c r="AT131" s="9"/>
      <c r="AU131" s="447"/>
      <c r="AV131" s="447"/>
      <c r="AW131" s="468" t="str">
        <f>IF(C131&gt;0,VLOOKUP(C131,Foundation_Calc!$A$2:$C$13,3,1),
IF(J131&gt;0,VLOOKUP(J131,Foundation_Calc!$A$2:$C$13,3,1),""))</f>
        <v>MultiSoil</v>
      </c>
      <c r="AX131" s="468" t="str">
        <f>IF(C131&gt;0,VLOOKUP(C131,Foundation_Calc!$E$2:$G$13,3,1),
IF(J131&gt;0,VLOOKUP(J131,Foundation_Calc!$E$2:$G$13,3,1),""))</f>
        <v>PT</v>
      </c>
      <c r="AY131" s="10" t="str">
        <f>IF(L131="","",
IF(AX131="PT",VLOOKUP(L131,Foundation_Calc!$K$4:$R$37,VLOOKUP(AW131,Foundation_Calc!$I$2:$J$8,2,FALSE),0),
IF(AX131="K",VLOOKUP(L131,Foundation_Calc!$K$41:$R$74,VLOOKUP(AW131,Foundation_Calc!$I$2:$J$8,2,FALSE),0),"")))</f>
        <v/>
      </c>
      <c r="AZ131" s="10">
        <f>IF(K131="","",
IF(AX131="PT",VLOOKUP(K131,Foundation_Calc!$K$4:$R$37,VLOOKUP(AW131,Foundation_Calc!$I$2:$J$8,2,FALSE),0),
IF(AX131="K",VLOOKUP(K131,Foundation_Calc!$K$41:$R$74,VLOOKUP(AW131,Foundation_Calc!$I$2:$J$8,2,FALSE),0),"")))</f>
        <v>2.8</v>
      </c>
      <c r="BA131" s="553" t="str">
        <f t="shared" si="5"/>
        <v/>
      </c>
      <c r="BB131" s="553" t="str">
        <f t="shared" si="6"/>
        <v>ü</v>
      </c>
      <c r="BC131" s="553" t="str">
        <f t="shared" si="8"/>
        <v/>
      </c>
      <c r="BD131" s="572" t="str">
        <f>IF(AND(L131="",H131=""),"",
IF(H131="",Pole_Calc!A$22,
IF(H131="MP",Pole_Calc!A$23,
IF(H131="AnMP",Pole_Calc!A$24,
IF(H131="A",Pole_Calc!A$25,
IF(H131="S/A",Pole_Calc!A$26,
IF(H131="A/S",Pole_Calc!A$27,"Poner a mano")))))))</f>
        <v/>
      </c>
      <c r="BE131" s="448" t="s">
        <v>1726</v>
      </c>
      <c r="BF131" s="306"/>
      <c r="BG131" s="306"/>
      <c r="BH131" s="306"/>
      <c r="BI131" s="306"/>
    </row>
    <row r="132" spans="1:61" ht="16.2" customHeight="1">
      <c r="A132" s="573"/>
      <c r="B132" s="469" t="s">
        <v>1790</v>
      </c>
      <c r="C132" s="3">
        <f>+$C$130+$G$131</f>
        <v>2752.599999999999</v>
      </c>
      <c r="D132" s="88"/>
      <c r="E132" s="4"/>
      <c r="F132" s="4">
        <v>0</v>
      </c>
      <c r="G132" s="6"/>
      <c r="H132" s="468" t="s">
        <v>388</v>
      </c>
      <c r="I132" s="468" t="s">
        <v>183</v>
      </c>
      <c r="J132" s="3"/>
      <c r="K132" s="468"/>
      <c r="L132" s="468" t="s">
        <v>452</v>
      </c>
      <c r="M132" s="468" t="str">
        <f>IF(L132="","",
IF(AX132="PT",VLOOKUP(L132,Foundation_Calc!$V$4:$X$37,VLOOKUP(AX132,Foundation_Calc!$I$10:$J$13,2,FALSE),0),
IF(AX132="K",VLOOKUP(L132,Foundation_Calc!$V$41:$X$74,VLOOKUP(AX132,Foundation_Calc!$I$10:$J$13,2,FALSE),0),"")))</f>
        <v>C4SR</v>
      </c>
      <c r="N132" s="468" t="s">
        <v>33</v>
      </c>
      <c r="O132" s="468"/>
      <c r="P132" s="468"/>
      <c r="Q132" s="4"/>
      <c r="R132" s="6"/>
      <c r="S132" s="6"/>
      <c r="T132" s="4">
        <v>30</v>
      </c>
      <c r="U132" s="4"/>
      <c r="V132" s="4"/>
      <c r="W132" s="9">
        <v>1.4</v>
      </c>
      <c r="X132" s="9"/>
      <c r="Y132" s="9"/>
      <c r="Z132" s="9"/>
      <c r="AA132" s="9"/>
      <c r="AB132" s="9"/>
      <c r="AC132" s="468" t="str">
        <f t="shared" si="9"/>
        <v>PH</v>
      </c>
      <c r="AD132" s="468"/>
      <c r="AE132" s="468"/>
      <c r="AF132" s="4"/>
      <c r="AG132" s="88"/>
      <c r="AH132" s="4"/>
      <c r="AI132" s="4"/>
      <c r="AJ132" s="468"/>
      <c r="AK132" s="468"/>
      <c r="AL132" s="468"/>
      <c r="AM132" s="468" t="s">
        <v>486</v>
      </c>
      <c r="AN132" s="10">
        <v>5.5</v>
      </c>
      <c r="AO132" s="9"/>
      <c r="AP132" s="9"/>
      <c r="AQ132" s="9"/>
      <c r="AR132" s="9"/>
      <c r="AS132" s="9"/>
      <c r="AT132" s="9">
        <f>+ab($T$132,$T$130,$T$134,$G$131,$G$133,-1*$F$132,1200)</f>
        <v>15.199622556139294</v>
      </c>
      <c r="AU132" s="447"/>
      <c r="AV132" s="447"/>
      <c r="AW132" s="468" t="str">
        <f>IF(C132&gt;0,VLOOKUP(C132,Foundation_Calc!$A$2:$C$13,3,1),
IF(J132&gt;0,VLOOKUP(J132,Foundation_Calc!$A$2:$C$13,3,1),""))</f>
        <v>MultiSoil</v>
      </c>
      <c r="AX132" s="468" t="str">
        <f>IF(C132&gt;0,VLOOKUP(C132,Foundation_Calc!$E$2:$G$13,3,1),
IF(J132&gt;0,VLOOKUP(J132,Foundation_Calc!$E$2:$G$13,3,1),""))</f>
        <v>PT</v>
      </c>
      <c r="AY132" s="10">
        <f>IF(L132="","",
IF(AX132="PT",VLOOKUP(L132,Foundation_Calc!$K$4:$R$37,VLOOKUP(AW132,Foundation_Calc!$I$2:$J$8,2,FALSE),0),
IF(AX132="K",VLOOKUP(L132,Foundation_Calc!$K$41:$R$74,VLOOKUP(AW132,Foundation_Calc!$I$2:$J$8,2,FALSE),0),"")))</f>
        <v>3.7</v>
      </c>
      <c r="AZ132" s="10" t="str">
        <f>IF(K132="","",
IF(AX132="PT",VLOOKUP(K132,Foundation_Calc!$K$4:$R$37,VLOOKUP(AW132,Foundation_Calc!$I$2:$J$8,2,FALSE),0),
IF(AX132="K",VLOOKUP(K132,Foundation_Calc!$K$41:$R$74,VLOOKUP(AW132,Foundation_Calc!$I$2:$J$8,2,FALSE),0),"")))</f>
        <v/>
      </c>
      <c r="BA132" s="553" t="str">
        <f t="shared" si="5"/>
        <v>ü</v>
      </c>
      <c r="BB132" s="553" t="str">
        <f t="shared" si="6"/>
        <v/>
      </c>
      <c r="BC132" s="553" t="str">
        <f t="shared" si="8"/>
        <v/>
      </c>
      <c r="BD132" s="572" t="str">
        <f>Pole_Calc!A$27</f>
        <v>App.7-V11H-P9.5.2.6</v>
      </c>
      <c r="BE132" s="448" t="s">
        <v>1726</v>
      </c>
      <c r="BF132" s="305"/>
      <c r="BG132" s="305"/>
      <c r="BH132" s="306"/>
      <c r="BI132" s="305"/>
    </row>
    <row r="133" spans="1:61" ht="16.2" customHeight="1">
      <c r="A133" s="573" t="s">
        <v>2452</v>
      </c>
      <c r="B133" s="469"/>
      <c r="C133" s="3"/>
      <c r="D133" s="88"/>
      <c r="E133" s="4"/>
      <c r="F133" s="4"/>
      <c r="G133" s="6">
        <v>47.1</v>
      </c>
      <c r="H133" s="468"/>
      <c r="I133" s="468"/>
      <c r="J133" s="3">
        <f>C132+7.5</f>
        <v>2760.099999999999</v>
      </c>
      <c r="K133" s="468" t="s">
        <v>1095</v>
      </c>
      <c r="L133" s="468"/>
      <c r="M133" s="468" t="str">
        <f>IF(L133="","",
IF(AX133="PT",VLOOKUP(L133,Foundation_Calc!$V$4:$X$37,VLOOKUP(AX133,Foundation_Calc!$I$10:$J$13,2,FALSE),0),
IF(AX133="K",VLOOKUP(L133,Foundation_Calc!$V$41:$X$74,VLOOKUP(AX133,Foundation_Calc!$I$10:$J$13,2,FALSE),0),"")))</f>
        <v/>
      </c>
      <c r="N133" s="468"/>
      <c r="O133" s="468"/>
      <c r="P133" s="468"/>
      <c r="Q133" s="4"/>
      <c r="R133" s="6"/>
      <c r="S133" s="6"/>
      <c r="T133" s="4"/>
      <c r="U133" s="4"/>
      <c r="V133" s="4"/>
      <c r="W133" s="9"/>
      <c r="X133" s="9"/>
      <c r="Y133" s="9"/>
      <c r="Z133" s="9"/>
      <c r="AA133" s="9"/>
      <c r="AB133" s="9"/>
      <c r="AC133" s="468" t="str">
        <f t="shared" si="9"/>
        <v/>
      </c>
      <c r="AD133" s="468"/>
      <c r="AE133" s="468"/>
      <c r="AF133" s="4"/>
      <c r="AG133" s="88"/>
      <c r="AH133" s="4"/>
      <c r="AI133" s="4"/>
      <c r="AJ133" s="468"/>
      <c r="AK133" s="468"/>
      <c r="AL133" s="468"/>
      <c r="AM133" s="468"/>
      <c r="AN133" s="10"/>
      <c r="AO133" s="9"/>
      <c r="AP133" s="9"/>
      <c r="AQ133" s="9">
        <f>+FL_1(-$T$134,$T$132,$G$133,1200,9.28, 1*$F$134)</f>
        <v>0.33730836083227178</v>
      </c>
      <c r="AR133" s="9"/>
      <c r="AS133" s="9"/>
      <c r="AT133" s="9"/>
      <c r="AU133" s="447"/>
      <c r="AV133" s="447"/>
      <c r="AW133" s="468" t="str">
        <f>IF(C133&gt;0,VLOOKUP(C133,Foundation_Calc!$A$2:$C$13,3,1),
IF(J133&gt;0,VLOOKUP(J133,Foundation_Calc!$A$2:$C$13,3,1),""))</f>
        <v>MultiSoil</v>
      </c>
      <c r="AX133" s="468" t="str">
        <f>IF(C133&gt;0,VLOOKUP(C133,Foundation_Calc!$E$2:$G$13,3,1),
IF(J133&gt;0,VLOOKUP(J133,Foundation_Calc!$E$2:$G$13,3,1),""))</f>
        <v>PT</v>
      </c>
      <c r="AY133" s="10" t="str">
        <f>IF(L133="","",
IF(AX133="PT",VLOOKUP(L133,Foundation_Calc!$K$4:$R$37,VLOOKUP(AW133,Foundation_Calc!$I$2:$J$8,2,FALSE),0),
IF(AX133="K",VLOOKUP(L133,Foundation_Calc!$K$41:$R$74,VLOOKUP(AW133,Foundation_Calc!$I$2:$J$8,2,FALSE),0),"")))</f>
        <v/>
      </c>
      <c r="AZ133" s="10">
        <f>IF(K133="","",
IF(AX133="PT",VLOOKUP(K133,Foundation_Calc!$K$4:$R$37,VLOOKUP(AW133,Foundation_Calc!$I$2:$J$8,2,FALSE),0),
IF(AX133="K",VLOOKUP(K133,Foundation_Calc!$K$41:$R$74,VLOOKUP(AW133,Foundation_Calc!$I$2:$J$8,2,FALSE),0),"")))</f>
        <v>3.9</v>
      </c>
      <c r="BA133" s="553" t="str">
        <f t="shared" si="5"/>
        <v/>
      </c>
      <c r="BB133" s="553" t="str">
        <f t="shared" si="6"/>
        <v>ü</v>
      </c>
      <c r="BC133" s="553" t="str">
        <f t="shared" si="8"/>
        <v/>
      </c>
      <c r="BD133" s="572" t="str">
        <f>IF(AND(L133="",H133=""),"",
IF(H133="",Pole_Calc!A$22,
IF(H133="MP",Pole_Calc!A$23,
IF(H133="AnMP",Pole_Calc!A$24,
IF(H133="A",Pole_Calc!A$25,
IF(H133="S/A",Pole_Calc!A$26,
IF(H133="A/S",Pole_Calc!A$27,"Poner a mano")))))))</f>
        <v/>
      </c>
      <c r="BE133" s="448" t="s">
        <v>1726</v>
      </c>
      <c r="BF133" s="306"/>
      <c r="BG133" s="306"/>
      <c r="BH133" s="306"/>
      <c r="BI133" s="306"/>
    </row>
    <row r="134" spans="1:61" ht="16.2" customHeight="1">
      <c r="A134" s="579" t="s">
        <v>2452</v>
      </c>
      <c r="B134" s="469" t="s">
        <v>1791</v>
      </c>
      <c r="C134" s="3">
        <f>+$C$132+$G$133</f>
        <v>2799.6999999999989</v>
      </c>
      <c r="D134" s="88"/>
      <c r="E134" s="4"/>
      <c r="F134" s="4">
        <v>0</v>
      </c>
      <c r="G134" s="6"/>
      <c r="H134" s="468"/>
      <c r="I134" s="468"/>
      <c r="J134" s="3"/>
      <c r="K134" s="468"/>
      <c r="L134" s="468"/>
      <c r="M134" s="468"/>
      <c r="N134" s="468" t="s">
        <v>343</v>
      </c>
      <c r="O134" s="468"/>
      <c r="P134" s="468"/>
      <c r="Q134" s="4"/>
      <c r="R134" s="6"/>
      <c r="S134" s="6"/>
      <c r="T134" s="4">
        <v>20</v>
      </c>
      <c r="U134" s="4"/>
      <c r="V134" s="4"/>
      <c r="W134" s="9">
        <v>1.4</v>
      </c>
      <c r="X134" s="9"/>
      <c r="Y134" s="9"/>
      <c r="Z134" s="9"/>
      <c r="AA134" s="9"/>
      <c r="AB134" s="9"/>
      <c r="AC134" s="468" t="str">
        <f t="shared" si="9"/>
        <v>PH</v>
      </c>
      <c r="AD134" s="468"/>
      <c r="AE134" s="468"/>
      <c r="AF134" s="4"/>
      <c r="AG134" s="88"/>
      <c r="AH134" s="4"/>
      <c r="AI134" s="4"/>
      <c r="AJ134" s="468"/>
      <c r="AK134" s="468" t="s">
        <v>1563</v>
      </c>
      <c r="AL134" s="468" t="s">
        <v>329</v>
      </c>
      <c r="AM134" s="468" t="s">
        <v>1620</v>
      </c>
      <c r="AN134" s="10">
        <v>5.5</v>
      </c>
      <c r="AO134" s="9"/>
      <c r="AP134" s="9"/>
      <c r="AQ134" s="9"/>
      <c r="AR134" s="9"/>
      <c r="AS134" s="9"/>
      <c r="AT134" s="9">
        <f>+ab(-$T$134,$T$132,-$T$136,$G$133,$G$135, 1*$F$134,1200)</f>
        <v>-17.510077109990732</v>
      </c>
      <c r="AU134" s="447"/>
      <c r="AV134" s="447"/>
      <c r="AW134" s="468"/>
      <c r="AX134" s="468"/>
      <c r="AY134" s="10"/>
      <c r="AZ134" s="10" t="str">
        <f>IF(K134="","",
IF(AX134="PT",VLOOKUP(K134,Foundation_Calc!$K$4:$R$37,VLOOKUP(AW134,Foundation_Calc!$I$2:$J$8,2,FALSE),0),
IF(AX134="K",VLOOKUP(K134,Foundation_Calc!$K$41:$R$74,VLOOKUP(AW134,Foundation_Calc!$I$2:$J$8,2,FALSE),0),"")))</f>
        <v/>
      </c>
      <c r="BA134" s="553" t="str">
        <f t="shared" si="5"/>
        <v/>
      </c>
      <c r="BB134" s="553" t="str">
        <f t="shared" si="6"/>
        <v/>
      </c>
      <c r="BC134" s="553" t="str">
        <f t="shared" si="8"/>
        <v/>
      </c>
      <c r="BD134" s="572"/>
      <c r="BE134" s="448" t="s">
        <v>1726</v>
      </c>
      <c r="BF134" s="305"/>
      <c r="BG134" s="305"/>
      <c r="BH134" s="306"/>
      <c r="BI134" s="305"/>
    </row>
    <row r="135" spans="1:61" ht="16.2" customHeight="1">
      <c r="A135" s="573" t="s">
        <v>2448</v>
      </c>
      <c r="B135" s="469"/>
      <c r="C135" s="3"/>
      <c r="D135" s="88"/>
      <c r="E135" s="4"/>
      <c r="F135" s="4"/>
      <c r="G135" s="6">
        <v>50.4</v>
      </c>
      <c r="H135" s="468"/>
      <c r="I135" s="468"/>
      <c r="J135" s="3"/>
      <c r="K135" s="468"/>
      <c r="L135" s="468"/>
      <c r="M135" s="468" t="str">
        <f>IF(L135="","",
IF(AX135="PT",VLOOKUP(L135,Foundation_Calc!$V$4:$X$37,VLOOKUP(AX135,Foundation_Calc!$I$10:$J$13,2,FALSE),0),
IF(AX135="K",VLOOKUP(L135,Foundation_Calc!$V$41:$X$74,VLOOKUP(AX135,Foundation_Calc!$I$10:$J$13,2,FALSE),0),"")))</f>
        <v/>
      </c>
      <c r="N135" s="468"/>
      <c r="O135" s="468"/>
      <c r="P135" s="468"/>
      <c r="Q135" s="4"/>
      <c r="R135" s="6"/>
      <c r="S135" s="6"/>
      <c r="T135" s="4"/>
      <c r="U135" s="4"/>
      <c r="V135" s="4"/>
      <c r="W135" s="9"/>
      <c r="X135" s="9"/>
      <c r="Y135" s="9"/>
      <c r="Z135" s="9"/>
      <c r="AA135" s="9"/>
      <c r="AB135" s="9"/>
      <c r="AC135" s="468" t="str">
        <f t="shared" si="9"/>
        <v/>
      </c>
      <c r="AD135" s="468"/>
      <c r="AE135" s="468"/>
      <c r="AF135" s="4"/>
      <c r="AG135" s="88"/>
      <c r="AH135" s="4"/>
      <c r="AI135" s="4"/>
      <c r="AJ135" s="468"/>
      <c r="AK135" s="468"/>
      <c r="AL135" s="468"/>
      <c r="AM135" s="468"/>
      <c r="AN135" s="10"/>
      <c r="AO135" s="9"/>
      <c r="AP135" s="9"/>
      <c r="AQ135" s="9">
        <f>+FL_1($T$136,$T$134,$G$135,1200,9.28, 1*$F$136)</f>
        <v>0.44554879999999997</v>
      </c>
      <c r="AR135" s="9"/>
      <c r="AS135" s="9"/>
      <c r="AT135" s="9"/>
      <c r="AU135" s="447"/>
      <c r="AV135" s="447"/>
      <c r="AW135" s="468" t="str">
        <f>IF(C135&gt;0,VLOOKUP(C135,Foundation_Calc!$A$2:$C$13,3,1),
IF(J135&gt;0,VLOOKUP(J135,Foundation_Calc!$A$2:$C$13,3,1),""))</f>
        <v/>
      </c>
      <c r="AX135" s="468" t="str">
        <f>IF(C135&gt;0,VLOOKUP(C135,Foundation_Calc!$E$2:$G$13,3,1),
IF(J135&gt;0,VLOOKUP(J135,Foundation_Calc!$E$2:$G$13,3,1),""))</f>
        <v/>
      </c>
      <c r="AY135" s="10" t="str">
        <f>IF(L135="","",
IF(AX135="PT",VLOOKUP(L135,Foundation_Calc!$K$4:$R$37,VLOOKUP(AW135,Foundation_Calc!$I$2:$J$8,2,FALSE),0),
IF(AX135="K",VLOOKUP(L135,Foundation_Calc!$K$41:$R$74,VLOOKUP(AW135,Foundation_Calc!$I$2:$J$8,2,FALSE),0),"")))</f>
        <v/>
      </c>
      <c r="AZ135" s="10" t="str">
        <f>IF(K135="","",
IF(AX135="PT",VLOOKUP(K135,Foundation_Calc!$K$4:$R$37,VLOOKUP(AW135,Foundation_Calc!$I$2:$J$8,2,FALSE),0),
IF(AX135="K",VLOOKUP(K135,Foundation_Calc!$K$41:$R$74,VLOOKUP(AW135,Foundation_Calc!$I$2:$J$8,2,FALSE),0),"")))</f>
        <v/>
      </c>
      <c r="BA135" s="553" t="str">
        <f t="shared" si="5"/>
        <v/>
      </c>
      <c r="BB135" s="553" t="str">
        <f t="shared" si="6"/>
        <v/>
      </c>
      <c r="BC135" s="553" t="str">
        <f t="shared" si="8"/>
        <v/>
      </c>
      <c r="BD135" s="572" t="str">
        <f>IF(AND(L135="",H135=""),"",
IF(H135="",Pole_Calc!A$22,
IF(H135="MP",Pole_Calc!A$23,
IF(H135="AnMP",Pole_Calc!A$24,
IF(H135="A",Pole_Calc!A$25,
IF(H135="S/A",Pole_Calc!A$26,
IF(H135="A/S",Pole_Calc!A$27,"Poner a mano")))))))</f>
        <v/>
      </c>
      <c r="BE135" s="448" t="s">
        <v>1726</v>
      </c>
      <c r="BF135" s="306"/>
      <c r="BG135" s="306"/>
      <c r="BH135" s="306"/>
      <c r="BI135" s="306"/>
    </row>
    <row r="136" spans="1:61" ht="16.2" customHeight="1">
      <c r="A136" s="579" t="s">
        <v>2452</v>
      </c>
      <c r="B136" s="469" t="s">
        <v>1792</v>
      </c>
      <c r="C136" s="3">
        <f>+$C$134+$G$135</f>
        <v>2850.099999999999</v>
      </c>
      <c r="D136" s="88"/>
      <c r="E136" s="4"/>
      <c r="F136" s="4">
        <v>0</v>
      </c>
      <c r="G136" s="6"/>
      <c r="H136" s="468"/>
      <c r="I136" s="468"/>
      <c r="J136" s="3"/>
      <c r="K136" s="468"/>
      <c r="L136" s="468" t="s">
        <v>1192</v>
      </c>
      <c r="M136" s="468" t="s">
        <v>1625</v>
      </c>
      <c r="N136" s="468" t="s">
        <v>343</v>
      </c>
      <c r="O136" s="468"/>
      <c r="P136" s="468"/>
      <c r="Q136" s="4"/>
      <c r="R136" s="6"/>
      <c r="S136" s="6"/>
      <c r="T136" s="4">
        <v>20</v>
      </c>
      <c r="U136" s="4"/>
      <c r="V136" s="4"/>
      <c r="W136" s="9">
        <v>1.4</v>
      </c>
      <c r="X136" s="9"/>
      <c r="Y136" s="9"/>
      <c r="Z136" s="9"/>
      <c r="AA136" s="9"/>
      <c r="AB136" s="9"/>
      <c r="AC136" s="468" t="str">
        <f t="shared" si="9"/>
        <v>PH</v>
      </c>
      <c r="AD136" s="468"/>
      <c r="AE136" s="468"/>
      <c r="AF136" s="4"/>
      <c r="AG136" s="88"/>
      <c r="AH136" s="4"/>
      <c r="AI136" s="4"/>
      <c r="AJ136" s="468"/>
      <c r="AK136" s="468" t="s">
        <v>1563</v>
      </c>
      <c r="AL136" s="468" t="s">
        <v>329</v>
      </c>
      <c r="AM136" s="468" t="s">
        <v>1620</v>
      </c>
      <c r="AN136" s="10">
        <v>5.5</v>
      </c>
      <c r="AO136" s="9"/>
      <c r="AP136" s="9"/>
      <c r="AQ136" s="9"/>
      <c r="AR136" s="9"/>
      <c r="AS136" s="9"/>
      <c r="AT136" s="9">
        <f>+ab($T$136,$T$134,$T$138,$G$135,$G$137, 1*$F$136,1200)</f>
        <v>89.998962396939987</v>
      </c>
      <c r="AU136" s="447"/>
      <c r="AV136" s="447"/>
      <c r="AW136" s="468" t="s">
        <v>2564</v>
      </c>
      <c r="AX136" s="468"/>
      <c r="AY136" s="10"/>
      <c r="AZ136" s="10" t="str">
        <f>IF(K136="","",
IF(AX136="PT",VLOOKUP(K136,Foundation_Calc!$K$4:$R$37,VLOOKUP(AW136,Foundation_Calc!$I$2:$J$8,2,FALSE),0),
IF(AX136="K",VLOOKUP(K136,Foundation_Calc!$K$41:$R$74,VLOOKUP(AW136,Foundation_Calc!$I$2:$J$8,2,FALSE),0),"")))</f>
        <v/>
      </c>
      <c r="BA136" s="553" t="str">
        <f t="shared" si="5"/>
        <v/>
      </c>
      <c r="BB136" s="553" t="str">
        <f t="shared" si="6"/>
        <v/>
      </c>
      <c r="BC136" s="553" t="str">
        <f t="shared" si="8"/>
        <v>ü</v>
      </c>
      <c r="BD136" s="572" t="str">
        <f>Pole_Calc!A$251</f>
        <v>App.8-V08H-P10.3</v>
      </c>
      <c r="BE136" s="448" t="s">
        <v>1726</v>
      </c>
      <c r="BF136" s="305"/>
      <c r="BG136" s="305"/>
      <c r="BH136" s="306"/>
      <c r="BI136" s="305"/>
    </row>
    <row r="137" spans="1:61" ht="16.2" customHeight="1">
      <c r="A137" s="580" t="s">
        <v>2452</v>
      </c>
      <c r="B137" s="469"/>
      <c r="C137" s="3"/>
      <c r="D137" s="88"/>
      <c r="E137" s="4"/>
      <c r="F137" s="4"/>
      <c r="G137" s="6">
        <v>46.3</v>
      </c>
      <c r="H137" s="468"/>
      <c r="I137" s="468"/>
      <c r="J137" s="3"/>
      <c r="K137" s="468"/>
      <c r="L137" s="468"/>
      <c r="M137" s="468" t="str">
        <f>IF(L137="","",
IF(AX137="PT",VLOOKUP(L137,Foundation_Calc!$V$4:$X$37,VLOOKUP(AX137,Foundation_Calc!$I$10:$J$13,2,FALSE),0),
IF(AX137="K",VLOOKUP(L137,Foundation_Calc!$V$41:$X$74,VLOOKUP(AX137,Foundation_Calc!$I$10:$J$13,2,FALSE),0),"")))</f>
        <v/>
      </c>
      <c r="N137" s="468"/>
      <c r="O137" s="468"/>
      <c r="P137" s="468"/>
      <c r="Q137" s="4"/>
      <c r="R137" s="6"/>
      <c r="S137" s="6"/>
      <c r="T137" s="4"/>
      <c r="U137" s="4"/>
      <c r="V137" s="4"/>
      <c r="W137" s="9"/>
      <c r="X137" s="9"/>
      <c r="Y137" s="9"/>
      <c r="Z137" s="9"/>
      <c r="AA137" s="9"/>
      <c r="AB137" s="9"/>
      <c r="AC137" s="468" t="str">
        <f t="shared" si="9"/>
        <v/>
      </c>
      <c r="AD137" s="468"/>
      <c r="AE137" s="468"/>
      <c r="AF137" s="4"/>
      <c r="AG137" s="88"/>
      <c r="AH137" s="4"/>
      <c r="AI137" s="4"/>
      <c r="AJ137" s="468"/>
      <c r="AK137" s="468"/>
      <c r="AL137" s="468"/>
      <c r="AM137" s="468"/>
      <c r="AN137" s="10"/>
      <c r="AO137" s="9"/>
      <c r="AP137" s="9"/>
      <c r="AQ137" s="9">
        <f>+FL_2($T$138,$T$136,$G$137,1200,9.28, 1*$F$138)</f>
        <v>-7.2233666666666162E-3</v>
      </c>
      <c r="AR137" s="9"/>
      <c r="AS137" s="9"/>
      <c r="AT137" s="9"/>
      <c r="AU137" s="447"/>
      <c r="AV137" s="447"/>
      <c r="AW137" s="468" t="str">
        <f>IF(C137&gt;0,VLOOKUP(C137,Foundation_Calc!$A$2:$C$13,3,1),
IF(J137&gt;0,VLOOKUP(J137,Foundation_Calc!$A$2:$C$13,3,1),""))</f>
        <v/>
      </c>
      <c r="AX137" s="468" t="str">
        <f>IF(C137&gt;0,VLOOKUP(C137,Foundation_Calc!$E$2:$G$13,3,1),
IF(J137&gt;0,VLOOKUP(J137,Foundation_Calc!$E$2:$G$13,3,1),""))</f>
        <v/>
      </c>
      <c r="AY137" s="10" t="str">
        <f>IF(L137="","",
IF(AX137="PT",VLOOKUP(L137,Foundation_Calc!$K$4:$R$37,VLOOKUP(AW137,Foundation_Calc!$I$2:$J$8,2,FALSE),0),
IF(AX137="K",VLOOKUP(L137,Foundation_Calc!$K$41:$R$74,VLOOKUP(AW137,Foundation_Calc!$I$2:$J$8,2,FALSE),0),"")))</f>
        <v/>
      </c>
      <c r="AZ137" s="10" t="str">
        <f>IF(K137="","",
IF(AX137="PT",VLOOKUP(K137,Foundation_Calc!$K$4:$R$37,VLOOKUP(AW137,Foundation_Calc!$I$2:$J$8,2,FALSE),0),
IF(AX137="K",VLOOKUP(K137,Foundation_Calc!$K$41:$R$74,VLOOKUP(AW137,Foundation_Calc!$I$2:$J$8,2,FALSE),0),"")))</f>
        <v/>
      </c>
      <c r="BA137" s="553" t="str">
        <f t="shared" si="5"/>
        <v/>
      </c>
      <c r="BB137" s="553" t="str">
        <f t="shared" si="6"/>
        <v/>
      </c>
      <c r="BC137" s="553" t="str">
        <f t="shared" si="8"/>
        <v/>
      </c>
      <c r="BD137" s="572" t="str">
        <f>IF(AND(L137="",H137=""),"",
IF(H137="",Pole_Calc!A$22,
IF(H137="MP",Pole_Calc!A$23,
IF(H137="AnMP",Pole_Calc!A$24,
IF(H137="A",Pole_Calc!A$25,
IF(H137="S/A",Pole_Calc!A$26,
IF(H137="A/S",Pole_Calc!A$27,"Poner a mano")))))))</f>
        <v/>
      </c>
      <c r="BE137" s="448" t="s">
        <v>1726</v>
      </c>
      <c r="BF137" s="306"/>
      <c r="BG137" s="306"/>
      <c r="BH137" s="306"/>
      <c r="BI137" s="306"/>
    </row>
    <row r="138" spans="1:61" ht="16.2" customHeight="1">
      <c r="A138" s="581" t="s">
        <v>2456</v>
      </c>
      <c r="B138" s="527" t="s">
        <v>1793</v>
      </c>
      <c r="C138" s="528">
        <f>+$C$136+$G$137</f>
        <v>2896.3999999999992</v>
      </c>
      <c r="D138" s="529"/>
      <c r="E138" s="530"/>
      <c r="F138" s="530">
        <v>0</v>
      </c>
      <c r="G138" s="531"/>
      <c r="H138" s="532"/>
      <c r="I138" s="532"/>
      <c r="J138" s="528"/>
      <c r="K138" s="532"/>
      <c r="L138" s="532"/>
      <c r="M138" s="532"/>
      <c r="N138" s="532" t="s">
        <v>343</v>
      </c>
      <c r="O138" s="532"/>
      <c r="P138" s="532"/>
      <c r="Q138" s="530"/>
      <c r="R138" s="531"/>
      <c r="S138" s="531"/>
      <c r="T138" s="530">
        <v>20</v>
      </c>
      <c r="U138" s="530"/>
      <c r="V138" s="530"/>
      <c r="W138" s="533">
        <v>1.4</v>
      </c>
      <c r="X138" s="533"/>
      <c r="Y138" s="533"/>
      <c r="Z138" s="533"/>
      <c r="AA138" s="533"/>
      <c r="AB138" s="533"/>
      <c r="AC138" s="532" t="str">
        <f t="shared" ref="AC138:AC205" si="16">IF(OR(AT138&gt;8,AT138&lt;-8),"PH",
IF(OR(AT138&gt;5,AT138&lt;-5),"PHQ",
IF(OR(AT138&gt;1,AT138&lt;-1),
"PHC","")))</f>
        <v>PH</v>
      </c>
      <c r="AD138" s="532"/>
      <c r="AE138" s="532"/>
      <c r="AF138" s="530"/>
      <c r="AG138" s="529"/>
      <c r="AH138" s="530"/>
      <c r="AI138" s="530"/>
      <c r="AJ138" s="532"/>
      <c r="AK138" s="532" t="s">
        <v>1563</v>
      </c>
      <c r="AL138" s="532" t="s">
        <v>329</v>
      </c>
      <c r="AM138" s="532" t="s">
        <v>1620</v>
      </c>
      <c r="AN138" s="534">
        <v>5.5</v>
      </c>
      <c r="AO138" s="533"/>
      <c r="AP138" s="533"/>
      <c r="AQ138" s="533"/>
      <c r="AR138" s="533"/>
      <c r="AS138" s="533"/>
      <c r="AT138" s="533">
        <f>+ab($T$138,$T$136,$T$140,$G$137,$G$139, 1*$F$138,1200)</f>
        <v>27.321022964066842</v>
      </c>
      <c r="AU138" s="535"/>
      <c r="AV138" s="535"/>
      <c r="AW138" s="532"/>
      <c r="AX138" s="532"/>
      <c r="AY138" s="534"/>
      <c r="AZ138" s="534" t="str">
        <f>IF(K138="","",
IF(AX138="PT",VLOOKUP(K138,Foundation_Calc!$K$4:$R$37,VLOOKUP(AW138,Foundation_Calc!$I$2:$J$8,2,FALSE),0),
IF(AX138="K",VLOOKUP(K138,Foundation_Calc!$K$41:$R$74,VLOOKUP(AW138,Foundation_Calc!$I$2:$J$8,2,FALSE),0),"")))</f>
        <v/>
      </c>
      <c r="BA138" s="555" t="str">
        <f t="shared" ref="BA138:BA205" si="17">IF(AY138="","",IF(AY138&gt;0,"ü",""))</f>
        <v/>
      </c>
      <c r="BB138" s="555" t="str">
        <f t="shared" ref="BB138:BB205" si="18">IF(AZ138="","",IF(AZ138&gt;0,"ü",""))</f>
        <v/>
      </c>
      <c r="BC138" s="555" t="str">
        <f t="shared" si="8"/>
        <v/>
      </c>
      <c r="BD138" s="572"/>
      <c r="BE138" s="448" t="s">
        <v>1726</v>
      </c>
      <c r="BF138" s="305"/>
      <c r="BG138" s="305"/>
      <c r="BH138" s="306"/>
      <c r="BI138" s="305"/>
    </row>
    <row r="139" spans="1:61" ht="16.2" customHeight="1">
      <c r="A139" s="573" t="s">
        <v>2454</v>
      </c>
      <c r="B139" s="469"/>
      <c r="C139" s="3"/>
      <c r="D139" s="88"/>
      <c r="E139" s="4"/>
      <c r="F139" s="4"/>
      <c r="G139" s="6">
        <v>61.7</v>
      </c>
      <c r="H139" s="468"/>
      <c r="I139" s="468"/>
      <c r="J139" s="3"/>
      <c r="K139" s="468"/>
      <c r="L139" s="468"/>
      <c r="M139" s="468" t="str">
        <f>IF(L139="","",
IF(AX139="PT",VLOOKUP(L139,Foundation_Calc!$V$4:$X$37,VLOOKUP(AX139,Foundation_Calc!$I$10:$J$13,2,FALSE),0),
IF(AX139="K",VLOOKUP(L139,Foundation_Calc!$V$41:$X$74,VLOOKUP(AX139,Foundation_Calc!$I$10:$J$13,2,FALSE),0),"")))</f>
        <v/>
      </c>
      <c r="N139" s="468"/>
      <c r="O139" s="468"/>
      <c r="P139" s="468"/>
      <c r="Q139" s="4"/>
      <c r="R139" s="6"/>
      <c r="S139" s="6"/>
      <c r="T139" s="4"/>
      <c r="U139" s="4"/>
      <c r="V139" s="4"/>
      <c r="W139" s="9"/>
      <c r="X139" s="9"/>
      <c r="Y139" s="9"/>
      <c r="Z139" s="9"/>
      <c r="AA139" s="9"/>
      <c r="AB139" s="9"/>
      <c r="AC139" s="468" t="str">
        <f t="shared" si="16"/>
        <v/>
      </c>
      <c r="AD139" s="468"/>
      <c r="AE139" s="468"/>
      <c r="AF139" s="4"/>
      <c r="AG139" s="88"/>
      <c r="AH139" s="4"/>
      <c r="AI139" s="4"/>
      <c r="AJ139" s="468"/>
      <c r="AK139" s="468"/>
      <c r="AL139" s="468"/>
      <c r="AM139" s="468"/>
      <c r="AN139" s="10"/>
      <c r="AO139" s="9"/>
      <c r="AP139" s="9"/>
      <c r="AQ139" s="9">
        <f>+FL_1($T$140,$T$138,$G$139,1200,9.28, 1*$F$140)</f>
        <v>0.39517332259967586</v>
      </c>
      <c r="AR139" s="9"/>
      <c r="AS139" s="9"/>
      <c r="AT139" s="9"/>
      <c r="AU139" s="447"/>
      <c r="AV139" s="447"/>
      <c r="AW139" s="468" t="str">
        <f>IF(C139&gt;0,VLOOKUP(C139,Foundation_Calc!$A$2:$C$13,3,1),
IF(J139&gt;0,VLOOKUP(J139,Foundation_Calc!$A$2:$C$13,3,1),""))</f>
        <v/>
      </c>
      <c r="AX139" s="468" t="str">
        <f>IF(C139&gt;0,VLOOKUP(C139,Foundation_Calc!$E$2:$G$13,3,1),
IF(J139&gt;0,VLOOKUP(J139,Foundation_Calc!$E$2:$G$13,3,1),""))</f>
        <v/>
      </c>
      <c r="AY139" s="10" t="str">
        <f>IF(L139="","",
IF(AX139="PT",VLOOKUP(L139,Foundation_Calc!$K$4:$R$37,VLOOKUP(AW139,Foundation_Calc!$I$2:$J$8,2,FALSE),0),
IF(AX139="K",VLOOKUP(L139,Foundation_Calc!$K$41:$R$74,VLOOKUP(AW139,Foundation_Calc!$I$2:$J$8,2,FALSE),0),"")))</f>
        <v/>
      </c>
      <c r="AZ139" s="10" t="str">
        <f>IF(K139="","",
IF(AX139="PT",VLOOKUP(K139,Foundation_Calc!$K$4:$R$37,VLOOKUP(AW139,Foundation_Calc!$I$2:$J$8,2,FALSE),0),
IF(AX139="K",VLOOKUP(K139,Foundation_Calc!$K$41:$R$74,VLOOKUP(AW139,Foundation_Calc!$I$2:$J$8,2,FALSE),0),"")))</f>
        <v/>
      </c>
      <c r="BA139" s="553" t="str">
        <f t="shared" si="17"/>
        <v/>
      </c>
      <c r="BB139" s="553" t="str">
        <f t="shared" si="18"/>
        <v/>
      </c>
      <c r="BC139" s="553" t="str">
        <f t="shared" ref="BC139:BC202" si="19">IF(M139="","",IF(M139="U.S.","ü",IF(M139="U.S. N.D.","ü","")))</f>
        <v/>
      </c>
      <c r="BD139" s="572" t="str">
        <f>IF(AND(L139="",H139=""),"",
IF(H139="",Pole_Calc!A$22,
IF(H139="MP",Pole_Calc!A$23,
IF(H139="AnMP",Pole_Calc!A$24,
IF(H139="A",Pole_Calc!A$25,
IF(H139="S/A",Pole_Calc!A$26,
IF(H139="A/S",Pole_Calc!A$27,"Poner a mano")))))))</f>
        <v/>
      </c>
      <c r="BE139" s="448" t="s">
        <v>1726</v>
      </c>
      <c r="BF139" s="306"/>
      <c r="BG139" s="306"/>
      <c r="BH139" s="306"/>
      <c r="BI139" s="306"/>
    </row>
    <row r="140" spans="1:61" ht="16.2" customHeight="1">
      <c r="A140" s="573" t="s">
        <v>2448</v>
      </c>
      <c r="B140" s="469" t="s">
        <v>1794</v>
      </c>
      <c r="C140" s="3">
        <f>+$C$138+$G$139</f>
        <v>2958.099999999999</v>
      </c>
      <c r="D140" s="88"/>
      <c r="E140" s="4"/>
      <c r="F140" s="4">
        <v>0</v>
      </c>
      <c r="G140" s="6"/>
      <c r="H140" s="468"/>
      <c r="I140" s="468"/>
      <c r="J140" s="3"/>
      <c r="K140" s="468"/>
      <c r="L140" s="468"/>
      <c r="M140" s="468"/>
      <c r="N140" s="468" t="s">
        <v>342</v>
      </c>
      <c r="O140" s="468"/>
      <c r="P140" s="468"/>
      <c r="Q140" s="4"/>
      <c r="R140" s="6"/>
      <c r="S140" s="6"/>
      <c r="T140" s="4">
        <v>-20</v>
      </c>
      <c r="U140" s="4"/>
      <c r="V140" s="4"/>
      <c r="W140" s="9">
        <v>1.4</v>
      </c>
      <c r="X140" s="9"/>
      <c r="Y140" s="9"/>
      <c r="Z140" s="9"/>
      <c r="AA140" s="9"/>
      <c r="AB140" s="9"/>
      <c r="AC140" s="468" t="str">
        <f t="shared" si="16"/>
        <v>PH</v>
      </c>
      <c r="AD140" s="468"/>
      <c r="AE140" s="468"/>
      <c r="AF140" s="4"/>
      <c r="AG140" s="88"/>
      <c r="AH140" s="4"/>
      <c r="AI140" s="4"/>
      <c r="AJ140" s="468"/>
      <c r="AK140" s="468" t="s">
        <v>1563</v>
      </c>
      <c r="AL140" s="468" t="s">
        <v>329</v>
      </c>
      <c r="AM140" s="468" t="s">
        <v>1620</v>
      </c>
      <c r="AN140" s="10">
        <v>5.5</v>
      </c>
      <c r="AO140" s="9"/>
      <c r="AP140" s="9"/>
      <c r="AQ140" s="9"/>
      <c r="AR140" s="9"/>
      <c r="AS140" s="9"/>
      <c r="AT140" s="9">
        <f>+ab($T$140,$T$138,$T$142,$G$139,$G$141, 1*$F$140,1200)</f>
        <v>-13.266587719591806</v>
      </c>
      <c r="AU140" s="447"/>
      <c r="AV140" s="447"/>
      <c r="AW140" s="468"/>
      <c r="AX140" s="468"/>
      <c r="AY140" s="10"/>
      <c r="AZ140" s="10" t="str">
        <f>IF(K140="","",
IF(AX140="PT",VLOOKUP(K140,Foundation_Calc!$K$4:$R$37,VLOOKUP(AW140,Foundation_Calc!$I$2:$J$8,2,FALSE),0),
IF(AX140="K",VLOOKUP(K140,Foundation_Calc!$K$41:$R$74,VLOOKUP(AW140,Foundation_Calc!$I$2:$J$8,2,FALSE),0),"")))</f>
        <v/>
      </c>
      <c r="BA140" s="553" t="str">
        <f t="shared" si="17"/>
        <v/>
      </c>
      <c r="BB140" s="553" t="str">
        <f t="shared" si="18"/>
        <v/>
      </c>
      <c r="BC140" s="553" t="str">
        <f t="shared" si="19"/>
        <v/>
      </c>
      <c r="BD140" s="572"/>
      <c r="BE140" s="448" t="s">
        <v>1726</v>
      </c>
      <c r="BF140" s="305"/>
      <c r="BG140" s="305"/>
      <c r="BH140" s="306"/>
      <c r="BI140" s="305"/>
    </row>
    <row r="141" spans="1:61" ht="16.2" customHeight="1">
      <c r="A141" s="573" t="s">
        <v>2455</v>
      </c>
      <c r="B141" s="469"/>
      <c r="C141" s="3"/>
      <c r="D141" s="88"/>
      <c r="E141" s="4"/>
      <c r="F141" s="4"/>
      <c r="G141" s="6">
        <v>51.8</v>
      </c>
      <c r="H141" s="468"/>
      <c r="I141" s="468"/>
      <c r="J141" s="3"/>
      <c r="K141" s="468"/>
      <c r="L141" s="468"/>
      <c r="M141" s="468" t="str">
        <f>IF(L141="","",
IF(AX141="PT",VLOOKUP(L141,Foundation_Calc!$V$4:$X$37,VLOOKUP(AX141,Foundation_Calc!$I$10:$J$13,2,FALSE),0),
IF(AX141="K",VLOOKUP(L141,Foundation_Calc!$V$41:$X$74,VLOOKUP(AX141,Foundation_Calc!$I$10:$J$13,2,FALSE),0),"")))</f>
        <v/>
      </c>
      <c r="N141" s="468"/>
      <c r="O141" s="468"/>
      <c r="P141" s="468"/>
      <c r="Q141" s="4"/>
      <c r="R141" s="6"/>
      <c r="S141" s="6"/>
      <c r="T141" s="4"/>
      <c r="U141" s="4"/>
      <c r="V141" s="4"/>
      <c r="W141" s="9"/>
      <c r="X141" s="9"/>
      <c r="Y141" s="9"/>
      <c r="Z141" s="9"/>
      <c r="AA141" s="9"/>
      <c r="AB141" s="9"/>
      <c r="AC141" s="468" t="str">
        <f t="shared" si="16"/>
        <v/>
      </c>
      <c r="AD141" s="468"/>
      <c r="AE141" s="468"/>
      <c r="AF141" s="4"/>
      <c r="AG141" s="88"/>
      <c r="AH141" s="4"/>
      <c r="AI141" s="4"/>
      <c r="AJ141" s="468"/>
      <c r="AK141" s="468"/>
      <c r="AL141" s="468"/>
      <c r="AM141" s="468"/>
      <c r="AN141" s="10"/>
      <c r="AO141" s="9"/>
      <c r="AP141" s="9"/>
      <c r="AQ141" s="9">
        <f>+FL_2($T$142,$T$140,$G$141,1200,9.28, 1*$F$142)</f>
        <v>-0.29793335180952368</v>
      </c>
      <c r="AR141" s="9"/>
      <c r="AS141" s="9"/>
      <c r="AT141" s="9"/>
      <c r="AU141" s="447"/>
      <c r="AV141" s="447"/>
      <c r="AW141" s="468" t="str">
        <f>IF(C141&gt;0,VLOOKUP(C141,Foundation_Calc!$A$2:$C$13,3,1),
IF(J141&gt;0,VLOOKUP(J141,Foundation_Calc!$A$2:$C$13,3,1),""))</f>
        <v/>
      </c>
      <c r="AX141" s="468" t="str">
        <f>IF(C141&gt;0,VLOOKUP(C141,Foundation_Calc!$E$2:$G$13,3,1),
IF(J141&gt;0,VLOOKUP(J141,Foundation_Calc!$E$2:$G$13,3,1),""))</f>
        <v/>
      </c>
      <c r="AY141" s="10" t="str">
        <f>IF(L141="","",
IF(AX141="PT",VLOOKUP(L141,Foundation_Calc!$K$4:$R$37,VLOOKUP(AW141,Foundation_Calc!$I$2:$J$8,2,FALSE),0),
IF(AX141="K",VLOOKUP(L141,Foundation_Calc!$K$41:$R$74,VLOOKUP(AW141,Foundation_Calc!$I$2:$J$8,2,FALSE),0),"")))</f>
        <v/>
      </c>
      <c r="AZ141" s="10" t="str">
        <f>IF(K141="","",
IF(AX141="PT",VLOOKUP(K141,Foundation_Calc!$K$4:$R$37,VLOOKUP(AW141,Foundation_Calc!$I$2:$J$8,2,FALSE),0),
IF(AX141="K",VLOOKUP(K141,Foundation_Calc!$K$41:$R$74,VLOOKUP(AW141,Foundation_Calc!$I$2:$J$8,2,FALSE),0),"")))</f>
        <v/>
      </c>
      <c r="BA141" s="553" t="str">
        <f t="shared" si="17"/>
        <v/>
      </c>
      <c r="BB141" s="553" t="str">
        <f t="shared" si="18"/>
        <v/>
      </c>
      <c r="BC141" s="553" t="str">
        <f t="shared" si="19"/>
        <v/>
      </c>
      <c r="BD141" s="572" t="str">
        <f>IF(AND(L141="",H141=""),"",
IF(H141="",Pole_Calc!A$22,
IF(H141="MP",Pole_Calc!A$23,
IF(H141="AnMP",Pole_Calc!A$24,
IF(H141="A",Pole_Calc!A$25,
IF(H141="S/A",Pole_Calc!A$26,
IF(H141="A/S",Pole_Calc!A$27,"Poner a mano")))))))</f>
        <v/>
      </c>
      <c r="BE141" s="448" t="s">
        <v>1726</v>
      </c>
      <c r="BF141" s="306"/>
      <c r="BG141" s="306"/>
      <c r="BH141" s="306"/>
      <c r="BI141" s="306"/>
    </row>
    <row r="142" spans="1:61" ht="16.2" customHeight="1">
      <c r="A142" s="579" t="s">
        <v>2452</v>
      </c>
      <c r="B142" s="469" t="s">
        <v>1795</v>
      </c>
      <c r="C142" s="3">
        <f>+$C$140+$G$141</f>
        <v>3009.8999999999992</v>
      </c>
      <c r="D142" s="88"/>
      <c r="E142" s="4"/>
      <c r="F142" s="4">
        <v>0</v>
      </c>
      <c r="G142" s="6"/>
      <c r="H142" s="468"/>
      <c r="I142" s="468"/>
      <c r="J142" s="3"/>
      <c r="K142" s="468"/>
      <c r="L142" s="468"/>
      <c r="M142" s="468"/>
      <c r="N142" s="468" t="s">
        <v>343</v>
      </c>
      <c r="O142" s="468"/>
      <c r="P142" s="468"/>
      <c r="Q142" s="4"/>
      <c r="R142" s="6"/>
      <c r="S142" s="6"/>
      <c r="T142" s="4">
        <v>20</v>
      </c>
      <c r="U142" s="4"/>
      <c r="V142" s="4"/>
      <c r="W142" s="9">
        <v>1.4</v>
      </c>
      <c r="X142" s="9"/>
      <c r="Y142" s="9"/>
      <c r="Z142" s="9"/>
      <c r="AA142" s="9"/>
      <c r="AB142" s="9"/>
      <c r="AC142" s="468" t="s">
        <v>630</v>
      </c>
      <c r="AD142" s="468"/>
      <c r="AE142" s="468"/>
      <c r="AF142" s="4"/>
      <c r="AG142" s="88"/>
      <c r="AH142" s="4"/>
      <c r="AI142" s="4"/>
      <c r="AJ142" s="468"/>
      <c r="AK142" s="468" t="s">
        <v>27</v>
      </c>
      <c r="AL142" s="468"/>
      <c r="AM142" s="468" t="s">
        <v>1620</v>
      </c>
      <c r="AN142" s="10">
        <v>5.5</v>
      </c>
      <c r="AO142" s="9"/>
      <c r="AP142" s="9"/>
      <c r="AQ142" s="9"/>
      <c r="AR142" s="9"/>
      <c r="AS142" s="9"/>
      <c r="AT142" s="9"/>
      <c r="AU142" s="447"/>
      <c r="AV142" s="447"/>
      <c r="AW142" s="468"/>
      <c r="AX142" s="468"/>
      <c r="AY142" s="10"/>
      <c r="AZ142" s="10" t="str">
        <f>IF(K142="","",
IF(AX142="PT",VLOOKUP(K142,Foundation_Calc!$K$4:$R$37,VLOOKUP(AW142,Foundation_Calc!$I$2:$J$8,2,FALSE),0),
IF(AX142="K",VLOOKUP(K142,Foundation_Calc!$K$41:$R$74,VLOOKUP(AW142,Foundation_Calc!$I$2:$J$8,2,FALSE),0),"")))</f>
        <v/>
      </c>
      <c r="BA142" s="553" t="str">
        <f t="shared" si="17"/>
        <v/>
      </c>
      <c r="BB142" s="553" t="str">
        <f t="shared" si="18"/>
        <v/>
      </c>
      <c r="BC142" s="553" t="str">
        <f t="shared" si="19"/>
        <v/>
      </c>
      <c r="BD142" s="572"/>
      <c r="BE142" s="448" t="s">
        <v>1726</v>
      </c>
      <c r="BF142" s="305"/>
      <c r="BG142" s="305"/>
      <c r="BH142" s="306"/>
      <c r="BI142" s="305"/>
    </row>
    <row r="143" spans="1:61" ht="16.2" customHeight="1">
      <c r="A143" s="579" t="s">
        <v>2452</v>
      </c>
      <c r="B143" s="469"/>
      <c r="C143" s="3"/>
      <c r="D143" s="88"/>
      <c r="E143" s="4"/>
      <c r="F143" s="4"/>
      <c r="G143" s="500">
        <v>37</v>
      </c>
      <c r="H143" s="468"/>
      <c r="I143" s="468"/>
      <c r="J143" s="3"/>
      <c r="K143" s="468"/>
      <c r="L143" s="468"/>
      <c r="M143" s="468"/>
      <c r="N143" s="468"/>
      <c r="O143" s="468"/>
      <c r="P143" s="468"/>
      <c r="Q143" s="4"/>
      <c r="R143" s="6"/>
      <c r="S143" s="6"/>
      <c r="T143" s="4"/>
      <c r="U143" s="4"/>
      <c r="V143" s="4"/>
      <c r="W143" s="9"/>
      <c r="X143" s="9"/>
      <c r="Y143" s="9"/>
      <c r="Z143" s="9"/>
      <c r="AA143" s="9"/>
      <c r="AB143" s="9"/>
      <c r="AC143" s="468"/>
      <c r="AD143" s="468"/>
      <c r="AE143" s="468"/>
      <c r="AF143" s="4"/>
      <c r="AG143" s="88"/>
      <c r="AH143" s="4"/>
      <c r="AI143" s="4"/>
      <c r="AJ143" s="468"/>
      <c r="AK143" s="468"/>
      <c r="AL143" s="468"/>
      <c r="AM143" s="468"/>
      <c r="AN143" s="10"/>
      <c r="AO143" s="9"/>
      <c r="AP143" s="9"/>
      <c r="AQ143" s="9"/>
      <c r="AR143" s="9"/>
      <c r="AS143" s="9"/>
      <c r="AT143" s="9"/>
      <c r="AU143" s="447"/>
      <c r="AV143" s="447"/>
      <c r="AW143" s="468" t="str">
        <f>IF(C143&gt;0,VLOOKUP(C143,Foundation_Calc!$A$2:$C$13,3,1),
IF(J143&gt;0,VLOOKUP(J143,Foundation_Calc!$A$2:$C$13,3,1),""))</f>
        <v/>
      </c>
      <c r="AX143" s="468" t="str">
        <f>IF(C143&gt;0,VLOOKUP(C143,Foundation_Calc!$E$2:$G$13,3,1),
IF(J143&gt;0,VLOOKUP(J143,Foundation_Calc!$E$2:$G$13,3,1),""))</f>
        <v/>
      </c>
      <c r="AY143" s="10"/>
      <c r="AZ143" s="10"/>
      <c r="BA143" s="553"/>
      <c r="BB143" s="553"/>
      <c r="BC143" s="553" t="str">
        <f t="shared" si="19"/>
        <v/>
      </c>
      <c r="BD143" s="572"/>
      <c r="BE143" s="448" t="s">
        <v>1726</v>
      </c>
      <c r="BF143" s="306"/>
      <c r="BG143" s="306"/>
      <c r="BH143" s="306"/>
      <c r="BI143" s="306"/>
    </row>
    <row r="144" spans="1:61" ht="16.2" customHeight="1">
      <c r="A144" s="579" t="s">
        <v>2452</v>
      </c>
      <c r="B144" s="469" t="s">
        <v>1796</v>
      </c>
      <c r="C144" s="499">
        <f>C142+G143</f>
        <v>3046.8999999999992</v>
      </c>
      <c r="D144" s="88"/>
      <c r="E144" s="4"/>
      <c r="F144" s="4">
        <v>0</v>
      </c>
      <c r="G144" s="6"/>
      <c r="H144" s="468"/>
      <c r="I144" s="468"/>
      <c r="J144" s="3"/>
      <c r="K144" s="468"/>
      <c r="L144" s="468" t="s">
        <v>1289</v>
      </c>
      <c r="M144" s="468" t="s">
        <v>1625</v>
      </c>
      <c r="N144" s="468" t="s">
        <v>199</v>
      </c>
      <c r="O144" s="468"/>
      <c r="P144" s="468"/>
      <c r="Q144" s="4"/>
      <c r="R144" s="6"/>
      <c r="S144" s="6"/>
      <c r="T144" s="4"/>
      <c r="U144" s="4"/>
      <c r="V144" s="4"/>
      <c r="W144" s="9"/>
      <c r="X144" s="9"/>
      <c r="Y144" s="9"/>
      <c r="Z144" s="9"/>
      <c r="AA144" s="9"/>
      <c r="AB144" s="9"/>
      <c r="AC144" s="468"/>
      <c r="AD144" s="468"/>
      <c r="AE144" s="468"/>
      <c r="AF144" s="4"/>
      <c r="AG144" s="88"/>
      <c r="AH144" s="4"/>
      <c r="AI144" s="4"/>
      <c r="AJ144" s="468"/>
      <c r="AK144" s="468"/>
      <c r="AL144" s="468" t="s">
        <v>1117</v>
      </c>
      <c r="AM144" s="468" t="s">
        <v>1620</v>
      </c>
      <c r="AN144" s="10">
        <v>5.5</v>
      </c>
      <c r="AO144" s="9"/>
      <c r="AP144" s="9"/>
      <c r="AQ144" s="9"/>
      <c r="AR144" s="9"/>
      <c r="AS144" s="9"/>
      <c r="AT144" s="9">
        <f>+ab(-$T$142,-$T$140,$T$146,$G$141,$G$145, 1*$F$144,1200)</f>
        <v>-11.265970803242332</v>
      </c>
      <c r="AU144" s="447"/>
      <c r="AV144" s="447"/>
      <c r="AW144" s="468" t="s">
        <v>2565</v>
      </c>
      <c r="AX144" s="468" t="str">
        <f>IF(C144&gt;0,VLOOKUP(C144,Foundation_Calc!$E$2:$G$13,3,1),
IF(J144&gt;0,VLOOKUP(J144,Foundation_Calc!$E$2:$G$13,3,1),""))</f>
        <v>PT</v>
      </c>
      <c r="AY144" s="10"/>
      <c r="AZ144" s="10"/>
      <c r="BA144" s="553" t="str">
        <f t="shared" ref="BA144" si="20">IF(AY144="","",IF(AY144&gt;0,"ü",""))</f>
        <v/>
      </c>
      <c r="BB144" s="553" t="str">
        <f t="shared" ref="BB144" si="21">IF(AZ144="","",IF(AZ144&gt;0,"ü",""))</f>
        <v/>
      </c>
      <c r="BC144" s="553" t="str">
        <f t="shared" si="19"/>
        <v>ü</v>
      </c>
      <c r="BD144" s="572" t="str">
        <f>Pole_Calc!A$251</f>
        <v>App.8-V08H-P10.3</v>
      </c>
      <c r="BE144" s="448" t="s">
        <v>1726</v>
      </c>
      <c r="BF144" s="305"/>
      <c r="BG144" s="305"/>
      <c r="BH144" s="306"/>
      <c r="BI144" s="305"/>
    </row>
    <row r="145" spans="1:61" ht="16.2" customHeight="1">
      <c r="A145" s="573" t="s">
        <v>2452</v>
      </c>
      <c r="B145" s="469"/>
      <c r="C145" s="3"/>
      <c r="D145" s="88"/>
      <c r="E145" s="4"/>
      <c r="F145" s="4"/>
      <c r="G145" s="6">
        <v>55</v>
      </c>
      <c r="H145" s="468"/>
      <c r="I145" s="468"/>
      <c r="J145" s="3"/>
      <c r="K145" s="468"/>
      <c r="L145" s="468"/>
      <c r="M145" s="468" t="str">
        <f>IF(L145="","",
IF(AX145="PT",VLOOKUP(L145,Foundation_Calc!$V$4:$X$37,VLOOKUP(AX145,Foundation_Calc!$I$10:$J$13,2,FALSE),0),
IF(AX145="K",VLOOKUP(L145,Foundation_Calc!$V$41:$X$74,VLOOKUP(AX145,Foundation_Calc!$I$10:$J$13,2,FALSE),0),"")))</f>
        <v/>
      </c>
      <c r="N145" s="468"/>
      <c r="O145" s="468"/>
      <c r="P145" s="468"/>
      <c r="Q145" s="4"/>
      <c r="R145" s="6"/>
      <c r="S145" s="6"/>
      <c r="T145" s="4"/>
      <c r="U145" s="4"/>
      <c r="V145" s="4"/>
      <c r="W145" s="9"/>
      <c r="X145" s="9"/>
      <c r="Y145" s="9"/>
      <c r="Z145" s="9"/>
      <c r="AA145" s="9"/>
      <c r="AB145" s="9"/>
      <c r="AC145" s="468" t="str">
        <f t="shared" si="16"/>
        <v/>
      </c>
      <c r="AD145" s="468"/>
      <c r="AE145" s="468"/>
      <c r="AF145" s="4"/>
      <c r="AG145" s="88"/>
      <c r="AH145" s="4"/>
      <c r="AI145" s="4"/>
      <c r="AJ145" s="468"/>
      <c r="AK145" s="468"/>
      <c r="AL145" s="468"/>
      <c r="AM145" s="468"/>
      <c r="AN145" s="10"/>
      <c r="AO145" s="9"/>
      <c r="AP145" s="9"/>
      <c r="AQ145" s="9">
        <f>+FL_1($T$146,-$T$142,$G$145,1200,9.28,-1*$F$146)</f>
        <v>0.39585068557575753</v>
      </c>
      <c r="AR145" s="9"/>
      <c r="AS145" s="9"/>
      <c r="AT145" s="9"/>
      <c r="AU145" s="447"/>
      <c r="AV145" s="447"/>
      <c r="AW145" s="468" t="str">
        <f>IF(C145&gt;0,VLOOKUP(C145,Foundation_Calc!$A$2:$C$13,3,1),
IF(J145&gt;0,VLOOKUP(J145,Foundation_Calc!$A$2:$C$13,3,1),""))</f>
        <v/>
      </c>
      <c r="AX145" s="468" t="str">
        <f>IF(C145&gt;0,VLOOKUP(C145,Foundation_Calc!$E$2:$G$13,3,1),
IF(J145&gt;0,VLOOKUP(J145,Foundation_Calc!$E$2:$G$13,3,1),""))</f>
        <v/>
      </c>
      <c r="AY145" s="10" t="str">
        <f>IF(L145="","",
IF(AX145="PT",VLOOKUP(L145,Foundation_Calc!$K$4:$R$37,VLOOKUP(AW145,Foundation_Calc!$I$2:$J$8,2,FALSE),0),
IF(AX145="K",VLOOKUP(L145,Foundation_Calc!$K$41:$R$74,VLOOKUP(AW145,Foundation_Calc!$I$2:$J$8,2,FALSE),0),"")))</f>
        <v/>
      </c>
      <c r="AZ145" s="10" t="str">
        <f>IF(K145="","",
IF(AX145="PT",VLOOKUP(K145,Foundation_Calc!$K$4:$R$37,VLOOKUP(AW145,Foundation_Calc!$I$2:$J$8,2,FALSE),0),
IF(AX145="K",VLOOKUP(K145,Foundation_Calc!$K$41:$R$74,VLOOKUP(AW145,Foundation_Calc!$I$2:$J$8,2,FALSE),0),"")))</f>
        <v/>
      </c>
      <c r="BA145" s="553" t="str">
        <f t="shared" si="17"/>
        <v/>
      </c>
      <c r="BB145" s="553" t="str">
        <f t="shared" si="18"/>
        <v/>
      </c>
      <c r="BC145" s="553" t="str">
        <f t="shared" si="19"/>
        <v/>
      </c>
      <c r="BD145" s="572" t="str">
        <f>IF(AND(L145="",H145=""),"",
IF(H145="",Pole_Calc!A$22,
IF(H145="MP",Pole_Calc!A$23,
IF(H145="AnMP",Pole_Calc!A$24,
IF(H145="A",Pole_Calc!A$25,
IF(H145="S/A",Pole_Calc!A$26,
IF(H145="A/S",Pole_Calc!A$27,"Poner a mano")))))))</f>
        <v/>
      </c>
      <c r="BE145" s="448" t="s">
        <v>1726</v>
      </c>
      <c r="BF145" s="306"/>
      <c r="BG145" s="306"/>
      <c r="BH145" s="306"/>
      <c r="BI145" s="306"/>
    </row>
    <row r="146" spans="1:61" ht="16.2" customHeight="1">
      <c r="A146" s="573"/>
      <c r="B146" s="469" t="s">
        <v>1797</v>
      </c>
      <c r="C146" s="3">
        <f>+$C$142+$G$145-0.57</f>
        <v>3064.329999999999</v>
      </c>
      <c r="D146" s="88"/>
      <c r="E146" s="4"/>
      <c r="F146" s="4">
        <v>0</v>
      </c>
      <c r="G146" s="6"/>
      <c r="H146" s="468" t="s">
        <v>26</v>
      </c>
      <c r="I146" s="468" t="s">
        <v>183</v>
      </c>
      <c r="J146" s="3"/>
      <c r="K146" s="468"/>
      <c r="L146" s="468" t="s">
        <v>449</v>
      </c>
      <c r="M146" s="468" t="str">
        <f>IF(L146="","",
IF(AX146="PT",VLOOKUP(L146,Foundation_Calc!$V$4:$X$37,VLOOKUP(AX146,Foundation_Calc!$I$10:$J$13,2,FALSE),0),
IF(AX146="K",VLOOKUP(L146,Foundation_Calc!$V$41:$X$74,VLOOKUP(AX146,Foundation_Calc!$I$10:$J$13,2,FALSE),0),"")))</f>
        <v>2C4SR</v>
      </c>
      <c r="N146" s="468" t="s">
        <v>33</v>
      </c>
      <c r="O146" s="468"/>
      <c r="P146" s="468"/>
      <c r="Q146" s="4"/>
      <c r="R146" s="6"/>
      <c r="S146" s="6"/>
      <c r="T146" s="4">
        <v>30</v>
      </c>
      <c r="U146" s="4"/>
      <c r="V146" s="4"/>
      <c r="W146" s="9">
        <v>1.4</v>
      </c>
      <c r="X146" s="9"/>
      <c r="Y146" s="9"/>
      <c r="Z146" s="9"/>
      <c r="AA146" s="9"/>
      <c r="AB146" s="9"/>
      <c r="AC146" s="468" t="str">
        <f t="shared" si="16"/>
        <v>PH</v>
      </c>
      <c r="AD146" s="468"/>
      <c r="AE146" s="468"/>
      <c r="AF146" s="4"/>
      <c r="AG146" s="88"/>
      <c r="AH146" s="4"/>
      <c r="AI146" s="4"/>
      <c r="AJ146" s="468"/>
      <c r="AK146" s="468"/>
      <c r="AL146" s="468"/>
      <c r="AM146" s="468" t="s">
        <v>486</v>
      </c>
      <c r="AN146" s="10">
        <v>5.5</v>
      </c>
      <c r="AO146" s="9"/>
      <c r="AP146" s="9"/>
      <c r="AQ146" s="9"/>
      <c r="AR146" s="9"/>
      <c r="AS146" s="9"/>
      <c r="AT146" s="9">
        <f>+ab($T$146,$T$144,$T$148,$G$145,$G$147,-1*$F$146,1200)</f>
        <v>14.870955376291588</v>
      </c>
      <c r="AU146" s="447"/>
      <c r="AV146" s="447"/>
      <c r="AW146" s="468" t="str">
        <f>IF(C146&gt;0,VLOOKUP(C146,Foundation_Calc!$A$2:$C$13,3,1),
IF(J146&gt;0,VLOOKUP(J146,Foundation_Calc!$A$2:$C$13,3,1),""))</f>
        <v>MultiSoil</v>
      </c>
      <c r="AX146" s="468" t="str">
        <f>IF(C146&gt;0,VLOOKUP(C146,Foundation_Calc!$E$2:$G$13,3,1),
IF(J146&gt;0,VLOOKUP(J146,Foundation_Calc!$E$2:$G$13,3,1),""))</f>
        <v>PT</v>
      </c>
      <c r="AY146" s="10">
        <f>IF(L146="","",
IF(AX146="PT",VLOOKUP(L146,Foundation_Calc!$K$4:$R$37,VLOOKUP(AW146,Foundation_Calc!$I$2:$J$8,2,FALSE),0),
IF(AX146="K",VLOOKUP(L146,Foundation_Calc!$K$41:$R$74,VLOOKUP(AW146,Foundation_Calc!$I$2:$J$8,2,FALSE),0),"")))</f>
        <v>4.3</v>
      </c>
      <c r="AZ146" s="10" t="str">
        <f>IF(K146="","",
IF(AX146="PT",VLOOKUP(K146,Foundation_Calc!$K$4:$R$37,VLOOKUP(AW146,Foundation_Calc!$I$2:$J$8,2,FALSE),0),
IF(AX146="K",VLOOKUP(K146,Foundation_Calc!$K$41:$R$74,VLOOKUP(AW146,Foundation_Calc!$I$2:$J$8,2,FALSE),0),"")))</f>
        <v/>
      </c>
      <c r="BA146" s="553" t="str">
        <f t="shared" si="17"/>
        <v>ü</v>
      </c>
      <c r="BB146" s="553" t="str">
        <f t="shared" si="18"/>
        <v/>
      </c>
      <c r="BC146" s="553" t="str">
        <f t="shared" si="19"/>
        <v/>
      </c>
      <c r="BD146" s="572" t="str">
        <f>IF(AND(L146="",H146=""),"",
IF(H146="",Pole_Calc!A$22,
IF(H146="MP",Pole_Calc!A$23,
IF(H146="AnMP",Pole_Calc!A$24,
IF(H146="A",Pole_Calc!A$25,
IF(H146="S/A",Pole_Calc!A$26,
IF(H146="A/S",Pole_Calc!A$27,"Poner a mano")))))))</f>
        <v>App.7-V11H-P9.5.2.6</v>
      </c>
      <c r="BE146" s="448" t="s">
        <v>1726</v>
      </c>
      <c r="BF146" s="305"/>
      <c r="BG146" s="305"/>
      <c r="BH146" s="306"/>
      <c r="BI146" s="305"/>
    </row>
    <row r="147" spans="1:61" ht="16.2" customHeight="1">
      <c r="A147" s="573"/>
      <c r="B147" s="469"/>
      <c r="C147" s="3"/>
      <c r="D147" s="88"/>
      <c r="E147" s="4"/>
      <c r="F147" s="4"/>
      <c r="G147" s="500">
        <v>41.91</v>
      </c>
      <c r="H147" s="468"/>
      <c r="I147" s="468"/>
      <c r="J147" s="3"/>
      <c r="K147" s="468"/>
      <c r="L147" s="468"/>
      <c r="M147" s="468"/>
      <c r="N147" s="468"/>
      <c r="O147" s="468"/>
      <c r="P147" s="468"/>
      <c r="Q147" s="4"/>
      <c r="R147" s="6"/>
      <c r="S147" s="6"/>
      <c r="T147" s="4"/>
      <c r="U147" s="4"/>
      <c r="V147" s="4"/>
      <c r="W147" s="9"/>
      <c r="X147" s="9"/>
      <c r="Y147" s="9"/>
      <c r="Z147" s="9"/>
      <c r="AA147" s="9"/>
      <c r="AB147" s="9"/>
      <c r="AC147" s="468"/>
      <c r="AD147" s="468"/>
      <c r="AE147" s="468"/>
      <c r="AF147" s="4"/>
      <c r="AG147" s="88"/>
      <c r="AH147" s="4"/>
      <c r="AI147" s="4"/>
      <c r="AJ147" s="468"/>
      <c r="AK147" s="468"/>
      <c r="AL147" s="468"/>
      <c r="AM147" s="468"/>
      <c r="AN147" s="10"/>
      <c r="AO147" s="9"/>
      <c r="AP147" s="9"/>
      <c r="AQ147" s="9">
        <f>+FL_1($U$150,$T$146,$G$149,1200,9.28,-1*$F$150)</f>
        <v>0.36936166072727272</v>
      </c>
      <c r="AR147" s="9"/>
      <c r="AS147" s="9"/>
      <c r="AT147" s="9"/>
      <c r="AU147" s="447"/>
      <c r="AV147" s="447"/>
      <c r="AW147" s="468" t="str">
        <f>IF(C147&gt;0,VLOOKUP(C147,Foundation_Calc!$A$2:$C$13,3,1),
IF(J147&gt;0,VLOOKUP(J147,Foundation_Calc!$A$2:$C$13,3,1),""))</f>
        <v/>
      </c>
      <c r="AX147" s="468" t="str">
        <f>IF(C147&gt;0,VLOOKUP(C147,Foundation_Calc!$E$2:$G$13,3,1),
IF(J147&gt;0,VLOOKUP(J147,Foundation_Calc!$E$2:$G$13,3,1),""))</f>
        <v/>
      </c>
      <c r="AY147" s="10"/>
      <c r="AZ147" s="10"/>
      <c r="BA147" s="553"/>
      <c r="BB147" s="553"/>
      <c r="BC147" s="553" t="str">
        <f t="shared" si="19"/>
        <v/>
      </c>
      <c r="BD147" s="572" t="str">
        <f>IF(AND(L147="",H147=""),"",
IF(H147="",Pole_Calc!A$22,
IF(H147="MP",Pole_Calc!A$23,
IF(H147="AnMP",Pole_Calc!A$24,
IF(H147="A",Pole_Calc!A$25,
IF(H147="S/A",Pole_Calc!A$26,
IF(H147="A/S",Pole_Calc!A$27,"Poner a mano")))))))</f>
        <v/>
      </c>
      <c r="BE147" s="448" t="s">
        <v>1726</v>
      </c>
      <c r="BF147" s="306"/>
      <c r="BG147" s="306"/>
      <c r="BH147" s="306"/>
      <c r="BI147" s="306"/>
    </row>
    <row r="148" spans="1:61" ht="16.2" customHeight="1">
      <c r="A148" s="573"/>
      <c r="B148" s="469" t="s">
        <v>1798</v>
      </c>
      <c r="C148" s="499">
        <f>C146+G147</f>
        <v>3106.2399999999989</v>
      </c>
      <c r="D148" s="88"/>
      <c r="E148" s="4"/>
      <c r="F148" s="4">
        <v>0</v>
      </c>
      <c r="G148" s="6"/>
      <c r="H148" s="468"/>
      <c r="I148" s="468"/>
      <c r="J148" s="3"/>
      <c r="K148" s="468"/>
      <c r="L148" s="468" t="s">
        <v>1289</v>
      </c>
      <c r="M148" s="468" t="str">
        <f>IF(L148="","",
IF(AX148="PT",VLOOKUP(L148,Foundation_Calc!$V$4:$X$37,VLOOKUP(AX148,Foundation_Calc!$I$10:$J$13,2,FALSE),0),
IF(AX148="K",VLOOKUP(L148,Foundation_Calc!$V$41:$X$74,VLOOKUP(AX148,Foundation_Calc!$I$10:$J$13,2,FALSE),0),"")))</f>
        <v>C11SR</v>
      </c>
      <c r="N148" s="468" t="s">
        <v>199</v>
      </c>
      <c r="O148" s="468"/>
      <c r="P148" s="468"/>
      <c r="Q148" s="4"/>
      <c r="R148" s="6"/>
      <c r="S148" s="6"/>
      <c r="T148" s="4"/>
      <c r="U148" s="4"/>
      <c r="V148" s="4"/>
      <c r="W148" s="9"/>
      <c r="X148" s="9"/>
      <c r="Y148" s="9"/>
      <c r="Z148" s="9"/>
      <c r="AA148" s="9"/>
      <c r="AB148" s="9"/>
      <c r="AC148" s="468"/>
      <c r="AD148" s="468"/>
      <c r="AE148" s="468"/>
      <c r="AF148" s="4"/>
      <c r="AG148" s="88"/>
      <c r="AH148" s="4"/>
      <c r="AI148" s="4"/>
      <c r="AJ148" s="468"/>
      <c r="AK148" s="468"/>
      <c r="AL148" s="468" t="s">
        <v>1117</v>
      </c>
      <c r="AM148" s="468" t="s">
        <v>486</v>
      </c>
      <c r="AN148" s="10">
        <v>5.5</v>
      </c>
      <c r="AO148" s="9"/>
      <c r="AP148" s="9"/>
      <c r="AQ148" s="9"/>
      <c r="AR148" s="9"/>
      <c r="AS148" s="9"/>
      <c r="AT148" s="9">
        <f>+ab($T$146,-$T$142,$T$150,$G$145,$G$149,-1*$F$148,1200)</f>
        <v>15.822146839917743</v>
      </c>
      <c r="AU148" s="447"/>
      <c r="AV148" s="447"/>
      <c r="AW148" s="468" t="str">
        <f>IF(C148&gt;0,VLOOKUP(C148,Foundation_Calc!$A$2:$C$13,3,1),
IF(J148&gt;0,VLOOKUP(J148,Foundation_Calc!$A$2:$C$13,3,1),""))</f>
        <v>MultiSoil</v>
      </c>
      <c r="AX148" s="468" t="str">
        <f>IF(C148&gt;0,VLOOKUP(C148,Foundation_Calc!$E$2:$G$13,3,1),
IF(J148&gt;0,VLOOKUP(J148,Foundation_Calc!$E$2:$G$13,3,1),""))</f>
        <v>PT</v>
      </c>
      <c r="AY148" s="10">
        <f>IF(L148="","",
IF(AX148="PT",VLOOKUP(L148,Foundation_Calc!$K$4:$R$37,VLOOKUP(AW148,Foundation_Calc!$I$2:$J$8,2,FALSE),0),
IF(AX148="K",VLOOKUP(L148,Foundation_Calc!$K$41:$R$74,VLOOKUP(AW148,Foundation_Calc!$I$2:$J$8,2,FALSE),0),"")))</f>
        <v>4.5999999999999996</v>
      </c>
      <c r="AZ148" s="10"/>
      <c r="BA148" s="553" t="str">
        <f t="shared" ref="BA148" si="22">IF(AY148="","",IF(AY148&gt;0,"ü",""))</f>
        <v>ü</v>
      </c>
      <c r="BB148" s="553" t="str">
        <f t="shared" ref="BB148" si="23">IF(AZ148="","",IF(AZ148&gt;0,"ü",""))</f>
        <v/>
      </c>
      <c r="BC148" s="553" t="str">
        <f t="shared" ref="BC148" si="24">IF(M148="","",IF(M148="U.S.","ü",IF(M148="U.S. N.D.","ü","")))</f>
        <v/>
      </c>
      <c r="BD148" s="572" t="str">
        <f>Pole_Calc!A$251</f>
        <v>App.8-V08H-P10.3</v>
      </c>
      <c r="BE148" s="448" t="s">
        <v>1726</v>
      </c>
      <c r="BF148" s="305"/>
      <c r="BG148" s="305"/>
      <c r="BH148" s="306"/>
      <c r="BI148" s="305"/>
    </row>
    <row r="149" spans="1:61" ht="16.2" customHeight="1">
      <c r="A149" s="573"/>
      <c r="B149" s="469"/>
      <c r="C149" s="3"/>
      <c r="D149" s="88"/>
      <c r="E149" s="4"/>
      <c r="F149" s="4"/>
      <c r="G149" s="6">
        <v>55</v>
      </c>
      <c r="H149" s="468"/>
      <c r="I149" s="468"/>
      <c r="J149" s="3"/>
      <c r="K149" s="468"/>
      <c r="L149" s="468"/>
      <c r="M149" s="468" t="str">
        <f>IF(L149="","",
IF(AX149="PT",VLOOKUP(L149,Foundation_Calc!$V$4:$X$37,VLOOKUP(AX149,Foundation_Calc!$I$10:$J$13,2,FALSE),0),
IF(AX149="K",VLOOKUP(L149,Foundation_Calc!$V$41:$X$74,VLOOKUP(AX149,Foundation_Calc!$I$10:$J$13,2,FALSE),0),"")))</f>
        <v/>
      </c>
      <c r="N149" s="468"/>
      <c r="O149" s="468"/>
      <c r="P149" s="468"/>
      <c r="Q149" s="4"/>
      <c r="R149" s="6"/>
      <c r="S149" s="6"/>
      <c r="T149" s="4"/>
      <c r="U149" s="4"/>
      <c r="V149" s="4"/>
      <c r="W149" s="9"/>
      <c r="X149" s="9"/>
      <c r="Y149" s="9"/>
      <c r="Z149" s="9"/>
      <c r="AA149" s="9"/>
      <c r="AB149" s="9"/>
      <c r="AC149" s="468" t="str">
        <f t="shared" si="16"/>
        <v/>
      </c>
      <c r="AD149" s="468"/>
      <c r="AE149" s="468"/>
      <c r="AF149" s="4"/>
      <c r="AG149" s="88"/>
      <c r="AH149" s="4"/>
      <c r="AI149" s="4"/>
      <c r="AJ149" s="468"/>
      <c r="AK149" s="468"/>
      <c r="AL149" s="468"/>
      <c r="AM149" s="468"/>
      <c r="AN149" s="10"/>
      <c r="AO149" s="9"/>
      <c r="AP149" s="9"/>
      <c r="AQ149" s="9">
        <f>+FL_1($U$150,$T$146,$G$149,1200,9.28,-1*$F$150)</f>
        <v>0.36936166072727272</v>
      </c>
      <c r="AR149" s="9"/>
      <c r="AS149" s="9"/>
      <c r="AT149" s="9"/>
      <c r="AU149" s="447"/>
      <c r="AV149" s="447"/>
      <c r="AW149" s="468" t="str">
        <f>IF(C149&gt;0,VLOOKUP(C149,Foundation_Calc!$A$2:$C$13,3,1),
IF(J149&gt;0,VLOOKUP(J149,Foundation_Calc!$A$2:$C$13,3,1),""))</f>
        <v/>
      </c>
      <c r="AX149" s="468" t="str">
        <f>IF(C149&gt;0,VLOOKUP(C149,Foundation_Calc!$E$2:$G$13,3,1),
IF(J149&gt;0,VLOOKUP(J149,Foundation_Calc!$E$2:$G$13,3,1),""))</f>
        <v/>
      </c>
      <c r="AY149" s="10" t="str">
        <f>IF(L149="","",
IF(AX149="PT",VLOOKUP(L149,Foundation_Calc!$K$4:$R$37,VLOOKUP(AW149,Foundation_Calc!$I$2:$J$8,2,FALSE),0),
IF(AX149="K",VLOOKUP(L149,Foundation_Calc!$K$41:$R$74,VLOOKUP(AW149,Foundation_Calc!$I$2:$J$8,2,FALSE),0),"")))</f>
        <v/>
      </c>
      <c r="AZ149" s="10" t="str">
        <f>IF(K149="","",
IF(AX149="PT",VLOOKUP(K149,Foundation_Calc!$K$4:$R$37,VLOOKUP(AW149,Foundation_Calc!$I$2:$J$8,2,FALSE),0),
IF(AX149="K",VLOOKUP(K149,Foundation_Calc!$K$41:$R$74,VLOOKUP(AW149,Foundation_Calc!$I$2:$J$8,2,FALSE),0),"")))</f>
        <v/>
      </c>
      <c r="BA149" s="553" t="str">
        <f t="shared" si="17"/>
        <v/>
      </c>
      <c r="BB149" s="553" t="str">
        <f t="shared" si="18"/>
        <v/>
      </c>
      <c r="BC149" s="553" t="str">
        <f t="shared" si="19"/>
        <v/>
      </c>
      <c r="BD149" s="572" t="str">
        <f>IF(AND(L149="",H149=""),"",
IF(H149="",Pole_Calc!A$22,
IF(H149="MP",Pole_Calc!A$23,
IF(H149="AnMP",Pole_Calc!A$24,
IF(H149="A",Pole_Calc!A$25,
IF(H149="S/A",Pole_Calc!A$26,
IF(H149="A/S",Pole_Calc!A$27,"Poner a mano")))))))</f>
        <v/>
      </c>
      <c r="BE149" s="448" t="s">
        <v>1726</v>
      </c>
      <c r="BF149" s="306"/>
      <c r="BG149" s="306"/>
      <c r="BH149" s="306"/>
      <c r="BI149" s="306"/>
    </row>
    <row r="150" spans="1:61" ht="16.2" customHeight="1">
      <c r="A150" s="573" t="s">
        <v>2361</v>
      </c>
      <c r="B150" s="469" t="s">
        <v>1799</v>
      </c>
      <c r="C150" s="3">
        <f>+$C$146+$G$149</f>
        <v>3119.329999999999</v>
      </c>
      <c r="D150" s="88"/>
      <c r="E150" s="4"/>
      <c r="F150" s="4">
        <v>0</v>
      </c>
      <c r="G150" s="6"/>
      <c r="H150" s="468" t="s">
        <v>179</v>
      </c>
      <c r="I150" s="468" t="s">
        <v>653</v>
      </c>
      <c r="J150" s="3"/>
      <c r="K150" s="468"/>
      <c r="L150" s="468" t="s">
        <v>38</v>
      </c>
      <c r="M150" s="468" t="str">
        <f>IF(L150="","",
IF(AX150="PT",VLOOKUP(L150,Foundation_Calc!$V$4:$X$37,VLOOKUP(AX150,Foundation_Calc!$I$10:$J$13,2,FALSE),0),
IF(AX150="K",VLOOKUP(L150,Foundation_Calc!$V$41:$X$74,VLOOKUP(AX150,Foundation_Calc!$I$10:$J$13,2,FALSE),0),"")))</f>
        <v>C4SR</v>
      </c>
      <c r="N150" s="468" t="s">
        <v>28</v>
      </c>
      <c r="O150" s="468" t="s">
        <v>32</v>
      </c>
      <c r="P150" s="468"/>
      <c r="Q150" s="4"/>
      <c r="R150" s="6"/>
      <c r="S150" s="6"/>
      <c r="T150" s="4">
        <v>15</v>
      </c>
      <c r="U150" s="4">
        <v>-30</v>
      </c>
      <c r="V150" s="4"/>
      <c r="W150" s="9">
        <v>1.4</v>
      </c>
      <c r="X150" s="9">
        <v>2.2999999999999998</v>
      </c>
      <c r="Y150" s="9"/>
      <c r="Z150" s="9">
        <v>0.5</v>
      </c>
      <c r="AA150" s="9"/>
      <c r="AB150" s="9"/>
      <c r="AC150" s="468"/>
      <c r="AD150" s="468"/>
      <c r="AE150" s="468"/>
      <c r="AF150" s="4"/>
      <c r="AG150" s="88"/>
      <c r="AH150" s="4"/>
      <c r="AI150" s="4"/>
      <c r="AJ150" s="468" t="s">
        <v>1162</v>
      </c>
      <c r="AK150" s="468"/>
      <c r="AL150" s="468"/>
      <c r="AM150" s="468" t="s">
        <v>486</v>
      </c>
      <c r="AN150" s="10">
        <v>5.5</v>
      </c>
      <c r="AO150" s="9"/>
      <c r="AP150" s="9"/>
      <c r="AQ150" s="9"/>
      <c r="AR150" s="9"/>
      <c r="AS150" s="9"/>
      <c r="AT150" s="9">
        <f>+ab($U$150,$T$146,$U$152,$G$149,$G$151,-1*$F$150,1200)</f>
        <v>-13.79904845597772</v>
      </c>
      <c r="AU150" s="447"/>
      <c r="AV150" s="447"/>
      <c r="AW150" s="468" t="str">
        <f>IF(C150&gt;0,VLOOKUP(C150,Foundation_Calc!$A$2:$C$13,3,1),
IF(J150&gt;0,VLOOKUP(J150,Foundation_Calc!$A$2:$C$13,3,1),""))</f>
        <v>MultiSoil</v>
      </c>
      <c r="AX150" s="468" t="str">
        <f>IF(C150&gt;0,VLOOKUP(C150,Foundation_Calc!$E$2:$G$13,3,1),
IF(J150&gt;0,VLOOKUP(J150,Foundation_Calc!$E$2:$G$13,3,1),""))</f>
        <v>PT</v>
      </c>
      <c r="AY150" s="10">
        <f>IF(L150="","",
IF(AX150="PT",VLOOKUP(L150,Foundation_Calc!$K$4:$R$37,VLOOKUP(AW150,Foundation_Calc!$I$2:$J$8,2,FALSE),0),
IF(AX150="K",VLOOKUP(L150,Foundation_Calc!$K$41:$R$74,VLOOKUP(AW150,Foundation_Calc!$I$2:$J$8,2,FALSE),0),"")))</f>
        <v>3.7</v>
      </c>
      <c r="AZ150" s="10" t="str">
        <f>IF(K150="","",
IF(AX150="PT",VLOOKUP(K150,Foundation_Calc!$K$4:$R$37,VLOOKUP(AW150,Foundation_Calc!$I$2:$J$8,2,FALSE),0),
IF(AX150="K",VLOOKUP(K150,Foundation_Calc!$K$41:$R$74,VLOOKUP(AW150,Foundation_Calc!$I$2:$J$8,2,FALSE),0),"")))</f>
        <v/>
      </c>
      <c r="BA150" s="553" t="str">
        <f t="shared" si="17"/>
        <v>ü</v>
      </c>
      <c r="BB150" s="553" t="str">
        <f t="shared" si="18"/>
        <v/>
      </c>
      <c r="BC150" s="553" t="str">
        <f t="shared" si="19"/>
        <v/>
      </c>
      <c r="BD150" s="572" t="str">
        <f>IF(AND(L150="",H150=""),"",
IF(H150="",Pole_Calc!A$22,
IF(H150="MP",Pole_Calc!A$23,
IF(H150="AnMP",Pole_Calc!A$24,
IF(H150="A",Pole_Calc!A$25,
IF(H150="S/A",Pole_Calc!A$26,
IF(H150="A/S",Pole_Calc!A$27,"Poner a mano")))))))</f>
        <v>App.7-V11H-P9.5.2.5</v>
      </c>
      <c r="BE150" s="448" t="s">
        <v>1726</v>
      </c>
      <c r="BF150" s="305"/>
      <c r="BG150" s="305"/>
      <c r="BH150" s="306"/>
      <c r="BI150" s="305"/>
    </row>
    <row r="151" spans="1:61" ht="16.2" customHeight="1">
      <c r="A151" s="573"/>
      <c r="B151" s="469"/>
      <c r="C151" s="3"/>
      <c r="D151" s="88"/>
      <c r="E151" s="4"/>
      <c r="F151" s="4"/>
      <c r="G151" s="6">
        <v>55</v>
      </c>
      <c r="H151" s="468"/>
      <c r="I151" s="468"/>
      <c r="J151" s="3"/>
      <c r="K151" s="468"/>
      <c r="L151" s="468"/>
      <c r="M151" s="468" t="str">
        <f>IF(L151="","",
IF(AX151="PT",VLOOKUP(L151,Foundation_Calc!$V$4:$X$37,VLOOKUP(AX151,Foundation_Calc!$I$10:$J$13,2,FALSE),0),
IF(AX151="K",VLOOKUP(L151,Foundation_Calc!$V$41:$X$74,VLOOKUP(AX151,Foundation_Calc!$I$10:$J$13,2,FALSE),0),"")))</f>
        <v/>
      </c>
      <c r="N151" s="468"/>
      <c r="O151" s="468"/>
      <c r="P151" s="468"/>
      <c r="Q151" s="4"/>
      <c r="R151" s="6"/>
      <c r="S151" s="6"/>
      <c r="T151" s="4"/>
      <c r="U151" s="4"/>
      <c r="V151" s="4"/>
      <c r="W151" s="9"/>
      <c r="X151" s="9"/>
      <c r="Y151" s="9"/>
      <c r="Z151" s="9"/>
      <c r="AA151" s="9"/>
      <c r="AB151" s="9"/>
      <c r="AC151" s="468" t="str">
        <f t="shared" si="16"/>
        <v/>
      </c>
      <c r="AD151" s="468"/>
      <c r="AE151" s="468"/>
      <c r="AF151" s="4"/>
      <c r="AG151" s="88"/>
      <c r="AH151" s="4"/>
      <c r="AI151" s="4"/>
      <c r="AJ151" s="468"/>
      <c r="AK151" s="468"/>
      <c r="AL151" s="468"/>
      <c r="AM151" s="468"/>
      <c r="AN151" s="10"/>
      <c r="AO151" s="9"/>
      <c r="AP151" s="9"/>
      <c r="AQ151" s="9">
        <f>+FL_1($U$152,$U$150,$G$151,1200,9.28,-1*$F$152)</f>
        <v>7.2225724727272678E-2</v>
      </c>
      <c r="AR151" s="9"/>
      <c r="AS151" s="9"/>
      <c r="AT151" s="9"/>
      <c r="AU151" s="447"/>
      <c r="AV151" s="447"/>
      <c r="AW151" s="468" t="str">
        <f>IF(C151&gt;0,VLOOKUP(C151,Foundation_Calc!$A$2:$C$13,3,1),
IF(J151&gt;0,VLOOKUP(J151,Foundation_Calc!$A$2:$C$13,3,1),""))</f>
        <v/>
      </c>
      <c r="AX151" s="468" t="str">
        <f>IF(C151&gt;0,VLOOKUP(C151,Foundation_Calc!$E$2:$G$13,3,1),
IF(J151&gt;0,VLOOKUP(J151,Foundation_Calc!$E$2:$G$13,3,1),""))</f>
        <v/>
      </c>
      <c r="AY151" s="10" t="str">
        <f>IF(L151="","",
IF(AX151="PT",VLOOKUP(L151,Foundation_Calc!$K$4:$R$37,VLOOKUP(AW151,Foundation_Calc!$I$2:$J$8,2,FALSE),0),
IF(AX151="K",VLOOKUP(L151,Foundation_Calc!$K$41:$R$74,VLOOKUP(AW151,Foundation_Calc!$I$2:$J$8,2,FALSE),0),"")))</f>
        <v/>
      </c>
      <c r="AZ151" s="10" t="str">
        <f>IF(K151="","",
IF(AX151="PT",VLOOKUP(K151,Foundation_Calc!$K$4:$R$37,VLOOKUP(AW151,Foundation_Calc!$I$2:$J$8,2,FALSE),0),
IF(AX151="K",VLOOKUP(K151,Foundation_Calc!$K$41:$R$74,VLOOKUP(AW151,Foundation_Calc!$I$2:$J$8,2,FALSE),0),"")))</f>
        <v/>
      </c>
      <c r="BA151" s="553" t="str">
        <f t="shared" si="17"/>
        <v/>
      </c>
      <c r="BB151" s="553" t="str">
        <f t="shared" si="18"/>
        <v/>
      </c>
      <c r="BC151" s="553" t="str">
        <f t="shared" si="19"/>
        <v/>
      </c>
      <c r="BD151" s="572" t="str">
        <f>IF(AND(L151="",H151=""),"",
IF(H151="",Pole_Calc!A$22,
IF(H151="MP",Pole_Calc!A$23,
IF(H151="AnMP",Pole_Calc!A$24,
IF(H151="A",Pole_Calc!A$25,
IF(H151="S/A",Pole_Calc!A$26,
IF(H151="A/S",Pole_Calc!A$27,"Poner a mano")))))))</f>
        <v/>
      </c>
      <c r="BE151" s="448" t="s">
        <v>1726</v>
      </c>
      <c r="BF151" s="306"/>
      <c r="BG151" s="306"/>
      <c r="BH151" s="306"/>
      <c r="BI151" s="306"/>
    </row>
    <row r="152" spans="1:61" ht="16.2" customHeight="1">
      <c r="A152" s="573"/>
      <c r="B152" s="469" t="s">
        <v>1800</v>
      </c>
      <c r="C152" s="3">
        <f>+$C$150+$G$151</f>
        <v>3174.329999999999</v>
      </c>
      <c r="D152" s="88"/>
      <c r="E152" s="4"/>
      <c r="F152" s="4">
        <v>0</v>
      </c>
      <c r="G152" s="6"/>
      <c r="H152" s="468" t="s">
        <v>179</v>
      </c>
      <c r="I152" s="468"/>
      <c r="J152" s="3"/>
      <c r="K152" s="468"/>
      <c r="L152" s="468" t="s">
        <v>325</v>
      </c>
      <c r="M152" s="468" t="str">
        <f>IF(L152="","",
IF(AX152="PT",VLOOKUP(L152,Foundation_Calc!$V$4:$X$37,VLOOKUP(AX152,Foundation_Calc!$I$10:$J$13,2,FALSE),0),
IF(AX152="K",VLOOKUP(L152,Foundation_Calc!$V$41:$X$74,VLOOKUP(AX152,Foundation_Calc!$I$10:$J$13,2,FALSE),0),"")))</f>
        <v>C7SR</v>
      </c>
      <c r="N152" s="468" t="s">
        <v>33</v>
      </c>
      <c r="O152" s="468" t="s">
        <v>28</v>
      </c>
      <c r="P152" s="468"/>
      <c r="Q152" s="4"/>
      <c r="R152" s="6"/>
      <c r="S152" s="6"/>
      <c r="T152" s="4">
        <v>30</v>
      </c>
      <c r="U152" s="4">
        <v>-15</v>
      </c>
      <c r="V152" s="4"/>
      <c r="W152" s="9">
        <v>1.4</v>
      </c>
      <c r="X152" s="9">
        <v>2.2999999999999998</v>
      </c>
      <c r="Y152" s="9"/>
      <c r="Z152" s="9"/>
      <c r="AA152" s="9">
        <v>0.5</v>
      </c>
      <c r="AB152" s="9"/>
      <c r="AC152" s="468" t="str">
        <f t="shared" si="16"/>
        <v>PH</v>
      </c>
      <c r="AD152" s="468"/>
      <c r="AE152" s="468"/>
      <c r="AF152" s="4"/>
      <c r="AG152" s="88"/>
      <c r="AH152" s="4"/>
      <c r="AI152" s="4"/>
      <c r="AJ152" s="468"/>
      <c r="AK152" s="468"/>
      <c r="AL152" s="468" t="s">
        <v>1113</v>
      </c>
      <c r="AM152" s="468" t="s">
        <v>486</v>
      </c>
      <c r="AN152" s="10">
        <v>5.5</v>
      </c>
      <c r="AO152" s="9"/>
      <c r="AP152" s="9"/>
      <c r="AQ152" s="9"/>
      <c r="AR152" s="9"/>
      <c r="AS152" s="9"/>
      <c r="AT152" s="9">
        <f>+ab($T$152,$T$150,$T$154,$G$151,$G$153,-1*$F$152,1200)</f>
        <v>64.626814949300396</v>
      </c>
      <c r="AU152" s="447"/>
      <c r="AV152" s="447"/>
      <c r="AW152" s="468" t="str">
        <f>IF(C152&gt;0,VLOOKUP(C152,Foundation_Calc!$A$2:$C$13,3,1),
IF(J152&gt;0,VLOOKUP(J152,Foundation_Calc!$A$2:$C$13,3,1),""))</f>
        <v>MultiSoil</v>
      </c>
      <c r="AX152" s="468" t="str">
        <f>IF(C152&gt;0,VLOOKUP(C152,Foundation_Calc!$E$2:$G$13,3,1),
IF(J152&gt;0,VLOOKUP(J152,Foundation_Calc!$E$2:$G$13,3,1),""))</f>
        <v>PT</v>
      </c>
      <c r="AY152" s="10">
        <f>IF(L152="","",
IF(AX152="PT",VLOOKUP(L152,Foundation_Calc!$K$4:$R$37,VLOOKUP(AW152,Foundation_Calc!$I$2:$J$8,2,FALSE),0),
IF(AX152="K",VLOOKUP(L152,Foundation_Calc!$K$41:$R$74,VLOOKUP(AW152,Foundation_Calc!$I$2:$J$8,2,FALSE),0),"")))</f>
        <v>4</v>
      </c>
      <c r="AZ152" s="10" t="str">
        <f>IF(K152="","",
IF(AX152="PT",VLOOKUP(K152,Foundation_Calc!$K$4:$R$37,VLOOKUP(AW152,Foundation_Calc!$I$2:$J$8,2,FALSE),0),
IF(AX152="K",VLOOKUP(K152,Foundation_Calc!$K$41:$R$74,VLOOKUP(AW152,Foundation_Calc!$I$2:$J$8,2,FALSE),0),"")))</f>
        <v/>
      </c>
      <c r="BA152" s="553" t="str">
        <f t="shared" si="17"/>
        <v>ü</v>
      </c>
      <c r="BB152" s="553" t="str">
        <f t="shared" si="18"/>
        <v/>
      </c>
      <c r="BC152" s="553" t="str">
        <f t="shared" si="19"/>
        <v/>
      </c>
      <c r="BD152" s="572" t="str">
        <f>Pole_Calc!A$251</f>
        <v>App.8-V08H-P10.3</v>
      </c>
      <c r="BE152" s="448" t="s">
        <v>1726</v>
      </c>
      <c r="BF152" s="305"/>
      <c r="BG152" s="305"/>
      <c r="BH152" s="306"/>
      <c r="BI152" s="305"/>
    </row>
    <row r="153" spans="1:61" ht="16.2" customHeight="1">
      <c r="A153" s="573"/>
      <c r="B153" s="469"/>
      <c r="C153" s="3"/>
      <c r="D153" s="88"/>
      <c r="E153" s="4"/>
      <c r="F153" s="4"/>
      <c r="G153" s="6">
        <v>43.9</v>
      </c>
      <c r="H153" s="468"/>
      <c r="I153" s="468"/>
      <c r="J153" s="3"/>
      <c r="K153" s="468"/>
      <c r="L153" s="468"/>
      <c r="M153" s="468" t="str">
        <f>IF(L153="","",
IF(AX153="PT",VLOOKUP(L153,Foundation_Calc!$V$4:$X$37,VLOOKUP(AX153,Foundation_Calc!$I$10:$J$13,2,FALSE),0),
IF(AX153="K",VLOOKUP(L153,Foundation_Calc!$V$41:$X$74,VLOOKUP(AX153,Foundation_Calc!$I$10:$J$13,2,FALSE),0),"")))</f>
        <v/>
      </c>
      <c r="N153" s="468"/>
      <c r="O153" s="468"/>
      <c r="P153" s="468"/>
      <c r="Q153" s="4"/>
      <c r="R153" s="6"/>
      <c r="S153" s="6"/>
      <c r="T153" s="4"/>
      <c r="U153" s="4"/>
      <c r="V153" s="4"/>
      <c r="W153" s="9"/>
      <c r="X153" s="9"/>
      <c r="Y153" s="9"/>
      <c r="Z153" s="9"/>
      <c r="AA153" s="9"/>
      <c r="AB153" s="9"/>
      <c r="AC153" s="468" t="str">
        <f t="shared" si="16"/>
        <v/>
      </c>
      <c r="AD153" s="468"/>
      <c r="AE153" s="468"/>
      <c r="AF153" s="4"/>
      <c r="AG153" s="88"/>
      <c r="AH153" s="4"/>
      <c r="AI153" s="4"/>
      <c r="AJ153" s="468"/>
      <c r="AK153" s="468"/>
      <c r="AL153" s="468"/>
      <c r="AM153" s="468"/>
      <c r="AN153" s="10"/>
      <c r="AO153" s="9"/>
      <c r="AP153" s="9"/>
      <c r="AQ153" s="9">
        <f>+FL_1($T$154,$T$152,$G$153,1200,9.28,-1*$F$154)</f>
        <v>0.51213567834775997</v>
      </c>
      <c r="AR153" s="9"/>
      <c r="AS153" s="9"/>
      <c r="AT153" s="9"/>
      <c r="AU153" s="447"/>
      <c r="AV153" s="447"/>
      <c r="AW153" s="468" t="str">
        <f>IF(C153&gt;0,VLOOKUP(C153,Foundation_Calc!$A$2:$C$13,3,1),
IF(J153&gt;0,VLOOKUP(J153,Foundation_Calc!$A$2:$C$13,3,1),""))</f>
        <v/>
      </c>
      <c r="AX153" s="468" t="str">
        <f>IF(C153&gt;0,VLOOKUP(C153,Foundation_Calc!$E$2:$G$13,3,1),
IF(J153&gt;0,VLOOKUP(J153,Foundation_Calc!$E$2:$G$13,3,1),""))</f>
        <v/>
      </c>
      <c r="AY153" s="10" t="str">
        <f>IF(L153="","",
IF(AX153="PT",VLOOKUP(L153,Foundation_Calc!$K$4:$R$37,VLOOKUP(AW153,Foundation_Calc!$I$2:$J$8,2,FALSE),0),
IF(AX153="K",VLOOKUP(L153,Foundation_Calc!$K$41:$R$74,VLOOKUP(AW153,Foundation_Calc!$I$2:$J$8,2,FALSE),0),"")))</f>
        <v/>
      </c>
      <c r="AZ153" s="10" t="str">
        <f>IF(K153="","",
IF(AX153="PT",VLOOKUP(K153,Foundation_Calc!$K$4:$R$37,VLOOKUP(AW153,Foundation_Calc!$I$2:$J$8,2,FALSE),0),
IF(AX153="K",VLOOKUP(K153,Foundation_Calc!$K$41:$R$74,VLOOKUP(AW153,Foundation_Calc!$I$2:$J$8,2,FALSE),0),"")))</f>
        <v/>
      </c>
      <c r="BA153" s="553" t="str">
        <f t="shared" si="17"/>
        <v/>
      </c>
      <c r="BB153" s="553" t="str">
        <f t="shared" si="18"/>
        <v/>
      </c>
      <c r="BC153" s="553" t="str">
        <f t="shared" si="19"/>
        <v/>
      </c>
      <c r="BD153" s="572" t="str">
        <f>IF(AND(L153="",H153=""),"",
IF(H153="",Pole_Calc!A$22,
IF(H153="MP",Pole_Calc!A$23,
IF(H153="AnMP",Pole_Calc!A$24,
IF(H153="A",Pole_Calc!A$25,
IF(H153="S/A",Pole_Calc!A$26,
IF(H153="A/S",Pole_Calc!A$27,"Poner a mano")))))))</f>
        <v/>
      </c>
      <c r="BE153" s="448" t="s">
        <v>1726</v>
      </c>
      <c r="BF153" s="306"/>
      <c r="BG153" s="306"/>
      <c r="BH153" s="306"/>
      <c r="BI153" s="306"/>
    </row>
    <row r="154" spans="1:61" ht="16.2" customHeight="1">
      <c r="A154" s="573"/>
      <c r="B154" s="469" t="s">
        <v>1801</v>
      </c>
      <c r="C154" s="3">
        <f>+$C$152+$G$153</f>
        <v>3218.2299999999991</v>
      </c>
      <c r="D154" s="88"/>
      <c r="E154" s="4"/>
      <c r="F154" s="4">
        <v>0</v>
      </c>
      <c r="G154" s="6"/>
      <c r="H154" s="468" t="s">
        <v>1741</v>
      </c>
      <c r="I154" s="468" t="s">
        <v>182</v>
      </c>
      <c r="J154" s="3"/>
      <c r="K154" s="468"/>
      <c r="L154" s="468" t="s">
        <v>449</v>
      </c>
      <c r="M154" s="468" t="str">
        <f>IF(L154="","",
IF(AX154="PT",VLOOKUP(L154,Foundation_Calc!$V$4:$X$37,VLOOKUP(AX154,Foundation_Calc!$I$10:$J$13,2,FALSE),0),
IF(AX154="K",VLOOKUP(L154,Foundation_Calc!$V$41:$X$74,VLOOKUP(AX154,Foundation_Calc!$I$10:$J$13,2,FALSE),0),"")))</f>
        <v>2C4SR</v>
      </c>
      <c r="N154" s="468" t="s">
        <v>33</v>
      </c>
      <c r="O154" s="669" t="s">
        <v>32</v>
      </c>
      <c r="P154" s="468"/>
      <c r="Q154" s="4"/>
      <c r="R154" s="6"/>
      <c r="S154" s="6"/>
      <c r="T154" s="4">
        <v>35</v>
      </c>
      <c r="U154" s="4">
        <v>20</v>
      </c>
      <c r="V154" s="4"/>
      <c r="W154" s="9">
        <v>1.4</v>
      </c>
      <c r="X154" s="9">
        <v>2</v>
      </c>
      <c r="Y154" s="9"/>
      <c r="Z154" s="9"/>
      <c r="AA154" s="9"/>
      <c r="AB154" s="9"/>
      <c r="AC154" s="468" t="s">
        <v>647</v>
      </c>
      <c r="AD154" s="468" t="s">
        <v>1068</v>
      </c>
      <c r="AE154" s="468"/>
      <c r="AF154" s="4"/>
      <c r="AG154" s="88"/>
      <c r="AH154" s="4"/>
      <c r="AI154" s="4"/>
      <c r="AJ154" s="468"/>
      <c r="AK154" s="468"/>
      <c r="AL154" s="468"/>
      <c r="AM154" s="468" t="s">
        <v>486</v>
      </c>
      <c r="AN154" s="10">
        <v>5.5</v>
      </c>
      <c r="AO154" s="9"/>
      <c r="AP154" s="9"/>
      <c r="AQ154" s="9"/>
      <c r="AR154" s="9"/>
      <c r="AS154" s="9"/>
      <c r="AT154" s="9">
        <f>+ab($T$154,$T$152,$T$156,$G$153,$G$155,-1*$F$154,1200)</f>
        <v>14.617948449542771</v>
      </c>
      <c r="AU154" s="447"/>
      <c r="AV154" s="447"/>
      <c r="AW154" s="468" t="str">
        <f>IF(C154&gt;0,VLOOKUP(C154,Foundation_Calc!$A$2:$C$13,3,1),
IF(J154&gt;0,VLOOKUP(J154,Foundation_Calc!$A$2:$C$13,3,1),""))</f>
        <v>MultiSoil</v>
      </c>
      <c r="AX154" s="468" t="str">
        <f>IF(C154&gt;0,VLOOKUP(C154,Foundation_Calc!$E$2:$G$13,3,1),
IF(J154&gt;0,VLOOKUP(J154,Foundation_Calc!$E$2:$G$13,3,1),""))</f>
        <v>PT</v>
      </c>
      <c r="AY154" s="10">
        <f>IF(L154="","",
IF(AX154="PT",VLOOKUP(L154,Foundation_Calc!$K$4:$R$37,VLOOKUP(AW154,Foundation_Calc!$I$2:$J$8,2,FALSE),0),
IF(AX154="K",VLOOKUP(L154,Foundation_Calc!$K$41:$R$74,VLOOKUP(AW154,Foundation_Calc!$I$2:$J$8,2,FALSE),0),"")))</f>
        <v>4.3</v>
      </c>
      <c r="AZ154" s="10" t="str">
        <f>IF(K154="","",
IF(AX154="PT",VLOOKUP(K154,Foundation_Calc!$K$4:$R$37,VLOOKUP(AW154,Foundation_Calc!$I$2:$J$8,2,FALSE),0),
IF(AX154="K",VLOOKUP(K154,Foundation_Calc!$K$41:$R$74,VLOOKUP(AW154,Foundation_Calc!$I$2:$J$8,2,FALSE),0),"")))</f>
        <v/>
      </c>
      <c r="BA154" s="553" t="str">
        <f t="shared" si="17"/>
        <v>ü</v>
      </c>
      <c r="BB154" s="553" t="str">
        <f t="shared" si="18"/>
        <v/>
      </c>
      <c r="BC154" s="553" t="str">
        <f t="shared" si="19"/>
        <v/>
      </c>
      <c r="BD154" s="572" t="str">
        <f>Pole_Calc!A$29</f>
        <v>App.7-V11H-P9.5.2.8</v>
      </c>
      <c r="BE154" s="448" t="s">
        <v>1726</v>
      </c>
      <c r="BF154" s="305"/>
      <c r="BG154" s="305"/>
      <c r="BH154" s="306"/>
      <c r="BI154" s="305"/>
    </row>
    <row r="155" spans="1:61" ht="16.2" customHeight="1">
      <c r="A155" s="573"/>
      <c r="B155" s="469"/>
      <c r="C155" s="3"/>
      <c r="D155" s="88"/>
      <c r="E155" s="4"/>
      <c r="F155" s="4"/>
      <c r="G155" s="6">
        <v>47</v>
      </c>
      <c r="H155" s="468"/>
      <c r="I155" s="468"/>
      <c r="J155" s="3">
        <f>C154+75</f>
        <v>3293.2299999999991</v>
      </c>
      <c r="K155" s="468" t="s">
        <v>1095</v>
      </c>
      <c r="L155" s="468"/>
      <c r="M155" s="468" t="str">
        <f>IF(L155="","",
IF(AX155="PT",VLOOKUP(L155,Foundation_Calc!$V$4:$X$37,VLOOKUP(AX155,Foundation_Calc!$I$10:$J$13,2,FALSE),0),
IF(AX155="K",VLOOKUP(L155,Foundation_Calc!$V$41:$X$74,VLOOKUP(AX155,Foundation_Calc!$I$10:$J$13,2,FALSE),0),"")))</f>
        <v/>
      </c>
      <c r="N155" s="468"/>
      <c r="O155" s="468"/>
      <c r="P155" s="468"/>
      <c r="Q155" s="4"/>
      <c r="R155" s="6"/>
      <c r="S155" s="6"/>
      <c r="T155" s="4"/>
      <c r="U155" s="4"/>
      <c r="V155" s="4"/>
      <c r="W155" s="9"/>
      <c r="X155" s="9"/>
      <c r="Y155" s="9"/>
      <c r="Z155" s="9"/>
      <c r="AA155" s="9"/>
      <c r="AB155" s="9"/>
      <c r="AC155" s="468" t="str">
        <f t="shared" si="16"/>
        <v/>
      </c>
      <c r="AD155" s="468"/>
      <c r="AE155" s="468"/>
      <c r="AF155" s="4"/>
      <c r="AG155" s="88"/>
      <c r="AH155" s="4"/>
      <c r="AI155" s="4"/>
      <c r="AJ155" s="468"/>
      <c r="AK155" s="468"/>
      <c r="AL155" s="468"/>
      <c r="AM155" s="468"/>
      <c r="AN155" s="10"/>
      <c r="AO155" s="9"/>
      <c r="AP155" s="9"/>
      <c r="AQ155" s="9">
        <f>+FL_1($T$156,$T$154,$G$155,1200,9.28,-1*$F$156)</f>
        <v>0.37707532348936174</v>
      </c>
      <c r="AR155" s="9"/>
      <c r="AS155" s="9"/>
      <c r="AT155" s="9"/>
      <c r="AU155" s="447"/>
      <c r="AV155" s="447"/>
      <c r="AW155" s="468" t="str">
        <f>IF(C155&gt;0,VLOOKUP(C155,Foundation_Calc!$A$2:$C$13,3,1),
IF(J155&gt;0,VLOOKUP(J155,Foundation_Calc!$A$2:$C$13,3,1),""))</f>
        <v>MultiSoil</v>
      </c>
      <c r="AX155" s="468" t="str">
        <f>IF(C155&gt;0,VLOOKUP(C155,Foundation_Calc!$E$2:$G$13,3,1),
IF(J155&gt;0,VLOOKUP(J155,Foundation_Calc!$E$2:$G$13,3,1),""))</f>
        <v>PT</v>
      </c>
      <c r="AY155" s="10" t="str">
        <f>IF(L155="","",
IF(AX155="PT",VLOOKUP(L155,Foundation_Calc!$K$4:$R$37,VLOOKUP(AW155,Foundation_Calc!$I$2:$J$8,2,FALSE),0),
IF(AX155="K",VLOOKUP(L155,Foundation_Calc!$K$41:$R$74,VLOOKUP(AW155,Foundation_Calc!$I$2:$J$8,2,FALSE),0),"")))</f>
        <v/>
      </c>
      <c r="AZ155" s="10">
        <f>IF(K155="","",
IF(AX155="PT",VLOOKUP(K155,Foundation_Calc!$K$4:$R$37,VLOOKUP(AW155,Foundation_Calc!$I$2:$J$8,2,FALSE),0),
IF(AX155="K",VLOOKUP(K155,Foundation_Calc!$K$41:$R$74,VLOOKUP(AW155,Foundation_Calc!$I$2:$J$8,2,FALSE),0),"")))</f>
        <v>3.9</v>
      </c>
      <c r="BA155" s="553" t="str">
        <f t="shared" si="17"/>
        <v/>
      </c>
      <c r="BB155" s="553" t="str">
        <f t="shared" si="18"/>
        <v>ü</v>
      </c>
      <c r="BC155" s="553" t="str">
        <f t="shared" si="19"/>
        <v/>
      </c>
      <c r="BD155" s="572" t="str">
        <f>IF(AND(L155="",H155=""),"",
IF(H155="",Pole_Calc!A$22,
IF(H155="MP",Pole_Calc!A$23,
IF(H155="AnMP",Pole_Calc!A$24,
IF(H155="A",Pole_Calc!A$25,
IF(H155="S/A",Pole_Calc!A$26,
IF(H155="A/S",Pole_Calc!A$27,"Poner a mano")))))))</f>
        <v/>
      </c>
      <c r="BE155" s="448" t="s">
        <v>1726</v>
      </c>
      <c r="BF155" s="306"/>
      <c r="BG155" s="306"/>
      <c r="BH155" s="306"/>
      <c r="BI155" s="306"/>
    </row>
    <row r="156" spans="1:61" ht="16.2" customHeight="1">
      <c r="A156" s="573"/>
      <c r="B156" s="469" t="s">
        <v>1802</v>
      </c>
      <c r="C156" s="3">
        <f>+$C$154+$G$155</f>
        <v>3265.2299999999991</v>
      </c>
      <c r="D156" s="88"/>
      <c r="E156" s="4"/>
      <c r="F156" s="4">
        <v>0</v>
      </c>
      <c r="G156" s="6"/>
      <c r="H156" s="468" t="s">
        <v>179</v>
      </c>
      <c r="I156" s="468"/>
      <c r="J156" s="3"/>
      <c r="K156" s="468"/>
      <c r="L156" s="468" t="s">
        <v>448</v>
      </c>
      <c r="M156" s="468" t="str">
        <f>IF(L156="","",
IF(AX156="PT",VLOOKUP(L156,Foundation_Calc!$V$4:$X$37,VLOOKUP(AX156,Foundation_Calc!$I$10:$J$13,2,FALSE),0),
IF(AX156="K",VLOOKUP(L156,Foundation_Calc!$V$41:$X$74,VLOOKUP(AX156,Foundation_Calc!$I$10:$J$13,2,FALSE),0),"")))</f>
        <v>2C3SR</v>
      </c>
      <c r="N156" s="468" t="s">
        <v>32</v>
      </c>
      <c r="O156" s="669" t="s">
        <v>28</v>
      </c>
      <c r="P156" s="468"/>
      <c r="Q156" s="4"/>
      <c r="R156" s="6"/>
      <c r="S156" s="6"/>
      <c r="T156" s="4">
        <v>-20</v>
      </c>
      <c r="U156" s="4">
        <v>-55</v>
      </c>
      <c r="V156" s="4"/>
      <c r="W156" s="9">
        <v>1.4</v>
      </c>
      <c r="X156" s="9">
        <v>2</v>
      </c>
      <c r="Y156" s="9"/>
      <c r="Z156" s="9"/>
      <c r="AA156" s="9">
        <v>0.4</v>
      </c>
      <c r="AB156" s="9"/>
      <c r="AC156" s="468" t="str">
        <f t="shared" si="16"/>
        <v>PH</v>
      </c>
      <c r="AD156" s="468"/>
      <c r="AE156" s="468"/>
      <c r="AF156" s="4"/>
      <c r="AG156" s="88"/>
      <c r="AH156" s="4"/>
      <c r="AI156" s="4"/>
      <c r="AJ156" s="468"/>
      <c r="AK156" s="468"/>
      <c r="AL156" s="468"/>
      <c r="AM156" s="468" t="s">
        <v>486</v>
      </c>
      <c r="AN156" s="10">
        <v>5.5</v>
      </c>
      <c r="AO156" s="9"/>
      <c r="AP156" s="9"/>
      <c r="AQ156" s="9"/>
      <c r="AR156" s="9"/>
      <c r="AS156" s="9"/>
      <c r="AT156" s="9">
        <f>+ab($T$156,$T$154,$T$158,$G$155,$G$157,-1*$F$156,1200)</f>
        <v>-8.7729240491825902</v>
      </c>
      <c r="AU156" s="447"/>
      <c r="AV156" s="447"/>
      <c r="AW156" s="468" t="str">
        <f>IF(C156&gt;0,VLOOKUP(C156,Foundation_Calc!$A$2:$C$13,3,1),
IF(J156&gt;0,VLOOKUP(J156,Foundation_Calc!$A$2:$C$13,3,1),""))</f>
        <v>MultiSoil</v>
      </c>
      <c r="AX156" s="468" t="str">
        <f>IF(C156&gt;0,VLOOKUP(C156,Foundation_Calc!$E$2:$G$13,3,1),
IF(J156&gt;0,VLOOKUP(J156,Foundation_Calc!$E$2:$G$13,3,1),""))</f>
        <v>PT</v>
      </c>
      <c r="AY156" s="10">
        <f>IF(L156="","",
IF(AX156="PT",VLOOKUP(L156,Foundation_Calc!$K$4:$R$37,VLOOKUP(AW156,Foundation_Calc!$I$2:$J$8,2,FALSE),0),
IF(AX156="K",VLOOKUP(L156,Foundation_Calc!$K$41:$R$74,VLOOKUP(AW156,Foundation_Calc!$I$2:$J$8,2,FALSE),0),"")))</f>
        <v>3.9</v>
      </c>
      <c r="AZ156" s="10" t="str">
        <f>IF(K156="","",
IF(AX156="PT",VLOOKUP(K156,Foundation_Calc!$K$4:$R$37,VLOOKUP(AW156,Foundation_Calc!$I$2:$J$8,2,FALSE),0),
IF(AX156="K",VLOOKUP(K156,Foundation_Calc!$K$41:$R$74,VLOOKUP(AW156,Foundation_Calc!$I$2:$J$8,2,FALSE),0),"")))</f>
        <v/>
      </c>
      <c r="BA156" s="553" t="str">
        <f t="shared" si="17"/>
        <v>ü</v>
      </c>
      <c r="BB156" s="553" t="str">
        <f t="shared" si="18"/>
        <v/>
      </c>
      <c r="BC156" s="553" t="str">
        <f t="shared" si="19"/>
        <v/>
      </c>
      <c r="BD156" s="572" t="str">
        <f>IF(AND(L156="",H156=""),"",
IF(H156="",Pole_Calc!A$22,
IF(H156="MP",Pole_Calc!A$23,
IF(H156="AnMP",Pole_Calc!A$24,
IF(H156="A",Pole_Calc!A$25,
IF(H156="S/A",Pole_Calc!A$26,
IF(H156="A/S",Pole_Calc!A$27,"Poner a mano")))))))</f>
        <v>App.7-V11H-P9.5.2.5</v>
      </c>
      <c r="BE156" s="448" t="s">
        <v>1726</v>
      </c>
      <c r="BF156" s="305"/>
      <c r="BG156" s="305"/>
      <c r="BH156" s="306"/>
      <c r="BI156" s="305"/>
    </row>
    <row r="157" spans="1:61" ht="16.2" customHeight="1">
      <c r="A157" s="573"/>
      <c r="B157" s="469"/>
      <c r="C157" s="3"/>
      <c r="D157" s="88"/>
      <c r="E157" s="4"/>
      <c r="F157" s="4"/>
      <c r="G157" s="6">
        <v>50</v>
      </c>
      <c r="H157" s="468"/>
      <c r="I157" s="468">
        <v>240</v>
      </c>
      <c r="J157" s="3"/>
      <c r="K157" s="468"/>
      <c r="L157" s="468"/>
      <c r="M157" s="468" t="str">
        <f>IF(L157="","",
IF(AX157="PT",VLOOKUP(L157,Foundation_Calc!$V$4:$X$37,VLOOKUP(AX157,Foundation_Calc!$I$10:$J$13,2,FALSE),0),
IF(AX157="K",VLOOKUP(L157,Foundation_Calc!$V$41:$X$74,VLOOKUP(AX157,Foundation_Calc!$I$10:$J$13,2,FALSE),0),"")))</f>
        <v/>
      </c>
      <c r="N157" s="468"/>
      <c r="O157" s="468"/>
      <c r="P157" s="468"/>
      <c r="Q157" s="4"/>
      <c r="R157" s="6"/>
      <c r="S157" s="6"/>
      <c r="T157" s="4"/>
      <c r="U157" s="4"/>
      <c r="V157" s="4"/>
      <c r="W157" s="9"/>
      <c r="X157" s="9"/>
      <c r="Y157" s="9"/>
      <c r="Z157" s="9"/>
      <c r="AA157" s="9"/>
      <c r="AB157" s="9"/>
      <c r="AC157" s="468" t="str">
        <f t="shared" si="16"/>
        <v/>
      </c>
      <c r="AD157" s="468"/>
      <c r="AE157" s="468"/>
      <c r="AF157" s="4"/>
      <c r="AG157" s="88"/>
      <c r="AH157" s="4"/>
      <c r="AI157" s="4"/>
      <c r="AJ157" s="468"/>
      <c r="AK157" s="468"/>
      <c r="AL157" s="468"/>
      <c r="AM157" s="468"/>
      <c r="AN157" s="10"/>
      <c r="AO157" s="9"/>
      <c r="AP157" s="9"/>
      <c r="AQ157" s="9">
        <f>+FL_1($T$158,$T$156,$G$157,1200,9.28,-1*$F$158)</f>
        <v>0.35632183866666667</v>
      </c>
      <c r="AR157" s="9"/>
      <c r="AS157" s="9"/>
      <c r="AT157" s="9"/>
      <c r="AU157" s="447"/>
      <c r="AV157" s="447"/>
      <c r="AW157" s="468" t="str">
        <f>IF(C157&gt;0,VLOOKUP(C157,Foundation_Calc!$A$2:$C$13,3,1),
IF(J157&gt;0,VLOOKUP(J157,Foundation_Calc!$A$2:$C$13,3,1),""))</f>
        <v/>
      </c>
      <c r="AX157" s="468" t="str">
        <f>IF(C157&gt;0,VLOOKUP(C157,Foundation_Calc!$E$2:$G$13,3,1),
IF(J157&gt;0,VLOOKUP(J157,Foundation_Calc!$E$2:$G$13,3,1),""))</f>
        <v/>
      </c>
      <c r="AY157" s="10" t="str">
        <f>IF(L157="","",
IF(AX157="PT",VLOOKUP(L157,Foundation_Calc!$K$4:$R$37,VLOOKUP(AW157,Foundation_Calc!$I$2:$J$8,2,FALSE),0),
IF(AX157="K",VLOOKUP(L157,Foundation_Calc!$K$41:$R$74,VLOOKUP(AW157,Foundation_Calc!$I$2:$J$8,2,FALSE),0),"")))</f>
        <v/>
      </c>
      <c r="AZ157" s="10" t="str">
        <f>IF(K157="","",
IF(AX157="PT",VLOOKUP(K157,Foundation_Calc!$K$4:$R$37,VLOOKUP(AW157,Foundation_Calc!$I$2:$J$8,2,FALSE),0),
IF(AX157="K",VLOOKUP(K157,Foundation_Calc!$K$41:$R$74,VLOOKUP(AW157,Foundation_Calc!$I$2:$J$8,2,FALSE),0),"")))</f>
        <v/>
      </c>
      <c r="BA157" s="553" t="str">
        <f t="shared" si="17"/>
        <v/>
      </c>
      <c r="BB157" s="553" t="str">
        <f t="shared" si="18"/>
        <v/>
      </c>
      <c r="BC157" s="553" t="str">
        <f t="shared" si="19"/>
        <v/>
      </c>
      <c r="BD157" s="572" t="str">
        <f>IF(AND(L157="",H157=""),"",
IF(H157="",Pole_Calc!A$22,
IF(H157="MP",Pole_Calc!A$23,
IF(H157="AnMP",Pole_Calc!A$24,
IF(H157="A",Pole_Calc!A$25,
IF(H157="S/A",Pole_Calc!A$26,
IF(H157="A/S",Pole_Calc!A$27,"Poner a mano")))))))</f>
        <v/>
      </c>
      <c r="BE157" s="448" t="s">
        <v>1726</v>
      </c>
      <c r="BF157" s="306"/>
      <c r="BG157" s="306"/>
      <c r="BH157" s="306"/>
      <c r="BI157" s="306"/>
    </row>
    <row r="158" spans="1:61" ht="26.4">
      <c r="A158" s="573"/>
      <c r="B158" s="469" t="s">
        <v>1803</v>
      </c>
      <c r="C158" s="3">
        <f>+$C$156+$G$157</f>
        <v>3315.2299999999991</v>
      </c>
      <c r="D158" s="88"/>
      <c r="E158" s="4"/>
      <c r="F158" s="4">
        <v>0</v>
      </c>
      <c r="G158" s="6"/>
      <c r="H158" s="467" t="s">
        <v>2363</v>
      </c>
      <c r="I158" s="467" t="s">
        <v>2362</v>
      </c>
      <c r="J158" s="3"/>
      <c r="K158" s="468"/>
      <c r="L158" s="468" t="s">
        <v>449</v>
      </c>
      <c r="M158" s="468" t="str">
        <f>IF(L158="","",
IF(AX158="PT",VLOOKUP(L158,Foundation_Calc!$V$4:$X$37,VLOOKUP(AX158,Foundation_Calc!$I$10:$J$13,2,FALSE),0),
IF(AX158="K",VLOOKUP(L158,Foundation_Calc!$V$41:$X$74,VLOOKUP(AX158,Foundation_Calc!$I$10:$J$13,2,FALSE),0),"")))</f>
        <v>2C4SR</v>
      </c>
      <c r="N158" s="468" t="s">
        <v>33</v>
      </c>
      <c r="O158" s="468"/>
      <c r="P158" s="468"/>
      <c r="Q158" s="4"/>
      <c r="R158" s="6"/>
      <c r="S158" s="6"/>
      <c r="T158" s="4">
        <v>30</v>
      </c>
      <c r="U158" s="4"/>
      <c r="V158" s="4"/>
      <c r="W158" s="9">
        <v>1.4</v>
      </c>
      <c r="X158" s="9"/>
      <c r="Y158" s="9"/>
      <c r="Z158" s="9"/>
      <c r="AA158" s="9"/>
      <c r="AB158" s="9"/>
      <c r="AC158" s="468" t="str">
        <f t="shared" si="16"/>
        <v>PH</v>
      </c>
      <c r="AD158" s="468"/>
      <c r="AE158" s="468"/>
      <c r="AF158" s="4"/>
      <c r="AG158" s="88"/>
      <c r="AH158" s="4"/>
      <c r="AI158" s="4"/>
      <c r="AJ158" s="468"/>
      <c r="AK158" s="468"/>
      <c r="AL158" s="468"/>
      <c r="AM158" s="468" t="s">
        <v>486</v>
      </c>
      <c r="AN158" s="10">
        <v>5.5</v>
      </c>
      <c r="AO158" s="9"/>
      <c r="AP158" s="9"/>
      <c r="AQ158" s="9"/>
      <c r="AR158" s="9"/>
      <c r="AS158" s="9"/>
      <c r="AT158" s="9">
        <f>+ab($T$158,$T$156,$U$160,$G$157,$G$159,-1*$F$158,1200)</f>
        <v>10.540144066634443</v>
      </c>
      <c r="AU158" s="447"/>
      <c r="AV158" s="447"/>
      <c r="AW158" s="468" t="str">
        <f>IF(C158&gt;0,VLOOKUP(C158,Foundation_Calc!$A$2:$C$13,3,1),
IF(J158&gt;0,VLOOKUP(J158,Foundation_Calc!$A$2:$C$13,3,1),""))</f>
        <v>MultiSoil</v>
      </c>
      <c r="AX158" s="468" t="str">
        <f>IF(C158&gt;0,VLOOKUP(C158,Foundation_Calc!$E$2:$G$13,3,1),
IF(J158&gt;0,VLOOKUP(J158,Foundation_Calc!$E$2:$G$13,3,1),""))</f>
        <v>PT</v>
      </c>
      <c r="AY158" s="10">
        <f>IF(L158="","",
IF(AX158="PT",VLOOKUP(L158,Foundation_Calc!$K$4:$R$37,VLOOKUP(AW158,Foundation_Calc!$I$2:$J$8,2,FALSE),0),
IF(AX158="K",VLOOKUP(L158,Foundation_Calc!$K$41:$R$74,VLOOKUP(AW158,Foundation_Calc!$I$2:$J$8,2,FALSE),0),"")))</f>
        <v>4.3</v>
      </c>
      <c r="AZ158" s="10" t="str">
        <f>IF(K158="","",
IF(AX158="PT",VLOOKUP(K158,Foundation_Calc!$K$4:$R$37,VLOOKUP(AW158,Foundation_Calc!$I$2:$J$8,2,FALSE),0),
IF(AX158="K",VLOOKUP(K158,Foundation_Calc!$K$41:$R$74,VLOOKUP(AW158,Foundation_Calc!$I$2:$J$8,2,FALSE),0),"")))</f>
        <v/>
      </c>
      <c r="BA158" s="553" t="str">
        <f t="shared" si="17"/>
        <v>ü</v>
      </c>
      <c r="BB158" s="553" t="str">
        <f t="shared" si="18"/>
        <v/>
      </c>
      <c r="BC158" s="553" t="str">
        <f t="shared" si="19"/>
        <v/>
      </c>
      <c r="BD158" s="572" t="str">
        <f>Pole_Calc!A$27</f>
        <v>App.7-V11H-P9.5.2.6</v>
      </c>
      <c r="BE158" s="448" t="s">
        <v>1726</v>
      </c>
      <c r="BF158" s="305"/>
      <c r="BG158" s="305"/>
      <c r="BH158" s="306"/>
      <c r="BI158" s="305"/>
    </row>
    <row r="159" spans="1:61" ht="16.2" customHeight="1">
      <c r="A159" s="573"/>
      <c r="B159" s="469"/>
      <c r="C159" s="3"/>
      <c r="D159" s="88"/>
      <c r="E159" s="4"/>
      <c r="F159" s="4"/>
      <c r="G159" s="6">
        <v>50</v>
      </c>
      <c r="H159" s="468"/>
      <c r="I159" s="468" t="s">
        <v>482</v>
      </c>
      <c r="J159" s="3">
        <f>C160-7.5</f>
        <v>3357.7299999999991</v>
      </c>
      <c r="K159" s="468" t="s">
        <v>1096</v>
      </c>
      <c r="L159" s="468"/>
      <c r="M159" s="468" t="str">
        <f>IF(L159="","",
IF(AX159="PT",VLOOKUP(L159,Foundation_Calc!$V$4:$X$37,VLOOKUP(AX159,Foundation_Calc!$I$10:$J$13,2,FALSE),0),
IF(AX159="K",VLOOKUP(L159,Foundation_Calc!$V$41:$X$74,VLOOKUP(AX159,Foundation_Calc!$I$10:$J$13,2,FALSE),0),"")))</f>
        <v/>
      </c>
      <c r="N159" s="468"/>
      <c r="O159" s="468"/>
      <c r="P159" s="468"/>
      <c r="Q159" s="4"/>
      <c r="R159" s="6"/>
      <c r="S159" s="6"/>
      <c r="T159" s="4"/>
      <c r="U159" s="4"/>
      <c r="V159" s="4"/>
      <c r="W159" s="9"/>
      <c r="X159" s="9"/>
      <c r="Y159" s="9"/>
      <c r="Z159" s="9"/>
      <c r="AA159" s="9"/>
      <c r="AB159" s="9"/>
      <c r="AC159" s="468" t="str">
        <f t="shared" si="16"/>
        <v/>
      </c>
      <c r="AD159" s="468"/>
      <c r="AE159" s="468"/>
      <c r="AF159" s="4"/>
      <c r="AG159" s="88"/>
      <c r="AH159" s="4"/>
      <c r="AI159" s="4"/>
      <c r="AJ159" s="468"/>
      <c r="AK159" s="468"/>
      <c r="AL159" s="468"/>
      <c r="AM159" s="468"/>
      <c r="AN159" s="10"/>
      <c r="AO159" s="9"/>
      <c r="AP159" s="9"/>
      <c r="AQ159" s="9">
        <f>+FL_1($U$160,$T$158,$G$159,1200,9.28,-1*$F$160)</f>
        <v>0.3039496246673426</v>
      </c>
      <c r="AR159" s="9"/>
      <c r="AS159" s="9"/>
      <c r="AT159" s="9"/>
      <c r="AU159" s="447"/>
      <c r="AV159" s="447"/>
      <c r="AW159" s="468" t="str">
        <f>IF(C159&gt;0,VLOOKUP(C159,Foundation_Calc!$A$2:$C$13,3,1),
IF(J159&gt;0,VLOOKUP(J159,Foundation_Calc!$A$2:$C$13,3,1),""))</f>
        <v>MultiSoil</v>
      </c>
      <c r="AX159" s="468" t="str">
        <f>IF(C159&gt;0,VLOOKUP(C159,Foundation_Calc!$E$2:$G$13,3,1),
IF(J159&gt;0,VLOOKUP(J159,Foundation_Calc!$E$2:$G$13,3,1),""))</f>
        <v>PT</v>
      </c>
      <c r="AY159" s="10" t="str">
        <f>IF(L159="","",
IF(AX159="PT",VLOOKUP(L159,Foundation_Calc!$K$4:$R$37,VLOOKUP(AW159,Foundation_Calc!$I$2:$J$8,2,FALSE),0),
IF(AX159="K",VLOOKUP(L159,Foundation_Calc!$K$41:$R$74,VLOOKUP(AW159,Foundation_Calc!$I$2:$J$8,2,FALSE),0),"")))</f>
        <v/>
      </c>
      <c r="AZ159" s="10">
        <f>IF(K159="","",
IF(AX159="PT",VLOOKUP(K159,Foundation_Calc!$K$4:$R$37,VLOOKUP(AW159,Foundation_Calc!$I$2:$J$8,2,FALSE),0),
IF(AX159="K",VLOOKUP(K159,Foundation_Calc!$K$41:$R$74,VLOOKUP(AW159,Foundation_Calc!$I$2:$J$8,2,FALSE),0),"")))</f>
        <v>2.8</v>
      </c>
      <c r="BA159" s="553" t="str">
        <f t="shared" si="17"/>
        <v/>
      </c>
      <c r="BB159" s="553" t="str">
        <f t="shared" si="18"/>
        <v>ü</v>
      </c>
      <c r="BC159" s="553" t="str">
        <f t="shared" si="19"/>
        <v/>
      </c>
      <c r="BD159" s="572" t="str">
        <f>IF(AND(L159="",H159=""),"",
IF(H159="",Pole_Calc!A$22,
IF(H159="MP",Pole_Calc!A$23,
IF(H159="AnMP",Pole_Calc!A$24,
IF(H159="A",Pole_Calc!A$25,
IF(H159="S/A",Pole_Calc!A$26,
IF(H159="A/S",Pole_Calc!A$27,"Poner a mano")))))))</f>
        <v/>
      </c>
      <c r="BE159" s="448" t="s">
        <v>1726</v>
      </c>
      <c r="BF159" s="306"/>
      <c r="BG159" s="306"/>
      <c r="BH159" s="306"/>
      <c r="BI159" s="306"/>
    </row>
    <row r="160" spans="1:61" ht="16.2" customHeight="1">
      <c r="A160" s="573" t="s">
        <v>2364</v>
      </c>
      <c r="B160" s="469" t="s">
        <v>1804</v>
      </c>
      <c r="C160" s="3">
        <f>+$C$158+$G$159</f>
        <v>3365.2299999999991</v>
      </c>
      <c r="D160" s="88"/>
      <c r="E160" s="4"/>
      <c r="F160" s="4">
        <v>-2610.27</v>
      </c>
      <c r="G160" s="6"/>
      <c r="H160" s="468" t="s">
        <v>179</v>
      </c>
      <c r="I160" s="468" t="s">
        <v>653</v>
      </c>
      <c r="J160" s="3"/>
      <c r="K160" s="468"/>
      <c r="L160" s="468" t="s">
        <v>448</v>
      </c>
      <c r="M160" s="468" t="str">
        <f>IF(L160="","",
IF(AX160="PT",VLOOKUP(L160,Foundation_Calc!$V$4:$X$37,VLOOKUP(AX160,Foundation_Calc!$I$10:$J$13,2,FALSE),0),
IF(AX160="K",VLOOKUP(L160,Foundation_Calc!$V$41:$X$74,VLOOKUP(AX160,Foundation_Calc!$I$10:$J$13,2,FALSE),0),"")))</f>
        <v>2C3SR</v>
      </c>
      <c r="N160" s="468" t="s">
        <v>28</v>
      </c>
      <c r="O160" s="468" t="s">
        <v>33</v>
      </c>
      <c r="P160" s="468"/>
      <c r="Q160" s="4"/>
      <c r="R160" s="6"/>
      <c r="S160" s="6"/>
      <c r="T160" s="4">
        <v>35</v>
      </c>
      <c r="U160" s="4">
        <v>-10</v>
      </c>
      <c r="V160" s="4"/>
      <c r="W160" s="9">
        <v>1.4</v>
      </c>
      <c r="X160" s="9">
        <v>2.2999999999999998</v>
      </c>
      <c r="Y160" s="9"/>
      <c r="Z160" s="9">
        <v>0.5</v>
      </c>
      <c r="AA160" s="9"/>
      <c r="AB160" s="9"/>
      <c r="AC160" s="468"/>
      <c r="AD160" s="468"/>
      <c r="AE160" s="468"/>
      <c r="AF160" s="4"/>
      <c r="AG160" s="88"/>
      <c r="AH160" s="4"/>
      <c r="AI160" s="4"/>
      <c r="AJ160" s="468" t="s">
        <v>1162</v>
      </c>
      <c r="AK160" s="468"/>
      <c r="AL160" s="468"/>
      <c r="AM160" s="468" t="s">
        <v>486</v>
      </c>
      <c r="AN160" s="10">
        <v>5.5</v>
      </c>
      <c r="AO160" s="9"/>
      <c r="AP160" s="9"/>
      <c r="AQ160" s="9"/>
      <c r="AR160" s="9"/>
      <c r="AS160" s="9"/>
      <c r="AT160" s="9">
        <f>+ab($U$160,$T$158,$U$162,$G$159,$G$161,-1*$F$160,1200)</f>
        <v>14.822663481405193</v>
      </c>
      <c r="AU160" s="447"/>
      <c r="AV160" s="447"/>
      <c r="AW160" s="468" t="str">
        <f>IF(C160&gt;0,VLOOKUP(C160,Foundation_Calc!$A$2:$C$13,3,1),
IF(J160&gt;0,VLOOKUP(J160,Foundation_Calc!$A$2:$C$13,3,1),""))</f>
        <v>MultiSoil</v>
      </c>
      <c r="AX160" s="468" t="str">
        <f>IF(C160&gt;0,VLOOKUP(C160,Foundation_Calc!$E$2:$G$13,3,1),
IF(J160&gt;0,VLOOKUP(J160,Foundation_Calc!$E$2:$G$13,3,1),""))</f>
        <v>PT</v>
      </c>
      <c r="AY160" s="10">
        <f>IF(L160="","",
IF(AX160="PT",VLOOKUP(L160,Foundation_Calc!$K$4:$R$37,VLOOKUP(AW160,Foundation_Calc!$I$2:$J$8,2,FALSE),0),
IF(AX160="K",VLOOKUP(L160,Foundation_Calc!$K$41:$R$74,VLOOKUP(AW160,Foundation_Calc!$I$2:$J$8,2,FALSE),0),"")))</f>
        <v>3.9</v>
      </c>
      <c r="AZ160" s="10" t="str">
        <f>IF(K160="","",
IF(AX160="PT",VLOOKUP(K160,Foundation_Calc!$K$4:$R$37,VLOOKUP(AW160,Foundation_Calc!$I$2:$J$8,2,FALSE),0),
IF(AX160="K",VLOOKUP(K160,Foundation_Calc!$K$41:$R$74,VLOOKUP(AW160,Foundation_Calc!$I$2:$J$8,2,FALSE),0),"")))</f>
        <v/>
      </c>
      <c r="BA160" s="553" t="str">
        <f t="shared" si="17"/>
        <v>ü</v>
      </c>
      <c r="BB160" s="553" t="str">
        <f t="shared" si="18"/>
        <v/>
      </c>
      <c r="BC160" s="553" t="str">
        <f t="shared" si="19"/>
        <v/>
      </c>
      <c r="BD160" s="572" t="str">
        <f>IF(AND(L160="",H160=""),"",
IF(H160="",Pole_Calc!A$22,
IF(H160="MP",Pole_Calc!A$23,
IF(H160="AnMP",Pole_Calc!A$24,
IF(H160="A",Pole_Calc!A$25,
IF(H160="S/A",Pole_Calc!A$26,
IF(H160="A/S",Pole_Calc!A$27,"Poner a mano")))))))</f>
        <v>App.7-V11H-P9.5.2.5</v>
      </c>
      <c r="BE160" s="448" t="s">
        <v>1726</v>
      </c>
      <c r="BF160" s="305"/>
      <c r="BG160" s="305"/>
      <c r="BH160" s="306"/>
      <c r="BI160" s="305"/>
    </row>
    <row r="161" spans="1:61" ht="16.2" customHeight="1">
      <c r="A161" s="573"/>
      <c r="B161" s="469"/>
      <c r="C161" s="3"/>
      <c r="D161" s="88"/>
      <c r="E161" s="4"/>
      <c r="F161" s="4"/>
      <c r="G161" s="6">
        <v>52.9</v>
      </c>
      <c r="H161" s="468"/>
      <c r="I161" s="468" t="s">
        <v>482</v>
      </c>
      <c r="J161" s="3">
        <f>C160+7.5</f>
        <v>3372.7299999999991</v>
      </c>
      <c r="K161" s="468" t="s">
        <v>1096</v>
      </c>
      <c r="L161" s="468"/>
      <c r="M161" s="468" t="str">
        <f>IF(L161="","",
IF(AX161="PT",VLOOKUP(L161,Foundation_Calc!$V$4:$X$37,VLOOKUP(AX161,Foundation_Calc!$I$10:$J$13,2,FALSE),0),
IF(AX161="K",VLOOKUP(L161,Foundation_Calc!$V$41:$X$74,VLOOKUP(AX161,Foundation_Calc!$I$10:$J$13,2,FALSE),0),"")))</f>
        <v/>
      </c>
      <c r="N161" s="468"/>
      <c r="O161" s="468"/>
      <c r="P161" s="468"/>
      <c r="Q161" s="4"/>
      <c r="R161" s="6"/>
      <c r="S161" s="6"/>
      <c r="T161" s="4"/>
      <c r="U161" s="4"/>
      <c r="V161" s="4"/>
      <c r="W161" s="9"/>
      <c r="X161" s="9"/>
      <c r="Y161" s="9"/>
      <c r="Z161" s="9"/>
      <c r="AA161" s="9"/>
      <c r="AB161" s="9"/>
      <c r="AC161" s="468" t="str">
        <f t="shared" si="16"/>
        <v/>
      </c>
      <c r="AD161" s="468"/>
      <c r="AE161" s="468"/>
      <c r="AF161" s="4"/>
      <c r="AG161" s="88"/>
      <c r="AH161" s="4"/>
      <c r="AI161" s="4"/>
      <c r="AJ161" s="468"/>
      <c r="AK161" s="468"/>
      <c r="AL161" s="468"/>
      <c r="AM161" s="468"/>
      <c r="AN161" s="10"/>
      <c r="AO161" s="9"/>
      <c r="AP161" s="9"/>
      <c r="AQ161" s="9">
        <f>+FL_2($T$162,$U$160,$G$161,1200,9.28,-1*$F$162)</f>
        <v>-0.35280082578241945</v>
      </c>
      <c r="AR161" s="9"/>
      <c r="AS161" s="9"/>
      <c r="AT161" s="9"/>
      <c r="AU161" s="447"/>
      <c r="AV161" s="447"/>
      <c r="AW161" s="468" t="str">
        <f>IF(C161&gt;0,VLOOKUP(C161,Foundation_Calc!$A$2:$C$13,3,1),
IF(J161&gt;0,VLOOKUP(J161,Foundation_Calc!$A$2:$C$13,3,1),""))</f>
        <v>MultiSoil</v>
      </c>
      <c r="AX161" s="468" t="str">
        <f>IF(C161&gt;0,VLOOKUP(C161,Foundation_Calc!$E$2:$G$13,3,1),
IF(J161&gt;0,VLOOKUP(J161,Foundation_Calc!$E$2:$G$13,3,1),""))</f>
        <v>PT</v>
      </c>
      <c r="AY161" s="10" t="str">
        <f>IF(L161="","",
IF(AX161="PT",VLOOKUP(L161,Foundation_Calc!$K$4:$R$37,VLOOKUP(AW161,Foundation_Calc!$I$2:$J$8,2,FALSE),0),
IF(AX161="K",VLOOKUP(L161,Foundation_Calc!$K$41:$R$74,VLOOKUP(AW161,Foundation_Calc!$I$2:$J$8,2,FALSE),0),"")))</f>
        <v/>
      </c>
      <c r="AZ161" s="10">
        <f>IF(K161="","",
IF(AX161="PT",VLOOKUP(K161,Foundation_Calc!$K$4:$R$37,VLOOKUP(AW161,Foundation_Calc!$I$2:$J$8,2,FALSE),0),
IF(AX161="K",VLOOKUP(K161,Foundation_Calc!$K$41:$R$74,VLOOKUP(AW161,Foundation_Calc!$I$2:$J$8,2,FALSE),0),"")))</f>
        <v>2.8</v>
      </c>
      <c r="BA161" s="553" t="str">
        <f t="shared" si="17"/>
        <v/>
      </c>
      <c r="BB161" s="553" t="str">
        <f t="shared" si="18"/>
        <v>ü</v>
      </c>
      <c r="BC161" s="553" t="str">
        <f t="shared" si="19"/>
        <v/>
      </c>
      <c r="BD161" s="572" t="str">
        <f>IF(AND(L161="",H161=""),"",
IF(H161="",Pole_Calc!A$22,
IF(H161="MP",Pole_Calc!A$23,
IF(H161="AnMP",Pole_Calc!A$24,
IF(H161="A",Pole_Calc!A$25,
IF(H161="S/A",Pole_Calc!A$26,
IF(H161="A/S",Pole_Calc!A$27,"Poner a mano")))))))</f>
        <v/>
      </c>
      <c r="BE161" s="448" t="s">
        <v>1726</v>
      </c>
      <c r="BF161" s="306"/>
      <c r="BG161" s="306"/>
      <c r="BH161" s="306"/>
      <c r="BI161" s="306"/>
    </row>
    <row r="162" spans="1:61" ht="16.2" customHeight="1">
      <c r="A162" s="573"/>
      <c r="B162" s="469" t="s">
        <v>1805</v>
      </c>
      <c r="C162" s="3">
        <f>+$C$160+$G$161</f>
        <v>3418.1299999999992</v>
      </c>
      <c r="D162" s="88"/>
      <c r="E162" s="4"/>
      <c r="F162" s="4">
        <v>-2200</v>
      </c>
      <c r="G162" s="6"/>
      <c r="H162" s="468" t="s">
        <v>179</v>
      </c>
      <c r="I162" s="468"/>
      <c r="J162" s="3"/>
      <c r="K162" s="468"/>
      <c r="L162" s="468" t="s">
        <v>448</v>
      </c>
      <c r="M162" s="468" t="str">
        <f>IF(L162="","",
IF(AX162="PT",VLOOKUP(L162,Foundation_Calc!$V$4:$X$37,VLOOKUP(AX162,Foundation_Calc!$I$10:$J$13,2,FALSE),0),
IF(AX162="K",VLOOKUP(L162,Foundation_Calc!$V$41:$X$74,VLOOKUP(AX162,Foundation_Calc!$I$10:$J$13,2,FALSE),0),"")))</f>
        <v>2C3SR</v>
      </c>
      <c r="N162" s="468" t="s">
        <v>33</v>
      </c>
      <c r="O162" s="468" t="s">
        <v>28</v>
      </c>
      <c r="P162" s="468"/>
      <c r="Q162" s="4"/>
      <c r="R162" s="6"/>
      <c r="S162" s="6"/>
      <c r="T162" s="4">
        <v>30</v>
      </c>
      <c r="U162" s="4">
        <v>-15</v>
      </c>
      <c r="V162" s="4"/>
      <c r="W162" s="9">
        <v>1.4</v>
      </c>
      <c r="X162" s="9">
        <v>2.2999999999999998</v>
      </c>
      <c r="Y162" s="9"/>
      <c r="Z162" s="9"/>
      <c r="AA162" s="9">
        <v>0.5</v>
      </c>
      <c r="AB162" s="9"/>
      <c r="AC162" s="468" t="str">
        <f t="shared" si="16"/>
        <v>PH</v>
      </c>
      <c r="AD162" s="468"/>
      <c r="AE162" s="468"/>
      <c r="AF162" s="4"/>
      <c r="AG162" s="88"/>
      <c r="AH162" s="4"/>
      <c r="AI162" s="4"/>
      <c r="AJ162" s="468"/>
      <c r="AK162" s="468"/>
      <c r="AL162" s="468"/>
      <c r="AM162" s="468" t="s">
        <v>486</v>
      </c>
      <c r="AN162" s="10">
        <v>5.5</v>
      </c>
      <c r="AO162" s="9"/>
      <c r="AP162" s="9"/>
      <c r="AQ162" s="9"/>
      <c r="AR162" s="9"/>
      <c r="AS162" s="9"/>
      <c r="AT162" s="9">
        <f>+ab($T$162,$T$160,$T$164,$G$161,$G$163,-1*$F$162,1200)</f>
        <v>8.2494613397528873</v>
      </c>
      <c r="AU162" s="447"/>
      <c r="AV162" s="447"/>
      <c r="AW162" s="468" t="str">
        <f>IF(C162&gt;0,VLOOKUP(C162,Foundation_Calc!$A$2:$C$13,3,1),
IF(J162&gt;0,VLOOKUP(J162,Foundation_Calc!$A$2:$C$13,3,1),""))</f>
        <v>MultiSoil</v>
      </c>
      <c r="AX162" s="468" t="str">
        <f>IF(C162&gt;0,VLOOKUP(C162,Foundation_Calc!$E$2:$G$13,3,1),
IF(J162&gt;0,VLOOKUP(J162,Foundation_Calc!$E$2:$G$13,3,1),""))</f>
        <v>PT</v>
      </c>
      <c r="AY162" s="10">
        <f>IF(L162="","",
IF(AX162="PT",VLOOKUP(L162,Foundation_Calc!$K$4:$R$37,VLOOKUP(AW162,Foundation_Calc!$I$2:$J$8,2,FALSE),0),
IF(AX162="K",VLOOKUP(L162,Foundation_Calc!$K$41:$R$74,VLOOKUP(AW162,Foundation_Calc!$I$2:$J$8,2,FALSE),0),"")))</f>
        <v>3.9</v>
      </c>
      <c r="AZ162" s="10" t="str">
        <f>IF(K162="","",
IF(AX162="PT",VLOOKUP(K162,Foundation_Calc!$K$4:$R$37,VLOOKUP(AW162,Foundation_Calc!$I$2:$J$8,2,FALSE),0),
IF(AX162="K",VLOOKUP(K162,Foundation_Calc!$K$41:$R$74,VLOOKUP(AW162,Foundation_Calc!$I$2:$J$8,2,FALSE),0),"")))</f>
        <v/>
      </c>
      <c r="BA162" s="553" t="str">
        <f t="shared" si="17"/>
        <v>ü</v>
      </c>
      <c r="BB162" s="553" t="str">
        <f t="shared" si="18"/>
        <v/>
      </c>
      <c r="BC162" s="553" t="str">
        <f t="shared" si="19"/>
        <v/>
      </c>
      <c r="BD162" s="572" t="str">
        <f>IF(AND(L162="",H162=""),"",
IF(H162="",Pole_Calc!A$22,
IF(H162="MP",Pole_Calc!A$23,
IF(H162="AnMP",Pole_Calc!A$24,
IF(H162="A",Pole_Calc!A$25,
IF(H162="S/A",Pole_Calc!A$26,
IF(H162="A/S",Pole_Calc!A$27,"Poner a mano")))))))</f>
        <v>App.7-V11H-P9.5.2.5</v>
      </c>
      <c r="BE162" s="448" t="s">
        <v>1726</v>
      </c>
      <c r="BF162" s="305"/>
      <c r="BG162" s="305"/>
      <c r="BH162" s="306"/>
      <c r="BI162" s="305"/>
    </row>
    <row r="163" spans="1:61" ht="16.2" customHeight="1">
      <c r="A163" s="573"/>
      <c r="B163" s="469"/>
      <c r="C163" s="3"/>
      <c r="D163" s="88"/>
      <c r="E163" s="4"/>
      <c r="F163" s="4"/>
      <c r="G163" s="6">
        <v>52.9</v>
      </c>
      <c r="H163" s="468"/>
      <c r="I163" s="4">
        <f>SUM(G149:G163)</f>
        <v>406.69999999999993</v>
      </c>
      <c r="J163" s="3"/>
      <c r="K163" s="468"/>
      <c r="L163" s="468"/>
      <c r="M163" s="468" t="str">
        <f>IF(L163="","",
IF(AX163="PT",VLOOKUP(L163,Foundation_Calc!$V$4:$X$37,VLOOKUP(AX163,Foundation_Calc!$I$10:$J$13,2,FALSE),0),
IF(AX163="K",VLOOKUP(L163,Foundation_Calc!$V$41:$X$74,VLOOKUP(AX163,Foundation_Calc!$I$10:$J$13,2,FALSE),0),"")))</f>
        <v/>
      </c>
      <c r="N163" s="468"/>
      <c r="O163" s="468"/>
      <c r="P163" s="468"/>
      <c r="Q163" s="4"/>
      <c r="R163" s="6"/>
      <c r="S163" s="6"/>
      <c r="T163" s="4"/>
      <c r="U163" s="4"/>
      <c r="V163" s="4"/>
      <c r="W163" s="9"/>
      <c r="X163" s="9"/>
      <c r="Y163" s="9"/>
      <c r="Z163" s="9"/>
      <c r="AA163" s="9"/>
      <c r="AB163" s="9"/>
      <c r="AC163" s="468" t="str">
        <f t="shared" si="16"/>
        <v/>
      </c>
      <c r="AD163" s="468"/>
      <c r="AE163" s="468"/>
      <c r="AF163" s="4"/>
      <c r="AG163" s="88"/>
      <c r="AH163" s="4"/>
      <c r="AI163" s="4"/>
      <c r="AJ163" s="468"/>
      <c r="AK163" s="468"/>
      <c r="AL163" s="468"/>
      <c r="AM163" s="468"/>
      <c r="AN163" s="10"/>
      <c r="AO163" s="9"/>
      <c r="AP163" s="9"/>
      <c r="AQ163" s="9">
        <f>+FL_1($T$164,$T$162,$G$163,1200,9.28,-1*$F$164)</f>
        <v>0.41150665234679895</v>
      </c>
      <c r="AR163" s="9"/>
      <c r="AS163" s="9"/>
      <c r="AT163" s="9"/>
      <c r="AU163" s="447"/>
      <c r="AV163" s="447"/>
      <c r="AW163" s="468" t="str">
        <f>IF(C163&gt;0,VLOOKUP(C163,Foundation_Calc!$A$2:$C$13,3,1),
IF(J163&gt;0,VLOOKUP(J163,Foundation_Calc!$A$2:$C$13,3,1),""))</f>
        <v/>
      </c>
      <c r="AX163" s="468" t="str">
        <f>IF(C163&gt;0,VLOOKUP(C163,Foundation_Calc!$E$2:$G$13,3,1),
IF(J163&gt;0,VLOOKUP(J163,Foundation_Calc!$E$2:$G$13,3,1),""))</f>
        <v/>
      </c>
      <c r="AY163" s="10" t="str">
        <f>IF(L163="","",
IF(AX163="PT",VLOOKUP(L163,Foundation_Calc!$K$4:$R$37,VLOOKUP(AW163,Foundation_Calc!$I$2:$J$8,2,FALSE),0),
IF(AX163="K",VLOOKUP(L163,Foundation_Calc!$K$41:$R$74,VLOOKUP(AW163,Foundation_Calc!$I$2:$J$8,2,FALSE),0),"")))</f>
        <v/>
      </c>
      <c r="AZ163" s="10" t="str">
        <f>IF(K163="","",
IF(AX163="PT",VLOOKUP(K163,Foundation_Calc!$K$4:$R$37,VLOOKUP(AW163,Foundation_Calc!$I$2:$J$8,2,FALSE),0),
IF(AX163="K",VLOOKUP(K163,Foundation_Calc!$K$41:$R$74,VLOOKUP(AW163,Foundation_Calc!$I$2:$J$8,2,FALSE),0),"")))</f>
        <v/>
      </c>
      <c r="BA163" s="553" t="str">
        <f t="shared" si="17"/>
        <v/>
      </c>
      <c r="BB163" s="553" t="str">
        <f t="shared" si="18"/>
        <v/>
      </c>
      <c r="BC163" s="553" t="str">
        <f t="shared" si="19"/>
        <v/>
      </c>
      <c r="BD163" s="572" t="str">
        <f>IF(AND(L163="",H163=""),"",
IF(H163="",Pole_Calc!A$22,
IF(H163="MP",Pole_Calc!A$23,
IF(H163="AnMP",Pole_Calc!A$24,
IF(H163="A",Pole_Calc!A$25,
IF(H163="S/A",Pole_Calc!A$26,
IF(H163="A/S",Pole_Calc!A$27,"Poner a mano")))))))</f>
        <v/>
      </c>
      <c r="BE163" s="448" t="s">
        <v>1726</v>
      </c>
      <c r="BF163" s="306"/>
      <c r="BG163" s="306"/>
      <c r="BH163" s="306"/>
      <c r="BI163" s="306"/>
    </row>
    <row r="164" spans="1:61" ht="16.2" customHeight="1">
      <c r="A164" s="573"/>
      <c r="B164" s="469" t="s">
        <v>1806</v>
      </c>
      <c r="C164" s="3">
        <f>+$C$162+$G$163</f>
        <v>3471.0299999999993</v>
      </c>
      <c r="D164" s="88"/>
      <c r="E164" s="4"/>
      <c r="F164" s="4">
        <v>-2200</v>
      </c>
      <c r="G164" s="6"/>
      <c r="H164" s="468" t="s">
        <v>26</v>
      </c>
      <c r="I164" s="468" t="s">
        <v>182</v>
      </c>
      <c r="J164" s="3"/>
      <c r="K164" s="468"/>
      <c r="L164" s="468" t="s">
        <v>453</v>
      </c>
      <c r="M164" s="468" t="str">
        <f>IF(L164="","",
IF(AX164="PT",VLOOKUP(L164,Foundation_Calc!$V$4:$X$37,VLOOKUP(AX164,Foundation_Calc!$I$10:$J$13,2,FALSE),0),
IF(AX164="K",VLOOKUP(L164,Foundation_Calc!$V$41:$X$74,VLOOKUP(AX164,Foundation_Calc!$I$10:$J$13,2,FALSE),0),"")))</f>
        <v>C5SR</v>
      </c>
      <c r="N164" s="468" t="s">
        <v>33</v>
      </c>
      <c r="O164" s="468"/>
      <c r="P164" s="468"/>
      <c r="Q164" s="4"/>
      <c r="R164" s="6"/>
      <c r="S164" s="6"/>
      <c r="T164" s="4">
        <v>30</v>
      </c>
      <c r="U164" s="4"/>
      <c r="V164" s="4"/>
      <c r="W164" s="9">
        <v>1.4</v>
      </c>
      <c r="X164" s="9"/>
      <c r="Y164" s="9"/>
      <c r="Z164" s="9"/>
      <c r="AA164" s="9"/>
      <c r="AB164" s="9"/>
      <c r="AC164" s="468" t="str">
        <f t="shared" si="16"/>
        <v>PHQ</v>
      </c>
      <c r="AD164" s="468"/>
      <c r="AE164" s="468"/>
      <c r="AF164" s="4"/>
      <c r="AG164" s="88"/>
      <c r="AH164" s="4"/>
      <c r="AI164" s="4"/>
      <c r="AJ164" s="468"/>
      <c r="AK164" s="468"/>
      <c r="AL164" s="468"/>
      <c r="AM164" s="468" t="s">
        <v>486</v>
      </c>
      <c r="AN164" s="10">
        <v>5.5</v>
      </c>
      <c r="AO164" s="9"/>
      <c r="AP164" s="9"/>
      <c r="AQ164" s="9"/>
      <c r="AR164" s="9"/>
      <c r="AS164" s="9"/>
      <c r="AT164" s="9">
        <f>+ab($T$164,$T$162,$T$166,$G$163,$G$165,-1*$F$164,1200)</f>
        <v>7.9293984913306579</v>
      </c>
      <c r="AU164" s="447"/>
      <c r="AV164" s="447"/>
      <c r="AW164" s="468" t="str">
        <f>IF(C164&gt;0,VLOOKUP(C164,Foundation_Calc!$A$2:$C$13,3,1),
IF(J164&gt;0,VLOOKUP(J164,Foundation_Calc!$A$2:$C$13,3,1),""))</f>
        <v>MultiSoil</v>
      </c>
      <c r="AX164" s="468" t="str">
        <f>IF(C164&gt;0,VLOOKUP(C164,Foundation_Calc!$E$2:$G$13,3,1),
IF(J164&gt;0,VLOOKUP(J164,Foundation_Calc!$E$2:$G$13,3,1),""))</f>
        <v>PT</v>
      </c>
      <c r="AY164" s="10">
        <f>IF(L164="","",
IF(AX164="PT",VLOOKUP(L164,Foundation_Calc!$K$4:$R$37,VLOOKUP(AW164,Foundation_Calc!$I$2:$J$8,2,FALSE),0),
IF(AX164="K",VLOOKUP(L164,Foundation_Calc!$K$41:$R$74,VLOOKUP(AW164,Foundation_Calc!$I$2:$J$8,2,FALSE),0),"")))</f>
        <v>3.7</v>
      </c>
      <c r="AZ164" s="10" t="str">
        <f>IF(K164="","",
IF(AX164="PT",VLOOKUP(K164,Foundation_Calc!$K$4:$R$37,VLOOKUP(AW164,Foundation_Calc!$I$2:$J$8,2,FALSE),0),
IF(AX164="K",VLOOKUP(K164,Foundation_Calc!$K$41:$R$74,VLOOKUP(AW164,Foundation_Calc!$I$2:$J$8,2,FALSE),0),"")))</f>
        <v/>
      </c>
      <c r="BA164" s="553" t="str">
        <f t="shared" si="17"/>
        <v>ü</v>
      </c>
      <c r="BB164" s="553" t="str">
        <f t="shared" si="18"/>
        <v/>
      </c>
      <c r="BC164" s="553" t="str">
        <f t="shared" si="19"/>
        <v/>
      </c>
      <c r="BD164" s="572" t="str">
        <f>IF(AND(L164="",H164=""),"",
IF(H164="",Pole_Calc!A$22,
IF(H164="MP",Pole_Calc!A$23,
IF(H164="AnMP",Pole_Calc!A$24,
IF(H164="A",Pole_Calc!A$25,
IF(H164="S/A",Pole_Calc!A$26,
IF(H164="A/S",Pole_Calc!A$27,"Poner a mano")))))))</f>
        <v>App.7-V11H-P9.5.2.6</v>
      </c>
      <c r="BE164" s="448" t="s">
        <v>1726</v>
      </c>
      <c r="BF164" s="305"/>
      <c r="BG164" s="305"/>
      <c r="BH164" s="306"/>
      <c r="BI164" s="305"/>
    </row>
    <row r="165" spans="1:61" ht="16.2" customHeight="1">
      <c r="A165" s="573"/>
      <c r="B165" s="469"/>
      <c r="C165" s="3"/>
      <c r="D165" s="88"/>
      <c r="E165" s="4"/>
      <c r="F165" s="4"/>
      <c r="G165" s="6">
        <v>52.9</v>
      </c>
      <c r="H165" s="468"/>
      <c r="I165" s="468"/>
      <c r="J165" s="3">
        <f>C164+7.5</f>
        <v>3478.5299999999993</v>
      </c>
      <c r="K165" s="468" t="s">
        <v>1095</v>
      </c>
      <c r="L165" s="468"/>
      <c r="M165" s="468" t="str">
        <f>IF(L165="","",
IF(AX165="PT",VLOOKUP(L165,Foundation_Calc!$V$4:$X$37,VLOOKUP(AX165,Foundation_Calc!$I$10:$J$13,2,FALSE),0),
IF(AX165="K",VLOOKUP(L165,Foundation_Calc!$V$41:$X$74,VLOOKUP(AX165,Foundation_Calc!$I$10:$J$13,2,FALSE),0),"")))</f>
        <v/>
      </c>
      <c r="N165" s="468"/>
      <c r="O165" s="468"/>
      <c r="P165" s="468"/>
      <c r="Q165" s="4"/>
      <c r="R165" s="6"/>
      <c r="S165" s="6"/>
      <c r="T165" s="4"/>
      <c r="U165" s="4"/>
      <c r="V165" s="4"/>
      <c r="W165" s="9"/>
      <c r="X165" s="9"/>
      <c r="Y165" s="9"/>
      <c r="Z165" s="9"/>
      <c r="AA165" s="9"/>
      <c r="AB165" s="9"/>
      <c r="AC165" s="468" t="str">
        <f t="shared" si="16"/>
        <v/>
      </c>
      <c r="AD165" s="468"/>
      <c r="AE165" s="468"/>
      <c r="AF165" s="4"/>
      <c r="AG165" s="88"/>
      <c r="AH165" s="4"/>
      <c r="AI165" s="4"/>
      <c r="AJ165" s="468"/>
      <c r="AK165" s="468"/>
      <c r="AL165" s="468"/>
      <c r="AM165" s="468"/>
      <c r="AN165" s="10"/>
      <c r="AO165" s="9"/>
      <c r="AP165" s="9"/>
      <c r="AQ165" s="9">
        <f>+FL_1($T$166,$T$164,$G$165,1200,9.28,-1*$F$166)</f>
        <v>0.41150665234679895</v>
      </c>
      <c r="AR165" s="9"/>
      <c r="AS165" s="9"/>
      <c r="AT165" s="9"/>
      <c r="AU165" s="447"/>
      <c r="AV165" s="447"/>
      <c r="AW165" s="468" t="str">
        <f>IF(C165&gt;0,VLOOKUP(C165,Foundation_Calc!$A$2:$C$13,3,1),
IF(J165&gt;0,VLOOKUP(J165,Foundation_Calc!$A$2:$C$13,3,1),""))</f>
        <v>MultiSoil</v>
      </c>
      <c r="AX165" s="468" t="str">
        <f>IF(C165&gt;0,VLOOKUP(C165,Foundation_Calc!$E$2:$G$13,3,1),
IF(J165&gt;0,VLOOKUP(J165,Foundation_Calc!$E$2:$G$13,3,1),""))</f>
        <v>PT</v>
      </c>
      <c r="AY165" s="10" t="str">
        <f>IF(L165="","",
IF(AX165="PT",VLOOKUP(L165,Foundation_Calc!$K$4:$R$37,VLOOKUP(AW165,Foundation_Calc!$I$2:$J$8,2,FALSE),0),
IF(AX165="K",VLOOKUP(L165,Foundation_Calc!$K$41:$R$74,VLOOKUP(AW165,Foundation_Calc!$I$2:$J$8,2,FALSE),0),"")))</f>
        <v/>
      </c>
      <c r="AZ165" s="10">
        <f>IF(K165="","",
IF(AX165="PT",VLOOKUP(K165,Foundation_Calc!$K$4:$R$37,VLOOKUP(AW165,Foundation_Calc!$I$2:$J$8,2,FALSE),0),
IF(AX165="K",VLOOKUP(K165,Foundation_Calc!$K$41:$R$74,VLOOKUP(AW165,Foundation_Calc!$I$2:$J$8,2,FALSE),0),"")))</f>
        <v>3.9</v>
      </c>
      <c r="BA165" s="553" t="str">
        <f t="shared" si="17"/>
        <v/>
      </c>
      <c r="BB165" s="553" t="str">
        <f t="shared" si="18"/>
        <v>ü</v>
      </c>
      <c r="BC165" s="553" t="str">
        <f t="shared" si="19"/>
        <v/>
      </c>
      <c r="BD165" s="572" t="str">
        <f>IF(AND(L165="",H165=""),"",
IF(H165="",Pole_Calc!A$22,
IF(H165="MP",Pole_Calc!A$23,
IF(H165="AnMP",Pole_Calc!A$24,
IF(H165="A",Pole_Calc!A$25,
IF(H165="S/A",Pole_Calc!A$26,
IF(H165="A/S",Pole_Calc!A$27,"Poner a mano")))))))</f>
        <v/>
      </c>
      <c r="BE165" s="448" t="s">
        <v>1726</v>
      </c>
      <c r="BF165" s="306"/>
      <c r="BG165" s="306"/>
      <c r="BH165" s="306"/>
      <c r="BI165" s="306"/>
    </row>
    <row r="166" spans="1:61" ht="16.2" customHeight="1">
      <c r="A166" s="573"/>
      <c r="B166" s="469" t="s">
        <v>1807</v>
      </c>
      <c r="C166" s="3">
        <f>+$C$164+$G$165</f>
        <v>3523.9299999999994</v>
      </c>
      <c r="D166" s="88"/>
      <c r="E166" s="4"/>
      <c r="F166" s="4">
        <v>-2200</v>
      </c>
      <c r="G166" s="6"/>
      <c r="H166" s="468"/>
      <c r="I166" s="468"/>
      <c r="J166" s="3"/>
      <c r="K166" s="468"/>
      <c r="L166" s="468" t="s">
        <v>40</v>
      </c>
      <c r="M166" s="468" t="str">
        <f>IF(L166="","",
IF(AX166="PT",VLOOKUP(L166,Foundation_Calc!$V$4:$X$37,VLOOKUP(AX166,Foundation_Calc!$I$10:$J$13,2,FALSE),0),
IF(AX166="K",VLOOKUP(L166,Foundation_Calc!$V$41:$X$74,VLOOKUP(AX166,Foundation_Calc!$I$10:$J$13,2,FALSE),0),"")))</f>
        <v>C5SR</v>
      </c>
      <c r="N166" s="468" t="s">
        <v>33</v>
      </c>
      <c r="O166" s="468"/>
      <c r="P166" s="468"/>
      <c r="Q166" s="4"/>
      <c r="R166" s="6"/>
      <c r="S166" s="6"/>
      <c r="T166" s="4">
        <v>30</v>
      </c>
      <c r="U166" s="4"/>
      <c r="V166" s="4"/>
      <c r="W166" s="9">
        <v>1.4</v>
      </c>
      <c r="X166" s="9"/>
      <c r="Y166" s="9"/>
      <c r="Z166" s="9"/>
      <c r="AA166" s="9"/>
      <c r="AB166" s="9"/>
      <c r="AC166" s="468" t="str">
        <f t="shared" si="16"/>
        <v>PHQ</v>
      </c>
      <c r="AD166" s="468"/>
      <c r="AE166" s="468"/>
      <c r="AF166" s="4"/>
      <c r="AG166" s="88"/>
      <c r="AH166" s="4"/>
      <c r="AI166" s="4"/>
      <c r="AJ166" s="468"/>
      <c r="AK166" s="468"/>
      <c r="AL166" s="468"/>
      <c r="AM166" s="468" t="s">
        <v>486</v>
      </c>
      <c r="AN166" s="10">
        <v>5.5</v>
      </c>
      <c r="AO166" s="9"/>
      <c r="AP166" s="9"/>
      <c r="AQ166" s="9"/>
      <c r="AR166" s="9"/>
      <c r="AS166" s="9"/>
      <c r="AT166" s="9">
        <f>+ab($T$166,$T$164,$T$168,$G$165,$G$167,-1*$F$166,1200)</f>
        <v>7.9293984913306579</v>
      </c>
      <c r="AU166" s="447"/>
      <c r="AV166" s="447"/>
      <c r="AW166" s="468" t="str">
        <f>IF(C166&gt;0,VLOOKUP(C166,Foundation_Calc!$A$2:$C$13,3,1),
IF(J166&gt;0,VLOOKUP(J166,Foundation_Calc!$A$2:$C$13,3,1),""))</f>
        <v>MultiSoil</v>
      </c>
      <c r="AX166" s="468" t="str">
        <f>IF(C166&gt;0,VLOOKUP(C166,Foundation_Calc!$E$2:$G$13,3,1),
IF(J166&gt;0,VLOOKUP(J166,Foundation_Calc!$E$2:$G$13,3,1),""))</f>
        <v>PT</v>
      </c>
      <c r="AY166" s="10">
        <f>IF(L166="","",
IF(AX166="PT",VLOOKUP(L166,Foundation_Calc!$K$4:$R$37,VLOOKUP(AW166,Foundation_Calc!$I$2:$J$8,2,FALSE),0),
IF(AX166="K",VLOOKUP(L166,Foundation_Calc!$K$41:$R$74,VLOOKUP(AW166,Foundation_Calc!$I$2:$J$8,2,FALSE),0),"")))</f>
        <v>3.7</v>
      </c>
      <c r="AZ166" s="10" t="str">
        <f>IF(K166="","",
IF(AX166="PT",VLOOKUP(K166,Foundation_Calc!$K$4:$R$37,VLOOKUP(AW166,Foundation_Calc!$I$2:$J$8,2,FALSE),0),
IF(AX166="K",VLOOKUP(K166,Foundation_Calc!$K$41:$R$74,VLOOKUP(AW166,Foundation_Calc!$I$2:$J$8,2,FALSE),0),"")))</f>
        <v/>
      </c>
      <c r="BA166" s="553" t="str">
        <f t="shared" si="17"/>
        <v>ü</v>
      </c>
      <c r="BB166" s="553" t="str">
        <f t="shared" si="18"/>
        <v/>
      </c>
      <c r="BC166" s="553" t="str">
        <f t="shared" si="19"/>
        <v/>
      </c>
      <c r="BD166" s="572" t="str">
        <f>IF(AND(L166="",H166=""),"",
IF(H166="",Pole_Calc!A$22,
IF(H166="MP",Pole_Calc!A$23,
IF(H166="AnMP",Pole_Calc!A$24,
IF(H166="A",Pole_Calc!A$25,
IF(H166="S/A",Pole_Calc!A$26,
IF(H166="A/S",Pole_Calc!A$27,"Poner a mano")))))))</f>
        <v>App.7-V11H-P9.5.2.1</v>
      </c>
      <c r="BE166" s="448" t="s">
        <v>1726</v>
      </c>
      <c r="BF166" s="305"/>
      <c r="BG166" s="305"/>
      <c r="BH166" s="306"/>
      <c r="BI166" s="305"/>
    </row>
    <row r="167" spans="1:61" ht="16.2" customHeight="1">
      <c r="A167" s="573"/>
      <c r="B167" s="469"/>
      <c r="C167" s="3"/>
      <c r="D167" s="88"/>
      <c r="E167" s="4"/>
      <c r="F167" s="4"/>
      <c r="G167" s="6">
        <v>52.9</v>
      </c>
      <c r="H167" s="468"/>
      <c r="I167" s="468"/>
      <c r="J167" s="3"/>
      <c r="K167" s="468"/>
      <c r="L167" s="468"/>
      <c r="M167" s="468" t="str">
        <f>IF(L167="","",
IF(AX167="PT",VLOOKUP(L167,Foundation_Calc!$V$4:$X$37,VLOOKUP(AX167,Foundation_Calc!$I$10:$J$13,2,FALSE),0),
IF(AX167="K",VLOOKUP(L167,Foundation_Calc!$V$41:$X$74,VLOOKUP(AX167,Foundation_Calc!$I$10:$J$13,2,FALSE),0),"")))</f>
        <v/>
      </c>
      <c r="N167" s="468"/>
      <c r="O167" s="468"/>
      <c r="P167" s="468"/>
      <c r="Q167" s="4"/>
      <c r="R167" s="6"/>
      <c r="S167" s="6"/>
      <c r="T167" s="4"/>
      <c r="U167" s="4"/>
      <c r="V167" s="4"/>
      <c r="W167" s="9"/>
      <c r="X167" s="9"/>
      <c r="Y167" s="9"/>
      <c r="Z167" s="9"/>
      <c r="AA167" s="9"/>
      <c r="AB167" s="9"/>
      <c r="AC167" s="468" t="str">
        <f t="shared" si="16"/>
        <v/>
      </c>
      <c r="AD167" s="468"/>
      <c r="AE167" s="468"/>
      <c r="AF167" s="4"/>
      <c r="AG167" s="88"/>
      <c r="AH167" s="4"/>
      <c r="AI167" s="4"/>
      <c r="AJ167" s="468"/>
      <c r="AK167" s="468"/>
      <c r="AL167" s="468"/>
      <c r="AM167" s="468"/>
      <c r="AN167" s="10"/>
      <c r="AO167" s="9"/>
      <c r="AP167" s="9"/>
      <c r="AQ167" s="9">
        <f>+FL_1($T$168,$T$166,$G$167,1200,9.28,-1*$F$168)</f>
        <v>0.41150665234679895</v>
      </c>
      <c r="AR167" s="9"/>
      <c r="AS167" s="9"/>
      <c r="AT167" s="9"/>
      <c r="AU167" s="447"/>
      <c r="AV167" s="447"/>
      <c r="AW167" s="468" t="str">
        <f>IF(C167&gt;0,VLOOKUP(C167,Foundation_Calc!$A$2:$C$13,3,1),
IF(J167&gt;0,VLOOKUP(J167,Foundation_Calc!$A$2:$C$13,3,1),""))</f>
        <v/>
      </c>
      <c r="AX167" s="468" t="str">
        <f>IF(C167&gt;0,VLOOKUP(C167,Foundation_Calc!$E$2:$G$13,3,1),
IF(J167&gt;0,VLOOKUP(J167,Foundation_Calc!$E$2:$G$13,3,1),""))</f>
        <v/>
      </c>
      <c r="AY167" s="10" t="str">
        <f>IF(L167="","",
IF(AX167="PT",VLOOKUP(L167,Foundation_Calc!$K$4:$R$37,VLOOKUP(AW167,Foundation_Calc!$I$2:$J$8,2,FALSE),0),
IF(AX167="K",VLOOKUP(L167,Foundation_Calc!$K$41:$R$74,VLOOKUP(AW167,Foundation_Calc!$I$2:$J$8,2,FALSE),0),"")))</f>
        <v/>
      </c>
      <c r="AZ167" s="10" t="str">
        <f>IF(K167="","",
IF(AX167="PT",VLOOKUP(K167,Foundation_Calc!$K$4:$R$37,VLOOKUP(AW167,Foundation_Calc!$I$2:$J$8,2,FALSE),0),
IF(AX167="K",VLOOKUP(K167,Foundation_Calc!$K$41:$R$74,VLOOKUP(AW167,Foundation_Calc!$I$2:$J$8,2,FALSE),0),"")))</f>
        <v/>
      </c>
      <c r="BA167" s="553" t="str">
        <f t="shared" si="17"/>
        <v/>
      </c>
      <c r="BB167" s="553" t="str">
        <f t="shared" si="18"/>
        <v/>
      </c>
      <c r="BC167" s="553" t="str">
        <f t="shared" si="19"/>
        <v/>
      </c>
      <c r="BD167" s="572" t="str">
        <f>IF(AND(L167="",H167=""),"",
IF(H167="",Pole_Calc!A$22,
IF(H167="MP",Pole_Calc!A$23,
IF(H167="AnMP",Pole_Calc!A$24,
IF(H167="A",Pole_Calc!A$25,
IF(H167="S/A",Pole_Calc!A$26,
IF(H167="A/S",Pole_Calc!A$27,"Poner a mano")))))))</f>
        <v/>
      </c>
      <c r="BE167" s="448" t="s">
        <v>1726</v>
      </c>
      <c r="BF167" s="306"/>
      <c r="BG167" s="306"/>
      <c r="BH167" s="306"/>
      <c r="BI167" s="306"/>
    </row>
    <row r="168" spans="1:61" ht="16.2" customHeight="1">
      <c r="A168" s="573"/>
      <c r="B168" s="469" t="s">
        <v>1808</v>
      </c>
      <c r="C168" s="3">
        <f>+$C$166+$G$167</f>
        <v>3576.8299999999995</v>
      </c>
      <c r="D168" s="88"/>
      <c r="E168" s="4"/>
      <c r="F168" s="4">
        <v>-2200</v>
      </c>
      <c r="G168" s="6"/>
      <c r="H168" s="468"/>
      <c r="I168" s="468"/>
      <c r="J168" s="3"/>
      <c r="K168" s="468"/>
      <c r="L168" s="468" t="s">
        <v>40</v>
      </c>
      <c r="M168" s="468" t="str">
        <f>IF(L168="","",
IF(AX168="PT",VLOOKUP(L168,Foundation_Calc!$V$4:$X$37,VLOOKUP(AX168,Foundation_Calc!$I$10:$J$13,2,FALSE),0),
IF(AX168="K",VLOOKUP(L168,Foundation_Calc!$V$41:$X$74,VLOOKUP(AX168,Foundation_Calc!$I$10:$J$13,2,FALSE),0),"")))</f>
        <v>C5SR</v>
      </c>
      <c r="N168" s="468" t="s">
        <v>33</v>
      </c>
      <c r="O168" s="468"/>
      <c r="P168" s="468"/>
      <c r="Q168" s="4"/>
      <c r="R168" s="6"/>
      <c r="S168" s="6"/>
      <c r="T168" s="4">
        <v>30</v>
      </c>
      <c r="U168" s="4"/>
      <c r="V168" s="4"/>
      <c r="W168" s="9">
        <v>1.4</v>
      </c>
      <c r="X168" s="9"/>
      <c r="Y168" s="9"/>
      <c r="Z168" s="9"/>
      <c r="AA168" s="9"/>
      <c r="AB168" s="9"/>
      <c r="AC168" s="468" t="str">
        <f t="shared" si="16"/>
        <v>PHQ</v>
      </c>
      <c r="AD168" s="468"/>
      <c r="AE168" s="468"/>
      <c r="AF168" s="4"/>
      <c r="AG168" s="88"/>
      <c r="AH168" s="4"/>
      <c r="AI168" s="4"/>
      <c r="AJ168" s="468"/>
      <c r="AK168" s="468"/>
      <c r="AL168" s="468"/>
      <c r="AM168" s="468" t="s">
        <v>486</v>
      </c>
      <c r="AN168" s="10">
        <v>5.5</v>
      </c>
      <c r="AO168" s="9"/>
      <c r="AP168" s="9"/>
      <c r="AQ168" s="9"/>
      <c r="AR168" s="9"/>
      <c r="AS168" s="9"/>
      <c r="AT168" s="9">
        <f>+ab($T$168,$T$166,$T$170,$G$167,$G$169,-1*$F$168,1200)</f>
        <v>7.9293984913306579</v>
      </c>
      <c r="AU168" s="447"/>
      <c r="AV168" s="447"/>
      <c r="AW168" s="468" t="str">
        <f>IF(C168&gt;0,VLOOKUP(C168,Foundation_Calc!$A$2:$C$13,3,1),
IF(J168&gt;0,VLOOKUP(J168,Foundation_Calc!$A$2:$C$13,3,1),""))</f>
        <v>MultiSoil</v>
      </c>
      <c r="AX168" s="468" t="str">
        <f>IF(C168&gt;0,VLOOKUP(C168,Foundation_Calc!$E$2:$G$13,3,1),
IF(J168&gt;0,VLOOKUP(J168,Foundation_Calc!$E$2:$G$13,3,1),""))</f>
        <v>PT</v>
      </c>
      <c r="AY168" s="10">
        <f>IF(L168="","",
IF(AX168="PT",VLOOKUP(L168,Foundation_Calc!$K$4:$R$37,VLOOKUP(AW168,Foundation_Calc!$I$2:$J$8,2,FALSE),0),
IF(AX168="K",VLOOKUP(L168,Foundation_Calc!$K$41:$R$74,VLOOKUP(AW168,Foundation_Calc!$I$2:$J$8,2,FALSE),0),"")))</f>
        <v>3.7</v>
      </c>
      <c r="AZ168" s="10" t="str">
        <f>IF(K168="","",
IF(AX168="PT",VLOOKUP(K168,Foundation_Calc!$K$4:$R$37,VLOOKUP(AW168,Foundation_Calc!$I$2:$J$8,2,FALSE),0),
IF(AX168="K",VLOOKUP(K168,Foundation_Calc!$K$41:$R$74,VLOOKUP(AW168,Foundation_Calc!$I$2:$J$8,2,FALSE),0),"")))</f>
        <v/>
      </c>
      <c r="BA168" s="553" t="str">
        <f t="shared" si="17"/>
        <v>ü</v>
      </c>
      <c r="BB168" s="553" t="str">
        <f t="shared" si="18"/>
        <v/>
      </c>
      <c r="BC168" s="553" t="str">
        <f t="shared" si="19"/>
        <v/>
      </c>
      <c r="BD168" s="572" t="str">
        <f>IF(AND(L168="",H168=""),"",
IF(H168="",Pole_Calc!A$22,
IF(H168="MP",Pole_Calc!A$23,
IF(H168="AnMP",Pole_Calc!A$24,
IF(H168="A",Pole_Calc!A$25,
IF(H168="S/A",Pole_Calc!A$26,
IF(H168="A/S",Pole_Calc!A$27,"Poner a mano")))))))</f>
        <v>App.7-V11H-P9.5.2.1</v>
      </c>
      <c r="BE168" s="448" t="s">
        <v>1726</v>
      </c>
      <c r="BF168" s="305"/>
      <c r="BG168" s="305"/>
      <c r="BH168" s="306"/>
      <c r="BI168" s="305"/>
    </row>
    <row r="169" spans="1:61" ht="16.2" customHeight="1">
      <c r="A169" s="573"/>
      <c r="B169" s="469"/>
      <c r="C169" s="3"/>
      <c r="D169" s="88"/>
      <c r="E169" s="4"/>
      <c r="F169" s="4"/>
      <c r="G169" s="6">
        <v>52.9</v>
      </c>
      <c r="H169" s="468"/>
      <c r="I169" s="468"/>
      <c r="J169" s="3"/>
      <c r="K169" s="468"/>
      <c r="L169" s="468"/>
      <c r="M169" s="468" t="str">
        <f>IF(L169="","",
IF(AX169="PT",VLOOKUP(L169,Foundation_Calc!$V$4:$X$37,VLOOKUP(AX169,Foundation_Calc!$I$10:$J$13,2,FALSE),0),
IF(AX169="K",VLOOKUP(L169,Foundation_Calc!$V$41:$X$74,VLOOKUP(AX169,Foundation_Calc!$I$10:$J$13,2,FALSE),0),"")))</f>
        <v/>
      </c>
      <c r="N169" s="468"/>
      <c r="O169" s="468"/>
      <c r="P169" s="468"/>
      <c r="Q169" s="4"/>
      <c r="R169" s="6"/>
      <c r="S169" s="6"/>
      <c r="T169" s="4"/>
      <c r="U169" s="4"/>
      <c r="V169" s="4"/>
      <c r="W169" s="9"/>
      <c r="X169" s="9"/>
      <c r="Y169" s="9"/>
      <c r="Z169" s="9"/>
      <c r="AA169" s="9"/>
      <c r="AB169" s="9"/>
      <c r="AC169" s="468" t="str">
        <f t="shared" si="16"/>
        <v/>
      </c>
      <c r="AD169" s="468"/>
      <c r="AE169" s="468"/>
      <c r="AF169" s="4"/>
      <c r="AG169" s="88"/>
      <c r="AH169" s="4"/>
      <c r="AI169" s="4"/>
      <c r="AJ169" s="468"/>
      <c r="AK169" s="468"/>
      <c r="AL169" s="468"/>
      <c r="AM169" s="468"/>
      <c r="AN169" s="10"/>
      <c r="AO169" s="9"/>
      <c r="AP169" s="9"/>
      <c r="AQ169" s="9">
        <f>+FL_1($T$170,$T$168,$G$169,1200,9.28,-1*$F$170)</f>
        <v>0.41150665234679895</v>
      </c>
      <c r="AR169" s="9"/>
      <c r="AS169" s="9"/>
      <c r="AT169" s="9"/>
      <c r="AU169" s="447"/>
      <c r="AV169" s="447"/>
      <c r="AW169" s="468" t="str">
        <f>IF(C169&gt;0,VLOOKUP(C169,Foundation_Calc!$A$2:$C$13,3,1),
IF(J169&gt;0,VLOOKUP(J169,Foundation_Calc!$A$2:$C$13,3,1),""))</f>
        <v/>
      </c>
      <c r="AX169" s="468" t="str">
        <f>IF(C169&gt;0,VLOOKUP(C169,Foundation_Calc!$E$2:$G$13,3,1),
IF(J169&gt;0,VLOOKUP(J169,Foundation_Calc!$E$2:$G$13,3,1),""))</f>
        <v/>
      </c>
      <c r="AY169" s="10" t="str">
        <f>IF(L169="","",
IF(AX169="PT",VLOOKUP(L169,Foundation_Calc!$K$4:$R$37,VLOOKUP(AW169,Foundation_Calc!$I$2:$J$8,2,FALSE),0),
IF(AX169="K",VLOOKUP(L169,Foundation_Calc!$K$41:$R$74,VLOOKUP(AW169,Foundation_Calc!$I$2:$J$8,2,FALSE),0),"")))</f>
        <v/>
      </c>
      <c r="AZ169" s="10" t="str">
        <f>IF(K169="","",
IF(AX169="PT",VLOOKUP(K169,Foundation_Calc!$K$4:$R$37,VLOOKUP(AW169,Foundation_Calc!$I$2:$J$8,2,FALSE),0),
IF(AX169="K",VLOOKUP(K169,Foundation_Calc!$K$41:$R$74,VLOOKUP(AW169,Foundation_Calc!$I$2:$J$8,2,FALSE),0),"")))</f>
        <v/>
      </c>
      <c r="BA169" s="553" t="str">
        <f t="shared" si="17"/>
        <v/>
      </c>
      <c r="BB169" s="553" t="str">
        <f t="shared" si="18"/>
        <v/>
      </c>
      <c r="BC169" s="553" t="str">
        <f t="shared" si="19"/>
        <v/>
      </c>
      <c r="BD169" s="572" t="str">
        <f>IF(AND(L169="",H169=""),"",
IF(H169="",Pole_Calc!A$22,
IF(H169="MP",Pole_Calc!A$23,
IF(H169="AnMP",Pole_Calc!A$24,
IF(H169="A",Pole_Calc!A$25,
IF(H169="S/A",Pole_Calc!A$26,
IF(H169="A/S",Pole_Calc!A$27,"Poner a mano")))))))</f>
        <v/>
      </c>
      <c r="BE169" s="448" t="s">
        <v>1726</v>
      </c>
      <c r="BF169" s="306"/>
      <c r="BG169" s="306"/>
      <c r="BH169" s="306"/>
      <c r="BI169" s="306"/>
    </row>
    <row r="170" spans="1:61" ht="16.2" customHeight="1">
      <c r="A170" s="573"/>
      <c r="B170" s="469" t="s">
        <v>1809</v>
      </c>
      <c r="C170" s="3">
        <f>+$C$168+$G$169</f>
        <v>3629.7299999999996</v>
      </c>
      <c r="D170" s="88"/>
      <c r="E170" s="4"/>
      <c r="F170" s="4">
        <v>-2200</v>
      </c>
      <c r="G170" s="6"/>
      <c r="H170" s="468"/>
      <c r="I170" s="468"/>
      <c r="J170" s="3"/>
      <c r="K170" s="468"/>
      <c r="L170" s="468" t="s">
        <v>40</v>
      </c>
      <c r="M170" s="468" t="str">
        <f>IF(L170="","",
IF(AX170="PT",VLOOKUP(L170,Foundation_Calc!$V$4:$X$37,VLOOKUP(AX170,Foundation_Calc!$I$10:$J$13,2,FALSE),0),
IF(AX170="K",VLOOKUP(L170,Foundation_Calc!$V$41:$X$74,VLOOKUP(AX170,Foundation_Calc!$I$10:$J$13,2,FALSE),0),"")))</f>
        <v>C5SR</v>
      </c>
      <c r="N170" s="468" t="s">
        <v>33</v>
      </c>
      <c r="O170" s="468"/>
      <c r="P170" s="468"/>
      <c r="Q170" s="4"/>
      <c r="R170" s="6"/>
      <c r="S170" s="6"/>
      <c r="T170" s="4">
        <v>30</v>
      </c>
      <c r="U170" s="4"/>
      <c r="V170" s="4"/>
      <c r="W170" s="9">
        <v>1.4</v>
      </c>
      <c r="X170" s="9"/>
      <c r="Y170" s="9"/>
      <c r="Z170" s="9"/>
      <c r="AA170" s="9"/>
      <c r="AB170" s="9"/>
      <c r="AC170" s="468" t="str">
        <f t="shared" si="16"/>
        <v>PHQ</v>
      </c>
      <c r="AD170" s="468"/>
      <c r="AE170" s="468"/>
      <c r="AF170" s="4"/>
      <c r="AG170" s="88"/>
      <c r="AH170" s="4"/>
      <c r="AI170" s="4"/>
      <c r="AJ170" s="468"/>
      <c r="AK170" s="468"/>
      <c r="AL170" s="468"/>
      <c r="AM170" s="468" t="s">
        <v>486</v>
      </c>
      <c r="AN170" s="10">
        <v>5.5</v>
      </c>
      <c r="AO170" s="9"/>
      <c r="AP170" s="9"/>
      <c r="AQ170" s="9"/>
      <c r="AR170" s="9"/>
      <c r="AS170" s="9"/>
      <c r="AT170" s="9">
        <f>+ab($T$170,$T$168,$T$172,$G$169,$G$171,-1*$F$170,1200)</f>
        <v>7.9293984913306579</v>
      </c>
      <c r="AU170" s="447"/>
      <c r="AV170" s="447"/>
      <c r="AW170" s="468" t="str">
        <f>IF(C170&gt;0,VLOOKUP(C170,Foundation_Calc!$A$2:$C$13,3,1),
IF(J170&gt;0,VLOOKUP(J170,Foundation_Calc!$A$2:$C$13,3,1),""))</f>
        <v>MultiSoil</v>
      </c>
      <c r="AX170" s="468" t="str">
        <f>IF(C170&gt;0,VLOOKUP(C170,Foundation_Calc!$E$2:$G$13,3,1),
IF(J170&gt;0,VLOOKUP(J170,Foundation_Calc!$E$2:$G$13,3,1),""))</f>
        <v>PT</v>
      </c>
      <c r="AY170" s="10">
        <f>IF(L170="","",
IF(AX170="PT",VLOOKUP(L170,Foundation_Calc!$K$4:$R$37,VLOOKUP(AW170,Foundation_Calc!$I$2:$J$8,2,FALSE),0),
IF(AX170="K",VLOOKUP(L170,Foundation_Calc!$K$41:$R$74,VLOOKUP(AW170,Foundation_Calc!$I$2:$J$8,2,FALSE),0),"")))</f>
        <v>3.7</v>
      </c>
      <c r="AZ170" s="10" t="str">
        <f>IF(K170="","",
IF(AX170="PT",VLOOKUP(K170,Foundation_Calc!$K$4:$R$37,VLOOKUP(AW170,Foundation_Calc!$I$2:$J$8,2,FALSE),0),
IF(AX170="K",VLOOKUP(K170,Foundation_Calc!$K$41:$R$74,VLOOKUP(AW170,Foundation_Calc!$I$2:$J$8,2,FALSE),0),"")))</f>
        <v/>
      </c>
      <c r="BA170" s="553" t="str">
        <f t="shared" si="17"/>
        <v>ü</v>
      </c>
      <c r="BB170" s="553" t="str">
        <f t="shared" si="18"/>
        <v/>
      </c>
      <c r="BC170" s="553" t="str">
        <f t="shared" si="19"/>
        <v/>
      </c>
      <c r="BD170" s="572" t="str">
        <f>IF(AND(L170="",H170=""),"",
IF(H170="",Pole_Calc!A$22,
IF(H170="MP",Pole_Calc!A$23,
IF(H170="AnMP",Pole_Calc!A$24,
IF(H170="A",Pole_Calc!A$25,
IF(H170="S/A",Pole_Calc!A$26,
IF(H170="A/S",Pole_Calc!A$27,"Poner a mano")))))))</f>
        <v>App.7-V11H-P9.5.2.1</v>
      </c>
      <c r="BE170" s="448" t="s">
        <v>1726</v>
      </c>
      <c r="BF170" s="305"/>
      <c r="BG170" s="305"/>
      <c r="BH170" s="306"/>
      <c r="BI170" s="305"/>
    </row>
    <row r="171" spans="1:61" ht="16.2" customHeight="1">
      <c r="A171" s="573"/>
      <c r="B171" s="469"/>
      <c r="C171" s="3"/>
      <c r="D171" s="88"/>
      <c r="E171" s="4"/>
      <c r="F171" s="4"/>
      <c r="G171" s="6">
        <v>52.9</v>
      </c>
      <c r="H171" s="468"/>
      <c r="I171" s="468"/>
      <c r="J171" s="3"/>
      <c r="K171" s="468"/>
      <c r="L171" s="468"/>
      <c r="M171" s="468" t="str">
        <f>IF(L171="","",
IF(AX171="PT",VLOOKUP(L171,Foundation_Calc!$V$4:$X$37,VLOOKUP(AX171,Foundation_Calc!$I$10:$J$13,2,FALSE),0),
IF(AX171="K",VLOOKUP(L171,Foundation_Calc!$V$41:$X$74,VLOOKUP(AX171,Foundation_Calc!$I$10:$J$13,2,FALSE),0),"")))</f>
        <v/>
      </c>
      <c r="N171" s="468"/>
      <c r="O171" s="468"/>
      <c r="P171" s="468"/>
      <c r="Q171" s="4"/>
      <c r="R171" s="6"/>
      <c r="S171" s="6"/>
      <c r="T171" s="4"/>
      <c r="U171" s="4"/>
      <c r="V171" s="4"/>
      <c r="W171" s="9"/>
      <c r="X171" s="9"/>
      <c r="Y171" s="9"/>
      <c r="Z171" s="9"/>
      <c r="AA171" s="9"/>
      <c r="AB171" s="9"/>
      <c r="AC171" s="468" t="str">
        <f t="shared" si="16"/>
        <v/>
      </c>
      <c r="AD171" s="468"/>
      <c r="AE171" s="468"/>
      <c r="AF171" s="4"/>
      <c r="AG171" s="88"/>
      <c r="AH171" s="4"/>
      <c r="AI171" s="4"/>
      <c r="AJ171" s="468"/>
      <c r="AK171" s="468"/>
      <c r="AL171" s="468"/>
      <c r="AM171" s="468"/>
      <c r="AN171" s="10"/>
      <c r="AO171" s="9"/>
      <c r="AP171" s="9"/>
      <c r="AQ171" s="9">
        <f>+FL_1($T$172,$T$170,$G$171,1200,9.28,-1*$F$172)</f>
        <v>0.41150665234679895</v>
      </c>
      <c r="AR171" s="9"/>
      <c r="AS171" s="9"/>
      <c r="AT171" s="9"/>
      <c r="AU171" s="447"/>
      <c r="AV171" s="447"/>
      <c r="AW171" s="468" t="str">
        <f>IF(C171&gt;0,VLOOKUP(C171,Foundation_Calc!$A$2:$C$13,3,1),
IF(J171&gt;0,VLOOKUP(J171,Foundation_Calc!$A$2:$C$13,3,1),""))</f>
        <v/>
      </c>
      <c r="AX171" s="468" t="str">
        <f>IF(C171&gt;0,VLOOKUP(C171,Foundation_Calc!$E$2:$G$13,3,1),
IF(J171&gt;0,VLOOKUP(J171,Foundation_Calc!$E$2:$G$13,3,1),""))</f>
        <v/>
      </c>
      <c r="AY171" s="10" t="str">
        <f>IF(L171="","",
IF(AX171="PT",VLOOKUP(L171,Foundation_Calc!$K$4:$R$37,VLOOKUP(AW171,Foundation_Calc!$I$2:$J$8,2,FALSE),0),
IF(AX171="K",VLOOKUP(L171,Foundation_Calc!$K$41:$R$74,VLOOKUP(AW171,Foundation_Calc!$I$2:$J$8,2,FALSE),0),"")))</f>
        <v/>
      </c>
      <c r="AZ171" s="10" t="str">
        <f>IF(K171="","",
IF(AX171="PT",VLOOKUP(K171,Foundation_Calc!$K$4:$R$37,VLOOKUP(AW171,Foundation_Calc!$I$2:$J$8,2,FALSE),0),
IF(AX171="K",VLOOKUP(K171,Foundation_Calc!$K$41:$R$74,VLOOKUP(AW171,Foundation_Calc!$I$2:$J$8,2,FALSE),0),"")))</f>
        <v/>
      </c>
      <c r="BA171" s="553" t="str">
        <f t="shared" si="17"/>
        <v/>
      </c>
      <c r="BB171" s="553" t="str">
        <f t="shared" si="18"/>
        <v/>
      </c>
      <c r="BC171" s="553" t="str">
        <f t="shared" si="19"/>
        <v/>
      </c>
      <c r="BD171" s="572" t="str">
        <f>IF(AND(L171="",H171=""),"",
IF(H171="",Pole_Calc!A$22,
IF(H171="MP",Pole_Calc!A$23,
IF(H171="AnMP",Pole_Calc!A$24,
IF(H171="A",Pole_Calc!A$25,
IF(H171="S/A",Pole_Calc!A$26,
IF(H171="A/S",Pole_Calc!A$27,"Poner a mano")))))))</f>
        <v/>
      </c>
      <c r="BE171" s="448" t="s">
        <v>1726</v>
      </c>
      <c r="BF171" s="306"/>
      <c r="BG171" s="306"/>
      <c r="BH171" s="306"/>
      <c r="BI171" s="306"/>
    </row>
    <row r="172" spans="1:61" ht="16.2" customHeight="1">
      <c r="A172" s="573"/>
      <c r="B172" s="469" t="s">
        <v>1810</v>
      </c>
      <c r="C172" s="3">
        <f>+$C$170+$G$171</f>
        <v>3682.6299999999997</v>
      </c>
      <c r="D172" s="88"/>
      <c r="E172" s="4"/>
      <c r="F172" s="4">
        <v>-2200</v>
      </c>
      <c r="G172" s="6"/>
      <c r="H172" s="468"/>
      <c r="I172" s="468"/>
      <c r="J172" s="3"/>
      <c r="K172" s="468"/>
      <c r="L172" s="468" t="s">
        <v>40</v>
      </c>
      <c r="M172" s="468" t="str">
        <f>IF(L172="","",
IF(AX172="PT",VLOOKUP(L172,Foundation_Calc!$V$4:$X$37,VLOOKUP(AX172,Foundation_Calc!$I$10:$J$13,2,FALSE),0),
IF(AX172="K",VLOOKUP(L172,Foundation_Calc!$V$41:$X$74,VLOOKUP(AX172,Foundation_Calc!$I$10:$J$13,2,FALSE),0),"")))</f>
        <v>C5SR</v>
      </c>
      <c r="N172" s="468" t="s">
        <v>33</v>
      </c>
      <c r="O172" s="468"/>
      <c r="P172" s="468"/>
      <c r="Q172" s="4"/>
      <c r="R172" s="6"/>
      <c r="S172" s="6"/>
      <c r="T172" s="4">
        <v>30</v>
      </c>
      <c r="U172" s="4"/>
      <c r="V172" s="4"/>
      <c r="W172" s="9">
        <v>1.4</v>
      </c>
      <c r="X172" s="9"/>
      <c r="Y172" s="9"/>
      <c r="Z172" s="9"/>
      <c r="AA172" s="9"/>
      <c r="AB172" s="9"/>
      <c r="AC172" s="468" t="str">
        <f t="shared" si="16"/>
        <v>PH</v>
      </c>
      <c r="AD172" s="468"/>
      <c r="AE172" s="468"/>
      <c r="AF172" s="4"/>
      <c r="AG172" s="88"/>
      <c r="AH172" s="4"/>
      <c r="AI172" s="4"/>
      <c r="AJ172" s="468"/>
      <c r="AK172" s="468"/>
      <c r="AL172" s="468"/>
      <c r="AM172" s="468" t="s">
        <v>486</v>
      </c>
      <c r="AN172" s="10">
        <v>5.5</v>
      </c>
      <c r="AO172" s="9"/>
      <c r="AP172" s="9"/>
      <c r="AQ172" s="9"/>
      <c r="AR172" s="9"/>
      <c r="AS172" s="9"/>
      <c r="AT172" s="9">
        <f>+ab($T$172,$T$170,$T$174,$G$171,$G$173,-1*$F$172,1200)</f>
        <v>8.1577297417832408</v>
      </c>
      <c r="AU172" s="447"/>
      <c r="AV172" s="447"/>
      <c r="AW172" s="468" t="str">
        <f>IF(C172&gt;0,VLOOKUP(C172,Foundation_Calc!$A$2:$C$13,3,1),
IF(J172&gt;0,VLOOKUP(J172,Foundation_Calc!$A$2:$C$13,3,1),""))</f>
        <v>MultiSoil</v>
      </c>
      <c r="AX172" s="468" t="str">
        <f>IF(C172&gt;0,VLOOKUP(C172,Foundation_Calc!$E$2:$G$13,3,1),
IF(J172&gt;0,VLOOKUP(J172,Foundation_Calc!$E$2:$G$13,3,1),""))</f>
        <v>PT</v>
      </c>
      <c r="AY172" s="10">
        <f>IF(L172="","",
IF(AX172="PT",VLOOKUP(L172,Foundation_Calc!$K$4:$R$37,VLOOKUP(AW172,Foundation_Calc!$I$2:$J$8,2,FALSE),0),
IF(AX172="K",VLOOKUP(L172,Foundation_Calc!$K$41:$R$74,VLOOKUP(AW172,Foundation_Calc!$I$2:$J$8,2,FALSE),0),"")))</f>
        <v>3.7</v>
      </c>
      <c r="AZ172" s="10" t="str">
        <f>IF(K172="","",
IF(AX172="PT",VLOOKUP(K172,Foundation_Calc!$K$4:$R$37,VLOOKUP(AW172,Foundation_Calc!$I$2:$J$8,2,FALSE),0),
IF(AX172="K",VLOOKUP(K172,Foundation_Calc!$K$41:$R$74,VLOOKUP(AW172,Foundation_Calc!$I$2:$J$8,2,FALSE),0),"")))</f>
        <v/>
      </c>
      <c r="BA172" s="553" t="str">
        <f t="shared" si="17"/>
        <v>ü</v>
      </c>
      <c r="BB172" s="553" t="str">
        <f t="shared" si="18"/>
        <v/>
      </c>
      <c r="BC172" s="553" t="str">
        <f t="shared" si="19"/>
        <v/>
      </c>
      <c r="BD172" s="572" t="str">
        <f>IF(AND(L172="",H172=""),"",
IF(H172="",Pole_Calc!A$22,
IF(H172="MP",Pole_Calc!A$23,
IF(H172="AnMP",Pole_Calc!A$24,
IF(H172="A",Pole_Calc!A$25,
IF(H172="S/A",Pole_Calc!A$26,
IF(H172="A/S",Pole_Calc!A$27,"Poner a mano")))))))</f>
        <v>App.7-V11H-P9.5.2.1</v>
      </c>
      <c r="BE172" s="448" t="s">
        <v>1726</v>
      </c>
      <c r="BF172" s="305"/>
      <c r="BG172" s="305"/>
      <c r="BH172" s="306"/>
      <c r="BI172" s="305"/>
    </row>
    <row r="173" spans="1:61" ht="16.2" customHeight="1">
      <c r="A173" s="573"/>
      <c r="B173" s="469"/>
      <c r="C173" s="3"/>
      <c r="D173" s="88"/>
      <c r="E173" s="4"/>
      <c r="F173" s="4"/>
      <c r="G173" s="6">
        <v>49.9</v>
      </c>
      <c r="H173" s="468"/>
      <c r="I173" s="468"/>
      <c r="J173" s="3"/>
      <c r="K173" s="468"/>
      <c r="L173" s="468"/>
      <c r="M173" s="468" t="str">
        <f>IF(L173="","",
IF(AX173="PT",VLOOKUP(L173,Foundation_Calc!$V$4:$X$37,VLOOKUP(AX173,Foundation_Calc!$I$10:$J$13,2,FALSE),0),
IF(AX173="K",VLOOKUP(L173,Foundation_Calc!$V$41:$X$74,VLOOKUP(AX173,Foundation_Calc!$I$10:$J$13,2,FALSE),0),"")))</f>
        <v/>
      </c>
      <c r="N173" s="468"/>
      <c r="O173" s="468"/>
      <c r="P173" s="468"/>
      <c r="Q173" s="4"/>
      <c r="R173" s="6"/>
      <c r="S173" s="6"/>
      <c r="T173" s="4"/>
      <c r="U173" s="4"/>
      <c r="V173" s="4"/>
      <c r="W173" s="9"/>
      <c r="X173" s="9"/>
      <c r="Y173" s="9"/>
      <c r="Z173" s="9"/>
      <c r="AA173" s="9"/>
      <c r="AB173" s="9"/>
      <c r="AC173" s="468" t="str">
        <f t="shared" si="16"/>
        <v/>
      </c>
      <c r="AD173" s="468"/>
      <c r="AE173" s="468"/>
      <c r="AF173" s="4"/>
      <c r="AG173" s="88"/>
      <c r="AH173" s="4"/>
      <c r="AI173" s="4"/>
      <c r="AJ173" s="468"/>
      <c r="AK173" s="468"/>
      <c r="AL173" s="468"/>
      <c r="AM173" s="468"/>
      <c r="AN173" s="10"/>
      <c r="AO173" s="9"/>
      <c r="AP173" s="9"/>
      <c r="AQ173" s="9">
        <f>+FL_1($T$174,$T$172,$G$173,1200,9.28,-1*$F$174)</f>
        <v>0.39921857637884695</v>
      </c>
      <c r="AR173" s="9"/>
      <c r="AS173" s="9"/>
      <c r="AT173" s="9"/>
      <c r="AU173" s="447"/>
      <c r="AV173" s="447"/>
      <c r="AW173" s="468" t="str">
        <f>IF(C173&gt;0,VLOOKUP(C173,Foundation_Calc!$A$2:$C$13,3,1),
IF(J173&gt;0,VLOOKUP(J173,Foundation_Calc!$A$2:$C$13,3,1),""))</f>
        <v/>
      </c>
      <c r="AX173" s="468" t="str">
        <f>IF(C173&gt;0,VLOOKUP(C173,Foundation_Calc!$E$2:$G$13,3,1),
IF(J173&gt;0,VLOOKUP(J173,Foundation_Calc!$E$2:$G$13,3,1),""))</f>
        <v/>
      </c>
      <c r="AY173" s="10" t="str">
        <f>IF(L173="","",
IF(AX173="PT",VLOOKUP(L173,Foundation_Calc!$K$4:$R$37,VLOOKUP(AW173,Foundation_Calc!$I$2:$J$8,2,FALSE),0),
IF(AX173="K",VLOOKUP(L173,Foundation_Calc!$K$41:$R$74,VLOOKUP(AW173,Foundation_Calc!$I$2:$J$8,2,FALSE),0),"")))</f>
        <v/>
      </c>
      <c r="AZ173" s="10" t="str">
        <f>IF(K173="","",
IF(AX173="PT",VLOOKUP(K173,Foundation_Calc!$K$4:$R$37,VLOOKUP(AW173,Foundation_Calc!$I$2:$J$8,2,FALSE),0),
IF(AX173="K",VLOOKUP(K173,Foundation_Calc!$K$41:$R$74,VLOOKUP(AW173,Foundation_Calc!$I$2:$J$8,2,FALSE),0),"")))</f>
        <v/>
      </c>
      <c r="BA173" s="553" t="str">
        <f t="shared" si="17"/>
        <v/>
      </c>
      <c r="BB173" s="553" t="str">
        <f t="shared" si="18"/>
        <v/>
      </c>
      <c r="BC173" s="553" t="str">
        <f t="shared" si="19"/>
        <v/>
      </c>
      <c r="BD173" s="572" t="str">
        <f>IF(AND(L173="",H173=""),"",
IF(H173="",Pole_Calc!A$22,
IF(H173="MP",Pole_Calc!A$23,
IF(H173="AnMP",Pole_Calc!A$24,
IF(H173="A",Pole_Calc!A$25,
IF(H173="S/A",Pole_Calc!A$26,
IF(H173="A/S",Pole_Calc!A$27,"Poner a mano")))))))</f>
        <v/>
      </c>
      <c r="BE173" s="448" t="s">
        <v>1726</v>
      </c>
      <c r="BF173" s="306"/>
      <c r="BG173" s="306"/>
      <c r="BH173" s="306"/>
      <c r="BI173" s="306"/>
    </row>
    <row r="174" spans="1:61" ht="16.2" customHeight="1">
      <c r="A174" s="573"/>
      <c r="B174" s="469" t="s">
        <v>1811</v>
      </c>
      <c r="C174" s="3">
        <f>+$C$172+$G$173</f>
        <v>3732.5299999999997</v>
      </c>
      <c r="D174" s="88"/>
      <c r="E174" s="4"/>
      <c r="F174" s="4">
        <v>-2200</v>
      </c>
      <c r="G174" s="6"/>
      <c r="H174" s="468"/>
      <c r="I174" s="468"/>
      <c r="J174" s="3"/>
      <c r="K174" s="468"/>
      <c r="L174" s="468" t="s">
        <v>40</v>
      </c>
      <c r="M174" s="468" t="str">
        <f>IF(L174="","",
IF(AX174="PT",VLOOKUP(L174,Foundation_Calc!$V$4:$X$37,VLOOKUP(AX174,Foundation_Calc!$I$10:$J$13,2,FALSE),0),
IF(AX174="K",VLOOKUP(L174,Foundation_Calc!$V$41:$X$74,VLOOKUP(AX174,Foundation_Calc!$I$10:$J$13,2,FALSE),0),"")))</f>
        <v>C5SR</v>
      </c>
      <c r="N174" s="468" t="s">
        <v>33</v>
      </c>
      <c r="O174" s="468"/>
      <c r="P174" s="468"/>
      <c r="Q174" s="4"/>
      <c r="R174" s="6"/>
      <c r="S174" s="6"/>
      <c r="T174" s="4">
        <v>30</v>
      </c>
      <c r="U174" s="4"/>
      <c r="V174" s="4"/>
      <c r="W174" s="9">
        <v>1.4</v>
      </c>
      <c r="X174" s="9"/>
      <c r="Y174" s="9"/>
      <c r="Z174" s="9"/>
      <c r="AA174" s="9"/>
      <c r="AB174" s="9"/>
      <c r="AC174" s="468" t="str">
        <f t="shared" si="16"/>
        <v>PH</v>
      </c>
      <c r="AD174" s="468"/>
      <c r="AE174" s="468"/>
      <c r="AF174" s="4"/>
      <c r="AG174" s="88"/>
      <c r="AH174" s="4"/>
      <c r="AI174" s="4"/>
      <c r="AJ174" s="468"/>
      <c r="AK174" s="468"/>
      <c r="AL174" s="468"/>
      <c r="AM174" s="468" t="s">
        <v>486</v>
      </c>
      <c r="AN174" s="10">
        <v>5.5</v>
      </c>
      <c r="AO174" s="9"/>
      <c r="AP174" s="9"/>
      <c r="AQ174" s="9"/>
      <c r="AR174" s="9"/>
      <c r="AS174" s="9"/>
      <c r="AT174" s="9">
        <f>+ab($T$174,$T$172,$T$176,$G$173,$G$175,-1*$F$174,1200)</f>
        <v>8.8356960279785426</v>
      </c>
      <c r="AU174" s="447"/>
      <c r="AV174" s="447"/>
      <c r="AW174" s="468" t="str">
        <f>IF(C174&gt;0,VLOOKUP(C174,Foundation_Calc!$A$2:$C$13,3,1),
IF(J174&gt;0,VLOOKUP(J174,Foundation_Calc!$A$2:$C$13,3,1),""))</f>
        <v>MultiSoil</v>
      </c>
      <c r="AX174" s="468" t="str">
        <f>IF(C174&gt;0,VLOOKUP(C174,Foundation_Calc!$E$2:$G$13,3,1),
IF(J174&gt;0,VLOOKUP(J174,Foundation_Calc!$E$2:$G$13,3,1),""))</f>
        <v>PT</v>
      </c>
      <c r="AY174" s="10">
        <f>IF(L174="","",
IF(AX174="PT",VLOOKUP(L174,Foundation_Calc!$K$4:$R$37,VLOOKUP(AW174,Foundation_Calc!$I$2:$J$8,2,FALSE),0),
IF(AX174="K",VLOOKUP(L174,Foundation_Calc!$K$41:$R$74,VLOOKUP(AW174,Foundation_Calc!$I$2:$J$8,2,FALSE),0),"")))</f>
        <v>3.7</v>
      </c>
      <c r="AZ174" s="10" t="str">
        <f>IF(K174="","",
IF(AX174="PT",VLOOKUP(K174,Foundation_Calc!$K$4:$R$37,VLOOKUP(AW174,Foundation_Calc!$I$2:$J$8,2,FALSE),0),
IF(AX174="K",VLOOKUP(K174,Foundation_Calc!$K$41:$R$74,VLOOKUP(AW174,Foundation_Calc!$I$2:$J$8,2,FALSE),0),"")))</f>
        <v/>
      </c>
      <c r="BA174" s="553" t="str">
        <f t="shared" si="17"/>
        <v>ü</v>
      </c>
      <c r="BB174" s="553" t="str">
        <f t="shared" si="18"/>
        <v/>
      </c>
      <c r="BC174" s="553" t="str">
        <f t="shared" si="19"/>
        <v/>
      </c>
      <c r="BD174" s="572" t="str">
        <f>IF(AND(L174="",H174=""),"",
IF(H174="",Pole_Calc!A$22,
IF(H174="MP",Pole_Calc!A$23,
IF(H174="AnMP",Pole_Calc!A$24,
IF(H174="A",Pole_Calc!A$25,
IF(H174="S/A",Pole_Calc!A$26,
IF(H174="A/S",Pole_Calc!A$27,"Poner a mano")))))))</f>
        <v>App.7-V11H-P9.5.2.1</v>
      </c>
      <c r="BE174" s="448" t="s">
        <v>1726</v>
      </c>
      <c r="BF174" s="305"/>
      <c r="BG174" s="305"/>
      <c r="BH174" s="306"/>
      <c r="BI174" s="305"/>
    </row>
    <row r="175" spans="1:61" ht="16.2" customHeight="1">
      <c r="A175" s="573"/>
      <c r="B175" s="469"/>
      <c r="C175" s="3"/>
      <c r="D175" s="88"/>
      <c r="E175" s="4"/>
      <c r="F175" s="4"/>
      <c r="G175" s="6">
        <v>44.9</v>
      </c>
      <c r="H175" s="468"/>
      <c r="I175" s="468"/>
      <c r="J175" s="3">
        <f>C176-7.5</f>
        <v>3769.93</v>
      </c>
      <c r="K175" s="468" t="s">
        <v>1096</v>
      </c>
      <c r="L175" s="468"/>
      <c r="M175" s="468" t="str">
        <f>IF(L175="","",
IF(AX175="PT",VLOOKUP(L175,Foundation_Calc!$V$4:$X$37,VLOOKUP(AX175,Foundation_Calc!$I$10:$J$13,2,FALSE),0),
IF(AX175="K",VLOOKUP(L175,Foundation_Calc!$V$41:$X$74,VLOOKUP(AX175,Foundation_Calc!$I$10:$J$13,2,FALSE),0),"")))</f>
        <v/>
      </c>
      <c r="N175" s="468"/>
      <c r="O175" s="468"/>
      <c r="P175" s="468"/>
      <c r="Q175" s="4"/>
      <c r="R175" s="6"/>
      <c r="S175" s="6"/>
      <c r="T175" s="4"/>
      <c r="U175" s="4"/>
      <c r="V175" s="4"/>
      <c r="W175" s="9"/>
      <c r="X175" s="9"/>
      <c r="Y175" s="9"/>
      <c r="Z175" s="9"/>
      <c r="AA175" s="9"/>
      <c r="AB175" s="9"/>
      <c r="AC175" s="468" t="str">
        <f t="shared" si="16"/>
        <v/>
      </c>
      <c r="AD175" s="468"/>
      <c r="AE175" s="468"/>
      <c r="AF175" s="4"/>
      <c r="AG175" s="88"/>
      <c r="AH175" s="4"/>
      <c r="AI175" s="4"/>
      <c r="AJ175" s="468"/>
      <c r="AK175" s="468"/>
      <c r="AL175" s="468"/>
      <c r="AM175" s="468"/>
      <c r="AN175" s="10"/>
      <c r="AO175" s="9"/>
      <c r="AP175" s="9"/>
      <c r="AQ175" s="9">
        <f>+FL_1($T$176,$T$174,$G$175,1200,9.28,-1*$F$176)</f>
        <v>0.38033196178596612</v>
      </c>
      <c r="AR175" s="9"/>
      <c r="AS175" s="9"/>
      <c r="AT175" s="9"/>
      <c r="AU175" s="447"/>
      <c r="AV175" s="447"/>
      <c r="AW175" s="468" t="str">
        <f>IF(C175&gt;0,VLOOKUP(C175,Foundation_Calc!$A$2:$C$13,3,1),
IF(J175&gt;0,VLOOKUP(J175,Foundation_Calc!$A$2:$C$13,3,1),""))</f>
        <v>MultiSoil</v>
      </c>
      <c r="AX175" s="468" t="str">
        <f>IF(C175&gt;0,VLOOKUP(C175,Foundation_Calc!$E$2:$G$13,3,1),
IF(J175&gt;0,VLOOKUP(J175,Foundation_Calc!$E$2:$G$13,3,1),""))</f>
        <v>PT</v>
      </c>
      <c r="AY175" s="10" t="str">
        <f>IF(L175="","",
IF(AX175="PT",VLOOKUP(L175,Foundation_Calc!$K$4:$R$37,VLOOKUP(AW175,Foundation_Calc!$I$2:$J$8,2,FALSE),0),
IF(AX175="K",VLOOKUP(L175,Foundation_Calc!$K$41:$R$74,VLOOKUP(AW175,Foundation_Calc!$I$2:$J$8,2,FALSE),0),"")))</f>
        <v/>
      </c>
      <c r="AZ175" s="10">
        <f>IF(K175="","",
IF(AX175="PT",VLOOKUP(K175,Foundation_Calc!$K$4:$R$37,VLOOKUP(AW175,Foundation_Calc!$I$2:$J$8,2,FALSE),0),
IF(AX175="K",VLOOKUP(K175,Foundation_Calc!$K$41:$R$74,VLOOKUP(AW175,Foundation_Calc!$I$2:$J$8,2,FALSE),0),"")))</f>
        <v>2.8</v>
      </c>
      <c r="BA175" s="553" t="str">
        <f t="shared" si="17"/>
        <v/>
      </c>
      <c r="BB175" s="553" t="str">
        <f t="shared" si="18"/>
        <v>ü</v>
      </c>
      <c r="BC175" s="553" t="str">
        <f t="shared" si="19"/>
        <v/>
      </c>
      <c r="BD175" s="572" t="str">
        <f>IF(AND(L175="",H175=""),"",
IF(H175="",Pole_Calc!A$22,
IF(H175="MP",Pole_Calc!A$23,
IF(H175="AnMP",Pole_Calc!A$24,
IF(H175="A",Pole_Calc!A$25,
IF(H175="S/A",Pole_Calc!A$26,
IF(H175="A/S",Pole_Calc!A$27,"Poner a mano")))))))</f>
        <v/>
      </c>
      <c r="BE175" s="448" t="s">
        <v>1726</v>
      </c>
      <c r="BF175" s="306"/>
      <c r="BG175" s="306"/>
      <c r="BH175" s="306"/>
      <c r="BI175" s="306"/>
    </row>
    <row r="176" spans="1:61" ht="16.2" customHeight="1">
      <c r="A176" s="573"/>
      <c r="B176" s="469" t="s">
        <v>1812</v>
      </c>
      <c r="C176" s="3">
        <f>+$C$174+$G$175</f>
        <v>3777.43</v>
      </c>
      <c r="D176" s="88"/>
      <c r="E176" s="4"/>
      <c r="F176" s="4">
        <v>-2200</v>
      </c>
      <c r="G176" s="6"/>
      <c r="H176" s="468" t="s">
        <v>365</v>
      </c>
      <c r="I176" s="468"/>
      <c r="J176" s="3"/>
      <c r="K176" s="468"/>
      <c r="L176" s="468" t="s">
        <v>40</v>
      </c>
      <c r="M176" s="468" t="str">
        <f>IF(L176="","",
IF(AX176="PT",VLOOKUP(L176,Foundation_Calc!$V$4:$X$37,VLOOKUP(AX176,Foundation_Calc!$I$10:$J$13,2,FALSE),0),
IF(AX176="K",VLOOKUP(L176,Foundation_Calc!$V$41:$X$74,VLOOKUP(AX176,Foundation_Calc!$I$10:$J$13,2,FALSE),0),"")))</f>
        <v>C5SR</v>
      </c>
      <c r="N176" s="468" t="s">
        <v>33</v>
      </c>
      <c r="O176" s="468"/>
      <c r="P176" s="468"/>
      <c r="Q176" s="4"/>
      <c r="R176" s="6"/>
      <c r="S176" s="6"/>
      <c r="T176" s="4">
        <v>30</v>
      </c>
      <c r="U176" s="4"/>
      <c r="V176" s="4"/>
      <c r="W176" s="9">
        <v>1.4</v>
      </c>
      <c r="X176" s="9"/>
      <c r="Y176" s="9"/>
      <c r="Z176" s="9"/>
      <c r="AA176" s="9"/>
      <c r="AB176" s="9"/>
      <c r="AC176" s="468" t="str">
        <f t="shared" si="16"/>
        <v>PH</v>
      </c>
      <c r="AD176" s="468"/>
      <c r="AE176" s="468"/>
      <c r="AF176" s="4"/>
      <c r="AG176" s="88"/>
      <c r="AH176" s="4"/>
      <c r="AI176" s="4"/>
      <c r="AJ176" s="468"/>
      <c r="AK176" s="468"/>
      <c r="AL176" s="468"/>
      <c r="AM176" s="468" t="s">
        <v>486</v>
      </c>
      <c r="AN176" s="10">
        <v>5.5</v>
      </c>
      <c r="AO176" s="9"/>
      <c r="AP176" s="9"/>
      <c r="AQ176" s="9"/>
      <c r="AR176" s="9"/>
      <c r="AS176" s="9"/>
      <c r="AT176" s="9">
        <f>+ab($T$176,$T$174,$T$178,$G$175,$G$177,-1*$F$176,1200)</f>
        <v>8.8356960279785426</v>
      </c>
      <c r="AU176" s="447"/>
      <c r="AV176" s="447"/>
      <c r="AW176" s="468" t="str">
        <f>IF(C176&gt;0,VLOOKUP(C176,Foundation_Calc!$A$2:$C$13,3,1),
IF(J176&gt;0,VLOOKUP(J176,Foundation_Calc!$A$2:$C$13,3,1),""))</f>
        <v>MultiSoil</v>
      </c>
      <c r="AX176" s="468" t="str">
        <f>IF(C176&gt;0,VLOOKUP(C176,Foundation_Calc!$E$2:$G$13,3,1),
IF(J176&gt;0,VLOOKUP(J176,Foundation_Calc!$E$2:$G$13,3,1),""))</f>
        <v>PT</v>
      </c>
      <c r="AY176" s="10">
        <f>IF(L176="","",
IF(AX176="PT",VLOOKUP(L176,Foundation_Calc!$K$4:$R$37,VLOOKUP(AW176,Foundation_Calc!$I$2:$J$8,2,FALSE),0),
IF(AX176="K",VLOOKUP(L176,Foundation_Calc!$K$41:$R$74,VLOOKUP(AW176,Foundation_Calc!$I$2:$J$8,2,FALSE),0),"")))</f>
        <v>3.7</v>
      </c>
      <c r="AZ176" s="10" t="str">
        <f>IF(K176="","",
IF(AX176="PT",VLOOKUP(K176,Foundation_Calc!$K$4:$R$37,VLOOKUP(AW176,Foundation_Calc!$I$2:$J$8,2,FALSE),0),
IF(AX176="K",VLOOKUP(K176,Foundation_Calc!$K$41:$R$74,VLOOKUP(AW176,Foundation_Calc!$I$2:$J$8,2,FALSE),0),"")))</f>
        <v/>
      </c>
      <c r="BA176" s="553" t="str">
        <f t="shared" si="17"/>
        <v>ü</v>
      </c>
      <c r="BB176" s="553" t="str">
        <f t="shared" si="18"/>
        <v/>
      </c>
      <c r="BC176" s="553" t="str">
        <f t="shared" si="19"/>
        <v/>
      </c>
      <c r="BD176" s="572" t="str">
        <f>IF(AND(L176="",H176=""),"",
IF(H176="",Pole_Calc!A$22,
IF(H176="MP",Pole_Calc!A$23,
IF(H176="AnMP",Pole_Calc!A$24,
IF(H176="A",Pole_Calc!A$25,
IF(H176="S/A",Pole_Calc!A$26,
IF(H176="A/S",Pole_Calc!A$27,"Poner a mano")))))))</f>
        <v>App.7-V11H-P9.5.2.3</v>
      </c>
      <c r="BE176" s="448" t="s">
        <v>1726</v>
      </c>
      <c r="BF176" s="305"/>
      <c r="BG176" s="305"/>
      <c r="BH176" s="306"/>
      <c r="BI176" s="305"/>
    </row>
    <row r="177" spans="1:61" ht="16.2" customHeight="1">
      <c r="A177" s="573"/>
      <c r="B177" s="469"/>
      <c r="C177" s="3"/>
      <c r="D177" s="88"/>
      <c r="E177" s="4"/>
      <c r="F177" s="4"/>
      <c r="G177" s="6">
        <v>49.9</v>
      </c>
      <c r="H177" s="468"/>
      <c r="I177" s="4">
        <f>SUM(G159:G177)</f>
        <v>512.09999999999991</v>
      </c>
      <c r="J177" s="3"/>
      <c r="K177" s="468"/>
      <c r="L177" s="468"/>
      <c r="M177" s="468" t="str">
        <f>IF(L177="","",
IF(AX177="PT",VLOOKUP(L177,Foundation_Calc!$V$4:$X$37,VLOOKUP(AX177,Foundation_Calc!$I$10:$J$13,2,FALSE),0),
IF(AX177="K",VLOOKUP(L177,Foundation_Calc!$V$41:$X$74,VLOOKUP(AX177,Foundation_Calc!$I$10:$J$13,2,FALSE),0),"")))</f>
        <v/>
      </c>
      <c r="N177" s="468"/>
      <c r="O177" s="468"/>
      <c r="P177" s="468"/>
      <c r="Q177" s="4"/>
      <c r="R177" s="6"/>
      <c r="S177" s="6"/>
      <c r="T177" s="4"/>
      <c r="U177" s="4"/>
      <c r="V177" s="4"/>
      <c r="W177" s="9"/>
      <c r="X177" s="9"/>
      <c r="Y177" s="9"/>
      <c r="Z177" s="9"/>
      <c r="AA177" s="9"/>
      <c r="AB177" s="9"/>
      <c r="AC177" s="468" t="str">
        <f t="shared" si="16"/>
        <v/>
      </c>
      <c r="AD177" s="468"/>
      <c r="AE177" s="468"/>
      <c r="AF177" s="4"/>
      <c r="AG177" s="88"/>
      <c r="AH177" s="4"/>
      <c r="AI177" s="4"/>
      <c r="AJ177" s="468"/>
      <c r="AK177" s="468"/>
      <c r="AL177" s="468"/>
      <c r="AM177" s="468"/>
      <c r="AN177" s="10"/>
      <c r="AO177" s="9"/>
      <c r="AP177" s="9"/>
      <c r="AQ177" s="9">
        <f>+FL_1($T$178,$T$176,$G$177,1200,9.28,-1*$F$178)</f>
        <v>0.39921857637884695</v>
      </c>
      <c r="AR177" s="9"/>
      <c r="AS177" s="9"/>
      <c r="AT177" s="9"/>
      <c r="AU177" s="447"/>
      <c r="AV177" s="447"/>
      <c r="AW177" s="468" t="str">
        <f>IF(C177&gt;0,VLOOKUP(C177,Foundation_Calc!$A$2:$C$13,3,1),
IF(J177&gt;0,VLOOKUP(J177,Foundation_Calc!$A$2:$C$13,3,1),""))</f>
        <v/>
      </c>
      <c r="AX177" s="468" t="str">
        <f>IF(C177&gt;0,VLOOKUP(C177,Foundation_Calc!$E$2:$G$13,3,1),
IF(J177&gt;0,VLOOKUP(J177,Foundation_Calc!$E$2:$G$13,3,1),""))</f>
        <v/>
      </c>
      <c r="AY177" s="10" t="str">
        <f>IF(L177="","",
IF(AX177="PT",VLOOKUP(L177,Foundation_Calc!$K$4:$R$37,VLOOKUP(AW177,Foundation_Calc!$I$2:$J$8,2,FALSE),0),
IF(AX177="K",VLOOKUP(L177,Foundation_Calc!$K$41:$R$74,VLOOKUP(AW177,Foundation_Calc!$I$2:$J$8,2,FALSE),0),"")))</f>
        <v/>
      </c>
      <c r="AZ177" s="10" t="str">
        <f>IF(K177="","",
IF(AX177="PT",VLOOKUP(K177,Foundation_Calc!$K$4:$R$37,VLOOKUP(AW177,Foundation_Calc!$I$2:$J$8,2,FALSE),0),
IF(AX177="K",VLOOKUP(K177,Foundation_Calc!$K$41:$R$74,VLOOKUP(AW177,Foundation_Calc!$I$2:$J$8,2,FALSE),0),"")))</f>
        <v/>
      </c>
      <c r="BA177" s="553" t="str">
        <f t="shared" si="17"/>
        <v/>
      </c>
      <c r="BB177" s="553" t="str">
        <f t="shared" si="18"/>
        <v/>
      </c>
      <c r="BC177" s="553" t="str">
        <f t="shared" si="19"/>
        <v/>
      </c>
      <c r="BD177" s="572" t="str">
        <f>IF(AND(L177="",H177=""),"",
IF(H177="",Pole_Calc!A$22,
IF(H177="MP",Pole_Calc!A$23,
IF(H177="AnMP",Pole_Calc!A$24,
IF(H177="A",Pole_Calc!A$25,
IF(H177="S/A",Pole_Calc!A$26,
IF(H177="A/S",Pole_Calc!A$27,"Poner a mano")))))))</f>
        <v/>
      </c>
      <c r="BE177" s="448" t="s">
        <v>1726</v>
      </c>
      <c r="BF177" s="306"/>
      <c r="BG177" s="306"/>
      <c r="BH177" s="306"/>
      <c r="BI177" s="306"/>
    </row>
    <row r="178" spans="1:61" ht="16.2" customHeight="1">
      <c r="A178" s="573"/>
      <c r="B178" s="469" t="s">
        <v>1813</v>
      </c>
      <c r="C178" s="3">
        <f>+$C$176+$G$177</f>
        <v>3827.33</v>
      </c>
      <c r="D178" s="88"/>
      <c r="E178" s="4"/>
      <c r="F178" s="4">
        <v>-2200</v>
      </c>
      <c r="G178" s="6"/>
      <c r="H178" s="468" t="s">
        <v>366</v>
      </c>
      <c r="I178" s="468"/>
      <c r="J178" s="3"/>
      <c r="K178" s="468"/>
      <c r="L178" s="468" t="s">
        <v>40</v>
      </c>
      <c r="M178" s="468" t="str">
        <f>IF(L178="","",
IF(AX178="PT",VLOOKUP(L178,Foundation_Calc!$V$4:$X$37,VLOOKUP(AX178,Foundation_Calc!$I$10:$J$13,2,FALSE),0),
IF(AX178="K",VLOOKUP(L178,Foundation_Calc!$V$41:$X$74,VLOOKUP(AX178,Foundation_Calc!$I$10:$J$13,2,FALSE),0),"")))</f>
        <v>C5SR</v>
      </c>
      <c r="N178" s="468" t="s">
        <v>33</v>
      </c>
      <c r="O178" s="468"/>
      <c r="P178" s="468"/>
      <c r="Q178" s="4"/>
      <c r="R178" s="6"/>
      <c r="S178" s="6"/>
      <c r="T178" s="4">
        <v>30</v>
      </c>
      <c r="U178" s="4"/>
      <c r="V178" s="4"/>
      <c r="W178" s="9">
        <v>1.4</v>
      </c>
      <c r="X178" s="9"/>
      <c r="Y178" s="9"/>
      <c r="Z178" s="9"/>
      <c r="AA178" s="9"/>
      <c r="AB178" s="9"/>
      <c r="AC178" s="468" t="str">
        <f t="shared" si="16"/>
        <v>PH</v>
      </c>
      <c r="AD178" s="468"/>
      <c r="AE178" s="468"/>
      <c r="AF178" s="4"/>
      <c r="AG178" s="88"/>
      <c r="AH178" s="4"/>
      <c r="AI178" s="4"/>
      <c r="AJ178" s="468"/>
      <c r="AK178" s="468"/>
      <c r="AL178" s="468"/>
      <c r="AM178" s="468" t="s">
        <v>486</v>
      </c>
      <c r="AN178" s="10">
        <v>5.5</v>
      </c>
      <c r="AO178" s="9"/>
      <c r="AP178" s="9"/>
      <c r="AQ178" s="9"/>
      <c r="AR178" s="9"/>
      <c r="AS178" s="9"/>
      <c r="AT178" s="9">
        <f>+ab($T$178,$T$176,$T$180,$G$177,$G$179,-1*$F$178,1200)</f>
        <v>8.3173466548653199</v>
      </c>
      <c r="AU178" s="447"/>
      <c r="AV178" s="447"/>
      <c r="AW178" s="468" t="str">
        <f>IF(C178&gt;0,VLOOKUP(C178,Foundation_Calc!$A$2:$C$13,3,1),
IF(J178&gt;0,VLOOKUP(J178,Foundation_Calc!$A$2:$C$13,3,1),""))</f>
        <v>MultiSoil</v>
      </c>
      <c r="AX178" s="468" t="str">
        <f>IF(C178&gt;0,VLOOKUP(C178,Foundation_Calc!$E$2:$G$13,3,1),
IF(J178&gt;0,VLOOKUP(J178,Foundation_Calc!$E$2:$G$13,3,1),""))</f>
        <v>PT</v>
      </c>
      <c r="AY178" s="10">
        <f>IF(L178="","",
IF(AX178="PT",VLOOKUP(L178,Foundation_Calc!$K$4:$R$37,VLOOKUP(AW178,Foundation_Calc!$I$2:$J$8,2,FALSE),0),
IF(AX178="K",VLOOKUP(L178,Foundation_Calc!$K$41:$R$74,VLOOKUP(AW178,Foundation_Calc!$I$2:$J$8,2,FALSE),0),"")))</f>
        <v>3.7</v>
      </c>
      <c r="AZ178" s="10" t="str">
        <f>IF(K178="","",
IF(AX178="PT",VLOOKUP(K178,Foundation_Calc!$K$4:$R$37,VLOOKUP(AW178,Foundation_Calc!$I$2:$J$8,2,FALSE),0),
IF(AX178="K",VLOOKUP(K178,Foundation_Calc!$K$41:$R$74,VLOOKUP(AW178,Foundation_Calc!$I$2:$J$8,2,FALSE),0),"")))</f>
        <v/>
      </c>
      <c r="BA178" s="553" t="str">
        <f t="shared" si="17"/>
        <v>ü</v>
      </c>
      <c r="BB178" s="553" t="str">
        <f t="shared" si="18"/>
        <v/>
      </c>
      <c r="BC178" s="553" t="str">
        <f t="shared" si="19"/>
        <v/>
      </c>
      <c r="BD178" s="572" t="str">
        <f>IF(AND(L178="",H178=""),"",
IF(H178="",Pole_Calc!A$22,
IF(H178="MP",Pole_Calc!A$23,
IF(H178="AnMP",Pole_Calc!A$24,
IF(H178="A",Pole_Calc!A$25,
IF(H178="S/A",Pole_Calc!A$26,
IF(H178="A/S",Pole_Calc!A$27,"Poner a mano")))))))</f>
        <v>App.7-V11H-P9.5.2.2</v>
      </c>
      <c r="BE178" s="448" t="s">
        <v>1726</v>
      </c>
      <c r="BF178" s="305"/>
      <c r="BG178" s="305"/>
      <c r="BH178" s="306"/>
      <c r="BI178" s="305"/>
    </row>
    <row r="179" spans="1:61" ht="16.2" customHeight="1">
      <c r="A179" s="573" t="s">
        <v>2448</v>
      </c>
      <c r="B179" s="469"/>
      <c r="C179" s="3"/>
      <c r="D179" s="88"/>
      <c r="E179" s="4"/>
      <c r="F179" s="4"/>
      <c r="G179" s="6">
        <v>50.9</v>
      </c>
      <c r="H179" s="468"/>
      <c r="I179" s="4">
        <f>SUM(G179:G197)</f>
        <v>554.5</v>
      </c>
      <c r="J179" s="3"/>
      <c r="K179" s="468"/>
      <c r="L179" s="468"/>
      <c r="M179" s="468" t="str">
        <f>IF(L179="","",
IF(AX179="PT",VLOOKUP(L179,Foundation_Calc!$V$4:$X$37,VLOOKUP(AX179,Foundation_Calc!$I$10:$J$13,2,FALSE),0),
IF(AX179="K",VLOOKUP(L179,Foundation_Calc!$V$41:$X$74,VLOOKUP(AX179,Foundation_Calc!$I$10:$J$13,2,FALSE),0),"")))</f>
        <v/>
      </c>
      <c r="N179" s="468"/>
      <c r="O179" s="468"/>
      <c r="P179" s="468"/>
      <c r="Q179" s="4"/>
      <c r="R179" s="6"/>
      <c r="S179" s="6"/>
      <c r="T179" s="4"/>
      <c r="U179" s="4"/>
      <c r="V179" s="4"/>
      <c r="W179" s="9"/>
      <c r="X179" s="9"/>
      <c r="Y179" s="9"/>
      <c r="Z179" s="9"/>
      <c r="AA179" s="9"/>
      <c r="AB179" s="9"/>
      <c r="AC179" s="468" t="str">
        <f t="shared" si="16"/>
        <v/>
      </c>
      <c r="AD179" s="468"/>
      <c r="AE179" s="468"/>
      <c r="AF179" s="4"/>
      <c r="AG179" s="88"/>
      <c r="AH179" s="4"/>
      <c r="AI179" s="4"/>
      <c r="AJ179" s="468"/>
      <c r="AK179" s="468"/>
      <c r="AL179" s="468"/>
      <c r="AM179" s="468"/>
      <c r="AN179" s="10"/>
      <c r="AO179" s="9"/>
      <c r="AP179" s="9"/>
      <c r="AQ179" s="9">
        <f>+FL_1($T$180,$T$178,$G$179,1200,9.28,-1*$F$180)</f>
        <v>0.40323492784980108</v>
      </c>
      <c r="AR179" s="9"/>
      <c r="AS179" s="9"/>
      <c r="AT179" s="9"/>
      <c r="AU179" s="447"/>
      <c r="AV179" s="447"/>
      <c r="AW179" s="468" t="str">
        <f>IF(C179&gt;0,VLOOKUP(C179,Foundation_Calc!$A$2:$C$13,3,1),
IF(J179&gt;0,VLOOKUP(J179,Foundation_Calc!$A$2:$C$13,3,1),""))</f>
        <v/>
      </c>
      <c r="AX179" s="468" t="str">
        <f>IF(C179&gt;0,VLOOKUP(C179,Foundation_Calc!$E$2:$G$13,3,1),
IF(J179&gt;0,VLOOKUP(J179,Foundation_Calc!$E$2:$G$13,3,1),""))</f>
        <v/>
      </c>
      <c r="AY179" s="10" t="str">
        <f>IF(L179="","",
IF(AX179="PT",VLOOKUP(L179,Foundation_Calc!$K$4:$R$37,VLOOKUP(AW179,Foundation_Calc!$I$2:$J$8,2,FALSE),0),
IF(AX179="K",VLOOKUP(L179,Foundation_Calc!$K$41:$R$74,VLOOKUP(AW179,Foundation_Calc!$I$2:$J$8,2,FALSE),0),"")))</f>
        <v/>
      </c>
      <c r="AZ179" s="10" t="str">
        <f>IF(K179="","",
IF(AX179="PT",VLOOKUP(K179,Foundation_Calc!$K$4:$R$37,VLOOKUP(AW179,Foundation_Calc!$I$2:$J$8,2,FALSE),0),
IF(AX179="K",VLOOKUP(K179,Foundation_Calc!$K$41:$R$74,VLOOKUP(AW179,Foundation_Calc!$I$2:$J$8,2,FALSE),0),"")))</f>
        <v/>
      </c>
      <c r="BA179" s="553" t="str">
        <f t="shared" si="17"/>
        <v/>
      </c>
      <c r="BB179" s="553" t="str">
        <f t="shared" si="18"/>
        <v/>
      </c>
      <c r="BC179" s="553" t="str">
        <f t="shared" si="19"/>
        <v/>
      </c>
      <c r="BD179" s="572" t="str">
        <f>IF(AND(L179="",H179=""),"",
IF(H179="",Pole_Calc!A$22,
IF(H179="MP",Pole_Calc!A$23,
IF(H179="AnMP",Pole_Calc!A$24,
IF(H179="A",Pole_Calc!A$25,
IF(H179="S/A",Pole_Calc!A$26,
IF(H179="A/S",Pole_Calc!A$27,"Poner a mano")))))))</f>
        <v/>
      </c>
      <c r="BE179" s="448" t="s">
        <v>1726</v>
      </c>
      <c r="BF179" s="306"/>
      <c r="BG179" s="306"/>
      <c r="BH179" s="306"/>
      <c r="BI179" s="306"/>
    </row>
    <row r="180" spans="1:61" ht="16.2" customHeight="1">
      <c r="A180" s="573"/>
      <c r="B180" s="469" t="s">
        <v>1814</v>
      </c>
      <c r="C180" s="3">
        <f>+$C$178+$G$179</f>
        <v>3878.23</v>
      </c>
      <c r="D180" s="88"/>
      <c r="E180" s="4"/>
      <c r="F180" s="4">
        <v>-2200</v>
      </c>
      <c r="G180" s="6"/>
      <c r="H180" s="468" t="s">
        <v>365</v>
      </c>
      <c r="I180" s="468"/>
      <c r="J180" s="3"/>
      <c r="K180" s="468"/>
      <c r="L180" s="468" t="s">
        <v>40</v>
      </c>
      <c r="M180" s="468" t="str">
        <f>IF(L180="","",
IF(AX180="PT",VLOOKUP(L180,Foundation_Calc!$V$4:$X$37,VLOOKUP(AX180,Foundation_Calc!$I$10:$J$13,2,FALSE),0),
IF(AX180="K",VLOOKUP(L180,Foundation_Calc!$V$41:$X$74,VLOOKUP(AX180,Foundation_Calc!$I$10:$J$13,2,FALSE),0),"")))</f>
        <v>C5SR</v>
      </c>
      <c r="N180" s="468" t="s">
        <v>33</v>
      </c>
      <c r="O180" s="468"/>
      <c r="P180" s="468"/>
      <c r="Q180" s="4"/>
      <c r="R180" s="6"/>
      <c r="S180" s="6"/>
      <c r="T180" s="4">
        <v>30</v>
      </c>
      <c r="U180" s="4"/>
      <c r="V180" s="4"/>
      <c r="W180" s="9">
        <v>1.4</v>
      </c>
      <c r="X180" s="9"/>
      <c r="Y180" s="9"/>
      <c r="Z180" s="9"/>
      <c r="AA180" s="9"/>
      <c r="AB180" s="9"/>
      <c r="AC180" s="468" t="str">
        <f t="shared" si="16"/>
        <v>PHQ</v>
      </c>
      <c r="AD180" s="468"/>
      <c r="AE180" s="468"/>
      <c r="AF180" s="4"/>
      <c r="AG180" s="88"/>
      <c r="AH180" s="4"/>
      <c r="AI180" s="4"/>
      <c r="AJ180" s="468"/>
      <c r="AK180" s="468"/>
      <c r="AL180" s="468"/>
      <c r="AM180" s="468" t="s">
        <v>486</v>
      </c>
      <c r="AN180" s="10">
        <v>5.5</v>
      </c>
      <c r="AO180" s="9"/>
      <c r="AP180" s="9"/>
      <c r="AQ180" s="9"/>
      <c r="AR180" s="9"/>
      <c r="AS180" s="9"/>
      <c r="AT180" s="9">
        <f>+ab($T$180,$T$178,$T$182,$G$179,$G$181,-1*$F$180,1200)</f>
        <v>7.8560845527144627</v>
      </c>
      <c r="AU180" s="447"/>
      <c r="AV180" s="447"/>
      <c r="AW180" s="468" t="str">
        <f>IF(C180&gt;0,VLOOKUP(C180,Foundation_Calc!$A$2:$C$13,3,1),
IF(J180&gt;0,VLOOKUP(J180,Foundation_Calc!$A$2:$C$13,3,1),""))</f>
        <v>MultiSoil</v>
      </c>
      <c r="AX180" s="468" t="str">
        <f>IF(C180&gt;0,VLOOKUP(C180,Foundation_Calc!$E$2:$G$13,3,1),
IF(J180&gt;0,VLOOKUP(J180,Foundation_Calc!$E$2:$G$13,3,1),""))</f>
        <v>PT</v>
      </c>
      <c r="AY180" s="10">
        <f>IF(L180="","",
IF(AX180="PT",VLOOKUP(L180,Foundation_Calc!$K$4:$R$37,VLOOKUP(AW180,Foundation_Calc!$I$2:$J$8,2,FALSE),0),
IF(AX180="K",VLOOKUP(L180,Foundation_Calc!$K$41:$R$74,VLOOKUP(AW180,Foundation_Calc!$I$2:$J$8,2,FALSE),0),"")))</f>
        <v>3.7</v>
      </c>
      <c r="AZ180" s="10" t="str">
        <f>IF(K180="","",
IF(AX180="PT",VLOOKUP(K180,Foundation_Calc!$K$4:$R$37,VLOOKUP(AW180,Foundation_Calc!$I$2:$J$8,2,FALSE),0),
IF(AX180="K",VLOOKUP(K180,Foundation_Calc!$K$41:$R$74,VLOOKUP(AW180,Foundation_Calc!$I$2:$J$8,2,FALSE),0),"")))</f>
        <v/>
      </c>
      <c r="BA180" s="553" t="str">
        <f t="shared" si="17"/>
        <v>ü</v>
      </c>
      <c r="BB180" s="553" t="str">
        <f t="shared" si="18"/>
        <v/>
      </c>
      <c r="BC180" s="553" t="str">
        <f t="shared" si="19"/>
        <v/>
      </c>
      <c r="BD180" s="572" t="str">
        <f>IF(AND(L180="",H180=""),"",
IF(H180="",Pole_Calc!A$22,
IF(H180="MP",Pole_Calc!A$23,
IF(H180="AnMP",Pole_Calc!A$24,
IF(H180="A",Pole_Calc!A$25,
IF(H180="S/A",Pole_Calc!A$26,
IF(H180="A/S",Pole_Calc!A$27,"Poner a mano")))))))</f>
        <v>App.7-V11H-P9.5.2.3</v>
      </c>
      <c r="BE180" s="448" t="s">
        <v>1726</v>
      </c>
      <c r="BF180" s="305"/>
      <c r="BG180" s="305"/>
      <c r="BH180" s="306"/>
      <c r="BI180" s="305"/>
    </row>
    <row r="181" spans="1:61" ht="16.2" customHeight="1">
      <c r="A181" s="573" t="s">
        <v>2449</v>
      </c>
      <c r="B181" s="469"/>
      <c r="C181" s="3"/>
      <c r="D181" s="88"/>
      <c r="E181" s="4"/>
      <c r="F181" s="4"/>
      <c r="G181" s="6">
        <v>55.9</v>
      </c>
      <c r="H181" s="468"/>
      <c r="I181" s="468"/>
      <c r="J181" s="3">
        <f>C180+7.5</f>
        <v>3885.73</v>
      </c>
      <c r="K181" s="468" t="s">
        <v>1096</v>
      </c>
      <c r="L181" s="468"/>
      <c r="M181" s="468" t="str">
        <f>IF(L181="","",
IF(AX181="PT",VLOOKUP(L181,Foundation_Calc!$V$4:$X$37,VLOOKUP(AX181,Foundation_Calc!$I$10:$J$13,2,FALSE),0),
IF(AX181="K",VLOOKUP(L181,Foundation_Calc!$V$41:$X$74,VLOOKUP(AX181,Foundation_Calc!$I$10:$J$13,2,FALSE),0),"")))</f>
        <v/>
      </c>
      <c r="N181" s="468"/>
      <c r="O181" s="468"/>
      <c r="P181" s="468"/>
      <c r="Q181" s="4"/>
      <c r="R181" s="6"/>
      <c r="S181" s="6"/>
      <c r="T181" s="4"/>
      <c r="U181" s="4"/>
      <c r="V181" s="4"/>
      <c r="W181" s="9"/>
      <c r="X181" s="9"/>
      <c r="Y181" s="9"/>
      <c r="Z181" s="9"/>
      <c r="AA181" s="9"/>
      <c r="AB181" s="9"/>
      <c r="AC181" s="468" t="str">
        <f t="shared" si="16"/>
        <v/>
      </c>
      <c r="AD181" s="468"/>
      <c r="AE181" s="468"/>
      <c r="AF181" s="4"/>
      <c r="AG181" s="88"/>
      <c r="AH181" s="4"/>
      <c r="AI181" s="4"/>
      <c r="AJ181" s="468"/>
      <c r="AK181" s="468"/>
      <c r="AL181" s="468"/>
      <c r="AM181" s="468"/>
      <c r="AN181" s="10"/>
      <c r="AO181" s="9"/>
      <c r="AP181" s="9"/>
      <c r="AQ181" s="9">
        <f>+FL_1($T$182,$T$180,$G$181,1200,9.28,-1*$F$182)</f>
        <v>0.42451177913614613</v>
      </c>
      <c r="AR181" s="9"/>
      <c r="AS181" s="9"/>
      <c r="AT181" s="9"/>
      <c r="AU181" s="447"/>
      <c r="AV181" s="447"/>
      <c r="AW181" s="468" t="str">
        <f>IF(C181&gt;0,VLOOKUP(C181,Foundation_Calc!$A$2:$C$13,3,1),
IF(J181&gt;0,VLOOKUP(J181,Foundation_Calc!$A$2:$C$13,3,1),""))</f>
        <v>MultiSoil</v>
      </c>
      <c r="AX181" s="468" t="str">
        <f>IF(C181&gt;0,VLOOKUP(C181,Foundation_Calc!$E$2:$G$13,3,1),
IF(J181&gt;0,VLOOKUP(J181,Foundation_Calc!$E$2:$G$13,3,1),""))</f>
        <v>PT</v>
      </c>
      <c r="AY181" s="10" t="str">
        <f>IF(L181="","",
IF(AX181="PT",VLOOKUP(L181,Foundation_Calc!$K$4:$R$37,VLOOKUP(AW181,Foundation_Calc!$I$2:$J$8,2,FALSE),0),
IF(AX181="K",VLOOKUP(L181,Foundation_Calc!$K$41:$R$74,VLOOKUP(AW181,Foundation_Calc!$I$2:$J$8,2,FALSE),0),"")))</f>
        <v/>
      </c>
      <c r="AZ181" s="10">
        <f>IF(K181="","",
IF(AX181="PT",VLOOKUP(K181,Foundation_Calc!$K$4:$R$37,VLOOKUP(AW181,Foundation_Calc!$I$2:$J$8,2,FALSE),0),
IF(AX181="K",VLOOKUP(K181,Foundation_Calc!$K$41:$R$74,VLOOKUP(AW181,Foundation_Calc!$I$2:$J$8,2,FALSE),0),"")))</f>
        <v>2.8</v>
      </c>
      <c r="BA181" s="553" t="str">
        <f t="shared" si="17"/>
        <v/>
      </c>
      <c r="BB181" s="553" t="str">
        <f t="shared" si="18"/>
        <v>ü</v>
      </c>
      <c r="BC181" s="553" t="str">
        <f t="shared" si="19"/>
        <v/>
      </c>
      <c r="BD181" s="572" t="str">
        <f>IF(AND(L181="",H181=""),"",
IF(H181="",Pole_Calc!A$22,
IF(H181="MP",Pole_Calc!A$23,
IF(H181="AnMP",Pole_Calc!A$24,
IF(H181="A",Pole_Calc!A$25,
IF(H181="S/A",Pole_Calc!A$26,
IF(H181="A/S",Pole_Calc!A$27,"Poner a mano")))))))</f>
        <v/>
      </c>
      <c r="BE181" s="448" t="s">
        <v>1726</v>
      </c>
      <c r="BF181" s="306"/>
      <c r="BG181" s="306"/>
      <c r="BH181" s="306"/>
      <c r="BI181" s="306"/>
    </row>
    <row r="182" spans="1:61" ht="16.2" customHeight="1">
      <c r="A182" s="573"/>
      <c r="B182" s="469" t="s">
        <v>1815</v>
      </c>
      <c r="C182" s="3">
        <f>+$C$180+$G$181</f>
        <v>3934.13</v>
      </c>
      <c r="D182" s="88"/>
      <c r="E182" s="4"/>
      <c r="F182" s="4">
        <v>-2200</v>
      </c>
      <c r="G182" s="6"/>
      <c r="H182" s="468"/>
      <c r="I182" s="468"/>
      <c r="J182" s="3"/>
      <c r="K182" s="468"/>
      <c r="L182" s="468" t="s">
        <v>40</v>
      </c>
      <c r="M182" s="468" t="str">
        <f>IF(L182="","",
IF(AX182="PT",VLOOKUP(L182,Foundation_Calc!$V$4:$X$37,VLOOKUP(AX182,Foundation_Calc!$I$10:$J$13,2,FALSE),0),
IF(AX182="K",VLOOKUP(L182,Foundation_Calc!$V$41:$X$74,VLOOKUP(AX182,Foundation_Calc!$I$10:$J$13,2,FALSE),0),"")))</f>
        <v>C5SR</v>
      </c>
      <c r="N182" s="468" t="s">
        <v>33</v>
      </c>
      <c r="O182" s="468"/>
      <c r="P182" s="468"/>
      <c r="Q182" s="4"/>
      <c r="R182" s="6"/>
      <c r="S182" s="6"/>
      <c r="T182" s="4">
        <v>30</v>
      </c>
      <c r="U182" s="4"/>
      <c r="V182" s="4"/>
      <c r="W182" s="9">
        <v>1.4</v>
      </c>
      <c r="X182" s="9"/>
      <c r="Y182" s="9"/>
      <c r="Z182" s="9"/>
      <c r="AA182" s="9"/>
      <c r="AB182" s="9"/>
      <c r="AC182" s="468" t="str">
        <f t="shared" si="16"/>
        <v>PHQ</v>
      </c>
      <c r="AD182" s="468"/>
      <c r="AE182" s="468"/>
      <c r="AF182" s="4"/>
      <c r="AG182" s="88"/>
      <c r="AH182" s="4"/>
      <c r="AI182" s="4"/>
      <c r="AJ182" s="468"/>
      <c r="AK182" s="468"/>
      <c r="AL182" s="468"/>
      <c r="AM182" s="468" t="s">
        <v>486</v>
      </c>
      <c r="AN182" s="10">
        <v>5.5</v>
      </c>
      <c r="AO182" s="9"/>
      <c r="AP182" s="9"/>
      <c r="AQ182" s="9"/>
      <c r="AR182" s="9"/>
      <c r="AS182" s="9"/>
      <c r="AT182" s="9">
        <f>+ab($T$182,$T$180,$T$184,$G$181,$G$183,-1*$F$182,1200)</f>
        <v>7.7841056161698239</v>
      </c>
      <c r="AU182" s="447"/>
      <c r="AV182" s="447"/>
      <c r="AW182" s="468" t="str">
        <f>IF(C182&gt;0,VLOOKUP(C182,Foundation_Calc!$A$2:$C$13,3,1),
IF(J182&gt;0,VLOOKUP(J182,Foundation_Calc!$A$2:$C$13,3,1),""))</f>
        <v>MultiSoil</v>
      </c>
      <c r="AX182" s="468" t="str">
        <f>IF(C182&gt;0,VLOOKUP(C182,Foundation_Calc!$E$2:$G$13,3,1),
IF(J182&gt;0,VLOOKUP(J182,Foundation_Calc!$E$2:$G$13,3,1),""))</f>
        <v>PT</v>
      </c>
      <c r="AY182" s="10">
        <f>IF(L182="","",
IF(AX182="PT",VLOOKUP(L182,Foundation_Calc!$K$4:$R$37,VLOOKUP(AW182,Foundation_Calc!$I$2:$J$8,2,FALSE),0),
IF(AX182="K",VLOOKUP(L182,Foundation_Calc!$K$41:$R$74,VLOOKUP(AW182,Foundation_Calc!$I$2:$J$8,2,FALSE),0),"")))</f>
        <v>3.7</v>
      </c>
      <c r="AZ182" s="10" t="str">
        <f>IF(K182="","",
IF(AX182="PT",VLOOKUP(K182,Foundation_Calc!$K$4:$R$37,VLOOKUP(AW182,Foundation_Calc!$I$2:$J$8,2,FALSE),0),
IF(AX182="K",VLOOKUP(K182,Foundation_Calc!$K$41:$R$74,VLOOKUP(AW182,Foundation_Calc!$I$2:$J$8,2,FALSE),0),"")))</f>
        <v/>
      </c>
      <c r="BA182" s="553" t="str">
        <f t="shared" si="17"/>
        <v>ü</v>
      </c>
      <c r="BB182" s="553" t="str">
        <f t="shared" si="18"/>
        <v/>
      </c>
      <c r="BC182" s="553" t="str">
        <f t="shared" si="19"/>
        <v/>
      </c>
      <c r="BD182" s="572" t="str">
        <f>IF(AND(L182="",H182=""),"",
IF(H182="",Pole_Calc!A$22,
IF(H182="MP",Pole_Calc!A$23,
IF(H182="AnMP",Pole_Calc!A$24,
IF(H182="A",Pole_Calc!A$25,
IF(H182="S/A",Pole_Calc!A$26,
IF(H182="A/S",Pole_Calc!A$27,"Poner a mano")))))))</f>
        <v>App.7-V11H-P9.5.2.1</v>
      </c>
      <c r="BE182" s="448" t="s">
        <v>1726</v>
      </c>
      <c r="BF182" s="305"/>
      <c r="BG182" s="305"/>
      <c r="BH182" s="306"/>
      <c r="BI182" s="305"/>
    </row>
    <row r="183" spans="1:61" ht="16.2" customHeight="1">
      <c r="A183" s="573"/>
      <c r="B183" s="469"/>
      <c r="C183" s="3"/>
      <c r="D183" s="88"/>
      <c r="E183" s="4"/>
      <c r="F183" s="4"/>
      <c r="G183" s="6">
        <v>51.9</v>
      </c>
      <c r="H183" s="468"/>
      <c r="I183" s="468"/>
      <c r="J183" s="3"/>
      <c r="K183" s="468"/>
      <c r="L183" s="468"/>
      <c r="M183" s="468" t="str">
        <f>IF(L183="","",
IF(AX183="PT",VLOOKUP(L183,Foundation_Calc!$V$4:$X$37,VLOOKUP(AX183,Foundation_Calc!$I$10:$J$13,2,FALSE),0),
IF(AX183="K",VLOOKUP(L183,Foundation_Calc!$V$41:$X$74,VLOOKUP(AX183,Foundation_Calc!$I$10:$J$13,2,FALSE),0),"")))</f>
        <v/>
      </c>
      <c r="N183" s="468"/>
      <c r="O183" s="468"/>
      <c r="P183" s="468"/>
      <c r="Q183" s="4"/>
      <c r="R183" s="6"/>
      <c r="S183" s="6"/>
      <c r="T183" s="4"/>
      <c r="U183" s="4"/>
      <c r="V183" s="4"/>
      <c r="W183" s="9"/>
      <c r="X183" s="9"/>
      <c r="Y183" s="9"/>
      <c r="Z183" s="9"/>
      <c r="AA183" s="9"/>
      <c r="AB183" s="9"/>
      <c r="AC183" s="468" t="str">
        <f t="shared" si="16"/>
        <v/>
      </c>
      <c r="AD183" s="468"/>
      <c r="AE183" s="468"/>
      <c r="AF183" s="4"/>
      <c r="AG183" s="88"/>
      <c r="AH183" s="4"/>
      <c r="AI183" s="4"/>
      <c r="AJ183" s="468"/>
      <c r="AK183" s="468"/>
      <c r="AL183" s="468"/>
      <c r="AM183" s="468"/>
      <c r="AN183" s="10"/>
      <c r="AO183" s="9"/>
      <c r="AP183" s="9"/>
      <c r="AQ183" s="9">
        <f>+FL_1($T$184,$T$182,$G$183,1200,9.28,-1*$F$184)</f>
        <v>0.40733095347410087</v>
      </c>
      <c r="AR183" s="9"/>
      <c r="AS183" s="9"/>
      <c r="AT183" s="9"/>
      <c r="AU183" s="447"/>
      <c r="AV183" s="447"/>
      <c r="AW183" s="468" t="str">
        <f>IF(C183&gt;0,VLOOKUP(C183,Foundation_Calc!$A$2:$C$13,3,1),
IF(J183&gt;0,VLOOKUP(J183,Foundation_Calc!$A$2:$C$13,3,1),""))</f>
        <v/>
      </c>
      <c r="AX183" s="468" t="str">
        <f>IF(C183&gt;0,VLOOKUP(C183,Foundation_Calc!$E$2:$G$13,3,1),
IF(J183&gt;0,VLOOKUP(J183,Foundation_Calc!$E$2:$G$13,3,1),""))</f>
        <v/>
      </c>
      <c r="AY183" s="10" t="str">
        <f>IF(L183="","",
IF(AX183="PT",VLOOKUP(L183,Foundation_Calc!$K$4:$R$37,VLOOKUP(AW183,Foundation_Calc!$I$2:$J$8,2,FALSE),0),
IF(AX183="K",VLOOKUP(L183,Foundation_Calc!$K$41:$R$74,VLOOKUP(AW183,Foundation_Calc!$I$2:$J$8,2,FALSE),0),"")))</f>
        <v/>
      </c>
      <c r="AZ183" s="10" t="str">
        <f>IF(K183="","",
IF(AX183="PT",VLOOKUP(K183,Foundation_Calc!$K$4:$R$37,VLOOKUP(AW183,Foundation_Calc!$I$2:$J$8,2,FALSE),0),
IF(AX183="K",VLOOKUP(K183,Foundation_Calc!$K$41:$R$74,VLOOKUP(AW183,Foundation_Calc!$I$2:$J$8,2,FALSE),0),"")))</f>
        <v/>
      </c>
      <c r="BA183" s="553" t="str">
        <f t="shared" si="17"/>
        <v/>
      </c>
      <c r="BB183" s="553" t="str">
        <f t="shared" si="18"/>
        <v/>
      </c>
      <c r="BC183" s="553" t="str">
        <f t="shared" si="19"/>
        <v/>
      </c>
      <c r="BD183" s="572" t="str">
        <f>IF(AND(L183="",H183=""),"",
IF(H183="",Pole_Calc!A$22,
IF(H183="MP",Pole_Calc!A$23,
IF(H183="AnMP",Pole_Calc!A$24,
IF(H183="A",Pole_Calc!A$25,
IF(H183="S/A",Pole_Calc!A$26,
IF(H183="A/S",Pole_Calc!A$27,"Poner a mano")))))))</f>
        <v/>
      </c>
      <c r="BE183" s="448" t="s">
        <v>1726</v>
      </c>
      <c r="BF183" s="306"/>
      <c r="BG183" s="306"/>
      <c r="BH183" s="306"/>
      <c r="BI183" s="306"/>
    </row>
    <row r="184" spans="1:61" ht="16.2" customHeight="1">
      <c r="A184" s="573"/>
      <c r="B184" s="469" t="s">
        <v>1816</v>
      </c>
      <c r="C184" s="3">
        <f>+$C$182+$G$183</f>
        <v>3986.03</v>
      </c>
      <c r="D184" s="88"/>
      <c r="E184" s="4"/>
      <c r="F184" s="4">
        <v>-2200</v>
      </c>
      <c r="G184" s="6"/>
      <c r="H184" s="468"/>
      <c r="I184" s="468"/>
      <c r="J184" s="3"/>
      <c r="K184" s="468"/>
      <c r="L184" s="468" t="s">
        <v>40</v>
      </c>
      <c r="M184" s="468" t="str">
        <f>IF(L184="","",
IF(AX184="PT",VLOOKUP(L184,Foundation_Calc!$V$4:$X$37,VLOOKUP(AX184,Foundation_Calc!$I$10:$J$13,2,FALSE),0),
IF(AX184="K",VLOOKUP(L184,Foundation_Calc!$V$41:$X$74,VLOOKUP(AX184,Foundation_Calc!$I$10:$J$13,2,FALSE),0),"")))</f>
        <v>C5SR</v>
      </c>
      <c r="N184" s="468" t="s">
        <v>33</v>
      </c>
      <c r="O184" s="468"/>
      <c r="P184" s="468"/>
      <c r="Q184" s="4"/>
      <c r="R184" s="6"/>
      <c r="S184" s="6"/>
      <c r="T184" s="4">
        <v>30</v>
      </c>
      <c r="U184" s="4"/>
      <c r="V184" s="4"/>
      <c r="W184" s="9">
        <v>1.4</v>
      </c>
      <c r="X184" s="9"/>
      <c r="Y184" s="9"/>
      <c r="Z184" s="9"/>
      <c r="AA184" s="9"/>
      <c r="AB184" s="9"/>
      <c r="AC184" s="468" t="str">
        <f t="shared" si="16"/>
        <v>PH</v>
      </c>
      <c r="AD184" s="468"/>
      <c r="AE184" s="468"/>
      <c r="AF184" s="4"/>
      <c r="AG184" s="88"/>
      <c r="AH184" s="4"/>
      <c r="AI184" s="4"/>
      <c r="AJ184" s="468"/>
      <c r="AK184" s="468"/>
      <c r="AL184" s="468"/>
      <c r="AM184" s="468" t="s">
        <v>486</v>
      </c>
      <c r="AN184" s="10">
        <v>5.5</v>
      </c>
      <c r="AO184" s="9"/>
      <c r="AP184" s="9"/>
      <c r="AQ184" s="9"/>
      <c r="AR184" s="9"/>
      <c r="AS184" s="9"/>
      <c r="AT184" s="9">
        <f>+ab($T$184,$T$182,$T$186,$G$183,$G$185,-1*$F$184,1200)</f>
        <v>8.0040846734371751</v>
      </c>
      <c r="AU184" s="447"/>
      <c r="AV184" s="447"/>
      <c r="AW184" s="468" t="str">
        <f>IF(C184&gt;0,VLOOKUP(C184,Foundation_Calc!$A$2:$C$13,3,1),
IF(J184&gt;0,VLOOKUP(J184,Foundation_Calc!$A$2:$C$13,3,1),""))</f>
        <v>MultiSoil</v>
      </c>
      <c r="AX184" s="468" t="str">
        <f>IF(C184&gt;0,VLOOKUP(C184,Foundation_Calc!$E$2:$G$13,3,1),
IF(J184&gt;0,VLOOKUP(J184,Foundation_Calc!$E$2:$G$13,3,1),""))</f>
        <v>PT</v>
      </c>
      <c r="AY184" s="10">
        <f>IF(L184="","",
IF(AX184="PT",VLOOKUP(L184,Foundation_Calc!$K$4:$R$37,VLOOKUP(AW184,Foundation_Calc!$I$2:$J$8,2,FALSE),0),
IF(AX184="K",VLOOKUP(L184,Foundation_Calc!$K$41:$R$74,VLOOKUP(AW184,Foundation_Calc!$I$2:$J$8,2,FALSE),0),"")))</f>
        <v>3.7</v>
      </c>
      <c r="AZ184" s="10" t="str">
        <f>IF(K184="","",
IF(AX184="PT",VLOOKUP(K184,Foundation_Calc!$K$4:$R$37,VLOOKUP(AW184,Foundation_Calc!$I$2:$J$8,2,FALSE),0),
IF(AX184="K",VLOOKUP(K184,Foundation_Calc!$K$41:$R$74,VLOOKUP(AW184,Foundation_Calc!$I$2:$J$8,2,FALSE),0),"")))</f>
        <v/>
      </c>
      <c r="BA184" s="553" t="str">
        <f t="shared" si="17"/>
        <v>ü</v>
      </c>
      <c r="BB184" s="553" t="str">
        <f t="shared" si="18"/>
        <v/>
      </c>
      <c r="BC184" s="553" t="str">
        <f t="shared" si="19"/>
        <v/>
      </c>
      <c r="BD184" s="572" t="str">
        <f>IF(AND(L184="",H184=""),"",
IF(H184="",Pole_Calc!A$22,
IF(H184="MP",Pole_Calc!A$23,
IF(H184="AnMP",Pole_Calc!A$24,
IF(H184="A",Pole_Calc!A$25,
IF(H184="S/A",Pole_Calc!A$26,
IF(H184="A/S",Pole_Calc!A$27,"Poner a mano")))))))</f>
        <v>App.7-V11H-P9.5.2.1</v>
      </c>
      <c r="BE184" s="448" t="s">
        <v>1726</v>
      </c>
      <c r="BF184" s="305"/>
      <c r="BG184" s="305"/>
      <c r="BH184" s="306"/>
      <c r="BI184" s="305"/>
    </row>
    <row r="185" spans="1:61" ht="16.2" customHeight="1">
      <c r="A185" s="573"/>
      <c r="B185" s="469"/>
      <c r="C185" s="3"/>
      <c r="D185" s="88"/>
      <c r="E185" s="4"/>
      <c r="F185" s="4"/>
      <c r="G185" s="6">
        <v>52.9</v>
      </c>
      <c r="H185" s="468"/>
      <c r="I185" s="468"/>
      <c r="J185" s="3"/>
      <c r="K185" s="468"/>
      <c r="L185" s="468"/>
      <c r="M185" s="468" t="str">
        <f>IF(L185="","",
IF(AX185="PT",VLOOKUP(L185,Foundation_Calc!$V$4:$X$37,VLOOKUP(AX185,Foundation_Calc!$I$10:$J$13,2,FALSE),0),
IF(AX185="K",VLOOKUP(L185,Foundation_Calc!$V$41:$X$74,VLOOKUP(AX185,Foundation_Calc!$I$10:$J$13,2,FALSE),0),"")))</f>
        <v/>
      </c>
      <c r="N185" s="468"/>
      <c r="O185" s="468"/>
      <c r="P185" s="468"/>
      <c r="Q185" s="4"/>
      <c r="R185" s="6"/>
      <c r="S185" s="6"/>
      <c r="T185" s="4"/>
      <c r="U185" s="4"/>
      <c r="V185" s="4"/>
      <c r="W185" s="9"/>
      <c r="X185" s="9"/>
      <c r="Y185" s="9"/>
      <c r="Z185" s="9"/>
      <c r="AA185" s="9"/>
      <c r="AB185" s="9"/>
      <c r="AC185" s="468" t="str">
        <f t="shared" si="16"/>
        <v/>
      </c>
      <c r="AD185" s="468"/>
      <c r="AE185" s="468"/>
      <c r="AF185" s="4"/>
      <c r="AG185" s="88"/>
      <c r="AH185" s="4"/>
      <c r="AI185" s="4"/>
      <c r="AJ185" s="468"/>
      <c r="AK185" s="468"/>
      <c r="AL185" s="468"/>
      <c r="AM185" s="468"/>
      <c r="AN185" s="10"/>
      <c r="AO185" s="9"/>
      <c r="AP185" s="9"/>
      <c r="AQ185" s="9">
        <f>+FL_1($T$186,$T$184,$G$185,1200,9.28,-1*$F$186)</f>
        <v>0.41150665234679895</v>
      </c>
      <c r="AR185" s="9"/>
      <c r="AS185" s="9"/>
      <c r="AT185" s="9"/>
      <c r="AU185" s="447"/>
      <c r="AV185" s="447"/>
      <c r="AW185" s="468" t="str">
        <f>IF(C185&gt;0,VLOOKUP(C185,Foundation_Calc!$A$2:$C$13,3,1),
IF(J185&gt;0,VLOOKUP(J185,Foundation_Calc!$A$2:$C$13,3,1),""))</f>
        <v/>
      </c>
      <c r="AX185" s="468" t="str">
        <f>IF(C185&gt;0,VLOOKUP(C185,Foundation_Calc!$E$2:$G$13,3,1),
IF(J185&gt;0,VLOOKUP(J185,Foundation_Calc!$E$2:$G$13,3,1),""))</f>
        <v/>
      </c>
      <c r="AY185" s="10" t="str">
        <f>IF(L185="","",
IF(AX185="PT",VLOOKUP(L185,Foundation_Calc!$K$4:$R$37,VLOOKUP(AW185,Foundation_Calc!$I$2:$J$8,2,FALSE),0),
IF(AX185="K",VLOOKUP(L185,Foundation_Calc!$K$41:$R$74,VLOOKUP(AW185,Foundation_Calc!$I$2:$J$8,2,FALSE),0),"")))</f>
        <v/>
      </c>
      <c r="AZ185" s="10" t="str">
        <f>IF(K185="","",
IF(AX185="PT",VLOOKUP(K185,Foundation_Calc!$K$4:$R$37,VLOOKUP(AW185,Foundation_Calc!$I$2:$J$8,2,FALSE),0),
IF(AX185="K",VLOOKUP(K185,Foundation_Calc!$K$41:$R$74,VLOOKUP(AW185,Foundation_Calc!$I$2:$J$8,2,FALSE),0),"")))</f>
        <v/>
      </c>
      <c r="BA185" s="553" t="str">
        <f t="shared" si="17"/>
        <v/>
      </c>
      <c r="BB185" s="553" t="str">
        <f t="shared" si="18"/>
        <v/>
      </c>
      <c r="BC185" s="553" t="str">
        <f t="shared" si="19"/>
        <v/>
      </c>
      <c r="BD185" s="572" t="str">
        <f>IF(AND(L185="",H185=""),"",
IF(H185="",Pole_Calc!A$22,
IF(H185="MP",Pole_Calc!A$23,
IF(H185="AnMP",Pole_Calc!A$24,
IF(H185="A",Pole_Calc!A$25,
IF(H185="S/A",Pole_Calc!A$26,
IF(H185="A/S",Pole_Calc!A$27,"Poner a mano")))))))</f>
        <v/>
      </c>
      <c r="BE185" s="448" t="s">
        <v>1726</v>
      </c>
      <c r="BF185" s="306"/>
      <c r="BG185" s="306"/>
      <c r="BH185" s="306"/>
      <c r="BI185" s="306"/>
    </row>
    <row r="186" spans="1:61" ht="16.2" customHeight="1">
      <c r="A186" s="573"/>
      <c r="B186" s="469" t="s">
        <v>1817</v>
      </c>
      <c r="C186" s="3">
        <f>+$C$184+$G$185</f>
        <v>4038.9300000000003</v>
      </c>
      <c r="D186" s="88"/>
      <c r="E186" s="4"/>
      <c r="F186" s="4">
        <v>-2200</v>
      </c>
      <c r="G186" s="6"/>
      <c r="H186" s="468"/>
      <c r="I186" s="468"/>
      <c r="J186" s="3"/>
      <c r="K186" s="468"/>
      <c r="L186" s="468" t="s">
        <v>40</v>
      </c>
      <c r="M186" s="468" t="str">
        <f>IF(L186="","",
IF(AX186="PT",VLOOKUP(L186,Foundation_Calc!$V$4:$X$37,VLOOKUP(AX186,Foundation_Calc!$I$10:$J$13,2,FALSE),0),
IF(AX186="K",VLOOKUP(L186,Foundation_Calc!$V$41:$X$74,VLOOKUP(AX186,Foundation_Calc!$I$10:$J$13,2,FALSE),0),"")))</f>
        <v>C5SR</v>
      </c>
      <c r="N186" s="468" t="s">
        <v>33</v>
      </c>
      <c r="O186" s="468"/>
      <c r="P186" s="468"/>
      <c r="Q186" s="4"/>
      <c r="R186" s="6"/>
      <c r="S186" s="6"/>
      <c r="T186" s="4">
        <v>30</v>
      </c>
      <c r="U186" s="4"/>
      <c r="V186" s="4"/>
      <c r="W186" s="9">
        <v>1.4</v>
      </c>
      <c r="X186" s="9"/>
      <c r="Y186" s="9"/>
      <c r="Z186" s="9"/>
      <c r="AA186" s="9"/>
      <c r="AB186" s="9"/>
      <c r="AC186" s="468" t="str">
        <f t="shared" si="16"/>
        <v>PHQ</v>
      </c>
      <c r="AD186" s="468"/>
      <c r="AE186" s="468"/>
      <c r="AF186" s="4"/>
      <c r="AG186" s="88"/>
      <c r="AH186" s="4"/>
      <c r="AI186" s="4"/>
      <c r="AJ186" s="468"/>
      <c r="AK186" s="468"/>
      <c r="AL186" s="468"/>
      <c r="AM186" s="468" t="s">
        <v>486</v>
      </c>
      <c r="AN186" s="10">
        <v>5.5</v>
      </c>
      <c r="AO186" s="9"/>
      <c r="AP186" s="9"/>
      <c r="AQ186" s="9"/>
      <c r="AR186" s="9"/>
      <c r="AS186" s="9"/>
      <c r="AT186" s="9">
        <f>+ab($T$186,$T$184,$T$188,$G$185,$G$187,-1*$F$186,1200)</f>
        <v>5.2666450324064451</v>
      </c>
      <c r="AU186" s="447"/>
      <c r="AV186" s="447"/>
      <c r="AW186" s="468" t="str">
        <f>IF(C186&gt;0,VLOOKUP(C186,Foundation_Calc!$A$2:$C$13,3,1),
IF(J186&gt;0,VLOOKUP(J186,Foundation_Calc!$A$2:$C$13,3,1),""))</f>
        <v>MultiSoil</v>
      </c>
      <c r="AX186" s="468" t="str">
        <f>IF(C186&gt;0,VLOOKUP(C186,Foundation_Calc!$E$2:$G$13,3,1),
IF(J186&gt;0,VLOOKUP(J186,Foundation_Calc!$E$2:$G$13,3,1),""))</f>
        <v>PT</v>
      </c>
      <c r="AY186" s="10">
        <f>IF(L186="","",
IF(AX186="PT",VLOOKUP(L186,Foundation_Calc!$K$4:$R$37,VLOOKUP(AW186,Foundation_Calc!$I$2:$J$8,2,FALSE),0),
IF(AX186="K",VLOOKUP(L186,Foundation_Calc!$K$41:$R$74,VLOOKUP(AW186,Foundation_Calc!$I$2:$J$8,2,FALSE),0),"")))</f>
        <v>3.7</v>
      </c>
      <c r="AZ186" s="10" t="str">
        <f>IF(K186="","",
IF(AX186="PT",VLOOKUP(K186,Foundation_Calc!$K$4:$R$37,VLOOKUP(AW186,Foundation_Calc!$I$2:$J$8,2,FALSE),0),
IF(AX186="K",VLOOKUP(K186,Foundation_Calc!$K$41:$R$74,VLOOKUP(AW186,Foundation_Calc!$I$2:$J$8,2,FALSE),0),"")))</f>
        <v/>
      </c>
      <c r="BA186" s="553" t="str">
        <f t="shared" si="17"/>
        <v>ü</v>
      </c>
      <c r="BB186" s="553" t="str">
        <f t="shared" si="18"/>
        <v/>
      </c>
      <c r="BC186" s="553" t="str">
        <f t="shared" si="19"/>
        <v/>
      </c>
      <c r="BD186" s="572" t="str">
        <f>IF(AND(L186="",H186=""),"",
IF(H186="",Pole_Calc!A$22,
IF(H186="MP",Pole_Calc!A$23,
IF(H186="AnMP",Pole_Calc!A$24,
IF(H186="A",Pole_Calc!A$25,
IF(H186="S/A",Pole_Calc!A$26,
IF(H186="A/S",Pole_Calc!A$27,"Poner a mano")))))))</f>
        <v>App.7-V11H-P9.5.2.1</v>
      </c>
      <c r="BE186" s="448" t="s">
        <v>1726</v>
      </c>
      <c r="BF186" s="305"/>
      <c r="BG186" s="305"/>
      <c r="BH186" s="306"/>
      <c r="BI186" s="305"/>
    </row>
    <row r="187" spans="1:61" ht="16.2" customHeight="1">
      <c r="A187" s="573"/>
      <c r="B187" s="469"/>
      <c r="C187" s="3"/>
      <c r="D187" s="88"/>
      <c r="E187" s="4"/>
      <c r="F187" s="4"/>
      <c r="G187" s="6">
        <v>52.9</v>
      </c>
      <c r="H187" s="468"/>
      <c r="I187" s="468"/>
      <c r="J187" s="3"/>
      <c r="K187" s="468"/>
      <c r="L187" s="468"/>
      <c r="M187" s="468" t="str">
        <f>IF(L187="","",
IF(AX187="PT",VLOOKUP(L187,Foundation_Calc!$V$4:$X$37,VLOOKUP(AX187,Foundation_Calc!$I$10:$J$13,2,FALSE),0),
IF(AX187="K",VLOOKUP(L187,Foundation_Calc!$V$41:$X$74,VLOOKUP(AX187,Foundation_Calc!$I$10:$J$13,2,FALSE),0),"")))</f>
        <v/>
      </c>
      <c r="N187" s="468"/>
      <c r="O187" s="468"/>
      <c r="P187" s="468"/>
      <c r="Q187" s="4"/>
      <c r="R187" s="6"/>
      <c r="S187" s="6"/>
      <c r="T187" s="4"/>
      <c r="U187" s="4"/>
      <c r="V187" s="4"/>
      <c r="W187" s="9"/>
      <c r="X187" s="9"/>
      <c r="Y187" s="9"/>
      <c r="Z187" s="9"/>
      <c r="AA187" s="9"/>
      <c r="AB187" s="9"/>
      <c r="AC187" s="468" t="str">
        <f t="shared" si="16"/>
        <v/>
      </c>
      <c r="AD187" s="468"/>
      <c r="AE187" s="468"/>
      <c r="AF187" s="4"/>
      <c r="AG187" s="88"/>
      <c r="AH187" s="4"/>
      <c r="AI187" s="4"/>
      <c r="AJ187" s="468"/>
      <c r="AK187" s="468"/>
      <c r="AL187" s="468"/>
      <c r="AM187" s="468"/>
      <c r="AN187" s="10"/>
      <c r="AO187" s="9"/>
      <c r="AP187" s="9"/>
      <c r="AQ187" s="9">
        <f>+FL_2($T$188,$T$186,$G$187,1200,9.28,-1*$F$188)</f>
        <v>-0.39876091016406795</v>
      </c>
      <c r="AR187" s="9"/>
      <c r="AS187" s="9"/>
      <c r="AT187" s="9"/>
      <c r="AU187" s="447"/>
      <c r="AV187" s="447"/>
      <c r="AW187" s="468" t="str">
        <f>IF(C187&gt;0,VLOOKUP(C187,Foundation_Calc!$A$2:$C$13,3,1),
IF(J187&gt;0,VLOOKUP(J187,Foundation_Calc!$A$2:$C$13,3,1),""))</f>
        <v/>
      </c>
      <c r="AX187" s="468" t="str">
        <f>IF(C187&gt;0,VLOOKUP(C187,Foundation_Calc!$E$2:$G$13,3,1),
IF(J187&gt;0,VLOOKUP(J187,Foundation_Calc!$E$2:$G$13,3,1),""))</f>
        <v/>
      </c>
      <c r="AY187" s="10" t="str">
        <f>IF(L187="","",
IF(AX187="PT",VLOOKUP(L187,Foundation_Calc!$K$4:$R$37,VLOOKUP(AW187,Foundation_Calc!$I$2:$J$8,2,FALSE),0),
IF(AX187="K",VLOOKUP(L187,Foundation_Calc!$K$41:$R$74,VLOOKUP(AW187,Foundation_Calc!$I$2:$J$8,2,FALSE),0),"")))</f>
        <v/>
      </c>
      <c r="AZ187" s="10" t="str">
        <f>IF(K187="","",
IF(AX187="PT",VLOOKUP(K187,Foundation_Calc!$K$4:$R$37,VLOOKUP(AW187,Foundation_Calc!$I$2:$J$8,2,FALSE),0),
IF(AX187="K",VLOOKUP(K187,Foundation_Calc!$K$41:$R$74,VLOOKUP(AW187,Foundation_Calc!$I$2:$J$8,2,FALSE),0),"")))</f>
        <v/>
      </c>
      <c r="BA187" s="553" t="str">
        <f t="shared" si="17"/>
        <v/>
      </c>
      <c r="BB187" s="553" t="str">
        <f t="shared" si="18"/>
        <v/>
      </c>
      <c r="BC187" s="553" t="str">
        <f t="shared" si="19"/>
        <v/>
      </c>
      <c r="BD187" s="572" t="str">
        <f>IF(AND(L187="",H187=""),"",
IF(H187="",Pole_Calc!A$22,
IF(H187="MP",Pole_Calc!A$23,
IF(H187="AnMP",Pole_Calc!A$24,
IF(H187="A",Pole_Calc!A$25,
IF(H187="S/A",Pole_Calc!A$26,
IF(H187="A/S",Pole_Calc!A$27,"Poner a mano")))))))</f>
        <v/>
      </c>
      <c r="BE187" s="448" t="s">
        <v>1726</v>
      </c>
      <c r="BF187" s="306"/>
      <c r="BG187" s="306"/>
      <c r="BH187" s="306"/>
      <c r="BI187" s="306"/>
    </row>
    <row r="188" spans="1:61" ht="16.2" customHeight="1">
      <c r="A188" s="573"/>
      <c r="B188" s="469" t="s">
        <v>1818</v>
      </c>
      <c r="C188" s="3">
        <f>+$C$186+$G$187</f>
        <v>4091.8300000000004</v>
      </c>
      <c r="D188" s="88"/>
      <c r="E188" s="4"/>
      <c r="F188" s="4">
        <v>-40389</v>
      </c>
      <c r="G188" s="6"/>
      <c r="H188" s="468"/>
      <c r="I188" s="468"/>
      <c r="J188" s="3"/>
      <c r="K188" s="468"/>
      <c r="L188" s="468" t="s">
        <v>38</v>
      </c>
      <c r="M188" s="468" t="str">
        <f>IF(L188="","",
IF(AX188="PT",VLOOKUP(L188,Foundation_Calc!$V$4:$X$37,VLOOKUP(AX188,Foundation_Calc!$I$10:$J$13,2,FALSE),0),
IF(AX188="K",VLOOKUP(L188,Foundation_Calc!$V$41:$X$74,VLOOKUP(AX188,Foundation_Calc!$I$10:$J$13,2,FALSE),0),"")))</f>
        <v>C4SR</v>
      </c>
      <c r="N188" s="468" t="s">
        <v>32</v>
      </c>
      <c r="O188" s="468"/>
      <c r="P188" s="468"/>
      <c r="Q188" s="4"/>
      <c r="R188" s="6"/>
      <c r="S188" s="6"/>
      <c r="T188" s="4">
        <v>-35</v>
      </c>
      <c r="U188" s="4"/>
      <c r="V188" s="4"/>
      <c r="W188" s="9">
        <v>1.4</v>
      </c>
      <c r="X188" s="9"/>
      <c r="Y188" s="9"/>
      <c r="Z188" s="9"/>
      <c r="AA188" s="9"/>
      <c r="AB188" s="9"/>
      <c r="AC188" s="468" t="str">
        <f t="shared" si="16"/>
        <v>PH</v>
      </c>
      <c r="AD188" s="468"/>
      <c r="AE188" s="468"/>
      <c r="AF188" s="4"/>
      <c r="AG188" s="88"/>
      <c r="AH188" s="4"/>
      <c r="AI188" s="4"/>
      <c r="AJ188" s="468"/>
      <c r="AK188" s="468"/>
      <c r="AL188" s="468"/>
      <c r="AM188" s="468" t="s">
        <v>486</v>
      </c>
      <c r="AN188" s="10">
        <v>5.5</v>
      </c>
      <c r="AO188" s="9"/>
      <c r="AP188" s="9"/>
      <c r="AQ188" s="9"/>
      <c r="AR188" s="9"/>
      <c r="AS188" s="9"/>
      <c r="AT188" s="9">
        <f>+ab($T$188,$T$186,$T$190,$G$187,$G$189,-1*$F$188,1200)</f>
        <v>-8.3675242722156327</v>
      </c>
      <c r="AU188" s="447"/>
      <c r="AV188" s="447"/>
      <c r="AW188" s="468" t="str">
        <f>IF(C188&gt;0,VLOOKUP(C188,Foundation_Calc!$A$2:$C$13,3,1),
IF(J188&gt;0,VLOOKUP(J188,Foundation_Calc!$A$2:$C$13,3,1),""))</f>
        <v>MultiSoil</v>
      </c>
      <c r="AX188" s="468" t="str">
        <f>IF(C188&gt;0,VLOOKUP(C188,Foundation_Calc!$E$2:$G$13,3,1),
IF(J188&gt;0,VLOOKUP(J188,Foundation_Calc!$E$2:$G$13,3,1),""))</f>
        <v>PT</v>
      </c>
      <c r="AY188" s="10">
        <f>IF(L188="","",
IF(AX188="PT",VLOOKUP(L188,Foundation_Calc!$K$4:$R$37,VLOOKUP(AW188,Foundation_Calc!$I$2:$J$8,2,FALSE),0),
IF(AX188="K",VLOOKUP(L188,Foundation_Calc!$K$41:$R$74,VLOOKUP(AW188,Foundation_Calc!$I$2:$J$8,2,FALSE),0),"")))</f>
        <v>3.7</v>
      </c>
      <c r="AZ188" s="10" t="str">
        <f>IF(K188="","",
IF(AX188="PT",VLOOKUP(K188,Foundation_Calc!$K$4:$R$37,VLOOKUP(AW188,Foundation_Calc!$I$2:$J$8,2,FALSE),0),
IF(AX188="K",VLOOKUP(K188,Foundation_Calc!$K$41:$R$74,VLOOKUP(AW188,Foundation_Calc!$I$2:$J$8,2,FALSE),0),"")))</f>
        <v/>
      </c>
      <c r="BA188" s="553" t="str">
        <f t="shared" si="17"/>
        <v>ü</v>
      </c>
      <c r="BB188" s="553" t="str">
        <f t="shared" si="18"/>
        <v/>
      </c>
      <c r="BC188" s="553" t="str">
        <f t="shared" si="19"/>
        <v/>
      </c>
      <c r="BD188" s="572" t="str">
        <f>IF(AND(L188="",H188=""),"",
IF(H188="",Pole_Calc!A$22,
IF(H188="MP",Pole_Calc!A$23,
IF(H188="AnMP",Pole_Calc!A$24,
IF(H188="A",Pole_Calc!A$25,
IF(H188="S/A",Pole_Calc!A$26,
IF(H188="A/S",Pole_Calc!A$27,"Poner a mano")))))))</f>
        <v>App.7-V11H-P9.5.2.1</v>
      </c>
      <c r="BE188" s="448" t="s">
        <v>1726</v>
      </c>
      <c r="BF188" s="305"/>
      <c r="BG188" s="305"/>
      <c r="BH188" s="306"/>
      <c r="BI188" s="305"/>
    </row>
    <row r="189" spans="1:61" ht="16.2" customHeight="1">
      <c r="A189" s="573"/>
      <c r="B189" s="469"/>
      <c r="C189" s="3"/>
      <c r="D189" s="88"/>
      <c r="E189" s="4"/>
      <c r="F189" s="4"/>
      <c r="G189" s="6">
        <v>55</v>
      </c>
      <c r="H189" s="468"/>
      <c r="I189" s="468"/>
      <c r="J189" s="3"/>
      <c r="K189" s="468"/>
      <c r="L189" s="468"/>
      <c r="M189" s="468" t="str">
        <f>IF(L189="","",
IF(AX189="PT",VLOOKUP(L189,Foundation_Calc!$V$4:$X$37,VLOOKUP(AX189,Foundation_Calc!$I$10:$J$13,2,FALSE),0),
IF(AX189="K",VLOOKUP(L189,Foundation_Calc!$V$41:$X$74,VLOOKUP(AX189,Foundation_Calc!$I$10:$J$13,2,FALSE),0),"")))</f>
        <v/>
      </c>
      <c r="N189" s="468"/>
      <c r="O189" s="468"/>
      <c r="P189" s="468"/>
      <c r="Q189" s="4"/>
      <c r="R189" s="6"/>
      <c r="S189" s="6"/>
      <c r="T189" s="4"/>
      <c r="U189" s="4"/>
      <c r="V189" s="4"/>
      <c r="W189" s="9"/>
      <c r="X189" s="9"/>
      <c r="Y189" s="9"/>
      <c r="Z189" s="9"/>
      <c r="AA189" s="9"/>
      <c r="AB189" s="9"/>
      <c r="AC189" s="468" t="str">
        <f t="shared" si="16"/>
        <v/>
      </c>
      <c r="AD189" s="468"/>
      <c r="AE189" s="468"/>
      <c r="AF189" s="4"/>
      <c r="AG189" s="88"/>
      <c r="AH189" s="4"/>
      <c r="AI189" s="4"/>
      <c r="AJ189" s="468"/>
      <c r="AK189" s="468"/>
      <c r="AL189" s="468"/>
      <c r="AM189" s="468"/>
      <c r="AN189" s="10"/>
      <c r="AO189" s="9"/>
      <c r="AP189" s="9"/>
      <c r="AQ189" s="9">
        <f>+FL_2($T$190,$T$188,$G$189,1200,9.28,-1*$F$190)</f>
        <v>-0.40772017018181816</v>
      </c>
      <c r="AR189" s="9"/>
      <c r="AS189" s="9"/>
      <c r="AT189" s="9"/>
      <c r="AU189" s="447"/>
      <c r="AV189" s="447"/>
      <c r="AW189" s="468" t="str">
        <f>IF(C189&gt;0,VLOOKUP(C189,Foundation_Calc!$A$2:$C$13,3,1),
IF(J189&gt;0,VLOOKUP(J189,Foundation_Calc!$A$2:$C$13,3,1),""))</f>
        <v/>
      </c>
      <c r="AX189" s="468" t="str">
        <f>IF(C189&gt;0,VLOOKUP(C189,Foundation_Calc!$E$2:$G$13,3,1),
IF(J189&gt;0,VLOOKUP(J189,Foundation_Calc!$E$2:$G$13,3,1),""))</f>
        <v/>
      </c>
      <c r="AY189" s="10" t="str">
        <f>IF(L189="","",
IF(AX189="PT",VLOOKUP(L189,Foundation_Calc!$K$4:$R$37,VLOOKUP(AW189,Foundation_Calc!$I$2:$J$8,2,FALSE),0),
IF(AX189="K",VLOOKUP(L189,Foundation_Calc!$K$41:$R$74,VLOOKUP(AW189,Foundation_Calc!$I$2:$J$8,2,FALSE),0),"")))</f>
        <v/>
      </c>
      <c r="AZ189" s="10" t="str">
        <f>IF(K189="","",
IF(AX189="PT",VLOOKUP(K189,Foundation_Calc!$K$4:$R$37,VLOOKUP(AW189,Foundation_Calc!$I$2:$J$8,2,FALSE),0),
IF(AX189="K",VLOOKUP(K189,Foundation_Calc!$K$41:$R$74,VLOOKUP(AW189,Foundation_Calc!$I$2:$J$8,2,FALSE),0),"")))</f>
        <v/>
      </c>
      <c r="BA189" s="553" t="str">
        <f t="shared" si="17"/>
        <v/>
      </c>
      <c r="BB189" s="553" t="str">
        <f t="shared" si="18"/>
        <v/>
      </c>
      <c r="BC189" s="553" t="str">
        <f t="shared" si="19"/>
        <v/>
      </c>
      <c r="BD189" s="572" t="str">
        <f>IF(AND(L189="",H189=""),"",
IF(H189="",Pole_Calc!A$22,
IF(H189="MP",Pole_Calc!A$23,
IF(H189="AnMP",Pole_Calc!A$24,
IF(H189="A",Pole_Calc!A$25,
IF(H189="S/A",Pole_Calc!A$26,
IF(H189="A/S",Pole_Calc!A$27,"Poner a mano")))))))</f>
        <v/>
      </c>
      <c r="BE189" s="448" t="s">
        <v>1726</v>
      </c>
      <c r="BF189" s="306"/>
      <c r="BG189" s="306"/>
      <c r="BH189" s="306"/>
      <c r="BI189" s="306"/>
    </row>
    <row r="190" spans="1:61" ht="16.2" customHeight="1">
      <c r="A190" s="573"/>
      <c r="B190" s="469" t="s">
        <v>1819</v>
      </c>
      <c r="C190" s="3">
        <f>+$C$188+$G$189</f>
        <v>4146.83</v>
      </c>
      <c r="D190" s="88"/>
      <c r="E190" s="4"/>
      <c r="F190" s="4">
        <v>0</v>
      </c>
      <c r="G190" s="6"/>
      <c r="H190" s="468"/>
      <c r="I190" s="468"/>
      <c r="J190" s="3"/>
      <c r="K190" s="468"/>
      <c r="L190" s="468" t="s">
        <v>38</v>
      </c>
      <c r="M190" s="468" t="str">
        <f>IF(L190="","",
IF(AX190="PT",VLOOKUP(L190,Foundation_Calc!$V$4:$X$37,VLOOKUP(AX190,Foundation_Calc!$I$10:$J$13,2,FALSE),0),
IF(AX190="K",VLOOKUP(L190,Foundation_Calc!$V$41:$X$74,VLOOKUP(AX190,Foundation_Calc!$I$10:$J$13,2,FALSE),0),"")))</f>
        <v>C4SR</v>
      </c>
      <c r="N190" s="468" t="s">
        <v>33</v>
      </c>
      <c r="O190" s="468"/>
      <c r="P190" s="468"/>
      <c r="Q190" s="4"/>
      <c r="R190" s="6"/>
      <c r="S190" s="6"/>
      <c r="T190" s="4">
        <v>30</v>
      </c>
      <c r="U190" s="4"/>
      <c r="V190" s="4"/>
      <c r="W190" s="9">
        <v>1.4</v>
      </c>
      <c r="X190" s="9"/>
      <c r="Y190" s="9"/>
      <c r="Z190" s="9"/>
      <c r="AA190" s="9"/>
      <c r="AB190" s="9"/>
      <c r="AC190" s="468" t="str">
        <f t="shared" si="16"/>
        <v>PH</v>
      </c>
      <c r="AD190" s="468"/>
      <c r="AE190" s="468"/>
      <c r="AF190" s="4"/>
      <c r="AG190" s="88"/>
      <c r="AH190" s="4"/>
      <c r="AI190" s="4"/>
      <c r="AJ190" s="468"/>
      <c r="AK190" s="468"/>
      <c r="AL190" s="468"/>
      <c r="AM190" s="468" t="s">
        <v>486</v>
      </c>
      <c r="AN190" s="10">
        <v>5.5</v>
      </c>
      <c r="AO190" s="9"/>
      <c r="AP190" s="9"/>
      <c r="AQ190" s="9"/>
      <c r="AR190" s="9"/>
      <c r="AS190" s="9"/>
      <c r="AT190" s="9">
        <f>+ab($T$190,$T$188,$T$192,$G$189,$G$191,-1*$F$190,1200)</f>
        <v>9.0678432999862437</v>
      </c>
      <c r="AU190" s="447"/>
      <c r="AV190" s="447"/>
      <c r="AW190" s="468" t="str">
        <f>IF(C190&gt;0,VLOOKUP(C190,Foundation_Calc!$A$2:$C$13,3,1),
IF(J190&gt;0,VLOOKUP(J190,Foundation_Calc!$A$2:$C$13,3,1),""))</f>
        <v>MultiSoil</v>
      </c>
      <c r="AX190" s="468" t="str">
        <f>IF(C190&gt;0,VLOOKUP(C190,Foundation_Calc!$E$2:$G$13,3,1),
IF(J190&gt;0,VLOOKUP(J190,Foundation_Calc!$E$2:$G$13,3,1),""))</f>
        <v>PT</v>
      </c>
      <c r="AY190" s="10">
        <f>IF(L190="","",
IF(AX190="PT",VLOOKUP(L190,Foundation_Calc!$K$4:$R$37,VLOOKUP(AW190,Foundation_Calc!$I$2:$J$8,2,FALSE),0),
IF(AX190="K",VLOOKUP(L190,Foundation_Calc!$K$41:$R$74,VLOOKUP(AW190,Foundation_Calc!$I$2:$J$8,2,FALSE),0),"")))</f>
        <v>3.7</v>
      </c>
      <c r="AZ190" s="10" t="str">
        <f>IF(K190="","",
IF(AX190="PT",VLOOKUP(K190,Foundation_Calc!$K$4:$R$37,VLOOKUP(AW190,Foundation_Calc!$I$2:$J$8,2,FALSE),0),
IF(AX190="K",VLOOKUP(K190,Foundation_Calc!$K$41:$R$74,VLOOKUP(AW190,Foundation_Calc!$I$2:$J$8,2,FALSE),0),"")))</f>
        <v/>
      </c>
      <c r="BA190" s="553" t="str">
        <f t="shared" si="17"/>
        <v>ü</v>
      </c>
      <c r="BB190" s="553" t="str">
        <f t="shared" si="18"/>
        <v/>
      </c>
      <c r="BC190" s="553" t="str">
        <f t="shared" si="19"/>
        <v/>
      </c>
      <c r="BD190" s="572" t="str">
        <f>IF(AND(L190="",H190=""),"",
IF(H190="",Pole_Calc!A$22,
IF(H190="MP",Pole_Calc!A$23,
IF(H190="AnMP",Pole_Calc!A$24,
IF(H190="A",Pole_Calc!A$25,
IF(H190="S/A",Pole_Calc!A$26,
IF(H190="A/S",Pole_Calc!A$27,"Poner a mano")))))))</f>
        <v>App.7-V11H-P9.5.2.1</v>
      </c>
      <c r="BE190" s="448" t="s">
        <v>1726</v>
      </c>
      <c r="BF190" s="305"/>
      <c r="BG190" s="305"/>
      <c r="BH190" s="306"/>
      <c r="BI190" s="305"/>
    </row>
    <row r="191" spans="1:61" ht="16.2" customHeight="1">
      <c r="A191" s="573"/>
      <c r="B191" s="469"/>
      <c r="C191" s="3"/>
      <c r="D191" s="88"/>
      <c r="E191" s="4"/>
      <c r="F191" s="4"/>
      <c r="G191" s="6">
        <v>60</v>
      </c>
      <c r="H191" s="468"/>
      <c r="I191" s="468"/>
      <c r="J191" s="3">
        <f>C192-7.5</f>
        <v>4199.33</v>
      </c>
      <c r="K191" s="468" t="s">
        <v>1095</v>
      </c>
      <c r="L191" s="468"/>
      <c r="M191" s="468" t="str">
        <f>IF(L191="","",
IF(AX191="PT",VLOOKUP(L191,Foundation_Calc!$V$4:$X$37,VLOOKUP(AX191,Foundation_Calc!$I$10:$J$13,2,FALSE),0),
IF(AX191="K",VLOOKUP(L191,Foundation_Calc!$V$41:$X$74,VLOOKUP(AX191,Foundation_Calc!$I$10:$J$13,2,FALSE),0),"")))</f>
        <v/>
      </c>
      <c r="N191" s="468"/>
      <c r="O191" s="468"/>
      <c r="P191" s="468"/>
      <c r="Q191" s="4"/>
      <c r="R191" s="6"/>
      <c r="S191" s="6"/>
      <c r="T191" s="4"/>
      <c r="U191" s="4"/>
      <c r="V191" s="4"/>
      <c r="W191" s="9"/>
      <c r="X191" s="9"/>
      <c r="Y191" s="9"/>
      <c r="Z191" s="9"/>
      <c r="AA191" s="9"/>
      <c r="AB191" s="9"/>
      <c r="AC191" s="468" t="str">
        <f t="shared" si="16"/>
        <v/>
      </c>
      <c r="AD191" s="468"/>
      <c r="AE191" s="468"/>
      <c r="AF191" s="4"/>
      <c r="AG191" s="88"/>
      <c r="AH191" s="4"/>
      <c r="AI191" s="4"/>
      <c r="AJ191" s="468"/>
      <c r="AK191" s="468"/>
      <c r="AL191" s="468"/>
      <c r="AM191" s="468"/>
      <c r="AN191" s="10"/>
      <c r="AO191" s="9"/>
      <c r="AP191" s="9"/>
      <c r="AQ191" s="9">
        <f>+FL_1($T$192,$T$190,$G$191,1200,9.28,-1*$F$192)</f>
        <v>0.42732829999999999</v>
      </c>
      <c r="AR191" s="9"/>
      <c r="AS191" s="9"/>
      <c r="AT191" s="9"/>
      <c r="AU191" s="447"/>
      <c r="AV191" s="447"/>
      <c r="AW191" s="468" t="str">
        <f>IF(C191&gt;0,VLOOKUP(C191,Foundation_Calc!$A$2:$C$13,3,1),
IF(J191&gt;0,VLOOKUP(J191,Foundation_Calc!$A$2:$C$13,3,1),""))</f>
        <v>MultiSoil</v>
      </c>
      <c r="AX191" s="468" t="str">
        <f>IF(C191&gt;0,VLOOKUP(C191,Foundation_Calc!$E$2:$G$13,3,1),
IF(J191&gt;0,VLOOKUP(J191,Foundation_Calc!$E$2:$G$13,3,1),""))</f>
        <v>PT</v>
      </c>
      <c r="AY191" s="10" t="str">
        <f>IF(L191="","",
IF(AX191="PT",VLOOKUP(L191,Foundation_Calc!$K$4:$R$37,VLOOKUP(AW191,Foundation_Calc!$I$2:$J$8,2,FALSE),0),
IF(AX191="K",VLOOKUP(L191,Foundation_Calc!$K$41:$R$74,VLOOKUP(AW191,Foundation_Calc!$I$2:$J$8,2,FALSE),0),"")))</f>
        <v/>
      </c>
      <c r="AZ191" s="10">
        <f>IF(K191="","",
IF(AX191="PT",VLOOKUP(K191,Foundation_Calc!$K$4:$R$37,VLOOKUP(AW191,Foundation_Calc!$I$2:$J$8,2,FALSE),0),
IF(AX191="K",VLOOKUP(K191,Foundation_Calc!$K$41:$R$74,VLOOKUP(AW191,Foundation_Calc!$I$2:$J$8,2,FALSE),0),"")))</f>
        <v>3.9</v>
      </c>
      <c r="BA191" s="553" t="str">
        <f t="shared" si="17"/>
        <v/>
      </c>
      <c r="BB191" s="553" t="str">
        <f t="shared" si="18"/>
        <v>ü</v>
      </c>
      <c r="BC191" s="553" t="str">
        <f t="shared" si="19"/>
        <v/>
      </c>
      <c r="BD191" s="572" t="str">
        <f>IF(AND(L191="",H191=""),"",
IF(H191="",Pole_Calc!A$22,
IF(H191="MP",Pole_Calc!A$23,
IF(H191="AnMP",Pole_Calc!A$24,
IF(H191="A",Pole_Calc!A$25,
IF(H191="S/A",Pole_Calc!A$26,
IF(H191="A/S",Pole_Calc!A$27,"Poner a mano")))))))</f>
        <v/>
      </c>
      <c r="BE191" s="448" t="s">
        <v>1726</v>
      </c>
      <c r="BF191" s="306"/>
      <c r="BG191" s="306"/>
      <c r="BH191" s="306"/>
      <c r="BI191" s="306"/>
    </row>
    <row r="192" spans="1:61" ht="16.2" customHeight="1">
      <c r="A192" s="573"/>
      <c r="B192" s="469" t="s">
        <v>1820</v>
      </c>
      <c r="C192" s="3">
        <f>+$C$190+$G$191</f>
        <v>4206.83</v>
      </c>
      <c r="D192" s="88"/>
      <c r="E192" s="4"/>
      <c r="F192" s="4">
        <v>0</v>
      </c>
      <c r="G192" s="6"/>
      <c r="H192" s="468" t="s">
        <v>26</v>
      </c>
      <c r="I192" s="468" t="s">
        <v>182</v>
      </c>
      <c r="J192" s="3"/>
      <c r="K192" s="468"/>
      <c r="L192" s="468" t="s">
        <v>452</v>
      </c>
      <c r="M192" s="468" t="str">
        <f>IF(L192="","",
IF(AX192="PT",VLOOKUP(L192,Foundation_Calc!$V$4:$X$37,VLOOKUP(AX192,Foundation_Calc!$I$10:$J$13,2,FALSE),0),
IF(AX192="K",VLOOKUP(L192,Foundation_Calc!$V$41:$X$74,VLOOKUP(AX192,Foundation_Calc!$I$10:$J$13,2,FALSE),0),"")))</f>
        <v>C4SR</v>
      </c>
      <c r="N192" s="468" t="s">
        <v>32</v>
      </c>
      <c r="O192" s="468"/>
      <c r="P192" s="468"/>
      <c r="Q192" s="4"/>
      <c r="R192" s="6"/>
      <c r="S192" s="6"/>
      <c r="T192" s="4">
        <v>-25</v>
      </c>
      <c r="U192" s="4"/>
      <c r="V192" s="4"/>
      <c r="W192" s="9">
        <v>1.4</v>
      </c>
      <c r="X192" s="9"/>
      <c r="Y192" s="9"/>
      <c r="Z192" s="9"/>
      <c r="AA192" s="9"/>
      <c r="AB192" s="9"/>
      <c r="AC192" s="468" t="str">
        <f t="shared" si="16"/>
        <v>PH</v>
      </c>
      <c r="AD192" s="468"/>
      <c r="AE192" s="468"/>
      <c r="AF192" s="4"/>
      <c r="AG192" s="88"/>
      <c r="AH192" s="4"/>
      <c r="AI192" s="4"/>
      <c r="AJ192" s="468"/>
      <c r="AK192" s="468"/>
      <c r="AL192" s="468"/>
      <c r="AM192" s="468" t="s">
        <v>486</v>
      </c>
      <c r="AN192" s="10">
        <v>5.5</v>
      </c>
      <c r="AO192" s="9"/>
      <c r="AP192" s="9"/>
      <c r="AQ192" s="9"/>
      <c r="AR192" s="9"/>
      <c r="AS192" s="9"/>
      <c r="AT192" s="9">
        <f>+ab($T$192,$T$190,$U$194,$G$191,$G$193,-1*$F$192,1200)</f>
        <v>-11.943527124207192</v>
      </c>
      <c r="AU192" s="447"/>
      <c r="AV192" s="447"/>
      <c r="AW192" s="468" t="str">
        <f>IF(C192&gt;0,VLOOKUP(C192,Foundation_Calc!$A$2:$C$13,3,1),
IF(J192&gt;0,VLOOKUP(J192,Foundation_Calc!$A$2:$C$13,3,1),""))</f>
        <v>MultiSoil</v>
      </c>
      <c r="AX192" s="468" t="str">
        <f>IF(C192&gt;0,VLOOKUP(C192,Foundation_Calc!$E$2:$G$13,3,1),
IF(J192&gt;0,VLOOKUP(J192,Foundation_Calc!$E$2:$G$13,3,1),""))</f>
        <v>PT</v>
      </c>
      <c r="AY192" s="10">
        <f>IF(L192="","",
IF(AX192="PT",VLOOKUP(L192,Foundation_Calc!$K$4:$R$37,VLOOKUP(AW192,Foundation_Calc!$I$2:$J$8,2,FALSE),0),
IF(AX192="K",VLOOKUP(L192,Foundation_Calc!$K$41:$R$74,VLOOKUP(AW192,Foundation_Calc!$I$2:$J$8,2,FALSE),0),"")))</f>
        <v>3.7</v>
      </c>
      <c r="AZ192" s="10" t="str">
        <f>IF(K192="","",
IF(AX192="PT",VLOOKUP(K192,Foundation_Calc!$K$4:$R$37,VLOOKUP(AW192,Foundation_Calc!$I$2:$J$8,2,FALSE),0),
IF(AX192="K",VLOOKUP(K192,Foundation_Calc!$K$41:$R$74,VLOOKUP(AW192,Foundation_Calc!$I$2:$J$8,2,FALSE),0),"")))</f>
        <v/>
      </c>
      <c r="BA192" s="553" t="str">
        <f t="shared" si="17"/>
        <v>ü</v>
      </c>
      <c r="BB192" s="553" t="str">
        <f t="shared" si="18"/>
        <v/>
      </c>
      <c r="BC192" s="553" t="str">
        <f t="shared" si="19"/>
        <v/>
      </c>
      <c r="BD192" s="572" t="str">
        <f>IF(AND(L192="",H192=""),"",
IF(H192="",Pole_Calc!A$22,
IF(H192="MP",Pole_Calc!A$23,
IF(H192="AnMP",Pole_Calc!A$24,
IF(H192="A",Pole_Calc!A$25,
IF(H192="S/A",Pole_Calc!A$26,
IF(H192="A/S",Pole_Calc!A$27,"Poner a mano")))))))</f>
        <v>App.7-V11H-P9.5.2.6</v>
      </c>
      <c r="BE192" s="448" t="s">
        <v>1726</v>
      </c>
      <c r="BF192" s="305"/>
      <c r="BG192" s="305"/>
      <c r="BH192" s="306"/>
      <c r="BI192" s="305"/>
    </row>
    <row r="193" spans="1:61" ht="16.2" customHeight="1">
      <c r="A193" s="573"/>
      <c r="B193" s="469"/>
      <c r="C193" s="3"/>
      <c r="D193" s="88"/>
      <c r="E193" s="4"/>
      <c r="F193" s="4"/>
      <c r="G193" s="6">
        <v>60</v>
      </c>
      <c r="H193" s="468"/>
      <c r="I193" s="468"/>
      <c r="J193" s="3"/>
      <c r="K193" s="468"/>
      <c r="L193" s="468"/>
      <c r="M193" s="468" t="str">
        <f>IF(L193="","",
IF(AX193="PT",VLOOKUP(L193,Foundation_Calc!$V$4:$X$37,VLOOKUP(AX193,Foundation_Calc!$I$10:$J$13,2,FALSE),0),
IF(AX193="K",VLOOKUP(L193,Foundation_Calc!$V$41:$X$74,VLOOKUP(AX193,Foundation_Calc!$I$10:$J$13,2,FALSE),0),"")))</f>
        <v/>
      </c>
      <c r="N193" s="468"/>
      <c r="O193" s="468"/>
      <c r="P193" s="468"/>
      <c r="Q193" s="4"/>
      <c r="R193" s="6"/>
      <c r="S193" s="6"/>
      <c r="T193" s="4"/>
      <c r="U193" s="4"/>
      <c r="V193" s="4"/>
      <c r="W193" s="9"/>
      <c r="X193" s="9"/>
      <c r="Y193" s="9"/>
      <c r="Z193" s="9"/>
      <c r="AA193" s="9"/>
      <c r="AB193" s="9"/>
      <c r="AC193" s="468" t="str">
        <f t="shared" si="16"/>
        <v/>
      </c>
      <c r="AD193" s="468"/>
      <c r="AE193" s="468"/>
      <c r="AF193" s="4"/>
      <c r="AG193" s="88"/>
      <c r="AH193" s="4"/>
      <c r="AI193" s="4"/>
      <c r="AJ193" s="468"/>
      <c r="AK193" s="468"/>
      <c r="AL193" s="468"/>
      <c r="AM193" s="468"/>
      <c r="AN193" s="10"/>
      <c r="AO193" s="9"/>
      <c r="AP193" s="9"/>
      <c r="AQ193" s="9">
        <f>+FL_2($U$194,$T$192,$G$193,1200,9.28,-1*$F$194)</f>
        <v>-0.42673563199999992</v>
      </c>
      <c r="AR193" s="9"/>
      <c r="AS193" s="9"/>
      <c r="AT193" s="9"/>
      <c r="AU193" s="447"/>
      <c r="AV193" s="447"/>
      <c r="AW193" s="468" t="str">
        <f>IF(C193&gt;0,VLOOKUP(C193,Foundation_Calc!$A$2:$C$13,3,1),
IF(J193&gt;0,VLOOKUP(J193,Foundation_Calc!$A$2:$C$13,3,1),""))</f>
        <v/>
      </c>
      <c r="AX193" s="468" t="str">
        <f>IF(C193&gt;0,VLOOKUP(C193,Foundation_Calc!$E$2:$G$13,3,1),
IF(J193&gt;0,VLOOKUP(J193,Foundation_Calc!$E$2:$G$13,3,1),""))</f>
        <v/>
      </c>
      <c r="AY193" s="10" t="str">
        <f>IF(L193="","",
IF(AX193="PT",VLOOKUP(L193,Foundation_Calc!$K$4:$R$37,VLOOKUP(AW193,Foundation_Calc!$I$2:$J$8,2,FALSE),0),
IF(AX193="K",VLOOKUP(L193,Foundation_Calc!$K$41:$R$74,VLOOKUP(AW193,Foundation_Calc!$I$2:$J$8,2,FALSE),0),"")))</f>
        <v/>
      </c>
      <c r="AZ193" s="10" t="str">
        <f>IF(K193="","",
IF(AX193="PT",VLOOKUP(K193,Foundation_Calc!$K$4:$R$37,VLOOKUP(AW193,Foundation_Calc!$I$2:$J$8,2,FALSE),0),
IF(AX193="K",VLOOKUP(K193,Foundation_Calc!$K$41:$R$74,VLOOKUP(AW193,Foundation_Calc!$I$2:$J$8,2,FALSE),0),"")))</f>
        <v/>
      </c>
      <c r="BA193" s="553" t="str">
        <f t="shared" si="17"/>
        <v/>
      </c>
      <c r="BB193" s="553" t="str">
        <f t="shared" si="18"/>
        <v/>
      </c>
      <c r="BC193" s="553" t="str">
        <f t="shared" si="19"/>
        <v/>
      </c>
      <c r="BD193" s="572" t="str">
        <f>IF(AND(L193="",H193=""),"",
IF(H193="",Pole_Calc!A$22,
IF(H193="MP",Pole_Calc!A$23,
IF(H193="AnMP",Pole_Calc!A$24,
IF(H193="A",Pole_Calc!A$25,
IF(H193="S/A",Pole_Calc!A$26,
IF(H193="A/S",Pole_Calc!A$27,"Poner a mano")))))))</f>
        <v/>
      </c>
      <c r="BE193" s="448" t="s">
        <v>1726</v>
      </c>
      <c r="BF193" s="306"/>
      <c r="BG193" s="306"/>
      <c r="BH193" s="306"/>
      <c r="BI193" s="306"/>
    </row>
    <row r="194" spans="1:61" ht="16.2" customHeight="1">
      <c r="A194" s="573"/>
      <c r="B194" s="469" t="s">
        <v>1821</v>
      </c>
      <c r="C194" s="3">
        <f>+$C$192+$G$193</f>
        <v>4266.83</v>
      </c>
      <c r="D194" s="88"/>
      <c r="E194" s="4"/>
      <c r="F194" s="4">
        <v>0</v>
      </c>
      <c r="G194" s="6"/>
      <c r="H194" s="468" t="s">
        <v>179</v>
      </c>
      <c r="I194" s="468"/>
      <c r="J194" s="3"/>
      <c r="K194" s="468"/>
      <c r="L194" s="468" t="s">
        <v>38</v>
      </c>
      <c r="M194" s="468" t="str">
        <f>IF(L194="","",
IF(AX194="PT",VLOOKUP(L194,Foundation_Calc!$V$4:$X$37,VLOOKUP(AX194,Foundation_Calc!$I$10:$J$13,2,FALSE),0),
IF(AX194="K",VLOOKUP(L194,Foundation_Calc!$V$41:$X$74,VLOOKUP(AX194,Foundation_Calc!$I$10:$J$13,2,FALSE),0),"")))</f>
        <v>C4SR</v>
      </c>
      <c r="N194" s="468" t="s">
        <v>28</v>
      </c>
      <c r="O194" s="468" t="s">
        <v>33</v>
      </c>
      <c r="P194" s="468"/>
      <c r="Q194" s="4"/>
      <c r="R194" s="6"/>
      <c r="S194" s="6"/>
      <c r="T194" s="4">
        <v>35</v>
      </c>
      <c r="U194" s="4">
        <v>15</v>
      </c>
      <c r="V194" s="4"/>
      <c r="W194" s="9">
        <v>1.4</v>
      </c>
      <c r="X194" s="9">
        <v>2.2999999999999998</v>
      </c>
      <c r="Y194" s="9"/>
      <c r="Z194" s="9">
        <v>0.6</v>
      </c>
      <c r="AA194" s="9"/>
      <c r="AB194" s="9"/>
      <c r="AC194" s="468"/>
      <c r="AD194" s="468"/>
      <c r="AE194" s="468"/>
      <c r="AF194" s="4"/>
      <c r="AG194" s="88"/>
      <c r="AH194" s="4"/>
      <c r="AI194" s="4"/>
      <c r="AJ194" s="468"/>
      <c r="AK194" s="468"/>
      <c r="AL194" s="468"/>
      <c r="AM194" s="468" t="s">
        <v>486</v>
      </c>
      <c r="AN194" s="10">
        <v>5.5</v>
      </c>
      <c r="AO194" s="9"/>
      <c r="AP194" s="9"/>
      <c r="AQ194" s="9"/>
      <c r="AR194" s="9"/>
      <c r="AS194" s="9"/>
      <c r="AT194" s="9">
        <f>+ab($U$194,$T$192,$U$196,$G$193,$G$195,-1*$F$194,1200)</f>
        <v>12.586349449728194</v>
      </c>
      <c r="AU194" s="447"/>
      <c r="AV194" s="447"/>
      <c r="AW194" s="468" t="str">
        <f>IF(C194&gt;0,VLOOKUP(C194,Foundation_Calc!$A$2:$C$13,3,1),
IF(J194&gt;0,VLOOKUP(J194,Foundation_Calc!$A$2:$C$13,3,1),""))</f>
        <v>MultiSoil</v>
      </c>
      <c r="AX194" s="468" t="str">
        <f>IF(C194&gt;0,VLOOKUP(C194,Foundation_Calc!$E$2:$G$13,3,1),
IF(J194&gt;0,VLOOKUP(J194,Foundation_Calc!$E$2:$G$13,3,1),""))</f>
        <v>PT</v>
      </c>
      <c r="AY194" s="10">
        <f>IF(L194="","",
IF(AX194="PT",VLOOKUP(L194,Foundation_Calc!$K$4:$R$37,VLOOKUP(AW194,Foundation_Calc!$I$2:$J$8,2,FALSE),0),
IF(AX194="K",VLOOKUP(L194,Foundation_Calc!$K$41:$R$74,VLOOKUP(AW194,Foundation_Calc!$I$2:$J$8,2,FALSE),0),"")))</f>
        <v>3.7</v>
      </c>
      <c r="AZ194" s="10" t="str">
        <f>IF(K194="","",
IF(AX194="PT",VLOOKUP(K194,Foundation_Calc!$K$4:$R$37,VLOOKUP(AW194,Foundation_Calc!$I$2:$J$8,2,FALSE),0),
IF(AX194="K",VLOOKUP(K194,Foundation_Calc!$K$41:$R$74,VLOOKUP(AW194,Foundation_Calc!$I$2:$J$8,2,FALSE),0),"")))</f>
        <v/>
      </c>
      <c r="BA194" s="553" t="str">
        <f t="shared" si="17"/>
        <v>ü</v>
      </c>
      <c r="BB194" s="553" t="str">
        <f t="shared" si="18"/>
        <v/>
      </c>
      <c r="BC194" s="553" t="str">
        <f t="shared" si="19"/>
        <v/>
      </c>
      <c r="BD194" s="572" t="str">
        <f>IF(AND(L194="",H194=""),"",
IF(H194="",Pole_Calc!A$22,
IF(H194="MP",Pole_Calc!A$23,
IF(H194="AnMP",Pole_Calc!A$24,
IF(H194="A",Pole_Calc!A$25,
IF(H194="S/A",Pole_Calc!A$26,
IF(H194="A/S",Pole_Calc!A$27,"Poner a mano")))))))</f>
        <v>App.7-V11H-P9.5.2.5</v>
      </c>
      <c r="BE194" s="448" t="s">
        <v>1726</v>
      </c>
      <c r="BF194" s="305"/>
      <c r="BG194" s="305"/>
      <c r="BH194" s="306"/>
      <c r="BI194" s="305"/>
    </row>
    <row r="195" spans="1:61" ht="16.2" customHeight="1">
      <c r="A195" s="573"/>
      <c r="B195" s="469"/>
      <c r="C195" s="3"/>
      <c r="D195" s="88"/>
      <c r="E195" s="4"/>
      <c r="F195" s="4"/>
      <c r="G195" s="6">
        <v>60</v>
      </c>
      <c r="H195" s="468"/>
      <c r="I195" s="468"/>
      <c r="J195" s="3"/>
      <c r="K195" s="468"/>
      <c r="L195" s="468"/>
      <c r="M195" s="468" t="str">
        <f>IF(L195="","",
IF(AX195="PT",VLOOKUP(L195,Foundation_Calc!$V$4:$X$37,VLOOKUP(AX195,Foundation_Calc!$I$10:$J$13,2,FALSE),0),
IF(AX195="K",VLOOKUP(L195,Foundation_Calc!$V$41:$X$74,VLOOKUP(AX195,Foundation_Calc!$I$10:$J$13,2,FALSE),0),"")))</f>
        <v/>
      </c>
      <c r="N195" s="468"/>
      <c r="O195" s="468"/>
      <c r="P195" s="468"/>
      <c r="Q195" s="4"/>
      <c r="R195" s="6"/>
      <c r="S195" s="6"/>
      <c r="T195" s="4"/>
      <c r="U195" s="4"/>
      <c r="V195" s="4"/>
      <c r="W195" s="9"/>
      <c r="X195" s="9"/>
      <c r="Y195" s="9"/>
      <c r="Z195" s="9"/>
      <c r="AA195" s="9"/>
      <c r="AB195" s="9"/>
      <c r="AC195" s="468" t="str">
        <f t="shared" si="16"/>
        <v/>
      </c>
      <c r="AD195" s="468"/>
      <c r="AE195" s="468"/>
      <c r="AF195" s="4"/>
      <c r="AG195" s="88"/>
      <c r="AH195" s="4"/>
      <c r="AI195" s="4"/>
      <c r="AJ195" s="468"/>
      <c r="AK195" s="468"/>
      <c r="AL195" s="468"/>
      <c r="AM195" s="468"/>
      <c r="AN195" s="10"/>
      <c r="AO195" s="9"/>
      <c r="AP195" s="9"/>
      <c r="AQ195" s="9">
        <f>+FL_2($T$196,$U$194,$G$195,1200,9.28,-1*$F$196)</f>
        <v>-0.36416378533333332</v>
      </c>
      <c r="AR195" s="9"/>
      <c r="AS195" s="9"/>
      <c r="AT195" s="9"/>
      <c r="AU195" s="447"/>
      <c r="AV195" s="447"/>
      <c r="AW195" s="468" t="str">
        <f>IF(C195&gt;0,VLOOKUP(C195,Foundation_Calc!$A$2:$C$13,3,1),
IF(J195&gt;0,VLOOKUP(J195,Foundation_Calc!$A$2:$C$13,3,1),""))</f>
        <v/>
      </c>
      <c r="AX195" s="468" t="str">
        <f>IF(C195&gt;0,VLOOKUP(C195,Foundation_Calc!$E$2:$G$13,3,1),
IF(J195&gt;0,VLOOKUP(J195,Foundation_Calc!$E$2:$G$13,3,1),""))</f>
        <v/>
      </c>
      <c r="AY195" s="10" t="str">
        <f>IF(L195="","",
IF(AX195="PT",VLOOKUP(L195,Foundation_Calc!$K$4:$R$37,VLOOKUP(AW195,Foundation_Calc!$I$2:$J$8,2,FALSE),0),
IF(AX195="K",VLOOKUP(L195,Foundation_Calc!$K$41:$R$74,VLOOKUP(AW195,Foundation_Calc!$I$2:$J$8,2,FALSE),0),"")))</f>
        <v/>
      </c>
      <c r="AZ195" s="10" t="str">
        <f>IF(K195="","",
IF(AX195="PT",VLOOKUP(K195,Foundation_Calc!$K$4:$R$37,VLOOKUP(AW195,Foundation_Calc!$I$2:$J$8,2,FALSE),0),
IF(AX195="K",VLOOKUP(K195,Foundation_Calc!$K$41:$R$74,VLOOKUP(AW195,Foundation_Calc!$I$2:$J$8,2,FALSE),0),"")))</f>
        <v/>
      </c>
      <c r="BA195" s="553" t="str">
        <f t="shared" si="17"/>
        <v/>
      </c>
      <c r="BB195" s="553" t="str">
        <f t="shared" si="18"/>
        <v/>
      </c>
      <c r="BC195" s="553" t="str">
        <f t="shared" si="19"/>
        <v/>
      </c>
      <c r="BD195" s="572" t="str">
        <f>IF(AND(L195="",H195=""),"",
IF(H195="",Pole_Calc!A$22,
IF(H195="MP",Pole_Calc!A$23,
IF(H195="AnMP",Pole_Calc!A$24,
IF(H195="A",Pole_Calc!A$25,
IF(H195="S/A",Pole_Calc!A$26,
IF(H195="A/S",Pole_Calc!A$27,"Poner a mano")))))))</f>
        <v/>
      </c>
      <c r="BE195" s="448" t="s">
        <v>1726</v>
      </c>
      <c r="BF195" s="306"/>
      <c r="BG195" s="306"/>
      <c r="BH195" s="306"/>
      <c r="BI195" s="306"/>
    </row>
    <row r="196" spans="1:61" ht="16.2" customHeight="1">
      <c r="A196" s="573"/>
      <c r="B196" s="469" t="s">
        <v>1822</v>
      </c>
      <c r="C196" s="3">
        <f>+$C$194+$G$195</f>
        <v>4326.83</v>
      </c>
      <c r="D196" s="88"/>
      <c r="E196" s="4"/>
      <c r="F196" s="4">
        <v>0</v>
      </c>
      <c r="G196" s="6"/>
      <c r="H196" s="468" t="s">
        <v>179</v>
      </c>
      <c r="I196" s="468"/>
      <c r="J196" s="3"/>
      <c r="K196" s="468"/>
      <c r="L196" s="468" t="s">
        <v>38</v>
      </c>
      <c r="M196" s="468" t="str">
        <f>IF(L196="","",
IF(AX196="PT",VLOOKUP(L196,Foundation_Calc!$V$4:$X$37,VLOOKUP(AX196,Foundation_Calc!$I$10:$J$13,2,FALSE),0),
IF(AX196="K",VLOOKUP(L196,Foundation_Calc!$V$41:$X$74,VLOOKUP(AX196,Foundation_Calc!$I$10:$J$13,2,FALSE),0),"")))</f>
        <v>C4SR</v>
      </c>
      <c r="N196" s="468" t="s">
        <v>32</v>
      </c>
      <c r="O196" s="468" t="s">
        <v>28</v>
      </c>
      <c r="P196" s="468"/>
      <c r="Q196" s="4"/>
      <c r="R196" s="6"/>
      <c r="S196" s="6"/>
      <c r="T196" s="4">
        <v>-15</v>
      </c>
      <c r="U196" s="4">
        <v>-35</v>
      </c>
      <c r="V196" s="4"/>
      <c r="W196" s="9">
        <v>1.4</v>
      </c>
      <c r="X196" s="9">
        <v>2.2999999999999998</v>
      </c>
      <c r="Y196" s="9"/>
      <c r="Z196" s="9"/>
      <c r="AA196" s="9">
        <v>0.6</v>
      </c>
      <c r="AB196" s="9"/>
      <c r="AC196" s="468" t="str">
        <f t="shared" si="16"/>
        <v>PH</v>
      </c>
      <c r="AD196" s="468"/>
      <c r="AE196" s="468"/>
      <c r="AF196" s="4"/>
      <c r="AG196" s="88"/>
      <c r="AH196" s="4"/>
      <c r="AI196" s="4"/>
      <c r="AJ196" s="468"/>
      <c r="AK196" s="468"/>
      <c r="AL196" s="468"/>
      <c r="AM196" s="468" t="s">
        <v>486</v>
      </c>
      <c r="AN196" s="10">
        <v>5.5</v>
      </c>
      <c r="AO196" s="9"/>
      <c r="AP196" s="9"/>
      <c r="AQ196" s="9"/>
      <c r="AR196" s="9"/>
      <c r="AS196" s="9"/>
      <c r="AT196" s="9">
        <f>+ab($T$196,$T$194,$T$198,$G$195,$G$197,-1*$F$196,1200)</f>
        <v>-30.855080277979098</v>
      </c>
      <c r="AU196" s="447"/>
      <c r="AV196" s="447"/>
      <c r="AW196" s="468" t="str">
        <f>IF(C196&gt;0,VLOOKUP(C196,Foundation_Calc!$A$2:$C$13,3,1),
IF(J196&gt;0,VLOOKUP(J196,Foundation_Calc!$A$2:$C$13,3,1),""))</f>
        <v>MultiSoil</v>
      </c>
      <c r="AX196" s="468" t="str">
        <f>IF(C196&gt;0,VLOOKUP(C196,Foundation_Calc!$E$2:$G$13,3,1),
IF(J196&gt;0,VLOOKUP(J196,Foundation_Calc!$E$2:$G$13,3,1),""))</f>
        <v>PT</v>
      </c>
      <c r="AY196" s="10">
        <f>IF(L196="","",
IF(AX196="PT",VLOOKUP(L196,Foundation_Calc!$K$4:$R$37,VLOOKUP(AW196,Foundation_Calc!$I$2:$J$8,2,FALSE),0),
IF(AX196="K",VLOOKUP(L196,Foundation_Calc!$K$41:$R$74,VLOOKUP(AW196,Foundation_Calc!$I$2:$J$8,2,FALSE),0),"")))</f>
        <v>3.7</v>
      </c>
      <c r="AZ196" s="10" t="str">
        <f>IF(K196="","",
IF(AX196="PT",VLOOKUP(K196,Foundation_Calc!$K$4:$R$37,VLOOKUP(AW196,Foundation_Calc!$I$2:$J$8,2,FALSE),0),
IF(AX196="K",VLOOKUP(K196,Foundation_Calc!$K$41:$R$74,VLOOKUP(AW196,Foundation_Calc!$I$2:$J$8,2,FALSE),0),"")))</f>
        <v/>
      </c>
      <c r="BA196" s="553" t="str">
        <f t="shared" si="17"/>
        <v>ü</v>
      </c>
      <c r="BB196" s="553" t="str">
        <f t="shared" si="18"/>
        <v/>
      </c>
      <c r="BC196" s="553" t="str">
        <f t="shared" si="19"/>
        <v/>
      </c>
      <c r="BD196" s="572" t="str">
        <f>IF(AND(L196="",H196=""),"",
IF(H196="",Pole_Calc!A$22,
IF(H196="MP",Pole_Calc!A$23,
IF(H196="AnMP",Pole_Calc!A$24,
IF(H196="A",Pole_Calc!A$25,
IF(H196="S/A",Pole_Calc!A$26,
IF(H196="A/S",Pole_Calc!A$27,"Poner a mano")))))))</f>
        <v>App.7-V11H-P9.5.2.5</v>
      </c>
      <c r="BE196" s="448" t="s">
        <v>1726</v>
      </c>
      <c r="BF196" s="305"/>
      <c r="BG196" s="305"/>
      <c r="BH196" s="306"/>
      <c r="BI196" s="305"/>
    </row>
    <row r="197" spans="1:61" ht="16.2" customHeight="1">
      <c r="A197" s="573"/>
      <c r="B197" s="469"/>
      <c r="C197" s="3"/>
      <c r="D197" s="88"/>
      <c r="E197" s="4"/>
      <c r="F197" s="4"/>
      <c r="G197" s="6">
        <v>55</v>
      </c>
      <c r="H197" s="468"/>
      <c r="I197" s="468"/>
      <c r="J197" s="3"/>
      <c r="K197" s="468"/>
      <c r="L197" s="468"/>
      <c r="M197" s="468" t="str">
        <f>IF(L197="","",
IF(AX197="PT",VLOOKUP(L197,Foundation_Calc!$V$4:$X$37,VLOOKUP(AX197,Foundation_Calc!$I$10:$J$13,2,FALSE),0),
IF(AX197="K",VLOOKUP(L197,Foundation_Calc!$V$41:$X$74,VLOOKUP(AX197,Foundation_Calc!$I$10:$J$13,2,FALSE),0),"")))</f>
        <v/>
      </c>
      <c r="N197" s="468"/>
      <c r="O197" s="468"/>
      <c r="P197" s="468"/>
      <c r="Q197" s="4"/>
      <c r="R197" s="6"/>
      <c r="S197" s="6"/>
      <c r="T197" s="4"/>
      <c r="U197" s="4"/>
      <c r="V197" s="4"/>
      <c r="W197" s="9"/>
      <c r="X197" s="9"/>
      <c r="Y197" s="9"/>
      <c r="Z197" s="9"/>
      <c r="AA197" s="9"/>
      <c r="AB197" s="9"/>
      <c r="AC197" s="468" t="str">
        <f t="shared" si="16"/>
        <v/>
      </c>
      <c r="AD197" s="468"/>
      <c r="AE197" s="468"/>
      <c r="AF197" s="4"/>
      <c r="AG197" s="88"/>
      <c r="AH197" s="4"/>
      <c r="AI197" s="4"/>
      <c r="AJ197" s="468"/>
      <c r="AK197" s="468"/>
      <c r="AL197" s="468"/>
      <c r="AM197" s="468"/>
      <c r="AN197" s="10"/>
      <c r="AO197" s="9"/>
      <c r="AP197" s="9"/>
      <c r="AQ197" s="9">
        <f>+FL_2($T$198,$T$196,$G$197,1200,9.28,-1*$F$198)</f>
        <v>-0.31079502110054197</v>
      </c>
      <c r="AR197" s="9"/>
      <c r="AS197" s="9"/>
      <c r="AT197" s="9"/>
      <c r="AU197" s="447"/>
      <c r="AV197" s="447"/>
      <c r="AW197" s="468" t="str">
        <f>IF(C197&gt;0,VLOOKUP(C197,Foundation_Calc!$A$2:$C$13,3,1),
IF(J197&gt;0,VLOOKUP(J197,Foundation_Calc!$A$2:$C$13,3,1),""))</f>
        <v/>
      </c>
      <c r="AX197" s="468" t="str">
        <f>IF(C197&gt;0,VLOOKUP(C197,Foundation_Calc!$E$2:$G$13,3,1),
IF(J197&gt;0,VLOOKUP(J197,Foundation_Calc!$E$2:$G$13,3,1),""))</f>
        <v/>
      </c>
      <c r="AY197" s="10" t="str">
        <f>IF(L197="","",
IF(AX197="PT",VLOOKUP(L197,Foundation_Calc!$K$4:$R$37,VLOOKUP(AW197,Foundation_Calc!$I$2:$J$8,2,FALSE),0),
IF(AX197="K",VLOOKUP(L197,Foundation_Calc!$K$41:$R$74,VLOOKUP(AW197,Foundation_Calc!$I$2:$J$8,2,FALSE),0),"")))</f>
        <v/>
      </c>
      <c r="AZ197" s="10" t="str">
        <f>IF(K197="","",
IF(AX197="PT",VLOOKUP(K197,Foundation_Calc!$K$4:$R$37,VLOOKUP(AW197,Foundation_Calc!$I$2:$J$8,2,FALSE),0),
IF(AX197="K",VLOOKUP(K197,Foundation_Calc!$K$41:$R$74,VLOOKUP(AW197,Foundation_Calc!$I$2:$J$8,2,FALSE),0),"")))</f>
        <v/>
      </c>
      <c r="BA197" s="553" t="str">
        <f t="shared" si="17"/>
        <v/>
      </c>
      <c r="BB197" s="553" t="str">
        <f t="shared" si="18"/>
        <v/>
      </c>
      <c r="BC197" s="553" t="str">
        <f t="shared" si="19"/>
        <v/>
      </c>
      <c r="BD197" s="572" t="str">
        <f>IF(AND(L197="",H197=""),"",
IF(H197="",Pole_Calc!A$22,
IF(H197="MP",Pole_Calc!A$23,
IF(H197="AnMP",Pole_Calc!A$24,
IF(H197="A",Pole_Calc!A$25,
IF(H197="S/A",Pole_Calc!A$26,
IF(H197="A/S",Pole_Calc!A$27,"Poner a mano")))))))</f>
        <v/>
      </c>
      <c r="BE197" s="448" t="s">
        <v>1726</v>
      </c>
      <c r="BF197" s="306"/>
      <c r="BG197" s="306"/>
      <c r="BH197" s="306"/>
      <c r="BI197" s="306"/>
    </row>
    <row r="198" spans="1:61" ht="16.2" customHeight="1">
      <c r="A198" s="573"/>
      <c r="B198" s="469" t="s">
        <v>1823</v>
      </c>
      <c r="C198" s="3">
        <f>+$C$196+$G$197</f>
        <v>4381.83</v>
      </c>
      <c r="D198" s="88"/>
      <c r="E198" s="4"/>
      <c r="F198" s="4">
        <v>1653.53</v>
      </c>
      <c r="G198" s="6"/>
      <c r="H198" s="468" t="s">
        <v>26</v>
      </c>
      <c r="I198" s="468" t="s">
        <v>182</v>
      </c>
      <c r="J198" s="3"/>
      <c r="K198" s="468"/>
      <c r="L198" s="468" t="s">
        <v>453</v>
      </c>
      <c r="M198" s="468" t="str">
        <f>IF(L198="","",
IF(AX198="PT",VLOOKUP(L198,Foundation_Calc!$V$4:$X$37,VLOOKUP(AX198,Foundation_Calc!$I$10:$J$13,2,FALSE),0),
IF(AX198="K",VLOOKUP(L198,Foundation_Calc!$V$41:$X$74,VLOOKUP(AX198,Foundation_Calc!$I$10:$J$13,2,FALSE),0),"")))</f>
        <v>C5SR</v>
      </c>
      <c r="N198" s="468" t="s">
        <v>32</v>
      </c>
      <c r="O198" s="468"/>
      <c r="P198" s="468"/>
      <c r="Q198" s="4"/>
      <c r="R198" s="6"/>
      <c r="S198" s="6"/>
      <c r="T198" s="4">
        <v>-30</v>
      </c>
      <c r="U198" s="4"/>
      <c r="V198" s="4"/>
      <c r="W198" s="9">
        <v>1.4</v>
      </c>
      <c r="X198" s="9"/>
      <c r="Y198" s="9"/>
      <c r="Z198" s="9"/>
      <c r="AA198" s="9"/>
      <c r="AB198" s="9"/>
      <c r="AC198" s="468" t="str">
        <f t="shared" si="16"/>
        <v>PHQ</v>
      </c>
      <c r="AD198" s="468"/>
      <c r="AE198" s="468"/>
      <c r="AF198" s="4"/>
      <c r="AG198" s="88"/>
      <c r="AH198" s="4"/>
      <c r="AI198" s="4"/>
      <c r="AJ198" s="468"/>
      <c r="AK198" s="468"/>
      <c r="AL198" s="468"/>
      <c r="AM198" s="468" t="s">
        <v>486</v>
      </c>
      <c r="AN198" s="10">
        <v>5.5</v>
      </c>
      <c r="AO198" s="9"/>
      <c r="AP198" s="9"/>
      <c r="AQ198" s="9"/>
      <c r="AR198" s="9"/>
      <c r="AS198" s="9"/>
      <c r="AT198" s="9">
        <f>+ab($T$198,$T$196,$T$200,$G$197,$G$199,-1*$F$198,1200)</f>
        <v>-5.5434918042668917</v>
      </c>
      <c r="AU198" s="447"/>
      <c r="AV198" s="447"/>
      <c r="AW198" s="468" t="str">
        <f>IF(C198&gt;0,VLOOKUP(C198,Foundation_Calc!$A$2:$C$13,3,1),
IF(J198&gt;0,VLOOKUP(J198,Foundation_Calc!$A$2:$C$13,3,1),""))</f>
        <v>MultiSoil</v>
      </c>
      <c r="AX198" s="468" t="str">
        <f>IF(C198&gt;0,VLOOKUP(C198,Foundation_Calc!$E$2:$G$13,3,1),
IF(J198&gt;0,VLOOKUP(J198,Foundation_Calc!$E$2:$G$13,3,1),""))</f>
        <v>PT</v>
      </c>
      <c r="AY198" s="10">
        <f>IF(L198="","",
IF(AX198="PT",VLOOKUP(L198,Foundation_Calc!$K$4:$R$37,VLOOKUP(AW198,Foundation_Calc!$I$2:$J$8,2,FALSE),0),
IF(AX198="K",VLOOKUP(L198,Foundation_Calc!$K$41:$R$74,VLOOKUP(AW198,Foundation_Calc!$I$2:$J$8,2,FALSE),0),"")))</f>
        <v>3.7</v>
      </c>
      <c r="AZ198" s="10" t="str">
        <f>IF(K198="","",
IF(AX198="PT",VLOOKUP(K198,Foundation_Calc!$K$4:$R$37,VLOOKUP(AW198,Foundation_Calc!$I$2:$J$8,2,FALSE),0),
IF(AX198="K",VLOOKUP(K198,Foundation_Calc!$K$41:$R$74,VLOOKUP(AW198,Foundation_Calc!$I$2:$J$8,2,FALSE),0),"")))</f>
        <v/>
      </c>
      <c r="BA198" s="553" t="str">
        <f t="shared" si="17"/>
        <v>ü</v>
      </c>
      <c r="BB198" s="553" t="str">
        <f t="shared" si="18"/>
        <v/>
      </c>
      <c r="BC198" s="553" t="str">
        <f t="shared" si="19"/>
        <v/>
      </c>
      <c r="BD198" s="572" t="str">
        <f>IF(AND(L198="",H198=""),"",
IF(H198="",Pole_Calc!A$22,
IF(H198="MP",Pole_Calc!A$23,
IF(H198="AnMP",Pole_Calc!A$24,
IF(H198="A",Pole_Calc!A$25,
IF(H198="S/A",Pole_Calc!A$26,
IF(H198="A/S",Pole_Calc!A$27,"Poner a mano")))))))</f>
        <v>App.7-V11H-P9.5.2.6</v>
      </c>
      <c r="BE198" s="448" t="s">
        <v>1726</v>
      </c>
      <c r="BF198" s="305"/>
      <c r="BG198" s="305"/>
      <c r="BH198" s="306"/>
      <c r="BI198" s="305"/>
    </row>
    <row r="199" spans="1:61" ht="16.2" customHeight="1">
      <c r="A199" s="573"/>
      <c r="B199" s="469"/>
      <c r="C199" s="3"/>
      <c r="D199" s="88"/>
      <c r="E199" s="4"/>
      <c r="F199" s="4"/>
      <c r="G199" s="6">
        <v>50.1</v>
      </c>
      <c r="H199" s="468"/>
      <c r="I199" s="468"/>
      <c r="J199" s="3">
        <f>C198+7.5</f>
        <v>4389.33</v>
      </c>
      <c r="K199" s="468" t="s">
        <v>1095</v>
      </c>
      <c r="L199" s="468"/>
      <c r="M199" s="468" t="str">
        <f>IF(L199="","",
IF(AX199="PT",VLOOKUP(L199,Foundation_Calc!$V$4:$X$37,VLOOKUP(AX199,Foundation_Calc!$I$10:$J$13,2,FALSE),0),
IF(AX199="K",VLOOKUP(L199,Foundation_Calc!$V$41:$X$74,VLOOKUP(AX199,Foundation_Calc!$I$10:$J$13,2,FALSE),0),"")))</f>
        <v/>
      </c>
      <c r="N199" s="468"/>
      <c r="O199" s="468"/>
      <c r="P199" s="468"/>
      <c r="Q199" s="4"/>
      <c r="R199" s="6"/>
      <c r="S199" s="6"/>
      <c r="T199" s="4"/>
      <c r="U199" s="4"/>
      <c r="V199" s="4"/>
      <c r="W199" s="9"/>
      <c r="X199" s="9"/>
      <c r="Y199" s="9"/>
      <c r="Z199" s="9"/>
      <c r="AA199" s="9"/>
      <c r="AB199" s="9"/>
      <c r="AC199" s="468" t="str">
        <f t="shared" si="16"/>
        <v/>
      </c>
      <c r="AD199" s="468"/>
      <c r="AE199" s="468"/>
      <c r="AF199" s="4"/>
      <c r="AG199" s="88"/>
      <c r="AH199" s="4"/>
      <c r="AI199" s="4"/>
      <c r="AJ199" s="468"/>
      <c r="AK199" s="468"/>
      <c r="AL199" s="468"/>
      <c r="AM199" s="468"/>
      <c r="AN199" s="10"/>
      <c r="AO199" s="9"/>
      <c r="AP199" s="9"/>
      <c r="AQ199" s="9">
        <f>+FL_2($T$200,$T$198,$G$199,1200,9.28,-1*$F$200)</f>
        <v>-0.35287708126119499</v>
      </c>
      <c r="AR199" s="9"/>
      <c r="AS199" s="9"/>
      <c r="AT199" s="9"/>
      <c r="AU199" s="447"/>
      <c r="AV199" s="447"/>
      <c r="AW199" s="468" t="str">
        <f>IF(C199&gt;0,VLOOKUP(C199,Foundation_Calc!$A$2:$C$13,3,1),
IF(J199&gt;0,VLOOKUP(J199,Foundation_Calc!$A$2:$C$13,3,1),""))</f>
        <v>MultiSoil</v>
      </c>
      <c r="AX199" s="468" t="str">
        <f>IF(C199&gt;0,VLOOKUP(C199,Foundation_Calc!$E$2:$G$13,3,1),
IF(J199&gt;0,VLOOKUP(J199,Foundation_Calc!$E$2:$G$13,3,1),""))</f>
        <v>PT</v>
      </c>
      <c r="AY199" s="10" t="str">
        <f>IF(L199="","",
IF(AX199="PT",VLOOKUP(L199,Foundation_Calc!$K$4:$R$37,VLOOKUP(AW199,Foundation_Calc!$I$2:$J$8,2,FALSE),0),
IF(AX199="K",VLOOKUP(L199,Foundation_Calc!$K$41:$R$74,VLOOKUP(AW199,Foundation_Calc!$I$2:$J$8,2,FALSE),0),"")))</f>
        <v/>
      </c>
      <c r="AZ199" s="10">
        <f>IF(K199="","",
IF(AX199="PT",VLOOKUP(K199,Foundation_Calc!$K$4:$R$37,VLOOKUP(AW199,Foundation_Calc!$I$2:$J$8,2,FALSE),0),
IF(AX199="K",VLOOKUP(K199,Foundation_Calc!$K$41:$R$74,VLOOKUP(AW199,Foundation_Calc!$I$2:$J$8,2,FALSE),0),"")))</f>
        <v>3.9</v>
      </c>
      <c r="BA199" s="553" t="str">
        <f t="shared" si="17"/>
        <v/>
      </c>
      <c r="BB199" s="553" t="str">
        <f t="shared" si="18"/>
        <v>ü</v>
      </c>
      <c r="BC199" s="553" t="str">
        <f t="shared" si="19"/>
        <v/>
      </c>
      <c r="BD199" s="572" t="str">
        <f>IF(AND(L199="",H199=""),"",
IF(H199="",Pole_Calc!A$22,
IF(H199="MP",Pole_Calc!A$23,
IF(H199="AnMP",Pole_Calc!A$24,
IF(H199="A",Pole_Calc!A$25,
IF(H199="S/A",Pole_Calc!A$26,
IF(H199="A/S",Pole_Calc!A$27,"Poner a mano")))))))</f>
        <v/>
      </c>
      <c r="BE199" s="448" t="s">
        <v>1726</v>
      </c>
      <c r="BF199" s="306"/>
      <c r="BG199" s="306"/>
      <c r="BH199" s="306"/>
      <c r="BI199" s="306"/>
    </row>
    <row r="200" spans="1:61" ht="16.2" customHeight="1">
      <c r="A200" s="573"/>
      <c r="B200" s="469" t="s">
        <v>1824</v>
      </c>
      <c r="C200" s="3">
        <f>+$C$198+$G$199</f>
        <v>4431.93</v>
      </c>
      <c r="D200" s="88"/>
      <c r="E200" s="4"/>
      <c r="F200" s="4">
        <v>1653.53</v>
      </c>
      <c r="G200" s="6"/>
      <c r="H200" s="468"/>
      <c r="I200" s="468"/>
      <c r="J200" s="3"/>
      <c r="K200" s="468"/>
      <c r="L200" s="468" t="s">
        <v>40</v>
      </c>
      <c r="M200" s="468" t="str">
        <f>IF(L200="","",
IF(AX200="PT",VLOOKUP(L200,Foundation_Calc!$V$4:$X$37,VLOOKUP(AX200,Foundation_Calc!$I$10:$J$13,2,FALSE),0),
IF(AX200="K",VLOOKUP(L200,Foundation_Calc!$V$41:$X$74,VLOOKUP(AX200,Foundation_Calc!$I$10:$J$13,2,FALSE),0),"")))</f>
        <v>C5SR</v>
      </c>
      <c r="N200" s="468" t="s">
        <v>32</v>
      </c>
      <c r="O200" s="468"/>
      <c r="P200" s="468"/>
      <c r="Q200" s="4"/>
      <c r="R200" s="6"/>
      <c r="S200" s="6"/>
      <c r="T200" s="4">
        <v>-30</v>
      </c>
      <c r="U200" s="4"/>
      <c r="V200" s="4"/>
      <c r="W200" s="9">
        <v>1.4</v>
      </c>
      <c r="X200" s="9"/>
      <c r="Y200" s="9"/>
      <c r="Z200" s="9"/>
      <c r="AA200" s="9"/>
      <c r="AB200" s="9"/>
      <c r="AC200" s="468" t="str">
        <f t="shared" si="16"/>
        <v>PHQ</v>
      </c>
      <c r="AD200" s="468"/>
      <c r="AE200" s="468"/>
      <c r="AF200" s="4"/>
      <c r="AG200" s="88"/>
      <c r="AH200" s="4"/>
      <c r="AI200" s="4"/>
      <c r="AJ200" s="468"/>
      <c r="AK200" s="468"/>
      <c r="AL200" s="468"/>
      <c r="AM200" s="468" t="s">
        <v>486</v>
      </c>
      <c r="AN200" s="10">
        <v>5.5</v>
      </c>
      <c r="AO200" s="9"/>
      <c r="AP200" s="9"/>
      <c r="AQ200" s="9"/>
      <c r="AR200" s="9"/>
      <c r="AS200" s="9"/>
      <c r="AT200" s="9">
        <f>+ab($T$200,$T$198,$T$202,$G$199,$G$201,-1*$F$200,1200)</f>
        <v>-6.6223492539182374</v>
      </c>
      <c r="AU200" s="447"/>
      <c r="AV200" s="447"/>
      <c r="AW200" s="468" t="str">
        <f>IF(C200&gt;0,VLOOKUP(C200,Foundation_Calc!$A$2:$C$13,3,1),
IF(J200&gt;0,VLOOKUP(J200,Foundation_Calc!$A$2:$C$13,3,1),""))</f>
        <v>MultiSoil</v>
      </c>
      <c r="AX200" s="468" t="str">
        <f>IF(C200&gt;0,VLOOKUP(C200,Foundation_Calc!$E$2:$G$13,3,1),
IF(J200&gt;0,VLOOKUP(J200,Foundation_Calc!$E$2:$G$13,3,1),""))</f>
        <v>PT</v>
      </c>
      <c r="AY200" s="10">
        <f>IF(L200="","",
IF(AX200="PT",VLOOKUP(L200,Foundation_Calc!$K$4:$R$37,VLOOKUP(AW200,Foundation_Calc!$I$2:$J$8,2,FALSE),0),
IF(AX200="K",VLOOKUP(L200,Foundation_Calc!$K$41:$R$74,VLOOKUP(AW200,Foundation_Calc!$I$2:$J$8,2,FALSE),0),"")))</f>
        <v>3.7</v>
      </c>
      <c r="AZ200" s="10" t="str">
        <f>IF(K200="","",
IF(AX200="PT",VLOOKUP(K200,Foundation_Calc!$K$4:$R$37,VLOOKUP(AW200,Foundation_Calc!$I$2:$J$8,2,FALSE),0),
IF(AX200="K",VLOOKUP(K200,Foundation_Calc!$K$41:$R$74,VLOOKUP(AW200,Foundation_Calc!$I$2:$J$8,2,FALSE),0),"")))</f>
        <v/>
      </c>
      <c r="BA200" s="553" t="str">
        <f t="shared" si="17"/>
        <v>ü</v>
      </c>
      <c r="BB200" s="553" t="str">
        <f t="shared" si="18"/>
        <v/>
      </c>
      <c r="BC200" s="553" t="str">
        <f t="shared" si="19"/>
        <v/>
      </c>
      <c r="BD200" s="572" t="str">
        <f>IF(AND(L200="",H200=""),"",
IF(H200="",Pole_Calc!A$22,
IF(H200="MP",Pole_Calc!A$23,
IF(H200="AnMP",Pole_Calc!A$24,
IF(H200="A",Pole_Calc!A$25,
IF(H200="S/A",Pole_Calc!A$26,
IF(H200="A/S",Pole_Calc!A$27,"Poner a mano")))))))</f>
        <v>App.7-V11H-P9.5.2.1</v>
      </c>
      <c r="BE200" s="448" t="s">
        <v>1726</v>
      </c>
      <c r="BF200" s="305"/>
      <c r="BG200" s="305"/>
      <c r="BH200" s="306"/>
      <c r="BI200" s="305"/>
    </row>
    <row r="201" spans="1:61" ht="16.2" customHeight="1">
      <c r="A201" s="573"/>
      <c r="B201" s="469"/>
      <c r="C201" s="3"/>
      <c r="D201" s="88"/>
      <c r="E201" s="4"/>
      <c r="F201" s="4"/>
      <c r="G201" s="6">
        <v>45.3</v>
      </c>
      <c r="H201" s="468"/>
      <c r="I201" s="468"/>
      <c r="J201" s="3"/>
      <c r="K201" s="468"/>
      <c r="L201" s="468"/>
      <c r="M201" s="468" t="str">
        <f>IF(L201="","",
IF(AX201="PT",VLOOKUP(L201,Foundation_Calc!$V$4:$X$37,VLOOKUP(AX201,Foundation_Calc!$I$10:$J$13,2,FALSE),0),
IF(AX201="K",VLOOKUP(L201,Foundation_Calc!$V$41:$X$74,VLOOKUP(AX201,Foundation_Calc!$I$10:$J$13,2,FALSE),0),"")))</f>
        <v/>
      </c>
      <c r="N201" s="468"/>
      <c r="O201" s="468"/>
      <c r="P201" s="468"/>
      <c r="Q201" s="4"/>
      <c r="R201" s="6"/>
      <c r="S201" s="6"/>
      <c r="T201" s="4"/>
      <c r="U201" s="4"/>
      <c r="V201" s="4"/>
      <c r="W201" s="9"/>
      <c r="X201" s="9"/>
      <c r="Y201" s="9"/>
      <c r="Z201" s="9"/>
      <c r="AA201" s="9"/>
      <c r="AB201" s="9"/>
      <c r="AC201" s="468" t="str">
        <f t="shared" si="16"/>
        <v/>
      </c>
      <c r="AD201" s="468"/>
      <c r="AE201" s="468"/>
      <c r="AF201" s="4"/>
      <c r="AG201" s="88"/>
      <c r="AH201" s="4"/>
      <c r="AI201" s="4"/>
      <c r="AJ201" s="468"/>
      <c r="AK201" s="468"/>
      <c r="AL201" s="468"/>
      <c r="AM201" s="468"/>
      <c r="AN201" s="10"/>
      <c r="AO201" s="9"/>
      <c r="AP201" s="9"/>
      <c r="AQ201" s="9">
        <f>+FL_2($T$202,$T$200,$G$201,1200,9.28,-1*$F$202)</f>
        <v>-0.30010633477480736</v>
      </c>
      <c r="AR201" s="9"/>
      <c r="AS201" s="9"/>
      <c r="AT201" s="9"/>
      <c r="AU201" s="447"/>
      <c r="AV201" s="447"/>
      <c r="AW201" s="468" t="str">
        <f>IF(C201&gt;0,VLOOKUP(C201,Foundation_Calc!$A$2:$C$13,3,1),
IF(J201&gt;0,VLOOKUP(J201,Foundation_Calc!$A$2:$C$13,3,1),""))</f>
        <v/>
      </c>
      <c r="AX201" s="468" t="str">
        <f>IF(C201&gt;0,VLOOKUP(C201,Foundation_Calc!$E$2:$G$13,3,1),
IF(J201&gt;0,VLOOKUP(J201,Foundation_Calc!$E$2:$G$13,3,1),""))</f>
        <v/>
      </c>
      <c r="AY201" s="10" t="str">
        <f>IF(L201="","",
IF(AX201="PT",VLOOKUP(L201,Foundation_Calc!$K$4:$R$37,VLOOKUP(AW201,Foundation_Calc!$I$2:$J$8,2,FALSE),0),
IF(AX201="K",VLOOKUP(L201,Foundation_Calc!$K$41:$R$74,VLOOKUP(AW201,Foundation_Calc!$I$2:$J$8,2,FALSE),0),"")))</f>
        <v/>
      </c>
      <c r="AZ201" s="10" t="str">
        <f>IF(K201="","",
IF(AX201="PT",VLOOKUP(K201,Foundation_Calc!$K$4:$R$37,VLOOKUP(AW201,Foundation_Calc!$I$2:$J$8,2,FALSE),0),
IF(AX201="K",VLOOKUP(K201,Foundation_Calc!$K$41:$R$74,VLOOKUP(AW201,Foundation_Calc!$I$2:$J$8,2,FALSE),0),"")))</f>
        <v/>
      </c>
      <c r="BA201" s="553" t="str">
        <f t="shared" si="17"/>
        <v/>
      </c>
      <c r="BB201" s="553" t="str">
        <f t="shared" si="18"/>
        <v/>
      </c>
      <c r="BC201" s="553" t="str">
        <f t="shared" si="19"/>
        <v/>
      </c>
      <c r="BD201" s="572" t="str">
        <f>IF(AND(L201="",H201=""),"",
IF(H201="",Pole_Calc!A$22,
IF(H201="MP",Pole_Calc!A$23,
IF(H201="AnMP",Pole_Calc!A$24,
IF(H201="A",Pole_Calc!A$25,
IF(H201="S/A",Pole_Calc!A$26,
IF(H201="A/S",Pole_Calc!A$27,"Poner a mano")))))))</f>
        <v/>
      </c>
      <c r="BE201" s="448" t="s">
        <v>1726</v>
      </c>
      <c r="BF201" s="306"/>
      <c r="BG201" s="306"/>
      <c r="BH201" s="306"/>
      <c r="BI201" s="306"/>
    </row>
    <row r="202" spans="1:61" ht="16.2" customHeight="1">
      <c r="A202" s="573"/>
      <c r="B202" s="469" t="s">
        <v>1825</v>
      </c>
      <c r="C202" s="3">
        <f>+$C$200+$G$201</f>
        <v>4477.2300000000005</v>
      </c>
      <c r="D202" s="88"/>
      <c r="E202" s="4"/>
      <c r="F202" s="4">
        <v>804.7</v>
      </c>
      <c r="G202" s="6"/>
      <c r="H202" s="468"/>
      <c r="I202" s="468"/>
      <c r="J202" s="3"/>
      <c r="K202" s="468"/>
      <c r="L202" s="468" t="s">
        <v>40</v>
      </c>
      <c r="M202" s="468" t="str">
        <f>IF(L202="","",
IF(AX202="PT",VLOOKUP(L202,Foundation_Calc!$V$4:$X$37,VLOOKUP(AX202,Foundation_Calc!$I$10:$J$13,2,FALSE),0),
IF(AX202="K",VLOOKUP(L202,Foundation_Calc!$V$41:$X$74,VLOOKUP(AX202,Foundation_Calc!$I$10:$J$13,2,FALSE),0),"")))</f>
        <v>C5SR</v>
      </c>
      <c r="N202" s="468" t="s">
        <v>32</v>
      </c>
      <c r="O202" s="468"/>
      <c r="P202" s="468"/>
      <c r="Q202" s="4"/>
      <c r="R202" s="6"/>
      <c r="S202" s="6"/>
      <c r="T202" s="4">
        <v>-30</v>
      </c>
      <c r="U202" s="4"/>
      <c r="V202" s="4"/>
      <c r="W202" s="9">
        <v>1.4</v>
      </c>
      <c r="X202" s="9"/>
      <c r="Y202" s="9"/>
      <c r="Z202" s="9"/>
      <c r="AA202" s="9"/>
      <c r="AB202" s="9"/>
      <c r="AC202" s="468" t="str">
        <f t="shared" si="16"/>
        <v>PHC</v>
      </c>
      <c r="AD202" s="468"/>
      <c r="AE202" s="468"/>
      <c r="AF202" s="4"/>
      <c r="AG202" s="88"/>
      <c r="AH202" s="4"/>
      <c r="AI202" s="4"/>
      <c r="AJ202" s="468"/>
      <c r="AK202" s="468"/>
      <c r="AL202" s="468"/>
      <c r="AM202" s="468" t="s">
        <v>486</v>
      </c>
      <c r="AN202" s="10">
        <v>5.5</v>
      </c>
      <c r="AO202" s="9"/>
      <c r="AP202" s="9"/>
      <c r="AQ202" s="9"/>
      <c r="AR202" s="9"/>
      <c r="AS202" s="9"/>
      <c r="AT202" s="9">
        <f>+ab($T$202,$T$200,$T$204,$G$201,$G$203,-1*$F$202,1200)</f>
        <v>-3.2304161379935321</v>
      </c>
      <c r="AU202" s="447"/>
      <c r="AV202" s="447"/>
      <c r="AW202" s="468" t="str">
        <f>IF(C202&gt;0,VLOOKUP(C202,Foundation_Calc!$A$2:$C$13,3,1),
IF(J202&gt;0,VLOOKUP(J202,Foundation_Calc!$A$2:$C$13,3,1),""))</f>
        <v>MultiSoil</v>
      </c>
      <c r="AX202" s="468" t="str">
        <f>IF(C202&gt;0,VLOOKUP(C202,Foundation_Calc!$E$2:$G$13,3,1),
IF(J202&gt;0,VLOOKUP(J202,Foundation_Calc!$E$2:$G$13,3,1),""))</f>
        <v>PT</v>
      </c>
      <c r="AY202" s="10">
        <f>IF(L202="","",
IF(AX202="PT",VLOOKUP(L202,Foundation_Calc!$K$4:$R$37,VLOOKUP(AW202,Foundation_Calc!$I$2:$J$8,2,FALSE),0),
IF(AX202="K",VLOOKUP(L202,Foundation_Calc!$K$41:$R$74,VLOOKUP(AW202,Foundation_Calc!$I$2:$J$8,2,FALSE),0),"")))</f>
        <v>3.7</v>
      </c>
      <c r="AZ202" s="10" t="str">
        <f>IF(K202="","",
IF(AX202="PT",VLOOKUP(K202,Foundation_Calc!$K$4:$R$37,VLOOKUP(AW202,Foundation_Calc!$I$2:$J$8,2,FALSE),0),
IF(AX202="K",VLOOKUP(K202,Foundation_Calc!$K$41:$R$74,VLOOKUP(AW202,Foundation_Calc!$I$2:$J$8,2,FALSE),0),"")))</f>
        <v/>
      </c>
      <c r="BA202" s="553" t="str">
        <f t="shared" si="17"/>
        <v>ü</v>
      </c>
      <c r="BB202" s="553" t="str">
        <f t="shared" si="18"/>
        <v/>
      </c>
      <c r="BC202" s="553" t="str">
        <f t="shared" si="19"/>
        <v/>
      </c>
      <c r="BD202" s="572" t="str">
        <f>IF(AND(L202="",H202=""),"",
IF(H202="",Pole_Calc!A$22,
IF(H202="MP",Pole_Calc!A$23,
IF(H202="AnMP",Pole_Calc!A$24,
IF(H202="A",Pole_Calc!A$25,
IF(H202="S/A",Pole_Calc!A$26,
IF(H202="A/S",Pole_Calc!A$27,"Poner a mano")))))))</f>
        <v>App.7-V11H-P9.5.2.1</v>
      </c>
      <c r="BE202" s="448" t="s">
        <v>1726</v>
      </c>
      <c r="BF202" s="305"/>
      <c r="BG202" s="305"/>
      <c r="BH202" s="306"/>
      <c r="BI202" s="305"/>
    </row>
    <row r="203" spans="1:61" ht="16.2" customHeight="1">
      <c r="A203" s="573"/>
      <c r="B203" s="469"/>
      <c r="C203" s="3"/>
      <c r="D203" s="88"/>
      <c r="E203" s="4"/>
      <c r="F203" s="4"/>
      <c r="G203" s="6">
        <v>50.2</v>
      </c>
      <c r="H203" s="468"/>
      <c r="I203" s="468"/>
      <c r="J203" s="3"/>
      <c r="K203" s="468"/>
      <c r="L203" s="468"/>
      <c r="M203" s="468" t="str">
        <f>IF(L203="","",
IF(AX203="PT",VLOOKUP(L203,Foundation_Calc!$V$4:$X$37,VLOOKUP(AX203,Foundation_Calc!$I$10:$J$13,2,FALSE),0),
IF(AX203="K",VLOOKUP(L203,Foundation_Calc!$V$41:$X$74,VLOOKUP(AX203,Foundation_Calc!$I$10:$J$13,2,FALSE),0),"")))</f>
        <v/>
      </c>
      <c r="N203" s="468"/>
      <c r="O203" s="468"/>
      <c r="P203" s="468"/>
      <c r="Q203" s="4"/>
      <c r="R203" s="6"/>
      <c r="S203" s="6"/>
      <c r="T203" s="4"/>
      <c r="U203" s="4"/>
      <c r="V203" s="4"/>
      <c r="W203" s="9"/>
      <c r="X203" s="9"/>
      <c r="Y203" s="9"/>
      <c r="Z203" s="9"/>
      <c r="AA203" s="9"/>
      <c r="AB203" s="9"/>
      <c r="AC203" s="468" t="str">
        <f t="shared" si="16"/>
        <v/>
      </c>
      <c r="AD203" s="468"/>
      <c r="AE203" s="468"/>
      <c r="AF203" s="4"/>
      <c r="AG203" s="88"/>
      <c r="AH203" s="4"/>
      <c r="AI203" s="4"/>
      <c r="AJ203" s="468"/>
      <c r="AK203" s="468"/>
      <c r="AL203" s="468"/>
      <c r="AM203" s="468"/>
      <c r="AN203" s="10"/>
      <c r="AO203" s="9"/>
      <c r="AP203" s="9"/>
      <c r="AQ203" s="9">
        <f>+FL_2($T$204,$T$202,$G$203,1200,9.28,-1*$F$204)</f>
        <v>-0.35417677195868635</v>
      </c>
      <c r="AR203" s="9"/>
      <c r="AS203" s="9"/>
      <c r="AT203" s="9"/>
      <c r="AU203" s="447"/>
      <c r="AV203" s="447"/>
      <c r="AW203" s="468" t="str">
        <f>IF(C203&gt;0,VLOOKUP(C203,Foundation_Calc!$A$2:$C$13,3,1),
IF(J203&gt;0,VLOOKUP(J203,Foundation_Calc!$A$2:$C$13,3,1),""))</f>
        <v/>
      </c>
      <c r="AX203" s="468" t="str">
        <f>IF(C203&gt;0,VLOOKUP(C203,Foundation_Calc!$E$2:$G$13,3,1),
IF(J203&gt;0,VLOOKUP(J203,Foundation_Calc!$E$2:$G$13,3,1),""))</f>
        <v/>
      </c>
      <c r="AY203" s="10" t="str">
        <f>IF(L203="","",
IF(AX203="PT",VLOOKUP(L203,Foundation_Calc!$K$4:$R$37,VLOOKUP(AW203,Foundation_Calc!$I$2:$J$8,2,FALSE),0),
IF(AX203="K",VLOOKUP(L203,Foundation_Calc!$K$41:$R$74,VLOOKUP(AW203,Foundation_Calc!$I$2:$J$8,2,FALSE),0),"")))</f>
        <v/>
      </c>
      <c r="AZ203" s="10" t="str">
        <f>IF(K203="","",
IF(AX203="PT",VLOOKUP(K203,Foundation_Calc!$K$4:$R$37,VLOOKUP(AW203,Foundation_Calc!$I$2:$J$8,2,FALSE),0),
IF(AX203="K",VLOOKUP(K203,Foundation_Calc!$K$41:$R$74,VLOOKUP(AW203,Foundation_Calc!$I$2:$J$8,2,FALSE),0),"")))</f>
        <v/>
      </c>
      <c r="BA203" s="553" t="str">
        <f t="shared" si="17"/>
        <v/>
      </c>
      <c r="BB203" s="553" t="str">
        <f t="shared" si="18"/>
        <v/>
      </c>
      <c r="BC203" s="553" t="str">
        <f t="shared" ref="BC203:BC266" si="25">IF(M203="","",IF(M203="U.S.","ü",IF(M203="U.S. N.D.","ü","")))</f>
        <v/>
      </c>
      <c r="BD203" s="572" t="str">
        <f>IF(AND(L203="",H203=""),"",
IF(H203="",Pole_Calc!A$22,
IF(H203="MP",Pole_Calc!A$23,
IF(H203="AnMP",Pole_Calc!A$24,
IF(H203="A",Pole_Calc!A$25,
IF(H203="S/A",Pole_Calc!A$26,
IF(H203="A/S",Pole_Calc!A$27,"Poner a mano")))))))</f>
        <v/>
      </c>
      <c r="BE203" s="448" t="s">
        <v>1726</v>
      </c>
      <c r="BF203" s="306"/>
      <c r="BG203" s="306"/>
      <c r="BH203" s="306"/>
      <c r="BI203" s="306"/>
    </row>
    <row r="204" spans="1:61" ht="16.2" customHeight="1">
      <c r="A204" s="573"/>
      <c r="B204" s="469" t="s">
        <v>1826</v>
      </c>
      <c r="C204" s="3">
        <f>+$C$202+$G$203</f>
        <v>4527.43</v>
      </c>
      <c r="D204" s="88"/>
      <c r="E204" s="4"/>
      <c r="F204" s="4">
        <v>1663.03</v>
      </c>
      <c r="G204" s="6"/>
      <c r="H204" s="468"/>
      <c r="I204" s="468"/>
      <c r="J204" s="3"/>
      <c r="K204" s="468"/>
      <c r="L204" s="468" t="s">
        <v>40</v>
      </c>
      <c r="M204" s="468" t="str">
        <f>IF(L204="","",
IF(AX204="PT",VLOOKUP(L204,Foundation_Calc!$V$4:$X$37,VLOOKUP(AX204,Foundation_Calc!$I$10:$J$13,2,FALSE),0),
IF(AX204="K",VLOOKUP(L204,Foundation_Calc!$V$41:$X$74,VLOOKUP(AX204,Foundation_Calc!$I$10:$J$13,2,FALSE),0),"")))</f>
        <v>C5SR</v>
      </c>
      <c r="N204" s="468" t="s">
        <v>32</v>
      </c>
      <c r="O204" s="468"/>
      <c r="P204" s="468"/>
      <c r="Q204" s="4"/>
      <c r="R204" s="6"/>
      <c r="S204" s="6"/>
      <c r="T204" s="4">
        <v>-30</v>
      </c>
      <c r="U204" s="4"/>
      <c r="V204" s="4"/>
      <c r="W204" s="9">
        <v>1.4</v>
      </c>
      <c r="X204" s="9"/>
      <c r="Y204" s="9"/>
      <c r="Z204" s="9"/>
      <c r="AA204" s="9"/>
      <c r="AB204" s="9"/>
      <c r="AC204" s="468" t="str">
        <f t="shared" si="16"/>
        <v>PHC</v>
      </c>
      <c r="AD204" s="468"/>
      <c r="AE204" s="468"/>
      <c r="AF204" s="4"/>
      <c r="AG204" s="88"/>
      <c r="AH204" s="4"/>
      <c r="AI204" s="4"/>
      <c r="AJ204" s="468"/>
      <c r="AK204" s="468"/>
      <c r="AL204" s="468"/>
      <c r="AM204" s="468" t="s">
        <v>486</v>
      </c>
      <c r="AN204" s="10">
        <v>5.5</v>
      </c>
      <c r="AO204" s="9"/>
      <c r="AP204" s="9"/>
      <c r="AQ204" s="9"/>
      <c r="AR204" s="9"/>
      <c r="AS204" s="9"/>
      <c r="AT204" s="9">
        <f>+ab($T$204,$T$202,$T$206,$G$203,$G$205,-1*$F$204,1200)</f>
        <v>-4.4406960461461429</v>
      </c>
      <c r="AU204" s="447"/>
      <c r="AV204" s="447"/>
      <c r="AW204" s="468" t="str">
        <f>IF(C204&gt;0,VLOOKUP(C204,Foundation_Calc!$A$2:$C$13,3,1),
IF(J204&gt;0,VLOOKUP(J204,Foundation_Calc!$A$2:$C$13,3,1),""))</f>
        <v>MultiSoil</v>
      </c>
      <c r="AX204" s="468" t="str">
        <f>IF(C204&gt;0,VLOOKUP(C204,Foundation_Calc!$E$2:$G$13,3,1),
IF(J204&gt;0,VLOOKUP(J204,Foundation_Calc!$E$2:$G$13,3,1),""))</f>
        <v>PT</v>
      </c>
      <c r="AY204" s="10">
        <f>IF(L204="","",
IF(AX204="PT",VLOOKUP(L204,Foundation_Calc!$K$4:$R$37,VLOOKUP(AW204,Foundation_Calc!$I$2:$J$8,2,FALSE),0),
IF(AX204="K",VLOOKUP(L204,Foundation_Calc!$K$41:$R$74,VLOOKUP(AW204,Foundation_Calc!$I$2:$J$8,2,FALSE),0),"")))</f>
        <v>3.7</v>
      </c>
      <c r="AZ204" s="10" t="str">
        <f>IF(K204="","",
IF(AX204="PT",VLOOKUP(K204,Foundation_Calc!$K$4:$R$37,VLOOKUP(AW204,Foundation_Calc!$I$2:$J$8,2,FALSE),0),
IF(AX204="K",VLOOKUP(K204,Foundation_Calc!$K$41:$R$74,VLOOKUP(AW204,Foundation_Calc!$I$2:$J$8,2,FALSE),0),"")))</f>
        <v/>
      </c>
      <c r="BA204" s="553" t="str">
        <f t="shared" si="17"/>
        <v>ü</v>
      </c>
      <c r="BB204" s="553" t="str">
        <f t="shared" si="18"/>
        <v/>
      </c>
      <c r="BC204" s="553" t="str">
        <f t="shared" si="25"/>
        <v/>
      </c>
      <c r="BD204" s="572" t="str">
        <f>IF(AND(L204="",H204=""),"",
IF(H204="",Pole_Calc!A$22,
IF(H204="MP",Pole_Calc!A$23,
IF(H204="AnMP",Pole_Calc!A$24,
IF(H204="A",Pole_Calc!A$25,
IF(H204="S/A",Pole_Calc!A$26,
IF(H204="A/S",Pole_Calc!A$27,"Poner a mano")))))))</f>
        <v>App.7-V11H-P9.5.2.1</v>
      </c>
      <c r="BE204" s="448" t="s">
        <v>1726</v>
      </c>
      <c r="BF204" s="305"/>
      <c r="BG204" s="305"/>
      <c r="BH204" s="306"/>
      <c r="BI204" s="305"/>
    </row>
    <row r="205" spans="1:61" ht="16.2" customHeight="1">
      <c r="A205" s="573"/>
      <c r="B205" s="469"/>
      <c r="C205" s="3"/>
      <c r="D205" s="88"/>
      <c r="E205" s="4"/>
      <c r="F205" s="4"/>
      <c r="G205" s="6">
        <v>50</v>
      </c>
      <c r="H205" s="468"/>
      <c r="I205" s="468"/>
      <c r="J205" s="3"/>
      <c r="K205" s="468"/>
      <c r="L205" s="468"/>
      <c r="M205" s="468" t="str">
        <f>IF(L205="","",
IF(AX205="PT",VLOOKUP(L205,Foundation_Calc!$V$4:$X$37,VLOOKUP(AX205,Foundation_Calc!$I$10:$J$13,2,FALSE),0),
IF(AX205="K",VLOOKUP(L205,Foundation_Calc!$V$41:$X$74,VLOOKUP(AX205,Foundation_Calc!$I$10:$J$13,2,FALSE),0),"")))</f>
        <v/>
      </c>
      <c r="N205" s="468"/>
      <c r="O205" s="468"/>
      <c r="P205" s="468"/>
      <c r="Q205" s="4"/>
      <c r="R205" s="6"/>
      <c r="S205" s="6"/>
      <c r="T205" s="4"/>
      <c r="U205" s="4"/>
      <c r="V205" s="4"/>
      <c r="W205" s="9"/>
      <c r="X205" s="9"/>
      <c r="Y205" s="9"/>
      <c r="Z205" s="9"/>
      <c r="AA205" s="9"/>
      <c r="AB205" s="9"/>
      <c r="AC205" s="468" t="str">
        <f t="shared" si="16"/>
        <v/>
      </c>
      <c r="AD205" s="468"/>
      <c r="AE205" s="468"/>
      <c r="AF205" s="4"/>
      <c r="AG205" s="88"/>
      <c r="AH205" s="4"/>
      <c r="AI205" s="4"/>
      <c r="AJ205" s="468"/>
      <c r="AK205" s="468"/>
      <c r="AL205" s="468"/>
      <c r="AM205" s="468"/>
      <c r="AN205" s="10"/>
      <c r="AO205" s="9"/>
      <c r="AP205" s="9"/>
      <c r="AQ205" s="9">
        <f>+FL_1($T$206,$T$204,$G$205,1200,9.28,-1*$F$206)</f>
        <v>0.37593390799999998</v>
      </c>
      <c r="AR205" s="9"/>
      <c r="AS205" s="9"/>
      <c r="AT205" s="9"/>
      <c r="AU205" s="447"/>
      <c r="AV205" s="447"/>
      <c r="AW205" s="468" t="str">
        <f>IF(C205&gt;0,VLOOKUP(C205,Foundation_Calc!$A$2:$C$13,3,1),
IF(J205&gt;0,VLOOKUP(J205,Foundation_Calc!$A$2:$C$13,3,1),""))</f>
        <v/>
      </c>
      <c r="AX205" s="468" t="str">
        <f>IF(C205&gt;0,VLOOKUP(C205,Foundation_Calc!$E$2:$G$13,3,1),
IF(J205&gt;0,VLOOKUP(J205,Foundation_Calc!$E$2:$G$13,3,1),""))</f>
        <v/>
      </c>
      <c r="AY205" s="10" t="str">
        <f>IF(L205="","",
IF(AX205="PT",VLOOKUP(L205,Foundation_Calc!$K$4:$R$37,VLOOKUP(AW205,Foundation_Calc!$I$2:$J$8,2,FALSE),0),
IF(AX205="K",VLOOKUP(L205,Foundation_Calc!$K$41:$R$74,VLOOKUP(AW205,Foundation_Calc!$I$2:$J$8,2,FALSE),0),"")))</f>
        <v/>
      </c>
      <c r="AZ205" s="10" t="str">
        <f>IF(K205="","",
IF(AX205="PT",VLOOKUP(K205,Foundation_Calc!$K$4:$R$37,VLOOKUP(AW205,Foundation_Calc!$I$2:$J$8,2,FALSE),0),
IF(AX205="K",VLOOKUP(K205,Foundation_Calc!$K$41:$R$74,VLOOKUP(AW205,Foundation_Calc!$I$2:$J$8,2,FALSE),0),"")))</f>
        <v/>
      </c>
      <c r="BA205" s="553" t="str">
        <f t="shared" si="17"/>
        <v/>
      </c>
      <c r="BB205" s="553" t="str">
        <f t="shared" si="18"/>
        <v/>
      </c>
      <c r="BC205" s="553" t="str">
        <f t="shared" si="25"/>
        <v/>
      </c>
      <c r="BD205" s="572" t="str">
        <f>IF(AND(L205="",H205=""),"",
IF(H205="",Pole_Calc!A$22,
IF(H205="MP",Pole_Calc!A$23,
IF(H205="AnMP",Pole_Calc!A$24,
IF(H205="A",Pole_Calc!A$25,
IF(H205="S/A",Pole_Calc!A$26,
IF(H205="A/S",Pole_Calc!A$27,"Poner a mano")))))))</f>
        <v/>
      </c>
      <c r="BE205" s="448" t="s">
        <v>1726</v>
      </c>
      <c r="BF205" s="306"/>
      <c r="BG205" s="306"/>
      <c r="BH205" s="306"/>
      <c r="BI205" s="306"/>
    </row>
    <row r="206" spans="1:61" ht="16.2" customHeight="1">
      <c r="A206" s="573"/>
      <c r="B206" s="469" t="s">
        <v>1827</v>
      </c>
      <c r="C206" s="3">
        <f>+$C$204+$G$205</f>
        <v>4577.43</v>
      </c>
      <c r="D206" s="88"/>
      <c r="E206" s="4"/>
      <c r="F206" s="4">
        <v>0</v>
      </c>
      <c r="G206" s="6"/>
      <c r="H206" s="468"/>
      <c r="I206" s="468"/>
      <c r="J206" s="3"/>
      <c r="K206" s="468"/>
      <c r="L206" s="468" t="s">
        <v>38</v>
      </c>
      <c r="M206" s="468" t="str">
        <f>IF(L206="","",
IF(AX206="PT",VLOOKUP(L206,Foundation_Calc!$V$4:$X$37,VLOOKUP(AX206,Foundation_Calc!$I$10:$J$13,2,FALSE),0),
IF(AX206="K",VLOOKUP(L206,Foundation_Calc!$V$41:$X$74,VLOOKUP(AX206,Foundation_Calc!$I$10:$J$13,2,FALSE),0),"")))</f>
        <v>C4SR</v>
      </c>
      <c r="N206" s="468" t="s">
        <v>33</v>
      </c>
      <c r="O206" s="468"/>
      <c r="P206" s="468"/>
      <c r="Q206" s="4"/>
      <c r="R206" s="6"/>
      <c r="S206" s="6"/>
      <c r="T206" s="4">
        <v>35</v>
      </c>
      <c r="U206" s="4"/>
      <c r="V206" s="4"/>
      <c r="W206" s="9">
        <v>1.4</v>
      </c>
      <c r="X206" s="9"/>
      <c r="Y206" s="9"/>
      <c r="Z206" s="9"/>
      <c r="AA206" s="9"/>
      <c r="AB206" s="9"/>
      <c r="AC206" s="468" t="str">
        <f t="shared" ref="AC206:AC269" si="26">IF(OR(AT206&gt;8,AT206&lt;-8),"PH",
IF(OR(AT206&gt;5,AT206&lt;-5),"PHQ",
IF(OR(AT206&gt;1,AT206&lt;-1),
"PHC","")))</f>
        <v>PHQ</v>
      </c>
      <c r="AD206" s="468"/>
      <c r="AE206" s="468"/>
      <c r="AF206" s="4"/>
      <c r="AG206" s="88"/>
      <c r="AH206" s="4"/>
      <c r="AI206" s="4"/>
      <c r="AJ206" s="468"/>
      <c r="AK206" s="468"/>
      <c r="AL206" s="468"/>
      <c r="AM206" s="468" t="s">
        <v>486</v>
      </c>
      <c r="AN206" s="10">
        <v>5.5</v>
      </c>
      <c r="AO206" s="9"/>
      <c r="AP206" s="9"/>
      <c r="AQ206" s="9"/>
      <c r="AR206" s="9"/>
      <c r="AS206" s="9"/>
      <c r="AT206" s="9">
        <f>+ab($T$206,$T$204,$T$208,$G$205,$G$207,-1*$F$206,1200)</f>
        <v>7.0710038601060328</v>
      </c>
      <c r="AU206" s="447"/>
      <c r="AV206" s="447"/>
      <c r="AW206" s="468" t="str">
        <f>IF(C206&gt;0,VLOOKUP(C206,Foundation_Calc!$A$2:$C$13,3,1),
IF(J206&gt;0,VLOOKUP(J206,Foundation_Calc!$A$2:$C$13,3,1),""))</f>
        <v>MultiSoil</v>
      </c>
      <c r="AX206" s="468" t="str">
        <f>IF(C206&gt;0,VLOOKUP(C206,Foundation_Calc!$E$2:$G$13,3,1),
IF(J206&gt;0,VLOOKUP(J206,Foundation_Calc!$E$2:$G$13,3,1),""))</f>
        <v>PT</v>
      </c>
      <c r="AY206" s="10">
        <f>IF(L206="","",
IF(AX206="PT",VLOOKUP(L206,Foundation_Calc!$K$4:$R$37,VLOOKUP(AW206,Foundation_Calc!$I$2:$J$8,2,FALSE),0),
IF(AX206="K",VLOOKUP(L206,Foundation_Calc!$K$41:$R$74,VLOOKUP(AW206,Foundation_Calc!$I$2:$J$8,2,FALSE),0),"")))</f>
        <v>3.7</v>
      </c>
      <c r="AZ206" s="10" t="str">
        <f>IF(K206="","",
IF(AX206="PT",VLOOKUP(K206,Foundation_Calc!$K$4:$R$37,VLOOKUP(AW206,Foundation_Calc!$I$2:$J$8,2,FALSE),0),
IF(AX206="K",VLOOKUP(K206,Foundation_Calc!$K$41:$R$74,VLOOKUP(AW206,Foundation_Calc!$I$2:$J$8,2,FALSE),0),"")))</f>
        <v/>
      </c>
      <c r="BA206" s="553" t="str">
        <f t="shared" ref="BA206:BA269" si="27">IF(AY206="","",IF(AY206&gt;0,"ü",""))</f>
        <v>ü</v>
      </c>
      <c r="BB206" s="553" t="str">
        <f t="shared" ref="BB206:BB269" si="28">IF(AZ206="","",IF(AZ206&gt;0,"ü",""))</f>
        <v/>
      </c>
      <c r="BC206" s="553" t="str">
        <f t="shared" si="25"/>
        <v/>
      </c>
      <c r="BD206" s="572" t="str">
        <f>IF(AND(L206="",H206=""),"",
IF(H206="",Pole_Calc!A$22,
IF(H206="MP",Pole_Calc!A$23,
IF(H206="AnMP",Pole_Calc!A$24,
IF(H206="A",Pole_Calc!A$25,
IF(H206="S/A",Pole_Calc!A$26,
IF(H206="A/S",Pole_Calc!A$27,"Poner a mano")))))))</f>
        <v>App.7-V11H-P9.5.2.1</v>
      </c>
      <c r="BE206" s="448" t="s">
        <v>1726</v>
      </c>
      <c r="BF206" s="305"/>
      <c r="BG206" s="305"/>
      <c r="BH206" s="306"/>
      <c r="BI206" s="305"/>
    </row>
    <row r="207" spans="1:61" ht="16.2" customHeight="1">
      <c r="A207" s="573"/>
      <c r="B207" s="469"/>
      <c r="C207" s="3"/>
      <c r="D207" s="88"/>
      <c r="E207" s="4"/>
      <c r="F207" s="4"/>
      <c r="G207" s="6">
        <v>50</v>
      </c>
      <c r="H207" s="468"/>
      <c r="I207" s="468"/>
      <c r="J207" s="3">
        <f>C208-7.5</f>
        <v>4619.93</v>
      </c>
      <c r="K207" s="468" t="s">
        <v>1096</v>
      </c>
      <c r="L207" s="468"/>
      <c r="M207" s="468" t="str">
        <f>IF(L207="","",
IF(AX207="PT",VLOOKUP(L207,Foundation_Calc!$V$4:$X$37,VLOOKUP(AX207,Foundation_Calc!$I$10:$J$13,2,FALSE),0),
IF(AX207="K",VLOOKUP(L207,Foundation_Calc!$V$41:$X$74,VLOOKUP(AX207,Foundation_Calc!$I$10:$J$13,2,FALSE),0),"")))</f>
        <v/>
      </c>
      <c r="N207" s="468"/>
      <c r="O207" s="468"/>
      <c r="P207" s="468"/>
      <c r="Q207" s="4"/>
      <c r="R207" s="6"/>
      <c r="S207" s="6"/>
      <c r="T207" s="4"/>
      <c r="U207" s="4"/>
      <c r="V207" s="4"/>
      <c r="W207" s="9"/>
      <c r="X207" s="9"/>
      <c r="Y207" s="9"/>
      <c r="Z207" s="9"/>
      <c r="AA207" s="9"/>
      <c r="AB207" s="9"/>
      <c r="AC207" s="468" t="str">
        <f t="shared" si="26"/>
        <v/>
      </c>
      <c r="AD207" s="468"/>
      <c r="AE207" s="468"/>
      <c r="AF207" s="4"/>
      <c r="AG207" s="88"/>
      <c r="AH207" s="4"/>
      <c r="AI207" s="4"/>
      <c r="AJ207" s="468"/>
      <c r="AK207" s="468"/>
      <c r="AL207" s="468"/>
      <c r="AM207" s="468"/>
      <c r="AN207" s="10"/>
      <c r="AO207" s="9"/>
      <c r="AP207" s="9"/>
      <c r="AQ207" s="9">
        <f>+FL_2($T$208,$T$206,$G$207,1200,9.28,-1*$F$208)</f>
        <v>-0.36839079999999996</v>
      </c>
      <c r="AR207" s="9"/>
      <c r="AS207" s="9"/>
      <c r="AT207" s="9"/>
      <c r="AU207" s="447"/>
      <c r="AV207" s="447"/>
      <c r="AW207" s="468" t="str">
        <f>IF(C207&gt;0,VLOOKUP(C207,Foundation_Calc!$A$2:$C$13,3,1),
IF(J207&gt;0,VLOOKUP(J207,Foundation_Calc!$A$2:$C$13,3,1),""))</f>
        <v>MultiSoil</v>
      </c>
      <c r="AX207" s="468" t="str">
        <f>IF(C207&gt;0,VLOOKUP(C207,Foundation_Calc!$E$2:$G$13,3,1),
IF(J207&gt;0,VLOOKUP(J207,Foundation_Calc!$E$2:$G$13,3,1),""))</f>
        <v>PT</v>
      </c>
      <c r="AY207" s="10" t="str">
        <f>IF(L207="","",
IF(AX207="PT",VLOOKUP(L207,Foundation_Calc!$K$4:$R$37,VLOOKUP(AW207,Foundation_Calc!$I$2:$J$8,2,FALSE),0),
IF(AX207="K",VLOOKUP(L207,Foundation_Calc!$K$41:$R$74,VLOOKUP(AW207,Foundation_Calc!$I$2:$J$8,2,FALSE),0),"")))</f>
        <v/>
      </c>
      <c r="AZ207" s="10">
        <f>IF(K207="","",
IF(AX207="PT",VLOOKUP(K207,Foundation_Calc!$K$4:$R$37,VLOOKUP(AW207,Foundation_Calc!$I$2:$J$8,2,FALSE),0),
IF(AX207="K",VLOOKUP(K207,Foundation_Calc!$K$41:$R$74,VLOOKUP(AW207,Foundation_Calc!$I$2:$J$8,2,FALSE),0),"")))</f>
        <v>2.8</v>
      </c>
      <c r="BA207" s="553" t="str">
        <f t="shared" si="27"/>
        <v/>
      </c>
      <c r="BB207" s="553" t="str">
        <f t="shared" si="28"/>
        <v>ü</v>
      </c>
      <c r="BC207" s="553" t="str">
        <f t="shared" si="25"/>
        <v/>
      </c>
      <c r="BD207" s="572" t="str">
        <f>IF(AND(L207="",H207=""),"",
IF(H207="",Pole_Calc!A$22,
IF(H207="MP",Pole_Calc!A$23,
IF(H207="AnMP",Pole_Calc!A$24,
IF(H207="A",Pole_Calc!A$25,
IF(H207="S/A",Pole_Calc!A$26,
IF(H207="A/S",Pole_Calc!A$27,"Poner a mano")))))))</f>
        <v/>
      </c>
      <c r="BE207" s="448" t="s">
        <v>1726</v>
      </c>
      <c r="BF207" s="306"/>
      <c r="BG207" s="306"/>
      <c r="BH207" s="306"/>
      <c r="BI207" s="306"/>
    </row>
    <row r="208" spans="1:61" ht="16.2" customHeight="1">
      <c r="A208" s="573"/>
      <c r="B208" s="469" t="s">
        <v>1828</v>
      </c>
      <c r="C208" s="3">
        <f>+$C$206+$G$207</f>
        <v>4627.43</v>
      </c>
      <c r="D208" s="88"/>
      <c r="E208" s="4"/>
      <c r="F208" s="4">
        <v>0</v>
      </c>
      <c r="G208" s="6"/>
      <c r="H208" s="468" t="s">
        <v>365</v>
      </c>
      <c r="I208" s="468"/>
      <c r="J208" s="3"/>
      <c r="K208" s="468"/>
      <c r="L208" s="468" t="s">
        <v>38</v>
      </c>
      <c r="M208" s="468" t="str">
        <f>IF(L208="","",
IF(AX208="PT",VLOOKUP(L208,Foundation_Calc!$V$4:$X$37,VLOOKUP(AX208,Foundation_Calc!$I$10:$J$13,2,FALSE),0),
IF(AX208="K",VLOOKUP(L208,Foundation_Calc!$V$41:$X$74,VLOOKUP(AX208,Foundation_Calc!$I$10:$J$13,2,FALSE),0),"")))</f>
        <v>C4SR</v>
      </c>
      <c r="N208" s="468" t="s">
        <v>32</v>
      </c>
      <c r="O208" s="468"/>
      <c r="P208" s="468"/>
      <c r="Q208" s="4"/>
      <c r="R208" s="6"/>
      <c r="S208" s="6"/>
      <c r="T208" s="4">
        <v>-35</v>
      </c>
      <c r="U208" s="4"/>
      <c r="V208" s="4"/>
      <c r="W208" s="9">
        <v>1.4</v>
      </c>
      <c r="X208" s="9"/>
      <c r="Y208" s="9"/>
      <c r="Z208" s="9"/>
      <c r="AA208" s="9"/>
      <c r="AB208" s="9"/>
      <c r="AC208" s="468" t="str">
        <f t="shared" si="26"/>
        <v>PHQ</v>
      </c>
      <c r="AD208" s="468"/>
      <c r="AE208" s="468"/>
      <c r="AF208" s="4"/>
      <c r="AG208" s="88"/>
      <c r="AH208" s="4"/>
      <c r="AI208" s="4"/>
      <c r="AJ208" s="468"/>
      <c r="AK208" s="468"/>
      <c r="AL208" s="468"/>
      <c r="AM208" s="468" t="s">
        <v>486</v>
      </c>
      <c r="AN208" s="10">
        <v>5.5</v>
      </c>
      <c r="AO208" s="9"/>
      <c r="AP208" s="9"/>
      <c r="AQ208" s="9"/>
      <c r="AR208" s="9"/>
      <c r="AS208" s="9"/>
      <c r="AT208" s="9">
        <f>+ab($T$208,$T$206,$T$210,$G$207,$G$209,-1*$F$208,1200)</f>
        <v>-7.0642824517974283</v>
      </c>
      <c r="AU208" s="447"/>
      <c r="AV208" s="447"/>
      <c r="AW208" s="468" t="str">
        <f>IF(C208&gt;0,VLOOKUP(C208,Foundation_Calc!$A$2:$C$13,3,1),
IF(J208&gt;0,VLOOKUP(J208,Foundation_Calc!$A$2:$C$13,3,1),""))</f>
        <v>MultiSoil</v>
      </c>
      <c r="AX208" s="468" t="str">
        <f>IF(C208&gt;0,VLOOKUP(C208,Foundation_Calc!$E$2:$G$13,3,1),
IF(J208&gt;0,VLOOKUP(J208,Foundation_Calc!$E$2:$G$13,3,1),""))</f>
        <v>PT</v>
      </c>
      <c r="AY208" s="10">
        <f>IF(L208="","",
IF(AX208="PT",VLOOKUP(L208,Foundation_Calc!$K$4:$R$37,VLOOKUP(AW208,Foundation_Calc!$I$2:$J$8,2,FALSE),0),
IF(AX208="K",VLOOKUP(L208,Foundation_Calc!$K$41:$R$74,VLOOKUP(AW208,Foundation_Calc!$I$2:$J$8,2,FALSE),0),"")))</f>
        <v>3.7</v>
      </c>
      <c r="AZ208" s="10" t="str">
        <f>IF(K208="","",
IF(AX208="PT",VLOOKUP(K208,Foundation_Calc!$K$4:$R$37,VLOOKUP(AW208,Foundation_Calc!$I$2:$J$8,2,FALSE),0),
IF(AX208="K",VLOOKUP(K208,Foundation_Calc!$K$41:$R$74,VLOOKUP(AW208,Foundation_Calc!$I$2:$J$8,2,FALSE),0),"")))</f>
        <v/>
      </c>
      <c r="BA208" s="553" t="str">
        <f t="shared" si="27"/>
        <v>ü</v>
      </c>
      <c r="BB208" s="553" t="str">
        <f t="shared" si="28"/>
        <v/>
      </c>
      <c r="BC208" s="553" t="str">
        <f t="shared" si="25"/>
        <v/>
      </c>
      <c r="BD208" s="572" t="str">
        <f>IF(AND(L208="",H208=""),"",
IF(H208="",Pole_Calc!A$22,
IF(H208="MP",Pole_Calc!A$23,
IF(H208="AnMP",Pole_Calc!A$24,
IF(H208="A",Pole_Calc!A$25,
IF(H208="S/A",Pole_Calc!A$26,
IF(H208="A/S",Pole_Calc!A$27,"Poner a mano")))))))</f>
        <v>App.7-V11H-P9.5.2.3</v>
      </c>
      <c r="BE208" s="448" t="s">
        <v>1726</v>
      </c>
      <c r="BF208" s="305"/>
      <c r="BG208" s="305"/>
      <c r="BH208" s="306"/>
      <c r="BI208" s="305"/>
    </row>
    <row r="209" spans="1:61" ht="16.2" customHeight="1">
      <c r="A209" s="573"/>
      <c r="B209" s="469"/>
      <c r="C209" s="3"/>
      <c r="D209" s="88"/>
      <c r="E209" s="4"/>
      <c r="F209" s="4"/>
      <c r="G209" s="6">
        <v>49.9</v>
      </c>
      <c r="H209" s="468"/>
      <c r="I209" s="4">
        <f>SUM(G193:G209)</f>
        <v>470.49999999999994</v>
      </c>
      <c r="J209" s="3"/>
      <c r="K209" s="468"/>
      <c r="L209" s="468"/>
      <c r="M209" s="468" t="str">
        <f>IF(L209="","",
IF(AX209="PT",VLOOKUP(L209,Foundation_Calc!$V$4:$X$37,VLOOKUP(AX209,Foundation_Calc!$I$10:$J$13,2,FALSE),0),
IF(AX209="K",VLOOKUP(L209,Foundation_Calc!$V$41:$X$74,VLOOKUP(AX209,Foundation_Calc!$I$10:$J$13,2,FALSE),0),"")))</f>
        <v/>
      </c>
      <c r="N209" s="468"/>
      <c r="O209" s="468"/>
      <c r="P209" s="468"/>
      <c r="Q209" s="4"/>
      <c r="R209" s="6"/>
      <c r="S209" s="6"/>
      <c r="T209" s="4"/>
      <c r="U209" s="4"/>
      <c r="V209" s="4"/>
      <c r="W209" s="9"/>
      <c r="X209" s="9"/>
      <c r="Y209" s="9"/>
      <c r="Z209" s="9"/>
      <c r="AA209" s="9"/>
      <c r="AB209" s="9"/>
      <c r="AC209" s="468" t="str">
        <f t="shared" si="26"/>
        <v/>
      </c>
      <c r="AD209" s="468"/>
      <c r="AE209" s="468"/>
      <c r="AF209" s="4"/>
      <c r="AG209" s="88"/>
      <c r="AH209" s="4"/>
      <c r="AI209" s="4"/>
      <c r="AJ209" s="468"/>
      <c r="AK209" s="468"/>
      <c r="AL209" s="468"/>
      <c r="AM209" s="468"/>
      <c r="AN209" s="10"/>
      <c r="AO209" s="9"/>
      <c r="AP209" s="9"/>
      <c r="AQ209" s="9">
        <f>+FL_2($T$210,$T$208,$G$209,1200,9.28,-1*$F$210)</f>
        <v>-0.48576752794621475</v>
      </c>
      <c r="AR209" s="9"/>
      <c r="AS209" s="9"/>
      <c r="AT209" s="9"/>
      <c r="AU209" s="447"/>
      <c r="AV209" s="447"/>
      <c r="AW209" s="468" t="str">
        <f>IF(C209&gt;0,VLOOKUP(C209,Foundation_Calc!$A$2:$C$13,3,1),
IF(J209&gt;0,VLOOKUP(J209,Foundation_Calc!$A$2:$C$13,3,1),""))</f>
        <v/>
      </c>
      <c r="AX209" s="468" t="str">
        <f>IF(C209&gt;0,VLOOKUP(C209,Foundation_Calc!$E$2:$G$13,3,1),
IF(J209&gt;0,VLOOKUP(J209,Foundation_Calc!$E$2:$G$13,3,1),""))</f>
        <v/>
      </c>
      <c r="AY209" s="10" t="str">
        <f>IF(L209="","",
IF(AX209="PT",VLOOKUP(L209,Foundation_Calc!$K$4:$R$37,VLOOKUP(AW209,Foundation_Calc!$I$2:$J$8,2,FALSE),0),
IF(AX209="K",VLOOKUP(L209,Foundation_Calc!$K$41:$R$74,VLOOKUP(AW209,Foundation_Calc!$I$2:$J$8,2,FALSE),0),"")))</f>
        <v/>
      </c>
      <c r="AZ209" s="10" t="str">
        <f>IF(K209="","",
IF(AX209="PT",VLOOKUP(K209,Foundation_Calc!$K$4:$R$37,VLOOKUP(AW209,Foundation_Calc!$I$2:$J$8,2,FALSE),0),
IF(AX209="K",VLOOKUP(K209,Foundation_Calc!$K$41:$R$74,VLOOKUP(AW209,Foundation_Calc!$I$2:$J$8,2,FALSE),0),"")))</f>
        <v/>
      </c>
      <c r="BA209" s="553" t="str">
        <f t="shared" si="27"/>
        <v/>
      </c>
      <c r="BB209" s="553" t="str">
        <f t="shared" si="28"/>
        <v/>
      </c>
      <c r="BC209" s="553" t="str">
        <f t="shared" si="25"/>
        <v/>
      </c>
      <c r="BD209" s="572" t="str">
        <f>IF(AND(L209="",H209=""),"",
IF(H209="",Pole_Calc!A$22,
IF(H209="MP",Pole_Calc!A$23,
IF(H209="AnMP",Pole_Calc!A$24,
IF(H209="A",Pole_Calc!A$25,
IF(H209="S/A",Pole_Calc!A$26,
IF(H209="A/S",Pole_Calc!A$27,"Poner a mano")))))))</f>
        <v/>
      </c>
      <c r="BE209" s="448" t="s">
        <v>1726</v>
      </c>
      <c r="BF209" s="306"/>
      <c r="BG209" s="306"/>
      <c r="BH209" s="306"/>
      <c r="BI209" s="306"/>
    </row>
    <row r="210" spans="1:61" ht="16.2" customHeight="1">
      <c r="A210" s="573"/>
      <c r="B210" s="469" t="s">
        <v>1829</v>
      </c>
      <c r="C210" s="3">
        <f>+$C$208+$G$209</f>
        <v>4677.33</v>
      </c>
      <c r="D210" s="88"/>
      <c r="E210" s="4"/>
      <c r="F210" s="4">
        <v>-2034.47</v>
      </c>
      <c r="G210" s="6"/>
      <c r="H210" s="468" t="s">
        <v>366</v>
      </c>
      <c r="I210" s="468"/>
      <c r="J210" s="3"/>
      <c r="K210" s="468"/>
      <c r="L210" s="468" t="s">
        <v>40</v>
      </c>
      <c r="M210" s="468" t="str">
        <f>IF(L210="","",
IF(AX210="PT",VLOOKUP(L210,Foundation_Calc!$V$4:$X$37,VLOOKUP(AX210,Foundation_Calc!$I$10:$J$13,2,FALSE),0),
IF(AX210="K",VLOOKUP(L210,Foundation_Calc!$V$41:$X$74,VLOOKUP(AX210,Foundation_Calc!$I$10:$J$13,2,FALSE),0),"")))</f>
        <v>C5SR</v>
      </c>
      <c r="N210" s="468" t="s">
        <v>33</v>
      </c>
      <c r="O210" s="468"/>
      <c r="P210" s="468"/>
      <c r="Q210" s="4"/>
      <c r="R210" s="6"/>
      <c r="S210" s="6"/>
      <c r="T210" s="4">
        <v>30</v>
      </c>
      <c r="U210" s="4"/>
      <c r="V210" s="4"/>
      <c r="W210" s="9">
        <v>1.4</v>
      </c>
      <c r="X210" s="9"/>
      <c r="Y210" s="9"/>
      <c r="Z210" s="9"/>
      <c r="AA210" s="9"/>
      <c r="AB210" s="9"/>
      <c r="AC210" s="468" t="str">
        <f t="shared" si="26"/>
        <v>PHQ</v>
      </c>
      <c r="AD210" s="468"/>
      <c r="AE210" s="468"/>
      <c r="AF210" s="4"/>
      <c r="AG210" s="88"/>
      <c r="AH210" s="4"/>
      <c r="AI210" s="4"/>
      <c r="AJ210" s="468"/>
      <c r="AK210" s="468"/>
      <c r="AL210" s="468"/>
      <c r="AM210" s="468" t="s">
        <v>486</v>
      </c>
      <c r="AN210" s="10">
        <v>5.5</v>
      </c>
      <c r="AO210" s="9"/>
      <c r="AP210" s="9"/>
      <c r="AQ210" s="9"/>
      <c r="AR210" s="9"/>
      <c r="AS210" s="9"/>
      <c r="AT210" s="9">
        <f>+ab($T$210,$T$208,$T$212,$G$209,$G$211,-1*$F$210,1200)</f>
        <v>5.4549894417474789</v>
      </c>
      <c r="AU210" s="447"/>
      <c r="AV210" s="447"/>
      <c r="AW210" s="468" t="str">
        <f>IF(C210&gt;0,VLOOKUP(C210,Foundation_Calc!$A$2:$C$13,3,1),
IF(J210&gt;0,VLOOKUP(J210,Foundation_Calc!$A$2:$C$13,3,1),""))</f>
        <v>MultiSoil</v>
      </c>
      <c r="AX210" s="468" t="str">
        <f>IF(C210&gt;0,VLOOKUP(C210,Foundation_Calc!$E$2:$G$13,3,1),
IF(J210&gt;0,VLOOKUP(J210,Foundation_Calc!$E$2:$G$13,3,1),""))</f>
        <v>PT</v>
      </c>
      <c r="AY210" s="10">
        <f>IF(L210="","",
IF(AX210="PT",VLOOKUP(L210,Foundation_Calc!$K$4:$R$37,VLOOKUP(AW210,Foundation_Calc!$I$2:$J$8,2,FALSE),0),
IF(AX210="K",VLOOKUP(L210,Foundation_Calc!$K$41:$R$74,VLOOKUP(AW210,Foundation_Calc!$I$2:$J$8,2,FALSE),0),"")))</f>
        <v>3.7</v>
      </c>
      <c r="AZ210" s="10" t="str">
        <f>IF(K210="","",
IF(AX210="PT",VLOOKUP(K210,Foundation_Calc!$K$4:$R$37,VLOOKUP(AW210,Foundation_Calc!$I$2:$J$8,2,FALSE),0),
IF(AX210="K",VLOOKUP(K210,Foundation_Calc!$K$41:$R$74,VLOOKUP(AW210,Foundation_Calc!$I$2:$J$8,2,FALSE),0),"")))</f>
        <v/>
      </c>
      <c r="BA210" s="553" t="str">
        <f t="shared" si="27"/>
        <v>ü</v>
      </c>
      <c r="BB210" s="553" t="str">
        <f t="shared" si="28"/>
        <v/>
      </c>
      <c r="BC210" s="553" t="str">
        <f t="shared" si="25"/>
        <v/>
      </c>
      <c r="BD210" s="572" t="str">
        <f>IF(AND(L210="",H210=""),"",
IF(H210="",Pole_Calc!A$22,
IF(H210="MP",Pole_Calc!A$23,
IF(H210="AnMP",Pole_Calc!A$24,
IF(H210="A",Pole_Calc!A$25,
IF(H210="S/A",Pole_Calc!A$26,
IF(H210="A/S",Pole_Calc!A$27,"Poner a mano")))))))</f>
        <v>App.7-V11H-P9.5.2.2</v>
      </c>
      <c r="BE210" s="448" t="s">
        <v>1726</v>
      </c>
      <c r="BF210" s="305"/>
      <c r="BG210" s="305"/>
      <c r="BH210" s="306"/>
      <c r="BI210" s="305"/>
    </row>
    <row r="211" spans="1:61" ht="16.2" customHeight="1">
      <c r="A211" s="573"/>
      <c r="B211" s="469"/>
      <c r="C211" s="3"/>
      <c r="D211" s="88"/>
      <c r="E211" s="4"/>
      <c r="F211" s="4"/>
      <c r="G211" s="6">
        <v>39.799999999999997</v>
      </c>
      <c r="H211" s="468"/>
      <c r="I211" s="4">
        <f>SUM(G211:G231)</f>
        <v>503.3</v>
      </c>
      <c r="J211" s="3"/>
      <c r="K211" s="468"/>
      <c r="L211" s="468"/>
      <c r="M211" s="468" t="str">
        <f>IF(L211="","",
IF(AX211="PT",VLOOKUP(L211,Foundation_Calc!$V$4:$X$37,VLOOKUP(AX211,Foundation_Calc!$I$10:$J$13,2,FALSE),0),
IF(AX211="K",VLOOKUP(L211,Foundation_Calc!$V$41:$X$74,VLOOKUP(AX211,Foundation_Calc!$I$10:$J$13,2,FALSE),0),"")))</f>
        <v/>
      </c>
      <c r="N211" s="468"/>
      <c r="O211" s="468"/>
      <c r="P211" s="468"/>
      <c r="Q211" s="4"/>
      <c r="R211" s="6"/>
      <c r="S211" s="6"/>
      <c r="T211" s="4"/>
      <c r="U211" s="4"/>
      <c r="V211" s="4"/>
      <c r="W211" s="9"/>
      <c r="X211" s="9"/>
      <c r="Y211" s="9"/>
      <c r="Z211" s="9"/>
      <c r="AA211" s="9"/>
      <c r="AB211" s="9"/>
      <c r="AC211" s="468" t="str">
        <f t="shared" si="26"/>
        <v/>
      </c>
      <c r="AD211" s="468"/>
      <c r="AE211" s="468"/>
      <c r="AF211" s="4"/>
      <c r="AG211" s="88"/>
      <c r="AH211" s="4"/>
      <c r="AI211" s="4"/>
      <c r="AJ211" s="468"/>
      <c r="AK211" s="468"/>
      <c r="AL211" s="468"/>
      <c r="AM211" s="468"/>
      <c r="AN211" s="10"/>
      <c r="AO211" s="9"/>
      <c r="AP211" s="9"/>
      <c r="AQ211" s="9">
        <f>+FL_1($T$212,$T$210,$G$211,1200,9.28,-1*$F$212)</f>
        <v>0.3</v>
      </c>
      <c r="AR211" s="9"/>
      <c r="AS211" s="9"/>
      <c r="AT211" s="9"/>
      <c r="AU211" s="447"/>
      <c r="AV211" s="447"/>
      <c r="AW211" s="468" t="str">
        <f>IF(C211&gt;0,VLOOKUP(C211,Foundation_Calc!$A$2:$C$13,3,1),
IF(J211&gt;0,VLOOKUP(J211,Foundation_Calc!$A$2:$C$13,3,1),""))</f>
        <v/>
      </c>
      <c r="AX211" s="468" t="str">
        <f>IF(C211&gt;0,VLOOKUP(C211,Foundation_Calc!$E$2:$G$13,3,1),
IF(J211&gt;0,VLOOKUP(J211,Foundation_Calc!$E$2:$G$13,3,1),""))</f>
        <v/>
      </c>
      <c r="AY211" s="10" t="str">
        <f>IF(L211="","",
IF(AX211="PT",VLOOKUP(L211,Foundation_Calc!$K$4:$R$37,VLOOKUP(AW211,Foundation_Calc!$I$2:$J$8,2,FALSE),0),
IF(AX211="K",VLOOKUP(L211,Foundation_Calc!$K$41:$R$74,VLOOKUP(AW211,Foundation_Calc!$I$2:$J$8,2,FALSE),0),"")))</f>
        <v/>
      </c>
      <c r="AZ211" s="10" t="str">
        <f>IF(K211="","",
IF(AX211="PT",VLOOKUP(K211,Foundation_Calc!$K$4:$R$37,VLOOKUP(AW211,Foundation_Calc!$I$2:$J$8,2,FALSE),0),
IF(AX211="K",VLOOKUP(K211,Foundation_Calc!$K$41:$R$74,VLOOKUP(AW211,Foundation_Calc!$I$2:$J$8,2,FALSE),0),"")))</f>
        <v/>
      </c>
      <c r="BA211" s="553" t="str">
        <f t="shared" si="27"/>
        <v/>
      </c>
      <c r="BB211" s="553" t="str">
        <f t="shared" si="28"/>
        <v/>
      </c>
      <c r="BC211" s="553" t="str">
        <f t="shared" si="25"/>
        <v/>
      </c>
      <c r="BD211" s="572" t="str">
        <f>IF(AND(L211="",H211=""),"",
IF(H211="",Pole_Calc!A$22,
IF(H211="MP",Pole_Calc!A$23,
IF(H211="AnMP",Pole_Calc!A$24,
IF(H211="A",Pole_Calc!A$25,
IF(H211="S/A",Pole_Calc!A$26,
IF(H211="A/S",Pole_Calc!A$27,"Poner a mano")))))))</f>
        <v/>
      </c>
      <c r="BE211" s="448" t="s">
        <v>1726</v>
      </c>
      <c r="BF211" s="306"/>
      <c r="BG211" s="306"/>
      <c r="BH211" s="306"/>
      <c r="BI211" s="306"/>
    </row>
    <row r="212" spans="1:61" ht="16.2" customHeight="1">
      <c r="A212" s="573"/>
      <c r="B212" s="469" t="s">
        <v>1830</v>
      </c>
      <c r="C212" s="3">
        <f>+$C$210+$G$211</f>
        <v>4717.13</v>
      </c>
      <c r="D212" s="88"/>
      <c r="E212" s="4"/>
      <c r="F212" s="4">
        <v>-655.54</v>
      </c>
      <c r="G212" s="6"/>
      <c r="H212" s="468" t="s">
        <v>365</v>
      </c>
      <c r="I212" s="468"/>
      <c r="J212" s="3"/>
      <c r="K212" s="468"/>
      <c r="L212" s="468" t="s">
        <v>40</v>
      </c>
      <c r="M212" s="468" t="str">
        <f>IF(L212="","",
IF(AX212="PT",VLOOKUP(L212,Foundation_Calc!$V$4:$X$37,VLOOKUP(AX212,Foundation_Calc!$I$10:$J$13,2,FALSE),0),
IF(AX212="K",VLOOKUP(L212,Foundation_Calc!$V$41:$X$74,VLOOKUP(AX212,Foundation_Calc!$I$10:$J$13,2,FALSE),0),"")))</f>
        <v>C5SR</v>
      </c>
      <c r="N212" s="468" t="s">
        <v>33</v>
      </c>
      <c r="O212" s="468"/>
      <c r="P212" s="468"/>
      <c r="Q212" s="4"/>
      <c r="R212" s="6"/>
      <c r="S212" s="6"/>
      <c r="T212" s="4">
        <v>30</v>
      </c>
      <c r="U212" s="4"/>
      <c r="V212" s="4"/>
      <c r="W212" s="9">
        <v>1.4</v>
      </c>
      <c r="X212" s="9"/>
      <c r="Y212" s="9"/>
      <c r="Z212" s="9"/>
      <c r="AA212" s="9"/>
      <c r="AB212" s="9"/>
      <c r="AC212" s="468" t="str">
        <f t="shared" si="26"/>
        <v>PHC</v>
      </c>
      <c r="AD212" s="468"/>
      <c r="AE212" s="468"/>
      <c r="AF212" s="4"/>
      <c r="AG212" s="88"/>
      <c r="AH212" s="4"/>
      <c r="AI212" s="4"/>
      <c r="AJ212" s="468"/>
      <c r="AK212" s="468"/>
      <c r="AL212" s="468"/>
      <c r="AM212" s="468" t="s">
        <v>486</v>
      </c>
      <c r="AN212" s="10">
        <v>5.5</v>
      </c>
      <c r="AO212" s="9"/>
      <c r="AP212" s="9"/>
      <c r="AQ212" s="9"/>
      <c r="AR212" s="9"/>
      <c r="AS212" s="9"/>
      <c r="AT212" s="9">
        <f>+ab($T$212,$T$210,$T$214,$G$211,$G$213,-1*$F$212,1200)</f>
        <v>3.4188838705084432</v>
      </c>
      <c r="AU212" s="447"/>
      <c r="AV212" s="447"/>
      <c r="AW212" s="468" t="str">
        <f>IF(C212&gt;0,VLOOKUP(C212,Foundation_Calc!$A$2:$C$13,3,1),
IF(J212&gt;0,VLOOKUP(J212,Foundation_Calc!$A$2:$C$13,3,1),""))</f>
        <v>MultiSoil</v>
      </c>
      <c r="AX212" s="468" t="str">
        <f>IF(C212&gt;0,VLOOKUP(C212,Foundation_Calc!$E$2:$G$13,3,1),
IF(J212&gt;0,VLOOKUP(J212,Foundation_Calc!$E$2:$G$13,3,1),""))</f>
        <v>PT</v>
      </c>
      <c r="AY212" s="10">
        <f>IF(L212="","",
IF(AX212="PT",VLOOKUP(L212,Foundation_Calc!$K$4:$R$37,VLOOKUP(AW212,Foundation_Calc!$I$2:$J$8,2,FALSE),0),
IF(AX212="K",VLOOKUP(L212,Foundation_Calc!$K$41:$R$74,VLOOKUP(AW212,Foundation_Calc!$I$2:$J$8,2,FALSE),0),"")))</f>
        <v>3.7</v>
      </c>
      <c r="AZ212" s="10" t="str">
        <f>IF(K212="","",
IF(AX212="PT",VLOOKUP(K212,Foundation_Calc!$K$4:$R$37,VLOOKUP(AW212,Foundation_Calc!$I$2:$J$8,2,FALSE),0),
IF(AX212="K",VLOOKUP(K212,Foundation_Calc!$K$41:$R$74,VLOOKUP(AW212,Foundation_Calc!$I$2:$J$8,2,FALSE),0),"")))</f>
        <v/>
      </c>
      <c r="BA212" s="553" t="str">
        <f t="shared" si="27"/>
        <v>ü</v>
      </c>
      <c r="BB212" s="553" t="str">
        <f t="shared" si="28"/>
        <v/>
      </c>
      <c r="BC212" s="553" t="str">
        <f t="shared" si="25"/>
        <v/>
      </c>
      <c r="BD212" s="572" t="str">
        <f>IF(AND(L212="",H212=""),"",
IF(H212="",Pole_Calc!A$22,
IF(H212="MP",Pole_Calc!A$23,
IF(H212="AnMP",Pole_Calc!A$24,
IF(H212="A",Pole_Calc!A$25,
IF(H212="S/A",Pole_Calc!A$26,
IF(H212="A/S",Pole_Calc!A$27,"Poner a mano")))))))</f>
        <v>App.7-V11H-P9.5.2.3</v>
      </c>
      <c r="BE212" s="448" t="s">
        <v>1726</v>
      </c>
      <c r="BF212" s="305"/>
      <c r="BG212" s="305"/>
      <c r="BH212" s="306"/>
      <c r="BI212" s="305"/>
    </row>
    <row r="213" spans="1:61" ht="16.2" customHeight="1">
      <c r="A213" s="573"/>
      <c r="B213" s="469"/>
      <c r="C213" s="3"/>
      <c r="D213" s="88"/>
      <c r="E213" s="4"/>
      <c r="F213" s="4"/>
      <c r="G213" s="6">
        <v>33.700000000000003</v>
      </c>
      <c r="H213" s="468"/>
      <c r="I213" s="4"/>
      <c r="J213" s="3">
        <f>C212+7.5</f>
        <v>4724.63</v>
      </c>
      <c r="K213" s="468" t="s">
        <v>1096</v>
      </c>
      <c r="L213" s="468"/>
      <c r="M213" s="468" t="str">
        <f>IF(L213="","",
IF(AX213="PT",VLOOKUP(L213,Foundation_Calc!$V$4:$X$37,VLOOKUP(AX213,Foundation_Calc!$I$10:$J$13,2,FALSE),0),
IF(AX213="K",VLOOKUP(L213,Foundation_Calc!$V$41:$X$74,VLOOKUP(AX213,Foundation_Calc!$I$10:$J$13,2,FALSE),0),"")))</f>
        <v/>
      </c>
      <c r="N213" s="468"/>
      <c r="O213" s="468"/>
      <c r="P213" s="468"/>
      <c r="Q213" s="4"/>
      <c r="R213" s="6"/>
      <c r="S213" s="6"/>
      <c r="T213" s="4"/>
      <c r="U213" s="4"/>
      <c r="V213" s="4"/>
      <c r="W213" s="9"/>
      <c r="X213" s="9"/>
      <c r="Y213" s="9"/>
      <c r="Z213" s="9"/>
      <c r="AA213" s="9"/>
      <c r="AB213" s="9"/>
      <c r="AC213" s="468" t="str">
        <f t="shared" si="26"/>
        <v/>
      </c>
      <c r="AD213" s="468"/>
      <c r="AE213" s="468"/>
      <c r="AF213" s="4"/>
      <c r="AG213" s="88"/>
      <c r="AH213" s="4"/>
      <c r="AI213" s="4"/>
      <c r="AJ213" s="468"/>
      <c r="AK213" s="468"/>
      <c r="AL213" s="468"/>
      <c r="AM213" s="468"/>
      <c r="AN213" s="10"/>
      <c r="AO213" s="9"/>
      <c r="AP213" s="9"/>
      <c r="AQ213" s="9">
        <f>+FL_1($T$214,$T$212,$G$213,1200,9.28,-1*$F$214)</f>
        <v>0.30000000000003257</v>
      </c>
      <c r="AR213" s="9"/>
      <c r="AS213" s="9"/>
      <c r="AT213" s="9"/>
      <c r="AU213" s="447"/>
      <c r="AV213" s="447"/>
      <c r="AW213" s="468" t="str">
        <f>IF(C213&gt;0,VLOOKUP(C213,Foundation_Calc!$A$2:$C$13,3,1),
IF(J213&gt;0,VLOOKUP(J213,Foundation_Calc!$A$2:$C$13,3,1),""))</f>
        <v>MultiSoil</v>
      </c>
      <c r="AX213" s="468" t="str">
        <f>IF(C213&gt;0,VLOOKUP(C213,Foundation_Calc!$E$2:$G$13,3,1),
IF(J213&gt;0,VLOOKUP(J213,Foundation_Calc!$E$2:$G$13,3,1),""))</f>
        <v>PT</v>
      </c>
      <c r="AY213" s="10" t="str">
        <f>IF(L213="","",
IF(AX213="PT",VLOOKUP(L213,Foundation_Calc!$K$4:$R$37,VLOOKUP(AW213,Foundation_Calc!$I$2:$J$8,2,FALSE),0),
IF(AX213="K",VLOOKUP(L213,Foundation_Calc!$K$41:$R$74,VLOOKUP(AW213,Foundation_Calc!$I$2:$J$8,2,FALSE),0),"")))</f>
        <v/>
      </c>
      <c r="AZ213" s="10">
        <f>IF(K213="","",
IF(AX213="PT",VLOOKUP(K213,Foundation_Calc!$K$4:$R$37,VLOOKUP(AW213,Foundation_Calc!$I$2:$J$8,2,FALSE),0),
IF(AX213="K",VLOOKUP(K213,Foundation_Calc!$K$41:$R$74,VLOOKUP(AW213,Foundation_Calc!$I$2:$J$8,2,FALSE),0),"")))</f>
        <v>2.8</v>
      </c>
      <c r="BA213" s="553" t="str">
        <f t="shared" si="27"/>
        <v/>
      </c>
      <c r="BB213" s="553" t="str">
        <f t="shared" si="28"/>
        <v>ü</v>
      </c>
      <c r="BC213" s="553" t="str">
        <f t="shared" si="25"/>
        <v/>
      </c>
      <c r="BD213" s="572" t="str">
        <f>IF(AND(L213="",H213=""),"",
IF(H213="",Pole_Calc!A$22,
IF(H213="MP",Pole_Calc!A$23,
IF(H213="AnMP",Pole_Calc!A$24,
IF(H213="A",Pole_Calc!A$25,
IF(H213="S/A",Pole_Calc!A$26,
IF(H213="A/S",Pole_Calc!A$27,"Poner a mano")))))))</f>
        <v/>
      </c>
      <c r="BE213" s="448" t="s">
        <v>1726</v>
      </c>
      <c r="BF213" s="306"/>
      <c r="BG213" s="306"/>
      <c r="BH213" s="306"/>
      <c r="BI213" s="306"/>
    </row>
    <row r="214" spans="1:61" ht="16.2" customHeight="1">
      <c r="A214" s="573"/>
      <c r="B214" s="469" t="s">
        <v>1831</v>
      </c>
      <c r="C214" s="3">
        <f>+$C$212+$G$213</f>
        <v>4750.83</v>
      </c>
      <c r="D214" s="88"/>
      <c r="E214" s="4"/>
      <c r="F214" s="4">
        <v>-500</v>
      </c>
      <c r="G214" s="6"/>
      <c r="H214" s="468"/>
      <c r="I214" s="468"/>
      <c r="J214" s="3"/>
      <c r="K214" s="468"/>
      <c r="L214" s="468" t="s">
        <v>40</v>
      </c>
      <c r="M214" s="468" t="str">
        <f>IF(L214="","",
IF(AX214="PT",VLOOKUP(L214,Foundation_Calc!$V$4:$X$37,VLOOKUP(AX214,Foundation_Calc!$I$10:$J$13,2,FALSE),0),
IF(AX214="K",VLOOKUP(L214,Foundation_Calc!$V$41:$X$74,VLOOKUP(AX214,Foundation_Calc!$I$10:$J$13,2,FALSE),0),"")))</f>
        <v>C5SR</v>
      </c>
      <c r="N214" s="468" t="s">
        <v>33</v>
      </c>
      <c r="O214" s="468"/>
      <c r="P214" s="468"/>
      <c r="Q214" s="4"/>
      <c r="R214" s="6"/>
      <c r="S214" s="6"/>
      <c r="T214" s="4">
        <v>30</v>
      </c>
      <c r="U214" s="4"/>
      <c r="V214" s="4"/>
      <c r="W214" s="9">
        <v>1.4</v>
      </c>
      <c r="X214" s="9"/>
      <c r="Y214" s="9"/>
      <c r="Z214" s="9"/>
      <c r="AA214" s="9"/>
      <c r="AB214" s="9"/>
      <c r="AC214" s="468" t="str">
        <f t="shared" si="26"/>
        <v>PHC</v>
      </c>
      <c r="AD214" s="468"/>
      <c r="AE214" s="468"/>
      <c r="AF214" s="4"/>
      <c r="AG214" s="88"/>
      <c r="AH214" s="4"/>
      <c r="AI214" s="4"/>
      <c r="AJ214" s="468"/>
      <c r="AK214" s="468"/>
      <c r="AL214" s="468"/>
      <c r="AM214" s="468" t="s">
        <v>486</v>
      </c>
      <c r="AN214" s="10">
        <v>5.5</v>
      </c>
      <c r="AO214" s="9"/>
      <c r="AP214" s="9"/>
      <c r="AQ214" s="9"/>
      <c r="AR214" s="9"/>
      <c r="AS214" s="9"/>
      <c r="AT214" s="9">
        <f>+ab($T$214,$T$212,$T$216,$G$213,$G$215,-1*$F$214,1200)</f>
        <v>2.8447323472063104</v>
      </c>
      <c r="AU214" s="447"/>
      <c r="AV214" s="447"/>
      <c r="AW214" s="468" t="str">
        <f>IF(C214&gt;0,VLOOKUP(C214,Foundation_Calc!$A$2:$C$13,3,1),
IF(J214&gt;0,VLOOKUP(J214,Foundation_Calc!$A$2:$C$13,3,1),""))</f>
        <v>MultiSoil</v>
      </c>
      <c r="AX214" s="468" t="str">
        <f>IF(C214&gt;0,VLOOKUP(C214,Foundation_Calc!$E$2:$G$13,3,1),
IF(J214&gt;0,VLOOKUP(J214,Foundation_Calc!$E$2:$G$13,3,1),""))</f>
        <v>PT</v>
      </c>
      <c r="AY214" s="10">
        <f>IF(L214="","",
IF(AX214="PT",VLOOKUP(L214,Foundation_Calc!$K$4:$R$37,VLOOKUP(AW214,Foundation_Calc!$I$2:$J$8,2,FALSE),0),
IF(AX214="K",VLOOKUP(L214,Foundation_Calc!$K$41:$R$74,VLOOKUP(AW214,Foundation_Calc!$I$2:$J$8,2,FALSE),0),"")))</f>
        <v>3.7</v>
      </c>
      <c r="AZ214" s="10" t="str">
        <f>IF(K214="","",
IF(AX214="PT",VLOOKUP(K214,Foundation_Calc!$K$4:$R$37,VLOOKUP(AW214,Foundation_Calc!$I$2:$J$8,2,FALSE),0),
IF(AX214="K",VLOOKUP(K214,Foundation_Calc!$K$41:$R$74,VLOOKUP(AW214,Foundation_Calc!$I$2:$J$8,2,FALSE),0),"")))</f>
        <v/>
      </c>
      <c r="BA214" s="553" t="str">
        <f t="shared" si="27"/>
        <v>ü</v>
      </c>
      <c r="BB214" s="553" t="str">
        <f t="shared" si="28"/>
        <v/>
      </c>
      <c r="BC214" s="553" t="str">
        <f t="shared" si="25"/>
        <v/>
      </c>
      <c r="BD214" s="572" t="str">
        <f>IF(AND(L214="",H214=""),"",
IF(H214="",Pole_Calc!A$22,
IF(H214="MP",Pole_Calc!A$23,
IF(H214="AnMP",Pole_Calc!A$24,
IF(H214="A",Pole_Calc!A$25,
IF(H214="S/A",Pole_Calc!A$26,
IF(H214="A/S",Pole_Calc!A$27,"Poner a mano")))))))</f>
        <v>App.7-V11H-P9.5.2.1</v>
      </c>
      <c r="BE214" s="448" t="s">
        <v>1726</v>
      </c>
      <c r="BF214" s="305"/>
      <c r="BG214" s="305"/>
      <c r="BH214" s="306"/>
      <c r="BI214" s="305"/>
    </row>
    <row r="215" spans="1:61" ht="16.2" customHeight="1">
      <c r="A215" s="573"/>
      <c r="B215" s="469"/>
      <c r="C215" s="3"/>
      <c r="D215" s="88"/>
      <c r="E215" s="4"/>
      <c r="F215" s="4"/>
      <c r="G215" s="6">
        <v>33.700000000000003</v>
      </c>
      <c r="H215" s="468"/>
      <c r="I215" s="468"/>
      <c r="J215" s="3"/>
      <c r="K215" s="468"/>
      <c r="L215" s="468"/>
      <c r="M215" s="468" t="str">
        <f>IF(L215="","",
IF(AX215="PT",VLOOKUP(L215,Foundation_Calc!$V$4:$X$37,VLOOKUP(AX215,Foundation_Calc!$I$10:$J$13,2,FALSE),0),
IF(AX215="K",VLOOKUP(L215,Foundation_Calc!$V$41:$X$74,VLOOKUP(AX215,Foundation_Calc!$I$10:$J$13,2,FALSE),0),"")))</f>
        <v/>
      </c>
      <c r="N215" s="468"/>
      <c r="O215" s="468"/>
      <c r="P215" s="468"/>
      <c r="Q215" s="4"/>
      <c r="R215" s="6"/>
      <c r="S215" s="6"/>
      <c r="T215" s="4"/>
      <c r="U215" s="4"/>
      <c r="V215" s="4"/>
      <c r="W215" s="9"/>
      <c r="X215" s="9"/>
      <c r="Y215" s="9"/>
      <c r="Z215" s="9"/>
      <c r="AA215" s="9"/>
      <c r="AB215" s="9"/>
      <c r="AC215" s="468" t="str">
        <f t="shared" si="26"/>
        <v/>
      </c>
      <c r="AD215" s="468"/>
      <c r="AE215" s="468"/>
      <c r="AF215" s="4"/>
      <c r="AG215" s="88"/>
      <c r="AH215" s="4"/>
      <c r="AI215" s="4"/>
      <c r="AJ215" s="468"/>
      <c r="AK215" s="468"/>
      <c r="AL215" s="468"/>
      <c r="AM215" s="468"/>
      <c r="AN215" s="10"/>
      <c r="AO215" s="9"/>
      <c r="AP215" s="9"/>
      <c r="AQ215" s="9">
        <f>+FL_1($T$216,$T$214,$G$215,1200,9.28,-1*$F$216)</f>
        <v>0.30000000000003257</v>
      </c>
      <c r="AR215" s="9"/>
      <c r="AS215" s="9"/>
      <c r="AT215" s="9"/>
      <c r="AU215" s="447"/>
      <c r="AV215" s="447"/>
      <c r="AW215" s="468" t="str">
        <f>IF(C215&gt;0,VLOOKUP(C215,Foundation_Calc!$A$2:$C$13,3,1),
IF(J215&gt;0,VLOOKUP(J215,Foundation_Calc!$A$2:$C$13,3,1),""))</f>
        <v/>
      </c>
      <c r="AX215" s="468" t="str">
        <f>IF(C215&gt;0,VLOOKUP(C215,Foundation_Calc!$E$2:$G$13,3,1),
IF(J215&gt;0,VLOOKUP(J215,Foundation_Calc!$E$2:$G$13,3,1),""))</f>
        <v/>
      </c>
      <c r="AY215" s="10" t="str">
        <f>IF(L215="","",
IF(AX215="PT",VLOOKUP(L215,Foundation_Calc!$K$4:$R$37,VLOOKUP(AW215,Foundation_Calc!$I$2:$J$8,2,FALSE),0),
IF(AX215="K",VLOOKUP(L215,Foundation_Calc!$K$41:$R$74,VLOOKUP(AW215,Foundation_Calc!$I$2:$J$8,2,FALSE),0),"")))</f>
        <v/>
      </c>
      <c r="AZ215" s="10" t="str">
        <f>IF(K215="","",
IF(AX215="PT",VLOOKUP(K215,Foundation_Calc!$K$4:$R$37,VLOOKUP(AW215,Foundation_Calc!$I$2:$J$8,2,FALSE),0),
IF(AX215="K",VLOOKUP(K215,Foundation_Calc!$K$41:$R$74,VLOOKUP(AW215,Foundation_Calc!$I$2:$J$8,2,FALSE),0),"")))</f>
        <v/>
      </c>
      <c r="BA215" s="553" t="str">
        <f t="shared" si="27"/>
        <v/>
      </c>
      <c r="BB215" s="553" t="str">
        <f t="shared" si="28"/>
        <v/>
      </c>
      <c r="BC215" s="553" t="str">
        <f t="shared" si="25"/>
        <v/>
      </c>
      <c r="BD215" s="572" t="str">
        <f>IF(AND(L215="",H215=""),"",
IF(H215="",Pole_Calc!A$22,
IF(H215="MP",Pole_Calc!A$23,
IF(H215="AnMP",Pole_Calc!A$24,
IF(H215="A",Pole_Calc!A$25,
IF(H215="S/A",Pole_Calc!A$26,
IF(H215="A/S",Pole_Calc!A$27,"Poner a mano")))))))</f>
        <v/>
      </c>
      <c r="BE215" s="448" t="s">
        <v>1726</v>
      </c>
      <c r="BF215" s="306"/>
      <c r="BG215" s="306"/>
      <c r="BH215" s="306"/>
      <c r="BI215" s="306"/>
    </row>
    <row r="216" spans="1:61" ht="16.2" customHeight="1">
      <c r="A216" s="573"/>
      <c r="B216" s="469" t="s">
        <v>1832</v>
      </c>
      <c r="C216" s="3">
        <f>+$C$214+$G$215</f>
        <v>4784.53</v>
      </c>
      <c r="D216" s="88"/>
      <c r="E216" s="4"/>
      <c r="F216" s="4">
        <v>-500</v>
      </c>
      <c r="G216" s="6"/>
      <c r="H216" s="468"/>
      <c r="I216" s="468"/>
      <c r="J216" s="3"/>
      <c r="K216" s="468"/>
      <c r="L216" s="468" t="s">
        <v>40</v>
      </c>
      <c r="M216" s="468" t="str">
        <f>IF(L216="","",
IF(AX216="PT",VLOOKUP(L216,Foundation_Calc!$V$4:$X$37,VLOOKUP(AX216,Foundation_Calc!$I$10:$J$13,2,FALSE),0),
IF(AX216="K",VLOOKUP(L216,Foundation_Calc!$V$41:$X$74,VLOOKUP(AX216,Foundation_Calc!$I$10:$J$13,2,FALSE),0),"")))</f>
        <v>C5SR</v>
      </c>
      <c r="N216" s="468" t="s">
        <v>33</v>
      </c>
      <c r="O216" s="468"/>
      <c r="P216" s="468"/>
      <c r="Q216" s="4"/>
      <c r="R216" s="6"/>
      <c r="S216" s="6"/>
      <c r="T216" s="4">
        <v>30</v>
      </c>
      <c r="U216" s="4"/>
      <c r="V216" s="4"/>
      <c r="W216" s="9">
        <v>1.4</v>
      </c>
      <c r="X216" s="9"/>
      <c r="Y216" s="9"/>
      <c r="Z216" s="9"/>
      <c r="AA216" s="9"/>
      <c r="AB216" s="9"/>
      <c r="AC216" s="468" t="str">
        <f t="shared" si="26"/>
        <v>PHC</v>
      </c>
      <c r="AD216" s="468"/>
      <c r="AE216" s="468"/>
      <c r="AF216" s="4"/>
      <c r="AG216" s="88"/>
      <c r="AH216" s="4"/>
      <c r="AI216" s="4"/>
      <c r="AJ216" s="468"/>
      <c r="AK216" s="468"/>
      <c r="AL216" s="468"/>
      <c r="AM216" s="468" t="s">
        <v>486</v>
      </c>
      <c r="AN216" s="10">
        <v>5.5</v>
      </c>
      <c r="AO216" s="9"/>
      <c r="AP216" s="9"/>
      <c r="AQ216" s="9"/>
      <c r="AR216" s="9"/>
      <c r="AS216" s="9"/>
      <c r="AT216" s="9">
        <f>+ab($T$216,$T$214,$T$218,$G$215,$G$217,-1*$F$216,1200)</f>
        <v>2.8447323472063104</v>
      </c>
      <c r="AU216" s="447"/>
      <c r="AV216" s="447"/>
      <c r="AW216" s="468" t="str">
        <f>IF(C216&gt;0,VLOOKUP(C216,Foundation_Calc!$A$2:$C$13,3,1),
IF(J216&gt;0,VLOOKUP(J216,Foundation_Calc!$A$2:$C$13,3,1),""))</f>
        <v>MultiSoil</v>
      </c>
      <c r="AX216" s="468" t="str">
        <f>IF(C216&gt;0,VLOOKUP(C216,Foundation_Calc!$E$2:$G$13,3,1),
IF(J216&gt;0,VLOOKUP(J216,Foundation_Calc!$E$2:$G$13,3,1),""))</f>
        <v>PT</v>
      </c>
      <c r="AY216" s="10">
        <f>IF(L216="","",
IF(AX216="PT",VLOOKUP(L216,Foundation_Calc!$K$4:$R$37,VLOOKUP(AW216,Foundation_Calc!$I$2:$J$8,2,FALSE),0),
IF(AX216="K",VLOOKUP(L216,Foundation_Calc!$K$41:$R$74,VLOOKUP(AW216,Foundation_Calc!$I$2:$J$8,2,FALSE),0),"")))</f>
        <v>3.7</v>
      </c>
      <c r="AZ216" s="10" t="str">
        <f>IF(K216="","",
IF(AX216="PT",VLOOKUP(K216,Foundation_Calc!$K$4:$R$37,VLOOKUP(AW216,Foundation_Calc!$I$2:$J$8,2,FALSE),0),
IF(AX216="K",VLOOKUP(K216,Foundation_Calc!$K$41:$R$74,VLOOKUP(AW216,Foundation_Calc!$I$2:$J$8,2,FALSE),0),"")))</f>
        <v/>
      </c>
      <c r="BA216" s="553" t="str">
        <f t="shared" si="27"/>
        <v>ü</v>
      </c>
      <c r="BB216" s="553" t="str">
        <f t="shared" si="28"/>
        <v/>
      </c>
      <c r="BC216" s="553" t="str">
        <f t="shared" si="25"/>
        <v/>
      </c>
      <c r="BD216" s="572" t="str">
        <f>IF(AND(L216="",H216=""),"",
IF(H216="",Pole_Calc!A$22,
IF(H216="MP",Pole_Calc!A$23,
IF(H216="AnMP",Pole_Calc!A$24,
IF(H216="A",Pole_Calc!A$25,
IF(H216="S/A",Pole_Calc!A$26,
IF(H216="A/S",Pole_Calc!A$27,"Poner a mano")))))))</f>
        <v>App.7-V11H-P9.5.2.1</v>
      </c>
      <c r="BE216" s="448" t="s">
        <v>1726</v>
      </c>
      <c r="BF216" s="305"/>
      <c r="BG216" s="305"/>
      <c r="BH216" s="306"/>
      <c r="BI216" s="305"/>
    </row>
    <row r="217" spans="1:61" ht="16.2" customHeight="1">
      <c r="A217" s="573"/>
      <c r="B217" s="469"/>
      <c r="C217" s="3"/>
      <c r="D217" s="88"/>
      <c r="E217" s="4"/>
      <c r="F217" s="4"/>
      <c r="G217" s="6">
        <v>33.700000000000003</v>
      </c>
      <c r="H217" s="468"/>
      <c r="I217" s="468"/>
      <c r="J217" s="3"/>
      <c r="K217" s="468"/>
      <c r="L217" s="468"/>
      <c r="M217" s="468" t="str">
        <f>IF(L217="","",
IF(AX217="PT",VLOOKUP(L217,Foundation_Calc!$V$4:$X$37,VLOOKUP(AX217,Foundation_Calc!$I$10:$J$13,2,FALSE),0),
IF(AX217="K",VLOOKUP(L217,Foundation_Calc!$V$41:$X$74,VLOOKUP(AX217,Foundation_Calc!$I$10:$J$13,2,FALSE),0),"")))</f>
        <v/>
      </c>
      <c r="N217" s="468"/>
      <c r="O217" s="468"/>
      <c r="P217" s="468"/>
      <c r="Q217" s="4"/>
      <c r="R217" s="6"/>
      <c r="S217" s="6"/>
      <c r="T217" s="4"/>
      <c r="U217" s="4"/>
      <c r="V217" s="4"/>
      <c r="W217" s="9"/>
      <c r="X217" s="9"/>
      <c r="Y217" s="9"/>
      <c r="Z217" s="9"/>
      <c r="AA217" s="9"/>
      <c r="AB217" s="9"/>
      <c r="AC217" s="468" t="str">
        <f t="shared" si="26"/>
        <v/>
      </c>
      <c r="AD217" s="468"/>
      <c r="AE217" s="468"/>
      <c r="AF217" s="4"/>
      <c r="AG217" s="88"/>
      <c r="AH217" s="4"/>
      <c r="AI217" s="4"/>
      <c r="AJ217" s="468"/>
      <c r="AK217" s="468"/>
      <c r="AL217" s="468"/>
      <c r="AM217" s="468"/>
      <c r="AN217" s="10"/>
      <c r="AO217" s="9"/>
      <c r="AP217" s="9"/>
      <c r="AQ217" s="9">
        <f>+FL_1($T$218,$T$216,$G$217,1200,9.28,-1*$F$218)</f>
        <v>0.30000000000003257</v>
      </c>
      <c r="AR217" s="9"/>
      <c r="AS217" s="9"/>
      <c r="AT217" s="9"/>
      <c r="AU217" s="447"/>
      <c r="AV217" s="447"/>
      <c r="AW217" s="468" t="str">
        <f>IF(C217&gt;0,VLOOKUP(C217,Foundation_Calc!$A$2:$C$13,3,1),
IF(J217&gt;0,VLOOKUP(J217,Foundation_Calc!$A$2:$C$13,3,1),""))</f>
        <v/>
      </c>
      <c r="AX217" s="468" t="str">
        <f>IF(C217&gt;0,VLOOKUP(C217,Foundation_Calc!$E$2:$G$13,3,1),
IF(J217&gt;0,VLOOKUP(J217,Foundation_Calc!$E$2:$G$13,3,1),""))</f>
        <v/>
      </c>
      <c r="AY217" s="10" t="str">
        <f>IF(L217="","",
IF(AX217="PT",VLOOKUP(L217,Foundation_Calc!$K$4:$R$37,VLOOKUP(AW217,Foundation_Calc!$I$2:$J$8,2,FALSE),0),
IF(AX217="K",VLOOKUP(L217,Foundation_Calc!$K$41:$R$74,VLOOKUP(AW217,Foundation_Calc!$I$2:$J$8,2,FALSE),0),"")))</f>
        <v/>
      </c>
      <c r="AZ217" s="10" t="str">
        <f>IF(K217="","",
IF(AX217="PT",VLOOKUP(K217,Foundation_Calc!$K$4:$R$37,VLOOKUP(AW217,Foundation_Calc!$I$2:$J$8,2,FALSE),0),
IF(AX217="K",VLOOKUP(K217,Foundation_Calc!$K$41:$R$74,VLOOKUP(AW217,Foundation_Calc!$I$2:$J$8,2,FALSE),0),"")))</f>
        <v/>
      </c>
      <c r="BA217" s="553" t="str">
        <f t="shared" si="27"/>
        <v/>
      </c>
      <c r="BB217" s="553" t="str">
        <f t="shared" si="28"/>
        <v/>
      </c>
      <c r="BC217" s="553" t="str">
        <f t="shared" si="25"/>
        <v/>
      </c>
      <c r="BD217" s="572" t="str">
        <f>IF(AND(L217="",H217=""),"",
IF(H217="",Pole_Calc!A$22,
IF(H217="MP",Pole_Calc!A$23,
IF(H217="AnMP",Pole_Calc!A$24,
IF(H217="A",Pole_Calc!A$25,
IF(H217="S/A",Pole_Calc!A$26,
IF(H217="A/S",Pole_Calc!A$27,"Poner a mano")))))))</f>
        <v/>
      </c>
      <c r="BE217" s="448" t="s">
        <v>1726</v>
      </c>
      <c r="BF217" s="306"/>
      <c r="BG217" s="306"/>
      <c r="BH217" s="306"/>
      <c r="BI217" s="306"/>
    </row>
    <row r="218" spans="1:61" ht="16.2" customHeight="1">
      <c r="A218" s="573"/>
      <c r="B218" s="469" t="s">
        <v>1833</v>
      </c>
      <c r="C218" s="3">
        <f>+$C$216+$G$217</f>
        <v>4818.2299999999996</v>
      </c>
      <c r="D218" s="88"/>
      <c r="E218" s="4"/>
      <c r="F218" s="4">
        <v>-500</v>
      </c>
      <c r="G218" s="6"/>
      <c r="H218" s="468"/>
      <c r="I218" s="468"/>
      <c r="J218" s="3"/>
      <c r="K218" s="468"/>
      <c r="L218" s="468" t="s">
        <v>40</v>
      </c>
      <c r="M218" s="468" t="str">
        <f>IF(L218="","",
IF(AX218="PT",VLOOKUP(L218,Foundation_Calc!$V$4:$X$37,VLOOKUP(AX218,Foundation_Calc!$I$10:$J$13,2,FALSE),0),
IF(AX218="K",VLOOKUP(L218,Foundation_Calc!$V$41:$X$74,VLOOKUP(AX218,Foundation_Calc!$I$10:$J$13,2,FALSE),0),"")))</f>
        <v>C5SR</v>
      </c>
      <c r="N218" s="468" t="s">
        <v>33</v>
      </c>
      <c r="O218" s="468"/>
      <c r="P218" s="468"/>
      <c r="Q218" s="4"/>
      <c r="R218" s="6"/>
      <c r="S218" s="6"/>
      <c r="T218" s="4">
        <v>30</v>
      </c>
      <c r="U218" s="4"/>
      <c r="V218" s="4"/>
      <c r="W218" s="9">
        <v>1.4</v>
      </c>
      <c r="X218" s="9"/>
      <c r="Y218" s="9"/>
      <c r="Z218" s="9"/>
      <c r="AA218" s="9"/>
      <c r="AB218" s="9"/>
      <c r="AC218" s="468" t="str">
        <f t="shared" si="26"/>
        <v>PHC</v>
      </c>
      <c r="AD218" s="468"/>
      <c r="AE218" s="468"/>
      <c r="AF218" s="4"/>
      <c r="AG218" s="88"/>
      <c r="AH218" s="4"/>
      <c r="AI218" s="4"/>
      <c r="AJ218" s="468"/>
      <c r="AK218" s="468"/>
      <c r="AL218" s="468"/>
      <c r="AM218" s="468" t="s">
        <v>486</v>
      </c>
      <c r="AN218" s="10">
        <v>5.5</v>
      </c>
      <c r="AO218" s="9"/>
      <c r="AP218" s="9"/>
      <c r="AQ218" s="9"/>
      <c r="AR218" s="9"/>
      <c r="AS218" s="9"/>
      <c r="AT218" s="9">
        <f>+ab($T$218,$T$216,$T$220,$G$217,$G$219,-1*$F$218,1200)</f>
        <v>2.5809267482785678</v>
      </c>
      <c r="AU218" s="447"/>
      <c r="AV218" s="447"/>
      <c r="AW218" s="468" t="str">
        <f>IF(C218&gt;0,VLOOKUP(C218,Foundation_Calc!$A$2:$C$13,3,1),
IF(J218&gt;0,VLOOKUP(J218,Foundation_Calc!$A$2:$C$13,3,1),""))</f>
        <v>MultiSoil</v>
      </c>
      <c r="AX218" s="468" t="str">
        <f>IF(C218&gt;0,VLOOKUP(C218,Foundation_Calc!$E$2:$G$13,3,1),
IF(J218&gt;0,VLOOKUP(J218,Foundation_Calc!$E$2:$G$13,3,1),""))</f>
        <v>PT</v>
      </c>
      <c r="AY218" s="10">
        <f>IF(L218="","",
IF(AX218="PT",VLOOKUP(L218,Foundation_Calc!$K$4:$R$37,VLOOKUP(AW218,Foundation_Calc!$I$2:$J$8,2,FALSE),0),
IF(AX218="K",VLOOKUP(L218,Foundation_Calc!$K$41:$R$74,VLOOKUP(AW218,Foundation_Calc!$I$2:$J$8,2,FALSE),0),"")))</f>
        <v>3.7</v>
      </c>
      <c r="AZ218" s="10" t="str">
        <f>IF(K218="","",
IF(AX218="PT",VLOOKUP(K218,Foundation_Calc!$K$4:$R$37,VLOOKUP(AW218,Foundation_Calc!$I$2:$J$8,2,FALSE),0),
IF(AX218="K",VLOOKUP(K218,Foundation_Calc!$K$41:$R$74,VLOOKUP(AW218,Foundation_Calc!$I$2:$J$8,2,FALSE),0),"")))</f>
        <v/>
      </c>
      <c r="BA218" s="553" t="str">
        <f t="shared" si="27"/>
        <v>ü</v>
      </c>
      <c r="BB218" s="553" t="str">
        <f t="shared" si="28"/>
        <v/>
      </c>
      <c r="BC218" s="553" t="str">
        <f t="shared" si="25"/>
        <v/>
      </c>
      <c r="BD218" s="572" t="str">
        <f>IF(AND(L218="",H218=""),"",
IF(H218="",Pole_Calc!A$22,
IF(H218="MP",Pole_Calc!A$23,
IF(H218="AnMP",Pole_Calc!A$24,
IF(H218="A",Pole_Calc!A$25,
IF(H218="S/A",Pole_Calc!A$26,
IF(H218="A/S",Pole_Calc!A$27,"Poner a mano")))))))</f>
        <v>App.7-V11H-P9.5.2.1</v>
      </c>
      <c r="BE218" s="448" t="s">
        <v>1726</v>
      </c>
      <c r="BF218" s="305"/>
      <c r="BG218" s="305"/>
      <c r="BH218" s="306"/>
      <c r="BI218" s="305"/>
    </row>
    <row r="219" spans="1:61" ht="16.2" customHeight="1">
      <c r="A219" s="573"/>
      <c r="B219" s="469"/>
      <c r="C219" s="3"/>
      <c r="D219" s="88"/>
      <c r="E219" s="4"/>
      <c r="F219" s="4"/>
      <c r="G219" s="6">
        <v>40.6</v>
      </c>
      <c r="H219" s="468"/>
      <c r="I219" s="468"/>
      <c r="J219" s="3"/>
      <c r="K219" s="468"/>
      <c r="L219" s="468"/>
      <c r="M219" s="468" t="str">
        <f>IF(L219="","",
IF(AX219="PT",VLOOKUP(L219,Foundation_Calc!$V$4:$X$37,VLOOKUP(AX219,Foundation_Calc!$I$10:$J$13,2,FALSE),0),
IF(AX219="K",VLOOKUP(L219,Foundation_Calc!$V$41:$X$74,VLOOKUP(AX219,Foundation_Calc!$I$10:$J$13,2,FALSE),0),"")))</f>
        <v/>
      </c>
      <c r="N219" s="468"/>
      <c r="O219" s="468"/>
      <c r="P219" s="468"/>
      <c r="Q219" s="4"/>
      <c r="R219" s="6"/>
      <c r="S219" s="6"/>
      <c r="T219" s="4"/>
      <c r="U219" s="4"/>
      <c r="V219" s="4"/>
      <c r="W219" s="9"/>
      <c r="X219" s="9"/>
      <c r="Y219" s="9"/>
      <c r="Z219" s="9"/>
      <c r="AA219" s="9"/>
      <c r="AB219" s="9"/>
      <c r="AC219" s="468" t="str">
        <f t="shared" si="26"/>
        <v/>
      </c>
      <c r="AD219" s="468"/>
      <c r="AE219" s="468"/>
      <c r="AF219" s="4"/>
      <c r="AG219" s="88"/>
      <c r="AH219" s="4"/>
      <c r="AI219" s="4"/>
      <c r="AJ219" s="468"/>
      <c r="AK219" s="468"/>
      <c r="AL219" s="468"/>
      <c r="AM219" s="468"/>
      <c r="AN219" s="10"/>
      <c r="AO219" s="9"/>
      <c r="AP219" s="9"/>
      <c r="AQ219" s="9">
        <f>+FL_1($T$220,$T$218,$G$219,1200,9.28,-1*$F$220)</f>
        <v>0.3</v>
      </c>
      <c r="AR219" s="9"/>
      <c r="AS219" s="9"/>
      <c r="AT219" s="9"/>
      <c r="AU219" s="447"/>
      <c r="AV219" s="447"/>
      <c r="AW219" s="468" t="str">
        <f>IF(C219&gt;0,VLOOKUP(C219,Foundation_Calc!$A$2:$C$13,3,1),
IF(J219&gt;0,VLOOKUP(J219,Foundation_Calc!$A$2:$C$13,3,1),""))</f>
        <v/>
      </c>
      <c r="AX219" s="468" t="str">
        <f>IF(C219&gt;0,VLOOKUP(C219,Foundation_Calc!$E$2:$G$13,3,1),
IF(J219&gt;0,VLOOKUP(J219,Foundation_Calc!$E$2:$G$13,3,1),""))</f>
        <v/>
      </c>
      <c r="AY219" s="10" t="str">
        <f>IF(L219="","",
IF(AX219="PT",VLOOKUP(L219,Foundation_Calc!$K$4:$R$37,VLOOKUP(AW219,Foundation_Calc!$I$2:$J$8,2,FALSE),0),
IF(AX219="K",VLOOKUP(L219,Foundation_Calc!$K$41:$R$74,VLOOKUP(AW219,Foundation_Calc!$I$2:$J$8,2,FALSE),0),"")))</f>
        <v/>
      </c>
      <c r="AZ219" s="10" t="str">
        <f>IF(K219="","",
IF(AX219="PT",VLOOKUP(K219,Foundation_Calc!$K$4:$R$37,VLOOKUP(AW219,Foundation_Calc!$I$2:$J$8,2,FALSE),0),
IF(AX219="K",VLOOKUP(K219,Foundation_Calc!$K$41:$R$74,VLOOKUP(AW219,Foundation_Calc!$I$2:$J$8,2,FALSE),0),"")))</f>
        <v/>
      </c>
      <c r="BA219" s="553" t="str">
        <f t="shared" si="27"/>
        <v/>
      </c>
      <c r="BB219" s="553" t="str">
        <f t="shared" si="28"/>
        <v/>
      </c>
      <c r="BC219" s="553" t="str">
        <f t="shared" si="25"/>
        <v/>
      </c>
      <c r="BD219" s="572" t="str">
        <f>IF(AND(L219="",H219=""),"",
IF(H219="",Pole_Calc!A$22,
IF(H219="MP",Pole_Calc!A$23,
IF(H219="AnMP",Pole_Calc!A$24,
IF(H219="A",Pole_Calc!A$25,
IF(H219="S/A",Pole_Calc!A$26,
IF(H219="A/S",Pole_Calc!A$27,"Poner a mano")))))))</f>
        <v/>
      </c>
      <c r="BE219" s="448" t="s">
        <v>1726</v>
      </c>
      <c r="BF219" s="306"/>
      <c r="BG219" s="306"/>
      <c r="BH219" s="306"/>
      <c r="BI219" s="306"/>
    </row>
    <row r="220" spans="1:61" ht="16.2" customHeight="1">
      <c r="A220" s="573"/>
      <c r="B220" s="469" t="s">
        <v>1834</v>
      </c>
      <c r="C220" s="3">
        <f>+$C$218+$G$219</f>
        <v>4858.83</v>
      </c>
      <c r="D220" s="88"/>
      <c r="E220" s="4"/>
      <c r="F220" s="4">
        <v>-716.94</v>
      </c>
      <c r="G220" s="6"/>
      <c r="H220" s="468"/>
      <c r="I220" s="468"/>
      <c r="J220" s="3"/>
      <c r="K220" s="468"/>
      <c r="L220" s="468" t="s">
        <v>40</v>
      </c>
      <c r="M220" s="468" t="str">
        <f>IF(L220="","",
IF(AX220="PT",VLOOKUP(L220,Foundation_Calc!$V$4:$X$37,VLOOKUP(AX220,Foundation_Calc!$I$10:$J$13,2,FALSE),0),
IF(AX220="K",VLOOKUP(L220,Foundation_Calc!$V$41:$X$74,VLOOKUP(AX220,Foundation_Calc!$I$10:$J$13,2,FALSE),0),"")))</f>
        <v>C5SR</v>
      </c>
      <c r="N220" s="468" t="s">
        <v>33</v>
      </c>
      <c r="O220" s="468"/>
      <c r="P220" s="468"/>
      <c r="Q220" s="4"/>
      <c r="R220" s="6"/>
      <c r="S220" s="6"/>
      <c r="T220" s="4">
        <v>30</v>
      </c>
      <c r="U220" s="4"/>
      <c r="V220" s="4"/>
      <c r="W220" s="9">
        <v>1.4</v>
      </c>
      <c r="X220" s="9"/>
      <c r="Y220" s="9"/>
      <c r="Z220" s="9"/>
      <c r="AA220" s="9"/>
      <c r="AB220" s="9"/>
      <c r="AC220" s="468" t="str">
        <f t="shared" si="26"/>
        <v>PHC</v>
      </c>
      <c r="AD220" s="468"/>
      <c r="AE220" s="468"/>
      <c r="AF220" s="4"/>
      <c r="AG220" s="88"/>
      <c r="AH220" s="4"/>
      <c r="AI220" s="4"/>
      <c r="AJ220" s="468"/>
      <c r="AK220" s="468"/>
      <c r="AL220" s="468"/>
      <c r="AM220" s="468" t="s">
        <v>486</v>
      </c>
      <c r="AN220" s="10">
        <v>5.5</v>
      </c>
      <c r="AO220" s="9"/>
      <c r="AP220" s="9"/>
      <c r="AQ220" s="9"/>
      <c r="AR220" s="9"/>
      <c r="AS220" s="9"/>
      <c r="AT220" s="9">
        <f>+ab($T$220,$T$218,$T$222,$G$219,$G$221,-1*$F$220,1200)</f>
        <v>3.2955342843241353</v>
      </c>
      <c r="AU220" s="447"/>
      <c r="AV220" s="447"/>
      <c r="AW220" s="468" t="str">
        <f>IF(C220&gt;0,VLOOKUP(C220,Foundation_Calc!$A$2:$C$13,3,1),
IF(J220&gt;0,VLOOKUP(J220,Foundation_Calc!$A$2:$C$13,3,1),""))</f>
        <v>MultiSoil</v>
      </c>
      <c r="AX220" s="468" t="str">
        <f>IF(C220&gt;0,VLOOKUP(C220,Foundation_Calc!$E$2:$G$13,3,1),
IF(J220&gt;0,VLOOKUP(J220,Foundation_Calc!$E$2:$G$13,3,1),""))</f>
        <v>PT</v>
      </c>
      <c r="AY220" s="10">
        <f>IF(L220="","",
IF(AX220="PT",VLOOKUP(L220,Foundation_Calc!$K$4:$R$37,VLOOKUP(AW220,Foundation_Calc!$I$2:$J$8,2,FALSE),0),
IF(AX220="K",VLOOKUP(L220,Foundation_Calc!$K$41:$R$74,VLOOKUP(AW220,Foundation_Calc!$I$2:$J$8,2,FALSE),0),"")))</f>
        <v>3.7</v>
      </c>
      <c r="AZ220" s="10" t="str">
        <f>IF(K220="","",
IF(AX220="PT",VLOOKUP(K220,Foundation_Calc!$K$4:$R$37,VLOOKUP(AW220,Foundation_Calc!$I$2:$J$8,2,FALSE),0),
IF(AX220="K",VLOOKUP(K220,Foundation_Calc!$K$41:$R$74,VLOOKUP(AW220,Foundation_Calc!$I$2:$J$8,2,FALSE),0),"")))</f>
        <v/>
      </c>
      <c r="BA220" s="553" t="str">
        <f t="shared" si="27"/>
        <v>ü</v>
      </c>
      <c r="BB220" s="553" t="str">
        <f t="shared" si="28"/>
        <v/>
      </c>
      <c r="BC220" s="553" t="str">
        <f t="shared" si="25"/>
        <v/>
      </c>
      <c r="BD220" s="572" t="str">
        <f>IF(AND(L220="",H220=""),"",
IF(H220="",Pole_Calc!A$22,
IF(H220="MP",Pole_Calc!A$23,
IF(H220="AnMP",Pole_Calc!A$24,
IF(H220="A",Pole_Calc!A$25,
IF(H220="S/A",Pole_Calc!A$26,
IF(H220="A/S",Pole_Calc!A$27,"Poner a mano")))))))</f>
        <v>App.7-V11H-P9.5.2.1</v>
      </c>
      <c r="BE220" s="448" t="s">
        <v>1726</v>
      </c>
      <c r="BF220" s="305"/>
      <c r="BG220" s="305"/>
      <c r="BH220" s="306"/>
      <c r="BI220" s="305"/>
    </row>
    <row r="221" spans="1:61" ht="16.2" customHeight="1">
      <c r="A221" s="573"/>
      <c r="B221" s="469"/>
      <c r="C221" s="3"/>
      <c r="D221" s="88"/>
      <c r="E221" s="4"/>
      <c r="F221" s="4"/>
      <c r="G221" s="6">
        <v>42.8</v>
      </c>
      <c r="H221" s="468"/>
      <c r="I221" s="468"/>
      <c r="J221" s="3"/>
      <c r="K221" s="468"/>
      <c r="L221" s="468"/>
      <c r="M221" s="468" t="str">
        <f>IF(L221="","",
IF(AX221="PT",VLOOKUP(L221,Foundation_Calc!$V$4:$X$37,VLOOKUP(AX221,Foundation_Calc!$I$10:$J$13,2,FALSE),0),
IF(AX221="K",VLOOKUP(L221,Foundation_Calc!$V$41:$X$74,VLOOKUP(AX221,Foundation_Calc!$I$10:$J$13,2,FALSE),0),"")))</f>
        <v/>
      </c>
      <c r="N221" s="468"/>
      <c r="O221" s="468"/>
      <c r="P221" s="468"/>
      <c r="Q221" s="4"/>
      <c r="R221" s="6"/>
      <c r="S221" s="6"/>
      <c r="T221" s="4"/>
      <c r="U221" s="4"/>
      <c r="V221" s="4"/>
      <c r="W221" s="9"/>
      <c r="X221" s="9"/>
      <c r="Y221" s="9"/>
      <c r="Z221" s="9"/>
      <c r="AA221" s="9"/>
      <c r="AB221" s="9"/>
      <c r="AC221" s="468" t="str">
        <f t="shared" si="26"/>
        <v/>
      </c>
      <c r="AD221" s="468"/>
      <c r="AE221" s="468"/>
      <c r="AF221" s="4"/>
      <c r="AG221" s="88"/>
      <c r="AH221" s="4"/>
      <c r="AI221" s="4"/>
      <c r="AJ221" s="468"/>
      <c r="AK221" s="468"/>
      <c r="AL221" s="468"/>
      <c r="AM221" s="468"/>
      <c r="AN221" s="10"/>
      <c r="AO221" s="9"/>
      <c r="AP221" s="9"/>
      <c r="AQ221" s="9">
        <f>+FL_1($T$222,$T$220,$G$221,1200,9.28,-1*$F$222)</f>
        <v>0.37364430812119109</v>
      </c>
      <c r="AR221" s="9"/>
      <c r="AS221" s="9"/>
      <c r="AT221" s="9"/>
      <c r="AU221" s="447"/>
      <c r="AV221" s="447"/>
      <c r="AW221" s="468" t="str">
        <f>IF(C221&gt;0,VLOOKUP(C221,Foundation_Calc!$A$2:$C$13,3,1),
IF(J221&gt;0,VLOOKUP(J221,Foundation_Calc!$A$2:$C$13,3,1),""))</f>
        <v/>
      </c>
      <c r="AX221" s="468" t="str">
        <f>IF(C221&gt;0,VLOOKUP(C221,Foundation_Calc!$E$2:$G$13,3,1),
IF(J221&gt;0,VLOOKUP(J221,Foundation_Calc!$E$2:$G$13,3,1),""))</f>
        <v/>
      </c>
      <c r="AY221" s="10" t="str">
        <f>IF(L221="","",
IF(AX221="PT",VLOOKUP(L221,Foundation_Calc!$K$4:$R$37,VLOOKUP(AW221,Foundation_Calc!$I$2:$J$8,2,FALSE),0),
IF(AX221="K",VLOOKUP(L221,Foundation_Calc!$K$41:$R$74,VLOOKUP(AW221,Foundation_Calc!$I$2:$J$8,2,FALSE),0),"")))</f>
        <v/>
      </c>
      <c r="AZ221" s="10" t="str">
        <f>IF(K221="","",
IF(AX221="PT",VLOOKUP(K221,Foundation_Calc!$K$4:$R$37,VLOOKUP(AW221,Foundation_Calc!$I$2:$J$8,2,FALSE),0),
IF(AX221="K",VLOOKUP(K221,Foundation_Calc!$K$41:$R$74,VLOOKUP(AW221,Foundation_Calc!$I$2:$J$8,2,FALSE),0),"")))</f>
        <v/>
      </c>
      <c r="BA221" s="553" t="str">
        <f t="shared" si="27"/>
        <v/>
      </c>
      <c r="BB221" s="553" t="str">
        <f t="shared" si="28"/>
        <v/>
      </c>
      <c r="BC221" s="553" t="str">
        <f t="shared" si="25"/>
        <v/>
      </c>
      <c r="BD221" s="572" t="str">
        <f>IF(AND(L221="",H221=""),"",
IF(H221="",Pole_Calc!A$22,
IF(H221="MP",Pole_Calc!A$23,
IF(H221="AnMP",Pole_Calc!A$24,
IF(H221="A",Pole_Calc!A$25,
IF(H221="S/A",Pole_Calc!A$26,
IF(H221="A/S",Pole_Calc!A$27,"Poner a mano")))))))</f>
        <v/>
      </c>
      <c r="BE221" s="448" t="s">
        <v>1726</v>
      </c>
      <c r="BF221" s="306"/>
      <c r="BG221" s="306"/>
      <c r="BH221" s="306"/>
      <c r="BI221" s="306"/>
    </row>
    <row r="222" spans="1:61" ht="16.2" customHeight="1">
      <c r="A222" s="573" t="s">
        <v>1497</v>
      </c>
      <c r="B222" s="469" t="s">
        <v>1835</v>
      </c>
      <c r="C222" s="3">
        <f>+$C$220+$G$221</f>
        <v>4901.63</v>
      </c>
      <c r="D222" s="88"/>
      <c r="E222" s="4"/>
      <c r="F222" s="4">
        <v>-2213.84</v>
      </c>
      <c r="G222" s="6"/>
      <c r="H222" s="468"/>
      <c r="I222" s="468"/>
      <c r="J222" s="3"/>
      <c r="K222" s="468"/>
      <c r="L222" s="468" t="s">
        <v>38</v>
      </c>
      <c r="M222" s="468" t="s">
        <v>1625</v>
      </c>
      <c r="N222" s="468" t="s">
        <v>33</v>
      </c>
      <c r="O222" s="468"/>
      <c r="P222" s="468"/>
      <c r="Q222" s="4"/>
      <c r="R222" s="6"/>
      <c r="S222" s="6"/>
      <c r="T222" s="4">
        <v>30</v>
      </c>
      <c r="U222" s="4"/>
      <c r="V222" s="4"/>
      <c r="W222" s="9">
        <v>1.4</v>
      </c>
      <c r="X222" s="9"/>
      <c r="Y222" s="9"/>
      <c r="Z222" s="9"/>
      <c r="AA222" s="9"/>
      <c r="AB222" s="9"/>
      <c r="AC222" s="468" t="str">
        <f t="shared" si="26"/>
        <v>PHQ</v>
      </c>
      <c r="AD222" s="468"/>
      <c r="AE222" s="468"/>
      <c r="AF222" s="4"/>
      <c r="AG222" s="88"/>
      <c r="AH222" s="4"/>
      <c r="AI222" s="4"/>
      <c r="AJ222" s="468"/>
      <c r="AK222" s="468"/>
      <c r="AL222" s="468"/>
      <c r="AM222" s="468" t="s">
        <v>486</v>
      </c>
      <c r="AN222" s="10">
        <v>5.5</v>
      </c>
      <c r="AO222" s="9"/>
      <c r="AP222" s="9"/>
      <c r="AQ222" s="9"/>
      <c r="AR222" s="9"/>
      <c r="AS222" s="9"/>
      <c r="AT222" s="9">
        <f>+ab($T$222,$T$220,$T$224,$G$221,$G$223,-1*$F$222,1200)</f>
        <v>5.6421146669671778</v>
      </c>
      <c r="AU222" s="447"/>
      <c r="AV222" s="447"/>
      <c r="AW222" s="468" t="s">
        <v>2557</v>
      </c>
      <c r="AX222" s="468" t="s">
        <v>199</v>
      </c>
      <c r="AY222" s="10"/>
      <c r="AZ222" s="10"/>
      <c r="BA222" s="553" t="str">
        <f t="shared" si="27"/>
        <v/>
      </c>
      <c r="BB222" s="553" t="str">
        <f t="shared" si="28"/>
        <v/>
      </c>
      <c r="BC222" s="553" t="str">
        <f t="shared" si="25"/>
        <v>ü</v>
      </c>
      <c r="BD222" s="572" t="str">
        <f>IF(AND(L222="",H222=""),"",
IF(H222="",Pole_Calc!A$22,
IF(H222="MP",Pole_Calc!A$23,
IF(H222="AnMP",Pole_Calc!A$24,
IF(H222="A",Pole_Calc!A$25,
IF(H222="S/A",Pole_Calc!A$26,
IF(H222="A/S",Pole_Calc!A$27,"Poner a mano")))))))</f>
        <v>App.7-V11H-P9.5.2.1</v>
      </c>
      <c r="BE222" s="448" t="s">
        <v>1726</v>
      </c>
      <c r="BF222" s="305"/>
      <c r="BG222" s="305"/>
      <c r="BH222" s="306"/>
      <c r="BI222" s="305"/>
    </row>
    <row r="223" spans="1:61" ht="16.2" customHeight="1">
      <c r="A223" s="574" t="s">
        <v>1497</v>
      </c>
      <c r="B223" s="469"/>
      <c r="C223" s="3"/>
      <c r="D223" s="88"/>
      <c r="E223" s="4"/>
      <c r="F223" s="4"/>
      <c r="G223" s="6">
        <v>53</v>
      </c>
      <c r="H223" s="468"/>
      <c r="I223" s="468"/>
      <c r="J223" s="3"/>
      <c r="K223" s="468"/>
      <c r="L223" s="468"/>
      <c r="M223" s="468" t="str">
        <f>IF(L223="","",
IF(AX223="PT",VLOOKUP(L223,Foundation_Calc!$V$4:$X$37,VLOOKUP(AX223,Foundation_Calc!$I$10:$J$13,2,FALSE),0),
IF(AX223="K",VLOOKUP(L223,Foundation_Calc!$V$41:$X$74,VLOOKUP(AX223,Foundation_Calc!$I$10:$J$13,2,FALSE),0),"")))</f>
        <v/>
      </c>
      <c r="N223" s="468"/>
      <c r="O223" s="468"/>
      <c r="P223" s="468"/>
      <c r="Q223" s="4"/>
      <c r="R223" s="6"/>
      <c r="S223" s="6"/>
      <c r="T223" s="4"/>
      <c r="U223" s="4"/>
      <c r="V223" s="4"/>
      <c r="W223" s="9"/>
      <c r="X223" s="9"/>
      <c r="Y223" s="9"/>
      <c r="Z223" s="9"/>
      <c r="AA223" s="9"/>
      <c r="AB223" s="9"/>
      <c r="AC223" s="468" t="str">
        <f t="shared" si="26"/>
        <v/>
      </c>
      <c r="AD223" s="468"/>
      <c r="AE223" s="468"/>
      <c r="AF223" s="4"/>
      <c r="AG223" s="88"/>
      <c r="AH223" s="4"/>
      <c r="AI223" s="4"/>
      <c r="AJ223" s="468"/>
      <c r="AK223" s="468"/>
      <c r="AL223" s="468"/>
      <c r="AM223" s="468"/>
      <c r="AN223" s="10"/>
      <c r="AO223" s="9"/>
      <c r="AP223" s="9"/>
      <c r="AQ223" s="9">
        <f>+FL_2($T$224,$T$222,$G$223,1200,9.28,-1*$F$224)</f>
        <v>-0.39378412196226414</v>
      </c>
      <c r="AR223" s="9"/>
      <c r="AS223" s="9"/>
      <c r="AT223" s="9"/>
      <c r="AU223" s="447"/>
      <c r="AV223" s="447"/>
      <c r="AW223" s="468"/>
      <c r="AX223" s="468"/>
      <c r="AY223" s="10"/>
      <c r="AZ223" s="10"/>
      <c r="BA223" s="553" t="str">
        <f t="shared" si="27"/>
        <v/>
      </c>
      <c r="BB223" s="553" t="str">
        <f t="shared" si="28"/>
        <v/>
      </c>
      <c r="BC223" s="553" t="str">
        <f t="shared" si="25"/>
        <v/>
      </c>
      <c r="BD223" s="572" t="str">
        <f>IF(AND(L223="",H223=""),"",
IF(H223="",Pole_Calc!A$22,
IF(H223="MP",Pole_Calc!A$23,
IF(H223="AnMP",Pole_Calc!A$24,
IF(H223="A",Pole_Calc!A$25,
IF(H223="S/A",Pole_Calc!A$26,
IF(H223="A/S",Pole_Calc!A$27,"Poner a mano")))))))</f>
        <v/>
      </c>
      <c r="BE223" s="448" t="s">
        <v>1726</v>
      </c>
      <c r="BF223" s="306"/>
      <c r="BG223" s="306"/>
      <c r="BH223" s="306"/>
      <c r="BI223" s="306"/>
    </row>
    <row r="224" spans="1:61" ht="16.2" customHeight="1">
      <c r="A224" s="574" t="s">
        <v>1497</v>
      </c>
      <c r="B224" s="469" t="s">
        <v>1836</v>
      </c>
      <c r="C224" s="3">
        <f>+$C$222+$G$223</f>
        <v>4954.63</v>
      </c>
      <c r="D224" s="88"/>
      <c r="E224" s="4"/>
      <c r="F224" s="4">
        <v>0</v>
      </c>
      <c r="G224" s="6"/>
      <c r="H224" s="468"/>
      <c r="I224" s="468"/>
      <c r="J224" s="3"/>
      <c r="K224" s="468"/>
      <c r="L224" s="468" t="s">
        <v>38</v>
      </c>
      <c r="M224" s="468" t="s">
        <v>1625</v>
      </c>
      <c r="N224" s="468" t="s">
        <v>32</v>
      </c>
      <c r="O224" s="468"/>
      <c r="P224" s="468"/>
      <c r="Q224" s="4"/>
      <c r="R224" s="6"/>
      <c r="S224" s="6"/>
      <c r="T224" s="4">
        <v>-35</v>
      </c>
      <c r="U224" s="4"/>
      <c r="V224" s="4"/>
      <c r="W224" s="9">
        <v>1.4</v>
      </c>
      <c r="X224" s="9"/>
      <c r="Y224" s="9"/>
      <c r="Z224" s="9"/>
      <c r="AA224" s="9"/>
      <c r="AB224" s="9"/>
      <c r="AC224" s="468" t="str">
        <f t="shared" si="26"/>
        <v>PH</v>
      </c>
      <c r="AD224" s="468"/>
      <c r="AE224" s="468"/>
      <c r="AF224" s="4"/>
      <c r="AG224" s="88"/>
      <c r="AH224" s="4"/>
      <c r="AI224" s="4"/>
      <c r="AJ224" s="468"/>
      <c r="AK224" s="468"/>
      <c r="AL224" s="468"/>
      <c r="AM224" s="468" t="s">
        <v>486</v>
      </c>
      <c r="AN224" s="10">
        <v>5.5</v>
      </c>
      <c r="AO224" s="9"/>
      <c r="AP224" s="9"/>
      <c r="AQ224" s="9"/>
      <c r="AR224" s="9"/>
      <c r="AS224" s="9"/>
      <c r="AT224" s="9">
        <f>+ab($T$224,$T$222,$T$226,$G$223,$G$225,-1*$F$224,1200)</f>
        <v>-8.0925347231200373</v>
      </c>
      <c r="AU224" s="447"/>
      <c r="AV224" s="447"/>
      <c r="AW224" s="468" t="s">
        <v>2557</v>
      </c>
      <c r="AX224" s="468" t="s">
        <v>199</v>
      </c>
      <c r="AY224" s="10"/>
      <c r="AZ224" s="10"/>
      <c r="BA224" s="553" t="str">
        <f t="shared" si="27"/>
        <v/>
      </c>
      <c r="BB224" s="553" t="str">
        <f t="shared" si="28"/>
        <v/>
      </c>
      <c r="BC224" s="553" t="str">
        <f t="shared" si="25"/>
        <v>ü</v>
      </c>
      <c r="BD224" s="572" t="str">
        <f>IF(AND(L224="",H224=""),"",
IF(H224="",Pole_Calc!A$22,
IF(H224="MP",Pole_Calc!A$23,
IF(H224="AnMP",Pole_Calc!A$24,
IF(H224="A",Pole_Calc!A$25,
IF(H224="S/A",Pole_Calc!A$26,
IF(H224="A/S",Pole_Calc!A$27,"Poner a mano")))))))</f>
        <v>App.7-V11H-P9.5.2.1</v>
      </c>
      <c r="BE224" s="448" t="s">
        <v>1726</v>
      </c>
      <c r="BF224" s="305"/>
      <c r="BG224" s="305"/>
      <c r="BH224" s="306"/>
      <c r="BI224" s="305"/>
    </row>
    <row r="225" spans="1:61" ht="16.2" customHeight="1">
      <c r="A225" s="574" t="s">
        <v>1497</v>
      </c>
      <c r="B225" s="469"/>
      <c r="C225" s="3"/>
      <c r="D225" s="88"/>
      <c r="E225" s="4"/>
      <c r="F225" s="4"/>
      <c r="G225" s="6">
        <v>62</v>
      </c>
      <c r="H225" s="468"/>
      <c r="I225" s="468"/>
      <c r="J225" s="3"/>
      <c r="K225" s="468"/>
      <c r="L225" s="468"/>
      <c r="M225" s="468" t="str">
        <f>IF(L225="","",
IF(AX225="PT",VLOOKUP(L225,Foundation_Calc!$V$4:$X$37,VLOOKUP(AX225,Foundation_Calc!$I$10:$J$13,2,FALSE),0),
IF(AX225="K",VLOOKUP(L225,Foundation_Calc!$V$41:$X$74,VLOOKUP(AX225,Foundation_Calc!$I$10:$J$13,2,FALSE),0),"")))</f>
        <v/>
      </c>
      <c r="N225" s="468"/>
      <c r="O225" s="468"/>
      <c r="P225" s="468"/>
      <c r="Q225" s="4"/>
      <c r="R225" s="6"/>
      <c r="S225" s="6"/>
      <c r="T225" s="4"/>
      <c r="U225" s="4"/>
      <c r="V225" s="4"/>
      <c r="W225" s="9"/>
      <c r="X225" s="9"/>
      <c r="Y225" s="9"/>
      <c r="Z225" s="9"/>
      <c r="AA225" s="9"/>
      <c r="AB225" s="9"/>
      <c r="AC225" s="468" t="str">
        <f t="shared" si="26"/>
        <v/>
      </c>
      <c r="AD225" s="468"/>
      <c r="AE225" s="468"/>
      <c r="AF225" s="4"/>
      <c r="AG225" s="88"/>
      <c r="AH225" s="4"/>
      <c r="AI225" s="4"/>
      <c r="AJ225" s="468"/>
      <c r="AK225" s="468"/>
      <c r="AL225" s="468"/>
      <c r="AM225" s="468"/>
      <c r="AN225" s="10"/>
      <c r="AO225" s="9"/>
      <c r="AP225" s="9"/>
      <c r="AQ225" s="9">
        <f>+FL_1($T$226,$T$224,$G$225,1200,9.28,-1*$F$226)</f>
        <v>0.45400350967741931</v>
      </c>
      <c r="AR225" s="9"/>
      <c r="AS225" s="9"/>
      <c r="AT225" s="9"/>
      <c r="AU225" s="447"/>
      <c r="AV225" s="447"/>
      <c r="AW225" s="468"/>
      <c r="AX225" s="468"/>
      <c r="AY225" s="10"/>
      <c r="AZ225" s="10"/>
      <c r="BA225" s="553" t="str">
        <f t="shared" si="27"/>
        <v/>
      </c>
      <c r="BB225" s="553" t="str">
        <f t="shared" si="28"/>
        <v/>
      </c>
      <c r="BC225" s="553" t="str">
        <f t="shared" si="25"/>
        <v/>
      </c>
      <c r="BD225" s="572" t="str">
        <f>IF(AND(L225="",H225=""),"",
IF(H225="",Pole_Calc!A$22,
IF(H225="MP",Pole_Calc!A$23,
IF(H225="AnMP",Pole_Calc!A$24,
IF(H225="A",Pole_Calc!A$25,
IF(H225="S/A",Pole_Calc!A$26,
IF(H225="A/S",Pole_Calc!A$27,"Poner a mano")))))))</f>
        <v/>
      </c>
      <c r="BE225" s="448" t="s">
        <v>1726</v>
      </c>
      <c r="BF225" s="306"/>
      <c r="BG225" s="306"/>
      <c r="BH225" s="306"/>
      <c r="BI225" s="306"/>
    </row>
    <row r="226" spans="1:61" ht="16.2" customHeight="1">
      <c r="A226" s="574" t="s">
        <v>1497</v>
      </c>
      <c r="B226" s="469" t="s">
        <v>1837</v>
      </c>
      <c r="C226" s="3">
        <f>+$C$224+$G$225</f>
        <v>5016.63</v>
      </c>
      <c r="D226" s="88"/>
      <c r="E226" s="4"/>
      <c r="F226" s="4">
        <v>0</v>
      </c>
      <c r="G226" s="6"/>
      <c r="H226" s="468" t="s">
        <v>26</v>
      </c>
      <c r="I226" s="468" t="s">
        <v>183</v>
      </c>
      <c r="J226" s="3"/>
      <c r="K226" s="468"/>
      <c r="L226" s="468" t="s">
        <v>449</v>
      </c>
      <c r="M226" s="468" t="s">
        <v>1625</v>
      </c>
      <c r="N226" s="468" t="s">
        <v>33</v>
      </c>
      <c r="O226" s="468"/>
      <c r="P226" s="468"/>
      <c r="Q226" s="4"/>
      <c r="R226" s="6"/>
      <c r="S226" s="6"/>
      <c r="T226" s="4">
        <v>35</v>
      </c>
      <c r="U226" s="4"/>
      <c r="V226" s="4"/>
      <c r="W226" s="9">
        <v>1.4</v>
      </c>
      <c r="X226" s="9"/>
      <c r="Y226" s="9"/>
      <c r="Z226" s="9"/>
      <c r="AA226" s="9"/>
      <c r="AB226" s="9"/>
      <c r="AC226" s="468" t="str">
        <f t="shared" si="26"/>
        <v>PHQ</v>
      </c>
      <c r="AD226" s="468"/>
      <c r="AE226" s="468"/>
      <c r="AF226" s="4"/>
      <c r="AG226" s="88"/>
      <c r="AH226" s="4"/>
      <c r="AI226" s="4"/>
      <c r="AJ226" s="468"/>
      <c r="AK226" s="468"/>
      <c r="AL226" s="468"/>
      <c r="AM226" s="468" t="s">
        <v>486</v>
      </c>
      <c r="AN226" s="10">
        <v>5.5</v>
      </c>
      <c r="AO226" s="9"/>
      <c r="AP226" s="9"/>
      <c r="AQ226" s="9"/>
      <c r="AR226" s="9"/>
      <c r="AS226" s="9"/>
      <c r="AT226" s="9">
        <f>+ab($T$226,$T$224,$U$228,$G$225,$G$227,-1*$F$226,1200)</f>
        <v>7.8622847908165232</v>
      </c>
      <c r="AU226" s="447"/>
      <c r="AV226" s="447"/>
      <c r="AW226" s="468" t="s">
        <v>2558</v>
      </c>
      <c r="AX226" s="468" t="s">
        <v>199</v>
      </c>
      <c r="AY226" s="10"/>
      <c r="AZ226" s="10"/>
      <c r="BA226" s="553" t="str">
        <f t="shared" si="27"/>
        <v/>
      </c>
      <c r="BB226" s="553" t="str">
        <f t="shared" si="28"/>
        <v/>
      </c>
      <c r="BC226" s="553" t="str">
        <f t="shared" si="25"/>
        <v>ü</v>
      </c>
      <c r="BD226" s="572" t="str">
        <f>IF(AND(L226="",H226=""),"",
IF(H226="",Pole_Calc!A$22,
IF(H226="MP",Pole_Calc!A$23,
IF(H226="AnMP",Pole_Calc!A$24,
IF(H226="A",Pole_Calc!A$25,
IF(H226="S/A",Pole_Calc!A$26,
IF(H226="A/S",Pole_Calc!A$27,"Poner a mano")))))))</f>
        <v>App.7-V11H-P9.5.2.6</v>
      </c>
      <c r="BE226" s="448" t="s">
        <v>1726</v>
      </c>
      <c r="BF226" s="305"/>
      <c r="BG226" s="305"/>
      <c r="BH226" s="306"/>
      <c r="BI226" s="305"/>
    </row>
    <row r="227" spans="1:61" ht="16.2" customHeight="1">
      <c r="A227" s="574" t="s">
        <v>1497</v>
      </c>
      <c r="B227" s="469"/>
      <c r="C227" s="3"/>
      <c r="D227" s="88"/>
      <c r="E227" s="4"/>
      <c r="F227" s="4"/>
      <c r="G227" s="6">
        <v>54</v>
      </c>
      <c r="H227" s="468"/>
      <c r="I227" s="4">
        <f>SUM(G227:G257)</f>
        <v>603.29999999999995</v>
      </c>
      <c r="J227" s="3"/>
      <c r="K227" s="468"/>
      <c r="L227" s="468"/>
      <c r="M227" s="468" t="str">
        <f>IF(L227="","",
IF(AX227="PT",VLOOKUP(L227,Foundation_Calc!$V$4:$X$37,VLOOKUP(AX227,Foundation_Calc!$I$10:$J$13,2,FALSE),0),
IF(AX227="K",VLOOKUP(L227,Foundation_Calc!$V$41:$X$74,VLOOKUP(AX227,Foundation_Calc!$I$10:$J$13,2,FALSE),0),"")))</f>
        <v/>
      </c>
      <c r="N227" s="468"/>
      <c r="O227" s="468"/>
      <c r="P227" s="468"/>
      <c r="Q227" s="4"/>
      <c r="R227" s="6"/>
      <c r="S227" s="6"/>
      <c r="T227" s="4"/>
      <c r="U227" s="4"/>
      <c r="V227" s="4"/>
      <c r="W227" s="9"/>
      <c r="X227" s="9"/>
      <c r="Y227" s="9"/>
      <c r="Z227" s="9"/>
      <c r="AA227" s="9"/>
      <c r="AB227" s="9"/>
      <c r="AC227" s="468" t="str">
        <f t="shared" si="26"/>
        <v/>
      </c>
      <c r="AD227" s="468"/>
      <c r="AE227" s="468"/>
      <c r="AF227" s="4"/>
      <c r="AG227" s="88"/>
      <c r="AH227" s="4"/>
      <c r="AI227" s="4"/>
      <c r="AJ227" s="468"/>
      <c r="AK227" s="468"/>
      <c r="AL227" s="468"/>
      <c r="AM227" s="468"/>
      <c r="AN227" s="10"/>
      <c r="AO227" s="9"/>
      <c r="AP227" s="9"/>
      <c r="AQ227" s="9">
        <f>+FL_1($U$228,$T$226,$G$227,1200,9.28,-1*$F$228)</f>
        <v>0.39052552059259249</v>
      </c>
      <c r="AR227" s="9"/>
      <c r="AS227" s="9"/>
      <c r="AT227" s="9"/>
      <c r="AU227" s="447"/>
      <c r="AV227" s="447"/>
      <c r="AW227" s="468"/>
      <c r="AX227" s="468"/>
      <c r="AY227" s="10"/>
      <c r="AZ227" s="10"/>
      <c r="BA227" s="553" t="str">
        <f t="shared" si="27"/>
        <v/>
      </c>
      <c r="BB227" s="553" t="str">
        <f t="shared" si="28"/>
        <v/>
      </c>
      <c r="BC227" s="553" t="str">
        <f t="shared" si="25"/>
        <v/>
      </c>
      <c r="BD227" s="572" t="str">
        <f>IF(AND(L227="",H227=""),"",
IF(H227="",Pole_Calc!A$22,
IF(H227="MP",Pole_Calc!A$23,
IF(H227="AnMP",Pole_Calc!A$24,
IF(H227="A",Pole_Calc!A$25,
IF(H227="S/A",Pole_Calc!A$26,
IF(H227="A/S",Pole_Calc!A$27,"Poner a mano")))))))</f>
        <v/>
      </c>
      <c r="BE227" s="448" t="s">
        <v>1726</v>
      </c>
      <c r="BF227" s="306"/>
      <c r="BG227" s="306"/>
      <c r="BH227" s="306"/>
      <c r="BI227" s="306"/>
    </row>
    <row r="228" spans="1:61" ht="16.2" customHeight="1">
      <c r="A228" s="573" t="s">
        <v>1497</v>
      </c>
      <c r="B228" s="469" t="s">
        <v>1838</v>
      </c>
      <c r="C228" s="3">
        <f>+$C$226+$G$227</f>
        <v>5070.63</v>
      </c>
      <c r="D228" s="88"/>
      <c r="E228" s="4"/>
      <c r="F228" s="4">
        <v>0</v>
      </c>
      <c r="G228" s="6"/>
      <c r="H228" s="468" t="s">
        <v>179</v>
      </c>
      <c r="I228" s="468"/>
      <c r="J228" s="3"/>
      <c r="K228" s="468"/>
      <c r="L228" s="468" t="s">
        <v>448</v>
      </c>
      <c r="M228" s="468" t="s">
        <v>1625</v>
      </c>
      <c r="N228" s="468" t="s">
        <v>28</v>
      </c>
      <c r="O228" s="468" t="s">
        <v>32</v>
      </c>
      <c r="P228" s="468"/>
      <c r="Q228" s="4"/>
      <c r="R228" s="6"/>
      <c r="S228" s="6"/>
      <c r="T228" s="4">
        <v>-15</v>
      </c>
      <c r="U228" s="4">
        <v>-35</v>
      </c>
      <c r="V228" s="4"/>
      <c r="W228" s="9">
        <v>1.4</v>
      </c>
      <c r="X228" s="9">
        <v>2.2999999999999998</v>
      </c>
      <c r="Y228" s="9"/>
      <c r="Z228" s="9">
        <v>0.6</v>
      </c>
      <c r="AA228" s="9"/>
      <c r="AB228" s="9"/>
      <c r="AC228" s="468"/>
      <c r="AD228" s="468"/>
      <c r="AE228" s="468"/>
      <c r="AF228" s="4"/>
      <c r="AG228" s="88"/>
      <c r="AH228" s="4"/>
      <c r="AI228" s="4"/>
      <c r="AJ228" s="468"/>
      <c r="AK228" s="468"/>
      <c r="AL228" s="468"/>
      <c r="AM228" s="468" t="s">
        <v>486</v>
      </c>
      <c r="AN228" s="10">
        <v>5.5</v>
      </c>
      <c r="AO228" s="9"/>
      <c r="AP228" s="9"/>
      <c r="AQ228" s="9"/>
      <c r="AR228" s="9"/>
      <c r="AS228" s="9"/>
      <c r="AT228" s="9">
        <f>+ab($U$228,$T$226,$U$230,$G$227,$G$229,-1*$F$228,1200)</f>
        <v>-8.9374343833766563</v>
      </c>
      <c r="AU228" s="447"/>
      <c r="AV228" s="447"/>
      <c r="AW228" s="468" t="s">
        <v>2559</v>
      </c>
      <c r="AX228" s="468" t="s">
        <v>199</v>
      </c>
      <c r="AY228" s="10"/>
      <c r="AZ228" s="10"/>
      <c r="BA228" s="553" t="str">
        <f t="shared" si="27"/>
        <v/>
      </c>
      <c r="BB228" s="553" t="str">
        <f t="shared" si="28"/>
        <v/>
      </c>
      <c r="BC228" s="553" t="str">
        <f t="shared" si="25"/>
        <v>ü</v>
      </c>
      <c r="BD228" s="572" t="str">
        <f>IF(AND(L228="",H228=""),"",
IF(H228="",Pole_Calc!A$22,
IF(H228="MP",Pole_Calc!A$23,
IF(H228="AnMP",Pole_Calc!A$24,
IF(H228="A",Pole_Calc!A$25,
IF(H228="S/A",Pole_Calc!A$26,
IF(H228="A/S",Pole_Calc!A$27,"Poner a mano")))))))</f>
        <v>App.7-V11H-P9.5.2.5</v>
      </c>
      <c r="BE228" s="448" t="s">
        <v>1726</v>
      </c>
      <c r="BF228" s="305"/>
      <c r="BG228" s="305"/>
      <c r="BH228" s="306"/>
      <c r="BI228" s="305"/>
    </row>
    <row r="229" spans="1:61" ht="16.2" customHeight="1">
      <c r="A229" s="573"/>
      <c r="B229" s="469"/>
      <c r="C229" s="3"/>
      <c r="D229" s="88"/>
      <c r="E229" s="4"/>
      <c r="F229" s="4"/>
      <c r="G229" s="6">
        <v>60</v>
      </c>
      <c r="H229" s="468"/>
      <c r="I229" s="468"/>
      <c r="J229" s="3"/>
      <c r="K229" s="468"/>
      <c r="L229" s="468"/>
      <c r="M229" s="468" t="str">
        <f>IF(L229="","",
IF(AX229="PT",VLOOKUP(L229,Foundation_Calc!$V$4:$X$37,VLOOKUP(AX229,Foundation_Calc!$I$10:$J$13,2,FALSE),0),
IF(AX229="K",VLOOKUP(L229,Foundation_Calc!$V$41:$X$74,VLOOKUP(AX229,Foundation_Calc!$I$10:$J$13,2,FALSE),0),"")))</f>
        <v/>
      </c>
      <c r="N229" s="468"/>
      <c r="O229" s="468"/>
      <c r="P229" s="468"/>
      <c r="Q229" s="4"/>
      <c r="R229" s="6"/>
      <c r="S229" s="6"/>
      <c r="T229" s="4"/>
      <c r="U229" s="4"/>
      <c r="V229" s="4"/>
      <c r="W229" s="9"/>
      <c r="X229" s="9"/>
      <c r="Y229" s="9"/>
      <c r="Z229" s="9"/>
      <c r="AA229" s="9"/>
      <c r="AB229" s="9"/>
      <c r="AC229" s="468" t="str">
        <f t="shared" si="26"/>
        <v/>
      </c>
      <c r="AD229" s="468"/>
      <c r="AE229" s="468"/>
      <c r="AF229" s="4"/>
      <c r="AG229" s="88"/>
      <c r="AH229" s="4"/>
      <c r="AI229" s="4"/>
      <c r="AJ229" s="468"/>
      <c r="AK229" s="468"/>
      <c r="AL229" s="468"/>
      <c r="AM229" s="468"/>
      <c r="AN229" s="10"/>
      <c r="AO229" s="9"/>
      <c r="AP229" s="9"/>
      <c r="AQ229" s="9">
        <f>+FL_1($U$230,$U$228,$G$229,1200,9.28,-1*$F$230)</f>
        <v>0.29289941866666669</v>
      </c>
      <c r="AR229" s="9"/>
      <c r="AS229" s="9"/>
      <c r="AT229" s="9"/>
      <c r="AU229" s="447"/>
      <c r="AV229" s="447"/>
      <c r="AW229" s="468" t="str">
        <f>IF(C229&gt;0,VLOOKUP(C229,Foundation_Calc!$A$2:$C$13,3,1),
IF(J229&gt;0,VLOOKUP(J229,Foundation_Calc!$A$2:$C$13,3,1),""))</f>
        <v/>
      </c>
      <c r="AX229" s="468" t="str">
        <f>IF(C229&gt;0,VLOOKUP(C229,Foundation_Calc!$E$2:$G$13,3,1),
IF(J229&gt;0,VLOOKUP(J229,Foundation_Calc!$E$2:$G$13,3,1),""))</f>
        <v/>
      </c>
      <c r="AY229" s="10" t="str">
        <f>IF(L229="","",
IF(AX229="PT",VLOOKUP(L229,Foundation_Calc!$K$4:$R$37,VLOOKUP(AW229,Foundation_Calc!$I$2:$J$8,2,FALSE),0),
IF(AX229="K",VLOOKUP(L229,Foundation_Calc!$K$41:$R$74,VLOOKUP(AW229,Foundation_Calc!$I$2:$J$8,2,FALSE),0),"")))</f>
        <v/>
      </c>
      <c r="AZ229" s="10" t="str">
        <f>IF(K229="","",
IF(AX229="PT",VLOOKUP(K229,Foundation_Calc!$K$4:$R$37,VLOOKUP(AW229,Foundation_Calc!$I$2:$J$8,2,FALSE),0),
IF(AX229="K",VLOOKUP(K229,Foundation_Calc!$K$41:$R$74,VLOOKUP(AW229,Foundation_Calc!$I$2:$J$8,2,FALSE),0),"")))</f>
        <v/>
      </c>
      <c r="BA229" s="553" t="str">
        <f t="shared" si="27"/>
        <v/>
      </c>
      <c r="BB229" s="553" t="str">
        <f t="shared" si="28"/>
        <v/>
      </c>
      <c r="BC229" s="553" t="str">
        <f t="shared" si="25"/>
        <v/>
      </c>
      <c r="BD229" s="572" t="str">
        <f>IF(AND(L229="",H229=""),"",
IF(H229="",Pole_Calc!A$22,
IF(H229="MP",Pole_Calc!A$23,
IF(H229="AnMP",Pole_Calc!A$24,
IF(H229="A",Pole_Calc!A$25,
IF(H229="S/A",Pole_Calc!A$26,
IF(H229="A/S",Pole_Calc!A$27,"Poner a mano")))))))</f>
        <v/>
      </c>
      <c r="BE229" s="448" t="s">
        <v>1726</v>
      </c>
      <c r="BF229" s="306"/>
      <c r="BG229" s="306"/>
      <c r="BH229" s="306"/>
      <c r="BI229" s="306"/>
    </row>
    <row r="230" spans="1:61" ht="16.2" customHeight="1">
      <c r="A230" s="573"/>
      <c r="B230" s="469" t="s">
        <v>1839</v>
      </c>
      <c r="C230" s="3">
        <f>+$C$228+$G$229</f>
        <v>5130.63</v>
      </c>
      <c r="D230" s="88"/>
      <c r="E230" s="4"/>
      <c r="F230" s="4">
        <v>0</v>
      </c>
      <c r="G230" s="6"/>
      <c r="H230" s="468" t="s">
        <v>179</v>
      </c>
      <c r="I230" s="468"/>
      <c r="J230" s="3"/>
      <c r="K230" s="468"/>
      <c r="L230" s="468" t="s">
        <v>448</v>
      </c>
      <c r="M230" s="468" t="str">
        <f>IF(L230="","",
IF(AX230="PT",VLOOKUP(L230,Foundation_Calc!$V$4:$X$37,VLOOKUP(AX230,Foundation_Calc!$I$10:$J$13,2,FALSE),0),
IF(AX230="K",VLOOKUP(L230,Foundation_Calc!$V$41:$X$74,VLOOKUP(AX230,Foundation_Calc!$I$10:$J$13,2,FALSE),0),"")))</f>
        <v>2C3SR</v>
      </c>
      <c r="N230" s="468" t="s">
        <v>33</v>
      </c>
      <c r="O230" s="468" t="s">
        <v>28</v>
      </c>
      <c r="P230" s="468"/>
      <c r="Q230" s="4"/>
      <c r="R230" s="6"/>
      <c r="S230" s="6"/>
      <c r="T230" s="4">
        <v>35</v>
      </c>
      <c r="U230" s="4">
        <v>15</v>
      </c>
      <c r="V230" s="4"/>
      <c r="W230" s="9">
        <v>1.4</v>
      </c>
      <c r="X230" s="9">
        <v>2.2999999999999998</v>
      </c>
      <c r="Y230" s="9"/>
      <c r="Z230" s="9"/>
      <c r="AA230" s="9">
        <v>0.6</v>
      </c>
      <c r="AB230" s="9"/>
      <c r="AC230" s="468" t="str">
        <f t="shared" si="26"/>
        <v>PH</v>
      </c>
      <c r="AD230" s="468"/>
      <c r="AE230" s="468"/>
      <c r="AF230" s="4"/>
      <c r="AG230" s="88"/>
      <c r="AH230" s="4"/>
      <c r="AI230" s="4"/>
      <c r="AJ230" s="468"/>
      <c r="AK230" s="468"/>
      <c r="AL230" s="468"/>
      <c r="AM230" s="468" t="s">
        <v>486</v>
      </c>
      <c r="AN230" s="10">
        <v>5.5</v>
      </c>
      <c r="AO230" s="9"/>
      <c r="AP230" s="9"/>
      <c r="AQ230" s="9"/>
      <c r="AR230" s="9"/>
      <c r="AS230" s="9"/>
      <c r="AT230" s="9">
        <f>+ab($T$230,$T$228,$T$232,$G$229,$G$231,-1*$F$230,1200)</f>
        <v>8.528634102409054</v>
      </c>
      <c r="AU230" s="447"/>
      <c r="AV230" s="447"/>
      <c r="AW230" s="468" t="str">
        <f>IF(C230&gt;0,VLOOKUP(C230,Foundation_Calc!$A$2:$C$13,3,1),
IF(J230&gt;0,VLOOKUP(J230,Foundation_Calc!$A$2:$C$13,3,1),""))</f>
        <v>MultiSoil</v>
      </c>
      <c r="AX230" s="468" t="str">
        <f>IF(C230&gt;0,VLOOKUP(C230,Foundation_Calc!$E$2:$G$13,3,1),
IF(J230&gt;0,VLOOKUP(J230,Foundation_Calc!$E$2:$G$13,3,1),""))</f>
        <v>PT</v>
      </c>
      <c r="AY230" s="10">
        <f>IF(L230="","",
IF(AX230="PT",VLOOKUP(L230,Foundation_Calc!$K$4:$R$37,VLOOKUP(AW230,Foundation_Calc!$I$2:$J$8,2,FALSE),0),
IF(AX230="K",VLOOKUP(L230,Foundation_Calc!$K$41:$R$74,VLOOKUP(AW230,Foundation_Calc!$I$2:$J$8,2,FALSE),0),"")))</f>
        <v>3.9</v>
      </c>
      <c r="AZ230" s="10" t="str">
        <f>IF(K230="","",
IF(AX230="PT",VLOOKUP(K230,Foundation_Calc!$K$4:$R$37,VLOOKUP(AW230,Foundation_Calc!$I$2:$J$8,2,FALSE),0),
IF(AX230="K",VLOOKUP(K230,Foundation_Calc!$K$41:$R$74,VLOOKUP(AW230,Foundation_Calc!$I$2:$J$8,2,FALSE),0),"")))</f>
        <v/>
      </c>
      <c r="BA230" s="553" t="str">
        <f t="shared" si="27"/>
        <v>ü</v>
      </c>
      <c r="BB230" s="553" t="str">
        <f t="shared" si="28"/>
        <v/>
      </c>
      <c r="BC230" s="553" t="str">
        <f t="shared" si="25"/>
        <v/>
      </c>
      <c r="BD230" s="572" t="str">
        <f>IF(AND(L230="",H230=""),"",
IF(H230="",Pole_Calc!A$22,
IF(H230="MP",Pole_Calc!A$23,
IF(H230="AnMP",Pole_Calc!A$24,
IF(H230="A",Pole_Calc!A$25,
IF(H230="S/A",Pole_Calc!A$26,
IF(H230="A/S",Pole_Calc!A$27,"Poner a mano")))))))</f>
        <v>App.7-V11H-P9.5.2.5</v>
      </c>
      <c r="BE230" s="448" t="s">
        <v>1726</v>
      </c>
      <c r="BF230" s="305"/>
      <c r="BG230" s="305"/>
      <c r="BH230" s="306"/>
      <c r="BI230" s="305"/>
    </row>
    <row r="231" spans="1:61" ht="16.2" customHeight="1">
      <c r="A231" s="573"/>
      <c r="B231" s="469"/>
      <c r="C231" s="3"/>
      <c r="D231" s="88"/>
      <c r="E231" s="4"/>
      <c r="F231" s="4"/>
      <c r="G231" s="6">
        <v>50</v>
      </c>
      <c r="H231" s="468"/>
      <c r="I231" s="468"/>
      <c r="J231" s="3"/>
      <c r="K231" s="468"/>
      <c r="L231" s="468"/>
      <c r="M231" s="468" t="str">
        <f>IF(L231="","",
IF(AX231="PT",VLOOKUP(L231,Foundation_Calc!$V$4:$X$37,VLOOKUP(AX231,Foundation_Calc!$I$10:$J$13,2,FALSE),0),
IF(AX231="K",VLOOKUP(L231,Foundation_Calc!$V$41:$X$74,VLOOKUP(AX231,Foundation_Calc!$I$10:$J$13,2,FALSE),0),"")))</f>
        <v/>
      </c>
      <c r="N231" s="468"/>
      <c r="O231" s="468"/>
      <c r="P231" s="468"/>
      <c r="Q231" s="4"/>
      <c r="R231" s="6"/>
      <c r="S231" s="6"/>
      <c r="T231" s="4"/>
      <c r="U231" s="4"/>
      <c r="V231" s="4"/>
      <c r="W231" s="9"/>
      <c r="X231" s="9"/>
      <c r="Y231" s="9"/>
      <c r="Z231" s="9"/>
      <c r="AA231" s="9"/>
      <c r="AB231" s="9"/>
      <c r="AC231" s="468" t="str">
        <f t="shared" si="26"/>
        <v/>
      </c>
      <c r="AD231" s="468"/>
      <c r="AE231" s="468"/>
      <c r="AF231" s="4"/>
      <c r="AG231" s="88"/>
      <c r="AH231" s="4"/>
      <c r="AI231" s="4"/>
      <c r="AJ231" s="468"/>
      <c r="AK231" s="468"/>
      <c r="AL231" s="468"/>
      <c r="AM231" s="468"/>
      <c r="AN231" s="10"/>
      <c r="AO231" s="9"/>
      <c r="AP231" s="9"/>
      <c r="AQ231" s="9">
        <f>+FL_2($T$232,$T$230,$G$231,1200,9.28,-1*$F$232)</f>
        <v>-0.36839079999999996</v>
      </c>
      <c r="AR231" s="9"/>
      <c r="AS231" s="9"/>
      <c r="AT231" s="9"/>
      <c r="AU231" s="447"/>
      <c r="AV231" s="447"/>
      <c r="AW231" s="468" t="str">
        <f>IF(C231&gt;0,VLOOKUP(C231,Foundation_Calc!$A$2:$C$13,3,1),
IF(J231&gt;0,VLOOKUP(J231,Foundation_Calc!$A$2:$C$13,3,1),""))</f>
        <v/>
      </c>
      <c r="AX231" s="468" t="str">
        <f>IF(C231&gt;0,VLOOKUP(C231,Foundation_Calc!$E$2:$G$13,3,1),
IF(J231&gt;0,VLOOKUP(J231,Foundation_Calc!$E$2:$G$13,3,1),""))</f>
        <v/>
      </c>
      <c r="AY231" s="10" t="str">
        <f>IF(L231="","",
IF(AX231="PT",VLOOKUP(L231,Foundation_Calc!$K$4:$R$37,VLOOKUP(AW231,Foundation_Calc!$I$2:$J$8,2,FALSE),0),
IF(AX231="K",VLOOKUP(L231,Foundation_Calc!$K$41:$R$74,VLOOKUP(AW231,Foundation_Calc!$I$2:$J$8,2,FALSE),0),"")))</f>
        <v/>
      </c>
      <c r="AZ231" s="10" t="str">
        <f>IF(K231="","",
IF(AX231="PT",VLOOKUP(K231,Foundation_Calc!$K$4:$R$37,VLOOKUP(AW231,Foundation_Calc!$I$2:$J$8,2,FALSE),0),
IF(AX231="K",VLOOKUP(K231,Foundation_Calc!$K$41:$R$74,VLOOKUP(AW231,Foundation_Calc!$I$2:$J$8,2,FALSE),0),"")))</f>
        <v/>
      </c>
      <c r="BA231" s="553" t="str">
        <f t="shared" si="27"/>
        <v/>
      </c>
      <c r="BB231" s="553" t="str">
        <f t="shared" si="28"/>
        <v/>
      </c>
      <c r="BC231" s="553" t="str">
        <f t="shared" si="25"/>
        <v/>
      </c>
      <c r="BD231" s="572" t="str">
        <f>IF(AND(L231="",H231=""),"",
IF(H231="",Pole_Calc!A$22,
IF(H231="MP",Pole_Calc!A$23,
IF(H231="AnMP",Pole_Calc!A$24,
IF(H231="A",Pole_Calc!A$25,
IF(H231="S/A",Pole_Calc!A$26,
IF(H231="A/S",Pole_Calc!A$27,"Poner a mano")))))))</f>
        <v/>
      </c>
      <c r="BE231" s="448" t="s">
        <v>1726</v>
      </c>
      <c r="BF231" s="306"/>
      <c r="BG231" s="306"/>
      <c r="BH231" s="306"/>
      <c r="BI231" s="306"/>
    </row>
    <row r="232" spans="1:61" ht="16.2" customHeight="1">
      <c r="A232" s="573"/>
      <c r="B232" s="469" t="s">
        <v>1840</v>
      </c>
      <c r="C232" s="3">
        <f>+$C$230+$G$231</f>
        <v>5180.63</v>
      </c>
      <c r="D232" s="88"/>
      <c r="E232" s="4"/>
      <c r="F232" s="4">
        <v>0</v>
      </c>
      <c r="G232" s="6"/>
      <c r="H232" s="468" t="s">
        <v>26</v>
      </c>
      <c r="I232" s="468" t="s">
        <v>182</v>
      </c>
      <c r="J232" s="3"/>
      <c r="K232" s="468"/>
      <c r="L232" s="468" t="s">
        <v>452</v>
      </c>
      <c r="M232" s="468" t="str">
        <f>IF(L232="","",
IF(AX232="PT",VLOOKUP(L232,Foundation_Calc!$V$4:$X$37,VLOOKUP(AX232,Foundation_Calc!$I$10:$J$13,2,FALSE),0),
IF(AX232="K",VLOOKUP(L232,Foundation_Calc!$V$41:$X$74,VLOOKUP(AX232,Foundation_Calc!$I$10:$J$13,2,FALSE),0),"")))</f>
        <v>C4SR</v>
      </c>
      <c r="N232" s="468" t="s">
        <v>32</v>
      </c>
      <c r="O232" s="468"/>
      <c r="P232" s="468"/>
      <c r="Q232" s="4"/>
      <c r="R232" s="6"/>
      <c r="S232" s="6"/>
      <c r="T232" s="4">
        <v>-35</v>
      </c>
      <c r="U232" s="4"/>
      <c r="V232" s="4"/>
      <c r="W232" s="9">
        <v>1.4</v>
      </c>
      <c r="X232" s="9"/>
      <c r="Y232" s="9"/>
      <c r="Z232" s="9"/>
      <c r="AA232" s="9"/>
      <c r="AB232" s="9"/>
      <c r="AC232" s="468" t="str">
        <f t="shared" si="26"/>
        <v>PHQ</v>
      </c>
      <c r="AD232" s="468"/>
      <c r="AE232" s="468"/>
      <c r="AF232" s="4"/>
      <c r="AG232" s="88"/>
      <c r="AH232" s="4"/>
      <c r="AI232" s="4"/>
      <c r="AJ232" s="468"/>
      <c r="AK232" s="468"/>
      <c r="AL232" s="468"/>
      <c r="AM232" s="468" t="s">
        <v>486</v>
      </c>
      <c r="AN232" s="10">
        <v>5.5</v>
      </c>
      <c r="AO232" s="9"/>
      <c r="AP232" s="9"/>
      <c r="AQ232" s="9"/>
      <c r="AR232" s="9"/>
      <c r="AS232" s="9"/>
      <c r="AT232" s="9">
        <f>+ab($T$232,$T$230,$T$234,$G$231,$G$233,-1*$F$232,1200)</f>
        <v>-6.8411237537386453</v>
      </c>
      <c r="AU232" s="447"/>
      <c r="AV232" s="447"/>
      <c r="AW232" s="468" t="str">
        <f>IF(C232&gt;0,VLOOKUP(C232,Foundation_Calc!$A$2:$C$13,3,1),
IF(J232&gt;0,VLOOKUP(J232,Foundation_Calc!$A$2:$C$13,3,1),""))</f>
        <v>MultiSoil</v>
      </c>
      <c r="AX232" s="468" t="str">
        <f>IF(C232&gt;0,VLOOKUP(C232,Foundation_Calc!$E$2:$G$13,3,1),
IF(J232&gt;0,VLOOKUP(J232,Foundation_Calc!$E$2:$G$13,3,1),""))</f>
        <v>PT</v>
      </c>
      <c r="AY232" s="10">
        <f>IF(L232="","",
IF(AX232="PT",VLOOKUP(L232,Foundation_Calc!$K$4:$R$37,VLOOKUP(AW232,Foundation_Calc!$I$2:$J$8,2,FALSE),0),
IF(AX232="K",VLOOKUP(L232,Foundation_Calc!$K$41:$R$74,VLOOKUP(AW232,Foundation_Calc!$I$2:$J$8,2,FALSE),0),"")))</f>
        <v>3.7</v>
      </c>
      <c r="AZ232" s="10" t="str">
        <f>IF(K232="","",
IF(AX232="PT",VLOOKUP(K232,Foundation_Calc!$K$4:$R$37,VLOOKUP(AW232,Foundation_Calc!$I$2:$J$8,2,FALSE),0),
IF(AX232="K",VLOOKUP(K232,Foundation_Calc!$K$41:$R$74,VLOOKUP(AW232,Foundation_Calc!$I$2:$J$8,2,FALSE),0),"")))</f>
        <v/>
      </c>
      <c r="BA232" s="553" t="str">
        <f t="shared" si="27"/>
        <v>ü</v>
      </c>
      <c r="BB232" s="553" t="str">
        <f t="shared" si="28"/>
        <v/>
      </c>
      <c r="BC232" s="553" t="str">
        <f t="shared" si="25"/>
        <v/>
      </c>
      <c r="BD232" s="572" t="str">
        <f>IF(AND(L232="",H232=""),"",
IF(H232="",Pole_Calc!A$22,
IF(H232="MP",Pole_Calc!A$23,
IF(H232="AnMP",Pole_Calc!A$24,
IF(H232="A",Pole_Calc!A$25,
IF(H232="S/A",Pole_Calc!A$26,
IF(H232="A/S",Pole_Calc!A$27,"Poner a mano")))))))</f>
        <v>App.7-V11H-P9.5.2.6</v>
      </c>
      <c r="BE232" s="448" t="s">
        <v>1726</v>
      </c>
      <c r="BF232" s="305"/>
      <c r="BG232" s="305"/>
      <c r="BH232" s="306"/>
      <c r="BI232" s="305"/>
    </row>
    <row r="233" spans="1:61" ht="16.2" customHeight="1">
      <c r="A233" s="573"/>
      <c r="B233" s="469"/>
      <c r="C233" s="3"/>
      <c r="D233" s="88"/>
      <c r="E233" s="4"/>
      <c r="F233" s="4"/>
      <c r="G233" s="6">
        <v>50.3</v>
      </c>
      <c r="H233" s="468"/>
      <c r="I233" s="468"/>
      <c r="J233" s="3">
        <f>C232+7.5</f>
        <v>5188.13</v>
      </c>
      <c r="K233" s="468" t="s">
        <v>2365</v>
      </c>
      <c r="L233" s="468"/>
      <c r="M233" s="468" t="str">
        <f>IF(L233="","",
IF(AX233="PT",VLOOKUP(L233,Foundation_Calc!$V$4:$X$37,VLOOKUP(AX233,Foundation_Calc!$I$10:$J$13,2,FALSE),0),
IF(AX233="K",VLOOKUP(L233,Foundation_Calc!$V$41:$X$74,VLOOKUP(AX233,Foundation_Calc!$I$10:$J$13,2,FALSE),0),"")))</f>
        <v/>
      </c>
      <c r="N233" s="468"/>
      <c r="O233" s="468"/>
      <c r="P233" s="468"/>
      <c r="Q233" s="4"/>
      <c r="R233" s="6"/>
      <c r="S233" s="6"/>
      <c r="T233" s="4"/>
      <c r="U233" s="4"/>
      <c r="V233" s="4"/>
      <c r="W233" s="9"/>
      <c r="X233" s="9"/>
      <c r="Y233" s="9"/>
      <c r="Z233" s="9"/>
      <c r="AA233" s="9"/>
      <c r="AB233" s="9"/>
      <c r="AC233" s="468" t="str">
        <f t="shared" si="26"/>
        <v/>
      </c>
      <c r="AD233" s="468"/>
      <c r="AE233" s="468"/>
      <c r="AF233" s="4"/>
      <c r="AG233" s="88"/>
      <c r="AH233" s="4"/>
      <c r="AI233" s="4"/>
      <c r="AJ233" s="468"/>
      <c r="AK233" s="468"/>
      <c r="AL233" s="468"/>
      <c r="AM233" s="468"/>
      <c r="AN233" s="10"/>
      <c r="AO233" s="9"/>
      <c r="AP233" s="9"/>
      <c r="AQ233" s="9">
        <f>+FL_1($T$234,$T$232,$G$233,1200,9.28,-1*$F$234)</f>
        <v>0.36979238455931079</v>
      </c>
      <c r="AR233" s="9"/>
      <c r="AS233" s="9"/>
      <c r="AT233" s="9"/>
      <c r="AU233" s="447"/>
      <c r="AV233" s="447"/>
      <c r="AW233" s="468" t="str">
        <f>IF(C233&gt;0,VLOOKUP(C233,Foundation_Calc!$A$2:$C$13,3,1),
IF(J233&gt;0,VLOOKUP(J233,Foundation_Calc!$A$2:$C$13,3,1),""))</f>
        <v>MultiSoil</v>
      </c>
      <c r="AX233" s="468" t="str">
        <f>IF(C233&gt;0,VLOOKUP(C233,Foundation_Calc!$E$2:$G$13,3,1),
IF(J233&gt;0,VLOOKUP(J233,Foundation_Calc!$E$2:$G$13,3,1),""))</f>
        <v>PT</v>
      </c>
      <c r="AY233" s="10" t="str">
        <f>IF(L233="","",
IF(AX233="PT",VLOOKUP(L233,Foundation_Calc!$K$4:$R$37,VLOOKUP(AW233,Foundation_Calc!$I$2:$J$8,2,FALSE),0),
IF(AX233="K",VLOOKUP(L233,Foundation_Calc!$K$41:$R$74,VLOOKUP(AW233,Foundation_Calc!$I$2:$J$8,2,FALSE),0),"")))</f>
        <v/>
      </c>
      <c r="AZ233" s="10">
        <f>IF(K233="","",
IF(AX233="PT",VLOOKUP(K233,Foundation_Calc!$K$4:$R$37,VLOOKUP(AW233,Foundation_Calc!$I$2:$J$8,2,FALSE),0),
IF(AX233="K",VLOOKUP(K233,Foundation_Calc!$K$41:$R$74,VLOOKUP(AW233,Foundation_Calc!$I$2:$J$8,2,FALSE),0),"")))</f>
        <v>3.9</v>
      </c>
      <c r="BA233" s="553" t="str">
        <f t="shared" si="27"/>
        <v/>
      </c>
      <c r="BB233" s="553" t="str">
        <f t="shared" si="28"/>
        <v>ü</v>
      </c>
      <c r="BC233" s="553" t="str">
        <f t="shared" si="25"/>
        <v/>
      </c>
      <c r="BD233" s="572" t="str">
        <f>IF(AND(L233="",H233=""),"",
IF(H233="",Pole_Calc!A$22,
IF(H233="MP",Pole_Calc!A$23,
IF(H233="AnMP",Pole_Calc!A$24,
IF(H233="A",Pole_Calc!A$25,
IF(H233="S/A",Pole_Calc!A$26,
IF(H233="A/S",Pole_Calc!A$27,"Poner a mano")))))))</f>
        <v/>
      </c>
      <c r="BE233" s="448" t="s">
        <v>1726</v>
      </c>
      <c r="BF233" s="306"/>
      <c r="BG233" s="306"/>
      <c r="BH233" s="306"/>
      <c r="BI233" s="306"/>
    </row>
    <row r="234" spans="1:61" ht="16.2" customHeight="1">
      <c r="A234" s="573"/>
      <c r="B234" s="469" t="s">
        <v>1841</v>
      </c>
      <c r="C234" s="3">
        <f>+$C$232+$G$233</f>
        <v>5230.93</v>
      </c>
      <c r="D234" s="88"/>
      <c r="E234" s="4"/>
      <c r="F234" s="4">
        <v>0</v>
      </c>
      <c r="G234" s="6"/>
      <c r="H234" s="468"/>
      <c r="I234" s="468"/>
      <c r="J234" s="3"/>
      <c r="K234" s="468"/>
      <c r="L234" s="468" t="s">
        <v>38</v>
      </c>
      <c r="M234" s="468" t="str">
        <f>IF(L234="","",
IF(AX234="PT",VLOOKUP(L234,Foundation_Calc!$V$4:$X$37,VLOOKUP(AX234,Foundation_Calc!$I$10:$J$13,2,FALSE),0),
IF(AX234="K",VLOOKUP(L234,Foundation_Calc!$V$41:$X$74,VLOOKUP(AX234,Foundation_Calc!$I$10:$J$13,2,FALSE),0),"")))</f>
        <v>C4SR</v>
      </c>
      <c r="N234" s="468" t="s">
        <v>33</v>
      </c>
      <c r="O234" s="468"/>
      <c r="P234" s="468"/>
      <c r="Q234" s="4"/>
      <c r="R234" s="6"/>
      <c r="S234" s="6"/>
      <c r="T234" s="4">
        <v>35</v>
      </c>
      <c r="U234" s="4"/>
      <c r="V234" s="4"/>
      <c r="W234" s="9">
        <v>1.4</v>
      </c>
      <c r="X234" s="9"/>
      <c r="Y234" s="9"/>
      <c r="Z234" s="9"/>
      <c r="AA234" s="9"/>
      <c r="AB234" s="9"/>
      <c r="AC234" s="468" t="str">
        <f t="shared" si="26"/>
        <v>PHQ</v>
      </c>
      <c r="AD234" s="468"/>
      <c r="AE234" s="468"/>
      <c r="AF234" s="4"/>
      <c r="AG234" s="88"/>
      <c r="AH234" s="4"/>
      <c r="AI234" s="4"/>
      <c r="AJ234" s="468"/>
      <c r="AK234" s="468"/>
      <c r="AL234" s="468"/>
      <c r="AM234" s="468" t="s">
        <v>486</v>
      </c>
      <c r="AN234" s="10">
        <v>5.5</v>
      </c>
      <c r="AO234" s="9"/>
      <c r="AP234" s="9"/>
      <c r="AQ234" s="9"/>
      <c r="AR234" s="9"/>
      <c r="AS234" s="9"/>
      <c r="AT234" s="9">
        <f>+ab($T$234,$T$232,$T$236,$G$233,$G$235,-1*$F$234,1200)</f>
        <v>6.4069763522153194</v>
      </c>
      <c r="AU234" s="447"/>
      <c r="AV234" s="447"/>
      <c r="AW234" s="468" t="str">
        <f>IF(C234&gt;0,VLOOKUP(C234,Foundation_Calc!$A$2:$C$13,3,1),
IF(J234&gt;0,VLOOKUP(J234,Foundation_Calc!$A$2:$C$13,3,1),""))</f>
        <v>MultiSoil</v>
      </c>
      <c r="AX234" s="468" t="str">
        <f>IF(C234&gt;0,VLOOKUP(C234,Foundation_Calc!$E$2:$G$13,3,1),
IF(J234&gt;0,VLOOKUP(J234,Foundation_Calc!$E$2:$G$13,3,1),""))</f>
        <v>PT</v>
      </c>
      <c r="AY234" s="10">
        <f>IF(L234="","",
IF(AX234="PT",VLOOKUP(L234,Foundation_Calc!$K$4:$R$37,VLOOKUP(AW234,Foundation_Calc!$I$2:$J$8,2,FALSE),0),
IF(AX234="K",VLOOKUP(L234,Foundation_Calc!$K$41:$R$74,VLOOKUP(AW234,Foundation_Calc!$I$2:$J$8,2,FALSE),0),"")))</f>
        <v>3.7</v>
      </c>
      <c r="AZ234" s="10" t="str">
        <f>IF(K234="","",
IF(AX234="PT",VLOOKUP(K234,Foundation_Calc!$K$4:$R$37,VLOOKUP(AW234,Foundation_Calc!$I$2:$J$8,2,FALSE),0),
IF(AX234="K",VLOOKUP(K234,Foundation_Calc!$K$41:$R$74,VLOOKUP(AW234,Foundation_Calc!$I$2:$J$8,2,FALSE),0),"")))</f>
        <v/>
      </c>
      <c r="BA234" s="553" t="str">
        <f t="shared" si="27"/>
        <v>ü</v>
      </c>
      <c r="BB234" s="553" t="str">
        <f t="shared" si="28"/>
        <v/>
      </c>
      <c r="BC234" s="553" t="str">
        <f t="shared" si="25"/>
        <v/>
      </c>
      <c r="BD234" s="572" t="str">
        <f>IF(AND(L234="",H234=""),"",
IF(H234="",Pole_Calc!A$22,
IF(H234="MP",Pole_Calc!A$23,
IF(H234="AnMP",Pole_Calc!A$24,
IF(H234="A",Pole_Calc!A$25,
IF(H234="S/A",Pole_Calc!A$26,
IF(H234="A/S",Pole_Calc!A$27,"Poner a mano")))))))</f>
        <v>App.7-V11H-P9.5.2.1</v>
      </c>
      <c r="BE234" s="448" t="s">
        <v>1726</v>
      </c>
      <c r="BF234" s="305"/>
      <c r="BG234" s="305"/>
      <c r="BH234" s="306"/>
      <c r="BI234" s="305"/>
    </row>
    <row r="235" spans="1:61" ht="16.2" customHeight="1">
      <c r="A235" s="573"/>
      <c r="B235" s="469"/>
      <c r="C235" s="3"/>
      <c r="D235" s="88"/>
      <c r="E235" s="4"/>
      <c r="F235" s="4"/>
      <c r="G235" s="6">
        <v>44</v>
      </c>
      <c r="H235" s="468"/>
      <c r="I235" s="468"/>
      <c r="J235" s="3"/>
      <c r="K235" s="468"/>
      <c r="L235" s="468"/>
      <c r="M235" s="468" t="str">
        <f>IF(L235="","",
IF(AX235="PT",VLOOKUP(L235,Foundation_Calc!$V$4:$X$37,VLOOKUP(AX235,Foundation_Calc!$I$10:$J$13,2,FALSE),0),
IF(AX235="K",VLOOKUP(L235,Foundation_Calc!$V$41:$X$74,VLOOKUP(AX235,Foundation_Calc!$I$10:$J$13,2,FALSE),0),"")))</f>
        <v/>
      </c>
      <c r="N235" s="468"/>
      <c r="O235" s="468"/>
      <c r="P235" s="468"/>
      <c r="Q235" s="4"/>
      <c r="R235" s="6"/>
      <c r="S235" s="6"/>
      <c r="T235" s="4"/>
      <c r="U235" s="4"/>
      <c r="V235" s="4"/>
      <c r="W235" s="9"/>
      <c r="X235" s="9"/>
      <c r="Y235" s="9"/>
      <c r="Z235" s="9"/>
      <c r="AA235" s="9"/>
      <c r="AB235" s="9"/>
      <c r="AC235" s="468" t="str">
        <f t="shared" si="26"/>
        <v/>
      </c>
      <c r="AD235" s="468"/>
      <c r="AE235" s="468"/>
      <c r="AF235" s="4"/>
      <c r="AG235" s="88"/>
      <c r="AH235" s="4"/>
      <c r="AI235" s="4"/>
      <c r="AJ235" s="468"/>
      <c r="AK235" s="468"/>
      <c r="AL235" s="468"/>
      <c r="AM235" s="468"/>
      <c r="AN235" s="10"/>
      <c r="AO235" s="9"/>
      <c r="AP235" s="9"/>
      <c r="AQ235" s="9">
        <f>+FL_2($T$236,$T$234,$G$235,1200,9.28,-1*$F$236)</f>
        <v>-0.35078837199999996</v>
      </c>
      <c r="AR235" s="9"/>
      <c r="AS235" s="9"/>
      <c r="AT235" s="9"/>
      <c r="AU235" s="447"/>
      <c r="AV235" s="447"/>
      <c r="AW235" s="468" t="str">
        <f>IF(C235&gt;0,VLOOKUP(C235,Foundation_Calc!$A$2:$C$13,3,1),
IF(J235&gt;0,VLOOKUP(J235,Foundation_Calc!$A$2:$C$13,3,1),""))</f>
        <v/>
      </c>
      <c r="AX235" s="468" t="str">
        <f>IF(C235&gt;0,VLOOKUP(C235,Foundation_Calc!$E$2:$G$13,3,1),
IF(J235&gt;0,VLOOKUP(J235,Foundation_Calc!$E$2:$G$13,3,1),""))</f>
        <v/>
      </c>
      <c r="AY235" s="10" t="str">
        <f>IF(L235="","",
IF(AX235="PT",VLOOKUP(L235,Foundation_Calc!$K$4:$R$37,VLOOKUP(AW235,Foundation_Calc!$I$2:$J$8,2,FALSE),0),
IF(AX235="K",VLOOKUP(L235,Foundation_Calc!$K$41:$R$74,VLOOKUP(AW235,Foundation_Calc!$I$2:$J$8,2,FALSE),0),"")))</f>
        <v/>
      </c>
      <c r="AZ235" s="10" t="str">
        <f>IF(K235="","",
IF(AX235="PT",VLOOKUP(K235,Foundation_Calc!$K$4:$R$37,VLOOKUP(AW235,Foundation_Calc!$I$2:$J$8,2,FALSE),0),
IF(AX235="K",VLOOKUP(K235,Foundation_Calc!$K$41:$R$74,VLOOKUP(AW235,Foundation_Calc!$I$2:$J$8,2,FALSE),0),"")))</f>
        <v/>
      </c>
      <c r="BA235" s="553" t="str">
        <f t="shared" si="27"/>
        <v/>
      </c>
      <c r="BB235" s="553" t="str">
        <f t="shared" si="28"/>
        <v/>
      </c>
      <c r="BC235" s="553" t="str">
        <f t="shared" si="25"/>
        <v/>
      </c>
      <c r="BD235" s="572" t="str">
        <f>IF(AND(L235="",H235=""),"",
IF(H235="",Pole_Calc!A$22,
IF(H235="MP",Pole_Calc!A$23,
IF(H235="AnMP",Pole_Calc!A$24,
IF(H235="A",Pole_Calc!A$25,
IF(H235="S/A",Pole_Calc!A$26,
IF(H235="A/S",Pole_Calc!A$27,"Poner a mano")))))))</f>
        <v/>
      </c>
      <c r="BE235" s="448" t="s">
        <v>1726</v>
      </c>
      <c r="BF235" s="306"/>
      <c r="BG235" s="306"/>
      <c r="BH235" s="306"/>
      <c r="BI235" s="306"/>
    </row>
    <row r="236" spans="1:61" ht="16.2" customHeight="1">
      <c r="A236" s="573"/>
      <c r="B236" s="469" t="s">
        <v>1842</v>
      </c>
      <c r="C236" s="3">
        <f>+$C$234+$G$235</f>
        <v>5274.93</v>
      </c>
      <c r="D236" s="88"/>
      <c r="E236" s="4"/>
      <c r="F236" s="4">
        <v>0</v>
      </c>
      <c r="G236" s="6"/>
      <c r="H236" s="468"/>
      <c r="I236" s="468"/>
      <c r="J236" s="3"/>
      <c r="K236" s="468"/>
      <c r="L236" s="468" t="s">
        <v>38</v>
      </c>
      <c r="M236" s="468" t="str">
        <f>IF(L236="","",
IF(AX236="PT",VLOOKUP(L236,Foundation_Calc!$V$4:$X$37,VLOOKUP(AX236,Foundation_Calc!$I$10:$J$13,2,FALSE),0),
IF(AX236="K",VLOOKUP(L236,Foundation_Calc!$V$41:$X$74,VLOOKUP(AX236,Foundation_Calc!$I$10:$J$13,2,FALSE),0),"")))</f>
        <v>C4SR</v>
      </c>
      <c r="N236" s="468" t="s">
        <v>32</v>
      </c>
      <c r="O236" s="468"/>
      <c r="P236" s="468"/>
      <c r="Q236" s="4"/>
      <c r="R236" s="6"/>
      <c r="S236" s="6"/>
      <c r="T236" s="4">
        <v>-35</v>
      </c>
      <c r="U236" s="4"/>
      <c r="V236" s="4"/>
      <c r="W236" s="9">
        <v>1.4</v>
      </c>
      <c r="X236" s="9"/>
      <c r="Y236" s="9"/>
      <c r="Z236" s="9"/>
      <c r="AA236" s="9"/>
      <c r="AB236" s="9"/>
      <c r="AC236" s="468" t="str">
        <f t="shared" si="26"/>
        <v>PHQ</v>
      </c>
      <c r="AD236" s="468"/>
      <c r="AE236" s="468"/>
      <c r="AF236" s="4"/>
      <c r="AG236" s="88"/>
      <c r="AH236" s="4"/>
      <c r="AI236" s="4"/>
      <c r="AJ236" s="468"/>
      <c r="AK236" s="468"/>
      <c r="AL236" s="468"/>
      <c r="AM236" s="468" t="s">
        <v>486</v>
      </c>
      <c r="AN236" s="10">
        <v>5.5</v>
      </c>
      <c r="AO236" s="9"/>
      <c r="AP236" s="9"/>
      <c r="AQ236" s="9"/>
      <c r="AR236" s="9"/>
      <c r="AS236" s="9"/>
      <c r="AT236" s="9">
        <f>+ab($T$236,$T$234,$T$238,$G$235,$G$237,-1*$F$236,1200)</f>
        <v>-5.9455550021575423</v>
      </c>
      <c r="AU236" s="447"/>
      <c r="AV236" s="447"/>
      <c r="AW236" s="468" t="str">
        <f>IF(C236&gt;0,VLOOKUP(C236,Foundation_Calc!$A$2:$C$13,3,1),
IF(J236&gt;0,VLOOKUP(J236,Foundation_Calc!$A$2:$C$13,3,1),""))</f>
        <v>MultiSoil</v>
      </c>
      <c r="AX236" s="468" t="str">
        <f>IF(C236&gt;0,VLOOKUP(C236,Foundation_Calc!$E$2:$G$13,3,1),
IF(J236&gt;0,VLOOKUP(J236,Foundation_Calc!$E$2:$G$13,3,1),""))</f>
        <v>PT</v>
      </c>
      <c r="AY236" s="10">
        <f>IF(L236="","",
IF(AX236="PT",VLOOKUP(L236,Foundation_Calc!$K$4:$R$37,VLOOKUP(AW236,Foundation_Calc!$I$2:$J$8,2,FALSE),0),
IF(AX236="K",VLOOKUP(L236,Foundation_Calc!$K$41:$R$74,VLOOKUP(AW236,Foundation_Calc!$I$2:$J$8,2,FALSE),0),"")))</f>
        <v>3.7</v>
      </c>
      <c r="AZ236" s="10" t="str">
        <f>IF(K236="","",
IF(AX236="PT",VLOOKUP(K236,Foundation_Calc!$K$4:$R$37,VLOOKUP(AW236,Foundation_Calc!$I$2:$J$8,2,FALSE),0),
IF(AX236="K",VLOOKUP(K236,Foundation_Calc!$K$41:$R$74,VLOOKUP(AW236,Foundation_Calc!$I$2:$J$8,2,FALSE),0),"")))</f>
        <v/>
      </c>
      <c r="BA236" s="553" t="str">
        <f t="shared" si="27"/>
        <v>ü</v>
      </c>
      <c r="BB236" s="553" t="str">
        <f t="shared" si="28"/>
        <v/>
      </c>
      <c r="BC236" s="553" t="str">
        <f t="shared" si="25"/>
        <v/>
      </c>
      <c r="BD236" s="572" t="str">
        <f>IF(AND(L236="",H236=""),"",
IF(H236="",Pole_Calc!A$22,
IF(H236="MP",Pole_Calc!A$23,
IF(H236="AnMP",Pole_Calc!A$24,
IF(H236="A",Pole_Calc!A$25,
IF(H236="S/A",Pole_Calc!A$26,
IF(H236="A/S",Pole_Calc!A$27,"Poner a mano")))))))</f>
        <v>App.7-V11H-P9.5.2.1</v>
      </c>
      <c r="BE236" s="448" t="s">
        <v>1726</v>
      </c>
      <c r="BF236" s="305"/>
      <c r="BG236" s="305"/>
      <c r="BH236" s="306"/>
      <c r="BI236" s="305"/>
    </row>
    <row r="237" spans="1:61" ht="16.2" customHeight="1">
      <c r="A237" s="573"/>
      <c r="B237" s="469"/>
      <c r="C237" s="3"/>
      <c r="D237" s="88"/>
      <c r="E237" s="4"/>
      <c r="F237" s="4"/>
      <c r="G237" s="6">
        <v>40</v>
      </c>
      <c r="H237" s="468"/>
      <c r="I237" s="468"/>
      <c r="J237" s="3"/>
      <c r="K237" s="468"/>
      <c r="L237" s="468"/>
      <c r="M237" s="468" t="str">
        <f>IF(L237="","",
IF(AX237="PT",VLOOKUP(L237,Foundation_Calc!$V$4:$X$37,VLOOKUP(AX237,Foundation_Calc!$I$10:$J$13,2,FALSE),0),
IF(AX237="K",VLOOKUP(L237,Foundation_Calc!$V$41:$X$74,VLOOKUP(AX237,Foundation_Calc!$I$10:$J$13,2,FALSE),0),"")))</f>
        <v/>
      </c>
      <c r="N237" s="468"/>
      <c r="O237" s="468"/>
      <c r="P237" s="468"/>
      <c r="Q237" s="4"/>
      <c r="R237" s="6"/>
      <c r="S237" s="6"/>
      <c r="T237" s="4"/>
      <c r="U237" s="4"/>
      <c r="V237" s="4"/>
      <c r="W237" s="9"/>
      <c r="X237" s="9"/>
      <c r="Y237" s="9"/>
      <c r="Z237" s="9"/>
      <c r="AA237" s="9"/>
      <c r="AB237" s="9"/>
      <c r="AC237" s="468" t="str">
        <f t="shared" si="26"/>
        <v/>
      </c>
      <c r="AD237" s="468"/>
      <c r="AE237" s="468"/>
      <c r="AF237" s="4"/>
      <c r="AG237" s="88"/>
      <c r="AH237" s="4"/>
      <c r="AI237" s="4"/>
      <c r="AJ237" s="468"/>
      <c r="AK237" s="468"/>
      <c r="AL237" s="468"/>
      <c r="AM237" s="468"/>
      <c r="AN237" s="10"/>
      <c r="AO237" s="9"/>
      <c r="AP237" s="9"/>
      <c r="AQ237" s="9">
        <f>+FL_2($T$238,$T$236,$G$237,1200,9.28,-1*$F$238)</f>
        <v>-0.35000000000000053</v>
      </c>
      <c r="AR237" s="9"/>
      <c r="AS237" s="9"/>
      <c r="AT237" s="9"/>
      <c r="AU237" s="447"/>
      <c r="AV237" s="447"/>
      <c r="AW237" s="468" t="str">
        <f>IF(C237&gt;0,VLOOKUP(C237,Foundation_Calc!$A$2:$C$13,3,1),
IF(J237&gt;0,VLOOKUP(J237,Foundation_Calc!$A$2:$C$13,3,1),""))</f>
        <v/>
      </c>
      <c r="AX237" s="468" t="str">
        <f>IF(C237&gt;0,VLOOKUP(C237,Foundation_Calc!$E$2:$G$13,3,1),
IF(J237&gt;0,VLOOKUP(J237,Foundation_Calc!$E$2:$G$13,3,1),""))</f>
        <v/>
      </c>
      <c r="AY237" s="10" t="str">
        <f>IF(L237="","",
IF(AX237="PT",VLOOKUP(L237,Foundation_Calc!$K$4:$R$37,VLOOKUP(AW237,Foundation_Calc!$I$2:$J$8,2,FALSE),0),
IF(AX237="K",VLOOKUP(L237,Foundation_Calc!$K$41:$R$74,VLOOKUP(AW237,Foundation_Calc!$I$2:$J$8,2,FALSE),0),"")))</f>
        <v/>
      </c>
      <c r="AZ237" s="10" t="str">
        <f>IF(K237="","",
IF(AX237="PT",VLOOKUP(K237,Foundation_Calc!$K$4:$R$37,VLOOKUP(AW237,Foundation_Calc!$I$2:$J$8,2,FALSE),0),
IF(AX237="K",VLOOKUP(K237,Foundation_Calc!$K$41:$R$74,VLOOKUP(AW237,Foundation_Calc!$I$2:$J$8,2,FALSE),0),"")))</f>
        <v/>
      </c>
      <c r="BA237" s="553" t="str">
        <f t="shared" si="27"/>
        <v/>
      </c>
      <c r="BB237" s="553" t="str">
        <f t="shared" si="28"/>
        <v/>
      </c>
      <c r="BC237" s="553" t="str">
        <f t="shared" si="25"/>
        <v/>
      </c>
      <c r="BD237" s="572" t="str">
        <f>IF(AND(L237="",H237=""),"",
IF(H237="",Pole_Calc!A$22,
IF(H237="MP",Pole_Calc!A$23,
IF(H237="AnMP",Pole_Calc!A$24,
IF(H237="A",Pole_Calc!A$25,
IF(H237="S/A",Pole_Calc!A$26,
IF(H237="A/S",Pole_Calc!A$27,"Poner a mano")))))))</f>
        <v/>
      </c>
      <c r="BE237" s="448" t="s">
        <v>1726</v>
      </c>
      <c r="BF237" s="306"/>
      <c r="BG237" s="306"/>
      <c r="BH237" s="306"/>
      <c r="BI237" s="306"/>
    </row>
    <row r="238" spans="1:61" ht="16.2" customHeight="1">
      <c r="A238" s="573"/>
      <c r="B238" s="469" t="s">
        <v>1843</v>
      </c>
      <c r="C238" s="3">
        <f>+$C$236+$G$237</f>
        <v>5314.93</v>
      </c>
      <c r="D238" s="88"/>
      <c r="E238" s="4"/>
      <c r="F238" s="4">
        <v>1352.71</v>
      </c>
      <c r="G238" s="6"/>
      <c r="H238" s="468"/>
      <c r="I238" s="4"/>
      <c r="J238" s="3"/>
      <c r="K238" s="468"/>
      <c r="L238" s="468" t="s">
        <v>40</v>
      </c>
      <c r="M238" s="468" t="str">
        <f>IF(L238="","",
IF(AX238="PT",VLOOKUP(L238,Foundation_Calc!$V$4:$X$37,VLOOKUP(AX238,Foundation_Calc!$I$10:$J$13,2,FALSE),0),
IF(AX238="K",VLOOKUP(L238,Foundation_Calc!$V$41:$X$74,VLOOKUP(AX238,Foundation_Calc!$I$10:$J$13,2,FALSE),0),"")))</f>
        <v>C5SR</v>
      </c>
      <c r="N238" s="468" t="s">
        <v>33</v>
      </c>
      <c r="O238" s="468"/>
      <c r="P238" s="468"/>
      <c r="Q238" s="4"/>
      <c r="R238" s="6"/>
      <c r="S238" s="6"/>
      <c r="T238" s="4">
        <v>30</v>
      </c>
      <c r="U238" s="4"/>
      <c r="V238" s="4"/>
      <c r="W238" s="9">
        <v>1.4</v>
      </c>
      <c r="X238" s="9"/>
      <c r="Y238" s="9"/>
      <c r="Z238" s="9"/>
      <c r="AA238" s="9"/>
      <c r="AB238" s="9"/>
      <c r="AC238" s="468" t="str">
        <f t="shared" si="26"/>
        <v>PH</v>
      </c>
      <c r="AD238" s="468"/>
      <c r="AE238" s="468"/>
      <c r="AF238" s="4"/>
      <c r="AG238" s="88"/>
      <c r="AH238" s="4"/>
      <c r="AI238" s="4"/>
      <c r="AJ238" s="468"/>
      <c r="AK238" s="468"/>
      <c r="AL238" s="468"/>
      <c r="AM238" s="468" t="s">
        <v>486</v>
      </c>
      <c r="AN238" s="10">
        <v>5.5</v>
      </c>
      <c r="AO238" s="9"/>
      <c r="AP238" s="9"/>
      <c r="AQ238" s="9"/>
      <c r="AR238" s="9"/>
      <c r="AS238" s="9"/>
      <c r="AT238" s="9">
        <f>+ab($T$238,$T$236,$T$240,$G$237,$G$239,-1*$F$238,1200)</f>
        <v>30.566283070421211</v>
      </c>
      <c r="AU238" s="447"/>
      <c r="AV238" s="447"/>
      <c r="AW238" s="468" t="str">
        <f>IF(C238&gt;0,VLOOKUP(C238,Foundation_Calc!$A$2:$C$13,3,1),
IF(J238&gt;0,VLOOKUP(J238,Foundation_Calc!$A$2:$C$13,3,1),""))</f>
        <v>MultiSoil</v>
      </c>
      <c r="AX238" s="468" t="str">
        <f>IF(C238&gt;0,VLOOKUP(C238,Foundation_Calc!$E$2:$G$13,3,1),
IF(J238&gt;0,VLOOKUP(J238,Foundation_Calc!$E$2:$G$13,3,1),""))</f>
        <v>PT</v>
      </c>
      <c r="AY238" s="10">
        <f>IF(L238="","",
IF(AX238="PT",VLOOKUP(L238,Foundation_Calc!$K$4:$R$37,VLOOKUP(AW238,Foundation_Calc!$I$2:$J$8,2,FALSE),0),
IF(AX238="K",VLOOKUP(L238,Foundation_Calc!$K$41:$R$74,VLOOKUP(AW238,Foundation_Calc!$I$2:$J$8,2,FALSE),0),"")))</f>
        <v>3.7</v>
      </c>
      <c r="AZ238" s="10" t="str">
        <f>IF(K238="","",
IF(AX238="PT",VLOOKUP(K238,Foundation_Calc!$K$4:$R$37,VLOOKUP(AW238,Foundation_Calc!$I$2:$J$8,2,FALSE),0),
IF(AX238="K",VLOOKUP(K238,Foundation_Calc!$K$41:$R$74,VLOOKUP(AW238,Foundation_Calc!$I$2:$J$8,2,FALSE),0),"")))</f>
        <v/>
      </c>
      <c r="BA238" s="553" t="str">
        <f t="shared" si="27"/>
        <v>ü</v>
      </c>
      <c r="BB238" s="553" t="str">
        <f t="shared" si="28"/>
        <v/>
      </c>
      <c r="BC238" s="553" t="str">
        <f t="shared" si="25"/>
        <v/>
      </c>
      <c r="BD238" s="572" t="str">
        <f>IF(AND(L238="",H238=""),"",
IF(H238="",Pole_Calc!A$22,
IF(H238="MP",Pole_Calc!A$23,
IF(H238="AnMP",Pole_Calc!A$24,
IF(H238="A",Pole_Calc!A$25,
IF(H238="S/A",Pole_Calc!A$26,
IF(H238="A/S",Pole_Calc!A$27,"Poner a mano")))))))</f>
        <v>App.7-V11H-P9.5.2.1</v>
      </c>
      <c r="BE238" s="448" t="s">
        <v>1726</v>
      </c>
      <c r="BF238" s="305"/>
      <c r="BG238" s="305"/>
      <c r="BH238" s="306"/>
      <c r="BI238" s="305"/>
    </row>
    <row r="239" spans="1:61" ht="16.2" customHeight="1">
      <c r="A239" s="573"/>
      <c r="B239" s="469"/>
      <c r="C239" s="3"/>
      <c r="D239" s="88"/>
      <c r="E239" s="4"/>
      <c r="F239" s="4"/>
      <c r="G239" s="6">
        <v>35</v>
      </c>
      <c r="H239" s="468"/>
      <c r="I239" s="468" t="s">
        <v>482</v>
      </c>
      <c r="J239" s="3">
        <f>C240-7.5</f>
        <v>5342.43</v>
      </c>
      <c r="K239" s="468" t="s">
        <v>1096</v>
      </c>
      <c r="L239" s="468"/>
      <c r="M239" s="468" t="str">
        <f>IF(L239="","",
IF(AX239="PT",VLOOKUP(L239,Foundation_Calc!$V$4:$X$37,VLOOKUP(AX239,Foundation_Calc!$I$10:$J$13,2,FALSE),0),
IF(AX239="K",VLOOKUP(L239,Foundation_Calc!$V$41:$X$74,VLOOKUP(AX239,Foundation_Calc!$I$10:$J$13,2,FALSE),0),"")))</f>
        <v/>
      </c>
      <c r="N239" s="468"/>
      <c r="O239" s="468"/>
      <c r="P239" s="468"/>
      <c r="Q239" s="4"/>
      <c r="R239" s="6"/>
      <c r="S239" s="6"/>
      <c r="T239" s="4"/>
      <c r="U239" s="4"/>
      <c r="V239" s="4"/>
      <c r="W239" s="9"/>
      <c r="X239" s="9"/>
      <c r="Y239" s="9"/>
      <c r="Z239" s="9"/>
      <c r="AA239" s="9"/>
      <c r="AB239" s="9"/>
      <c r="AC239" s="468" t="str">
        <f t="shared" si="26"/>
        <v/>
      </c>
      <c r="AD239" s="468"/>
      <c r="AE239" s="468"/>
      <c r="AF239" s="4"/>
      <c r="AG239" s="88"/>
      <c r="AH239" s="4"/>
      <c r="AI239" s="4"/>
      <c r="AJ239" s="468"/>
      <c r="AK239" s="468"/>
      <c r="AL239" s="468"/>
      <c r="AM239" s="468"/>
      <c r="AN239" s="10"/>
      <c r="AO239" s="9"/>
      <c r="AP239" s="9"/>
      <c r="AQ239" s="9">
        <f>+FL_2($T$240,$T$238,$G$239,1200,9.28,-1*$F$240)</f>
        <v>-0.3</v>
      </c>
      <c r="AR239" s="9"/>
      <c r="AS239" s="9"/>
      <c r="AT239" s="9"/>
      <c r="AU239" s="447"/>
      <c r="AV239" s="447"/>
      <c r="AW239" s="468" t="str">
        <f>IF(C239&gt;0,VLOOKUP(C239,Foundation_Calc!$A$2:$C$13,3,1),
IF(J239&gt;0,VLOOKUP(J239,Foundation_Calc!$A$2:$C$13,3,1),""))</f>
        <v>MultiSoil</v>
      </c>
      <c r="AX239" s="468" t="str">
        <f>IF(C239&gt;0,VLOOKUP(C239,Foundation_Calc!$E$2:$G$13,3,1),
IF(J239&gt;0,VLOOKUP(J239,Foundation_Calc!$E$2:$G$13,3,1),""))</f>
        <v>PT</v>
      </c>
      <c r="AY239" s="10" t="str">
        <f>IF(L239="","",
IF(AX239="PT",VLOOKUP(L239,Foundation_Calc!$K$4:$R$37,VLOOKUP(AW239,Foundation_Calc!$I$2:$J$8,2,FALSE),0),
IF(AX239="K",VLOOKUP(L239,Foundation_Calc!$K$41:$R$74,VLOOKUP(AW239,Foundation_Calc!$I$2:$J$8,2,FALSE),0),"")))</f>
        <v/>
      </c>
      <c r="AZ239" s="10">
        <f>IF(K239="","",
IF(AX239="PT",VLOOKUP(K239,Foundation_Calc!$K$4:$R$37,VLOOKUP(AW239,Foundation_Calc!$I$2:$J$8,2,FALSE),0),
IF(AX239="K",VLOOKUP(K239,Foundation_Calc!$K$41:$R$74,VLOOKUP(AW239,Foundation_Calc!$I$2:$J$8,2,FALSE),0),"")))</f>
        <v>2.8</v>
      </c>
      <c r="BA239" s="553" t="str">
        <f t="shared" si="27"/>
        <v/>
      </c>
      <c r="BB239" s="553" t="str">
        <f t="shared" si="28"/>
        <v>ü</v>
      </c>
      <c r="BC239" s="553" t="str">
        <f t="shared" si="25"/>
        <v/>
      </c>
      <c r="BD239" s="572" t="str">
        <f>IF(AND(L239="",H239=""),"",
IF(H239="",Pole_Calc!A$22,
IF(H239="MP",Pole_Calc!A$23,
IF(H239="AnMP",Pole_Calc!A$24,
IF(H239="A",Pole_Calc!A$25,
IF(H239="S/A",Pole_Calc!A$26,
IF(H239="A/S",Pole_Calc!A$27,"Poner a mano")))))))</f>
        <v/>
      </c>
      <c r="BE239" s="448" t="s">
        <v>1726</v>
      </c>
      <c r="BF239" s="306"/>
      <c r="BG239" s="306"/>
      <c r="BH239" s="306"/>
      <c r="BI239" s="306"/>
    </row>
    <row r="240" spans="1:61" ht="16.2" customHeight="1">
      <c r="A240" s="573"/>
      <c r="B240" s="469" t="s">
        <v>1844</v>
      </c>
      <c r="C240" s="3">
        <f>+$C$238+$G$239</f>
        <v>5349.93</v>
      </c>
      <c r="D240" s="88"/>
      <c r="E240" s="4"/>
      <c r="F240" s="4">
        <v>1352.71</v>
      </c>
      <c r="G240" s="6"/>
      <c r="H240" s="468"/>
      <c r="I240" s="468"/>
      <c r="J240" s="3"/>
      <c r="K240" s="468"/>
      <c r="L240" s="468" t="s">
        <v>40</v>
      </c>
      <c r="M240" s="468" t="str">
        <f>IF(L240="","",
IF(AX240="PT",VLOOKUP(L240,Foundation_Calc!$V$4:$X$37,VLOOKUP(AX240,Foundation_Calc!$I$10:$J$13,2,FALSE),0),
IF(AX240="K",VLOOKUP(L240,Foundation_Calc!$V$41:$X$74,VLOOKUP(AX240,Foundation_Calc!$I$10:$J$13,2,FALSE),0),"")))</f>
        <v>C5SR</v>
      </c>
      <c r="N240" s="468" t="s">
        <v>32</v>
      </c>
      <c r="O240" s="468"/>
      <c r="P240" s="468"/>
      <c r="Q240" s="4"/>
      <c r="R240" s="6"/>
      <c r="S240" s="6"/>
      <c r="T240" s="4">
        <v>-30</v>
      </c>
      <c r="U240" s="4"/>
      <c r="V240" s="4"/>
      <c r="W240" s="9">
        <v>1.4</v>
      </c>
      <c r="X240" s="9"/>
      <c r="Y240" s="9"/>
      <c r="Z240" s="9"/>
      <c r="AA240" s="9"/>
      <c r="AB240" s="9"/>
      <c r="AC240" s="468" t="str">
        <f t="shared" si="26"/>
        <v>PHC</v>
      </c>
      <c r="AD240" s="468"/>
      <c r="AE240" s="468"/>
      <c r="AF240" s="4"/>
      <c r="AG240" s="88"/>
      <c r="AH240" s="4"/>
      <c r="AI240" s="4"/>
      <c r="AJ240" s="468"/>
      <c r="AK240" s="468"/>
      <c r="AL240" s="468"/>
      <c r="AM240" s="468" t="s">
        <v>486</v>
      </c>
      <c r="AN240" s="10">
        <f>AN238-0.04</f>
        <v>5.46</v>
      </c>
      <c r="AO240" s="9"/>
      <c r="AP240" s="9"/>
      <c r="AQ240" s="9"/>
      <c r="AR240" s="9"/>
      <c r="AS240" s="9"/>
      <c r="AT240" s="9">
        <f>+ab($T$240,$T$238,$T$242,$G$239,$G$241,-1*$F$240,1200)</f>
        <v>-4.6508878024287137</v>
      </c>
      <c r="AU240" s="447"/>
      <c r="AV240" s="447"/>
      <c r="AW240" s="468" t="str">
        <f>IF(C240&gt;0,VLOOKUP(C240,Foundation_Calc!$A$2:$C$13,3,1),
IF(J240&gt;0,VLOOKUP(J240,Foundation_Calc!$A$2:$C$13,3,1),""))</f>
        <v>MultiSoil</v>
      </c>
      <c r="AX240" s="468" t="str">
        <f>IF(C240&gt;0,VLOOKUP(C240,Foundation_Calc!$E$2:$G$13,3,1),
IF(J240&gt;0,VLOOKUP(J240,Foundation_Calc!$E$2:$G$13,3,1),""))</f>
        <v>PT</v>
      </c>
      <c r="AY240" s="10">
        <f>IF(L240="","",
IF(AX240="PT",VLOOKUP(L240,Foundation_Calc!$K$4:$R$37,VLOOKUP(AW240,Foundation_Calc!$I$2:$J$8,2,FALSE),0),
IF(AX240="K",VLOOKUP(L240,Foundation_Calc!$K$41:$R$74,VLOOKUP(AW240,Foundation_Calc!$I$2:$J$8,2,FALSE),0),"")))</f>
        <v>3.7</v>
      </c>
      <c r="AZ240" s="10" t="str">
        <f>IF(K240="","",
IF(AX240="PT",VLOOKUP(K240,Foundation_Calc!$K$4:$R$37,VLOOKUP(AW240,Foundation_Calc!$I$2:$J$8,2,FALSE),0),
IF(AX240="K",VLOOKUP(K240,Foundation_Calc!$K$41:$R$74,VLOOKUP(AW240,Foundation_Calc!$I$2:$J$8,2,FALSE),0),"")))</f>
        <v/>
      </c>
      <c r="BA240" s="553" t="str">
        <f t="shared" si="27"/>
        <v>ü</v>
      </c>
      <c r="BB240" s="553" t="str">
        <f t="shared" si="28"/>
        <v/>
      </c>
      <c r="BC240" s="553" t="str">
        <f t="shared" si="25"/>
        <v/>
      </c>
      <c r="BD240" s="572" t="str">
        <f>IF(AND(L240="",H240=""),"",
IF(H240="",Pole_Calc!A$22,
IF(H240="MP",Pole_Calc!A$23,
IF(H240="AnMP",Pole_Calc!A$24,
IF(H240="A",Pole_Calc!A$25,
IF(H240="S/A",Pole_Calc!A$26,
IF(H240="A/S",Pole_Calc!A$27,"Poner a mano")))))))</f>
        <v>App.7-V11H-P9.5.2.1</v>
      </c>
      <c r="BE240" s="448" t="s">
        <v>1726</v>
      </c>
      <c r="BF240" s="305"/>
      <c r="BG240" s="305"/>
      <c r="BH240" s="306"/>
      <c r="BI240" s="305"/>
    </row>
    <row r="241" spans="1:61" ht="16.2" customHeight="1">
      <c r="A241" s="573"/>
      <c r="B241" s="469"/>
      <c r="C241" s="3"/>
      <c r="D241" s="88"/>
      <c r="E241" s="4"/>
      <c r="F241" s="4"/>
      <c r="G241" s="6">
        <v>30</v>
      </c>
      <c r="H241" s="468"/>
      <c r="I241" s="468" t="s">
        <v>482</v>
      </c>
      <c r="J241" s="3">
        <f>C240+7.5</f>
        <v>5357.43</v>
      </c>
      <c r="K241" s="468" t="s">
        <v>1096</v>
      </c>
      <c r="L241" s="468"/>
      <c r="M241" s="468" t="str">
        <f>IF(L241="","",
IF(AX241="PT",VLOOKUP(L241,Foundation_Calc!$V$4:$X$37,VLOOKUP(AX241,Foundation_Calc!$I$10:$J$13,2,FALSE),0),
IF(AX241="K",VLOOKUP(L241,Foundation_Calc!$V$41:$X$74,VLOOKUP(AX241,Foundation_Calc!$I$10:$J$13,2,FALSE),0),"")))</f>
        <v/>
      </c>
      <c r="N241" s="468"/>
      <c r="O241" s="468"/>
      <c r="P241" s="468"/>
      <c r="Q241" s="4"/>
      <c r="R241" s="6"/>
      <c r="S241" s="6"/>
      <c r="T241" s="4"/>
      <c r="U241" s="4"/>
      <c r="V241" s="4"/>
      <c r="W241" s="9"/>
      <c r="X241" s="9"/>
      <c r="Y241" s="9"/>
      <c r="Z241" s="9"/>
      <c r="AA241" s="9"/>
      <c r="AB241" s="9"/>
      <c r="AC241" s="468" t="str">
        <f t="shared" si="26"/>
        <v/>
      </c>
      <c r="AD241" s="468"/>
      <c r="AE241" s="468"/>
      <c r="AF241" s="4"/>
      <c r="AG241" s="88"/>
      <c r="AH241" s="4"/>
      <c r="AI241" s="4"/>
      <c r="AJ241" s="468"/>
      <c r="AK241" s="468"/>
      <c r="AL241" s="468"/>
      <c r="AM241" s="468"/>
      <c r="AN241" s="10"/>
      <c r="AO241" s="9"/>
      <c r="AP241" s="9"/>
      <c r="AQ241" s="9">
        <f>+FL_2($T$242,$T$240,$G$241,1200,9.28,-1*$F$242)</f>
        <v>-0.30000000000003496</v>
      </c>
      <c r="AR241" s="9"/>
      <c r="AS241" s="9"/>
      <c r="AT241" s="9"/>
      <c r="AU241" s="447"/>
      <c r="AV241" s="447"/>
      <c r="AW241" s="468" t="str">
        <f>IF(C241&gt;0,VLOOKUP(C241,Foundation_Calc!$A$2:$C$13,3,1),
IF(J241&gt;0,VLOOKUP(J241,Foundation_Calc!$A$2:$C$13,3,1),""))</f>
        <v>MultiSoil</v>
      </c>
      <c r="AX241" s="468" t="str">
        <f>IF(C241&gt;0,VLOOKUP(C241,Foundation_Calc!$E$2:$G$13,3,1),
IF(J241&gt;0,VLOOKUP(J241,Foundation_Calc!$E$2:$G$13,3,1),""))</f>
        <v>PT</v>
      </c>
      <c r="AY241" s="10" t="str">
        <f>IF(L241="","",
IF(AX241="PT",VLOOKUP(L241,Foundation_Calc!$K$4:$R$37,VLOOKUP(AW241,Foundation_Calc!$I$2:$J$8,2,FALSE),0),
IF(AX241="K",VLOOKUP(L241,Foundation_Calc!$K$41:$R$74,VLOOKUP(AW241,Foundation_Calc!$I$2:$J$8,2,FALSE),0),"")))</f>
        <v/>
      </c>
      <c r="AZ241" s="10">
        <f>IF(K241="","",
IF(AX241="PT",VLOOKUP(K241,Foundation_Calc!$K$4:$R$37,VLOOKUP(AW241,Foundation_Calc!$I$2:$J$8,2,FALSE),0),
IF(AX241="K",VLOOKUP(K241,Foundation_Calc!$K$41:$R$74,VLOOKUP(AW241,Foundation_Calc!$I$2:$J$8,2,FALSE),0),"")))</f>
        <v>2.8</v>
      </c>
      <c r="BA241" s="553" t="str">
        <f t="shared" si="27"/>
        <v/>
      </c>
      <c r="BB241" s="553" t="str">
        <f t="shared" si="28"/>
        <v>ü</v>
      </c>
      <c r="BC241" s="553" t="str">
        <f t="shared" si="25"/>
        <v/>
      </c>
      <c r="BD241" s="572" t="str">
        <f>IF(AND(L241="",H241=""),"",
IF(H241="",Pole_Calc!A$22,
IF(H241="MP",Pole_Calc!A$23,
IF(H241="AnMP",Pole_Calc!A$24,
IF(H241="A",Pole_Calc!A$25,
IF(H241="S/A",Pole_Calc!A$26,
IF(H241="A/S",Pole_Calc!A$27,"Poner a mano")))))))</f>
        <v/>
      </c>
      <c r="BE241" s="448" t="s">
        <v>1726</v>
      </c>
      <c r="BF241" s="306"/>
      <c r="BG241" s="306"/>
      <c r="BH241" s="306"/>
      <c r="BI241" s="306"/>
    </row>
    <row r="242" spans="1:61" ht="16.2" customHeight="1">
      <c r="A242" s="573"/>
      <c r="B242" s="469" t="s">
        <v>1845</v>
      </c>
      <c r="C242" s="3">
        <f>+$C$240+$G$241</f>
        <v>5379.93</v>
      </c>
      <c r="D242" s="88"/>
      <c r="E242" s="4"/>
      <c r="F242" s="4">
        <v>467.84</v>
      </c>
      <c r="G242" s="6"/>
      <c r="H242" s="468"/>
      <c r="I242" s="4"/>
      <c r="J242" s="3"/>
      <c r="K242" s="468"/>
      <c r="L242" s="468" t="s">
        <v>40</v>
      </c>
      <c r="M242" s="468" t="str">
        <f>IF(L242="","",
IF(AX242="PT",VLOOKUP(L242,Foundation_Calc!$V$4:$X$37,VLOOKUP(AX242,Foundation_Calc!$I$10:$J$13,2,FALSE),0),
IF(AX242="K",VLOOKUP(L242,Foundation_Calc!$V$41:$X$74,VLOOKUP(AX242,Foundation_Calc!$I$10:$J$13,2,FALSE),0),"")))</f>
        <v>C5SR</v>
      </c>
      <c r="N242" s="468" t="s">
        <v>32</v>
      </c>
      <c r="O242" s="468"/>
      <c r="P242" s="468"/>
      <c r="Q242" s="4"/>
      <c r="R242" s="6"/>
      <c r="S242" s="6"/>
      <c r="T242" s="4">
        <v>-30</v>
      </c>
      <c r="U242" s="4"/>
      <c r="V242" s="4"/>
      <c r="W242" s="9">
        <v>1.4</v>
      </c>
      <c r="X242" s="9"/>
      <c r="Y242" s="9"/>
      <c r="Z242" s="9"/>
      <c r="AA242" s="9"/>
      <c r="AB242" s="9"/>
      <c r="AC242" s="468" t="str">
        <f t="shared" si="26"/>
        <v>PHC</v>
      </c>
      <c r="AD242" s="468"/>
      <c r="AE242" s="468"/>
      <c r="AF242" s="4"/>
      <c r="AG242" s="88"/>
      <c r="AH242" s="4"/>
      <c r="AI242" s="4"/>
      <c r="AJ242" s="468"/>
      <c r="AK242" s="468"/>
      <c r="AL242" s="468"/>
      <c r="AM242" s="468" t="s">
        <v>486</v>
      </c>
      <c r="AN242" s="10">
        <f>AN240-0.07</f>
        <v>5.39</v>
      </c>
      <c r="AO242" s="9"/>
      <c r="AP242" s="9"/>
      <c r="AQ242" s="9"/>
      <c r="AR242" s="9"/>
      <c r="AS242" s="9"/>
      <c r="AT242" s="9">
        <f>+ab($T$242,$T$240,$T$244,$G$241,$G$243,-1*$F$242,1200)</f>
        <v>-2.9897855443966135</v>
      </c>
      <c r="AU242" s="447"/>
      <c r="AV242" s="447"/>
      <c r="AW242" s="468" t="str">
        <f>IF(C242&gt;0,VLOOKUP(C242,Foundation_Calc!$A$2:$C$13,3,1),
IF(J242&gt;0,VLOOKUP(J242,Foundation_Calc!$A$2:$C$13,3,1),""))</f>
        <v>MultiSoil</v>
      </c>
      <c r="AX242" s="468" t="str">
        <f>IF(C242&gt;0,VLOOKUP(C242,Foundation_Calc!$E$2:$G$13,3,1),
IF(J242&gt;0,VLOOKUP(J242,Foundation_Calc!$E$2:$G$13,3,1),""))</f>
        <v>PT</v>
      </c>
      <c r="AY242" s="10">
        <f>IF(L242="","",
IF(AX242="PT",VLOOKUP(L242,Foundation_Calc!$K$4:$R$37,VLOOKUP(AW242,Foundation_Calc!$I$2:$J$8,2,FALSE),0),
IF(AX242="K",VLOOKUP(L242,Foundation_Calc!$K$41:$R$74,VLOOKUP(AW242,Foundation_Calc!$I$2:$J$8,2,FALSE),0),"")))</f>
        <v>3.7</v>
      </c>
      <c r="AZ242" s="10" t="str">
        <f>IF(K242="","",
IF(AX242="PT",VLOOKUP(K242,Foundation_Calc!$K$4:$R$37,VLOOKUP(AW242,Foundation_Calc!$I$2:$J$8,2,FALSE),0),
IF(AX242="K",VLOOKUP(K242,Foundation_Calc!$K$41:$R$74,VLOOKUP(AW242,Foundation_Calc!$I$2:$J$8,2,FALSE),0),"")))</f>
        <v/>
      </c>
      <c r="BA242" s="553" t="str">
        <f t="shared" si="27"/>
        <v>ü</v>
      </c>
      <c r="BB242" s="553" t="str">
        <f t="shared" si="28"/>
        <v/>
      </c>
      <c r="BC242" s="553" t="str">
        <f t="shared" si="25"/>
        <v/>
      </c>
      <c r="BD242" s="572" t="str">
        <f>IF(AND(L242="",H242=""),"",
IF(H242="",Pole_Calc!A$22,
IF(H242="MP",Pole_Calc!A$23,
IF(H242="AnMP",Pole_Calc!A$24,
IF(H242="A",Pole_Calc!A$25,
IF(H242="S/A",Pole_Calc!A$26,
IF(H242="A/S",Pole_Calc!A$27,"Poner a mano")))))))</f>
        <v>App.7-V11H-P9.5.2.1</v>
      </c>
      <c r="BE242" s="448" t="s">
        <v>1726</v>
      </c>
      <c r="BF242" s="305"/>
      <c r="BG242" s="305"/>
      <c r="BH242" s="306"/>
      <c r="BI242" s="305"/>
    </row>
    <row r="243" spans="1:61" ht="16.2" customHeight="1">
      <c r="A243" s="573"/>
      <c r="B243" s="469"/>
      <c r="C243" s="3"/>
      <c r="D243" s="88"/>
      <c r="E243" s="4"/>
      <c r="F243" s="4"/>
      <c r="G243" s="6">
        <v>30</v>
      </c>
      <c r="H243" s="468"/>
      <c r="I243" s="468"/>
      <c r="J243" s="3"/>
      <c r="K243" s="468"/>
      <c r="L243" s="468"/>
      <c r="M243" s="468" t="str">
        <f>IF(L243="","",
IF(AX243="PT",VLOOKUP(L243,Foundation_Calc!$V$4:$X$37,VLOOKUP(AX243,Foundation_Calc!$I$10:$J$13,2,FALSE),0),
IF(AX243="K",VLOOKUP(L243,Foundation_Calc!$V$41:$X$74,VLOOKUP(AX243,Foundation_Calc!$I$10:$J$13,2,FALSE),0),"")))</f>
        <v/>
      </c>
      <c r="N243" s="468"/>
      <c r="O243" s="468"/>
      <c r="P243" s="468"/>
      <c r="Q243" s="4"/>
      <c r="R243" s="6"/>
      <c r="S243" s="6"/>
      <c r="T243" s="4"/>
      <c r="U243" s="4"/>
      <c r="V243" s="4"/>
      <c r="W243" s="9"/>
      <c r="X243" s="9"/>
      <c r="Y243" s="9"/>
      <c r="Z243" s="9"/>
      <c r="AA243" s="9"/>
      <c r="AB243" s="9"/>
      <c r="AC243" s="468" t="str">
        <f t="shared" si="26"/>
        <v/>
      </c>
      <c r="AD243" s="468"/>
      <c r="AE243" s="468"/>
      <c r="AF243" s="4"/>
      <c r="AG243" s="88"/>
      <c r="AH243" s="4"/>
      <c r="AI243" s="4"/>
      <c r="AJ243" s="468"/>
      <c r="AK243" s="468"/>
      <c r="AL243" s="468"/>
      <c r="AM243" s="468"/>
      <c r="AN243" s="10"/>
      <c r="AO243" s="9"/>
      <c r="AP243" s="9"/>
      <c r="AQ243" s="9">
        <f>+FL_2($T$244,$T$242,$G$243,1200,9.28,-1*$F$244)</f>
        <v>-0.30000000000003496</v>
      </c>
      <c r="AR243" s="9"/>
      <c r="AS243" s="9"/>
      <c r="AT243" s="9"/>
      <c r="AU243" s="447"/>
      <c r="AV243" s="447"/>
      <c r="AW243" s="468" t="str">
        <f>IF(C243&gt;0,VLOOKUP(C243,Foundation_Calc!$A$2:$C$13,3,1),
IF(J243&gt;0,VLOOKUP(J243,Foundation_Calc!$A$2:$C$13,3,1),""))</f>
        <v/>
      </c>
      <c r="AX243" s="468" t="str">
        <f>IF(C243&gt;0,VLOOKUP(C243,Foundation_Calc!$E$2:$G$13,3,1),
IF(J243&gt;0,VLOOKUP(J243,Foundation_Calc!$E$2:$G$13,3,1),""))</f>
        <v/>
      </c>
      <c r="AY243" s="10" t="str">
        <f>IF(L243="","",
IF(AX243="PT",VLOOKUP(L243,Foundation_Calc!$K$4:$R$37,VLOOKUP(AW243,Foundation_Calc!$I$2:$J$8,2,FALSE),0),
IF(AX243="K",VLOOKUP(L243,Foundation_Calc!$K$41:$R$74,VLOOKUP(AW243,Foundation_Calc!$I$2:$J$8,2,FALSE),0),"")))</f>
        <v/>
      </c>
      <c r="AZ243" s="10" t="str">
        <f>IF(K243="","",
IF(AX243="PT",VLOOKUP(K243,Foundation_Calc!$K$4:$R$37,VLOOKUP(AW243,Foundation_Calc!$I$2:$J$8,2,FALSE),0),
IF(AX243="K",VLOOKUP(K243,Foundation_Calc!$K$41:$R$74,VLOOKUP(AW243,Foundation_Calc!$I$2:$J$8,2,FALSE),0),"")))</f>
        <v/>
      </c>
      <c r="BA243" s="553" t="str">
        <f t="shared" si="27"/>
        <v/>
      </c>
      <c r="BB243" s="553" t="str">
        <f t="shared" si="28"/>
        <v/>
      </c>
      <c r="BC243" s="553" t="str">
        <f t="shared" si="25"/>
        <v/>
      </c>
      <c r="BD243" s="572" t="str">
        <f>IF(AND(L243="",H243=""),"",
IF(H243="",Pole_Calc!A$22,
IF(H243="MP",Pole_Calc!A$23,
IF(H243="AnMP",Pole_Calc!A$24,
IF(H243="A",Pole_Calc!A$25,
IF(H243="S/A",Pole_Calc!A$26,
IF(H243="A/S",Pole_Calc!A$27,"Poner a mano")))))))</f>
        <v/>
      </c>
      <c r="BE243" s="448" t="s">
        <v>1726</v>
      </c>
      <c r="BF243" s="306"/>
      <c r="BG243" s="306"/>
      <c r="BH243" s="306"/>
      <c r="BI243" s="306"/>
    </row>
    <row r="244" spans="1:61" ht="16.2" customHeight="1">
      <c r="A244" s="573"/>
      <c r="B244" s="469" t="s">
        <v>1846</v>
      </c>
      <c r="C244" s="3">
        <f>+$C$242+$G$243</f>
        <v>5409.93</v>
      </c>
      <c r="D244" s="88"/>
      <c r="E244" s="4"/>
      <c r="F244" s="4">
        <v>404.7</v>
      </c>
      <c r="G244" s="6"/>
      <c r="H244" s="468"/>
      <c r="I244" s="4"/>
      <c r="J244" s="3"/>
      <c r="K244" s="468"/>
      <c r="L244" s="468" t="s">
        <v>40</v>
      </c>
      <c r="M244" s="468" t="str">
        <f>IF(L244="","",
IF(AX244="PT",VLOOKUP(L244,Foundation_Calc!$V$4:$X$37,VLOOKUP(AX244,Foundation_Calc!$I$10:$J$13,2,FALSE),0),
IF(AX244="K",VLOOKUP(L244,Foundation_Calc!$V$41:$X$74,VLOOKUP(AX244,Foundation_Calc!$I$10:$J$13,2,FALSE),0),"")))</f>
        <v>C5SR</v>
      </c>
      <c r="N244" s="468" t="s">
        <v>32</v>
      </c>
      <c r="O244" s="468"/>
      <c r="P244" s="468"/>
      <c r="Q244" s="4"/>
      <c r="R244" s="6"/>
      <c r="S244" s="6"/>
      <c r="T244" s="4">
        <v>-30</v>
      </c>
      <c r="U244" s="4"/>
      <c r="V244" s="4"/>
      <c r="W244" s="9">
        <v>1.4</v>
      </c>
      <c r="X244" s="9"/>
      <c r="Y244" s="9"/>
      <c r="Z244" s="9"/>
      <c r="AA244" s="9"/>
      <c r="AB244" s="9"/>
      <c r="AC244" s="468" t="str">
        <f t="shared" si="26"/>
        <v>PHC</v>
      </c>
      <c r="AD244" s="468"/>
      <c r="AE244" s="468"/>
      <c r="AF244" s="4"/>
      <c r="AG244" s="88"/>
      <c r="AH244" s="4"/>
      <c r="AI244" s="4"/>
      <c r="AJ244" s="468"/>
      <c r="AK244" s="468"/>
      <c r="AL244" s="468"/>
      <c r="AM244" s="468" t="s">
        <v>486</v>
      </c>
      <c r="AN244" s="10">
        <f>AN242-0.07</f>
        <v>5.3199999999999994</v>
      </c>
      <c r="AO244" s="9"/>
      <c r="AP244" s="9"/>
      <c r="AQ244" s="9"/>
      <c r="AR244" s="9"/>
      <c r="AS244" s="9"/>
      <c r="AT244" s="9">
        <f>+ab($T$244,$T$242,$T$246,$G$243,$G$245,-1*$F$244,1200)</f>
        <v>-2.5868728671887586</v>
      </c>
      <c r="AU244" s="447"/>
      <c r="AV244" s="447"/>
      <c r="AW244" s="468" t="str">
        <f>IF(C244&gt;0,VLOOKUP(C244,Foundation_Calc!$A$2:$C$13,3,1),
IF(J244&gt;0,VLOOKUP(J244,Foundation_Calc!$A$2:$C$13,3,1),""))</f>
        <v>MultiSoil</v>
      </c>
      <c r="AX244" s="468" t="str">
        <f>IF(C244&gt;0,VLOOKUP(C244,Foundation_Calc!$E$2:$G$13,3,1),
IF(J244&gt;0,VLOOKUP(J244,Foundation_Calc!$E$2:$G$13,3,1),""))</f>
        <v>PT</v>
      </c>
      <c r="AY244" s="10">
        <f>IF(L244="","",
IF(AX244="PT",VLOOKUP(L244,Foundation_Calc!$K$4:$R$37,VLOOKUP(AW244,Foundation_Calc!$I$2:$J$8,2,FALSE),0),
IF(AX244="K",VLOOKUP(L244,Foundation_Calc!$K$41:$R$74,VLOOKUP(AW244,Foundation_Calc!$I$2:$J$8,2,FALSE),0),"")))</f>
        <v>3.7</v>
      </c>
      <c r="AZ244" s="10" t="str">
        <f>IF(K244="","",
IF(AX244="PT",VLOOKUP(K244,Foundation_Calc!$K$4:$R$37,VLOOKUP(AW244,Foundation_Calc!$I$2:$J$8,2,FALSE),0),
IF(AX244="K",VLOOKUP(K244,Foundation_Calc!$K$41:$R$74,VLOOKUP(AW244,Foundation_Calc!$I$2:$J$8,2,FALSE),0),"")))</f>
        <v/>
      </c>
      <c r="BA244" s="553" t="str">
        <f t="shared" si="27"/>
        <v>ü</v>
      </c>
      <c r="BB244" s="553" t="str">
        <f t="shared" si="28"/>
        <v/>
      </c>
      <c r="BC244" s="553" t="str">
        <f t="shared" si="25"/>
        <v/>
      </c>
      <c r="BD244" s="572" t="str">
        <f>IF(AND(L244="",H244=""),"",
IF(H244="",Pole_Calc!A$22,
IF(H244="MP",Pole_Calc!A$23,
IF(H244="AnMP",Pole_Calc!A$24,
IF(H244="A",Pole_Calc!A$25,
IF(H244="S/A",Pole_Calc!A$26,
IF(H244="A/S",Pole_Calc!A$27,"Poner a mano")))))))</f>
        <v>App.7-V11H-P9.5.2.1</v>
      </c>
      <c r="BE244" s="448" t="s">
        <v>1726</v>
      </c>
      <c r="BF244" s="305"/>
      <c r="BG244" s="305"/>
      <c r="BH244" s="306"/>
      <c r="BI244" s="305"/>
    </row>
    <row r="245" spans="1:61" ht="16.2" customHeight="1">
      <c r="A245" s="573"/>
      <c r="B245" s="469"/>
      <c r="C245" s="3"/>
      <c r="D245" s="88"/>
      <c r="E245" s="4"/>
      <c r="F245" s="4"/>
      <c r="G245" s="6">
        <v>30</v>
      </c>
      <c r="H245" s="468"/>
      <c r="I245" s="468"/>
      <c r="J245" s="3"/>
      <c r="K245" s="468"/>
      <c r="L245" s="468"/>
      <c r="M245" s="468" t="str">
        <f>IF(L245="","",
IF(AX245="PT",VLOOKUP(L245,Foundation_Calc!$V$4:$X$37,VLOOKUP(AX245,Foundation_Calc!$I$10:$J$13,2,FALSE),0),
IF(AX245="K",VLOOKUP(L245,Foundation_Calc!$V$41:$X$74,VLOOKUP(AX245,Foundation_Calc!$I$10:$J$13,2,FALSE),0),"")))</f>
        <v/>
      </c>
      <c r="N245" s="468"/>
      <c r="O245" s="468"/>
      <c r="P245" s="468"/>
      <c r="Q245" s="4"/>
      <c r="R245" s="6"/>
      <c r="S245" s="6"/>
      <c r="T245" s="4"/>
      <c r="U245" s="4"/>
      <c r="V245" s="4"/>
      <c r="W245" s="9"/>
      <c r="X245" s="9"/>
      <c r="Y245" s="9"/>
      <c r="Z245" s="9"/>
      <c r="AA245" s="9"/>
      <c r="AB245" s="9"/>
      <c r="AC245" s="468" t="str">
        <f t="shared" si="26"/>
        <v/>
      </c>
      <c r="AD245" s="468"/>
      <c r="AE245" s="468"/>
      <c r="AF245" s="4"/>
      <c r="AG245" s="88"/>
      <c r="AH245" s="4"/>
      <c r="AI245" s="4"/>
      <c r="AJ245" s="468"/>
      <c r="AK245" s="468"/>
      <c r="AL245" s="468"/>
      <c r="AM245" s="468"/>
      <c r="AN245" s="10"/>
      <c r="AO245" s="9"/>
      <c r="AP245" s="9"/>
      <c r="AQ245" s="9">
        <f>+FL_2($T$246,$T$244,$G$245,1200,9.28,-1*$F$246)</f>
        <v>-0.30000000000003496</v>
      </c>
      <c r="AR245" s="9"/>
      <c r="AS245" s="9"/>
      <c r="AT245" s="9"/>
      <c r="AU245" s="447"/>
      <c r="AV245" s="447"/>
      <c r="AW245" s="468" t="str">
        <f>IF(C245&gt;0,VLOOKUP(C245,Foundation_Calc!$A$2:$C$13,3,1),
IF(J245&gt;0,VLOOKUP(J245,Foundation_Calc!$A$2:$C$13,3,1),""))</f>
        <v/>
      </c>
      <c r="AX245" s="468" t="str">
        <f>IF(C245&gt;0,VLOOKUP(C245,Foundation_Calc!$E$2:$G$13,3,1),
IF(J245&gt;0,VLOOKUP(J245,Foundation_Calc!$E$2:$G$13,3,1),""))</f>
        <v/>
      </c>
      <c r="AY245" s="10" t="str">
        <f>IF(L245="","",
IF(AX245="PT",VLOOKUP(L245,Foundation_Calc!$K$4:$R$37,VLOOKUP(AW245,Foundation_Calc!$I$2:$J$8,2,FALSE),0),
IF(AX245="K",VLOOKUP(L245,Foundation_Calc!$K$41:$R$74,VLOOKUP(AW245,Foundation_Calc!$I$2:$J$8,2,FALSE),0),"")))</f>
        <v/>
      </c>
      <c r="AZ245" s="10" t="str">
        <f>IF(K245="","",
IF(AX245="PT",VLOOKUP(K245,Foundation_Calc!$K$4:$R$37,VLOOKUP(AW245,Foundation_Calc!$I$2:$J$8,2,FALSE),0),
IF(AX245="K",VLOOKUP(K245,Foundation_Calc!$K$41:$R$74,VLOOKUP(AW245,Foundation_Calc!$I$2:$J$8,2,FALSE),0),"")))</f>
        <v/>
      </c>
      <c r="BA245" s="553" t="str">
        <f t="shared" si="27"/>
        <v/>
      </c>
      <c r="BB245" s="553" t="str">
        <f t="shared" si="28"/>
        <v/>
      </c>
      <c r="BC245" s="553" t="str">
        <f t="shared" si="25"/>
        <v/>
      </c>
      <c r="BD245" s="572" t="str">
        <f>IF(AND(L245="",H245=""),"",
IF(H245="",Pole_Calc!A$22,
IF(H245="MP",Pole_Calc!A$23,
IF(H245="AnMP",Pole_Calc!A$24,
IF(H245="A",Pole_Calc!A$25,
IF(H245="S/A",Pole_Calc!A$26,
IF(H245="A/S",Pole_Calc!A$27,"Poner a mano")))))))</f>
        <v/>
      </c>
      <c r="BE245" s="448" t="s">
        <v>1726</v>
      </c>
      <c r="BF245" s="306"/>
      <c r="BG245" s="306"/>
      <c r="BH245" s="306"/>
      <c r="BI245" s="306"/>
    </row>
    <row r="246" spans="1:61" ht="16.2" customHeight="1">
      <c r="A246" s="573"/>
      <c r="B246" s="469" t="s">
        <v>1847</v>
      </c>
      <c r="C246" s="3">
        <f>+$C$244+$G$245</f>
        <v>5439.93</v>
      </c>
      <c r="D246" s="88"/>
      <c r="E246" s="4"/>
      <c r="F246" s="4">
        <v>404.7</v>
      </c>
      <c r="G246" s="6"/>
      <c r="H246" s="468"/>
      <c r="I246" s="468"/>
      <c r="J246" s="3"/>
      <c r="K246" s="468"/>
      <c r="L246" s="468" t="s">
        <v>40</v>
      </c>
      <c r="M246" s="468" t="str">
        <f>IF(L246="","",
IF(AX246="PT",VLOOKUP(L246,Foundation_Calc!$V$4:$X$37,VLOOKUP(AX246,Foundation_Calc!$I$10:$J$13,2,FALSE),0),
IF(AX246="K",VLOOKUP(L246,Foundation_Calc!$V$41:$X$74,VLOOKUP(AX246,Foundation_Calc!$I$10:$J$13,2,FALSE),0),"")))</f>
        <v>C5SR</v>
      </c>
      <c r="N246" s="468" t="s">
        <v>32</v>
      </c>
      <c r="O246" s="468"/>
      <c r="P246" s="468"/>
      <c r="Q246" s="4"/>
      <c r="R246" s="6"/>
      <c r="S246" s="6"/>
      <c r="T246" s="4">
        <v>-30</v>
      </c>
      <c r="U246" s="4"/>
      <c r="V246" s="4"/>
      <c r="W246" s="9">
        <v>1.4</v>
      </c>
      <c r="X246" s="9"/>
      <c r="Y246" s="9"/>
      <c r="Z246" s="9"/>
      <c r="AA246" s="9"/>
      <c r="AB246" s="9"/>
      <c r="AC246" s="468" t="str">
        <f t="shared" si="26"/>
        <v>PHC</v>
      </c>
      <c r="AD246" s="468"/>
      <c r="AE246" s="468"/>
      <c r="AF246" s="4"/>
      <c r="AG246" s="88"/>
      <c r="AH246" s="4"/>
      <c r="AI246" s="4"/>
      <c r="AJ246" s="468"/>
      <c r="AK246" s="468"/>
      <c r="AL246" s="468"/>
      <c r="AM246" s="468" t="s">
        <v>486</v>
      </c>
      <c r="AN246" s="10">
        <f>AN248+0.06</f>
        <v>5.25</v>
      </c>
      <c r="AO246" s="9"/>
      <c r="AP246" s="9"/>
      <c r="AQ246" s="9"/>
      <c r="AR246" s="9"/>
      <c r="AS246" s="9"/>
      <c r="AT246" s="9">
        <f>+ab($T$246,$T$244,$T$248,$G$245,$G$247,-1*$F$246,1200)</f>
        <v>-2.5868728671887586</v>
      </c>
      <c r="AU246" s="447"/>
      <c r="AV246" s="447"/>
      <c r="AW246" s="468" t="str">
        <f>IF(C246&gt;0,VLOOKUP(C246,Foundation_Calc!$A$2:$C$13,3,1),
IF(J246&gt;0,VLOOKUP(J246,Foundation_Calc!$A$2:$C$13,3,1),""))</f>
        <v>MultiSoil</v>
      </c>
      <c r="AX246" s="468" t="str">
        <f>IF(C246&gt;0,VLOOKUP(C246,Foundation_Calc!$E$2:$G$13,3,1),
IF(J246&gt;0,VLOOKUP(J246,Foundation_Calc!$E$2:$G$13,3,1),""))</f>
        <v>PT</v>
      </c>
      <c r="AY246" s="10">
        <f>IF(L246="","",
IF(AX246="PT",VLOOKUP(L246,Foundation_Calc!$K$4:$R$37,VLOOKUP(AW246,Foundation_Calc!$I$2:$J$8,2,FALSE),0),
IF(AX246="K",VLOOKUP(L246,Foundation_Calc!$K$41:$R$74,VLOOKUP(AW246,Foundation_Calc!$I$2:$J$8,2,FALSE),0),"")))</f>
        <v>3.7</v>
      </c>
      <c r="AZ246" s="10" t="str">
        <f>IF(K246="","",
IF(AX246="PT",VLOOKUP(K246,Foundation_Calc!$K$4:$R$37,VLOOKUP(AW246,Foundation_Calc!$I$2:$J$8,2,FALSE),0),
IF(AX246="K",VLOOKUP(K246,Foundation_Calc!$K$41:$R$74,VLOOKUP(AW246,Foundation_Calc!$I$2:$J$8,2,FALSE),0),"")))</f>
        <v/>
      </c>
      <c r="BA246" s="553" t="str">
        <f t="shared" si="27"/>
        <v>ü</v>
      </c>
      <c r="BB246" s="553" t="str">
        <f t="shared" si="28"/>
        <v/>
      </c>
      <c r="BC246" s="553" t="str">
        <f t="shared" si="25"/>
        <v/>
      </c>
      <c r="BD246" s="572" t="str">
        <f>IF(AND(L246="",H246=""),"",
IF(H246="",Pole_Calc!A$22,
IF(H246="MP",Pole_Calc!A$23,
IF(H246="AnMP",Pole_Calc!A$24,
IF(H246="A",Pole_Calc!A$25,
IF(H246="S/A",Pole_Calc!A$26,
IF(H246="A/S",Pole_Calc!A$27,"Poner a mano")))))))</f>
        <v>App.7-V11H-P9.5.2.1</v>
      </c>
      <c r="BE246" s="448" t="s">
        <v>1726</v>
      </c>
      <c r="BF246" s="305"/>
      <c r="BG246" s="305"/>
      <c r="BH246" s="306"/>
      <c r="BI246" s="305"/>
    </row>
    <row r="247" spans="1:61" ht="16.2" customHeight="1">
      <c r="A247" s="573"/>
      <c r="B247" s="469"/>
      <c r="C247" s="3"/>
      <c r="D247" s="88"/>
      <c r="E247" s="4"/>
      <c r="F247" s="4"/>
      <c r="G247" s="6">
        <v>30</v>
      </c>
      <c r="H247" s="468"/>
      <c r="I247" s="468"/>
      <c r="J247" s="3">
        <f>C248-7.5</f>
        <v>5462.43</v>
      </c>
      <c r="K247" s="468" t="s">
        <v>1095</v>
      </c>
      <c r="L247" s="468"/>
      <c r="M247" s="468" t="str">
        <f>IF(L247="","",
IF(AX247="PT",VLOOKUP(L247,Foundation_Calc!$V$4:$X$37,VLOOKUP(AX247,Foundation_Calc!$I$10:$J$13,2,FALSE),0),
IF(AX247="K",VLOOKUP(L247,Foundation_Calc!$V$41:$X$74,VLOOKUP(AX247,Foundation_Calc!$I$10:$J$13,2,FALSE),0),"")))</f>
        <v/>
      </c>
      <c r="N247" s="468"/>
      <c r="O247" s="468"/>
      <c r="P247" s="468"/>
      <c r="Q247" s="4"/>
      <c r="R247" s="6"/>
      <c r="S247" s="6"/>
      <c r="T247" s="4"/>
      <c r="U247" s="4"/>
      <c r="V247" s="4"/>
      <c r="W247" s="9"/>
      <c r="X247" s="9"/>
      <c r="Y247" s="9"/>
      <c r="Z247" s="9"/>
      <c r="AA247" s="9"/>
      <c r="AB247" s="9"/>
      <c r="AC247" s="468" t="str">
        <f t="shared" si="26"/>
        <v/>
      </c>
      <c r="AD247" s="468"/>
      <c r="AE247" s="468"/>
      <c r="AF247" s="4"/>
      <c r="AG247" s="88"/>
      <c r="AH247" s="4"/>
      <c r="AI247" s="4"/>
      <c r="AJ247" s="468"/>
      <c r="AK247" s="468"/>
      <c r="AL247" s="468"/>
      <c r="AM247" s="468"/>
      <c r="AN247" s="10"/>
      <c r="AO247" s="9"/>
      <c r="AP247" s="9"/>
      <c r="AQ247" s="9">
        <f>+FL_2($T$248,$T$246,$G$247,1200,9.28,-1*$F$248)</f>
        <v>-0.30000000000003496</v>
      </c>
      <c r="AR247" s="9"/>
      <c r="AS247" s="9"/>
      <c r="AT247" s="9"/>
      <c r="AU247" s="447"/>
      <c r="AV247" s="447"/>
      <c r="AW247" s="468" t="str">
        <f>IF(C247&gt;0,VLOOKUP(C247,Foundation_Calc!$A$2:$C$13,3,1),
IF(J247&gt;0,VLOOKUP(J247,Foundation_Calc!$A$2:$C$13,3,1),""))</f>
        <v>MultiSoil</v>
      </c>
      <c r="AX247" s="468" t="str">
        <f>IF(C247&gt;0,VLOOKUP(C247,Foundation_Calc!$E$2:$G$13,3,1),
IF(J247&gt;0,VLOOKUP(J247,Foundation_Calc!$E$2:$G$13,3,1),""))</f>
        <v>PT</v>
      </c>
      <c r="AY247" s="10" t="str">
        <f>IF(L247="","",
IF(AX247="PT",VLOOKUP(L247,Foundation_Calc!$K$4:$R$37,VLOOKUP(AW247,Foundation_Calc!$I$2:$J$8,2,FALSE),0),
IF(AX247="K",VLOOKUP(L247,Foundation_Calc!$K$41:$R$74,VLOOKUP(AW247,Foundation_Calc!$I$2:$J$8,2,FALSE),0),"")))</f>
        <v/>
      </c>
      <c r="AZ247" s="10">
        <f>IF(K247="","",
IF(AX247="PT",VLOOKUP(K247,Foundation_Calc!$K$4:$R$37,VLOOKUP(AW247,Foundation_Calc!$I$2:$J$8,2,FALSE),0),
IF(AX247="K",VLOOKUP(K247,Foundation_Calc!$K$41:$R$74,VLOOKUP(AW247,Foundation_Calc!$I$2:$J$8,2,FALSE),0),"")))</f>
        <v>3.9</v>
      </c>
      <c r="BA247" s="553" t="str">
        <f t="shared" si="27"/>
        <v/>
      </c>
      <c r="BB247" s="553" t="str">
        <f t="shared" si="28"/>
        <v>ü</v>
      </c>
      <c r="BC247" s="553" t="str">
        <f t="shared" si="25"/>
        <v/>
      </c>
      <c r="BD247" s="572" t="str">
        <f>IF(AND(L247="",H247=""),"",
IF(H247="",Pole_Calc!A$22,
IF(H247="MP",Pole_Calc!A$23,
IF(H247="AnMP",Pole_Calc!A$24,
IF(H247="A",Pole_Calc!A$25,
IF(H247="S/A",Pole_Calc!A$26,
IF(H247="A/S",Pole_Calc!A$27,"Poner a mano")))))))</f>
        <v/>
      </c>
      <c r="BE247" s="448" t="s">
        <v>1726</v>
      </c>
      <c r="BF247" s="306"/>
      <c r="BG247" s="306"/>
      <c r="BH247" s="306"/>
      <c r="BI247" s="306"/>
    </row>
    <row r="248" spans="1:61" ht="16.2" customHeight="1">
      <c r="A248" s="573"/>
      <c r="B248" s="638" t="s">
        <v>1848</v>
      </c>
      <c r="C248" s="3">
        <f>+$C$246+$G$247</f>
        <v>5469.93</v>
      </c>
      <c r="D248" s="88"/>
      <c r="E248" s="4"/>
      <c r="F248" s="4">
        <v>404.7</v>
      </c>
      <c r="G248" s="6"/>
      <c r="H248" s="468" t="s">
        <v>26</v>
      </c>
      <c r="I248" s="468" t="s">
        <v>182</v>
      </c>
      <c r="J248" s="3"/>
      <c r="K248" s="468"/>
      <c r="L248" s="468" t="s">
        <v>454</v>
      </c>
      <c r="M248" s="468" t="str">
        <f>IF(L248="","",
IF(AX248="PT",VLOOKUP(L248,Foundation_Calc!$V$4:$X$37,VLOOKUP(AX248,Foundation_Calc!$I$10:$J$13,2,FALSE),0),
IF(AX248="K",VLOOKUP(L248,Foundation_Calc!$V$41:$X$74,VLOOKUP(AX248,Foundation_Calc!$I$10:$J$13,2,FALSE),0),"")))</f>
        <v>C7SR</v>
      </c>
      <c r="N248" s="468" t="s">
        <v>32</v>
      </c>
      <c r="O248" s="468"/>
      <c r="P248" s="468"/>
      <c r="Q248" s="4"/>
      <c r="R248" s="6"/>
      <c r="S248" s="6"/>
      <c r="T248" s="4">
        <v>-30</v>
      </c>
      <c r="U248" s="4"/>
      <c r="V248" s="4"/>
      <c r="W248" s="9">
        <v>1.4</v>
      </c>
      <c r="X248" s="9"/>
      <c r="Y248" s="9"/>
      <c r="Z248" s="9"/>
      <c r="AA248" s="9"/>
      <c r="AB248" s="9"/>
      <c r="AC248" s="468" t="str">
        <f t="shared" si="26"/>
        <v>PHC</v>
      </c>
      <c r="AD248" s="468"/>
      <c r="AE248" s="468"/>
      <c r="AF248" s="4"/>
      <c r="AG248" s="88"/>
      <c r="AH248" s="4"/>
      <c r="AI248" s="4"/>
      <c r="AJ248" s="468"/>
      <c r="AK248" s="468"/>
      <c r="AL248" s="468"/>
      <c r="AM248" s="468" t="s">
        <v>486</v>
      </c>
      <c r="AN248" s="10">
        <f>AN250+0.04</f>
        <v>5.19</v>
      </c>
      <c r="AO248" s="9"/>
      <c r="AP248" s="9"/>
      <c r="AQ248" s="9"/>
      <c r="AR248" s="9"/>
      <c r="AS248" s="9"/>
      <c r="AT248" s="9">
        <f>+ab($T$248,$T$246,$U$250,$G$247,$G$249,-1*$F$248,1200)</f>
        <v>-2.5868728671887586</v>
      </c>
      <c r="AU248" s="447"/>
      <c r="AV248" s="447"/>
      <c r="AW248" s="468" t="str">
        <f>IF(C248&gt;0,VLOOKUP(C248,Foundation_Calc!$A$2:$C$13,3,1),
IF(J248&gt;0,VLOOKUP(J248,Foundation_Calc!$A$2:$C$13,3,1),""))</f>
        <v>MultiSoil</v>
      </c>
      <c r="AX248" s="468" t="str">
        <f>IF(C248&gt;0,VLOOKUP(C248,Foundation_Calc!$E$2:$G$13,3,1),
IF(J248&gt;0,VLOOKUP(J248,Foundation_Calc!$E$2:$G$13,3,1),""))</f>
        <v>PT</v>
      </c>
      <c r="AY248" s="10">
        <f>IF(L248="","",
IF(AX248="PT",VLOOKUP(L248,Foundation_Calc!$K$4:$R$37,VLOOKUP(AW248,Foundation_Calc!$I$2:$J$8,2,FALSE),0),
IF(AX248="K",VLOOKUP(L248,Foundation_Calc!$K$41:$R$74,VLOOKUP(AW248,Foundation_Calc!$I$2:$J$8,2,FALSE),0),"")))</f>
        <v>3.9</v>
      </c>
      <c r="AZ248" s="10" t="str">
        <f>IF(K248="","",
IF(AX248="PT",VLOOKUP(K248,Foundation_Calc!$K$4:$R$37,VLOOKUP(AW248,Foundation_Calc!$I$2:$J$8,2,FALSE),0),
IF(AX248="K",VLOOKUP(K248,Foundation_Calc!$K$41:$R$74,VLOOKUP(AW248,Foundation_Calc!$I$2:$J$8,2,FALSE),0),"")))</f>
        <v/>
      </c>
      <c r="BA248" s="553" t="str">
        <f t="shared" si="27"/>
        <v>ü</v>
      </c>
      <c r="BB248" s="553" t="str">
        <f t="shared" si="28"/>
        <v/>
      </c>
      <c r="BC248" s="553" t="str">
        <f t="shared" si="25"/>
        <v/>
      </c>
      <c r="BD248" s="572" t="str">
        <f>IF(AND(L248="",H248=""),"",
IF(H248="",Pole_Calc!A$22,
IF(H248="MP",Pole_Calc!A$23,
IF(H248="AnMP",Pole_Calc!A$24,
IF(H248="A",Pole_Calc!A$25,
IF(H248="S/A",Pole_Calc!A$26,
IF(H248="A/S",Pole_Calc!A$27,"Poner a mano")))))))</f>
        <v>App.7-V11H-P9.5.2.6</v>
      </c>
      <c r="BE248" s="448" t="s">
        <v>1726</v>
      </c>
      <c r="BF248" s="305"/>
      <c r="BG248" s="305"/>
      <c r="BH248" s="306"/>
      <c r="BI248" s="305"/>
    </row>
    <row r="249" spans="1:61" ht="16.2" customHeight="1">
      <c r="A249" s="573"/>
      <c r="B249" s="469"/>
      <c r="C249" s="3"/>
      <c r="D249" s="88"/>
      <c r="E249" s="4"/>
      <c r="F249" s="4"/>
      <c r="G249" s="6">
        <v>30</v>
      </c>
      <c r="H249" s="468"/>
      <c r="I249" s="468"/>
      <c r="J249" s="3"/>
      <c r="K249" s="468"/>
      <c r="L249" s="468"/>
      <c r="M249" s="468" t="str">
        <f>IF(L249="","",
IF(AX249="PT",VLOOKUP(L249,Foundation_Calc!$V$4:$X$37,VLOOKUP(AX249,Foundation_Calc!$I$10:$J$13,2,FALSE),0),
IF(AX249="K",VLOOKUP(L249,Foundation_Calc!$V$41:$X$74,VLOOKUP(AX249,Foundation_Calc!$I$10:$J$13,2,FALSE),0),"")))</f>
        <v/>
      </c>
      <c r="N249" s="468"/>
      <c r="O249" s="468"/>
      <c r="P249" s="468"/>
      <c r="Q249" s="4"/>
      <c r="R249" s="6"/>
      <c r="S249" s="6"/>
      <c r="T249" s="4"/>
      <c r="U249" s="4"/>
      <c r="V249" s="4"/>
      <c r="W249" s="9"/>
      <c r="X249" s="9"/>
      <c r="Y249" s="9"/>
      <c r="Z249" s="9"/>
      <c r="AA249" s="9"/>
      <c r="AB249" s="9"/>
      <c r="AC249" s="468" t="str">
        <f t="shared" si="26"/>
        <v/>
      </c>
      <c r="AD249" s="468"/>
      <c r="AE249" s="468"/>
      <c r="AF249" s="4"/>
      <c r="AG249" s="88"/>
      <c r="AH249" s="4"/>
      <c r="AI249" s="4"/>
      <c r="AJ249" s="468"/>
      <c r="AK249" s="468"/>
      <c r="AL249" s="468"/>
      <c r="AM249" s="468"/>
      <c r="AN249" s="10"/>
      <c r="AO249" s="9"/>
      <c r="AP249" s="9"/>
      <c r="AQ249" s="9">
        <f>+FL_2($U$250,$T$248,$G$249,1200,9.28,-1*$F$250)</f>
        <v>-0.30000000000003496</v>
      </c>
      <c r="AR249" s="9"/>
      <c r="AS249" s="9"/>
      <c r="AT249" s="9"/>
      <c r="AU249" s="447"/>
      <c r="AV249" s="447"/>
      <c r="AW249" s="468" t="str">
        <f>IF(C249&gt;0,VLOOKUP(C249,Foundation_Calc!$A$2:$C$13,3,1),
IF(J249&gt;0,VLOOKUP(J249,Foundation_Calc!$A$2:$C$13,3,1),""))</f>
        <v/>
      </c>
      <c r="AX249" s="468" t="str">
        <f>IF(C249&gt;0,VLOOKUP(C249,Foundation_Calc!$E$2:$G$13,3,1),
IF(J249&gt;0,VLOOKUP(J249,Foundation_Calc!$E$2:$G$13,3,1),""))</f>
        <v/>
      </c>
      <c r="AY249" s="10" t="str">
        <f>IF(L249="","",
IF(AX249="PT",VLOOKUP(L249,Foundation_Calc!$K$4:$R$37,VLOOKUP(AW249,Foundation_Calc!$I$2:$J$8,2,FALSE),0),
IF(AX249="K",VLOOKUP(L249,Foundation_Calc!$K$41:$R$74,VLOOKUP(AW249,Foundation_Calc!$I$2:$J$8,2,FALSE),0),"")))</f>
        <v/>
      </c>
      <c r="AZ249" s="10" t="str">
        <f>IF(K249="","",
IF(AX249="PT",VLOOKUP(K249,Foundation_Calc!$K$4:$R$37,VLOOKUP(AW249,Foundation_Calc!$I$2:$J$8,2,FALSE),0),
IF(AX249="K",VLOOKUP(K249,Foundation_Calc!$K$41:$R$74,VLOOKUP(AW249,Foundation_Calc!$I$2:$J$8,2,FALSE),0),"")))</f>
        <v/>
      </c>
      <c r="BA249" s="553" t="str">
        <f t="shared" si="27"/>
        <v/>
      </c>
      <c r="BB249" s="553" t="str">
        <f t="shared" si="28"/>
        <v/>
      </c>
      <c r="BC249" s="553" t="str">
        <f t="shared" si="25"/>
        <v/>
      </c>
      <c r="BD249" s="572" t="str">
        <f>IF(AND(L249="",H249=""),"",
IF(H249="",Pole_Calc!A$22,
IF(H249="MP",Pole_Calc!A$23,
IF(H249="AnMP",Pole_Calc!A$24,
IF(H249="A",Pole_Calc!A$25,
IF(H249="S/A",Pole_Calc!A$26,
IF(H249="A/S",Pole_Calc!A$27,"Poner a mano")))))))</f>
        <v/>
      </c>
      <c r="BE249" s="448" t="s">
        <v>1726</v>
      </c>
      <c r="BF249" s="306"/>
      <c r="BG249" s="306"/>
      <c r="BH249" s="306"/>
      <c r="BI249" s="306"/>
    </row>
    <row r="250" spans="1:61" ht="16.2" customHeight="1">
      <c r="A250" s="573"/>
      <c r="B250" s="638" t="s">
        <v>1849</v>
      </c>
      <c r="C250" s="3">
        <f>+$C$248+$G$249</f>
        <v>5499.93</v>
      </c>
      <c r="D250" s="88"/>
      <c r="E250" s="4"/>
      <c r="F250" s="4">
        <v>404.7</v>
      </c>
      <c r="G250" s="6"/>
      <c r="H250" s="468" t="s">
        <v>179</v>
      </c>
      <c r="I250" s="468"/>
      <c r="J250" s="3"/>
      <c r="K250" s="468"/>
      <c r="L250" s="468" t="s">
        <v>448</v>
      </c>
      <c r="M250" s="468" t="str">
        <f>IF(L250="","",
IF(AX250="PT",VLOOKUP(L250,Foundation_Calc!$V$4:$X$37,VLOOKUP(AX250,Foundation_Calc!$I$10:$J$13,2,FALSE),0),
IF(AX250="K",VLOOKUP(L250,Foundation_Calc!$V$41:$X$74,VLOOKUP(AX250,Foundation_Calc!$I$10:$J$13,2,FALSE),0),"")))</f>
        <v>2C3SR</v>
      </c>
      <c r="N250" s="468" t="s">
        <v>28</v>
      </c>
      <c r="O250" s="468" t="s">
        <v>32</v>
      </c>
      <c r="P250" s="468"/>
      <c r="Q250" s="4"/>
      <c r="R250" s="6"/>
      <c r="S250" s="6"/>
      <c r="T250" s="4">
        <v>-10</v>
      </c>
      <c r="U250" s="4">
        <v>-30</v>
      </c>
      <c r="V250" s="4"/>
      <c r="W250" s="9">
        <v>1.2</v>
      </c>
      <c r="X250" s="9">
        <v>1.8</v>
      </c>
      <c r="Y250" s="9"/>
      <c r="Z250" s="9">
        <v>0.4</v>
      </c>
      <c r="AA250" s="9"/>
      <c r="AB250" s="9"/>
      <c r="AC250" s="468"/>
      <c r="AD250" s="468" t="s">
        <v>1078</v>
      </c>
      <c r="AE250" s="468"/>
      <c r="AF250" s="4"/>
      <c r="AG250" s="88"/>
      <c r="AH250" s="4"/>
      <c r="AI250" s="4"/>
      <c r="AJ250" s="468"/>
      <c r="AK250" s="468"/>
      <c r="AL250" s="468"/>
      <c r="AM250" s="468" t="s">
        <v>486</v>
      </c>
      <c r="AN250" s="10">
        <v>5.15</v>
      </c>
      <c r="AO250" s="9"/>
      <c r="AP250" s="9"/>
      <c r="AQ250" s="9"/>
      <c r="AR250" s="9"/>
      <c r="AS250" s="9"/>
      <c r="AT250" s="9">
        <f>+ab($U$250,$T$248,$U$252,$G$249,$G$251,-1*$F$250,1200)</f>
        <v>-2.5868728671887586</v>
      </c>
      <c r="AU250" s="447"/>
      <c r="AV250" s="447"/>
      <c r="AW250" s="468" t="str">
        <f>IF(C250&gt;0,VLOOKUP(C250,Foundation_Calc!$A$2:$C$13,3,1),
IF(J250&gt;0,VLOOKUP(J250,Foundation_Calc!$A$2:$C$13,3,1),""))</f>
        <v>MultiSoil</v>
      </c>
      <c r="AX250" s="468" t="str">
        <f>IF(C250&gt;0,VLOOKUP(C250,Foundation_Calc!$E$2:$G$13,3,1),
IF(J250&gt;0,VLOOKUP(J250,Foundation_Calc!$E$2:$G$13,3,1),""))</f>
        <v>PT</v>
      </c>
      <c r="AY250" s="10">
        <f>IF(L250="","",
IF(AX250="PT",VLOOKUP(L250,Foundation_Calc!$K$4:$R$37,VLOOKUP(AW250,Foundation_Calc!$I$2:$J$8,2,FALSE),0),
IF(AX250="K",VLOOKUP(L250,Foundation_Calc!$K$41:$R$74,VLOOKUP(AW250,Foundation_Calc!$I$2:$J$8,2,FALSE),0),"")))</f>
        <v>3.9</v>
      </c>
      <c r="AZ250" s="10" t="str">
        <f>IF(K250="","",
IF(AX250="PT",VLOOKUP(K250,Foundation_Calc!$K$4:$R$37,VLOOKUP(AW250,Foundation_Calc!$I$2:$J$8,2,FALSE),0),
IF(AX250="K",VLOOKUP(K250,Foundation_Calc!$K$41:$R$74,VLOOKUP(AW250,Foundation_Calc!$I$2:$J$8,2,FALSE),0),"")))</f>
        <v/>
      </c>
      <c r="BA250" s="553" t="str">
        <f t="shared" si="27"/>
        <v>ü</v>
      </c>
      <c r="BB250" s="553" t="str">
        <f t="shared" si="28"/>
        <v/>
      </c>
      <c r="BC250" s="553" t="str">
        <f t="shared" si="25"/>
        <v/>
      </c>
      <c r="BD250" s="572" t="str">
        <f>IF(AND(L250="",H250=""),"",
IF(H250="",Pole_Calc!A$22,
IF(H250="MP",Pole_Calc!A$23,
IF(H250="AnMP",Pole_Calc!A$24,
IF(H250="A",Pole_Calc!A$25,
IF(H250="S/A",Pole_Calc!A$26,
IF(H250="A/S",Pole_Calc!A$27,"Poner a mano")))))))</f>
        <v>App.7-V11H-P9.5.2.5</v>
      </c>
      <c r="BE250" s="448" t="s">
        <v>1726</v>
      </c>
      <c r="BF250" s="305"/>
      <c r="BG250" s="305"/>
      <c r="BH250" s="306"/>
      <c r="BI250" s="305"/>
    </row>
    <row r="251" spans="1:61" ht="16.2" customHeight="1">
      <c r="A251" s="573"/>
      <c r="B251" s="469"/>
      <c r="C251" s="3"/>
      <c r="D251" s="88"/>
      <c r="E251" s="4"/>
      <c r="F251" s="4"/>
      <c r="G251" s="6">
        <v>30</v>
      </c>
      <c r="H251" s="468"/>
      <c r="I251" s="468"/>
      <c r="J251" s="3"/>
      <c r="K251" s="468"/>
      <c r="L251" s="468"/>
      <c r="M251" s="468" t="str">
        <f>IF(L251="","",
IF(AX251="PT",VLOOKUP(L251,Foundation_Calc!$V$4:$X$37,VLOOKUP(AX251,Foundation_Calc!$I$10:$J$13,2,FALSE),0),
IF(AX251="K",VLOOKUP(L251,Foundation_Calc!$V$41:$X$74,VLOOKUP(AX251,Foundation_Calc!$I$10:$J$13,2,FALSE),0),"")))</f>
        <v/>
      </c>
      <c r="N251" s="468"/>
      <c r="O251" s="468"/>
      <c r="P251" s="468"/>
      <c r="Q251" s="4"/>
      <c r="R251" s="6"/>
      <c r="S251" s="6"/>
      <c r="T251" s="4"/>
      <c r="U251" s="4"/>
      <c r="V251" s="4"/>
      <c r="W251" s="9"/>
      <c r="X251" s="9"/>
      <c r="Y251" s="9"/>
      <c r="Z251" s="9"/>
      <c r="AA251" s="9"/>
      <c r="AB251" s="9"/>
      <c r="AC251" s="468" t="str">
        <f t="shared" si="26"/>
        <v/>
      </c>
      <c r="AD251" s="468"/>
      <c r="AE251" s="468"/>
      <c r="AF251" s="4"/>
      <c r="AG251" s="88"/>
      <c r="AH251" s="4"/>
      <c r="AI251" s="4"/>
      <c r="AJ251" s="468"/>
      <c r="AK251" s="468"/>
      <c r="AL251" s="468"/>
      <c r="AM251" s="468"/>
      <c r="AN251" s="10"/>
      <c r="AO251" s="9"/>
      <c r="AP251" s="9"/>
      <c r="AQ251" s="9">
        <f>+FL_1($T$252,$T$250,$G$251,1200,9.28,-1*$F$252)</f>
        <v>0.2650792291297871</v>
      </c>
      <c r="AR251" s="9"/>
      <c r="AS251" s="9"/>
      <c r="AT251" s="9"/>
      <c r="AU251" s="447"/>
      <c r="AV251" s="447"/>
      <c r="AW251" s="468" t="str">
        <f>IF(C251&gt;0,VLOOKUP(C251,Foundation_Calc!$A$2:$C$13,3,1),
IF(J251&gt;0,VLOOKUP(J251,Foundation_Calc!$A$2:$C$13,3,1),""))</f>
        <v/>
      </c>
      <c r="AX251" s="468" t="str">
        <f>IF(C251&gt;0,VLOOKUP(C251,Foundation_Calc!$E$2:$G$13,3,1),
IF(J251&gt;0,VLOOKUP(J251,Foundation_Calc!$E$2:$G$13,3,1),""))</f>
        <v/>
      </c>
      <c r="AY251" s="10" t="str">
        <f>IF(L251="","",
IF(AX251="PT",VLOOKUP(L251,Foundation_Calc!$K$4:$R$37,VLOOKUP(AW251,Foundation_Calc!$I$2:$J$8,2,FALSE),0),
IF(AX251="K",VLOOKUP(L251,Foundation_Calc!$K$41:$R$74,VLOOKUP(AW251,Foundation_Calc!$I$2:$J$8,2,FALSE),0),"")))</f>
        <v/>
      </c>
      <c r="AZ251" s="10" t="str">
        <f>IF(K251="","",
IF(AX251="PT",VLOOKUP(K251,Foundation_Calc!$K$4:$R$37,VLOOKUP(AW251,Foundation_Calc!$I$2:$J$8,2,FALSE),0),
IF(AX251="K",VLOOKUP(K251,Foundation_Calc!$K$41:$R$74,VLOOKUP(AW251,Foundation_Calc!$I$2:$J$8,2,FALSE),0),"")))</f>
        <v/>
      </c>
      <c r="BA251" s="553" t="str">
        <f t="shared" si="27"/>
        <v/>
      </c>
      <c r="BB251" s="553" t="str">
        <f t="shared" si="28"/>
        <v/>
      </c>
      <c r="BC251" s="553" t="str">
        <f t="shared" si="25"/>
        <v/>
      </c>
      <c r="BD251" s="572" t="str">
        <f>IF(AND(L251="",H251=""),"",
IF(H251="",Pole_Calc!A$22,
IF(H251="MP",Pole_Calc!A$23,
IF(H251="AnMP",Pole_Calc!A$24,
IF(H251="A",Pole_Calc!A$25,
IF(H251="S/A",Pole_Calc!A$26,
IF(H251="A/S",Pole_Calc!A$27,"Poner a mano")))))))</f>
        <v/>
      </c>
      <c r="BE251" s="448" t="s">
        <v>1726</v>
      </c>
      <c r="BF251" s="306"/>
      <c r="BG251" s="306"/>
      <c r="BH251" s="306"/>
      <c r="BI251" s="306"/>
    </row>
    <row r="252" spans="1:61" ht="16.2" customHeight="1">
      <c r="A252" s="573"/>
      <c r="B252" s="638" t="s">
        <v>1850</v>
      </c>
      <c r="C252" s="3">
        <f>+$C$250+$G$251</f>
        <v>5529.93</v>
      </c>
      <c r="D252" s="88"/>
      <c r="E252" s="4"/>
      <c r="F252" s="4">
        <v>404.7</v>
      </c>
      <c r="G252" s="6"/>
      <c r="H252" s="468" t="s">
        <v>180</v>
      </c>
      <c r="I252" s="468"/>
      <c r="J252" s="3"/>
      <c r="K252" s="468"/>
      <c r="L252" s="468" t="s">
        <v>39</v>
      </c>
      <c r="M252" s="468" t="str">
        <f>IF(L252="","",
IF(AX252="PT",VLOOKUP(L252,Foundation_Calc!$V$4:$X$37,VLOOKUP(AX252,Foundation_Calc!$I$10:$J$13,2,FALSE),0),
IF(AX252="K",VLOOKUP(L252,Foundation_Calc!$V$41:$X$74,VLOOKUP(AX252,Foundation_Calc!$I$10:$J$13,2,FALSE),0),"")))</f>
        <v>C7SR</v>
      </c>
      <c r="N252" s="468" t="s">
        <v>32</v>
      </c>
      <c r="O252" s="468" t="s">
        <v>32</v>
      </c>
      <c r="P252" s="468"/>
      <c r="Q252" s="4"/>
      <c r="R252" s="6"/>
      <c r="S252" s="6"/>
      <c r="T252" s="4">
        <v>-10</v>
      </c>
      <c r="U252" s="4">
        <v>-30</v>
      </c>
      <c r="V252" s="4"/>
      <c r="W252" s="9">
        <v>1.2</v>
      </c>
      <c r="X252" s="9">
        <v>1.8</v>
      </c>
      <c r="Y252" s="9"/>
      <c r="Z252" s="9">
        <v>0.15</v>
      </c>
      <c r="AA252" s="9"/>
      <c r="AB252" s="9"/>
      <c r="AC252" s="468" t="s">
        <v>1078</v>
      </c>
      <c r="AD252" s="468" t="s">
        <v>1078</v>
      </c>
      <c r="AE252" s="468"/>
      <c r="AF252" s="4"/>
      <c r="AG252" s="88"/>
      <c r="AH252" s="4"/>
      <c r="AI252" s="4"/>
      <c r="AJ252" s="468"/>
      <c r="AK252" s="468"/>
      <c r="AL252" s="468"/>
      <c r="AM252" s="468" t="s">
        <v>486</v>
      </c>
      <c r="AN252" s="10">
        <v>5.15</v>
      </c>
      <c r="AO252" s="9"/>
      <c r="AP252" s="9"/>
      <c r="AQ252" s="9"/>
      <c r="AR252" s="9"/>
      <c r="AS252" s="9"/>
      <c r="AT252" s="9">
        <f>+ab($T$252,$T$250,$T$254,$G$251,$G$253,-1*$F$252,1200)</f>
        <v>-2.5868728671887586</v>
      </c>
      <c r="AU252" s="447"/>
      <c r="AV252" s="447"/>
      <c r="AW252" s="468" t="str">
        <f>IF(C252&gt;0,VLOOKUP(C252,Foundation_Calc!$A$2:$C$13,3,1),
IF(J252&gt;0,VLOOKUP(J252,Foundation_Calc!$A$2:$C$13,3,1),""))</f>
        <v>MultiSoil</v>
      </c>
      <c r="AX252" s="468" t="str">
        <f>IF(C252&gt;0,VLOOKUP(C252,Foundation_Calc!$E$2:$G$13,3,1),
IF(J252&gt;0,VLOOKUP(J252,Foundation_Calc!$E$2:$G$13,3,1),""))</f>
        <v>PT</v>
      </c>
      <c r="AY252" s="10">
        <f>IF(L252="","",
IF(AX252="PT",VLOOKUP(L252,Foundation_Calc!$K$4:$R$37,VLOOKUP(AW252,Foundation_Calc!$I$2:$J$8,2,FALSE),0),
IF(AX252="K",VLOOKUP(L252,Foundation_Calc!$K$41:$R$74,VLOOKUP(AW252,Foundation_Calc!$I$2:$J$8,2,FALSE),0),"")))</f>
        <v>3.9</v>
      </c>
      <c r="AZ252" s="10" t="str">
        <f>IF(K252="","",
IF(AX252="PT",VLOOKUP(K252,Foundation_Calc!$K$4:$R$37,VLOOKUP(AW252,Foundation_Calc!$I$2:$J$8,2,FALSE),0),
IF(AX252="K",VLOOKUP(K252,Foundation_Calc!$K$41:$R$74,VLOOKUP(AW252,Foundation_Calc!$I$2:$J$8,2,FALSE),0),"")))</f>
        <v/>
      </c>
      <c r="BA252" s="553" t="str">
        <f t="shared" si="27"/>
        <v>ü</v>
      </c>
      <c r="BB252" s="553" t="str">
        <f t="shared" si="28"/>
        <v/>
      </c>
      <c r="BC252" s="553" t="str">
        <f t="shared" si="25"/>
        <v/>
      </c>
      <c r="BD252" s="572" t="str">
        <f>IF(AND(L252="",H252=""),"",
IF(H252="",Pole_Calc!A$22,
IF(H252="MP",Pole_Calc!A$23,
IF(H252="AnMP",Pole_Calc!A$24,
IF(H252="A",Pole_Calc!A$25,
IF(H252="S/A",Pole_Calc!A$26,
IF(H252="A/S",Pole_Calc!A$27,"Poner a mano")))))))</f>
        <v>App.7-V11H-P9.5.2.4</v>
      </c>
      <c r="BE252" s="448" t="s">
        <v>1726</v>
      </c>
      <c r="BF252" s="305"/>
      <c r="BG252" s="305"/>
      <c r="BH252" s="306"/>
      <c r="BI252" s="305"/>
    </row>
    <row r="253" spans="1:61" ht="16.2" customHeight="1">
      <c r="A253" s="573"/>
      <c r="B253" s="469"/>
      <c r="C253" s="3"/>
      <c r="D253" s="88"/>
      <c r="E253" s="4"/>
      <c r="F253" s="4"/>
      <c r="G253" s="6">
        <v>30</v>
      </c>
      <c r="H253" s="468"/>
      <c r="I253" s="468"/>
      <c r="J253" s="3"/>
      <c r="K253" s="468"/>
      <c r="L253" s="468"/>
      <c r="M253" s="468" t="str">
        <f>IF(L253="","",
IF(AX253="PT",VLOOKUP(L253,Foundation_Calc!$V$4:$X$37,VLOOKUP(AX253,Foundation_Calc!$I$10:$J$13,2,FALSE),0),
IF(AX253="K",VLOOKUP(L253,Foundation_Calc!$V$41:$X$74,VLOOKUP(AX253,Foundation_Calc!$I$10:$J$13,2,FALSE),0),"")))</f>
        <v/>
      </c>
      <c r="N253" s="468"/>
      <c r="O253" s="468"/>
      <c r="P253" s="468"/>
      <c r="Q253" s="4"/>
      <c r="R253" s="6"/>
      <c r="S253" s="6"/>
      <c r="T253" s="4"/>
      <c r="U253" s="4"/>
      <c r="V253" s="4"/>
      <c r="W253" s="9"/>
      <c r="X253" s="9"/>
      <c r="Y253" s="9"/>
      <c r="Z253" s="9"/>
      <c r="AA253" s="9"/>
      <c r="AB253" s="9"/>
      <c r="AC253" s="468" t="str">
        <f t="shared" si="26"/>
        <v/>
      </c>
      <c r="AD253" s="468"/>
      <c r="AE253" s="468"/>
      <c r="AF253" s="4"/>
      <c r="AG253" s="88"/>
      <c r="AH253" s="4"/>
      <c r="AI253" s="4"/>
      <c r="AJ253" s="468"/>
      <c r="AK253" s="468"/>
      <c r="AL253" s="468"/>
      <c r="AM253" s="468"/>
      <c r="AN253" s="10"/>
      <c r="AO253" s="9"/>
      <c r="AP253" s="9"/>
      <c r="AQ253" s="9">
        <f>+FL_1($T$254,$T$252,$G$253,1200,9.28,-1*$F$254)</f>
        <v>0.17697120418919166</v>
      </c>
      <c r="AR253" s="9"/>
      <c r="AS253" s="9"/>
      <c r="AT253" s="9"/>
      <c r="AU253" s="447"/>
      <c r="AV253" s="447"/>
      <c r="AW253" s="468" t="str">
        <f>IF(C253&gt;0,VLOOKUP(C253,Foundation_Calc!$A$2:$C$13,3,1),
IF(J253&gt;0,VLOOKUP(J253,Foundation_Calc!$A$2:$C$13,3,1),""))</f>
        <v/>
      </c>
      <c r="AX253" s="468" t="str">
        <f>IF(C253&gt;0,VLOOKUP(C253,Foundation_Calc!$E$2:$G$13,3,1),
IF(J253&gt;0,VLOOKUP(J253,Foundation_Calc!$E$2:$G$13,3,1),""))</f>
        <v/>
      </c>
      <c r="AY253" s="10" t="str">
        <f>IF(L253="","",
IF(AX253="PT",VLOOKUP(L253,Foundation_Calc!$K$4:$R$37,VLOOKUP(AW253,Foundation_Calc!$I$2:$J$8,2,FALSE),0),
IF(AX253="K",VLOOKUP(L253,Foundation_Calc!$K$41:$R$74,VLOOKUP(AW253,Foundation_Calc!$I$2:$J$8,2,FALSE),0),"")))</f>
        <v/>
      </c>
      <c r="AZ253" s="10" t="str">
        <f>IF(K253="","",
IF(AX253="PT",VLOOKUP(K253,Foundation_Calc!$K$4:$R$37,VLOOKUP(AW253,Foundation_Calc!$I$2:$J$8,2,FALSE),0),
IF(AX253="K",VLOOKUP(K253,Foundation_Calc!$K$41:$R$74,VLOOKUP(AW253,Foundation_Calc!$I$2:$J$8,2,FALSE),0),"")))</f>
        <v/>
      </c>
      <c r="BA253" s="553" t="str">
        <f t="shared" si="27"/>
        <v/>
      </c>
      <c r="BB253" s="553" t="str">
        <f t="shared" si="28"/>
        <v/>
      </c>
      <c r="BC253" s="553" t="str">
        <f t="shared" si="25"/>
        <v/>
      </c>
      <c r="BD253" s="572" t="str">
        <f>IF(AND(L253="",H253=""),"",
IF(H253="",Pole_Calc!A$22,
IF(H253="MP",Pole_Calc!A$23,
IF(H253="AnMP",Pole_Calc!A$24,
IF(H253="A",Pole_Calc!A$25,
IF(H253="S/A",Pole_Calc!A$26,
IF(H253="A/S",Pole_Calc!A$27,"Poner a mano")))))))</f>
        <v/>
      </c>
      <c r="BE253" s="448" t="s">
        <v>1726</v>
      </c>
      <c r="BF253" s="306"/>
      <c r="BG253" s="306"/>
      <c r="BH253" s="306"/>
      <c r="BI253" s="306"/>
    </row>
    <row r="254" spans="1:61" ht="16.2" customHeight="1">
      <c r="A254" s="573"/>
      <c r="B254" s="638" t="s">
        <v>1851</v>
      </c>
      <c r="C254" s="3">
        <f>+$C$252+$G$253</f>
        <v>5559.93</v>
      </c>
      <c r="D254" s="88"/>
      <c r="E254" s="4"/>
      <c r="F254" s="4">
        <v>592.29</v>
      </c>
      <c r="G254" s="6"/>
      <c r="H254" s="468" t="s">
        <v>180</v>
      </c>
      <c r="I254" s="468"/>
      <c r="J254" s="3"/>
      <c r="K254" s="468"/>
      <c r="L254" s="468" t="s">
        <v>39</v>
      </c>
      <c r="M254" s="468" t="str">
        <f>IF(L254="","",
IF(AX254="PT",VLOOKUP(L254,Foundation_Calc!$V$4:$X$37,VLOOKUP(AX254,Foundation_Calc!$I$10:$J$13,2,FALSE),0),
IF(AX254="K",VLOOKUP(L254,Foundation_Calc!$V$41:$X$74,VLOOKUP(AX254,Foundation_Calc!$I$10:$J$13,2,FALSE),0),"")))</f>
        <v>C7SR</v>
      </c>
      <c r="N254" s="468" t="s">
        <v>32</v>
      </c>
      <c r="O254" s="468" t="s">
        <v>32</v>
      </c>
      <c r="P254" s="468"/>
      <c r="Q254" s="4"/>
      <c r="R254" s="6"/>
      <c r="S254" s="6"/>
      <c r="T254" s="4">
        <v>-10</v>
      </c>
      <c r="U254" s="4">
        <v>-30</v>
      </c>
      <c r="V254" s="4"/>
      <c r="W254" s="9">
        <v>1.2</v>
      </c>
      <c r="X254" s="9">
        <v>1.8</v>
      </c>
      <c r="Y254" s="9"/>
      <c r="Z254" s="9"/>
      <c r="AA254" s="9">
        <v>0.15</v>
      </c>
      <c r="AB254" s="9"/>
      <c r="AC254" s="468" t="s">
        <v>2512</v>
      </c>
      <c r="AD254" s="468" t="s">
        <v>1078</v>
      </c>
      <c r="AE254" s="468"/>
      <c r="AF254" s="4"/>
      <c r="AG254" s="88"/>
      <c r="AH254" s="4"/>
      <c r="AI254" s="4"/>
      <c r="AJ254" s="468"/>
      <c r="AK254" s="468"/>
      <c r="AL254" s="468"/>
      <c r="AM254" s="468" t="s">
        <v>486</v>
      </c>
      <c r="AN254" s="10">
        <v>5.15</v>
      </c>
      <c r="AO254" s="9"/>
      <c r="AP254" s="9"/>
      <c r="AQ254" s="9"/>
      <c r="AR254" s="9"/>
      <c r="AS254" s="9"/>
      <c r="AT254" s="9">
        <f>+ab($T$254,$T$252,$T$256,$G$253,$G$255,-1*$F$254,1200)</f>
        <v>-4.3543612963904827</v>
      </c>
      <c r="AU254" s="447"/>
      <c r="AV254" s="447"/>
      <c r="AW254" s="468" t="str">
        <f>IF(C254&gt;0,VLOOKUP(C254,Foundation_Calc!$A$2:$C$13,3,1),
IF(J254&gt;0,VLOOKUP(J254,Foundation_Calc!$A$2:$C$13,3,1),""))</f>
        <v>MultiSoil</v>
      </c>
      <c r="AX254" s="468" t="str">
        <f>IF(C254&gt;0,VLOOKUP(C254,Foundation_Calc!$E$2:$G$13,3,1),
IF(J254&gt;0,VLOOKUP(J254,Foundation_Calc!$E$2:$G$13,3,1),""))</f>
        <v>PT</v>
      </c>
      <c r="AY254" s="10">
        <f>IF(L254="","",
IF(AX254="PT",VLOOKUP(L254,Foundation_Calc!$K$4:$R$37,VLOOKUP(AW254,Foundation_Calc!$I$2:$J$8,2,FALSE),0),
IF(AX254="K",VLOOKUP(L254,Foundation_Calc!$K$41:$R$74,VLOOKUP(AW254,Foundation_Calc!$I$2:$J$8,2,FALSE),0),"")))</f>
        <v>3.9</v>
      </c>
      <c r="AZ254" s="10" t="str">
        <f>IF(K254="","",
IF(AX254="PT",VLOOKUP(K254,Foundation_Calc!$K$4:$R$37,VLOOKUP(AW254,Foundation_Calc!$I$2:$J$8,2,FALSE),0),
IF(AX254="K",VLOOKUP(K254,Foundation_Calc!$K$41:$R$74,VLOOKUP(AW254,Foundation_Calc!$I$2:$J$8,2,FALSE),0),"")))</f>
        <v/>
      </c>
      <c r="BA254" s="553" t="str">
        <f t="shared" si="27"/>
        <v>ü</v>
      </c>
      <c r="BB254" s="553" t="str">
        <f t="shared" si="28"/>
        <v/>
      </c>
      <c r="BC254" s="553" t="str">
        <f t="shared" si="25"/>
        <v/>
      </c>
      <c r="BD254" s="572" t="str">
        <f>IF(AND(L254="",H254=""),"",
IF(H254="",Pole_Calc!A$22,
IF(H254="MP",Pole_Calc!A$23,
IF(H254="AnMP",Pole_Calc!A$24,
IF(H254="A",Pole_Calc!A$25,
IF(H254="S/A",Pole_Calc!A$26,
IF(H254="A/S",Pole_Calc!A$27,"Poner a mano")))))))</f>
        <v>App.7-V11H-P9.5.2.4</v>
      </c>
      <c r="BE254" s="448" t="s">
        <v>1726</v>
      </c>
      <c r="BF254" s="305"/>
      <c r="BG254" s="305"/>
      <c r="BH254" s="306"/>
      <c r="BI254" s="305"/>
    </row>
    <row r="255" spans="1:61" ht="16.2" customHeight="1">
      <c r="A255" s="573"/>
      <c r="B255" s="469"/>
      <c r="C255" s="3"/>
      <c r="D255" s="88"/>
      <c r="E255" s="4"/>
      <c r="F255" s="4"/>
      <c r="G255" s="6">
        <v>30</v>
      </c>
      <c r="H255" s="468"/>
      <c r="I255" s="468"/>
      <c r="J255" s="3"/>
      <c r="K255" s="468"/>
      <c r="L255" s="468"/>
      <c r="M255" s="468" t="str">
        <f>IF(L255="","",
IF(AX255="PT",VLOOKUP(L255,Foundation_Calc!$V$4:$X$37,VLOOKUP(AX255,Foundation_Calc!$I$10:$J$13,2,FALSE),0),
IF(AX255="K",VLOOKUP(L255,Foundation_Calc!$V$41:$X$74,VLOOKUP(AX255,Foundation_Calc!$I$10:$J$13,2,FALSE),0),"")))</f>
        <v/>
      </c>
      <c r="N255" s="468"/>
      <c r="O255" s="468"/>
      <c r="P255" s="468"/>
      <c r="Q255" s="4"/>
      <c r="R255" s="6"/>
      <c r="S255" s="6"/>
      <c r="T255" s="4"/>
      <c r="U255" s="4"/>
      <c r="V255" s="4"/>
      <c r="W255" s="9"/>
      <c r="X255" s="9"/>
      <c r="Y255" s="9"/>
      <c r="Z255" s="9"/>
      <c r="AA255" s="9"/>
      <c r="AB255" s="9"/>
      <c r="AC255" s="468" t="str">
        <f t="shared" si="26"/>
        <v/>
      </c>
      <c r="AD255" s="468"/>
      <c r="AE255" s="468"/>
      <c r="AF255" s="4"/>
      <c r="AG255" s="88"/>
      <c r="AH255" s="4"/>
      <c r="AI255" s="4"/>
      <c r="AJ255" s="468"/>
      <c r="AK255" s="468"/>
      <c r="AL255" s="468"/>
      <c r="AM255" s="468"/>
      <c r="AN255" s="10"/>
      <c r="AO255" s="9"/>
      <c r="AP255" s="9"/>
      <c r="AQ255" s="9">
        <f>+FL_2($T$256,$T$254,$G$255,1200,9.28,-1*$F$256)</f>
        <v>-0.3</v>
      </c>
      <c r="AR255" s="9"/>
      <c r="AS255" s="9"/>
      <c r="AT255" s="9"/>
      <c r="AU255" s="447"/>
      <c r="AV255" s="447"/>
      <c r="AW255" s="468" t="str">
        <f>IF(C255&gt;0,VLOOKUP(C255,Foundation_Calc!$A$2:$C$13,3,1),
IF(J255&gt;0,VLOOKUP(J255,Foundation_Calc!$A$2:$C$13,3,1),""))</f>
        <v/>
      </c>
      <c r="AX255" s="468" t="str">
        <f>IF(C255&gt;0,VLOOKUP(C255,Foundation_Calc!$E$2:$G$13,3,1),
IF(J255&gt;0,VLOOKUP(J255,Foundation_Calc!$E$2:$G$13,3,1),""))</f>
        <v/>
      </c>
      <c r="AY255" s="10" t="str">
        <f>IF(L255="","",
IF(AX255="PT",VLOOKUP(L255,Foundation_Calc!$K$4:$R$37,VLOOKUP(AW255,Foundation_Calc!$I$2:$J$8,2,FALSE),0),
IF(AX255="K",VLOOKUP(L255,Foundation_Calc!$K$41:$R$74,VLOOKUP(AW255,Foundation_Calc!$I$2:$J$8,2,FALSE),0),"")))</f>
        <v/>
      </c>
      <c r="AZ255" s="10" t="str">
        <f>IF(K255="","",
IF(AX255="PT",VLOOKUP(K255,Foundation_Calc!$K$4:$R$37,VLOOKUP(AW255,Foundation_Calc!$I$2:$J$8,2,FALSE),0),
IF(AX255="K",VLOOKUP(K255,Foundation_Calc!$K$41:$R$74,VLOOKUP(AW255,Foundation_Calc!$I$2:$J$8,2,FALSE),0),"")))</f>
        <v/>
      </c>
      <c r="BA255" s="553" t="str">
        <f t="shared" si="27"/>
        <v/>
      </c>
      <c r="BB255" s="553" t="str">
        <f t="shared" si="28"/>
        <v/>
      </c>
      <c r="BC255" s="553" t="str">
        <f t="shared" si="25"/>
        <v/>
      </c>
      <c r="BD255" s="572" t="str">
        <f>IF(AND(L255="",H255=""),"",
IF(H255="",Pole_Calc!A$22,
IF(H255="MP",Pole_Calc!A$23,
IF(H255="AnMP",Pole_Calc!A$24,
IF(H255="A",Pole_Calc!A$25,
IF(H255="S/A",Pole_Calc!A$26,
IF(H255="A/S",Pole_Calc!A$27,"Poner a mano")))))))</f>
        <v/>
      </c>
      <c r="BE255" s="448" t="s">
        <v>1726</v>
      </c>
      <c r="BF255" s="306"/>
      <c r="BG255" s="306"/>
      <c r="BH255" s="306"/>
      <c r="BI255" s="306"/>
    </row>
    <row r="256" spans="1:61" ht="16.2" customHeight="1">
      <c r="A256" s="573"/>
      <c r="B256" s="638" t="s">
        <v>1852</v>
      </c>
      <c r="C256" s="3">
        <f>+$C$254+$G$255</f>
        <v>5589.93</v>
      </c>
      <c r="D256" s="88"/>
      <c r="E256" s="4"/>
      <c r="F256" s="4">
        <v>592.29</v>
      </c>
      <c r="G256" s="6"/>
      <c r="H256" s="468" t="s">
        <v>179</v>
      </c>
      <c r="I256" s="468"/>
      <c r="J256" s="3"/>
      <c r="K256" s="468"/>
      <c r="L256" s="468" t="s">
        <v>448</v>
      </c>
      <c r="M256" s="468" t="str">
        <f>IF(L256="","",
IF(AX256="PT",VLOOKUP(L256,Foundation_Calc!$V$4:$X$37,VLOOKUP(AX256,Foundation_Calc!$I$10:$J$13,2,FALSE),0),
IF(AX256="K",VLOOKUP(L256,Foundation_Calc!$V$41:$X$74,VLOOKUP(AX256,Foundation_Calc!$I$10:$J$13,2,FALSE),0),"")))</f>
        <v>2C3SR</v>
      </c>
      <c r="N256" s="468" t="s">
        <v>32</v>
      </c>
      <c r="O256" s="468" t="s">
        <v>28</v>
      </c>
      <c r="P256" s="468"/>
      <c r="Q256" s="4"/>
      <c r="R256" s="6"/>
      <c r="S256" s="6"/>
      <c r="T256" s="4">
        <v>-30</v>
      </c>
      <c r="U256" s="4">
        <v>-50</v>
      </c>
      <c r="V256" s="4"/>
      <c r="W256" s="9">
        <v>1.2</v>
      </c>
      <c r="X256" s="9">
        <v>1.8</v>
      </c>
      <c r="Y256" s="9"/>
      <c r="Z256" s="9"/>
      <c r="AA256" s="9">
        <v>0.4</v>
      </c>
      <c r="AB256" s="9"/>
      <c r="AC256" s="468" t="s">
        <v>1078</v>
      </c>
      <c r="AD256" s="468"/>
      <c r="AE256" s="468"/>
      <c r="AF256" s="4"/>
      <c r="AG256" s="88"/>
      <c r="AH256" s="4"/>
      <c r="AI256" s="4"/>
      <c r="AJ256" s="468"/>
      <c r="AK256" s="468"/>
      <c r="AL256" s="468"/>
      <c r="AM256" s="468" t="s">
        <v>486</v>
      </c>
      <c r="AN256" s="10">
        <v>5.15</v>
      </c>
      <c r="AO256" s="9"/>
      <c r="AP256" s="9"/>
      <c r="AQ256" s="9"/>
      <c r="AR256" s="9"/>
      <c r="AS256" s="9"/>
      <c r="AT256" s="9">
        <f>+ab($T$256,$T$254,$T$258,$G$255,$G$257,-1*$F$256,1200)</f>
        <v>-3.3440854846556678</v>
      </c>
      <c r="AU256" s="447"/>
      <c r="AV256" s="447"/>
      <c r="AW256" s="468" t="str">
        <f>IF(C256&gt;0,VLOOKUP(C256,Foundation_Calc!$A$2:$C$13,3,1),
IF(J256&gt;0,VLOOKUP(J256,Foundation_Calc!$A$2:$C$13,3,1),""))</f>
        <v>MultiSoil</v>
      </c>
      <c r="AX256" s="468" t="str">
        <f>IF(C256&gt;0,VLOOKUP(C256,Foundation_Calc!$E$2:$G$13,3,1),
IF(J256&gt;0,VLOOKUP(J256,Foundation_Calc!$E$2:$G$13,3,1),""))</f>
        <v>PT</v>
      </c>
      <c r="AY256" s="10">
        <f>IF(L256="","",
IF(AX256="PT",VLOOKUP(L256,Foundation_Calc!$K$4:$R$37,VLOOKUP(AW256,Foundation_Calc!$I$2:$J$8,2,FALSE),0),
IF(AX256="K",VLOOKUP(L256,Foundation_Calc!$K$41:$R$74,VLOOKUP(AW256,Foundation_Calc!$I$2:$J$8,2,FALSE),0),"")))</f>
        <v>3.9</v>
      </c>
      <c r="AZ256" s="10" t="str">
        <f>IF(K256="","",
IF(AX256="PT",VLOOKUP(K256,Foundation_Calc!$K$4:$R$37,VLOOKUP(AW256,Foundation_Calc!$I$2:$J$8,2,FALSE),0),
IF(AX256="K",VLOOKUP(K256,Foundation_Calc!$K$41:$R$74,VLOOKUP(AW256,Foundation_Calc!$I$2:$J$8,2,FALSE),0),"")))</f>
        <v/>
      </c>
      <c r="BA256" s="553" t="str">
        <f t="shared" si="27"/>
        <v>ü</v>
      </c>
      <c r="BB256" s="553" t="str">
        <f t="shared" si="28"/>
        <v/>
      </c>
      <c r="BC256" s="553" t="str">
        <f t="shared" si="25"/>
        <v/>
      </c>
      <c r="BD256" s="572" t="str">
        <f>IF(AND(L256="",H256=""),"",
IF(H256="",Pole_Calc!A$22,
IF(H256="MP",Pole_Calc!A$23,
IF(H256="AnMP",Pole_Calc!A$24,
IF(H256="A",Pole_Calc!A$25,
IF(H256="S/A",Pole_Calc!A$26,
IF(H256="A/S",Pole_Calc!A$27,"Poner a mano")))))))</f>
        <v>App.7-V11H-P9.5.2.5</v>
      </c>
      <c r="BE256" s="448" t="s">
        <v>1726</v>
      </c>
      <c r="BF256" s="305"/>
      <c r="BG256" s="305"/>
      <c r="BH256" s="306"/>
      <c r="BI256" s="305"/>
    </row>
    <row r="257" spans="1:61" ht="16.2" customHeight="1">
      <c r="A257" s="573"/>
      <c r="B257" s="469"/>
      <c r="C257" s="3"/>
      <c r="D257" s="88"/>
      <c r="E257" s="4"/>
      <c r="F257" s="4"/>
      <c r="G257" s="6">
        <v>30</v>
      </c>
      <c r="H257" s="468"/>
      <c r="I257" s="468"/>
      <c r="J257" s="3"/>
      <c r="K257" s="468"/>
      <c r="L257" s="468"/>
      <c r="M257" s="468" t="str">
        <f>IF(L257="","",
IF(AX257="PT",VLOOKUP(L257,Foundation_Calc!$V$4:$X$37,VLOOKUP(AX257,Foundation_Calc!$I$10:$J$13,2,FALSE),0),
IF(AX257="K",VLOOKUP(L257,Foundation_Calc!$V$41:$X$74,VLOOKUP(AX257,Foundation_Calc!$I$10:$J$13,2,FALSE),0),"")))</f>
        <v/>
      </c>
      <c r="N257" s="468"/>
      <c r="O257" s="468"/>
      <c r="P257" s="468"/>
      <c r="Q257" s="4"/>
      <c r="R257" s="6"/>
      <c r="S257" s="6"/>
      <c r="T257" s="4"/>
      <c r="U257" s="4"/>
      <c r="V257" s="4"/>
      <c r="W257" s="9"/>
      <c r="X257" s="9"/>
      <c r="Y257" s="9"/>
      <c r="Z257" s="9"/>
      <c r="AA257" s="9"/>
      <c r="AB257" s="9"/>
      <c r="AC257" s="468" t="str">
        <f t="shared" si="26"/>
        <v/>
      </c>
      <c r="AD257" s="468"/>
      <c r="AE257" s="468"/>
      <c r="AF257" s="4"/>
      <c r="AG257" s="88"/>
      <c r="AH257" s="4"/>
      <c r="AI257" s="4"/>
      <c r="AJ257" s="468"/>
      <c r="AK257" s="468"/>
      <c r="AL257" s="468"/>
      <c r="AM257" s="468"/>
      <c r="AN257" s="10"/>
      <c r="AO257" s="9"/>
      <c r="AP257" s="9"/>
      <c r="AQ257" s="9">
        <f>+FL_2($T$258,$T$256,$G$257,1200,9.28,-1*$F$258)</f>
        <v>-0.333718911735843</v>
      </c>
      <c r="AR257" s="9"/>
      <c r="AS257" s="9"/>
      <c r="AT257" s="9"/>
      <c r="AU257" s="447"/>
      <c r="AV257" s="447"/>
      <c r="AW257" s="468" t="str">
        <f>IF(C257&gt;0,VLOOKUP(C257,Foundation_Calc!$A$2:$C$13,3,1),
IF(J257&gt;0,VLOOKUP(J257,Foundation_Calc!$A$2:$C$13,3,1),""))</f>
        <v/>
      </c>
      <c r="AX257" s="468" t="str">
        <f>IF(C257&gt;0,VLOOKUP(C257,Foundation_Calc!$E$2:$G$13,3,1),
IF(J257&gt;0,VLOOKUP(J257,Foundation_Calc!$E$2:$G$13,3,1),""))</f>
        <v/>
      </c>
      <c r="AY257" s="10" t="str">
        <f>IF(L257="","",
IF(AX257="PT",VLOOKUP(L257,Foundation_Calc!$K$4:$R$37,VLOOKUP(AW257,Foundation_Calc!$I$2:$J$8,2,FALSE),0),
IF(AX257="K",VLOOKUP(L257,Foundation_Calc!$K$41:$R$74,VLOOKUP(AW257,Foundation_Calc!$I$2:$J$8,2,FALSE),0),"")))</f>
        <v/>
      </c>
      <c r="AZ257" s="10" t="str">
        <f>IF(K257="","",
IF(AX257="PT",VLOOKUP(K257,Foundation_Calc!$K$4:$R$37,VLOOKUP(AW257,Foundation_Calc!$I$2:$J$8,2,FALSE),0),
IF(AX257="K",VLOOKUP(K257,Foundation_Calc!$K$41:$R$74,VLOOKUP(AW257,Foundation_Calc!$I$2:$J$8,2,FALSE),0),"")))</f>
        <v/>
      </c>
      <c r="BA257" s="553" t="str">
        <f t="shared" si="27"/>
        <v/>
      </c>
      <c r="BB257" s="553" t="str">
        <f t="shared" si="28"/>
        <v/>
      </c>
      <c r="BC257" s="553" t="str">
        <f t="shared" si="25"/>
        <v/>
      </c>
      <c r="BD257" s="572" t="str">
        <f>IF(AND(L257="",H257=""),"",
IF(H257="",Pole_Calc!A$22,
IF(H257="MP",Pole_Calc!A$23,
IF(H257="AnMP",Pole_Calc!A$24,
IF(H257="A",Pole_Calc!A$25,
IF(H257="S/A",Pole_Calc!A$26,
IF(H257="A/S",Pole_Calc!A$27,"Poner a mano")))))))</f>
        <v/>
      </c>
      <c r="BE257" s="448" t="s">
        <v>1726</v>
      </c>
      <c r="BF257" s="306"/>
      <c r="BG257" s="306"/>
      <c r="BH257" s="306"/>
      <c r="BI257" s="306"/>
    </row>
    <row r="258" spans="1:61" ht="16.2" customHeight="1">
      <c r="A258" s="573" t="s">
        <v>2366</v>
      </c>
      <c r="B258" s="638" t="s">
        <v>1853</v>
      </c>
      <c r="C258" s="3">
        <f>+$C$256+$G$257</f>
        <v>5619.93</v>
      </c>
      <c r="D258" s="88"/>
      <c r="E258" s="4"/>
      <c r="F258" s="4">
        <v>2111.4699999999998</v>
      </c>
      <c r="G258" s="6"/>
      <c r="H258" s="468" t="s">
        <v>26</v>
      </c>
      <c r="I258" s="468" t="s">
        <v>182</v>
      </c>
      <c r="J258" s="3"/>
      <c r="K258" s="468"/>
      <c r="L258" s="468" t="s">
        <v>449</v>
      </c>
      <c r="M258" s="468" t="str">
        <f>IF(L258="","",
IF(AX258="PT",VLOOKUP(L258,Foundation_Calc!$V$4:$X$37,VLOOKUP(AX258,Foundation_Calc!$I$10:$J$13,2,FALSE),0),
IF(AX258="K",VLOOKUP(L258,Foundation_Calc!$V$41:$X$74,VLOOKUP(AX258,Foundation_Calc!$I$10:$J$13,2,FALSE),0),"")))</f>
        <v>2C4SR</v>
      </c>
      <c r="N258" s="468" t="s">
        <v>32</v>
      </c>
      <c r="O258" s="468"/>
      <c r="P258" s="468"/>
      <c r="Q258" s="4"/>
      <c r="R258" s="6"/>
      <c r="S258" s="6"/>
      <c r="T258" s="4">
        <v>-30</v>
      </c>
      <c r="U258" s="4"/>
      <c r="V258" s="4"/>
      <c r="W258" s="9">
        <v>1</v>
      </c>
      <c r="X258" s="9"/>
      <c r="Y258" s="9"/>
      <c r="Z258" s="9"/>
      <c r="AA258" s="9"/>
      <c r="AB258" s="9"/>
      <c r="AC258" s="468" t="str">
        <f t="shared" si="26"/>
        <v>PH</v>
      </c>
      <c r="AD258" s="468"/>
      <c r="AE258" s="468"/>
      <c r="AF258" s="4"/>
      <c r="AG258" s="88"/>
      <c r="AH258" s="4"/>
      <c r="AI258" s="4"/>
      <c r="AJ258" s="468" t="s">
        <v>369</v>
      </c>
      <c r="AK258" s="468"/>
      <c r="AL258" s="468"/>
      <c r="AM258" s="468" t="s">
        <v>486</v>
      </c>
      <c r="AN258" s="10">
        <v>5.15</v>
      </c>
      <c r="AO258" s="9"/>
      <c r="AP258" s="9"/>
      <c r="AQ258" s="9"/>
      <c r="AR258" s="9"/>
      <c r="AS258" s="9"/>
      <c r="AT258" s="9">
        <f>+ab($T$258,$T$256,$T$260,$G$257,$G$259,-1*$F$258,1200)</f>
        <v>-11.260861732382921</v>
      </c>
      <c r="AU258" s="447"/>
      <c r="AV258" s="447"/>
      <c r="AW258" s="468" t="str">
        <f>IF(C258&gt;0,VLOOKUP(C258,Foundation_Calc!$A$2:$C$13,3,1),
IF(J258&gt;0,VLOOKUP(J258,Foundation_Calc!$A$2:$C$13,3,1),""))</f>
        <v>MultiSoil</v>
      </c>
      <c r="AX258" s="468" t="str">
        <f>IF(C258&gt;0,VLOOKUP(C258,Foundation_Calc!$E$2:$G$13,3,1),
IF(J258&gt;0,VLOOKUP(J258,Foundation_Calc!$E$2:$G$13,3,1),""))</f>
        <v>PT</v>
      </c>
      <c r="AY258" s="10">
        <f>IF(L258="","",
IF(AX258="PT",VLOOKUP(L258,Foundation_Calc!$K$4:$R$37,VLOOKUP(AW258,Foundation_Calc!$I$2:$J$8,2,FALSE),0),
IF(AX258="K",VLOOKUP(L258,Foundation_Calc!$K$41:$R$74,VLOOKUP(AW258,Foundation_Calc!$I$2:$J$8,2,FALSE),0),"")))</f>
        <v>4.3</v>
      </c>
      <c r="AZ258" s="10" t="str">
        <f>IF(K258="","",
IF(AX258="PT",VLOOKUP(K258,Foundation_Calc!$K$4:$R$37,VLOOKUP(AW258,Foundation_Calc!$I$2:$J$8,2,FALSE),0),
IF(AX258="K",VLOOKUP(K258,Foundation_Calc!$K$41:$R$74,VLOOKUP(AW258,Foundation_Calc!$I$2:$J$8,2,FALSE),0),"")))</f>
        <v/>
      </c>
      <c r="BA258" s="553" t="str">
        <f t="shared" si="27"/>
        <v>ü</v>
      </c>
      <c r="BB258" s="553" t="str">
        <f t="shared" si="28"/>
        <v/>
      </c>
      <c r="BC258" s="553" t="str">
        <f t="shared" si="25"/>
        <v/>
      </c>
      <c r="BD258" s="572" t="str">
        <f>Pole_Calc!A$175</f>
        <v>App.7-V11H-P9.5.16.2</v>
      </c>
      <c r="BE258" s="448" t="s">
        <v>1726</v>
      </c>
      <c r="BF258" s="305"/>
      <c r="BG258" s="305"/>
      <c r="BH258" s="306"/>
      <c r="BI258" s="305"/>
    </row>
    <row r="259" spans="1:61" ht="16.2" customHeight="1">
      <c r="A259" s="573" t="s">
        <v>383</v>
      </c>
      <c r="B259" s="469"/>
      <c r="C259" s="3"/>
      <c r="D259" s="88"/>
      <c r="E259" s="4"/>
      <c r="F259" s="4"/>
      <c r="G259" s="6">
        <v>35</v>
      </c>
      <c r="H259" s="468"/>
      <c r="I259" s="468" t="s">
        <v>485</v>
      </c>
      <c r="J259" s="3">
        <v>5638</v>
      </c>
      <c r="K259" s="468" t="s">
        <v>451</v>
      </c>
      <c r="L259" s="468"/>
      <c r="M259" s="468" t="str">
        <f>IF(L259="","",
IF(AX259="PT",VLOOKUP(L259,Foundation_Calc!$V$4:$X$37,VLOOKUP(AX259,Foundation_Calc!$I$10:$J$13,2,FALSE),0),
IF(AX259="K",VLOOKUP(L259,Foundation_Calc!$V$41:$X$74,VLOOKUP(AX259,Foundation_Calc!$I$10:$J$13,2,FALSE),0),"")))</f>
        <v/>
      </c>
      <c r="N259" s="468"/>
      <c r="O259" s="468"/>
      <c r="P259" s="468"/>
      <c r="Q259" s="4"/>
      <c r="R259" s="6"/>
      <c r="S259" s="6"/>
      <c r="T259" s="4"/>
      <c r="U259" s="4"/>
      <c r="V259" s="4"/>
      <c r="W259" s="9"/>
      <c r="X259" s="9"/>
      <c r="Y259" s="9"/>
      <c r="Z259" s="9"/>
      <c r="AA259" s="9"/>
      <c r="AB259" s="9"/>
      <c r="AC259" s="468" t="str">
        <f t="shared" si="26"/>
        <v/>
      </c>
      <c r="AD259" s="468"/>
      <c r="AE259" s="468"/>
      <c r="AF259" s="4"/>
      <c r="AG259" s="88"/>
      <c r="AH259" s="4"/>
      <c r="AI259" s="4"/>
      <c r="AJ259" s="468"/>
      <c r="AK259" s="468"/>
      <c r="AL259" s="468"/>
      <c r="AM259" s="468"/>
      <c r="AN259" s="10"/>
      <c r="AO259" s="9"/>
      <c r="AP259" s="9"/>
      <c r="AQ259" s="9">
        <f>+FL_2($T$260,$T$258,$G$259,1200,9.28, 1*$F$260)</f>
        <v>-0.39473615714285709</v>
      </c>
      <c r="AR259" s="9"/>
      <c r="AS259" s="9"/>
      <c r="AT259" s="9"/>
      <c r="AU259" s="447"/>
      <c r="AV259" s="447"/>
      <c r="AW259" s="468"/>
      <c r="AX259" s="468"/>
      <c r="AY259" s="10"/>
      <c r="AZ259" s="10"/>
      <c r="BA259" s="553" t="str">
        <f t="shared" si="27"/>
        <v/>
      </c>
      <c r="BB259" s="553" t="str">
        <f t="shared" si="28"/>
        <v/>
      </c>
      <c r="BC259" s="553" t="str">
        <f t="shared" si="25"/>
        <v/>
      </c>
      <c r="BD259" s="572"/>
      <c r="BE259" s="448" t="s">
        <v>1726</v>
      </c>
      <c r="BF259" s="306"/>
      <c r="BG259" s="306"/>
      <c r="BH259" s="306"/>
      <c r="BI259" s="306"/>
    </row>
    <row r="260" spans="1:61" ht="16.2" customHeight="1">
      <c r="A260" s="582" t="s">
        <v>383</v>
      </c>
      <c r="B260" s="469" t="s">
        <v>1984</v>
      </c>
      <c r="C260" s="3">
        <f>+$C$258+$G$259</f>
        <v>5654.93</v>
      </c>
      <c r="D260" s="88"/>
      <c r="E260" s="4"/>
      <c r="F260" s="4">
        <v>0</v>
      </c>
      <c r="G260" s="6"/>
      <c r="H260" s="468"/>
      <c r="I260" s="468" t="s">
        <v>485</v>
      </c>
      <c r="J260" s="3">
        <v>5638</v>
      </c>
      <c r="K260" s="468" t="s">
        <v>451</v>
      </c>
      <c r="L260" s="468"/>
      <c r="M260" s="468" t="str">
        <f>IF(L260="","",
IF(AX260="PT",VLOOKUP(L260,Foundation_Calc!$V$4:$X$37,VLOOKUP(AX260,Foundation_Calc!$I$10:$J$13,2,FALSE),0),
IF(AX260="K",VLOOKUP(L260,Foundation_Calc!$V$41:$X$74,VLOOKUP(AX260,Foundation_Calc!$I$10:$J$13,2,FALSE),0),"")))</f>
        <v/>
      </c>
      <c r="N260" s="648" t="s">
        <v>191</v>
      </c>
      <c r="O260" s="468"/>
      <c r="P260" s="468"/>
      <c r="Q260" s="4"/>
      <c r="R260" s="6"/>
      <c r="S260" s="6"/>
      <c r="T260" s="4">
        <v>-25</v>
      </c>
      <c r="U260" s="4"/>
      <c r="V260" s="4"/>
      <c r="W260" s="9">
        <v>1</v>
      </c>
      <c r="X260" s="9"/>
      <c r="Y260" s="9"/>
      <c r="Z260" s="9"/>
      <c r="AA260" s="9"/>
      <c r="AB260" s="9"/>
      <c r="AC260" s="468" t="s">
        <v>630</v>
      </c>
      <c r="AD260" s="468"/>
      <c r="AE260" s="468"/>
      <c r="AF260" s="4"/>
      <c r="AG260" s="88"/>
      <c r="AH260" s="4"/>
      <c r="AI260" s="4"/>
      <c r="AJ260" s="468"/>
      <c r="AK260" s="468" t="s">
        <v>41</v>
      </c>
      <c r="AL260" s="468"/>
      <c r="AM260" s="468" t="s">
        <v>2458</v>
      </c>
      <c r="AN260" s="10">
        <v>5.15</v>
      </c>
      <c r="AO260" s="9"/>
      <c r="AP260" s="9"/>
      <c r="AQ260" s="9"/>
      <c r="AR260" s="9"/>
      <c r="AS260" s="9"/>
      <c r="AT260" s="9"/>
      <c r="AU260" s="447"/>
      <c r="AV260" s="447"/>
      <c r="AW260" s="468" t="s">
        <v>199</v>
      </c>
      <c r="AX260" s="468" t="s">
        <v>199</v>
      </c>
      <c r="AY260" s="10"/>
      <c r="AZ260" s="10"/>
      <c r="BA260" s="553" t="str">
        <f t="shared" si="27"/>
        <v/>
      </c>
      <c r="BB260" s="553" t="str">
        <f t="shared" si="28"/>
        <v/>
      </c>
      <c r="BC260" s="553" t="str">
        <f t="shared" si="25"/>
        <v/>
      </c>
      <c r="BD260" s="572"/>
      <c r="BE260" s="448" t="s">
        <v>1726</v>
      </c>
      <c r="BF260" s="305"/>
      <c r="BG260" s="305"/>
      <c r="BH260" s="306"/>
      <c r="BI260" s="305"/>
    </row>
    <row r="261" spans="1:61" ht="16.2" customHeight="1">
      <c r="A261" s="582" t="s">
        <v>383</v>
      </c>
      <c r="B261" s="469"/>
      <c r="C261" s="3"/>
      <c r="D261" s="88"/>
      <c r="E261" s="4"/>
      <c r="F261" s="4"/>
      <c r="G261" s="6">
        <v>35</v>
      </c>
      <c r="H261" s="468"/>
      <c r="I261" s="4"/>
      <c r="J261" s="3"/>
      <c r="K261" s="468"/>
      <c r="L261" s="468"/>
      <c r="M261" s="468" t="str">
        <f>IF(L261="","",
IF(AX261="PT",VLOOKUP(L261,Foundation_Calc!$V$4:$X$37,VLOOKUP(AX261,Foundation_Calc!$I$10:$J$13,2,FALSE),0),
IF(AX261="K",VLOOKUP(L261,Foundation_Calc!$V$41:$X$74,VLOOKUP(AX261,Foundation_Calc!$I$10:$J$13,2,FALSE),0),"")))</f>
        <v/>
      </c>
      <c r="N261" s="468"/>
      <c r="O261" s="468"/>
      <c r="P261" s="468"/>
      <c r="Q261" s="4"/>
      <c r="R261" s="6"/>
      <c r="S261" s="6"/>
      <c r="T261" s="4"/>
      <c r="U261" s="4"/>
      <c r="V261" s="4"/>
      <c r="W261" s="9"/>
      <c r="X261" s="9"/>
      <c r="Y261" s="9"/>
      <c r="Z261" s="9"/>
      <c r="AA261" s="9"/>
      <c r="AB261" s="9"/>
      <c r="AC261" s="468" t="str">
        <f t="shared" si="26"/>
        <v/>
      </c>
      <c r="AD261" s="468"/>
      <c r="AE261" s="468"/>
      <c r="AF261" s="4"/>
      <c r="AG261" s="88"/>
      <c r="AH261" s="4"/>
      <c r="AI261" s="4"/>
      <c r="AJ261" s="468"/>
      <c r="AK261" s="468"/>
      <c r="AL261" s="468"/>
      <c r="AM261" s="468"/>
      <c r="AN261" s="10"/>
      <c r="AO261" s="9"/>
      <c r="AP261" s="9"/>
      <c r="AQ261" s="9"/>
      <c r="AR261" s="9"/>
      <c r="AS261" s="9"/>
      <c r="AT261" s="9"/>
      <c r="AU261" s="447"/>
      <c r="AV261" s="447"/>
      <c r="AW261" s="468"/>
      <c r="AX261" s="468"/>
      <c r="AY261" s="10"/>
      <c r="AZ261" s="10"/>
      <c r="BA261" s="553" t="str">
        <f t="shared" si="27"/>
        <v/>
      </c>
      <c r="BB261" s="553" t="str">
        <f t="shared" si="28"/>
        <v/>
      </c>
      <c r="BC261" s="553" t="str">
        <f t="shared" si="25"/>
        <v/>
      </c>
      <c r="BD261" s="572"/>
      <c r="BE261" s="448" t="s">
        <v>1726</v>
      </c>
      <c r="BF261" s="306"/>
      <c r="BG261" s="306"/>
      <c r="BH261" s="306"/>
      <c r="BI261" s="306"/>
    </row>
    <row r="262" spans="1:61" ht="16.2" customHeight="1">
      <c r="A262" s="582" t="s">
        <v>383</v>
      </c>
      <c r="B262" s="469" t="s">
        <v>1985</v>
      </c>
      <c r="C262" s="3">
        <f>+$C$260+$G$261</f>
        <v>5689.93</v>
      </c>
      <c r="D262" s="88"/>
      <c r="E262" s="4"/>
      <c r="F262" s="4">
        <v>0</v>
      </c>
      <c r="G262" s="6"/>
      <c r="H262" s="468"/>
      <c r="I262" s="468"/>
      <c r="J262" s="501"/>
      <c r="K262" s="468"/>
      <c r="L262" s="468"/>
      <c r="M262" s="468" t="str">
        <f>IF(L262="","",
IF(AX262="PT",VLOOKUP(L262,Foundation_Calc!$V$4:$X$37,VLOOKUP(AX262,Foundation_Calc!$I$10:$J$13,2,FALSE),0),
IF(AX262="K",VLOOKUP(L262,Foundation_Calc!$V$41:$X$74,VLOOKUP(AX262,Foundation_Calc!$I$10:$J$13,2,FALSE),0),"")))</f>
        <v/>
      </c>
      <c r="N262" s="468" t="s">
        <v>192</v>
      </c>
      <c r="O262" s="468"/>
      <c r="P262" s="468"/>
      <c r="Q262" s="4"/>
      <c r="R262" s="6"/>
      <c r="S262" s="6"/>
      <c r="T262" s="4">
        <v>25</v>
      </c>
      <c r="U262" s="4"/>
      <c r="V262" s="4"/>
      <c r="W262" s="9">
        <v>1</v>
      </c>
      <c r="X262" s="9"/>
      <c r="Y262" s="9"/>
      <c r="Z262" s="9"/>
      <c r="AA262" s="9"/>
      <c r="AB262" s="9"/>
      <c r="AC262" s="468" t="s">
        <v>630</v>
      </c>
      <c r="AD262" s="468"/>
      <c r="AE262" s="468"/>
      <c r="AF262" s="4"/>
      <c r="AG262" s="88"/>
      <c r="AH262" s="4"/>
      <c r="AI262" s="4"/>
      <c r="AJ262" s="468"/>
      <c r="AK262" s="468" t="s">
        <v>41</v>
      </c>
      <c r="AL262" s="468"/>
      <c r="AM262" s="468" t="s">
        <v>2458</v>
      </c>
      <c r="AN262" s="10">
        <v>5.15</v>
      </c>
      <c r="AO262" s="9"/>
      <c r="AP262" s="9"/>
      <c r="AQ262" s="9"/>
      <c r="AR262" s="9"/>
      <c r="AS262" s="9"/>
      <c r="AT262" s="9"/>
      <c r="AU262" s="447"/>
      <c r="AV262" s="447"/>
      <c r="AW262" s="468" t="s">
        <v>199</v>
      </c>
      <c r="AX262" s="468" t="s">
        <v>199</v>
      </c>
      <c r="AY262" s="10"/>
      <c r="AZ262" s="10"/>
      <c r="BA262" s="553" t="str">
        <f t="shared" si="27"/>
        <v/>
      </c>
      <c r="BB262" s="553" t="str">
        <f t="shared" si="28"/>
        <v/>
      </c>
      <c r="BC262" s="553" t="str">
        <f t="shared" si="25"/>
        <v/>
      </c>
      <c r="BD262" s="572"/>
      <c r="BE262" s="448" t="s">
        <v>1726</v>
      </c>
      <c r="BF262" s="305"/>
      <c r="BG262" s="305"/>
      <c r="BH262" s="306"/>
      <c r="BI262" s="305"/>
    </row>
    <row r="263" spans="1:61" ht="16.2" customHeight="1">
      <c r="A263" s="582" t="s">
        <v>383</v>
      </c>
      <c r="B263" s="469"/>
      <c r="C263" s="3"/>
      <c r="D263" s="88"/>
      <c r="E263" s="4"/>
      <c r="F263" s="4"/>
      <c r="G263" s="6">
        <v>30</v>
      </c>
      <c r="H263" s="468"/>
      <c r="I263" s="4"/>
      <c r="J263" s="3"/>
      <c r="K263" s="468"/>
      <c r="L263" s="468"/>
      <c r="M263" s="468" t="str">
        <f>IF(L263="","",
IF(AX263="PT",VLOOKUP(L263,Foundation_Calc!$V$4:$X$37,VLOOKUP(AX263,Foundation_Calc!$I$10:$J$13,2,FALSE),0),
IF(AX263="K",VLOOKUP(L263,Foundation_Calc!$V$41:$X$74,VLOOKUP(AX263,Foundation_Calc!$I$10:$J$13,2,FALSE),0),"")))</f>
        <v/>
      </c>
      <c r="N263" s="468"/>
      <c r="O263" s="468"/>
      <c r="P263" s="468"/>
      <c r="Q263" s="4"/>
      <c r="R263" s="6"/>
      <c r="S263" s="6"/>
      <c r="T263" s="4"/>
      <c r="U263" s="4"/>
      <c r="V263" s="4"/>
      <c r="W263" s="9"/>
      <c r="X263" s="9"/>
      <c r="Y263" s="9"/>
      <c r="Z263" s="9"/>
      <c r="AA263" s="9"/>
      <c r="AB263" s="9"/>
      <c r="AC263" s="468" t="str">
        <f t="shared" si="26"/>
        <v/>
      </c>
      <c r="AD263" s="468"/>
      <c r="AE263" s="468"/>
      <c r="AF263" s="4"/>
      <c r="AG263" s="88"/>
      <c r="AH263" s="4"/>
      <c r="AI263" s="4"/>
      <c r="AJ263" s="468"/>
      <c r="AK263" s="468"/>
      <c r="AL263" s="468"/>
      <c r="AM263" s="468"/>
      <c r="AN263" s="10"/>
      <c r="AO263" s="9"/>
      <c r="AP263" s="9"/>
      <c r="AQ263" s="9"/>
      <c r="AR263" s="9"/>
      <c r="AS263" s="9"/>
      <c r="AT263" s="9"/>
      <c r="AU263" s="447"/>
      <c r="AV263" s="447"/>
      <c r="AW263" s="468"/>
      <c r="AX263" s="468"/>
      <c r="AY263" s="10"/>
      <c r="AZ263" s="10"/>
      <c r="BA263" s="553" t="str">
        <f t="shared" si="27"/>
        <v/>
      </c>
      <c r="BB263" s="553" t="str">
        <f t="shared" si="28"/>
        <v/>
      </c>
      <c r="BC263" s="553" t="str">
        <f t="shared" si="25"/>
        <v/>
      </c>
      <c r="BD263" s="572"/>
      <c r="BE263" s="448" t="s">
        <v>1726</v>
      </c>
      <c r="BF263" s="306"/>
      <c r="BG263" s="306"/>
      <c r="BH263" s="306"/>
      <c r="BI263" s="306"/>
    </row>
    <row r="264" spans="1:61" ht="16.2" customHeight="1">
      <c r="A264" s="582" t="s">
        <v>383</v>
      </c>
      <c r="B264" s="469" t="s">
        <v>1986</v>
      </c>
      <c r="C264" s="3">
        <f>+$C$262+$G$263</f>
        <v>5719.93</v>
      </c>
      <c r="D264" s="88"/>
      <c r="E264" s="4"/>
      <c r="F264" s="4">
        <v>-1653.58</v>
      </c>
      <c r="G264" s="6"/>
      <c r="H264" s="468"/>
      <c r="I264" s="468"/>
      <c r="J264" s="3"/>
      <c r="K264" s="468"/>
      <c r="L264" s="468"/>
      <c r="M264" s="468" t="str">
        <f>IF(L264="","",
IF(AX264="PT",VLOOKUP(L264,Foundation_Calc!$V$4:$X$37,VLOOKUP(AX264,Foundation_Calc!$I$10:$J$13,2,FALSE),0),
IF(AX264="K",VLOOKUP(L264,Foundation_Calc!$V$41:$X$74,VLOOKUP(AX264,Foundation_Calc!$I$10:$J$13,2,FALSE),0),"")))</f>
        <v/>
      </c>
      <c r="N264" s="468" t="s">
        <v>191</v>
      </c>
      <c r="O264" s="468"/>
      <c r="P264" s="468"/>
      <c r="Q264" s="4"/>
      <c r="R264" s="6"/>
      <c r="S264" s="6"/>
      <c r="T264" s="4">
        <v>-25</v>
      </c>
      <c r="U264" s="4"/>
      <c r="V264" s="4"/>
      <c r="W264" s="9">
        <v>1</v>
      </c>
      <c r="X264" s="9"/>
      <c r="Y264" s="9"/>
      <c r="Z264" s="9"/>
      <c r="AA264" s="9"/>
      <c r="AB264" s="9"/>
      <c r="AC264" s="468" t="s">
        <v>1341</v>
      </c>
      <c r="AD264" s="468"/>
      <c r="AE264" s="468"/>
      <c r="AF264" s="4"/>
      <c r="AG264" s="88"/>
      <c r="AH264" s="4"/>
      <c r="AI264" s="4"/>
      <c r="AJ264" s="468"/>
      <c r="AK264" s="468" t="s">
        <v>41</v>
      </c>
      <c r="AL264" s="468"/>
      <c r="AM264" s="468" t="s">
        <v>2458</v>
      </c>
      <c r="AN264" s="10">
        <v>5.15</v>
      </c>
      <c r="AO264" s="9"/>
      <c r="AP264" s="9"/>
      <c r="AQ264" s="9"/>
      <c r="AR264" s="9"/>
      <c r="AS264" s="9"/>
      <c r="AT264" s="9"/>
      <c r="AU264" s="447"/>
      <c r="AV264" s="447"/>
      <c r="AW264" s="468" t="s">
        <v>199</v>
      </c>
      <c r="AX264" s="468" t="s">
        <v>199</v>
      </c>
      <c r="AY264" s="10"/>
      <c r="AZ264" s="10"/>
      <c r="BA264" s="553" t="str">
        <f t="shared" si="27"/>
        <v/>
      </c>
      <c r="BB264" s="553" t="str">
        <f t="shared" si="28"/>
        <v/>
      </c>
      <c r="BC264" s="553" t="str">
        <f t="shared" si="25"/>
        <v/>
      </c>
      <c r="BD264" s="572"/>
      <c r="BE264" s="448" t="s">
        <v>1726</v>
      </c>
      <c r="BF264" s="305"/>
      <c r="BG264" s="305"/>
      <c r="BH264" s="306"/>
      <c r="BI264" s="305"/>
    </row>
    <row r="265" spans="1:61" ht="16.2" customHeight="1">
      <c r="A265" s="582" t="s">
        <v>383</v>
      </c>
      <c r="B265" s="469"/>
      <c r="C265" s="3"/>
      <c r="D265" s="88"/>
      <c r="E265" s="4"/>
      <c r="F265" s="4"/>
      <c r="G265" s="6">
        <v>29.9</v>
      </c>
      <c r="H265" s="468"/>
      <c r="I265" s="4"/>
      <c r="J265" s="3"/>
      <c r="K265" s="468"/>
      <c r="L265" s="468"/>
      <c r="M265" s="468" t="str">
        <f>IF(L265="","",
IF(AX265="PT",VLOOKUP(L265,Foundation_Calc!$V$4:$X$37,VLOOKUP(AX265,Foundation_Calc!$I$10:$J$13,2,FALSE),0),
IF(AX265="K",VLOOKUP(L265,Foundation_Calc!$V$41:$X$74,VLOOKUP(AX265,Foundation_Calc!$I$10:$J$13,2,FALSE),0),"")))</f>
        <v/>
      </c>
      <c r="N265" s="468"/>
      <c r="O265" s="468"/>
      <c r="P265" s="468"/>
      <c r="Q265" s="4"/>
      <c r="R265" s="6"/>
      <c r="S265" s="6"/>
      <c r="T265" s="4"/>
      <c r="U265" s="4"/>
      <c r="V265" s="4"/>
      <c r="W265" s="9"/>
      <c r="X265" s="9"/>
      <c r="Y265" s="9"/>
      <c r="Z265" s="9"/>
      <c r="AA265" s="9"/>
      <c r="AB265" s="9"/>
      <c r="AC265" s="468" t="str">
        <f t="shared" si="26"/>
        <v/>
      </c>
      <c r="AD265" s="468"/>
      <c r="AE265" s="468"/>
      <c r="AF265" s="4"/>
      <c r="AG265" s="88"/>
      <c r="AH265" s="4"/>
      <c r="AI265" s="4"/>
      <c r="AJ265" s="468"/>
      <c r="AK265" s="468"/>
      <c r="AL265" s="468"/>
      <c r="AM265" s="468"/>
      <c r="AN265" s="10"/>
      <c r="AO265" s="9"/>
      <c r="AP265" s="9"/>
      <c r="AQ265" s="9"/>
      <c r="AR265" s="9"/>
      <c r="AS265" s="9"/>
      <c r="AT265" s="9"/>
      <c r="AU265" s="447"/>
      <c r="AV265" s="447"/>
      <c r="AW265" s="468"/>
      <c r="AX265" s="468"/>
      <c r="AY265" s="10"/>
      <c r="AZ265" s="10"/>
      <c r="BA265" s="553" t="str">
        <f t="shared" si="27"/>
        <v/>
      </c>
      <c r="BB265" s="553" t="str">
        <f t="shared" si="28"/>
        <v/>
      </c>
      <c r="BC265" s="553" t="str">
        <f t="shared" si="25"/>
        <v/>
      </c>
      <c r="BD265" s="572"/>
      <c r="BE265" s="448" t="s">
        <v>1726</v>
      </c>
      <c r="BF265" s="306"/>
      <c r="BG265" s="306"/>
      <c r="BH265" s="306"/>
      <c r="BI265" s="306"/>
    </row>
    <row r="266" spans="1:61" ht="16.2" customHeight="1">
      <c r="A266" s="582" t="s">
        <v>383</v>
      </c>
      <c r="B266" s="469" t="s">
        <v>1987</v>
      </c>
      <c r="C266" s="3">
        <f>+$C$264+$G$265</f>
        <v>5749.83</v>
      </c>
      <c r="D266" s="88"/>
      <c r="E266" s="4"/>
      <c r="F266" s="4">
        <v>-512.08000000000004</v>
      </c>
      <c r="G266" s="6"/>
      <c r="H266" s="468"/>
      <c r="I266" s="468"/>
      <c r="J266" s="3"/>
      <c r="K266" s="468"/>
      <c r="L266" s="468"/>
      <c r="M266" s="468" t="str">
        <f>IF(L266="","",
IF(AX266="PT",VLOOKUP(L266,Foundation_Calc!$V$4:$X$37,VLOOKUP(AX266,Foundation_Calc!$I$10:$J$13,2,FALSE),0),
IF(AX266="K",VLOOKUP(L266,Foundation_Calc!$V$41:$X$74,VLOOKUP(AX266,Foundation_Calc!$I$10:$J$13,2,FALSE),0),"")))</f>
        <v/>
      </c>
      <c r="N266" s="468" t="s">
        <v>191</v>
      </c>
      <c r="O266" s="468"/>
      <c r="P266" s="468"/>
      <c r="Q266" s="4"/>
      <c r="R266" s="6"/>
      <c r="S266" s="6"/>
      <c r="T266" s="4">
        <v>-25</v>
      </c>
      <c r="U266" s="4"/>
      <c r="V266" s="4"/>
      <c r="W266" s="9">
        <v>1</v>
      </c>
      <c r="X266" s="9"/>
      <c r="Y266" s="9"/>
      <c r="Z266" s="9"/>
      <c r="AA266" s="9"/>
      <c r="AB266" s="9"/>
      <c r="AC266" s="468" t="s">
        <v>1341</v>
      </c>
      <c r="AD266" s="468"/>
      <c r="AE266" s="468"/>
      <c r="AF266" s="4"/>
      <c r="AG266" s="88"/>
      <c r="AH266" s="4"/>
      <c r="AI266" s="4"/>
      <c r="AJ266" s="468"/>
      <c r="AK266" s="468" t="s">
        <v>41</v>
      </c>
      <c r="AL266" s="468"/>
      <c r="AM266" s="468" t="s">
        <v>2458</v>
      </c>
      <c r="AN266" s="10">
        <v>5.15</v>
      </c>
      <c r="AO266" s="9"/>
      <c r="AP266" s="9"/>
      <c r="AQ266" s="9"/>
      <c r="AR266" s="9"/>
      <c r="AS266" s="9"/>
      <c r="AT266" s="9"/>
      <c r="AU266" s="447"/>
      <c r="AV266" s="447"/>
      <c r="AW266" s="468" t="s">
        <v>199</v>
      </c>
      <c r="AX266" s="468" t="s">
        <v>199</v>
      </c>
      <c r="AY266" s="10"/>
      <c r="AZ266" s="10"/>
      <c r="BA266" s="553" t="str">
        <f t="shared" si="27"/>
        <v/>
      </c>
      <c r="BB266" s="553" t="str">
        <f t="shared" si="28"/>
        <v/>
      </c>
      <c r="BC266" s="553" t="str">
        <f t="shared" si="25"/>
        <v/>
      </c>
      <c r="BD266" s="572"/>
      <c r="BE266" s="448" t="s">
        <v>1726</v>
      </c>
      <c r="BF266" s="305"/>
      <c r="BG266" s="305"/>
      <c r="BH266" s="306"/>
      <c r="BI266" s="305"/>
    </row>
    <row r="267" spans="1:61" ht="16.2" customHeight="1" thickBot="1">
      <c r="A267" s="601" t="s">
        <v>383</v>
      </c>
      <c r="B267" s="518"/>
      <c r="C267" s="519"/>
      <c r="D267" s="520"/>
      <c r="E267" s="521"/>
      <c r="F267" s="521"/>
      <c r="G267" s="522">
        <v>29.7</v>
      </c>
      <c r="H267" s="523"/>
      <c r="I267" s="523"/>
      <c r="J267" s="519"/>
      <c r="K267" s="523"/>
      <c r="L267" s="523"/>
      <c r="M267" s="523" t="str">
        <f>IF(L267="","",
IF(AX267="PT",VLOOKUP(L267,Foundation_Calc!$V$4:$X$37,VLOOKUP(AX267,Foundation_Calc!$I$10:$J$13,2,FALSE),0),
IF(AX267="K",VLOOKUP(L267,Foundation_Calc!$V$41:$X$74,VLOOKUP(AX267,Foundation_Calc!$I$10:$J$13,2,FALSE),0),"")))</f>
        <v/>
      </c>
      <c r="N267" s="523"/>
      <c r="O267" s="523"/>
      <c r="P267" s="523"/>
      <c r="Q267" s="521"/>
      <c r="R267" s="522"/>
      <c r="S267" s="522"/>
      <c r="T267" s="521"/>
      <c r="U267" s="521"/>
      <c r="V267" s="521"/>
      <c r="W267" s="524"/>
      <c r="X267" s="524"/>
      <c r="Y267" s="524"/>
      <c r="Z267" s="524"/>
      <c r="AA267" s="524"/>
      <c r="AB267" s="524"/>
      <c r="AC267" s="523" t="str">
        <f t="shared" si="26"/>
        <v/>
      </c>
      <c r="AD267" s="523"/>
      <c r="AE267" s="523"/>
      <c r="AF267" s="521"/>
      <c r="AG267" s="520"/>
      <c r="AH267" s="521"/>
      <c r="AI267" s="521"/>
      <c r="AJ267" s="523"/>
      <c r="AK267" s="523"/>
      <c r="AL267" s="523"/>
      <c r="AM267" s="523"/>
      <c r="AN267" s="525"/>
      <c r="AO267" s="524"/>
      <c r="AP267" s="524"/>
      <c r="AQ267" s="524"/>
      <c r="AR267" s="524"/>
      <c r="AS267" s="524"/>
      <c r="AT267" s="524"/>
      <c r="AU267" s="526"/>
      <c r="AV267" s="526"/>
      <c r="AW267" s="523"/>
      <c r="AX267" s="523"/>
      <c r="AY267" s="525"/>
      <c r="AZ267" s="525"/>
      <c r="BA267" s="554" t="str">
        <f t="shared" si="27"/>
        <v/>
      </c>
      <c r="BB267" s="554" t="str">
        <f t="shared" si="28"/>
        <v/>
      </c>
      <c r="BC267" s="554" t="str">
        <f t="shared" ref="BC267:BC330" si="29">IF(M267="","",IF(M267="U.S.","ü",IF(M267="U.S. N.D.","ü","")))</f>
        <v/>
      </c>
      <c r="BD267" s="576"/>
      <c r="BE267" s="448" t="s">
        <v>1726</v>
      </c>
      <c r="BF267" s="306"/>
      <c r="BG267" s="306"/>
      <c r="BH267" s="306"/>
      <c r="BI267" s="306"/>
    </row>
    <row r="268" spans="1:61" ht="16.2" customHeight="1" thickTop="1">
      <c r="A268" s="600" t="s">
        <v>383</v>
      </c>
      <c r="B268" s="605" t="s">
        <v>1988</v>
      </c>
      <c r="C268" s="606">
        <f>+$C$266+$G$267</f>
        <v>5779.53</v>
      </c>
      <c r="D268" s="607"/>
      <c r="E268" s="608"/>
      <c r="F268" s="608">
        <v>-512.08000000000004</v>
      </c>
      <c r="G268" s="609"/>
      <c r="H268" s="610"/>
      <c r="I268" s="610"/>
      <c r="J268" s="606"/>
      <c r="K268" s="610"/>
      <c r="L268" s="610"/>
      <c r="M268" s="610" t="str">
        <f>IF(L268="","",
IF(AX268="PT",VLOOKUP(L268,Foundation_Calc!$V$4:$X$37,VLOOKUP(AX268,Foundation_Calc!$I$10:$J$13,2,FALSE),0),
IF(AX268="K",VLOOKUP(L268,Foundation_Calc!$V$41:$X$74,VLOOKUP(AX268,Foundation_Calc!$I$10:$J$13,2,FALSE),0),"")))</f>
        <v/>
      </c>
      <c r="N268" s="610" t="s">
        <v>191</v>
      </c>
      <c r="O268" s="610"/>
      <c r="P268" s="610"/>
      <c r="Q268" s="608"/>
      <c r="R268" s="609"/>
      <c r="S268" s="609"/>
      <c r="T268" s="608">
        <v>-25</v>
      </c>
      <c r="U268" s="608"/>
      <c r="V268" s="608"/>
      <c r="W268" s="611">
        <v>1</v>
      </c>
      <c r="X268" s="611"/>
      <c r="Y268" s="611"/>
      <c r="Z268" s="611"/>
      <c r="AA268" s="611"/>
      <c r="AB268" s="611"/>
      <c r="AC268" s="610" t="s">
        <v>1341</v>
      </c>
      <c r="AD268" s="610"/>
      <c r="AE268" s="610"/>
      <c r="AF268" s="608"/>
      <c r="AG268" s="607"/>
      <c r="AH268" s="608"/>
      <c r="AI268" s="608"/>
      <c r="AJ268" s="610"/>
      <c r="AK268" s="610" t="s">
        <v>41</v>
      </c>
      <c r="AL268" s="610"/>
      <c r="AM268" s="610" t="s">
        <v>2458</v>
      </c>
      <c r="AN268" s="612">
        <v>5.15</v>
      </c>
      <c r="AO268" s="611"/>
      <c r="AP268" s="611"/>
      <c r="AQ268" s="611"/>
      <c r="AR268" s="611"/>
      <c r="AS268" s="611"/>
      <c r="AT268" s="611"/>
      <c r="AU268" s="613"/>
      <c r="AV268" s="613"/>
      <c r="AW268" s="610" t="s">
        <v>199</v>
      </c>
      <c r="AX268" s="610" t="s">
        <v>199</v>
      </c>
      <c r="AY268" s="612"/>
      <c r="AZ268" s="612"/>
      <c r="BA268" s="639" t="str">
        <f t="shared" si="27"/>
        <v/>
      </c>
      <c r="BB268" s="639" t="str">
        <f t="shared" si="28"/>
        <v/>
      </c>
      <c r="BC268" s="639" t="str">
        <f t="shared" si="29"/>
        <v/>
      </c>
      <c r="BD268" s="578"/>
      <c r="BE268" s="448" t="s">
        <v>1726</v>
      </c>
      <c r="BF268" s="305"/>
      <c r="BG268" s="305"/>
      <c r="BH268" s="306"/>
      <c r="BI268" s="305"/>
    </row>
    <row r="269" spans="1:61" ht="13.8">
      <c r="A269" s="582" t="s">
        <v>383</v>
      </c>
      <c r="B269" s="469"/>
      <c r="C269" s="3"/>
      <c r="D269" s="88"/>
      <c r="E269" s="4"/>
      <c r="F269" s="4"/>
      <c r="G269" s="6">
        <v>34.6</v>
      </c>
      <c r="H269" s="468"/>
      <c r="I269" s="467"/>
      <c r="J269" s="3"/>
      <c r="K269" s="468"/>
      <c r="L269" s="468"/>
      <c r="M269" s="468" t="str">
        <f>IF(L269="","",
IF(AX269="PT",VLOOKUP(L269,Foundation_Calc!$V$4:$X$37,VLOOKUP(AX269,Foundation_Calc!$I$10:$J$13,2,FALSE),0),
IF(AX269="K",VLOOKUP(L269,Foundation_Calc!$V$41:$X$74,VLOOKUP(AX269,Foundation_Calc!$I$10:$J$13,2,FALSE),0),"")))</f>
        <v/>
      </c>
      <c r="N269" s="468"/>
      <c r="O269" s="468"/>
      <c r="P269" s="468"/>
      <c r="Q269" s="4"/>
      <c r="R269" s="6"/>
      <c r="S269" s="6"/>
      <c r="T269" s="4"/>
      <c r="U269" s="4"/>
      <c r="V269" s="4"/>
      <c r="W269" s="9"/>
      <c r="X269" s="9"/>
      <c r="Y269" s="9"/>
      <c r="Z269" s="9"/>
      <c r="AA269" s="9"/>
      <c r="AB269" s="9"/>
      <c r="AC269" s="468" t="str">
        <f t="shared" si="26"/>
        <v/>
      </c>
      <c r="AD269" s="468"/>
      <c r="AE269" s="468"/>
      <c r="AF269" s="4"/>
      <c r="AG269" s="88"/>
      <c r="AH269" s="4"/>
      <c r="AI269" s="4"/>
      <c r="AJ269" s="468"/>
      <c r="AK269" s="468"/>
      <c r="AL269" s="468"/>
      <c r="AM269" s="468"/>
      <c r="AN269" s="10"/>
      <c r="AO269" s="9"/>
      <c r="AP269" s="9"/>
      <c r="AQ269" s="9"/>
      <c r="AR269" s="9"/>
      <c r="AS269" s="9"/>
      <c r="AT269" s="9"/>
      <c r="AU269" s="447"/>
      <c r="AV269" s="447"/>
      <c r="AW269" s="468"/>
      <c r="AX269" s="468"/>
      <c r="AY269" s="10"/>
      <c r="AZ269" s="10"/>
      <c r="BA269" s="553" t="str">
        <f t="shared" si="27"/>
        <v/>
      </c>
      <c r="BB269" s="553" t="str">
        <f t="shared" si="28"/>
        <v/>
      </c>
      <c r="BC269" s="553" t="str">
        <f t="shared" si="29"/>
        <v/>
      </c>
      <c r="BD269" s="572"/>
      <c r="BE269" s="448" t="s">
        <v>1726</v>
      </c>
      <c r="BF269" s="306"/>
      <c r="BG269" s="306"/>
      <c r="BH269" s="306"/>
      <c r="BI269" s="306"/>
    </row>
    <row r="270" spans="1:61" ht="16.2" customHeight="1">
      <c r="A270" s="582" t="s">
        <v>383</v>
      </c>
      <c r="B270" s="469" t="s">
        <v>1989</v>
      </c>
      <c r="C270" s="3">
        <f>+$C$268+$G$269</f>
        <v>5814.13</v>
      </c>
      <c r="D270" s="88"/>
      <c r="E270" s="4"/>
      <c r="F270" s="4">
        <v>-400</v>
      </c>
      <c r="G270" s="6"/>
      <c r="H270" s="468" t="s">
        <v>26</v>
      </c>
      <c r="I270" s="468" t="s">
        <v>1155</v>
      </c>
      <c r="J270" s="501">
        <f>C270+10</f>
        <v>5824.13</v>
      </c>
      <c r="K270" s="468" t="s">
        <v>447</v>
      </c>
      <c r="L270" s="468"/>
      <c r="M270" s="468" t="str">
        <f>IF(L270="","",
IF(AX270="PT",VLOOKUP(L270,Foundation_Calc!$V$4:$X$37,VLOOKUP(AX270,Foundation_Calc!$I$10:$J$13,2,FALSE),0),
IF(AX270="K",VLOOKUP(L270,Foundation_Calc!$V$41:$X$74,VLOOKUP(AX270,Foundation_Calc!$I$10:$J$13,2,FALSE),0),"")))</f>
        <v/>
      </c>
      <c r="N270" s="468" t="s">
        <v>192</v>
      </c>
      <c r="O270" s="468"/>
      <c r="P270" s="468"/>
      <c r="Q270" s="4"/>
      <c r="R270" s="6"/>
      <c r="S270" s="6"/>
      <c r="T270" s="4">
        <v>25</v>
      </c>
      <c r="U270" s="4"/>
      <c r="V270" s="4"/>
      <c r="W270" s="9">
        <v>1</v>
      </c>
      <c r="X270" s="9"/>
      <c r="Y270" s="9"/>
      <c r="Z270" s="9"/>
      <c r="AA270" s="9"/>
      <c r="AB270" s="9"/>
      <c r="AC270" s="468" t="s">
        <v>1078</v>
      </c>
      <c r="AD270" s="468"/>
      <c r="AE270" s="468"/>
      <c r="AF270" s="4"/>
      <c r="AG270" s="88"/>
      <c r="AH270" s="4"/>
      <c r="AI270" s="4"/>
      <c r="AJ270" s="468"/>
      <c r="AK270" s="468" t="s">
        <v>41</v>
      </c>
      <c r="AL270" s="468"/>
      <c r="AM270" s="468" t="s">
        <v>2458</v>
      </c>
      <c r="AN270" s="10">
        <v>5.15</v>
      </c>
      <c r="AO270" s="9"/>
      <c r="AP270" s="9"/>
      <c r="AQ270" s="9"/>
      <c r="AR270" s="9"/>
      <c r="AS270" s="9"/>
      <c r="AT270" s="9"/>
      <c r="AU270" s="447"/>
      <c r="AV270" s="447"/>
      <c r="AW270" s="468" t="s">
        <v>199</v>
      </c>
      <c r="AX270" s="468" t="s">
        <v>199</v>
      </c>
      <c r="AY270" s="10"/>
      <c r="AZ270" s="10"/>
      <c r="BA270" s="553" t="str">
        <f t="shared" ref="BA270:BA333" si="30">IF(AY270="","",IF(AY270&gt;0,"ü",""))</f>
        <v/>
      </c>
      <c r="BB270" s="553" t="str">
        <f t="shared" ref="BB270:BB333" si="31">IF(AZ270="","",IF(AZ270&gt;0,"ü",""))</f>
        <v/>
      </c>
      <c r="BC270" s="553" t="str">
        <f t="shared" si="29"/>
        <v/>
      </c>
      <c r="BD270" s="572"/>
      <c r="BE270" s="448" t="s">
        <v>1726</v>
      </c>
      <c r="BF270" s="305"/>
      <c r="BG270" s="305"/>
      <c r="BH270" s="306"/>
      <c r="BI270" s="305"/>
    </row>
    <row r="271" spans="1:61" ht="16.2" customHeight="1">
      <c r="A271" s="582" t="s">
        <v>383</v>
      </c>
      <c r="B271" s="469"/>
      <c r="C271" s="3"/>
      <c r="D271" s="88"/>
      <c r="E271" s="4"/>
      <c r="F271" s="4"/>
      <c r="G271" s="6">
        <v>29.6</v>
      </c>
      <c r="H271" s="468"/>
      <c r="I271" s="468"/>
      <c r="J271" s="3"/>
      <c r="K271" s="468"/>
      <c r="L271" s="468"/>
      <c r="M271" s="468" t="str">
        <f>IF(L271="","",
IF(AX271="PT",VLOOKUP(L271,Foundation_Calc!$V$4:$X$37,VLOOKUP(AX271,Foundation_Calc!$I$10:$J$13,2,FALSE),0),
IF(AX271="K",VLOOKUP(L271,Foundation_Calc!$V$41:$X$74,VLOOKUP(AX271,Foundation_Calc!$I$10:$J$13,2,FALSE),0),"")))</f>
        <v/>
      </c>
      <c r="N271" s="468"/>
      <c r="O271" s="468"/>
      <c r="P271" s="468"/>
      <c r="Q271" s="4"/>
      <c r="R271" s="6"/>
      <c r="S271" s="6"/>
      <c r="T271" s="4"/>
      <c r="U271" s="4"/>
      <c r="V271" s="4"/>
      <c r="W271" s="9"/>
      <c r="X271" s="9"/>
      <c r="Y271" s="9"/>
      <c r="Z271" s="9"/>
      <c r="AA271" s="9"/>
      <c r="AB271" s="9"/>
      <c r="AC271" s="468" t="str">
        <f t="shared" ref="AC271:AC333" si="32">IF(OR(AT271&gt;8,AT271&lt;-8),"PH",
IF(OR(AT271&gt;5,AT271&lt;-5),"PHQ",
IF(OR(AT271&gt;1,AT271&lt;-1),
"PHC","")))</f>
        <v/>
      </c>
      <c r="AD271" s="468"/>
      <c r="AE271" s="468"/>
      <c r="AF271" s="4"/>
      <c r="AG271" s="88"/>
      <c r="AH271" s="4"/>
      <c r="AI271" s="4"/>
      <c r="AJ271" s="468"/>
      <c r="AK271" s="468"/>
      <c r="AL271" s="468"/>
      <c r="AM271" s="468"/>
      <c r="AN271" s="10"/>
      <c r="AO271" s="9"/>
      <c r="AP271" s="9"/>
      <c r="AQ271" s="9"/>
      <c r="AR271" s="9"/>
      <c r="AS271" s="9"/>
      <c r="AT271" s="9"/>
      <c r="AU271" s="447"/>
      <c r="AV271" s="447"/>
      <c r="AW271" s="468"/>
      <c r="AX271" s="468"/>
      <c r="AY271" s="10"/>
      <c r="AZ271" s="10"/>
      <c r="BA271" s="553" t="str">
        <f t="shared" si="30"/>
        <v/>
      </c>
      <c r="BB271" s="553" t="str">
        <f t="shared" si="31"/>
        <v/>
      </c>
      <c r="BC271" s="553" t="str">
        <f t="shared" si="29"/>
        <v/>
      </c>
      <c r="BD271" s="572"/>
      <c r="BE271" s="448" t="s">
        <v>1726</v>
      </c>
      <c r="BF271" s="306"/>
      <c r="BG271" s="306"/>
      <c r="BH271" s="306"/>
      <c r="BI271" s="306"/>
    </row>
    <row r="272" spans="1:61" ht="16.2" customHeight="1">
      <c r="A272" s="582" t="s">
        <v>383</v>
      </c>
      <c r="B272" s="469" t="s">
        <v>1990</v>
      </c>
      <c r="C272" s="3">
        <f>+$C$270+$G$271</f>
        <v>5843.7300000000005</v>
      </c>
      <c r="D272" s="88"/>
      <c r="E272" s="4"/>
      <c r="F272" s="4">
        <v>-400</v>
      </c>
      <c r="G272" s="6"/>
      <c r="H272" s="468" t="s">
        <v>179</v>
      </c>
      <c r="I272" s="468"/>
      <c r="J272" s="3"/>
      <c r="K272" s="468"/>
      <c r="L272" s="468"/>
      <c r="M272" s="468" t="str">
        <f>IF(L272="","",
IF(AX272="PT",VLOOKUP(L272,Foundation_Calc!$V$4:$X$37,VLOOKUP(AX272,Foundation_Calc!$I$10:$J$13,2,FALSE),0),
IF(AX272="K",VLOOKUP(L272,Foundation_Calc!$V$41:$X$74,VLOOKUP(AX272,Foundation_Calc!$I$10:$J$13,2,FALSE),0),"")))</f>
        <v/>
      </c>
      <c r="N272" s="468" t="s">
        <v>193</v>
      </c>
      <c r="O272" s="468" t="s">
        <v>192</v>
      </c>
      <c r="P272" s="468"/>
      <c r="Q272" s="4"/>
      <c r="R272" s="6"/>
      <c r="S272" s="6"/>
      <c r="T272" s="4">
        <v>50</v>
      </c>
      <c r="U272" s="4">
        <v>30</v>
      </c>
      <c r="V272" s="4"/>
      <c r="W272" s="9">
        <v>0.9</v>
      </c>
      <c r="X272" s="9">
        <v>1</v>
      </c>
      <c r="Y272" s="9"/>
      <c r="Z272" s="9">
        <v>0.45</v>
      </c>
      <c r="AA272" s="9"/>
      <c r="AB272" s="9"/>
      <c r="AC272" s="468" t="str">
        <f t="shared" si="32"/>
        <v/>
      </c>
      <c r="AD272" s="468" t="s">
        <v>1078</v>
      </c>
      <c r="AE272" s="468"/>
      <c r="AF272" s="4"/>
      <c r="AG272" s="88"/>
      <c r="AH272" s="4"/>
      <c r="AI272" s="4"/>
      <c r="AJ272" s="468"/>
      <c r="AK272" s="468" t="s">
        <v>42</v>
      </c>
      <c r="AL272" s="468"/>
      <c r="AM272" s="468" t="s">
        <v>2458</v>
      </c>
      <c r="AN272" s="10">
        <v>5.15</v>
      </c>
      <c r="AO272" s="9"/>
      <c r="AP272" s="9"/>
      <c r="AQ272" s="9"/>
      <c r="AR272" s="9"/>
      <c r="AS272" s="9"/>
      <c r="AT272" s="9"/>
      <c r="AU272" s="447"/>
      <c r="AV272" s="447"/>
      <c r="AW272" s="468" t="s">
        <v>199</v>
      </c>
      <c r="AX272" s="468" t="s">
        <v>199</v>
      </c>
      <c r="AY272" s="10"/>
      <c r="AZ272" s="10"/>
      <c r="BA272" s="553" t="str">
        <f t="shared" si="30"/>
        <v/>
      </c>
      <c r="BB272" s="553" t="str">
        <f t="shared" si="31"/>
        <v/>
      </c>
      <c r="BC272" s="553" t="str">
        <f t="shared" si="29"/>
        <v/>
      </c>
      <c r="BD272" s="572"/>
      <c r="BE272" s="448" t="s">
        <v>1726</v>
      </c>
      <c r="BF272" s="305"/>
      <c r="BG272" s="305"/>
      <c r="BH272" s="306"/>
      <c r="BI272" s="305"/>
    </row>
    <row r="273" spans="1:61" ht="16.2" customHeight="1">
      <c r="A273" s="582" t="s">
        <v>383</v>
      </c>
      <c r="B273" s="469"/>
      <c r="C273" s="3"/>
      <c r="D273" s="88"/>
      <c r="E273" s="4"/>
      <c r="F273" s="4"/>
      <c r="G273" s="6">
        <v>29.7</v>
      </c>
      <c r="H273" s="468"/>
      <c r="I273" s="468"/>
      <c r="J273" s="3"/>
      <c r="K273" s="468"/>
      <c r="L273" s="468"/>
      <c r="M273" s="468" t="str">
        <f>IF(L273="","",
IF(AX273="PT",VLOOKUP(L273,Foundation_Calc!$V$4:$X$37,VLOOKUP(AX273,Foundation_Calc!$I$10:$J$13,2,FALSE),0),
IF(AX273="K",VLOOKUP(L273,Foundation_Calc!$V$41:$X$74,VLOOKUP(AX273,Foundation_Calc!$I$10:$J$13,2,FALSE),0),"")))</f>
        <v/>
      </c>
      <c r="N273" s="468"/>
      <c r="O273" s="468"/>
      <c r="P273" s="468"/>
      <c r="Q273" s="4"/>
      <c r="R273" s="6"/>
      <c r="S273" s="6"/>
      <c r="T273" s="4"/>
      <c r="U273" s="4"/>
      <c r="V273" s="4"/>
      <c r="W273" s="9"/>
      <c r="X273" s="9"/>
      <c r="Y273" s="9"/>
      <c r="Z273" s="9"/>
      <c r="AA273" s="9"/>
      <c r="AB273" s="9"/>
      <c r="AC273" s="468" t="str">
        <f t="shared" si="32"/>
        <v/>
      </c>
      <c r="AD273" s="468"/>
      <c r="AE273" s="468"/>
      <c r="AF273" s="4"/>
      <c r="AG273" s="88"/>
      <c r="AH273" s="4"/>
      <c r="AI273" s="4"/>
      <c r="AJ273" s="468"/>
      <c r="AK273" s="468"/>
      <c r="AL273" s="468"/>
      <c r="AM273" s="468"/>
      <c r="AN273" s="10"/>
      <c r="AO273" s="9"/>
      <c r="AP273" s="9"/>
      <c r="AQ273" s="9"/>
      <c r="AR273" s="9"/>
      <c r="AS273" s="9"/>
      <c r="AT273" s="9"/>
      <c r="AU273" s="447"/>
      <c r="AV273" s="447"/>
      <c r="AW273" s="468"/>
      <c r="AX273" s="468"/>
      <c r="AY273" s="10"/>
      <c r="AZ273" s="10"/>
      <c r="BA273" s="553" t="str">
        <f t="shared" si="30"/>
        <v/>
      </c>
      <c r="BB273" s="553" t="str">
        <f t="shared" si="31"/>
        <v/>
      </c>
      <c r="BC273" s="553" t="str">
        <f t="shared" si="29"/>
        <v/>
      </c>
      <c r="BD273" s="572"/>
      <c r="BE273" s="448" t="s">
        <v>1726</v>
      </c>
      <c r="BF273" s="306"/>
      <c r="BG273" s="306"/>
      <c r="BH273" s="306"/>
      <c r="BI273" s="306"/>
    </row>
    <row r="274" spans="1:61" ht="16.2" customHeight="1">
      <c r="A274" s="582" t="s">
        <v>383</v>
      </c>
      <c r="B274" s="469" t="s">
        <v>1991</v>
      </c>
      <c r="C274" s="3">
        <f>+$C$272+$G$273</f>
        <v>5873.43</v>
      </c>
      <c r="D274" s="88"/>
      <c r="E274" s="4"/>
      <c r="F274" s="4">
        <v>-536.5</v>
      </c>
      <c r="G274" s="6"/>
      <c r="H274" s="468" t="s">
        <v>180</v>
      </c>
      <c r="I274" s="468"/>
      <c r="J274" s="3"/>
      <c r="K274" s="468"/>
      <c r="L274" s="468"/>
      <c r="M274" s="468" t="str">
        <f>IF(L274="","",
IF(AX274="PT",VLOOKUP(L274,Foundation_Calc!$V$4:$X$37,VLOOKUP(AX274,Foundation_Calc!$I$10:$J$13,2,FALSE),0),
IF(AX274="K",VLOOKUP(L274,Foundation_Calc!$V$41:$X$74,VLOOKUP(AX274,Foundation_Calc!$I$10:$J$13,2,FALSE),0),"")))</f>
        <v/>
      </c>
      <c r="N274" s="468" t="s">
        <v>192</v>
      </c>
      <c r="O274" s="468" t="s">
        <v>192</v>
      </c>
      <c r="P274" s="468"/>
      <c r="Q274" s="4"/>
      <c r="R274" s="6"/>
      <c r="S274" s="6"/>
      <c r="T274" s="4">
        <v>30</v>
      </c>
      <c r="U274" s="4">
        <v>10</v>
      </c>
      <c r="V274" s="4"/>
      <c r="W274" s="9">
        <v>0.9</v>
      </c>
      <c r="X274" s="9">
        <v>1</v>
      </c>
      <c r="Y274" s="9"/>
      <c r="Z274" s="9">
        <v>0.15</v>
      </c>
      <c r="AA274" s="9"/>
      <c r="AB274" s="9"/>
      <c r="AC274" s="468" t="s">
        <v>1078</v>
      </c>
      <c r="AD274" s="468" t="s">
        <v>1078</v>
      </c>
      <c r="AE274" s="468"/>
      <c r="AF274" s="4"/>
      <c r="AG274" s="88"/>
      <c r="AH274" s="4"/>
      <c r="AI274" s="4"/>
      <c r="AJ274" s="468"/>
      <c r="AK274" s="468" t="s">
        <v>42</v>
      </c>
      <c r="AL274" s="468"/>
      <c r="AM274" s="468" t="s">
        <v>2458</v>
      </c>
      <c r="AN274" s="10">
        <v>5.15</v>
      </c>
      <c r="AO274" s="9"/>
      <c r="AP274" s="9"/>
      <c r="AQ274" s="9"/>
      <c r="AR274" s="9"/>
      <c r="AS274" s="9"/>
      <c r="AT274" s="9"/>
      <c r="AU274" s="447"/>
      <c r="AV274" s="447"/>
      <c r="AW274" s="468" t="s">
        <v>199</v>
      </c>
      <c r="AX274" s="468" t="s">
        <v>199</v>
      </c>
      <c r="AY274" s="10"/>
      <c r="AZ274" s="10"/>
      <c r="BA274" s="553" t="str">
        <f t="shared" si="30"/>
        <v/>
      </c>
      <c r="BB274" s="553" t="str">
        <f t="shared" si="31"/>
        <v/>
      </c>
      <c r="BC274" s="553" t="str">
        <f t="shared" si="29"/>
        <v/>
      </c>
      <c r="BD274" s="572"/>
      <c r="BE274" s="448" t="s">
        <v>1726</v>
      </c>
      <c r="BF274" s="305"/>
      <c r="BG274" s="305"/>
      <c r="BH274" s="306"/>
      <c r="BI274" s="305"/>
    </row>
    <row r="275" spans="1:61" ht="16.2" customHeight="1">
      <c r="A275" s="582" t="s">
        <v>383</v>
      </c>
      <c r="B275" s="469"/>
      <c r="C275" s="3"/>
      <c r="D275" s="88"/>
      <c r="E275" s="4"/>
      <c r="F275" s="4"/>
      <c r="G275" s="6">
        <v>29.7</v>
      </c>
      <c r="H275" s="468"/>
      <c r="I275" s="468"/>
      <c r="J275" s="3"/>
      <c r="K275" s="468"/>
      <c r="L275" s="468"/>
      <c r="M275" s="468" t="str">
        <f>IF(L275="","",
IF(AX275="PT",VLOOKUP(L275,Foundation_Calc!$V$4:$X$37,VLOOKUP(AX275,Foundation_Calc!$I$10:$J$13,2,FALSE),0),
IF(AX275="K",VLOOKUP(L275,Foundation_Calc!$V$41:$X$74,VLOOKUP(AX275,Foundation_Calc!$I$10:$J$13,2,FALSE),0),"")))</f>
        <v/>
      </c>
      <c r="N275" s="468"/>
      <c r="O275" s="468"/>
      <c r="P275" s="468"/>
      <c r="Q275" s="4"/>
      <c r="R275" s="6"/>
      <c r="S275" s="6"/>
      <c r="T275" s="4"/>
      <c r="U275" s="4"/>
      <c r="V275" s="4"/>
      <c r="W275" s="9"/>
      <c r="X275" s="9"/>
      <c r="Y275" s="9"/>
      <c r="Z275" s="9"/>
      <c r="AA275" s="9"/>
      <c r="AB275" s="9"/>
      <c r="AC275" s="468" t="str">
        <f t="shared" si="32"/>
        <v/>
      </c>
      <c r="AD275" s="468"/>
      <c r="AE275" s="468"/>
      <c r="AF275" s="4"/>
      <c r="AG275" s="88"/>
      <c r="AH275" s="4"/>
      <c r="AI275" s="4"/>
      <c r="AJ275" s="468"/>
      <c r="AK275" s="468"/>
      <c r="AL275" s="468"/>
      <c r="AM275" s="468"/>
      <c r="AN275" s="10"/>
      <c r="AO275" s="9"/>
      <c r="AP275" s="9"/>
      <c r="AQ275" s="9"/>
      <c r="AR275" s="9"/>
      <c r="AS275" s="9"/>
      <c r="AT275" s="9"/>
      <c r="AU275" s="447"/>
      <c r="AV275" s="447"/>
      <c r="AW275" s="468"/>
      <c r="AX275" s="468"/>
      <c r="AY275" s="10"/>
      <c r="AZ275" s="10"/>
      <c r="BA275" s="553" t="str">
        <f t="shared" si="30"/>
        <v/>
      </c>
      <c r="BB275" s="553" t="str">
        <f t="shared" si="31"/>
        <v/>
      </c>
      <c r="BC275" s="553" t="str">
        <f t="shared" si="29"/>
        <v/>
      </c>
      <c r="BD275" s="572"/>
      <c r="BE275" s="448" t="s">
        <v>1726</v>
      </c>
      <c r="BF275" s="306"/>
      <c r="BG275" s="306"/>
      <c r="BH275" s="306"/>
      <c r="BI275" s="306"/>
    </row>
    <row r="276" spans="1:61" ht="16.2" customHeight="1">
      <c r="A276" s="582" t="s">
        <v>383</v>
      </c>
      <c r="B276" s="469" t="s">
        <v>1992</v>
      </c>
      <c r="C276" s="3">
        <f>+$C$274+$G$275</f>
        <v>5903.13</v>
      </c>
      <c r="D276" s="88"/>
      <c r="E276" s="4"/>
      <c r="F276" s="4">
        <v>-536.5</v>
      </c>
      <c r="G276" s="6"/>
      <c r="H276" s="468" t="s">
        <v>180</v>
      </c>
      <c r="I276" s="468"/>
      <c r="J276" s="3"/>
      <c r="K276" s="468"/>
      <c r="L276" s="468"/>
      <c r="M276" s="468" t="str">
        <f>IF(L276="","",
IF(AX276="PT",VLOOKUP(L276,Foundation_Calc!$V$4:$X$37,VLOOKUP(AX276,Foundation_Calc!$I$10:$J$13,2,FALSE),0),
IF(AX276="K",VLOOKUP(L276,Foundation_Calc!$V$41:$X$74,VLOOKUP(AX276,Foundation_Calc!$I$10:$J$13,2,FALSE),0),"")))</f>
        <v/>
      </c>
      <c r="N276" s="468" t="s">
        <v>192</v>
      </c>
      <c r="O276" s="468" t="s">
        <v>192</v>
      </c>
      <c r="P276" s="468"/>
      <c r="Q276" s="4"/>
      <c r="R276" s="6"/>
      <c r="S276" s="6"/>
      <c r="T276" s="4">
        <v>30</v>
      </c>
      <c r="U276" s="4">
        <v>10</v>
      </c>
      <c r="V276" s="4"/>
      <c r="W276" s="9">
        <v>0.9</v>
      </c>
      <c r="X276" s="9">
        <v>1</v>
      </c>
      <c r="Y276" s="9"/>
      <c r="Z276" s="9"/>
      <c r="AA276" s="9">
        <v>0.15</v>
      </c>
      <c r="AB276" s="9"/>
      <c r="AC276" s="468" t="s">
        <v>1078</v>
      </c>
      <c r="AD276" s="468" t="s">
        <v>2512</v>
      </c>
      <c r="AE276" s="468"/>
      <c r="AF276" s="4"/>
      <c r="AG276" s="88"/>
      <c r="AH276" s="4"/>
      <c r="AI276" s="4"/>
      <c r="AJ276" s="468"/>
      <c r="AK276" s="468" t="s">
        <v>42</v>
      </c>
      <c r="AL276" s="468"/>
      <c r="AM276" s="468" t="s">
        <v>2458</v>
      </c>
      <c r="AN276" s="10">
        <v>5.15</v>
      </c>
      <c r="AO276" s="9"/>
      <c r="AP276" s="9"/>
      <c r="AQ276" s="9"/>
      <c r="AR276" s="9"/>
      <c r="AS276" s="9"/>
      <c r="AT276" s="9"/>
      <c r="AU276" s="447"/>
      <c r="AV276" s="447"/>
      <c r="AW276" s="468" t="s">
        <v>199</v>
      </c>
      <c r="AX276" s="468" t="s">
        <v>199</v>
      </c>
      <c r="AY276" s="10"/>
      <c r="AZ276" s="10"/>
      <c r="BA276" s="553" t="str">
        <f t="shared" si="30"/>
        <v/>
      </c>
      <c r="BB276" s="553" t="str">
        <f t="shared" si="31"/>
        <v/>
      </c>
      <c r="BC276" s="553" t="str">
        <f t="shared" si="29"/>
        <v/>
      </c>
      <c r="BD276" s="572"/>
      <c r="BE276" s="448" t="s">
        <v>1726</v>
      </c>
      <c r="BF276" s="305"/>
      <c r="BG276" s="305"/>
      <c r="BH276" s="306"/>
      <c r="BI276" s="305"/>
    </row>
    <row r="277" spans="1:61" ht="16.2" customHeight="1">
      <c r="A277" s="582" t="s">
        <v>383</v>
      </c>
      <c r="B277" s="469"/>
      <c r="C277" s="3"/>
      <c r="D277" s="88"/>
      <c r="E277" s="4"/>
      <c r="F277" s="4"/>
      <c r="G277" s="6">
        <v>29.8</v>
      </c>
      <c r="H277" s="468"/>
      <c r="I277" s="468"/>
      <c r="J277" s="3"/>
      <c r="K277" s="468"/>
      <c r="L277" s="468"/>
      <c r="M277" s="468" t="str">
        <f>IF(L277="","",
IF(AX277="PT",VLOOKUP(L277,Foundation_Calc!$V$4:$X$37,VLOOKUP(AX277,Foundation_Calc!$I$10:$J$13,2,FALSE),0),
IF(AX277="K",VLOOKUP(L277,Foundation_Calc!$V$41:$X$74,VLOOKUP(AX277,Foundation_Calc!$I$10:$J$13,2,FALSE),0),"")))</f>
        <v/>
      </c>
      <c r="N277" s="468"/>
      <c r="O277" s="468"/>
      <c r="P277" s="468"/>
      <c r="Q277" s="4"/>
      <c r="R277" s="6"/>
      <c r="S277" s="6"/>
      <c r="T277" s="4"/>
      <c r="U277" s="4"/>
      <c r="V277" s="4"/>
      <c r="W277" s="9"/>
      <c r="X277" s="9"/>
      <c r="Y277" s="9"/>
      <c r="Z277" s="9"/>
      <c r="AA277" s="9"/>
      <c r="AB277" s="9"/>
      <c r="AC277" s="468" t="str">
        <f t="shared" si="32"/>
        <v/>
      </c>
      <c r="AD277" s="468"/>
      <c r="AE277" s="468"/>
      <c r="AF277" s="4"/>
      <c r="AG277" s="88"/>
      <c r="AH277" s="4"/>
      <c r="AI277" s="4"/>
      <c r="AJ277" s="468"/>
      <c r="AK277" s="468"/>
      <c r="AL277" s="468"/>
      <c r="AM277" s="468"/>
      <c r="AN277" s="10"/>
      <c r="AO277" s="9"/>
      <c r="AP277" s="9"/>
      <c r="AQ277" s="9"/>
      <c r="AR277" s="9"/>
      <c r="AS277" s="9"/>
      <c r="AT277" s="9"/>
      <c r="AU277" s="447"/>
      <c r="AV277" s="447"/>
      <c r="AW277" s="468"/>
      <c r="AX277" s="468"/>
      <c r="AY277" s="10"/>
      <c r="AZ277" s="10"/>
      <c r="BA277" s="553" t="str">
        <f t="shared" si="30"/>
        <v/>
      </c>
      <c r="BB277" s="553" t="str">
        <f t="shared" si="31"/>
        <v/>
      </c>
      <c r="BC277" s="553" t="str">
        <f t="shared" si="29"/>
        <v/>
      </c>
      <c r="BD277" s="572"/>
      <c r="BE277" s="448" t="s">
        <v>1726</v>
      </c>
      <c r="BF277" s="306"/>
      <c r="BG277" s="306"/>
      <c r="BH277" s="306"/>
      <c r="BI277" s="306"/>
    </row>
    <row r="278" spans="1:61" ht="16.2" customHeight="1">
      <c r="A278" s="582" t="s">
        <v>383</v>
      </c>
      <c r="B278" s="469" t="s">
        <v>1993</v>
      </c>
      <c r="C278" s="3">
        <f>+$C$276+$G$277</f>
        <v>5932.93</v>
      </c>
      <c r="D278" s="88"/>
      <c r="E278" s="4"/>
      <c r="F278" s="4">
        <v>-1800.53</v>
      </c>
      <c r="G278" s="6"/>
      <c r="H278" s="468" t="s">
        <v>179</v>
      </c>
      <c r="I278" s="468"/>
      <c r="J278" s="3"/>
      <c r="K278" s="468"/>
      <c r="L278" s="468"/>
      <c r="M278" s="468" t="str">
        <f>IF(L278="","",
IF(AX278="PT",VLOOKUP(L278,Foundation_Calc!$V$4:$X$37,VLOOKUP(AX278,Foundation_Calc!$I$10:$J$13,2,FALSE),0),
IF(AX278="K",VLOOKUP(L278,Foundation_Calc!$V$41:$X$74,VLOOKUP(AX278,Foundation_Calc!$I$10:$J$13,2,FALSE),0),"")))</f>
        <v/>
      </c>
      <c r="N278" s="468" t="s">
        <v>192</v>
      </c>
      <c r="O278" s="468" t="s">
        <v>28</v>
      </c>
      <c r="P278" s="468"/>
      <c r="Q278" s="4"/>
      <c r="R278" s="6"/>
      <c r="S278" s="6"/>
      <c r="T278" s="4">
        <v>30</v>
      </c>
      <c r="U278" s="4">
        <v>10</v>
      </c>
      <c r="V278" s="4"/>
      <c r="W278" s="9">
        <v>0.9</v>
      </c>
      <c r="X278" s="9">
        <v>1</v>
      </c>
      <c r="Y278" s="9"/>
      <c r="Z278" s="9"/>
      <c r="AA278" s="9">
        <v>0.45</v>
      </c>
      <c r="AB278" s="9"/>
      <c r="AC278" s="468" t="s">
        <v>1078</v>
      </c>
      <c r="AD278" s="468"/>
      <c r="AE278" s="468"/>
      <c r="AF278" s="4"/>
      <c r="AG278" s="88"/>
      <c r="AH278" s="4"/>
      <c r="AI278" s="4"/>
      <c r="AJ278" s="468"/>
      <c r="AK278" s="468" t="s">
        <v>42</v>
      </c>
      <c r="AL278" s="468"/>
      <c r="AM278" s="468" t="s">
        <v>2458</v>
      </c>
      <c r="AN278" s="10">
        <v>5.15</v>
      </c>
      <c r="AO278" s="9"/>
      <c r="AP278" s="9"/>
      <c r="AQ278" s="9"/>
      <c r="AR278" s="9"/>
      <c r="AS278" s="9"/>
      <c r="AT278" s="9"/>
      <c r="AU278" s="447"/>
      <c r="AV278" s="447"/>
      <c r="AW278" s="468" t="s">
        <v>199</v>
      </c>
      <c r="AX278" s="468" t="s">
        <v>199</v>
      </c>
      <c r="AY278" s="10"/>
      <c r="AZ278" s="10"/>
      <c r="BA278" s="553" t="str">
        <f t="shared" si="30"/>
        <v/>
      </c>
      <c r="BB278" s="553" t="str">
        <f t="shared" si="31"/>
        <v/>
      </c>
      <c r="BC278" s="553" t="str">
        <f t="shared" si="29"/>
        <v/>
      </c>
      <c r="BD278" s="572"/>
      <c r="BE278" s="448" t="s">
        <v>1726</v>
      </c>
      <c r="BF278" s="305"/>
      <c r="BG278" s="305"/>
      <c r="BH278" s="306"/>
      <c r="BI278" s="305"/>
    </row>
    <row r="279" spans="1:61" ht="16.2" customHeight="1">
      <c r="A279" s="582" t="s">
        <v>383</v>
      </c>
      <c r="B279" s="469"/>
      <c r="C279" s="3"/>
      <c r="D279" s="88"/>
      <c r="E279" s="4"/>
      <c r="F279" s="4"/>
      <c r="G279" s="6">
        <v>29.9</v>
      </c>
      <c r="H279" s="468"/>
      <c r="I279" s="4">
        <f>SUM(G249:G279)</f>
        <v>492.9</v>
      </c>
      <c r="J279" s="3"/>
      <c r="K279" s="468"/>
      <c r="L279" s="468"/>
      <c r="M279" s="468" t="str">
        <f>IF(L279="","",
IF(AX279="PT",VLOOKUP(L279,Foundation_Calc!$V$4:$X$37,VLOOKUP(AX279,Foundation_Calc!$I$10:$J$13,2,FALSE),0),
IF(AX279="K",VLOOKUP(L279,Foundation_Calc!$V$41:$X$74,VLOOKUP(AX279,Foundation_Calc!$I$10:$J$13,2,FALSE),0),"")))</f>
        <v/>
      </c>
      <c r="N279" s="468"/>
      <c r="O279" s="468"/>
      <c r="P279" s="468"/>
      <c r="Q279" s="4"/>
      <c r="R279" s="6"/>
      <c r="S279" s="6"/>
      <c r="T279" s="4"/>
      <c r="U279" s="4"/>
      <c r="V279" s="4"/>
      <c r="W279" s="9"/>
      <c r="X279" s="9"/>
      <c r="Y279" s="9"/>
      <c r="Z279" s="9"/>
      <c r="AA279" s="9"/>
      <c r="AB279" s="9"/>
      <c r="AC279" s="468" t="str">
        <f t="shared" si="32"/>
        <v/>
      </c>
      <c r="AD279" s="468"/>
      <c r="AE279" s="468"/>
      <c r="AF279" s="4"/>
      <c r="AG279" s="88"/>
      <c r="AH279" s="4"/>
      <c r="AI279" s="4"/>
      <c r="AJ279" s="468"/>
      <c r="AK279" s="468"/>
      <c r="AL279" s="468"/>
      <c r="AM279" s="468"/>
      <c r="AN279" s="10"/>
      <c r="AO279" s="9"/>
      <c r="AP279" s="9"/>
      <c r="AQ279" s="9"/>
      <c r="AR279" s="9"/>
      <c r="AS279" s="9"/>
      <c r="AT279" s="9"/>
      <c r="AU279" s="447"/>
      <c r="AV279" s="447"/>
      <c r="AW279" s="468"/>
      <c r="AX279" s="468"/>
      <c r="AY279" s="10"/>
      <c r="AZ279" s="10"/>
      <c r="BA279" s="553" t="str">
        <f t="shared" si="30"/>
        <v/>
      </c>
      <c r="BB279" s="553" t="str">
        <f t="shared" si="31"/>
        <v/>
      </c>
      <c r="BC279" s="553" t="str">
        <f t="shared" si="29"/>
        <v/>
      </c>
      <c r="BD279" s="572"/>
      <c r="BE279" s="448" t="s">
        <v>1726</v>
      </c>
      <c r="BF279" s="306"/>
      <c r="BG279" s="306"/>
      <c r="BH279" s="306"/>
      <c r="BI279" s="306"/>
    </row>
    <row r="280" spans="1:61" ht="16.2" customHeight="1">
      <c r="A280" s="582" t="s">
        <v>383</v>
      </c>
      <c r="B280" s="469" t="s">
        <v>1994</v>
      </c>
      <c r="C280" s="3">
        <f>+$C$278+$G$279</f>
        <v>5962.83</v>
      </c>
      <c r="D280" s="88"/>
      <c r="E280" s="4"/>
      <c r="F280" s="4">
        <v>-1800.53</v>
      </c>
      <c r="G280" s="6"/>
      <c r="H280" s="468" t="s">
        <v>26</v>
      </c>
      <c r="I280" s="468" t="s">
        <v>339</v>
      </c>
      <c r="J280" s="3">
        <f>C280-10</f>
        <v>5952.83</v>
      </c>
      <c r="K280" s="468" t="s">
        <v>447</v>
      </c>
      <c r="L280" s="468"/>
      <c r="M280" s="468" t="str">
        <f>IF(L280="","",
IF(AX280="PT",VLOOKUP(L280,Foundation_Calc!$V$4:$X$37,VLOOKUP(AX280,Foundation_Calc!$I$10:$J$13,2,FALSE),0),
IF(AX280="K",VLOOKUP(L280,Foundation_Calc!$V$41:$X$74,VLOOKUP(AX280,Foundation_Calc!$I$10:$J$13,2,FALSE),0),"")))</f>
        <v/>
      </c>
      <c r="N280" s="468" t="s">
        <v>191</v>
      </c>
      <c r="O280" s="468"/>
      <c r="P280" s="468"/>
      <c r="Q280" s="4"/>
      <c r="R280" s="6"/>
      <c r="S280" s="6"/>
      <c r="T280" s="4">
        <v>-25</v>
      </c>
      <c r="U280" s="4"/>
      <c r="V280" s="4"/>
      <c r="W280" s="9">
        <v>1</v>
      </c>
      <c r="X280" s="9"/>
      <c r="Y280" s="9"/>
      <c r="Z280" s="9"/>
      <c r="AA280" s="9"/>
      <c r="AB280" s="9"/>
      <c r="AC280" s="468" t="s">
        <v>1078</v>
      </c>
      <c r="AD280" s="468"/>
      <c r="AE280" s="468"/>
      <c r="AF280" s="4"/>
      <c r="AG280" s="88"/>
      <c r="AH280" s="4"/>
      <c r="AI280" s="4"/>
      <c r="AJ280" s="468"/>
      <c r="AK280" s="468" t="s">
        <v>41</v>
      </c>
      <c r="AL280" s="468"/>
      <c r="AM280" s="468" t="s">
        <v>2458</v>
      </c>
      <c r="AN280" s="10">
        <v>5.15</v>
      </c>
      <c r="AO280" s="9"/>
      <c r="AP280" s="9"/>
      <c r="AQ280" s="9"/>
      <c r="AR280" s="9"/>
      <c r="AS280" s="9"/>
      <c r="AT280" s="9"/>
      <c r="AU280" s="447"/>
      <c r="AV280" s="447"/>
      <c r="AW280" s="468" t="s">
        <v>199</v>
      </c>
      <c r="AX280" s="468" t="s">
        <v>199</v>
      </c>
      <c r="AY280" s="10"/>
      <c r="AZ280" s="10"/>
      <c r="BA280" s="553" t="str">
        <f t="shared" si="30"/>
        <v/>
      </c>
      <c r="BB280" s="553" t="str">
        <f t="shared" si="31"/>
        <v/>
      </c>
      <c r="BC280" s="553" t="str">
        <f t="shared" si="29"/>
        <v/>
      </c>
      <c r="BD280" s="572"/>
      <c r="BE280" s="448" t="s">
        <v>1726</v>
      </c>
      <c r="BF280" s="305"/>
      <c r="BG280" s="305"/>
      <c r="BH280" s="306"/>
      <c r="BI280" s="305"/>
    </row>
    <row r="281" spans="1:61" ht="16.2" customHeight="1">
      <c r="A281" s="582" t="s">
        <v>383</v>
      </c>
      <c r="B281" s="469"/>
      <c r="C281" s="3"/>
      <c r="D281" s="88"/>
      <c r="E281" s="4"/>
      <c r="F281" s="4"/>
      <c r="G281" s="6">
        <v>30</v>
      </c>
      <c r="H281" s="468"/>
      <c r="I281" s="468"/>
      <c r="J281" s="3"/>
      <c r="K281" s="468"/>
      <c r="L281" s="468"/>
      <c r="M281" s="468" t="str">
        <f>IF(L281="","",
IF(AX281="PT",VLOOKUP(L281,Foundation_Calc!$V$4:$X$37,VLOOKUP(AX281,Foundation_Calc!$I$10:$J$13,2,FALSE),0),
IF(AX281="K",VLOOKUP(L281,Foundation_Calc!$V$41:$X$74,VLOOKUP(AX281,Foundation_Calc!$I$10:$J$13,2,FALSE),0),"")))</f>
        <v/>
      </c>
      <c r="N281" s="468"/>
      <c r="O281" s="468"/>
      <c r="P281" s="468"/>
      <c r="Q281" s="4"/>
      <c r="R281" s="6"/>
      <c r="S281" s="6"/>
      <c r="T281" s="4"/>
      <c r="U281" s="4"/>
      <c r="V281" s="4"/>
      <c r="W281" s="9"/>
      <c r="X281" s="9"/>
      <c r="Y281" s="9"/>
      <c r="Z281" s="9"/>
      <c r="AA281" s="9"/>
      <c r="AB281" s="9"/>
      <c r="AC281" s="468" t="str">
        <f t="shared" si="32"/>
        <v/>
      </c>
      <c r="AD281" s="468"/>
      <c r="AE281" s="468"/>
      <c r="AF281" s="4"/>
      <c r="AG281" s="88"/>
      <c r="AH281" s="4"/>
      <c r="AI281" s="4"/>
      <c r="AJ281" s="468"/>
      <c r="AK281" s="468"/>
      <c r="AL281" s="468"/>
      <c r="AM281" s="468"/>
      <c r="AN281" s="10"/>
      <c r="AO281" s="9"/>
      <c r="AP281" s="9"/>
      <c r="AQ281" s="9"/>
      <c r="AR281" s="9"/>
      <c r="AS281" s="9"/>
      <c r="AT281" s="9"/>
      <c r="AU281" s="447"/>
      <c r="AV281" s="447"/>
      <c r="AW281" s="468"/>
      <c r="AX281" s="468"/>
      <c r="AY281" s="10"/>
      <c r="AZ281" s="10"/>
      <c r="BA281" s="553" t="str">
        <f t="shared" si="30"/>
        <v/>
      </c>
      <c r="BB281" s="553" t="str">
        <f t="shared" si="31"/>
        <v/>
      </c>
      <c r="BC281" s="553" t="str">
        <f t="shared" si="29"/>
        <v/>
      </c>
      <c r="BD281" s="572"/>
      <c r="BE281" s="448" t="s">
        <v>1726</v>
      </c>
      <c r="BF281" s="306"/>
      <c r="BG281" s="306"/>
      <c r="BH281" s="306"/>
      <c r="BI281" s="306"/>
    </row>
    <row r="282" spans="1:61" ht="16.2" customHeight="1">
      <c r="A282" s="582" t="s">
        <v>383</v>
      </c>
      <c r="B282" s="469" t="s">
        <v>1995</v>
      </c>
      <c r="C282" s="3">
        <f>+$C$280+$G$281</f>
        <v>5992.83</v>
      </c>
      <c r="D282" s="88"/>
      <c r="E282" s="4"/>
      <c r="F282" s="4">
        <v>0</v>
      </c>
      <c r="G282" s="6"/>
      <c r="H282" s="468"/>
      <c r="I282" s="468"/>
      <c r="J282" s="3"/>
      <c r="K282" s="468"/>
      <c r="L282" s="468"/>
      <c r="M282" s="468" t="str">
        <f>IF(L282="","",
IF(AX282="PT",VLOOKUP(L282,Foundation_Calc!$V$4:$X$37,VLOOKUP(AX282,Foundation_Calc!$I$10:$J$13,2,FALSE),0),
IF(AX282="K",VLOOKUP(L282,Foundation_Calc!$V$41:$X$74,VLOOKUP(AX282,Foundation_Calc!$I$10:$J$13,2,FALSE),0),"")))</f>
        <v/>
      </c>
      <c r="N282" s="468" t="s">
        <v>192</v>
      </c>
      <c r="O282" s="468"/>
      <c r="P282" s="468"/>
      <c r="Q282" s="4"/>
      <c r="R282" s="6"/>
      <c r="S282" s="6"/>
      <c r="T282" s="4">
        <v>25</v>
      </c>
      <c r="U282" s="4"/>
      <c r="V282" s="4"/>
      <c r="W282" s="9">
        <v>1</v>
      </c>
      <c r="X282" s="9"/>
      <c r="Y282" s="9"/>
      <c r="Z282" s="9"/>
      <c r="AA282" s="9"/>
      <c r="AB282" s="9"/>
      <c r="AC282" s="468" t="s">
        <v>630</v>
      </c>
      <c r="AD282" s="468"/>
      <c r="AE282" s="468"/>
      <c r="AF282" s="4"/>
      <c r="AG282" s="88"/>
      <c r="AH282" s="4"/>
      <c r="AI282" s="4"/>
      <c r="AJ282" s="468"/>
      <c r="AK282" s="468" t="s">
        <v>41</v>
      </c>
      <c r="AL282" s="468"/>
      <c r="AM282" s="468" t="s">
        <v>2458</v>
      </c>
      <c r="AN282" s="10">
        <v>5.15</v>
      </c>
      <c r="AO282" s="9"/>
      <c r="AP282" s="9"/>
      <c r="AQ282" s="9"/>
      <c r="AR282" s="9"/>
      <c r="AS282" s="9"/>
      <c r="AT282" s="9"/>
      <c r="AU282" s="447"/>
      <c r="AV282" s="447"/>
      <c r="AW282" s="468" t="s">
        <v>199</v>
      </c>
      <c r="AX282" s="468" t="s">
        <v>199</v>
      </c>
      <c r="AY282" s="10"/>
      <c r="AZ282" s="10"/>
      <c r="BA282" s="553" t="str">
        <f t="shared" si="30"/>
        <v/>
      </c>
      <c r="BB282" s="553" t="str">
        <f t="shared" si="31"/>
        <v/>
      </c>
      <c r="BC282" s="553" t="str">
        <f t="shared" si="29"/>
        <v/>
      </c>
      <c r="BD282" s="572"/>
      <c r="BE282" s="448" t="s">
        <v>1726</v>
      </c>
      <c r="BF282" s="305"/>
      <c r="BG282" s="305"/>
      <c r="BH282" s="306"/>
      <c r="BI282" s="305"/>
    </row>
    <row r="283" spans="1:61" ht="16.2" customHeight="1">
      <c r="A283" s="582" t="s">
        <v>383</v>
      </c>
      <c r="B283" s="469"/>
      <c r="C283" s="3"/>
      <c r="D283" s="88"/>
      <c r="E283" s="4"/>
      <c r="F283" s="4"/>
      <c r="G283" s="6">
        <v>30</v>
      </c>
      <c r="H283" s="468"/>
      <c r="I283" s="468"/>
      <c r="J283" s="3"/>
      <c r="K283" s="468"/>
      <c r="L283" s="468"/>
      <c r="M283" s="468" t="str">
        <f>IF(L283="","",
IF(AX283="PT",VLOOKUP(L283,Foundation_Calc!$V$4:$X$37,VLOOKUP(AX283,Foundation_Calc!$I$10:$J$13,2,FALSE),0),
IF(AX283="K",VLOOKUP(L283,Foundation_Calc!$V$41:$X$74,VLOOKUP(AX283,Foundation_Calc!$I$10:$J$13,2,FALSE),0),"")))</f>
        <v/>
      </c>
      <c r="N283" s="468"/>
      <c r="O283" s="468"/>
      <c r="P283" s="468"/>
      <c r="Q283" s="4"/>
      <c r="R283" s="6"/>
      <c r="S283" s="6"/>
      <c r="T283" s="4"/>
      <c r="U283" s="4"/>
      <c r="V283" s="4"/>
      <c r="W283" s="9"/>
      <c r="X283" s="9"/>
      <c r="Y283" s="9"/>
      <c r="Z283" s="9"/>
      <c r="AA283" s="9"/>
      <c r="AB283" s="9"/>
      <c r="AC283" s="468" t="str">
        <f t="shared" si="32"/>
        <v/>
      </c>
      <c r="AD283" s="468"/>
      <c r="AE283" s="468"/>
      <c r="AF283" s="4"/>
      <c r="AG283" s="88"/>
      <c r="AH283" s="4"/>
      <c r="AI283" s="4"/>
      <c r="AJ283" s="468"/>
      <c r="AK283" s="468"/>
      <c r="AL283" s="468"/>
      <c r="AM283" s="468"/>
      <c r="AN283" s="10"/>
      <c r="AO283" s="9"/>
      <c r="AP283" s="9"/>
      <c r="AQ283" s="9"/>
      <c r="AR283" s="9"/>
      <c r="AS283" s="9"/>
      <c r="AT283" s="9"/>
      <c r="AU283" s="447"/>
      <c r="AV283" s="447"/>
      <c r="AW283" s="468"/>
      <c r="AX283" s="468"/>
      <c r="AY283" s="10"/>
      <c r="AZ283" s="10"/>
      <c r="BA283" s="553" t="str">
        <f t="shared" si="30"/>
        <v/>
      </c>
      <c r="BB283" s="553" t="str">
        <f t="shared" si="31"/>
        <v/>
      </c>
      <c r="BC283" s="553" t="str">
        <f t="shared" si="29"/>
        <v/>
      </c>
      <c r="BD283" s="572"/>
      <c r="BE283" s="448" t="s">
        <v>1726</v>
      </c>
      <c r="BF283" s="306"/>
      <c r="BG283" s="306"/>
      <c r="BH283" s="306"/>
      <c r="BI283" s="306"/>
    </row>
    <row r="284" spans="1:61" ht="16.2" customHeight="1">
      <c r="A284" s="582" t="s">
        <v>383</v>
      </c>
      <c r="B284" s="469" t="s">
        <v>1996</v>
      </c>
      <c r="C284" s="3">
        <f>+$C$282+$G$283</f>
        <v>6022.83</v>
      </c>
      <c r="D284" s="88"/>
      <c r="E284" s="4"/>
      <c r="F284" s="4">
        <v>0</v>
      </c>
      <c r="G284" s="6"/>
      <c r="H284" s="468"/>
      <c r="I284" s="468"/>
      <c r="J284" s="3"/>
      <c r="K284" s="468"/>
      <c r="L284" s="468"/>
      <c r="M284" s="468" t="str">
        <f>IF(L284="","",
IF(AX284="PT",VLOOKUP(L284,Foundation_Calc!$V$4:$X$37,VLOOKUP(AX284,Foundation_Calc!$I$10:$J$13,2,FALSE),0),
IF(AX284="K",VLOOKUP(L284,Foundation_Calc!$V$41:$X$74,VLOOKUP(AX284,Foundation_Calc!$I$10:$J$13,2,FALSE),0),"")))</f>
        <v/>
      </c>
      <c r="N284" s="468" t="s">
        <v>191</v>
      </c>
      <c r="O284" s="468"/>
      <c r="P284" s="468"/>
      <c r="Q284" s="4"/>
      <c r="R284" s="6"/>
      <c r="S284" s="6"/>
      <c r="T284" s="4">
        <v>-25</v>
      </c>
      <c r="U284" s="4"/>
      <c r="V284" s="4"/>
      <c r="W284" s="9">
        <v>1</v>
      </c>
      <c r="X284" s="9"/>
      <c r="Y284" s="9"/>
      <c r="Z284" s="9"/>
      <c r="AA284" s="9"/>
      <c r="AB284" s="9"/>
      <c r="AC284" s="468" t="s">
        <v>630</v>
      </c>
      <c r="AD284" s="468"/>
      <c r="AE284" s="468"/>
      <c r="AF284" s="4"/>
      <c r="AG284" s="88"/>
      <c r="AH284" s="4"/>
      <c r="AI284" s="4"/>
      <c r="AJ284" s="468"/>
      <c r="AK284" s="468" t="s">
        <v>41</v>
      </c>
      <c r="AL284" s="468"/>
      <c r="AM284" s="468" t="s">
        <v>2458</v>
      </c>
      <c r="AN284" s="10">
        <v>5.15</v>
      </c>
      <c r="AO284" s="9"/>
      <c r="AP284" s="9"/>
      <c r="AQ284" s="9"/>
      <c r="AR284" s="9"/>
      <c r="AS284" s="9"/>
      <c r="AT284" s="9"/>
      <c r="AU284" s="447"/>
      <c r="AV284" s="447"/>
      <c r="AW284" s="468" t="s">
        <v>199</v>
      </c>
      <c r="AX284" s="468" t="s">
        <v>199</v>
      </c>
      <c r="AY284" s="10"/>
      <c r="AZ284" s="10"/>
      <c r="BA284" s="553" t="str">
        <f t="shared" si="30"/>
        <v/>
      </c>
      <c r="BB284" s="553" t="str">
        <f t="shared" si="31"/>
        <v/>
      </c>
      <c r="BC284" s="553" t="str">
        <f t="shared" si="29"/>
        <v/>
      </c>
      <c r="BD284" s="572"/>
      <c r="BE284" s="448" t="s">
        <v>1726</v>
      </c>
      <c r="BF284" s="305"/>
      <c r="BG284" s="305"/>
      <c r="BH284" s="306"/>
      <c r="BI284" s="305"/>
    </row>
    <row r="285" spans="1:61" ht="16.2" customHeight="1">
      <c r="A285" s="582" t="s">
        <v>383</v>
      </c>
      <c r="B285" s="469"/>
      <c r="C285" s="3"/>
      <c r="D285" s="88"/>
      <c r="E285" s="4"/>
      <c r="F285" s="4"/>
      <c r="G285" s="6">
        <v>30</v>
      </c>
      <c r="H285" s="468"/>
      <c r="I285" s="468"/>
      <c r="J285" s="3"/>
      <c r="K285" s="468"/>
      <c r="L285" s="468"/>
      <c r="M285" s="468" t="str">
        <f>IF(L285="","",
IF(AX285="PT",VLOOKUP(L285,Foundation_Calc!$V$4:$X$37,VLOOKUP(AX285,Foundation_Calc!$I$10:$J$13,2,FALSE),0),
IF(AX285="K",VLOOKUP(L285,Foundation_Calc!$V$41:$X$74,VLOOKUP(AX285,Foundation_Calc!$I$10:$J$13,2,FALSE),0),"")))</f>
        <v/>
      </c>
      <c r="N285" s="468"/>
      <c r="O285" s="468"/>
      <c r="P285" s="468"/>
      <c r="Q285" s="4"/>
      <c r="R285" s="6"/>
      <c r="S285" s="6"/>
      <c r="T285" s="4"/>
      <c r="U285" s="4"/>
      <c r="V285" s="4"/>
      <c r="W285" s="9"/>
      <c r="X285" s="9"/>
      <c r="Y285" s="9"/>
      <c r="Z285" s="9"/>
      <c r="AA285" s="9"/>
      <c r="AB285" s="9"/>
      <c r="AC285" s="468" t="str">
        <f t="shared" si="32"/>
        <v/>
      </c>
      <c r="AD285" s="468"/>
      <c r="AE285" s="468"/>
      <c r="AF285" s="4"/>
      <c r="AG285" s="88"/>
      <c r="AH285" s="4"/>
      <c r="AI285" s="4"/>
      <c r="AJ285" s="468"/>
      <c r="AK285" s="468"/>
      <c r="AL285" s="468"/>
      <c r="AM285" s="468"/>
      <c r="AN285" s="10"/>
      <c r="AO285" s="9"/>
      <c r="AP285" s="9"/>
      <c r="AQ285" s="9"/>
      <c r="AR285" s="9"/>
      <c r="AS285" s="9"/>
      <c r="AT285" s="9"/>
      <c r="AU285" s="447"/>
      <c r="AV285" s="447"/>
      <c r="AW285" s="468"/>
      <c r="AX285" s="468"/>
      <c r="AY285" s="10"/>
      <c r="AZ285" s="10"/>
      <c r="BA285" s="553" t="str">
        <f t="shared" si="30"/>
        <v/>
      </c>
      <c r="BB285" s="553" t="str">
        <f t="shared" si="31"/>
        <v/>
      </c>
      <c r="BC285" s="553" t="str">
        <f t="shared" si="29"/>
        <v/>
      </c>
      <c r="BD285" s="572"/>
      <c r="BE285" s="448" t="s">
        <v>1726</v>
      </c>
      <c r="BF285" s="306"/>
      <c r="BG285" s="306"/>
      <c r="BH285" s="306"/>
      <c r="BI285" s="306"/>
    </row>
    <row r="286" spans="1:61" ht="16.2" customHeight="1">
      <c r="A286" s="582" t="s">
        <v>383</v>
      </c>
      <c r="B286" s="469" t="s">
        <v>1997</v>
      </c>
      <c r="C286" s="3">
        <f>+$C$284+$G$285</f>
        <v>6052.83</v>
      </c>
      <c r="D286" s="88"/>
      <c r="E286" s="4"/>
      <c r="F286" s="4">
        <v>0</v>
      </c>
      <c r="G286" s="6"/>
      <c r="H286" s="468"/>
      <c r="I286" s="468"/>
      <c r="J286" s="3"/>
      <c r="K286" s="468"/>
      <c r="L286" s="468"/>
      <c r="M286" s="468" t="str">
        <f>IF(L286="","",
IF(AX286="PT",VLOOKUP(L286,Foundation_Calc!$V$4:$X$37,VLOOKUP(AX286,Foundation_Calc!$I$10:$J$13,2,FALSE),0),
IF(AX286="K",VLOOKUP(L286,Foundation_Calc!$V$41:$X$74,VLOOKUP(AX286,Foundation_Calc!$I$10:$J$13,2,FALSE),0),"")))</f>
        <v/>
      </c>
      <c r="N286" s="468" t="s">
        <v>192</v>
      </c>
      <c r="O286" s="468"/>
      <c r="P286" s="468"/>
      <c r="Q286" s="4"/>
      <c r="R286" s="6"/>
      <c r="S286" s="6"/>
      <c r="T286" s="4">
        <v>25</v>
      </c>
      <c r="U286" s="4"/>
      <c r="V286" s="4"/>
      <c r="W286" s="9">
        <v>1</v>
      </c>
      <c r="X286" s="9"/>
      <c r="Y286" s="9"/>
      <c r="Z286" s="9"/>
      <c r="AA286" s="9"/>
      <c r="AB286" s="9"/>
      <c r="AC286" s="468" t="s">
        <v>630</v>
      </c>
      <c r="AD286" s="468"/>
      <c r="AE286" s="468"/>
      <c r="AF286" s="4"/>
      <c r="AG286" s="88"/>
      <c r="AH286" s="4"/>
      <c r="AI286" s="4"/>
      <c r="AJ286" s="468"/>
      <c r="AK286" s="468" t="s">
        <v>41</v>
      </c>
      <c r="AL286" s="468"/>
      <c r="AM286" s="468" t="s">
        <v>2458</v>
      </c>
      <c r="AN286" s="10">
        <v>5.15</v>
      </c>
      <c r="AO286" s="9"/>
      <c r="AP286" s="9"/>
      <c r="AQ286" s="9"/>
      <c r="AR286" s="9"/>
      <c r="AS286" s="9"/>
      <c r="AT286" s="9"/>
      <c r="AU286" s="447"/>
      <c r="AV286" s="447"/>
      <c r="AW286" s="468" t="s">
        <v>199</v>
      </c>
      <c r="AX286" s="468" t="s">
        <v>199</v>
      </c>
      <c r="AY286" s="10"/>
      <c r="AZ286" s="10"/>
      <c r="BA286" s="553" t="str">
        <f t="shared" si="30"/>
        <v/>
      </c>
      <c r="BB286" s="553" t="str">
        <f t="shared" si="31"/>
        <v/>
      </c>
      <c r="BC286" s="553" t="str">
        <f t="shared" si="29"/>
        <v/>
      </c>
      <c r="BD286" s="572"/>
      <c r="BE286" s="448" t="s">
        <v>1726</v>
      </c>
      <c r="BF286" s="305"/>
      <c r="BG286" s="305"/>
      <c r="BH286" s="306"/>
      <c r="BI286" s="305"/>
    </row>
    <row r="287" spans="1:61" ht="16.2" customHeight="1">
      <c r="A287" s="582" t="s">
        <v>383</v>
      </c>
      <c r="B287" s="469"/>
      <c r="C287" s="3"/>
      <c r="D287" s="88"/>
      <c r="E287" s="4"/>
      <c r="F287" s="4"/>
      <c r="G287" s="6">
        <v>30</v>
      </c>
      <c r="H287" s="468"/>
      <c r="I287" s="468"/>
      <c r="J287" s="3"/>
      <c r="K287" s="468"/>
      <c r="L287" s="468"/>
      <c r="M287" s="468" t="str">
        <f>IF(L287="","",
IF(AX287="PT",VLOOKUP(L287,Foundation_Calc!$V$4:$X$37,VLOOKUP(AX287,Foundation_Calc!$I$10:$J$13,2,FALSE),0),
IF(AX287="K",VLOOKUP(L287,Foundation_Calc!$V$41:$X$74,VLOOKUP(AX287,Foundation_Calc!$I$10:$J$13,2,FALSE),0),"")))</f>
        <v/>
      </c>
      <c r="N287" s="468"/>
      <c r="O287" s="468"/>
      <c r="P287" s="468"/>
      <c r="Q287" s="4"/>
      <c r="R287" s="6"/>
      <c r="S287" s="6"/>
      <c r="T287" s="4"/>
      <c r="U287" s="4"/>
      <c r="V287" s="4"/>
      <c r="W287" s="9"/>
      <c r="X287" s="9"/>
      <c r="Y287" s="9"/>
      <c r="Z287" s="9"/>
      <c r="AA287" s="9"/>
      <c r="AB287" s="9"/>
      <c r="AC287" s="468" t="str">
        <f t="shared" si="32"/>
        <v/>
      </c>
      <c r="AD287" s="468"/>
      <c r="AE287" s="468"/>
      <c r="AF287" s="4"/>
      <c r="AG287" s="88"/>
      <c r="AH287" s="4"/>
      <c r="AI287" s="4"/>
      <c r="AJ287" s="468"/>
      <c r="AK287" s="468"/>
      <c r="AL287" s="468"/>
      <c r="AM287" s="468"/>
      <c r="AN287" s="10"/>
      <c r="AO287" s="9"/>
      <c r="AP287" s="9"/>
      <c r="AQ287" s="9"/>
      <c r="AR287" s="9"/>
      <c r="AS287" s="9"/>
      <c r="AT287" s="9"/>
      <c r="AU287" s="447"/>
      <c r="AV287" s="447"/>
      <c r="AW287" s="468"/>
      <c r="AX287" s="468"/>
      <c r="AY287" s="10"/>
      <c r="AZ287" s="10"/>
      <c r="BA287" s="553" t="str">
        <f t="shared" si="30"/>
        <v/>
      </c>
      <c r="BB287" s="553" t="str">
        <f t="shared" si="31"/>
        <v/>
      </c>
      <c r="BC287" s="553" t="str">
        <f t="shared" si="29"/>
        <v/>
      </c>
      <c r="BD287" s="572"/>
      <c r="BE287" s="448" t="s">
        <v>1726</v>
      </c>
      <c r="BF287" s="306"/>
      <c r="BG287" s="306"/>
      <c r="BH287" s="306"/>
      <c r="BI287" s="306"/>
    </row>
    <row r="288" spans="1:61" ht="16.2" customHeight="1">
      <c r="A288" s="582" t="s">
        <v>383</v>
      </c>
      <c r="B288" s="469" t="s">
        <v>1998</v>
      </c>
      <c r="C288" s="3">
        <f>+$C$286+$G$287</f>
        <v>6082.83</v>
      </c>
      <c r="D288" s="88"/>
      <c r="E288" s="4"/>
      <c r="F288" s="4">
        <v>0</v>
      </c>
      <c r="G288" s="6"/>
      <c r="H288" s="468"/>
      <c r="I288" s="468"/>
      <c r="J288" s="501"/>
      <c r="K288" s="468"/>
      <c r="L288" s="468"/>
      <c r="M288" s="468" t="str">
        <f>IF(L288="","",
IF(AX288="PT",VLOOKUP(L288,Foundation_Calc!$V$4:$X$37,VLOOKUP(AX288,Foundation_Calc!$I$10:$J$13,2,FALSE),0),
IF(AX288="K",VLOOKUP(L288,Foundation_Calc!$V$41:$X$74,VLOOKUP(AX288,Foundation_Calc!$I$10:$J$13,2,FALSE),0),"")))</f>
        <v/>
      </c>
      <c r="N288" s="468" t="s">
        <v>191</v>
      </c>
      <c r="O288" s="468"/>
      <c r="P288" s="468"/>
      <c r="Q288" s="4"/>
      <c r="R288" s="6"/>
      <c r="S288" s="6"/>
      <c r="T288" s="4">
        <v>-25</v>
      </c>
      <c r="U288" s="4"/>
      <c r="V288" s="4"/>
      <c r="W288" s="9">
        <v>1</v>
      </c>
      <c r="X288" s="9"/>
      <c r="Y288" s="9"/>
      <c r="Z288" s="9"/>
      <c r="AA288" s="9"/>
      <c r="AB288" s="9"/>
      <c r="AC288" s="468" t="s">
        <v>630</v>
      </c>
      <c r="AD288" s="468"/>
      <c r="AE288" s="468"/>
      <c r="AF288" s="4"/>
      <c r="AG288" s="88"/>
      <c r="AH288" s="4"/>
      <c r="AI288" s="4"/>
      <c r="AJ288" s="468"/>
      <c r="AK288" s="468" t="s">
        <v>41</v>
      </c>
      <c r="AL288" s="468"/>
      <c r="AM288" s="468" t="s">
        <v>2458</v>
      </c>
      <c r="AN288" s="10">
        <v>5.15</v>
      </c>
      <c r="AO288" s="9"/>
      <c r="AP288" s="9"/>
      <c r="AQ288" s="9"/>
      <c r="AR288" s="9"/>
      <c r="AS288" s="9"/>
      <c r="AT288" s="9"/>
      <c r="AU288" s="447"/>
      <c r="AV288" s="447"/>
      <c r="AW288" s="468" t="s">
        <v>199</v>
      </c>
      <c r="AX288" s="468" t="s">
        <v>199</v>
      </c>
      <c r="AY288" s="10"/>
      <c r="AZ288" s="10"/>
      <c r="BA288" s="553" t="str">
        <f t="shared" si="30"/>
        <v/>
      </c>
      <c r="BB288" s="553" t="str">
        <f t="shared" si="31"/>
        <v/>
      </c>
      <c r="BC288" s="553" t="str">
        <f t="shared" si="29"/>
        <v/>
      </c>
      <c r="BD288" s="572"/>
      <c r="BE288" s="448" t="s">
        <v>1726</v>
      </c>
      <c r="BF288" s="305"/>
      <c r="BG288" s="305"/>
      <c r="BH288" s="306"/>
      <c r="BI288" s="305"/>
    </row>
    <row r="289" spans="1:61" ht="16.2" customHeight="1">
      <c r="A289" s="582" t="s">
        <v>383</v>
      </c>
      <c r="B289" s="469"/>
      <c r="C289" s="3"/>
      <c r="D289" s="88"/>
      <c r="E289" s="4"/>
      <c r="F289" s="4"/>
      <c r="G289" s="6">
        <v>30</v>
      </c>
      <c r="H289" s="468"/>
      <c r="I289" s="4"/>
      <c r="J289" s="3"/>
      <c r="K289" s="468"/>
      <c r="L289" s="468"/>
      <c r="M289" s="468" t="str">
        <f>IF(L289="","",
IF(AX289="PT",VLOOKUP(L289,Foundation_Calc!$V$4:$X$37,VLOOKUP(AX289,Foundation_Calc!$I$10:$J$13,2,FALSE),0),
IF(AX289="K",VLOOKUP(L289,Foundation_Calc!$V$41:$X$74,VLOOKUP(AX289,Foundation_Calc!$I$10:$J$13,2,FALSE),0),"")))</f>
        <v/>
      </c>
      <c r="N289" s="468"/>
      <c r="O289" s="468"/>
      <c r="P289" s="468"/>
      <c r="Q289" s="4"/>
      <c r="R289" s="6"/>
      <c r="S289" s="6"/>
      <c r="T289" s="4"/>
      <c r="U289" s="4"/>
      <c r="V289" s="4"/>
      <c r="W289" s="9"/>
      <c r="X289" s="9"/>
      <c r="Y289" s="9"/>
      <c r="Z289" s="9"/>
      <c r="AA289" s="9"/>
      <c r="AB289" s="9"/>
      <c r="AC289" s="468" t="str">
        <f t="shared" si="32"/>
        <v/>
      </c>
      <c r="AD289" s="468"/>
      <c r="AE289" s="468"/>
      <c r="AF289" s="4"/>
      <c r="AG289" s="88"/>
      <c r="AH289" s="4"/>
      <c r="AI289" s="4"/>
      <c r="AJ289" s="468"/>
      <c r="AK289" s="468"/>
      <c r="AL289" s="468"/>
      <c r="AM289" s="468"/>
      <c r="AN289" s="10"/>
      <c r="AO289" s="9"/>
      <c r="AP289" s="9"/>
      <c r="AQ289" s="9"/>
      <c r="AR289" s="9"/>
      <c r="AS289" s="9"/>
      <c r="AT289" s="9"/>
      <c r="AU289" s="447"/>
      <c r="AV289" s="447"/>
      <c r="AW289" s="468"/>
      <c r="AX289" s="468"/>
      <c r="AY289" s="10"/>
      <c r="AZ289" s="10"/>
      <c r="BA289" s="553" t="str">
        <f t="shared" si="30"/>
        <v/>
      </c>
      <c r="BB289" s="553" t="str">
        <f t="shared" si="31"/>
        <v/>
      </c>
      <c r="BC289" s="553" t="str">
        <f t="shared" si="29"/>
        <v/>
      </c>
      <c r="BD289" s="572"/>
      <c r="BE289" s="448" t="s">
        <v>1726</v>
      </c>
      <c r="BF289" s="306"/>
      <c r="BG289" s="306"/>
      <c r="BH289" s="306"/>
      <c r="BI289" s="306"/>
    </row>
    <row r="290" spans="1:61" ht="16.2" customHeight="1">
      <c r="A290" s="582" t="s">
        <v>383</v>
      </c>
      <c r="B290" s="469" t="s">
        <v>1999</v>
      </c>
      <c r="C290" s="3">
        <f>+$C$288+$G$289</f>
        <v>6112.83</v>
      </c>
      <c r="D290" s="88"/>
      <c r="E290" s="4"/>
      <c r="F290" s="4">
        <v>0</v>
      </c>
      <c r="G290" s="6"/>
      <c r="H290" s="468"/>
      <c r="I290" s="468"/>
      <c r="J290" s="3"/>
      <c r="K290" s="468"/>
      <c r="L290" s="468"/>
      <c r="M290" s="468" t="str">
        <f>IF(L290="","",
IF(AX290="PT",VLOOKUP(L290,Foundation_Calc!$V$4:$X$37,VLOOKUP(AX290,Foundation_Calc!$I$10:$J$13,2,FALSE),0),
IF(AX290="K",VLOOKUP(L290,Foundation_Calc!$V$41:$X$74,VLOOKUP(AX290,Foundation_Calc!$I$10:$J$13,2,FALSE),0),"")))</f>
        <v/>
      </c>
      <c r="N290" s="468" t="s">
        <v>192</v>
      </c>
      <c r="O290" s="468"/>
      <c r="P290" s="468"/>
      <c r="Q290" s="4"/>
      <c r="R290" s="6"/>
      <c r="S290" s="6"/>
      <c r="T290" s="4">
        <v>25</v>
      </c>
      <c r="U290" s="4"/>
      <c r="V290" s="4"/>
      <c r="W290" s="9">
        <v>1</v>
      </c>
      <c r="X290" s="9"/>
      <c r="Y290" s="9"/>
      <c r="Z290" s="9"/>
      <c r="AA290" s="9"/>
      <c r="AB290" s="9"/>
      <c r="AC290" s="468" t="s">
        <v>630</v>
      </c>
      <c r="AD290" s="468"/>
      <c r="AE290" s="468"/>
      <c r="AF290" s="4"/>
      <c r="AG290" s="88"/>
      <c r="AH290" s="4"/>
      <c r="AI290" s="4"/>
      <c r="AJ290" s="468"/>
      <c r="AK290" s="468" t="s">
        <v>41</v>
      </c>
      <c r="AL290" s="468"/>
      <c r="AM290" s="468" t="s">
        <v>2458</v>
      </c>
      <c r="AN290" s="10">
        <v>5.15</v>
      </c>
      <c r="AO290" s="9"/>
      <c r="AP290" s="9"/>
      <c r="AQ290" s="9"/>
      <c r="AR290" s="9"/>
      <c r="AS290" s="9"/>
      <c r="AT290" s="9"/>
      <c r="AU290" s="447"/>
      <c r="AV290" s="447"/>
      <c r="AW290" s="468" t="s">
        <v>199</v>
      </c>
      <c r="AX290" s="468" t="s">
        <v>199</v>
      </c>
      <c r="AY290" s="10"/>
      <c r="AZ290" s="10"/>
      <c r="BA290" s="553" t="str">
        <f t="shared" si="30"/>
        <v/>
      </c>
      <c r="BB290" s="553" t="str">
        <f t="shared" si="31"/>
        <v/>
      </c>
      <c r="BC290" s="553" t="str">
        <f t="shared" si="29"/>
        <v/>
      </c>
      <c r="BD290" s="572"/>
      <c r="BE290" s="448" t="s">
        <v>1726</v>
      </c>
      <c r="BF290" s="305"/>
      <c r="BG290" s="305"/>
      <c r="BH290" s="306"/>
      <c r="BI290" s="305"/>
    </row>
    <row r="291" spans="1:61" ht="16.2" customHeight="1">
      <c r="A291" s="582" t="s">
        <v>383</v>
      </c>
      <c r="B291" s="469"/>
      <c r="C291" s="3"/>
      <c r="D291" s="88"/>
      <c r="E291" s="4"/>
      <c r="F291" s="4"/>
      <c r="G291" s="6">
        <v>30</v>
      </c>
      <c r="H291" s="468"/>
      <c r="I291" s="4"/>
      <c r="J291" s="3"/>
      <c r="K291" s="468"/>
      <c r="L291" s="468"/>
      <c r="M291" s="468" t="str">
        <f>IF(L291="","",
IF(AX291="PT",VLOOKUP(L291,Foundation_Calc!$V$4:$X$37,VLOOKUP(AX291,Foundation_Calc!$I$10:$J$13,2,FALSE),0),
IF(AX291="K",VLOOKUP(L291,Foundation_Calc!$V$41:$X$74,VLOOKUP(AX291,Foundation_Calc!$I$10:$J$13,2,FALSE),0),"")))</f>
        <v/>
      </c>
      <c r="N291" s="468"/>
      <c r="O291" s="468"/>
      <c r="P291" s="468"/>
      <c r="Q291" s="4"/>
      <c r="R291" s="6"/>
      <c r="S291" s="6"/>
      <c r="T291" s="4"/>
      <c r="U291" s="4"/>
      <c r="V291" s="4"/>
      <c r="W291" s="9"/>
      <c r="X291" s="9"/>
      <c r="Y291" s="9"/>
      <c r="Z291" s="9"/>
      <c r="AA291" s="9"/>
      <c r="AB291" s="9"/>
      <c r="AC291" s="468" t="str">
        <f t="shared" si="32"/>
        <v/>
      </c>
      <c r="AD291" s="468"/>
      <c r="AE291" s="468"/>
      <c r="AF291" s="4"/>
      <c r="AG291" s="88"/>
      <c r="AH291" s="4"/>
      <c r="AI291" s="4"/>
      <c r="AJ291" s="468"/>
      <c r="AK291" s="468"/>
      <c r="AL291" s="468"/>
      <c r="AM291" s="468"/>
      <c r="AN291" s="10"/>
      <c r="AO291" s="9"/>
      <c r="AP291" s="9"/>
      <c r="AQ291" s="9"/>
      <c r="AR291" s="9"/>
      <c r="AS291" s="9"/>
      <c r="AT291" s="9"/>
      <c r="AU291" s="447"/>
      <c r="AV291" s="447"/>
      <c r="AW291" s="468"/>
      <c r="AX291" s="468"/>
      <c r="AY291" s="10"/>
      <c r="AZ291" s="10"/>
      <c r="BA291" s="553" t="str">
        <f t="shared" si="30"/>
        <v/>
      </c>
      <c r="BB291" s="553" t="str">
        <f t="shared" si="31"/>
        <v/>
      </c>
      <c r="BC291" s="553" t="str">
        <f t="shared" si="29"/>
        <v/>
      </c>
      <c r="BD291" s="572"/>
      <c r="BE291" s="448" t="s">
        <v>1726</v>
      </c>
      <c r="BF291" s="306"/>
      <c r="BG291" s="306"/>
      <c r="BH291" s="306"/>
      <c r="BI291" s="306"/>
    </row>
    <row r="292" spans="1:61" ht="16.2" customHeight="1">
      <c r="A292" s="582" t="s">
        <v>383</v>
      </c>
      <c r="B292" s="469" t="s">
        <v>2000</v>
      </c>
      <c r="C292" s="3">
        <f>+$C$290+$G$291</f>
        <v>6142.83</v>
      </c>
      <c r="D292" s="88"/>
      <c r="E292" s="4"/>
      <c r="F292" s="4">
        <v>1465.45</v>
      </c>
      <c r="G292" s="6"/>
      <c r="H292" s="468"/>
      <c r="I292" s="468"/>
      <c r="J292" s="3"/>
      <c r="K292" s="468"/>
      <c r="L292" s="468"/>
      <c r="M292" s="468" t="str">
        <f>IF(L292="","",
IF(AX292="PT",VLOOKUP(L292,Foundation_Calc!$V$4:$X$37,VLOOKUP(AX292,Foundation_Calc!$I$10:$J$13,2,FALSE),0),
IF(AX292="K",VLOOKUP(L292,Foundation_Calc!$V$41:$X$74,VLOOKUP(AX292,Foundation_Calc!$I$10:$J$13,2,FALSE),0),"")))</f>
        <v/>
      </c>
      <c r="N292" s="468" t="s">
        <v>191</v>
      </c>
      <c r="O292" s="468"/>
      <c r="P292" s="468"/>
      <c r="Q292" s="4"/>
      <c r="R292" s="6"/>
      <c r="S292" s="6"/>
      <c r="T292" s="4">
        <v>-25</v>
      </c>
      <c r="U292" s="4"/>
      <c r="V292" s="4"/>
      <c r="W292" s="9">
        <v>1</v>
      </c>
      <c r="X292" s="9"/>
      <c r="Y292" s="9"/>
      <c r="Z292" s="9"/>
      <c r="AA292" s="9"/>
      <c r="AB292" s="9"/>
      <c r="AC292" s="468" t="s">
        <v>1341</v>
      </c>
      <c r="AD292" s="468"/>
      <c r="AE292" s="468"/>
      <c r="AF292" s="4"/>
      <c r="AG292" s="88"/>
      <c r="AH292" s="4"/>
      <c r="AI292" s="4"/>
      <c r="AJ292" s="468"/>
      <c r="AK292" s="468" t="s">
        <v>41</v>
      </c>
      <c r="AL292" s="468"/>
      <c r="AM292" s="468" t="s">
        <v>2458</v>
      </c>
      <c r="AN292" s="10">
        <v>5.15</v>
      </c>
      <c r="AO292" s="9"/>
      <c r="AP292" s="9"/>
      <c r="AQ292" s="9"/>
      <c r="AR292" s="9"/>
      <c r="AS292" s="9"/>
      <c r="AT292" s="9"/>
      <c r="AU292" s="447"/>
      <c r="AV292" s="447"/>
      <c r="AW292" s="468" t="s">
        <v>199</v>
      </c>
      <c r="AX292" s="468" t="s">
        <v>199</v>
      </c>
      <c r="AY292" s="10"/>
      <c r="AZ292" s="10"/>
      <c r="BA292" s="553" t="str">
        <f t="shared" si="30"/>
        <v/>
      </c>
      <c r="BB292" s="553" t="str">
        <f t="shared" si="31"/>
        <v/>
      </c>
      <c r="BC292" s="553" t="str">
        <f t="shared" si="29"/>
        <v/>
      </c>
      <c r="BD292" s="572"/>
      <c r="BE292" s="448" t="s">
        <v>1726</v>
      </c>
      <c r="BF292" s="305"/>
      <c r="BG292" s="305"/>
      <c r="BH292" s="306"/>
      <c r="BI292" s="305"/>
    </row>
    <row r="293" spans="1:61" ht="16.2" customHeight="1">
      <c r="A293" s="582" t="s">
        <v>383</v>
      </c>
      <c r="B293" s="469"/>
      <c r="C293" s="3"/>
      <c r="D293" s="88"/>
      <c r="E293" s="4"/>
      <c r="F293" s="4"/>
      <c r="G293" s="6">
        <v>30.1</v>
      </c>
      <c r="H293" s="468"/>
      <c r="I293" s="468"/>
      <c r="J293" s="3"/>
      <c r="K293" s="468"/>
      <c r="L293" s="468"/>
      <c r="M293" s="468" t="str">
        <f>IF(L293="","",
IF(AX293="PT",VLOOKUP(L293,Foundation_Calc!$V$4:$X$37,VLOOKUP(AX293,Foundation_Calc!$I$10:$J$13,2,FALSE),0),
IF(AX293="K",VLOOKUP(L293,Foundation_Calc!$V$41:$X$74,VLOOKUP(AX293,Foundation_Calc!$I$10:$J$13,2,FALSE),0),"")))</f>
        <v/>
      </c>
      <c r="N293" s="468"/>
      <c r="O293" s="468"/>
      <c r="P293" s="468"/>
      <c r="Q293" s="4"/>
      <c r="R293" s="6"/>
      <c r="S293" s="6"/>
      <c r="T293" s="4"/>
      <c r="U293" s="4"/>
      <c r="V293" s="4"/>
      <c r="W293" s="9"/>
      <c r="X293" s="9"/>
      <c r="Y293" s="9"/>
      <c r="Z293" s="9"/>
      <c r="AA293" s="9"/>
      <c r="AB293" s="9"/>
      <c r="AC293" s="468" t="str">
        <f t="shared" si="32"/>
        <v/>
      </c>
      <c r="AD293" s="468"/>
      <c r="AE293" s="468"/>
      <c r="AF293" s="4"/>
      <c r="AG293" s="88"/>
      <c r="AH293" s="4"/>
      <c r="AI293" s="4"/>
      <c r="AJ293" s="468"/>
      <c r="AK293" s="468"/>
      <c r="AL293" s="468"/>
      <c r="AM293" s="468"/>
      <c r="AN293" s="10"/>
      <c r="AO293" s="9"/>
      <c r="AP293" s="9"/>
      <c r="AQ293" s="9"/>
      <c r="AR293" s="9"/>
      <c r="AS293" s="9"/>
      <c r="AT293" s="9"/>
      <c r="AU293" s="447"/>
      <c r="AV293" s="447"/>
      <c r="AW293" s="468"/>
      <c r="AX293" s="468"/>
      <c r="AY293" s="10"/>
      <c r="AZ293" s="10"/>
      <c r="BA293" s="553" t="str">
        <f t="shared" si="30"/>
        <v/>
      </c>
      <c r="BB293" s="553" t="str">
        <f t="shared" si="31"/>
        <v/>
      </c>
      <c r="BC293" s="553" t="str">
        <f t="shared" si="29"/>
        <v/>
      </c>
      <c r="BD293" s="572"/>
      <c r="BE293" s="448" t="s">
        <v>1726</v>
      </c>
      <c r="BF293" s="306"/>
      <c r="BG293" s="306"/>
      <c r="BH293" s="306"/>
      <c r="BI293" s="306"/>
    </row>
    <row r="294" spans="1:61" ht="16.2" customHeight="1">
      <c r="A294" s="582" t="s">
        <v>383</v>
      </c>
      <c r="B294" s="469" t="s">
        <v>2001</v>
      </c>
      <c r="C294" s="3">
        <f>+$C$292+$G$293</f>
        <v>6172.93</v>
      </c>
      <c r="D294" s="88"/>
      <c r="E294" s="4"/>
      <c r="F294" s="4">
        <v>1465.45</v>
      </c>
      <c r="G294" s="6"/>
      <c r="H294" s="468"/>
      <c r="I294" s="468"/>
      <c r="J294" s="3"/>
      <c r="K294" s="468"/>
      <c r="L294" s="468"/>
      <c r="M294" s="468" t="str">
        <f>IF(L294="","",
IF(AX294="PT",VLOOKUP(L294,Foundation_Calc!$V$4:$X$37,VLOOKUP(AX294,Foundation_Calc!$I$10:$J$13,2,FALSE),0),
IF(AX294="K",VLOOKUP(L294,Foundation_Calc!$V$41:$X$74,VLOOKUP(AX294,Foundation_Calc!$I$10:$J$13,2,FALSE),0),"")))</f>
        <v/>
      </c>
      <c r="N294" s="468" t="s">
        <v>191</v>
      </c>
      <c r="O294" s="468"/>
      <c r="P294" s="468"/>
      <c r="Q294" s="4"/>
      <c r="R294" s="6"/>
      <c r="S294" s="6"/>
      <c r="T294" s="4">
        <v>-25</v>
      </c>
      <c r="U294" s="4"/>
      <c r="V294" s="4"/>
      <c r="W294" s="9">
        <v>1</v>
      </c>
      <c r="X294" s="9"/>
      <c r="Y294" s="9"/>
      <c r="Z294" s="9"/>
      <c r="AA294" s="9"/>
      <c r="AB294" s="9"/>
      <c r="AC294" s="468" t="s">
        <v>1341</v>
      </c>
      <c r="AD294" s="468"/>
      <c r="AE294" s="468"/>
      <c r="AF294" s="4"/>
      <c r="AG294" s="88"/>
      <c r="AH294" s="4"/>
      <c r="AI294" s="4"/>
      <c r="AJ294" s="468"/>
      <c r="AK294" s="468" t="s">
        <v>41</v>
      </c>
      <c r="AL294" s="468"/>
      <c r="AM294" s="468" t="s">
        <v>2458</v>
      </c>
      <c r="AN294" s="10">
        <v>5.15</v>
      </c>
      <c r="AO294" s="9"/>
      <c r="AP294" s="9"/>
      <c r="AQ294" s="9"/>
      <c r="AR294" s="9"/>
      <c r="AS294" s="9"/>
      <c r="AT294" s="9"/>
      <c r="AU294" s="447"/>
      <c r="AV294" s="447"/>
      <c r="AW294" s="468" t="s">
        <v>199</v>
      </c>
      <c r="AX294" s="468" t="s">
        <v>199</v>
      </c>
      <c r="AY294" s="10"/>
      <c r="AZ294" s="10"/>
      <c r="BA294" s="553" t="str">
        <f t="shared" si="30"/>
        <v/>
      </c>
      <c r="BB294" s="553" t="str">
        <f t="shared" si="31"/>
        <v/>
      </c>
      <c r="BC294" s="553" t="str">
        <f t="shared" si="29"/>
        <v/>
      </c>
      <c r="BD294" s="572"/>
      <c r="BE294" s="448" t="s">
        <v>1726</v>
      </c>
      <c r="BF294" s="305"/>
      <c r="BG294" s="305"/>
      <c r="BH294" s="306"/>
      <c r="BI294" s="305"/>
    </row>
    <row r="295" spans="1:61" ht="16.2" customHeight="1">
      <c r="A295" s="582" t="s">
        <v>383</v>
      </c>
      <c r="B295" s="469"/>
      <c r="C295" s="3"/>
      <c r="D295" s="88"/>
      <c r="E295" s="4"/>
      <c r="F295" s="4"/>
      <c r="G295" s="6">
        <v>30.3</v>
      </c>
      <c r="H295" s="468"/>
      <c r="I295" s="468"/>
      <c r="J295" s="3"/>
      <c r="K295" s="468"/>
      <c r="L295" s="468"/>
      <c r="M295" s="468" t="str">
        <f>IF(L295="","",
IF(AX295="PT",VLOOKUP(L295,Foundation_Calc!$V$4:$X$37,VLOOKUP(AX295,Foundation_Calc!$I$10:$J$13,2,FALSE),0),
IF(AX295="K",VLOOKUP(L295,Foundation_Calc!$V$41:$X$74,VLOOKUP(AX295,Foundation_Calc!$I$10:$J$13,2,FALSE),0),"")))</f>
        <v/>
      </c>
      <c r="N295" s="468"/>
      <c r="O295" s="468"/>
      <c r="P295" s="468"/>
      <c r="Q295" s="4"/>
      <c r="R295" s="6"/>
      <c r="S295" s="6"/>
      <c r="T295" s="4"/>
      <c r="U295" s="4"/>
      <c r="V295" s="4"/>
      <c r="W295" s="9"/>
      <c r="X295" s="9"/>
      <c r="Y295" s="9"/>
      <c r="Z295" s="9"/>
      <c r="AA295" s="9"/>
      <c r="AB295" s="9"/>
      <c r="AC295" s="468" t="str">
        <f t="shared" si="32"/>
        <v/>
      </c>
      <c r="AD295" s="468"/>
      <c r="AE295" s="468"/>
      <c r="AF295" s="4"/>
      <c r="AG295" s="88"/>
      <c r="AH295" s="4"/>
      <c r="AI295" s="4"/>
      <c r="AJ295" s="468"/>
      <c r="AK295" s="468"/>
      <c r="AL295" s="468"/>
      <c r="AM295" s="468"/>
      <c r="AN295" s="10"/>
      <c r="AO295" s="9"/>
      <c r="AP295" s="9"/>
      <c r="AQ295" s="9"/>
      <c r="AR295" s="9"/>
      <c r="AS295" s="9"/>
      <c r="AT295" s="9"/>
      <c r="AU295" s="447"/>
      <c r="AV295" s="447"/>
      <c r="AW295" s="468"/>
      <c r="AX295" s="468"/>
      <c r="AY295" s="10"/>
      <c r="AZ295" s="10"/>
      <c r="BA295" s="553" t="str">
        <f t="shared" si="30"/>
        <v/>
      </c>
      <c r="BB295" s="553" t="str">
        <f t="shared" si="31"/>
        <v/>
      </c>
      <c r="BC295" s="553" t="str">
        <f t="shared" si="29"/>
        <v/>
      </c>
      <c r="BD295" s="572"/>
      <c r="BE295" s="448" t="s">
        <v>1726</v>
      </c>
      <c r="BF295" s="306"/>
      <c r="BG295" s="306"/>
      <c r="BH295" s="306"/>
      <c r="BI295" s="306"/>
    </row>
    <row r="296" spans="1:61" ht="16.2" customHeight="1">
      <c r="A296" s="582" t="s">
        <v>383</v>
      </c>
      <c r="B296" s="469" t="s">
        <v>2002</v>
      </c>
      <c r="C296" s="3">
        <f>+$C$294+$G$295</f>
        <v>6203.2300000000005</v>
      </c>
      <c r="D296" s="88"/>
      <c r="E296" s="4"/>
      <c r="F296" s="4">
        <v>501.84</v>
      </c>
      <c r="G296" s="6"/>
      <c r="H296" s="468"/>
      <c r="I296" s="468"/>
      <c r="J296" s="3"/>
      <c r="K296" s="468"/>
      <c r="L296" s="468"/>
      <c r="M296" s="468" t="str">
        <f>IF(L296="","",
IF(AX296="PT",VLOOKUP(L296,Foundation_Calc!$V$4:$X$37,VLOOKUP(AX296,Foundation_Calc!$I$10:$J$13,2,FALSE),0),
IF(AX296="K",VLOOKUP(L296,Foundation_Calc!$V$41:$X$74,VLOOKUP(AX296,Foundation_Calc!$I$10:$J$13,2,FALSE),0),"")))</f>
        <v/>
      </c>
      <c r="N296" s="468" t="s">
        <v>191</v>
      </c>
      <c r="O296" s="468"/>
      <c r="P296" s="468"/>
      <c r="Q296" s="4"/>
      <c r="R296" s="6"/>
      <c r="S296" s="6"/>
      <c r="T296" s="4">
        <v>-25</v>
      </c>
      <c r="U296" s="4"/>
      <c r="V296" s="4"/>
      <c r="W296" s="9">
        <v>1</v>
      </c>
      <c r="X296" s="9"/>
      <c r="Y296" s="9"/>
      <c r="Z296" s="9"/>
      <c r="AA296" s="9"/>
      <c r="AB296" s="9"/>
      <c r="AC296" s="468" t="s">
        <v>1341</v>
      </c>
      <c r="AD296" s="468"/>
      <c r="AE296" s="468"/>
      <c r="AF296" s="4"/>
      <c r="AG296" s="88"/>
      <c r="AH296" s="4"/>
      <c r="AI296" s="4"/>
      <c r="AJ296" s="468"/>
      <c r="AK296" s="468" t="s">
        <v>41</v>
      </c>
      <c r="AL296" s="468"/>
      <c r="AM296" s="468" t="s">
        <v>2458</v>
      </c>
      <c r="AN296" s="10">
        <v>5.15</v>
      </c>
      <c r="AO296" s="9"/>
      <c r="AP296" s="9"/>
      <c r="AQ296" s="9"/>
      <c r="AR296" s="9"/>
      <c r="AS296" s="9"/>
      <c r="AT296" s="9"/>
      <c r="AU296" s="447"/>
      <c r="AV296" s="447"/>
      <c r="AW296" s="468" t="s">
        <v>199</v>
      </c>
      <c r="AX296" s="468" t="s">
        <v>199</v>
      </c>
      <c r="AY296" s="10"/>
      <c r="AZ296" s="10"/>
      <c r="BA296" s="553" t="str">
        <f t="shared" si="30"/>
        <v/>
      </c>
      <c r="BB296" s="553" t="str">
        <f t="shared" si="31"/>
        <v/>
      </c>
      <c r="BC296" s="553" t="str">
        <f t="shared" si="29"/>
        <v/>
      </c>
      <c r="BD296" s="572"/>
      <c r="BE296" s="448" t="s">
        <v>1726</v>
      </c>
      <c r="BF296" s="305"/>
      <c r="BG296" s="305"/>
      <c r="BH296" s="306"/>
      <c r="BI296" s="305"/>
    </row>
    <row r="297" spans="1:61" ht="16.2" customHeight="1">
      <c r="A297" s="582" t="s">
        <v>383</v>
      </c>
      <c r="B297" s="469"/>
      <c r="C297" s="3"/>
      <c r="D297" s="88"/>
      <c r="E297" s="4"/>
      <c r="F297" s="4"/>
      <c r="G297" s="6">
        <v>30.3</v>
      </c>
      <c r="H297" s="468"/>
      <c r="I297" s="468"/>
      <c r="J297" s="3"/>
      <c r="K297" s="468"/>
      <c r="L297" s="468"/>
      <c r="M297" s="468" t="str">
        <f>IF(L297="","",
IF(AX297="PT",VLOOKUP(L297,Foundation_Calc!$V$4:$X$37,VLOOKUP(AX297,Foundation_Calc!$I$10:$J$13,2,FALSE),0),
IF(AX297="K",VLOOKUP(L297,Foundation_Calc!$V$41:$X$74,VLOOKUP(AX297,Foundation_Calc!$I$10:$J$13,2,FALSE),0),"")))</f>
        <v/>
      </c>
      <c r="N297" s="468"/>
      <c r="O297" s="468"/>
      <c r="P297" s="468"/>
      <c r="Q297" s="4"/>
      <c r="R297" s="6"/>
      <c r="S297" s="6"/>
      <c r="T297" s="4"/>
      <c r="U297" s="4"/>
      <c r="V297" s="4"/>
      <c r="W297" s="9"/>
      <c r="X297" s="9"/>
      <c r="Y297" s="9"/>
      <c r="Z297" s="9"/>
      <c r="AA297" s="9"/>
      <c r="AB297" s="9"/>
      <c r="AC297" s="468" t="str">
        <f t="shared" si="32"/>
        <v/>
      </c>
      <c r="AD297" s="468"/>
      <c r="AE297" s="468"/>
      <c r="AF297" s="4"/>
      <c r="AG297" s="88"/>
      <c r="AH297" s="4"/>
      <c r="AI297" s="4"/>
      <c r="AJ297" s="468"/>
      <c r="AK297" s="468"/>
      <c r="AL297" s="468"/>
      <c r="AM297" s="468"/>
      <c r="AN297" s="10"/>
      <c r="AO297" s="9"/>
      <c r="AP297" s="9"/>
      <c r="AQ297" s="9"/>
      <c r="AR297" s="9"/>
      <c r="AS297" s="9"/>
      <c r="AT297" s="9"/>
      <c r="AU297" s="447"/>
      <c r="AV297" s="447"/>
      <c r="AW297" s="468"/>
      <c r="AX297" s="468"/>
      <c r="AY297" s="10"/>
      <c r="AZ297" s="10"/>
      <c r="BA297" s="553" t="str">
        <f t="shared" si="30"/>
        <v/>
      </c>
      <c r="BB297" s="553" t="str">
        <f t="shared" si="31"/>
        <v/>
      </c>
      <c r="BC297" s="553" t="str">
        <f t="shared" si="29"/>
        <v/>
      </c>
      <c r="BD297" s="572"/>
      <c r="BE297" s="448" t="s">
        <v>1726</v>
      </c>
      <c r="BF297" s="306"/>
      <c r="BG297" s="306"/>
      <c r="BH297" s="306"/>
      <c r="BI297" s="306"/>
    </row>
    <row r="298" spans="1:61" ht="16.2" customHeight="1">
      <c r="A298" s="582" t="s">
        <v>383</v>
      </c>
      <c r="B298" s="469" t="s">
        <v>2003</v>
      </c>
      <c r="C298" s="3">
        <f>+$C$296+$G$297</f>
        <v>6233.5300000000007</v>
      </c>
      <c r="D298" s="88"/>
      <c r="E298" s="4"/>
      <c r="F298" s="4">
        <v>404.7</v>
      </c>
      <c r="G298" s="6"/>
      <c r="H298" s="468"/>
      <c r="I298" s="468"/>
      <c r="J298" s="3"/>
      <c r="K298" s="468"/>
      <c r="L298" s="468"/>
      <c r="M298" s="468" t="str">
        <f>IF(L298="","",
IF(AX298="PT",VLOOKUP(L298,Foundation_Calc!$V$4:$X$37,VLOOKUP(AX298,Foundation_Calc!$I$10:$J$13,2,FALSE),0),
IF(AX298="K",VLOOKUP(L298,Foundation_Calc!$V$41:$X$74,VLOOKUP(AX298,Foundation_Calc!$I$10:$J$13,2,FALSE),0),"")))</f>
        <v/>
      </c>
      <c r="N298" s="468" t="s">
        <v>191</v>
      </c>
      <c r="O298" s="468"/>
      <c r="P298" s="468"/>
      <c r="Q298" s="4"/>
      <c r="R298" s="6"/>
      <c r="S298" s="6"/>
      <c r="T298" s="4">
        <v>-25</v>
      </c>
      <c r="U298" s="4"/>
      <c r="V298" s="4"/>
      <c r="W298" s="9">
        <v>1</v>
      </c>
      <c r="X298" s="9"/>
      <c r="Y298" s="9"/>
      <c r="Z298" s="9"/>
      <c r="AA298" s="9"/>
      <c r="AB298" s="9"/>
      <c r="AC298" s="468" t="s">
        <v>1341</v>
      </c>
      <c r="AD298" s="468"/>
      <c r="AE298" s="468"/>
      <c r="AF298" s="4"/>
      <c r="AG298" s="88"/>
      <c r="AH298" s="4"/>
      <c r="AI298" s="4"/>
      <c r="AJ298" s="468"/>
      <c r="AK298" s="468" t="s">
        <v>41</v>
      </c>
      <c r="AL298" s="468"/>
      <c r="AM298" s="468" t="s">
        <v>2458</v>
      </c>
      <c r="AN298" s="10">
        <v>5.15</v>
      </c>
      <c r="AO298" s="9"/>
      <c r="AP298" s="9"/>
      <c r="AQ298" s="9"/>
      <c r="AR298" s="9"/>
      <c r="AS298" s="9"/>
      <c r="AT298" s="9"/>
      <c r="AU298" s="447"/>
      <c r="AV298" s="447"/>
      <c r="AW298" s="468" t="s">
        <v>199</v>
      </c>
      <c r="AX298" s="468" t="s">
        <v>199</v>
      </c>
      <c r="AY298" s="10"/>
      <c r="AZ298" s="10"/>
      <c r="BA298" s="553" t="str">
        <f t="shared" si="30"/>
        <v/>
      </c>
      <c r="BB298" s="553" t="str">
        <f t="shared" si="31"/>
        <v/>
      </c>
      <c r="BC298" s="553" t="str">
        <f t="shared" si="29"/>
        <v/>
      </c>
      <c r="BD298" s="572"/>
      <c r="BE298" s="448" t="s">
        <v>1726</v>
      </c>
      <c r="BF298" s="305"/>
      <c r="BG298" s="305"/>
      <c r="BH298" s="306"/>
      <c r="BI298" s="305"/>
    </row>
    <row r="299" spans="1:61" ht="16.2" customHeight="1">
      <c r="A299" s="582" t="s">
        <v>383</v>
      </c>
      <c r="B299" s="469"/>
      <c r="C299" s="3"/>
      <c r="D299" s="88"/>
      <c r="E299" s="4"/>
      <c r="F299" s="4"/>
      <c r="G299" s="6">
        <v>30.4</v>
      </c>
      <c r="H299" s="468"/>
      <c r="I299" s="468"/>
      <c r="J299" s="3"/>
      <c r="K299" s="468"/>
      <c r="L299" s="468"/>
      <c r="M299" s="468" t="str">
        <f>IF(L299="","",
IF(AX299="PT",VLOOKUP(L299,Foundation_Calc!$V$4:$X$37,VLOOKUP(AX299,Foundation_Calc!$I$10:$J$13,2,FALSE),0),
IF(AX299="K",VLOOKUP(L299,Foundation_Calc!$V$41:$X$74,VLOOKUP(AX299,Foundation_Calc!$I$10:$J$13,2,FALSE),0),"")))</f>
        <v/>
      </c>
      <c r="N299" s="468"/>
      <c r="O299" s="468"/>
      <c r="P299" s="468"/>
      <c r="Q299" s="4"/>
      <c r="R299" s="6"/>
      <c r="S299" s="6"/>
      <c r="T299" s="4"/>
      <c r="U299" s="4"/>
      <c r="V299" s="4"/>
      <c r="W299" s="9"/>
      <c r="X299" s="9"/>
      <c r="Y299" s="9"/>
      <c r="Z299" s="9"/>
      <c r="AA299" s="9"/>
      <c r="AB299" s="9"/>
      <c r="AC299" s="468" t="str">
        <f t="shared" si="32"/>
        <v/>
      </c>
      <c r="AD299" s="468"/>
      <c r="AE299" s="468"/>
      <c r="AF299" s="4"/>
      <c r="AG299" s="88"/>
      <c r="AH299" s="4"/>
      <c r="AI299" s="4"/>
      <c r="AJ299" s="468"/>
      <c r="AK299" s="468"/>
      <c r="AL299" s="468"/>
      <c r="AM299" s="468"/>
      <c r="AN299" s="10"/>
      <c r="AO299" s="9"/>
      <c r="AP299" s="9"/>
      <c r="AQ299" s="9"/>
      <c r="AR299" s="9"/>
      <c r="AS299" s="9"/>
      <c r="AT299" s="9"/>
      <c r="AU299" s="447"/>
      <c r="AV299" s="447"/>
      <c r="AW299" s="468"/>
      <c r="AX299" s="468"/>
      <c r="AY299" s="10"/>
      <c r="AZ299" s="10"/>
      <c r="BA299" s="553" t="str">
        <f t="shared" si="30"/>
        <v/>
      </c>
      <c r="BB299" s="553" t="str">
        <f t="shared" si="31"/>
        <v/>
      </c>
      <c r="BC299" s="553" t="str">
        <f t="shared" si="29"/>
        <v/>
      </c>
      <c r="BD299" s="572"/>
      <c r="BE299" s="448" t="s">
        <v>1726</v>
      </c>
      <c r="BF299" s="306"/>
      <c r="BG299" s="306"/>
      <c r="BH299" s="306"/>
      <c r="BI299" s="306"/>
    </row>
    <row r="300" spans="1:61" ht="16.2" customHeight="1">
      <c r="A300" s="582" t="s">
        <v>383</v>
      </c>
      <c r="B300" s="469" t="s">
        <v>2004</v>
      </c>
      <c r="C300" s="3">
        <f>+$C$298+$G$299</f>
        <v>6263.93</v>
      </c>
      <c r="D300" s="88"/>
      <c r="E300" s="4"/>
      <c r="F300" s="4">
        <v>404.7</v>
      </c>
      <c r="G300" s="6"/>
      <c r="H300" s="468" t="s">
        <v>26</v>
      </c>
      <c r="I300" s="468" t="s">
        <v>1155</v>
      </c>
      <c r="J300" s="501">
        <f>C300+10</f>
        <v>6273.93</v>
      </c>
      <c r="K300" s="468" t="s">
        <v>447</v>
      </c>
      <c r="L300" s="468"/>
      <c r="M300" s="468" t="str">
        <f>IF(L300="","",
IF(AX300="PT",VLOOKUP(L300,Foundation_Calc!$V$4:$X$37,VLOOKUP(AX300,Foundation_Calc!$I$10:$J$13,2,FALSE),0),
IF(AX300="K",VLOOKUP(L300,Foundation_Calc!$V$41:$X$74,VLOOKUP(AX300,Foundation_Calc!$I$10:$J$13,2,FALSE),0),"")))</f>
        <v/>
      </c>
      <c r="N300" s="468" t="s">
        <v>191</v>
      </c>
      <c r="O300" s="468"/>
      <c r="P300" s="468"/>
      <c r="Q300" s="4"/>
      <c r="R300" s="6"/>
      <c r="S300" s="6"/>
      <c r="T300" s="4">
        <v>-25</v>
      </c>
      <c r="U300" s="4"/>
      <c r="V300" s="4"/>
      <c r="W300" s="9">
        <v>1</v>
      </c>
      <c r="X300" s="9"/>
      <c r="Y300" s="9"/>
      <c r="Z300" s="9"/>
      <c r="AA300" s="9"/>
      <c r="AB300" s="9"/>
      <c r="AC300" s="468" t="s">
        <v>1078</v>
      </c>
      <c r="AD300" s="468"/>
      <c r="AE300" s="468"/>
      <c r="AF300" s="4"/>
      <c r="AG300" s="88"/>
      <c r="AH300" s="4"/>
      <c r="AI300" s="4"/>
      <c r="AJ300" s="468"/>
      <c r="AK300" s="468" t="s">
        <v>41</v>
      </c>
      <c r="AL300" s="468"/>
      <c r="AM300" s="468" t="s">
        <v>2458</v>
      </c>
      <c r="AN300" s="10">
        <v>5.15</v>
      </c>
      <c r="AO300" s="9"/>
      <c r="AP300" s="9"/>
      <c r="AQ300" s="9"/>
      <c r="AR300" s="9"/>
      <c r="AS300" s="9"/>
      <c r="AT300" s="9"/>
      <c r="AU300" s="447"/>
      <c r="AV300" s="447"/>
      <c r="AW300" s="468" t="s">
        <v>199</v>
      </c>
      <c r="AX300" s="468" t="s">
        <v>199</v>
      </c>
      <c r="AY300" s="10"/>
      <c r="AZ300" s="10"/>
      <c r="BA300" s="553" t="str">
        <f t="shared" si="30"/>
        <v/>
      </c>
      <c r="BB300" s="553" t="str">
        <f t="shared" si="31"/>
        <v/>
      </c>
      <c r="BC300" s="553" t="str">
        <f t="shared" si="29"/>
        <v/>
      </c>
      <c r="BD300" s="572"/>
      <c r="BE300" s="448" t="s">
        <v>1726</v>
      </c>
      <c r="BF300" s="305"/>
      <c r="BG300" s="305"/>
      <c r="BH300" s="306"/>
      <c r="BI300" s="305"/>
    </row>
    <row r="301" spans="1:61" ht="16.2" customHeight="1">
      <c r="A301" s="582" t="s">
        <v>383</v>
      </c>
      <c r="B301" s="469"/>
      <c r="C301" s="3"/>
      <c r="D301" s="88"/>
      <c r="E301" s="4"/>
      <c r="F301" s="4"/>
      <c r="G301" s="6">
        <v>30.4</v>
      </c>
      <c r="H301" s="468"/>
      <c r="I301" s="468"/>
      <c r="J301" s="3"/>
      <c r="K301" s="468"/>
      <c r="L301" s="468"/>
      <c r="M301" s="468" t="str">
        <f>IF(L301="","",
IF(AX301="PT",VLOOKUP(L301,Foundation_Calc!$V$4:$X$37,VLOOKUP(AX301,Foundation_Calc!$I$10:$J$13,2,FALSE),0),
IF(AX301="K",VLOOKUP(L301,Foundation_Calc!$V$41:$X$74,VLOOKUP(AX301,Foundation_Calc!$I$10:$J$13,2,FALSE),0),"")))</f>
        <v/>
      </c>
      <c r="N301" s="468"/>
      <c r="O301" s="468"/>
      <c r="P301" s="468"/>
      <c r="Q301" s="4"/>
      <c r="R301" s="6"/>
      <c r="S301" s="6"/>
      <c r="T301" s="4"/>
      <c r="U301" s="4"/>
      <c r="V301" s="4"/>
      <c r="W301" s="9"/>
      <c r="X301" s="9"/>
      <c r="Y301" s="9"/>
      <c r="Z301" s="9"/>
      <c r="AA301" s="9"/>
      <c r="AB301" s="9"/>
      <c r="AC301" s="468" t="str">
        <f t="shared" si="32"/>
        <v/>
      </c>
      <c r="AD301" s="468"/>
      <c r="AE301" s="468"/>
      <c r="AF301" s="4"/>
      <c r="AG301" s="88"/>
      <c r="AH301" s="4"/>
      <c r="AI301" s="4"/>
      <c r="AJ301" s="468"/>
      <c r="AK301" s="468"/>
      <c r="AL301" s="468"/>
      <c r="AM301" s="468"/>
      <c r="AN301" s="10"/>
      <c r="AO301" s="9"/>
      <c r="AP301" s="9"/>
      <c r="AQ301" s="9"/>
      <c r="AR301" s="9"/>
      <c r="AS301" s="9"/>
      <c r="AT301" s="9"/>
      <c r="AU301" s="447"/>
      <c r="AV301" s="447"/>
      <c r="AW301" s="468"/>
      <c r="AX301" s="468"/>
      <c r="AY301" s="10"/>
      <c r="AZ301" s="10"/>
      <c r="BA301" s="553" t="str">
        <f t="shared" si="30"/>
        <v/>
      </c>
      <c r="BB301" s="553" t="str">
        <f t="shared" si="31"/>
        <v/>
      </c>
      <c r="BC301" s="553" t="str">
        <f t="shared" si="29"/>
        <v/>
      </c>
      <c r="BD301" s="572"/>
      <c r="BE301" s="448" t="s">
        <v>1726</v>
      </c>
      <c r="BF301" s="306"/>
      <c r="BG301" s="306"/>
      <c r="BH301" s="306"/>
      <c r="BI301" s="306"/>
    </row>
    <row r="302" spans="1:61" ht="16.2" customHeight="1">
      <c r="A302" s="582" t="s">
        <v>383</v>
      </c>
      <c r="B302" s="469" t="s">
        <v>2005</v>
      </c>
      <c r="C302" s="3">
        <f>+$C$300+$G$301</f>
        <v>6294.33</v>
      </c>
      <c r="D302" s="88"/>
      <c r="E302" s="4"/>
      <c r="F302" s="4">
        <v>404.7</v>
      </c>
      <c r="G302" s="6"/>
      <c r="H302" s="468" t="s">
        <v>179</v>
      </c>
      <c r="I302" s="468"/>
      <c r="J302" s="3"/>
      <c r="K302" s="468"/>
      <c r="L302" s="468"/>
      <c r="M302" s="468" t="str">
        <f>IF(L302="","",
IF(AX302="PT",VLOOKUP(L302,Foundation_Calc!$V$4:$X$37,VLOOKUP(AX302,Foundation_Calc!$I$10:$J$13,2,FALSE),0),
IF(AX302="K",VLOOKUP(L302,Foundation_Calc!$V$41:$X$74,VLOOKUP(AX302,Foundation_Calc!$I$10:$J$13,2,FALSE),0),"")))</f>
        <v/>
      </c>
      <c r="N302" s="468" t="s">
        <v>193</v>
      </c>
      <c r="O302" s="468" t="s">
        <v>191</v>
      </c>
      <c r="P302" s="468"/>
      <c r="Q302" s="4"/>
      <c r="R302" s="6"/>
      <c r="S302" s="6"/>
      <c r="T302" s="4">
        <v>-10</v>
      </c>
      <c r="U302" s="4">
        <v>-30</v>
      </c>
      <c r="V302" s="4"/>
      <c r="W302" s="9">
        <v>0.9</v>
      </c>
      <c r="X302" s="9">
        <v>1</v>
      </c>
      <c r="Y302" s="9"/>
      <c r="Z302" s="9">
        <v>0.45</v>
      </c>
      <c r="AA302" s="9"/>
      <c r="AB302" s="9"/>
      <c r="AC302" s="468" t="str">
        <f t="shared" si="32"/>
        <v/>
      </c>
      <c r="AD302" s="468" t="s">
        <v>1078</v>
      </c>
      <c r="AE302" s="468"/>
      <c r="AF302" s="4"/>
      <c r="AG302" s="88"/>
      <c r="AH302" s="4"/>
      <c r="AI302" s="4"/>
      <c r="AJ302" s="468"/>
      <c r="AK302" s="468" t="s">
        <v>42</v>
      </c>
      <c r="AL302" s="468"/>
      <c r="AM302" s="468" t="s">
        <v>2458</v>
      </c>
      <c r="AN302" s="10">
        <v>5.15</v>
      </c>
      <c r="AO302" s="9"/>
      <c r="AP302" s="9"/>
      <c r="AQ302" s="9"/>
      <c r="AR302" s="9"/>
      <c r="AS302" s="9"/>
      <c r="AT302" s="9"/>
      <c r="AU302" s="447"/>
      <c r="AV302" s="447"/>
      <c r="AW302" s="468" t="s">
        <v>199</v>
      </c>
      <c r="AX302" s="468" t="s">
        <v>199</v>
      </c>
      <c r="AY302" s="10"/>
      <c r="AZ302" s="10"/>
      <c r="BA302" s="553" t="str">
        <f t="shared" si="30"/>
        <v/>
      </c>
      <c r="BB302" s="553" t="str">
        <f t="shared" si="31"/>
        <v/>
      </c>
      <c r="BC302" s="553" t="str">
        <f t="shared" si="29"/>
        <v/>
      </c>
      <c r="BD302" s="572"/>
      <c r="BE302" s="448" t="s">
        <v>1726</v>
      </c>
      <c r="BF302" s="305"/>
      <c r="BG302" s="305"/>
      <c r="BH302" s="306"/>
      <c r="BI302" s="305"/>
    </row>
    <row r="303" spans="1:61" ht="16.2" customHeight="1">
      <c r="A303" s="582" t="s">
        <v>383</v>
      </c>
      <c r="B303" s="469"/>
      <c r="C303" s="3"/>
      <c r="D303" s="88"/>
      <c r="E303" s="4"/>
      <c r="F303" s="4"/>
      <c r="G303" s="6">
        <v>30.3</v>
      </c>
      <c r="H303" s="468"/>
      <c r="I303" s="468"/>
      <c r="J303" s="3"/>
      <c r="K303" s="468"/>
      <c r="L303" s="468"/>
      <c r="M303" s="468" t="str">
        <f>IF(L303="","",
IF(AX303="PT",VLOOKUP(L303,Foundation_Calc!$V$4:$X$37,VLOOKUP(AX303,Foundation_Calc!$I$10:$J$13,2,FALSE),0),
IF(AX303="K",VLOOKUP(L303,Foundation_Calc!$V$41:$X$74,VLOOKUP(AX303,Foundation_Calc!$I$10:$J$13,2,FALSE),0),"")))</f>
        <v/>
      </c>
      <c r="N303" s="468"/>
      <c r="O303" s="468"/>
      <c r="P303" s="468"/>
      <c r="Q303" s="4"/>
      <c r="R303" s="6"/>
      <c r="S303" s="6"/>
      <c r="T303" s="4"/>
      <c r="U303" s="4"/>
      <c r="V303" s="4"/>
      <c r="W303" s="9"/>
      <c r="X303" s="9"/>
      <c r="Y303" s="9"/>
      <c r="Z303" s="9"/>
      <c r="AA303" s="9"/>
      <c r="AB303" s="9"/>
      <c r="AC303" s="468" t="str">
        <f t="shared" si="32"/>
        <v/>
      </c>
      <c r="AD303" s="468"/>
      <c r="AE303" s="468"/>
      <c r="AF303" s="4"/>
      <c r="AG303" s="88"/>
      <c r="AH303" s="4"/>
      <c r="AI303" s="4"/>
      <c r="AJ303" s="468"/>
      <c r="AK303" s="468"/>
      <c r="AL303" s="468"/>
      <c r="AM303" s="468"/>
      <c r="AN303" s="10"/>
      <c r="AO303" s="9"/>
      <c r="AP303" s="9"/>
      <c r="AQ303" s="9"/>
      <c r="AR303" s="9"/>
      <c r="AS303" s="9"/>
      <c r="AT303" s="9"/>
      <c r="AU303" s="447"/>
      <c r="AV303" s="447"/>
      <c r="AW303" s="468"/>
      <c r="AX303" s="468"/>
      <c r="AY303" s="10"/>
      <c r="AZ303" s="10"/>
      <c r="BA303" s="553" t="str">
        <f t="shared" si="30"/>
        <v/>
      </c>
      <c r="BB303" s="553" t="str">
        <f t="shared" si="31"/>
        <v/>
      </c>
      <c r="BC303" s="553" t="str">
        <f t="shared" si="29"/>
        <v/>
      </c>
      <c r="BD303" s="572"/>
      <c r="BE303" s="448" t="s">
        <v>1726</v>
      </c>
      <c r="BF303" s="306"/>
      <c r="BG303" s="306"/>
      <c r="BH303" s="306"/>
      <c r="BI303" s="306"/>
    </row>
    <row r="304" spans="1:61" ht="16.2" customHeight="1">
      <c r="A304" s="582" t="s">
        <v>383</v>
      </c>
      <c r="B304" s="469" t="s">
        <v>2006</v>
      </c>
      <c r="C304" s="3">
        <f>+$C$302+$G$303</f>
        <v>6324.63</v>
      </c>
      <c r="D304" s="88"/>
      <c r="E304" s="4"/>
      <c r="F304" s="4">
        <v>500.8</v>
      </c>
      <c r="G304" s="6"/>
      <c r="H304" s="468" t="s">
        <v>180</v>
      </c>
      <c r="I304" s="468"/>
      <c r="J304" s="3"/>
      <c r="K304" s="468"/>
      <c r="L304" s="468"/>
      <c r="M304" s="468" t="str">
        <f>IF(L304="","",
IF(AX304="PT",VLOOKUP(L304,Foundation_Calc!$V$4:$X$37,VLOOKUP(AX304,Foundation_Calc!$I$10:$J$13,2,FALSE),0),
IF(AX304="K",VLOOKUP(L304,Foundation_Calc!$V$41:$X$74,VLOOKUP(AX304,Foundation_Calc!$I$10:$J$13,2,FALSE),0),"")))</f>
        <v/>
      </c>
      <c r="N304" s="468" t="s">
        <v>191</v>
      </c>
      <c r="O304" s="468" t="s">
        <v>191</v>
      </c>
      <c r="P304" s="468"/>
      <c r="Q304" s="4"/>
      <c r="R304" s="6"/>
      <c r="S304" s="6"/>
      <c r="T304" s="4">
        <v>-10</v>
      </c>
      <c r="U304" s="4">
        <v>-30</v>
      </c>
      <c r="V304" s="4"/>
      <c r="W304" s="9">
        <v>0.9</v>
      </c>
      <c r="X304" s="9">
        <v>1</v>
      </c>
      <c r="Y304" s="9"/>
      <c r="Z304" s="9">
        <v>0.15</v>
      </c>
      <c r="AA304" s="9"/>
      <c r="AB304" s="9"/>
      <c r="AC304" s="468" t="s">
        <v>1078</v>
      </c>
      <c r="AD304" s="468" t="s">
        <v>1078</v>
      </c>
      <c r="AE304" s="468"/>
      <c r="AF304" s="4"/>
      <c r="AG304" s="88"/>
      <c r="AH304" s="4"/>
      <c r="AI304" s="4"/>
      <c r="AJ304" s="468"/>
      <c r="AK304" s="468" t="s">
        <v>42</v>
      </c>
      <c r="AL304" s="468"/>
      <c r="AM304" s="468" t="s">
        <v>2458</v>
      </c>
      <c r="AN304" s="10">
        <v>5.15</v>
      </c>
      <c r="AO304" s="9"/>
      <c r="AP304" s="9"/>
      <c r="AQ304" s="9"/>
      <c r="AR304" s="9"/>
      <c r="AS304" s="9"/>
      <c r="AT304" s="9"/>
      <c r="AU304" s="447"/>
      <c r="AV304" s="447"/>
      <c r="AW304" s="468" t="s">
        <v>199</v>
      </c>
      <c r="AX304" s="468" t="s">
        <v>199</v>
      </c>
      <c r="AY304" s="10"/>
      <c r="AZ304" s="10"/>
      <c r="BA304" s="553" t="str">
        <f t="shared" si="30"/>
        <v/>
      </c>
      <c r="BB304" s="553" t="str">
        <f t="shared" si="31"/>
        <v/>
      </c>
      <c r="BC304" s="553" t="str">
        <f t="shared" si="29"/>
        <v/>
      </c>
      <c r="BD304" s="572"/>
      <c r="BE304" s="448" t="s">
        <v>1726</v>
      </c>
      <c r="BF304" s="305"/>
      <c r="BG304" s="305"/>
      <c r="BH304" s="306"/>
      <c r="BI304" s="305"/>
    </row>
    <row r="305" spans="1:61" ht="16.2" customHeight="1">
      <c r="A305" s="582" t="s">
        <v>383</v>
      </c>
      <c r="B305" s="469"/>
      <c r="C305" s="3"/>
      <c r="D305" s="88"/>
      <c r="E305" s="4"/>
      <c r="F305" s="4"/>
      <c r="G305" s="6">
        <v>30.3</v>
      </c>
      <c r="H305" s="468"/>
      <c r="I305" s="468"/>
      <c r="J305" s="3"/>
      <c r="K305" s="468"/>
      <c r="L305" s="468"/>
      <c r="M305" s="468" t="str">
        <f>IF(L305="","",
IF(AX305="PT",VLOOKUP(L305,Foundation_Calc!$V$4:$X$37,VLOOKUP(AX305,Foundation_Calc!$I$10:$J$13,2,FALSE),0),
IF(AX305="K",VLOOKUP(L305,Foundation_Calc!$V$41:$X$74,VLOOKUP(AX305,Foundation_Calc!$I$10:$J$13,2,FALSE),0),"")))</f>
        <v/>
      </c>
      <c r="N305" s="468"/>
      <c r="O305" s="468"/>
      <c r="P305" s="468"/>
      <c r="Q305" s="4"/>
      <c r="R305" s="6"/>
      <c r="S305" s="6"/>
      <c r="T305" s="4"/>
      <c r="U305" s="4"/>
      <c r="V305" s="4"/>
      <c r="W305" s="9"/>
      <c r="X305" s="9"/>
      <c r="Y305" s="9"/>
      <c r="Z305" s="9"/>
      <c r="AA305" s="9"/>
      <c r="AB305" s="9"/>
      <c r="AC305" s="468" t="str">
        <f t="shared" si="32"/>
        <v/>
      </c>
      <c r="AD305" s="468"/>
      <c r="AE305" s="468"/>
      <c r="AF305" s="4"/>
      <c r="AG305" s="88"/>
      <c r="AH305" s="4"/>
      <c r="AI305" s="4"/>
      <c r="AJ305" s="468"/>
      <c r="AK305" s="468"/>
      <c r="AL305" s="468"/>
      <c r="AM305" s="468"/>
      <c r="AN305" s="10"/>
      <c r="AO305" s="9"/>
      <c r="AP305" s="9"/>
      <c r="AQ305" s="9"/>
      <c r="AR305" s="9"/>
      <c r="AS305" s="9"/>
      <c r="AT305" s="9"/>
      <c r="AU305" s="447"/>
      <c r="AV305" s="447"/>
      <c r="AW305" s="468"/>
      <c r="AX305" s="468"/>
      <c r="AY305" s="10"/>
      <c r="AZ305" s="10"/>
      <c r="BA305" s="553" t="str">
        <f t="shared" si="30"/>
        <v/>
      </c>
      <c r="BB305" s="553" t="str">
        <f t="shared" si="31"/>
        <v/>
      </c>
      <c r="BC305" s="553" t="str">
        <f t="shared" si="29"/>
        <v/>
      </c>
      <c r="BD305" s="572"/>
      <c r="BE305" s="448" t="s">
        <v>1726</v>
      </c>
      <c r="BF305" s="306"/>
      <c r="BG305" s="306"/>
      <c r="BH305" s="306"/>
      <c r="BI305" s="306"/>
    </row>
    <row r="306" spans="1:61" ht="16.2" customHeight="1">
      <c r="A306" s="582" t="s">
        <v>383</v>
      </c>
      <c r="B306" s="469" t="s">
        <v>2007</v>
      </c>
      <c r="C306" s="3">
        <f>+$C$304+$G$305</f>
        <v>6354.93</v>
      </c>
      <c r="D306" s="88"/>
      <c r="E306" s="4"/>
      <c r="F306" s="4">
        <v>1346.22</v>
      </c>
      <c r="G306" s="6"/>
      <c r="H306" s="468" t="s">
        <v>180</v>
      </c>
      <c r="I306" s="468"/>
      <c r="J306" s="3"/>
      <c r="K306" s="468"/>
      <c r="L306" s="468"/>
      <c r="M306" s="468" t="str">
        <f>IF(L306="","",
IF(AX306="PT",VLOOKUP(L306,Foundation_Calc!$V$4:$X$37,VLOOKUP(AX306,Foundation_Calc!$I$10:$J$13,2,FALSE),0),
IF(AX306="K",VLOOKUP(L306,Foundation_Calc!$V$41:$X$74,VLOOKUP(AX306,Foundation_Calc!$I$10:$J$13,2,FALSE),0),"")))</f>
        <v/>
      </c>
      <c r="N306" s="468" t="s">
        <v>191</v>
      </c>
      <c r="O306" s="468" t="s">
        <v>191</v>
      </c>
      <c r="P306" s="468"/>
      <c r="Q306" s="4"/>
      <c r="R306" s="6"/>
      <c r="S306" s="6"/>
      <c r="T306" s="4">
        <v>-10</v>
      </c>
      <c r="U306" s="4">
        <v>-30</v>
      </c>
      <c r="V306" s="4"/>
      <c r="W306" s="9">
        <v>0.9</v>
      </c>
      <c r="X306" s="9">
        <v>1</v>
      </c>
      <c r="Y306" s="9"/>
      <c r="Z306" s="9"/>
      <c r="AA306" s="9">
        <v>0.15</v>
      </c>
      <c r="AB306" s="9"/>
      <c r="AC306" s="468" t="s">
        <v>2512</v>
      </c>
      <c r="AD306" s="468" t="s">
        <v>1078</v>
      </c>
      <c r="AE306" s="468"/>
      <c r="AF306" s="4"/>
      <c r="AG306" s="88"/>
      <c r="AH306" s="4"/>
      <c r="AI306" s="4"/>
      <c r="AJ306" s="468"/>
      <c r="AK306" s="468" t="s">
        <v>42</v>
      </c>
      <c r="AL306" s="468"/>
      <c r="AM306" s="468" t="s">
        <v>2458</v>
      </c>
      <c r="AN306" s="10">
        <v>5.15</v>
      </c>
      <c r="AO306" s="9"/>
      <c r="AP306" s="9"/>
      <c r="AQ306" s="9"/>
      <c r="AR306" s="9"/>
      <c r="AS306" s="9"/>
      <c r="AT306" s="9"/>
      <c r="AU306" s="447"/>
      <c r="AV306" s="447"/>
      <c r="AW306" s="468" t="s">
        <v>199</v>
      </c>
      <c r="AX306" s="468" t="s">
        <v>199</v>
      </c>
      <c r="AY306" s="10"/>
      <c r="AZ306" s="10"/>
      <c r="BA306" s="553" t="str">
        <f t="shared" si="30"/>
        <v/>
      </c>
      <c r="BB306" s="553" t="str">
        <f t="shared" si="31"/>
        <v/>
      </c>
      <c r="BC306" s="553" t="str">
        <f t="shared" si="29"/>
        <v/>
      </c>
      <c r="BD306" s="572"/>
      <c r="BE306" s="448" t="s">
        <v>1726</v>
      </c>
      <c r="BF306" s="305"/>
      <c r="BG306" s="305"/>
      <c r="BH306" s="306"/>
      <c r="BI306" s="305"/>
    </row>
    <row r="307" spans="1:61" ht="16.2" customHeight="1">
      <c r="A307" s="582" t="s">
        <v>383</v>
      </c>
      <c r="B307" s="469"/>
      <c r="C307" s="3"/>
      <c r="D307" s="88"/>
      <c r="E307" s="4"/>
      <c r="F307" s="4"/>
      <c r="G307" s="6">
        <v>30.1</v>
      </c>
      <c r="H307" s="468"/>
      <c r="I307" s="468"/>
      <c r="J307" s="3"/>
      <c r="K307" s="468"/>
      <c r="L307" s="468"/>
      <c r="M307" s="468" t="str">
        <f>IF(L307="","",
IF(AX307="PT",VLOOKUP(L307,Foundation_Calc!$V$4:$X$37,VLOOKUP(AX307,Foundation_Calc!$I$10:$J$13,2,FALSE),0),
IF(AX307="K",VLOOKUP(L307,Foundation_Calc!$V$41:$X$74,VLOOKUP(AX307,Foundation_Calc!$I$10:$J$13,2,FALSE),0),"")))</f>
        <v/>
      </c>
      <c r="N307" s="468"/>
      <c r="O307" s="468"/>
      <c r="P307" s="468"/>
      <c r="Q307" s="4"/>
      <c r="R307" s="6"/>
      <c r="S307" s="6"/>
      <c r="T307" s="4"/>
      <c r="U307" s="4"/>
      <c r="V307" s="4"/>
      <c r="W307" s="9"/>
      <c r="X307" s="9"/>
      <c r="Y307" s="9"/>
      <c r="Z307" s="9"/>
      <c r="AA307" s="9"/>
      <c r="AB307" s="9"/>
      <c r="AC307" s="468" t="str">
        <f t="shared" si="32"/>
        <v/>
      </c>
      <c r="AD307" s="468"/>
      <c r="AE307" s="468"/>
      <c r="AF307" s="4"/>
      <c r="AG307" s="88"/>
      <c r="AH307" s="4"/>
      <c r="AI307" s="4"/>
      <c r="AJ307" s="468"/>
      <c r="AK307" s="468"/>
      <c r="AL307" s="468"/>
      <c r="AM307" s="468"/>
      <c r="AN307" s="10"/>
      <c r="AO307" s="9"/>
      <c r="AP307" s="9"/>
      <c r="AQ307" s="9"/>
      <c r="AR307" s="9"/>
      <c r="AS307" s="9"/>
      <c r="AT307" s="9"/>
      <c r="AU307" s="447"/>
      <c r="AV307" s="447"/>
      <c r="AW307" s="468"/>
      <c r="AX307" s="468"/>
      <c r="AY307" s="10"/>
      <c r="AZ307" s="10"/>
      <c r="BA307" s="553" t="str">
        <f t="shared" si="30"/>
        <v/>
      </c>
      <c r="BB307" s="553" t="str">
        <f t="shared" si="31"/>
        <v/>
      </c>
      <c r="BC307" s="553" t="str">
        <f t="shared" si="29"/>
        <v/>
      </c>
      <c r="BD307" s="572"/>
      <c r="BE307" s="448" t="s">
        <v>1726</v>
      </c>
      <c r="BF307" s="306"/>
      <c r="BG307" s="306"/>
      <c r="BH307" s="306"/>
      <c r="BI307" s="306"/>
    </row>
    <row r="308" spans="1:61" ht="16.2" customHeight="1">
      <c r="A308" s="582" t="s">
        <v>383</v>
      </c>
      <c r="B308" s="469" t="s">
        <v>2008</v>
      </c>
      <c r="C308" s="3">
        <f>+$C$306+$G$307</f>
        <v>6385.0300000000007</v>
      </c>
      <c r="D308" s="88"/>
      <c r="E308" s="4"/>
      <c r="F308" s="4">
        <v>1346.22</v>
      </c>
      <c r="G308" s="6"/>
      <c r="H308" s="468" t="s">
        <v>179</v>
      </c>
      <c r="I308" s="468"/>
      <c r="J308" s="3"/>
      <c r="K308" s="468"/>
      <c r="L308" s="468"/>
      <c r="M308" s="468" t="str">
        <f>IF(L308="","",
IF(AX308="PT",VLOOKUP(L308,Foundation_Calc!$V$4:$X$37,VLOOKUP(AX308,Foundation_Calc!$I$10:$J$13,2,FALSE),0),
IF(AX308="K",VLOOKUP(L308,Foundation_Calc!$V$41:$X$74,VLOOKUP(AX308,Foundation_Calc!$I$10:$J$13,2,FALSE),0),"")))</f>
        <v/>
      </c>
      <c r="N308" s="468" t="s">
        <v>191</v>
      </c>
      <c r="O308" s="468" t="s">
        <v>193</v>
      </c>
      <c r="P308" s="468"/>
      <c r="Q308" s="4"/>
      <c r="R308" s="6"/>
      <c r="S308" s="6"/>
      <c r="T308" s="4">
        <v>-30</v>
      </c>
      <c r="U308" s="4">
        <v>-50</v>
      </c>
      <c r="V308" s="4"/>
      <c r="W308" s="9">
        <v>0.9</v>
      </c>
      <c r="X308" s="9">
        <v>1</v>
      </c>
      <c r="Y308" s="9"/>
      <c r="Z308" s="9"/>
      <c r="AA308" s="9">
        <v>0.45</v>
      </c>
      <c r="AB308" s="9"/>
      <c r="AC308" s="468" t="s">
        <v>1078</v>
      </c>
      <c r="AD308" s="468"/>
      <c r="AE308" s="468"/>
      <c r="AF308" s="4"/>
      <c r="AG308" s="88"/>
      <c r="AH308" s="4"/>
      <c r="AI308" s="4"/>
      <c r="AJ308" s="468"/>
      <c r="AK308" s="468" t="s">
        <v>42</v>
      </c>
      <c r="AL308" s="468"/>
      <c r="AM308" s="468" t="s">
        <v>2458</v>
      </c>
      <c r="AN308" s="10">
        <v>5.15</v>
      </c>
      <c r="AO308" s="9"/>
      <c r="AP308" s="9"/>
      <c r="AQ308" s="9"/>
      <c r="AR308" s="9"/>
      <c r="AS308" s="9"/>
      <c r="AT308" s="9"/>
      <c r="AU308" s="447"/>
      <c r="AV308" s="447"/>
      <c r="AW308" s="468" t="s">
        <v>199</v>
      </c>
      <c r="AX308" s="468" t="s">
        <v>199</v>
      </c>
      <c r="AY308" s="10"/>
      <c r="AZ308" s="10"/>
      <c r="BA308" s="553" t="str">
        <f t="shared" si="30"/>
        <v/>
      </c>
      <c r="BB308" s="553" t="str">
        <f t="shared" si="31"/>
        <v/>
      </c>
      <c r="BC308" s="553" t="str">
        <f t="shared" si="29"/>
        <v/>
      </c>
      <c r="BD308" s="572"/>
      <c r="BE308" s="448" t="s">
        <v>1726</v>
      </c>
      <c r="BF308" s="305"/>
      <c r="BG308" s="305"/>
      <c r="BH308" s="306"/>
      <c r="BI308" s="305"/>
    </row>
    <row r="309" spans="1:61" ht="16.2" customHeight="1">
      <c r="A309" s="582" t="s">
        <v>383</v>
      </c>
      <c r="B309" s="469"/>
      <c r="C309" s="3"/>
      <c r="D309" s="88"/>
      <c r="E309" s="4"/>
      <c r="F309" s="4"/>
      <c r="G309" s="6">
        <v>30</v>
      </c>
      <c r="H309" s="468"/>
      <c r="I309" s="4">
        <f>SUM(G271:G309)</f>
        <v>600.9</v>
      </c>
      <c r="J309" s="3"/>
      <c r="K309" s="468"/>
      <c r="L309" s="468"/>
      <c r="M309" s="468" t="str">
        <f>IF(L309="","",
IF(AX309="PT",VLOOKUP(L309,Foundation_Calc!$V$4:$X$37,VLOOKUP(AX309,Foundation_Calc!$I$10:$J$13,2,FALSE),0),
IF(AX309="K",VLOOKUP(L309,Foundation_Calc!$V$41:$X$74,VLOOKUP(AX309,Foundation_Calc!$I$10:$J$13,2,FALSE),0),"")))</f>
        <v/>
      </c>
      <c r="N309" s="468"/>
      <c r="O309" s="468"/>
      <c r="P309" s="468"/>
      <c r="Q309" s="4"/>
      <c r="R309" s="6"/>
      <c r="S309" s="6"/>
      <c r="T309" s="4"/>
      <c r="U309" s="4"/>
      <c r="V309" s="4"/>
      <c r="W309" s="9"/>
      <c r="X309" s="9"/>
      <c r="Y309" s="9"/>
      <c r="Z309" s="9"/>
      <c r="AA309" s="9"/>
      <c r="AB309" s="9"/>
      <c r="AC309" s="468" t="str">
        <f t="shared" si="32"/>
        <v/>
      </c>
      <c r="AD309" s="468"/>
      <c r="AE309" s="468"/>
      <c r="AF309" s="4"/>
      <c r="AG309" s="88"/>
      <c r="AH309" s="4"/>
      <c r="AI309" s="4"/>
      <c r="AJ309" s="468"/>
      <c r="AK309" s="468"/>
      <c r="AL309" s="468"/>
      <c r="AM309" s="468"/>
      <c r="AN309" s="10"/>
      <c r="AO309" s="9"/>
      <c r="AP309" s="9"/>
      <c r="AQ309" s="9"/>
      <c r="AR309" s="9"/>
      <c r="AS309" s="9"/>
      <c r="AT309" s="9"/>
      <c r="AU309" s="447"/>
      <c r="AV309" s="447"/>
      <c r="AW309" s="468"/>
      <c r="AX309" s="468"/>
      <c r="AY309" s="10"/>
      <c r="AZ309" s="10"/>
      <c r="BA309" s="553" t="str">
        <f t="shared" si="30"/>
        <v/>
      </c>
      <c r="BB309" s="553" t="str">
        <f t="shared" si="31"/>
        <v/>
      </c>
      <c r="BC309" s="553" t="str">
        <f t="shared" si="29"/>
        <v/>
      </c>
      <c r="BD309" s="572"/>
      <c r="BE309" s="448" t="s">
        <v>1726</v>
      </c>
      <c r="BF309" s="306"/>
      <c r="BG309" s="306"/>
      <c r="BH309" s="306"/>
      <c r="BI309" s="306"/>
    </row>
    <row r="310" spans="1:61" ht="16.2" customHeight="1">
      <c r="A310" s="582" t="s">
        <v>383</v>
      </c>
      <c r="B310" s="469" t="s">
        <v>2009</v>
      </c>
      <c r="C310" s="3">
        <f>+$C$308+$G$309</f>
        <v>6415.0300000000007</v>
      </c>
      <c r="D310" s="88"/>
      <c r="E310" s="4"/>
      <c r="F310" s="4">
        <v>0</v>
      </c>
      <c r="G310" s="6"/>
      <c r="H310" s="468" t="s">
        <v>26</v>
      </c>
      <c r="I310" s="468" t="s">
        <v>339</v>
      </c>
      <c r="J310" s="3">
        <f>C310-10</f>
        <v>6405.0300000000007</v>
      </c>
      <c r="K310" s="468" t="s">
        <v>447</v>
      </c>
      <c r="L310" s="468"/>
      <c r="M310" s="468" t="str">
        <f>IF(L310="","",
IF(AX310="PT",VLOOKUP(L310,Foundation_Calc!$V$4:$X$37,VLOOKUP(AX310,Foundation_Calc!$I$10:$J$13,2,FALSE),0),
IF(AX310="K",VLOOKUP(L310,Foundation_Calc!$V$41:$X$74,VLOOKUP(AX310,Foundation_Calc!$I$10:$J$13,2,FALSE),0),"")))</f>
        <v/>
      </c>
      <c r="N310" s="468" t="s">
        <v>192</v>
      </c>
      <c r="O310" s="468"/>
      <c r="P310" s="468"/>
      <c r="Q310" s="4"/>
      <c r="R310" s="6"/>
      <c r="S310" s="6"/>
      <c r="T310" s="4">
        <v>25</v>
      </c>
      <c r="U310" s="4"/>
      <c r="V310" s="4"/>
      <c r="W310" s="9">
        <v>1</v>
      </c>
      <c r="X310" s="9"/>
      <c r="Y310" s="9"/>
      <c r="Z310" s="9"/>
      <c r="AA310" s="9"/>
      <c r="AB310" s="9"/>
      <c r="AC310" s="468" t="s">
        <v>630</v>
      </c>
      <c r="AD310" s="468"/>
      <c r="AE310" s="468"/>
      <c r="AF310" s="4"/>
      <c r="AG310" s="88"/>
      <c r="AH310" s="4"/>
      <c r="AI310" s="4"/>
      <c r="AJ310" s="468"/>
      <c r="AK310" s="468" t="s">
        <v>41</v>
      </c>
      <c r="AL310" s="468"/>
      <c r="AM310" s="468" t="s">
        <v>2458</v>
      </c>
      <c r="AN310" s="10">
        <v>5.15</v>
      </c>
      <c r="AO310" s="9"/>
      <c r="AP310" s="9"/>
      <c r="AQ310" s="9"/>
      <c r="AR310" s="9"/>
      <c r="AS310" s="9"/>
      <c r="AT310" s="9"/>
      <c r="AU310" s="447"/>
      <c r="AV310" s="447"/>
      <c r="AW310" s="468" t="s">
        <v>199</v>
      </c>
      <c r="AX310" s="468" t="s">
        <v>199</v>
      </c>
      <c r="AY310" s="10"/>
      <c r="AZ310" s="10"/>
      <c r="BA310" s="553" t="str">
        <f t="shared" si="30"/>
        <v/>
      </c>
      <c r="BB310" s="553" t="str">
        <f t="shared" si="31"/>
        <v/>
      </c>
      <c r="BC310" s="553" t="str">
        <f t="shared" si="29"/>
        <v/>
      </c>
      <c r="BD310" s="572"/>
      <c r="BE310" s="448" t="s">
        <v>1726</v>
      </c>
      <c r="BF310" s="305"/>
      <c r="BG310" s="305"/>
      <c r="BH310" s="306"/>
      <c r="BI310" s="305"/>
    </row>
    <row r="311" spans="1:61" ht="16.2" customHeight="1">
      <c r="A311" s="582" t="s">
        <v>383</v>
      </c>
      <c r="B311" s="469"/>
      <c r="C311" s="3"/>
      <c r="D311" s="88"/>
      <c r="E311" s="4"/>
      <c r="F311" s="4"/>
      <c r="G311" s="6">
        <v>30</v>
      </c>
      <c r="H311" s="468"/>
      <c r="I311" s="468"/>
      <c r="J311" s="3"/>
      <c r="K311" s="468"/>
      <c r="L311" s="468"/>
      <c r="M311" s="468" t="str">
        <f>IF(L311="","",
IF(AX311="PT",VLOOKUP(L311,Foundation_Calc!$V$4:$X$37,VLOOKUP(AX311,Foundation_Calc!$I$10:$J$13,2,FALSE),0),
IF(AX311="K",VLOOKUP(L311,Foundation_Calc!$V$41:$X$74,VLOOKUP(AX311,Foundation_Calc!$I$10:$J$13,2,FALSE),0),"")))</f>
        <v/>
      </c>
      <c r="N311" s="468"/>
      <c r="O311" s="468"/>
      <c r="P311" s="468"/>
      <c r="Q311" s="4"/>
      <c r="R311" s="6"/>
      <c r="S311" s="6"/>
      <c r="T311" s="4"/>
      <c r="U311" s="4"/>
      <c r="V311" s="4"/>
      <c r="W311" s="9"/>
      <c r="X311" s="9"/>
      <c r="Y311" s="9"/>
      <c r="Z311" s="9"/>
      <c r="AA311" s="9"/>
      <c r="AB311" s="9"/>
      <c r="AC311" s="468" t="str">
        <f t="shared" si="32"/>
        <v/>
      </c>
      <c r="AD311" s="468"/>
      <c r="AE311" s="468"/>
      <c r="AF311" s="4"/>
      <c r="AG311" s="88"/>
      <c r="AH311" s="4"/>
      <c r="AI311" s="4"/>
      <c r="AJ311" s="468"/>
      <c r="AK311" s="468"/>
      <c r="AL311" s="468"/>
      <c r="AM311" s="468"/>
      <c r="AN311" s="10"/>
      <c r="AO311" s="9"/>
      <c r="AP311" s="9"/>
      <c r="AQ311" s="9"/>
      <c r="AR311" s="9"/>
      <c r="AS311" s="9"/>
      <c r="AT311" s="9"/>
      <c r="AU311" s="447"/>
      <c r="AV311" s="447"/>
      <c r="AW311" s="468"/>
      <c r="AX311" s="468"/>
      <c r="AY311" s="10"/>
      <c r="AZ311" s="10"/>
      <c r="BA311" s="553" t="str">
        <f t="shared" si="30"/>
        <v/>
      </c>
      <c r="BB311" s="553" t="str">
        <f t="shared" si="31"/>
        <v/>
      </c>
      <c r="BC311" s="553" t="str">
        <f t="shared" si="29"/>
        <v/>
      </c>
      <c r="BD311" s="572"/>
      <c r="BE311" s="448" t="s">
        <v>1726</v>
      </c>
      <c r="BF311" s="306"/>
      <c r="BG311" s="306"/>
      <c r="BH311" s="306"/>
      <c r="BI311" s="306"/>
    </row>
    <row r="312" spans="1:61" ht="16.2" customHeight="1">
      <c r="A312" s="582" t="s">
        <v>383</v>
      </c>
      <c r="B312" s="469" t="s">
        <v>2010</v>
      </c>
      <c r="C312" s="3">
        <f>+$C$310+$G$311</f>
        <v>6445.0300000000007</v>
      </c>
      <c r="D312" s="88"/>
      <c r="E312" s="4"/>
      <c r="F312" s="4">
        <v>0</v>
      </c>
      <c r="G312" s="6"/>
      <c r="H312" s="468"/>
      <c r="I312" s="468"/>
      <c r="J312" s="3"/>
      <c r="K312" s="468"/>
      <c r="L312" s="468"/>
      <c r="M312" s="468" t="str">
        <f>IF(L312="","",
IF(AX312="PT",VLOOKUP(L312,Foundation_Calc!$V$4:$X$37,VLOOKUP(AX312,Foundation_Calc!$I$10:$J$13,2,FALSE),0),
IF(AX312="K",VLOOKUP(L312,Foundation_Calc!$V$41:$X$74,VLOOKUP(AX312,Foundation_Calc!$I$10:$J$13,2,FALSE),0),"")))</f>
        <v/>
      </c>
      <c r="N312" s="468" t="s">
        <v>191</v>
      </c>
      <c r="O312" s="468"/>
      <c r="P312" s="468"/>
      <c r="Q312" s="4"/>
      <c r="R312" s="6"/>
      <c r="S312" s="6"/>
      <c r="T312" s="4">
        <v>-25</v>
      </c>
      <c r="U312" s="4"/>
      <c r="V312" s="4"/>
      <c r="W312" s="9">
        <v>1</v>
      </c>
      <c r="X312" s="9"/>
      <c r="Y312" s="9"/>
      <c r="Z312" s="9"/>
      <c r="AA312" s="9"/>
      <c r="AB312" s="9"/>
      <c r="AC312" s="468" t="s">
        <v>630</v>
      </c>
      <c r="AD312" s="468"/>
      <c r="AE312" s="468"/>
      <c r="AF312" s="4"/>
      <c r="AG312" s="88"/>
      <c r="AH312" s="4"/>
      <c r="AI312" s="4"/>
      <c r="AJ312" s="468"/>
      <c r="AK312" s="468" t="s">
        <v>41</v>
      </c>
      <c r="AL312" s="468"/>
      <c r="AM312" s="468" t="s">
        <v>2458</v>
      </c>
      <c r="AN312" s="10">
        <v>5.15</v>
      </c>
      <c r="AO312" s="9"/>
      <c r="AP312" s="9"/>
      <c r="AQ312" s="9"/>
      <c r="AR312" s="9"/>
      <c r="AS312" s="9"/>
      <c r="AT312" s="9"/>
      <c r="AU312" s="447"/>
      <c r="AV312" s="447"/>
      <c r="AW312" s="468" t="s">
        <v>199</v>
      </c>
      <c r="AX312" s="468" t="s">
        <v>199</v>
      </c>
      <c r="AY312" s="10"/>
      <c r="AZ312" s="10"/>
      <c r="BA312" s="553" t="str">
        <f t="shared" si="30"/>
        <v/>
      </c>
      <c r="BB312" s="553" t="str">
        <f t="shared" si="31"/>
        <v/>
      </c>
      <c r="BC312" s="553" t="str">
        <f t="shared" si="29"/>
        <v/>
      </c>
      <c r="BD312" s="572"/>
      <c r="BE312" s="448" t="s">
        <v>1726</v>
      </c>
      <c r="BF312" s="305"/>
      <c r="BG312" s="305"/>
      <c r="BH312" s="306"/>
      <c r="BI312" s="305"/>
    </row>
    <row r="313" spans="1:61" ht="16.2" customHeight="1">
      <c r="A313" s="582" t="s">
        <v>383</v>
      </c>
      <c r="B313" s="469"/>
      <c r="C313" s="3"/>
      <c r="D313" s="88"/>
      <c r="E313" s="4"/>
      <c r="F313" s="4"/>
      <c r="G313" s="6">
        <v>30</v>
      </c>
      <c r="H313" s="468"/>
      <c r="I313" s="468"/>
      <c r="J313" s="3"/>
      <c r="K313" s="468"/>
      <c r="L313" s="468"/>
      <c r="M313" s="468" t="str">
        <f>IF(L313="","",
IF(AX313="PT",VLOOKUP(L313,Foundation_Calc!$V$4:$X$37,VLOOKUP(AX313,Foundation_Calc!$I$10:$J$13,2,FALSE),0),
IF(AX313="K",VLOOKUP(L313,Foundation_Calc!$V$41:$X$74,VLOOKUP(AX313,Foundation_Calc!$I$10:$J$13,2,FALSE),0),"")))</f>
        <v/>
      </c>
      <c r="N313" s="468"/>
      <c r="O313" s="468"/>
      <c r="P313" s="468"/>
      <c r="Q313" s="4"/>
      <c r="R313" s="6"/>
      <c r="S313" s="6"/>
      <c r="T313" s="4"/>
      <c r="U313" s="4"/>
      <c r="V313" s="4"/>
      <c r="W313" s="9"/>
      <c r="X313" s="9"/>
      <c r="Y313" s="9"/>
      <c r="Z313" s="9"/>
      <c r="AA313" s="9"/>
      <c r="AB313" s="9"/>
      <c r="AC313" s="468" t="str">
        <f t="shared" si="32"/>
        <v/>
      </c>
      <c r="AD313" s="468"/>
      <c r="AE313" s="468"/>
      <c r="AF313" s="4"/>
      <c r="AG313" s="88"/>
      <c r="AH313" s="4"/>
      <c r="AI313" s="4"/>
      <c r="AJ313" s="468"/>
      <c r="AK313" s="468"/>
      <c r="AL313" s="468"/>
      <c r="AM313" s="468"/>
      <c r="AN313" s="10"/>
      <c r="AO313" s="9"/>
      <c r="AP313" s="9"/>
      <c r="AQ313" s="9"/>
      <c r="AR313" s="9"/>
      <c r="AS313" s="9"/>
      <c r="AT313" s="9"/>
      <c r="AU313" s="447"/>
      <c r="AV313" s="447"/>
      <c r="AW313" s="468"/>
      <c r="AX313" s="468"/>
      <c r="AY313" s="10"/>
      <c r="AZ313" s="10"/>
      <c r="BA313" s="553" t="str">
        <f t="shared" si="30"/>
        <v/>
      </c>
      <c r="BB313" s="553" t="str">
        <f t="shared" si="31"/>
        <v/>
      </c>
      <c r="BC313" s="553" t="str">
        <f t="shared" si="29"/>
        <v/>
      </c>
      <c r="BD313" s="572"/>
      <c r="BE313" s="448" t="s">
        <v>1726</v>
      </c>
      <c r="BF313" s="306"/>
      <c r="BG313" s="306"/>
      <c r="BH313" s="306"/>
      <c r="BI313" s="306"/>
    </row>
    <row r="314" spans="1:61" ht="16.2" customHeight="1">
      <c r="A314" s="582" t="s">
        <v>383</v>
      </c>
      <c r="B314" s="469" t="s">
        <v>2011</v>
      </c>
      <c r="C314" s="3">
        <f>+$C$312+$G$313</f>
        <v>6475.0300000000007</v>
      </c>
      <c r="D314" s="88"/>
      <c r="E314" s="4"/>
      <c r="F314" s="4">
        <v>-1828.93</v>
      </c>
      <c r="G314" s="6"/>
      <c r="H314" s="468"/>
      <c r="I314" s="468"/>
      <c r="J314" s="3"/>
      <c r="K314" s="468"/>
      <c r="L314" s="468"/>
      <c r="M314" s="468" t="str">
        <f>IF(L314="","",
IF(AX314="PT",VLOOKUP(L314,Foundation_Calc!$V$4:$X$37,VLOOKUP(AX314,Foundation_Calc!$I$10:$J$13,2,FALSE),0),
IF(AX314="K",VLOOKUP(L314,Foundation_Calc!$V$41:$X$74,VLOOKUP(AX314,Foundation_Calc!$I$10:$J$13,2,FALSE),0),"")))</f>
        <v/>
      </c>
      <c r="N314" s="468" t="s">
        <v>192</v>
      </c>
      <c r="O314" s="468"/>
      <c r="P314" s="468"/>
      <c r="Q314" s="4"/>
      <c r="R314" s="6"/>
      <c r="S314" s="6"/>
      <c r="T314" s="4">
        <v>25</v>
      </c>
      <c r="U314" s="4"/>
      <c r="V314" s="4"/>
      <c r="W314" s="9">
        <v>1</v>
      </c>
      <c r="X314" s="9"/>
      <c r="Y314" s="9"/>
      <c r="Z314" s="9"/>
      <c r="AA314" s="9"/>
      <c r="AB314" s="9"/>
      <c r="AC314" s="468" t="s">
        <v>1341</v>
      </c>
      <c r="AD314" s="468"/>
      <c r="AE314" s="468"/>
      <c r="AF314" s="4"/>
      <c r="AG314" s="88"/>
      <c r="AH314" s="4"/>
      <c r="AI314" s="4"/>
      <c r="AJ314" s="468"/>
      <c r="AK314" s="468" t="s">
        <v>41</v>
      </c>
      <c r="AL314" s="468"/>
      <c r="AM314" s="468" t="s">
        <v>2458</v>
      </c>
      <c r="AN314" s="10">
        <v>5.15</v>
      </c>
      <c r="AO314" s="9"/>
      <c r="AP314" s="9"/>
      <c r="AQ314" s="9"/>
      <c r="AR314" s="9"/>
      <c r="AS314" s="9"/>
      <c r="AT314" s="9"/>
      <c r="AU314" s="447"/>
      <c r="AV314" s="447"/>
      <c r="AW314" s="468" t="s">
        <v>199</v>
      </c>
      <c r="AX314" s="468" t="s">
        <v>199</v>
      </c>
      <c r="AY314" s="10"/>
      <c r="AZ314" s="10"/>
      <c r="BA314" s="553" t="str">
        <f t="shared" si="30"/>
        <v/>
      </c>
      <c r="BB314" s="553" t="str">
        <f t="shared" si="31"/>
        <v/>
      </c>
      <c r="BC314" s="553" t="str">
        <f t="shared" si="29"/>
        <v/>
      </c>
      <c r="BD314" s="572"/>
      <c r="BE314" s="448" t="s">
        <v>1726</v>
      </c>
      <c r="BF314" s="305"/>
      <c r="BG314" s="305"/>
      <c r="BH314" s="306"/>
      <c r="BI314" s="305"/>
    </row>
    <row r="315" spans="1:61" ht="16.2" customHeight="1">
      <c r="A315" s="582" t="s">
        <v>383</v>
      </c>
      <c r="B315" s="469"/>
      <c r="C315" s="3"/>
      <c r="D315" s="88"/>
      <c r="E315" s="4"/>
      <c r="F315" s="4"/>
      <c r="G315" s="6">
        <v>29.9</v>
      </c>
      <c r="H315" s="468"/>
      <c r="I315" s="468"/>
      <c r="J315" s="3"/>
      <c r="K315" s="468"/>
      <c r="L315" s="468"/>
      <c r="M315" s="468" t="str">
        <f>IF(L315="","",
IF(AX315="PT",VLOOKUP(L315,Foundation_Calc!$V$4:$X$37,VLOOKUP(AX315,Foundation_Calc!$I$10:$J$13,2,FALSE),0),
IF(AX315="K",VLOOKUP(L315,Foundation_Calc!$V$41:$X$74,VLOOKUP(AX315,Foundation_Calc!$I$10:$J$13,2,FALSE),0),"")))</f>
        <v/>
      </c>
      <c r="N315" s="468"/>
      <c r="O315" s="468"/>
      <c r="P315" s="468"/>
      <c r="Q315" s="4"/>
      <c r="R315" s="6"/>
      <c r="S315" s="6"/>
      <c r="T315" s="4"/>
      <c r="U315" s="4"/>
      <c r="V315" s="4"/>
      <c r="W315" s="9"/>
      <c r="X315" s="9"/>
      <c r="Y315" s="9"/>
      <c r="Z315" s="9"/>
      <c r="AA315" s="9"/>
      <c r="AB315" s="9"/>
      <c r="AC315" s="468" t="str">
        <f t="shared" si="32"/>
        <v/>
      </c>
      <c r="AD315" s="468"/>
      <c r="AE315" s="468"/>
      <c r="AF315" s="4"/>
      <c r="AG315" s="88"/>
      <c r="AH315" s="4"/>
      <c r="AI315" s="4"/>
      <c r="AJ315" s="468"/>
      <c r="AK315" s="468"/>
      <c r="AL315" s="468"/>
      <c r="AM315" s="468"/>
      <c r="AN315" s="10"/>
      <c r="AO315" s="9"/>
      <c r="AP315" s="9"/>
      <c r="AQ315" s="9"/>
      <c r="AR315" s="9"/>
      <c r="AS315" s="9"/>
      <c r="AT315" s="9"/>
      <c r="AU315" s="447"/>
      <c r="AV315" s="447"/>
      <c r="AW315" s="468"/>
      <c r="AX315" s="468"/>
      <c r="AY315" s="10"/>
      <c r="AZ315" s="10"/>
      <c r="BA315" s="553" t="str">
        <f t="shared" si="30"/>
        <v/>
      </c>
      <c r="BB315" s="553" t="str">
        <f t="shared" si="31"/>
        <v/>
      </c>
      <c r="BC315" s="553" t="str">
        <f t="shared" si="29"/>
        <v/>
      </c>
      <c r="BD315" s="572"/>
      <c r="BE315" s="448" t="s">
        <v>1726</v>
      </c>
      <c r="BF315" s="306"/>
      <c r="BG315" s="306"/>
      <c r="BH315" s="306"/>
      <c r="BI315" s="306"/>
    </row>
    <row r="316" spans="1:61" ht="16.2" customHeight="1">
      <c r="A316" s="582" t="s">
        <v>383</v>
      </c>
      <c r="B316" s="469" t="s">
        <v>2012</v>
      </c>
      <c r="C316" s="3">
        <f>+$C$314+$G$315</f>
        <v>6504.93</v>
      </c>
      <c r="D316" s="88"/>
      <c r="E316" s="4"/>
      <c r="F316" s="4">
        <v>-517.05999999999995</v>
      </c>
      <c r="G316" s="6"/>
      <c r="H316" s="468"/>
      <c r="I316" s="468"/>
      <c r="J316" s="3"/>
      <c r="K316" s="468"/>
      <c r="L316" s="468"/>
      <c r="M316" s="468" t="str">
        <f>IF(L316="","",
IF(AX316="PT",VLOOKUP(L316,Foundation_Calc!$V$4:$X$37,VLOOKUP(AX316,Foundation_Calc!$I$10:$J$13,2,FALSE),0),
IF(AX316="K",VLOOKUP(L316,Foundation_Calc!$V$41:$X$74,VLOOKUP(AX316,Foundation_Calc!$I$10:$J$13,2,FALSE),0),"")))</f>
        <v/>
      </c>
      <c r="N316" s="468" t="s">
        <v>192</v>
      </c>
      <c r="O316" s="468"/>
      <c r="P316" s="468"/>
      <c r="Q316" s="4"/>
      <c r="R316" s="6"/>
      <c r="S316" s="6"/>
      <c r="T316" s="4">
        <v>25</v>
      </c>
      <c r="U316" s="4"/>
      <c r="V316" s="4"/>
      <c r="W316" s="9">
        <v>1</v>
      </c>
      <c r="X316" s="9"/>
      <c r="Y316" s="9"/>
      <c r="Z316" s="9"/>
      <c r="AA316" s="9"/>
      <c r="AB316" s="9"/>
      <c r="AC316" s="468" t="s">
        <v>1341</v>
      </c>
      <c r="AD316" s="468"/>
      <c r="AE316" s="468"/>
      <c r="AF316" s="4"/>
      <c r="AG316" s="88"/>
      <c r="AH316" s="4"/>
      <c r="AI316" s="4"/>
      <c r="AJ316" s="468"/>
      <c r="AK316" s="468" t="s">
        <v>41</v>
      </c>
      <c r="AL316" s="468"/>
      <c r="AM316" s="468" t="s">
        <v>2458</v>
      </c>
      <c r="AN316" s="10">
        <v>5.15</v>
      </c>
      <c r="AO316" s="9"/>
      <c r="AP316" s="9"/>
      <c r="AQ316" s="9"/>
      <c r="AR316" s="9"/>
      <c r="AS316" s="9"/>
      <c r="AT316" s="9"/>
      <c r="AU316" s="447"/>
      <c r="AV316" s="447"/>
      <c r="AW316" s="468" t="s">
        <v>199</v>
      </c>
      <c r="AX316" s="468" t="s">
        <v>199</v>
      </c>
      <c r="AY316" s="10"/>
      <c r="AZ316" s="10"/>
      <c r="BA316" s="553" t="str">
        <f t="shared" si="30"/>
        <v/>
      </c>
      <c r="BB316" s="553" t="str">
        <f t="shared" si="31"/>
        <v/>
      </c>
      <c r="BC316" s="553" t="str">
        <f t="shared" si="29"/>
        <v/>
      </c>
      <c r="BD316" s="572"/>
      <c r="BE316" s="448" t="s">
        <v>1726</v>
      </c>
      <c r="BF316" s="305"/>
      <c r="BG316" s="305"/>
      <c r="BH316" s="306"/>
      <c r="BI316" s="305"/>
    </row>
    <row r="317" spans="1:61" ht="16.2" customHeight="1">
      <c r="A317" s="582" t="s">
        <v>383</v>
      </c>
      <c r="B317" s="469"/>
      <c r="C317" s="3"/>
      <c r="D317" s="88"/>
      <c r="E317" s="4"/>
      <c r="F317" s="4"/>
      <c r="G317" s="6">
        <v>29.7</v>
      </c>
      <c r="H317" s="468"/>
      <c r="I317" s="468"/>
      <c r="J317" s="3"/>
      <c r="K317" s="468"/>
      <c r="L317" s="468"/>
      <c r="M317" s="468" t="str">
        <f>IF(L317="","",
IF(AX317="PT",VLOOKUP(L317,Foundation_Calc!$V$4:$X$37,VLOOKUP(AX317,Foundation_Calc!$I$10:$J$13,2,FALSE),0),
IF(AX317="K",VLOOKUP(L317,Foundation_Calc!$V$41:$X$74,VLOOKUP(AX317,Foundation_Calc!$I$10:$J$13,2,FALSE),0),"")))</f>
        <v/>
      </c>
      <c r="N317" s="468"/>
      <c r="O317" s="468"/>
      <c r="P317" s="468"/>
      <c r="Q317" s="4"/>
      <c r="R317" s="6"/>
      <c r="S317" s="6"/>
      <c r="T317" s="4"/>
      <c r="U317" s="4"/>
      <c r="V317" s="4"/>
      <c r="W317" s="9"/>
      <c r="X317" s="9"/>
      <c r="Y317" s="9"/>
      <c r="Z317" s="9"/>
      <c r="AA317" s="9"/>
      <c r="AB317" s="9"/>
      <c r="AC317" s="468" t="str">
        <f t="shared" si="32"/>
        <v/>
      </c>
      <c r="AD317" s="468"/>
      <c r="AE317" s="468"/>
      <c r="AF317" s="4"/>
      <c r="AG317" s="88"/>
      <c r="AH317" s="4"/>
      <c r="AI317" s="4"/>
      <c r="AJ317" s="468"/>
      <c r="AK317" s="468"/>
      <c r="AL317" s="468"/>
      <c r="AM317" s="468"/>
      <c r="AN317" s="10"/>
      <c r="AO317" s="9"/>
      <c r="AP317" s="9"/>
      <c r="AQ317" s="9"/>
      <c r="AR317" s="9"/>
      <c r="AS317" s="9"/>
      <c r="AT317" s="9"/>
      <c r="AU317" s="447"/>
      <c r="AV317" s="447"/>
      <c r="AW317" s="468"/>
      <c r="AX317" s="468"/>
      <c r="AY317" s="10"/>
      <c r="AZ317" s="10"/>
      <c r="BA317" s="553" t="str">
        <f t="shared" si="30"/>
        <v/>
      </c>
      <c r="BB317" s="553" t="str">
        <f t="shared" si="31"/>
        <v/>
      </c>
      <c r="BC317" s="553" t="str">
        <f t="shared" si="29"/>
        <v/>
      </c>
      <c r="BD317" s="572"/>
      <c r="BE317" s="448" t="s">
        <v>1726</v>
      </c>
      <c r="BF317" s="306"/>
      <c r="BG317" s="306"/>
      <c r="BH317" s="306"/>
      <c r="BI317" s="306"/>
    </row>
    <row r="318" spans="1:61" ht="16.2" customHeight="1">
      <c r="A318" s="582" t="s">
        <v>383</v>
      </c>
      <c r="B318" s="469" t="s">
        <v>2013</v>
      </c>
      <c r="C318" s="3">
        <f>+$C$316+$G$317</f>
        <v>6534.63</v>
      </c>
      <c r="D318" s="88"/>
      <c r="E318" s="4"/>
      <c r="F318" s="4">
        <v>-517.05999999999995</v>
      </c>
      <c r="G318" s="6"/>
      <c r="H318" s="468"/>
      <c r="I318" s="468"/>
      <c r="J318" s="501"/>
      <c r="K318" s="468"/>
      <c r="L318" s="468"/>
      <c r="M318" s="468" t="str">
        <f>IF(L318="","",
IF(AX318="PT",VLOOKUP(L318,Foundation_Calc!$V$4:$X$37,VLOOKUP(AX318,Foundation_Calc!$I$10:$J$13,2,FALSE),0),
IF(AX318="K",VLOOKUP(L318,Foundation_Calc!$V$41:$X$74,VLOOKUP(AX318,Foundation_Calc!$I$10:$J$13,2,FALSE),0),"")))</f>
        <v/>
      </c>
      <c r="N318" s="468" t="s">
        <v>192</v>
      </c>
      <c r="O318" s="468"/>
      <c r="P318" s="468"/>
      <c r="Q318" s="4"/>
      <c r="R318" s="6"/>
      <c r="S318" s="6"/>
      <c r="T318" s="4">
        <v>25</v>
      </c>
      <c r="U318" s="4"/>
      <c r="V318" s="4"/>
      <c r="W318" s="9">
        <v>1</v>
      </c>
      <c r="X318" s="9"/>
      <c r="Y318" s="9"/>
      <c r="Z318" s="9"/>
      <c r="AA318" s="9"/>
      <c r="AB318" s="9"/>
      <c r="AC318" s="468" t="s">
        <v>1341</v>
      </c>
      <c r="AD318" s="468"/>
      <c r="AE318" s="468"/>
      <c r="AF318" s="4"/>
      <c r="AG318" s="88"/>
      <c r="AH318" s="4"/>
      <c r="AI318" s="4"/>
      <c r="AJ318" s="468"/>
      <c r="AK318" s="468" t="s">
        <v>41</v>
      </c>
      <c r="AL318" s="468"/>
      <c r="AM318" s="468" t="s">
        <v>2458</v>
      </c>
      <c r="AN318" s="10">
        <v>5.15</v>
      </c>
      <c r="AO318" s="9"/>
      <c r="AP318" s="9"/>
      <c r="AQ318" s="9"/>
      <c r="AR318" s="9"/>
      <c r="AS318" s="9"/>
      <c r="AT318" s="9"/>
      <c r="AU318" s="447"/>
      <c r="AV318" s="447"/>
      <c r="AW318" s="468" t="s">
        <v>199</v>
      </c>
      <c r="AX318" s="468" t="s">
        <v>199</v>
      </c>
      <c r="AY318" s="10"/>
      <c r="AZ318" s="10"/>
      <c r="BA318" s="553" t="str">
        <f t="shared" si="30"/>
        <v/>
      </c>
      <c r="BB318" s="553" t="str">
        <f t="shared" si="31"/>
        <v/>
      </c>
      <c r="BC318" s="553" t="str">
        <f t="shared" si="29"/>
        <v/>
      </c>
      <c r="BD318" s="572"/>
      <c r="BE318" s="448" t="s">
        <v>1726</v>
      </c>
      <c r="BF318" s="305"/>
      <c r="BG318" s="305"/>
      <c r="BH318" s="306"/>
      <c r="BI318" s="305"/>
    </row>
    <row r="319" spans="1:61" ht="16.2" customHeight="1">
      <c r="A319" s="582" t="s">
        <v>383</v>
      </c>
      <c r="B319" s="469"/>
      <c r="C319" s="3"/>
      <c r="D319" s="88"/>
      <c r="E319" s="4"/>
      <c r="F319" s="4"/>
      <c r="G319" s="6">
        <v>29.7</v>
      </c>
      <c r="H319" s="468"/>
      <c r="I319" s="4"/>
      <c r="J319" s="3"/>
      <c r="K319" s="468"/>
      <c r="L319" s="468"/>
      <c r="M319" s="468" t="str">
        <f>IF(L319="","",
IF(AX319="PT",VLOOKUP(L319,Foundation_Calc!$V$4:$X$37,VLOOKUP(AX319,Foundation_Calc!$I$10:$J$13,2,FALSE),0),
IF(AX319="K",VLOOKUP(L319,Foundation_Calc!$V$41:$X$74,VLOOKUP(AX319,Foundation_Calc!$I$10:$J$13,2,FALSE),0),"")))</f>
        <v/>
      </c>
      <c r="N319" s="468"/>
      <c r="O319" s="468"/>
      <c r="P319" s="468"/>
      <c r="Q319" s="4"/>
      <c r="R319" s="6"/>
      <c r="S319" s="6"/>
      <c r="T319" s="4"/>
      <c r="U319" s="4"/>
      <c r="V319" s="4"/>
      <c r="W319" s="9"/>
      <c r="X319" s="9"/>
      <c r="Y319" s="9"/>
      <c r="Z319" s="9"/>
      <c r="AA319" s="9"/>
      <c r="AB319" s="9"/>
      <c r="AC319" s="468" t="str">
        <f t="shared" si="32"/>
        <v/>
      </c>
      <c r="AD319" s="468"/>
      <c r="AE319" s="468"/>
      <c r="AF319" s="4"/>
      <c r="AG319" s="88"/>
      <c r="AH319" s="4"/>
      <c r="AI319" s="4"/>
      <c r="AJ319" s="468"/>
      <c r="AK319" s="468"/>
      <c r="AL319" s="468"/>
      <c r="AM319" s="468"/>
      <c r="AN319" s="10"/>
      <c r="AO319" s="9"/>
      <c r="AP319" s="9"/>
      <c r="AQ319" s="9"/>
      <c r="AR319" s="9"/>
      <c r="AS319" s="9"/>
      <c r="AT319" s="9"/>
      <c r="AU319" s="447"/>
      <c r="AV319" s="447"/>
      <c r="AW319" s="468"/>
      <c r="AX319" s="468"/>
      <c r="AY319" s="10"/>
      <c r="AZ319" s="10"/>
      <c r="BA319" s="553" t="str">
        <f t="shared" si="30"/>
        <v/>
      </c>
      <c r="BB319" s="553" t="str">
        <f t="shared" si="31"/>
        <v/>
      </c>
      <c r="BC319" s="553" t="str">
        <f t="shared" si="29"/>
        <v/>
      </c>
      <c r="BD319" s="572"/>
      <c r="BE319" s="448" t="s">
        <v>1726</v>
      </c>
      <c r="BF319" s="306"/>
      <c r="BG319" s="306"/>
      <c r="BH319" s="306"/>
      <c r="BI319" s="306"/>
    </row>
    <row r="320" spans="1:61" ht="16.2" customHeight="1">
      <c r="A320" s="582" t="s">
        <v>383</v>
      </c>
      <c r="B320" s="469" t="s">
        <v>2014</v>
      </c>
      <c r="C320" s="3">
        <f>+$C$318+$G$319</f>
        <v>6564.33</v>
      </c>
      <c r="D320" s="88"/>
      <c r="E320" s="4"/>
      <c r="F320" s="4">
        <v>-400</v>
      </c>
      <c r="G320" s="6"/>
      <c r="H320" s="468"/>
      <c r="I320" s="468"/>
      <c r="J320" s="3"/>
      <c r="K320" s="468"/>
      <c r="L320" s="468"/>
      <c r="M320" s="468" t="str">
        <f>IF(L320="","",
IF(AX320="PT",VLOOKUP(L320,Foundation_Calc!$V$4:$X$37,VLOOKUP(AX320,Foundation_Calc!$I$10:$J$13,2,FALSE),0),
IF(AX320="K",VLOOKUP(L320,Foundation_Calc!$V$41:$X$74,VLOOKUP(AX320,Foundation_Calc!$I$10:$J$13,2,FALSE),0),"")))</f>
        <v/>
      </c>
      <c r="N320" s="468" t="s">
        <v>192</v>
      </c>
      <c r="O320" s="468"/>
      <c r="P320" s="468"/>
      <c r="Q320" s="4"/>
      <c r="R320" s="6"/>
      <c r="S320" s="6"/>
      <c r="T320" s="4">
        <v>25</v>
      </c>
      <c r="U320" s="4"/>
      <c r="V320" s="4"/>
      <c r="W320" s="9">
        <v>1</v>
      </c>
      <c r="X320" s="9"/>
      <c r="Y320" s="9"/>
      <c r="Z320" s="9"/>
      <c r="AA320" s="9"/>
      <c r="AB320" s="9"/>
      <c r="AC320" s="468" t="s">
        <v>1341</v>
      </c>
      <c r="AD320" s="468"/>
      <c r="AE320" s="468"/>
      <c r="AF320" s="4"/>
      <c r="AG320" s="88"/>
      <c r="AH320" s="4"/>
      <c r="AI320" s="4"/>
      <c r="AJ320" s="468"/>
      <c r="AK320" s="468" t="s">
        <v>41</v>
      </c>
      <c r="AL320" s="468"/>
      <c r="AM320" s="468" t="s">
        <v>2458</v>
      </c>
      <c r="AN320" s="10">
        <v>5.15</v>
      </c>
      <c r="AO320" s="9"/>
      <c r="AP320" s="9"/>
      <c r="AQ320" s="9"/>
      <c r="AR320" s="9"/>
      <c r="AS320" s="9"/>
      <c r="AT320" s="9"/>
      <c r="AU320" s="447"/>
      <c r="AV320" s="447"/>
      <c r="AW320" s="468" t="s">
        <v>199</v>
      </c>
      <c r="AX320" s="468" t="s">
        <v>199</v>
      </c>
      <c r="AY320" s="10"/>
      <c r="AZ320" s="10"/>
      <c r="BA320" s="553" t="str">
        <f t="shared" si="30"/>
        <v/>
      </c>
      <c r="BB320" s="553" t="str">
        <f t="shared" si="31"/>
        <v/>
      </c>
      <c r="BC320" s="553" t="str">
        <f t="shared" si="29"/>
        <v/>
      </c>
      <c r="BD320" s="572"/>
      <c r="BE320" s="448" t="s">
        <v>1726</v>
      </c>
      <c r="BF320" s="305"/>
      <c r="BG320" s="305"/>
      <c r="BH320" s="306"/>
      <c r="BI320" s="305"/>
    </row>
    <row r="321" spans="1:61" ht="16.2" customHeight="1">
      <c r="A321" s="582" t="s">
        <v>383</v>
      </c>
      <c r="B321" s="469"/>
      <c r="C321" s="3"/>
      <c r="D321" s="88"/>
      <c r="E321" s="4"/>
      <c r="F321" s="4"/>
      <c r="G321" s="6">
        <v>24.7</v>
      </c>
      <c r="H321" s="468"/>
      <c r="I321" s="4"/>
      <c r="J321" s="3"/>
      <c r="K321" s="468"/>
      <c r="L321" s="468"/>
      <c r="M321" s="468" t="str">
        <f>IF(L321="","",
IF(AX321="PT",VLOOKUP(L321,Foundation_Calc!$V$4:$X$37,VLOOKUP(AX321,Foundation_Calc!$I$10:$J$13,2,FALSE),0),
IF(AX321="K",VLOOKUP(L321,Foundation_Calc!$V$41:$X$74,VLOOKUP(AX321,Foundation_Calc!$I$10:$J$13,2,FALSE),0),"")))</f>
        <v/>
      </c>
      <c r="N321" s="468"/>
      <c r="O321" s="468"/>
      <c r="P321" s="468"/>
      <c r="Q321" s="4"/>
      <c r="R321" s="6"/>
      <c r="S321" s="6"/>
      <c r="T321" s="4"/>
      <c r="U321" s="4"/>
      <c r="V321" s="4"/>
      <c r="W321" s="9"/>
      <c r="X321" s="9"/>
      <c r="Y321" s="9"/>
      <c r="Z321" s="9"/>
      <c r="AA321" s="9"/>
      <c r="AB321" s="9"/>
      <c r="AC321" s="468" t="str">
        <f t="shared" si="32"/>
        <v/>
      </c>
      <c r="AD321" s="468"/>
      <c r="AE321" s="468"/>
      <c r="AF321" s="4"/>
      <c r="AG321" s="88"/>
      <c r="AH321" s="4"/>
      <c r="AI321" s="4"/>
      <c r="AJ321" s="468"/>
      <c r="AK321" s="468"/>
      <c r="AL321" s="468"/>
      <c r="AM321" s="468"/>
      <c r="AN321" s="10"/>
      <c r="AO321" s="9"/>
      <c r="AP321" s="9"/>
      <c r="AQ321" s="9"/>
      <c r="AR321" s="9"/>
      <c r="AS321" s="9"/>
      <c r="AT321" s="9"/>
      <c r="AU321" s="447"/>
      <c r="AV321" s="447"/>
      <c r="AW321" s="468"/>
      <c r="AX321" s="468"/>
      <c r="AY321" s="10"/>
      <c r="AZ321" s="10"/>
      <c r="BA321" s="553" t="str">
        <f t="shared" si="30"/>
        <v/>
      </c>
      <c r="BB321" s="553" t="str">
        <f t="shared" si="31"/>
        <v/>
      </c>
      <c r="BC321" s="553" t="str">
        <f t="shared" si="29"/>
        <v/>
      </c>
      <c r="BD321" s="572"/>
      <c r="BE321" s="448" t="s">
        <v>1726</v>
      </c>
      <c r="BF321" s="306"/>
      <c r="BG321" s="306"/>
      <c r="BH321" s="306"/>
      <c r="BI321" s="306"/>
    </row>
    <row r="322" spans="1:61" ht="13.8">
      <c r="A322" s="582" t="s">
        <v>383</v>
      </c>
      <c r="B322" s="469" t="s">
        <v>2015</v>
      </c>
      <c r="C322" s="3">
        <f>+$C$320+$G$321</f>
        <v>6589.03</v>
      </c>
      <c r="D322" s="88"/>
      <c r="E322" s="4"/>
      <c r="F322" s="4">
        <v>-400</v>
      </c>
      <c r="G322" s="6"/>
      <c r="H322" s="468"/>
      <c r="I322" s="467"/>
      <c r="J322" s="3"/>
      <c r="K322" s="468"/>
      <c r="L322" s="468"/>
      <c r="M322" s="468" t="str">
        <f>IF(L322="","",
IF(AX322="PT",VLOOKUP(L322,Foundation_Calc!$V$4:$X$37,VLOOKUP(AX322,Foundation_Calc!$I$10:$J$13,2,FALSE),0),
IF(AX322="K",VLOOKUP(L322,Foundation_Calc!$V$41:$X$74,VLOOKUP(AX322,Foundation_Calc!$I$10:$J$13,2,FALSE),0),"")))</f>
        <v/>
      </c>
      <c r="N322" s="468" t="s">
        <v>191</v>
      </c>
      <c r="O322" s="468"/>
      <c r="P322" s="468"/>
      <c r="Q322" s="4"/>
      <c r="R322" s="6"/>
      <c r="S322" s="6"/>
      <c r="T322" s="4">
        <v>-25</v>
      </c>
      <c r="U322" s="4"/>
      <c r="V322" s="4"/>
      <c r="W322" s="9">
        <v>1</v>
      </c>
      <c r="X322" s="9"/>
      <c r="Y322" s="9"/>
      <c r="Z322" s="9"/>
      <c r="AA322" s="9"/>
      <c r="AB322" s="9"/>
      <c r="AC322" s="468" t="s">
        <v>1341</v>
      </c>
      <c r="AD322" s="468"/>
      <c r="AE322" s="468"/>
      <c r="AF322" s="4"/>
      <c r="AG322" s="88"/>
      <c r="AH322" s="4"/>
      <c r="AI322" s="4"/>
      <c r="AJ322" s="468"/>
      <c r="AK322" s="468" t="s">
        <v>41</v>
      </c>
      <c r="AL322" s="468"/>
      <c r="AM322" s="468" t="s">
        <v>2458</v>
      </c>
      <c r="AN322" s="10">
        <v>5.15</v>
      </c>
      <c r="AO322" s="9"/>
      <c r="AP322" s="9"/>
      <c r="AQ322" s="9"/>
      <c r="AR322" s="9"/>
      <c r="AS322" s="9"/>
      <c r="AT322" s="9"/>
      <c r="AU322" s="447"/>
      <c r="AV322" s="447"/>
      <c r="AW322" s="468" t="s">
        <v>199</v>
      </c>
      <c r="AX322" s="468" t="s">
        <v>199</v>
      </c>
      <c r="AY322" s="10"/>
      <c r="AZ322" s="10"/>
      <c r="BA322" s="553" t="str">
        <f t="shared" si="30"/>
        <v/>
      </c>
      <c r="BB322" s="553" t="str">
        <f t="shared" si="31"/>
        <v/>
      </c>
      <c r="BC322" s="553" t="str">
        <f t="shared" si="29"/>
        <v/>
      </c>
      <c r="BD322" s="572"/>
      <c r="BE322" s="448" t="s">
        <v>1726</v>
      </c>
      <c r="BF322" s="305"/>
      <c r="BG322" s="305"/>
      <c r="BH322" s="306"/>
      <c r="BI322" s="305"/>
    </row>
    <row r="323" spans="1:61" ht="16.2" customHeight="1">
      <c r="A323" s="582" t="s">
        <v>383</v>
      </c>
      <c r="B323" s="469"/>
      <c r="C323" s="3"/>
      <c r="D323" s="88"/>
      <c r="E323" s="4"/>
      <c r="F323" s="4"/>
      <c r="G323" s="6">
        <v>29.6</v>
      </c>
      <c r="H323" s="468"/>
      <c r="I323" s="468"/>
      <c r="J323" s="3"/>
      <c r="K323" s="468"/>
      <c r="L323" s="468"/>
      <c r="M323" s="468" t="str">
        <f>IF(L323="","",
IF(AX323="PT",VLOOKUP(L323,Foundation_Calc!$V$4:$X$37,VLOOKUP(AX323,Foundation_Calc!$I$10:$J$13,2,FALSE),0),
IF(AX323="K",VLOOKUP(L323,Foundation_Calc!$V$41:$X$74,VLOOKUP(AX323,Foundation_Calc!$I$10:$J$13,2,FALSE),0),"")))</f>
        <v/>
      </c>
      <c r="N323" s="468"/>
      <c r="O323" s="468"/>
      <c r="P323" s="468"/>
      <c r="Q323" s="4"/>
      <c r="R323" s="6"/>
      <c r="S323" s="6"/>
      <c r="T323" s="4"/>
      <c r="U323" s="4"/>
      <c r="V323" s="4"/>
      <c r="W323" s="9"/>
      <c r="X323" s="9"/>
      <c r="Y323" s="9"/>
      <c r="Z323" s="9"/>
      <c r="AA323" s="9"/>
      <c r="AB323" s="9"/>
      <c r="AC323" s="468" t="str">
        <f t="shared" si="32"/>
        <v/>
      </c>
      <c r="AD323" s="468"/>
      <c r="AE323" s="468"/>
      <c r="AF323" s="4"/>
      <c r="AG323" s="88"/>
      <c r="AH323" s="4"/>
      <c r="AI323" s="4"/>
      <c r="AJ323" s="468"/>
      <c r="AK323" s="468"/>
      <c r="AL323" s="468"/>
      <c r="AM323" s="468"/>
      <c r="AN323" s="10"/>
      <c r="AO323" s="9"/>
      <c r="AP323" s="9"/>
      <c r="AQ323" s="9"/>
      <c r="AR323" s="9"/>
      <c r="AS323" s="9"/>
      <c r="AT323" s="9"/>
      <c r="AU323" s="447"/>
      <c r="AV323" s="447"/>
      <c r="AW323" s="468"/>
      <c r="AX323" s="468"/>
      <c r="AY323" s="10"/>
      <c r="AZ323" s="10"/>
      <c r="BA323" s="553" t="str">
        <f t="shared" si="30"/>
        <v/>
      </c>
      <c r="BB323" s="553" t="str">
        <f t="shared" si="31"/>
        <v/>
      </c>
      <c r="BC323" s="553" t="str">
        <f t="shared" si="29"/>
        <v/>
      </c>
      <c r="BD323" s="572"/>
      <c r="BE323" s="448" t="s">
        <v>1726</v>
      </c>
      <c r="BF323" s="306"/>
      <c r="BG323" s="306"/>
      <c r="BH323" s="306"/>
      <c r="BI323" s="306"/>
    </row>
    <row r="324" spans="1:61" ht="16.2" customHeight="1" thickBot="1">
      <c r="A324" s="601" t="s">
        <v>383</v>
      </c>
      <c r="B324" s="518" t="s">
        <v>2016</v>
      </c>
      <c r="C324" s="519">
        <f>+$C$322+$G$323</f>
        <v>6618.63</v>
      </c>
      <c r="D324" s="520"/>
      <c r="E324" s="521"/>
      <c r="F324" s="521">
        <v>-400</v>
      </c>
      <c r="G324" s="522"/>
      <c r="H324" s="523"/>
      <c r="I324" s="523"/>
      <c r="J324" s="519"/>
      <c r="K324" s="523"/>
      <c r="L324" s="523"/>
      <c r="M324" s="523" t="str">
        <f>IF(L324="","",
IF(AX324="PT",VLOOKUP(L324,Foundation_Calc!$V$4:$X$37,VLOOKUP(AX324,Foundation_Calc!$I$10:$J$13,2,FALSE),0),
IF(AX324="K",VLOOKUP(L324,Foundation_Calc!$V$41:$X$74,VLOOKUP(AX324,Foundation_Calc!$I$10:$J$13,2,FALSE),0),"")))</f>
        <v/>
      </c>
      <c r="N324" s="523" t="s">
        <v>191</v>
      </c>
      <c r="O324" s="523"/>
      <c r="P324" s="523"/>
      <c r="Q324" s="521"/>
      <c r="R324" s="522"/>
      <c r="S324" s="522"/>
      <c r="T324" s="521">
        <v>-25</v>
      </c>
      <c r="U324" s="521"/>
      <c r="V324" s="521"/>
      <c r="W324" s="524">
        <v>1</v>
      </c>
      <c r="X324" s="524"/>
      <c r="Y324" s="524"/>
      <c r="Z324" s="524"/>
      <c r="AA324" s="524"/>
      <c r="AB324" s="524"/>
      <c r="AC324" s="523" t="s">
        <v>1341</v>
      </c>
      <c r="AD324" s="523"/>
      <c r="AE324" s="523"/>
      <c r="AF324" s="521"/>
      <c r="AG324" s="520"/>
      <c r="AH324" s="521"/>
      <c r="AI324" s="521"/>
      <c r="AJ324" s="523"/>
      <c r="AK324" s="523" t="s">
        <v>41</v>
      </c>
      <c r="AL324" s="523"/>
      <c r="AM324" s="523" t="s">
        <v>2458</v>
      </c>
      <c r="AN324" s="525">
        <v>5.15</v>
      </c>
      <c r="AO324" s="524"/>
      <c r="AP324" s="524"/>
      <c r="AQ324" s="524"/>
      <c r="AR324" s="524"/>
      <c r="AS324" s="524"/>
      <c r="AT324" s="524"/>
      <c r="AU324" s="526"/>
      <c r="AV324" s="526"/>
      <c r="AW324" s="523" t="s">
        <v>199</v>
      </c>
      <c r="AX324" s="523" t="s">
        <v>199</v>
      </c>
      <c r="AY324" s="525"/>
      <c r="AZ324" s="525"/>
      <c r="BA324" s="554" t="str">
        <f t="shared" si="30"/>
        <v/>
      </c>
      <c r="BB324" s="554" t="str">
        <f t="shared" si="31"/>
        <v/>
      </c>
      <c r="BC324" s="554" t="str">
        <f t="shared" si="29"/>
        <v/>
      </c>
      <c r="BD324" s="576"/>
      <c r="BE324" s="448" t="s">
        <v>1726</v>
      </c>
      <c r="BF324" s="305"/>
      <c r="BG324" s="305"/>
      <c r="BH324" s="306"/>
      <c r="BI324" s="305"/>
    </row>
    <row r="325" spans="1:61" ht="16.2" customHeight="1" thickTop="1">
      <c r="A325" s="600" t="s">
        <v>383</v>
      </c>
      <c r="B325" s="605"/>
      <c r="C325" s="606"/>
      <c r="D325" s="607"/>
      <c r="E325" s="608"/>
      <c r="F325" s="608"/>
      <c r="G325" s="609">
        <v>29.7</v>
      </c>
      <c r="H325" s="610"/>
      <c r="I325" s="610"/>
      <c r="J325" s="606"/>
      <c r="K325" s="610"/>
      <c r="L325" s="610"/>
      <c r="M325" s="610" t="str">
        <f>IF(L325="","",
IF(AX325="PT",VLOOKUP(L325,Foundation_Calc!$V$4:$X$37,VLOOKUP(AX325,Foundation_Calc!$I$10:$J$13,2,FALSE),0),
IF(AX325="K",VLOOKUP(L325,Foundation_Calc!$V$41:$X$74,VLOOKUP(AX325,Foundation_Calc!$I$10:$J$13,2,FALSE),0),"")))</f>
        <v/>
      </c>
      <c r="N325" s="610"/>
      <c r="O325" s="610"/>
      <c r="P325" s="610"/>
      <c r="Q325" s="608"/>
      <c r="R325" s="609"/>
      <c r="S325" s="609"/>
      <c r="T325" s="608"/>
      <c r="U325" s="608"/>
      <c r="V325" s="608"/>
      <c r="W325" s="611"/>
      <c r="X325" s="611"/>
      <c r="Y325" s="611"/>
      <c r="Z325" s="611"/>
      <c r="AA325" s="611"/>
      <c r="AB325" s="611"/>
      <c r="AC325" s="610" t="str">
        <f t="shared" si="32"/>
        <v/>
      </c>
      <c r="AD325" s="610"/>
      <c r="AE325" s="610"/>
      <c r="AF325" s="608"/>
      <c r="AG325" s="607"/>
      <c r="AH325" s="608"/>
      <c r="AI325" s="608"/>
      <c r="AJ325" s="610"/>
      <c r="AK325" s="610"/>
      <c r="AL325" s="610"/>
      <c r="AM325" s="610"/>
      <c r="AN325" s="612"/>
      <c r="AO325" s="611"/>
      <c r="AP325" s="611"/>
      <c r="AQ325" s="611"/>
      <c r="AR325" s="611"/>
      <c r="AS325" s="611"/>
      <c r="AT325" s="611"/>
      <c r="AU325" s="613"/>
      <c r="AV325" s="613"/>
      <c r="AW325" s="610"/>
      <c r="AX325" s="610"/>
      <c r="AY325" s="612"/>
      <c r="AZ325" s="612"/>
      <c r="BA325" s="639" t="str">
        <f t="shared" si="30"/>
        <v/>
      </c>
      <c r="BB325" s="639" t="str">
        <f t="shared" si="31"/>
        <v/>
      </c>
      <c r="BC325" s="639" t="str">
        <f t="shared" si="29"/>
        <v/>
      </c>
      <c r="BD325" s="578"/>
      <c r="BE325" s="448" t="s">
        <v>1726</v>
      </c>
      <c r="BF325" s="306"/>
      <c r="BG325" s="306"/>
      <c r="BH325" s="306"/>
      <c r="BI325" s="306"/>
    </row>
    <row r="326" spans="1:61" ht="16.2" customHeight="1">
      <c r="A326" s="582" t="s">
        <v>383</v>
      </c>
      <c r="B326" s="469" t="s">
        <v>2017</v>
      </c>
      <c r="C326" s="3">
        <f>+$C$324+$G$325</f>
        <v>6648.33</v>
      </c>
      <c r="D326" s="88"/>
      <c r="E326" s="4"/>
      <c r="F326" s="4">
        <v>-400</v>
      </c>
      <c r="G326" s="6"/>
      <c r="H326" s="468"/>
      <c r="I326" s="468"/>
      <c r="J326" s="3"/>
      <c r="K326" s="468"/>
      <c r="L326" s="468"/>
      <c r="M326" s="468" t="str">
        <f>IF(L326="","",
IF(AX326="PT",VLOOKUP(L326,Foundation_Calc!$V$4:$X$37,VLOOKUP(AX326,Foundation_Calc!$I$10:$J$13,2,FALSE),0),
IF(AX326="K",VLOOKUP(L326,Foundation_Calc!$V$41:$X$74,VLOOKUP(AX326,Foundation_Calc!$I$10:$J$13,2,FALSE),0),"")))</f>
        <v/>
      </c>
      <c r="N326" s="468" t="s">
        <v>191</v>
      </c>
      <c r="O326" s="468"/>
      <c r="P326" s="468"/>
      <c r="Q326" s="4"/>
      <c r="R326" s="6"/>
      <c r="S326" s="6"/>
      <c r="T326" s="4">
        <v>-25</v>
      </c>
      <c r="U326" s="4"/>
      <c r="V326" s="4"/>
      <c r="W326" s="9">
        <v>1</v>
      </c>
      <c r="X326" s="9"/>
      <c r="Y326" s="9"/>
      <c r="Z326" s="9"/>
      <c r="AA326" s="9"/>
      <c r="AB326" s="9"/>
      <c r="AC326" s="468" t="s">
        <v>1341</v>
      </c>
      <c r="AD326" s="468"/>
      <c r="AE326" s="468"/>
      <c r="AF326" s="4"/>
      <c r="AG326" s="88"/>
      <c r="AH326" s="4"/>
      <c r="AI326" s="4"/>
      <c r="AJ326" s="468"/>
      <c r="AK326" s="468" t="s">
        <v>41</v>
      </c>
      <c r="AL326" s="468"/>
      <c r="AM326" s="468" t="s">
        <v>2458</v>
      </c>
      <c r="AN326" s="10">
        <v>5.15</v>
      </c>
      <c r="AO326" s="9"/>
      <c r="AP326" s="9"/>
      <c r="AQ326" s="9"/>
      <c r="AR326" s="9"/>
      <c r="AS326" s="9"/>
      <c r="AT326" s="9"/>
      <c r="AU326" s="447"/>
      <c r="AV326" s="447"/>
      <c r="AW326" s="468" t="s">
        <v>199</v>
      </c>
      <c r="AX326" s="468" t="s">
        <v>199</v>
      </c>
      <c r="AY326" s="10"/>
      <c r="AZ326" s="10"/>
      <c r="BA326" s="553" t="str">
        <f t="shared" si="30"/>
        <v/>
      </c>
      <c r="BB326" s="553" t="str">
        <f t="shared" si="31"/>
        <v/>
      </c>
      <c r="BC326" s="553" t="str">
        <f t="shared" si="29"/>
        <v/>
      </c>
      <c r="BD326" s="572"/>
      <c r="BE326" s="448" t="s">
        <v>1726</v>
      </c>
      <c r="BF326" s="305"/>
      <c r="BG326" s="305"/>
      <c r="BH326" s="306"/>
      <c r="BI326" s="305"/>
    </row>
    <row r="327" spans="1:61" ht="16.2" customHeight="1">
      <c r="A327" s="582" t="s">
        <v>383</v>
      </c>
      <c r="B327" s="469"/>
      <c r="C327" s="3"/>
      <c r="D327" s="88"/>
      <c r="E327" s="4"/>
      <c r="F327" s="4"/>
      <c r="G327" s="6">
        <v>29.7</v>
      </c>
      <c r="H327" s="468"/>
      <c r="I327" s="468"/>
      <c r="J327" s="3"/>
      <c r="K327" s="468"/>
      <c r="L327" s="468"/>
      <c r="M327" s="468" t="str">
        <f>IF(L327="","",
IF(AX327="PT",VLOOKUP(L327,Foundation_Calc!$V$4:$X$37,VLOOKUP(AX327,Foundation_Calc!$I$10:$J$13,2,FALSE),0),
IF(AX327="K",VLOOKUP(L327,Foundation_Calc!$V$41:$X$74,VLOOKUP(AX327,Foundation_Calc!$I$10:$J$13,2,FALSE),0),"")))</f>
        <v/>
      </c>
      <c r="N327" s="468"/>
      <c r="O327" s="468"/>
      <c r="P327" s="468"/>
      <c r="Q327" s="4"/>
      <c r="R327" s="6"/>
      <c r="S327" s="6"/>
      <c r="T327" s="4"/>
      <c r="U327" s="4"/>
      <c r="V327" s="4"/>
      <c r="W327" s="9"/>
      <c r="X327" s="9"/>
      <c r="Y327" s="9"/>
      <c r="Z327" s="9"/>
      <c r="AA327" s="9"/>
      <c r="AB327" s="9"/>
      <c r="AC327" s="468" t="str">
        <f t="shared" si="32"/>
        <v/>
      </c>
      <c r="AD327" s="468"/>
      <c r="AE327" s="468"/>
      <c r="AF327" s="4"/>
      <c r="AG327" s="88"/>
      <c r="AH327" s="4"/>
      <c r="AI327" s="4"/>
      <c r="AJ327" s="468"/>
      <c r="AK327" s="468"/>
      <c r="AL327" s="468"/>
      <c r="AM327" s="468"/>
      <c r="AN327" s="10"/>
      <c r="AO327" s="9"/>
      <c r="AP327" s="9"/>
      <c r="AQ327" s="9"/>
      <c r="AR327" s="9"/>
      <c r="AS327" s="9"/>
      <c r="AT327" s="9"/>
      <c r="AU327" s="447"/>
      <c r="AV327" s="447"/>
      <c r="AW327" s="468"/>
      <c r="AX327" s="468"/>
      <c r="AY327" s="10"/>
      <c r="AZ327" s="10"/>
      <c r="BA327" s="553" t="str">
        <f t="shared" si="30"/>
        <v/>
      </c>
      <c r="BB327" s="553" t="str">
        <f t="shared" si="31"/>
        <v/>
      </c>
      <c r="BC327" s="553" t="str">
        <f t="shared" si="29"/>
        <v/>
      </c>
      <c r="BD327" s="572"/>
      <c r="BE327" s="448" t="s">
        <v>1726</v>
      </c>
      <c r="BF327" s="306"/>
      <c r="BG327" s="306"/>
      <c r="BH327" s="306"/>
      <c r="BI327" s="306"/>
    </row>
    <row r="328" spans="1:61" ht="16.2" customHeight="1">
      <c r="A328" s="582" t="s">
        <v>383</v>
      </c>
      <c r="B328" s="469" t="s">
        <v>2018</v>
      </c>
      <c r="C328" s="3">
        <f>+$C$326+$G$327</f>
        <v>6678.03</v>
      </c>
      <c r="D328" s="88"/>
      <c r="E328" s="4"/>
      <c r="F328" s="4">
        <v>-400</v>
      </c>
      <c r="G328" s="6"/>
      <c r="H328" s="468"/>
      <c r="I328" s="468"/>
      <c r="J328" s="3"/>
      <c r="K328" s="468"/>
      <c r="L328" s="468"/>
      <c r="M328" s="468" t="str">
        <f>IF(L328="","",
IF(AX328="PT",VLOOKUP(L328,Foundation_Calc!$V$4:$X$37,VLOOKUP(AX328,Foundation_Calc!$I$10:$J$13,2,FALSE),0),
IF(AX328="K",VLOOKUP(L328,Foundation_Calc!$V$41:$X$74,VLOOKUP(AX328,Foundation_Calc!$I$10:$J$13,2,FALSE),0),"")))</f>
        <v/>
      </c>
      <c r="N328" s="468" t="s">
        <v>191</v>
      </c>
      <c r="O328" s="468"/>
      <c r="P328" s="468"/>
      <c r="Q328" s="4"/>
      <c r="R328" s="6"/>
      <c r="S328" s="6"/>
      <c r="T328" s="4">
        <v>-25</v>
      </c>
      <c r="U328" s="4"/>
      <c r="V328" s="4"/>
      <c r="W328" s="9">
        <v>1</v>
      </c>
      <c r="X328" s="9"/>
      <c r="Y328" s="9"/>
      <c r="Z328" s="9"/>
      <c r="AA328" s="9"/>
      <c r="AB328" s="9"/>
      <c r="AC328" s="468" t="s">
        <v>1341</v>
      </c>
      <c r="AD328" s="468"/>
      <c r="AE328" s="468"/>
      <c r="AF328" s="4"/>
      <c r="AG328" s="88"/>
      <c r="AH328" s="4"/>
      <c r="AI328" s="4"/>
      <c r="AJ328" s="468"/>
      <c r="AK328" s="468" t="s">
        <v>41</v>
      </c>
      <c r="AL328" s="468"/>
      <c r="AM328" s="468" t="s">
        <v>2458</v>
      </c>
      <c r="AN328" s="10">
        <v>5.15</v>
      </c>
      <c r="AO328" s="9"/>
      <c r="AP328" s="9"/>
      <c r="AQ328" s="9"/>
      <c r="AR328" s="9"/>
      <c r="AS328" s="9"/>
      <c r="AT328" s="9"/>
      <c r="AU328" s="447"/>
      <c r="AV328" s="447"/>
      <c r="AW328" s="468" t="s">
        <v>199</v>
      </c>
      <c r="AX328" s="468" t="s">
        <v>199</v>
      </c>
      <c r="AY328" s="10"/>
      <c r="AZ328" s="10"/>
      <c r="BA328" s="553" t="str">
        <f t="shared" si="30"/>
        <v/>
      </c>
      <c r="BB328" s="553" t="str">
        <f t="shared" si="31"/>
        <v/>
      </c>
      <c r="BC328" s="553" t="str">
        <f t="shared" si="29"/>
        <v/>
      </c>
      <c r="BD328" s="572"/>
      <c r="BE328" s="448" t="s">
        <v>1726</v>
      </c>
      <c r="BF328" s="305"/>
      <c r="BG328" s="305"/>
      <c r="BH328" s="306"/>
      <c r="BI328" s="305"/>
    </row>
    <row r="329" spans="1:61" ht="16.2" customHeight="1">
      <c r="A329" s="582" t="s">
        <v>383</v>
      </c>
      <c r="B329" s="469"/>
      <c r="C329" s="3"/>
      <c r="D329" s="88"/>
      <c r="E329" s="4"/>
      <c r="F329" s="4"/>
      <c r="G329" s="6">
        <v>29.7</v>
      </c>
      <c r="H329" s="468"/>
      <c r="I329" s="468"/>
      <c r="J329" s="3"/>
      <c r="K329" s="468"/>
      <c r="L329" s="468"/>
      <c r="M329" s="468" t="str">
        <f>IF(L329="","",
IF(AX329="PT",VLOOKUP(L329,Foundation_Calc!$V$4:$X$37,VLOOKUP(AX329,Foundation_Calc!$I$10:$J$13,2,FALSE),0),
IF(AX329="K",VLOOKUP(L329,Foundation_Calc!$V$41:$X$74,VLOOKUP(AX329,Foundation_Calc!$I$10:$J$13,2,FALSE),0),"")))</f>
        <v/>
      </c>
      <c r="N329" s="468"/>
      <c r="O329" s="468"/>
      <c r="P329" s="468"/>
      <c r="Q329" s="4"/>
      <c r="R329" s="6"/>
      <c r="S329" s="6"/>
      <c r="T329" s="4"/>
      <c r="U329" s="4"/>
      <c r="V329" s="4"/>
      <c r="W329" s="9"/>
      <c r="X329" s="9"/>
      <c r="Y329" s="9"/>
      <c r="Z329" s="9"/>
      <c r="AA329" s="9"/>
      <c r="AB329" s="9"/>
      <c r="AC329" s="468" t="str">
        <f t="shared" si="32"/>
        <v/>
      </c>
      <c r="AD329" s="468"/>
      <c r="AE329" s="468"/>
      <c r="AF329" s="4"/>
      <c r="AG329" s="88"/>
      <c r="AH329" s="4"/>
      <c r="AI329" s="4"/>
      <c r="AJ329" s="468"/>
      <c r="AK329" s="468"/>
      <c r="AL329" s="468"/>
      <c r="AM329" s="468"/>
      <c r="AN329" s="10"/>
      <c r="AO329" s="9"/>
      <c r="AP329" s="9"/>
      <c r="AQ329" s="9"/>
      <c r="AR329" s="9"/>
      <c r="AS329" s="9"/>
      <c r="AT329" s="9"/>
      <c r="AU329" s="447"/>
      <c r="AV329" s="447"/>
      <c r="AW329" s="468"/>
      <c r="AX329" s="468"/>
      <c r="AY329" s="10"/>
      <c r="AZ329" s="10"/>
      <c r="BA329" s="553" t="str">
        <f t="shared" si="30"/>
        <v/>
      </c>
      <c r="BB329" s="553" t="str">
        <f t="shared" si="31"/>
        <v/>
      </c>
      <c r="BC329" s="553" t="str">
        <f t="shared" si="29"/>
        <v/>
      </c>
      <c r="BD329" s="572"/>
      <c r="BE329" s="448" t="s">
        <v>1726</v>
      </c>
      <c r="BF329" s="306"/>
      <c r="BG329" s="306"/>
      <c r="BH329" s="306"/>
      <c r="BI329" s="306"/>
    </row>
    <row r="330" spans="1:61" ht="16.2" customHeight="1">
      <c r="A330" s="582" t="s">
        <v>383</v>
      </c>
      <c r="B330" s="469" t="s">
        <v>2019</v>
      </c>
      <c r="C330" s="3">
        <f>+$C$328+$G$329</f>
        <v>6707.73</v>
      </c>
      <c r="D330" s="88"/>
      <c r="E330" s="4"/>
      <c r="F330" s="4">
        <v>-400</v>
      </c>
      <c r="G330" s="6"/>
      <c r="H330" s="468" t="s">
        <v>26</v>
      </c>
      <c r="I330" s="468" t="s">
        <v>1155</v>
      </c>
      <c r="J330" s="3">
        <f>'HR Track 2'!J330</f>
        <v>6726.7500000000009</v>
      </c>
      <c r="K330" s="468" t="s">
        <v>447</v>
      </c>
      <c r="L330" s="468"/>
      <c r="M330" s="468" t="str">
        <f>IF(L330="","",
IF(AX330="PT",VLOOKUP(L330,Foundation_Calc!$V$4:$X$37,VLOOKUP(AX330,Foundation_Calc!$I$10:$J$13,2,FALSE),0),
IF(AX330="K",VLOOKUP(L330,Foundation_Calc!$V$41:$X$74,VLOOKUP(AX330,Foundation_Calc!$I$10:$J$13,2,FALSE),0),"")))</f>
        <v/>
      </c>
      <c r="N330" s="468" t="s">
        <v>191</v>
      </c>
      <c r="O330" s="468"/>
      <c r="P330" s="468"/>
      <c r="Q330" s="4"/>
      <c r="R330" s="6"/>
      <c r="S330" s="6"/>
      <c r="T330" s="4">
        <v>-25</v>
      </c>
      <c r="U330" s="4"/>
      <c r="V330" s="4"/>
      <c r="W330" s="9">
        <v>1</v>
      </c>
      <c r="X330" s="9"/>
      <c r="Y330" s="9"/>
      <c r="Z330" s="9"/>
      <c r="AA330" s="9"/>
      <c r="AB330" s="9"/>
      <c r="AC330" s="468" t="s">
        <v>1341</v>
      </c>
      <c r="AD330" s="468"/>
      <c r="AE330" s="468"/>
      <c r="AF330" s="4"/>
      <c r="AG330" s="88"/>
      <c r="AH330" s="4"/>
      <c r="AI330" s="4"/>
      <c r="AJ330" s="468"/>
      <c r="AK330" s="468" t="s">
        <v>41</v>
      </c>
      <c r="AL330" s="468"/>
      <c r="AM330" s="468" t="s">
        <v>2458</v>
      </c>
      <c r="AN330" s="10">
        <v>5.15</v>
      </c>
      <c r="AO330" s="9"/>
      <c r="AP330" s="9"/>
      <c r="AQ330" s="9"/>
      <c r="AR330" s="9"/>
      <c r="AS330" s="9"/>
      <c r="AT330" s="9"/>
      <c r="AU330" s="447"/>
      <c r="AV330" s="447"/>
      <c r="AW330" s="468" t="s">
        <v>199</v>
      </c>
      <c r="AX330" s="468" t="s">
        <v>199</v>
      </c>
      <c r="AY330" s="10"/>
      <c r="AZ330" s="10"/>
      <c r="BA330" s="553" t="str">
        <f t="shared" si="30"/>
        <v/>
      </c>
      <c r="BB330" s="553" t="str">
        <f t="shared" si="31"/>
        <v/>
      </c>
      <c r="BC330" s="553" t="str">
        <f t="shared" si="29"/>
        <v/>
      </c>
      <c r="BD330" s="572"/>
      <c r="BE330" s="448" t="s">
        <v>1726</v>
      </c>
      <c r="BF330" s="305"/>
      <c r="BG330" s="305"/>
      <c r="BH330" s="306"/>
      <c r="BI330" s="305"/>
    </row>
    <row r="331" spans="1:61" ht="16.2" customHeight="1">
      <c r="A331" s="582" t="s">
        <v>383</v>
      </c>
      <c r="B331" s="469"/>
      <c r="C331" s="3"/>
      <c r="D331" s="88"/>
      <c r="E331" s="4"/>
      <c r="F331" s="4"/>
      <c r="G331" s="6">
        <v>29.7</v>
      </c>
      <c r="H331" s="468"/>
      <c r="I331" s="468"/>
      <c r="J331" s="3"/>
      <c r="K331" s="468"/>
      <c r="L331" s="468"/>
      <c r="M331" s="468" t="str">
        <f>IF(L331="","",
IF(AX331="PT",VLOOKUP(L331,Foundation_Calc!$V$4:$X$37,VLOOKUP(AX331,Foundation_Calc!$I$10:$J$13,2,FALSE),0),
IF(AX331="K",VLOOKUP(L331,Foundation_Calc!$V$41:$X$74,VLOOKUP(AX331,Foundation_Calc!$I$10:$J$13,2,FALSE),0),"")))</f>
        <v/>
      </c>
      <c r="N331" s="468"/>
      <c r="O331" s="468"/>
      <c r="P331" s="468"/>
      <c r="Q331" s="4"/>
      <c r="R331" s="6"/>
      <c r="S331" s="6"/>
      <c r="T331" s="4"/>
      <c r="U331" s="4"/>
      <c r="V331" s="4"/>
      <c r="W331" s="9"/>
      <c r="X331" s="9"/>
      <c r="Y331" s="9"/>
      <c r="Z331" s="9"/>
      <c r="AA331" s="9"/>
      <c r="AB331" s="9"/>
      <c r="AC331" s="468" t="str">
        <f t="shared" si="32"/>
        <v/>
      </c>
      <c r="AD331" s="468"/>
      <c r="AE331" s="468"/>
      <c r="AF331" s="4"/>
      <c r="AG331" s="88"/>
      <c r="AH331" s="4"/>
      <c r="AI331" s="4"/>
      <c r="AJ331" s="468"/>
      <c r="AK331" s="468"/>
      <c r="AL331" s="468"/>
      <c r="AM331" s="468"/>
      <c r="AN331" s="10"/>
      <c r="AO331" s="9"/>
      <c r="AP331" s="9"/>
      <c r="AQ331" s="9"/>
      <c r="AR331" s="9"/>
      <c r="AS331" s="9"/>
      <c r="AT331" s="9"/>
      <c r="AU331" s="447"/>
      <c r="AV331" s="447"/>
      <c r="AW331" s="468"/>
      <c r="AX331" s="468"/>
      <c r="AY331" s="10"/>
      <c r="AZ331" s="10"/>
      <c r="BA331" s="553" t="str">
        <f t="shared" si="30"/>
        <v/>
      </c>
      <c r="BB331" s="553" t="str">
        <f t="shared" si="31"/>
        <v/>
      </c>
      <c r="BC331" s="553" t="str">
        <f t="shared" ref="BC331:BC394" si="33">IF(M331="","",IF(M331="U.S.","ü",IF(M331="U.S. N.D.","ü","")))</f>
        <v/>
      </c>
      <c r="BD331" s="572"/>
      <c r="BE331" s="448" t="s">
        <v>1726</v>
      </c>
      <c r="BF331" s="306"/>
      <c r="BG331" s="306"/>
      <c r="BH331" s="306"/>
      <c r="BI331" s="306"/>
    </row>
    <row r="332" spans="1:61" ht="16.2" customHeight="1">
      <c r="A332" s="582" t="s">
        <v>383</v>
      </c>
      <c r="B332" s="469" t="s">
        <v>2020</v>
      </c>
      <c r="C332" s="3">
        <f>+$C$330+$G$331</f>
        <v>6737.4299999999994</v>
      </c>
      <c r="D332" s="88"/>
      <c r="E332" s="4"/>
      <c r="F332" s="4">
        <v>-400</v>
      </c>
      <c r="G332" s="6"/>
      <c r="H332" s="647" t="s">
        <v>179</v>
      </c>
      <c r="I332" s="468"/>
      <c r="J332" s="501"/>
      <c r="K332" s="468"/>
      <c r="L332" s="468"/>
      <c r="M332" s="468" t="str">
        <f>IF(L332="","",
IF(AX332="PT",VLOOKUP(L332,Foundation_Calc!$V$4:$X$37,VLOOKUP(AX332,Foundation_Calc!$I$10:$J$13,2,FALSE),0),
IF(AX332="K",VLOOKUP(L332,Foundation_Calc!$V$41:$X$74,VLOOKUP(AX332,Foundation_Calc!$I$10:$J$13,2,FALSE),0),"")))</f>
        <v/>
      </c>
      <c r="N332" s="541" t="s">
        <v>193</v>
      </c>
      <c r="O332" s="541" t="s">
        <v>191</v>
      </c>
      <c r="P332" s="468"/>
      <c r="Q332" s="4"/>
      <c r="R332" s="6"/>
      <c r="S332" s="6"/>
      <c r="T332" s="4">
        <v>10</v>
      </c>
      <c r="U332" s="4">
        <v>-30</v>
      </c>
      <c r="V332" s="4"/>
      <c r="W332" s="542">
        <v>0.8</v>
      </c>
      <c r="X332" s="542">
        <v>1</v>
      </c>
      <c r="Y332" s="9"/>
      <c r="Z332" s="9">
        <v>0.3</v>
      </c>
      <c r="AA332" s="9"/>
      <c r="AB332" s="9"/>
      <c r="AC332" s="468"/>
      <c r="AD332" s="541" t="s">
        <v>1078</v>
      </c>
      <c r="AE332" s="468"/>
      <c r="AF332" s="4"/>
      <c r="AG332" s="88"/>
      <c r="AH332" s="4"/>
      <c r="AI332" s="4"/>
      <c r="AJ332" s="468"/>
      <c r="AK332" s="541" t="s">
        <v>42</v>
      </c>
      <c r="AL332" s="468"/>
      <c r="AM332" s="468" t="s">
        <v>2458</v>
      </c>
      <c r="AN332" s="10">
        <v>5.15</v>
      </c>
      <c r="AO332" s="9"/>
      <c r="AP332" s="9"/>
      <c r="AQ332" s="9"/>
      <c r="AR332" s="9"/>
      <c r="AS332" s="9"/>
      <c r="AT332" s="9"/>
      <c r="AU332" s="447"/>
      <c r="AV332" s="447"/>
      <c r="AW332" s="468" t="s">
        <v>199</v>
      </c>
      <c r="AX332" s="468" t="s">
        <v>199</v>
      </c>
      <c r="AY332" s="10"/>
      <c r="AZ332" s="10"/>
      <c r="BA332" s="553" t="str">
        <f t="shared" si="30"/>
        <v/>
      </c>
      <c r="BB332" s="553" t="str">
        <f t="shared" si="31"/>
        <v/>
      </c>
      <c r="BC332" s="553" t="str">
        <f t="shared" si="33"/>
        <v/>
      </c>
      <c r="BD332" s="572"/>
      <c r="BE332" s="448" t="s">
        <v>1726</v>
      </c>
      <c r="BF332" s="305"/>
      <c r="BG332" s="305"/>
      <c r="BH332" s="306"/>
      <c r="BI332" s="305"/>
    </row>
    <row r="333" spans="1:61" ht="16.2" customHeight="1">
      <c r="A333" s="582" t="s">
        <v>383</v>
      </c>
      <c r="B333" s="469"/>
      <c r="C333" s="3"/>
      <c r="D333" s="88"/>
      <c r="E333" s="4"/>
      <c r="F333" s="4"/>
      <c r="G333" s="6">
        <v>29.7</v>
      </c>
      <c r="H333" s="468"/>
      <c r="I333" s="468"/>
      <c r="J333" s="3"/>
      <c r="K333" s="468"/>
      <c r="L333" s="468"/>
      <c r="M333" s="468" t="str">
        <f>IF(L333="","",
IF(AX333="PT",VLOOKUP(L333,Foundation_Calc!$V$4:$X$37,VLOOKUP(AX333,Foundation_Calc!$I$10:$J$13,2,FALSE),0),
IF(AX333="K",VLOOKUP(L333,Foundation_Calc!$V$41:$X$74,VLOOKUP(AX333,Foundation_Calc!$I$10:$J$13,2,FALSE),0),"")))</f>
        <v/>
      </c>
      <c r="N333" s="468"/>
      <c r="O333" s="468"/>
      <c r="P333" s="468"/>
      <c r="Q333" s="4"/>
      <c r="R333" s="6"/>
      <c r="S333" s="6"/>
      <c r="T333" s="4"/>
      <c r="U333" s="4"/>
      <c r="V333" s="4"/>
      <c r="W333" s="9"/>
      <c r="X333" s="9"/>
      <c r="Y333" s="9"/>
      <c r="Z333" s="9"/>
      <c r="AA333" s="9"/>
      <c r="AB333" s="9"/>
      <c r="AC333" s="468" t="str">
        <f t="shared" si="32"/>
        <v/>
      </c>
      <c r="AD333" s="468"/>
      <c r="AE333" s="468"/>
      <c r="AF333" s="4"/>
      <c r="AG333" s="88"/>
      <c r="AH333" s="4"/>
      <c r="AI333" s="4"/>
      <c r="AJ333" s="468"/>
      <c r="AK333" s="468"/>
      <c r="AL333" s="468"/>
      <c r="AM333" s="468"/>
      <c r="AN333" s="10"/>
      <c r="AO333" s="9"/>
      <c r="AP333" s="9"/>
      <c r="AQ333" s="9"/>
      <c r="AR333" s="9"/>
      <c r="AS333" s="9"/>
      <c r="AT333" s="9"/>
      <c r="AU333" s="447"/>
      <c r="AV333" s="447"/>
      <c r="AW333" s="468"/>
      <c r="AX333" s="468"/>
      <c r="AY333" s="10"/>
      <c r="AZ333" s="10"/>
      <c r="BA333" s="553" t="str">
        <f t="shared" si="30"/>
        <v/>
      </c>
      <c r="BB333" s="553" t="str">
        <f t="shared" si="31"/>
        <v/>
      </c>
      <c r="BC333" s="553" t="str">
        <f t="shared" si="33"/>
        <v/>
      </c>
      <c r="BD333" s="572"/>
      <c r="BE333" s="448" t="s">
        <v>1726</v>
      </c>
      <c r="BF333" s="306"/>
      <c r="BG333" s="306"/>
      <c r="BH333" s="306"/>
      <c r="BI333" s="306"/>
    </row>
    <row r="334" spans="1:61" ht="16.2" customHeight="1">
      <c r="A334" s="583" t="s">
        <v>2367</v>
      </c>
      <c r="B334" s="536" t="s">
        <v>2021</v>
      </c>
      <c r="C334" s="537">
        <f>+$C$332+$G$333</f>
        <v>6767.1299999999992</v>
      </c>
      <c r="D334" s="538"/>
      <c r="E334" s="539"/>
      <c r="F334" s="539">
        <v>-578.05999999999995</v>
      </c>
      <c r="G334" s="540"/>
      <c r="H334" s="541" t="s">
        <v>179</v>
      </c>
      <c r="I334" s="541" t="s">
        <v>653</v>
      </c>
      <c r="J334" s="537"/>
      <c r="K334" s="541"/>
      <c r="L334" s="541"/>
      <c r="M334" s="541" t="str">
        <f>IF(L334="","",
IF(AX334="PT",VLOOKUP(L334,Foundation_Calc!$V$4:$X$37,VLOOKUP(AX334,Foundation_Calc!$I$10:$J$13,2,FALSE),0),
IF(AX334="K",VLOOKUP(L334,Foundation_Calc!$V$41:$X$74,VLOOKUP(AX334,Foundation_Calc!$I$10:$J$13,2,FALSE),0),"")))</f>
        <v/>
      </c>
      <c r="N334" s="541" t="s">
        <v>193</v>
      </c>
      <c r="O334" s="541" t="s">
        <v>191</v>
      </c>
      <c r="P334" s="541"/>
      <c r="Q334" s="539"/>
      <c r="R334" s="540"/>
      <c r="S334" s="540"/>
      <c r="T334" s="539">
        <v>10</v>
      </c>
      <c r="U334" s="539">
        <v>-35</v>
      </c>
      <c r="V334" s="539"/>
      <c r="W334" s="542">
        <v>0.8</v>
      </c>
      <c r="X334" s="542">
        <v>1</v>
      </c>
      <c r="Y334" s="542"/>
      <c r="Z334" s="542">
        <v>0.3</v>
      </c>
      <c r="AA334" s="542"/>
      <c r="AB334" s="542"/>
      <c r="AC334" s="541" t="str">
        <f t="shared" ref="AC334:AC397" si="34">IF(OR(AT334&gt;8,AT334&lt;-8),"PH",
IF(OR(AT334&gt;5,AT334&lt;-5),"PHQ",
IF(OR(AT334&gt;1,AT334&lt;-1),
"PHC","")))</f>
        <v/>
      </c>
      <c r="AD334" s="541" t="s">
        <v>1078</v>
      </c>
      <c r="AE334" s="541"/>
      <c r="AF334" s="539"/>
      <c r="AG334" s="538"/>
      <c r="AH334" s="539"/>
      <c r="AI334" s="539"/>
      <c r="AJ334" s="541" t="s">
        <v>1162</v>
      </c>
      <c r="AK334" s="541" t="s">
        <v>42</v>
      </c>
      <c r="AL334" s="541"/>
      <c r="AM334" s="541" t="s">
        <v>2458</v>
      </c>
      <c r="AN334" s="543">
        <v>5.15</v>
      </c>
      <c r="AO334" s="542"/>
      <c r="AP334" s="542"/>
      <c r="AQ334" s="542"/>
      <c r="AR334" s="542"/>
      <c r="AS334" s="542"/>
      <c r="AT334" s="542"/>
      <c r="AU334" s="544"/>
      <c r="AV334" s="544"/>
      <c r="AW334" s="541" t="s">
        <v>199</v>
      </c>
      <c r="AX334" s="541" t="s">
        <v>199</v>
      </c>
      <c r="AY334" s="543"/>
      <c r="AZ334" s="543"/>
      <c r="BA334" s="556" t="str">
        <f t="shared" ref="BA334:BA397" si="35">IF(AY334="","",IF(AY334&gt;0,"ü",""))</f>
        <v/>
      </c>
      <c r="BB334" s="556" t="str">
        <f t="shared" ref="BB334:BB397" si="36">IF(AZ334="","",IF(AZ334&gt;0,"ü",""))</f>
        <v/>
      </c>
      <c r="BC334" s="556" t="str">
        <f t="shared" si="33"/>
        <v/>
      </c>
      <c r="BD334" s="572"/>
      <c r="BE334" s="448" t="s">
        <v>1726</v>
      </c>
      <c r="BF334" s="305"/>
      <c r="BG334" s="305"/>
      <c r="BH334" s="306"/>
      <c r="BI334" s="305"/>
    </row>
    <row r="335" spans="1:61" ht="16.2" customHeight="1">
      <c r="A335" s="582" t="s">
        <v>383</v>
      </c>
      <c r="B335" s="469"/>
      <c r="C335" s="3"/>
      <c r="D335" s="88"/>
      <c r="E335" s="4"/>
      <c r="F335" s="4"/>
      <c r="G335" s="6">
        <v>29.8</v>
      </c>
      <c r="H335" s="468"/>
      <c r="I335" s="468"/>
      <c r="J335" s="3"/>
      <c r="K335" s="468"/>
      <c r="L335" s="468"/>
      <c r="M335" s="468" t="str">
        <f>IF(L335="","",
IF(AX335="PT",VLOOKUP(L335,Foundation_Calc!$V$4:$X$37,VLOOKUP(AX335,Foundation_Calc!$I$10:$J$13,2,FALSE),0),
IF(AX335="K",VLOOKUP(L335,Foundation_Calc!$V$41:$X$74,VLOOKUP(AX335,Foundation_Calc!$I$10:$J$13,2,FALSE),0),"")))</f>
        <v/>
      </c>
      <c r="N335" s="468"/>
      <c r="O335" s="468"/>
      <c r="P335" s="468"/>
      <c r="Q335" s="4"/>
      <c r="R335" s="6"/>
      <c r="S335" s="6"/>
      <c r="T335" s="4"/>
      <c r="U335" s="4"/>
      <c r="V335" s="4"/>
      <c r="W335" s="9"/>
      <c r="X335" s="9"/>
      <c r="Y335" s="9"/>
      <c r="Z335" s="9"/>
      <c r="AA335" s="9"/>
      <c r="AB335" s="9"/>
      <c r="AC335" s="468" t="str">
        <f t="shared" si="34"/>
        <v/>
      </c>
      <c r="AD335" s="468"/>
      <c r="AE335" s="468"/>
      <c r="AF335" s="4"/>
      <c r="AG335" s="88"/>
      <c r="AH335" s="4"/>
      <c r="AI335" s="4"/>
      <c r="AJ335" s="468"/>
      <c r="AK335" s="468"/>
      <c r="AL335" s="468"/>
      <c r="AM335" s="468"/>
      <c r="AN335" s="10"/>
      <c r="AO335" s="9"/>
      <c r="AP335" s="9"/>
      <c r="AQ335" s="9"/>
      <c r="AR335" s="9"/>
      <c r="AS335" s="9"/>
      <c r="AT335" s="9"/>
      <c r="AU335" s="447"/>
      <c r="AV335" s="447"/>
      <c r="AW335" s="468"/>
      <c r="AX335" s="468"/>
      <c r="AY335" s="10"/>
      <c r="AZ335" s="10"/>
      <c r="BA335" s="553" t="str">
        <f t="shared" si="35"/>
        <v/>
      </c>
      <c r="BB335" s="553" t="str">
        <f t="shared" si="36"/>
        <v/>
      </c>
      <c r="BC335" s="553" t="str">
        <f t="shared" si="33"/>
        <v/>
      </c>
      <c r="BD335" s="572"/>
      <c r="BE335" s="448" t="s">
        <v>1726</v>
      </c>
      <c r="BF335" s="306"/>
      <c r="BG335" s="306"/>
      <c r="BH335" s="306"/>
      <c r="BI335" s="306"/>
    </row>
    <row r="336" spans="1:61" ht="16.2" customHeight="1">
      <c r="A336" s="582" t="s">
        <v>383</v>
      </c>
      <c r="B336" s="469" t="s">
        <v>2022</v>
      </c>
      <c r="C336" s="3">
        <f>+$C$334+$G$335</f>
        <v>6796.9299999999994</v>
      </c>
      <c r="D336" s="88"/>
      <c r="E336" s="4"/>
      <c r="F336" s="4">
        <v>-578.05999999999995</v>
      </c>
      <c r="G336" s="6"/>
      <c r="H336" s="468" t="s">
        <v>180</v>
      </c>
      <c r="I336" s="468"/>
      <c r="J336" s="3"/>
      <c r="K336" s="468"/>
      <c r="L336" s="468"/>
      <c r="M336" s="468" t="str">
        <f>IF(L336="","",
IF(AX336="PT",VLOOKUP(L336,Foundation_Calc!$V$4:$X$37,VLOOKUP(AX336,Foundation_Calc!$I$10:$J$13,2,FALSE),0),
IF(AX336="K",VLOOKUP(L336,Foundation_Calc!$V$41:$X$74,VLOOKUP(AX336,Foundation_Calc!$I$10:$J$13,2,FALSE),0),"")))</f>
        <v/>
      </c>
      <c r="N336" s="468" t="s">
        <v>191</v>
      </c>
      <c r="O336" s="468" t="s">
        <v>191</v>
      </c>
      <c r="P336" s="468"/>
      <c r="Q336" s="4"/>
      <c r="R336" s="6"/>
      <c r="S336" s="6"/>
      <c r="T336" s="539">
        <v>10</v>
      </c>
      <c r="U336" s="539">
        <v>-35</v>
      </c>
      <c r="V336" s="4"/>
      <c r="W336" s="542">
        <v>0.8</v>
      </c>
      <c r="X336" s="542">
        <v>1</v>
      </c>
      <c r="Y336" s="9"/>
      <c r="Z336" s="9">
        <v>0.15</v>
      </c>
      <c r="AA336" s="9"/>
      <c r="AB336" s="9"/>
      <c r="AC336" s="468" t="s">
        <v>1078</v>
      </c>
      <c r="AD336" s="468" t="s">
        <v>2513</v>
      </c>
      <c r="AE336" s="468"/>
      <c r="AF336" s="4"/>
      <c r="AG336" s="88"/>
      <c r="AH336" s="4"/>
      <c r="AI336" s="4"/>
      <c r="AJ336" s="468"/>
      <c r="AK336" s="541" t="s">
        <v>42</v>
      </c>
      <c r="AL336" s="468"/>
      <c r="AM336" s="468" t="s">
        <v>2458</v>
      </c>
      <c r="AN336" s="543">
        <v>5.15</v>
      </c>
      <c r="AO336" s="9"/>
      <c r="AP336" s="9"/>
      <c r="AQ336" s="9"/>
      <c r="AR336" s="9"/>
      <c r="AS336" s="9"/>
      <c r="AT336" s="9"/>
      <c r="AU336" s="447"/>
      <c r="AV336" s="447"/>
      <c r="AW336" s="468" t="s">
        <v>199</v>
      </c>
      <c r="AX336" s="468" t="s">
        <v>199</v>
      </c>
      <c r="AY336" s="10"/>
      <c r="AZ336" s="10"/>
      <c r="BA336" s="553" t="str">
        <f t="shared" si="35"/>
        <v/>
      </c>
      <c r="BB336" s="553" t="str">
        <f t="shared" si="36"/>
        <v/>
      </c>
      <c r="BC336" s="553" t="str">
        <f t="shared" si="33"/>
        <v/>
      </c>
      <c r="BD336" s="572"/>
      <c r="BE336" s="448" t="s">
        <v>1726</v>
      </c>
      <c r="BF336" s="305"/>
      <c r="BG336" s="305"/>
      <c r="BH336" s="306"/>
      <c r="BI336" s="305"/>
    </row>
    <row r="337" spans="1:61" ht="16.2" customHeight="1">
      <c r="A337" s="582" t="s">
        <v>383</v>
      </c>
      <c r="B337" s="469"/>
      <c r="C337" s="3"/>
      <c r="D337" s="88"/>
      <c r="E337" s="4"/>
      <c r="F337" s="4"/>
      <c r="G337" s="6">
        <v>29.9</v>
      </c>
      <c r="H337" s="468"/>
      <c r="I337" s="468"/>
      <c r="J337" s="3"/>
      <c r="K337" s="468"/>
      <c r="L337" s="468"/>
      <c r="M337" s="468" t="str">
        <f>IF(L337="","",
IF(AX337="PT",VLOOKUP(L337,Foundation_Calc!$V$4:$X$37,VLOOKUP(AX337,Foundation_Calc!$I$10:$J$13,2,FALSE),0),
IF(AX337="K",VLOOKUP(L337,Foundation_Calc!$V$41:$X$74,VLOOKUP(AX337,Foundation_Calc!$I$10:$J$13,2,FALSE),0),"")))</f>
        <v/>
      </c>
      <c r="N337" s="468"/>
      <c r="O337" s="468"/>
      <c r="P337" s="468"/>
      <c r="Q337" s="4"/>
      <c r="R337" s="6"/>
      <c r="S337" s="6"/>
      <c r="T337" s="4"/>
      <c r="U337" s="4"/>
      <c r="V337" s="4"/>
      <c r="W337" s="9"/>
      <c r="X337" s="9"/>
      <c r="Y337" s="9"/>
      <c r="Z337" s="9"/>
      <c r="AA337" s="9"/>
      <c r="AB337" s="9"/>
      <c r="AC337" s="468" t="str">
        <f t="shared" si="34"/>
        <v/>
      </c>
      <c r="AD337" s="468"/>
      <c r="AE337" s="468"/>
      <c r="AF337" s="4"/>
      <c r="AG337" s="88"/>
      <c r="AH337" s="4"/>
      <c r="AI337" s="4"/>
      <c r="AJ337" s="468"/>
      <c r="AK337" s="468"/>
      <c r="AL337" s="468"/>
      <c r="AM337" s="468"/>
      <c r="AN337" s="10"/>
      <c r="AO337" s="9"/>
      <c r="AP337" s="9"/>
      <c r="AQ337" s="9"/>
      <c r="AR337" s="9"/>
      <c r="AS337" s="9"/>
      <c r="AT337" s="9"/>
      <c r="AU337" s="447"/>
      <c r="AV337" s="447"/>
      <c r="AW337" s="468"/>
      <c r="AX337" s="468"/>
      <c r="AY337" s="10"/>
      <c r="AZ337" s="10"/>
      <c r="BA337" s="553" t="str">
        <f t="shared" si="35"/>
        <v/>
      </c>
      <c r="BB337" s="553" t="str">
        <f t="shared" si="36"/>
        <v/>
      </c>
      <c r="BC337" s="553" t="str">
        <f t="shared" si="33"/>
        <v/>
      </c>
      <c r="BD337" s="572"/>
      <c r="BE337" s="448" t="s">
        <v>1726</v>
      </c>
      <c r="BF337" s="306"/>
      <c r="BG337" s="306"/>
      <c r="BH337" s="306"/>
      <c r="BI337" s="306"/>
    </row>
    <row r="338" spans="1:61" ht="16.2" customHeight="1">
      <c r="A338" s="582" t="s">
        <v>383</v>
      </c>
      <c r="B338" s="469" t="s">
        <v>2023</v>
      </c>
      <c r="C338" s="3">
        <f>+$C$336+$G$337</f>
        <v>6826.829999999999</v>
      </c>
      <c r="D338" s="88"/>
      <c r="E338" s="4"/>
      <c r="F338" s="4">
        <v>-2199.5500000000002</v>
      </c>
      <c r="G338" s="6"/>
      <c r="H338" s="468" t="s">
        <v>180</v>
      </c>
      <c r="I338" s="468"/>
      <c r="J338" s="3"/>
      <c r="K338" s="468"/>
      <c r="L338" s="468"/>
      <c r="M338" s="468" t="str">
        <f>IF(L338="","",
IF(AX338="PT",VLOOKUP(L338,Foundation_Calc!$V$4:$X$37,VLOOKUP(AX338,Foundation_Calc!$I$10:$J$13,2,FALSE),0),
IF(AX338="K",VLOOKUP(L338,Foundation_Calc!$V$41:$X$74,VLOOKUP(AX338,Foundation_Calc!$I$10:$J$13,2,FALSE),0),"")))</f>
        <v/>
      </c>
      <c r="N338" s="468" t="s">
        <v>192</v>
      </c>
      <c r="O338" s="468" t="s">
        <v>192</v>
      </c>
      <c r="P338" s="468"/>
      <c r="Q338" s="4"/>
      <c r="R338" s="6"/>
      <c r="S338" s="6"/>
      <c r="T338" s="539">
        <v>10</v>
      </c>
      <c r="U338" s="539">
        <v>-35</v>
      </c>
      <c r="V338" s="4"/>
      <c r="W338" s="542">
        <v>0.8</v>
      </c>
      <c r="X338" s="542">
        <v>1</v>
      </c>
      <c r="Y338" s="9"/>
      <c r="Z338" s="9"/>
      <c r="AA338" s="9">
        <v>0.15</v>
      </c>
      <c r="AB338" s="9"/>
      <c r="AC338" s="468" t="s">
        <v>1078</v>
      </c>
      <c r="AD338" s="468" t="s">
        <v>1078</v>
      </c>
      <c r="AE338" s="468"/>
      <c r="AF338" s="4"/>
      <c r="AG338" s="88"/>
      <c r="AH338" s="4"/>
      <c r="AI338" s="4"/>
      <c r="AJ338" s="468"/>
      <c r="AK338" s="541" t="s">
        <v>42</v>
      </c>
      <c r="AL338" s="468"/>
      <c r="AM338" s="468" t="s">
        <v>2458</v>
      </c>
      <c r="AN338" s="543">
        <v>5.15</v>
      </c>
      <c r="AO338" s="9"/>
      <c r="AP338" s="9"/>
      <c r="AQ338" s="9"/>
      <c r="AR338" s="9"/>
      <c r="AS338" s="9"/>
      <c r="AT338" s="9"/>
      <c r="AU338" s="447"/>
      <c r="AV338" s="447"/>
      <c r="AW338" s="468" t="s">
        <v>199</v>
      </c>
      <c r="AX338" s="468" t="s">
        <v>199</v>
      </c>
      <c r="AY338" s="10"/>
      <c r="AZ338" s="10"/>
      <c r="BA338" s="553" t="str">
        <f t="shared" si="35"/>
        <v/>
      </c>
      <c r="BB338" s="553" t="str">
        <f t="shared" si="36"/>
        <v/>
      </c>
      <c r="BC338" s="553" t="str">
        <f t="shared" si="33"/>
        <v/>
      </c>
      <c r="BD338" s="572"/>
      <c r="BE338" s="448" t="s">
        <v>1726</v>
      </c>
      <c r="BF338" s="305"/>
      <c r="BG338" s="305"/>
      <c r="BH338" s="306"/>
      <c r="BI338" s="305"/>
    </row>
    <row r="339" spans="1:61" ht="16.2" customHeight="1">
      <c r="A339" s="582" t="s">
        <v>383</v>
      </c>
      <c r="B339" s="469"/>
      <c r="C339" s="3"/>
      <c r="D339" s="88"/>
      <c r="E339" s="4"/>
      <c r="F339" s="4"/>
      <c r="G339" s="6">
        <v>30</v>
      </c>
      <c r="H339" s="468"/>
      <c r="I339" s="468"/>
      <c r="J339" s="3"/>
      <c r="K339" s="468"/>
      <c r="L339" s="468"/>
      <c r="M339" s="468" t="str">
        <f>IF(L339="","",
IF(AX339="PT",VLOOKUP(L339,Foundation_Calc!$V$4:$X$37,VLOOKUP(AX339,Foundation_Calc!$I$10:$J$13,2,FALSE),0),
IF(AX339="K",VLOOKUP(L339,Foundation_Calc!$V$41:$X$74,VLOOKUP(AX339,Foundation_Calc!$I$10:$J$13,2,FALSE),0),"")))</f>
        <v/>
      </c>
      <c r="N339" s="468"/>
      <c r="O339" s="468"/>
      <c r="P339" s="468"/>
      <c r="Q339" s="4"/>
      <c r="R339" s="6"/>
      <c r="S339" s="6"/>
      <c r="T339" s="4"/>
      <c r="U339" s="4"/>
      <c r="V339" s="4"/>
      <c r="W339" s="9"/>
      <c r="X339" s="9"/>
      <c r="Y339" s="9"/>
      <c r="Z339" s="9"/>
      <c r="AA339" s="9"/>
      <c r="AB339" s="9"/>
      <c r="AC339" s="468" t="str">
        <f t="shared" si="34"/>
        <v/>
      </c>
      <c r="AD339" s="468"/>
      <c r="AE339" s="468"/>
      <c r="AF339" s="4"/>
      <c r="AG339" s="88"/>
      <c r="AH339" s="4"/>
      <c r="AI339" s="4"/>
      <c r="AJ339" s="468"/>
      <c r="AK339" s="468"/>
      <c r="AL339" s="468"/>
      <c r="AM339" s="468"/>
      <c r="AN339" s="10"/>
      <c r="AO339" s="9"/>
      <c r="AP339" s="9"/>
      <c r="AQ339" s="9"/>
      <c r="AR339" s="9"/>
      <c r="AS339" s="9"/>
      <c r="AT339" s="9"/>
      <c r="AU339" s="447"/>
      <c r="AV339" s="447"/>
      <c r="AW339" s="468"/>
      <c r="AX339" s="468"/>
      <c r="AY339" s="10"/>
      <c r="AZ339" s="10"/>
      <c r="BA339" s="553" t="str">
        <f t="shared" si="35"/>
        <v/>
      </c>
      <c r="BB339" s="553" t="str">
        <f t="shared" si="36"/>
        <v/>
      </c>
      <c r="BC339" s="553" t="str">
        <f t="shared" si="33"/>
        <v/>
      </c>
      <c r="BD339" s="572"/>
      <c r="BE339" s="448" t="s">
        <v>1726</v>
      </c>
      <c r="BF339" s="306"/>
      <c r="BG339" s="306"/>
      <c r="BH339" s="306"/>
      <c r="BI339" s="306"/>
    </row>
    <row r="340" spans="1:61" ht="16.2" customHeight="1">
      <c r="A340" s="582" t="s">
        <v>383</v>
      </c>
      <c r="B340" s="469" t="s">
        <v>2024</v>
      </c>
      <c r="C340" s="3">
        <f>+$C$338+$G$339</f>
        <v>6856.829999999999</v>
      </c>
      <c r="D340" s="88"/>
      <c r="E340" s="4"/>
      <c r="F340" s="4">
        <v>0</v>
      </c>
      <c r="G340" s="6"/>
      <c r="H340" s="468" t="s">
        <v>179</v>
      </c>
      <c r="I340" s="468"/>
      <c r="J340" s="3"/>
      <c r="K340" s="468"/>
      <c r="L340" s="468"/>
      <c r="M340" s="468" t="str">
        <f>IF(L340="","",
IF(AX340="PT",VLOOKUP(L340,Foundation_Calc!$V$4:$X$37,VLOOKUP(AX340,Foundation_Calc!$I$10:$J$13,2,FALSE),0),
IF(AX340="K",VLOOKUP(L340,Foundation_Calc!$V$41:$X$74,VLOOKUP(AX340,Foundation_Calc!$I$10:$J$13,2,FALSE),0),"")))</f>
        <v/>
      </c>
      <c r="N340" s="468" t="s">
        <v>191</v>
      </c>
      <c r="O340" s="468" t="s">
        <v>193</v>
      </c>
      <c r="P340" s="468"/>
      <c r="Q340" s="4"/>
      <c r="R340" s="6"/>
      <c r="S340" s="6"/>
      <c r="T340" s="4">
        <v>-30</v>
      </c>
      <c r="U340" s="4">
        <v>-75</v>
      </c>
      <c r="V340" s="4"/>
      <c r="W340" s="542">
        <v>0.8</v>
      </c>
      <c r="X340" s="542">
        <v>1</v>
      </c>
      <c r="Y340" s="9"/>
      <c r="Z340" s="9"/>
      <c r="AA340" s="9">
        <v>0.3</v>
      </c>
      <c r="AB340" s="9"/>
      <c r="AC340" s="468" t="s">
        <v>630</v>
      </c>
      <c r="AD340" s="468"/>
      <c r="AE340" s="468"/>
      <c r="AF340" s="4"/>
      <c r="AG340" s="88"/>
      <c r="AH340" s="4"/>
      <c r="AI340" s="4"/>
      <c r="AJ340" s="468"/>
      <c r="AK340" s="541" t="s">
        <v>42</v>
      </c>
      <c r="AL340" s="468"/>
      <c r="AM340" s="468" t="s">
        <v>2458</v>
      </c>
      <c r="AN340" s="543">
        <v>5.15</v>
      </c>
      <c r="AO340" s="9"/>
      <c r="AP340" s="9"/>
      <c r="AQ340" s="9"/>
      <c r="AR340" s="9"/>
      <c r="AS340" s="9"/>
      <c r="AT340" s="9"/>
      <c r="AU340" s="447"/>
      <c r="AV340" s="447"/>
      <c r="AW340" s="468" t="s">
        <v>199</v>
      </c>
      <c r="AX340" s="468" t="s">
        <v>199</v>
      </c>
      <c r="AY340" s="10"/>
      <c r="AZ340" s="10"/>
      <c r="BA340" s="553" t="str">
        <f t="shared" si="35"/>
        <v/>
      </c>
      <c r="BB340" s="553" t="str">
        <f t="shared" si="36"/>
        <v/>
      </c>
      <c r="BC340" s="553" t="str">
        <f t="shared" si="33"/>
        <v/>
      </c>
      <c r="BD340" s="572"/>
      <c r="BE340" s="448" t="s">
        <v>1726</v>
      </c>
      <c r="BF340" s="305"/>
      <c r="BG340" s="305"/>
      <c r="BH340" s="306"/>
      <c r="BI340" s="305"/>
    </row>
    <row r="341" spans="1:61" ht="16.2" customHeight="1">
      <c r="A341" s="582" t="s">
        <v>383</v>
      </c>
      <c r="B341" s="469"/>
      <c r="C341" s="3"/>
      <c r="D341" s="88"/>
      <c r="E341" s="4"/>
      <c r="F341" s="4"/>
      <c r="G341" s="6">
        <v>37</v>
      </c>
      <c r="H341" s="468"/>
      <c r="I341" s="4">
        <f>SUM(G301:G341)</f>
        <v>629.89999999999986</v>
      </c>
      <c r="J341" s="3"/>
      <c r="K341" s="468"/>
      <c r="L341" s="468"/>
      <c r="M341" s="468" t="str">
        <f>IF(L341="","",
IF(AX341="PT",VLOOKUP(L341,Foundation_Calc!$V$4:$X$37,VLOOKUP(AX341,Foundation_Calc!$I$10:$J$13,2,FALSE),0),
IF(AX341="K",VLOOKUP(L341,Foundation_Calc!$V$41:$X$74,VLOOKUP(AX341,Foundation_Calc!$I$10:$J$13,2,FALSE),0),"")))</f>
        <v/>
      </c>
      <c r="N341" s="468"/>
      <c r="O341" s="468"/>
      <c r="P341" s="468"/>
      <c r="Q341" s="4"/>
      <c r="R341" s="6"/>
      <c r="S341" s="6"/>
      <c r="T341" s="4"/>
      <c r="U341" s="4"/>
      <c r="V341" s="4"/>
      <c r="W341" s="9"/>
      <c r="X341" s="9"/>
      <c r="Y341" s="9"/>
      <c r="Z341" s="9"/>
      <c r="AA341" s="9"/>
      <c r="AB341" s="9"/>
      <c r="AC341" s="468" t="str">
        <f t="shared" si="34"/>
        <v/>
      </c>
      <c r="AD341" s="468"/>
      <c r="AE341" s="468"/>
      <c r="AF341" s="4"/>
      <c r="AG341" s="88"/>
      <c r="AH341" s="4"/>
      <c r="AI341" s="4"/>
      <c r="AJ341" s="468"/>
      <c r="AK341" s="468"/>
      <c r="AL341" s="468"/>
      <c r="AM341" s="468"/>
      <c r="AN341" s="10"/>
      <c r="AO341" s="9"/>
      <c r="AP341" s="9"/>
      <c r="AQ341" s="9"/>
      <c r="AR341" s="9"/>
      <c r="AS341" s="9"/>
      <c r="AT341" s="9"/>
      <c r="AU341" s="447"/>
      <c r="AV341" s="447"/>
      <c r="AW341" s="468"/>
      <c r="AX341" s="468"/>
      <c r="AY341" s="10"/>
      <c r="AZ341" s="10"/>
      <c r="BA341" s="553" t="str">
        <f t="shared" si="35"/>
        <v/>
      </c>
      <c r="BB341" s="553" t="str">
        <f t="shared" si="36"/>
        <v/>
      </c>
      <c r="BC341" s="553" t="str">
        <f t="shared" si="33"/>
        <v/>
      </c>
      <c r="BD341" s="572"/>
      <c r="BE341" s="448" t="s">
        <v>1726</v>
      </c>
      <c r="BF341" s="306"/>
      <c r="BG341" s="306"/>
      <c r="BH341" s="306"/>
      <c r="BI341" s="306"/>
    </row>
    <row r="342" spans="1:61" ht="16.2" customHeight="1">
      <c r="A342" s="582" t="s">
        <v>383</v>
      </c>
      <c r="B342" s="469" t="s">
        <v>2025</v>
      </c>
      <c r="C342" s="3">
        <f>+$C$340+$G$341</f>
        <v>6893.829999999999</v>
      </c>
      <c r="D342" s="88"/>
      <c r="E342" s="4"/>
      <c r="F342" s="4">
        <v>0</v>
      </c>
      <c r="G342" s="6"/>
      <c r="H342" s="468" t="s">
        <v>26</v>
      </c>
      <c r="I342" s="468" t="s">
        <v>339</v>
      </c>
      <c r="J342" s="3">
        <f>C342-10</f>
        <v>6883.829999999999</v>
      </c>
      <c r="K342" s="468" t="s">
        <v>447</v>
      </c>
      <c r="L342" s="468"/>
      <c r="M342" s="468" t="str">
        <f>IF(L342="","",
IF(AX342="PT",VLOOKUP(L342,Foundation_Calc!$V$4:$X$37,VLOOKUP(AX342,Foundation_Calc!$I$10:$J$13,2,FALSE),0),
IF(AX342="K",VLOOKUP(L342,Foundation_Calc!$V$41:$X$74,VLOOKUP(AX342,Foundation_Calc!$I$10:$J$13,2,FALSE),0),"")))</f>
        <v/>
      </c>
      <c r="N342" s="468" t="s">
        <v>192</v>
      </c>
      <c r="O342" s="468"/>
      <c r="P342" s="468"/>
      <c r="Q342" s="4"/>
      <c r="R342" s="6"/>
      <c r="S342" s="6"/>
      <c r="T342" s="4">
        <v>30</v>
      </c>
      <c r="U342" s="4"/>
      <c r="V342" s="4"/>
      <c r="W342" s="9">
        <v>1</v>
      </c>
      <c r="X342" s="9"/>
      <c r="Y342" s="9"/>
      <c r="Z342" s="9"/>
      <c r="AA342" s="9"/>
      <c r="AB342" s="9"/>
      <c r="AC342" s="468" t="s">
        <v>630</v>
      </c>
      <c r="AD342" s="468"/>
      <c r="AE342" s="468"/>
      <c r="AF342" s="4"/>
      <c r="AG342" s="88"/>
      <c r="AH342" s="4"/>
      <c r="AI342" s="4"/>
      <c r="AJ342" s="468"/>
      <c r="AK342" s="468" t="s">
        <v>41</v>
      </c>
      <c r="AL342" s="468"/>
      <c r="AM342" s="468" t="s">
        <v>2458</v>
      </c>
      <c r="AN342" s="543">
        <v>5.15</v>
      </c>
      <c r="AO342" s="9"/>
      <c r="AP342" s="9"/>
      <c r="AQ342" s="9"/>
      <c r="AR342" s="9"/>
      <c r="AS342" s="9"/>
      <c r="AT342" s="9"/>
      <c r="AU342" s="447"/>
      <c r="AV342" s="447"/>
      <c r="AW342" s="468" t="s">
        <v>199</v>
      </c>
      <c r="AX342" s="468" t="s">
        <v>199</v>
      </c>
      <c r="AY342" s="10"/>
      <c r="AZ342" s="10"/>
      <c r="BA342" s="553" t="str">
        <f t="shared" si="35"/>
        <v/>
      </c>
      <c r="BB342" s="553" t="str">
        <f t="shared" si="36"/>
        <v/>
      </c>
      <c r="BC342" s="553" t="str">
        <f t="shared" si="33"/>
        <v/>
      </c>
      <c r="BD342" s="572"/>
      <c r="BE342" s="448" t="s">
        <v>1726</v>
      </c>
      <c r="BF342" s="305"/>
      <c r="BG342" s="305"/>
      <c r="BH342" s="306"/>
      <c r="BI342" s="305"/>
    </row>
    <row r="343" spans="1:61" ht="16.2" customHeight="1">
      <c r="A343" s="582" t="s">
        <v>383</v>
      </c>
      <c r="B343" s="469"/>
      <c r="C343" s="3"/>
      <c r="D343" s="88"/>
      <c r="E343" s="4"/>
      <c r="F343" s="4"/>
      <c r="G343" s="6">
        <v>44.2</v>
      </c>
      <c r="H343" s="468"/>
      <c r="I343" s="468"/>
      <c r="J343" s="3"/>
      <c r="K343" s="468"/>
      <c r="L343" s="468"/>
      <c r="M343" s="468" t="str">
        <f>IF(L343="","",
IF(AX343="PT",VLOOKUP(L343,Foundation_Calc!$V$4:$X$37,VLOOKUP(AX343,Foundation_Calc!$I$10:$J$13,2,FALSE),0),
IF(AX343="K",VLOOKUP(L343,Foundation_Calc!$V$41:$X$74,VLOOKUP(AX343,Foundation_Calc!$I$10:$J$13,2,FALSE),0),"")))</f>
        <v/>
      </c>
      <c r="N343" s="468"/>
      <c r="O343" s="468"/>
      <c r="P343" s="468"/>
      <c r="Q343" s="4"/>
      <c r="R343" s="6"/>
      <c r="S343" s="6"/>
      <c r="T343" s="4"/>
      <c r="U343" s="4"/>
      <c r="V343" s="4"/>
      <c r="W343" s="9"/>
      <c r="X343" s="9"/>
      <c r="Y343" s="9"/>
      <c r="Z343" s="9"/>
      <c r="AA343" s="9"/>
      <c r="AB343" s="9"/>
      <c r="AC343" s="468" t="str">
        <f t="shared" si="34"/>
        <v/>
      </c>
      <c r="AD343" s="468"/>
      <c r="AE343" s="468"/>
      <c r="AF343" s="4"/>
      <c r="AG343" s="88"/>
      <c r="AH343" s="4"/>
      <c r="AI343" s="4"/>
      <c r="AJ343" s="468"/>
      <c r="AK343" s="468"/>
      <c r="AL343" s="468"/>
      <c r="AM343" s="468"/>
      <c r="AN343" s="10"/>
      <c r="AO343" s="9"/>
      <c r="AP343" s="9"/>
      <c r="AQ343" s="9"/>
      <c r="AR343" s="9"/>
      <c r="AS343" s="9"/>
      <c r="AT343" s="9"/>
      <c r="AU343" s="447"/>
      <c r="AV343" s="447"/>
      <c r="AW343" s="468"/>
      <c r="AX343" s="468"/>
      <c r="AY343" s="10"/>
      <c r="AZ343" s="10"/>
      <c r="BA343" s="553" t="str">
        <f t="shared" si="35"/>
        <v/>
      </c>
      <c r="BB343" s="553" t="str">
        <f t="shared" si="36"/>
        <v/>
      </c>
      <c r="BC343" s="553" t="str">
        <f t="shared" si="33"/>
        <v/>
      </c>
      <c r="BD343" s="572"/>
      <c r="BE343" s="448" t="s">
        <v>1726</v>
      </c>
      <c r="BF343" s="306"/>
      <c r="BG343" s="306"/>
      <c r="BH343" s="306"/>
      <c r="BI343" s="306"/>
    </row>
    <row r="344" spans="1:61" ht="16.2" customHeight="1">
      <c r="A344" s="582" t="s">
        <v>383</v>
      </c>
      <c r="B344" s="469" t="s">
        <v>2026</v>
      </c>
      <c r="C344" s="3">
        <f>+$C$342+$G$343</f>
        <v>6938.0299999999988</v>
      </c>
      <c r="D344" s="88"/>
      <c r="E344" s="4"/>
      <c r="F344" s="4">
        <v>0</v>
      </c>
      <c r="G344" s="6"/>
      <c r="H344" s="468" t="s">
        <v>388</v>
      </c>
      <c r="I344" s="468" t="s">
        <v>339</v>
      </c>
      <c r="J344" s="501">
        <f>'HR Track 2'!J344</f>
        <v>6957.9500000000007</v>
      </c>
      <c r="K344" s="468" t="s">
        <v>447</v>
      </c>
      <c r="L344" s="468"/>
      <c r="M344" s="468" t="str">
        <f>IF(L344="","",
IF(AX344="PT",VLOOKUP(L344,Foundation_Calc!$V$4:$X$37,VLOOKUP(AX344,Foundation_Calc!$I$10:$J$13,2,FALSE),0),
IF(AX344="K",VLOOKUP(L344,Foundation_Calc!$V$41:$X$74,VLOOKUP(AX344,Foundation_Calc!$I$10:$J$13,2,FALSE),0),"")))</f>
        <v/>
      </c>
      <c r="N344" s="468" t="s">
        <v>191</v>
      </c>
      <c r="O344" s="468"/>
      <c r="P344" s="468"/>
      <c r="Q344" s="4"/>
      <c r="R344" s="6"/>
      <c r="S344" s="6"/>
      <c r="T344" s="4">
        <v>-25</v>
      </c>
      <c r="U344" s="4"/>
      <c r="V344" s="4"/>
      <c r="W344" s="9">
        <v>1</v>
      </c>
      <c r="X344" s="9"/>
      <c r="Y344" s="9"/>
      <c r="Z344" s="9"/>
      <c r="AA344" s="9"/>
      <c r="AB344" s="9"/>
      <c r="AC344" s="468" t="s">
        <v>630</v>
      </c>
      <c r="AD344" s="468"/>
      <c r="AE344" s="468"/>
      <c r="AF344" s="4"/>
      <c r="AG344" s="88"/>
      <c r="AH344" s="4"/>
      <c r="AI344" s="4"/>
      <c r="AJ344" s="468"/>
      <c r="AK344" s="468" t="s">
        <v>41</v>
      </c>
      <c r="AL344" s="468"/>
      <c r="AM344" s="468" t="s">
        <v>2458</v>
      </c>
      <c r="AN344" s="543">
        <v>5.15</v>
      </c>
      <c r="AO344" s="9"/>
      <c r="AP344" s="9"/>
      <c r="AQ344" s="9"/>
      <c r="AR344" s="9"/>
      <c r="AS344" s="9"/>
      <c r="AT344" s="9"/>
      <c r="AU344" s="447"/>
      <c r="AV344" s="447"/>
      <c r="AW344" s="468" t="s">
        <v>199</v>
      </c>
      <c r="AX344" s="468" t="s">
        <v>199</v>
      </c>
      <c r="AY344" s="10"/>
      <c r="AZ344" s="10"/>
      <c r="BA344" s="553" t="str">
        <f t="shared" si="35"/>
        <v/>
      </c>
      <c r="BB344" s="553" t="str">
        <f t="shared" si="36"/>
        <v/>
      </c>
      <c r="BC344" s="553" t="str">
        <f t="shared" si="33"/>
        <v/>
      </c>
      <c r="BD344" s="572"/>
      <c r="BE344" s="448" t="s">
        <v>1726</v>
      </c>
      <c r="BF344" s="305"/>
      <c r="BG344" s="305"/>
      <c r="BH344" s="306"/>
      <c r="BI344" s="305"/>
    </row>
    <row r="345" spans="1:61" ht="16.2" customHeight="1">
      <c r="A345" s="582" t="s">
        <v>383</v>
      </c>
      <c r="B345" s="469"/>
      <c r="C345" s="3"/>
      <c r="D345" s="88"/>
      <c r="E345" s="4"/>
      <c r="F345" s="4"/>
      <c r="G345" s="6">
        <v>47</v>
      </c>
      <c r="H345" s="468"/>
      <c r="I345" s="468">
        <v>237</v>
      </c>
      <c r="J345" s="3"/>
      <c r="K345" s="468"/>
      <c r="L345" s="468"/>
      <c r="M345" s="468" t="str">
        <f>IF(L345="","",
IF(AX345="PT",VLOOKUP(L345,Foundation_Calc!$V$4:$X$37,VLOOKUP(AX345,Foundation_Calc!$I$10:$J$13,2,FALSE),0),
IF(AX345="K",VLOOKUP(L345,Foundation_Calc!$V$41:$X$74,VLOOKUP(AX345,Foundation_Calc!$I$10:$J$13,2,FALSE),0),"")))</f>
        <v/>
      </c>
      <c r="N345" s="468"/>
      <c r="O345" s="468"/>
      <c r="P345" s="468"/>
      <c r="Q345" s="4"/>
      <c r="R345" s="6"/>
      <c r="S345" s="6"/>
      <c r="T345" s="4"/>
      <c r="U345" s="4"/>
      <c r="V345" s="4"/>
      <c r="W345" s="9"/>
      <c r="X345" s="9"/>
      <c r="Y345" s="9"/>
      <c r="Z345" s="9"/>
      <c r="AA345" s="9"/>
      <c r="AB345" s="9"/>
      <c r="AC345" s="468" t="str">
        <f t="shared" si="34"/>
        <v/>
      </c>
      <c r="AD345" s="468"/>
      <c r="AE345" s="468"/>
      <c r="AF345" s="4"/>
      <c r="AG345" s="88"/>
      <c r="AH345" s="4"/>
      <c r="AI345" s="4"/>
      <c r="AJ345" s="468"/>
      <c r="AK345" s="468"/>
      <c r="AL345" s="468"/>
      <c r="AM345" s="468"/>
      <c r="AN345" s="10"/>
      <c r="AO345" s="9"/>
      <c r="AP345" s="9"/>
      <c r="AQ345" s="9"/>
      <c r="AR345" s="9"/>
      <c r="AS345" s="9"/>
      <c r="AT345" s="9"/>
      <c r="AU345" s="447"/>
      <c r="AV345" s="447"/>
      <c r="AW345" s="468"/>
      <c r="AX345" s="468"/>
      <c r="AY345" s="10"/>
      <c r="AZ345" s="10"/>
      <c r="BA345" s="553" t="str">
        <f t="shared" si="35"/>
        <v/>
      </c>
      <c r="BB345" s="553" t="str">
        <f t="shared" si="36"/>
        <v/>
      </c>
      <c r="BC345" s="553" t="str">
        <f t="shared" si="33"/>
        <v/>
      </c>
      <c r="BD345" s="572"/>
      <c r="BE345" s="448" t="s">
        <v>1726</v>
      </c>
      <c r="BF345" s="306"/>
      <c r="BG345" s="306"/>
      <c r="BH345" s="306"/>
      <c r="BI345" s="306"/>
    </row>
    <row r="346" spans="1:61" ht="16.2" customHeight="1">
      <c r="A346" s="582" t="s">
        <v>383</v>
      </c>
      <c r="B346" s="469" t="s">
        <v>2027</v>
      </c>
      <c r="C346" s="3">
        <f>+$C$344+$G$345</f>
        <v>6985.0299999999988</v>
      </c>
      <c r="D346" s="88"/>
      <c r="E346" s="4"/>
      <c r="F346" s="4">
        <v>0</v>
      </c>
      <c r="G346" s="6"/>
      <c r="H346" s="468" t="s">
        <v>179</v>
      </c>
      <c r="I346" s="468"/>
      <c r="J346" s="3"/>
      <c r="K346" s="468"/>
      <c r="L346" s="468"/>
      <c r="M346" s="468" t="str">
        <f>IF(L346="","",
IF(AX346="PT",VLOOKUP(L346,Foundation_Calc!$V$4:$X$37,VLOOKUP(AX346,Foundation_Calc!$I$10:$J$13,2,FALSE),0),
IF(AX346="K",VLOOKUP(L346,Foundation_Calc!$V$41:$X$74,VLOOKUP(AX346,Foundation_Calc!$I$10:$J$13,2,FALSE),0),"")))</f>
        <v/>
      </c>
      <c r="N346" s="669" t="s">
        <v>193</v>
      </c>
      <c r="O346" s="468" t="s">
        <v>192</v>
      </c>
      <c r="P346" s="468"/>
      <c r="Q346" s="4"/>
      <c r="R346" s="6"/>
      <c r="S346" s="6"/>
      <c r="T346" s="4">
        <v>55</v>
      </c>
      <c r="U346" s="4">
        <v>20</v>
      </c>
      <c r="V346" s="4"/>
      <c r="W346" s="9">
        <v>0.9</v>
      </c>
      <c r="X346" s="9">
        <v>1</v>
      </c>
      <c r="Y346" s="9"/>
      <c r="Z346" s="9">
        <v>0.4</v>
      </c>
      <c r="AA346" s="9"/>
      <c r="AB346" s="9"/>
      <c r="AC346" s="468" t="str">
        <f t="shared" si="34"/>
        <v/>
      </c>
      <c r="AD346" s="468"/>
      <c r="AE346" s="468"/>
      <c r="AF346" s="4"/>
      <c r="AG346" s="88"/>
      <c r="AH346" s="4"/>
      <c r="AI346" s="4"/>
      <c r="AJ346" s="468"/>
      <c r="AK346" s="468" t="s">
        <v>42</v>
      </c>
      <c r="AL346" s="468"/>
      <c r="AM346" s="468" t="s">
        <v>2458</v>
      </c>
      <c r="AN346" s="543">
        <v>5.15</v>
      </c>
      <c r="AO346" s="9"/>
      <c r="AP346" s="9"/>
      <c r="AQ346" s="9"/>
      <c r="AR346" s="9"/>
      <c r="AS346" s="9"/>
      <c r="AT346" s="9"/>
      <c r="AU346" s="447"/>
      <c r="AV346" s="447"/>
      <c r="AW346" s="468" t="s">
        <v>199</v>
      </c>
      <c r="AX346" s="468" t="s">
        <v>199</v>
      </c>
      <c r="AY346" s="10"/>
      <c r="AZ346" s="10"/>
      <c r="BA346" s="553" t="str">
        <f t="shared" si="35"/>
        <v/>
      </c>
      <c r="BB346" s="553" t="str">
        <f t="shared" si="36"/>
        <v/>
      </c>
      <c r="BC346" s="553" t="str">
        <f t="shared" si="33"/>
        <v/>
      </c>
      <c r="BD346" s="572"/>
      <c r="BE346" s="448" t="s">
        <v>1726</v>
      </c>
      <c r="BF346" s="305"/>
      <c r="BG346" s="305"/>
      <c r="BH346" s="306"/>
      <c r="BI346" s="305"/>
    </row>
    <row r="347" spans="1:61" ht="16.2" customHeight="1">
      <c r="A347" s="582" t="s">
        <v>383</v>
      </c>
      <c r="B347" s="469"/>
      <c r="C347" s="3"/>
      <c r="D347" s="88"/>
      <c r="E347" s="4"/>
      <c r="F347" s="4"/>
      <c r="G347" s="6">
        <v>50</v>
      </c>
      <c r="H347" s="468"/>
      <c r="I347" s="468"/>
      <c r="J347" s="3"/>
      <c r="K347" s="468"/>
      <c r="L347" s="468"/>
      <c r="M347" s="468" t="str">
        <f>IF(L347="","",
IF(AX347="PT",VLOOKUP(L347,Foundation_Calc!$V$4:$X$37,VLOOKUP(AX347,Foundation_Calc!$I$10:$J$13,2,FALSE),0),
IF(AX347="K",VLOOKUP(L347,Foundation_Calc!$V$41:$X$74,VLOOKUP(AX347,Foundation_Calc!$I$10:$J$13,2,FALSE),0),"")))</f>
        <v/>
      </c>
      <c r="N347" s="468"/>
      <c r="O347" s="468"/>
      <c r="P347" s="468"/>
      <c r="Q347" s="4"/>
      <c r="R347" s="6"/>
      <c r="S347" s="6"/>
      <c r="T347" s="4"/>
      <c r="U347" s="4"/>
      <c r="V347" s="4"/>
      <c r="W347" s="9"/>
      <c r="X347" s="9"/>
      <c r="Y347" s="9"/>
      <c r="Z347" s="9"/>
      <c r="AA347" s="9"/>
      <c r="AB347" s="9"/>
      <c r="AC347" s="468" t="str">
        <f t="shared" si="34"/>
        <v/>
      </c>
      <c r="AD347" s="468"/>
      <c r="AE347" s="468"/>
      <c r="AF347" s="4"/>
      <c r="AG347" s="88"/>
      <c r="AH347" s="4"/>
      <c r="AI347" s="4"/>
      <c r="AJ347" s="468"/>
      <c r="AK347" s="468"/>
      <c r="AL347" s="468"/>
      <c r="AM347" s="468"/>
      <c r="AN347" s="10"/>
      <c r="AO347" s="9"/>
      <c r="AP347" s="9"/>
      <c r="AQ347" s="9"/>
      <c r="AR347" s="9"/>
      <c r="AS347" s="9"/>
      <c r="AT347" s="9"/>
      <c r="AU347" s="447"/>
      <c r="AV347" s="447"/>
      <c r="AW347" s="468"/>
      <c r="AX347" s="468"/>
      <c r="AY347" s="10"/>
      <c r="AZ347" s="10"/>
      <c r="BA347" s="553" t="str">
        <f t="shared" si="35"/>
        <v/>
      </c>
      <c r="BB347" s="553" t="str">
        <f t="shared" si="36"/>
        <v/>
      </c>
      <c r="BC347" s="553" t="str">
        <f t="shared" si="33"/>
        <v/>
      </c>
      <c r="BD347" s="572"/>
      <c r="BE347" s="448" t="s">
        <v>1726</v>
      </c>
      <c r="BF347" s="306"/>
      <c r="BG347" s="306"/>
      <c r="BH347" s="306"/>
      <c r="BI347" s="306"/>
    </row>
    <row r="348" spans="1:61" ht="16.2" customHeight="1">
      <c r="A348" s="582" t="s">
        <v>383</v>
      </c>
      <c r="B348" s="469" t="s">
        <v>2028</v>
      </c>
      <c r="C348" s="3">
        <f>+$C$346+$G$347</f>
        <v>7035.0299999999988</v>
      </c>
      <c r="D348" s="88"/>
      <c r="E348" s="4"/>
      <c r="F348" s="4">
        <v>0</v>
      </c>
      <c r="G348" s="6"/>
      <c r="H348" s="468" t="s">
        <v>2032</v>
      </c>
      <c r="I348" s="468" t="s">
        <v>339</v>
      </c>
      <c r="J348" s="501">
        <f>'HR Track 2'!J348</f>
        <v>7054.9500000000007</v>
      </c>
      <c r="K348" s="468" t="s">
        <v>447</v>
      </c>
      <c r="L348" s="468"/>
      <c r="M348" s="468" t="str">
        <f>IF(L348="","",
IF(AX348="PT",VLOOKUP(L348,Foundation_Calc!$V$4:$X$37,VLOOKUP(AX348,Foundation_Calc!$I$10:$J$13,2,FALSE),0),
IF(AX348="K",VLOOKUP(L348,Foundation_Calc!$V$41:$X$74,VLOOKUP(AX348,Foundation_Calc!$I$10:$J$13,2,FALSE),0),"")))</f>
        <v/>
      </c>
      <c r="N348" s="669" t="s">
        <v>192</v>
      </c>
      <c r="O348" s="468" t="s">
        <v>191</v>
      </c>
      <c r="P348" s="468"/>
      <c r="Q348" s="4"/>
      <c r="R348" s="6"/>
      <c r="S348" s="6"/>
      <c r="T348" s="4">
        <v>-20</v>
      </c>
      <c r="U348" s="4">
        <v>-35</v>
      </c>
      <c r="V348" s="4"/>
      <c r="W348" s="9">
        <v>0.9</v>
      </c>
      <c r="X348" s="9">
        <v>1</v>
      </c>
      <c r="Y348" s="9"/>
      <c r="Z348" s="9"/>
      <c r="AA348" s="9"/>
      <c r="AB348" s="9"/>
      <c r="AC348" s="468" t="s">
        <v>1068</v>
      </c>
      <c r="AD348" s="468" t="s">
        <v>647</v>
      </c>
      <c r="AE348" s="468"/>
      <c r="AF348" s="4"/>
      <c r="AG348" s="88"/>
      <c r="AH348" s="4"/>
      <c r="AI348" s="4"/>
      <c r="AJ348" s="468"/>
      <c r="AK348" s="468" t="s">
        <v>42</v>
      </c>
      <c r="AL348" s="468"/>
      <c r="AM348" s="468" t="s">
        <v>2458</v>
      </c>
      <c r="AN348" s="543">
        <v>5.15</v>
      </c>
      <c r="AO348" s="9"/>
      <c r="AP348" s="9"/>
      <c r="AQ348" s="9"/>
      <c r="AR348" s="9"/>
      <c r="AS348" s="9"/>
      <c r="AT348" s="9"/>
      <c r="AU348" s="447"/>
      <c r="AV348" s="447"/>
      <c r="AW348" s="468" t="s">
        <v>199</v>
      </c>
      <c r="AX348" s="468" t="s">
        <v>199</v>
      </c>
      <c r="AY348" s="10"/>
      <c r="AZ348" s="10"/>
      <c r="BA348" s="553" t="str">
        <f t="shared" si="35"/>
        <v/>
      </c>
      <c r="BB348" s="553" t="str">
        <f t="shared" si="36"/>
        <v/>
      </c>
      <c r="BC348" s="553" t="str">
        <f t="shared" si="33"/>
        <v/>
      </c>
      <c r="BD348" s="572"/>
      <c r="BE348" s="448" t="s">
        <v>1726</v>
      </c>
      <c r="BF348" s="305"/>
      <c r="BG348" s="305"/>
      <c r="BH348" s="306"/>
      <c r="BI348" s="305"/>
    </row>
    <row r="349" spans="1:61" ht="16.2" customHeight="1">
      <c r="A349" s="583" t="s">
        <v>2031</v>
      </c>
      <c r="B349" s="536"/>
      <c r="C349" s="537"/>
      <c r="D349" s="538"/>
      <c r="E349" s="539"/>
      <c r="F349" s="539"/>
      <c r="G349" s="540">
        <v>57.5</v>
      </c>
      <c r="H349" s="541"/>
      <c r="I349" s="541"/>
      <c r="J349" s="537"/>
      <c r="K349" s="541"/>
      <c r="L349" s="541"/>
      <c r="M349" s="541" t="str">
        <f>IF(L349="","",
IF(AX349="PT",VLOOKUP(L349,Foundation_Calc!$V$4:$X$37,VLOOKUP(AX349,Foundation_Calc!$I$10:$J$13,2,FALSE),0),
IF(AX349="K",VLOOKUP(L349,Foundation_Calc!$V$41:$X$74,VLOOKUP(AX349,Foundation_Calc!$I$10:$J$13,2,FALSE),0),"")))</f>
        <v/>
      </c>
      <c r="N349" s="541"/>
      <c r="O349" s="541"/>
      <c r="P349" s="541"/>
      <c r="Q349" s="539"/>
      <c r="R349" s="540"/>
      <c r="S349" s="540"/>
      <c r="T349" s="539"/>
      <c r="U349" s="539"/>
      <c r="V349" s="539"/>
      <c r="W349" s="542"/>
      <c r="X349" s="542"/>
      <c r="Y349" s="542"/>
      <c r="Z349" s="542"/>
      <c r="AA349" s="542"/>
      <c r="AB349" s="542"/>
      <c r="AC349" s="541" t="str">
        <f t="shared" si="34"/>
        <v/>
      </c>
      <c r="AD349" s="541"/>
      <c r="AE349" s="541"/>
      <c r="AF349" s="539"/>
      <c r="AG349" s="538"/>
      <c r="AH349" s="539"/>
      <c r="AI349" s="539"/>
      <c r="AJ349" s="541"/>
      <c r="AK349" s="541"/>
      <c r="AL349" s="541"/>
      <c r="AM349" s="541"/>
      <c r="AN349" s="543"/>
      <c r="AO349" s="542"/>
      <c r="AP349" s="542"/>
      <c r="AQ349" s="542"/>
      <c r="AR349" s="542"/>
      <c r="AS349" s="542"/>
      <c r="AT349" s="542"/>
      <c r="AU349" s="544"/>
      <c r="AV349" s="544"/>
      <c r="AW349" s="541"/>
      <c r="AX349" s="541"/>
      <c r="AY349" s="543"/>
      <c r="AZ349" s="543"/>
      <c r="BA349" s="556" t="str">
        <f t="shared" si="35"/>
        <v/>
      </c>
      <c r="BB349" s="556" t="str">
        <f t="shared" si="36"/>
        <v/>
      </c>
      <c r="BC349" s="556" t="str">
        <f t="shared" si="33"/>
        <v/>
      </c>
      <c r="BD349" s="572"/>
      <c r="BE349" s="448" t="s">
        <v>1726</v>
      </c>
      <c r="BF349" s="306"/>
      <c r="BG349" s="306"/>
      <c r="BH349" s="306"/>
      <c r="BI349" s="306"/>
    </row>
    <row r="350" spans="1:61" ht="16.2" customHeight="1">
      <c r="A350" s="582" t="s">
        <v>383</v>
      </c>
      <c r="B350" s="469" t="s">
        <v>2029</v>
      </c>
      <c r="C350" s="3">
        <f>+$C$348+$G$349</f>
        <v>7092.5299999999988</v>
      </c>
      <c r="D350" s="88"/>
      <c r="E350" s="4"/>
      <c r="F350" s="4">
        <v>0</v>
      </c>
      <c r="G350" s="6"/>
      <c r="H350" s="468" t="s">
        <v>2033</v>
      </c>
      <c r="I350" s="468"/>
      <c r="J350" s="501">
        <f>'HR Track 2'!J350</f>
        <v>7105.4500000000007</v>
      </c>
      <c r="K350" s="468"/>
      <c r="L350" s="468"/>
      <c r="M350" s="468" t="str">
        <f>IF(L350="","",
IF(AX350="PT",VLOOKUP(L350,Foundation_Calc!$V$4:$X$37,VLOOKUP(AX350,Foundation_Calc!$I$10:$J$13,2,FALSE),0),
IF(AX350="K",VLOOKUP(L350,Foundation_Calc!$V$41:$X$74,VLOOKUP(AX350,Foundation_Calc!$I$10:$J$13,2,FALSE),0),"")))</f>
        <v/>
      </c>
      <c r="N350" s="669" t="s">
        <v>193</v>
      </c>
      <c r="O350" s="468" t="s">
        <v>191</v>
      </c>
      <c r="P350" s="669" t="s">
        <v>192</v>
      </c>
      <c r="Q350" s="4"/>
      <c r="R350" s="6"/>
      <c r="S350" s="6"/>
      <c r="T350" s="4">
        <v>-55</v>
      </c>
      <c r="U350" s="4">
        <v>-35</v>
      </c>
      <c r="V350" s="4">
        <v>-20</v>
      </c>
      <c r="W350" s="9">
        <v>1</v>
      </c>
      <c r="X350" s="9">
        <v>0.9</v>
      </c>
      <c r="Y350" s="9">
        <v>0.8</v>
      </c>
      <c r="Z350" s="9">
        <v>0.4</v>
      </c>
      <c r="AA350" s="9"/>
      <c r="AB350" s="9"/>
      <c r="AC350" s="468" t="str">
        <f t="shared" si="34"/>
        <v/>
      </c>
      <c r="AD350" s="468" t="s">
        <v>647</v>
      </c>
      <c r="AE350" s="468" t="s">
        <v>1068</v>
      </c>
      <c r="AF350" s="4"/>
      <c r="AG350" s="88"/>
      <c r="AH350" s="4"/>
      <c r="AI350" s="4"/>
      <c r="AJ350" s="468"/>
      <c r="AK350" s="468" t="s">
        <v>2457</v>
      </c>
      <c r="AL350" s="468"/>
      <c r="AM350" s="468" t="s">
        <v>2458</v>
      </c>
      <c r="AN350" s="543">
        <v>5.15</v>
      </c>
      <c r="AO350" s="9"/>
      <c r="AP350" s="9"/>
      <c r="AQ350" s="9"/>
      <c r="AR350" s="9"/>
      <c r="AS350" s="9"/>
      <c r="AT350" s="9"/>
      <c r="AU350" s="447"/>
      <c r="AV350" s="447"/>
      <c r="AW350" s="468" t="s">
        <v>199</v>
      </c>
      <c r="AX350" s="468" t="s">
        <v>199</v>
      </c>
      <c r="AY350" s="10"/>
      <c r="AZ350" s="10"/>
      <c r="BA350" s="553" t="str">
        <f t="shared" si="35"/>
        <v/>
      </c>
      <c r="BB350" s="553" t="str">
        <f t="shared" si="36"/>
        <v/>
      </c>
      <c r="BC350" s="553" t="str">
        <f t="shared" si="33"/>
        <v/>
      </c>
      <c r="BD350" s="572"/>
      <c r="BE350" s="448" t="s">
        <v>1726</v>
      </c>
      <c r="BF350" s="305"/>
      <c r="BG350" s="305"/>
      <c r="BH350" s="306"/>
      <c r="BI350" s="305"/>
    </row>
    <row r="351" spans="1:61" ht="16.2" customHeight="1" thickBot="1">
      <c r="A351" s="601" t="s">
        <v>383</v>
      </c>
      <c r="B351" s="518"/>
      <c r="C351" s="519"/>
      <c r="D351" s="520"/>
      <c r="E351" s="521"/>
      <c r="F351" s="521"/>
      <c r="G351" s="522">
        <v>49.9</v>
      </c>
      <c r="H351" s="523"/>
      <c r="I351" s="523" t="s">
        <v>485</v>
      </c>
      <c r="J351" s="519">
        <f>C352-27.92</f>
        <v>7114.5099999999984</v>
      </c>
      <c r="K351" s="523" t="s">
        <v>451</v>
      </c>
      <c r="L351" s="523"/>
      <c r="M351" s="523" t="str">
        <f>IF(L351="","",
IF(AX351="PT",VLOOKUP(L351,Foundation_Calc!$V$4:$X$37,VLOOKUP(AX351,Foundation_Calc!$I$10:$J$13,2,FALSE),0),
IF(AX351="K",VLOOKUP(L351,Foundation_Calc!$V$41:$X$74,VLOOKUP(AX351,Foundation_Calc!$I$10:$J$13,2,FALSE),0),"")))</f>
        <v/>
      </c>
      <c r="N351" s="523"/>
      <c r="O351" s="523"/>
      <c r="P351" s="523"/>
      <c r="Q351" s="521"/>
      <c r="R351" s="522"/>
      <c r="S351" s="522"/>
      <c r="T351" s="521"/>
      <c r="U351" s="521"/>
      <c r="V351" s="521"/>
      <c r="W351" s="524"/>
      <c r="X351" s="524"/>
      <c r="Y351" s="524"/>
      <c r="Z351" s="524"/>
      <c r="AA351" s="524"/>
      <c r="AB351" s="524"/>
      <c r="AC351" s="523" t="str">
        <f t="shared" si="34"/>
        <v/>
      </c>
      <c r="AD351" s="523"/>
      <c r="AE351" s="523"/>
      <c r="AF351" s="521"/>
      <c r="AG351" s="520"/>
      <c r="AH351" s="521"/>
      <c r="AI351" s="521"/>
      <c r="AJ351" s="523"/>
      <c r="AK351" s="523"/>
      <c r="AL351" s="523"/>
      <c r="AM351" s="523" t="s">
        <v>2450</v>
      </c>
      <c r="AN351" s="525"/>
      <c r="AO351" s="524"/>
      <c r="AP351" s="524"/>
      <c r="AQ351" s="524"/>
      <c r="AR351" s="524"/>
      <c r="AS351" s="524"/>
      <c r="AT351" s="524"/>
      <c r="AU351" s="526"/>
      <c r="AV351" s="526"/>
      <c r="AW351" s="523"/>
      <c r="AX351" s="523"/>
      <c r="AY351" s="525"/>
      <c r="AZ351" s="525"/>
      <c r="BA351" s="554" t="str">
        <f t="shared" si="35"/>
        <v/>
      </c>
      <c r="BB351" s="554" t="str">
        <f t="shared" si="36"/>
        <v/>
      </c>
      <c r="BC351" s="554" t="str">
        <f t="shared" si="33"/>
        <v/>
      </c>
      <c r="BD351" s="576"/>
      <c r="BE351" s="448" t="s">
        <v>1726</v>
      </c>
      <c r="BF351" s="306"/>
      <c r="BG351" s="306"/>
      <c r="BH351" s="306"/>
      <c r="BI351" s="306"/>
    </row>
    <row r="352" spans="1:61" ht="27" thickTop="1">
      <c r="A352" s="600" t="s">
        <v>383</v>
      </c>
      <c r="B352" s="605" t="s">
        <v>2030</v>
      </c>
      <c r="C352" s="606">
        <f>+$C$350+$G$351</f>
        <v>7142.4299999999985</v>
      </c>
      <c r="D352" s="607"/>
      <c r="E352" s="608"/>
      <c r="F352" s="608">
        <v>0</v>
      </c>
      <c r="G352" s="609"/>
      <c r="H352" s="627" t="s">
        <v>2034</v>
      </c>
      <c r="I352" s="610"/>
      <c r="J352" s="606">
        <f>C352+5</f>
        <v>7147.4299999999985</v>
      </c>
      <c r="K352" s="610" t="s">
        <v>451</v>
      </c>
      <c r="L352" s="610"/>
      <c r="M352" s="610" t="str">
        <f>IF(L352="","",
IF(AX352="PT",VLOOKUP(L352,Foundation_Calc!$V$4:$X$37,VLOOKUP(AX352,Foundation_Calc!$I$10:$J$13,2,FALSE),0),
IF(AX352="K",VLOOKUP(L352,Foundation_Calc!$V$41:$X$74,VLOOKUP(AX352,Foundation_Calc!$I$10:$J$13,2,FALSE),0),"")))</f>
        <v/>
      </c>
      <c r="N352" s="670" t="s">
        <v>191</v>
      </c>
      <c r="O352" s="610" t="s">
        <v>192</v>
      </c>
      <c r="P352" s="670" t="s">
        <v>193</v>
      </c>
      <c r="Q352" s="608"/>
      <c r="R352" s="609"/>
      <c r="S352" s="609"/>
      <c r="T352" s="608">
        <v>20</v>
      </c>
      <c r="U352" s="608">
        <v>35</v>
      </c>
      <c r="V352" s="608">
        <v>55</v>
      </c>
      <c r="W352" s="611">
        <v>1</v>
      </c>
      <c r="X352" s="611">
        <v>0.9</v>
      </c>
      <c r="Y352" s="611">
        <v>0.8</v>
      </c>
      <c r="Z352" s="611"/>
      <c r="AA352" s="611"/>
      <c r="AB352" s="611">
        <v>0.3</v>
      </c>
      <c r="AC352" s="468" t="s">
        <v>647</v>
      </c>
      <c r="AD352" s="468" t="s">
        <v>1068</v>
      </c>
      <c r="AE352" s="610"/>
      <c r="AF352" s="608"/>
      <c r="AG352" s="607"/>
      <c r="AH352" s="608"/>
      <c r="AI352" s="608"/>
      <c r="AJ352" s="610"/>
      <c r="AK352" s="610" t="s">
        <v>2457</v>
      </c>
      <c r="AL352" s="610"/>
      <c r="AM352" s="610" t="s">
        <v>2450</v>
      </c>
      <c r="AN352" s="640">
        <v>5.15</v>
      </c>
      <c r="AO352" s="611"/>
      <c r="AP352" s="611"/>
      <c r="AQ352" s="611"/>
      <c r="AR352" s="611"/>
      <c r="AS352" s="611"/>
      <c r="AT352" s="611"/>
      <c r="AU352" s="613"/>
      <c r="AV352" s="613"/>
      <c r="AW352" s="610" t="s">
        <v>199</v>
      </c>
      <c r="AX352" s="610" t="s">
        <v>199</v>
      </c>
      <c r="AY352" s="612"/>
      <c r="AZ352" s="612"/>
      <c r="BA352" s="639" t="str">
        <f t="shared" si="35"/>
        <v/>
      </c>
      <c r="BB352" s="639" t="str">
        <f t="shared" si="36"/>
        <v/>
      </c>
      <c r="BC352" s="639" t="str">
        <f t="shared" si="33"/>
        <v/>
      </c>
      <c r="BD352" s="578"/>
      <c r="BE352" s="448" t="s">
        <v>1726</v>
      </c>
      <c r="BF352" s="305"/>
      <c r="BG352" s="305"/>
      <c r="BH352" s="306"/>
      <c r="BI352" s="305"/>
    </row>
    <row r="353" spans="1:61" ht="16.2" customHeight="1">
      <c r="A353" s="582" t="s">
        <v>383</v>
      </c>
      <c r="B353" s="469"/>
      <c r="C353" s="3"/>
      <c r="D353" s="88"/>
      <c r="E353" s="4"/>
      <c r="F353" s="4"/>
      <c r="G353" s="6">
        <v>37.299999999999997</v>
      </c>
      <c r="H353" s="468"/>
      <c r="I353" s="4">
        <f>SUM(G331:G353)</f>
        <v>472</v>
      </c>
      <c r="J353" s="3"/>
      <c r="K353" s="468"/>
      <c r="L353" s="468"/>
      <c r="M353" s="468" t="str">
        <f>IF(L353="","",
IF(AX353="PT",VLOOKUP(L353,Foundation_Calc!$V$4:$X$37,VLOOKUP(AX353,Foundation_Calc!$I$10:$J$13,2,FALSE),0),
IF(AX353="K",VLOOKUP(L353,Foundation_Calc!$V$41:$X$74,VLOOKUP(AX353,Foundation_Calc!$I$10:$J$13,2,FALSE),0),"")))</f>
        <v/>
      </c>
      <c r="N353" s="468"/>
      <c r="O353" s="468"/>
      <c r="P353" s="468"/>
      <c r="Q353" s="4"/>
      <c r="R353" s="6"/>
      <c r="S353" s="6"/>
      <c r="T353" s="4"/>
      <c r="U353" s="4"/>
      <c r="V353" s="4"/>
      <c r="W353" s="9"/>
      <c r="X353" s="9"/>
      <c r="Y353" s="9"/>
      <c r="Z353" s="9"/>
      <c r="AA353" s="9"/>
      <c r="AB353" s="9"/>
      <c r="AC353" s="468" t="str">
        <f t="shared" si="34"/>
        <v/>
      </c>
      <c r="AD353" s="468"/>
      <c r="AE353" s="468"/>
      <c r="AF353" s="4"/>
      <c r="AG353" s="88"/>
      <c r="AH353" s="4"/>
      <c r="AI353" s="4"/>
      <c r="AJ353" s="468"/>
      <c r="AK353" s="468"/>
      <c r="AL353" s="468"/>
      <c r="AM353" s="468"/>
      <c r="AN353" s="10"/>
      <c r="AO353" s="9"/>
      <c r="AP353" s="9"/>
      <c r="AQ353" s="9"/>
      <c r="AR353" s="9"/>
      <c r="AS353" s="9"/>
      <c r="AT353" s="9"/>
      <c r="AU353" s="447"/>
      <c r="AV353" s="447"/>
      <c r="AW353" s="468"/>
      <c r="AX353" s="468"/>
      <c r="AY353" s="10"/>
      <c r="AZ353" s="10"/>
      <c r="BA353" s="553" t="str">
        <f t="shared" si="35"/>
        <v/>
      </c>
      <c r="BB353" s="553" t="str">
        <f t="shared" si="36"/>
        <v/>
      </c>
      <c r="BC353" s="553" t="str">
        <f t="shared" si="33"/>
        <v/>
      </c>
      <c r="BD353" s="572"/>
      <c r="BE353" s="448" t="s">
        <v>1726</v>
      </c>
      <c r="BF353" s="306"/>
      <c r="BG353" s="306"/>
      <c r="BH353" s="306"/>
      <c r="BI353" s="306"/>
    </row>
    <row r="354" spans="1:61" ht="16.2" customHeight="1">
      <c r="A354" s="582" t="s">
        <v>383</v>
      </c>
      <c r="B354" s="469" t="s">
        <v>2115</v>
      </c>
      <c r="C354" s="3">
        <f>+$C$352+$G$353</f>
        <v>7179.7299999999987</v>
      </c>
      <c r="D354" s="88"/>
      <c r="E354" s="4"/>
      <c r="F354" s="4">
        <v>0</v>
      </c>
      <c r="G354" s="6"/>
      <c r="H354" s="468" t="s">
        <v>367</v>
      </c>
      <c r="I354" s="468"/>
      <c r="J354" s="3"/>
      <c r="K354" s="468"/>
      <c r="L354" s="468"/>
      <c r="M354" s="468" t="str">
        <f>IF(L354="","",
IF(AX354="PT",VLOOKUP(L354,Foundation_Calc!$V$4:$X$37,VLOOKUP(AX354,Foundation_Calc!$I$10:$J$13,2,FALSE),0),
IF(AX354="K",VLOOKUP(L354,Foundation_Calc!$V$41:$X$74,VLOOKUP(AX354,Foundation_Calc!$I$10:$J$13,2,FALSE),0),"")))</f>
        <v/>
      </c>
      <c r="N354" s="468" t="s">
        <v>191</v>
      </c>
      <c r="O354" s="468"/>
      <c r="P354" s="468"/>
      <c r="Q354" s="4"/>
      <c r="R354" s="6"/>
      <c r="S354" s="6"/>
      <c r="T354" s="4">
        <v>-25</v>
      </c>
      <c r="U354" s="4"/>
      <c r="V354" s="4"/>
      <c r="W354" s="9">
        <v>1</v>
      </c>
      <c r="X354" s="9"/>
      <c r="Y354" s="9"/>
      <c r="Z354" s="9"/>
      <c r="AA354" s="9"/>
      <c r="AB354" s="9"/>
      <c r="AC354" s="468" t="s">
        <v>630</v>
      </c>
      <c r="AD354" s="468"/>
      <c r="AE354" s="468"/>
      <c r="AF354" s="4"/>
      <c r="AG354" s="88"/>
      <c r="AH354" s="4"/>
      <c r="AI354" s="4"/>
      <c r="AJ354" s="468"/>
      <c r="AK354" s="468" t="s">
        <v>41</v>
      </c>
      <c r="AL354" s="468"/>
      <c r="AM354" s="468"/>
      <c r="AN354" s="543">
        <v>5.15</v>
      </c>
      <c r="AO354" s="9"/>
      <c r="AP354" s="9"/>
      <c r="AQ354" s="9"/>
      <c r="AR354" s="9"/>
      <c r="AS354" s="9"/>
      <c r="AT354" s="9"/>
      <c r="AU354" s="447"/>
      <c r="AV354" s="447"/>
      <c r="AW354" s="468" t="s">
        <v>199</v>
      </c>
      <c r="AX354" s="468" t="s">
        <v>199</v>
      </c>
      <c r="AY354" s="10"/>
      <c r="AZ354" s="10"/>
      <c r="BA354" s="553" t="str">
        <f t="shared" si="35"/>
        <v/>
      </c>
      <c r="BB354" s="553" t="str">
        <f t="shared" si="36"/>
        <v/>
      </c>
      <c r="BC354" s="553" t="str">
        <f t="shared" si="33"/>
        <v/>
      </c>
      <c r="BD354" s="572"/>
      <c r="BE354" s="448" t="s">
        <v>1726</v>
      </c>
      <c r="BF354" s="305"/>
      <c r="BG354" s="305"/>
      <c r="BH354" s="306"/>
      <c r="BI354" s="305"/>
    </row>
    <row r="355" spans="1:61" ht="16.2" customHeight="1">
      <c r="A355" s="582" t="s">
        <v>383</v>
      </c>
      <c r="B355" s="469"/>
      <c r="C355" s="3"/>
      <c r="D355" s="88"/>
      <c r="E355" s="4"/>
      <c r="F355" s="4"/>
      <c r="G355" s="6">
        <v>22.3</v>
      </c>
      <c r="H355" s="468"/>
      <c r="I355" s="4">
        <f>SUM(G355:G377)</f>
        <v>284.40000000000003</v>
      </c>
      <c r="J355" s="3">
        <f>C356-10</f>
        <v>7192.0299999999988</v>
      </c>
      <c r="K355" s="468" t="s">
        <v>447</v>
      </c>
      <c r="L355" s="468"/>
      <c r="M355" s="468" t="str">
        <f>IF(L355="","",
IF(AX355="PT",VLOOKUP(L355,Foundation_Calc!$V$4:$X$37,VLOOKUP(AX355,Foundation_Calc!$I$10:$J$13,2,FALSE),0),
IF(AX355="K",VLOOKUP(L355,Foundation_Calc!$V$41:$X$74,VLOOKUP(AX355,Foundation_Calc!$I$10:$J$13,2,FALSE),0),"")))</f>
        <v/>
      </c>
      <c r="N355" s="468"/>
      <c r="O355" s="468"/>
      <c r="P355" s="468"/>
      <c r="Q355" s="4"/>
      <c r="R355" s="6"/>
      <c r="S355" s="6"/>
      <c r="T355" s="4"/>
      <c r="U355" s="4"/>
      <c r="V355" s="4"/>
      <c r="W355" s="9"/>
      <c r="X355" s="9"/>
      <c r="Y355" s="9"/>
      <c r="Z355" s="9"/>
      <c r="AA355" s="9"/>
      <c r="AB355" s="9"/>
      <c r="AC355" s="468" t="str">
        <f t="shared" si="34"/>
        <v/>
      </c>
      <c r="AD355" s="468"/>
      <c r="AE355" s="468"/>
      <c r="AF355" s="4"/>
      <c r="AG355" s="88"/>
      <c r="AH355" s="4"/>
      <c r="AI355" s="4"/>
      <c r="AJ355" s="468"/>
      <c r="AK355" s="468"/>
      <c r="AL355" s="468"/>
      <c r="AM355" s="468"/>
      <c r="AN355" s="10"/>
      <c r="AO355" s="9"/>
      <c r="AP355" s="9"/>
      <c r="AQ355" s="9"/>
      <c r="AR355" s="9"/>
      <c r="AS355" s="9"/>
      <c r="AT355" s="9"/>
      <c r="AU355" s="447"/>
      <c r="AV355" s="447"/>
      <c r="AW355" s="468"/>
      <c r="AX355" s="468"/>
      <c r="AY355" s="10"/>
      <c r="AZ355" s="10"/>
      <c r="BA355" s="553" t="str">
        <f t="shared" si="35"/>
        <v/>
      </c>
      <c r="BB355" s="553" t="str">
        <f t="shared" si="36"/>
        <v/>
      </c>
      <c r="BC355" s="553" t="str">
        <f t="shared" si="33"/>
        <v/>
      </c>
      <c r="BD355" s="572"/>
      <c r="BE355" s="448" t="s">
        <v>1726</v>
      </c>
      <c r="BF355" s="306"/>
      <c r="BG355" s="306"/>
      <c r="BH355" s="306"/>
      <c r="BI355" s="306"/>
    </row>
    <row r="356" spans="1:61" ht="26.4">
      <c r="A356" s="582" t="s">
        <v>383</v>
      </c>
      <c r="B356" s="469" t="s">
        <v>2116</v>
      </c>
      <c r="C356" s="3">
        <f>+$C$354+$G$355</f>
        <v>7202.0299999999988</v>
      </c>
      <c r="D356" s="88"/>
      <c r="E356" s="4"/>
      <c r="F356" s="4">
        <v>-750.93</v>
      </c>
      <c r="G356" s="6"/>
      <c r="H356" s="467" t="s">
        <v>2035</v>
      </c>
      <c r="I356" s="468" t="s">
        <v>1155</v>
      </c>
      <c r="J356" s="3">
        <f>C356-1</f>
        <v>7201.0299999999988</v>
      </c>
      <c r="K356" s="468" t="s">
        <v>451</v>
      </c>
      <c r="L356" s="468"/>
      <c r="M356" s="468" t="str">
        <f>IF(L356="","",
IF(AX356="PT",VLOOKUP(L356,Foundation_Calc!$V$4:$X$37,VLOOKUP(AX356,Foundation_Calc!$I$10:$J$13,2,FALSE),0),
IF(AX356="K",VLOOKUP(L356,Foundation_Calc!$V$41:$X$74,VLOOKUP(AX356,Foundation_Calc!$I$10:$J$13,2,FALSE),0),"")))</f>
        <v/>
      </c>
      <c r="N356" s="468" t="s">
        <v>192</v>
      </c>
      <c r="O356" s="468"/>
      <c r="P356" s="468"/>
      <c r="Q356" s="4"/>
      <c r="R356" s="6"/>
      <c r="S356" s="6"/>
      <c r="T356" s="4">
        <v>25</v>
      </c>
      <c r="U356" s="4"/>
      <c r="V356" s="4"/>
      <c r="W356" s="9">
        <v>1</v>
      </c>
      <c r="X356" s="9"/>
      <c r="Y356" s="9"/>
      <c r="Z356" s="9"/>
      <c r="AA356" s="9"/>
      <c r="AB356" s="9"/>
      <c r="AC356" s="468" t="s">
        <v>1341</v>
      </c>
      <c r="AD356" s="468"/>
      <c r="AE356" s="468"/>
      <c r="AF356" s="4"/>
      <c r="AG356" s="88"/>
      <c r="AH356" s="4"/>
      <c r="AI356" s="4"/>
      <c r="AJ356" s="468"/>
      <c r="AK356" s="468" t="s">
        <v>41</v>
      </c>
      <c r="AL356" s="468"/>
      <c r="AM356" s="468"/>
      <c r="AN356" s="543">
        <v>5.15</v>
      </c>
      <c r="AO356" s="9"/>
      <c r="AP356" s="9"/>
      <c r="AQ356" s="9"/>
      <c r="AR356" s="9"/>
      <c r="AS356" s="9"/>
      <c r="AT356" s="9"/>
      <c r="AU356" s="447"/>
      <c r="AV356" s="447"/>
      <c r="AW356" s="468" t="s">
        <v>199</v>
      </c>
      <c r="AX356" s="468" t="s">
        <v>199</v>
      </c>
      <c r="AY356" s="10"/>
      <c r="AZ356" s="10"/>
      <c r="BA356" s="553" t="str">
        <f t="shared" si="35"/>
        <v/>
      </c>
      <c r="BB356" s="553" t="str">
        <f t="shared" si="36"/>
        <v/>
      </c>
      <c r="BC356" s="553" t="str">
        <f t="shared" si="33"/>
        <v/>
      </c>
      <c r="BD356" s="572"/>
      <c r="BE356" s="448" t="s">
        <v>1726</v>
      </c>
      <c r="BF356" s="305"/>
      <c r="BG356" s="305"/>
      <c r="BH356" s="306"/>
      <c r="BI356" s="305"/>
    </row>
    <row r="357" spans="1:61" ht="16.2" customHeight="1">
      <c r="A357" s="582" t="s">
        <v>383</v>
      </c>
      <c r="B357" s="469"/>
      <c r="C357" s="3"/>
      <c r="D357" s="88"/>
      <c r="E357" s="4"/>
      <c r="F357" s="4"/>
      <c r="G357" s="6">
        <v>22.3</v>
      </c>
      <c r="H357" s="468"/>
      <c r="I357" s="468"/>
      <c r="J357" s="3"/>
      <c r="K357" s="468"/>
      <c r="L357" s="468"/>
      <c r="M357" s="468" t="str">
        <f>IF(L357="","",
IF(AX357="PT",VLOOKUP(L357,Foundation_Calc!$V$4:$X$37,VLOOKUP(AX357,Foundation_Calc!$I$10:$J$13,2,FALSE),0),
IF(AX357="K",VLOOKUP(L357,Foundation_Calc!$V$41:$X$74,VLOOKUP(AX357,Foundation_Calc!$I$10:$J$13,2,FALSE),0),"")))</f>
        <v/>
      </c>
      <c r="N357" s="468"/>
      <c r="O357" s="468"/>
      <c r="P357" s="468"/>
      <c r="Q357" s="4"/>
      <c r="R357" s="6"/>
      <c r="S357" s="6"/>
      <c r="T357" s="4"/>
      <c r="U357" s="4"/>
      <c r="V357" s="4"/>
      <c r="W357" s="9"/>
      <c r="X357" s="9"/>
      <c r="Y357" s="9"/>
      <c r="Z357" s="9"/>
      <c r="AA357" s="9"/>
      <c r="AB357" s="9"/>
      <c r="AC357" s="468" t="str">
        <f t="shared" si="34"/>
        <v/>
      </c>
      <c r="AD357" s="468"/>
      <c r="AE357" s="468"/>
      <c r="AF357" s="4"/>
      <c r="AG357" s="88"/>
      <c r="AH357" s="4"/>
      <c r="AI357" s="4"/>
      <c r="AJ357" s="468"/>
      <c r="AK357" s="468"/>
      <c r="AL357" s="468"/>
      <c r="AM357" s="468"/>
      <c r="AN357" s="10"/>
      <c r="AO357" s="9"/>
      <c r="AP357" s="9"/>
      <c r="AQ357" s="9"/>
      <c r="AR357" s="9"/>
      <c r="AS357" s="9"/>
      <c r="AT357" s="9"/>
      <c r="AU357" s="447"/>
      <c r="AV357" s="447"/>
      <c r="AW357" s="468"/>
      <c r="AX357" s="468"/>
      <c r="AY357" s="10"/>
      <c r="AZ357" s="10"/>
      <c r="BA357" s="553" t="str">
        <f t="shared" si="35"/>
        <v/>
      </c>
      <c r="BB357" s="553" t="str">
        <f t="shared" si="36"/>
        <v/>
      </c>
      <c r="BC357" s="553" t="str">
        <f t="shared" si="33"/>
        <v/>
      </c>
      <c r="BD357" s="572"/>
      <c r="BE357" s="448" t="s">
        <v>1726</v>
      </c>
      <c r="BF357" s="306"/>
      <c r="BG357" s="306"/>
      <c r="BH357" s="306"/>
      <c r="BI357" s="306"/>
    </row>
    <row r="358" spans="1:61" ht="16.2" customHeight="1">
      <c r="A358" s="582" t="s">
        <v>383</v>
      </c>
      <c r="B358" s="469" t="s">
        <v>2117</v>
      </c>
      <c r="C358" s="3">
        <f>+$C$356+$G$357</f>
        <v>7224.329999999999</v>
      </c>
      <c r="D358" s="88"/>
      <c r="E358" s="4"/>
      <c r="F358" s="4">
        <v>-295.3</v>
      </c>
      <c r="G358" s="6"/>
      <c r="H358" s="468"/>
      <c r="I358" s="468"/>
      <c r="J358" s="3"/>
      <c r="K358" s="468"/>
      <c r="L358" s="468"/>
      <c r="M358" s="468" t="str">
        <f>IF(L358="","",
IF(AX358="PT",VLOOKUP(L358,Foundation_Calc!$V$4:$X$37,VLOOKUP(AX358,Foundation_Calc!$I$10:$J$13,2,FALSE),0),
IF(AX358="K",VLOOKUP(L358,Foundation_Calc!$V$41:$X$74,VLOOKUP(AX358,Foundation_Calc!$I$10:$J$13,2,FALSE),0),"")))</f>
        <v/>
      </c>
      <c r="N358" s="468" t="s">
        <v>192</v>
      </c>
      <c r="O358" s="468"/>
      <c r="P358" s="468"/>
      <c r="Q358" s="4"/>
      <c r="R358" s="6"/>
      <c r="S358" s="6"/>
      <c r="T358" s="4">
        <v>25</v>
      </c>
      <c r="U358" s="4"/>
      <c r="V358" s="4"/>
      <c r="W358" s="9">
        <v>1</v>
      </c>
      <c r="X358" s="9"/>
      <c r="Y358" s="9"/>
      <c r="Z358" s="9"/>
      <c r="AA358" s="9"/>
      <c r="AB358" s="9"/>
      <c r="AC358" s="468" t="s">
        <v>1341</v>
      </c>
      <c r="AD358" s="468"/>
      <c r="AE358" s="468"/>
      <c r="AF358" s="4"/>
      <c r="AG358" s="88"/>
      <c r="AH358" s="4"/>
      <c r="AI358" s="4"/>
      <c r="AJ358" s="468"/>
      <c r="AK358" s="468" t="s">
        <v>41</v>
      </c>
      <c r="AL358" s="468"/>
      <c r="AM358" s="468"/>
      <c r="AN358" s="543">
        <v>5.15</v>
      </c>
      <c r="AO358" s="9"/>
      <c r="AP358" s="9"/>
      <c r="AQ358" s="9"/>
      <c r="AR358" s="9"/>
      <c r="AS358" s="9"/>
      <c r="AT358" s="9"/>
      <c r="AU358" s="447"/>
      <c r="AV358" s="447"/>
      <c r="AW358" s="468" t="s">
        <v>199</v>
      </c>
      <c r="AX358" s="468" t="s">
        <v>199</v>
      </c>
      <c r="AY358" s="10"/>
      <c r="AZ358" s="10"/>
      <c r="BA358" s="553" t="str">
        <f t="shared" si="35"/>
        <v/>
      </c>
      <c r="BB358" s="553" t="str">
        <f t="shared" si="36"/>
        <v/>
      </c>
      <c r="BC358" s="553" t="str">
        <f t="shared" si="33"/>
        <v/>
      </c>
      <c r="BD358" s="572"/>
      <c r="BE358" s="448" t="s">
        <v>1726</v>
      </c>
      <c r="BF358" s="305"/>
      <c r="BG358" s="305"/>
      <c r="BH358" s="306"/>
      <c r="BI358" s="305"/>
    </row>
    <row r="359" spans="1:61" ht="16.2" customHeight="1">
      <c r="A359" s="582" t="s">
        <v>383</v>
      </c>
      <c r="B359" s="469"/>
      <c r="C359" s="3"/>
      <c r="D359" s="88"/>
      <c r="E359" s="4"/>
      <c r="F359" s="4"/>
      <c r="G359" s="6">
        <v>24.3</v>
      </c>
      <c r="H359" s="468"/>
      <c r="I359" s="468"/>
      <c r="J359" s="3"/>
      <c r="K359" s="468"/>
      <c r="L359" s="468"/>
      <c r="M359" s="468" t="str">
        <f>IF(L359="","",
IF(AX359="PT",VLOOKUP(L359,Foundation_Calc!$V$4:$X$37,VLOOKUP(AX359,Foundation_Calc!$I$10:$J$13,2,FALSE),0),
IF(AX359="K",VLOOKUP(L359,Foundation_Calc!$V$41:$X$74,VLOOKUP(AX359,Foundation_Calc!$I$10:$J$13,2,FALSE),0),"")))</f>
        <v/>
      </c>
      <c r="N359" s="468"/>
      <c r="O359" s="468"/>
      <c r="P359" s="468"/>
      <c r="Q359" s="4"/>
      <c r="R359" s="6"/>
      <c r="S359" s="6"/>
      <c r="T359" s="4"/>
      <c r="U359" s="4"/>
      <c r="V359" s="4"/>
      <c r="W359" s="9"/>
      <c r="X359" s="9"/>
      <c r="Y359" s="9"/>
      <c r="Z359" s="9"/>
      <c r="AA359" s="9"/>
      <c r="AB359" s="9"/>
      <c r="AC359" s="468" t="str">
        <f t="shared" si="34"/>
        <v/>
      </c>
      <c r="AD359" s="468"/>
      <c r="AE359" s="468"/>
      <c r="AF359" s="4"/>
      <c r="AG359" s="88"/>
      <c r="AH359" s="4"/>
      <c r="AI359" s="4"/>
      <c r="AJ359" s="468"/>
      <c r="AK359" s="468"/>
      <c r="AL359" s="468"/>
      <c r="AM359" s="468"/>
      <c r="AN359" s="10"/>
      <c r="AO359" s="9"/>
      <c r="AP359" s="9"/>
      <c r="AQ359" s="9"/>
      <c r="AR359" s="9"/>
      <c r="AS359" s="9"/>
      <c r="AT359" s="9"/>
      <c r="AU359" s="447"/>
      <c r="AV359" s="447"/>
      <c r="AW359" s="468"/>
      <c r="AX359" s="468"/>
      <c r="AY359" s="10"/>
      <c r="AZ359" s="10"/>
      <c r="BA359" s="553" t="str">
        <f t="shared" si="35"/>
        <v/>
      </c>
      <c r="BB359" s="553" t="str">
        <f t="shared" si="36"/>
        <v/>
      </c>
      <c r="BC359" s="553" t="str">
        <f t="shared" si="33"/>
        <v/>
      </c>
      <c r="BD359" s="572"/>
      <c r="BE359" s="448" t="s">
        <v>1726</v>
      </c>
      <c r="BF359" s="306"/>
      <c r="BG359" s="306"/>
      <c r="BH359" s="306"/>
      <c r="BI359" s="306"/>
    </row>
    <row r="360" spans="1:61" ht="16.2" customHeight="1">
      <c r="A360" s="582" t="s">
        <v>383</v>
      </c>
      <c r="B360" s="469" t="s">
        <v>2118</v>
      </c>
      <c r="C360" s="3">
        <f>+$C$358+$G$359</f>
        <v>7248.6299999999992</v>
      </c>
      <c r="D360" s="88"/>
      <c r="E360" s="4"/>
      <c r="F360" s="4">
        <v>-295.3</v>
      </c>
      <c r="G360" s="6"/>
      <c r="H360" s="468"/>
      <c r="I360" s="468"/>
      <c r="J360" s="3"/>
      <c r="K360" s="468"/>
      <c r="L360" s="468"/>
      <c r="M360" s="468" t="str">
        <f>IF(L360="","",
IF(AX360="PT",VLOOKUP(L360,Foundation_Calc!$V$4:$X$37,VLOOKUP(AX360,Foundation_Calc!$I$10:$J$13,2,FALSE),0),
IF(AX360="K",VLOOKUP(L360,Foundation_Calc!$V$41:$X$74,VLOOKUP(AX360,Foundation_Calc!$I$10:$J$13,2,FALSE),0),"")))</f>
        <v/>
      </c>
      <c r="N360" s="468" t="s">
        <v>192</v>
      </c>
      <c r="O360" s="468"/>
      <c r="P360" s="468"/>
      <c r="Q360" s="4"/>
      <c r="R360" s="6"/>
      <c r="S360" s="6"/>
      <c r="T360" s="4">
        <v>25</v>
      </c>
      <c r="U360" s="4"/>
      <c r="V360" s="4"/>
      <c r="W360" s="9">
        <v>1</v>
      </c>
      <c r="X360" s="9"/>
      <c r="Y360" s="9"/>
      <c r="Z360" s="9"/>
      <c r="AA360" s="9"/>
      <c r="AB360" s="9"/>
      <c r="AC360" s="468" t="s">
        <v>1341</v>
      </c>
      <c r="AD360" s="468"/>
      <c r="AE360" s="468"/>
      <c r="AF360" s="4"/>
      <c r="AG360" s="88"/>
      <c r="AH360" s="4"/>
      <c r="AI360" s="4"/>
      <c r="AJ360" s="468"/>
      <c r="AK360" s="468" t="s">
        <v>41</v>
      </c>
      <c r="AL360" s="468"/>
      <c r="AM360" s="468"/>
      <c r="AN360" s="543">
        <v>5.15</v>
      </c>
      <c r="AO360" s="9"/>
      <c r="AP360" s="9"/>
      <c r="AQ360" s="9"/>
      <c r="AR360" s="9"/>
      <c r="AS360" s="9"/>
      <c r="AT360" s="9"/>
      <c r="AU360" s="447"/>
      <c r="AV360" s="447"/>
      <c r="AW360" s="468" t="s">
        <v>199</v>
      </c>
      <c r="AX360" s="468" t="s">
        <v>199</v>
      </c>
      <c r="AY360" s="10"/>
      <c r="AZ360" s="10"/>
      <c r="BA360" s="553" t="str">
        <f t="shared" si="35"/>
        <v/>
      </c>
      <c r="BB360" s="553" t="str">
        <f t="shared" si="36"/>
        <v/>
      </c>
      <c r="BC360" s="553" t="str">
        <f t="shared" si="33"/>
        <v/>
      </c>
      <c r="BD360" s="572"/>
      <c r="BE360" s="448" t="s">
        <v>1726</v>
      </c>
      <c r="BF360" s="305"/>
      <c r="BG360" s="305"/>
      <c r="BH360" s="306"/>
      <c r="BI360" s="305"/>
    </row>
    <row r="361" spans="1:61" ht="16.2" customHeight="1">
      <c r="A361" s="573" t="s">
        <v>383</v>
      </c>
      <c r="B361" s="469"/>
      <c r="C361" s="3"/>
      <c r="D361" s="88"/>
      <c r="E361" s="4"/>
      <c r="F361" s="4"/>
      <c r="G361" s="6">
        <v>23.9</v>
      </c>
      <c r="H361" s="468"/>
      <c r="I361" s="468"/>
      <c r="J361" s="3"/>
      <c r="K361" s="468"/>
      <c r="L361" s="468"/>
      <c r="M361" s="468" t="str">
        <f>IF(L361="","",
IF(AX361="PT",VLOOKUP(L361,Foundation_Calc!$V$4:$X$37,VLOOKUP(AX361,Foundation_Calc!$I$10:$J$13,2,FALSE),0),
IF(AX361="K",VLOOKUP(L361,Foundation_Calc!$V$41:$X$74,VLOOKUP(AX361,Foundation_Calc!$I$10:$J$13,2,FALSE),0),"")))</f>
        <v/>
      </c>
      <c r="N361" s="468"/>
      <c r="O361" s="468"/>
      <c r="P361" s="468"/>
      <c r="Q361" s="4"/>
      <c r="R361" s="6"/>
      <c r="S361" s="6"/>
      <c r="T361" s="4"/>
      <c r="U361" s="4"/>
      <c r="V361" s="4"/>
      <c r="W361" s="9"/>
      <c r="X361" s="9"/>
      <c r="Y361" s="9"/>
      <c r="Z361" s="9"/>
      <c r="AA361" s="9"/>
      <c r="AB361" s="9"/>
      <c r="AC361" s="468" t="str">
        <f t="shared" si="34"/>
        <v/>
      </c>
      <c r="AD361" s="468"/>
      <c r="AE361" s="468"/>
      <c r="AF361" s="4"/>
      <c r="AG361" s="88"/>
      <c r="AH361" s="4"/>
      <c r="AI361" s="4"/>
      <c r="AJ361" s="468"/>
      <c r="AK361" s="468"/>
      <c r="AL361" s="468"/>
      <c r="AM361" s="468" t="s">
        <v>2451</v>
      </c>
      <c r="AN361" s="10"/>
      <c r="AO361" s="9"/>
      <c r="AP361" s="9"/>
      <c r="AQ361" s="9">
        <f>+FL_1($T$362,$T$360,$G$361,1200,9.28,-1*$F$362)</f>
        <v>0.3</v>
      </c>
      <c r="AR361" s="9"/>
      <c r="AS361" s="9"/>
      <c r="AT361" s="9"/>
      <c r="AU361" s="447"/>
      <c r="AV361" s="447"/>
      <c r="AW361" s="468"/>
      <c r="AX361" s="468"/>
      <c r="AY361" s="10"/>
      <c r="AZ361" s="10"/>
      <c r="BA361" s="553" t="str">
        <f t="shared" si="35"/>
        <v/>
      </c>
      <c r="BB361" s="553" t="str">
        <f t="shared" si="36"/>
        <v/>
      </c>
      <c r="BC361" s="553" t="str">
        <f t="shared" si="33"/>
        <v/>
      </c>
      <c r="BD361" s="572"/>
      <c r="BE361" s="448" t="s">
        <v>1726</v>
      </c>
      <c r="BF361" s="306"/>
      <c r="BG361" s="306"/>
      <c r="BH361" s="306"/>
      <c r="BI361" s="306"/>
    </row>
    <row r="362" spans="1:61" ht="16.2" customHeight="1">
      <c r="A362" s="573"/>
      <c r="B362" s="469" t="s">
        <v>2119</v>
      </c>
      <c r="C362" s="3">
        <f>+$C$360+$G$361</f>
        <v>7272.5299999999988</v>
      </c>
      <c r="D362" s="88"/>
      <c r="E362" s="4"/>
      <c r="F362" s="4">
        <v>-295.3</v>
      </c>
      <c r="G362" s="6"/>
      <c r="H362" s="468"/>
      <c r="I362" s="468"/>
      <c r="J362" s="3"/>
      <c r="K362" s="468"/>
      <c r="L362" s="468"/>
      <c r="M362" s="468" t="str">
        <f>IF(L362="","",
IF(AX362="PT",VLOOKUP(L362,Foundation_Calc!$V$4:$X$37,VLOOKUP(AX362,Foundation_Calc!$I$10:$J$13,2,FALSE),0),
IF(AX362="K",VLOOKUP(L362,Foundation_Calc!$V$41:$X$74,VLOOKUP(AX362,Foundation_Calc!$I$10:$J$13,2,FALSE),0),"")))</f>
        <v/>
      </c>
      <c r="N362" s="468" t="s">
        <v>343</v>
      </c>
      <c r="O362" s="468"/>
      <c r="P362" s="468"/>
      <c r="Q362" s="4"/>
      <c r="R362" s="6"/>
      <c r="S362" s="6"/>
      <c r="T362" s="4">
        <v>30</v>
      </c>
      <c r="U362" s="4"/>
      <c r="V362" s="4"/>
      <c r="W362" s="9">
        <v>1</v>
      </c>
      <c r="X362" s="9"/>
      <c r="Y362" s="9"/>
      <c r="Z362" s="9"/>
      <c r="AA362" s="9"/>
      <c r="AB362" s="9"/>
      <c r="AC362" s="468" t="str">
        <f t="shared" si="34"/>
        <v>PHC</v>
      </c>
      <c r="AD362" s="468"/>
      <c r="AE362" s="468"/>
      <c r="AF362" s="4"/>
      <c r="AG362" s="88"/>
      <c r="AH362" s="4"/>
      <c r="AI362" s="4"/>
      <c r="AJ362" s="468"/>
      <c r="AK362" s="468" t="s">
        <v>27</v>
      </c>
      <c r="AL362" s="468"/>
      <c r="AM362" s="468"/>
      <c r="AN362" s="10">
        <v>5.15</v>
      </c>
      <c r="AO362" s="9"/>
      <c r="AP362" s="9"/>
      <c r="AQ362" s="9"/>
      <c r="AR362" s="9"/>
      <c r="AS362" s="9"/>
      <c r="AT362" s="9">
        <f>+ab($T$362,$T$360,$T$364,$G$361,$G$363,-1*$F$362,1200)</f>
        <v>2.3005909563690197</v>
      </c>
      <c r="AU362" s="447"/>
      <c r="AV362" s="447"/>
      <c r="AW362" s="468" t="s">
        <v>199</v>
      </c>
      <c r="AX362" s="468" t="s">
        <v>199</v>
      </c>
      <c r="AY362" s="10" t="str">
        <f>IF(L362="","",
IF(AX362="PT",VLOOKUP(L362,Foundation_Calc!$K$4:$R$37,VLOOKUP(AW362,Foundation_Calc!$I$2:$J$8,2,FALSE),0),
IF(AX362="K",VLOOKUP(L362,Foundation_Calc!$K$41:$R$74,VLOOKUP(AW362,Foundation_Calc!$I$2:$J$8,2,FALSE),0),"")))</f>
        <v/>
      </c>
      <c r="AZ362" s="10" t="str">
        <f>IF(K362="","",
IF(AX362="PT",VLOOKUP(K362,Foundation_Calc!$K$4:$R$37,VLOOKUP(AW362,Foundation_Calc!$I$2:$J$8,2,FALSE),0),
IF(AX362="K",VLOOKUP(K362,Foundation_Calc!$K$41:$R$74,VLOOKUP(AW362,Foundation_Calc!$I$2:$J$8,2,FALSE),0),"")))</f>
        <v/>
      </c>
      <c r="BA362" s="553" t="str">
        <f t="shared" si="35"/>
        <v/>
      </c>
      <c r="BB362" s="553" t="str">
        <f t="shared" si="36"/>
        <v/>
      </c>
      <c r="BC362" s="553" t="str">
        <f t="shared" si="33"/>
        <v/>
      </c>
      <c r="BD362" s="572"/>
      <c r="BE362" s="448" t="s">
        <v>1726</v>
      </c>
      <c r="BF362" s="305"/>
      <c r="BG362" s="305"/>
      <c r="BH362" s="306"/>
      <c r="BI362" s="305"/>
    </row>
    <row r="363" spans="1:61" ht="16.2" customHeight="1">
      <c r="A363" s="573"/>
      <c r="B363" s="469"/>
      <c r="C363" s="3"/>
      <c r="D363" s="88"/>
      <c r="E363" s="4"/>
      <c r="F363" s="4"/>
      <c r="G363" s="6">
        <v>24.1</v>
      </c>
      <c r="H363" s="468"/>
      <c r="I363" s="468"/>
      <c r="J363" s="3"/>
      <c r="K363" s="468"/>
      <c r="L363" s="468"/>
      <c r="M363" s="468" t="str">
        <f>IF(L363="","",
IF(AX363="PT",VLOOKUP(L363,Foundation_Calc!$V$4:$X$37,VLOOKUP(AX363,Foundation_Calc!$I$10:$J$13,2,FALSE),0),
IF(AX363="K",VLOOKUP(L363,Foundation_Calc!$V$41:$X$74,VLOOKUP(AX363,Foundation_Calc!$I$10:$J$13,2,FALSE),0),"")))</f>
        <v/>
      </c>
      <c r="N363" s="468"/>
      <c r="O363" s="468"/>
      <c r="P363" s="468"/>
      <c r="Q363" s="4"/>
      <c r="R363" s="6"/>
      <c r="S363" s="6"/>
      <c r="T363" s="4"/>
      <c r="U363" s="4"/>
      <c r="V363" s="4"/>
      <c r="W363" s="9"/>
      <c r="X363" s="9"/>
      <c r="Y363" s="9"/>
      <c r="Z363" s="9"/>
      <c r="AA363" s="9"/>
      <c r="AB363" s="9"/>
      <c r="AC363" s="468" t="str">
        <f t="shared" si="34"/>
        <v/>
      </c>
      <c r="AD363" s="468"/>
      <c r="AE363" s="468"/>
      <c r="AF363" s="4"/>
      <c r="AG363" s="88"/>
      <c r="AH363" s="4"/>
      <c r="AI363" s="4"/>
      <c r="AJ363" s="468" t="s">
        <v>595</v>
      </c>
      <c r="AK363" s="468"/>
      <c r="AL363" s="468"/>
      <c r="AM363" s="468"/>
      <c r="AN363" s="10"/>
      <c r="AO363" s="9"/>
      <c r="AP363" s="9"/>
      <c r="AQ363" s="9">
        <f>+FL_1($T$364,$T$362,$G$363,1200,9.28,-1*$F$364)</f>
        <v>0.30000000000004784</v>
      </c>
      <c r="AR363" s="9"/>
      <c r="AS363" s="9"/>
      <c r="AT363" s="9"/>
      <c r="AU363" s="447"/>
      <c r="AV363" s="447"/>
      <c r="AW363" s="468"/>
      <c r="AX363" s="468"/>
      <c r="AY363" s="10" t="str">
        <f>IF(L363="","",
IF(AX363="PT",VLOOKUP(L363,Foundation_Calc!$K$4:$R$37,VLOOKUP(AW363,Foundation_Calc!$I$2:$J$8,2,FALSE),0),
IF(AX363="K",VLOOKUP(L363,Foundation_Calc!$K$41:$R$74,VLOOKUP(AW363,Foundation_Calc!$I$2:$J$8,2,FALSE),0),"")))</f>
        <v/>
      </c>
      <c r="AZ363" s="10" t="str">
        <f>IF(K363="","",
IF(AX363="PT",VLOOKUP(K363,Foundation_Calc!$K$4:$R$37,VLOOKUP(AW363,Foundation_Calc!$I$2:$J$8,2,FALSE),0),
IF(AX363="K",VLOOKUP(K363,Foundation_Calc!$K$41:$R$74,VLOOKUP(AW363,Foundation_Calc!$I$2:$J$8,2,FALSE),0),"")))</f>
        <v/>
      </c>
      <c r="BA363" s="553" t="str">
        <f t="shared" si="35"/>
        <v/>
      </c>
      <c r="BB363" s="553" t="str">
        <f t="shared" si="36"/>
        <v/>
      </c>
      <c r="BC363" s="553" t="str">
        <f t="shared" si="33"/>
        <v/>
      </c>
      <c r="BD363" s="572"/>
      <c r="BE363" s="448" t="s">
        <v>1726</v>
      </c>
      <c r="BF363" s="306"/>
      <c r="BG363" s="306"/>
      <c r="BH363" s="306"/>
      <c r="BI363" s="306"/>
    </row>
    <row r="364" spans="1:61" ht="16.2" customHeight="1">
      <c r="A364" s="573" t="s">
        <v>2368</v>
      </c>
      <c r="B364" s="469" t="s">
        <v>2120</v>
      </c>
      <c r="C364" s="3">
        <f>+$C$362+$G$363</f>
        <v>7296.6299999999992</v>
      </c>
      <c r="D364" s="88"/>
      <c r="E364" s="4"/>
      <c r="F364" s="4">
        <v>-295.3</v>
      </c>
      <c r="G364" s="6"/>
      <c r="H364" s="468"/>
      <c r="I364" s="468"/>
      <c r="J364" s="3"/>
      <c r="K364" s="468"/>
      <c r="L364" s="468"/>
      <c r="M364" s="468" t="str">
        <f>IF(L364="","",
IF(AX364="PT",VLOOKUP(L364,Foundation_Calc!$V$4:$X$37,VLOOKUP(AX364,Foundation_Calc!$I$10:$J$13,2,FALSE),0),
IF(AX364="K",VLOOKUP(L364,Foundation_Calc!$V$41:$X$74,VLOOKUP(AX364,Foundation_Calc!$I$10:$J$13,2,FALSE),0),"")))</f>
        <v/>
      </c>
      <c r="N364" s="468" t="s">
        <v>343</v>
      </c>
      <c r="O364" s="468"/>
      <c r="P364" s="468"/>
      <c r="Q364" s="4"/>
      <c r="R364" s="6"/>
      <c r="S364" s="6"/>
      <c r="T364" s="4">
        <v>30</v>
      </c>
      <c r="U364" s="4"/>
      <c r="V364" s="4"/>
      <c r="W364" s="9">
        <v>1.2</v>
      </c>
      <c r="X364" s="9"/>
      <c r="Y364" s="9"/>
      <c r="Z364" s="9"/>
      <c r="AA364" s="9"/>
      <c r="AB364" s="9"/>
      <c r="AC364" s="468" t="str">
        <f t="shared" si="34"/>
        <v>PHC</v>
      </c>
      <c r="AD364" s="468"/>
      <c r="AE364" s="468"/>
      <c r="AF364" s="4"/>
      <c r="AG364" s="88"/>
      <c r="AH364" s="4"/>
      <c r="AI364" s="4"/>
      <c r="AJ364" s="468" t="s">
        <v>2370</v>
      </c>
      <c r="AK364" s="468" t="s">
        <v>27</v>
      </c>
      <c r="AL364" s="468"/>
      <c r="AM364" s="468"/>
      <c r="AN364" s="10">
        <v>5.15</v>
      </c>
      <c r="AO364" s="9"/>
      <c r="AP364" s="9"/>
      <c r="AQ364" s="9"/>
      <c r="AR364" s="9"/>
      <c r="AS364" s="9"/>
      <c r="AT364" s="9">
        <f>+ab($T$364,$T$362,$T$366,$G$363,$G$365,-1*$F$364,1200)</f>
        <v>2.3597442118550718</v>
      </c>
      <c r="AU364" s="447"/>
      <c r="AV364" s="447"/>
      <c r="AW364" s="468" t="s">
        <v>199</v>
      </c>
      <c r="AX364" s="468" t="s">
        <v>199</v>
      </c>
      <c r="AY364" s="10" t="str">
        <f>IF(L364="","",
IF(AX364="PT",VLOOKUP(L364,Foundation_Calc!$K$4:$R$37,VLOOKUP(AW364,Foundation_Calc!$I$2:$J$8,2,FALSE),0),
IF(AX364="K",VLOOKUP(L364,Foundation_Calc!$K$41:$R$74,VLOOKUP(AW364,Foundation_Calc!$I$2:$J$8,2,FALSE),0),"")))</f>
        <v/>
      </c>
      <c r="AZ364" s="10" t="str">
        <f>IF(K364="","",
IF(AX364="PT",VLOOKUP(K364,Foundation_Calc!$K$4:$R$37,VLOOKUP(AW364,Foundation_Calc!$I$2:$J$8,2,FALSE),0),
IF(AX364="K",VLOOKUP(K364,Foundation_Calc!$K$41:$R$74,VLOOKUP(AW364,Foundation_Calc!$I$2:$J$8,2,FALSE),0),"")))</f>
        <v/>
      </c>
      <c r="BA364" s="553" t="str">
        <f t="shared" si="35"/>
        <v/>
      </c>
      <c r="BB364" s="553" t="str">
        <f t="shared" si="36"/>
        <v/>
      </c>
      <c r="BC364" s="553" t="str">
        <f t="shared" si="33"/>
        <v/>
      </c>
      <c r="BD364" s="572"/>
      <c r="BE364" s="448" t="s">
        <v>1726</v>
      </c>
      <c r="BF364" s="305"/>
      <c r="BG364" s="305"/>
      <c r="BH364" s="306"/>
      <c r="BI364" s="305"/>
    </row>
    <row r="365" spans="1:61" ht="16.2" customHeight="1">
      <c r="A365" s="573"/>
      <c r="B365" s="469"/>
      <c r="C365" s="3"/>
      <c r="D365" s="88"/>
      <c r="E365" s="4"/>
      <c r="F365" s="4"/>
      <c r="G365" s="6">
        <v>23.9</v>
      </c>
      <c r="H365" s="468"/>
      <c r="I365" s="468"/>
      <c r="J365" s="3"/>
      <c r="K365" s="468"/>
      <c r="L365" s="468"/>
      <c r="M365" s="468" t="str">
        <f>IF(L365="","",
IF(AX365="PT",VLOOKUP(L365,Foundation_Calc!$V$4:$X$37,VLOOKUP(AX365,Foundation_Calc!$I$10:$J$13,2,FALSE),0),
IF(AX365="K",VLOOKUP(L365,Foundation_Calc!$V$41:$X$74,VLOOKUP(AX365,Foundation_Calc!$I$10:$J$13,2,FALSE),0),"")))</f>
        <v/>
      </c>
      <c r="N365" s="468"/>
      <c r="O365" s="468"/>
      <c r="P365" s="468"/>
      <c r="Q365" s="4"/>
      <c r="R365" s="6"/>
      <c r="S365" s="6"/>
      <c r="T365" s="4"/>
      <c r="U365" s="4"/>
      <c r="V365" s="4"/>
      <c r="W365" s="9"/>
      <c r="X365" s="9"/>
      <c r="Y365" s="9"/>
      <c r="Z365" s="9"/>
      <c r="AA365" s="9"/>
      <c r="AB365" s="9"/>
      <c r="AC365" s="468" t="str">
        <f t="shared" si="34"/>
        <v/>
      </c>
      <c r="AD365" s="468"/>
      <c r="AE365" s="468"/>
      <c r="AF365" s="4"/>
      <c r="AG365" s="88"/>
      <c r="AH365" s="4"/>
      <c r="AI365" s="4"/>
      <c r="AJ365" s="468" t="s">
        <v>595</v>
      </c>
      <c r="AK365" s="468"/>
      <c r="AL365" s="468"/>
      <c r="AM365" s="468"/>
      <c r="AN365" s="10"/>
      <c r="AO365" s="9"/>
      <c r="AP365" s="9"/>
      <c r="AQ365" s="9">
        <f>+FL_1($T$366,$T$364,$G$365,1200,9.28,-1*$F$366)</f>
        <v>0.30000000000004817</v>
      </c>
      <c r="AR365" s="9"/>
      <c r="AS365" s="9"/>
      <c r="AT365" s="9"/>
      <c r="AU365" s="447"/>
      <c r="AV365" s="447"/>
      <c r="AW365" s="468"/>
      <c r="AX365" s="468"/>
      <c r="AY365" s="10" t="str">
        <f>IF(L365="","",
IF(AX365="PT",VLOOKUP(L365,Foundation_Calc!$K$4:$R$37,VLOOKUP(AW365,Foundation_Calc!$I$2:$J$8,2,FALSE),0),
IF(AX365="K",VLOOKUP(L365,Foundation_Calc!$K$41:$R$74,VLOOKUP(AW365,Foundation_Calc!$I$2:$J$8,2,FALSE),0),"")))</f>
        <v/>
      </c>
      <c r="AZ365" s="10" t="str">
        <f>IF(K365="","",
IF(AX365="PT",VLOOKUP(K365,Foundation_Calc!$K$4:$R$37,VLOOKUP(AW365,Foundation_Calc!$I$2:$J$8,2,FALSE),0),
IF(AX365="K",VLOOKUP(K365,Foundation_Calc!$K$41:$R$74,VLOOKUP(AW365,Foundation_Calc!$I$2:$J$8,2,FALSE),0),"")))</f>
        <v/>
      </c>
      <c r="BA365" s="553" t="str">
        <f t="shared" si="35"/>
        <v/>
      </c>
      <c r="BB365" s="553" t="str">
        <f t="shared" si="36"/>
        <v/>
      </c>
      <c r="BC365" s="553" t="str">
        <f t="shared" si="33"/>
        <v/>
      </c>
      <c r="BD365" s="572"/>
      <c r="BE365" s="448" t="s">
        <v>1726</v>
      </c>
      <c r="BF365" s="306"/>
      <c r="BG365" s="306"/>
      <c r="BH365" s="306"/>
      <c r="BI365" s="306"/>
    </row>
    <row r="366" spans="1:61" ht="16.2" customHeight="1">
      <c r="A366" s="573"/>
      <c r="B366" s="469" t="s">
        <v>2121</v>
      </c>
      <c r="C366" s="3">
        <f>+$C$364+$G$365</f>
        <v>7320.5299999999988</v>
      </c>
      <c r="D366" s="88"/>
      <c r="E366" s="4"/>
      <c r="F366" s="4">
        <v>-295</v>
      </c>
      <c r="G366" s="6"/>
      <c r="H366" s="468"/>
      <c r="I366" s="468"/>
      <c r="J366" s="3"/>
      <c r="K366" s="468"/>
      <c r="L366" s="468"/>
      <c r="M366" s="468" t="str">
        <f>IF(L366="","",
IF(AX366="PT",VLOOKUP(L366,Foundation_Calc!$V$4:$X$37,VLOOKUP(AX366,Foundation_Calc!$I$10:$J$13,2,FALSE),0),
IF(AX366="K",VLOOKUP(L366,Foundation_Calc!$V$41:$X$74,VLOOKUP(AX366,Foundation_Calc!$I$10:$J$13,2,FALSE),0),"")))</f>
        <v/>
      </c>
      <c r="N366" s="468" t="s">
        <v>343</v>
      </c>
      <c r="O366" s="468"/>
      <c r="P366" s="468"/>
      <c r="Q366" s="4"/>
      <c r="R366" s="6"/>
      <c r="S366" s="6"/>
      <c r="T366" s="4">
        <v>30</v>
      </c>
      <c r="U366" s="4"/>
      <c r="V366" s="4"/>
      <c r="W366" s="9">
        <v>1.2</v>
      </c>
      <c r="X366" s="9"/>
      <c r="Y366" s="9"/>
      <c r="Z366" s="9"/>
      <c r="AA366" s="9"/>
      <c r="AB366" s="9"/>
      <c r="AC366" s="468" t="s">
        <v>1066</v>
      </c>
      <c r="AD366" s="468"/>
      <c r="AE366" s="468"/>
      <c r="AF366" s="4"/>
      <c r="AG366" s="88"/>
      <c r="AH366" s="4"/>
      <c r="AI366" s="4"/>
      <c r="AJ366" s="468"/>
      <c r="AK366" s="468" t="s">
        <v>27</v>
      </c>
      <c r="AL366" s="468"/>
      <c r="AM366" s="468"/>
      <c r="AN366" s="10">
        <v>5.15</v>
      </c>
      <c r="AO366" s="9"/>
      <c r="AP366" s="9"/>
      <c r="AQ366" s="9"/>
      <c r="AR366" s="9"/>
      <c r="AS366" s="9"/>
      <c r="AT366" s="9">
        <f>+ab($T$366,$T$364,$U$368,$G$365,$G$367,-1*$F$366,1200)</f>
        <v>2.3672018061031239</v>
      </c>
      <c r="AU366" s="447"/>
      <c r="AV366" s="447"/>
      <c r="AW366" s="468" t="s">
        <v>199</v>
      </c>
      <c r="AX366" s="468" t="s">
        <v>199</v>
      </c>
      <c r="AY366" s="10" t="str">
        <f>IF(L366="","",
IF(AX366="PT",VLOOKUP(L366,Foundation_Calc!$K$4:$R$37,VLOOKUP(AW366,Foundation_Calc!$I$2:$J$8,2,FALSE),0),
IF(AX366="K",VLOOKUP(L366,Foundation_Calc!$K$41:$R$74,VLOOKUP(AW366,Foundation_Calc!$I$2:$J$8,2,FALSE),0),"")))</f>
        <v/>
      </c>
      <c r="AZ366" s="10" t="str">
        <f>IF(K366="","",
IF(AX366="PT",VLOOKUP(K366,Foundation_Calc!$K$4:$R$37,VLOOKUP(AW366,Foundation_Calc!$I$2:$J$8,2,FALSE),0),
IF(AX366="K",VLOOKUP(K366,Foundation_Calc!$K$41:$R$74,VLOOKUP(AW366,Foundation_Calc!$I$2:$J$8,2,FALSE),0),"")))</f>
        <v/>
      </c>
      <c r="BA366" s="553" t="str">
        <f t="shared" si="35"/>
        <v/>
      </c>
      <c r="BB366" s="553" t="str">
        <f t="shared" si="36"/>
        <v/>
      </c>
      <c r="BC366" s="553" t="str">
        <f t="shared" si="33"/>
        <v/>
      </c>
      <c r="BD366" s="572"/>
      <c r="BE366" s="448" t="s">
        <v>1726</v>
      </c>
      <c r="BF366" s="305"/>
      <c r="BG366" s="305"/>
      <c r="BH366" s="306"/>
      <c r="BI366" s="305"/>
    </row>
    <row r="367" spans="1:61" ht="16.2" customHeight="1">
      <c r="A367" s="573"/>
      <c r="B367" s="469"/>
      <c r="C367" s="3"/>
      <c r="D367" s="88"/>
      <c r="E367" s="4"/>
      <c r="F367" s="4"/>
      <c r="G367" s="6">
        <v>23.9</v>
      </c>
      <c r="H367" s="468"/>
      <c r="I367" s="468"/>
      <c r="J367" s="3"/>
      <c r="K367" s="468"/>
      <c r="L367" s="468"/>
      <c r="M367" s="468" t="str">
        <f>IF(L367="","",
IF(AX367="PT",VLOOKUP(L367,Foundation_Calc!$V$4:$X$37,VLOOKUP(AX367,Foundation_Calc!$I$10:$J$13,2,FALSE),0),
IF(AX367="K",VLOOKUP(L367,Foundation_Calc!$V$41:$X$74,VLOOKUP(AX367,Foundation_Calc!$I$10:$J$13,2,FALSE),0),"")))</f>
        <v/>
      </c>
      <c r="N367" s="468"/>
      <c r="O367" s="468"/>
      <c r="P367" s="468"/>
      <c r="Q367" s="4"/>
      <c r="R367" s="6"/>
      <c r="S367" s="6"/>
      <c r="T367" s="4"/>
      <c r="U367" s="4"/>
      <c r="V367" s="4"/>
      <c r="W367" s="9"/>
      <c r="X367" s="9"/>
      <c r="Y367" s="9"/>
      <c r="Z367" s="9"/>
      <c r="AA367" s="9"/>
      <c r="AB367" s="9"/>
      <c r="AC367" s="468" t="str">
        <f t="shared" si="34"/>
        <v/>
      </c>
      <c r="AD367" s="468"/>
      <c r="AE367" s="468"/>
      <c r="AF367" s="4"/>
      <c r="AG367" s="88"/>
      <c r="AH367" s="4"/>
      <c r="AI367" s="4"/>
      <c r="AJ367" s="468"/>
      <c r="AK367" s="468"/>
      <c r="AL367" s="468"/>
      <c r="AM367" s="468"/>
      <c r="AN367" s="10"/>
      <c r="AO367" s="9"/>
      <c r="AP367" s="9"/>
      <c r="AQ367" s="9">
        <f>+FL_1($U$368,$T$366,$G$367,1200,9.28,-1*$F$368)</f>
        <v>0.30000000000004817</v>
      </c>
      <c r="AR367" s="9"/>
      <c r="AS367" s="9"/>
      <c r="AT367" s="9"/>
      <c r="AU367" s="447"/>
      <c r="AV367" s="447"/>
      <c r="AW367" s="468"/>
      <c r="AX367" s="468"/>
      <c r="AY367" s="10" t="str">
        <f>IF(L367="","",
IF(AX367="PT",VLOOKUP(L367,Foundation_Calc!$K$4:$R$37,VLOOKUP(AW367,Foundation_Calc!$I$2:$J$8,2,FALSE),0),
IF(AX367="K",VLOOKUP(L367,Foundation_Calc!$K$41:$R$74,VLOOKUP(AW367,Foundation_Calc!$I$2:$J$8,2,FALSE),0),"")))</f>
        <v/>
      </c>
      <c r="AZ367" s="10" t="str">
        <f>IF(K367="","",
IF(AX367="PT",VLOOKUP(K367,Foundation_Calc!$K$4:$R$37,VLOOKUP(AW367,Foundation_Calc!$I$2:$J$8,2,FALSE),0),
IF(AX367="K",VLOOKUP(K367,Foundation_Calc!$K$41:$R$74,VLOOKUP(AW367,Foundation_Calc!$I$2:$J$8,2,FALSE),0),"")))</f>
        <v/>
      </c>
      <c r="BA367" s="553" t="str">
        <f t="shared" si="35"/>
        <v/>
      </c>
      <c r="BB367" s="553" t="str">
        <f t="shared" si="36"/>
        <v/>
      </c>
      <c r="BC367" s="553" t="str">
        <f t="shared" si="33"/>
        <v/>
      </c>
      <c r="BD367" s="572"/>
      <c r="BE367" s="448" t="s">
        <v>1726</v>
      </c>
      <c r="BF367" s="306"/>
      <c r="BG367" s="306"/>
      <c r="BH367" s="306"/>
      <c r="BI367" s="306"/>
    </row>
    <row r="368" spans="1:61" ht="16.2" customHeight="1">
      <c r="A368" s="573"/>
      <c r="B368" s="469" t="s">
        <v>2122</v>
      </c>
      <c r="C368" s="3">
        <f>+$C$366+$G$367</f>
        <v>7344.4299999999985</v>
      </c>
      <c r="D368" s="88"/>
      <c r="E368" s="4"/>
      <c r="F368" s="4">
        <v>-295</v>
      </c>
      <c r="G368" s="6"/>
      <c r="H368" s="468" t="s">
        <v>179</v>
      </c>
      <c r="I368" s="468"/>
      <c r="J368" s="3"/>
      <c r="K368" s="468"/>
      <c r="L368" s="468"/>
      <c r="M368" s="468" t="str">
        <f>IF(L368="","",
IF(AX368="PT",VLOOKUP(L368,Foundation_Calc!$V$4:$X$37,VLOOKUP(AX368,Foundation_Calc!$I$10:$J$13,2,FALSE),0),
IF(AX368="K",VLOOKUP(L368,Foundation_Calc!$V$41:$X$74,VLOOKUP(AX368,Foundation_Calc!$I$10:$J$13,2,FALSE),0),"")))</f>
        <v/>
      </c>
      <c r="N368" s="468" t="s">
        <v>344</v>
      </c>
      <c r="O368" s="468" t="s">
        <v>343</v>
      </c>
      <c r="P368" s="468"/>
      <c r="Q368" s="4"/>
      <c r="R368" s="6"/>
      <c r="S368" s="6"/>
      <c r="T368" s="4">
        <v>75</v>
      </c>
      <c r="U368" s="4">
        <v>30</v>
      </c>
      <c r="V368" s="4"/>
      <c r="W368" s="9">
        <v>1.2</v>
      </c>
      <c r="X368" s="9">
        <v>1.8</v>
      </c>
      <c r="Y368" s="9"/>
      <c r="Z368" s="9">
        <v>0.3</v>
      </c>
      <c r="AA368" s="9"/>
      <c r="AB368" s="9"/>
      <c r="AC368" s="468" t="str">
        <f t="shared" si="34"/>
        <v>PHC</v>
      </c>
      <c r="AD368" s="468" t="s">
        <v>1078</v>
      </c>
      <c r="AE368" s="468"/>
      <c r="AF368" s="4"/>
      <c r="AG368" s="88"/>
      <c r="AH368" s="4"/>
      <c r="AI368" s="4"/>
      <c r="AJ368" s="468"/>
      <c r="AK368" s="468" t="s">
        <v>36</v>
      </c>
      <c r="AL368" s="468"/>
      <c r="AM368" s="468"/>
      <c r="AN368" s="10">
        <v>5.15</v>
      </c>
      <c r="AO368" s="9"/>
      <c r="AP368" s="9"/>
      <c r="AQ368" s="9"/>
      <c r="AR368" s="9"/>
      <c r="AS368" s="9"/>
      <c r="AT368" s="9">
        <f>+ab($U$368,$T$366,$U$370,$G$367,$G$369,-1*$F$368,1200)</f>
        <v>1.962261481424693</v>
      </c>
      <c r="AU368" s="447"/>
      <c r="AV368" s="447"/>
      <c r="AW368" s="468" t="s">
        <v>199</v>
      </c>
      <c r="AX368" s="468" t="s">
        <v>199</v>
      </c>
      <c r="AY368" s="10" t="str">
        <f>IF(L368="","",
IF(AX368="PT",VLOOKUP(L368,Foundation_Calc!$K$4:$R$37,VLOOKUP(AW368,Foundation_Calc!$I$2:$J$8,2,FALSE),0),
IF(AX368="K",VLOOKUP(L368,Foundation_Calc!$K$41:$R$74,VLOOKUP(AW368,Foundation_Calc!$I$2:$J$8,2,FALSE),0),"")))</f>
        <v/>
      </c>
      <c r="AZ368" s="10" t="str">
        <f>IF(K368="","",
IF(AX368="PT",VLOOKUP(K368,Foundation_Calc!$K$4:$R$37,VLOOKUP(AW368,Foundation_Calc!$I$2:$J$8,2,FALSE),0),
IF(AX368="K",VLOOKUP(K368,Foundation_Calc!$K$41:$R$74,VLOOKUP(AW368,Foundation_Calc!$I$2:$J$8,2,FALSE),0),"")))</f>
        <v/>
      </c>
      <c r="BA368" s="553" t="str">
        <f t="shared" si="35"/>
        <v/>
      </c>
      <c r="BB368" s="553" t="str">
        <f t="shared" si="36"/>
        <v/>
      </c>
      <c r="BC368" s="553" t="str">
        <f t="shared" si="33"/>
        <v/>
      </c>
      <c r="BD368" s="572"/>
      <c r="BE368" s="448" t="s">
        <v>1726</v>
      </c>
      <c r="BF368" s="305"/>
      <c r="BG368" s="305"/>
      <c r="BH368" s="306"/>
      <c r="BI368" s="305"/>
    </row>
    <row r="369" spans="1:61" ht="16.2" customHeight="1">
      <c r="A369" s="573"/>
      <c r="B369" s="469"/>
      <c r="C369" s="3"/>
      <c r="D369" s="88"/>
      <c r="E369" s="4"/>
      <c r="F369" s="4"/>
      <c r="G369" s="6">
        <v>23.9</v>
      </c>
      <c r="H369" s="468"/>
      <c r="I369" s="468"/>
      <c r="J369" s="3"/>
      <c r="K369" s="468"/>
      <c r="L369" s="468"/>
      <c r="M369" s="468" t="str">
        <f>IF(L369="","",
IF(AX369="PT",VLOOKUP(L369,Foundation_Calc!$V$4:$X$37,VLOOKUP(AX369,Foundation_Calc!$I$10:$J$13,2,FALSE),0),
IF(AX369="K",VLOOKUP(L369,Foundation_Calc!$V$41:$X$74,VLOOKUP(AX369,Foundation_Calc!$I$10:$J$13,2,FALSE),0),"")))</f>
        <v/>
      </c>
      <c r="N369" s="468"/>
      <c r="O369" s="468"/>
      <c r="P369" s="468"/>
      <c r="Q369" s="4"/>
      <c r="R369" s="6"/>
      <c r="S369" s="6"/>
      <c r="T369" s="4"/>
      <c r="U369" s="4"/>
      <c r="V369" s="4"/>
      <c r="W369" s="9"/>
      <c r="X369" s="9"/>
      <c r="Y369" s="9"/>
      <c r="Z369" s="9"/>
      <c r="AA369" s="9"/>
      <c r="AB369" s="9"/>
      <c r="AC369" s="468" t="str">
        <f t="shared" si="34"/>
        <v/>
      </c>
      <c r="AD369" s="468"/>
      <c r="AE369" s="468"/>
      <c r="AF369" s="4"/>
      <c r="AG369" s="88"/>
      <c r="AH369" s="4"/>
      <c r="AI369" s="4"/>
      <c r="AJ369" s="468"/>
      <c r="AK369" s="468"/>
      <c r="AL369" s="468"/>
      <c r="AM369" s="468"/>
      <c r="AN369" s="10"/>
      <c r="AO369" s="9"/>
      <c r="AP369" s="9"/>
      <c r="AQ369" s="9">
        <f>+FL_1($T$370,$T$368,$G$369,1200,9.28,-1*$F$370)</f>
        <v>0.75000000000006395</v>
      </c>
      <c r="AR369" s="9"/>
      <c r="AS369" s="9"/>
      <c r="AT369" s="9"/>
      <c r="AU369" s="447"/>
      <c r="AV369" s="447"/>
      <c r="AW369" s="468"/>
      <c r="AX369" s="468"/>
      <c r="AY369" s="10" t="str">
        <f>IF(L369="","",
IF(AX369="PT",VLOOKUP(L369,Foundation_Calc!$K$4:$R$37,VLOOKUP(AW369,Foundation_Calc!$I$2:$J$8,2,FALSE),0),
IF(AX369="K",VLOOKUP(L369,Foundation_Calc!$K$41:$R$74,VLOOKUP(AW369,Foundation_Calc!$I$2:$J$8,2,FALSE),0),"")))</f>
        <v/>
      </c>
      <c r="AZ369" s="10" t="str">
        <f>IF(K369="","",
IF(AX369="PT",VLOOKUP(K369,Foundation_Calc!$K$4:$R$37,VLOOKUP(AW369,Foundation_Calc!$I$2:$J$8,2,FALSE),0),
IF(AX369="K",VLOOKUP(K369,Foundation_Calc!$K$41:$R$74,VLOOKUP(AW369,Foundation_Calc!$I$2:$J$8,2,FALSE),0),"")))</f>
        <v/>
      </c>
      <c r="BA369" s="553" t="str">
        <f t="shared" si="35"/>
        <v/>
      </c>
      <c r="BB369" s="553" t="str">
        <f t="shared" si="36"/>
        <v/>
      </c>
      <c r="BC369" s="553" t="str">
        <f t="shared" si="33"/>
        <v/>
      </c>
      <c r="BD369" s="572"/>
      <c r="BE369" s="448" t="s">
        <v>1726</v>
      </c>
      <c r="BF369" s="306"/>
      <c r="BG369" s="306"/>
      <c r="BH369" s="306"/>
      <c r="BI369" s="306"/>
    </row>
    <row r="370" spans="1:61" ht="16.2" customHeight="1">
      <c r="A370" s="573" t="s">
        <v>2448</v>
      </c>
      <c r="B370" s="469" t="s">
        <v>2123</v>
      </c>
      <c r="C370" s="3">
        <f>+$C$368+$G$369</f>
        <v>7368.3299999999981</v>
      </c>
      <c r="D370" s="88"/>
      <c r="E370" s="4"/>
      <c r="F370" s="4">
        <v>-295</v>
      </c>
      <c r="G370" s="6"/>
      <c r="H370" s="468" t="s">
        <v>180</v>
      </c>
      <c r="I370" s="468"/>
      <c r="J370" s="3"/>
      <c r="K370" s="468"/>
      <c r="L370" s="468"/>
      <c r="M370" s="468" t="str">
        <f>IF(L370="","",
IF(AX370="PT",VLOOKUP(L370,Foundation_Calc!$V$4:$X$37,VLOOKUP(AX370,Foundation_Calc!$I$10:$J$13,2,FALSE),0),
IF(AX370="K",VLOOKUP(L370,Foundation_Calc!$V$41:$X$74,VLOOKUP(AX370,Foundation_Calc!$I$10:$J$13,2,FALSE),0),"")))</f>
        <v/>
      </c>
      <c r="N370" s="468" t="s">
        <v>343</v>
      </c>
      <c r="O370" s="468" t="s">
        <v>343</v>
      </c>
      <c r="P370" s="468"/>
      <c r="Q370" s="4"/>
      <c r="R370" s="6"/>
      <c r="S370" s="6"/>
      <c r="T370" s="4">
        <v>35</v>
      </c>
      <c r="U370" s="4">
        <v>-10</v>
      </c>
      <c r="V370" s="4"/>
      <c r="W370" s="9">
        <v>1.2</v>
      </c>
      <c r="X370" s="9">
        <v>2</v>
      </c>
      <c r="Y370" s="9"/>
      <c r="Z370" s="9">
        <v>0.15</v>
      </c>
      <c r="AA370" s="9"/>
      <c r="AB370" s="9"/>
      <c r="AC370" s="468" t="s">
        <v>1078</v>
      </c>
      <c r="AD370" s="468" t="s">
        <v>2513</v>
      </c>
      <c r="AE370" s="468"/>
      <c r="AF370" s="4"/>
      <c r="AG370" s="88"/>
      <c r="AH370" s="4"/>
      <c r="AI370" s="4"/>
      <c r="AJ370" s="468"/>
      <c r="AK370" s="468" t="s">
        <v>36</v>
      </c>
      <c r="AL370" s="468"/>
      <c r="AM370" s="468"/>
      <c r="AN370" s="10">
        <v>5.15</v>
      </c>
      <c r="AO370" s="9"/>
      <c r="AP370" s="9"/>
      <c r="AQ370" s="9"/>
      <c r="AR370" s="9"/>
      <c r="AS370" s="9"/>
      <c r="AT370" s="9">
        <f>+ab($T$370,$T$368,$T$372,$G$369,$G$371,-1*$F$370,1200)</f>
        <v>2.98254005701145</v>
      </c>
      <c r="AU370" s="447"/>
      <c r="AV370" s="447"/>
      <c r="AW370" s="468" t="s">
        <v>199</v>
      </c>
      <c r="AX370" s="468" t="s">
        <v>199</v>
      </c>
      <c r="AY370" s="10" t="str">
        <f>IF(L370="","",
IF(AX370="PT",VLOOKUP(L370,Foundation_Calc!$K$4:$R$37,VLOOKUP(AW370,Foundation_Calc!$I$2:$J$8,2,FALSE),0),
IF(AX370="K",VLOOKUP(L370,Foundation_Calc!$K$41:$R$74,VLOOKUP(AW370,Foundation_Calc!$I$2:$J$8,2,FALSE),0),"")))</f>
        <v/>
      </c>
      <c r="AZ370" s="10" t="str">
        <f>IF(K370="","",
IF(AX370="PT",VLOOKUP(K370,Foundation_Calc!$K$4:$R$37,VLOOKUP(AW370,Foundation_Calc!$I$2:$J$8,2,FALSE),0),
IF(AX370="K",VLOOKUP(K370,Foundation_Calc!$K$41:$R$74,VLOOKUP(AW370,Foundation_Calc!$I$2:$J$8,2,FALSE),0),"")))</f>
        <v/>
      </c>
      <c r="BA370" s="553" t="str">
        <f t="shared" si="35"/>
        <v/>
      </c>
      <c r="BB370" s="553" t="str">
        <f t="shared" si="36"/>
        <v/>
      </c>
      <c r="BC370" s="553" t="str">
        <f t="shared" si="33"/>
        <v/>
      </c>
      <c r="BD370" s="572"/>
      <c r="BE370" s="448" t="s">
        <v>1726</v>
      </c>
      <c r="BF370" s="305"/>
      <c r="BG370" s="305"/>
      <c r="BH370" s="306"/>
      <c r="BI370" s="305"/>
    </row>
    <row r="371" spans="1:61" ht="16.2" customHeight="1">
      <c r="A371" s="573"/>
      <c r="B371" s="469"/>
      <c r="C371" s="3"/>
      <c r="D371" s="88"/>
      <c r="E371" s="4"/>
      <c r="F371" s="4"/>
      <c r="G371" s="6">
        <v>23.9</v>
      </c>
      <c r="H371" s="468"/>
      <c r="I371" s="468"/>
      <c r="J371" s="3"/>
      <c r="K371" s="468"/>
      <c r="L371" s="468"/>
      <c r="M371" s="468" t="str">
        <f>IF(L371="","",
IF(AX371="PT",VLOOKUP(L371,Foundation_Calc!$V$4:$X$37,VLOOKUP(AX371,Foundation_Calc!$I$10:$J$13,2,FALSE),0),
IF(AX371="K",VLOOKUP(L371,Foundation_Calc!$V$41:$X$74,VLOOKUP(AX371,Foundation_Calc!$I$10:$J$13,2,FALSE),0),"")))</f>
        <v/>
      </c>
      <c r="N371" s="468"/>
      <c r="O371" s="468"/>
      <c r="P371" s="468"/>
      <c r="Q371" s="4"/>
      <c r="R371" s="6"/>
      <c r="S371" s="6"/>
      <c r="T371" s="4"/>
      <c r="U371" s="4"/>
      <c r="V371" s="4"/>
      <c r="W371" s="9"/>
      <c r="X371" s="9"/>
      <c r="Y371" s="9"/>
      <c r="Z371" s="9"/>
      <c r="AA371" s="9"/>
      <c r="AB371" s="9"/>
      <c r="AC371" s="468" t="str">
        <f t="shared" si="34"/>
        <v/>
      </c>
      <c r="AD371" s="468"/>
      <c r="AE371" s="468"/>
      <c r="AF371" s="4"/>
      <c r="AG371" s="88"/>
      <c r="AH371" s="4"/>
      <c r="AI371" s="4"/>
      <c r="AJ371" s="468"/>
      <c r="AK371" s="468"/>
      <c r="AL371" s="468"/>
      <c r="AM371" s="468"/>
      <c r="AN371" s="10"/>
      <c r="AO371" s="9"/>
      <c r="AP371" s="9"/>
      <c r="AQ371" s="9">
        <f>+FL_1($T$372,$T$370,$G$371,1200,9.28,-1*$F$372)</f>
        <v>0.35000000000004816</v>
      </c>
      <c r="AR371" s="9"/>
      <c r="AS371" s="9"/>
      <c r="AT371" s="9"/>
      <c r="AU371" s="447"/>
      <c r="AV371" s="447"/>
      <c r="AW371" s="468"/>
      <c r="AX371" s="468"/>
      <c r="AY371" s="10" t="str">
        <f>IF(L371="","",
IF(AX371="PT",VLOOKUP(L371,Foundation_Calc!$K$4:$R$37,VLOOKUP(AW371,Foundation_Calc!$I$2:$J$8,2,FALSE),0),
IF(AX371="K",VLOOKUP(L371,Foundation_Calc!$K$41:$R$74,VLOOKUP(AW371,Foundation_Calc!$I$2:$J$8,2,FALSE),0),"")))</f>
        <v/>
      </c>
      <c r="AZ371" s="10" t="str">
        <f>IF(K371="","",
IF(AX371="PT",VLOOKUP(K371,Foundation_Calc!$K$4:$R$37,VLOOKUP(AW371,Foundation_Calc!$I$2:$J$8,2,FALSE),0),
IF(AX371="K",VLOOKUP(K371,Foundation_Calc!$K$41:$R$74,VLOOKUP(AW371,Foundation_Calc!$I$2:$J$8,2,FALSE),0),"")))</f>
        <v/>
      </c>
      <c r="BA371" s="553" t="str">
        <f t="shared" si="35"/>
        <v/>
      </c>
      <c r="BB371" s="553" t="str">
        <f t="shared" si="36"/>
        <v/>
      </c>
      <c r="BC371" s="553" t="str">
        <f t="shared" si="33"/>
        <v/>
      </c>
      <c r="BD371" s="572"/>
      <c r="BE371" s="448" t="s">
        <v>1726</v>
      </c>
      <c r="BF371" s="306"/>
      <c r="BG371" s="306"/>
      <c r="BH371" s="306"/>
      <c r="BI371" s="306"/>
    </row>
    <row r="372" spans="1:61" ht="16.2" customHeight="1">
      <c r="A372" s="573"/>
      <c r="B372" s="469" t="s">
        <v>2124</v>
      </c>
      <c r="C372" s="3">
        <f>+$C$370+$G$371</f>
        <v>7392.2299999999977</v>
      </c>
      <c r="D372" s="88"/>
      <c r="E372" s="4"/>
      <c r="F372" s="4">
        <v>-295</v>
      </c>
      <c r="G372" s="6"/>
      <c r="H372" s="468" t="s">
        <v>180</v>
      </c>
      <c r="I372" s="468"/>
      <c r="J372" s="3"/>
      <c r="K372" s="468"/>
      <c r="L372" s="468"/>
      <c r="M372" s="468" t="str">
        <f>IF(L372="","",
IF(AX372="PT",VLOOKUP(L372,Foundation_Calc!$V$4:$X$37,VLOOKUP(AX372,Foundation_Calc!$I$10:$J$13,2,FALSE),0),
IF(AX372="K",VLOOKUP(L372,Foundation_Calc!$V$41:$X$74,VLOOKUP(AX372,Foundation_Calc!$I$10:$J$13,2,FALSE),0),"")))</f>
        <v/>
      </c>
      <c r="N372" s="468" t="s">
        <v>343</v>
      </c>
      <c r="O372" s="468" t="s">
        <v>343</v>
      </c>
      <c r="P372" s="468"/>
      <c r="Q372" s="4"/>
      <c r="R372" s="6"/>
      <c r="S372" s="6"/>
      <c r="T372" s="4">
        <v>35</v>
      </c>
      <c r="U372" s="4">
        <v>-10</v>
      </c>
      <c r="V372" s="4"/>
      <c r="W372" s="9">
        <v>1.2</v>
      </c>
      <c r="X372" s="9">
        <v>2</v>
      </c>
      <c r="Y372" s="9"/>
      <c r="Z372" s="9"/>
      <c r="AA372" s="9">
        <v>0.15</v>
      </c>
      <c r="AB372" s="9"/>
      <c r="AC372" s="468" t="s">
        <v>1078</v>
      </c>
      <c r="AD372" s="468" t="s">
        <v>2514</v>
      </c>
      <c r="AE372" s="468"/>
      <c r="AF372" s="4"/>
      <c r="AG372" s="88"/>
      <c r="AH372" s="4"/>
      <c r="AI372" s="4"/>
      <c r="AJ372" s="468"/>
      <c r="AK372" s="468" t="s">
        <v>36</v>
      </c>
      <c r="AL372" s="468"/>
      <c r="AM372" s="468"/>
      <c r="AN372" s="10">
        <v>5.15</v>
      </c>
      <c r="AO372" s="9"/>
      <c r="AP372" s="9"/>
      <c r="AQ372" s="9"/>
      <c r="AR372" s="9"/>
      <c r="AS372" s="9"/>
      <c r="AT372" s="9">
        <f>+ab($T$372,$T$370,$T$374,$G$371,$G$373,-1*$F$372,1200)</f>
        <v>2.3672018061031239</v>
      </c>
      <c r="AU372" s="447"/>
      <c r="AV372" s="447"/>
      <c r="AW372" s="468" t="s">
        <v>199</v>
      </c>
      <c r="AX372" s="468" t="s">
        <v>199</v>
      </c>
      <c r="AY372" s="10" t="str">
        <f>IF(L372="","",
IF(AX372="PT",VLOOKUP(L372,Foundation_Calc!$K$4:$R$37,VLOOKUP(AW372,Foundation_Calc!$I$2:$J$8,2,FALSE),0),
IF(AX372="K",VLOOKUP(L372,Foundation_Calc!$K$41:$R$74,VLOOKUP(AW372,Foundation_Calc!$I$2:$J$8,2,FALSE),0),"")))</f>
        <v/>
      </c>
      <c r="AZ372" s="10" t="str">
        <f>IF(K372="","",
IF(AX372="PT",VLOOKUP(K372,Foundation_Calc!$K$4:$R$37,VLOOKUP(AW372,Foundation_Calc!$I$2:$J$8,2,FALSE),0),
IF(AX372="K",VLOOKUP(K372,Foundation_Calc!$K$41:$R$74,VLOOKUP(AW372,Foundation_Calc!$I$2:$J$8,2,FALSE),0),"")))</f>
        <v/>
      </c>
      <c r="BA372" s="553" t="str">
        <f t="shared" si="35"/>
        <v/>
      </c>
      <c r="BB372" s="553" t="str">
        <f t="shared" si="36"/>
        <v/>
      </c>
      <c r="BC372" s="553" t="str">
        <f t="shared" si="33"/>
        <v/>
      </c>
      <c r="BD372" s="572"/>
      <c r="BE372" s="448" t="s">
        <v>1726</v>
      </c>
      <c r="BF372" s="305"/>
      <c r="BG372" s="305"/>
      <c r="BH372" s="306"/>
      <c r="BI372" s="305"/>
    </row>
    <row r="373" spans="1:61" ht="16.2" customHeight="1">
      <c r="A373" s="573"/>
      <c r="B373" s="469"/>
      <c r="C373" s="3"/>
      <c r="D373" s="88"/>
      <c r="E373" s="4"/>
      <c r="F373" s="4"/>
      <c r="G373" s="6">
        <v>23.9</v>
      </c>
      <c r="H373" s="468"/>
      <c r="I373" s="468"/>
      <c r="J373" s="3"/>
      <c r="K373" s="468"/>
      <c r="L373" s="468"/>
      <c r="M373" s="468" t="str">
        <f>IF(L373="","",
IF(AX373="PT",VLOOKUP(L373,Foundation_Calc!$V$4:$X$37,VLOOKUP(AX373,Foundation_Calc!$I$10:$J$13,2,FALSE),0),
IF(AX373="K",VLOOKUP(L373,Foundation_Calc!$V$41:$X$74,VLOOKUP(AX373,Foundation_Calc!$I$10:$J$13,2,FALSE),0),"")))</f>
        <v/>
      </c>
      <c r="N373" s="468"/>
      <c r="O373" s="468"/>
      <c r="P373" s="468"/>
      <c r="Q373" s="4"/>
      <c r="R373" s="6"/>
      <c r="S373" s="6"/>
      <c r="T373" s="4"/>
      <c r="U373" s="4"/>
      <c r="V373" s="4"/>
      <c r="W373" s="9"/>
      <c r="X373" s="9"/>
      <c r="Y373" s="9"/>
      <c r="Z373" s="9"/>
      <c r="AA373" s="9"/>
      <c r="AB373" s="9"/>
      <c r="AC373" s="468" t="str">
        <f t="shared" si="34"/>
        <v/>
      </c>
      <c r="AD373" s="468"/>
      <c r="AE373" s="468"/>
      <c r="AF373" s="4"/>
      <c r="AG373" s="88"/>
      <c r="AH373" s="4"/>
      <c r="AI373" s="4"/>
      <c r="AJ373" s="468"/>
      <c r="AK373" s="468"/>
      <c r="AL373" s="468"/>
      <c r="AM373" s="468"/>
      <c r="AN373" s="10"/>
      <c r="AO373" s="9"/>
      <c r="AP373" s="9"/>
      <c r="AQ373" s="9">
        <f>+FL_1($T$374,$T$372,$G$373,1200,9.28,-1*$F$374)</f>
        <v>0.35000000000004816</v>
      </c>
      <c r="AR373" s="9"/>
      <c r="AS373" s="9"/>
      <c r="AT373" s="9"/>
      <c r="AU373" s="447"/>
      <c r="AV373" s="447"/>
      <c r="AW373" s="468"/>
      <c r="AX373" s="468"/>
      <c r="AY373" s="10" t="str">
        <f>IF(L373="","",
IF(AX373="PT",VLOOKUP(L373,Foundation_Calc!$K$4:$R$37,VLOOKUP(AW373,Foundation_Calc!$I$2:$J$8,2,FALSE),0),
IF(AX373="K",VLOOKUP(L373,Foundation_Calc!$K$41:$R$74,VLOOKUP(AW373,Foundation_Calc!$I$2:$J$8,2,FALSE),0),"")))</f>
        <v/>
      </c>
      <c r="AZ373" s="10" t="str">
        <f>IF(K373="","",
IF(AX373="PT",VLOOKUP(K373,Foundation_Calc!$K$4:$R$37,VLOOKUP(AW373,Foundation_Calc!$I$2:$J$8,2,FALSE),0),
IF(AX373="K",VLOOKUP(K373,Foundation_Calc!$K$41:$R$74,VLOOKUP(AW373,Foundation_Calc!$I$2:$J$8,2,FALSE),0),"")))</f>
        <v/>
      </c>
      <c r="BA373" s="553" t="str">
        <f t="shared" si="35"/>
        <v/>
      </c>
      <c r="BB373" s="553" t="str">
        <f t="shared" si="36"/>
        <v/>
      </c>
      <c r="BC373" s="553" t="str">
        <f t="shared" si="33"/>
        <v/>
      </c>
      <c r="BD373" s="572"/>
      <c r="BE373" s="448" t="s">
        <v>1726</v>
      </c>
      <c r="BF373" s="306"/>
      <c r="BG373" s="306"/>
      <c r="BH373" s="306"/>
      <c r="BI373" s="306"/>
    </row>
    <row r="374" spans="1:61" ht="16.2" customHeight="1">
      <c r="A374" s="573" t="s">
        <v>2369</v>
      </c>
      <c r="B374" s="469" t="s">
        <v>2125</v>
      </c>
      <c r="C374" s="3">
        <f>+$C$372+$G$373</f>
        <v>7416.1299999999974</v>
      </c>
      <c r="D374" s="88"/>
      <c r="E374" s="4"/>
      <c r="F374" s="4">
        <v>-295</v>
      </c>
      <c r="G374" s="6"/>
      <c r="H374" s="468" t="s">
        <v>179</v>
      </c>
      <c r="I374" s="468" t="s">
        <v>653</v>
      </c>
      <c r="J374" s="3"/>
      <c r="K374" s="468"/>
      <c r="L374" s="468"/>
      <c r="M374" s="468" t="str">
        <f>IF(L374="","",
IF(AX374="PT",VLOOKUP(L374,Foundation_Calc!$V$4:$X$37,VLOOKUP(AX374,Foundation_Calc!$I$10:$J$13,2,FALSE),0),
IF(AX374="K",VLOOKUP(L374,Foundation_Calc!$V$41:$X$74,VLOOKUP(AX374,Foundation_Calc!$I$10:$J$13,2,FALSE),0),"")))</f>
        <v/>
      </c>
      <c r="N374" s="468" t="s">
        <v>343</v>
      </c>
      <c r="O374" s="468" t="s">
        <v>344</v>
      </c>
      <c r="P374" s="468"/>
      <c r="Q374" s="4"/>
      <c r="R374" s="6"/>
      <c r="S374" s="6"/>
      <c r="T374" s="4">
        <v>35</v>
      </c>
      <c r="U374" s="4">
        <v>-10</v>
      </c>
      <c r="V374" s="4"/>
      <c r="W374" s="9">
        <v>1.2</v>
      </c>
      <c r="X374" s="9">
        <v>2</v>
      </c>
      <c r="Y374" s="9"/>
      <c r="Z374" s="9"/>
      <c r="AA374" s="9"/>
      <c r="AB374" s="9">
        <v>0.3</v>
      </c>
      <c r="AC374" s="468" t="s">
        <v>1078</v>
      </c>
      <c r="AD374" s="468"/>
      <c r="AE374" s="468"/>
      <c r="AF374" s="4"/>
      <c r="AG374" s="88"/>
      <c r="AH374" s="4"/>
      <c r="AI374" s="4"/>
      <c r="AJ374" s="468" t="s">
        <v>1166</v>
      </c>
      <c r="AK374" s="468" t="s">
        <v>36</v>
      </c>
      <c r="AL374" s="468"/>
      <c r="AM374" s="468"/>
      <c r="AN374" s="10">
        <v>5.15</v>
      </c>
      <c r="AO374" s="9"/>
      <c r="AP374" s="9"/>
      <c r="AQ374" s="9"/>
      <c r="AR374" s="9"/>
      <c r="AS374" s="9"/>
      <c r="AT374" s="9">
        <f>+ab($T$374,$T$372,$T$376,$G$373,$G$375,-1*$F$374,1200)</f>
        <v>2.3032281959462213</v>
      </c>
      <c r="AU374" s="447"/>
      <c r="AV374" s="447"/>
      <c r="AW374" s="468" t="s">
        <v>199</v>
      </c>
      <c r="AX374" s="468" t="s">
        <v>199</v>
      </c>
      <c r="AY374" s="10" t="str">
        <f>IF(L374="","",
IF(AX374="PT",VLOOKUP(L374,Foundation_Calc!$K$4:$R$37,VLOOKUP(AW374,Foundation_Calc!$I$2:$J$8,2,FALSE),0),
IF(AX374="K",VLOOKUP(L374,Foundation_Calc!$K$41:$R$74,VLOOKUP(AW374,Foundation_Calc!$I$2:$J$8,2,FALSE),0),"")))</f>
        <v/>
      </c>
      <c r="AZ374" s="10" t="str">
        <f>IF(K374="","",
IF(AX374="PT",VLOOKUP(K374,Foundation_Calc!$K$4:$R$37,VLOOKUP(AW374,Foundation_Calc!$I$2:$J$8,2,FALSE),0),
IF(AX374="K",VLOOKUP(K374,Foundation_Calc!$K$41:$R$74,VLOOKUP(AW374,Foundation_Calc!$I$2:$J$8,2,FALSE),0),"")))</f>
        <v/>
      </c>
      <c r="BA374" s="553" t="str">
        <f t="shared" si="35"/>
        <v/>
      </c>
      <c r="BB374" s="553" t="str">
        <f t="shared" si="36"/>
        <v/>
      </c>
      <c r="BC374" s="553" t="str">
        <f t="shared" si="33"/>
        <v/>
      </c>
      <c r="BD374" s="572"/>
      <c r="BE374" s="448" t="s">
        <v>1726</v>
      </c>
      <c r="BF374" s="305"/>
      <c r="BG374" s="305"/>
      <c r="BH374" s="306"/>
      <c r="BI374" s="305"/>
    </row>
    <row r="375" spans="1:61" ht="16.2" customHeight="1">
      <c r="A375" s="573"/>
      <c r="B375" s="469"/>
      <c r="C375" s="3"/>
      <c r="D375" s="88"/>
      <c r="E375" s="4"/>
      <c r="F375" s="4"/>
      <c r="G375" s="6">
        <v>24</v>
      </c>
      <c r="H375" s="468"/>
      <c r="I375" s="468"/>
      <c r="J375" s="3"/>
      <c r="K375" s="468"/>
      <c r="L375" s="468"/>
      <c r="M375" s="468" t="str">
        <f>IF(L375="","",
IF(AX375="PT",VLOOKUP(L375,Foundation_Calc!$V$4:$X$37,VLOOKUP(AX375,Foundation_Calc!$I$10:$J$13,2,FALSE),0),
IF(AX375="K",VLOOKUP(L375,Foundation_Calc!$V$41:$X$74,VLOOKUP(AX375,Foundation_Calc!$I$10:$J$13,2,FALSE),0),"")))</f>
        <v/>
      </c>
      <c r="N375" s="468"/>
      <c r="O375" s="468"/>
      <c r="P375" s="468"/>
      <c r="Q375" s="4"/>
      <c r="R375" s="6"/>
      <c r="S375" s="6"/>
      <c r="T375" s="4"/>
      <c r="U375" s="4"/>
      <c r="V375" s="4"/>
      <c r="W375" s="9"/>
      <c r="X375" s="9"/>
      <c r="Y375" s="9"/>
      <c r="Z375" s="9"/>
      <c r="AA375" s="9"/>
      <c r="AB375" s="9"/>
      <c r="AC375" s="468" t="str">
        <f t="shared" si="34"/>
        <v/>
      </c>
      <c r="AD375" s="468"/>
      <c r="AE375" s="468"/>
      <c r="AF375" s="4"/>
      <c r="AG375" s="88"/>
      <c r="AH375" s="4"/>
      <c r="AI375" s="4"/>
      <c r="AJ375" s="468"/>
      <c r="AK375" s="468"/>
      <c r="AL375" s="468"/>
      <c r="AM375" s="468"/>
      <c r="AN375" s="10"/>
      <c r="AO375" s="9"/>
      <c r="AP375" s="9"/>
      <c r="AQ375" s="9">
        <f>+FL_1($T$376,$T$374,$G$375,1200,9.28,-1*$F$376)</f>
        <v>0.35000000000004994</v>
      </c>
      <c r="AR375" s="9"/>
      <c r="AS375" s="9"/>
      <c r="AT375" s="9"/>
      <c r="AU375" s="447"/>
      <c r="AV375" s="447"/>
      <c r="AW375" s="468"/>
      <c r="AX375" s="468"/>
      <c r="AY375" s="10" t="str">
        <f>IF(L375="","",
IF(AX375="PT",VLOOKUP(L375,Foundation_Calc!$K$4:$R$37,VLOOKUP(AW375,Foundation_Calc!$I$2:$J$8,2,FALSE),0),
IF(AX375="K",VLOOKUP(L375,Foundation_Calc!$K$41:$R$74,VLOOKUP(AW375,Foundation_Calc!$I$2:$J$8,2,FALSE),0),"")))</f>
        <v/>
      </c>
      <c r="AZ375" s="10" t="str">
        <f>IF(K375="","",
IF(AX375="PT",VLOOKUP(K375,Foundation_Calc!$K$4:$R$37,VLOOKUP(AW375,Foundation_Calc!$I$2:$J$8,2,FALSE),0),
IF(AX375="K",VLOOKUP(K375,Foundation_Calc!$K$41:$R$74,VLOOKUP(AW375,Foundation_Calc!$I$2:$J$8,2,FALSE),0),"")))</f>
        <v/>
      </c>
      <c r="BA375" s="553" t="str">
        <f t="shared" si="35"/>
        <v/>
      </c>
      <c r="BB375" s="553" t="str">
        <f t="shared" si="36"/>
        <v/>
      </c>
      <c r="BC375" s="553" t="str">
        <f t="shared" si="33"/>
        <v/>
      </c>
      <c r="BD375" s="572"/>
      <c r="BE375" s="448" t="s">
        <v>1726</v>
      </c>
      <c r="BF375" s="306"/>
      <c r="BG375" s="306"/>
      <c r="BH375" s="306"/>
      <c r="BI375" s="306"/>
    </row>
    <row r="376" spans="1:61" ht="16.2" customHeight="1">
      <c r="A376" s="573"/>
      <c r="B376" s="469" t="s">
        <v>2126</v>
      </c>
      <c r="C376" s="3">
        <f>+$C$374+$G$375</f>
        <v>7440.1299999999974</v>
      </c>
      <c r="D376" s="88"/>
      <c r="E376" s="4"/>
      <c r="F376" s="4">
        <v>-295</v>
      </c>
      <c r="G376" s="6"/>
      <c r="H376" s="468"/>
      <c r="I376" s="468"/>
      <c r="J376" s="3"/>
      <c r="K376" s="468"/>
      <c r="L376" s="468"/>
      <c r="M376" s="468" t="str">
        <f>IF(L376="","",
IF(AX376="PT",VLOOKUP(L376,Foundation_Calc!$V$4:$X$37,VLOOKUP(AX376,Foundation_Calc!$I$10:$J$13,2,FALSE),0),
IF(AX376="K",VLOOKUP(L376,Foundation_Calc!$V$41:$X$74,VLOOKUP(AX376,Foundation_Calc!$I$10:$J$13,2,FALSE),0),"")))</f>
        <v/>
      </c>
      <c r="N376" s="468" t="s">
        <v>343</v>
      </c>
      <c r="O376" s="468"/>
      <c r="P376" s="468"/>
      <c r="Q376" s="4"/>
      <c r="R376" s="6"/>
      <c r="S376" s="6"/>
      <c r="T376" s="4">
        <v>30</v>
      </c>
      <c r="U376" s="4"/>
      <c r="V376" s="4"/>
      <c r="W376" s="9">
        <v>1.2</v>
      </c>
      <c r="X376" s="9"/>
      <c r="Y376" s="9"/>
      <c r="Z376" s="9"/>
      <c r="AA376" s="9"/>
      <c r="AB376" s="9"/>
      <c r="AC376" s="468" t="s">
        <v>1078</v>
      </c>
      <c r="AD376" s="468"/>
      <c r="AE376" s="468"/>
      <c r="AF376" s="4"/>
      <c r="AG376" s="88"/>
      <c r="AH376" s="4"/>
      <c r="AI376" s="4"/>
      <c r="AJ376" s="468"/>
      <c r="AK376" s="468" t="s">
        <v>27</v>
      </c>
      <c r="AL376" s="468"/>
      <c r="AM376" s="468"/>
      <c r="AN376" s="10">
        <v>5.15</v>
      </c>
      <c r="AO376" s="9"/>
      <c r="AP376" s="9"/>
      <c r="AQ376" s="9"/>
      <c r="AR376" s="9"/>
      <c r="AS376" s="9"/>
      <c r="AT376" s="9">
        <f>+ab($T$376,$T$374,$T$378,$G$375,$G$377,-1*$F$376,1200)</f>
        <v>2.4192295665729593</v>
      </c>
      <c r="AU376" s="447"/>
      <c r="AV376" s="447"/>
      <c r="AW376" s="468" t="s">
        <v>199</v>
      </c>
      <c r="AX376" s="468" t="s">
        <v>199</v>
      </c>
      <c r="AY376" s="10" t="str">
        <f>IF(L376="","",
IF(AX376="PT",VLOOKUP(L376,Foundation_Calc!$K$4:$R$37,VLOOKUP(AW376,Foundation_Calc!$I$2:$J$8,2,FALSE),0),
IF(AX376="K",VLOOKUP(L376,Foundation_Calc!$K$41:$R$74,VLOOKUP(AW376,Foundation_Calc!$I$2:$J$8,2,FALSE),0),"")))</f>
        <v/>
      </c>
      <c r="AZ376" s="10" t="str">
        <f>IF(K376="","",
IF(AX376="PT",VLOOKUP(K376,Foundation_Calc!$K$4:$R$37,VLOOKUP(AW376,Foundation_Calc!$I$2:$J$8,2,FALSE),0),
IF(AX376="K",VLOOKUP(K376,Foundation_Calc!$K$41:$R$74,VLOOKUP(AW376,Foundation_Calc!$I$2:$J$8,2,FALSE),0),"")))</f>
        <v/>
      </c>
      <c r="BA376" s="553" t="str">
        <f t="shared" si="35"/>
        <v/>
      </c>
      <c r="BB376" s="553" t="str">
        <f t="shared" si="36"/>
        <v/>
      </c>
      <c r="BC376" s="553" t="str">
        <f t="shared" si="33"/>
        <v/>
      </c>
      <c r="BD376" s="572"/>
      <c r="BE376" s="448" t="s">
        <v>1726</v>
      </c>
      <c r="BF376" s="305"/>
      <c r="BG376" s="305"/>
      <c r="BH376" s="306"/>
      <c r="BI376" s="305"/>
    </row>
    <row r="377" spans="1:61" ht="16.2" customHeight="1">
      <c r="A377" s="573"/>
      <c r="B377" s="469"/>
      <c r="C377" s="3"/>
      <c r="D377" s="88"/>
      <c r="E377" s="4"/>
      <c r="F377" s="4"/>
      <c r="G377" s="6">
        <v>24</v>
      </c>
      <c r="H377" s="468"/>
      <c r="I377" s="468"/>
      <c r="J377" s="3"/>
      <c r="K377" s="468"/>
      <c r="L377" s="468"/>
      <c r="M377" s="468" t="str">
        <f>IF(L377="","",
IF(AX377="PT",VLOOKUP(L377,Foundation_Calc!$V$4:$X$37,VLOOKUP(AX377,Foundation_Calc!$I$10:$J$13,2,FALSE),0),
IF(AX377="K",VLOOKUP(L377,Foundation_Calc!$V$41:$X$74,VLOOKUP(AX377,Foundation_Calc!$I$10:$J$13,2,FALSE),0),"")))</f>
        <v/>
      </c>
      <c r="N377" s="468"/>
      <c r="O377" s="468"/>
      <c r="P377" s="468"/>
      <c r="Q377" s="4"/>
      <c r="R377" s="6"/>
      <c r="S377" s="6"/>
      <c r="T377" s="4"/>
      <c r="U377" s="4"/>
      <c r="V377" s="4"/>
      <c r="W377" s="9"/>
      <c r="X377" s="9"/>
      <c r="Y377" s="9"/>
      <c r="Z377" s="9"/>
      <c r="AA377" s="9"/>
      <c r="AB377" s="9"/>
      <c r="AC377" s="468" t="str">
        <f t="shared" si="34"/>
        <v/>
      </c>
      <c r="AD377" s="468"/>
      <c r="AE377" s="468"/>
      <c r="AF377" s="4"/>
      <c r="AG377" s="88"/>
      <c r="AH377" s="4"/>
      <c r="AI377" s="4"/>
      <c r="AJ377" s="468"/>
      <c r="AK377" s="468"/>
      <c r="AL377" s="468"/>
      <c r="AM377" s="468"/>
      <c r="AN377" s="10"/>
      <c r="AO377" s="9"/>
      <c r="AP377" s="9"/>
      <c r="AQ377" s="9">
        <f>+FL_1($T$378,$T$376,$G$377,1200,9.28,-1*$F$378)</f>
        <v>0.30000000000004801</v>
      </c>
      <c r="AR377" s="9"/>
      <c r="AS377" s="9"/>
      <c r="AT377" s="9"/>
      <c r="AU377" s="447"/>
      <c r="AV377" s="447"/>
      <c r="AW377" s="468"/>
      <c r="AX377" s="468"/>
      <c r="AY377" s="10" t="str">
        <f>IF(L377="","",
IF(AX377="PT",VLOOKUP(L377,Foundation_Calc!$K$4:$R$37,VLOOKUP(AW377,Foundation_Calc!$I$2:$J$8,2,FALSE),0),
IF(AX377="K",VLOOKUP(L377,Foundation_Calc!$K$41:$R$74,VLOOKUP(AW377,Foundation_Calc!$I$2:$J$8,2,FALSE),0),"")))</f>
        <v/>
      </c>
      <c r="AZ377" s="10" t="str">
        <f>IF(K377="","",
IF(AX377="PT",VLOOKUP(K377,Foundation_Calc!$K$4:$R$37,VLOOKUP(AW377,Foundation_Calc!$I$2:$J$8,2,FALSE),0),
IF(AX377="K",VLOOKUP(K377,Foundation_Calc!$K$41:$R$74,VLOOKUP(AW377,Foundation_Calc!$I$2:$J$8,2,FALSE),0),"")))</f>
        <v/>
      </c>
      <c r="BA377" s="553" t="str">
        <f t="shared" si="35"/>
        <v/>
      </c>
      <c r="BB377" s="553" t="str">
        <f t="shared" si="36"/>
        <v/>
      </c>
      <c r="BC377" s="553" t="str">
        <f t="shared" si="33"/>
        <v/>
      </c>
      <c r="BD377" s="572"/>
      <c r="BE377" s="448" t="s">
        <v>1726</v>
      </c>
      <c r="BF377" s="306"/>
      <c r="BG377" s="306"/>
      <c r="BH377" s="306"/>
      <c r="BI377" s="306"/>
    </row>
    <row r="378" spans="1:61" ht="16.2" customHeight="1">
      <c r="A378" s="573"/>
      <c r="B378" s="469" t="s">
        <v>2127</v>
      </c>
      <c r="C378" s="636">
        <f>+$C$376+$G$377</f>
        <v>7464.1299999999974</v>
      </c>
      <c r="D378" s="88"/>
      <c r="E378" s="4"/>
      <c r="F378" s="4">
        <v>-295</v>
      </c>
      <c r="G378" s="6"/>
      <c r="H378" s="468"/>
      <c r="I378" s="468" t="s">
        <v>482</v>
      </c>
      <c r="J378" s="3"/>
      <c r="K378" s="468"/>
      <c r="L378" s="468" t="s">
        <v>39</v>
      </c>
      <c r="M378" s="468" t="str">
        <f>IF(L378="","",
IF(AX378="PT",VLOOKUP(L378,Foundation_Calc!$V$4:$X$37,VLOOKUP(AX378,Foundation_Calc!$I$10:$J$13,2,FALSE),0),
IF(AX378="K",VLOOKUP(L378,Foundation_Calc!$V$41:$X$74,VLOOKUP(AX378,Foundation_Calc!$I$10:$J$13,2,FALSE),0),"")))</f>
        <v>C7SR</v>
      </c>
      <c r="N378" s="468" t="s">
        <v>33</v>
      </c>
      <c r="O378" s="468"/>
      <c r="P378" s="468"/>
      <c r="Q378" s="4"/>
      <c r="R378" s="6"/>
      <c r="S378" s="6"/>
      <c r="T378" s="4">
        <v>30</v>
      </c>
      <c r="U378" s="4"/>
      <c r="V378" s="4"/>
      <c r="W378" s="9">
        <v>1</v>
      </c>
      <c r="X378" s="9"/>
      <c r="Y378" s="9"/>
      <c r="Z378" s="9"/>
      <c r="AA378" s="9"/>
      <c r="AB378" s="9"/>
      <c r="AC378" s="468" t="str">
        <f t="shared" si="34"/>
        <v>PHC</v>
      </c>
      <c r="AD378" s="468"/>
      <c r="AE378" s="468"/>
      <c r="AF378" s="4"/>
      <c r="AG378" s="88"/>
      <c r="AH378" s="4"/>
      <c r="AI378" s="4"/>
      <c r="AJ378" s="468"/>
      <c r="AK378" s="468"/>
      <c r="AL378" s="468"/>
      <c r="AM378" s="468"/>
      <c r="AN378" s="10">
        <v>5.15</v>
      </c>
      <c r="AO378" s="9"/>
      <c r="AP378" s="9"/>
      <c r="AQ378" s="9"/>
      <c r="AR378" s="9"/>
      <c r="AS378" s="9"/>
      <c r="AT378" s="9">
        <f>+ab($T$378,$T$376,$T$380,$G$377,$G$379,-1*$F$378,1200)</f>
        <v>2.3074352015925284</v>
      </c>
      <c r="AU378" s="447"/>
      <c r="AV378" s="447"/>
      <c r="AW378" s="468" t="str">
        <f>IF(C378&gt;0,VLOOKUP(C378,Foundation_Calc!$A$2:$C$13,3,1),
IF(J378&gt;0,VLOOKUP(J378,Foundation_Calc!$A$2:$C$13,3,1),""))</f>
        <v>MultiSoil</v>
      </c>
      <c r="AX378" s="468" t="str">
        <f>IF(C378&gt;0,VLOOKUP(C378,Foundation_Calc!$E$2:$G$13,3,1),
IF(J378&gt;0,VLOOKUP(J378,Foundation_Calc!$E$2:$G$13,3,1),""))</f>
        <v>PT</v>
      </c>
      <c r="AY378" s="10">
        <f>IF(L378="","",
IF(AX378="PT",VLOOKUP(L378,Foundation_Calc!$K$4:$R$37,VLOOKUP(AW378,Foundation_Calc!$I$2:$J$8,2,FALSE),0),
IF(AX378="K",VLOOKUP(L378,Foundation_Calc!$K$41:$R$74,VLOOKUP(AW378,Foundation_Calc!$I$2:$J$8,2,FALSE),0),"")))</f>
        <v>3.9</v>
      </c>
      <c r="AZ378" s="10" t="str">
        <f>IF(K378="","",
IF(AX378="PT",VLOOKUP(K378,Foundation_Calc!$K$4:$R$37,VLOOKUP(AW378,Foundation_Calc!$I$2:$J$8,2,FALSE),0),
IF(AX378="K",VLOOKUP(K378,Foundation_Calc!$K$41:$R$74,VLOOKUP(AW378,Foundation_Calc!$I$2:$J$8,2,FALSE),0),"")))</f>
        <v/>
      </c>
      <c r="BA378" s="553" t="str">
        <f t="shared" si="35"/>
        <v>ü</v>
      </c>
      <c r="BB378" s="553" t="str">
        <f t="shared" si="36"/>
        <v/>
      </c>
      <c r="BC378" s="553" t="str">
        <f t="shared" si="33"/>
        <v/>
      </c>
      <c r="BD378" s="572" t="str">
        <f>IF(AND(L378="",H378=""),"",
IF(H378="",Pole_Calc!A$22,
IF(H378="MP",Pole_Calc!A$23,
IF(H378="AnMP",Pole_Calc!A$24,
IF(H378="A",Pole_Calc!A$25,
IF(H378="S/A",Pole_Calc!A$26,
IF(H378="A/S",Pole_Calc!A$27,"Poner a mano")))))))</f>
        <v>App.7-V11H-P9.5.2.1</v>
      </c>
      <c r="BE378" s="448" t="s">
        <v>1726</v>
      </c>
      <c r="BF378" s="305"/>
      <c r="BG378" s="305"/>
      <c r="BH378" s="306"/>
      <c r="BI378" s="305"/>
    </row>
    <row r="379" spans="1:61" ht="16.2" customHeight="1">
      <c r="A379" s="573" t="s">
        <v>383</v>
      </c>
      <c r="B379" s="469"/>
      <c r="C379" s="3"/>
      <c r="D379" s="88"/>
      <c r="E379" s="4"/>
      <c r="F379" s="4"/>
      <c r="G379" s="6">
        <v>23.8</v>
      </c>
      <c r="H379" s="468"/>
      <c r="I379" s="468" t="s">
        <v>485</v>
      </c>
      <c r="J379" s="3">
        <f>C378+5</f>
        <v>7469.1299999999974</v>
      </c>
      <c r="K379" s="468" t="s">
        <v>451</v>
      </c>
      <c r="L379" s="468"/>
      <c r="M379" s="468" t="str">
        <f>IF(L379="","",
IF(AX379="PT",VLOOKUP(L379,Foundation_Calc!$V$4:$X$37,VLOOKUP(AX379,Foundation_Calc!$I$10:$J$13,2,FALSE),0),
IF(AX379="K",VLOOKUP(L379,Foundation_Calc!$V$41:$X$74,VLOOKUP(AX379,Foundation_Calc!$I$10:$J$13,2,FALSE),0),"")))</f>
        <v/>
      </c>
      <c r="N379" s="468"/>
      <c r="O379" s="468"/>
      <c r="P379" s="468"/>
      <c r="Q379" s="4"/>
      <c r="R379" s="6"/>
      <c r="S379" s="6"/>
      <c r="T379" s="4"/>
      <c r="U379" s="4"/>
      <c r="V379" s="4"/>
      <c r="W379" s="9"/>
      <c r="X379" s="9"/>
      <c r="Y379" s="9"/>
      <c r="Z379" s="9"/>
      <c r="AA379" s="9"/>
      <c r="AB379" s="9"/>
      <c r="AC379" s="468" t="str">
        <f t="shared" si="34"/>
        <v/>
      </c>
      <c r="AD379" s="468"/>
      <c r="AE379" s="468"/>
      <c r="AF379" s="4"/>
      <c r="AG379" s="88"/>
      <c r="AH379" s="4"/>
      <c r="AI379" s="4"/>
      <c r="AJ379" s="468"/>
      <c r="AK379" s="468"/>
      <c r="AL379" s="468"/>
      <c r="AM379" s="468"/>
      <c r="AN379" s="10"/>
      <c r="AO379" s="9"/>
      <c r="AP379" s="9"/>
      <c r="AQ379" s="9">
        <f>+FL_1($T$380,$T$378,$G$379,1200,9.28,-1*$F$380)</f>
        <v>0.30000000000005028</v>
      </c>
      <c r="AR379" s="9"/>
      <c r="AS379" s="9"/>
      <c r="AT379" s="9"/>
      <c r="AU379" s="447"/>
      <c r="AV379" s="447"/>
      <c r="AW379" s="468"/>
      <c r="AX379" s="468"/>
      <c r="AY379" s="10"/>
      <c r="AZ379" s="10"/>
      <c r="BA379" s="553" t="str">
        <f t="shared" si="35"/>
        <v/>
      </c>
      <c r="BB379" s="553" t="str">
        <f t="shared" si="36"/>
        <v/>
      </c>
      <c r="BC379" s="553" t="str">
        <f t="shared" si="33"/>
        <v/>
      </c>
      <c r="BD379" s="572"/>
      <c r="BE379" s="448" t="s">
        <v>1726</v>
      </c>
      <c r="BF379" s="306"/>
      <c r="BG379" s="306"/>
      <c r="BH379" s="306"/>
      <c r="BI379" s="306"/>
    </row>
    <row r="380" spans="1:61" ht="16.2" customHeight="1">
      <c r="A380" s="582" t="s">
        <v>383</v>
      </c>
      <c r="B380" s="469" t="s">
        <v>2128</v>
      </c>
      <c r="C380" s="3">
        <f>+$C$378+$G$379</f>
        <v>7487.9299999999976</v>
      </c>
      <c r="D380" s="88"/>
      <c r="E380" s="4"/>
      <c r="F380" s="4">
        <v>-295</v>
      </c>
      <c r="G380" s="6"/>
      <c r="H380" s="468"/>
      <c r="I380" s="468"/>
      <c r="J380" s="3"/>
      <c r="K380" s="468"/>
      <c r="L380" s="468"/>
      <c r="M380" s="468" t="str">
        <f>IF(L380="","",
IF(AX380="PT",VLOOKUP(L380,Foundation_Calc!$V$4:$X$37,VLOOKUP(AX380,Foundation_Calc!$I$10:$J$13,2,FALSE),0),
IF(AX380="K",VLOOKUP(L380,Foundation_Calc!$V$41:$X$74,VLOOKUP(AX380,Foundation_Calc!$I$10:$J$13,2,FALSE),0),"")))</f>
        <v/>
      </c>
      <c r="N380" s="468" t="s">
        <v>192</v>
      </c>
      <c r="O380" s="468"/>
      <c r="P380" s="468"/>
      <c r="Q380" s="4"/>
      <c r="R380" s="6"/>
      <c r="S380" s="6"/>
      <c r="T380" s="4">
        <v>25</v>
      </c>
      <c r="U380" s="4"/>
      <c r="V380" s="4"/>
      <c r="W380" s="9">
        <v>1</v>
      </c>
      <c r="X380" s="9"/>
      <c r="Y380" s="9"/>
      <c r="Z380" s="9"/>
      <c r="AA380" s="9"/>
      <c r="AB380" s="9"/>
      <c r="AC380" s="468" t="s">
        <v>1341</v>
      </c>
      <c r="AD380" s="468"/>
      <c r="AE380" s="468"/>
      <c r="AF380" s="4"/>
      <c r="AG380" s="88"/>
      <c r="AH380" s="4"/>
      <c r="AI380" s="4"/>
      <c r="AJ380" s="468"/>
      <c r="AK380" s="468" t="s">
        <v>773</v>
      </c>
      <c r="AL380" s="468"/>
      <c r="AM380" s="468" t="s">
        <v>2458</v>
      </c>
      <c r="AN380" s="10">
        <v>5.15</v>
      </c>
      <c r="AO380" s="9"/>
      <c r="AP380" s="9"/>
      <c r="AQ380" s="9"/>
      <c r="AR380" s="9"/>
      <c r="AS380" s="9"/>
      <c r="AT380" s="9"/>
      <c r="AU380" s="447"/>
      <c r="AV380" s="447"/>
      <c r="AW380" s="468" t="s">
        <v>199</v>
      </c>
      <c r="AX380" s="468" t="s">
        <v>199</v>
      </c>
      <c r="AY380" s="10"/>
      <c r="AZ380" s="10"/>
      <c r="BA380" s="553" t="str">
        <f t="shared" si="35"/>
        <v/>
      </c>
      <c r="BB380" s="553" t="str">
        <f t="shared" si="36"/>
        <v/>
      </c>
      <c r="BC380" s="553" t="str">
        <f t="shared" si="33"/>
        <v/>
      </c>
      <c r="BD380" s="572"/>
      <c r="BE380" s="448" t="s">
        <v>1726</v>
      </c>
      <c r="BF380" s="305"/>
      <c r="BG380" s="305"/>
      <c r="BH380" s="306"/>
      <c r="BI380" s="305"/>
    </row>
    <row r="381" spans="1:61" ht="16.2" customHeight="1">
      <c r="A381" s="582" t="s">
        <v>383</v>
      </c>
      <c r="B381" s="469"/>
      <c r="C381" s="3"/>
      <c r="D381" s="88"/>
      <c r="E381" s="4"/>
      <c r="F381" s="4"/>
      <c r="G381" s="6">
        <v>22.4</v>
      </c>
      <c r="H381" s="468"/>
      <c r="I381" s="468"/>
      <c r="J381" s="3"/>
      <c r="K381" s="468"/>
      <c r="L381" s="468"/>
      <c r="M381" s="468" t="str">
        <f>IF(L381="","",
IF(AX381="PT",VLOOKUP(L381,Foundation_Calc!$V$4:$X$37,VLOOKUP(AX381,Foundation_Calc!$I$10:$J$13,2,FALSE),0),
IF(AX381="K",VLOOKUP(L381,Foundation_Calc!$V$41:$X$74,VLOOKUP(AX381,Foundation_Calc!$I$10:$J$13,2,FALSE),0),"")))</f>
        <v/>
      </c>
      <c r="N381" s="468"/>
      <c r="O381" s="468"/>
      <c r="P381" s="468"/>
      <c r="Q381" s="4"/>
      <c r="R381" s="6"/>
      <c r="S381" s="6"/>
      <c r="T381" s="4"/>
      <c r="U381" s="4"/>
      <c r="V381" s="4"/>
      <c r="W381" s="9"/>
      <c r="X381" s="9"/>
      <c r="Y381" s="9"/>
      <c r="Z381" s="9"/>
      <c r="AA381" s="9"/>
      <c r="AB381" s="9"/>
      <c r="AC381" s="468" t="str">
        <f t="shared" si="34"/>
        <v/>
      </c>
      <c r="AD381" s="468"/>
      <c r="AE381" s="468"/>
      <c r="AF381" s="4"/>
      <c r="AG381" s="88"/>
      <c r="AH381" s="4"/>
      <c r="AI381" s="4"/>
      <c r="AJ381" s="468"/>
      <c r="AK381" s="468"/>
      <c r="AL381" s="468"/>
      <c r="AM381" s="468"/>
      <c r="AN381" s="10"/>
      <c r="AO381" s="9"/>
      <c r="AP381" s="9"/>
      <c r="AQ381" s="9"/>
      <c r="AR381" s="9"/>
      <c r="AS381" s="9"/>
      <c r="AT381" s="9"/>
      <c r="AU381" s="447"/>
      <c r="AV381" s="447"/>
      <c r="AW381" s="468"/>
      <c r="AX381" s="468"/>
      <c r="AY381" s="10"/>
      <c r="AZ381" s="10"/>
      <c r="BA381" s="553" t="str">
        <f t="shared" si="35"/>
        <v/>
      </c>
      <c r="BB381" s="553" t="str">
        <f t="shared" si="36"/>
        <v/>
      </c>
      <c r="BC381" s="553" t="str">
        <f t="shared" si="33"/>
        <v/>
      </c>
      <c r="BD381" s="572"/>
      <c r="BE381" s="448" t="s">
        <v>1726</v>
      </c>
      <c r="BF381" s="306"/>
      <c r="BG381" s="306"/>
      <c r="BH381" s="306"/>
      <c r="BI381" s="306"/>
    </row>
    <row r="382" spans="1:61" ht="16.2" customHeight="1">
      <c r="A382" s="582" t="s">
        <v>383</v>
      </c>
      <c r="B382" s="469" t="s">
        <v>2129</v>
      </c>
      <c r="C382" s="3">
        <f>+$C$380+$G$381</f>
        <v>7510.3299999999972</v>
      </c>
      <c r="D382" s="88"/>
      <c r="E382" s="4"/>
      <c r="F382" s="4">
        <v>-295</v>
      </c>
      <c r="G382" s="6"/>
      <c r="H382" s="468"/>
      <c r="I382" s="468"/>
      <c r="J382" s="3"/>
      <c r="K382" s="468"/>
      <c r="L382" s="468"/>
      <c r="M382" s="468" t="str">
        <f>IF(L382="","",
IF(AX382="PT",VLOOKUP(L382,Foundation_Calc!$V$4:$X$37,VLOOKUP(AX382,Foundation_Calc!$I$10:$J$13,2,FALSE),0),
IF(AX382="K",VLOOKUP(L382,Foundation_Calc!$V$41:$X$74,VLOOKUP(AX382,Foundation_Calc!$I$10:$J$13,2,FALSE),0),"")))</f>
        <v/>
      </c>
      <c r="N382" s="468" t="s">
        <v>192</v>
      </c>
      <c r="O382" s="468"/>
      <c r="P382" s="468"/>
      <c r="Q382" s="4"/>
      <c r="R382" s="6"/>
      <c r="S382" s="6"/>
      <c r="T382" s="4">
        <v>25</v>
      </c>
      <c r="U382" s="4"/>
      <c r="V382" s="4"/>
      <c r="W382" s="9">
        <v>1</v>
      </c>
      <c r="X382" s="9"/>
      <c r="Y382" s="9"/>
      <c r="Z382" s="9"/>
      <c r="AA382" s="9"/>
      <c r="AB382" s="9"/>
      <c r="AC382" s="468" t="s">
        <v>1341</v>
      </c>
      <c r="AD382" s="468"/>
      <c r="AE382" s="468"/>
      <c r="AF382" s="4"/>
      <c r="AG382" s="88"/>
      <c r="AH382" s="4"/>
      <c r="AI382" s="4"/>
      <c r="AJ382" s="468"/>
      <c r="AK382" s="468" t="s">
        <v>773</v>
      </c>
      <c r="AL382" s="468"/>
      <c r="AM382" s="468" t="s">
        <v>2458</v>
      </c>
      <c r="AN382" s="10">
        <v>5.15</v>
      </c>
      <c r="AO382" s="9"/>
      <c r="AP382" s="9"/>
      <c r="AQ382" s="9"/>
      <c r="AR382" s="9"/>
      <c r="AS382" s="9"/>
      <c r="AT382" s="9"/>
      <c r="AU382" s="447"/>
      <c r="AV382" s="447"/>
      <c r="AW382" s="468" t="s">
        <v>199</v>
      </c>
      <c r="AX382" s="468" t="s">
        <v>199</v>
      </c>
      <c r="AY382" s="10"/>
      <c r="AZ382" s="10"/>
      <c r="BA382" s="553" t="str">
        <f t="shared" si="35"/>
        <v/>
      </c>
      <c r="BB382" s="553" t="str">
        <f t="shared" si="36"/>
        <v/>
      </c>
      <c r="BC382" s="553" t="str">
        <f t="shared" si="33"/>
        <v/>
      </c>
      <c r="BD382" s="572"/>
      <c r="BE382" s="448" t="s">
        <v>1726</v>
      </c>
      <c r="BF382" s="305"/>
      <c r="BG382" s="305"/>
      <c r="BH382" s="306"/>
      <c r="BI382" s="305"/>
    </row>
    <row r="383" spans="1:61" ht="16.2" customHeight="1">
      <c r="A383" s="582" t="s">
        <v>383</v>
      </c>
      <c r="B383" s="469"/>
      <c r="C383" s="3"/>
      <c r="D383" s="88"/>
      <c r="E383" s="4"/>
      <c r="F383" s="4"/>
      <c r="G383" s="6">
        <v>22.3</v>
      </c>
      <c r="H383" s="468"/>
      <c r="I383" s="468"/>
      <c r="J383" s="3"/>
      <c r="K383" s="468"/>
      <c r="L383" s="468"/>
      <c r="M383" s="468" t="str">
        <f>IF(L383="","",
IF(AX383="PT",VLOOKUP(L383,Foundation_Calc!$V$4:$X$37,VLOOKUP(AX383,Foundation_Calc!$I$10:$J$13,2,FALSE),0),
IF(AX383="K",VLOOKUP(L383,Foundation_Calc!$V$41:$X$74,VLOOKUP(AX383,Foundation_Calc!$I$10:$J$13,2,FALSE),0),"")))</f>
        <v/>
      </c>
      <c r="N383" s="468"/>
      <c r="O383" s="468"/>
      <c r="P383" s="468"/>
      <c r="Q383" s="4"/>
      <c r="R383" s="6"/>
      <c r="S383" s="6"/>
      <c r="T383" s="4"/>
      <c r="U383" s="4"/>
      <c r="V383" s="4"/>
      <c r="W383" s="9"/>
      <c r="X383" s="9"/>
      <c r="Y383" s="9"/>
      <c r="Z383" s="9"/>
      <c r="AA383" s="9"/>
      <c r="AB383" s="9"/>
      <c r="AC383" s="468" t="str">
        <f t="shared" si="34"/>
        <v/>
      </c>
      <c r="AD383" s="468"/>
      <c r="AE383" s="468"/>
      <c r="AF383" s="4"/>
      <c r="AG383" s="88"/>
      <c r="AH383" s="4"/>
      <c r="AI383" s="4"/>
      <c r="AJ383" s="468"/>
      <c r="AK383" s="468"/>
      <c r="AL383" s="468"/>
      <c r="AM383" s="468"/>
      <c r="AN383" s="10"/>
      <c r="AO383" s="9"/>
      <c r="AP383" s="9"/>
      <c r="AQ383" s="9"/>
      <c r="AR383" s="9"/>
      <c r="AS383" s="9"/>
      <c r="AT383" s="9"/>
      <c r="AU383" s="447"/>
      <c r="AV383" s="447"/>
      <c r="AW383" s="468"/>
      <c r="AX383" s="468"/>
      <c r="AY383" s="10"/>
      <c r="AZ383" s="10"/>
      <c r="BA383" s="553" t="str">
        <f t="shared" si="35"/>
        <v/>
      </c>
      <c r="BB383" s="553" t="str">
        <f t="shared" si="36"/>
        <v/>
      </c>
      <c r="BC383" s="553" t="str">
        <f t="shared" si="33"/>
        <v/>
      </c>
      <c r="BD383" s="572"/>
      <c r="BE383" s="448" t="s">
        <v>1726</v>
      </c>
      <c r="BF383" s="306"/>
      <c r="BG383" s="306"/>
      <c r="BH383" s="306"/>
      <c r="BI383" s="306"/>
    </row>
    <row r="384" spans="1:61" ht="16.2" customHeight="1">
      <c r="A384" s="582" t="s">
        <v>383</v>
      </c>
      <c r="B384" s="469" t="s">
        <v>2130</v>
      </c>
      <c r="C384" s="3">
        <f>+$C$382+$G$383</f>
        <v>7532.6299999999974</v>
      </c>
      <c r="D384" s="88"/>
      <c r="E384" s="4"/>
      <c r="F384" s="4">
        <v>-295</v>
      </c>
      <c r="G384" s="6"/>
      <c r="H384" s="468"/>
      <c r="I384" s="468"/>
      <c r="J384" s="3"/>
      <c r="K384" s="468"/>
      <c r="L384" s="468"/>
      <c r="M384" s="468" t="str">
        <f>IF(L384="","",
IF(AX384="PT",VLOOKUP(L384,Foundation_Calc!$V$4:$X$37,VLOOKUP(AX384,Foundation_Calc!$I$10:$J$13,2,FALSE),0),
IF(AX384="K",VLOOKUP(L384,Foundation_Calc!$V$41:$X$74,VLOOKUP(AX384,Foundation_Calc!$I$10:$J$13,2,FALSE),0),"")))</f>
        <v/>
      </c>
      <c r="N384" s="468" t="s">
        <v>192</v>
      </c>
      <c r="O384" s="468"/>
      <c r="P384" s="468"/>
      <c r="Q384" s="4"/>
      <c r="R384" s="6"/>
      <c r="S384" s="6"/>
      <c r="T384" s="4">
        <v>25</v>
      </c>
      <c r="U384" s="4"/>
      <c r="V384" s="4"/>
      <c r="W384" s="9">
        <v>1</v>
      </c>
      <c r="X384" s="9"/>
      <c r="Y384" s="9"/>
      <c r="Z384" s="9"/>
      <c r="AA384" s="9"/>
      <c r="AB384" s="9"/>
      <c r="AC384" s="468" t="s">
        <v>1341</v>
      </c>
      <c r="AD384" s="468"/>
      <c r="AE384" s="468"/>
      <c r="AF384" s="4"/>
      <c r="AG384" s="88"/>
      <c r="AH384" s="4"/>
      <c r="AI384" s="4"/>
      <c r="AJ384" s="468"/>
      <c r="AK384" s="468" t="s">
        <v>773</v>
      </c>
      <c r="AL384" s="468"/>
      <c r="AM384" s="468" t="s">
        <v>2458</v>
      </c>
      <c r="AN384" s="10">
        <v>5.15</v>
      </c>
      <c r="AO384" s="9"/>
      <c r="AP384" s="9"/>
      <c r="AQ384" s="9"/>
      <c r="AR384" s="9"/>
      <c r="AS384" s="9"/>
      <c r="AT384" s="9"/>
      <c r="AU384" s="447"/>
      <c r="AV384" s="447"/>
      <c r="AW384" s="468" t="s">
        <v>199</v>
      </c>
      <c r="AX384" s="468" t="s">
        <v>199</v>
      </c>
      <c r="AY384" s="10"/>
      <c r="AZ384" s="10"/>
      <c r="BA384" s="553" t="str">
        <f t="shared" si="35"/>
        <v/>
      </c>
      <c r="BB384" s="553" t="str">
        <f t="shared" si="36"/>
        <v/>
      </c>
      <c r="BC384" s="553" t="str">
        <f t="shared" si="33"/>
        <v/>
      </c>
      <c r="BD384" s="572"/>
      <c r="BE384" s="448" t="s">
        <v>1726</v>
      </c>
      <c r="BF384" s="305"/>
      <c r="BG384" s="305"/>
      <c r="BH384" s="306"/>
      <c r="BI384" s="305"/>
    </row>
    <row r="385" spans="1:61" ht="16.2" customHeight="1">
      <c r="A385" s="582" t="s">
        <v>383</v>
      </c>
      <c r="B385" s="469"/>
      <c r="C385" s="3"/>
      <c r="D385" s="88"/>
      <c r="E385" s="4"/>
      <c r="F385" s="4"/>
      <c r="G385" s="6">
        <v>22.3</v>
      </c>
      <c r="H385" s="468"/>
      <c r="I385" s="4"/>
      <c r="J385" s="3"/>
      <c r="K385" s="468"/>
      <c r="L385" s="468"/>
      <c r="M385" s="468" t="str">
        <f>IF(L385="","",
IF(AX385="PT",VLOOKUP(L385,Foundation_Calc!$V$4:$X$37,VLOOKUP(AX385,Foundation_Calc!$I$10:$J$13,2,FALSE),0),
IF(AX385="K",VLOOKUP(L385,Foundation_Calc!$V$41:$X$74,VLOOKUP(AX385,Foundation_Calc!$I$10:$J$13,2,FALSE),0),"")))</f>
        <v/>
      </c>
      <c r="N385" s="468"/>
      <c r="O385" s="468"/>
      <c r="P385" s="468"/>
      <c r="Q385" s="4"/>
      <c r="R385" s="6"/>
      <c r="S385" s="6"/>
      <c r="T385" s="4"/>
      <c r="U385" s="4"/>
      <c r="V385" s="4"/>
      <c r="W385" s="9"/>
      <c r="X385" s="9"/>
      <c r="Y385" s="9"/>
      <c r="Z385" s="9"/>
      <c r="AA385" s="9"/>
      <c r="AB385" s="9"/>
      <c r="AC385" s="468" t="str">
        <f t="shared" si="34"/>
        <v/>
      </c>
      <c r="AD385" s="468"/>
      <c r="AE385" s="468"/>
      <c r="AF385" s="4"/>
      <c r="AG385" s="88"/>
      <c r="AH385" s="4"/>
      <c r="AI385" s="4"/>
      <c r="AJ385" s="468"/>
      <c r="AK385" s="468"/>
      <c r="AL385" s="468"/>
      <c r="AM385" s="468"/>
      <c r="AN385" s="10"/>
      <c r="AO385" s="9"/>
      <c r="AP385" s="9"/>
      <c r="AQ385" s="9"/>
      <c r="AR385" s="9"/>
      <c r="AS385" s="9"/>
      <c r="AT385" s="9"/>
      <c r="AU385" s="447"/>
      <c r="AV385" s="447"/>
      <c r="AW385" s="468"/>
      <c r="AX385" s="468"/>
      <c r="AY385" s="10"/>
      <c r="AZ385" s="10"/>
      <c r="BA385" s="553" t="str">
        <f t="shared" si="35"/>
        <v/>
      </c>
      <c r="BB385" s="553" t="str">
        <f t="shared" si="36"/>
        <v/>
      </c>
      <c r="BC385" s="553" t="str">
        <f t="shared" si="33"/>
        <v/>
      </c>
      <c r="BD385" s="572"/>
      <c r="BE385" s="448" t="s">
        <v>1726</v>
      </c>
      <c r="BF385" s="306"/>
      <c r="BG385" s="306"/>
      <c r="BH385" s="306"/>
      <c r="BI385" s="306"/>
    </row>
    <row r="386" spans="1:61" ht="16.2" customHeight="1">
      <c r="A386" s="582" t="s">
        <v>383</v>
      </c>
      <c r="B386" s="469" t="s">
        <v>2131</v>
      </c>
      <c r="C386" s="3">
        <f>+$C$384+$G$385</f>
        <v>7554.9299999999976</v>
      </c>
      <c r="D386" s="88"/>
      <c r="E386" s="4"/>
      <c r="F386" s="4">
        <v>-295</v>
      </c>
      <c r="G386" s="6"/>
      <c r="H386" s="468"/>
      <c r="I386" s="468"/>
      <c r="J386" s="3"/>
      <c r="K386" s="468"/>
      <c r="L386" s="468"/>
      <c r="M386" s="468" t="str">
        <f>IF(L386="","",
IF(AX386="PT",VLOOKUP(L386,Foundation_Calc!$V$4:$X$37,VLOOKUP(AX386,Foundation_Calc!$I$10:$J$13,2,FALSE),0),
IF(AX386="K",VLOOKUP(L386,Foundation_Calc!$V$41:$X$74,VLOOKUP(AX386,Foundation_Calc!$I$10:$J$13,2,FALSE),0),"")))</f>
        <v/>
      </c>
      <c r="N386" s="468" t="s">
        <v>192</v>
      </c>
      <c r="O386" s="468"/>
      <c r="P386" s="468"/>
      <c r="Q386" s="4"/>
      <c r="R386" s="6"/>
      <c r="S386" s="6"/>
      <c r="T386" s="4">
        <v>25</v>
      </c>
      <c r="U386" s="4"/>
      <c r="V386" s="4"/>
      <c r="W386" s="9">
        <v>1</v>
      </c>
      <c r="X386" s="9"/>
      <c r="Y386" s="9"/>
      <c r="Z386" s="9"/>
      <c r="AA386" s="9"/>
      <c r="AB386" s="9"/>
      <c r="AC386" s="468" t="s">
        <v>1341</v>
      </c>
      <c r="AD386" s="468"/>
      <c r="AE386" s="468"/>
      <c r="AF386" s="4"/>
      <c r="AG386" s="88"/>
      <c r="AH386" s="4"/>
      <c r="AI386" s="4"/>
      <c r="AJ386" s="468"/>
      <c r="AK386" s="468" t="s">
        <v>773</v>
      </c>
      <c r="AL386" s="468"/>
      <c r="AM386" s="468" t="s">
        <v>2458</v>
      </c>
      <c r="AN386" s="10">
        <v>5.15</v>
      </c>
      <c r="AO386" s="9"/>
      <c r="AP386" s="9"/>
      <c r="AQ386" s="9"/>
      <c r="AR386" s="9"/>
      <c r="AS386" s="9"/>
      <c r="AT386" s="9"/>
      <c r="AU386" s="447"/>
      <c r="AV386" s="447"/>
      <c r="AW386" s="468" t="s">
        <v>199</v>
      </c>
      <c r="AX386" s="468" t="s">
        <v>199</v>
      </c>
      <c r="AY386" s="10"/>
      <c r="AZ386" s="10"/>
      <c r="BA386" s="553" t="str">
        <f t="shared" si="35"/>
        <v/>
      </c>
      <c r="BB386" s="553" t="str">
        <f t="shared" si="36"/>
        <v/>
      </c>
      <c r="BC386" s="553" t="str">
        <f t="shared" si="33"/>
        <v/>
      </c>
      <c r="BD386" s="572"/>
      <c r="BE386" s="448" t="s">
        <v>1726</v>
      </c>
      <c r="BF386" s="305"/>
      <c r="BG386" s="305"/>
      <c r="BH386" s="306"/>
      <c r="BI386" s="305"/>
    </row>
    <row r="387" spans="1:61" ht="16.2" customHeight="1">
      <c r="A387" s="582" t="s">
        <v>383</v>
      </c>
      <c r="B387" s="469"/>
      <c r="C387" s="3"/>
      <c r="D387" s="88"/>
      <c r="E387" s="4"/>
      <c r="F387" s="4"/>
      <c r="G387" s="6">
        <v>20.6</v>
      </c>
      <c r="H387" s="468"/>
      <c r="I387" s="4"/>
      <c r="J387" s="3"/>
      <c r="K387" s="468"/>
      <c r="L387" s="468"/>
      <c r="M387" s="468" t="str">
        <f>IF(L387="","",
IF(AX387="PT",VLOOKUP(L387,Foundation_Calc!$V$4:$X$37,VLOOKUP(AX387,Foundation_Calc!$I$10:$J$13,2,FALSE),0),
IF(AX387="K",VLOOKUP(L387,Foundation_Calc!$V$41:$X$74,VLOOKUP(AX387,Foundation_Calc!$I$10:$J$13,2,FALSE),0),"")))</f>
        <v/>
      </c>
      <c r="N387" s="468"/>
      <c r="O387" s="468"/>
      <c r="P387" s="468"/>
      <c r="Q387" s="4"/>
      <c r="R387" s="6"/>
      <c r="S387" s="6"/>
      <c r="T387" s="4"/>
      <c r="U387" s="4"/>
      <c r="V387" s="4"/>
      <c r="W387" s="9"/>
      <c r="X387" s="9"/>
      <c r="Y387" s="9"/>
      <c r="Z387" s="9"/>
      <c r="AA387" s="9"/>
      <c r="AB387" s="9"/>
      <c r="AC387" s="468" t="str">
        <f t="shared" si="34"/>
        <v/>
      </c>
      <c r="AD387" s="468"/>
      <c r="AE387" s="468"/>
      <c r="AF387" s="4"/>
      <c r="AG387" s="88"/>
      <c r="AH387" s="4"/>
      <c r="AI387" s="4"/>
      <c r="AJ387" s="468"/>
      <c r="AK387" s="468"/>
      <c r="AL387" s="468"/>
      <c r="AM387" s="468"/>
      <c r="AN387" s="10"/>
      <c r="AO387" s="9"/>
      <c r="AP387" s="9"/>
      <c r="AQ387" s="9"/>
      <c r="AR387" s="9"/>
      <c r="AS387" s="9"/>
      <c r="AT387" s="9"/>
      <c r="AU387" s="447"/>
      <c r="AV387" s="447"/>
      <c r="AW387" s="468"/>
      <c r="AX387" s="468"/>
      <c r="AY387" s="10"/>
      <c r="AZ387" s="10"/>
      <c r="BA387" s="553" t="str">
        <f t="shared" si="35"/>
        <v/>
      </c>
      <c r="BB387" s="553" t="str">
        <f t="shared" si="36"/>
        <v/>
      </c>
      <c r="BC387" s="553" t="str">
        <f t="shared" si="33"/>
        <v/>
      </c>
      <c r="BD387" s="572"/>
      <c r="BE387" s="448" t="s">
        <v>1726</v>
      </c>
      <c r="BF387" s="306"/>
      <c r="BG387" s="306"/>
      <c r="BH387" s="306"/>
      <c r="BI387" s="306"/>
    </row>
    <row r="388" spans="1:61" ht="16.2" customHeight="1">
      <c r="A388" s="582" t="s">
        <v>383</v>
      </c>
      <c r="B388" s="469" t="s">
        <v>2132</v>
      </c>
      <c r="C388" s="3">
        <f>+$C$386+$G$387</f>
        <v>7575.5299999999979</v>
      </c>
      <c r="D388" s="88"/>
      <c r="E388" s="4"/>
      <c r="F388" s="4">
        <v>-3063.59</v>
      </c>
      <c r="G388" s="6"/>
      <c r="H388" s="468"/>
      <c r="I388" s="468"/>
      <c r="J388" s="3"/>
      <c r="K388" s="468"/>
      <c r="L388" s="468"/>
      <c r="M388" s="468" t="str">
        <f>IF(L388="","",
IF(AX388="PT",VLOOKUP(L388,Foundation_Calc!$V$4:$X$37,VLOOKUP(AX388,Foundation_Calc!$I$10:$J$13,2,FALSE),0),
IF(AX388="K",VLOOKUP(L388,Foundation_Calc!$V$41:$X$74,VLOOKUP(AX388,Foundation_Calc!$I$10:$J$13,2,FALSE),0),"")))</f>
        <v/>
      </c>
      <c r="N388" s="468" t="s">
        <v>192</v>
      </c>
      <c r="O388" s="468"/>
      <c r="P388" s="468"/>
      <c r="Q388" s="4"/>
      <c r="R388" s="6"/>
      <c r="S388" s="6"/>
      <c r="T388" s="4">
        <v>25</v>
      </c>
      <c r="U388" s="4"/>
      <c r="V388" s="4"/>
      <c r="W388" s="9">
        <v>1</v>
      </c>
      <c r="X388" s="9"/>
      <c r="Y388" s="9"/>
      <c r="Z388" s="9"/>
      <c r="AA388" s="9"/>
      <c r="AB388" s="9"/>
      <c r="AC388" s="468" t="s">
        <v>630</v>
      </c>
      <c r="AD388" s="468"/>
      <c r="AE388" s="468"/>
      <c r="AF388" s="4"/>
      <c r="AG388" s="88"/>
      <c r="AH388" s="4"/>
      <c r="AI388" s="4"/>
      <c r="AJ388" s="468"/>
      <c r="AK388" s="468" t="s">
        <v>41</v>
      </c>
      <c r="AL388" s="468"/>
      <c r="AM388" s="468" t="s">
        <v>2458</v>
      </c>
      <c r="AN388" s="10">
        <v>5.15</v>
      </c>
      <c r="AO388" s="9"/>
      <c r="AP388" s="9"/>
      <c r="AQ388" s="9"/>
      <c r="AR388" s="9"/>
      <c r="AS388" s="9"/>
      <c r="AT388" s="9"/>
      <c r="AU388" s="447"/>
      <c r="AV388" s="447"/>
      <c r="AW388" s="468" t="s">
        <v>199</v>
      </c>
      <c r="AX388" s="468" t="s">
        <v>199</v>
      </c>
      <c r="AY388" s="10"/>
      <c r="AZ388" s="10"/>
      <c r="BA388" s="553" t="str">
        <f t="shared" si="35"/>
        <v/>
      </c>
      <c r="BB388" s="553" t="str">
        <f t="shared" si="36"/>
        <v/>
      </c>
      <c r="BC388" s="553" t="str">
        <f t="shared" si="33"/>
        <v/>
      </c>
      <c r="BD388" s="572"/>
      <c r="BE388" s="448" t="s">
        <v>1726</v>
      </c>
      <c r="BF388" s="305"/>
      <c r="BG388" s="305"/>
      <c r="BH388" s="306"/>
      <c r="BI388" s="305"/>
    </row>
    <row r="389" spans="1:61" ht="16.2" customHeight="1">
      <c r="A389" s="624" t="s">
        <v>383</v>
      </c>
      <c r="B389" s="469"/>
      <c r="C389" s="3"/>
      <c r="D389" s="88"/>
      <c r="E389" s="4"/>
      <c r="F389" s="4"/>
      <c r="G389" s="6">
        <v>23</v>
      </c>
      <c r="H389" s="468"/>
      <c r="I389" s="468"/>
      <c r="J389" s="3"/>
      <c r="K389" s="468"/>
      <c r="L389" s="468"/>
      <c r="M389" s="468" t="str">
        <f>IF(L389="","",
IF(AX389="PT",VLOOKUP(L389,Foundation_Calc!$V$4:$X$37,VLOOKUP(AX389,Foundation_Calc!$I$10:$J$13,2,FALSE),0),
IF(AX389="K",VLOOKUP(L389,Foundation_Calc!$V$41:$X$74,VLOOKUP(AX389,Foundation_Calc!$I$10:$J$13,2,FALSE),0),"")))</f>
        <v/>
      </c>
      <c r="N389" s="468"/>
      <c r="O389" s="468"/>
      <c r="P389" s="468"/>
      <c r="Q389" s="4"/>
      <c r="R389" s="6"/>
      <c r="S389" s="6"/>
      <c r="T389" s="4"/>
      <c r="U389" s="4"/>
      <c r="V389" s="4"/>
      <c r="W389" s="9"/>
      <c r="X389" s="9"/>
      <c r="Y389" s="9"/>
      <c r="Z389" s="9"/>
      <c r="AA389" s="9"/>
      <c r="AB389" s="9"/>
      <c r="AC389" s="468" t="str">
        <f t="shared" si="34"/>
        <v/>
      </c>
      <c r="AD389" s="468"/>
      <c r="AE389" s="468"/>
      <c r="AF389" s="4"/>
      <c r="AG389" s="88"/>
      <c r="AH389" s="4"/>
      <c r="AI389" s="4"/>
      <c r="AJ389" s="468"/>
      <c r="AK389" s="468"/>
      <c r="AL389" s="468"/>
      <c r="AM389" s="468"/>
      <c r="AN389" s="10"/>
      <c r="AO389" s="9"/>
      <c r="AP389" s="9"/>
      <c r="AQ389" s="9"/>
      <c r="AR389" s="9"/>
      <c r="AS389" s="9"/>
      <c r="AT389" s="9"/>
      <c r="AU389" s="447"/>
      <c r="AV389" s="447"/>
      <c r="AW389" s="468"/>
      <c r="AX389" s="468"/>
      <c r="AY389" s="10"/>
      <c r="AZ389" s="10"/>
      <c r="BA389" s="553" t="str">
        <f t="shared" si="35"/>
        <v/>
      </c>
      <c r="BB389" s="553" t="str">
        <f t="shared" si="36"/>
        <v/>
      </c>
      <c r="BC389" s="553" t="str">
        <f t="shared" si="33"/>
        <v/>
      </c>
      <c r="BD389" s="572"/>
      <c r="BE389" s="448" t="s">
        <v>1726</v>
      </c>
      <c r="BF389" s="306"/>
      <c r="BG389" s="306"/>
      <c r="BH389" s="306"/>
      <c r="BI389" s="306"/>
    </row>
    <row r="390" spans="1:61" ht="16.2" customHeight="1">
      <c r="A390" s="580" t="s">
        <v>2452</v>
      </c>
      <c r="B390" s="469" t="s">
        <v>2133</v>
      </c>
      <c r="C390" s="3">
        <f>+$C$388+$G$389</f>
        <v>7598.5299999999979</v>
      </c>
      <c r="D390" s="88"/>
      <c r="E390" s="4"/>
      <c r="F390" s="4">
        <v>0</v>
      </c>
      <c r="G390" s="6"/>
      <c r="H390" s="468"/>
      <c r="I390" s="468"/>
      <c r="J390" s="3"/>
      <c r="K390" s="468"/>
      <c r="L390" s="468"/>
      <c r="M390" s="468" t="str">
        <f>IF(L390="","",
IF(AX390="PT",VLOOKUP(L390,Foundation_Calc!$V$4:$X$37,VLOOKUP(AX390,Foundation_Calc!$I$10:$J$13,2,FALSE),0),
IF(AX390="K",VLOOKUP(L390,Foundation_Calc!$V$41:$X$74,VLOOKUP(AX390,Foundation_Calc!$I$10:$J$13,2,FALSE),0),"")))</f>
        <v/>
      </c>
      <c r="N390" s="468" t="s">
        <v>191</v>
      </c>
      <c r="O390" s="468"/>
      <c r="P390" s="468"/>
      <c r="Q390" s="4"/>
      <c r="R390" s="6"/>
      <c r="S390" s="6"/>
      <c r="T390" s="4">
        <v>-25</v>
      </c>
      <c r="U390" s="4"/>
      <c r="V390" s="4"/>
      <c r="W390" s="9">
        <v>1</v>
      </c>
      <c r="X390" s="9"/>
      <c r="Y390" s="9"/>
      <c r="Z390" s="9"/>
      <c r="AA390" s="9"/>
      <c r="AB390" s="9"/>
      <c r="AC390" s="468" t="s">
        <v>630</v>
      </c>
      <c r="AD390" s="468"/>
      <c r="AE390" s="468"/>
      <c r="AF390" s="4"/>
      <c r="AG390" s="88"/>
      <c r="AH390" s="4"/>
      <c r="AI390" s="4"/>
      <c r="AJ390" s="468"/>
      <c r="AK390" s="468" t="s">
        <v>41</v>
      </c>
      <c r="AL390" s="468"/>
      <c r="AM390" s="468" t="s">
        <v>2458</v>
      </c>
      <c r="AN390" s="10">
        <v>5.15</v>
      </c>
      <c r="AO390" s="9"/>
      <c r="AP390" s="9"/>
      <c r="AQ390" s="9"/>
      <c r="AR390" s="9"/>
      <c r="AS390" s="9"/>
      <c r="AT390" s="9"/>
      <c r="AU390" s="447"/>
      <c r="AV390" s="447"/>
      <c r="AW390" s="468" t="s">
        <v>199</v>
      </c>
      <c r="AX390" s="468" t="s">
        <v>199</v>
      </c>
      <c r="AY390" s="10"/>
      <c r="AZ390" s="10"/>
      <c r="BA390" s="553" t="str">
        <f t="shared" si="35"/>
        <v/>
      </c>
      <c r="BB390" s="553" t="str">
        <f t="shared" si="36"/>
        <v/>
      </c>
      <c r="BC390" s="553" t="str">
        <f t="shared" si="33"/>
        <v/>
      </c>
      <c r="BD390" s="572"/>
      <c r="BE390" s="448" t="s">
        <v>1726</v>
      </c>
      <c r="BF390" s="305"/>
      <c r="BG390" s="305"/>
      <c r="BH390" s="306"/>
      <c r="BI390" s="305"/>
    </row>
    <row r="391" spans="1:61" ht="16.2" customHeight="1">
      <c r="A391" s="579" t="s">
        <v>2452</v>
      </c>
      <c r="B391" s="469"/>
      <c r="C391" s="3"/>
      <c r="D391" s="88"/>
      <c r="E391" s="4"/>
      <c r="F391" s="4"/>
      <c r="G391" s="6">
        <v>32.5</v>
      </c>
      <c r="H391" s="468"/>
      <c r="I391" s="468"/>
      <c r="J391" s="3"/>
      <c r="K391" s="468"/>
      <c r="L391" s="468"/>
      <c r="M391" s="468" t="str">
        <f>IF(L391="","",
IF(AX391="PT",VLOOKUP(L391,Foundation_Calc!$V$4:$X$37,VLOOKUP(AX391,Foundation_Calc!$I$10:$J$13,2,FALSE),0),
IF(AX391="K",VLOOKUP(L391,Foundation_Calc!$V$41:$X$74,VLOOKUP(AX391,Foundation_Calc!$I$10:$J$13,2,FALSE),0),"")))</f>
        <v/>
      </c>
      <c r="N391" s="468"/>
      <c r="O391" s="468"/>
      <c r="P391" s="468"/>
      <c r="Q391" s="4"/>
      <c r="R391" s="6"/>
      <c r="S391" s="6"/>
      <c r="T391" s="4"/>
      <c r="U391" s="4"/>
      <c r="V391" s="4"/>
      <c r="W391" s="9"/>
      <c r="X391" s="9"/>
      <c r="Y391" s="9"/>
      <c r="Z391" s="9"/>
      <c r="AA391" s="9"/>
      <c r="AB391" s="9"/>
      <c r="AC391" s="468" t="str">
        <f t="shared" si="34"/>
        <v/>
      </c>
      <c r="AD391" s="468"/>
      <c r="AE391" s="468"/>
      <c r="AF391" s="4"/>
      <c r="AG391" s="88"/>
      <c r="AH391" s="4"/>
      <c r="AI391" s="4"/>
      <c r="AJ391" s="468"/>
      <c r="AK391" s="468"/>
      <c r="AL391" s="468"/>
      <c r="AM391" s="468"/>
      <c r="AN391" s="10"/>
      <c r="AO391" s="9"/>
      <c r="AP391" s="9"/>
      <c r="AQ391" s="9"/>
      <c r="AR391" s="9"/>
      <c r="AS391" s="9"/>
      <c r="AT391" s="9"/>
      <c r="AU391" s="447"/>
      <c r="AV391" s="447"/>
      <c r="AW391" s="468"/>
      <c r="AX391" s="468"/>
      <c r="AY391" s="10"/>
      <c r="AZ391" s="10"/>
      <c r="BA391" s="555" t="str">
        <f t="shared" si="35"/>
        <v/>
      </c>
      <c r="BB391" s="555" t="str">
        <f t="shared" si="36"/>
        <v/>
      </c>
      <c r="BC391" s="555" t="str">
        <f t="shared" si="33"/>
        <v/>
      </c>
      <c r="BD391" s="572"/>
      <c r="BE391" s="448" t="s">
        <v>1726</v>
      </c>
      <c r="BF391" s="306"/>
      <c r="BG391" s="306"/>
      <c r="BH391" s="306"/>
      <c r="BI391" s="306"/>
    </row>
    <row r="392" spans="1:61" ht="16.2" customHeight="1">
      <c r="A392" s="579" t="s">
        <v>2452</v>
      </c>
      <c r="B392" s="469" t="s">
        <v>2134</v>
      </c>
      <c r="C392" s="3">
        <f>+$C$390+$G$391</f>
        <v>7631.0299999999979</v>
      </c>
      <c r="D392" s="88"/>
      <c r="E392" s="4"/>
      <c r="F392" s="4">
        <v>0</v>
      </c>
      <c r="G392" s="6"/>
      <c r="H392" s="468"/>
      <c r="I392" s="468"/>
      <c r="J392" s="3"/>
      <c r="K392" s="468"/>
      <c r="L392" s="468"/>
      <c r="M392" s="468" t="str">
        <f>IF(L392="","",
IF(AX392="PT",VLOOKUP(L392,Foundation_Calc!$V$4:$X$37,VLOOKUP(AX392,Foundation_Calc!$I$10:$J$13,2,FALSE),0),
IF(AX392="K",VLOOKUP(L392,Foundation_Calc!$V$41:$X$74,VLOOKUP(AX392,Foundation_Calc!$I$10:$J$13,2,FALSE),0),"")))</f>
        <v/>
      </c>
      <c r="N392" s="468" t="s">
        <v>191</v>
      </c>
      <c r="O392" s="468"/>
      <c r="P392" s="468"/>
      <c r="Q392" s="4"/>
      <c r="R392" s="6"/>
      <c r="S392" s="6"/>
      <c r="T392" s="4">
        <v>-25</v>
      </c>
      <c r="U392" s="4"/>
      <c r="V392" s="4"/>
      <c r="W392" s="9">
        <v>1</v>
      </c>
      <c r="X392" s="9"/>
      <c r="Y392" s="9"/>
      <c r="Z392" s="9"/>
      <c r="AA392" s="9"/>
      <c r="AB392" s="9"/>
      <c r="AC392" s="468" t="s">
        <v>630</v>
      </c>
      <c r="AD392" s="468"/>
      <c r="AE392" s="468"/>
      <c r="AF392" s="4"/>
      <c r="AG392" s="88"/>
      <c r="AH392" s="4"/>
      <c r="AI392" s="4"/>
      <c r="AJ392" s="468"/>
      <c r="AK392" s="468" t="s">
        <v>41</v>
      </c>
      <c r="AL392" s="468"/>
      <c r="AM392" s="468" t="s">
        <v>2458</v>
      </c>
      <c r="AN392" s="10">
        <v>5.15</v>
      </c>
      <c r="AO392" s="9"/>
      <c r="AP392" s="9"/>
      <c r="AQ392" s="9"/>
      <c r="AR392" s="9"/>
      <c r="AS392" s="9"/>
      <c r="AT392" s="9"/>
      <c r="AU392" s="447"/>
      <c r="AV392" s="447"/>
      <c r="AW392" s="468" t="s">
        <v>199</v>
      </c>
      <c r="AX392" s="468" t="s">
        <v>199</v>
      </c>
      <c r="AY392" s="10"/>
      <c r="AZ392" s="10"/>
      <c r="BA392" s="553" t="str">
        <f t="shared" si="35"/>
        <v/>
      </c>
      <c r="BB392" s="553" t="str">
        <f t="shared" si="36"/>
        <v/>
      </c>
      <c r="BC392" s="553" t="str">
        <f t="shared" si="33"/>
        <v/>
      </c>
      <c r="BD392" s="572"/>
      <c r="BE392" s="448" t="s">
        <v>1726</v>
      </c>
      <c r="BF392" s="305"/>
      <c r="BG392" s="305"/>
      <c r="BH392" s="306"/>
      <c r="BI392" s="305"/>
    </row>
    <row r="393" spans="1:61" ht="16.2" customHeight="1">
      <c r="A393" s="579" t="s">
        <v>2452</v>
      </c>
      <c r="B393" s="469"/>
      <c r="C393" s="3"/>
      <c r="D393" s="88"/>
      <c r="E393" s="4"/>
      <c r="F393" s="4"/>
      <c r="G393" s="6">
        <v>34</v>
      </c>
      <c r="H393" s="468"/>
      <c r="I393" s="468"/>
      <c r="J393" s="3"/>
      <c r="K393" s="468"/>
      <c r="L393" s="468"/>
      <c r="M393" s="468" t="str">
        <f>IF(L393="","",
IF(AX393="PT",VLOOKUP(L393,Foundation_Calc!$V$4:$X$37,VLOOKUP(AX393,Foundation_Calc!$I$10:$J$13,2,FALSE),0),
IF(AX393="K",VLOOKUP(L393,Foundation_Calc!$V$41:$X$74,VLOOKUP(AX393,Foundation_Calc!$I$10:$J$13,2,FALSE),0),"")))</f>
        <v/>
      </c>
      <c r="N393" s="468"/>
      <c r="O393" s="468"/>
      <c r="P393" s="468"/>
      <c r="Q393" s="4"/>
      <c r="R393" s="6"/>
      <c r="S393" s="6"/>
      <c r="T393" s="4"/>
      <c r="U393" s="4"/>
      <c r="V393" s="4"/>
      <c r="W393" s="9"/>
      <c r="X393" s="9"/>
      <c r="Y393" s="9"/>
      <c r="Z393" s="9"/>
      <c r="AA393" s="9"/>
      <c r="AB393" s="9"/>
      <c r="AC393" s="468" t="str">
        <f t="shared" si="34"/>
        <v/>
      </c>
      <c r="AD393" s="468"/>
      <c r="AE393" s="468"/>
      <c r="AF393" s="4"/>
      <c r="AG393" s="88"/>
      <c r="AH393" s="4"/>
      <c r="AI393" s="4"/>
      <c r="AJ393" s="468"/>
      <c r="AK393" s="468"/>
      <c r="AL393" s="468"/>
      <c r="AM393" s="468"/>
      <c r="AN393" s="10"/>
      <c r="AO393" s="9"/>
      <c r="AP393" s="9"/>
      <c r="AQ393" s="9"/>
      <c r="AR393" s="9"/>
      <c r="AS393" s="9"/>
      <c r="AT393" s="9"/>
      <c r="AU393" s="447"/>
      <c r="AV393" s="447"/>
      <c r="AW393" s="468"/>
      <c r="AX393" s="468"/>
      <c r="AY393" s="10"/>
      <c r="AZ393" s="10"/>
      <c r="BA393" s="553" t="str">
        <f t="shared" si="35"/>
        <v/>
      </c>
      <c r="BB393" s="553" t="str">
        <f t="shared" si="36"/>
        <v/>
      </c>
      <c r="BC393" s="553" t="str">
        <f t="shared" si="33"/>
        <v/>
      </c>
      <c r="BD393" s="572"/>
      <c r="BE393" s="448" t="s">
        <v>1726</v>
      </c>
      <c r="BF393" s="306"/>
      <c r="BG393" s="306"/>
      <c r="BH393" s="306"/>
      <c r="BI393" s="306"/>
    </row>
    <row r="394" spans="1:61" ht="16.2" customHeight="1">
      <c r="A394" s="579" t="s">
        <v>2452</v>
      </c>
      <c r="B394" s="469" t="s">
        <v>2135</v>
      </c>
      <c r="C394" s="3">
        <f>+$C$392+$G$393</f>
        <v>7665.0299999999979</v>
      </c>
      <c r="D394" s="88"/>
      <c r="E394" s="4"/>
      <c r="F394" s="4">
        <v>0</v>
      </c>
      <c r="G394" s="6"/>
      <c r="H394" s="468"/>
      <c r="I394" s="468"/>
      <c r="J394" s="3"/>
      <c r="K394" s="468"/>
      <c r="L394" s="468"/>
      <c r="M394" s="468" t="str">
        <f>IF(L394="","",
IF(AX394="PT",VLOOKUP(L394,Foundation_Calc!$V$4:$X$37,VLOOKUP(AX394,Foundation_Calc!$I$10:$J$13,2,FALSE),0),
IF(AX394="K",VLOOKUP(L394,Foundation_Calc!$V$41:$X$74,VLOOKUP(AX394,Foundation_Calc!$I$10:$J$13,2,FALSE),0),"")))</f>
        <v/>
      </c>
      <c r="N394" s="468" t="s">
        <v>192</v>
      </c>
      <c r="O394" s="468"/>
      <c r="P394" s="468"/>
      <c r="Q394" s="4"/>
      <c r="R394" s="6"/>
      <c r="S394" s="6"/>
      <c r="T394" s="4">
        <v>25</v>
      </c>
      <c r="U394" s="4"/>
      <c r="V394" s="4"/>
      <c r="W394" s="9">
        <v>1</v>
      </c>
      <c r="X394" s="9"/>
      <c r="Y394" s="9"/>
      <c r="Z394" s="9"/>
      <c r="AA394" s="9"/>
      <c r="AB394" s="9"/>
      <c r="AC394" s="468" t="s">
        <v>630</v>
      </c>
      <c r="AD394" s="468"/>
      <c r="AE394" s="468"/>
      <c r="AF394" s="4"/>
      <c r="AG394" s="88"/>
      <c r="AH394" s="4"/>
      <c r="AI394" s="4"/>
      <c r="AJ394" s="468"/>
      <c r="AK394" s="468" t="s">
        <v>41</v>
      </c>
      <c r="AL394" s="468"/>
      <c r="AM394" s="468" t="s">
        <v>2458</v>
      </c>
      <c r="AN394" s="10">
        <v>5.15</v>
      </c>
      <c r="AO394" s="9"/>
      <c r="AP394" s="9"/>
      <c r="AQ394" s="9"/>
      <c r="AR394" s="9"/>
      <c r="AS394" s="9"/>
      <c r="AT394" s="9"/>
      <c r="AU394" s="447"/>
      <c r="AV394" s="447"/>
      <c r="AW394" s="468" t="s">
        <v>199</v>
      </c>
      <c r="AX394" s="468" t="s">
        <v>199</v>
      </c>
      <c r="AY394" s="10"/>
      <c r="AZ394" s="10"/>
      <c r="BA394" s="553" t="str">
        <f t="shared" si="35"/>
        <v/>
      </c>
      <c r="BB394" s="553" t="str">
        <f t="shared" si="36"/>
        <v/>
      </c>
      <c r="BC394" s="553" t="str">
        <f t="shared" si="33"/>
        <v/>
      </c>
      <c r="BD394" s="572"/>
      <c r="BE394" s="448" t="s">
        <v>1726</v>
      </c>
      <c r="BF394" s="305"/>
      <c r="BG394" s="305"/>
      <c r="BH394" s="306"/>
      <c r="BI394" s="305"/>
    </row>
    <row r="395" spans="1:61" ht="16.2" customHeight="1">
      <c r="A395" s="579"/>
      <c r="B395" s="469"/>
      <c r="C395" s="3"/>
      <c r="D395" s="88"/>
      <c r="E395" s="4"/>
      <c r="F395" s="4"/>
      <c r="G395" s="6">
        <v>32</v>
      </c>
      <c r="H395" s="468"/>
      <c r="I395" s="468"/>
      <c r="J395" s="3"/>
      <c r="K395" s="468"/>
      <c r="L395" s="468"/>
      <c r="M395" s="468" t="str">
        <f>IF(L395="","",
IF(AX395="PT",VLOOKUP(L395,Foundation_Calc!$V$4:$X$37,VLOOKUP(AX395,Foundation_Calc!$I$10:$J$13,2,FALSE),0),
IF(AX395="K",VLOOKUP(L395,Foundation_Calc!$V$41:$X$74,VLOOKUP(AX395,Foundation_Calc!$I$10:$J$13,2,FALSE),0),"")))</f>
        <v/>
      </c>
      <c r="N395" s="468"/>
      <c r="O395" s="468"/>
      <c r="P395" s="468"/>
      <c r="Q395" s="4"/>
      <c r="R395" s="6"/>
      <c r="S395" s="6"/>
      <c r="T395" s="4"/>
      <c r="U395" s="4"/>
      <c r="V395" s="4"/>
      <c r="W395" s="9"/>
      <c r="X395" s="9"/>
      <c r="Y395" s="9"/>
      <c r="Z395" s="9"/>
      <c r="AA395" s="9"/>
      <c r="AB395" s="9"/>
      <c r="AC395" s="468" t="str">
        <f t="shared" si="34"/>
        <v/>
      </c>
      <c r="AD395" s="468"/>
      <c r="AE395" s="468"/>
      <c r="AF395" s="4"/>
      <c r="AG395" s="88"/>
      <c r="AH395" s="4"/>
      <c r="AI395" s="4"/>
      <c r="AJ395" s="468"/>
      <c r="AK395" s="468"/>
      <c r="AL395" s="468"/>
      <c r="AM395" s="468"/>
      <c r="AN395" s="10"/>
      <c r="AO395" s="9"/>
      <c r="AP395" s="9"/>
      <c r="AQ395" s="9"/>
      <c r="AR395" s="9"/>
      <c r="AS395" s="9"/>
      <c r="AT395" s="9"/>
      <c r="AU395" s="447"/>
      <c r="AV395" s="447"/>
      <c r="AW395" s="468"/>
      <c r="AX395" s="468"/>
      <c r="AY395" s="10"/>
      <c r="AZ395" s="10"/>
      <c r="BA395" s="553" t="str">
        <f t="shared" si="35"/>
        <v/>
      </c>
      <c r="BB395" s="553" t="str">
        <f t="shared" si="36"/>
        <v/>
      </c>
      <c r="BC395" s="553" t="str">
        <f t="shared" ref="BC395:BC406" si="37">IF(M395="","",IF(M395="U.S.","ü",IF(M395="U.S. N.D.","ü","")))</f>
        <v/>
      </c>
      <c r="BD395" s="572"/>
      <c r="BE395" s="448" t="s">
        <v>1726</v>
      </c>
      <c r="BF395" s="306"/>
      <c r="BG395" s="306"/>
      <c r="BH395" s="306"/>
      <c r="BI395" s="306"/>
    </row>
    <row r="396" spans="1:61" ht="16.2" customHeight="1">
      <c r="A396" s="579" t="s">
        <v>2452</v>
      </c>
      <c r="B396" s="469" t="s">
        <v>2136</v>
      </c>
      <c r="C396" s="3">
        <f>+$C$394+$G$395</f>
        <v>7697.0299999999979</v>
      </c>
      <c r="D396" s="88"/>
      <c r="E396" s="4"/>
      <c r="F396" s="4">
        <v>0</v>
      </c>
      <c r="G396" s="6"/>
      <c r="H396" s="468" t="s">
        <v>2036</v>
      </c>
      <c r="I396" s="468" t="s">
        <v>339</v>
      </c>
      <c r="J396" s="3">
        <f>C396+10</f>
        <v>7707.0299999999979</v>
      </c>
      <c r="K396" s="468" t="s">
        <v>447</v>
      </c>
      <c r="L396" s="468"/>
      <c r="M396" s="468" t="str">
        <f>IF(L396="","",
IF(AX396="PT",VLOOKUP(L396,Foundation_Calc!$V$4:$X$37,VLOOKUP(AX396,Foundation_Calc!$I$10:$J$13,2,FALSE),0),
IF(AX396="K",VLOOKUP(L396,Foundation_Calc!$V$41:$X$74,VLOOKUP(AX396,Foundation_Calc!$I$10:$J$13,2,FALSE),0),"")))</f>
        <v/>
      </c>
      <c r="N396" s="468" t="s">
        <v>191</v>
      </c>
      <c r="O396" s="468"/>
      <c r="P396" s="468"/>
      <c r="Q396" s="4"/>
      <c r="R396" s="6"/>
      <c r="S396" s="6"/>
      <c r="T396" s="4">
        <v>-25</v>
      </c>
      <c r="U396" s="4"/>
      <c r="V396" s="4"/>
      <c r="W396" s="9">
        <v>1</v>
      </c>
      <c r="X396" s="9"/>
      <c r="Y396" s="9"/>
      <c r="Z396" s="9"/>
      <c r="AA396" s="9"/>
      <c r="AB396" s="9"/>
      <c r="AC396" s="468" t="s">
        <v>630</v>
      </c>
      <c r="AD396" s="468"/>
      <c r="AE396" s="468"/>
      <c r="AF396" s="4"/>
      <c r="AG396" s="88"/>
      <c r="AH396" s="4"/>
      <c r="AI396" s="4"/>
      <c r="AJ396" s="468"/>
      <c r="AK396" s="468" t="s">
        <v>2580</v>
      </c>
      <c r="AL396" s="468"/>
      <c r="AM396" s="468" t="s">
        <v>2458</v>
      </c>
      <c r="AN396" s="10">
        <v>5.15</v>
      </c>
      <c r="AO396" s="9"/>
      <c r="AP396" s="9"/>
      <c r="AQ396" s="9"/>
      <c r="AR396" s="9"/>
      <c r="AS396" s="9"/>
      <c r="AT396" s="9"/>
      <c r="AU396" s="447"/>
      <c r="AV396" s="447"/>
      <c r="AW396" s="468" t="s">
        <v>2581</v>
      </c>
      <c r="AX396" s="468" t="s">
        <v>199</v>
      </c>
      <c r="AY396" s="10"/>
      <c r="AZ396" s="10"/>
      <c r="BA396" s="553" t="str">
        <f t="shared" si="35"/>
        <v/>
      </c>
      <c r="BB396" s="553" t="str">
        <f t="shared" si="36"/>
        <v/>
      </c>
      <c r="BC396" s="553" t="str">
        <f t="shared" si="37"/>
        <v/>
      </c>
      <c r="BD396" s="572"/>
      <c r="BE396" s="448" t="s">
        <v>1726</v>
      </c>
      <c r="BF396" s="305"/>
      <c r="BG396" s="305"/>
      <c r="BH396" s="306"/>
      <c r="BI396" s="305"/>
    </row>
    <row r="397" spans="1:61" ht="16.2" customHeight="1">
      <c r="A397" s="580" t="s">
        <v>2452</v>
      </c>
      <c r="B397" s="469"/>
      <c r="C397" s="3"/>
      <c r="D397" s="88"/>
      <c r="E397" s="4"/>
      <c r="F397" s="4"/>
      <c r="G397" s="6">
        <v>32</v>
      </c>
      <c r="H397" s="468"/>
      <c r="I397" s="4">
        <f>SUM(G397:G405)</f>
        <v>172.7</v>
      </c>
      <c r="J397" s="3"/>
      <c r="K397" s="468"/>
      <c r="L397" s="468"/>
      <c r="M397" s="468" t="str">
        <f>IF(L397="","",
IF(AX397="PT",VLOOKUP(L397,Foundation_Calc!$V$4:$X$37,VLOOKUP(AX397,Foundation_Calc!$I$10:$J$13,2,FALSE),0),
IF(AX397="K",VLOOKUP(L397,Foundation_Calc!$V$41:$X$74,VLOOKUP(AX397,Foundation_Calc!$I$10:$J$13,2,FALSE),0),"")))</f>
        <v/>
      </c>
      <c r="N397" s="468"/>
      <c r="O397" s="468"/>
      <c r="P397" s="468"/>
      <c r="Q397" s="4"/>
      <c r="R397" s="6"/>
      <c r="S397" s="6"/>
      <c r="T397" s="4"/>
      <c r="U397" s="4"/>
      <c r="V397" s="4"/>
      <c r="W397" s="9"/>
      <c r="X397" s="9"/>
      <c r="Y397" s="9"/>
      <c r="Z397" s="9"/>
      <c r="AA397" s="9"/>
      <c r="AB397" s="9"/>
      <c r="AC397" s="468" t="str">
        <f t="shared" si="34"/>
        <v/>
      </c>
      <c r="AD397" s="468"/>
      <c r="AE397" s="468"/>
      <c r="AF397" s="4"/>
      <c r="AG397" s="88"/>
      <c r="AH397" s="4"/>
      <c r="AI397" s="4"/>
      <c r="AJ397" s="468"/>
      <c r="AK397" s="468"/>
      <c r="AL397" s="468"/>
      <c r="AM397" s="468"/>
      <c r="AN397" s="10"/>
      <c r="AO397" s="9"/>
      <c r="AP397" s="9"/>
      <c r="AQ397" s="9"/>
      <c r="AR397" s="9"/>
      <c r="AS397" s="9"/>
      <c r="AT397" s="9"/>
      <c r="AU397" s="447"/>
      <c r="AV397" s="447"/>
      <c r="AW397" s="468"/>
      <c r="AX397" s="468"/>
      <c r="AY397" s="10"/>
      <c r="AZ397" s="10"/>
      <c r="BA397" s="553" t="str">
        <f t="shared" si="35"/>
        <v/>
      </c>
      <c r="BB397" s="553" t="str">
        <f t="shared" si="36"/>
        <v/>
      </c>
      <c r="BC397" s="553" t="str">
        <f t="shared" si="37"/>
        <v/>
      </c>
      <c r="BD397" s="572"/>
      <c r="BE397" s="448" t="s">
        <v>1726</v>
      </c>
      <c r="BF397" s="306"/>
      <c r="BG397" s="306"/>
      <c r="BH397" s="306"/>
      <c r="BI397" s="306"/>
    </row>
    <row r="398" spans="1:61" ht="16.2" customHeight="1">
      <c r="A398" s="581" t="s">
        <v>2453</v>
      </c>
      <c r="B398" s="527" t="s">
        <v>2137</v>
      </c>
      <c r="C398" s="528">
        <f>+$C$396+$G$397</f>
        <v>7729.0299999999979</v>
      </c>
      <c r="D398" s="529"/>
      <c r="E398" s="530"/>
      <c r="F398" s="530">
        <v>0</v>
      </c>
      <c r="G398" s="531"/>
      <c r="H398" s="532" t="s">
        <v>179</v>
      </c>
      <c r="I398" s="532"/>
      <c r="J398" s="528"/>
      <c r="K398" s="532"/>
      <c r="L398" s="532"/>
      <c r="M398" s="532" t="str">
        <f>IF(L398="","",
IF(AX398="PT",VLOOKUP(L398,Foundation_Calc!$V$4:$X$37,VLOOKUP(AX398,Foundation_Calc!$I$10:$J$13,2,FALSE),0),
IF(AX398="K",VLOOKUP(L398,Foundation_Calc!$V$41:$X$74,VLOOKUP(AX398,Foundation_Calc!$I$10:$J$13,2,FALSE),0),"")))</f>
        <v/>
      </c>
      <c r="N398" s="671" t="s">
        <v>193</v>
      </c>
      <c r="O398" s="532" t="s">
        <v>192</v>
      </c>
      <c r="P398" s="532"/>
      <c r="Q398" s="530"/>
      <c r="R398" s="531"/>
      <c r="S398" s="531"/>
      <c r="T398" s="530">
        <v>55</v>
      </c>
      <c r="U398" s="530">
        <v>20</v>
      </c>
      <c r="V398" s="530"/>
      <c r="W398" s="533">
        <v>0.8</v>
      </c>
      <c r="X398" s="533">
        <v>1</v>
      </c>
      <c r="Y398" s="533"/>
      <c r="Z398" s="533">
        <v>0.25</v>
      </c>
      <c r="AA398" s="533"/>
      <c r="AB398" s="533"/>
      <c r="AC398" s="532" t="str">
        <f t="shared" ref="AC398:AC406" si="38">IF(OR(AT398&gt;8,AT398&lt;-8),"PH",
IF(OR(AT398&gt;5,AT398&lt;-5),"PHQ",
IF(OR(AT398&gt;1,AT398&lt;-1),
"PHC","")))</f>
        <v/>
      </c>
      <c r="AD398" s="532"/>
      <c r="AE398" s="532"/>
      <c r="AF398" s="530"/>
      <c r="AG398" s="529"/>
      <c r="AH398" s="530"/>
      <c r="AI398" s="530"/>
      <c r="AJ398" s="532"/>
      <c r="AK398" s="532" t="s">
        <v>2580</v>
      </c>
      <c r="AL398" s="532"/>
      <c r="AM398" s="532" t="s">
        <v>2458</v>
      </c>
      <c r="AN398" s="534">
        <v>5.15</v>
      </c>
      <c r="AO398" s="533"/>
      <c r="AP398" s="533"/>
      <c r="AQ398" s="533"/>
      <c r="AR398" s="533"/>
      <c r="AS398" s="533"/>
      <c r="AT398" s="533"/>
      <c r="AU398" s="535"/>
      <c r="AV398" s="535"/>
      <c r="AW398" s="532" t="s">
        <v>2581</v>
      </c>
      <c r="AX398" s="532" t="s">
        <v>199</v>
      </c>
      <c r="AY398" s="534"/>
      <c r="AZ398" s="534"/>
      <c r="BA398" s="553" t="str">
        <f t="shared" ref="BA398:BA406" si="39">IF(AY398="","",IF(AY398&gt;0,"ü",""))</f>
        <v/>
      </c>
      <c r="BB398" s="553" t="str">
        <f t="shared" ref="BB398:BB406" si="40">IF(AZ398="","",IF(AZ398&gt;0,"ü",""))</f>
        <v/>
      </c>
      <c r="BC398" s="553" t="str">
        <f t="shared" si="37"/>
        <v/>
      </c>
      <c r="BD398" s="572"/>
      <c r="BE398" s="448" t="s">
        <v>1726</v>
      </c>
      <c r="BF398" s="305"/>
      <c r="BG398" s="305"/>
      <c r="BH398" s="306"/>
      <c r="BI398" s="305"/>
    </row>
    <row r="399" spans="1:61" ht="16.2" customHeight="1">
      <c r="A399" s="579" t="s">
        <v>2452</v>
      </c>
      <c r="B399" s="469"/>
      <c r="C399" s="3"/>
      <c r="D399" s="88"/>
      <c r="E399" s="4"/>
      <c r="F399" s="4"/>
      <c r="G399" s="6">
        <v>35.4</v>
      </c>
      <c r="H399" s="468"/>
      <c r="I399" s="468"/>
      <c r="J399" s="3"/>
      <c r="K399" s="468"/>
      <c r="L399" s="468"/>
      <c r="M399" s="468" t="str">
        <f>IF(L399="","",
IF(AX399="PT",VLOOKUP(L399,Foundation_Calc!$V$4:$X$37,VLOOKUP(AX399,Foundation_Calc!$I$10:$J$13,2,FALSE),0),
IF(AX399="K",VLOOKUP(L399,Foundation_Calc!$V$41:$X$74,VLOOKUP(AX399,Foundation_Calc!$I$10:$J$13,2,FALSE),0),"")))</f>
        <v/>
      </c>
      <c r="N399" s="468"/>
      <c r="O399" s="468"/>
      <c r="P399" s="468"/>
      <c r="Q399" s="4"/>
      <c r="R399" s="6"/>
      <c r="S399" s="6"/>
      <c r="T399" s="4"/>
      <c r="U399" s="4"/>
      <c r="V399" s="4"/>
      <c r="W399" s="9"/>
      <c r="X399" s="9"/>
      <c r="Y399" s="9"/>
      <c r="Z399" s="9"/>
      <c r="AA399" s="9"/>
      <c r="AB399" s="9"/>
      <c r="AC399" s="468" t="str">
        <f t="shared" si="38"/>
        <v/>
      </c>
      <c r="AD399" s="468"/>
      <c r="AE399" s="468"/>
      <c r="AF399" s="4"/>
      <c r="AG399" s="88"/>
      <c r="AH399" s="4"/>
      <c r="AI399" s="4"/>
      <c r="AJ399" s="468"/>
      <c r="AK399" s="468"/>
      <c r="AL399" s="468"/>
      <c r="AM399" s="468"/>
      <c r="AN399" s="10"/>
      <c r="AO399" s="9"/>
      <c r="AP399" s="9"/>
      <c r="AQ399" s="9"/>
      <c r="AR399" s="9"/>
      <c r="AS399" s="9"/>
      <c r="AT399" s="9"/>
      <c r="AU399" s="447"/>
      <c r="AV399" s="447"/>
      <c r="AW399" s="468"/>
      <c r="AX399" s="468"/>
      <c r="AY399" s="10"/>
      <c r="AZ399" s="10"/>
      <c r="BA399" s="553" t="str">
        <f t="shared" si="39"/>
        <v/>
      </c>
      <c r="BB399" s="553" t="str">
        <f t="shared" si="40"/>
        <v/>
      </c>
      <c r="BC399" s="553" t="str">
        <f t="shared" si="37"/>
        <v/>
      </c>
      <c r="BD399" s="572"/>
      <c r="BE399" s="448" t="s">
        <v>1726</v>
      </c>
      <c r="BF399" s="306"/>
      <c r="BG399" s="306"/>
      <c r="BH399" s="306"/>
      <c r="BI399" s="306"/>
    </row>
    <row r="400" spans="1:61" ht="16.2" customHeight="1">
      <c r="A400" s="579" t="s">
        <v>2452</v>
      </c>
      <c r="B400" s="469" t="s">
        <v>2138</v>
      </c>
      <c r="C400" s="3">
        <f>+$C$398+$G$399</f>
        <v>7764.4299999999976</v>
      </c>
      <c r="D400" s="88"/>
      <c r="E400" s="4"/>
      <c r="F400" s="4">
        <v>0</v>
      </c>
      <c r="G400" s="6"/>
      <c r="H400" s="468" t="s">
        <v>1739</v>
      </c>
      <c r="I400" s="468"/>
      <c r="J400" s="3"/>
      <c r="K400" s="468"/>
      <c r="L400" s="468"/>
      <c r="M400" s="468" t="str">
        <f>IF(L400="","",
IF(AX400="PT",VLOOKUP(L400,Foundation_Calc!$V$4:$X$37,VLOOKUP(AX400,Foundation_Calc!$I$10:$J$13,2,FALSE),0),
IF(AX400="K",VLOOKUP(L400,Foundation_Calc!$V$41:$X$74,VLOOKUP(AX400,Foundation_Calc!$I$10:$J$13,2,FALSE),0),"")))</f>
        <v/>
      </c>
      <c r="N400" s="669" t="s">
        <v>192</v>
      </c>
      <c r="O400" s="468" t="s">
        <v>191</v>
      </c>
      <c r="P400" s="468"/>
      <c r="Q400" s="4"/>
      <c r="R400" s="6"/>
      <c r="S400" s="6"/>
      <c r="T400" s="4">
        <v>-25</v>
      </c>
      <c r="U400" s="4">
        <v>-30</v>
      </c>
      <c r="V400" s="4"/>
      <c r="W400" s="9">
        <v>0.8</v>
      </c>
      <c r="X400" s="9">
        <v>1</v>
      </c>
      <c r="Y400" s="9"/>
      <c r="Z400" s="9"/>
      <c r="AA400" s="9"/>
      <c r="AB400" s="9"/>
      <c r="AC400" s="468" t="s">
        <v>1068</v>
      </c>
      <c r="AD400" s="468" t="s">
        <v>647</v>
      </c>
      <c r="AE400" s="468"/>
      <c r="AF400" s="4"/>
      <c r="AG400" s="88"/>
      <c r="AH400" s="4"/>
      <c r="AI400" s="4"/>
      <c r="AJ400" s="468" t="s">
        <v>364</v>
      </c>
      <c r="AK400" s="468" t="s">
        <v>2580</v>
      </c>
      <c r="AL400" s="468"/>
      <c r="AM400" s="468" t="s">
        <v>2458</v>
      </c>
      <c r="AN400" s="10">
        <v>5.15</v>
      </c>
      <c r="AO400" s="9"/>
      <c r="AP400" s="9"/>
      <c r="AQ400" s="9"/>
      <c r="AR400" s="9"/>
      <c r="AS400" s="9"/>
      <c r="AT400" s="9"/>
      <c r="AU400" s="447"/>
      <c r="AV400" s="447"/>
      <c r="AW400" s="468" t="s">
        <v>2581</v>
      </c>
      <c r="AX400" s="468" t="s">
        <v>199</v>
      </c>
      <c r="AY400" s="10"/>
      <c r="AZ400" s="10"/>
      <c r="BA400" s="553" t="str">
        <f t="shared" si="39"/>
        <v/>
      </c>
      <c r="BB400" s="553" t="str">
        <f t="shared" si="40"/>
        <v/>
      </c>
      <c r="BC400" s="553" t="str">
        <f t="shared" si="37"/>
        <v/>
      </c>
      <c r="BD400" s="572"/>
      <c r="BE400" s="448" t="s">
        <v>1726</v>
      </c>
      <c r="BF400" s="305"/>
      <c r="BG400" s="305"/>
      <c r="BH400" s="306"/>
      <c r="BI400" s="305"/>
    </row>
    <row r="401" spans="1:61" ht="16.2" customHeight="1">
      <c r="A401" s="579"/>
      <c r="B401" s="469"/>
      <c r="C401" s="3"/>
      <c r="D401" s="88"/>
      <c r="E401" s="4"/>
      <c r="F401" s="4"/>
      <c r="G401" s="6">
        <v>40.5</v>
      </c>
      <c r="H401" s="468"/>
      <c r="I401" s="468"/>
      <c r="J401" s="3"/>
      <c r="K401" s="468"/>
      <c r="L401" s="468"/>
      <c r="M401" s="468" t="str">
        <f>IF(L401="","",
IF(AX401="PT",VLOOKUP(L401,Foundation_Calc!$V$4:$X$37,VLOOKUP(AX401,Foundation_Calc!$I$10:$J$13,2,FALSE),0),
IF(AX401="K",VLOOKUP(L401,Foundation_Calc!$V$41:$X$74,VLOOKUP(AX401,Foundation_Calc!$I$10:$J$13,2,FALSE),0),"")))</f>
        <v/>
      </c>
      <c r="N401" s="468"/>
      <c r="O401" s="468"/>
      <c r="P401" s="468"/>
      <c r="Q401" s="4"/>
      <c r="R401" s="6"/>
      <c r="S401" s="6"/>
      <c r="T401" s="4"/>
      <c r="U401" s="4"/>
      <c r="V401" s="4"/>
      <c r="W401" s="9"/>
      <c r="X401" s="9"/>
      <c r="Y401" s="9"/>
      <c r="Z401" s="9"/>
      <c r="AA401" s="9"/>
      <c r="AB401" s="9"/>
      <c r="AC401" s="468" t="str">
        <f t="shared" si="38"/>
        <v/>
      </c>
      <c r="AD401" s="468"/>
      <c r="AE401" s="468"/>
      <c r="AF401" s="4"/>
      <c r="AG401" s="88"/>
      <c r="AH401" s="4"/>
      <c r="AI401" s="4"/>
      <c r="AJ401" s="468"/>
      <c r="AK401" s="468"/>
      <c r="AL401" s="468"/>
      <c r="AM401" s="468"/>
      <c r="AN401" s="10"/>
      <c r="AO401" s="9"/>
      <c r="AP401" s="9"/>
      <c r="AQ401" s="9"/>
      <c r="AR401" s="9"/>
      <c r="AS401" s="9"/>
      <c r="AT401" s="9"/>
      <c r="AU401" s="447"/>
      <c r="AV401" s="447"/>
      <c r="AW401" s="468"/>
      <c r="AX401" s="468"/>
      <c r="AY401" s="10"/>
      <c r="AZ401" s="10"/>
      <c r="BA401" s="553" t="str">
        <f t="shared" si="39"/>
        <v/>
      </c>
      <c r="BB401" s="553" t="str">
        <f t="shared" si="40"/>
        <v/>
      </c>
      <c r="BC401" s="553" t="str">
        <f t="shared" si="37"/>
        <v/>
      </c>
      <c r="BD401" s="572"/>
      <c r="BE401" s="448" t="s">
        <v>1726</v>
      </c>
      <c r="BF401" s="306"/>
      <c r="BG401" s="306"/>
      <c r="BH401" s="306"/>
      <c r="BI401" s="306"/>
    </row>
    <row r="402" spans="1:61" ht="16.2" customHeight="1">
      <c r="A402" s="579" t="s">
        <v>2452</v>
      </c>
      <c r="B402" s="469" t="s">
        <v>2139</v>
      </c>
      <c r="C402" s="3">
        <f>+$C$400+$G$401</f>
        <v>7804.9299999999976</v>
      </c>
      <c r="D402" s="88"/>
      <c r="E402" s="4"/>
      <c r="F402" s="4">
        <v>0</v>
      </c>
      <c r="G402" s="6"/>
      <c r="H402" s="468"/>
      <c r="I402" s="468"/>
      <c r="J402" s="3"/>
      <c r="K402" s="468"/>
      <c r="L402" s="468"/>
      <c r="M402" s="468" t="str">
        <f>IF(L402="","",
IF(AX402="PT",VLOOKUP(L402,Foundation_Calc!$V$4:$X$37,VLOOKUP(AX402,Foundation_Calc!$I$10:$J$13,2,FALSE),0),
IF(AX402="K",VLOOKUP(L402,Foundation_Calc!$V$41:$X$74,VLOOKUP(AX402,Foundation_Calc!$I$10:$J$13,2,FALSE),0),"")))</f>
        <v/>
      </c>
      <c r="N402" s="468" t="s">
        <v>192</v>
      </c>
      <c r="O402" s="468"/>
      <c r="P402" s="468"/>
      <c r="Q402" s="4"/>
      <c r="R402" s="6"/>
      <c r="S402" s="6"/>
      <c r="T402" s="4">
        <v>25</v>
      </c>
      <c r="U402" s="4"/>
      <c r="V402" s="4"/>
      <c r="W402" s="9">
        <v>1</v>
      </c>
      <c r="X402" s="9"/>
      <c r="Y402" s="9"/>
      <c r="Z402" s="9"/>
      <c r="AA402" s="9"/>
      <c r="AB402" s="9"/>
      <c r="AC402" s="468" t="s">
        <v>630</v>
      </c>
      <c r="AD402" s="468"/>
      <c r="AE402" s="468"/>
      <c r="AF402" s="4"/>
      <c r="AG402" s="88"/>
      <c r="AH402" s="4"/>
      <c r="AI402" s="4"/>
      <c r="AJ402" s="468"/>
      <c r="AK402" s="468" t="s">
        <v>2580</v>
      </c>
      <c r="AL402" s="468"/>
      <c r="AM402" s="468" t="s">
        <v>2458</v>
      </c>
      <c r="AN402" s="10">
        <v>5.15</v>
      </c>
      <c r="AO402" s="9"/>
      <c r="AP402" s="9"/>
      <c r="AQ402" s="9"/>
      <c r="AR402" s="9"/>
      <c r="AS402" s="9"/>
      <c r="AT402" s="9"/>
      <c r="AU402" s="447"/>
      <c r="AV402" s="447"/>
      <c r="AW402" s="468" t="s">
        <v>2581</v>
      </c>
      <c r="AX402" s="468" t="s">
        <v>199</v>
      </c>
      <c r="AY402" s="10"/>
      <c r="AZ402" s="10"/>
      <c r="BA402" s="553" t="str">
        <f t="shared" si="39"/>
        <v/>
      </c>
      <c r="BB402" s="553" t="str">
        <f t="shared" si="40"/>
        <v/>
      </c>
      <c r="BC402" s="553" t="str">
        <f t="shared" si="37"/>
        <v/>
      </c>
      <c r="BD402" s="572"/>
      <c r="BE402" s="448" t="s">
        <v>1726</v>
      </c>
      <c r="BF402" s="305"/>
      <c r="BG402" s="305"/>
      <c r="BH402" s="306"/>
      <c r="BI402" s="305"/>
    </row>
    <row r="403" spans="1:61" ht="16.2" customHeight="1">
      <c r="A403" s="579" t="s">
        <v>2452</v>
      </c>
      <c r="B403" s="469"/>
      <c r="C403" s="3"/>
      <c r="D403" s="88"/>
      <c r="E403" s="4"/>
      <c r="F403" s="4"/>
      <c r="G403" s="6">
        <v>31</v>
      </c>
      <c r="H403" s="468"/>
      <c r="I403" s="468"/>
      <c r="J403" s="3"/>
      <c r="K403" s="468"/>
      <c r="L403" s="468"/>
      <c r="M403" s="468" t="str">
        <f>IF(L403="","",
IF(AX403="PT",VLOOKUP(L403,Foundation_Calc!$V$4:$X$37,VLOOKUP(AX403,Foundation_Calc!$I$10:$J$13,2,FALSE),0),
IF(AX403="K",VLOOKUP(L403,Foundation_Calc!$V$41:$X$74,VLOOKUP(AX403,Foundation_Calc!$I$10:$J$13,2,FALSE),0),"")))</f>
        <v/>
      </c>
      <c r="N403" s="468"/>
      <c r="O403" s="468"/>
      <c r="P403" s="468"/>
      <c r="Q403" s="4"/>
      <c r="R403" s="6"/>
      <c r="S403" s="6"/>
      <c r="T403" s="4"/>
      <c r="U403" s="4"/>
      <c r="V403" s="4"/>
      <c r="W403" s="9"/>
      <c r="X403" s="9"/>
      <c r="Y403" s="9"/>
      <c r="Z403" s="9"/>
      <c r="AA403" s="9"/>
      <c r="AB403" s="9"/>
      <c r="AC403" s="468" t="str">
        <f t="shared" si="38"/>
        <v/>
      </c>
      <c r="AD403" s="468"/>
      <c r="AE403" s="468"/>
      <c r="AF403" s="4"/>
      <c r="AG403" s="88"/>
      <c r="AH403" s="4"/>
      <c r="AI403" s="4"/>
      <c r="AJ403" s="468"/>
      <c r="AK403" s="468"/>
      <c r="AL403" s="468"/>
      <c r="AM403" s="468"/>
      <c r="AN403" s="10"/>
      <c r="AO403" s="9"/>
      <c r="AP403" s="9"/>
      <c r="AQ403" s="9"/>
      <c r="AR403" s="9"/>
      <c r="AS403" s="9"/>
      <c r="AT403" s="9"/>
      <c r="AU403" s="447"/>
      <c r="AV403" s="447"/>
      <c r="AW403" s="468"/>
      <c r="AX403" s="468"/>
      <c r="AY403" s="10"/>
      <c r="AZ403" s="10"/>
      <c r="BA403" s="553" t="str">
        <f t="shared" si="39"/>
        <v/>
      </c>
      <c r="BB403" s="553" t="str">
        <f t="shared" si="40"/>
        <v/>
      </c>
      <c r="BC403" s="553" t="str">
        <f t="shared" si="37"/>
        <v/>
      </c>
      <c r="BD403" s="572"/>
      <c r="BE403" s="448" t="s">
        <v>1726</v>
      </c>
      <c r="BF403" s="306"/>
      <c r="BG403" s="306"/>
      <c r="BH403" s="306"/>
      <c r="BI403" s="306"/>
    </row>
    <row r="404" spans="1:61" ht="16.2" customHeight="1">
      <c r="A404" s="579" t="s">
        <v>2452</v>
      </c>
      <c r="B404" s="469" t="s">
        <v>2140</v>
      </c>
      <c r="C404" s="3">
        <f>+$C$402+$G$403</f>
        <v>7835.9299999999976</v>
      </c>
      <c r="D404" s="88"/>
      <c r="E404" s="4"/>
      <c r="F404" s="4">
        <v>0</v>
      </c>
      <c r="G404" s="6"/>
      <c r="H404" s="468"/>
      <c r="I404" s="4">
        <f>SUM(G365:G405)</f>
        <v>573.09999999999991</v>
      </c>
      <c r="J404" s="3"/>
      <c r="K404" s="468"/>
      <c r="L404" s="468"/>
      <c r="M404" s="468" t="str">
        <f>IF(L404="","",
IF(AX404="PT",VLOOKUP(L404,Foundation_Calc!$V$4:$X$37,VLOOKUP(AX404,Foundation_Calc!$I$10:$J$13,2,FALSE),0),
IF(AX404="K",VLOOKUP(L404,Foundation_Calc!$V$41:$X$74,VLOOKUP(AX404,Foundation_Calc!$I$10:$J$13,2,FALSE),0),"")))</f>
        <v/>
      </c>
      <c r="N404" s="468" t="s">
        <v>191</v>
      </c>
      <c r="O404" s="468"/>
      <c r="P404" s="468"/>
      <c r="Q404" s="4"/>
      <c r="R404" s="6"/>
      <c r="S404" s="6"/>
      <c r="T404" s="4">
        <v>-25</v>
      </c>
      <c r="U404" s="4"/>
      <c r="V404" s="4"/>
      <c r="W404" s="9">
        <v>1</v>
      </c>
      <c r="X404" s="9"/>
      <c r="Y404" s="9"/>
      <c r="Z404" s="9"/>
      <c r="AA404" s="9"/>
      <c r="AB404" s="9"/>
      <c r="AC404" s="468" t="s">
        <v>630</v>
      </c>
      <c r="AD404" s="468"/>
      <c r="AE404" s="468"/>
      <c r="AF404" s="4"/>
      <c r="AG404" s="88"/>
      <c r="AH404" s="4"/>
      <c r="AI404" s="4"/>
      <c r="AJ404" s="468"/>
      <c r="AK404" s="468" t="s">
        <v>2580</v>
      </c>
      <c r="AL404" s="468"/>
      <c r="AM404" s="468" t="s">
        <v>2458</v>
      </c>
      <c r="AN404" s="10">
        <v>5.15</v>
      </c>
      <c r="AO404" s="9"/>
      <c r="AP404" s="9"/>
      <c r="AQ404" s="9"/>
      <c r="AR404" s="9"/>
      <c r="AS404" s="9"/>
      <c r="AT404" s="9"/>
      <c r="AU404" s="447"/>
      <c r="AV404" s="447"/>
      <c r="AW404" s="468" t="s">
        <v>2581</v>
      </c>
      <c r="AX404" s="468" t="s">
        <v>199</v>
      </c>
      <c r="AY404" s="10"/>
      <c r="AZ404" s="10"/>
      <c r="BA404" s="553" t="str">
        <f t="shared" si="39"/>
        <v/>
      </c>
      <c r="BB404" s="553" t="str">
        <f t="shared" si="40"/>
        <v/>
      </c>
      <c r="BC404" s="553" t="str">
        <f t="shared" si="37"/>
        <v/>
      </c>
      <c r="BD404" s="572"/>
      <c r="BE404" s="448" t="s">
        <v>1726</v>
      </c>
      <c r="BF404" s="305"/>
      <c r="BG404" s="305"/>
      <c r="BH404" s="306"/>
      <c r="BI404" s="305"/>
    </row>
    <row r="405" spans="1:61" ht="16.2" customHeight="1">
      <c r="A405" s="584" t="s">
        <v>2371</v>
      </c>
      <c r="B405" s="527"/>
      <c r="C405" s="528"/>
      <c r="D405" s="529"/>
      <c r="E405" s="530"/>
      <c r="F405" s="530"/>
      <c r="G405" s="531">
        <v>33.799999999999997</v>
      </c>
      <c r="H405" s="532"/>
      <c r="I405" s="532" t="s">
        <v>485</v>
      </c>
      <c r="J405" s="528">
        <f>C406</f>
        <v>7869.7299999999977</v>
      </c>
      <c r="K405" s="532" t="s">
        <v>451</v>
      </c>
      <c r="L405" s="532"/>
      <c r="M405" s="532" t="str">
        <f>IF(L405="","",
IF(AX405="PT",VLOOKUP(L405,Foundation_Calc!$V$4:$X$37,VLOOKUP(AX405,Foundation_Calc!$I$10:$J$13,2,FALSE),0),
IF(AX405="K",VLOOKUP(L405,Foundation_Calc!$V$41:$X$74,VLOOKUP(AX405,Foundation_Calc!$I$10:$J$13,2,FALSE),0),"")))</f>
        <v/>
      </c>
      <c r="N405" s="532"/>
      <c r="O405" s="532"/>
      <c r="P405" s="532"/>
      <c r="Q405" s="530"/>
      <c r="R405" s="531"/>
      <c r="S405" s="531"/>
      <c r="T405" s="530"/>
      <c r="U405" s="530"/>
      <c r="V405" s="530"/>
      <c r="W405" s="533"/>
      <c r="X405" s="533"/>
      <c r="Y405" s="533"/>
      <c r="Z405" s="533"/>
      <c r="AA405" s="533"/>
      <c r="AB405" s="533"/>
      <c r="AC405" s="532" t="str">
        <f t="shared" si="38"/>
        <v/>
      </c>
      <c r="AD405" s="532"/>
      <c r="AE405" s="532"/>
      <c r="AF405" s="530"/>
      <c r="AG405" s="529"/>
      <c r="AH405" s="530"/>
      <c r="AI405" s="530"/>
      <c r="AJ405" s="532" t="s">
        <v>369</v>
      </c>
      <c r="AK405" s="532"/>
      <c r="AL405" s="532"/>
      <c r="AM405" s="532"/>
      <c r="AN405" s="534"/>
      <c r="AO405" s="533"/>
      <c r="AP405" s="533"/>
      <c r="AQ405" s="533"/>
      <c r="AR405" s="533"/>
      <c r="AS405" s="533"/>
      <c r="AT405" s="533"/>
      <c r="AU405" s="535"/>
      <c r="AV405" s="535"/>
      <c r="AW405" s="532"/>
      <c r="AX405" s="532"/>
      <c r="AY405" s="534"/>
      <c r="AZ405" s="534"/>
      <c r="BA405" s="555" t="str">
        <f t="shared" si="39"/>
        <v/>
      </c>
      <c r="BB405" s="555" t="str">
        <f t="shared" si="40"/>
        <v/>
      </c>
      <c r="BC405" s="555" t="str">
        <f t="shared" si="37"/>
        <v/>
      </c>
      <c r="BD405" s="572"/>
      <c r="BE405" s="448" t="s">
        <v>1726</v>
      </c>
      <c r="BF405" s="306"/>
      <c r="BG405" s="306"/>
      <c r="BH405" s="306"/>
      <c r="BI405" s="306"/>
    </row>
    <row r="406" spans="1:61" ht="16.2" customHeight="1" thickBot="1">
      <c r="A406" s="585" t="s">
        <v>383</v>
      </c>
      <c r="B406" s="586" t="s">
        <v>2141</v>
      </c>
      <c r="C406" s="587">
        <f>+$C$404+$G$405</f>
        <v>7869.7299999999977</v>
      </c>
      <c r="D406" s="588"/>
      <c r="E406" s="589"/>
      <c r="F406" s="589">
        <v>0</v>
      </c>
      <c r="G406" s="590"/>
      <c r="H406" s="591" t="s">
        <v>26</v>
      </c>
      <c r="I406" s="591" t="s">
        <v>339</v>
      </c>
      <c r="J406" s="587">
        <f>C406</f>
        <v>7869.7299999999977</v>
      </c>
      <c r="K406" s="591" t="s">
        <v>447</v>
      </c>
      <c r="L406" s="591"/>
      <c r="M406" s="591" t="str">
        <f>IF(L406="","",
IF(AX406="PT",VLOOKUP(L406,Foundation_Calc!$V$4:$X$37,VLOOKUP(AX406,Foundation_Calc!$I$10:$J$13,2,FALSE),0),
IF(AX406="K",VLOOKUP(L406,Foundation_Calc!$V$41:$X$74,VLOOKUP(AX406,Foundation_Calc!$I$10:$J$13,2,FALSE),0),"")))</f>
        <v/>
      </c>
      <c r="N406" s="591"/>
      <c r="O406" s="591"/>
      <c r="P406" s="591"/>
      <c r="Q406" s="589"/>
      <c r="R406" s="590"/>
      <c r="S406" s="590"/>
      <c r="T406" s="589"/>
      <c r="U406" s="589"/>
      <c r="V406" s="589"/>
      <c r="W406" s="592"/>
      <c r="X406" s="592"/>
      <c r="Y406" s="592"/>
      <c r="Z406" s="592"/>
      <c r="AA406" s="592"/>
      <c r="AB406" s="592"/>
      <c r="AC406" s="591" t="str">
        <f t="shared" si="38"/>
        <v/>
      </c>
      <c r="AD406" s="591"/>
      <c r="AE406" s="591"/>
      <c r="AF406" s="589"/>
      <c r="AG406" s="588"/>
      <c r="AH406" s="589"/>
      <c r="AI406" s="589"/>
      <c r="AJ406" s="591" t="s">
        <v>595</v>
      </c>
      <c r="AK406" s="591"/>
      <c r="AL406" s="591"/>
      <c r="AM406" s="591"/>
      <c r="AN406" s="593">
        <v>5.15</v>
      </c>
      <c r="AO406" s="592"/>
      <c r="AP406" s="592"/>
      <c r="AQ406" s="592"/>
      <c r="AR406" s="592"/>
      <c r="AS406" s="592"/>
      <c r="AT406" s="592"/>
      <c r="AU406" s="594"/>
      <c r="AV406" s="594"/>
      <c r="AW406" s="591"/>
      <c r="AX406" s="591"/>
      <c r="AY406" s="593"/>
      <c r="AZ406" s="593"/>
      <c r="BA406" s="595" t="str">
        <f t="shared" si="39"/>
        <v/>
      </c>
      <c r="BB406" s="595" t="str">
        <f t="shared" si="40"/>
        <v/>
      </c>
      <c r="BC406" s="595" t="str">
        <f t="shared" si="37"/>
        <v/>
      </c>
      <c r="BD406" s="596"/>
      <c r="BE406" s="448" t="s">
        <v>1726</v>
      </c>
      <c r="BF406" s="305"/>
      <c r="BG406" s="305"/>
      <c r="BH406" s="306"/>
      <c r="BI406" s="305"/>
    </row>
    <row r="407" spans="1:61" ht="15.75" customHeight="1">
      <c r="B407" s="16"/>
      <c r="C407" s="13"/>
      <c r="G407" s="15"/>
      <c r="H407" s="16"/>
      <c r="I407" s="16"/>
      <c r="J407" s="17"/>
      <c r="N407" s="16"/>
      <c r="O407" s="16"/>
      <c r="P407" s="16"/>
      <c r="AN407" s="18"/>
      <c r="AO407" s="18"/>
      <c r="AP407" s="18"/>
      <c r="AQ407" s="18"/>
      <c r="AR407" s="18"/>
      <c r="AS407" s="18"/>
      <c r="AU407" s="18"/>
      <c r="AV407" s="18"/>
    </row>
    <row r="408" spans="1:61" ht="15.75" customHeight="1">
      <c r="B408" s="16"/>
      <c r="C408" s="13"/>
      <c r="G408" s="15"/>
      <c r="H408" s="16"/>
      <c r="I408" s="16"/>
      <c r="J408" s="17"/>
      <c r="N408" s="16"/>
      <c r="O408" s="16"/>
      <c r="P408" s="16"/>
      <c r="AN408" s="18"/>
      <c r="AO408" s="18"/>
      <c r="AP408" s="18"/>
      <c r="AQ408" s="18"/>
      <c r="AR408" s="18"/>
      <c r="AS408" s="18"/>
      <c r="AU408" s="18"/>
      <c r="AV408" s="18"/>
    </row>
    <row r="409" spans="1:61" ht="15.75" customHeight="1">
      <c r="B409" s="16"/>
      <c r="C409" s="13"/>
      <c r="G409" s="15"/>
      <c r="H409" s="16"/>
      <c r="I409" s="16"/>
      <c r="J409" s="17"/>
      <c r="N409" s="16"/>
      <c r="O409" s="16"/>
      <c r="P409" s="16"/>
      <c r="AN409" s="18"/>
      <c r="AO409" s="18"/>
      <c r="AP409" s="18"/>
      <c r="AQ409" s="18"/>
      <c r="AR409" s="18"/>
      <c r="AS409" s="18"/>
      <c r="AU409" s="18"/>
      <c r="AV409" s="18"/>
    </row>
    <row r="410" spans="1:61" ht="15.75" customHeight="1">
      <c r="B410" s="16"/>
      <c r="C410" s="13"/>
      <c r="G410" s="15"/>
      <c r="H410" s="16"/>
      <c r="I410" s="16"/>
      <c r="J410" s="17"/>
      <c r="N410" s="16"/>
      <c r="O410" s="16"/>
      <c r="P410" s="16"/>
      <c r="AN410" s="18"/>
      <c r="AO410" s="18"/>
      <c r="AP410" s="18"/>
      <c r="AQ410" s="18"/>
      <c r="AR410" s="18"/>
      <c r="AS410" s="18"/>
      <c r="AU410" s="18"/>
      <c r="AV410" s="18"/>
    </row>
    <row r="411" spans="1:61" ht="15.75" customHeight="1">
      <c r="B411" s="16"/>
      <c r="C411" s="13"/>
      <c r="G411" s="15"/>
      <c r="H411" s="16"/>
      <c r="I411" s="16"/>
      <c r="J411" s="17"/>
      <c r="N411" s="16"/>
      <c r="O411" s="16"/>
      <c r="P411" s="16"/>
      <c r="AN411" s="18"/>
      <c r="AO411" s="18"/>
      <c r="AP411" s="18"/>
      <c r="AQ411" s="18"/>
      <c r="AR411" s="18"/>
      <c r="AS411" s="18"/>
      <c r="AU411" s="18"/>
      <c r="AV411" s="18"/>
    </row>
    <row r="412" spans="1:61" ht="15.75" customHeight="1">
      <c r="B412" s="16"/>
      <c r="C412" s="13"/>
      <c r="G412" s="15"/>
      <c r="H412" s="16"/>
      <c r="I412" s="16"/>
      <c r="J412" s="17"/>
      <c r="N412" s="16"/>
      <c r="O412" s="16"/>
      <c r="P412" s="16"/>
      <c r="AN412" s="18"/>
      <c r="AO412" s="18"/>
      <c r="AP412" s="18"/>
      <c r="AQ412" s="18"/>
      <c r="AR412" s="18"/>
      <c r="AS412" s="18"/>
      <c r="AU412" s="18"/>
      <c r="AV412" s="18"/>
    </row>
    <row r="413" spans="1:61" ht="15.75" customHeight="1">
      <c r="B413" s="16"/>
      <c r="C413" s="13"/>
      <c r="G413" s="15"/>
      <c r="H413" s="16"/>
      <c r="I413" s="16"/>
      <c r="J413" s="17"/>
      <c r="N413" s="16"/>
      <c r="O413" s="16"/>
      <c r="P413" s="16"/>
      <c r="AN413" s="18"/>
      <c r="AO413" s="18"/>
      <c r="AP413" s="18"/>
      <c r="AQ413" s="18"/>
      <c r="AR413" s="18"/>
      <c r="AS413" s="18"/>
      <c r="AU413" s="18"/>
      <c r="AV413" s="18"/>
    </row>
    <row r="414" spans="1:61" ht="15.75" customHeight="1">
      <c r="B414" s="16"/>
      <c r="C414" s="13"/>
      <c r="G414" s="15"/>
      <c r="H414" s="16"/>
      <c r="I414" s="16"/>
      <c r="J414" s="17"/>
      <c r="N414" s="16"/>
      <c r="O414" s="16"/>
      <c r="P414" s="16"/>
      <c r="AN414" s="18"/>
      <c r="AO414" s="18"/>
      <c r="AP414" s="18"/>
      <c r="AQ414" s="18"/>
      <c r="AR414" s="18"/>
      <c r="AS414" s="18"/>
      <c r="AU414" s="18"/>
      <c r="AV414" s="18"/>
    </row>
    <row r="415" spans="1:61" ht="15.75" customHeight="1">
      <c r="B415" s="16"/>
      <c r="C415" s="13"/>
      <c r="G415" s="15"/>
      <c r="H415" s="16"/>
      <c r="I415" s="16"/>
      <c r="J415" s="17"/>
      <c r="N415" s="16"/>
      <c r="O415" s="16"/>
      <c r="P415" s="16"/>
      <c r="AN415" s="18"/>
      <c r="AO415" s="18"/>
      <c r="AP415" s="18"/>
      <c r="AQ415" s="18"/>
      <c r="AR415" s="18"/>
      <c r="AS415" s="18"/>
      <c r="AU415" s="18"/>
      <c r="AV415" s="18"/>
    </row>
    <row r="416" spans="1:61" ht="15.75" customHeight="1">
      <c r="B416" s="16"/>
      <c r="C416" s="13"/>
      <c r="G416" s="15"/>
      <c r="H416" s="16"/>
      <c r="I416" s="16"/>
      <c r="J416" s="17"/>
      <c r="N416" s="16"/>
      <c r="O416" s="16"/>
      <c r="P416" s="16"/>
      <c r="AN416" s="18"/>
      <c r="AO416" s="18"/>
      <c r="AP416" s="18"/>
      <c r="AQ416" s="18"/>
      <c r="AR416" s="18"/>
      <c r="AS416" s="18"/>
      <c r="AU416" s="18"/>
      <c r="AV416" s="18"/>
    </row>
    <row r="417" spans="2:48" ht="15.75" customHeight="1">
      <c r="B417" s="16"/>
      <c r="C417" s="13"/>
      <c r="G417" s="15"/>
      <c r="H417" s="16"/>
      <c r="I417" s="16"/>
      <c r="J417" s="17"/>
      <c r="N417" s="16"/>
      <c r="O417" s="16"/>
      <c r="P417" s="16"/>
      <c r="AN417" s="18"/>
      <c r="AO417" s="18"/>
      <c r="AP417" s="18"/>
      <c r="AQ417" s="18"/>
      <c r="AR417" s="18"/>
      <c r="AS417" s="18"/>
      <c r="AU417" s="18"/>
      <c r="AV417" s="18"/>
    </row>
    <row r="418" spans="2:48" ht="15.75" customHeight="1">
      <c r="B418" s="16"/>
      <c r="C418" s="13"/>
      <c r="G418" s="15"/>
      <c r="H418" s="16"/>
      <c r="I418" s="16"/>
      <c r="J418" s="17"/>
      <c r="N418" s="16"/>
      <c r="O418" s="16"/>
      <c r="P418" s="16"/>
      <c r="AN418" s="18"/>
      <c r="AO418" s="18"/>
      <c r="AP418" s="18"/>
      <c r="AQ418" s="18"/>
      <c r="AR418" s="18"/>
      <c r="AS418" s="18"/>
      <c r="AU418" s="18"/>
      <c r="AV418" s="18"/>
    </row>
    <row r="419" spans="2:48" ht="15.75" customHeight="1">
      <c r="B419" s="16"/>
      <c r="C419" s="13"/>
      <c r="G419" s="15"/>
      <c r="H419" s="16"/>
      <c r="I419" s="16"/>
      <c r="J419" s="17"/>
      <c r="N419" s="16"/>
      <c r="O419" s="16"/>
      <c r="P419" s="16"/>
      <c r="AN419" s="18"/>
      <c r="AO419" s="18"/>
      <c r="AP419" s="18"/>
      <c r="AQ419" s="18"/>
      <c r="AR419" s="18"/>
      <c r="AS419" s="18"/>
      <c r="AU419" s="18"/>
      <c r="AV419" s="18"/>
    </row>
    <row r="420" spans="2:48" ht="15.75" customHeight="1">
      <c r="B420" s="16"/>
      <c r="C420" s="13"/>
      <c r="G420" s="15"/>
      <c r="H420" s="16"/>
      <c r="I420" s="16"/>
      <c r="J420" s="17"/>
      <c r="N420" s="16"/>
      <c r="O420" s="16"/>
      <c r="P420" s="16"/>
      <c r="AN420" s="18"/>
      <c r="AO420" s="18"/>
      <c r="AP420" s="18"/>
      <c r="AQ420" s="18"/>
      <c r="AR420" s="18"/>
      <c r="AS420" s="18"/>
      <c r="AU420" s="18"/>
      <c r="AV420" s="18"/>
    </row>
    <row r="421" spans="2:48" ht="15.75" customHeight="1">
      <c r="B421" s="16"/>
      <c r="C421" s="13"/>
      <c r="G421" s="15"/>
      <c r="H421" s="16"/>
      <c r="I421" s="16"/>
      <c r="J421" s="17"/>
      <c r="N421" s="16"/>
      <c r="O421" s="16"/>
      <c r="P421" s="16"/>
      <c r="AN421" s="18"/>
      <c r="AO421" s="18"/>
      <c r="AP421" s="18"/>
      <c r="AQ421" s="18"/>
      <c r="AR421" s="18"/>
      <c r="AS421" s="18"/>
      <c r="AU421" s="18"/>
      <c r="AV421" s="18"/>
    </row>
    <row r="422" spans="2:48" ht="15.75" customHeight="1">
      <c r="B422" s="16"/>
      <c r="C422" s="13"/>
      <c r="G422" s="15"/>
      <c r="H422" s="16"/>
      <c r="I422" s="16"/>
      <c r="J422" s="17"/>
      <c r="N422" s="16"/>
      <c r="O422" s="16"/>
      <c r="P422" s="16"/>
      <c r="AN422" s="18"/>
      <c r="AO422" s="18"/>
      <c r="AP422" s="18"/>
      <c r="AQ422" s="18"/>
      <c r="AR422" s="18"/>
      <c r="AS422" s="18"/>
      <c r="AU422" s="18"/>
      <c r="AV422" s="18"/>
    </row>
    <row r="423" spans="2:48" ht="15.75" customHeight="1">
      <c r="B423" s="16"/>
      <c r="C423" s="13"/>
      <c r="G423" s="15"/>
      <c r="H423" s="16"/>
      <c r="I423" s="16"/>
      <c r="J423" s="17"/>
      <c r="N423" s="16"/>
      <c r="O423" s="16"/>
      <c r="P423" s="16"/>
      <c r="AN423" s="18"/>
      <c r="AO423" s="18"/>
      <c r="AP423" s="18"/>
      <c r="AQ423" s="18"/>
      <c r="AR423" s="18"/>
      <c r="AS423" s="18"/>
      <c r="AU423" s="18"/>
      <c r="AV423" s="18"/>
    </row>
    <row r="424" spans="2:48" ht="15.75" customHeight="1">
      <c r="B424" s="16"/>
      <c r="C424" s="13"/>
      <c r="G424" s="15"/>
      <c r="H424" s="16"/>
      <c r="I424" s="16"/>
      <c r="J424" s="17"/>
      <c r="N424" s="16"/>
      <c r="O424" s="16"/>
      <c r="P424" s="16"/>
      <c r="AN424" s="18"/>
      <c r="AO424" s="18"/>
      <c r="AP424" s="18"/>
      <c r="AQ424" s="18"/>
      <c r="AR424" s="18"/>
      <c r="AS424" s="18"/>
      <c r="AU424" s="18"/>
      <c r="AV424" s="18"/>
    </row>
    <row r="425" spans="2:48" ht="15.75" customHeight="1">
      <c r="B425" s="16"/>
      <c r="C425" s="13"/>
      <c r="G425" s="15"/>
      <c r="H425" s="16"/>
      <c r="I425" s="16"/>
      <c r="J425" s="17"/>
      <c r="N425" s="16"/>
      <c r="O425" s="16"/>
      <c r="P425" s="16"/>
      <c r="AN425" s="18"/>
      <c r="AO425" s="18"/>
      <c r="AP425" s="18"/>
      <c r="AQ425" s="18"/>
      <c r="AR425" s="18"/>
      <c r="AS425" s="18"/>
      <c r="AU425" s="18"/>
      <c r="AV425" s="18"/>
    </row>
    <row r="426" spans="2:48" ht="15.75" customHeight="1">
      <c r="B426" s="16"/>
      <c r="C426" s="13"/>
      <c r="G426" s="15"/>
      <c r="H426" s="16"/>
      <c r="I426" s="16"/>
      <c r="J426" s="17"/>
      <c r="N426" s="16"/>
      <c r="O426" s="16"/>
      <c r="P426" s="16"/>
      <c r="AN426" s="18"/>
      <c r="AO426" s="18"/>
      <c r="AP426" s="18"/>
      <c r="AQ426" s="18"/>
      <c r="AR426" s="18"/>
      <c r="AS426" s="18"/>
      <c r="AU426" s="18"/>
      <c r="AV426" s="18"/>
    </row>
    <row r="427" spans="2:48" ht="15.75" customHeight="1">
      <c r="B427" s="16"/>
      <c r="C427" s="13"/>
      <c r="G427" s="15"/>
      <c r="H427" s="16"/>
      <c r="I427" s="16"/>
      <c r="J427" s="17"/>
      <c r="N427" s="16"/>
      <c r="O427" s="16"/>
      <c r="P427" s="16"/>
      <c r="AN427" s="18"/>
      <c r="AO427" s="18"/>
      <c r="AP427" s="18"/>
      <c r="AQ427" s="18"/>
      <c r="AR427" s="18"/>
      <c r="AS427" s="18"/>
      <c r="AU427" s="18"/>
      <c r="AV427" s="18"/>
    </row>
    <row r="428" spans="2:48" ht="15.75" customHeight="1">
      <c r="B428" s="16"/>
      <c r="C428" s="13"/>
      <c r="G428" s="15"/>
      <c r="H428" s="16"/>
      <c r="I428" s="16"/>
      <c r="J428" s="17"/>
      <c r="N428" s="16"/>
      <c r="O428" s="16"/>
      <c r="P428" s="16"/>
      <c r="AN428" s="18"/>
      <c r="AO428" s="18"/>
      <c r="AP428" s="18"/>
      <c r="AQ428" s="18"/>
      <c r="AR428" s="18"/>
      <c r="AS428" s="18"/>
      <c r="AU428" s="18"/>
      <c r="AV428" s="18"/>
    </row>
    <row r="429" spans="2:48" ht="15.75" customHeight="1">
      <c r="B429" s="16"/>
      <c r="C429" s="13"/>
      <c r="G429" s="15"/>
      <c r="H429" s="16"/>
      <c r="I429" s="16"/>
      <c r="J429" s="17"/>
      <c r="N429" s="16"/>
      <c r="O429" s="16"/>
      <c r="P429" s="16"/>
      <c r="AN429" s="18"/>
      <c r="AO429" s="18"/>
      <c r="AP429" s="18"/>
      <c r="AQ429" s="18"/>
      <c r="AR429" s="18"/>
      <c r="AS429" s="18"/>
      <c r="AU429" s="18"/>
      <c r="AV429" s="18"/>
    </row>
    <row r="430" spans="2:48" ht="15.75" customHeight="1">
      <c r="B430" s="16"/>
      <c r="C430" s="13"/>
      <c r="G430" s="15"/>
      <c r="H430" s="16"/>
      <c r="I430" s="16"/>
      <c r="J430" s="17"/>
      <c r="N430" s="16"/>
      <c r="O430" s="16"/>
      <c r="P430" s="16"/>
      <c r="AN430" s="18"/>
      <c r="AO430" s="18"/>
      <c r="AP430" s="18"/>
      <c r="AQ430" s="18"/>
      <c r="AR430" s="18"/>
      <c r="AS430" s="18"/>
      <c r="AU430" s="18"/>
      <c r="AV430" s="18"/>
    </row>
    <row r="431" spans="2:48" ht="15.75" customHeight="1">
      <c r="B431" s="16"/>
      <c r="C431" s="13"/>
      <c r="G431" s="15"/>
      <c r="H431" s="16"/>
      <c r="I431" s="16"/>
      <c r="J431" s="17"/>
      <c r="N431" s="16"/>
      <c r="O431" s="16"/>
      <c r="P431" s="16"/>
      <c r="AN431" s="18"/>
      <c r="AO431" s="18"/>
      <c r="AP431" s="18"/>
      <c r="AQ431" s="18"/>
      <c r="AR431" s="18"/>
      <c r="AS431" s="18"/>
      <c r="AU431" s="18"/>
      <c r="AV431" s="18"/>
    </row>
    <row r="432" spans="2:48" ht="15.75" customHeight="1">
      <c r="B432" s="16"/>
      <c r="C432" s="13"/>
      <c r="G432" s="15"/>
      <c r="H432" s="16"/>
      <c r="I432" s="16"/>
      <c r="J432" s="17"/>
      <c r="N432" s="16"/>
      <c r="P432" s="16"/>
      <c r="AN432" s="18"/>
      <c r="AO432" s="18"/>
      <c r="AP432" s="18"/>
      <c r="AQ432" s="18"/>
      <c r="AR432" s="18"/>
      <c r="AS432" s="18"/>
      <c r="AU432" s="18"/>
      <c r="AV432" s="18"/>
    </row>
    <row r="433" spans="2:48" ht="15.75" customHeight="1">
      <c r="B433" s="16"/>
      <c r="C433" s="13"/>
      <c r="G433" s="15"/>
      <c r="H433" s="16"/>
      <c r="I433" s="16"/>
      <c r="J433" s="17"/>
      <c r="N433" s="16"/>
      <c r="P433" s="16"/>
      <c r="AN433" s="18"/>
      <c r="AO433" s="18"/>
      <c r="AP433" s="18"/>
      <c r="AQ433" s="18"/>
      <c r="AR433" s="18"/>
      <c r="AS433" s="18"/>
      <c r="AU433" s="18"/>
      <c r="AV433" s="18"/>
    </row>
    <row r="434" spans="2:48" ht="15.75" customHeight="1">
      <c r="B434" s="16"/>
      <c r="C434" s="13"/>
      <c r="G434" s="15"/>
      <c r="H434" s="16"/>
      <c r="I434" s="16"/>
      <c r="J434" s="17"/>
      <c r="N434" s="16"/>
      <c r="O434" s="16"/>
      <c r="P434" s="16"/>
      <c r="AN434" s="18"/>
      <c r="AO434" s="18"/>
      <c r="AP434" s="18"/>
      <c r="AQ434" s="18"/>
      <c r="AR434" s="18"/>
      <c r="AS434" s="18"/>
      <c r="AU434" s="18"/>
      <c r="AV434" s="18"/>
    </row>
    <row r="435" spans="2:48" ht="15.75" customHeight="1">
      <c r="B435" s="16"/>
      <c r="C435" s="13"/>
      <c r="G435" s="15"/>
      <c r="H435" s="16"/>
      <c r="I435" s="16"/>
      <c r="J435" s="17"/>
      <c r="N435" s="16"/>
      <c r="O435" s="16"/>
      <c r="P435" s="16"/>
      <c r="AN435" s="18"/>
      <c r="AO435" s="18"/>
      <c r="AP435" s="18"/>
      <c r="AQ435" s="18"/>
      <c r="AR435" s="18"/>
      <c r="AS435" s="18"/>
      <c r="AU435" s="18"/>
      <c r="AV435" s="18"/>
    </row>
    <row r="436" spans="2:48" ht="15.75" customHeight="1">
      <c r="B436" s="16"/>
      <c r="C436" s="13"/>
      <c r="G436" s="15"/>
      <c r="H436" s="16"/>
      <c r="I436" s="16"/>
      <c r="J436" s="17"/>
      <c r="N436" s="16"/>
      <c r="O436" s="16"/>
      <c r="P436" s="16"/>
      <c r="AN436" s="18"/>
      <c r="AO436" s="18"/>
      <c r="AP436" s="18"/>
      <c r="AQ436" s="18"/>
      <c r="AR436" s="18"/>
      <c r="AS436" s="18"/>
      <c r="AU436" s="18"/>
      <c r="AV436" s="18"/>
    </row>
    <row r="437" spans="2:48" ht="15.75" customHeight="1">
      <c r="B437" s="16"/>
      <c r="C437" s="13"/>
      <c r="G437" s="15"/>
      <c r="H437" s="16"/>
      <c r="I437" s="16"/>
      <c r="J437" s="17"/>
      <c r="N437" s="16"/>
      <c r="O437" s="16"/>
      <c r="P437" s="16"/>
      <c r="AN437" s="18"/>
      <c r="AO437" s="18"/>
      <c r="AP437" s="18"/>
      <c r="AQ437" s="18"/>
      <c r="AR437" s="18"/>
      <c r="AS437" s="18"/>
      <c r="AU437" s="18"/>
      <c r="AV437" s="18"/>
    </row>
    <row r="438" spans="2:48" ht="15.75" customHeight="1">
      <c r="B438" s="16"/>
      <c r="C438" s="13"/>
      <c r="G438" s="15"/>
      <c r="H438" s="16"/>
      <c r="I438" s="16"/>
      <c r="J438" s="17"/>
      <c r="N438" s="16"/>
      <c r="O438" s="16"/>
      <c r="P438" s="16"/>
      <c r="AN438" s="18"/>
      <c r="AO438" s="18"/>
      <c r="AP438" s="18"/>
      <c r="AQ438" s="18"/>
      <c r="AR438" s="18"/>
      <c r="AS438" s="18"/>
      <c r="AU438" s="18"/>
      <c r="AV438" s="18"/>
    </row>
    <row r="439" spans="2:48" ht="15.75" customHeight="1">
      <c r="B439" s="16"/>
      <c r="C439" s="13"/>
      <c r="G439" s="15"/>
      <c r="H439" s="16"/>
      <c r="I439" s="16"/>
      <c r="J439" s="17"/>
      <c r="N439" s="16"/>
      <c r="O439" s="16"/>
      <c r="P439" s="16"/>
      <c r="AN439" s="18"/>
      <c r="AO439" s="18"/>
      <c r="AP439" s="18"/>
      <c r="AQ439" s="18"/>
      <c r="AR439" s="18"/>
      <c r="AS439" s="18"/>
      <c r="AU439" s="18"/>
      <c r="AV439" s="18"/>
    </row>
    <row r="440" spans="2:48" ht="15.75" customHeight="1">
      <c r="B440" s="16"/>
      <c r="C440" s="13"/>
      <c r="G440" s="15"/>
      <c r="H440" s="16"/>
      <c r="I440" s="16"/>
      <c r="J440" s="17"/>
      <c r="N440" s="16"/>
      <c r="O440" s="16"/>
      <c r="P440" s="16"/>
      <c r="AN440" s="18"/>
      <c r="AO440" s="18"/>
      <c r="AP440" s="18"/>
      <c r="AQ440" s="18"/>
      <c r="AR440" s="18"/>
      <c r="AS440" s="18"/>
      <c r="AU440" s="18"/>
      <c r="AV440" s="18"/>
    </row>
    <row r="441" spans="2:48" ht="15.75" customHeight="1">
      <c r="B441" s="16"/>
      <c r="C441" s="13"/>
      <c r="G441" s="15"/>
      <c r="H441" s="16"/>
      <c r="I441" s="16"/>
      <c r="J441" s="17"/>
      <c r="N441" s="16"/>
      <c r="O441" s="16"/>
      <c r="P441" s="16"/>
      <c r="AN441" s="18"/>
      <c r="AO441" s="18"/>
      <c r="AP441" s="18"/>
      <c r="AQ441" s="18"/>
      <c r="AR441" s="18"/>
      <c r="AS441" s="18"/>
      <c r="AU441" s="18"/>
      <c r="AV441" s="18"/>
    </row>
    <row r="442" spans="2:48" ht="15.75" customHeight="1">
      <c r="B442" s="16"/>
      <c r="C442" s="13"/>
      <c r="G442" s="15"/>
      <c r="H442" s="16"/>
      <c r="I442" s="16"/>
      <c r="J442" s="17"/>
      <c r="N442" s="16"/>
      <c r="O442" s="16"/>
      <c r="P442" s="16"/>
      <c r="AN442" s="18"/>
      <c r="AO442" s="18"/>
      <c r="AP442" s="18"/>
      <c r="AQ442" s="18"/>
      <c r="AR442" s="18"/>
      <c r="AS442" s="18"/>
      <c r="AU442" s="18"/>
      <c r="AV442" s="18"/>
    </row>
    <row r="443" spans="2:48" ht="15.75" customHeight="1">
      <c r="B443" s="16"/>
      <c r="C443" s="13"/>
      <c r="G443" s="15"/>
      <c r="H443" s="16"/>
      <c r="I443" s="16"/>
      <c r="J443" s="17"/>
      <c r="N443" s="16"/>
      <c r="O443" s="16"/>
      <c r="P443" s="16"/>
      <c r="AN443" s="18"/>
      <c r="AO443" s="18"/>
      <c r="AP443" s="18"/>
      <c r="AQ443" s="18"/>
      <c r="AR443" s="18"/>
      <c r="AS443" s="18"/>
      <c r="AU443" s="18"/>
      <c r="AV443" s="18"/>
    </row>
    <row r="444" spans="2:48" ht="15.75" customHeight="1">
      <c r="B444" s="16"/>
      <c r="C444" s="13"/>
      <c r="G444" s="15"/>
      <c r="H444" s="16"/>
      <c r="I444" s="16"/>
      <c r="J444" s="17"/>
      <c r="N444" s="16"/>
      <c r="O444" s="16"/>
      <c r="P444" s="16"/>
      <c r="AN444" s="18"/>
      <c r="AO444" s="18"/>
      <c r="AP444" s="18"/>
      <c r="AQ444" s="18"/>
      <c r="AR444" s="18"/>
      <c r="AS444" s="18"/>
      <c r="AU444" s="18"/>
      <c r="AV444" s="18"/>
    </row>
    <row r="445" spans="2:48" ht="15.75" customHeight="1">
      <c r="B445" s="16"/>
      <c r="C445" s="13"/>
      <c r="G445" s="15"/>
      <c r="H445" s="16"/>
      <c r="I445" s="16"/>
      <c r="J445" s="17"/>
      <c r="N445" s="16"/>
      <c r="O445" s="16"/>
      <c r="P445" s="16"/>
      <c r="AN445" s="18"/>
      <c r="AO445" s="18"/>
      <c r="AP445" s="18"/>
      <c r="AQ445" s="18"/>
      <c r="AR445" s="18"/>
      <c r="AS445" s="18"/>
      <c r="AU445" s="18"/>
      <c r="AV445" s="18"/>
    </row>
    <row r="446" spans="2:48" ht="15.75" customHeight="1">
      <c r="B446" s="16"/>
      <c r="C446" s="13"/>
      <c r="G446" s="15"/>
      <c r="H446" s="16"/>
      <c r="I446" s="16"/>
      <c r="J446" s="17"/>
      <c r="N446" s="16"/>
      <c r="O446" s="16"/>
      <c r="P446" s="16"/>
      <c r="AN446" s="18"/>
      <c r="AO446" s="18"/>
      <c r="AP446" s="18"/>
      <c r="AQ446" s="18"/>
      <c r="AR446" s="18"/>
      <c r="AS446" s="18"/>
      <c r="AU446" s="18"/>
      <c r="AV446" s="18"/>
    </row>
    <row r="447" spans="2:48" ht="15.75" customHeight="1">
      <c r="B447" s="16"/>
      <c r="C447" s="13"/>
      <c r="G447" s="15"/>
      <c r="H447" s="16"/>
      <c r="I447" s="16"/>
      <c r="J447" s="17"/>
      <c r="N447" s="16"/>
      <c r="O447" s="16"/>
      <c r="P447" s="16"/>
      <c r="AN447" s="18"/>
      <c r="AO447" s="18"/>
      <c r="AP447" s="18"/>
      <c r="AQ447" s="18"/>
      <c r="AR447" s="18"/>
      <c r="AS447" s="18"/>
      <c r="AU447" s="18"/>
      <c r="AV447" s="18"/>
    </row>
    <row r="448" spans="2:48" ht="15.75" customHeight="1">
      <c r="B448" s="16"/>
      <c r="C448" s="13"/>
      <c r="G448" s="15"/>
      <c r="H448" s="16"/>
      <c r="I448" s="16"/>
      <c r="J448" s="17"/>
      <c r="N448" s="16"/>
      <c r="O448" s="16"/>
      <c r="P448" s="16"/>
      <c r="AN448" s="18"/>
      <c r="AO448" s="18"/>
      <c r="AP448" s="18"/>
      <c r="AQ448" s="18"/>
      <c r="AR448" s="18"/>
      <c r="AS448" s="18"/>
      <c r="AU448" s="18"/>
      <c r="AV448" s="18"/>
    </row>
    <row r="449" spans="2:48" ht="15.75" customHeight="1">
      <c r="B449" s="16"/>
      <c r="C449" s="13"/>
      <c r="G449" s="15"/>
      <c r="H449" s="16"/>
      <c r="I449" s="16"/>
      <c r="J449" s="17"/>
      <c r="N449" s="16"/>
      <c r="O449" s="16"/>
      <c r="P449" s="16"/>
      <c r="AN449" s="18"/>
      <c r="AO449" s="18"/>
      <c r="AP449" s="18"/>
      <c r="AQ449" s="18"/>
      <c r="AR449" s="18"/>
      <c r="AS449" s="18"/>
      <c r="AU449" s="18"/>
      <c r="AV449" s="18"/>
    </row>
    <row r="450" spans="2:48" ht="15.75" customHeight="1">
      <c r="B450" s="16"/>
      <c r="C450" s="13"/>
      <c r="G450" s="15"/>
      <c r="H450" s="16"/>
      <c r="I450" s="16"/>
      <c r="J450" s="17"/>
      <c r="N450" s="16"/>
      <c r="O450" s="16"/>
      <c r="P450" s="16"/>
      <c r="AN450" s="18"/>
      <c r="AO450" s="18"/>
      <c r="AP450" s="18"/>
      <c r="AQ450" s="18"/>
      <c r="AR450" s="18"/>
      <c r="AS450" s="18"/>
      <c r="AU450" s="18"/>
      <c r="AV450" s="18"/>
    </row>
    <row r="451" spans="2:48" ht="15.75" customHeight="1">
      <c r="B451" s="16"/>
      <c r="C451" s="13"/>
      <c r="G451" s="15"/>
      <c r="H451" s="16"/>
      <c r="I451" s="16"/>
      <c r="J451" s="17"/>
      <c r="N451" s="16"/>
      <c r="O451" s="16"/>
      <c r="P451" s="16"/>
      <c r="AN451" s="18"/>
      <c r="AO451" s="18"/>
      <c r="AP451" s="18"/>
      <c r="AQ451" s="18"/>
      <c r="AR451" s="18"/>
      <c r="AS451" s="18"/>
      <c r="AU451" s="18"/>
      <c r="AV451" s="18"/>
    </row>
    <row r="452" spans="2:48" ht="15.75" customHeight="1">
      <c r="B452" s="16"/>
      <c r="C452" s="13"/>
      <c r="G452" s="15"/>
      <c r="H452" s="16"/>
      <c r="I452" s="16"/>
      <c r="J452" s="17"/>
      <c r="N452" s="16"/>
      <c r="O452" s="16"/>
      <c r="P452" s="16"/>
      <c r="AN452" s="18"/>
      <c r="AO452" s="18"/>
      <c r="AP452" s="18"/>
      <c r="AQ452" s="18"/>
      <c r="AR452" s="18"/>
      <c r="AS452" s="18"/>
      <c r="AU452" s="18"/>
      <c r="AV452" s="18"/>
    </row>
    <row r="453" spans="2:48" ht="15.75" customHeight="1">
      <c r="B453" s="16"/>
      <c r="C453" s="13"/>
      <c r="G453" s="15"/>
      <c r="H453" s="16"/>
      <c r="I453" s="16"/>
      <c r="J453" s="17"/>
      <c r="N453" s="16"/>
      <c r="O453" s="16"/>
      <c r="P453" s="16"/>
      <c r="AN453" s="18"/>
      <c r="AO453" s="18"/>
      <c r="AP453" s="18"/>
      <c r="AQ453" s="18"/>
      <c r="AR453" s="18"/>
      <c r="AS453" s="18"/>
      <c r="AU453" s="18"/>
      <c r="AV453" s="18"/>
    </row>
    <row r="454" spans="2:48" ht="15.75" customHeight="1">
      <c r="B454" s="16"/>
      <c r="C454" s="13"/>
      <c r="G454" s="15"/>
      <c r="H454" s="16"/>
      <c r="I454" s="16"/>
      <c r="J454" s="17"/>
      <c r="N454" s="16"/>
      <c r="O454" s="16"/>
      <c r="P454" s="16"/>
      <c r="AN454" s="18"/>
      <c r="AO454" s="18"/>
      <c r="AP454" s="18"/>
      <c r="AQ454" s="18"/>
      <c r="AR454" s="18"/>
      <c r="AS454" s="18"/>
      <c r="AU454" s="18"/>
      <c r="AV454" s="18"/>
    </row>
    <row r="455" spans="2:48" ht="15.75" customHeight="1">
      <c r="B455" s="16"/>
      <c r="C455" s="13"/>
      <c r="G455" s="15"/>
      <c r="H455" s="16"/>
      <c r="I455" s="16"/>
      <c r="J455" s="17"/>
      <c r="N455" s="16"/>
      <c r="O455" s="16"/>
      <c r="P455" s="16"/>
      <c r="AN455" s="18"/>
      <c r="AO455" s="18"/>
      <c r="AP455" s="18"/>
      <c r="AQ455" s="18"/>
      <c r="AR455" s="18"/>
      <c r="AS455" s="18"/>
      <c r="AU455" s="18"/>
      <c r="AV455" s="18"/>
    </row>
    <row r="456" spans="2:48" ht="15.75" customHeight="1">
      <c r="B456" s="16"/>
      <c r="C456" s="13"/>
      <c r="G456" s="15"/>
      <c r="H456" s="16"/>
      <c r="I456" s="16"/>
      <c r="J456" s="17"/>
      <c r="N456" s="16"/>
      <c r="O456" s="16"/>
      <c r="P456" s="16"/>
      <c r="AN456" s="18"/>
      <c r="AO456" s="18"/>
      <c r="AP456" s="18"/>
      <c r="AQ456" s="18"/>
      <c r="AR456" s="18"/>
      <c r="AS456" s="18"/>
      <c r="AU456" s="18"/>
      <c r="AV456" s="18"/>
    </row>
    <row r="457" spans="2:48" ht="15.75" customHeight="1">
      <c r="B457" s="16"/>
      <c r="C457" s="13"/>
      <c r="G457" s="15"/>
      <c r="J457" s="17"/>
      <c r="N457" s="16"/>
      <c r="O457" s="16"/>
      <c r="P457" s="16"/>
      <c r="AN457" s="18"/>
      <c r="AO457" s="18"/>
      <c r="AP457" s="18"/>
      <c r="AQ457" s="18"/>
      <c r="AR457" s="18"/>
      <c r="AS457" s="18"/>
      <c r="AU457" s="18"/>
      <c r="AV457" s="18"/>
    </row>
    <row r="458" spans="2:48" ht="15.75" customHeight="1">
      <c r="B458" s="16"/>
      <c r="C458" s="13"/>
      <c r="G458" s="15"/>
      <c r="J458" s="17"/>
      <c r="N458" s="16"/>
      <c r="O458" s="16"/>
      <c r="P458" s="16"/>
      <c r="AN458" s="18"/>
      <c r="AO458" s="18"/>
      <c r="AP458" s="18"/>
      <c r="AQ458" s="18"/>
      <c r="AR458" s="18"/>
      <c r="AS458" s="18"/>
      <c r="AU458" s="18"/>
      <c r="AV458" s="18"/>
    </row>
    <row r="459" spans="2:48" ht="15.75" customHeight="1">
      <c r="B459" s="16"/>
      <c r="C459" s="13"/>
      <c r="G459" s="15"/>
      <c r="H459" s="16"/>
      <c r="I459" s="16"/>
      <c r="J459" s="17"/>
      <c r="N459" s="16"/>
      <c r="O459" s="16"/>
      <c r="P459" s="16"/>
      <c r="AN459" s="18"/>
      <c r="AO459" s="18"/>
      <c r="AP459" s="18"/>
      <c r="AQ459" s="18"/>
      <c r="AR459" s="18"/>
      <c r="AS459" s="18"/>
      <c r="AU459" s="18"/>
      <c r="AV459" s="18"/>
    </row>
    <row r="460" spans="2:48" ht="15.75" customHeight="1">
      <c r="B460" s="16"/>
      <c r="C460" s="13"/>
      <c r="G460" s="15"/>
      <c r="H460" s="16"/>
      <c r="I460" s="16"/>
      <c r="J460" s="17"/>
      <c r="N460" s="16"/>
      <c r="O460" s="16"/>
      <c r="P460" s="16"/>
      <c r="AN460" s="18"/>
      <c r="AO460" s="18"/>
      <c r="AP460" s="18"/>
      <c r="AQ460" s="18"/>
      <c r="AR460" s="18"/>
      <c r="AS460" s="18"/>
      <c r="AU460" s="18"/>
      <c r="AV460" s="18"/>
    </row>
    <row r="461" spans="2:48" ht="15.75" customHeight="1">
      <c r="B461" s="16"/>
      <c r="C461" s="13"/>
      <c r="G461" s="15"/>
      <c r="H461" s="16"/>
      <c r="I461" s="16"/>
      <c r="J461" s="17"/>
      <c r="N461" s="16"/>
      <c r="O461" s="16"/>
      <c r="P461" s="16"/>
      <c r="AN461" s="18"/>
      <c r="AO461" s="18"/>
      <c r="AP461" s="18"/>
      <c r="AQ461" s="18"/>
      <c r="AR461" s="18"/>
      <c r="AS461" s="18"/>
      <c r="AU461" s="18"/>
      <c r="AV461" s="18"/>
    </row>
    <row r="462" spans="2:48" ht="15.75" customHeight="1">
      <c r="B462" s="16"/>
      <c r="C462" s="13"/>
      <c r="G462" s="15"/>
      <c r="H462" s="16"/>
      <c r="I462" s="16"/>
      <c r="J462" s="17"/>
      <c r="N462" s="16"/>
      <c r="O462" s="16"/>
      <c r="P462" s="16"/>
      <c r="AN462" s="18"/>
      <c r="AO462" s="18"/>
      <c r="AP462" s="18"/>
      <c r="AQ462" s="18"/>
      <c r="AR462" s="18"/>
      <c r="AS462" s="18"/>
      <c r="AU462" s="18"/>
      <c r="AV462" s="18"/>
    </row>
    <row r="463" spans="2:48" ht="15.75" customHeight="1">
      <c r="B463" s="16"/>
      <c r="C463" s="13"/>
      <c r="G463" s="15"/>
      <c r="H463" s="16"/>
      <c r="I463" s="16"/>
      <c r="J463" s="17"/>
      <c r="N463" s="16"/>
      <c r="O463" s="16"/>
      <c r="P463" s="16"/>
      <c r="AN463" s="18"/>
      <c r="AO463" s="18"/>
      <c r="AP463" s="18"/>
      <c r="AQ463" s="18"/>
      <c r="AR463" s="18"/>
      <c r="AS463" s="18"/>
      <c r="AU463" s="18"/>
      <c r="AV463" s="18"/>
    </row>
    <row r="464" spans="2:48" ht="15.75" customHeight="1">
      <c r="B464" s="16"/>
      <c r="C464" s="13"/>
      <c r="G464" s="15"/>
      <c r="H464" s="16"/>
      <c r="I464" s="16"/>
      <c r="J464" s="17"/>
      <c r="N464" s="16"/>
      <c r="O464" s="16"/>
      <c r="P464" s="16"/>
      <c r="AN464" s="18"/>
      <c r="AO464" s="18"/>
      <c r="AP464" s="18"/>
      <c r="AQ464" s="18"/>
      <c r="AR464" s="18"/>
      <c r="AS464" s="18"/>
      <c r="AU464" s="18"/>
      <c r="AV464" s="18"/>
    </row>
    <row r="465" spans="2:52" ht="15.75" customHeight="1">
      <c r="B465" s="16"/>
      <c r="C465" s="13"/>
      <c r="G465" s="15"/>
      <c r="H465" s="16"/>
      <c r="I465" s="16"/>
      <c r="J465" s="17"/>
      <c r="N465" s="16"/>
      <c r="O465" s="16"/>
      <c r="P465" s="16"/>
      <c r="AN465" s="18"/>
      <c r="AO465" s="18"/>
      <c r="AP465" s="18"/>
      <c r="AQ465" s="18"/>
      <c r="AR465" s="18"/>
      <c r="AS465" s="18"/>
      <c r="AU465" s="18"/>
      <c r="AV465" s="18"/>
    </row>
    <row r="466" spans="2:52" ht="15.75" customHeight="1">
      <c r="B466" s="16"/>
      <c r="C466" s="13"/>
      <c r="G466" s="15"/>
      <c r="H466" s="16"/>
      <c r="I466" s="16"/>
      <c r="J466" s="17"/>
      <c r="N466" s="16"/>
      <c r="P466" s="16"/>
      <c r="AN466" s="18"/>
      <c r="AO466" s="18"/>
      <c r="AP466" s="18"/>
      <c r="AQ466" s="18"/>
      <c r="AR466" s="18"/>
      <c r="AS466" s="18"/>
      <c r="AU466" s="18"/>
      <c r="AV466" s="18"/>
    </row>
    <row r="467" spans="2:52" ht="15.75" customHeight="1">
      <c r="B467" s="16"/>
      <c r="C467" s="13"/>
      <c r="G467" s="15"/>
      <c r="H467" s="16"/>
      <c r="I467" s="16"/>
      <c r="J467" s="17"/>
      <c r="N467" s="16"/>
      <c r="P467" s="16"/>
      <c r="AN467" s="18"/>
      <c r="AO467" s="18"/>
      <c r="AP467" s="18"/>
      <c r="AQ467" s="18"/>
      <c r="AR467" s="18"/>
      <c r="AS467" s="18"/>
      <c r="AU467" s="18"/>
      <c r="AV467" s="18"/>
    </row>
    <row r="468" spans="2:52" ht="15.75" customHeight="1">
      <c r="B468" s="16"/>
      <c r="C468" s="13"/>
      <c r="G468" s="15"/>
      <c r="H468" s="16"/>
      <c r="I468" s="16"/>
      <c r="J468" s="17"/>
      <c r="N468" s="16"/>
      <c r="O468" s="16"/>
      <c r="P468" s="16"/>
      <c r="AN468" s="18"/>
      <c r="AO468" s="18"/>
      <c r="AP468" s="18"/>
      <c r="AQ468" s="18"/>
      <c r="AR468" s="18"/>
      <c r="AS468" s="18"/>
      <c r="AU468" s="18"/>
      <c r="AV468" s="18"/>
    </row>
    <row r="469" spans="2:52" ht="15.75" customHeight="1">
      <c r="B469" s="16"/>
      <c r="C469" s="13"/>
      <c r="G469" s="15"/>
      <c r="H469" s="16"/>
      <c r="I469" s="16"/>
      <c r="J469" s="17"/>
      <c r="N469" s="16"/>
      <c r="O469" s="16"/>
      <c r="P469" s="16"/>
      <c r="AN469" s="18"/>
      <c r="AO469" s="18"/>
      <c r="AP469" s="18"/>
      <c r="AQ469" s="18"/>
      <c r="AR469" s="18"/>
      <c r="AS469" s="18"/>
      <c r="AU469" s="18"/>
      <c r="AV469" s="18"/>
    </row>
    <row r="470" spans="2:52" ht="15.75" customHeight="1">
      <c r="B470" s="16"/>
      <c r="C470" s="13"/>
      <c r="G470" s="15"/>
      <c r="H470" s="16"/>
      <c r="I470" s="16"/>
      <c r="J470" s="17"/>
      <c r="N470" s="16"/>
      <c r="O470" s="16"/>
      <c r="P470" s="16"/>
      <c r="AN470" s="18"/>
      <c r="AO470" s="18"/>
      <c r="AP470" s="18"/>
      <c r="AQ470" s="18"/>
      <c r="AR470" s="18"/>
      <c r="AS470" s="18"/>
      <c r="AU470" s="18"/>
      <c r="AV470" s="18"/>
    </row>
    <row r="471" spans="2:52" ht="15.75" customHeight="1">
      <c r="B471" s="16"/>
      <c r="C471" s="13"/>
      <c r="G471" s="15"/>
      <c r="H471" s="16"/>
      <c r="I471" s="16"/>
      <c r="J471" s="17"/>
      <c r="N471" s="16"/>
      <c r="O471" s="16"/>
      <c r="P471" s="16"/>
      <c r="AN471" s="18"/>
      <c r="AO471" s="18"/>
      <c r="AP471" s="18"/>
      <c r="AQ471" s="18"/>
      <c r="AR471" s="18"/>
      <c r="AS471" s="18"/>
      <c r="AU471" s="18"/>
      <c r="AV471" s="18"/>
      <c r="AY471" s="14"/>
      <c r="AZ471" s="14"/>
    </row>
    <row r="472" spans="2:52" ht="15.75" customHeight="1">
      <c r="B472" s="16"/>
      <c r="C472" s="13"/>
      <c r="G472" s="15"/>
      <c r="H472" s="16"/>
      <c r="I472" s="16"/>
      <c r="J472" s="17"/>
      <c r="N472" s="16"/>
      <c r="O472" s="16"/>
      <c r="P472" s="16"/>
      <c r="AN472" s="18"/>
      <c r="AO472" s="18"/>
      <c r="AP472" s="18"/>
      <c r="AQ472" s="18"/>
      <c r="AR472" s="18"/>
      <c r="AS472" s="18"/>
      <c r="AU472" s="18"/>
      <c r="AV472" s="18"/>
      <c r="AY472" s="14"/>
      <c r="AZ472" s="14"/>
    </row>
    <row r="473" spans="2:52" ht="15.75" customHeight="1">
      <c r="B473" s="16"/>
      <c r="C473" s="13"/>
      <c r="G473" s="15"/>
      <c r="H473" s="16"/>
      <c r="I473" s="16"/>
      <c r="J473" s="17"/>
      <c r="N473" s="16"/>
      <c r="O473" s="16"/>
      <c r="P473" s="16"/>
      <c r="AN473" s="18"/>
      <c r="AO473" s="18"/>
      <c r="AP473" s="18"/>
      <c r="AQ473" s="18"/>
      <c r="AR473" s="18"/>
      <c r="AS473" s="18"/>
      <c r="AU473" s="18"/>
      <c r="AV473" s="18"/>
      <c r="AY473" s="14"/>
      <c r="AZ473" s="14"/>
    </row>
    <row r="474" spans="2:52" ht="15.75" customHeight="1">
      <c r="B474" s="16"/>
      <c r="C474" s="13"/>
      <c r="G474" s="15"/>
      <c r="H474" s="16"/>
      <c r="I474" s="16"/>
      <c r="J474" s="17"/>
      <c r="N474" s="16"/>
      <c r="O474" s="16"/>
      <c r="P474" s="16"/>
      <c r="AN474" s="18"/>
      <c r="AO474" s="18"/>
      <c r="AP474" s="18"/>
      <c r="AQ474" s="18"/>
      <c r="AR474" s="18"/>
      <c r="AS474" s="18"/>
      <c r="AU474" s="18"/>
      <c r="AV474" s="18"/>
      <c r="AY474" s="14"/>
      <c r="AZ474" s="14"/>
    </row>
    <row r="475" spans="2:52" ht="15.75" customHeight="1">
      <c r="B475" s="16"/>
      <c r="C475" s="13"/>
      <c r="G475" s="15"/>
      <c r="H475" s="16"/>
      <c r="I475" s="16"/>
      <c r="J475" s="17"/>
      <c r="N475" s="16"/>
      <c r="O475" s="16"/>
      <c r="P475" s="16"/>
      <c r="AN475" s="18"/>
      <c r="AO475" s="18"/>
      <c r="AP475" s="18"/>
      <c r="AQ475" s="18"/>
      <c r="AR475" s="18"/>
      <c r="AS475" s="18"/>
      <c r="AU475" s="18"/>
      <c r="AV475" s="18"/>
      <c r="AY475" s="14"/>
      <c r="AZ475" s="14"/>
    </row>
    <row r="476" spans="2:52" ht="15.75" customHeight="1">
      <c r="B476" s="16"/>
      <c r="C476" s="13"/>
      <c r="G476" s="15"/>
      <c r="H476" s="16"/>
      <c r="I476" s="16"/>
      <c r="J476" s="17"/>
      <c r="N476" s="16"/>
      <c r="O476" s="16"/>
      <c r="P476" s="16"/>
      <c r="AN476" s="18"/>
      <c r="AO476" s="18"/>
      <c r="AP476" s="18"/>
      <c r="AQ476" s="18"/>
      <c r="AR476" s="18"/>
      <c r="AS476" s="18"/>
      <c r="AU476" s="18"/>
      <c r="AV476" s="18"/>
      <c r="AY476" s="14"/>
      <c r="AZ476" s="14"/>
    </row>
    <row r="477" spans="2:52" ht="15.75" customHeight="1">
      <c r="B477" s="16"/>
      <c r="C477" s="13"/>
      <c r="G477" s="15"/>
      <c r="H477" s="16"/>
      <c r="I477" s="16"/>
      <c r="J477" s="17"/>
      <c r="N477" s="16"/>
      <c r="O477" s="16"/>
      <c r="P477" s="16"/>
      <c r="AN477" s="18"/>
      <c r="AO477" s="18"/>
      <c r="AP477" s="18"/>
      <c r="AQ477" s="18"/>
      <c r="AR477" s="18"/>
      <c r="AS477" s="18"/>
      <c r="AU477" s="18"/>
      <c r="AV477" s="18"/>
      <c r="AY477" s="14"/>
      <c r="AZ477" s="14"/>
    </row>
    <row r="478" spans="2:52" ht="15.75" customHeight="1">
      <c r="B478" s="16"/>
      <c r="C478" s="13"/>
      <c r="G478" s="15"/>
      <c r="H478" s="16"/>
      <c r="I478" s="16"/>
      <c r="J478" s="17"/>
      <c r="N478" s="16"/>
      <c r="O478" s="16"/>
      <c r="P478" s="16"/>
      <c r="AN478" s="18"/>
      <c r="AO478" s="18"/>
      <c r="AP478" s="18"/>
      <c r="AQ478" s="18"/>
      <c r="AR478" s="18"/>
      <c r="AS478" s="18"/>
      <c r="AU478" s="18"/>
      <c r="AV478" s="18"/>
      <c r="AY478" s="14"/>
      <c r="AZ478" s="14"/>
    </row>
    <row r="479" spans="2:52" ht="15.75" customHeight="1">
      <c r="B479" s="16"/>
      <c r="C479" s="13"/>
      <c r="G479" s="15"/>
      <c r="H479" s="16"/>
      <c r="I479" s="16"/>
      <c r="J479" s="17"/>
      <c r="N479" s="16"/>
      <c r="O479" s="16"/>
      <c r="P479" s="16"/>
      <c r="AN479" s="18"/>
      <c r="AO479" s="18"/>
      <c r="AP479" s="18"/>
      <c r="AQ479" s="18"/>
      <c r="AR479" s="18"/>
      <c r="AS479" s="18"/>
      <c r="AU479" s="18"/>
      <c r="AV479" s="18"/>
      <c r="AY479" s="14"/>
      <c r="AZ479" s="14"/>
    </row>
    <row r="480" spans="2:52" ht="15.75" customHeight="1">
      <c r="B480" s="16"/>
      <c r="C480" s="13"/>
      <c r="G480" s="15"/>
      <c r="H480" s="16"/>
      <c r="I480" s="16"/>
      <c r="J480" s="17"/>
      <c r="N480" s="16"/>
      <c r="O480" s="16"/>
      <c r="P480" s="16"/>
      <c r="AN480" s="18"/>
      <c r="AO480" s="18"/>
      <c r="AP480" s="18"/>
      <c r="AQ480" s="18"/>
      <c r="AR480" s="18"/>
      <c r="AS480" s="18"/>
      <c r="AU480" s="18"/>
      <c r="AV480" s="18"/>
      <c r="AY480" s="14"/>
      <c r="AZ480" s="14"/>
    </row>
    <row r="481" spans="2:52" ht="15.75" customHeight="1">
      <c r="B481" s="16"/>
      <c r="C481" s="13"/>
      <c r="G481" s="15"/>
      <c r="H481" s="16"/>
      <c r="I481" s="16"/>
      <c r="J481" s="17"/>
      <c r="N481" s="16"/>
      <c r="O481" s="16"/>
      <c r="P481" s="16"/>
      <c r="AN481" s="18"/>
      <c r="AO481" s="18"/>
      <c r="AP481" s="18"/>
      <c r="AQ481" s="18"/>
      <c r="AR481" s="18"/>
      <c r="AS481" s="18"/>
      <c r="AU481" s="18"/>
      <c r="AV481" s="18"/>
      <c r="AY481" s="14"/>
      <c r="AZ481" s="14"/>
    </row>
    <row r="482" spans="2:52" ht="15.75" customHeight="1">
      <c r="B482" s="16"/>
      <c r="C482" s="13"/>
      <c r="G482" s="15"/>
      <c r="H482" s="16"/>
      <c r="I482" s="16"/>
      <c r="J482" s="17"/>
      <c r="N482" s="16"/>
      <c r="O482" s="16"/>
      <c r="P482" s="16"/>
      <c r="AN482" s="18"/>
      <c r="AO482" s="18"/>
      <c r="AP482" s="18"/>
      <c r="AQ482" s="18"/>
      <c r="AR482" s="18"/>
      <c r="AS482" s="18"/>
      <c r="AU482" s="18"/>
      <c r="AV482" s="18"/>
      <c r="AY482" s="14"/>
      <c r="AZ482" s="14"/>
    </row>
    <row r="483" spans="2:52" ht="15.75" customHeight="1">
      <c r="B483" s="16"/>
      <c r="C483" s="13"/>
      <c r="G483" s="15"/>
      <c r="H483" s="16"/>
      <c r="I483" s="16"/>
      <c r="J483" s="17"/>
      <c r="N483" s="16"/>
      <c r="O483" s="16"/>
      <c r="P483" s="16"/>
      <c r="AN483" s="18"/>
      <c r="AO483" s="18"/>
      <c r="AP483" s="18"/>
      <c r="AQ483" s="18"/>
      <c r="AR483" s="18"/>
      <c r="AS483" s="18"/>
      <c r="AU483" s="18"/>
      <c r="AV483" s="18"/>
      <c r="AY483" s="14"/>
      <c r="AZ483" s="14"/>
    </row>
    <row r="484" spans="2:52" ht="15.75" customHeight="1">
      <c r="B484" s="16"/>
      <c r="C484" s="13"/>
      <c r="G484" s="15"/>
      <c r="H484" s="16"/>
      <c r="I484" s="16"/>
      <c r="J484" s="17"/>
      <c r="N484" s="16"/>
      <c r="O484" s="16"/>
      <c r="P484" s="16"/>
      <c r="AN484" s="18"/>
      <c r="AO484" s="18"/>
      <c r="AP484" s="18"/>
      <c r="AQ484" s="18"/>
      <c r="AR484" s="18"/>
      <c r="AS484" s="18"/>
      <c r="AU484" s="18"/>
      <c r="AV484" s="18"/>
    </row>
    <row r="485" spans="2:52" ht="15.75" customHeight="1">
      <c r="B485" s="16"/>
      <c r="C485" s="13"/>
      <c r="G485" s="15"/>
      <c r="H485" s="16"/>
      <c r="I485" s="16"/>
      <c r="J485" s="17"/>
      <c r="N485" s="16"/>
      <c r="O485" s="16"/>
      <c r="P485" s="16"/>
      <c r="AN485" s="18"/>
      <c r="AO485" s="18"/>
      <c r="AP485" s="18"/>
      <c r="AQ485" s="18"/>
      <c r="AR485" s="18"/>
      <c r="AS485" s="18"/>
      <c r="AU485" s="18"/>
      <c r="AV485" s="18"/>
    </row>
    <row r="486" spans="2:52" ht="15.75" customHeight="1">
      <c r="B486" s="16"/>
      <c r="C486" s="13"/>
      <c r="G486" s="15"/>
      <c r="H486" s="16"/>
      <c r="I486" s="16"/>
      <c r="J486" s="17"/>
      <c r="N486" s="16"/>
      <c r="O486" s="16"/>
      <c r="P486" s="16"/>
      <c r="AN486" s="18"/>
      <c r="AO486" s="18"/>
      <c r="AP486" s="18"/>
      <c r="AQ486" s="18"/>
      <c r="AR486" s="18"/>
      <c r="AS486" s="18"/>
      <c r="AU486" s="18"/>
      <c r="AV486" s="18"/>
    </row>
    <row r="487" spans="2:52" ht="15.75" customHeight="1">
      <c r="B487" s="16"/>
      <c r="C487" s="13"/>
      <c r="G487" s="15"/>
      <c r="H487" s="16"/>
      <c r="I487" s="16"/>
      <c r="J487" s="17"/>
      <c r="N487" s="16"/>
      <c r="O487" s="16"/>
      <c r="P487" s="16"/>
      <c r="AN487" s="18"/>
      <c r="AO487" s="18"/>
      <c r="AP487" s="18"/>
      <c r="AQ487" s="18"/>
      <c r="AR487" s="18"/>
      <c r="AS487" s="18"/>
      <c r="AU487" s="18"/>
      <c r="AV487" s="18"/>
    </row>
    <row r="488" spans="2:52" ht="15.75" customHeight="1">
      <c r="B488" s="16"/>
      <c r="C488" s="13"/>
      <c r="G488" s="15"/>
      <c r="H488" s="16"/>
      <c r="I488" s="16"/>
      <c r="J488" s="17"/>
      <c r="N488" s="16"/>
      <c r="O488" s="16"/>
      <c r="P488" s="16"/>
      <c r="AN488" s="18"/>
      <c r="AO488" s="18"/>
      <c r="AP488" s="18"/>
      <c r="AQ488" s="18"/>
      <c r="AR488" s="18"/>
      <c r="AS488" s="18"/>
      <c r="AU488" s="18"/>
      <c r="AV488" s="18"/>
    </row>
    <row r="489" spans="2:52" ht="15.75" customHeight="1">
      <c r="B489" s="16"/>
      <c r="C489" s="13"/>
      <c r="G489" s="15"/>
      <c r="H489" s="16"/>
      <c r="I489" s="16"/>
      <c r="J489" s="17"/>
      <c r="N489" s="16"/>
      <c r="O489" s="16"/>
      <c r="P489" s="16"/>
      <c r="AN489" s="18"/>
      <c r="AO489" s="18"/>
      <c r="AP489" s="18"/>
      <c r="AQ489" s="18"/>
      <c r="AR489" s="18"/>
      <c r="AS489" s="18"/>
      <c r="AU489" s="18"/>
      <c r="AV489" s="18"/>
      <c r="AY489" s="14"/>
      <c r="AZ489" s="14"/>
    </row>
    <row r="490" spans="2:52" ht="15.75" customHeight="1">
      <c r="B490" s="16"/>
      <c r="C490" s="13"/>
      <c r="G490" s="15"/>
      <c r="H490" s="16"/>
      <c r="I490" s="16"/>
      <c r="J490" s="17"/>
      <c r="N490" s="16"/>
      <c r="O490" s="16"/>
      <c r="P490" s="16"/>
      <c r="AN490" s="18"/>
      <c r="AO490" s="18"/>
      <c r="AP490" s="18"/>
      <c r="AQ490" s="18"/>
      <c r="AR490" s="18"/>
      <c r="AS490" s="18"/>
      <c r="AU490" s="18"/>
      <c r="AV490" s="18"/>
      <c r="AY490" s="14"/>
      <c r="AZ490" s="14"/>
    </row>
    <row r="491" spans="2:52" ht="15.75" customHeight="1">
      <c r="B491" s="16"/>
      <c r="C491" s="13"/>
      <c r="G491" s="15"/>
      <c r="H491" s="16"/>
      <c r="I491" s="16"/>
      <c r="J491" s="17"/>
      <c r="N491" s="16"/>
      <c r="O491" s="16"/>
      <c r="P491" s="16"/>
      <c r="AN491" s="18"/>
      <c r="AO491" s="18"/>
      <c r="AP491" s="18"/>
      <c r="AQ491" s="18"/>
      <c r="AR491" s="18"/>
      <c r="AS491" s="18"/>
      <c r="AU491" s="18"/>
      <c r="AV491" s="18"/>
      <c r="AY491" s="14"/>
      <c r="AZ491" s="14"/>
    </row>
    <row r="492" spans="2:52" ht="15.75" customHeight="1">
      <c r="B492" s="16"/>
      <c r="C492" s="13"/>
      <c r="G492" s="15"/>
      <c r="H492" s="16"/>
      <c r="I492" s="16"/>
      <c r="J492" s="17"/>
      <c r="N492" s="16"/>
      <c r="O492" s="16"/>
      <c r="P492" s="16"/>
      <c r="AN492" s="18"/>
      <c r="AO492" s="18"/>
      <c r="AP492" s="18"/>
      <c r="AQ492" s="18"/>
      <c r="AR492" s="18"/>
      <c r="AS492" s="18"/>
      <c r="AU492" s="18"/>
      <c r="AV492" s="18"/>
      <c r="AY492" s="14"/>
      <c r="AZ492" s="14"/>
    </row>
    <row r="493" spans="2:52" ht="15.75" customHeight="1">
      <c r="B493" s="16"/>
      <c r="C493" s="13"/>
      <c r="G493" s="15"/>
      <c r="H493" s="16"/>
      <c r="I493" s="16"/>
      <c r="J493" s="17"/>
      <c r="N493" s="16"/>
      <c r="O493" s="16"/>
      <c r="P493" s="16"/>
      <c r="AN493" s="18"/>
      <c r="AO493" s="18"/>
      <c r="AP493" s="18"/>
      <c r="AQ493" s="18"/>
      <c r="AR493" s="18"/>
      <c r="AS493" s="18"/>
      <c r="AU493" s="18"/>
      <c r="AV493" s="18"/>
      <c r="AY493" s="14"/>
      <c r="AZ493" s="14"/>
    </row>
    <row r="494" spans="2:52" ht="15.75" customHeight="1">
      <c r="B494" s="16"/>
      <c r="C494" s="13"/>
      <c r="G494" s="15"/>
      <c r="H494" s="16"/>
      <c r="I494" s="16"/>
      <c r="J494" s="17"/>
      <c r="N494" s="16"/>
      <c r="O494" s="16"/>
      <c r="P494" s="16"/>
      <c r="AN494" s="18"/>
      <c r="AO494" s="18"/>
      <c r="AP494" s="18"/>
      <c r="AQ494" s="18"/>
      <c r="AR494" s="18"/>
      <c r="AS494" s="18"/>
      <c r="AU494" s="18"/>
      <c r="AV494" s="18"/>
    </row>
    <row r="495" spans="2:52" ht="15.75" customHeight="1">
      <c r="B495" s="16"/>
      <c r="C495" s="13"/>
      <c r="G495" s="15"/>
      <c r="H495" s="16"/>
      <c r="I495" s="16"/>
      <c r="J495" s="17"/>
      <c r="N495" s="16"/>
      <c r="O495" s="16"/>
      <c r="P495" s="16"/>
      <c r="AN495" s="18"/>
      <c r="AO495" s="18"/>
      <c r="AP495" s="18"/>
      <c r="AQ495" s="18"/>
      <c r="AR495" s="18"/>
      <c r="AS495" s="18"/>
      <c r="AU495" s="18"/>
      <c r="AV495" s="18"/>
    </row>
    <row r="496" spans="2:52" ht="15.75" customHeight="1">
      <c r="B496" s="16"/>
      <c r="C496" s="13"/>
      <c r="G496" s="15"/>
      <c r="H496" s="16"/>
      <c r="I496" s="16"/>
      <c r="J496" s="17"/>
      <c r="N496" s="16"/>
      <c r="O496" s="16"/>
      <c r="P496" s="16"/>
      <c r="AN496" s="18"/>
      <c r="AO496" s="18"/>
      <c r="AP496" s="18"/>
      <c r="AQ496" s="18"/>
      <c r="AR496" s="18"/>
      <c r="AS496" s="18"/>
      <c r="AU496" s="18"/>
      <c r="AV496" s="18"/>
    </row>
    <row r="497" spans="2:52" ht="15.75" customHeight="1">
      <c r="B497" s="16"/>
      <c r="C497" s="13"/>
      <c r="G497" s="15"/>
      <c r="H497" s="16"/>
      <c r="I497" s="16"/>
      <c r="J497" s="17"/>
      <c r="N497" s="16"/>
      <c r="O497" s="16"/>
      <c r="P497" s="16"/>
      <c r="AN497" s="18"/>
      <c r="AO497" s="18"/>
      <c r="AP497" s="18"/>
      <c r="AQ497" s="18"/>
      <c r="AR497" s="18"/>
      <c r="AS497" s="18"/>
      <c r="AU497" s="18"/>
      <c r="AV497" s="18"/>
      <c r="AY497" s="14"/>
      <c r="AZ497" s="14"/>
    </row>
    <row r="498" spans="2:52" ht="15.75" customHeight="1">
      <c r="B498" s="16"/>
      <c r="C498" s="13"/>
      <c r="G498" s="15"/>
      <c r="H498" s="16"/>
      <c r="I498" s="16"/>
      <c r="J498" s="17"/>
      <c r="N498" s="16"/>
      <c r="P498" s="16"/>
      <c r="AN498" s="18"/>
      <c r="AO498" s="18"/>
      <c r="AP498" s="18"/>
      <c r="AQ498" s="18"/>
      <c r="AR498" s="18"/>
      <c r="AS498" s="18"/>
      <c r="AU498" s="18"/>
      <c r="AV498" s="18"/>
      <c r="AY498" s="14"/>
      <c r="AZ498" s="14"/>
    </row>
    <row r="499" spans="2:52" ht="15.75" customHeight="1">
      <c r="B499" s="16"/>
      <c r="C499" s="13"/>
      <c r="G499" s="15"/>
      <c r="H499" s="16"/>
      <c r="I499" s="16"/>
      <c r="J499" s="17"/>
      <c r="N499" s="16"/>
      <c r="O499" s="16"/>
      <c r="P499" s="16"/>
      <c r="AN499" s="18"/>
      <c r="AO499" s="18"/>
      <c r="AP499" s="18"/>
      <c r="AQ499" s="18"/>
      <c r="AR499" s="18"/>
      <c r="AS499" s="18"/>
      <c r="AU499" s="18"/>
      <c r="AV499" s="18"/>
      <c r="AY499" s="14"/>
      <c r="AZ499" s="14"/>
    </row>
    <row r="500" spans="2:52" ht="15.75" customHeight="1">
      <c r="B500" s="16"/>
      <c r="C500" s="13"/>
      <c r="G500" s="15"/>
      <c r="H500" s="16"/>
      <c r="I500" s="16"/>
      <c r="J500" s="17"/>
      <c r="N500" s="16"/>
      <c r="O500" s="16"/>
      <c r="P500" s="16"/>
      <c r="AN500" s="18"/>
      <c r="AO500" s="18"/>
      <c r="AP500" s="18"/>
      <c r="AQ500" s="18"/>
      <c r="AR500" s="18"/>
      <c r="AS500" s="18"/>
      <c r="AU500" s="18"/>
      <c r="AV500" s="18"/>
      <c r="AY500" s="14"/>
      <c r="AZ500" s="14"/>
    </row>
    <row r="501" spans="2:52" ht="15.75" customHeight="1">
      <c r="B501" s="16"/>
      <c r="C501" s="13"/>
      <c r="G501" s="15"/>
      <c r="H501" s="16"/>
      <c r="I501" s="16"/>
      <c r="J501" s="17"/>
      <c r="N501" s="16"/>
      <c r="O501" s="16"/>
      <c r="P501" s="16"/>
      <c r="AN501" s="18"/>
      <c r="AO501" s="18"/>
      <c r="AP501" s="18"/>
      <c r="AQ501" s="18"/>
      <c r="AR501" s="18"/>
      <c r="AS501" s="18"/>
      <c r="AU501" s="18"/>
      <c r="AV501" s="18"/>
      <c r="AY501" s="14"/>
      <c r="AZ501" s="14"/>
    </row>
    <row r="502" spans="2:52" ht="15.75" customHeight="1">
      <c r="B502" s="16"/>
      <c r="C502" s="13"/>
      <c r="G502" s="15"/>
      <c r="H502" s="16"/>
      <c r="I502" s="16"/>
      <c r="J502" s="17"/>
      <c r="N502" s="16"/>
      <c r="O502" s="16"/>
      <c r="P502" s="16"/>
      <c r="AN502" s="18"/>
      <c r="AO502" s="18"/>
      <c r="AP502" s="18"/>
      <c r="AQ502" s="18"/>
      <c r="AR502" s="18"/>
      <c r="AS502" s="18"/>
      <c r="AU502" s="18"/>
      <c r="AV502" s="18"/>
      <c r="AY502" s="14"/>
      <c r="AZ502" s="14"/>
    </row>
    <row r="503" spans="2:52" ht="15.75" customHeight="1">
      <c r="B503" s="16"/>
      <c r="C503" s="13"/>
      <c r="G503" s="15"/>
      <c r="H503" s="16"/>
      <c r="I503" s="16"/>
      <c r="J503" s="17"/>
      <c r="N503" s="16"/>
      <c r="O503" s="16"/>
      <c r="P503" s="16"/>
      <c r="AN503" s="18"/>
      <c r="AO503" s="18"/>
      <c r="AP503" s="18"/>
      <c r="AQ503" s="18"/>
      <c r="AR503" s="18"/>
      <c r="AS503" s="18"/>
      <c r="AU503" s="18"/>
      <c r="AV503" s="18"/>
      <c r="AY503" s="14"/>
      <c r="AZ503" s="14"/>
    </row>
    <row r="504" spans="2:52" ht="15.75" customHeight="1">
      <c r="B504" s="16"/>
      <c r="C504" s="13"/>
      <c r="G504" s="15"/>
      <c r="H504" s="16"/>
      <c r="I504" s="16"/>
      <c r="J504" s="17"/>
      <c r="N504" s="16"/>
      <c r="O504" s="16"/>
      <c r="P504" s="16"/>
      <c r="AN504" s="18"/>
      <c r="AO504" s="18"/>
      <c r="AP504" s="18"/>
      <c r="AQ504" s="18"/>
      <c r="AR504" s="18"/>
      <c r="AS504" s="18"/>
      <c r="AU504" s="18"/>
      <c r="AV504" s="18"/>
    </row>
    <row r="505" spans="2:52" ht="15.75" customHeight="1">
      <c r="B505" s="16"/>
      <c r="C505" s="13"/>
      <c r="G505" s="15"/>
      <c r="H505" s="16"/>
      <c r="I505" s="16"/>
      <c r="J505" s="17"/>
      <c r="N505" s="16"/>
      <c r="O505" s="16"/>
      <c r="P505" s="16"/>
      <c r="AN505" s="18"/>
      <c r="AO505" s="18"/>
      <c r="AP505" s="18"/>
      <c r="AQ505" s="18"/>
      <c r="AR505" s="18"/>
      <c r="AS505" s="18"/>
      <c r="AU505" s="18"/>
      <c r="AV505" s="18"/>
    </row>
    <row r="506" spans="2:52" ht="15.75" customHeight="1">
      <c r="B506" s="16"/>
      <c r="C506" s="13"/>
      <c r="G506" s="15"/>
      <c r="H506" s="16"/>
      <c r="I506" s="16"/>
      <c r="J506" s="17"/>
      <c r="N506" s="16"/>
      <c r="O506" s="16"/>
      <c r="P506" s="16"/>
      <c r="AN506" s="18"/>
      <c r="AO506" s="18"/>
      <c r="AP506" s="18"/>
      <c r="AQ506" s="18"/>
      <c r="AR506" s="18"/>
      <c r="AS506" s="18"/>
      <c r="AU506" s="18"/>
      <c r="AV506" s="18"/>
    </row>
    <row r="507" spans="2:52" ht="15.75" customHeight="1">
      <c r="B507" s="16"/>
      <c r="C507" s="13"/>
      <c r="G507" s="15"/>
      <c r="H507" s="16"/>
      <c r="I507" s="16"/>
      <c r="J507" s="17"/>
      <c r="N507" s="16"/>
      <c r="O507" s="16"/>
      <c r="P507" s="16"/>
      <c r="AN507" s="18"/>
      <c r="AO507" s="18"/>
      <c r="AP507" s="18"/>
      <c r="AQ507" s="18"/>
      <c r="AR507" s="18"/>
      <c r="AS507" s="18"/>
      <c r="AU507" s="18"/>
      <c r="AV507" s="18"/>
    </row>
    <row r="508" spans="2:52" ht="15.75" customHeight="1">
      <c r="B508" s="16"/>
      <c r="C508" s="13"/>
      <c r="G508" s="15"/>
      <c r="H508" s="16"/>
      <c r="I508" s="16"/>
      <c r="J508" s="17"/>
      <c r="N508" s="16"/>
      <c r="O508" s="16"/>
      <c r="P508" s="16"/>
      <c r="AN508" s="18"/>
      <c r="AO508" s="18"/>
      <c r="AP508" s="18"/>
      <c r="AQ508" s="18"/>
      <c r="AR508" s="18"/>
      <c r="AS508" s="18"/>
      <c r="AU508" s="18"/>
      <c r="AV508" s="18"/>
    </row>
    <row r="509" spans="2:52" ht="15.75" customHeight="1">
      <c r="B509" s="16"/>
      <c r="C509" s="13"/>
      <c r="G509" s="15"/>
      <c r="H509" s="16"/>
      <c r="I509" s="16"/>
      <c r="J509" s="17"/>
      <c r="N509" s="16"/>
      <c r="O509" s="16"/>
      <c r="P509" s="16"/>
      <c r="AN509" s="18"/>
      <c r="AO509" s="18"/>
      <c r="AP509" s="18"/>
      <c r="AQ509" s="18"/>
      <c r="AR509" s="18"/>
      <c r="AS509" s="18"/>
      <c r="AU509" s="18"/>
      <c r="AV509" s="18"/>
    </row>
    <row r="510" spans="2:52" ht="15.75" customHeight="1">
      <c r="B510" s="16"/>
      <c r="C510" s="13"/>
      <c r="G510" s="15"/>
      <c r="H510" s="16"/>
      <c r="I510" s="16"/>
      <c r="J510" s="17"/>
      <c r="N510" s="16"/>
      <c r="O510" s="16"/>
      <c r="P510" s="16"/>
      <c r="AN510" s="18"/>
      <c r="AO510" s="18"/>
      <c r="AP510" s="18"/>
      <c r="AQ510" s="18"/>
      <c r="AR510" s="18"/>
      <c r="AS510" s="18"/>
      <c r="AU510" s="18"/>
      <c r="AV510" s="18"/>
    </row>
    <row r="511" spans="2:52" ht="15.75" customHeight="1">
      <c r="B511" s="16"/>
      <c r="C511" s="13"/>
      <c r="G511" s="15"/>
      <c r="H511" s="16"/>
      <c r="I511" s="16"/>
      <c r="J511" s="17"/>
      <c r="N511" s="16"/>
      <c r="O511" s="16"/>
      <c r="P511" s="16"/>
      <c r="AN511" s="18"/>
      <c r="AO511" s="18"/>
      <c r="AP511" s="18"/>
      <c r="AQ511" s="18"/>
      <c r="AR511" s="18"/>
      <c r="AS511" s="18"/>
      <c r="AU511" s="18"/>
      <c r="AV511" s="18"/>
    </row>
    <row r="512" spans="2:52" ht="15.75" customHeight="1">
      <c r="B512" s="16"/>
      <c r="C512" s="13"/>
      <c r="G512" s="15"/>
      <c r="H512" s="16"/>
      <c r="I512" s="16"/>
      <c r="J512" s="17"/>
      <c r="N512" s="16"/>
      <c r="O512" s="16"/>
      <c r="P512" s="16"/>
      <c r="AN512" s="18"/>
      <c r="AO512" s="18"/>
      <c r="AP512" s="18"/>
      <c r="AQ512" s="18"/>
      <c r="AR512" s="18"/>
      <c r="AS512" s="18"/>
      <c r="AU512" s="18"/>
      <c r="AV512" s="18"/>
    </row>
    <row r="513" spans="2:48" ht="15.75" customHeight="1">
      <c r="B513" s="16"/>
      <c r="C513" s="13"/>
      <c r="G513" s="15"/>
      <c r="H513" s="16"/>
      <c r="I513" s="16"/>
      <c r="J513" s="17"/>
      <c r="N513" s="16"/>
      <c r="O513" s="16"/>
      <c r="P513" s="16"/>
      <c r="AN513" s="18"/>
      <c r="AO513" s="18"/>
      <c r="AP513" s="18"/>
      <c r="AQ513" s="18"/>
      <c r="AR513" s="18"/>
      <c r="AS513" s="18"/>
      <c r="AU513" s="18"/>
      <c r="AV513" s="18"/>
    </row>
    <row r="514" spans="2:48" ht="15.75" customHeight="1">
      <c r="B514" s="16"/>
      <c r="C514" s="13"/>
      <c r="G514" s="15"/>
      <c r="H514" s="16"/>
      <c r="I514" s="16"/>
      <c r="J514" s="17"/>
      <c r="N514" s="16"/>
      <c r="O514" s="16"/>
      <c r="P514" s="16"/>
      <c r="AN514" s="18"/>
      <c r="AO514" s="18"/>
      <c r="AP514" s="18"/>
      <c r="AQ514" s="18"/>
      <c r="AR514" s="18"/>
      <c r="AS514" s="18"/>
      <c r="AU514" s="18"/>
      <c r="AV514" s="18"/>
    </row>
    <row r="515" spans="2:48" ht="15.75" customHeight="1">
      <c r="B515" s="16"/>
      <c r="C515" s="13"/>
      <c r="G515" s="15"/>
      <c r="H515" s="16"/>
      <c r="I515" s="16"/>
      <c r="J515" s="17"/>
      <c r="N515" s="16"/>
      <c r="O515" s="16"/>
      <c r="P515" s="16"/>
      <c r="AN515" s="18"/>
      <c r="AO515" s="18"/>
      <c r="AP515" s="18"/>
      <c r="AQ515" s="18"/>
      <c r="AR515" s="18"/>
      <c r="AS515" s="18"/>
      <c r="AU515" s="18"/>
      <c r="AV515" s="18"/>
    </row>
    <row r="516" spans="2:48" ht="15.75" customHeight="1">
      <c r="B516" s="16"/>
      <c r="C516" s="13"/>
      <c r="G516" s="15"/>
      <c r="H516" s="16"/>
      <c r="I516" s="16"/>
      <c r="J516" s="17"/>
      <c r="N516" s="16"/>
      <c r="O516" s="16"/>
      <c r="P516" s="16"/>
      <c r="AN516" s="18"/>
      <c r="AO516" s="18"/>
      <c r="AP516" s="18"/>
      <c r="AQ516" s="18"/>
      <c r="AR516" s="18"/>
      <c r="AS516" s="18"/>
      <c r="AU516" s="18"/>
      <c r="AV516" s="18"/>
    </row>
    <row r="517" spans="2:48" ht="15.75" customHeight="1">
      <c r="B517" s="16"/>
      <c r="C517" s="13"/>
      <c r="G517" s="15"/>
      <c r="H517" s="16"/>
      <c r="I517" s="16"/>
      <c r="J517" s="17"/>
      <c r="N517" s="16"/>
      <c r="O517" s="16"/>
      <c r="P517" s="16"/>
      <c r="AN517" s="18"/>
      <c r="AO517" s="18"/>
      <c r="AP517" s="18"/>
      <c r="AQ517" s="18"/>
      <c r="AR517" s="18"/>
      <c r="AS517" s="18"/>
      <c r="AU517" s="18"/>
      <c r="AV517" s="18"/>
    </row>
    <row r="518" spans="2:48" ht="15.75" customHeight="1">
      <c r="B518" s="16"/>
      <c r="C518" s="13"/>
      <c r="G518" s="15"/>
      <c r="H518" s="16"/>
      <c r="I518" s="16"/>
      <c r="J518" s="17"/>
      <c r="N518" s="16"/>
      <c r="O518" s="16"/>
      <c r="P518" s="16"/>
      <c r="AN518" s="18"/>
      <c r="AO518" s="18"/>
      <c r="AP518" s="18"/>
      <c r="AQ518" s="18"/>
      <c r="AR518" s="18"/>
      <c r="AS518" s="18"/>
      <c r="AU518" s="18"/>
      <c r="AV518" s="18"/>
    </row>
    <row r="519" spans="2:48" ht="15.75" customHeight="1">
      <c r="B519" s="16"/>
      <c r="C519" s="13"/>
      <c r="G519" s="15"/>
      <c r="H519" s="16"/>
      <c r="I519" s="16"/>
      <c r="J519" s="17"/>
      <c r="N519" s="16"/>
      <c r="O519" s="16"/>
      <c r="P519" s="16"/>
      <c r="AN519" s="18"/>
      <c r="AO519" s="18"/>
      <c r="AP519" s="18"/>
      <c r="AQ519" s="18"/>
      <c r="AR519" s="18"/>
      <c r="AS519" s="18"/>
      <c r="AU519" s="18"/>
      <c r="AV519" s="18"/>
    </row>
    <row r="520" spans="2:48" ht="15.75" customHeight="1">
      <c r="B520" s="16"/>
      <c r="C520" s="13"/>
      <c r="G520" s="15"/>
      <c r="H520" s="16"/>
      <c r="I520" s="16"/>
      <c r="J520" s="17"/>
      <c r="N520" s="16"/>
      <c r="O520" s="16"/>
      <c r="P520" s="16"/>
      <c r="AN520" s="18"/>
      <c r="AO520" s="18"/>
      <c r="AP520" s="18"/>
      <c r="AQ520" s="18"/>
      <c r="AR520" s="18"/>
      <c r="AS520" s="18"/>
      <c r="AU520" s="18"/>
      <c r="AV520" s="18"/>
    </row>
    <row r="521" spans="2:48" ht="15.75" customHeight="1">
      <c r="B521" s="16"/>
      <c r="C521" s="13"/>
      <c r="G521" s="15"/>
      <c r="H521" s="16"/>
      <c r="I521" s="16"/>
      <c r="J521" s="17"/>
      <c r="N521" s="16"/>
      <c r="O521" s="16"/>
      <c r="P521" s="16"/>
      <c r="AN521" s="18"/>
      <c r="AO521" s="18"/>
      <c r="AP521" s="18"/>
      <c r="AQ521" s="18"/>
      <c r="AR521" s="18"/>
      <c r="AS521" s="18"/>
      <c r="AU521" s="18"/>
      <c r="AV521" s="18"/>
    </row>
    <row r="522" spans="2:48" ht="15.75" customHeight="1">
      <c r="B522" s="16"/>
      <c r="C522" s="13"/>
      <c r="G522" s="15"/>
      <c r="H522" s="16"/>
      <c r="I522" s="16"/>
      <c r="J522" s="17"/>
      <c r="N522" s="16"/>
      <c r="O522" s="16"/>
      <c r="P522" s="16"/>
      <c r="AN522" s="18"/>
      <c r="AO522" s="18"/>
      <c r="AP522" s="18"/>
      <c r="AQ522" s="18"/>
      <c r="AR522" s="18"/>
      <c r="AS522" s="18"/>
      <c r="AU522" s="18"/>
      <c r="AV522" s="18"/>
    </row>
    <row r="523" spans="2:48" ht="15.75" customHeight="1">
      <c r="B523" s="16"/>
      <c r="C523" s="13"/>
      <c r="G523" s="15"/>
      <c r="H523" s="16"/>
      <c r="I523" s="16"/>
      <c r="J523" s="17"/>
      <c r="N523" s="16"/>
      <c r="O523" s="16"/>
      <c r="P523" s="16"/>
      <c r="AN523" s="18"/>
      <c r="AO523" s="18"/>
      <c r="AP523" s="18"/>
      <c r="AQ523" s="18"/>
      <c r="AR523" s="18"/>
      <c r="AS523" s="18"/>
      <c r="AU523" s="18"/>
      <c r="AV523" s="18"/>
    </row>
    <row r="524" spans="2:48" ht="15.75" customHeight="1">
      <c r="B524" s="16"/>
      <c r="C524" s="13"/>
      <c r="G524" s="15"/>
      <c r="H524" s="16"/>
      <c r="I524" s="16"/>
      <c r="J524" s="17"/>
      <c r="N524" s="16"/>
      <c r="O524" s="16"/>
      <c r="P524" s="16"/>
      <c r="AN524" s="18"/>
      <c r="AO524" s="18"/>
      <c r="AP524" s="18"/>
      <c r="AQ524" s="18"/>
      <c r="AR524" s="18"/>
      <c r="AS524" s="18"/>
      <c r="AU524" s="18"/>
      <c r="AV524" s="18"/>
    </row>
    <row r="525" spans="2:48" ht="15.75" customHeight="1">
      <c r="B525" s="16"/>
      <c r="C525" s="13"/>
      <c r="G525" s="15"/>
      <c r="H525" s="16"/>
      <c r="I525" s="16"/>
      <c r="J525" s="17"/>
      <c r="N525" s="16"/>
      <c r="O525" s="16"/>
      <c r="P525" s="16"/>
      <c r="AN525" s="18"/>
      <c r="AO525" s="18"/>
      <c r="AP525" s="18"/>
      <c r="AQ525" s="18"/>
      <c r="AR525" s="18"/>
      <c r="AS525" s="18"/>
      <c r="AU525" s="18"/>
      <c r="AV525" s="18"/>
    </row>
    <row r="526" spans="2:48" ht="15.75" customHeight="1">
      <c r="B526" s="16"/>
      <c r="C526" s="13"/>
      <c r="G526" s="15"/>
      <c r="H526" s="16"/>
      <c r="I526" s="16"/>
      <c r="J526" s="17"/>
      <c r="N526" s="16"/>
      <c r="O526" s="16"/>
      <c r="P526" s="16"/>
      <c r="AN526" s="18"/>
      <c r="AO526" s="18"/>
      <c r="AP526" s="18"/>
      <c r="AQ526" s="18"/>
      <c r="AR526" s="18"/>
      <c r="AS526" s="18"/>
      <c r="AU526" s="18"/>
      <c r="AV526" s="18"/>
    </row>
    <row r="527" spans="2:48" ht="15.75" customHeight="1">
      <c r="B527" s="16"/>
      <c r="C527" s="13"/>
      <c r="G527" s="15"/>
      <c r="H527" s="16"/>
      <c r="I527" s="16"/>
      <c r="J527" s="17"/>
      <c r="N527" s="16"/>
      <c r="O527" s="16"/>
      <c r="P527" s="16"/>
      <c r="AN527" s="18"/>
      <c r="AO527" s="18"/>
      <c r="AP527" s="18"/>
      <c r="AQ527" s="18"/>
      <c r="AR527" s="18"/>
      <c r="AS527" s="18"/>
      <c r="AU527" s="18"/>
      <c r="AV527" s="18"/>
    </row>
    <row r="528" spans="2:48" ht="15.75" customHeight="1">
      <c r="B528" s="16"/>
      <c r="C528" s="13"/>
      <c r="G528" s="15"/>
      <c r="H528" s="16"/>
      <c r="I528" s="16"/>
      <c r="J528" s="17"/>
      <c r="N528" s="16"/>
      <c r="O528" s="16"/>
      <c r="P528" s="16"/>
      <c r="AN528" s="18"/>
      <c r="AO528" s="18"/>
      <c r="AP528" s="18"/>
      <c r="AQ528" s="18"/>
      <c r="AR528" s="18"/>
      <c r="AS528" s="18"/>
      <c r="AU528" s="18"/>
      <c r="AV528" s="18"/>
    </row>
    <row r="529" spans="2:48" ht="15.75" customHeight="1">
      <c r="B529" s="16"/>
      <c r="C529" s="13"/>
      <c r="G529" s="15"/>
      <c r="H529" s="16"/>
      <c r="I529" s="16"/>
      <c r="J529" s="17"/>
      <c r="N529" s="16"/>
      <c r="O529" s="16"/>
      <c r="P529" s="16"/>
      <c r="AN529" s="18"/>
      <c r="AO529" s="18"/>
      <c r="AP529" s="18"/>
      <c r="AQ529" s="18"/>
      <c r="AR529" s="18"/>
      <c r="AS529" s="18"/>
      <c r="AU529" s="18"/>
      <c r="AV529" s="18"/>
    </row>
    <row r="530" spans="2:48" ht="15.75" customHeight="1">
      <c r="B530" s="16"/>
      <c r="C530" s="13"/>
      <c r="G530" s="15"/>
      <c r="H530" s="16"/>
      <c r="I530" s="16"/>
      <c r="J530" s="17"/>
      <c r="N530" s="16"/>
      <c r="O530" s="16"/>
      <c r="P530" s="16"/>
      <c r="AN530" s="18"/>
      <c r="AO530" s="18"/>
      <c r="AP530" s="18"/>
      <c r="AQ530" s="18"/>
      <c r="AR530" s="18"/>
      <c r="AS530" s="18"/>
      <c r="AU530" s="18"/>
      <c r="AV530" s="18"/>
    </row>
    <row r="531" spans="2:48" ht="15.75" customHeight="1">
      <c r="B531" s="16"/>
      <c r="C531" s="13"/>
      <c r="G531" s="15"/>
      <c r="H531" s="16"/>
      <c r="I531" s="16"/>
      <c r="J531" s="17"/>
      <c r="N531" s="16"/>
      <c r="O531" s="16"/>
      <c r="P531" s="16"/>
      <c r="AN531" s="18"/>
      <c r="AO531" s="18"/>
      <c r="AP531" s="18"/>
      <c r="AQ531" s="18"/>
      <c r="AR531" s="18"/>
      <c r="AS531" s="18"/>
      <c r="AU531" s="18"/>
      <c r="AV531" s="18"/>
    </row>
    <row r="532" spans="2:48" ht="15.75" customHeight="1">
      <c r="B532" s="16"/>
      <c r="C532" s="13"/>
      <c r="G532" s="15"/>
      <c r="H532" s="16"/>
      <c r="I532" s="16"/>
      <c r="J532" s="17"/>
      <c r="N532" s="16"/>
      <c r="O532" s="16"/>
      <c r="P532" s="16"/>
      <c r="AN532" s="18"/>
      <c r="AO532" s="18"/>
      <c r="AP532" s="18"/>
      <c r="AQ532" s="18"/>
      <c r="AR532" s="18"/>
      <c r="AS532" s="18"/>
      <c r="AU532" s="18"/>
      <c r="AV532" s="18"/>
    </row>
    <row r="533" spans="2:48" ht="15.75" customHeight="1">
      <c r="B533" s="16"/>
      <c r="C533" s="13"/>
      <c r="G533" s="15"/>
      <c r="H533" s="16"/>
      <c r="I533" s="16"/>
      <c r="J533" s="17"/>
      <c r="N533" s="16"/>
      <c r="O533" s="16"/>
      <c r="P533" s="16"/>
      <c r="AN533" s="18"/>
      <c r="AO533" s="18"/>
      <c r="AP533" s="18"/>
      <c r="AQ533" s="18"/>
      <c r="AR533" s="18"/>
      <c r="AS533" s="18"/>
      <c r="AU533" s="18"/>
      <c r="AV533" s="18"/>
    </row>
    <row r="534" spans="2:48" ht="15.75" customHeight="1">
      <c r="B534" s="16"/>
      <c r="C534" s="13"/>
      <c r="G534" s="15"/>
      <c r="H534" s="16"/>
      <c r="I534" s="16"/>
      <c r="J534" s="17"/>
      <c r="N534" s="16"/>
      <c r="O534" s="16"/>
      <c r="P534" s="16"/>
      <c r="AN534" s="18"/>
      <c r="AO534" s="18"/>
      <c r="AP534" s="18"/>
      <c r="AQ534" s="18"/>
      <c r="AR534" s="18"/>
      <c r="AS534" s="18"/>
      <c r="AU534" s="18"/>
      <c r="AV534" s="18"/>
    </row>
    <row r="535" spans="2:48" ht="15.75" customHeight="1">
      <c r="B535" s="16"/>
      <c r="C535" s="13"/>
      <c r="G535" s="15"/>
      <c r="H535" s="16"/>
      <c r="I535" s="16"/>
      <c r="J535" s="17"/>
      <c r="N535" s="16"/>
      <c r="O535" s="16"/>
      <c r="P535" s="16"/>
      <c r="AN535" s="18"/>
      <c r="AO535" s="18"/>
      <c r="AP535" s="18"/>
      <c r="AQ535" s="18"/>
      <c r="AR535" s="18"/>
      <c r="AS535" s="18"/>
      <c r="AU535" s="18"/>
      <c r="AV535" s="18"/>
    </row>
    <row r="536" spans="2:48" ht="15.75" customHeight="1">
      <c r="B536" s="16"/>
      <c r="C536" s="13"/>
      <c r="G536" s="15"/>
      <c r="H536" s="16"/>
      <c r="I536" s="16"/>
      <c r="J536" s="17"/>
      <c r="N536" s="16"/>
      <c r="O536" s="16"/>
      <c r="P536" s="16"/>
      <c r="AN536" s="18"/>
      <c r="AO536" s="18"/>
      <c r="AP536" s="18"/>
      <c r="AQ536" s="18"/>
      <c r="AR536" s="18"/>
      <c r="AS536" s="18"/>
      <c r="AU536" s="18"/>
      <c r="AV536" s="18"/>
    </row>
    <row r="537" spans="2:48" ht="15.75" customHeight="1">
      <c r="B537" s="16"/>
      <c r="C537" s="13"/>
      <c r="G537" s="15"/>
      <c r="H537" s="16"/>
      <c r="I537" s="16"/>
      <c r="J537" s="17"/>
      <c r="N537" s="16"/>
      <c r="O537" s="16"/>
      <c r="P537" s="16"/>
      <c r="AN537" s="18"/>
      <c r="AO537" s="18"/>
      <c r="AP537" s="18"/>
      <c r="AQ537" s="18"/>
      <c r="AR537" s="18"/>
      <c r="AS537" s="18"/>
      <c r="AU537" s="18"/>
      <c r="AV537" s="18"/>
    </row>
    <row r="538" spans="2:48" ht="15.75" customHeight="1">
      <c r="B538" s="16"/>
      <c r="C538" s="13"/>
      <c r="G538" s="15"/>
      <c r="H538" s="16"/>
      <c r="I538" s="16"/>
      <c r="J538" s="17"/>
      <c r="N538" s="16"/>
      <c r="O538" s="16"/>
      <c r="P538" s="16"/>
      <c r="AN538" s="18"/>
      <c r="AO538" s="18"/>
      <c r="AP538" s="18"/>
      <c r="AQ538" s="18"/>
      <c r="AR538" s="18"/>
      <c r="AS538" s="18"/>
      <c r="AU538" s="18"/>
      <c r="AV538" s="18"/>
    </row>
    <row r="539" spans="2:48" ht="15.75" customHeight="1">
      <c r="B539" s="16"/>
      <c r="C539" s="13"/>
      <c r="G539" s="15"/>
      <c r="H539" s="16"/>
      <c r="I539" s="16"/>
      <c r="J539" s="17"/>
      <c r="N539" s="16"/>
      <c r="O539" s="16"/>
      <c r="P539" s="16"/>
      <c r="AN539" s="18"/>
      <c r="AO539" s="18"/>
      <c r="AP539" s="18"/>
      <c r="AQ539" s="18"/>
      <c r="AR539" s="18"/>
      <c r="AS539" s="18"/>
      <c r="AU539" s="18"/>
      <c r="AV539" s="18"/>
    </row>
    <row r="540" spans="2:48" ht="15.75" customHeight="1">
      <c r="B540" s="16"/>
      <c r="C540" s="13"/>
      <c r="G540" s="15"/>
      <c r="H540" s="16"/>
      <c r="I540" s="16"/>
      <c r="J540" s="17"/>
      <c r="N540" s="16"/>
      <c r="O540" s="16"/>
      <c r="P540" s="16"/>
      <c r="AN540" s="18"/>
      <c r="AO540" s="18"/>
      <c r="AP540" s="18"/>
      <c r="AQ540" s="18"/>
      <c r="AR540" s="18"/>
      <c r="AS540" s="18"/>
      <c r="AU540" s="18"/>
      <c r="AV540" s="18"/>
    </row>
    <row r="541" spans="2:48" ht="15.75" customHeight="1">
      <c r="B541" s="16"/>
      <c r="C541" s="13"/>
      <c r="G541" s="15"/>
      <c r="H541" s="16"/>
      <c r="I541" s="16"/>
      <c r="J541" s="17"/>
      <c r="N541" s="16"/>
      <c r="O541" s="16"/>
      <c r="P541" s="16"/>
      <c r="AN541" s="18"/>
      <c r="AO541" s="18"/>
      <c r="AP541" s="18"/>
      <c r="AQ541" s="18"/>
      <c r="AR541" s="18"/>
      <c r="AS541" s="18"/>
      <c r="AU541" s="18"/>
      <c r="AV541" s="18"/>
    </row>
    <row r="542" spans="2:48" ht="15.75" customHeight="1">
      <c r="B542" s="16"/>
      <c r="C542" s="13"/>
      <c r="G542" s="15"/>
      <c r="H542" s="16"/>
      <c r="I542" s="16"/>
      <c r="J542" s="17"/>
      <c r="N542" s="16"/>
      <c r="O542" s="16"/>
      <c r="P542" s="16"/>
      <c r="AN542" s="18"/>
      <c r="AO542" s="18"/>
      <c r="AP542" s="18"/>
      <c r="AQ542" s="18"/>
      <c r="AR542" s="18"/>
      <c r="AS542" s="18"/>
      <c r="AU542" s="18"/>
      <c r="AV542" s="18"/>
    </row>
    <row r="543" spans="2:48" ht="15.75" customHeight="1">
      <c r="B543" s="16"/>
      <c r="C543" s="13"/>
      <c r="G543" s="15"/>
      <c r="H543" s="16"/>
      <c r="I543" s="16"/>
      <c r="J543" s="17"/>
      <c r="N543" s="16"/>
      <c r="O543" s="16"/>
      <c r="P543" s="16"/>
      <c r="AN543" s="18"/>
      <c r="AO543" s="18"/>
      <c r="AP543" s="18"/>
      <c r="AQ543" s="18"/>
      <c r="AR543" s="18"/>
      <c r="AS543" s="18"/>
      <c r="AU543" s="18"/>
      <c r="AV543" s="18"/>
    </row>
    <row r="544" spans="2:48" ht="15.75" customHeight="1">
      <c r="B544" s="16"/>
      <c r="C544" s="13"/>
      <c r="G544" s="15"/>
      <c r="H544" s="16"/>
      <c r="I544" s="16"/>
      <c r="J544" s="17"/>
      <c r="N544" s="16"/>
      <c r="O544" s="16"/>
      <c r="P544" s="16"/>
      <c r="AN544" s="18"/>
      <c r="AO544" s="18"/>
      <c r="AP544" s="18"/>
      <c r="AQ544" s="18"/>
      <c r="AR544" s="18"/>
      <c r="AS544" s="18"/>
      <c r="AU544" s="18"/>
      <c r="AV544" s="18"/>
    </row>
    <row r="545" spans="2:48" ht="15.75" customHeight="1">
      <c r="B545" s="16"/>
      <c r="C545" s="13"/>
      <c r="G545" s="15"/>
      <c r="H545" s="16"/>
      <c r="I545" s="16"/>
      <c r="J545" s="17"/>
      <c r="N545" s="16"/>
      <c r="O545" s="16"/>
      <c r="P545" s="16"/>
      <c r="AN545" s="18"/>
      <c r="AO545" s="18"/>
      <c r="AP545" s="18"/>
      <c r="AQ545" s="18"/>
      <c r="AR545" s="18"/>
      <c r="AS545" s="18"/>
      <c r="AU545" s="18"/>
      <c r="AV545" s="18"/>
    </row>
    <row r="546" spans="2:48" ht="15.75" customHeight="1">
      <c r="B546" s="16"/>
      <c r="C546" s="13"/>
      <c r="G546" s="15"/>
      <c r="H546" s="16"/>
      <c r="I546" s="16"/>
      <c r="J546" s="17"/>
      <c r="N546" s="16"/>
      <c r="O546" s="16"/>
      <c r="P546" s="16"/>
      <c r="AN546" s="18"/>
      <c r="AO546" s="18"/>
      <c r="AP546" s="18"/>
      <c r="AQ546" s="18"/>
      <c r="AR546" s="18"/>
      <c r="AS546" s="18"/>
      <c r="AU546" s="18"/>
      <c r="AV546" s="18"/>
    </row>
    <row r="547" spans="2:48" ht="15.75" customHeight="1">
      <c r="B547" s="16"/>
      <c r="C547" s="13"/>
      <c r="G547" s="15"/>
      <c r="H547" s="16"/>
      <c r="I547" s="16"/>
      <c r="J547" s="17"/>
      <c r="N547" s="16"/>
      <c r="O547" s="16"/>
      <c r="P547" s="16"/>
      <c r="AN547" s="18"/>
      <c r="AO547" s="18"/>
      <c r="AP547" s="18"/>
      <c r="AQ547" s="18"/>
      <c r="AR547" s="18"/>
      <c r="AS547" s="18"/>
      <c r="AU547" s="18"/>
      <c r="AV547" s="18"/>
    </row>
    <row r="548" spans="2:48" ht="15.75" customHeight="1">
      <c r="B548" s="16"/>
      <c r="C548" s="13"/>
      <c r="G548" s="15"/>
      <c r="H548" s="16"/>
      <c r="I548" s="16"/>
      <c r="J548" s="17"/>
      <c r="N548" s="16"/>
      <c r="O548" s="16"/>
      <c r="P548" s="16"/>
      <c r="AN548" s="18"/>
      <c r="AO548" s="18"/>
      <c r="AP548" s="18"/>
      <c r="AQ548" s="18"/>
      <c r="AR548" s="18"/>
      <c r="AS548" s="18"/>
      <c r="AU548" s="18"/>
      <c r="AV548" s="18"/>
    </row>
    <row r="549" spans="2:48" ht="15.75" customHeight="1">
      <c r="B549" s="16"/>
      <c r="C549" s="13"/>
      <c r="G549" s="15"/>
      <c r="H549" s="16"/>
      <c r="I549" s="16"/>
      <c r="J549" s="17"/>
      <c r="N549" s="16"/>
      <c r="O549" s="16"/>
      <c r="P549" s="16"/>
      <c r="AN549" s="18"/>
      <c r="AO549" s="18"/>
      <c r="AP549" s="18"/>
      <c r="AQ549" s="18"/>
      <c r="AR549" s="18"/>
      <c r="AS549" s="18"/>
      <c r="AU549" s="18"/>
      <c r="AV549" s="18"/>
    </row>
    <row r="550" spans="2:48" ht="15.75" customHeight="1">
      <c r="B550" s="16"/>
      <c r="C550" s="13"/>
      <c r="G550" s="15"/>
      <c r="H550" s="16"/>
      <c r="I550" s="16"/>
      <c r="J550" s="17"/>
      <c r="N550" s="16"/>
      <c r="O550" s="16"/>
      <c r="P550" s="16"/>
      <c r="AN550" s="18"/>
      <c r="AO550" s="18"/>
      <c r="AP550" s="18"/>
      <c r="AQ550" s="18"/>
      <c r="AR550" s="18"/>
      <c r="AS550" s="18"/>
      <c r="AU550" s="18"/>
      <c r="AV550" s="18"/>
    </row>
    <row r="551" spans="2:48" ht="15.75" customHeight="1">
      <c r="B551" s="16"/>
      <c r="C551" s="13"/>
      <c r="G551" s="15"/>
      <c r="H551" s="16"/>
      <c r="I551" s="16"/>
      <c r="J551" s="17"/>
      <c r="N551" s="16"/>
      <c r="O551" s="16"/>
      <c r="P551" s="16"/>
      <c r="AN551" s="18"/>
      <c r="AO551" s="18"/>
      <c r="AP551" s="18"/>
      <c r="AQ551" s="18"/>
      <c r="AR551" s="18"/>
      <c r="AS551" s="18"/>
      <c r="AU551" s="18"/>
      <c r="AV551" s="18"/>
    </row>
    <row r="552" spans="2:48" ht="15.75" customHeight="1">
      <c r="B552" s="16"/>
      <c r="C552" s="13"/>
      <c r="G552" s="15"/>
      <c r="H552" s="16"/>
      <c r="I552" s="16"/>
      <c r="J552" s="17"/>
      <c r="N552" s="16"/>
      <c r="O552" s="16"/>
      <c r="P552" s="16"/>
      <c r="AN552" s="18"/>
      <c r="AO552" s="18"/>
      <c r="AP552" s="18"/>
      <c r="AQ552" s="18"/>
      <c r="AR552" s="18"/>
      <c r="AS552" s="18"/>
      <c r="AU552" s="18"/>
      <c r="AV552" s="18"/>
    </row>
    <row r="553" spans="2:48" ht="15.75" customHeight="1">
      <c r="B553" s="16"/>
      <c r="C553" s="13"/>
      <c r="G553" s="15"/>
      <c r="H553" s="16"/>
      <c r="I553" s="16"/>
      <c r="J553" s="17"/>
      <c r="N553" s="16"/>
      <c r="O553" s="16"/>
      <c r="P553" s="16"/>
      <c r="AN553" s="18"/>
      <c r="AO553" s="18"/>
      <c r="AP553" s="18"/>
      <c r="AQ553" s="18"/>
      <c r="AR553" s="18"/>
      <c r="AS553" s="18"/>
      <c r="AU553" s="18"/>
      <c r="AV553" s="18"/>
    </row>
    <row r="554" spans="2:48" ht="15.75" customHeight="1">
      <c r="B554" s="16"/>
      <c r="C554" s="13"/>
      <c r="G554" s="15"/>
      <c r="H554" s="16"/>
      <c r="I554" s="16"/>
      <c r="J554" s="17"/>
      <c r="N554" s="16"/>
      <c r="O554" s="16"/>
      <c r="P554" s="16"/>
      <c r="AN554" s="18"/>
      <c r="AO554" s="18"/>
      <c r="AP554" s="18"/>
      <c r="AQ554" s="18"/>
      <c r="AR554" s="18"/>
      <c r="AS554" s="18"/>
      <c r="AU554" s="18"/>
      <c r="AV554" s="18"/>
    </row>
    <row r="555" spans="2:48" ht="15.75" customHeight="1">
      <c r="B555" s="16"/>
      <c r="C555" s="13"/>
      <c r="G555" s="15"/>
      <c r="H555" s="16"/>
      <c r="I555" s="16"/>
      <c r="J555" s="17"/>
      <c r="N555" s="16"/>
      <c r="O555" s="16"/>
      <c r="P555" s="16"/>
      <c r="AN555" s="18"/>
      <c r="AO555" s="18"/>
      <c r="AP555" s="18"/>
      <c r="AQ555" s="18"/>
      <c r="AR555" s="18"/>
      <c r="AS555" s="18"/>
      <c r="AU555" s="18"/>
      <c r="AV555" s="18"/>
    </row>
    <row r="556" spans="2:48" ht="15.75" customHeight="1">
      <c r="B556" s="16"/>
      <c r="C556" s="13"/>
      <c r="G556" s="15"/>
      <c r="H556" s="16"/>
      <c r="I556" s="16"/>
      <c r="J556" s="17"/>
      <c r="N556" s="16"/>
      <c r="O556" s="16"/>
      <c r="P556" s="16"/>
      <c r="AN556" s="18"/>
      <c r="AO556" s="18"/>
      <c r="AP556" s="18"/>
      <c r="AQ556" s="18"/>
      <c r="AR556" s="18"/>
      <c r="AS556" s="18"/>
      <c r="AU556" s="18"/>
      <c r="AV556" s="18"/>
    </row>
    <row r="557" spans="2:48" ht="15.75" customHeight="1">
      <c r="B557" s="16"/>
      <c r="C557" s="13"/>
      <c r="G557" s="15"/>
      <c r="H557" s="16"/>
      <c r="I557" s="16"/>
      <c r="J557" s="17"/>
      <c r="N557" s="16"/>
      <c r="O557" s="16"/>
      <c r="P557" s="16"/>
      <c r="AN557" s="18"/>
      <c r="AO557" s="18"/>
      <c r="AP557" s="18"/>
      <c r="AQ557" s="18"/>
      <c r="AR557" s="18"/>
      <c r="AS557" s="18"/>
      <c r="AU557" s="18"/>
      <c r="AV557" s="18"/>
    </row>
    <row r="558" spans="2:48" ht="15.75" customHeight="1">
      <c r="B558" s="16"/>
      <c r="C558" s="13"/>
      <c r="G558" s="15"/>
      <c r="H558" s="16"/>
      <c r="I558" s="16"/>
      <c r="J558" s="17"/>
      <c r="N558" s="16"/>
      <c r="O558" s="16"/>
      <c r="P558" s="16"/>
      <c r="AN558" s="18"/>
      <c r="AO558" s="18"/>
      <c r="AP558" s="18"/>
      <c r="AQ558" s="18"/>
      <c r="AR558" s="18"/>
      <c r="AS558" s="18"/>
      <c r="AU558" s="18"/>
      <c r="AV558" s="18"/>
    </row>
    <row r="559" spans="2:48" ht="15.75" customHeight="1">
      <c r="B559" s="16"/>
      <c r="C559" s="13"/>
      <c r="G559" s="15"/>
      <c r="H559" s="16"/>
      <c r="I559" s="16"/>
      <c r="J559" s="17"/>
      <c r="N559" s="16"/>
      <c r="O559" s="16"/>
      <c r="P559" s="16"/>
      <c r="AN559" s="18"/>
      <c r="AO559" s="18"/>
      <c r="AP559" s="18"/>
      <c r="AQ559" s="18"/>
      <c r="AR559" s="18"/>
      <c r="AS559" s="18"/>
      <c r="AU559" s="18"/>
      <c r="AV559" s="18"/>
    </row>
    <row r="560" spans="2:48" ht="15.75" customHeight="1">
      <c r="B560" s="16"/>
      <c r="C560" s="13"/>
      <c r="G560" s="15"/>
      <c r="H560" s="16"/>
      <c r="I560" s="16"/>
      <c r="J560" s="17"/>
      <c r="N560" s="16"/>
      <c r="O560" s="16"/>
      <c r="P560" s="16"/>
      <c r="AN560" s="18"/>
      <c r="AO560" s="18"/>
      <c r="AP560" s="18"/>
      <c r="AQ560" s="18"/>
      <c r="AR560" s="18"/>
      <c r="AS560" s="18"/>
      <c r="AU560" s="18"/>
      <c r="AV560" s="18"/>
    </row>
    <row r="561" spans="2:48" ht="15.75" customHeight="1">
      <c r="B561" s="16"/>
      <c r="C561" s="13"/>
      <c r="G561" s="15"/>
      <c r="H561" s="16"/>
      <c r="I561" s="16"/>
      <c r="J561" s="17"/>
      <c r="N561" s="16"/>
      <c r="O561" s="16"/>
      <c r="P561" s="16"/>
      <c r="AN561" s="18"/>
      <c r="AO561" s="18"/>
      <c r="AP561" s="18"/>
      <c r="AQ561" s="18"/>
      <c r="AR561" s="18"/>
      <c r="AS561" s="18"/>
      <c r="AU561" s="18"/>
      <c r="AV561" s="18"/>
    </row>
    <row r="562" spans="2:48" ht="15.75" customHeight="1">
      <c r="B562" s="16"/>
      <c r="C562" s="13"/>
      <c r="G562" s="15"/>
      <c r="H562" s="16"/>
      <c r="I562" s="16"/>
      <c r="J562" s="17"/>
      <c r="N562" s="16"/>
      <c r="O562" s="16"/>
      <c r="P562" s="16"/>
      <c r="AN562" s="18"/>
      <c r="AO562" s="18"/>
      <c r="AP562" s="18"/>
      <c r="AQ562" s="18"/>
      <c r="AR562" s="18"/>
      <c r="AS562" s="18"/>
      <c r="AU562" s="18"/>
      <c r="AV562" s="18"/>
    </row>
    <row r="563" spans="2:48" ht="15.75" customHeight="1">
      <c r="B563" s="16"/>
      <c r="C563" s="13"/>
      <c r="G563" s="15"/>
      <c r="H563" s="16"/>
      <c r="I563" s="16"/>
      <c r="J563" s="17"/>
      <c r="N563" s="16"/>
      <c r="O563" s="16"/>
      <c r="P563" s="16"/>
      <c r="AN563" s="18"/>
      <c r="AO563" s="18"/>
      <c r="AP563" s="18"/>
      <c r="AQ563" s="18"/>
      <c r="AR563" s="18"/>
      <c r="AS563" s="18"/>
      <c r="AU563" s="18"/>
      <c r="AV563" s="18"/>
    </row>
    <row r="564" spans="2:48" ht="15.75" customHeight="1">
      <c r="B564" s="16"/>
      <c r="C564" s="13"/>
      <c r="G564" s="15"/>
      <c r="H564" s="16"/>
      <c r="I564" s="16"/>
      <c r="J564" s="17"/>
      <c r="N564" s="16"/>
      <c r="O564" s="16"/>
      <c r="P564" s="16"/>
      <c r="AN564" s="18"/>
      <c r="AO564" s="18"/>
      <c r="AP564" s="18"/>
      <c r="AQ564" s="18"/>
      <c r="AR564" s="18"/>
      <c r="AS564" s="18"/>
      <c r="AU564" s="18"/>
      <c r="AV564" s="18"/>
    </row>
    <row r="565" spans="2:48" ht="15.75" customHeight="1">
      <c r="B565" s="16"/>
      <c r="C565" s="13"/>
      <c r="G565" s="15"/>
      <c r="H565" s="16"/>
      <c r="I565" s="16"/>
      <c r="J565" s="17"/>
      <c r="N565" s="16"/>
      <c r="O565" s="16"/>
      <c r="P565" s="16"/>
      <c r="AN565" s="18"/>
      <c r="AO565" s="18"/>
      <c r="AP565" s="18"/>
      <c r="AQ565" s="18"/>
      <c r="AR565" s="18"/>
      <c r="AS565" s="18"/>
      <c r="AU565" s="18"/>
      <c r="AV565" s="18"/>
    </row>
    <row r="566" spans="2:48" ht="15.75" customHeight="1">
      <c r="B566" s="16"/>
      <c r="C566" s="13"/>
      <c r="G566" s="15"/>
      <c r="H566" s="16"/>
      <c r="I566" s="16"/>
      <c r="J566" s="17"/>
      <c r="N566" s="16"/>
      <c r="O566" s="16"/>
      <c r="P566" s="16"/>
      <c r="AN566" s="18"/>
      <c r="AO566" s="18"/>
      <c r="AP566" s="18"/>
      <c r="AQ566" s="18"/>
      <c r="AR566" s="18"/>
      <c r="AS566" s="18"/>
      <c r="AU566" s="18"/>
      <c r="AV566" s="18"/>
    </row>
    <row r="567" spans="2:48" ht="15.75" customHeight="1">
      <c r="B567" s="16"/>
      <c r="C567" s="13"/>
      <c r="G567" s="15"/>
      <c r="H567" s="16"/>
      <c r="I567" s="16"/>
      <c r="J567" s="17"/>
      <c r="N567" s="16"/>
      <c r="O567" s="16"/>
      <c r="P567" s="16"/>
      <c r="AN567" s="18"/>
      <c r="AO567" s="18"/>
      <c r="AP567" s="18"/>
      <c r="AQ567" s="18"/>
      <c r="AR567" s="18"/>
      <c r="AS567" s="18"/>
      <c r="AU567" s="18"/>
      <c r="AV567" s="18"/>
    </row>
    <row r="568" spans="2:48" ht="15.75" customHeight="1">
      <c r="B568" s="16"/>
      <c r="C568" s="13"/>
      <c r="G568" s="15"/>
      <c r="H568" s="16"/>
      <c r="I568" s="16"/>
      <c r="J568" s="17"/>
      <c r="N568" s="16"/>
      <c r="O568" s="16"/>
      <c r="P568" s="16"/>
      <c r="AN568" s="18"/>
      <c r="AO568" s="18"/>
      <c r="AP568" s="18"/>
      <c r="AQ568" s="18"/>
      <c r="AR568" s="18"/>
      <c r="AS568" s="18"/>
      <c r="AU568" s="18"/>
      <c r="AV568" s="18"/>
    </row>
    <row r="569" spans="2:48" ht="15.75" customHeight="1">
      <c r="B569" s="16"/>
      <c r="C569" s="13"/>
      <c r="G569" s="15"/>
      <c r="H569" s="16"/>
      <c r="I569" s="16"/>
      <c r="J569" s="17"/>
      <c r="N569" s="16"/>
      <c r="O569" s="16"/>
      <c r="P569" s="16"/>
      <c r="AN569" s="18"/>
      <c r="AO569" s="18"/>
      <c r="AP569" s="18"/>
      <c r="AQ569" s="18"/>
      <c r="AR569" s="18"/>
      <c r="AS569" s="18"/>
      <c r="AU569" s="18"/>
      <c r="AV569" s="18"/>
    </row>
    <row r="570" spans="2:48" ht="15.75" customHeight="1">
      <c r="B570" s="16"/>
      <c r="C570" s="13"/>
      <c r="G570" s="15"/>
      <c r="H570" s="16"/>
      <c r="I570" s="16"/>
      <c r="J570" s="17"/>
      <c r="N570" s="16"/>
      <c r="O570" s="16"/>
      <c r="P570" s="16"/>
      <c r="AN570" s="18"/>
      <c r="AO570" s="18"/>
      <c r="AP570" s="18"/>
      <c r="AQ570" s="18"/>
      <c r="AR570" s="18"/>
      <c r="AS570" s="18"/>
      <c r="AU570" s="18"/>
      <c r="AV570" s="18"/>
    </row>
    <row r="571" spans="2:48" ht="15.75" customHeight="1">
      <c r="B571" s="16"/>
      <c r="C571" s="13"/>
      <c r="G571" s="15"/>
      <c r="H571" s="16"/>
      <c r="I571" s="16"/>
      <c r="J571" s="17"/>
      <c r="N571" s="16"/>
      <c r="O571" s="16"/>
      <c r="P571" s="16"/>
      <c r="AN571" s="18"/>
      <c r="AO571" s="18"/>
      <c r="AP571" s="18"/>
      <c r="AQ571" s="18"/>
      <c r="AR571" s="18"/>
      <c r="AS571" s="18"/>
      <c r="AU571" s="18"/>
      <c r="AV571" s="18"/>
    </row>
    <row r="572" spans="2:48" ht="15.75" customHeight="1">
      <c r="B572" s="16"/>
      <c r="C572" s="13"/>
      <c r="G572" s="15"/>
      <c r="H572" s="16"/>
      <c r="I572" s="16"/>
      <c r="J572" s="17"/>
      <c r="N572" s="16"/>
      <c r="O572" s="16"/>
      <c r="P572" s="16"/>
      <c r="AN572" s="18"/>
      <c r="AO572" s="18"/>
      <c r="AP572" s="18"/>
      <c r="AQ572" s="18"/>
      <c r="AR572" s="18"/>
      <c r="AS572" s="18"/>
      <c r="AU572" s="18"/>
      <c r="AV572" s="18"/>
    </row>
    <row r="573" spans="2:48" ht="15.75" customHeight="1">
      <c r="B573" s="16"/>
      <c r="C573" s="13"/>
      <c r="G573" s="15"/>
      <c r="H573" s="16"/>
      <c r="I573" s="16"/>
      <c r="J573" s="17"/>
      <c r="N573" s="16"/>
      <c r="O573" s="16"/>
      <c r="P573" s="16"/>
      <c r="AN573" s="18"/>
      <c r="AO573" s="18"/>
      <c r="AP573" s="18"/>
      <c r="AQ573" s="18"/>
      <c r="AR573" s="18"/>
      <c r="AS573" s="18"/>
      <c r="AU573" s="18"/>
      <c r="AV573" s="18"/>
    </row>
    <row r="574" spans="2:48" ht="15.75" customHeight="1">
      <c r="B574" s="16"/>
      <c r="C574" s="13"/>
      <c r="G574" s="15"/>
      <c r="H574" s="16"/>
      <c r="I574" s="16"/>
      <c r="J574" s="17"/>
      <c r="N574" s="16"/>
      <c r="O574" s="16"/>
      <c r="P574" s="16"/>
      <c r="AN574" s="18"/>
      <c r="AO574" s="18"/>
      <c r="AP574" s="18"/>
      <c r="AQ574" s="18"/>
      <c r="AR574" s="18"/>
      <c r="AS574" s="18"/>
      <c r="AU574" s="18"/>
      <c r="AV574" s="18"/>
    </row>
    <row r="575" spans="2:48" ht="15.75" customHeight="1">
      <c r="B575" s="16"/>
      <c r="C575" s="13"/>
      <c r="G575" s="15"/>
      <c r="H575" s="16"/>
      <c r="I575" s="16"/>
      <c r="J575" s="17"/>
      <c r="N575" s="16"/>
      <c r="O575" s="16"/>
      <c r="P575" s="16"/>
      <c r="AN575" s="18"/>
      <c r="AO575" s="18"/>
      <c r="AP575" s="18"/>
      <c r="AQ575" s="18"/>
      <c r="AR575" s="18"/>
      <c r="AS575" s="18"/>
      <c r="AU575" s="18"/>
      <c r="AV575" s="18"/>
    </row>
    <row r="576" spans="2:48" ht="15.75" customHeight="1">
      <c r="B576" s="16"/>
      <c r="C576" s="13"/>
      <c r="G576" s="15"/>
      <c r="H576" s="16"/>
      <c r="I576" s="16"/>
      <c r="J576" s="17"/>
      <c r="N576" s="16"/>
      <c r="O576" s="16"/>
      <c r="P576" s="16"/>
      <c r="AN576" s="18"/>
      <c r="AO576" s="18"/>
      <c r="AP576" s="18"/>
      <c r="AQ576" s="18"/>
      <c r="AR576" s="18"/>
      <c r="AS576" s="18"/>
      <c r="AU576" s="18"/>
      <c r="AV576" s="18"/>
    </row>
    <row r="577" spans="2:48" ht="15.75" customHeight="1">
      <c r="B577" s="16"/>
      <c r="C577" s="13"/>
      <c r="G577" s="15"/>
      <c r="H577" s="16"/>
      <c r="I577" s="16"/>
      <c r="J577" s="17"/>
      <c r="N577" s="16"/>
      <c r="O577" s="16"/>
      <c r="P577" s="16"/>
      <c r="AN577" s="18"/>
      <c r="AO577" s="18"/>
      <c r="AP577" s="18"/>
      <c r="AQ577" s="18"/>
      <c r="AR577" s="18"/>
      <c r="AS577" s="18"/>
      <c r="AU577" s="18"/>
      <c r="AV577" s="18"/>
    </row>
    <row r="578" spans="2:48" ht="15.75" customHeight="1">
      <c r="B578" s="16"/>
      <c r="C578" s="13"/>
      <c r="G578" s="15"/>
      <c r="H578" s="16"/>
      <c r="I578" s="16"/>
      <c r="J578" s="17"/>
      <c r="N578" s="16"/>
      <c r="O578" s="16"/>
      <c r="P578" s="16"/>
      <c r="AN578" s="18"/>
      <c r="AO578" s="18"/>
      <c r="AP578" s="18"/>
      <c r="AQ578" s="18"/>
      <c r="AR578" s="18"/>
      <c r="AS578" s="18"/>
      <c r="AU578" s="18"/>
      <c r="AV578" s="18"/>
    </row>
    <row r="579" spans="2:48" ht="15.75" customHeight="1">
      <c r="B579" s="16"/>
      <c r="C579" s="13"/>
      <c r="G579" s="15"/>
      <c r="H579" s="16"/>
      <c r="I579" s="16"/>
      <c r="J579" s="17"/>
      <c r="N579" s="16"/>
      <c r="O579" s="16"/>
      <c r="P579" s="16"/>
      <c r="AN579" s="18"/>
      <c r="AO579" s="18"/>
      <c r="AP579" s="18"/>
      <c r="AQ579" s="18"/>
      <c r="AR579" s="18"/>
      <c r="AS579" s="18"/>
      <c r="AU579" s="18"/>
      <c r="AV579" s="18"/>
    </row>
    <row r="580" spans="2:48" ht="15.75" customHeight="1">
      <c r="B580" s="16"/>
      <c r="C580" s="13"/>
      <c r="G580" s="15"/>
      <c r="H580" s="16"/>
      <c r="I580" s="16"/>
      <c r="J580" s="17"/>
      <c r="N580" s="16"/>
      <c r="O580" s="16"/>
      <c r="P580" s="16"/>
      <c r="AN580" s="18"/>
      <c r="AO580" s="18"/>
      <c r="AP580" s="18"/>
      <c r="AQ580" s="18"/>
      <c r="AR580" s="18"/>
      <c r="AS580" s="18"/>
      <c r="AU580" s="18"/>
      <c r="AV580" s="18"/>
    </row>
    <row r="581" spans="2:48" ht="15.75" customHeight="1">
      <c r="B581" s="16"/>
      <c r="C581" s="13"/>
      <c r="G581" s="15"/>
      <c r="H581" s="16"/>
      <c r="I581" s="16"/>
      <c r="J581" s="17"/>
      <c r="N581" s="16"/>
      <c r="O581" s="16"/>
      <c r="P581" s="16"/>
      <c r="AN581" s="18"/>
      <c r="AO581" s="18"/>
      <c r="AP581" s="18"/>
      <c r="AQ581" s="18"/>
      <c r="AR581" s="18"/>
      <c r="AS581" s="18"/>
      <c r="AU581" s="18"/>
      <c r="AV581" s="18"/>
    </row>
    <row r="582" spans="2:48" ht="15.75" customHeight="1">
      <c r="B582" s="16"/>
      <c r="C582" s="13"/>
      <c r="G582" s="15"/>
      <c r="H582" s="16"/>
      <c r="I582" s="16"/>
      <c r="J582" s="17"/>
      <c r="N582" s="16"/>
      <c r="O582" s="16"/>
      <c r="P582" s="16"/>
      <c r="AN582" s="18"/>
      <c r="AO582" s="18"/>
      <c r="AP582" s="18"/>
      <c r="AQ582" s="18"/>
      <c r="AR582" s="18"/>
      <c r="AS582" s="18"/>
      <c r="AU582" s="18"/>
      <c r="AV582" s="18"/>
    </row>
    <row r="583" spans="2:48" ht="15.75" customHeight="1">
      <c r="B583" s="16"/>
      <c r="C583" s="13"/>
      <c r="G583" s="15"/>
      <c r="H583" s="16"/>
      <c r="I583" s="16"/>
      <c r="J583" s="17"/>
      <c r="N583" s="16"/>
      <c r="O583" s="16"/>
      <c r="P583" s="16"/>
      <c r="AN583" s="18"/>
      <c r="AO583" s="18"/>
      <c r="AP583" s="18"/>
      <c r="AQ583" s="18"/>
      <c r="AR583" s="18"/>
      <c r="AS583" s="18"/>
      <c r="AU583" s="18"/>
      <c r="AV583" s="18"/>
    </row>
    <row r="584" spans="2:48" ht="15.75" customHeight="1">
      <c r="B584" s="16"/>
      <c r="C584" s="13"/>
      <c r="G584" s="15"/>
      <c r="H584" s="16"/>
      <c r="I584" s="16"/>
      <c r="J584" s="17"/>
      <c r="N584" s="16"/>
      <c r="O584" s="16"/>
      <c r="P584" s="16"/>
      <c r="AN584" s="18"/>
      <c r="AO584" s="18"/>
      <c r="AP584" s="18"/>
      <c r="AQ584" s="18"/>
      <c r="AR584" s="18"/>
      <c r="AS584" s="18"/>
      <c r="AU584" s="18"/>
      <c r="AV584" s="18"/>
    </row>
    <row r="585" spans="2:48" ht="15.75" customHeight="1">
      <c r="B585" s="16"/>
      <c r="C585" s="13"/>
      <c r="G585" s="15"/>
      <c r="H585" s="16"/>
      <c r="I585" s="16"/>
      <c r="J585" s="17"/>
      <c r="N585" s="16"/>
      <c r="O585" s="16"/>
      <c r="P585" s="16"/>
      <c r="AN585" s="18"/>
      <c r="AO585" s="18"/>
      <c r="AP585" s="18"/>
      <c r="AQ585" s="18"/>
      <c r="AR585" s="18"/>
      <c r="AS585" s="18"/>
      <c r="AU585" s="18"/>
      <c r="AV585" s="18"/>
    </row>
    <row r="586" spans="2:48" ht="15.75" customHeight="1">
      <c r="B586" s="16"/>
      <c r="C586" s="13"/>
      <c r="G586" s="15"/>
      <c r="H586" s="16"/>
      <c r="I586" s="16"/>
      <c r="J586" s="17"/>
      <c r="N586" s="16"/>
      <c r="O586" s="16"/>
      <c r="P586" s="16"/>
      <c r="AN586" s="18"/>
      <c r="AO586" s="18"/>
      <c r="AP586" s="18"/>
      <c r="AQ586" s="18"/>
      <c r="AR586" s="18"/>
      <c r="AS586" s="18"/>
      <c r="AU586" s="18"/>
      <c r="AV586" s="18"/>
    </row>
    <row r="587" spans="2:48" ht="15.75" customHeight="1">
      <c r="B587" s="16"/>
      <c r="C587" s="13"/>
      <c r="G587" s="15"/>
      <c r="H587" s="16"/>
      <c r="I587" s="16"/>
      <c r="J587" s="17"/>
      <c r="N587" s="16"/>
      <c r="O587" s="16"/>
      <c r="P587" s="16"/>
      <c r="AN587" s="18"/>
      <c r="AO587" s="18"/>
      <c r="AP587" s="18"/>
      <c r="AQ587" s="18"/>
      <c r="AR587" s="18"/>
      <c r="AS587" s="18"/>
      <c r="AU587" s="18"/>
      <c r="AV587" s="18"/>
    </row>
    <row r="588" spans="2:48" ht="15.75" customHeight="1">
      <c r="B588" s="16"/>
      <c r="C588" s="13"/>
      <c r="G588" s="15"/>
      <c r="H588" s="16"/>
      <c r="I588" s="16"/>
      <c r="J588" s="17"/>
      <c r="N588" s="16"/>
      <c r="O588" s="16"/>
      <c r="P588" s="16"/>
      <c r="AN588" s="18"/>
      <c r="AO588" s="18"/>
      <c r="AP588" s="18"/>
      <c r="AQ588" s="18"/>
      <c r="AR588" s="18"/>
      <c r="AS588" s="18"/>
      <c r="AU588" s="18"/>
      <c r="AV588" s="18"/>
    </row>
    <row r="589" spans="2:48" ht="15.75" customHeight="1">
      <c r="B589" s="16"/>
      <c r="C589" s="13"/>
      <c r="G589" s="15"/>
      <c r="H589" s="16"/>
      <c r="I589" s="16"/>
      <c r="J589" s="17"/>
      <c r="N589" s="16"/>
      <c r="O589" s="16"/>
      <c r="P589" s="16"/>
      <c r="AN589" s="18"/>
      <c r="AO589" s="18"/>
      <c r="AP589" s="18"/>
      <c r="AQ589" s="18"/>
      <c r="AR589" s="18"/>
      <c r="AS589" s="18"/>
      <c r="AU589" s="18"/>
      <c r="AV589" s="18"/>
    </row>
    <row r="590" spans="2:48" ht="15.75" customHeight="1">
      <c r="B590" s="16"/>
      <c r="C590" s="13"/>
      <c r="G590" s="15"/>
      <c r="H590" s="16"/>
      <c r="I590" s="16"/>
      <c r="J590" s="17"/>
      <c r="N590" s="16"/>
      <c r="O590" s="16"/>
      <c r="P590" s="16"/>
      <c r="AN590" s="18"/>
      <c r="AO590" s="18"/>
      <c r="AP590" s="18"/>
      <c r="AQ590" s="18"/>
      <c r="AR590" s="18"/>
      <c r="AS590" s="18"/>
      <c r="AU590" s="18"/>
      <c r="AV590" s="18"/>
    </row>
    <row r="591" spans="2:48" ht="15.75" customHeight="1">
      <c r="B591" s="16"/>
      <c r="C591" s="13"/>
      <c r="G591" s="15"/>
      <c r="H591" s="16"/>
      <c r="I591" s="16"/>
      <c r="J591" s="17"/>
      <c r="N591" s="16"/>
      <c r="O591" s="16"/>
      <c r="P591" s="16"/>
      <c r="AN591" s="18"/>
      <c r="AO591" s="18"/>
      <c r="AP591" s="18"/>
      <c r="AQ591" s="18"/>
      <c r="AR591" s="18"/>
      <c r="AS591" s="18"/>
      <c r="AU591" s="18"/>
      <c r="AV591" s="18"/>
    </row>
    <row r="592" spans="2:48" ht="15.75" customHeight="1">
      <c r="B592" s="16"/>
      <c r="C592" s="13"/>
      <c r="G592" s="15"/>
      <c r="H592" s="16"/>
      <c r="I592" s="16"/>
      <c r="J592" s="17"/>
      <c r="N592" s="16"/>
      <c r="O592" s="16"/>
      <c r="P592" s="16"/>
      <c r="AN592" s="18"/>
      <c r="AO592" s="18"/>
      <c r="AP592" s="18"/>
      <c r="AQ592" s="18"/>
      <c r="AR592" s="18"/>
      <c r="AS592" s="18"/>
      <c r="AU592" s="18"/>
      <c r="AV592" s="18"/>
    </row>
    <row r="593" spans="2:48" ht="15.75" customHeight="1">
      <c r="B593" s="16"/>
      <c r="C593" s="13"/>
      <c r="G593" s="15"/>
      <c r="H593" s="16"/>
      <c r="I593" s="16"/>
      <c r="J593" s="17"/>
      <c r="N593" s="16"/>
      <c r="O593" s="16"/>
      <c r="P593" s="16"/>
      <c r="AN593" s="18"/>
      <c r="AO593" s="18"/>
      <c r="AP593" s="18"/>
      <c r="AQ593" s="18"/>
      <c r="AR593" s="18"/>
      <c r="AS593" s="18"/>
      <c r="AU593" s="18"/>
      <c r="AV593" s="18"/>
    </row>
    <row r="594" spans="2:48" ht="15.75" customHeight="1">
      <c r="B594" s="16"/>
      <c r="C594" s="13"/>
      <c r="G594" s="15"/>
      <c r="H594" s="16"/>
      <c r="I594" s="16"/>
      <c r="J594" s="17"/>
      <c r="N594" s="16"/>
      <c r="O594" s="16"/>
      <c r="P594" s="16"/>
      <c r="AN594" s="18"/>
      <c r="AO594" s="18"/>
      <c r="AP594" s="18"/>
      <c r="AQ594" s="18"/>
      <c r="AR594" s="18"/>
      <c r="AS594" s="18"/>
      <c r="AU594" s="18"/>
      <c r="AV594" s="18"/>
    </row>
    <row r="595" spans="2:48" ht="15.75" customHeight="1">
      <c r="B595" s="16"/>
      <c r="C595" s="13"/>
      <c r="G595" s="15"/>
      <c r="H595" s="16"/>
      <c r="I595" s="16"/>
      <c r="J595" s="17"/>
      <c r="N595" s="16"/>
      <c r="O595" s="16"/>
      <c r="P595" s="16"/>
      <c r="AN595" s="18"/>
      <c r="AO595" s="18"/>
      <c r="AP595" s="18"/>
      <c r="AQ595" s="18"/>
      <c r="AR595" s="18"/>
      <c r="AS595" s="18"/>
      <c r="AU595" s="18"/>
      <c r="AV595" s="18"/>
    </row>
    <row r="596" spans="2:48" ht="15.75" customHeight="1">
      <c r="B596" s="16"/>
      <c r="C596" s="13"/>
      <c r="G596" s="15"/>
      <c r="H596" s="16"/>
      <c r="I596" s="16"/>
      <c r="J596" s="17"/>
      <c r="N596" s="16"/>
      <c r="O596" s="16"/>
      <c r="P596" s="16"/>
      <c r="AN596" s="18"/>
      <c r="AO596" s="18"/>
      <c r="AP596" s="18"/>
      <c r="AQ596" s="18"/>
      <c r="AR596" s="18"/>
      <c r="AS596" s="18"/>
      <c r="AU596" s="18"/>
      <c r="AV596" s="18"/>
    </row>
    <row r="597" spans="2:48" ht="15.75" customHeight="1">
      <c r="B597" s="16"/>
      <c r="C597" s="13"/>
      <c r="G597" s="15"/>
      <c r="H597" s="16"/>
      <c r="I597" s="16"/>
      <c r="J597" s="17"/>
      <c r="N597" s="16"/>
      <c r="O597" s="16"/>
      <c r="P597" s="16"/>
      <c r="AN597" s="18"/>
      <c r="AO597" s="18"/>
      <c r="AP597" s="18"/>
      <c r="AQ597" s="18"/>
      <c r="AR597" s="18"/>
      <c r="AS597" s="18"/>
      <c r="AU597" s="18"/>
      <c r="AV597" s="18"/>
    </row>
    <row r="598" spans="2:48" ht="15.75" customHeight="1">
      <c r="B598" s="16"/>
      <c r="C598" s="13"/>
      <c r="G598" s="15"/>
      <c r="H598" s="16"/>
      <c r="I598" s="16"/>
      <c r="J598" s="17"/>
      <c r="N598" s="16"/>
      <c r="O598" s="16"/>
      <c r="P598" s="16"/>
      <c r="AN598" s="18"/>
      <c r="AO598" s="18"/>
      <c r="AP598" s="18"/>
      <c r="AQ598" s="18"/>
      <c r="AR598" s="18"/>
      <c r="AS598" s="18"/>
      <c r="AU598" s="18"/>
      <c r="AV598" s="18"/>
    </row>
    <row r="599" spans="2:48" ht="15.75" customHeight="1">
      <c r="B599" s="16"/>
      <c r="C599" s="13"/>
      <c r="G599" s="15"/>
      <c r="H599" s="16"/>
      <c r="I599" s="16"/>
      <c r="J599" s="17"/>
      <c r="N599" s="16"/>
      <c r="O599" s="16"/>
      <c r="P599" s="16"/>
      <c r="AN599" s="18"/>
      <c r="AO599" s="18"/>
      <c r="AP599" s="18"/>
      <c r="AQ599" s="18"/>
      <c r="AR599" s="18"/>
      <c r="AS599" s="18"/>
      <c r="AU599" s="18"/>
      <c r="AV599" s="18"/>
    </row>
    <row r="600" spans="2:48" ht="15.75" customHeight="1">
      <c r="B600" s="16"/>
      <c r="C600" s="13"/>
      <c r="G600" s="15"/>
      <c r="H600" s="16"/>
      <c r="I600" s="16"/>
      <c r="J600" s="17"/>
      <c r="N600" s="16"/>
      <c r="O600" s="16"/>
      <c r="P600" s="16"/>
      <c r="AN600" s="18"/>
      <c r="AO600" s="18"/>
      <c r="AP600" s="18"/>
      <c r="AQ600" s="18"/>
      <c r="AR600" s="18"/>
      <c r="AS600" s="18"/>
      <c r="AU600" s="18"/>
      <c r="AV600" s="18"/>
    </row>
    <row r="601" spans="2:48" ht="15.75" customHeight="1">
      <c r="B601" s="16"/>
      <c r="C601" s="13"/>
      <c r="G601" s="15"/>
      <c r="H601" s="16"/>
      <c r="I601" s="16"/>
      <c r="J601" s="17"/>
      <c r="N601" s="16"/>
      <c r="O601" s="16"/>
      <c r="P601" s="16"/>
      <c r="AN601" s="18"/>
      <c r="AO601" s="18"/>
      <c r="AP601" s="18"/>
      <c r="AQ601" s="18"/>
      <c r="AR601" s="18"/>
      <c r="AS601" s="18"/>
      <c r="AU601" s="18"/>
      <c r="AV601" s="18"/>
    </row>
    <row r="602" spans="2:48" ht="15.75" customHeight="1">
      <c r="B602" s="16"/>
      <c r="C602" s="13"/>
      <c r="G602" s="15"/>
      <c r="H602" s="16"/>
      <c r="I602" s="16"/>
      <c r="J602" s="17"/>
      <c r="N602" s="16"/>
      <c r="O602" s="16"/>
      <c r="P602" s="16"/>
      <c r="AN602" s="18"/>
      <c r="AO602" s="18"/>
      <c r="AP602" s="18"/>
      <c r="AQ602" s="18"/>
      <c r="AR602" s="18"/>
      <c r="AS602" s="18"/>
      <c r="AU602" s="18"/>
      <c r="AV602" s="18"/>
    </row>
    <row r="603" spans="2:48" ht="15.75" customHeight="1">
      <c r="B603" s="16"/>
      <c r="C603" s="13"/>
      <c r="G603" s="15"/>
      <c r="H603" s="16"/>
      <c r="I603" s="16"/>
      <c r="J603" s="17"/>
      <c r="N603" s="16"/>
      <c r="O603" s="16"/>
      <c r="P603" s="16"/>
      <c r="AN603" s="18"/>
      <c r="AO603" s="18"/>
      <c r="AP603" s="18"/>
      <c r="AQ603" s="18"/>
      <c r="AR603" s="18"/>
      <c r="AS603" s="18"/>
      <c r="AU603" s="18"/>
      <c r="AV603" s="18"/>
    </row>
    <row r="604" spans="2:48" ht="15.75" customHeight="1">
      <c r="B604" s="16"/>
      <c r="C604" s="13"/>
      <c r="G604" s="15"/>
      <c r="H604" s="16"/>
      <c r="I604" s="16"/>
      <c r="J604" s="17"/>
      <c r="N604" s="16"/>
      <c r="O604" s="16"/>
      <c r="P604" s="16"/>
      <c r="AN604" s="18"/>
      <c r="AO604" s="18"/>
      <c r="AP604" s="18"/>
      <c r="AQ604" s="18"/>
      <c r="AR604" s="18"/>
      <c r="AS604" s="18"/>
      <c r="AU604" s="18"/>
      <c r="AV604" s="18"/>
    </row>
    <row r="605" spans="2:48" ht="15.75" customHeight="1">
      <c r="B605" s="16"/>
      <c r="C605" s="13"/>
      <c r="G605" s="15"/>
      <c r="H605" s="16"/>
      <c r="I605" s="16"/>
      <c r="J605" s="17"/>
      <c r="N605" s="16"/>
      <c r="O605" s="16"/>
      <c r="P605" s="16"/>
      <c r="AN605" s="18"/>
      <c r="AO605" s="18"/>
      <c r="AP605" s="18"/>
      <c r="AQ605" s="18"/>
      <c r="AR605" s="18"/>
      <c r="AS605" s="18"/>
      <c r="AU605" s="18"/>
      <c r="AV605" s="18"/>
    </row>
    <row r="606" spans="2:48" ht="15.75" customHeight="1">
      <c r="B606" s="16"/>
      <c r="C606" s="13"/>
      <c r="G606" s="15"/>
      <c r="H606" s="16"/>
      <c r="I606" s="16"/>
      <c r="J606" s="17"/>
      <c r="N606" s="16"/>
      <c r="O606" s="16"/>
      <c r="P606" s="16"/>
      <c r="AN606" s="18"/>
      <c r="AO606" s="18"/>
      <c r="AP606" s="18"/>
      <c r="AQ606" s="18"/>
      <c r="AR606" s="18"/>
      <c r="AS606" s="18"/>
      <c r="AU606" s="18"/>
      <c r="AV606" s="18"/>
    </row>
    <row r="607" spans="2:48" ht="15.75" customHeight="1">
      <c r="B607" s="16"/>
      <c r="C607" s="13"/>
      <c r="G607" s="15"/>
      <c r="H607" s="16"/>
      <c r="I607" s="16"/>
      <c r="J607" s="17"/>
      <c r="N607" s="16"/>
      <c r="O607" s="16"/>
      <c r="P607" s="16"/>
      <c r="AN607" s="18"/>
      <c r="AO607" s="18"/>
      <c r="AP607" s="18"/>
      <c r="AQ607" s="18"/>
      <c r="AR607" s="18"/>
      <c r="AS607" s="18"/>
      <c r="AU607" s="18"/>
      <c r="AV607" s="18"/>
    </row>
    <row r="608" spans="2:48" ht="15.75" customHeight="1">
      <c r="B608" s="16"/>
      <c r="C608" s="13"/>
      <c r="G608" s="15"/>
      <c r="H608" s="16"/>
      <c r="I608" s="16"/>
      <c r="J608" s="17"/>
      <c r="N608" s="16"/>
      <c r="O608" s="16"/>
      <c r="P608" s="16"/>
      <c r="AN608" s="18"/>
      <c r="AO608" s="18"/>
      <c r="AP608" s="18"/>
      <c r="AQ608" s="18"/>
      <c r="AR608" s="18"/>
      <c r="AS608" s="18"/>
      <c r="AU608" s="18"/>
      <c r="AV608" s="18"/>
    </row>
    <row r="609" spans="2:48" ht="15.75" customHeight="1">
      <c r="B609" s="16"/>
      <c r="C609" s="13"/>
      <c r="G609" s="15"/>
      <c r="H609" s="16"/>
      <c r="I609" s="16"/>
      <c r="J609" s="17"/>
      <c r="N609" s="16"/>
      <c r="O609" s="16"/>
      <c r="P609" s="16"/>
      <c r="AN609" s="18"/>
      <c r="AO609" s="18"/>
      <c r="AP609" s="18"/>
      <c r="AQ609" s="18"/>
      <c r="AR609" s="18"/>
      <c r="AS609" s="18"/>
      <c r="AU609" s="18"/>
      <c r="AV609" s="18"/>
    </row>
    <row r="610" spans="2:48" ht="15.75" customHeight="1">
      <c r="B610" s="16"/>
      <c r="C610" s="13"/>
      <c r="G610" s="15"/>
      <c r="H610" s="16"/>
      <c r="I610" s="16"/>
      <c r="J610" s="17"/>
      <c r="N610" s="16"/>
      <c r="O610" s="16"/>
      <c r="P610" s="16"/>
      <c r="AN610" s="18"/>
      <c r="AO610" s="18"/>
      <c r="AP610" s="18"/>
      <c r="AQ610" s="18"/>
      <c r="AR610" s="18"/>
      <c r="AS610" s="18"/>
      <c r="AU610" s="18"/>
      <c r="AV610" s="18"/>
    </row>
    <row r="611" spans="2:48" ht="15.75" customHeight="1">
      <c r="B611" s="16"/>
      <c r="C611" s="13"/>
      <c r="G611" s="15"/>
      <c r="H611" s="16"/>
      <c r="I611" s="16"/>
      <c r="J611" s="17"/>
      <c r="N611" s="16"/>
      <c r="O611" s="16"/>
      <c r="P611" s="16"/>
      <c r="AN611" s="18"/>
      <c r="AO611" s="18"/>
      <c r="AP611" s="18"/>
      <c r="AQ611" s="18"/>
      <c r="AR611" s="18"/>
      <c r="AS611" s="18"/>
      <c r="AU611" s="18"/>
      <c r="AV611" s="18"/>
    </row>
    <row r="612" spans="2:48" ht="15.75" customHeight="1">
      <c r="B612" s="16"/>
      <c r="C612" s="13"/>
      <c r="G612" s="15"/>
      <c r="H612" s="16"/>
      <c r="I612" s="16"/>
      <c r="J612" s="17"/>
      <c r="N612" s="16"/>
      <c r="O612" s="16"/>
      <c r="P612" s="16"/>
      <c r="AN612" s="18"/>
      <c r="AO612" s="18"/>
      <c r="AP612" s="18"/>
      <c r="AQ612" s="18"/>
      <c r="AR612" s="18"/>
      <c r="AS612" s="18"/>
      <c r="AU612" s="18"/>
      <c r="AV612" s="18"/>
    </row>
    <row r="613" spans="2:48" ht="15.75" customHeight="1">
      <c r="B613" s="16"/>
      <c r="C613" s="13"/>
      <c r="G613" s="15"/>
      <c r="H613" s="16"/>
      <c r="I613" s="16"/>
      <c r="J613" s="17"/>
      <c r="N613" s="16"/>
      <c r="O613" s="16"/>
      <c r="P613" s="16"/>
      <c r="AN613" s="18"/>
      <c r="AO613" s="18"/>
      <c r="AP613" s="18"/>
      <c r="AQ613" s="18"/>
      <c r="AR613" s="18"/>
      <c r="AS613" s="18"/>
      <c r="AU613" s="18"/>
      <c r="AV613" s="18"/>
    </row>
    <row r="614" spans="2:48" ht="15.75" customHeight="1">
      <c r="B614" s="16"/>
      <c r="C614" s="13"/>
      <c r="G614" s="15"/>
      <c r="H614" s="16"/>
      <c r="I614" s="16"/>
      <c r="J614" s="17"/>
      <c r="N614" s="16"/>
      <c r="O614" s="16"/>
      <c r="P614" s="16"/>
      <c r="AN614" s="18"/>
      <c r="AO614" s="18"/>
      <c r="AP614" s="18"/>
      <c r="AQ614" s="18"/>
      <c r="AR614" s="18"/>
      <c r="AS614" s="18"/>
      <c r="AU614" s="18"/>
      <c r="AV614" s="18"/>
    </row>
    <row r="615" spans="2:48" ht="15.75" customHeight="1">
      <c r="B615" s="16"/>
      <c r="C615" s="13"/>
      <c r="G615" s="15"/>
      <c r="H615" s="16"/>
      <c r="I615" s="16"/>
      <c r="J615" s="17"/>
      <c r="N615" s="16"/>
      <c r="O615" s="16"/>
      <c r="P615" s="16"/>
      <c r="AN615" s="18"/>
      <c r="AO615" s="18"/>
      <c r="AP615" s="18"/>
      <c r="AQ615" s="18"/>
      <c r="AR615" s="18"/>
      <c r="AS615" s="18"/>
      <c r="AU615" s="18"/>
      <c r="AV615" s="18"/>
    </row>
    <row r="616" spans="2:48" ht="15.75" customHeight="1">
      <c r="B616" s="16"/>
      <c r="C616" s="13"/>
      <c r="G616" s="15"/>
      <c r="H616" s="16"/>
      <c r="I616" s="16"/>
      <c r="J616" s="17"/>
      <c r="N616" s="16"/>
      <c r="O616" s="16"/>
      <c r="P616" s="16"/>
      <c r="AN616" s="18"/>
      <c r="AO616" s="18"/>
      <c r="AP616" s="18"/>
      <c r="AQ616" s="18"/>
      <c r="AR616" s="18"/>
      <c r="AS616" s="18"/>
      <c r="AU616" s="18"/>
      <c r="AV616" s="18"/>
    </row>
    <row r="617" spans="2:48" ht="15.75" customHeight="1">
      <c r="B617" s="16"/>
      <c r="C617" s="13"/>
      <c r="G617" s="15"/>
      <c r="H617" s="16"/>
      <c r="I617" s="16"/>
      <c r="J617" s="17"/>
      <c r="N617" s="16"/>
      <c r="O617" s="16"/>
      <c r="P617" s="16"/>
      <c r="AN617" s="18"/>
      <c r="AO617" s="18"/>
      <c r="AP617" s="18"/>
      <c r="AQ617" s="18"/>
      <c r="AR617" s="18"/>
      <c r="AS617" s="18"/>
      <c r="AU617" s="18"/>
      <c r="AV617" s="18"/>
    </row>
    <row r="618" spans="2:48" ht="15.75" customHeight="1">
      <c r="B618" s="16"/>
      <c r="C618" s="13"/>
      <c r="G618" s="15"/>
      <c r="H618" s="16"/>
      <c r="I618" s="16"/>
      <c r="J618" s="17"/>
      <c r="N618" s="16"/>
      <c r="O618" s="16"/>
      <c r="P618" s="16"/>
      <c r="AN618" s="18"/>
      <c r="AO618" s="18"/>
      <c r="AP618" s="18"/>
      <c r="AQ618" s="18"/>
      <c r="AR618" s="18"/>
      <c r="AS618" s="18"/>
      <c r="AU618" s="18"/>
      <c r="AV618" s="18"/>
    </row>
    <row r="619" spans="2:48" ht="15.75" customHeight="1">
      <c r="B619" s="16"/>
      <c r="C619" s="13"/>
      <c r="G619" s="15"/>
      <c r="H619" s="16"/>
      <c r="I619" s="16"/>
      <c r="J619" s="17"/>
      <c r="N619" s="16"/>
      <c r="O619" s="16"/>
      <c r="P619" s="16"/>
      <c r="AN619" s="18"/>
      <c r="AO619" s="18"/>
      <c r="AP619" s="18"/>
      <c r="AQ619" s="18"/>
      <c r="AR619" s="18"/>
      <c r="AS619" s="18"/>
      <c r="AU619" s="18"/>
      <c r="AV619" s="18"/>
    </row>
    <row r="620" spans="2:48" ht="15.75" customHeight="1">
      <c r="B620" s="16"/>
      <c r="C620" s="13"/>
      <c r="G620" s="15"/>
      <c r="H620" s="16"/>
      <c r="I620" s="16"/>
      <c r="J620" s="17"/>
      <c r="N620" s="16"/>
      <c r="O620" s="16"/>
      <c r="P620" s="16"/>
      <c r="AN620" s="18"/>
      <c r="AO620" s="18"/>
      <c r="AP620" s="18"/>
      <c r="AQ620" s="18"/>
      <c r="AR620" s="18"/>
      <c r="AS620" s="18"/>
      <c r="AU620" s="18"/>
      <c r="AV620" s="18"/>
    </row>
    <row r="621" spans="2:48" ht="15.75" customHeight="1">
      <c r="B621" s="16"/>
      <c r="C621" s="13"/>
      <c r="G621" s="15"/>
      <c r="H621" s="16"/>
      <c r="I621" s="16"/>
      <c r="J621" s="17"/>
      <c r="N621" s="16"/>
      <c r="O621" s="16"/>
      <c r="P621" s="16"/>
      <c r="AN621" s="18"/>
      <c r="AO621" s="18"/>
      <c r="AP621" s="18"/>
      <c r="AQ621" s="18"/>
      <c r="AR621" s="18"/>
      <c r="AS621" s="18"/>
      <c r="AU621" s="18"/>
      <c r="AV621" s="18"/>
    </row>
    <row r="622" spans="2:48" ht="15.75" customHeight="1">
      <c r="B622" s="16"/>
      <c r="C622" s="13"/>
      <c r="G622" s="15"/>
      <c r="H622" s="16"/>
      <c r="I622" s="16"/>
      <c r="J622" s="17"/>
      <c r="N622" s="16"/>
      <c r="O622" s="16"/>
      <c r="P622" s="16"/>
      <c r="AN622" s="18"/>
      <c r="AO622" s="18"/>
      <c r="AP622" s="18"/>
      <c r="AQ622" s="18"/>
      <c r="AR622" s="18"/>
      <c r="AS622" s="18"/>
      <c r="AU622" s="18"/>
      <c r="AV622" s="18"/>
    </row>
    <row r="623" spans="2:48" ht="15.75" customHeight="1">
      <c r="B623" s="16"/>
      <c r="C623" s="13"/>
      <c r="G623" s="15"/>
      <c r="H623" s="16"/>
      <c r="I623" s="16"/>
      <c r="J623" s="17"/>
      <c r="N623" s="16"/>
      <c r="O623" s="16"/>
      <c r="P623" s="16"/>
      <c r="AN623" s="18"/>
      <c r="AO623" s="18"/>
      <c r="AP623" s="18"/>
      <c r="AQ623" s="18"/>
      <c r="AR623" s="18"/>
      <c r="AS623" s="18"/>
      <c r="AU623" s="18"/>
      <c r="AV623" s="18"/>
    </row>
    <row r="624" spans="2:48" ht="15.75" customHeight="1">
      <c r="B624" s="16"/>
      <c r="C624" s="13"/>
      <c r="G624" s="15"/>
      <c r="H624" s="16"/>
      <c r="I624" s="16"/>
      <c r="J624" s="17"/>
      <c r="N624" s="16"/>
      <c r="O624" s="16"/>
      <c r="P624" s="16"/>
      <c r="AN624" s="18"/>
      <c r="AO624" s="18"/>
      <c r="AP624" s="18"/>
      <c r="AQ624" s="18"/>
      <c r="AR624" s="18"/>
      <c r="AS624" s="18"/>
      <c r="AU624" s="18"/>
      <c r="AV624" s="18"/>
    </row>
    <row r="625" spans="2:48" ht="15.75" customHeight="1">
      <c r="B625" s="16"/>
      <c r="C625" s="13"/>
      <c r="G625" s="15"/>
      <c r="H625" s="16"/>
      <c r="I625" s="16"/>
      <c r="J625" s="17"/>
      <c r="N625" s="16"/>
      <c r="O625" s="16"/>
      <c r="P625" s="16"/>
      <c r="AN625" s="18"/>
      <c r="AO625" s="18"/>
      <c r="AP625" s="18"/>
      <c r="AQ625" s="18"/>
      <c r="AR625" s="18"/>
      <c r="AS625" s="18"/>
      <c r="AU625" s="18"/>
      <c r="AV625" s="18"/>
    </row>
    <row r="626" spans="2:48" ht="15.75" customHeight="1">
      <c r="B626" s="16"/>
      <c r="C626" s="13"/>
      <c r="G626" s="15"/>
      <c r="H626" s="16"/>
      <c r="I626" s="16"/>
      <c r="J626" s="17"/>
      <c r="N626" s="16"/>
      <c r="O626" s="16"/>
      <c r="P626" s="16"/>
      <c r="AN626" s="18"/>
      <c r="AO626" s="18"/>
      <c r="AP626" s="18"/>
      <c r="AQ626" s="18"/>
      <c r="AR626" s="18"/>
      <c r="AS626" s="18"/>
      <c r="AU626" s="18"/>
      <c r="AV626" s="18"/>
    </row>
    <row r="627" spans="2:48" ht="15.75" customHeight="1">
      <c r="B627" s="16"/>
      <c r="C627" s="13"/>
      <c r="G627" s="15"/>
      <c r="H627" s="16"/>
      <c r="I627" s="16"/>
      <c r="J627" s="17"/>
      <c r="N627" s="16"/>
      <c r="O627" s="16"/>
      <c r="P627" s="16"/>
      <c r="AN627" s="18"/>
      <c r="AO627" s="18"/>
      <c r="AP627" s="18"/>
      <c r="AQ627" s="18"/>
      <c r="AR627" s="18"/>
      <c r="AS627" s="18"/>
      <c r="AU627" s="18"/>
      <c r="AV627" s="18"/>
    </row>
    <row r="628" spans="2:48" ht="15.75" customHeight="1">
      <c r="B628" s="16"/>
      <c r="C628" s="13"/>
      <c r="G628" s="15"/>
      <c r="H628" s="16"/>
      <c r="I628" s="16"/>
      <c r="J628" s="17"/>
      <c r="N628" s="16"/>
      <c r="O628" s="16"/>
      <c r="P628" s="16"/>
      <c r="AN628" s="18"/>
      <c r="AO628" s="18"/>
      <c r="AP628" s="18"/>
      <c r="AQ628" s="18"/>
      <c r="AR628" s="18"/>
      <c r="AS628" s="18"/>
      <c r="AU628" s="18"/>
      <c r="AV628" s="18"/>
    </row>
    <row r="629" spans="2:48" ht="15.75" customHeight="1">
      <c r="B629" s="16"/>
      <c r="C629" s="13"/>
      <c r="G629" s="15"/>
      <c r="H629" s="16"/>
      <c r="I629" s="16"/>
      <c r="J629" s="17"/>
      <c r="N629" s="16"/>
      <c r="O629" s="16"/>
      <c r="P629" s="16"/>
      <c r="AN629" s="18"/>
      <c r="AO629" s="18"/>
      <c r="AP629" s="18"/>
      <c r="AQ629" s="18"/>
      <c r="AR629" s="18"/>
      <c r="AS629" s="18"/>
      <c r="AU629" s="18"/>
      <c r="AV629" s="18"/>
    </row>
    <row r="630" spans="2:48" ht="15.75" customHeight="1">
      <c r="B630" s="16"/>
      <c r="C630" s="13"/>
      <c r="G630" s="15"/>
      <c r="H630" s="16"/>
      <c r="I630" s="16"/>
      <c r="J630" s="17"/>
      <c r="N630" s="16"/>
      <c r="O630" s="16"/>
      <c r="P630" s="16"/>
      <c r="AN630" s="18"/>
      <c r="AO630" s="18"/>
      <c r="AP630" s="18"/>
      <c r="AQ630" s="18"/>
      <c r="AR630" s="18"/>
      <c r="AS630" s="18"/>
      <c r="AU630" s="18"/>
      <c r="AV630" s="18"/>
    </row>
    <row r="631" spans="2:48" ht="15.75" customHeight="1">
      <c r="B631" s="16"/>
      <c r="C631" s="13"/>
      <c r="G631" s="15"/>
      <c r="H631" s="16"/>
      <c r="I631" s="16"/>
      <c r="J631" s="17"/>
      <c r="N631" s="16"/>
      <c r="O631" s="16"/>
      <c r="P631" s="16"/>
      <c r="AN631" s="18"/>
      <c r="AO631" s="18"/>
      <c r="AP631" s="18"/>
      <c r="AQ631" s="18"/>
      <c r="AR631" s="18"/>
      <c r="AS631" s="18"/>
      <c r="AU631" s="18"/>
      <c r="AV631" s="18"/>
    </row>
    <row r="632" spans="2:48" ht="15.75" customHeight="1">
      <c r="B632" s="16"/>
      <c r="C632" s="13"/>
      <c r="G632" s="15"/>
      <c r="H632" s="16"/>
      <c r="I632" s="16"/>
      <c r="J632" s="17"/>
      <c r="N632" s="16"/>
      <c r="O632" s="16"/>
      <c r="P632" s="16"/>
      <c r="AN632" s="18"/>
      <c r="AO632" s="18"/>
      <c r="AP632" s="18"/>
      <c r="AQ632" s="18"/>
      <c r="AR632" s="18"/>
      <c r="AS632" s="18"/>
      <c r="AU632" s="18"/>
      <c r="AV632" s="18"/>
    </row>
    <row r="633" spans="2:48" ht="15.75" customHeight="1">
      <c r="B633" s="16"/>
      <c r="C633" s="13"/>
      <c r="G633" s="15"/>
      <c r="H633" s="16"/>
      <c r="I633" s="16"/>
      <c r="J633" s="17"/>
      <c r="N633" s="16"/>
      <c r="O633" s="16"/>
      <c r="P633" s="16"/>
      <c r="AN633" s="18"/>
      <c r="AO633" s="18"/>
      <c r="AP633" s="18"/>
      <c r="AQ633" s="18"/>
      <c r="AR633" s="18"/>
      <c r="AS633" s="18"/>
      <c r="AU633" s="18"/>
      <c r="AV633" s="18"/>
    </row>
    <row r="634" spans="2:48" ht="15.75" customHeight="1">
      <c r="B634" s="16"/>
      <c r="C634" s="13"/>
      <c r="G634" s="15"/>
      <c r="H634" s="16"/>
      <c r="I634" s="16"/>
      <c r="J634" s="17"/>
      <c r="N634" s="16"/>
      <c r="O634" s="16"/>
      <c r="P634" s="16"/>
      <c r="AN634" s="18"/>
      <c r="AO634" s="18"/>
      <c r="AP634" s="18"/>
      <c r="AQ634" s="18"/>
      <c r="AR634" s="18"/>
      <c r="AS634" s="18"/>
      <c r="AU634" s="18"/>
      <c r="AV634" s="18"/>
    </row>
    <row r="635" spans="2:48" ht="15.75" customHeight="1">
      <c r="B635" s="16"/>
      <c r="C635" s="13"/>
      <c r="G635" s="15"/>
      <c r="H635" s="16"/>
      <c r="I635" s="16"/>
      <c r="J635" s="17"/>
      <c r="N635" s="16"/>
      <c r="O635" s="16"/>
      <c r="P635" s="16"/>
      <c r="AN635" s="18"/>
      <c r="AO635" s="18"/>
      <c r="AP635" s="18"/>
      <c r="AQ635" s="18"/>
      <c r="AR635" s="18"/>
      <c r="AS635" s="18"/>
      <c r="AU635" s="18"/>
      <c r="AV635" s="18"/>
    </row>
    <row r="636" spans="2:48" ht="15.75" customHeight="1">
      <c r="B636" s="16"/>
      <c r="C636" s="13"/>
      <c r="G636" s="15"/>
      <c r="H636" s="16"/>
      <c r="I636" s="16"/>
      <c r="J636" s="17"/>
      <c r="N636" s="16"/>
      <c r="O636" s="16"/>
      <c r="P636" s="16"/>
      <c r="AN636" s="18"/>
      <c r="AO636" s="18"/>
      <c r="AP636" s="18"/>
      <c r="AQ636" s="18"/>
      <c r="AR636" s="18"/>
      <c r="AS636" s="18"/>
      <c r="AU636" s="18"/>
      <c r="AV636" s="18"/>
    </row>
    <row r="637" spans="2:48" ht="15.75" customHeight="1">
      <c r="B637" s="16"/>
      <c r="C637" s="13"/>
      <c r="G637" s="15"/>
      <c r="H637" s="16"/>
      <c r="I637" s="16"/>
      <c r="J637" s="17"/>
      <c r="N637" s="16"/>
      <c r="O637" s="16"/>
      <c r="P637" s="16"/>
      <c r="AN637" s="18"/>
      <c r="AO637" s="18"/>
      <c r="AP637" s="18"/>
      <c r="AQ637" s="18"/>
      <c r="AR637" s="18"/>
      <c r="AS637" s="18"/>
      <c r="AU637" s="18"/>
      <c r="AV637" s="18"/>
    </row>
    <row r="638" spans="2:48" ht="15.75" customHeight="1">
      <c r="B638" s="16"/>
      <c r="C638" s="13"/>
      <c r="G638" s="15"/>
      <c r="H638" s="16"/>
      <c r="I638" s="16"/>
      <c r="J638" s="17"/>
      <c r="N638" s="16"/>
      <c r="O638" s="16"/>
      <c r="P638" s="16"/>
      <c r="AN638" s="18"/>
      <c r="AO638" s="18"/>
      <c r="AP638" s="18"/>
      <c r="AQ638" s="18"/>
      <c r="AR638" s="18"/>
      <c r="AS638" s="18"/>
      <c r="AU638" s="18"/>
      <c r="AV638" s="18"/>
    </row>
    <row r="639" spans="2:48" ht="15.75" customHeight="1">
      <c r="B639" s="16"/>
      <c r="C639" s="13"/>
      <c r="G639" s="15"/>
      <c r="H639" s="16"/>
      <c r="I639" s="16"/>
      <c r="J639" s="17"/>
      <c r="N639" s="16"/>
      <c r="O639" s="16"/>
      <c r="P639" s="16"/>
      <c r="AN639" s="18"/>
      <c r="AO639" s="18"/>
      <c r="AP639" s="18"/>
      <c r="AQ639" s="18"/>
      <c r="AR639" s="18"/>
      <c r="AS639" s="18"/>
      <c r="AU639" s="18"/>
      <c r="AV639" s="18"/>
    </row>
    <row r="640" spans="2:48" ht="15.75" customHeight="1">
      <c r="B640" s="16"/>
      <c r="C640" s="13"/>
      <c r="G640" s="15"/>
      <c r="H640" s="16"/>
      <c r="I640" s="16"/>
      <c r="J640" s="17"/>
      <c r="N640" s="16"/>
      <c r="O640" s="16"/>
      <c r="P640" s="16"/>
      <c r="AN640" s="18"/>
      <c r="AO640" s="18"/>
      <c r="AP640" s="18"/>
      <c r="AQ640" s="18"/>
      <c r="AR640" s="18"/>
      <c r="AS640" s="18"/>
      <c r="AU640" s="18"/>
      <c r="AV640" s="18"/>
    </row>
    <row r="641" spans="2:48" ht="15.75" customHeight="1">
      <c r="B641" s="16"/>
      <c r="C641" s="13"/>
      <c r="G641" s="15"/>
      <c r="H641" s="16"/>
      <c r="I641" s="16"/>
      <c r="J641" s="17"/>
      <c r="N641" s="16"/>
      <c r="O641" s="16"/>
      <c r="P641" s="16"/>
      <c r="AN641" s="18"/>
      <c r="AO641" s="18"/>
      <c r="AP641" s="18"/>
      <c r="AQ641" s="18"/>
      <c r="AR641" s="18"/>
      <c r="AS641" s="18"/>
      <c r="AU641" s="18"/>
      <c r="AV641" s="18"/>
    </row>
    <row r="642" spans="2:48" ht="15.75" customHeight="1">
      <c r="B642" s="16"/>
      <c r="C642" s="13"/>
      <c r="G642" s="15"/>
      <c r="H642" s="16"/>
      <c r="I642" s="16"/>
      <c r="J642" s="17"/>
      <c r="N642" s="16"/>
      <c r="O642" s="16"/>
      <c r="P642" s="16"/>
      <c r="AN642" s="18"/>
      <c r="AO642" s="18"/>
      <c r="AP642" s="18"/>
      <c r="AQ642" s="18"/>
      <c r="AR642" s="18"/>
      <c r="AS642" s="18"/>
      <c r="AU642" s="18"/>
      <c r="AV642" s="18"/>
    </row>
    <row r="643" spans="2:48" ht="15.75" customHeight="1">
      <c r="B643" s="16"/>
      <c r="C643" s="13"/>
      <c r="G643" s="15"/>
      <c r="H643" s="16"/>
      <c r="I643" s="16"/>
      <c r="J643" s="17"/>
      <c r="N643" s="16"/>
      <c r="O643" s="16"/>
      <c r="P643" s="16"/>
      <c r="AN643" s="18"/>
      <c r="AO643" s="18"/>
      <c r="AP643" s="18"/>
      <c r="AQ643" s="18"/>
      <c r="AR643" s="18"/>
      <c r="AS643" s="18"/>
      <c r="AU643" s="18"/>
      <c r="AV643" s="18"/>
    </row>
    <row r="644" spans="2:48" ht="15.75" customHeight="1">
      <c r="B644" s="16"/>
      <c r="C644" s="13"/>
      <c r="G644" s="15"/>
      <c r="H644" s="16"/>
      <c r="I644" s="16"/>
      <c r="J644" s="17"/>
      <c r="N644" s="16"/>
      <c r="O644" s="16"/>
      <c r="P644" s="16"/>
      <c r="AN644" s="18"/>
      <c r="AO644" s="18"/>
      <c r="AP644" s="18"/>
      <c r="AQ644" s="18"/>
      <c r="AR644" s="18"/>
      <c r="AS644" s="18"/>
      <c r="AU644" s="18"/>
      <c r="AV644" s="18"/>
    </row>
    <row r="645" spans="2:48" ht="15.75" customHeight="1">
      <c r="B645" s="16"/>
      <c r="C645" s="13"/>
      <c r="G645" s="15"/>
      <c r="H645" s="16"/>
      <c r="I645" s="16"/>
      <c r="J645" s="17"/>
      <c r="N645" s="16"/>
      <c r="O645" s="16"/>
      <c r="P645" s="16"/>
      <c r="AN645" s="18"/>
      <c r="AO645" s="18"/>
      <c r="AP645" s="18"/>
      <c r="AQ645" s="18"/>
      <c r="AR645" s="18"/>
      <c r="AS645" s="18"/>
      <c r="AU645" s="18"/>
      <c r="AV645" s="18"/>
    </row>
    <row r="646" spans="2:48" ht="15.75" customHeight="1">
      <c r="B646" s="16"/>
      <c r="C646" s="13"/>
      <c r="G646" s="15"/>
      <c r="H646" s="16"/>
      <c r="I646" s="16"/>
      <c r="J646" s="17"/>
      <c r="N646" s="16"/>
      <c r="O646" s="16"/>
      <c r="P646" s="16"/>
      <c r="AN646" s="18"/>
      <c r="AO646" s="18"/>
      <c r="AP646" s="18"/>
      <c r="AQ646" s="18"/>
      <c r="AR646" s="18"/>
      <c r="AS646" s="18"/>
      <c r="AU646" s="18"/>
      <c r="AV646" s="18"/>
    </row>
    <row r="647" spans="2:48" ht="15.75" customHeight="1">
      <c r="B647" s="16"/>
      <c r="C647" s="13"/>
      <c r="G647" s="15"/>
      <c r="H647" s="16"/>
      <c r="I647" s="16"/>
      <c r="J647" s="17"/>
      <c r="N647" s="16"/>
      <c r="O647" s="16"/>
      <c r="P647" s="16"/>
      <c r="AN647" s="18"/>
      <c r="AO647" s="18"/>
      <c r="AP647" s="18"/>
      <c r="AQ647" s="18"/>
      <c r="AR647" s="18"/>
      <c r="AS647" s="18"/>
      <c r="AU647" s="18"/>
      <c r="AV647" s="18"/>
    </row>
    <row r="648" spans="2:48" ht="15.75" customHeight="1">
      <c r="B648" s="16"/>
      <c r="C648" s="13"/>
      <c r="G648" s="15"/>
      <c r="H648" s="16"/>
      <c r="I648" s="16"/>
      <c r="J648" s="17"/>
      <c r="N648" s="16"/>
      <c r="O648" s="16"/>
      <c r="P648" s="16"/>
      <c r="AN648" s="18"/>
      <c r="AO648" s="18"/>
      <c r="AP648" s="18"/>
      <c r="AQ648" s="18"/>
      <c r="AR648" s="18"/>
      <c r="AS648" s="18"/>
      <c r="AU648" s="18"/>
      <c r="AV648" s="18"/>
    </row>
    <row r="649" spans="2:48" ht="15.75" customHeight="1">
      <c r="B649" s="16"/>
      <c r="C649" s="13"/>
      <c r="G649" s="15"/>
      <c r="H649" s="16"/>
      <c r="I649" s="16"/>
      <c r="J649" s="17"/>
      <c r="N649" s="16"/>
      <c r="O649" s="16"/>
      <c r="P649" s="16"/>
      <c r="AN649" s="18"/>
      <c r="AO649" s="18"/>
      <c r="AP649" s="18"/>
      <c r="AQ649" s="18"/>
      <c r="AR649" s="18"/>
      <c r="AS649" s="18"/>
      <c r="AU649" s="18"/>
      <c r="AV649" s="18"/>
    </row>
    <row r="650" spans="2:48" ht="15.75" customHeight="1">
      <c r="B650" s="16"/>
      <c r="C650" s="13"/>
      <c r="G650" s="15"/>
      <c r="H650" s="16"/>
      <c r="I650" s="16"/>
      <c r="J650" s="17"/>
      <c r="N650" s="16"/>
      <c r="O650" s="16"/>
      <c r="P650" s="16"/>
      <c r="AN650" s="18"/>
      <c r="AO650" s="18"/>
      <c r="AP650" s="18"/>
      <c r="AQ650" s="18"/>
      <c r="AR650" s="18"/>
      <c r="AS650" s="18"/>
      <c r="AU650" s="18"/>
      <c r="AV650" s="18"/>
    </row>
    <row r="651" spans="2:48" ht="15.75" customHeight="1">
      <c r="B651" s="16"/>
      <c r="C651" s="13"/>
      <c r="G651" s="15"/>
      <c r="H651" s="16"/>
      <c r="I651" s="16"/>
      <c r="J651" s="17"/>
      <c r="N651" s="16"/>
      <c r="O651" s="16"/>
      <c r="P651" s="16"/>
      <c r="AN651" s="18"/>
      <c r="AO651" s="18"/>
      <c r="AP651" s="18"/>
      <c r="AQ651" s="18"/>
      <c r="AR651" s="18"/>
      <c r="AS651" s="18"/>
      <c r="AU651" s="18"/>
      <c r="AV651" s="18"/>
    </row>
    <row r="652" spans="2:48" ht="15.75" customHeight="1">
      <c r="B652" s="16"/>
      <c r="C652" s="13"/>
      <c r="G652" s="15"/>
      <c r="H652" s="16"/>
      <c r="I652" s="16"/>
      <c r="J652" s="17"/>
      <c r="N652" s="16"/>
      <c r="O652" s="16"/>
      <c r="P652" s="16"/>
      <c r="AN652" s="18"/>
      <c r="AO652" s="18"/>
      <c r="AP652" s="18"/>
      <c r="AQ652" s="18"/>
      <c r="AR652" s="18"/>
      <c r="AS652" s="18"/>
      <c r="AU652" s="18"/>
      <c r="AV652" s="18"/>
    </row>
    <row r="653" spans="2:48" ht="15.75" customHeight="1">
      <c r="B653" s="16"/>
      <c r="C653" s="13"/>
      <c r="G653" s="15"/>
      <c r="H653" s="16"/>
      <c r="I653" s="16"/>
      <c r="J653" s="17"/>
      <c r="N653" s="16"/>
      <c r="O653" s="16"/>
      <c r="P653" s="16"/>
      <c r="AN653" s="18"/>
      <c r="AO653" s="18"/>
      <c r="AP653" s="18"/>
      <c r="AQ653" s="18"/>
      <c r="AR653" s="18"/>
      <c r="AS653" s="18"/>
      <c r="AU653" s="18"/>
      <c r="AV653" s="18"/>
    </row>
    <row r="654" spans="2:48" ht="15.75" customHeight="1">
      <c r="B654" s="16"/>
      <c r="C654" s="13"/>
      <c r="G654" s="15"/>
      <c r="H654" s="16"/>
      <c r="I654" s="16"/>
      <c r="J654" s="17"/>
      <c r="N654" s="16"/>
      <c r="O654" s="16"/>
      <c r="P654" s="16"/>
      <c r="AN654" s="18"/>
      <c r="AO654" s="18"/>
      <c r="AP654" s="18"/>
      <c r="AQ654" s="18"/>
      <c r="AR654" s="18"/>
      <c r="AS654" s="18"/>
      <c r="AU654" s="18"/>
      <c r="AV654" s="18"/>
    </row>
    <row r="655" spans="2:48" ht="15.75" customHeight="1">
      <c r="B655" s="16"/>
      <c r="C655" s="13"/>
      <c r="G655" s="15"/>
      <c r="H655" s="16"/>
      <c r="I655" s="16"/>
      <c r="J655" s="17"/>
      <c r="N655" s="16"/>
      <c r="O655" s="16"/>
      <c r="P655" s="16"/>
      <c r="AN655" s="18"/>
      <c r="AO655" s="18"/>
      <c r="AP655" s="18"/>
      <c r="AQ655" s="18"/>
      <c r="AR655" s="18"/>
      <c r="AS655" s="18"/>
      <c r="AU655" s="18"/>
      <c r="AV655" s="18"/>
    </row>
    <row r="656" spans="2:48" ht="15.75" customHeight="1">
      <c r="B656" s="16"/>
      <c r="C656" s="13"/>
      <c r="G656" s="15"/>
      <c r="H656" s="16"/>
      <c r="I656" s="16"/>
      <c r="J656" s="17"/>
      <c r="N656" s="16"/>
      <c r="O656" s="16"/>
      <c r="P656" s="16"/>
      <c r="AN656" s="18"/>
      <c r="AO656" s="18"/>
      <c r="AP656" s="18"/>
      <c r="AQ656" s="18"/>
      <c r="AR656" s="18"/>
      <c r="AS656" s="18"/>
      <c r="AU656" s="18"/>
      <c r="AV656" s="18"/>
    </row>
    <row r="657" spans="2:48" ht="15.75" customHeight="1">
      <c r="B657" s="16"/>
      <c r="C657" s="13"/>
      <c r="G657" s="15"/>
      <c r="H657" s="16"/>
      <c r="I657" s="16"/>
      <c r="J657" s="17"/>
      <c r="N657" s="16"/>
      <c r="O657" s="16"/>
      <c r="P657" s="16"/>
      <c r="AN657" s="18"/>
      <c r="AO657" s="18"/>
      <c r="AP657" s="18"/>
      <c r="AQ657" s="18"/>
      <c r="AR657" s="18"/>
      <c r="AS657" s="18"/>
      <c r="AU657" s="18"/>
      <c r="AV657" s="18"/>
    </row>
    <row r="658" spans="2:48" ht="15.75" customHeight="1">
      <c r="B658" s="16"/>
      <c r="C658" s="13"/>
      <c r="G658" s="15"/>
      <c r="H658" s="16"/>
      <c r="I658" s="16"/>
      <c r="J658" s="17"/>
      <c r="N658" s="16"/>
      <c r="O658" s="16"/>
      <c r="P658" s="16"/>
      <c r="AN658" s="18"/>
      <c r="AO658" s="18"/>
      <c r="AP658" s="18"/>
      <c r="AQ658" s="18"/>
      <c r="AR658" s="18"/>
      <c r="AS658" s="18"/>
      <c r="AU658" s="18"/>
      <c r="AV658" s="18"/>
    </row>
    <row r="659" spans="2:48" ht="15.75" customHeight="1">
      <c r="B659" s="16"/>
      <c r="C659" s="13"/>
      <c r="G659" s="15"/>
      <c r="H659" s="16"/>
      <c r="I659" s="16"/>
      <c r="J659" s="17"/>
      <c r="N659" s="16"/>
      <c r="O659" s="16"/>
      <c r="P659" s="16"/>
      <c r="AN659" s="18"/>
      <c r="AO659" s="18"/>
      <c r="AP659" s="18"/>
      <c r="AQ659" s="18"/>
      <c r="AR659" s="18"/>
      <c r="AS659" s="18"/>
      <c r="AU659" s="18"/>
      <c r="AV659" s="18"/>
    </row>
    <row r="660" spans="2:48" ht="15.75" customHeight="1">
      <c r="B660" s="16"/>
      <c r="C660" s="13"/>
      <c r="G660" s="15"/>
      <c r="H660" s="16"/>
      <c r="I660" s="16"/>
      <c r="J660" s="17"/>
      <c r="N660" s="16"/>
      <c r="O660" s="16"/>
      <c r="P660" s="16"/>
      <c r="AN660" s="18"/>
      <c r="AO660" s="18"/>
      <c r="AP660" s="18"/>
      <c r="AQ660" s="18"/>
      <c r="AR660" s="18"/>
      <c r="AS660" s="18"/>
      <c r="AU660" s="18"/>
      <c r="AV660" s="18"/>
    </row>
    <row r="661" spans="2:48" ht="15.75" customHeight="1">
      <c r="B661" s="16"/>
      <c r="C661" s="13"/>
      <c r="G661" s="15"/>
      <c r="H661" s="16"/>
      <c r="I661" s="16"/>
      <c r="J661" s="17"/>
      <c r="N661" s="16"/>
      <c r="O661" s="16"/>
      <c r="P661" s="16"/>
      <c r="AN661" s="18"/>
      <c r="AO661" s="18"/>
      <c r="AP661" s="18"/>
      <c r="AQ661" s="18"/>
      <c r="AR661" s="18"/>
      <c r="AS661" s="18"/>
      <c r="AU661" s="18"/>
      <c r="AV661" s="18"/>
    </row>
    <row r="662" spans="2:48" ht="15.75" customHeight="1">
      <c r="B662" s="16"/>
      <c r="C662" s="13"/>
      <c r="G662" s="15"/>
      <c r="H662" s="16"/>
      <c r="I662" s="16"/>
      <c r="J662" s="17"/>
      <c r="N662" s="16"/>
      <c r="O662" s="16"/>
      <c r="P662" s="16"/>
      <c r="AN662" s="18"/>
      <c r="AO662" s="18"/>
      <c r="AP662" s="18"/>
      <c r="AQ662" s="18"/>
      <c r="AR662" s="18"/>
      <c r="AS662" s="18"/>
      <c r="AU662" s="18"/>
      <c r="AV662" s="18"/>
    </row>
    <row r="663" spans="2:48" ht="15.75" customHeight="1">
      <c r="B663" s="16"/>
      <c r="C663" s="13"/>
      <c r="G663" s="15"/>
      <c r="H663" s="16"/>
      <c r="I663" s="16"/>
      <c r="J663" s="17"/>
      <c r="N663" s="16"/>
      <c r="O663" s="16"/>
      <c r="P663" s="16"/>
      <c r="AN663" s="18"/>
      <c r="AO663" s="18"/>
      <c r="AP663" s="18"/>
      <c r="AQ663" s="18"/>
      <c r="AR663" s="18"/>
      <c r="AS663" s="18"/>
      <c r="AU663" s="18"/>
      <c r="AV663" s="18"/>
    </row>
    <row r="664" spans="2:48" ht="15.75" customHeight="1">
      <c r="B664" s="16"/>
      <c r="C664" s="13"/>
      <c r="G664" s="15"/>
      <c r="H664" s="16"/>
      <c r="I664" s="16"/>
      <c r="J664" s="17"/>
      <c r="N664" s="16"/>
      <c r="O664" s="16"/>
      <c r="P664" s="16"/>
      <c r="AN664" s="18"/>
      <c r="AO664" s="18"/>
      <c r="AP664" s="18"/>
      <c r="AQ664" s="18"/>
      <c r="AR664" s="18"/>
      <c r="AS664" s="18"/>
      <c r="AU664" s="18"/>
      <c r="AV664" s="18"/>
    </row>
    <row r="665" spans="2:48" ht="15.75" customHeight="1">
      <c r="B665" s="16"/>
      <c r="C665" s="13"/>
      <c r="G665" s="15"/>
      <c r="H665" s="16"/>
      <c r="I665" s="16"/>
      <c r="J665" s="17"/>
      <c r="N665" s="16"/>
      <c r="O665" s="16"/>
      <c r="P665" s="16"/>
      <c r="AN665" s="18"/>
      <c r="AO665" s="18"/>
      <c r="AP665" s="18"/>
      <c r="AQ665" s="18"/>
      <c r="AR665" s="18"/>
      <c r="AS665" s="18"/>
      <c r="AU665" s="18"/>
      <c r="AV665" s="18"/>
    </row>
    <row r="666" spans="2:48" ht="15.75" customHeight="1">
      <c r="B666" s="16"/>
      <c r="C666" s="13"/>
      <c r="G666" s="15"/>
      <c r="H666" s="16"/>
      <c r="I666" s="16"/>
      <c r="J666" s="17"/>
      <c r="N666" s="16"/>
      <c r="O666" s="16"/>
      <c r="P666" s="16"/>
      <c r="AN666" s="18"/>
      <c r="AO666" s="18"/>
      <c r="AP666" s="18"/>
      <c r="AQ666" s="18"/>
      <c r="AR666" s="18"/>
      <c r="AS666" s="18"/>
      <c r="AU666" s="18"/>
      <c r="AV666" s="18"/>
    </row>
    <row r="667" spans="2:48" ht="15.75" customHeight="1">
      <c r="B667" s="16"/>
      <c r="C667" s="13"/>
      <c r="G667" s="15"/>
      <c r="H667" s="16"/>
      <c r="I667" s="16"/>
      <c r="J667" s="17"/>
      <c r="N667" s="16"/>
      <c r="O667" s="16"/>
      <c r="P667" s="16"/>
      <c r="AN667" s="18"/>
      <c r="AO667" s="18"/>
      <c r="AP667" s="18"/>
      <c r="AQ667" s="18"/>
      <c r="AR667" s="18"/>
      <c r="AS667" s="18"/>
      <c r="AU667" s="18"/>
      <c r="AV667" s="18"/>
    </row>
    <row r="668" spans="2:48" ht="15.75" customHeight="1">
      <c r="B668" s="16"/>
      <c r="C668" s="13"/>
      <c r="G668" s="15"/>
      <c r="H668" s="16"/>
      <c r="I668" s="16"/>
      <c r="J668" s="17"/>
      <c r="N668" s="16"/>
      <c r="O668" s="16"/>
      <c r="P668" s="16"/>
      <c r="AN668" s="18"/>
      <c r="AO668" s="18"/>
      <c r="AP668" s="18"/>
      <c r="AQ668" s="18"/>
      <c r="AR668" s="18"/>
      <c r="AS668" s="18"/>
      <c r="AU668" s="18"/>
      <c r="AV668" s="18"/>
    </row>
    <row r="669" spans="2:48" ht="15.75" customHeight="1">
      <c r="B669" s="16"/>
      <c r="C669" s="13"/>
      <c r="G669" s="15"/>
      <c r="H669" s="16"/>
      <c r="I669" s="16"/>
      <c r="J669" s="17"/>
      <c r="N669" s="16"/>
      <c r="O669" s="16"/>
      <c r="P669" s="16"/>
      <c r="AN669" s="18"/>
      <c r="AO669" s="18"/>
      <c r="AP669" s="18"/>
      <c r="AQ669" s="18"/>
      <c r="AR669" s="18"/>
      <c r="AS669" s="18"/>
      <c r="AU669" s="18"/>
      <c r="AV669" s="18"/>
    </row>
    <row r="670" spans="2:48" ht="15.75" customHeight="1">
      <c r="B670" s="16"/>
      <c r="C670" s="13"/>
      <c r="G670" s="15"/>
      <c r="H670" s="16"/>
      <c r="I670" s="16"/>
      <c r="J670" s="17"/>
      <c r="N670" s="16"/>
      <c r="O670" s="16"/>
      <c r="P670" s="16"/>
      <c r="AN670" s="18"/>
      <c r="AO670" s="18"/>
      <c r="AP670" s="18"/>
      <c r="AQ670" s="18"/>
      <c r="AR670" s="18"/>
      <c r="AS670" s="18"/>
      <c r="AU670" s="18"/>
      <c r="AV670" s="18"/>
    </row>
    <row r="671" spans="2:48" ht="15.75" customHeight="1">
      <c r="B671" s="16"/>
      <c r="C671" s="13"/>
      <c r="G671" s="15"/>
      <c r="H671" s="16"/>
      <c r="I671" s="16"/>
      <c r="J671" s="17"/>
      <c r="N671" s="16"/>
      <c r="O671" s="16"/>
      <c r="P671" s="16"/>
      <c r="AN671" s="18"/>
      <c r="AO671" s="18"/>
      <c r="AP671" s="18"/>
      <c r="AQ671" s="18"/>
      <c r="AR671" s="18"/>
      <c r="AS671" s="18"/>
      <c r="AU671" s="18"/>
      <c r="AV671" s="18"/>
    </row>
    <row r="672" spans="2:48" ht="15.75" customHeight="1">
      <c r="B672" s="16"/>
      <c r="C672" s="13"/>
      <c r="G672" s="15"/>
      <c r="H672" s="16"/>
      <c r="I672" s="16"/>
      <c r="J672" s="17"/>
      <c r="N672" s="16"/>
      <c r="O672" s="16"/>
      <c r="P672" s="16"/>
      <c r="AN672" s="18"/>
      <c r="AO672" s="18"/>
      <c r="AP672" s="18"/>
      <c r="AQ672" s="18"/>
      <c r="AR672" s="18"/>
      <c r="AS672" s="18"/>
      <c r="AU672" s="18"/>
      <c r="AV672" s="18"/>
    </row>
    <row r="673" spans="2:48" ht="15.75" customHeight="1">
      <c r="B673" s="16"/>
      <c r="C673" s="13"/>
      <c r="G673" s="15"/>
      <c r="H673" s="16"/>
      <c r="I673" s="16"/>
      <c r="J673" s="17"/>
      <c r="N673" s="16"/>
      <c r="O673" s="16"/>
      <c r="P673" s="16"/>
      <c r="AN673" s="18"/>
      <c r="AO673" s="18"/>
      <c r="AP673" s="18"/>
      <c r="AQ673" s="18"/>
      <c r="AR673" s="18"/>
      <c r="AS673" s="18"/>
      <c r="AU673" s="18"/>
      <c r="AV673" s="18"/>
    </row>
    <row r="674" spans="2:48" ht="15.75" customHeight="1">
      <c r="B674" s="16"/>
      <c r="C674" s="13"/>
      <c r="G674" s="15"/>
      <c r="H674" s="16"/>
      <c r="I674" s="16"/>
      <c r="J674" s="17"/>
      <c r="N674" s="16"/>
      <c r="O674" s="16"/>
      <c r="P674" s="16"/>
      <c r="AN674" s="18"/>
      <c r="AO674" s="18"/>
      <c r="AP674" s="18"/>
      <c r="AQ674" s="18"/>
      <c r="AR674" s="18"/>
      <c r="AS674" s="18"/>
      <c r="AU674" s="18"/>
      <c r="AV674" s="18"/>
    </row>
    <row r="675" spans="2:48" ht="15.75" customHeight="1">
      <c r="B675" s="16"/>
      <c r="C675" s="13"/>
      <c r="G675" s="15"/>
      <c r="H675" s="16"/>
      <c r="I675" s="16"/>
      <c r="J675" s="17"/>
      <c r="N675" s="16"/>
      <c r="O675" s="16"/>
      <c r="P675" s="16"/>
      <c r="AN675" s="18"/>
      <c r="AO675" s="18"/>
      <c r="AP675" s="18"/>
      <c r="AQ675" s="18"/>
      <c r="AR675" s="18"/>
      <c r="AS675" s="18"/>
      <c r="AU675" s="18"/>
      <c r="AV675" s="18"/>
    </row>
    <row r="676" spans="2:48" ht="15.75" customHeight="1">
      <c r="B676" s="16"/>
      <c r="C676" s="13"/>
      <c r="G676" s="15"/>
      <c r="H676" s="16"/>
      <c r="I676" s="16"/>
      <c r="J676" s="17"/>
      <c r="N676" s="16"/>
      <c r="O676" s="16"/>
      <c r="P676" s="16"/>
      <c r="AN676" s="18"/>
      <c r="AO676" s="18"/>
      <c r="AP676" s="18"/>
      <c r="AQ676" s="18"/>
      <c r="AR676" s="18"/>
      <c r="AS676" s="18"/>
      <c r="AU676" s="18"/>
      <c r="AV676" s="18"/>
    </row>
    <row r="677" spans="2:48" ht="15.75" customHeight="1">
      <c r="B677" s="16"/>
      <c r="C677" s="13"/>
      <c r="G677" s="15"/>
      <c r="H677" s="16"/>
      <c r="I677" s="16"/>
      <c r="J677" s="17"/>
      <c r="N677" s="16"/>
      <c r="O677" s="16"/>
      <c r="P677" s="16"/>
      <c r="AN677" s="18"/>
      <c r="AO677" s="18"/>
      <c r="AP677" s="18"/>
      <c r="AQ677" s="18"/>
      <c r="AR677" s="18"/>
      <c r="AS677" s="18"/>
      <c r="AU677" s="18"/>
      <c r="AV677" s="18"/>
    </row>
    <row r="678" spans="2:48" ht="15.75" customHeight="1">
      <c r="B678" s="16"/>
      <c r="C678" s="13"/>
      <c r="G678" s="15"/>
      <c r="H678" s="16"/>
      <c r="I678" s="16"/>
      <c r="J678" s="17"/>
      <c r="N678" s="16"/>
      <c r="O678" s="16"/>
      <c r="P678" s="16"/>
      <c r="AN678" s="18"/>
      <c r="AO678" s="18"/>
      <c r="AP678" s="18"/>
      <c r="AQ678" s="18"/>
      <c r="AR678" s="18"/>
      <c r="AS678" s="18"/>
      <c r="AU678" s="18"/>
      <c r="AV678" s="18"/>
    </row>
    <row r="679" spans="2:48" ht="15.75" customHeight="1">
      <c r="B679" s="16"/>
      <c r="C679" s="13"/>
      <c r="G679" s="15"/>
      <c r="H679" s="16"/>
      <c r="I679" s="16"/>
      <c r="J679" s="17"/>
      <c r="N679" s="16"/>
      <c r="O679" s="16"/>
      <c r="P679" s="16"/>
      <c r="AN679" s="18"/>
      <c r="AO679" s="18"/>
      <c r="AP679" s="18"/>
      <c r="AQ679" s="18"/>
      <c r="AR679" s="18"/>
      <c r="AS679" s="18"/>
      <c r="AU679" s="18"/>
      <c r="AV679" s="18"/>
    </row>
    <row r="680" spans="2:48" ht="15.75" customHeight="1">
      <c r="B680" s="16"/>
      <c r="C680" s="13"/>
      <c r="G680" s="15"/>
      <c r="H680" s="16"/>
      <c r="I680" s="16"/>
      <c r="J680" s="17"/>
      <c r="N680" s="16"/>
      <c r="O680" s="16"/>
      <c r="P680" s="16"/>
      <c r="AN680" s="18"/>
      <c r="AO680" s="18"/>
      <c r="AP680" s="18"/>
      <c r="AQ680" s="18"/>
      <c r="AR680" s="18"/>
      <c r="AS680" s="18"/>
      <c r="AU680" s="18"/>
      <c r="AV680" s="18"/>
    </row>
    <row r="681" spans="2:48" ht="15.75" customHeight="1">
      <c r="B681" s="16"/>
      <c r="C681" s="13"/>
      <c r="G681" s="15"/>
      <c r="H681" s="16"/>
      <c r="I681" s="16"/>
      <c r="J681" s="17"/>
      <c r="N681" s="16"/>
      <c r="O681" s="16"/>
      <c r="P681" s="16"/>
      <c r="AN681" s="18"/>
      <c r="AO681" s="18"/>
      <c r="AP681" s="18"/>
      <c r="AQ681" s="18"/>
      <c r="AR681" s="18"/>
      <c r="AS681" s="18"/>
      <c r="AU681" s="18"/>
      <c r="AV681" s="18"/>
    </row>
    <row r="682" spans="2:48" ht="15.75" customHeight="1">
      <c r="B682" s="16"/>
      <c r="C682" s="13"/>
      <c r="G682" s="15"/>
      <c r="H682" s="16"/>
      <c r="I682" s="16"/>
      <c r="J682" s="17"/>
      <c r="N682" s="16"/>
      <c r="O682" s="16"/>
      <c r="P682" s="16"/>
      <c r="AN682" s="18"/>
      <c r="AO682" s="18"/>
      <c r="AP682" s="18"/>
      <c r="AQ682" s="18"/>
      <c r="AR682" s="18"/>
      <c r="AS682" s="18"/>
      <c r="AU682" s="18"/>
      <c r="AV682" s="18"/>
    </row>
    <row r="683" spans="2:48" ht="15.75" customHeight="1">
      <c r="B683" s="16"/>
      <c r="C683" s="13"/>
      <c r="G683" s="15"/>
      <c r="H683" s="16"/>
      <c r="I683" s="16"/>
      <c r="J683" s="17"/>
      <c r="N683" s="16"/>
      <c r="O683" s="16"/>
      <c r="P683" s="16"/>
      <c r="AN683" s="18"/>
      <c r="AO683" s="18"/>
      <c r="AP683" s="18"/>
      <c r="AQ683" s="18"/>
      <c r="AR683" s="18"/>
      <c r="AS683" s="18"/>
      <c r="AU683" s="18"/>
      <c r="AV683" s="18"/>
    </row>
    <row r="684" spans="2:48" ht="15.75" customHeight="1">
      <c r="B684" s="16"/>
      <c r="C684" s="13"/>
      <c r="G684" s="15"/>
      <c r="H684" s="16"/>
      <c r="I684" s="16"/>
      <c r="J684" s="17"/>
      <c r="N684" s="16"/>
      <c r="O684" s="16"/>
      <c r="P684" s="16"/>
      <c r="AN684" s="18"/>
      <c r="AO684" s="18"/>
      <c r="AP684" s="18"/>
      <c r="AQ684" s="18"/>
      <c r="AR684" s="18"/>
      <c r="AS684" s="18"/>
      <c r="AU684" s="18"/>
      <c r="AV684" s="18"/>
    </row>
    <row r="685" spans="2:48" ht="15.75" customHeight="1">
      <c r="B685" s="16"/>
      <c r="C685" s="13"/>
      <c r="G685" s="15"/>
      <c r="H685" s="16"/>
      <c r="I685" s="16"/>
      <c r="J685" s="17"/>
      <c r="N685" s="16"/>
      <c r="O685" s="16"/>
      <c r="P685" s="16"/>
      <c r="AN685" s="18"/>
      <c r="AO685" s="18"/>
      <c r="AP685" s="18"/>
      <c r="AQ685" s="18"/>
      <c r="AR685" s="18"/>
      <c r="AS685" s="18"/>
      <c r="AU685" s="18"/>
      <c r="AV685" s="18"/>
    </row>
    <row r="686" spans="2:48" ht="15.75" customHeight="1">
      <c r="B686" s="16"/>
      <c r="C686" s="13"/>
      <c r="G686" s="15"/>
      <c r="H686" s="16"/>
      <c r="I686" s="16"/>
      <c r="J686" s="17"/>
      <c r="N686" s="16"/>
      <c r="O686" s="16"/>
      <c r="P686" s="16"/>
      <c r="AN686" s="18"/>
      <c r="AO686" s="18"/>
      <c r="AP686" s="18"/>
      <c r="AQ686" s="18"/>
      <c r="AR686" s="18"/>
      <c r="AS686" s="18"/>
      <c r="AU686" s="18"/>
      <c r="AV686" s="18"/>
    </row>
    <row r="687" spans="2:48" ht="15.75" customHeight="1">
      <c r="B687" s="16"/>
      <c r="C687" s="13"/>
      <c r="G687" s="15"/>
      <c r="H687" s="16"/>
      <c r="I687" s="16"/>
      <c r="J687" s="17"/>
      <c r="N687" s="16"/>
      <c r="O687" s="16"/>
      <c r="P687" s="16"/>
      <c r="AN687" s="18"/>
      <c r="AO687" s="18"/>
      <c r="AP687" s="18"/>
      <c r="AQ687" s="18"/>
      <c r="AR687" s="18"/>
      <c r="AS687" s="18"/>
      <c r="AU687" s="18"/>
      <c r="AV687" s="18"/>
    </row>
    <row r="688" spans="2:48" ht="15.75" customHeight="1">
      <c r="B688" s="16"/>
      <c r="C688" s="13"/>
      <c r="G688" s="15"/>
      <c r="H688" s="16"/>
      <c r="I688" s="16"/>
      <c r="J688" s="17"/>
      <c r="N688" s="16"/>
      <c r="O688" s="16"/>
      <c r="P688" s="16"/>
      <c r="AN688" s="18"/>
      <c r="AO688" s="18"/>
      <c r="AP688" s="18"/>
      <c r="AQ688" s="18"/>
      <c r="AR688" s="18"/>
      <c r="AS688" s="18"/>
      <c r="AU688" s="18"/>
      <c r="AV688" s="18"/>
    </row>
    <row r="689" spans="2:48" ht="15.75" customHeight="1">
      <c r="B689" s="16"/>
      <c r="C689" s="13"/>
      <c r="G689" s="15"/>
      <c r="H689" s="16"/>
      <c r="I689" s="16"/>
      <c r="J689" s="17"/>
      <c r="N689" s="16"/>
      <c r="O689" s="16"/>
      <c r="P689" s="16"/>
      <c r="AN689" s="18"/>
      <c r="AO689" s="18"/>
      <c r="AP689" s="18"/>
      <c r="AQ689" s="18"/>
      <c r="AR689" s="18"/>
      <c r="AS689" s="18"/>
      <c r="AU689" s="18"/>
      <c r="AV689" s="18"/>
    </row>
    <row r="690" spans="2:48" ht="15.75" customHeight="1">
      <c r="B690" s="16"/>
      <c r="C690" s="13"/>
      <c r="G690" s="15"/>
      <c r="H690" s="16"/>
      <c r="I690" s="16"/>
      <c r="J690" s="17"/>
      <c r="N690" s="16"/>
      <c r="O690" s="16"/>
      <c r="P690" s="16"/>
      <c r="AN690" s="18"/>
      <c r="AO690" s="18"/>
      <c r="AP690" s="18"/>
      <c r="AQ690" s="18"/>
      <c r="AR690" s="18"/>
      <c r="AS690" s="18"/>
      <c r="AU690" s="18"/>
      <c r="AV690" s="18"/>
    </row>
    <row r="691" spans="2:48" ht="15.75" customHeight="1">
      <c r="B691" s="16"/>
      <c r="C691" s="13"/>
      <c r="G691" s="15"/>
      <c r="H691" s="16"/>
      <c r="I691" s="16"/>
      <c r="J691" s="17"/>
      <c r="N691" s="16"/>
      <c r="O691" s="16"/>
      <c r="P691" s="16"/>
      <c r="AN691" s="18"/>
      <c r="AO691" s="18"/>
      <c r="AP691" s="18"/>
      <c r="AQ691" s="18"/>
      <c r="AR691" s="18"/>
      <c r="AS691" s="18"/>
      <c r="AU691" s="18"/>
      <c r="AV691" s="18"/>
    </row>
    <row r="692" spans="2:48" ht="15.75" customHeight="1">
      <c r="B692" s="16"/>
      <c r="C692" s="13"/>
      <c r="G692" s="15"/>
      <c r="H692" s="16"/>
      <c r="I692" s="16"/>
      <c r="J692" s="17"/>
      <c r="N692" s="16"/>
      <c r="O692" s="16"/>
      <c r="P692" s="16"/>
      <c r="AN692" s="18"/>
      <c r="AO692" s="18"/>
      <c r="AP692" s="18"/>
      <c r="AQ692" s="18"/>
      <c r="AR692" s="18"/>
      <c r="AS692" s="18"/>
      <c r="AU692" s="18"/>
      <c r="AV692" s="18"/>
    </row>
    <row r="693" spans="2:48" ht="15.75" customHeight="1">
      <c r="B693" s="16"/>
      <c r="C693" s="13"/>
      <c r="G693" s="15"/>
      <c r="H693" s="16"/>
      <c r="I693" s="16"/>
      <c r="J693" s="17"/>
      <c r="N693" s="16"/>
      <c r="O693" s="16"/>
      <c r="P693" s="16"/>
      <c r="AN693" s="18"/>
      <c r="AO693" s="18"/>
      <c r="AP693" s="18"/>
      <c r="AQ693" s="18"/>
      <c r="AR693" s="18"/>
      <c r="AS693" s="18"/>
      <c r="AU693" s="18"/>
      <c r="AV693" s="18"/>
    </row>
    <row r="694" spans="2:48" ht="15.75" customHeight="1">
      <c r="B694" s="16"/>
      <c r="C694" s="13"/>
      <c r="G694" s="15"/>
      <c r="H694" s="16"/>
      <c r="I694" s="16"/>
      <c r="J694" s="17"/>
      <c r="N694" s="16"/>
      <c r="O694" s="16"/>
      <c r="P694" s="16"/>
      <c r="AN694" s="18"/>
      <c r="AO694" s="18"/>
      <c r="AP694" s="18"/>
      <c r="AQ694" s="18"/>
      <c r="AR694" s="18"/>
      <c r="AS694" s="18"/>
      <c r="AU694" s="18"/>
      <c r="AV694" s="18"/>
    </row>
    <row r="695" spans="2:48" ht="15.75" customHeight="1">
      <c r="B695" s="16"/>
      <c r="C695" s="13"/>
      <c r="G695" s="15"/>
      <c r="H695" s="16"/>
      <c r="I695" s="16"/>
      <c r="J695" s="17"/>
      <c r="N695" s="16"/>
      <c r="O695" s="16"/>
      <c r="P695" s="16"/>
      <c r="AN695" s="18"/>
      <c r="AO695" s="18"/>
      <c r="AP695" s="18"/>
      <c r="AQ695" s="18"/>
      <c r="AR695" s="18"/>
      <c r="AS695" s="18"/>
      <c r="AU695" s="18"/>
      <c r="AV695" s="18"/>
    </row>
    <row r="696" spans="2:48" ht="15.75" customHeight="1">
      <c r="B696" s="16"/>
      <c r="C696" s="13"/>
      <c r="G696" s="15"/>
      <c r="H696" s="16"/>
      <c r="I696" s="16"/>
      <c r="J696" s="17"/>
      <c r="N696" s="16"/>
      <c r="O696" s="16"/>
      <c r="P696" s="16"/>
      <c r="AN696" s="18"/>
      <c r="AO696" s="18"/>
      <c r="AP696" s="18"/>
      <c r="AQ696" s="18"/>
      <c r="AR696" s="18"/>
      <c r="AS696" s="18"/>
      <c r="AU696" s="18"/>
      <c r="AV696" s="18"/>
    </row>
    <row r="697" spans="2:48" ht="15.75" customHeight="1">
      <c r="B697" s="16"/>
      <c r="C697" s="13"/>
      <c r="G697" s="15"/>
      <c r="H697" s="16"/>
      <c r="I697" s="16"/>
      <c r="J697" s="17"/>
      <c r="N697" s="16"/>
      <c r="O697" s="16"/>
      <c r="P697" s="16"/>
      <c r="AN697" s="18"/>
      <c r="AO697" s="18"/>
      <c r="AP697" s="18"/>
      <c r="AQ697" s="18"/>
      <c r="AR697" s="18"/>
      <c r="AS697" s="18"/>
      <c r="AU697" s="18"/>
      <c r="AV697" s="18"/>
    </row>
    <row r="698" spans="2:48" ht="15.75" customHeight="1">
      <c r="B698" s="16"/>
      <c r="C698" s="13"/>
      <c r="G698" s="15"/>
      <c r="H698" s="16"/>
      <c r="I698" s="16"/>
      <c r="J698" s="17"/>
      <c r="N698" s="16"/>
      <c r="O698" s="16"/>
      <c r="P698" s="16"/>
      <c r="AN698" s="18"/>
      <c r="AO698" s="18"/>
      <c r="AP698" s="18"/>
      <c r="AQ698" s="18"/>
      <c r="AR698" s="18"/>
      <c r="AS698" s="18"/>
      <c r="AU698" s="18"/>
      <c r="AV698" s="18"/>
    </row>
    <row r="699" spans="2:48" ht="15.75" customHeight="1">
      <c r="B699" s="16"/>
      <c r="C699" s="13"/>
      <c r="G699" s="15"/>
      <c r="H699" s="16"/>
      <c r="I699" s="16"/>
      <c r="J699" s="17"/>
      <c r="N699" s="16"/>
      <c r="O699" s="16"/>
      <c r="P699" s="16"/>
      <c r="AN699" s="18"/>
      <c r="AO699" s="18"/>
      <c r="AP699" s="18"/>
      <c r="AQ699" s="18"/>
      <c r="AR699" s="18"/>
      <c r="AS699" s="18"/>
      <c r="AU699" s="18"/>
      <c r="AV699" s="18"/>
    </row>
    <row r="700" spans="2:48" ht="15.75" customHeight="1">
      <c r="B700" s="16"/>
      <c r="C700" s="13"/>
      <c r="G700" s="15"/>
      <c r="H700" s="16"/>
      <c r="I700" s="16"/>
      <c r="J700" s="17"/>
      <c r="N700" s="16"/>
      <c r="O700" s="16"/>
      <c r="P700" s="16"/>
      <c r="AN700" s="18"/>
      <c r="AO700" s="18"/>
      <c r="AP700" s="18"/>
      <c r="AQ700" s="18"/>
      <c r="AR700" s="18"/>
      <c r="AS700" s="18"/>
      <c r="AU700" s="18"/>
      <c r="AV700" s="18"/>
    </row>
    <row r="701" spans="2:48" ht="15.75" customHeight="1">
      <c r="B701" s="16"/>
      <c r="C701" s="13"/>
      <c r="G701" s="15"/>
      <c r="H701" s="16"/>
      <c r="I701" s="16"/>
      <c r="J701" s="17"/>
      <c r="N701" s="16"/>
      <c r="O701" s="16"/>
      <c r="P701" s="16"/>
      <c r="AN701" s="18"/>
      <c r="AO701" s="18"/>
      <c r="AP701" s="18"/>
      <c r="AQ701" s="18"/>
      <c r="AR701" s="18"/>
      <c r="AS701" s="18"/>
      <c r="AU701" s="18"/>
      <c r="AV701" s="18"/>
    </row>
    <row r="702" spans="2:48" ht="15.75" customHeight="1">
      <c r="B702" s="16"/>
      <c r="C702" s="13"/>
      <c r="G702" s="15"/>
      <c r="H702" s="16"/>
      <c r="I702" s="16"/>
      <c r="J702" s="17"/>
      <c r="N702" s="16"/>
      <c r="O702" s="16"/>
      <c r="P702" s="16"/>
      <c r="AN702" s="18"/>
      <c r="AO702" s="18"/>
      <c r="AP702" s="18"/>
      <c r="AQ702" s="18"/>
      <c r="AR702" s="18"/>
      <c r="AS702" s="18"/>
      <c r="AU702" s="18"/>
      <c r="AV702" s="18"/>
    </row>
    <row r="703" spans="2:48" ht="15.75" customHeight="1">
      <c r="B703" s="16"/>
      <c r="C703" s="13"/>
      <c r="G703" s="15"/>
      <c r="H703" s="16"/>
      <c r="I703" s="16"/>
      <c r="J703" s="17"/>
      <c r="N703" s="16"/>
      <c r="O703" s="16"/>
      <c r="P703" s="16"/>
      <c r="AN703" s="18"/>
      <c r="AO703" s="18"/>
      <c r="AP703" s="18"/>
      <c r="AQ703" s="18"/>
      <c r="AR703" s="18"/>
      <c r="AS703" s="18"/>
      <c r="AU703" s="18"/>
      <c r="AV703" s="18"/>
    </row>
    <row r="704" spans="2:48" ht="15.75" customHeight="1">
      <c r="B704" s="16"/>
      <c r="C704" s="13"/>
      <c r="G704" s="15"/>
      <c r="H704" s="16"/>
      <c r="I704" s="16"/>
      <c r="J704" s="17"/>
      <c r="N704" s="16"/>
      <c r="O704" s="16"/>
      <c r="P704" s="16"/>
      <c r="AN704" s="18"/>
      <c r="AO704" s="18"/>
      <c r="AP704" s="18"/>
      <c r="AQ704" s="18"/>
      <c r="AR704" s="18"/>
      <c r="AS704" s="18"/>
      <c r="AU704" s="18"/>
      <c r="AV704" s="18"/>
    </row>
    <row r="705" spans="2:48" ht="15.75" customHeight="1">
      <c r="B705" s="16"/>
      <c r="C705" s="13"/>
      <c r="G705" s="15"/>
      <c r="H705" s="16"/>
      <c r="I705" s="16"/>
      <c r="J705" s="17"/>
      <c r="N705" s="16"/>
      <c r="O705" s="16"/>
      <c r="P705" s="16"/>
      <c r="AN705" s="18"/>
      <c r="AO705" s="18"/>
      <c r="AP705" s="18"/>
      <c r="AQ705" s="18"/>
      <c r="AR705" s="18"/>
      <c r="AS705" s="18"/>
      <c r="AU705" s="18"/>
      <c r="AV705" s="18"/>
    </row>
    <row r="706" spans="2:48" ht="15.75" customHeight="1">
      <c r="B706" s="16"/>
      <c r="C706" s="13"/>
      <c r="G706" s="15"/>
      <c r="H706" s="16"/>
      <c r="I706" s="16"/>
      <c r="J706" s="17"/>
      <c r="N706" s="16"/>
      <c r="O706" s="16"/>
      <c r="P706" s="16"/>
      <c r="AN706" s="18"/>
      <c r="AO706" s="18"/>
      <c r="AP706" s="18"/>
      <c r="AQ706" s="18"/>
      <c r="AR706" s="18"/>
      <c r="AS706" s="18"/>
      <c r="AU706" s="18"/>
      <c r="AV706" s="18"/>
    </row>
    <row r="707" spans="2:48" ht="15.75" customHeight="1">
      <c r="B707" s="16"/>
      <c r="C707" s="13"/>
      <c r="G707" s="15"/>
      <c r="H707" s="16"/>
      <c r="I707" s="16"/>
      <c r="J707" s="17"/>
      <c r="N707" s="16"/>
      <c r="O707" s="16"/>
      <c r="P707" s="16"/>
      <c r="AN707" s="18"/>
      <c r="AO707" s="18"/>
      <c r="AP707" s="18"/>
      <c r="AQ707" s="18"/>
      <c r="AR707" s="18"/>
      <c r="AS707" s="18"/>
      <c r="AU707" s="18"/>
      <c r="AV707" s="18"/>
    </row>
    <row r="708" spans="2:48" ht="15.75" customHeight="1">
      <c r="B708" s="16"/>
      <c r="C708" s="13"/>
      <c r="G708" s="15"/>
      <c r="H708" s="16"/>
      <c r="I708" s="16"/>
      <c r="J708" s="17"/>
      <c r="N708" s="16"/>
      <c r="O708" s="16"/>
      <c r="P708" s="16"/>
      <c r="AN708" s="18"/>
      <c r="AO708" s="18"/>
      <c r="AP708" s="18"/>
      <c r="AQ708" s="18"/>
      <c r="AR708" s="18"/>
      <c r="AS708" s="18"/>
      <c r="AU708" s="18"/>
      <c r="AV708" s="18"/>
    </row>
    <row r="709" spans="2:48" ht="15.75" customHeight="1">
      <c r="B709" s="16"/>
      <c r="C709" s="13"/>
      <c r="G709" s="15"/>
      <c r="H709" s="16"/>
      <c r="I709" s="16"/>
      <c r="J709" s="17"/>
      <c r="N709" s="16"/>
      <c r="O709" s="16"/>
      <c r="P709" s="16"/>
      <c r="AN709" s="18"/>
      <c r="AO709" s="18"/>
      <c r="AP709" s="18"/>
      <c r="AQ709" s="18"/>
      <c r="AR709" s="18"/>
      <c r="AS709" s="18"/>
      <c r="AU709" s="18"/>
      <c r="AV709" s="18"/>
    </row>
    <row r="710" spans="2:48" ht="15.75" customHeight="1">
      <c r="B710" s="16"/>
      <c r="C710" s="13"/>
      <c r="G710" s="15"/>
      <c r="H710" s="16"/>
      <c r="I710" s="16"/>
      <c r="J710" s="17"/>
      <c r="N710" s="16"/>
      <c r="O710" s="16"/>
      <c r="P710" s="16"/>
      <c r="AN710" s="18"/>
      <c r="AO710" s="18"/>
      <c r="AP710" s="18"/>
      <c r="AQ710" s="18"/>
      <c r="AR710" s="18"/>
      <c r="AS710" s="18"/>
      <c r="AU710" s="18"/>
      <c r="AV710" s="18"/>
    </row>
    <row r="711" spans="2:48" ht="15.75" customHeight="1">
      <c r="B711" s="16"/>
      <c r="C711" s="13"/>
      <c r="G711" s="15"/>
      <c r="H711" s="16"/>
      <c r="I711" s="16"/>
      <c r="J711" s="17"/>
      <c r="N711" s="16"/>
      <c r="O711" s="16"/>
      <c r="P711" s="16"/>
      <c r="AN711" s="18"/>
      <c r="AO711" s="18"/>
      <c r="AP711" s="18"/>
      <c r="AQ711" s="18"/>
      <c r="AR711" s="18"/>
      <c r="AS711" s="18"/>
      <c r="AU711" s="18"/>
      <c r="AV711" s="18"/>
    </row>
    <row r="712" spans="2:48" ht="15.75" customHeight="1">
      <c r="B712" s="16"/>
      <c r="C712" s="13"/>
      <c r="G712" s="15"/>
      <c r="H712" s="16"/>
      <c r="I712" s="16"/>
      <c r="J712" s="17"/>
      <c r="N712" s="16"/>
      <c r="O712" s="16"/>
      <c r="P712" s="16"/>
      <c r="AN712" s="18"/>
      <c r="AO712" s="18"/>
      <c r="AP712" s="18"/>
      <c r="AQ712" s="18"/>
      <c r="AR712" s="18"/>
      <c r="AS712" s="18"/>
      <c r="AU712" s="18"/>
      <c r="AV712" s="18"/>
    </row>
    <row r="713" spans="2:48" ht="15.75" customHeight="1">
      <c r="B713" s="16"/>
      <c r="C713" s="13"/>
      <c r="G713" s="15"/>
      <c r="H713" s="16"/>
      <c r="I713" s="16"/>
      <c r="J713" s="17"/>
      <c r="N713" s="16"/>
      <c r="O713" s="16"/>
      <c r="P713" s="16"/>
      <c r="AN713" s="18"/>
      <c r="AO713" s="18"/>
      <c r="AP713" s="18"/>
      <c r="AQ713" s="18"/>
      <c r="AR713" s="18"/>
      <c r="AS713" s="18"/>
      <c r="AU713" s="18"/>
      <c r="AV713" s="18"/>
    </row>
    <row r="714" spans="2:48" ht="15.75" customHeight="1">
      <c r="B714" s="16"/>
      <c r="C714" s="13"/>
      <c r="G714" s="15"/>
      <c r="H714" s="16"/>
      <c r="I714" s="16"/>
      <c r="J714" s="17"/>
      <c r="N714" s="16"/>
      <c r="O714" s="16"/>
      <c r="P714" s="16"/>
      <c r="AN714" s="18"/>
      <c r="AO714" s="18"/>
      <c r="AP714" s="18"/>
      <c r="AQ714" s="18"/>
      <c r="AR714" s="18"/>
      <c r="AS714" s="18"/>
      <c r="AU714" s="18"/>
      <c r="AV714" s="18"/>
    </row>
    <row r="715" spans="2:48" ht="15.75" customHeight="1">
      <c r="B715" s="16"/>
      <c r="C715" s="13"/>
      <c r="G715" s="15"/>
      <c r="H715" s="16"/>
      <c r="I715" s="16"/>
      <c r="J715" s="17"/>
      <c r="N715" s="16"/>
      <c r="O715" s="16"/>
      <c r="P715" s="16"/>
      <c r="AN715" s="18"/>
      <c r="AO715" s="18"/>
      <c r="AP715" s="18"/>
      <c r="AQ715" s="18"/>
      <c r="AR715" s="18"/>
      <c r="AS715" s="18"/>
      <c r="AU715" s="18"/>
      <c r="AV715" s="18"/>
    </row>
    <row r="716" spans="2:48" ht="15.75" customHeight="1">
      <c r="B716" s="16"/>
      <c r="C716" s="13"/>
      <c r="G716" s="15"/>
      <c r="H716" s="16"/>
      <c r="I716" s="16"/>
      <c r="J716" s="17"/>
      <c r="N716" s="16"/>
      <c r="O716" s="16"/>
      <c r="P716" s="16"/>
      <c r="AN716" s="18"/>
      <c r="AO716" s="18"/>
      <c r="AP716" s="18"/>
      <c r="AQ716" s="18"/>
      <c r="AR716" s="18"/>
      <c r="AS716" s="18"/>
      <c r="AU716" s="18"/>
      <c r="AV716" s="18"/>
    </row>
    <row r="717" spans="2:48" ht="15.75" customHeight="1">
      <c r="B717" s="16"/>
      <c r="C717" s="13"/>
      <c r="G717" s="15"/>
      <c r="J717" s="17"/>
      <c r="N717" s="16"/>
      <c r="O717" s="16"/>
      <c r="P717" s="16"/>
      <c r="AN717" s="18"/>
      <c r="AO717" s="18"/>
      <c r="AP717" s="18"/>
      <c r="AQ717" s="18"/>
      <c r="AR717" s="18"/>
      <c r="AS717" s="18"/>
      <c r="AU717" s="18"/>
      <c r="AV717" s="18"/>
    </row>
    <row r="718" spans="2:48" ht="15.75" customHeight="1">
      <c r="B718" s="16"/>
      <c r="C718" s="13"/>
      <c r="G718" s="15"/>
      <c r="J718" s="17"/>
      <c r="N718" s="16"/>
      <c r="O718" s="16"/>
      <c r="P718" s="16"/>
      <c r="AN718" s="18"/>
      <c r="AO718" s="18"/>
      <c r="AP718" s="18"/>
      <c r="AQ718" s="18"/>
      <c r="AR718" s="18"/>
      <c r="AS718" s="18"/>
      <c r="AU718" s="18"/>
      <c r="AV718" s="18"/>
    </row>
    <row r="719" spans="2:48" ht="15.75" customHeight="1">
      <c r="B719" s="16"/>
      <c r="C719" s="13"/>
      <c r="G719" s="15"/>
      <c r="H719" s="16"/>
      <c r="I719" s="16"/>
      <c r="J719" s="17"/>
      <c r="N719" s="16"/>
      <c r="O719" s="16"/>
      <c r="P719" s="16"/>
      <c r="AN719" s="18"/>
      <c r="AO719" s="18"/>
      <c r="AP719" s="18"/>
      <c r="AQ719" s="18"/>
      <c r="AR719" s="18"/>
      <c r="AS719" s="18"/>
      <c r="AU719" s="18"/>
      <c r="AV719" s="18"/>
    </row>
    <row r="720" spans="2:48" ht="15.75" customHeight="1">
      <c r="B720" s="16"/>
      <c r="C720" s="13"/>
      <c r="G720" s="15"/>
      <c r="H720" s="16"/>
      <c r="I720" s="16"/>
      <c r="J720" s="17"/>
      <c r="N720" s="16"/>
      <c r="O720" s="16"/>
      <c r="P720" s="16"/>
      <c r="AN720" s="18"/>
      <c r="AO720" s="18"/>
      <c r="AP720" s="18"/>
      <c r="AQ720" s="18"/>
      <c r="AR720" s="18"/>
      <c r="AS720" s="18"/>
      <c r="AU720" s="18"/>
      <c r="AV720" s="18"/>
    </row>
    <row r="721" spans="2:48" ht="15.75" customHeight="1">
      <c r="B721" s="16"/>
      <c r="C721" s="13"/>
      <c r="G721" s="15"/>
      <c r="H721" s="16"/>
      <c r="I721" s="16"/>
      <c r="J721" s="17"/>
      <c r="N721" s="16"/>
      <c r="O721" s="16"/>
      <c r="P721" s="16"/>
      <c r="AN721" s="18"/>
      <c r="AO721" s="18"/>
      <c r="AP721" s="18"/>
      <c r="AQ721" s="18"/>
      <c r="AR721" s="18"/>
      <c r="AS721" s="18"/>
      <c r="AU721" s="18"/>
      <c r="AV721" s="18"/>
    </row>
    <row r="722" spans="2:48" ht="15.75" customHeight="1">
      <c r="B722" s="16"/>
      <c r="C722" s="13"/>
      <c r="G722" s="15"/>
      <c r="H722" s="16"/>
      <c r="I722" s="16"/>
      <c r="J722" s="17"/>
      <c r="N722" s="16"/>
      <c r="O722" s="16"/>
      <c r="P722" s="16"/>
      <c r="AN722" s="18"/>
      <c r="AO722" s="18"/>
      <c r="AP722" s="18"/>
      <c r="AQ722" s="18"/>
      <c r="AR722" s="18"/>
      <c r="AS722" s="18"/>
      <c r="AU722" s="18"/>
      <c r="AV722" s="18"/>
    </row>
    <row r="723" spans="2:48" ht="15.75" customHeight="1">
      <c r="B723" s="16"/>
      <c r="C723" s="13"/>
      <c r="G723" s="15"/>
      <c r="H723" s="16"/>
      <c r="I723" s="16"/>
      <c r="J723" s="17"/>
      <c r="N723" s="16"/>
      <c r="O723" s="16"/>
      <c r="P723" s="16"/>
      <c r="AN723" s="18"/>
      <c r="AO723" s="18"/>
      <c r="AP723" s="18"/>
      <c r="AQ723" s="18"/>
      <c r="AR723" s="18"/>
      <c r="AS723" s="18"/>
      <c r="AU723" s="18"/>
      <c r="AV723" s="18"/>
    </row>
    <row r="724" spans="2:48" ht="15.75" customHeight="1">
      <c r="B724" s="16"/>
      <c r="C724" s="13"/>
      <c r="G724" s="15"/>
      <c r="H724" s="16"/>
      <c r="I724" s="16"/>
      <c r="J724" s="17"/>
      <c r="N724" s="16"/>
      <c r="O724" s="16"/>
      <c r="P724" s="16"/>
      <c r="AN724" s="18"/>
      <c r="AO724" s="18"/>
      <c r="AP724" s="18"/>
      <c r="AQ724" s="18"/>
      <c r="AR724" s="18"/>
      <c r="AS724" s="18"/>
      <c r="AU724" s="18"/>
      <c r="AV724" s="18"/>
    </row>
    <row r="725" spans="2:48" ht="15.75" customHeight="1">
      <c r="B725" s="16"/>
      <c r="C725" s="13"/>
      <c r="G725" s="15"/>
      <c r="H725" s="16"/>
      <c r="I725" s="16"/>
      <c r="J725" s="17"/>
      <c r="N725" s="16"/>
      <c r="O725" s="16"/>
      <c r="P725" s="16"/>
      <c r="AN725" s="18"/>
      <c r="AO725" s="18"/>
      <c r="AP725" s="18"/>
      <c r="AQ725" s="18"/>
      <c r="AR725" s="18"/>
      <c r="AS725" s="18"/>
      <c r="AU725" s="18"/>
      <c r="AV725" s="18"/>
    </row>
    <row r="726" spans="2:48" ht="15.75" customHeight="1">
      <c r="B726" s="16"/>
      <c r="C726" s="13"/>
      <c r="G726" s="15"/>
      <c r="H726" s="16"/>
      <c r="I726" s="16"/>
      <c r="J726" s="17"/>
      <c r="N726" s="16"/>
      <c r="O726" s="16"/>
      <c r="P726" s="16"/>
      <c r="AN726" s="18"/>
      <c r="AO726" s="18"/>
      <c r="AP726" s="18"/>
      <c r="AQ726" s="18"/>
      <c r="AR726" s="18"/>
      <c r="AS726" s="18"/>
      <c r="AU726" s="18"/>
      <c r="AV726" s="18"/>
    </row>
    <row r="727" spans="2:48" ht="15.75" customHeight="1">
      <c r="B727" s="16"/>
      <c r="C727" s="13"/>
      <c r="G727" s="15"/>
      <c r="H727" s="16"/>
      <c r="I727" s="16"/>
      <c r="J727" s="17"/>
      <c r="N727" s="16"/>
      <c r="O727" s="16"/>
      <c r="P727" s="16"/>
      <c r="AN727" s="18"/>
      <c r="AO727" s="18"/>
      <c r="AP727" s="18"/>
      <c r="AQ727" s="18"/>
      <c r="AR727" s="18"/>
      <c r="AS727" s="18"/>
      <c r="AU727" s="18"/>
      <c r="AV727" s="18"/>
    </row>
    <row r="728" spans="2:48" ht="15.75" customHeight="1">
      <c r="B728" s="16"/>
      <c r="C728" s="13"/>
      <c r="G728" s="15"/>
      <c r="H728" s="16"/>
      <c r="I728" s="16"/>
      <c r="J728" s="17"/>
      <c r="N728" s="16"/>
      <c r="O728" s="16"/>
      <c r="P728" s="16"/>
      <c r="AN728" s="18"/>
      <c r="AO728" s="18"/>
      <c r="AP728" s="18"/>
      <c r="AQ728" s="18"/>
      <c r="AR728" s="18"/>
      <c r="AS728" s="18"/>
      <c r="AU728" s="18"/>
      <c r="AV728" s="18"/>
    </row>
    <row r="729" spans="2:48" ht="15.75" customHeight="1">
      <c r="B729" s="16"/>
      <c r="C729" s="13"/>
      <c r="G729" s="15"/>
      <c r="H729" s="16"/>
      <c r="I729" s="16"/>
      <c r="J729" s="17"/>
      <c r="N729" s="16"/>
      <c r="O729" s="16"/>
      <c r="P729" s="16"/>
      <c r="AN729" s="18"/>
      <c r="AO729" s="18"/>
      <c r="AP729" s="18"/>
      <c r="AQ729" s="18"/>
      <c r="AR729" s="18"/>
      <c r="AS729" s="18"/>
      <c r="AU729" s="18"/>
      <c r="AV729" s="18"/>
    </row>
    <row r="730" spans="2:48" ht="15.75" customHeight="1">
      <c r="B730" s="16"/>
      <c r="C730" s="13"/>
      <c r="G730" s="15"/>
      <c r="H730" s="16"/>
      <c r="I730" s="16"/>
      <c r="J730" s="17"/>
      <c r="N730" s="16"/>
      <c r="O730" s="16"/>
      <c r="P730" s="16"/>
      <c r="AN730" s="18"/>
      <c r="AO730" s="18"/>
      <c r="AP730" s="18"/>
      <c r="AQ730" s="18"/>
      <c r="AR730" s="18"/>
      <c r="AS730" s="18"/>
      <c r="AU730" s="18"/>
      <c r="AV730" s="18"/>
    </row>
    <row r="731" spans="2:48" ht="15.75" customHeight="1">
      <c r="B731" s="16"/>
      <c r="C731" s="13"/>
      <c r="G731" s="15"/>
      <c r="H731" s="16"/>
      <c r="I731" s="16"/>
      <c r="J731" s="17"/>
      <c r="N731" s="16"/>
      <c r="O731" s="16"/>
      <c r="P731" s="16"/>
      <c r="AN731" s="18"/>
      <c r="AO731" s="18"/>
      <c r="AP731" s="18"/>
      <c r="AQ731" s="18"/>
      <c r="AR731" s="18"/>
      <c r="AS731" s="18"/>
      <c r="AU731" s="18"/>
      <c r="AV731" s="18"/>
    </row>
    <row r="732" spans="2:48" ht="15.75" customHeight="1">
      <c r="B732" s="16"/>
      <c r="C732" s="13"/>
      <c r="G732" s="15"/>
      <c r="H732" s="16"/>
      <c r="I732" s="16"/>
      <c r="J732" s="17"/>
      <c r="N732" s="16"/>
      <c r="O732" s="16"/>
      <c r="P732" s="16"/>
      <c r="AN732" s="18"/>
      <c r="AO732" s="18"/>
      <c r="AP732" s="18"/>
      <c r="AQ732" s="18"/>
      <c r="AR732" s="18"/>
      <c r="AS732" s="18"/>
      <c r="AU732" s="18"/>
      <c r="AV732" s="18"/>
    </row>
    <row r="733" spans="2:48" ht="15.75" customHeight="1">
      <c r="B733" s="16"/>
      <c r="C733" s="13"/>
      <c r="G733" s="15"/>
      <c r="H733" s="16"/>
      <c r="I733" s="16"/>
      <c r="J733" s="17"/>
      <c r="N733" s="16"/>
      <c r="O733" s="16"/>
      <c r="P733" s="16"/>
      <c r="AN733" s="18"/>
      <c r="AO733" s="18"/>
      <c r="AP733" s="18"/>
      <c r="AQ733" s="18"/>
      <c r="AR733" s="18"/>
      <c r="AS733" s="18"/>
      <c r="AU733" s="18"/>
      <c r="AV733" s="18"/>
    </row>
    <row r="734" spans="2:48" ht="15.75" customHeight="1">
      <c r="B734" s="16"/>
      <c r="C734" s="13"/>
      <c r="G734" s="15"/>
      <c r="H734" s="16"/>
      <c r="I734" s="16"/>
      <c r="J734" s="17"/>
      <c r="N734" s="16"/>
      <c r="O734" s="16"/>
      <c r="P734" s="16"/>
      <c r="AN734" s="18"/>
      <c r="AO734" s="18"/>
      <c r="AP734" s="18"/>
      <c r="AQ734" s="18"/>
      <c r="AR734" s="18"/>
      <c r="AS734" s="18"/>
      <c r="AU734" s="18"/>
      <c r="AV734" s="18"/>
    </row>
    <row r="735" spans="2:48" ht="15.75" customHeight="1">
      <c r="B735" s="16"/>
      <c r="C735" s="13"/>
      <c r="G735" s="15"/>
      <c r="H735" s="16"/>
      <c r="I735" s="16"/>
      <c r="J735" s="17"/>
      <c r="N735" s="16"/>
      <c r="O735" s="16"/>
      <c r="P735" s="16"/>
      <c r="AN735" s="18"/>
      <c r="AO735" s="18"/>
      <c r="AP735" s="18"/>
      <c r="AQ735" s="18"/>
      <c r="AR735" s="18"/>
      <c r="AS735" s="18"/>
      <c r="AU735" s="18"/>
      <c r="AV735" s="18"/>
    </row>
    <row r="736" spans="2:48" ht="15.75" customHeight="1">
      <c r="B736" s="16"/>
      <c r="C736" s="13"/>
      <c r="G736" s="15"/>
      <c r="H736" s="16"/>
      <c r="I736" s="16"/>
      <c r="J736" s="17"/>
      <c r="N736" s="16"/>
      <c r="O736" s="16"/>
      <c r="P736" s="16"/>
      <c r="AN736" s="18"/>
      <c r="AO736" s="18"/>
      <c r="AP736" s="18"/>
      <c r="AQ736" s="18"/>
      <c r="AR736" s="18"/>
      <c r="AS736" s="18"/>
      <c r="AU736" s="18"/>
      <c r="AV736" s="18"/>
    </row>
    <row r="737" spans="2:48" ht="15.75" customHeight="1">
      <c r="B737" s="16"/>
      <c r="C737" s="13"/>
      <c r="G737" s="15"/>
      <c r="H737" s="16"/>
      <c r="I737" s="16"/>
      <c r="J737" s="17"/>
      <c r="N737" s="16"/>
      <c r="O737" s="16"/>
      <c r="P737" s="16"/>
      <c r="AN737" s="18"/>
      <c r="AO737" s="18"/>
      <c r="AP737" s="18"/>
      <c r="AQ737" s="18"/>
      <c r="AR737" s="18"/>
      <c r="AS737" s="18"/>
      <c r="AU737" s="18"/>
      <c r="AV737" s="18"/>
    </row>
    <row r="738" spans="2:48" ht="15.75" customHeight="1">
      <c r="B738" s="16"/>
      <c r="C738" s="13"/>
      <c r="G738" s="15"/>
      <c r="H738" s="16"/>
      <c r="I738" s="16"/>
      <c r="J738" s="17"/>
      <c r="N738" s="16"/>
      <c r="O738" s="16"/>
      <c r="P738" s="16"/>
      <c r="AN738" s="18"/>
      <c r="AO738" s="18"/>
      <c r="AP738" s="18"/>
      <c r="AQ738" s="18"/>
      <c r="AR738" s="18"/>
      <c r="AS738" s="18"/>
      <c r="AU738" s="18"/>
      <c r="AV738" s="18"/>
    </row>
    <row r="739" spans="2:48" ht="15.75" customHeight="1">
      <c r="B739" s="16"/>
      <c r="C739" s="13"/>
      <c r="G739" s="15"/>
      <c r="H739" s="16"/>
      <c r="I739" s="16"/>
      <c r="J739" s="17"/>
      <c r="N739" s="16"/>
      <c r="O739" s="16"/>
      <c r="P739" s="16"/>
      <c r="AN739" s="18"/>
      <c r="AO739" s="18"/>
      <c r="AP739" s="18"/>
      <c r="AQ739" s="18"/>
      <c r="AR739" s="18"/>
      <c r="AS739" s="18"/>
      <c r="AU739" s="18"/>
      <c r="AV739" s="18"/>
    </row>
    <row r="740" spans="2:48" ht="15.75" customHeight="1">
      <c r="B740" s="16"/>
      <c r="C740" s="13"/>
      <c r="G740" s="15"/>
      <c r="H740" s="16"/>
      <c r="I740" s="16"/>
      <c r="J740" s="17"/>
      <c r="N740" s="16"/>
      <c r="O740" s="16"/>
      <c r="P740" s="16"/>
      <c r="AN740" s="18"/>
      <c r="AO740" s="18"/>
      <c r="AP740" s="18"/>
      <c r="AQ740" s="18"/>
      <c r="AR740" s="18"/>
      <c r="AS740" s="18"/>
      <c r="AU740" s="18"/>
      <c r="AV740" s="18"/>
    </row>
    <row r="741" spans="2:48" ht="15.75" customHeight="1">
      <c r="B741" s="16"/>
      <c r="C741" s="13"/>
      <c r="G741" s="15"/>
      <c r="H741" s="16"/>
      <c r="I741" s="16"/>
      <c r="J741" s="17"/>
      <c r="N741" s="16"/>
      <c r="O741" s="16"/>
      <c r="P741" s="16"/>
      <c r="AN741" s="18"/>
      <c r="AO741" s="18"/>
      <c r="AP741" s="18"/>
      <c r="AQ741" s="18"/>
      <c r="AR741" s="18"/>
      <c r="AS741" s="18"/>
      <c r="AU741" s="18"/>
      <c r="AV741" s="18"/>
    </row>
    <row r="742" spans="2:48" ht="15.75" customHeight="1">
      <c r="B742" s="16"/>
      <c r="C742" s="13"/>
      <c r="G742" s="15"/>
      <c r="H742" s="16"/>
      <c r="I742" s="16"/>
      <c r="J742" s="17"/>
      <c r="N742" s="16"/>
      <c r="O742" s="16"/>
      <c r="P742" s="16"/>
      <c r="AN742" s="18"/>
      <c r="AO742" s="18"/>
      <c r="AP742" s="18"/>
      <c r="AQ742" s="18"/>
      <c r="AR742" s="18"/>
      <c r="AS742" s="18"/>
      <c r="AU742" s="18"/>
      <c r="AV742" s="18"/>
    </row>
    <row r="743" spans="2:48" ht="15.75" customHeight="1">
      <c r="B743" s="16"/>
      <c r="C743" s="13"/>
      <c r="G743" s="15"/>
      <c r="H743" s="16"/>
      <c r="I743" s="16"/>
      <c r="J743" s="17"/>
      <c r="N743" s="16"/>
      <c r="O743" s="16"/>
      <c r="P743" s="16"/>
      <c r="AN743" s="18"/>
      <c r="AO743" s="18"/>
      <c r="AP743" s="18"/>
      <c r="AQ743" s="18"/>
      <c r="AR743" s="18"/>
      <c r="AS743" s="18"/>
      <c r="AU743" s="18"/>
      <c r="AV743" s="18"/>
    </row>
    <row r="744" spans="2:48" ht="15.75" customHeight="1">
      <c r="B744" s="16"/>
      <c r="C744" s="13"/>
      <c r="G744" s="15"/>
      <c r="H744" s="16"/>
      <c r="I744" s="16"/>
      <c r="J744" s="17"/>
      <c r="N744" s="16"/>
      <c r="O744" s="16"/>
      <c r="P744" s="16"/>
      <c r="AN744" s="18"/>
      <c r="AO744" s="18"/>
      <c r="AP744" s="18"/>
      <c r="AQ744" s="18"/>
      <c r="AR744" s="18"/>
      <c r="AS744" s="18"/>
      <c r="AU744" s="18"/>
      <c r="AV744" s="18"/>
    </row>
    <row r="745" spans="2:48" ht="15.75" customHeight="1">
      <c r="B745" s="16"/>
      <c r="C745" s="13"/>
      <c r="G745" s="15"/>
      <c r="H745" s="16"/>
      <c r="I745" s="16"/>
      <c r="J745" s="17"/>
      <c r="N745" s="16"/>
      <c r="O745" s="16"/>
      <c r="P745" s="16"/>
      <c r="AN745" s="18"/>
      <c r="AO745" s="18"/>
      <c r="AP745" s="18"/>
      <c r="AQ745" s="18"/>
      <c r="AR745" s="18"/>
      <c r="AS745" s="18"/>
      <c r="AU745" s="18"/>
      <c r="AV745" s="18"/>
    </row>
    <row r="746" spans="2:48" ht="15.75" customHeight="1">
      <c r="B746" s="16"/>
      <c r="C746" s="13"/>
      <c r="G746" s="15"/>
      <c r="H746" s="16"/>
      <c r="I746" s="16"/>
      <c r="J746" s="17"/>
      <c r="N746" s="16"/>
      <c r="O746" s="16"/>
      <c r="P746" s="16"/>
      <c r="AN746" s="18"/>
      <c r="AO746" s="18"/>
      <c r="AP746" s="18"/>
      <c r="AQ746" s="18"/>
      <c r="AR746" s="18"/>
      <c r="AS746" s="18"/>
      <c r="AU746" s="18"/>
      <c r="AV746" s="18"/>
    </row>
    <row r="747" spans="2:48" ht="15.75" customHeight="1">
      <c r="B747" s="16"/>
      <c r="C747" s="13"/>
      <c r="G747" s="15"/>
      <c r="J747" s="17"/>
      <c r="N747" s="16"/>
      <c r="O747" s="16"/>
      <c r="P747" s="16"/>
      <c r="AN747" s="18"/>
      <c r="AO747" s="18"/>
      <c r="AP747" s="18"/>
      <c r="AQ747" s="18"/>
      <c r="AR747" s="18"/>
      <c r="AS747" s="18"/>
      <c r="AU747" s="18"/>
      <c r="AV747" s="18"/>
    </row>
    <row r="748" spans="2:48" ht="15.75" customHeight="1">
      <c r="B748" s="16"/>
      <c r="C748" s="13"/>
      <c r="G748" s="15"/>
      <c r="J748" s="17"/>
      <c r="N748" s="16"/>
      <c r="O748" s="16"/>
      <c r="P748" s="16"/>
      <c r="AN748" s="18"/>
      <c r="AO748" s="18"/>
      <c r="AP748" s="18"/>
      <c r="AQ748" s="18"/>
      <c r="AR748" s="18"/>
      <c r="AS748" s="18"/>
      <c r="AU748" s="18"/>
      <c r="AV748" s="18"/>
    </row>
    <row r="749" spans="2:48" ht="15.75" customHeight="1">
      <c r="B749" s="16"/>
      <c r="C749" s="13"/>
      <c r="G749" s="15"/>
      <c r="H749" s="16"/>
      <c r="I749" s="16"/>
      <c r="J749" s="17"/>
      <c r="N749" s="16"/>
      <c r="O749" s="16"/>
      <c r="P749" s="16"/>
      <c r="AN749" s="18"/>
      <c r="AO749" s="18"/>
      <c r="AP749" s="18"/>
      <c r="AQ749" s="18"/>
      <c r="AR749" s="18"/>
      <c r="AS749" s="18"/>
      <c r="AU749" s="18"/>
      <c r="AV749" s="18"/>
    </row>
    <row r="750" spans="2:48" ht="15.75" customHeight="1">
      <c r="B750" s="16"/>
      <c r="C750" s="13"/>
      <c r="G750" s="15"/>
      <c r="H750" s="16"/>
      <c r="I750" s="16"/>
      <c r="J750" s="17"/>
      <c r="N750" s="16"/>
      <c r="O750" s="16"/>
      <c r="P750" s="16"/>
      <c r="AN750" s="18"/>
      <c r="AO750" s="18"/>
      <c r="AP750" s="18"/>
      <c r="AQ750" s="18"/>
      <c r="AR750" s="18"/>
      <c r="AS750" s="18"/>
      <c r="AU750" s="18"/>
      <c r="AV750" s="18"/>
    </row>
    <row r="751" spans="2:48" ht="15.75" customHeight="1">
      <c r="B751" s="16"/>
      <c r="C751" s="13"/>
      <c r="G751" s="15"/>
      <c r="H751" s="16"/>
      <c r="I751" s="16"/>
      <c r="J751" s="17"/>
      <c r="N751" s="16"/>
      <c r="O751" s="16"/>
      <c r="P751" s="16"/>
      <c r="AN751" s="18"/>
      <c r="AO751" s="18"/>
      <c r="AP751" s="18"/>
      <c r="AQ751" s="18"/>
      <c r="AR751" s="18"/>
      <c r="AS751" s="18"/>
      <c r="AU751" s="18"/>
      <c r="AV751" s="18"/>
    </row>
    <row r="752" spans="2:48" ht="15.75" customHeight="1">
      <c r="B752" s="16"/>
      <c r="C752" s="13"/>
      <c r="G752" s="15"/>
      <c r="H752" s="16"/>
      <c r="I752" s="16"/>
      <c r="J752" s="17"/>
      <c r="N752" s="16"/>
      <c r="O752" s="16"/>
      <c r="P752" s="16"/>
      <c r="AN752" s="18"/>
      <c r="AO752" s="18"/>
      <c r="AP752" s="18"/>
      <c r="AQ752" s="18"/>
      <c r="AR752" s="18"/>
      <c r="AS752" s="18"/>
      <c r="AU752" s="18"/>
      <c r="AV752" s="18"/>
    </row>
    <row r="753" spans="2:48" ht="15.75" customHeight="1">
      <c r="B753" s="16"/>
      <c r="C753" s="13"/>
      <c r="G753" s="15"/>
      <c r="H753" s="16"/>
      <c r="I753" s="16"/>
      <c r="J753" s="17"/>
      <c r="N753" s="16"/>
      <c r="O753" s="16"/>
      <c r="P753" s="16"/>
      <c r="AN753" s="18"/>
      <c r="AO753" s="18"/>
      <c r="AP753" s="18"/>
      <c r="AQ753" s="18"/>
      <c r="AR753" s="18"/>
      <c r="AS753" s="18"/>
      <c r="AU753" s="18"/>
      <c r="AV753" s="18"/>
    </row>
    <row r="754" spans="2:48" ht="15.75" customHeight="1">
      <c r="B754" s="16"/>
      <c r="C754" s="13"/>
      <c r="G754" s="15"/>
      <c r="H754" s="16"/>
      <c r="I754" s="16"/>
      <c r="J754" s="17"/>
      <c r="N754" s="16"/>
      <c r="O754" s="16"/>
      <c r="P754" s="16"/>
      <c r="AN754" s="18"/>
      <c r="AO754" s="18"/>
      <c r="AP754" s="18"/>
      <c r="AQ754" s="18"/>
      <c r="AR754" s="18"/>
      <c r="AS754" s="18"/>
      <c r="AU754" s="18"/>
      <c r="AV754" s="18"/>
    </row>
    <row r="755" spans="2:48" ht="15.75" customHeight="1">
      <c r="B755" s="16"/>
      <c r="C755" s="13"/>
      <c r="G755" s="15"/>
      <c r="H755" s="16"/>
      <c r="I755" s="16"/>
      <c r="J755" s="17"/>
      <c r="N755" s="16"/>
      <c r="O755" s="16"/>
      <c r="P755" s="16"/>
      <c r="AN755" s="18"/>
      <c r="AO755" s="18"/>
      <c r="AP755" s="18"/>
      <c r="AQ755" s="18"/>
      <c r="AR755" s="18"/>
      <c r="AS755" s="18"/>
      <c r="AU755" s="18"/>
      <c r="AV755" s="18"/>
    </row>
    <row r="756" spans="2:48" ht="15.75" customHeight="1">
      <c r="B756" s="16"/>
      <c r="C756" s="13"/>
      <c r="G756" s="15"/>
      <c r="H756" s="16"/>
      <c r="I756" s="16"/>
      <c r="J756" s="17"/>
      <c r="N756" s="16"/>
      <c r="O756" s="16"/>
      <c r="P756" s="16"/>
      <c r="AN756" s="18"/>
      <c r="AO756" s="18"/>
      <c r="AP756" s="18"/>
      <c r="AQ756" s="18"/>
      <c r="AR756" s="18"/>
      <c r="AS756" s="18"/>
      <c r="AU756" s="18"/>
      <c r="AV756" s="18"/>
    </row>
    <row r="757" spans="2:48" ht="15.75" customHeight="1">
      <c r="B757" s="16"/>
      <c r="C757" s="13"/>
      <c r="G757" s="15"/>
      <c r="H757" s="16"/>
      <c r="I757" s="16"/>
      <c r="J757" s="17"/>
      <c r="N757" s="16"/>
      <c r="O757" s="16"/>
      <c r="P757" s="16"/>
      <c r="AN757" s="18"/>
      <c r="AO757" s="18"/>
      <c r="AP757" s="18"/>
      <c r="AQ757" s="18"/>
      <c r="AR757" s="18"/>
      <c r="AS757" s="18"/>
      <c r="AU757" s="18"/>
      <c r="AV757" s="18"/>
    </row>
    <row r="758" spans="2:48" ht="15.75" customHeight="1">
      <c r="B758" s="16"/>
      <c r="C758" s="13"/>
      <c r="G758" s="15"/>
      <c r="H758" s="16"/>
      <c r="I758" s="16"/>
      <c r="J758" s="17"/>
      <c r="N758" s="16"/>
      <c r="O758" s="16"/>
      <c r="P758" s="16"/>
      <c r="AN758" s="18"/>
      <c r="AO758" s="18"/>
      <c r="AP758" s="18"/>
      <c r="AQ758" s="18"/>
      <c r="AR758" s="18"/>
      <c r="AS758" s="18"/>
      <c r="AU758" s="18"/>
      <c r="AV758" s="18"/>
    </row>
    <row r="759" spans="2:48" ht="15.75" customHeight="1">
      <c r="B759" s="16"/>
      <c r="C759" s="13"/>
      <c r="G759" s="15"/>
      <c r="H759" s="16"/>
      <c r="I759" s="16"/>
      <c r="J759" s="17"/>
      <c r="N759" s="16"/>
      <c r="O759" s="16"/>
      <c r="P759" s="16"/>
      <c r="AN759" s="18"/>
      <c r="AO759" s="18"/>
      <c r="AP759" s="18"/>
      <c r="AQ759" s="18"/>
      <c r="AR759" s="18"/>
      <c r="AS759" s="18"/>
      <c r="AU759" s="18"/>
      <c r="AV759" s="18"/>
    </row>
    <row r="760" spans="2:48" ht="15.75" customHeight="1">
      <c r="B760" s="16"/>
      <c r="C760" s="13"/>
      <c r="G760" s="15"/>
      <c r="H760" s="16"/>
      <c r="I760" s="16"/>
      <c r="J760" s="17"/>
      <c r="N760" s="16"/>
      <c r="O760" s="16"/>
      <c r="P760" s="16"/>
      <c r="AN760" s="18"/>
      <c r="AO760" s="18"/>
      <c r="AP760" s="18"/>
      <c r="AQ760" s="18"/>
      <c r="AR760" s="18"/>
      <c r="AS760" s="18"/>
      <c r="AU760" s="18"/>
      <c r="AV760" s="18"/>
    </row>
    <row r="761" spans="2:48" ht="15.75" customHeight="1">
      <c r="B761" s="16"/>
      <c r="C761" s="13"/>
      <c r="G761" s="15"/>
      <c r="H761" s="16"/>
      <c r="I761" s="16"/>
      <c r="J761" s="17"/>
      <c r="N761" s="16"/>
      <c r="O761" s="16"/>
      <c r="P761" s="16"/>
      <c r="AN761" s="18"/>
      <c r="AO761" s="18"/>
      <c r="AP761" s="18"/>
      <c r="AQ761" s="18"/>
      <c r="AR761" s="18"/>
      <c r="AS761" s="18"/>
      <c r="AU761" s="18"/>
      <c r="AV761" s="18"/>
    </row>
    <row r="762" spans="2:48" ht="15.75" customHeight="1">
      <c r="B762" s="16"/>
      <c r="C762" s="13"/>
      <c r="G762" s="15"/>
      <c r="H762" s="16"/>
      <c r="I762" s="16"/>
      <c r="J762" s="17"/>
      <c r="N762" s="16"/>
      <c r="O762" s="16"/>
      <c r="P762" s="16"/>
      <c r="AN762" s="18"/>
      <c r="AO762" s="18"/>
      <c r="AP762" s="18"/>
      <c r="AQ762" s="18"/>
      <c r="AR762" s="18"/>
      <c r="AS762" s="18"/>
      <c r="AU762" s="18"/>
      <c r="AV762" s="18"/>
    </row>
    <row r="763" spans="2:48" ht="15.75" customHeight="1">
      <c r="B763" s="16"/>
      <c r="C763" s="13"/>
      <c r="G763" s="15"/>
      <c r="H763" s="16"/>
      <c r="I763" s="16"/>
      <c r="J763" s="17"/>
      <c r="N763" s="16"/>
      <c r="O763" s="16"/>
      <c r="P763" s="16"/>
      <c r="AN763" s="18"/>
      <c r="AO763" s="18"/>
      <c r="AP763" s="18"/>
      <c r="AQ763" s="18"/>
      <c r="AR763" s="18"/>
      <c r="AS763" s="18"/>
      <c r="AU763" s="18"/>
      <c r="AV763" s="18"/>
    </row>
    <row r="764" spans="2:48" ht="15.75" customHeight="1">
      <c r="B764" s="16"/>
      <c r="C764" s="13"/>
      <c r="G764" s="15"/>
      <c r="H764" s="16"/>
      <c r="I764" s="16"/>
      <c r="J764" s="17"/>
      <c r="N764" s="16"/>
      <c r="O764" s="16"/>
      <c r="P764" s="16"/>
      <c r="AN764" s="18"/>
      <c r="AO764" s="18"/>
      <c r="AP764" s="18"/>
      <c r="AQ764" s="18"/>
      <c r="AR764" s="18"/>
      <c r="AS764" s="18"/>
      <c r="AU764" s="18"/>
      <c r="AV764" s="18"/>
    </row>
    <row r="765" spans="2:48" ht="15.75" customHeight="1">
      <c r="B765" s="16"/>
      <c r="C765" s="13"/>
      <c r="G765" s="15"/>
      <c r="H765" s="16"/>
      <c r="I765" s="16"/>
      <c r="J765" s="17"/>
      <c r="N765" s="16"/>
      <c r="O765" s="16"/>
      <c r="P765" s="16"/>
      <c r="AN765" s="18"/>
      <c r="AO765" s="18"/>
      <c r="AP765" s="18"/>
      <c r="AQ765" s="18"/>
      <c r="AR765" s="18"/>
      <c r="AS765" s="18"/>
      <c r="AU765" s="18"/>
      <c r="AV765" s="18"/>
    </row>
    <row r="766" spans="2:48" ht="15.75" customHeight="1">
      <c r="B766" s="16"/>
      <c r="C766" s="13"/>
      <c r="G766" s="15"/>
      <c r="H766" s="16"/>
      <c r="I766" s="16"/>
      <c r="J766" s="17"/>
      <c r="N766" s="16"/>
      <c r="O766" s="16"/>
      <c r="P766" s="16"/>
      <c r="AN766" s="18"/>
      <c r="AO766" s="18"/>
      <c r="AP766" s="18"/>
      <c r="AQ766" s="18"/>
      <c r="AR766" s="18"/>
      <c r="AS766" s="18"/>
      <c r="AU766" s="18"/>
      <c r="AV766" s="18"/>
    </row>
    <row r="767" spans="2:48" ht="15.75" customHeight="1">
      <c r="B767" s="16"/>
      <c r="C767" s="13"/>
      <c r="G767" s="15"/>
      <c r="H767" s="16"/>
      <c r="I767" s="16"/>
      <c r="J767" s="17"/>
      <c r="N767" s="16"/>
      <c r="O767" s="16"/>
      <c r="P767" s="16"/>
      <c r="AN767" s="18"/>
      <c r="AO767" s="18"/>
      <c r="AP767" s="18"/>
      <c r="AQ767" s="18"/>
      <c r="AR767" s="18"/>
      <c r="AS767" s="18"/>
      <c r="AU767" s="18"/>
      <c r="AV767" s="18"/>
    </row>
    <row r="768" spans="2:48" ht="15.75" customHeight="1">
      <c r="B768" s="16"/>
      <c r="C768" s="13"/>
      <c r="G768" s="15"/>
      <c r="H768" s="16"/>
      <c r="I768" s="16"/>
      <c r="J768" s="17"/>
      <c r="N768" s="16"/>
      <c r="O768" s="16"/>
      <c r="P768" s="16"/>
      <c r="AN768" s="18"/>
      <c r="AO768" s="18"/>
      <c r="AP768" s="18"/>
      <c r="AQ768" s="18"/>
      <c r="AR768" s="18"/>
      <c r="AS768" s="18"/>
      <c r="AU768" s="18"/>
      <c r="AV768" s="18"/>
    </row>
    <row r="769" spans="2:48" ht="15.75" customHeight="1">
      <c r="B769" s="16"/>
      <c r="C769" s="13"/>
      <c r="G769" s="15"/>
      <c r="H769" s="16"/>
      <c r="I769" s="16"/>
      <c r="J769" s="17"/>
      <c r="N769" s="16"/>
      <c r="O769" s="16"/>
      <c r="P769" s="16"/>
      <c r="AN769" s="18"/>
      <c r="AO769" s="18"/>
      <c r="AP769" s="18"/>
      <c r="AQ769" s="18"/>
      <c r="AR769" s="18"/>
      <c r="AS769" s="18"/>
      <c r="AU769" s="18"/>
      <c r="AV769" s="18"/>
    </row>
    <row r="770" spans="2:48" ht="15.75" customHeight="1">
      <c r="B770" s="16"/>
      <c r="C770" s="13"/>
      <c r="G770" s="15"/>
      <c r="H770" s="16"/>
      <c r="I770" s="16"/>
      <c r="J770" s="17"/>
      <c r="N770" s="16"/>
      <c r="O770" s="16"/>
      <c r="P770" s="16"/>
      <c r="AN770" s="18"/>
      <c r="AO770" s="18"/>
      <c r="AP770" s="18"/>
      <c r="AQ770" s="18"/>
      <c r="AR770" s="18"/>
      <c r="AS770" s="18"/>
      <c r="AU770" s="18"/>
      <c r="AV770" s="18"/>
    </row>
    <row r="771" spans="2:48" ht="15.75" customHeight="1">
      <c r="B771" s="16"/>
      <c r="C771" s="13"/>
      <c r="G771" s="15"/>
      <c r="H771" s="16"/>
      <c r="I771" s="16"/>
      <c r="J771" s="17"/>
      <c r="N771" s="16"/>
      <c r="O771" s="16"/>
      <c r="P771" s="16"/>
      <c r="AN771" s="18"/>
      <c r="AO771" s="18"/>
      <c r="AP771" s="18"/>
      <c r="AQ771" s="18"/>
      <c r="AR771" s="18"/>
      <c r="AS771" s="18"/>
      <c r="AU771" s="18"/>
      <c r="AV771" s="18"/>
    </row>
    <row r="772" spans="2:48" ht="15.75" customHeight="1">
      <c r="B772" s="16"/>
      <c r="C772" s="13"/>
      <c r="G772" s="15"/>
      <c r="H772" s="16"/>
      <c r="I772" s="16"/>
      <c r="J772" s="17"/>
      <c r="N772" s="16"/>
      <c r="O772" s="16"/>
      <c r="P772" s="16"/>
      <c r="AN772" s="18"/>
      <c r="AO772" s="18"/>
      <c r="AP772" s="18"/>
      <c r="AQ772" s="18"/>
      <c r="AR772" s="18"/>
      <c r="AS772" s="18"/>
      <c r="AU772" s="18"/>
      <c r="AV772" s="18"/>
    </row>
    <row r="773" spans="2:48" ht="15.75" customHeight="1">
      <c r="B773" s="16"/>
      <c r="C773" s="13"/>
      <c r="G773" s="15"/>
      <c r="H773" s="16"/>
      <c r="I773" s="16"/>
      <c r="J773" s="17"/>
      <c r="N773" s="16"/>
      <c r="O773" s="16"/>
      <c r="P773" s="16"/>
      <c r="AN773" s="18"/>
      <c r="AO773" s="18"/>
      <c r="AP773" s="18"/>
      <c r="AQ773" s="18"/>
      <c r="AR773" s="18"/>
      <c r="AS773" s="18"/>
      <c r="AU773" s="18"/>
      <c r="AV773" s="18"/>
    </row>
    <row r="774" spans="2:48" ht="15.75" customHeight="1">
      <c r="B774" s="16"/>
      <c r="C774" s="13"/>
      <c r="G774" s="15"/>
      <c r="H774" s="16"/>
      <c r="I774" s="16"/>
      <c r="J774" s="17"/>
      <c r="N774" s="16"/>
      <c r="O774" s="16"/>
      <c r="P774" s="16"/>
      <c r="AN774" s="18"/>
      <c r="AO774" s="18"/>
      <c r="AP774" s="18"/>
      <c r="AQ774" s="18"/>
      <c r="AR774" s="18"/>
      <c r="AS774" s="18"/>
      <c r="AU774" s="18"/>
      <c r="AV774" s="18"/>
    </row>
    <row r="775" spans="2:48" ht="15.75" customHeight="1">
      <c r="C775" s="13"/>
      <c r="G775" s="15"/>
      <c r="H775" s="16"/>
      <c r="I775" s="16"/>
      <c r="N775" s="16"/>
      <c r="O775" s="16"/>
      <c r="P775" s="16"/>
      <c r="AN775" s="18"/>
      <c r="AO775" s="18"/>
      <c r="AP775" s="18"/>
      <c r="AQ775" s="18"/>
      <c r="AR775" s="18"/>
      <c r="AS775" s="18"/>
      <c r="AU775" s="18"/>
      <c r="AV775" s="18"/>
    </row>
    <row r="776" spans="2:48" ht="15.75" customHeight="1">
      <c r="B776" s="16"/>
      <c r="C776" s="13"/>
      <c r="G776" s="15"/>
      <c r="H776" s="16"/>
      <c r="I776" s="16"/>
      <c r="N776" s="16"/>
      <c r="O776" s="16"/>
      <c r="P776" s="16"/>
      <c r="AN776" s="18"/>
      <c r="AO776" s="18"/>
      <c r="AP776" s="18"/>
      <c r="AQ776" s="18"/>
      <c r="AR776" s="18"/>
      <c r="AS776" s="18"/>
      <c r="AU776" s="18"/>
      <c r="AV776" s="18"/>
    </row>
    <row r="777" spans="2:48" ht="15.75" customHeight="1">
      <c r="B777" s="16"/>
      <c r="C777" s="13"/>
      <c r="G777" s="15"/>
      <c r="H777" s="16"/>
      <c r="I777" s="16"/>
      <c r="J777" s="17"/>
      <c r="N777" s="16"/>
      <c r="O777" s="16"/>
      <c r="P777" s="16"/>
      <c r="AN777" s="18"/>
      <c r="AO777" s="18"/>
      <c r="AP777" s="18"/>
      <c r="AQ777" s="18"/>
      <c r="AR777" s="18"/>
      <c r="AS777" s="18"/>
      <c r="AU777" s="18"/>
      <c r="AV777" s="18"/>
    </row>
    <row r="778" spans="2:48" ht="15.75" customHeight="1">
      <c r="B778" s="16"/>
      <c r="C778" s="13"/>
      <c r="G778" s="15"/>
      <c r="H778" s="16"/>
      <c r="I778" s="16"/>
      <c r="J778" s="17"/>
      <c r="N778" s="16"/>
      <c r="O778" s="16"/>
      <c r="P778" s="16"/>
      <c r="AN778" s="18"/>
      <c r="AO778" s="18"/>
      <c r="AP778" s="18"/>
      <c r="AQ778" s="18"/>
      <c r="AR778" s="18"/>
      <c r="AS778" s="18"/>
      <c r="AU778" s="18"/>
      <c r="AV778" s="18"/>
    </row>
    <row r="779" spans="2:48" ht="15.75" customHeight="1">
      <c r="B779" s="16"/>
      <c r="C779" s="13"/>
      <c r="G779" s="15"/>
      <c r="H779" s="16"/>
      <c r="I779" s="16"/>
      <c r="J779" s="17"/>
      <c r="N779" s="16"/>
      <c r="O779" s="16"/>
      <c r="P779" s="16"/>
      <c r="AN779" s="18"/>
      <c r="AO779" s="18"/>
      <c r="AP779" s="18"/>
      <c r="AQ779" s="18"/>
      <c r="AR779" s="18"/>
      <c r="AS779" s="18"/>
      <c r="AU779" s="18"/>
      <c r="AV779" s="18"/>
    </row>
    <row r="780" spans="2:48" ht="15.75" customHeight="1">
      <c r="B780" s="16"/>
      <c r="C780" s="13"/>
      <c r="G780" s="15"/>
      <c r="H780" s="16"/>
      <c r="I780" s="16"/>
      <c r="J780" s="17"/>
      <c r="N780" s="16"/>
      <c r="O780" s="16"/>
      <c r="P780" s="16"/>
      <c r="AN780" s="18"/>
      <c r="AO780" s="18"/>
      <c r="AP780" s="18"/>
      <c r="AQ780" s="18"/>
      <c r="AR780" s="18"/>
      <c r="AS780" s="18"/>
      <c r="AU780" s="18"/>
      <c r="AV780" s="18"/>
    </row>
    <row r="781" spans="2:48" ht="15.75" customHeight="1">
      <c r="B781" s="16"/>
      <c r="C781" s="13"/>
      <c r="G781" s="15"/>
      <c r="H781" s="16"/>
      <c r="I781" s="16"/>
      <c r="J781" s="17"/>
      <c r="N781" s="16"/>
      <c r="O781" s="16"/>
      <c r="P781" s="16"/>
      <c r="AN781" s="18"/>
      <c r="AO781" s="18"/>
      <c r="AP781" s="18"/>
      <c r="AQ781" s="18"/>
      <c r="AR781" s="18"/>
      <c r="AS781" s="18"/>
      <c r="AU781" s="18"/>
      <c r="AV781" s="18"/>
    </row>
    <row r="782" spans="2:48" ht="15.75" customHeight="1">
      <c r="B782" s="16"/>
      <c r="C782" s="13"/>
      <c r="G782" s="15"/>
      <c r="H782" s="16"/>
      <c r="I782" s="16"/>
      <c r="J782" s="17"/>
      <c r="N782" s="16"/>
      <c r="O782" s="16"/>
      <c r="P782" s="16"/>
      <c r="AN782" s="18"/>
      <c r="AO782" s="18"/>
      <c r="AP782" s="18"/>
      <c r="AQ782" s="18"/>
      <c r="AR782" s="18"/>
      <c r="AS782" s="18"/>
      <c r="AU782" s="18"/>
      <c r="AV782" s="18"/>
    </row>
    <row r="783" spans="2:48" ht="15.75" customHeight="1">
      <c r="B783" s="16"/>
      <c r="C783" s="13"/>
      <c r="G783" s="15"/>
      <c r="H783" s="16"/>
      <c r="I783" s="16"/>
      <c r="J783" s="17"/>
      <c r="N783" s="16"/>
      <c r="O783" s="16"/>
      <c r="P783" s="16"/>
      <c r="AN783" s="18"/>
      <c r="AO783" s="18"/>
      <c r="AP783" s="18"/>
      <c r="AQ783" s="18"/>
      <c r="AR783" s="18"/>
      <c r="AS783" s="18"/>
      <c r="AU783" s="18"/>
      <c r="AV783" s="18"/>
    </row>
    <row r="784" spans="2:48" ht="15.75" customHeight="1">
      <c r="B784" s="16"/>
      <c r="C784" s="13"/>
      <c r="G784" s="15"/>
      <c r="H784" s="16"/>
      <c r="I784" s="16"/>
      <c r="J784" s="17"/>
      <c r="N784" s="16"/>
      <c r="O784" s="16"/>
      <c r="P784" s="16"/>
      <c r="AN784" s="18"/>
      <c r="AO784" s="18"/>
      <c r="AP784" s="18"/>
      <c r="AQ784" s="18"/>
      <c r="AR784" s="18"/>
      <c r="AS784" s="18"/>
      <c r="AU784" s="18"/>
      <c r="AV784" s="18"/>
    </row>
    <row r="785" spans="2:48" ht="15.75" customHeight="1">
      <c r="B785" s="16"/>
      <c r="C785" s="13"/>
      <c r="G785" s="15"/>
      <c r="H785" s="16"/>
      <c r="I785" s="16"/>
      <c r="J785" s="17"/>
      <c r="N785" s="16"/>
      <c r="O785" s="16"/>
      <c r="P785" s="16"/>
      <c r="AN785" s="18"/>
      <c r="AO785" s="18"/>
      <c r="AP785" s="18"/>
      <c r="AQ785" s="18"/>
      <c r="AR785" s="18"/>
      <c r="AS785" s="18"/>
      <c r="AU785" s="18"/>
      <c r="AV785" s="18"/>
    </row>
    <row r="786" spans="2:48" ht="15.75" customHeight="1">
      <c r="B786" s="16"/>
      <c r="C786" s="13"/>
      <c r="G786" s="15"/>
      <c r="H786" s="16"/>
      <c r="I786" s="16"/>
      <c r="J786" s="17"/>
      <c r="N786" s="16"/>
      <c r="O786" s="16"/>
      <c r="P786" s="16"/>
      <c r="AN786" s="18"/>
      <c r="AO786" s="18"/>
      <c r="AP786" s="18"/>
      <c r="AQ786" s="18"/>
      <c r="AR786" s="18"/>
      <c r="AS786" s="18"/>
      <c r="AU786" s="18"/>
      <c r="AV786" s="18"/>
    </row>
    <row r="787" spans="2:48" ht="15.75" customHeight="1">
      <c r="C787" s="13"/>
      <c r="G787" s="15"/>
      <c r="H787" s="16"/>
      <c r="I787" s="16"/>
      <c r="J787" s="17"/>
      <c r="N787" s="16"/>
      <c r="O787" s="16"/>
      <c r="P787" s="16"/>
      <c r="AN787" s="18"/>
      <c r="AO787" s="18"/>
      <c r="AP787" s="18"/>
      <c r="AQ787" s="18"/>
      <c r="AR787" s="18"/>
      <c r="AS787" s="18"/>
      <c r="AU787" s="18"/>
      <c r="AV787" s="18"/>
    </row>
    <row r="788" spans="2:48" ht="15.75" customHeight="1">
      <c r="C788" s="13"/>
      <c r="G788" s="15"/>
      <c r="H788" s="16"/>
      <c r="I788" s="16"/>
      <c r="J788" s="17"/>
      <c r="N788" s="16"/>
      <c r="O788" s="16"/>
      <c r="P788" s="16"/>
      <c r="AN788" s="18"/>
      <c r="AO788" s="18"/>
      <c r="AP788" s="18"/>
      <c r="AQ788" s="18"/>
      <c r="AR788" s="18"/>
      <c r="AS788" s="18"/>
      <c r="AU788" s="18"/>
      <c r="AV788" s="18"/>
    </row>
    <row r="789" spans="2:48" ht="15.75" customHeight="1">
      <c r="C789" s="13"/>
      <c r="G789" s="15"/>
      <c r="H789" s="16"/>
      <c r="I789" s="16"/>
      <c r="J789" s="17"/>
      <c r="N789" s="16"/>
      <c r="O789" s="16"/>
      <c r="P789" s="16"/>
      <c r="AN789" s="18"/>
      <c r="AO789" s="18"/>
      <c r="AP789" s="18"/>
      <c r="AQ789" s="18"/>
      <c r="AR789" s="18"/>
      <c r="AS789" s="18"/>
      <c r="AU789" s="18"/>
      <c r="AV789" s="18"/>
    </row>
    <row r="790" spans="2:48" ht="15.75" customHeight="1">
      <c r="C790" s="13"/>
      <c r="G790" s="15"/>
      <c r="H790" s="16"/>
      <c r="I790" s="16"/>
      <c r="J790" s="17"/>
      <c r="N790" s="16"/>
      <c r="O790" s="16"/>
      <c r="P790" s="16"/>
      <c r="AN790" s="18"/>
      <c r="AO790" s="18"/>
      <c r="AP790" s="18"/>
      <c r="AQ790" s="18"/>
      <c r="AR790" s="18"/>
      <c r="AS790" s="18"/>
      <c r="AU790" s="18"/>
      <c r="AV790" s="18"/>
    </row>
    <row r="791" spans="2:48" ht="15.75" customHeight="1">
      <c r="C791" s="13"/>
      <c r="G791" s="15"/>
      <c r="H791" s="16"/>
      <c r="I791" s="16"/>
      <c r="J791" s="17"/>
      <c r="N791" s="16"/>
      <c r="O791" s="16"/>
      <c r="P791" s="16"/>
      <c r="AN791" s="18"/>
      <c r="AO791" s="18"/>
      <c r="AP791" s="18"/>
      <c r="AQ791" s="18"/>
      <c r="AR791" s="18"/>
      <c r="AS791" s="18"/>
      <c r="AU791" s="18"/>
      <c r="AV791" s="18"/>
    </row>
    <row r="792" spans="2:48" ht="15.75" customHeight="1">
      <c r="C792" s="13"/>
      <c r="G792" s="15"/>
      <c r="H792" s="16"/>
      <c r="I792" s="16"/>
      <c r="J792" s="17"/>
      <c r="N792" s="16"/>
      <c r="O792" s="16"/>
      <c r="P792" s="16"/>
      <c r="AN792" s="18"/>
      <c r="AO792" s="18"/>
      <c r="AP792" s="18"/>
      <c r="AQ792" s="18"/>
      <c r="AR792" s="18"/>
      <c r="AS792" s="18"/>
      <c r="AU792" s="18"/>
      <c r="AV792" s="18"/>
    </row>
    <row r="793" spans="2:48" ht="15.75" customHeight="1">
      <c r="C793" s="13"/>
      <c r="G793" s="15"/>
      <c r="H793" s="16"/>
      <c r="I793" s="16"/>
      <c r="J793" s="17"/>
      <c r="N793" s="16"/>
      <c r="O793" s="16"/>
      <c r="P793" s="16"/>
      <c r="AN793" s="18"/>
      <c r="AO793" s="18"/>
      <c r="AP793" s="18"/>
      <c r="AQ793" s="18"/>
      <c r="AR793" s="18"/>
      <c r="AS793" s="18"/>
      <c r="AU793" s="18"/>
      <c r="AV793" s="18"/>
    </row>
    <row r="794" spans="2:48" ht="15.75" customHeight="1">
      <c r="C794" s="13"/>
      <c r="G794" s="15"/>
      <c r="H794" s="16"/>
      <c r="I794" s="16"/>
      <c r="J794" s="17"/>
      <c r="N794" s="16"/>
      <c r="O794" s="16"/>
      <c r="P794" s="16"/>
      <c r="AN794" s="18"/>
      <c r="AO794" s="18"/>
      <c r="AP794" s="18"/>
      <c r="AQ794" s="18"/>
      <c r="AR794" s="18"/>
      <c r="AS794" s="18"/>
      <c r="AU794" s="18"/>
      <c r="AV794" s="18"/>
    </row>
    <row r="795" spans="2:48" ht="15.75" customHeight="1">
      <c r="C795" s="13"/>
      <c r="G795" s="15"/>
      <c r="H795" s="16"/>
      <c r="I795" s="16"/>
      <c r="J795" s="17"/>
      <c r="N795" s="16"/>
      <c r="O795" s="16"/>
      <c r="P795" s="16"/>
      <c r="AN795" s="18"/>
      <c r="AO795" s="18"/>
      <c r="AP795" s="18"/>
      <c r="AQ795" s="18"/>
      <c r="AR795" s="18"/>
      <c r="AS795" s="18"/>
      <c r="AU795" s="18"/>
      <c r="AV795" s="18"/>
    </row>
    <row r="796" spans="2:48" ht="15.75" customHeight="1">
      <c r="C796" s="13"/>
      <c r="G796" s="15"/>
      <c r="H796" s="16"/>
      <c r="I796" s="16"/>
      <c r="J796" s="17"/>
      <c r="N796" s="16"/>
      <c r="O796" s="16"/>
      <c r="P796" s="16"/>
      <c r="AN796" s="18"/>
      <c r="AO796" s="18"/>
      <c r="AP796" s="18"/>
      <c r="AQ796" s="18"/>
      <c r="AR796" s="18"/>
      <c r="AS796" s="18"/>
      <c r="AU796" s="18"/>
      <c r="AV796" s="18"/>
    </row>
    <row r="797" spans="2:48" ht="15.75" customHeight="1">
      <c r="C797" s="13"/>
      <c r="G797" s="15"/>
      <c r="H797" s="16"/>
      <c r="I797" s="16"/>
      <c r="J797" s="17"/>
      <c r="N797" s="16"/>
      <c r="O797" s="16"/>
      <c r="P797" s="16"/>
      <c r="AN797" s="18"/>
      <c r="AO797" s="18"/>
      <c r="AP797" s="18"/>
      <c r="AQ797" s="18"/>
      <c r="AR797" s="18"/>
      <c r="AS797" s="18"/>
      <c r="AU797" s="18"/>
      <c r="AV797" s="18"/>
    </row>
    <row r="798" spans="2:48" ht="15.75" customHeight="1">
      <c r="C798" s="13"/>
      <c r="G798" s="15"/>
      <c r="H798" s="16"/>
      <c r="I798" s="16"/>
      <c r="J798" s="17"/>
      <c r="N798" s="16"/>
      <c r="O798" s="16"/>
      <c r="P798" s="16"/>
      <c r="AN798" s="18"/>
      <c r="AO798" s="18"/>
      <c r="AP798" s="18"/>
      <c r="AQ798" s="18"/>
      <c r="AR798" s="18"/>
      <c r="AS798" s="18"/>
      <c r="AU798" s="18"/>
      <c r="AV798" s="18"/>
    </row>
    <row r="799" spans="2:48" ht="15.75" customHeight="1">
      <c r="C799" s="13"/>
      <c r="G799" s="15"/>
      <c r="H799" s="16"/>
      <c r="I799" s="16"/>
      <c r="J799" s="17"/>
      <c r="N799" s="16"/>
      <c r="O799" s="16"/>
      <c r="P799" s="16"/>
      <c r="AN799" s="18"/>
      <c r="AO799" s="18"/>
      <c r="AP799" s="18"/>
      <c r="AQ799" s="18"/>
      <c r="AR799" s="18"/>
      <c r="AS799" s="18"/>
      <c r="AU799" s="18"/>
      <c r="AV799" s="18"/>
    </row>
    <row r="800" spans="2:48" ht="15.75" customHeight="1">
      <c r="C800" s="13"/>
      <c r="G800" s="15"/>
      <c r="H800" s="16"/>
      <c r="I800" s="16"/>
      <c r="J800" s="17"/>
      <c r="N800" s="16"/>
      <c r="O800" s="16"/>
      <c r="P800" s="16"/>
      <c r="AN800" s="18"/>
      <c r="AO800" s="18"/>
      <c r="AP800" s="18"/>
      <c r="AQ800" s="18"/>
      <c r="AR800" s="18"/>
      <c r="AS800" s="18"/>
      <c r="AU800" s="18"/>
      <c r="AV800" s="18"/>
    </row>
    <row r="801" spans="3:48" ht="15.75" customHeight="1">
      <c r="C801" s="13"/>
      <c r="G801" s="15"/>
      <c r="H801" s="16"/>
      <c r="I801" s="16"/>
      <c r="J801" s="17"/>
      <c r="N801" s="16"/>
      <c r="O801" s="16"/>
      <c r="P801" s="16"/>
      <c r="AN801" s="18"/>
      <c r="AO801" s="18"/>
      <c r="AP801" s="18"/>
      <c r="AQ801" s="18"/>
      <c r="AR801" s="18"/>
      <c r="AS801" s="18"/>
      <c r="AU801" s="18"/>
      <c r="AV801" s="18"/>
    </row>
    <row r="802" spans="3:48" ht="15.75" customHeight="1">
      <c r="C802" s="13"/>
      <c r="G802" s="15"/>
      <c r="H802" s="16"/>
      <c r="I802" s="16"/>
      <c r="J802" s="17"/>
      <c r="N802" s="16"/>
      <c r="O802" s="16"/>
      <c r="P802" s="16"/>
      <c r="AN802" s="18"/>
      <c r="AO802" s="18"/>
      <c r="AP802" s="18"/>
      <c r="AQ802" s="18"/>
      <c r="AR802" s="18"/>
      <c r="AS802" s="18"/>
      <c r="AU802" s="18"/>
      <c r="AV802" s="18"/>
    </row>
    <row r="803" spans="3:48" ht="15.75" customHeight="1">
      <c r="C803" s="13"/>
      <c r="G803" s="15"/>
      <c r="H803" s="16"/>
      <c r="I803" s="16"/>
      <c r="J803" s="17"/>
      <c r="N803" s="16"/>
      <c r="O803" s="16"/>
      <c r="P803" s="16"/>
      <c r="AN803" s="18"/>
      <c r="AO803" s="18"/>
      <c r="AP803" s="18"/>
      <c r="AQ803" s="18"/>
      <c r="AR803" s="18"/>
      <c r="AS803" s="18"/>
      <c r="AU803" s="18"/>
      <c r="AV803" s="18"/>
    </row>
    <row r="804" spans="3:48" ht="15.75" customHeight="1">
      <c r="C804" s="13"/>
      <c r="G804" s="15"/>
      <c r="H804" s="16"/>
      <c r="I804" s="16"/>
      <c r="J804" s="17"/>
      <c r="N804" s="16"/>
      <c r="O804" s="16"/>
      <c r="P804" s="16"/>
      <c r="AN804" s="18"/>
      <c r="AO804" s="18"/>
      <c r="AP804" s="18"/>
      <c r="AQ804" s="18"/>
      <c r="AR804" s="18"/>
      <c r="AS804" s="18"/>
      <c r="AU804" s="18"/>
      <c r="AV804" s="18"/>
    </row>
    <row r="805" spans="3:48" ht="15.75" customHeight="1">
      <c r="C805" s="13"/>
      <c r="G805" s="15"/>
      <c r="H805" s="16"/>
      <c r="I805" s="16"/>
      <c r="J805" s="17"/>
      <c r="N805" s="16"/>
      <c r="O805" s="16"/>
      <c r="P805" s="16"/>
      <c r="AN805" s="18"/>
      <c r="AO805" s="18"/>
      <c r="AP805" s="18"/>
      <c r="AQ805" s="18"/>
      <c r="AR805" s="18"/>
      <c r="AS805" s="18"/>
      <c r="AU805" s="18"/>
      <c r="AV805" s="18"/>
    </row>
    <row r="806" spans="3:48" ht="15.75" customHeight="1">
      <c r="C806" s="13"/>
      <c r="G806" s="15"/>
      <c r="H806" s="16"/>
      <c r="I806" s="16"/>
      <c r="J806" s="17"/>
      <c r="N806" s="16"/>
      <c r="O806" s="16"/>
      <c r="P806" s="16"/>
      <c r="AN806" s="18"/>
      <c r="AO806" s="18"/>
      <c r="AP806" s="18"/>
      <c r="AQ806" s="18"/>
      <c r="AR806" s="18"/>
      <c r="AS806" s="18"/>
      <c r="AU806" s="18"/>
      <c r="AV806" s="18"/>
    </row>
    <row r="807" spans="3:48" ht="15.75" customHeight="1">
      <c r="C807" s="13"/>
      <c r="G807" s="15"/>
      <c r="H807" s="16"/>
      <c r="I807" s="16"/>
      <c r="J807" s="17"/>
      <c r="N807" s="16"/>
      <c r="O807" s="16"/>
      <c r="P807" s="16"/>
      <c r="AN807" s="18"/>
      <c r="AO807" s="18"/>
      <c r="AP807" s="18"/>
      <c r="AQ807" s="18"/>
      <c r="AR807" s="18"/>
      <c r="AS807" s="18"/>
      <c r="AU807" s="18"/>
      <c r="AV807" s="18"/>
    </row>
    <row r="808" spans="3:48" ht="15.75" customHeight="1">
      <c r="C808" s="13"/>
      <c r="G808" s="15"/>
      <c r="H808" s="16"/>
      <c r="I808" s="16"/>
      <c r="J808" s="17"/>
      <c r="N808" s="16"/>
      <c r="O808" s="16"/>
      <c r="P808" s="16"/>
      <c r="AN808" s="18"/>
      <c r="AO808" s="18"/>
      <c r="AP808" s="18"/>
      <c r="AQ808" s="18"/>
      <c r="AR808" s="18"/>
      <c r="AS808" s="18"/>
      <c r="AU808" s="18"/>
      <c r="AV808" s="18"/>
    </row>
    <row r="809" spans="3:48" ht="15.75" customHeight="1">
      <c r="C809" s="13"/>
      <c r="G809" s="15"/>
      <c r="H809" s="16"/>
      <c r="I809" s="16"/>
      <c r="J809" s="17"/>
      <c r="N809" s="16"/>
      <c r="O809" s="16"/>
      <c r="P809" s="16"/>
      <c r="AN809" s="18"/>
      <c r="AO809" s="18"/>
      <c r="AP809" s="18"/>
      <c r="AQ809" s="18"/>
      <c r="AR809" s="18"/>
      <c r="AS809" s="18"/>
      <c r="AU809" s="18"/>
      <c r="AV809" s="18"/>
    </row>
    <row r="810" spans="3:48" ht="15.75" customHeight="1">
      <c r="C810" s="13"/>
      <c r="G810" s="15"/>
      <c r="H810" s="16"/>
      <c r="I810" s="16"/>
      <c r="J810" s="17"/>
      <c r="N810" s="16"/>
      <c r="O810" s="16"/>
      <c r="P810" s="16"/>
      <c r="AN810" s="18"/>
      <c r="AO810" s="18"/>
      <c r="AP810" s="18"/>
      <c r="AQ810" s="18"/>
      <c r="AR810" s="18"/>
      <c r="AS810" s="18"/>
      <c r="AU810" s="18"/>
      <c r="AV810" s="18"/>
    </row>
    <row r="811" spans="3:48" ht="15.75" customHeight="1">
      <c r="C811" s="13"/>
      <c r="G811" s="15"/>
      <c r="H811" s="16"/>
      <c r="I811" s="16"/>
      <c r="J811" s="17"/>
      <c r="N811" s="16"/>
      <c r="O811" s="16"/>
      <c r="P811" s="16"/>
      <c r="AN811" s="18"/>
      <c r="AO811" s="18"/>
      <c r="AP811" s="18"/>
      <c r="AQ811" s="18"/>
      <c r="AR811" s="18"/>
      <c r="AS811" s="18"/>
      <c r="AU811" s="18"/>
      <c r="AV811" s="18"/>
    </row>
    <row r="812" spans="3:48" ht="15.75" customHeight="1">
      <c r="C812" s="13"/>
      <c r="G812" s="15"/>
      <c r="H812" s="16"/>
      <c r="I812" s="16"/>
      <c r="J812" s="17"/>
      <c r="N812" s="16"/>
      <c r="O812" s="16"/>
      <c r="P812" s="16"/>
      <c r="AN812" s="18"/>
      <c r="AO812" s="18"/>
      <c r="AP812" s="18"/>
      <c r="AQ812" s="18"/>
      <c r="AR812" s="18"/>
      <c r="AS812" s="18"/>
      <c r="AU812" s="18"/>
      <c r="AV812" s="18"/>
    </row>
    <row r="813" spans="3:48" ht="15.75" customHeight="1">
      <c r="C813" s="13"/>
      <c r="G813" s="15"/>
      <c r="H813" s="16"/>
      <c r="I813" s="16"/>
      <c r="J813" s="17"/>
      <c r="N813" s="16"/>
      <c r="O813" s="16"/>
      <c r="P813" s="16"/>
      <c r="AN813" s="18"/>
      <c r="AO813" s="18"/>
      <c r="AP813" s="18"/>
      <c r="AQ813" s="18"/>
      <c r="AR813" s="18"/>
      <c r="AS813" s="18"/>
      <c r="AU813" s="18"/>
      <c r="AV813" s="18"/>
    </row>
    <row r="814" spans="3:48" ht="15.75" customHeight="1">
      <c r="C814" s="13"/>
      <c r="G814" s="15"/>
      <c r="H814" s="16"/>
      <c r="I814" s="16"/>
      <c r="J814" s="17"/>
      <c r="N814" s="16"/>
      <c r="O814" s="16"/>
      <c r="P814" s="16"/>
      <c r="AN814" s="18"/>
      <c r="AO814" s="18"/>
      <c r="AP814" s="18"/>
      <c r="AQ814" s="18"/>
      <c r="AR814" s="18"/>
      <c r="AS814" s="18"/>
      <c r="AU814" s="18"/>
      <c r="AV814" s="18"/>
    </row>
    <row r="815" spans="3:48" ht="15.75" customHeight="1">
      <c r="C815" s="13"/>
      <c r="G815" s="15"/>
      <c r="H815" s="16"/>
      <c r="I815" s="16"/>
      <c r="J815" s="17"/>
      <c r="N815" s="16"/>
      <c r="O815" s="16"/>
      <c r="P815" s="16"/>
      <c r="AN815" s="18"/>
      <c r="AO815" s="18"/>
      <c r="AP815" s="18"/>
      <c r="AQ815" s="18"/>
      <c r="AR815" s="18"/>
      <c r="AS815" s="18"/>
      <c r="AU815" s="18"/>
      <c r="AV815" s="18"/>
    </row>
    <row r="816" spans="3:48" ht="15.75" customHeight="1">
      <c r="C816" s="13"/>
      <c r="G816" s="15"/>
      <c r="H816" s="16"/>
      <c r="I816" s="16"/>
      <c r="J816" s="17"/>
      <c r="N816" s="16"/>
      <c r="O816" s="16"/>
      <c r="P816" s="16"/>
      <c r="AN816" s="18"/>
      <c r="AO816" s="18"/>
      <c r="AP816" s="18"/>
      <c r="AQ816" s="18"/>
      <c r="AR816" s="18"/>
      <c r="AS816" s="18"/>
      <c r="AU816" s="18"/>
      <c r="AV816" s="18"/>
    </row>
    <row r="817" spans="2:48" ht="15.75" customHeight="1">
      <c r="C817" s="13"/>
      <c r="G817" s="15"/>
      <c r="H817" s="16"/>
      <c r="I817" s="16"/>
      <c r="J817" s="17"/>
      <c r="N817" s="16"/>
      <c r="O817" s="16"/>
      <c r="P817" s="16"/>
      <c r="AN817" s="18"/>
      <c r="AO817" s="18"/>
      <c r="AP817" s="18"/>
      <c r="AQ817" s="18"/>
      <c r="AR817" s="18"/>
      <c r="AS817" s="18"/>
      <c r="AU817" s="18"/>
      <c r="AV817" s="18"/>
    </row>
    <row r="818" spans="2:48" ht="15.75" customHeight="1">
      <c r="C818" s="13"/>
      <c r="G818" s="15"/>
      <c r="H818" s="16"/>
      <c r="I818" s="16"/>
      <c r="J818" s="17"/>
      <c r="N818" s="16"/>
      <c r="O818" s="16"/>
      <c r="P818" s="16"/>
      <c r="AN818" s="18"/>
      <c r="AO818" s="18"/>
      <c r="AP818" s="18"/>
      <c r="AQ818" s="18"/>
      <c r="AR818" s="18"/>
      <c r="AS818" s="18"/>
      <c r="AU818" s="18"/>
      <c r="AV818" s="18"/>
    </row>
    <row r="819" spans="2:48" ht="15.75" customHeight="1">
      <c r="C819" s="13"/>
      <c r="G819" s="15"/>
      <c r="H819" s="16"/>
      <c r="I819" s="16"/>
      <c r="J819" s="17"/>
      <c r="N819" s="16"/>
      <c r="O819" s="16"/>
      <c r="P819" s="16"/>
      <c r="AN819" s="18"/>
      <c r="AO819" s="18"/>
      <c r="AP819" s="18"/>
      <c r="AQ819" s="18"/>
      <c r="AR819" s="18"/>
      <c r="AS819" s="18"/>
      <c r="AU819" s="18"/>
      <c r="AV819" s="18"/>
    </row>
    <row r="820" spans="2:48" ht="15.75" customHeight="1">
      <c r="B820" s="16"/>
      <c r="C820" s="13"/>
      <c r="G820" s="15"/>
      <c r="H820" s="16"/>
      <c r="I820" s="16"/>
      <c r="J820" s="17"/>
      <c r="N820" s="16"/>
      <c r="O820" s="16"/>
      <c r="P820" s="16"/>
      <c r="AN820" s="18"/>
      <c r="AO820" s="18"/>
      <c r="AP820" s="18"/>
      <c r="AQ820" s="18"/>
      <c r="AR820" s="18"/>
      <c r="AS820" s="18"/>
      <c r="AU820" s="18"/>
      <c r="AV820" s="18"/>
    </row>
    <row r="821" spans="2:48" ht="15.75" customHeight="1">
      <c r="B821" s="16"/>
      <c r="C821" s="13"/>
      <c r="G821" s="15"/>
      <c r="H821" s="16"/>
      <c r="I821" s="16"/>
      <c r="J821" s="17"/>
      <c r="N821" s="16"/>
      <c r="O821" s="16"/>
      <c r="P821" s="16"/>
      <c r="AN821" s="18"/>
      <c r="AO821" s="18"/>
      <c r="AP821" s="18"/>
      <c r="AQ821" s="18"/>
      <c r="AR821" s="18"/>
      <c r="AS821" s="18"/>
      <c r="AU821" s="18"/>
      <c r="AV821" s="18"/>
    </row>
    <row r="822" spans="2:48" ht="15.75" customHeight="1">
      <c r="B822" s="16"/>
      <c r="C822" s="13"/>
      <c r="G822" s="15"/>
      <c r="H822" s="16"/>
      <c r="I822" s="16"/>
      <c r="J822" s="17"/>
      <c r="N822" s="16"/>
      <c r="O822" s="16"/>
      <c r="P822" s="16"/>
      <c r="AN822" s="18"/>
      <c r="AO822" s="18"/>
      <c r="AP822" s="18"/>
      <c r="AQ822" s="18"/>
      <c r="AR822" s="18"/>
      <c r="AS822" s="18"/>
      <c r="AU822" s="18"/>
      <c r="AV822" s="18"/>
    </row>
    <row r="823" spans="2:48" ht="15.75" customHeight="1">
      <c r="B823" s="16"/>
      <c r="C823" s="13"/>
      <c r="G823" s="15"/>
      <c r="H823" s="16"/>
      <c r="I823" s="16"/>
      <c r="J823" s="17"/>
      <c r="N823" s="16"/>
      <c r="O823" s="16"/>
      <c r="P823" s="16"/>
      <c r="AN823" s="18"/>
      <c r="AO823" s="18"/>
      <c r="AP823" s="18"/>
      <c r="AQ823" s="18"/>
      <c r="AR823" s="18"/>
      <c r="AS823" s="18"/>
      <c r="AU823" s="18"/>
      <c r="AV823" s="18"/>
    </row>
    <row r="824" spans="2:48" ht="15.75" customHeight="1">
      <c r="C824" s="13"/>
      <c r="G824" s="15"/>
      <c r="H824" s="16"/>
      <c r="I824" s="16"/>
      <c r="J824" s="17"/>
      <c r="N824" s="16"/>
      <c r="O824" s="16"/>
      <c r="P824" s="16"/>
      <c r="AN824" s="18"/>
      <c r="AO824" s="18"/>
      <c r="AP824" s="18"/>
      <c r="AQ824" s="18"/>
      <c r="AR824" s="18"/>
      <c r="AS824" s="18"/>
      <c r="AU824" s="18"/>
      <c r="AV824" s="18"/>
    </row>
    <row r="825" spans="2:48" ht="15.75" customHeight="1">
      <c r="C825" s="13"/>
      <c r="G825" s="15"/>
      <c r="H825" s="16"/>
      <c r="I825" s="16"/>
      <c r="J825" s="17"/>
      <c r="M825" s="470"/>
      <c r="N825" s="16"/>
      <c r="O825" s="16"/>
      <c r="P825" s="16"/>
      <c r="AN825" s="18"/>
      <c r="AO825" s="18"/>
      <c r="AP825" s="18"/>
      <c r="AQ825" s="18"/>
      <c r="AR825" s="18"/>
      <c r="AS825" s="18"/>
      <c r="AU825" s="18"/>
      <c r="AV825" s="18"/>
    </row>
    <row r="826" spans="2:48" ht="15.75" customHeight="1">
      <c r="C826" s="13"/>
      <c r="G826" s="15"/>
      <c r="H826" s="16"/>
      <c r="I826" s="16"/>
      <c r="J826" s="17"/>
      <c r="M826" s="470"/>
      <c r="N826" s="16"/>
      <c r="O826" s="16"/>
      <c r="P826" s="16"/>
      <c r="AN826" s="18"/>
      <c r="AO826" s="18"/>
      <c r="AP826" s="18"/>
      <c r="AQ826" s="18"/>
      <c r="AR826" s="18"/>
      <c r="AS826" s="18"/>
      <c r="AU826" s="18"/>
      <c r="AV826" s="18"/>
    </row>
    <row r="827" spans="2:48" ht="15.75" customHeight="1">
      <c r="C827" s="13"/>
      <c r="G827" s="15"/>
      <c r="H827" s="16"/>
      <c r="I827" s="16"/>
      <c r="J827" s="17"/>
      <c r="M827" s="470"/>
      <c r="N827" s="16"/>
      <c r="O827" s="16"/>
      <c r="P827" s="16"/>
      <c r="AN827" s="18"/>
      <c r="AO827" s="18"/>
      <c r="AP827" s="18"/>
      <c r="AQ827" s="18"/>
      <c r="AR827" s="18"/>
      <c r="AS827" s="18"/>
      <c r="AU827" s="18"/>
      <c r="AV827" s="18"/>
    </row>
    <row r="828" spans="2:48" ht="15.75" customHeight="1">
      <c r="C828" s="13"/>
      <c r="G828" s="15"/>
      <c r="H828" s="16"/>
      <c r="I828" s="16"/>
      <c r="J828" s="17"/>
      <c r="M828" s="470"/>
      <c r="N828" s="16"/>
      <c r="O828" s="16"/>
      <c r="P828" s="16"/>
      <c r="AN828" s="18"/>
      <c r="AO828" s="18"/>
      <c r="AP828" s="18"/>
      <c r="AQ828" s="18"/>
      <c r="AR828" s="18"/>
      <c r="AS828" s="18"/>
      <c r="AU828" s="18"/>
      <c r="AV828" s="18"/>
    </row>
    <row r="829" spans="2:48" ht="15.75" customHeight="1">
      <c r="C829" s="13"/>
      <c r="G829" s="15"/>
      <c r="H829" s="16"/>
      <c r="I829" s="16"/>
      <c r="J829" s="17"/>
      <c r="M829" s="470"/>
      <c r="N829" s="16"/>
      <c r="O829" s="16"/>
      <c r="P829" s="16"/>
      <c r="AN829" s="18"/>
      <c r="AO829" s="18"/>
      <c r="AP829" s="18"/>
      <c r="AQ829" s="18"/>
      <c r="AR829" s="18"/>
      <c r="AS829" s="18"/>
      <c r="AU829" s="18"/>
      <c r="AV829" s="18"/>
    </row>
    <row r="830" spans="2:48" ht="15.75" customHeight="1">
      <c r="C830" s="13"/>
      <c r="G830" s="15"/>
      <c r="H830" s="16"/>
      <c r="I830" s="16"/>
      <c r="J830" s="17"/>
      <c r="M830" s="470"/>
      <c r="N830" s="16"/>
      <c r="O830" s="16"/>
      <c r="P830" s="16"/>
      <c r="AN830" s="18"/>
      <c r="AO830" s="18"/>
      <c r="AP830" s="18"/>
      <c r="AQ830" s="18"/>
      <c r="AR830" s="18"/>
      <c r="AS830" s="18"/>
      <c r="AU830" s="18"/>
      <c r="AV830" s="18"/>
    </row>
    <row r="831" spans="2:48" ht="15.75" customHeight="1">
      <c r="C831" s="13"/>
      <c r="G831" s="15"/>
      <c r="H831" s="16"/>
      <c r="I831" s="16"/>
      <c r="J831" s="17"/>
      <c r="M831" s="470"/>
      <c r="N831" s="16"/>
      <c r="O831" s="16"/>
      <c r="P831" s="16"/>
      <c r="AN831" s="18"/>
      <c r="AO831" s="18"/>
      <c r="AP831" s="18"/>
      <c r="AQ831" s="18"/>
      <c r="AR831" s="18"/>
      <c r="AS831" s="18"/>
      <c r="AU831" s="18"/>
      <c r="AV831" s="18"/>
    </row>
    <row r="832" spans="2:48" ht="15.75" customHeight="1">
      <c r="C832" s="13"/>
      <c r="G832" s="15"/>
      <c r="H832" s="16"/>
      <c r="I832" s="16"/>
      <c r="J832" s="17"/>
      <c r="M832" s="470"/>
      <c r="N832" s="16"/>
      <c r="O832" s="16"/>
      <c r="P832" s="16"/>
      <c r="AN832" s="18"/>
      <c r="AO832" s="18"/>
      <c r="AP832" s="18"/>
      <c r="AQ832" s="18"/>
      <c r="AR832" s="18"/>
      <c r="AS832" s="18"/>
      <c r="AU832" s="18"/>
      <c r="AV832" s="18"/>
    </row>
    <row r="833" spans="3:48" ht="15.75" customHeight="1">
      <c r="C833" s="13"/>
      <c r="G833" s="15"/>
      <c r="H833" s="16"/>
      <c r="I833" s="16"/>
      <c r="J833" s="17"/>
      <c r="M833" s="470"/>
      <c r="N833" s="16"/>
      <c r="O833" s="16"/>
      <c r="P833" s="16"/>
      <c r="AN833" s="18"/>
      <c r="AO833" s="18"/>
      <c r="AP833" s="18"/>
      <c r="AQ833" s="18"/>
      <c r="AR833" s="18"/>
      <c r="AS833" s="18"/>
      <c r="AU833" s="18"/>
      <c r="AV833" s="18"/>
    </row>
    <row r="834" spans="3:48" ht="15.75" customHeight="1">
      <c r="C834" s="13"/>
      <c r="G834" s="15"/>
      <c r="H834" s="16"/>
      <c r="I834" s="16"/>
      <c r="J834" s="17"/>
      <c r="M834" s="470"/>
      <c r="N834" s="16"/>
      <c r="O834" s="16"/>
      <c r="P834" s="16"/>
      <c r="AN834" s="18"/>
      <c r="AO834" s="18"/>
      <c r="AP834" s="18"/>
      <c r="AQ834" s="18"/>
      <c r="AR834" s="18"/>
      <c r="AS834" s="18"/>
      <c r="AU834" s="18"/>
      <c r="AV834" s="18"/>
    </row>
    <row r="835" spans="3:48" ht="15.75" customHeight="1">
      <c r="C835" s="13"/>
      <c r="G835" s="15"/>
      <c r="H835" s="16"/>
      <c r="I835" s="16"/>
      <c r="J835" s="17"/>
      <c r="M835" s="470"/>
      <c r="N835" s="16"/>
      <c r="O835" s="16"/>
      <c r="P835" s="16"/>
      <c r="AN835" s="18"/>
      <c r="AO835" s="18"/>
      <c r="AP835" s="18"/>
      <c r="AQ835" s="18"/>
      <c r="AR835" s="18"/>
      <c r="AS835" s="18"/>
      <c r="AU835" s="18"/>
      <c r="AV835" s="18"/>
    </row>
    <row r="836" spans="3:48" ht="15.75" customHeight="1">
      <c r="C836" s="13"/>
      <c r="G836" s="15"/>
      <c r="H836" s="16"/>
      <c r="I836" s="16"/>
      <c r="J836" s="17"/>
      <c r="M836" s="470"/>
      <c r="N836" s="16"/>
      <c r="O836" s="16"/>
      <c r="P836" s="16"/>
      <c r="AN836" s="18"/>
      <c r="AO836" s="18"/>
      <c r="AP836" s="18"/>
      <c r="AQ836" s="18"/>
      <c r="AR836" s="18"/>
      <c r="AS836" s="18"/>
      <c r="AU836" s="18"/>
      <c r="AV836" s="18"/>
    </row>
    <row r="837" spans="3:48" ht="15.75" customHeight="1">
      <c r="C837" s="13"/>
      <c r="G837" s="15"/>
      <c r="H837" s="16"/>
      <c r="I837" s="16"/>
      <c r="J837" s="17"/>
      <c r="M837" s="470"/>
      <c r="N837" s="16"/>
      <c r="O837" s="16"/>
      <c r="P837" s="16"/>
      <c r="AN837" s="18"/>
      <c r="AO837" s="18"/>
      <c r="AP837" s="18"/>
      <c r="AQ837" s="18"/>
      <c r="AR837" s="18"/>
      <c r="AS837" s="18"/>
      <c r="AU837" s="18"/>
      <c r="AV837" s="18"/>
    </row>
    <row r="838" spans="3:48" ht="15.75" customHeight="1">
      <c r="C838" s="13"/>
      <c r="G838" s="15"/>
      <c r="H838" s="16"/>
      <c r="I838" s="16"/>
      <c r="J838" s="17"/>
      <c r="M838" s="470"/>
      <c r="N838" s="16"/>
      <c r="O838" s="16"/>
      <c r="P838" s="16"/>
      <c r="AN838" s="18"/>
      <c r="AO838" s="18"/>
      <c r="AP838" s="18"/>
      <c r="AQ838" s="18"/>
      <c r="AR838" s="18"/>
      <c r="AS838" s="18"/>
      <c r="AU838" s="18"/>
      <c r="AV838" s="18"/>
    </row>
    <row r="839" spans="3:48" ht="15.75" customHeight="1">
      <c r="C839" s="13"/>
      <c r="G839" s="15"/>
      <c r="H839" s="16"/>
      <c r="I839" s="16"/>
      <c r="J839" s="17"/>
      <c r="M839" s="470"/>
      <c r="N839" s="16"/>
      <c r="O839" s="16"/>
      <c r="P839" s="16"/>
      <c r="AN839" s="18"/>
      <c r="AO839" s="18"/>
      <c r="AP839" s="18"/>
      <c r="AQ839" s="18"/>
      <c r="AR839" s="18"/>
      <c r="AS839" s="18"/>
      <c r="AU839" s="18"/>
      <c r="AV839" s="18"/>
    </row>
    <row r="840" spans="3:48" ht="15.75" customHeight="1">
      <c r="C840" s="13"/>
      <c r="G840" s="15"/>
      <c r="H840" s="16"/>
      <c r="I840" s="16"/>
      <c r="J840" s="17"/>
      <c r="M840" s="470"/>
      <c r="N840" s="16"/>
      <c r="O840" s="16"/>
      <c r="P840" s="16"/>
      <c r="AN840" s="18"/>
      <c r="AO840" s="18"/>
      <c r="AP840" s="18"/>
      <c r="AQ840" s="18"/>
      <c r="AR840" s="18"/>
      <c r="AS840" s="18"/>
      <c r="AU840" s="18"/>
      <c r="AV840" s="18"/>
    </row>
    <row r="841" spans="3:48" ht="15.75" customHeight="1">
      <c r="C841" s="13"/>
      <c r="G841" s="15"/>
      <c r="H841" s="16"/>
      <c r="I841" s="16"/>
      <c r="J841" s="17"/>
      <c r="M841" s="470"/>
      <c r="N841" s="16"/>
      <c r="O841" s="16"/>
      <c r="P841" s="16"/>
      <c r="AN841" s="18"/>
      <c r="AO841" s="18"/>
      <c r="AP841" s="18"/>
      <c r="AQ841" s="18"/>
      <c r="AR841" s="18"/>
      <c r="AS841" s="18"/>
      <c r="AU841" s="18"/>
      <c r="AV841" s="18"/>
    </row>
    <row r="842" spans="3:48" ht="15.75" customHeight="1">
      <c r="C842" s="13"/>
      <c r="G842" s="15"/>
      <c r="H842" s="16"/>
      <c r="I842" s="16"/>
      <c r="J842" s="17"/>
      <c r="M842" s="470"/>
      <c r="N842" s="16"/>
      <c r="O842" s="16"/>
      <c r="P842" s="16"/>
      <c r="AN842" s="18"/>
      <c r="AO842" s="18"/>
      <c r="AP842" s="18"/>
      <c r="AQ842" s="18"/>
      <c r="AR842" s="18"/>
      <c r="AS842" s="18"/>
      <c r="AU842" s="18"/>
      <c r="AV842" s="18"/>
    </row>
    <row r="843" spans="3:48" ht="15.75" customHeight="1">
      <c r="C843" s="13"/>
      <c r="G843" s="15"/>
      <c r="H843" s="16"/>
      <c r="I843" s="16"/>
      <c r="J843" s="17"/>
      <c r="M843" s="470"/>
      <c r="N843" s="16"/>
      <c r="O843" s="16"/>
      <c r="P843" s="16"/>
      <c r="AN843" s="18"/>
      <c r="AO843" s="18"/>
      <c r="AP843" s="18"/>
      <c r="AQ843" s="18"/>
      <c r="AR843" s="18"/>
      <c r="AS843" s="18"/>
      <c r="AU843" s="18"/>
      <c r="AV843" s="18"/>
    </row>
    <row r="844" spans="3:48" ht="15.75" customHeight="1">
      <c r="C844" s="13"/>
      <c r="G844" s="15"/>
      <c r="H844" s="16"/>
      <c r="I844" s="16"/>
      <c r="J844" s="17"/>
      <c r="M844" s="470"/>
      <c r="N844" s="16"/>
      <c r="O844" s="16"/>
      <c r="P844" s="16"/>
      <c r="AN844" s="18"/>
      <c r="AO844" s="18"/>
      <c r="AP844" s="18"/>
      <c r="AQ844" s="18"/>
      <c r="AR844" s="18"/>
      <c r="AS844" s="18"/>
      <c r="AU844" s="18"/>
      <c r="AV844" s="18"/>
    </row>
    <row r="845" spans="3:48" ht="15.75" customHeight="1">
      <c r="C845" s="13"/>
      <c r="G845" s="15"/>
      <c r="H845" s="16"/>
      <c r="I845" s="16"/>
      <c r="J845" s="17"/>
      <c r="M845" s="470"/>
      <c r="N845" s="16"/>
      <c r="O845" s="16"/>
      <c r="P845" s="16"/>
      <c r="AN845" s="18"/>
      <c r="AO845" s="18"/>
      <c r="AP845" s="18"/>
      <c r="AQ845" s="18"/>
      <c r="AR845" s="18"/>
      <c r="AS845" s="18"/>
      <c r="AU845" s="18"/>
      <c r="AV845" s="18"/>
    </row>
    <row r="846" spans="3:48" ht="15.75" customHeight="1">
      <c r="C846" s="13"/>
      <c r="G846" s="15"/>
      <c r="H846" s="16"/>
      <c r="I846" s="16"/>
      <c r="J846" s="17"/>
      <c r="M846" s="470"/>
      <c r="N846" s="16"/>
      <c r="O846" s="16"/>
      <c r="P846" s="16"/>
      <c r="AN846" s="18"/>
      <c r="AO846" s="18"/>
      <c r="AP846" s="18"/>
      <c r="AQ846" s="18"/>
      <c r="AR846" s="18"/>
      <c r="AS846" s="18"/>
      <c r="AU846" s="18"/>
      <c r="AV846" s="18"/>
    </row>
    <row r="847" spans="3:48" ht="15.75" customHeight="1">
      <c r="C847" s="13"/>
      <c r="G847" s="15"/>
      <c r="H847" s="16"/>
      <c r="I847" s="16"/>
      <c r="J847" s="17"/>
      <c r="M847" s="470"/>
      <c r="N847" s="16"/>
      <c r="O847" s="16"/>
      <c r="P847" s="16"/>
      <c r="AN847" s="18"/>
      <c r="AO847" s="18"/>
      <c r="AP847" s="18"/>
      <c r="AQ847" s="18"/>
      <c r="AR847" s="18"/>
      <c r="AS847" s="18"/>
      <c r="AU847" s="18"/>
      <c r="AV847" s="18"/>
    </row>
    <row r="848" spans="3:48" ht="15.75" customHeight="1">
      <c r="C848" s="13"/>
      <c r="G848" s="15"/>
      <c r="H848" s="16"/>
      <c r="I848" s="16"/>
      <c r="J848" s="17"/>
      <c r="M848" s="470"/>
      <c r="N848" s="16"/>
      <c r="O848" s="16"/>
      <c r="P848" s="16"/>
      <c r="AN848" s="18"/>
      <c r="AO848" s="18"/>
      <c r="AP848" s="18"/>
      <c r="AQ848" s="18"/>
      <c r="AR848" s="18"/>
      <c r="AS848" s="18"/>
      <c r="AU848" s="18"/>
      <c r="AV848" s="18"/>
    </row>
    <row r="849" spans="2:48" ht="15.75" customHeight="1">
      <c r="C849" s="13"/>
      <c r="G849" s="15"/>
      <c r="H849" s="16"/>
      <c r="I849" s="16"/>
      <c r="J849" s="17"/>
      <c r="M849" s="470"/>
      <c r="N849" s="16"/>
      <c r="O849" s="16"/>
      <c r="P849" s="16"/>
      <c r="AN849" s="18"/>
      <c r="AO849" s="18"/>
      <c r="AP849" s="18"/>
      <c r="AQ849" s="18"/>
      <c r="AR849" s="18"/>
      <c r="AS849" s="18"/>
      <c r="AU849" s="18"/>
      <c r="AV849" s="18"/>
    </row>
    <row r="850" spans="2:48" ht="15.75" customHeight="1">
      <c r="C850" s="13"/>
      <c r="G850" s="15"/>
      <c r="H850" s="16"/>
      <c r="I850" s="16"/>
      <c r="J850" s="17"/>
      <c r="M850" s="470"/>
      <c r="N850" s="16"/>
      <c r="O850" s="16"/>
      <c r="P850" s="16"/>
      <c r="AN850" s="18"/>
      <c r="AO850" s="18"/>
      <c r="AP850" s="18"/>
      <c r="AQ850" s="18"/>
      <c r="AR850" s="18"/>
      <c r="AS850" s="18"/>
      <c r="AU850" s="18"/>
      <c r="AV850" s="18"/>
    </row>
    <row r="851" spans="2:48" ht="15.75" customHeight="1">
      <c r="C851" s="13"/>
      <c r="G851" s="15"/>
      <c r="H851" s="16"/>
      <c r="I851" s="16"/>
      <c r="J851" s="17"/>
      <c r="M851" s="470"/>
      <c r="N851" s="16"/>
      <c r="O851" s="16"/>
      <c r="P851" s="16"/>
      <c r="AN851" s="18"/>
      <c r="AO851" s="18"/>
      <c r="AP851" s="18"/>
      <c r="AQ851" s="18"/>
      <c r="AR851" s="18"/>
      <c r="AS851" s="18"/>
      <c r="AU851" s="18"/>
      <c r="AV851" s="18"/>
    </row>
    <row r="852" spans="2:48" ht="15.75" customHeight="1">
      <c r="C852" s="13"/>
      <c r="G852" s="15"/>
      <c r="H852" s="16"/>
      <c r="I852" s="16"/>
      <c r="J852" s="17"/>
      <c r="M852" s="470"/>
      <c r="N852" s="16"/>
      <c r="O852" s="16"/>
      <c r="P852" s="16"/>
      <c r="AN852" s="18"/>
      <c r="AO852" s="18"/>
      <c r="AP852" s="18"/>
      <c r="AQ852" s="18"/>
      <c r="AR852" s="18"/>
      <c r="AS852" s="18"/>
      <c r="AU852" s="18"/>
      <c r="AV852" s="18"/>
    </row>
    <row r="853" spans="2:48" ht="15.75" customHeight="1">
      <c r="C853" s="13"/>
      <c r="G853" s="15"/>
      <c r="H853" s="16"/>
      <c r="I853" s="16"/>
      <c r="J853" s="17"/>
      <c r="M853" s="470"/>
      <c r="N853" s="16"/>
      <c r="O853" s="16"/>
      <c r="P853" s="16"/>
      <c r="AN853" s="18"/>
      <c r="AO853" s="18"/>
      <c r="AP853" s="18"/>
      <c r="AQ853" s="18"/>
      <c r="AR853" s="18"/>
      <c r="AS853" s="18"/>
      <c r="AU853" s="18"/>
      <c r="AV853" s="18"/>
    </row>
    <row r="854" spans="2:48" ht="15.75" customHeight="1">
      <c r="C854" s="13"/>
      <c r="G854" s="15"/>
      <c r="H854" s="16"/>
      <c r="I854" s="16"/>
      <c r="J854" s="17"/>
      <c r="M854" s="470"/>
      <c r="N854" s="16"/>
      <c r="O854" s="16"/>
      <c r="P854" s="16"/>
      <c r="AN854" s="18"/>
      <c r="AO854" s="18"/>
      <c r="AP854" s="18"/>
      <c r="AQ854" s="18"/>
      <c r="AR854" s="18"/>
      <c r="AS854" s="18"/>
      <c r="AU854" s="18"/>
      <c r="AV854" s="18"/>
    </row>
    <row r="855" spans="2:48" ht="15.75" customHeight="1">
      <c r="C855" s="13"/>
      <c r="G855" s="15"/>
      <c r="H855" s="16"/>
      <c r="I855" s="16"/>
      <c r="J855" s="17"/>
      <c r="M855" s="470"/>
      <c r="N855" s="16"/>
      <c r="O855" s="16"/>
      <c r="P855" s="16"/>
      <c r="AN855" s="18"/>
      <c r="AO855" s="18"/>
      <c r="AP855" s="18"/>
      <c r="AQ855" s="18"/>
      <c r="AR855" s="18"/>
      <c r="AS855" s="18"/>
      <c r="AU855" s="18"/>
      <c r="AV855" s="18"/>
    </row>
    <row r="856" spans="2:48" ht="15.75" customHeight="1">
      <c r="C856" s="13"/>
      <c r="G856" s="15"/>
      <c r="H856" s="16"/>
      <c r="I856" s="16"/>
      <c r="J856" s="17"/>
      <c r="M856" s="470"/>
      <c r="N856" s="16"/>
      <c r="O856" s="16"/>
      <c r="P856" s="16"/>
      <c r="AN856" s="18"/>
      <c r="AO856" s="18"/>
      <c r="AP856" s="18"/>
      <c r="AQ856" s="18"/>
      <c r="AR856" s="18"/>
      <c r="AS856" s="18"/>
      <c r="AU856" s="18"/>
      <c r="AV856" s="18"/>
    </row>
    <row r="857" spans="2:48" ht="15.75" customHeight="1">
      <c r="C857" s="13"/>
      <c r="G857" s="15"/>
      <c r="H857" s="16"/>
      <c r="I857" s="16"/>
      <c r="J857" s="17"/>
      <c r="M857" s="470"/>
      <c r="N857" s="16"/>
      <c r="O857" s="16"/>
      <c r="P857" s="16"/>
      <c r="AN857" s="18"/>
      <c r="AO857" s="18"/>
      <c r="AP857" s="18"/>
      <c r="AQ857" s="18"/>
      <c r="AR857" s="18"/>
      <c r="AS857" s="18"/>
      <c r="AU857" s="18"/>
      <c r="AV857" s="18"/>
    </row>
    <row r="858" spans="2:48" ht="15.75" customHeight="1">
      <c r="C858" s="13"/>
      <c r="G858" s="15"/>
      <c r="H858" s="16"/>
      <c r="I858" s="16"/>
      <c r="J858" s="17"/>
      <c r="M858" s="470"/>
      <c r="N858" s="16"/>
      <c r="O858" s="16"/>
      <c r="P858" s="16"/>
      <c r="AN858" s="18"/>
      <c r="AO858" s="18"/>
      <c r="AP858" s="18"/>
      <c r="AQ858" s="18"/>
      <c r="AR858" s="18"/>
      <c r="AS858" s="18"/>
      <c r="AU858" s="18"/>
      <c r="AV858" s="18"/>
    </row>
    <row r="859" spans="2:48" ht="15.75" customHeight="1">
      <c r="C859" s="13"/>
      <c r="G859" s="15"/>
      <c r="H859" s="16"/>
      <c r="I859" s="16"/>
      <c r="J859" s="17"/>
      <c r="M859" s="470"/>
      <c r="N859" s="16"/>
      <c r="O859" s="16"/>
      <c r="P859" s="16"/>
      <c r="AN859" s="18"/>
      <c r="AO859" s="18"/>
      <c r="AP859" s="18"/>
      <c r="AQ859" s="18"/>
      <c r="AR859" s="18"/>
      <c r="AS859" s="18"/>
      <c r="AU859" s="18"/>
      <c r="AV859" s="18"/>
    </row>
    <row r="860" spans="2:48" ht="15.75" customHeight="1">
      <c r="C860" s="13"/>
      <c r="G860" s="15"/>
      <c r="H860" s="16"/>
      <c r="I860" s="16"/>
      <c r="J860" s="17"/>
      <c r="M860" s="470"/>
      <c r="N860" s="16"/>
      <c r="O860" s="16"/>
      <c r="P860" s="16"/>
      <c r="AN860" s="18"/>
      <c r="AO860" s="18"/>
      <c r="AP860" s="18"/>
      <c r="AQ860" s="18"/>
      <c r="AR860" s="18"/>
      <c r="AS860" s="18"/>
      <c r="AU860" s="18"/>
      <c r="AV860" s="18"/>
    </row>
    <row r="861" spans="2:48" ht="15.75" customHeight="1">
      <c r="C861" s="13"/>
      <c r="G861" s="15"/>
      <c r="H861" s="16"/>
      <c r="I861" s="16"/>
      <c r="J861" s="17"/>
      <c r="M861" s="470"/>
      <c r="N861" s="16"/>
      <c r="O861" s="16"/>
      <c r="P861" s="16"/>
      <c r="AN861" s="18"/>
      <c r="AO861" s="18"/>
      <c r="AP861" s="18"/>
      <c r="AQ861" s="18"/>
      <c r="AR861" s="18"/>
      <c r="AS861" s="18"/>
      <c r="AU861" s="18"/>
      <c r="AV861" s="18"/>
    </row>
    <row r="862" spans="2:48" ht="15.75" customHeight="1">
      <c r="B862" s="16"/>
      <c r="C862" s="13"/>
      <c r="G862" s="15"/>
      <c r="H862" s="16"/>
      <c r="I862" s="16"/>
      <c r="J862" s="17"/>
      <c r="M862" s="470"/>
      <c r="N862" s="16"/>
      <c r="O862" s="16"/>
      <c r="P862" s="16"/>
      <c r="AN862" s="18"/>
      <c r="AO862" s="18"/>
      <c r="AP862" s="18"/>
      <c r="AQ862" s="18"/>
      <c r="AR862" s="18"/>
      <c r="AS862" s="18"/>
      <c r="AU862" s="18"/>
      <c r="AV862" s="18"/>
    </row>
    <row r="863" spans="2:48" ht="15.75" customHeight="1">
      <c r="B863" s="16"/>
      <c r="C863" s="13"/>
      <c r="G863" s="15"/>
      <c r="H863" s="16"/>
      <c r="I863" s="16"/>
      <c r="J863" s="17"/>
      <c r="M863" s="470"/>
      <c r="N863" s="16"/>
      <c r="O863" s="16"/>
      <c r="P863" s="16"/>
      <c r="AN863" s="18"/>
      <c r="AO863" s="18"/>
      <c r="AP863" s="18"/>
      <c r="AQ863" s="18"/>
      <c r="AR863" s="18"/>
      <c r="AS863" s="18"/>
      <c r="AU863" s="18"/>
      <c r="AV863" s="18"/>
    </row>
    <row r="864" spans="2:48" ht="15.75" customHeight="1">
      <c r="B864" s="16"/>
      <c r="C864" s="13"/>
      <c r="G864" s="15"/>
      <c r="H864" s="16"/>
      <c r="I864" s="16"/>
      <c r="J864" s="17"/>
      <c r="M864" s="470"/>
      <c r="N864" s="16"/>
      <c r="O864" s="16"/>
      <c r="P864" s="16"/>
      <c r="AN864" s="18"/>
      <c r="AO864" s="18"/>
      <c r="AP864" s="18"/>
      <c r="AQ864" s="18"/>
      <c r="AR864" s="18"/>
      <c r="AS864" s="18"/>
      <c r="AU864" s="18"/>
      <c r="AV864" s="18"/>
    </row>
    <row r="865" spans="2:48" ht="15.75" customHeight="1">
      <c r="B865" s="16"/>
      <c r="C865" s="13"/>
      <c r="G865" s="15"/>
      <c r="H865" s="16"/>
      <c r="I865" s="16"/>
      <c r="J865" s="17"/>
      <c r="M865" s="470"/>
      <c r="N865" s="16"/>
      <c r="O865" s="16"/>
      <c r="P865" s="16"/>
      <c r="AN865" s="18"/>
      <c r="AO865" s="18"/>
      <c r="AP865" s="18"/>
      <c r="AQ865" s="18"/>
      <c r="AR865" s="18"/>
      <c r="AS865" s="18"/>
      <c r="AU865" s="18"/>
      <c r="AV865" s="18"/>
    </row>
    <row r="866" spans="2:48" ht="15.75" customHeight="1">
      <c r="B866" s="16"/>
      <c r="C866" s="13"/>
      <c r="G866" s="15"/>
      <c r="H866" s="16"/>
      <c r="I866" s="16"/>
      <c r="J866" s="17"/>
      <c r="M866" s="470"/>
      <c r="N866" s="16"/>
      <c r="O866" s="16"/>
      <c r="P866" s="16"/>
      <c r="AN866" s="18"/>
      <c r="AO866" s="18"/>
      <c r="AP866" s="18"/>
      <c r="AQ866" s="18"/>
      <c r="AR866" s="18"/>
      <c r="AS866" s="18"/>
      <c r="AU866" s="18"/>
      <c r="AV866" s="18"/>
    </row>
    <row r="867" spans="2:48" ht="15.75" customHeight="1">
      <c r="B867" s="16"/>
      <c r="C867" s="13"/>
      <c r="G867" s="15"/>
      <c r="H867" s="16"/>
      <c r="I867" s="16"/>
      <c r="J867" s="17"/>
      <c r="M867" s="470"/>
      <c r="N867" s="16"/>
      <c r="O867" s="16"/>
      <c r="P867" s="16"/>
      <c r="AN867" s="18"/>
      <c r="AO867" s="18"/>
      <c r="AP867" s="18"/>
      <c r="AQ867" s="18"/>
      <c r="AR867" s="18"/>
      <c r="AS867" s="18"/>
      <c r="AU867" s="18"/>
      <c r="AV867" s="18"/>
    </row>
    <row r="868" spans="2:48" ht="15.75" customHeight="1">
      <c r="B868" s="16"/>
      <c r="C868" s="13"/>
      <c r="G868" s="15"/>
      <c r="H868" s="16"/>
      <c r="I868" s="16"/>
      <c r="J868" s="17"/>
      <c r="M868" s="470"/>
      <c r="N868" s="16"/>
      <c r="O868" s="16"/>
      <c r="P868" s="16"/>
      <c r="AN868" s="18"/>
      <c r="AO868" s="18"/>
      <c r="AP868" s="18"/>
      <c r="AQ868" s="18"/>
      <c r="AR868" s="18"/>
      <c r="AS868" s="18"/>
      <c r="AU868" s="18"/>
      <c r="AV868" s="18"/>
    </row>
    <row r="869" spans="2:48" ht="15.75" customHeight="1">
      <c r="B869" s="16"/>
      <c r="C869" s="13"/>
      <c r="G869" s="15"/>
      <c r="H869" s="16"/>
      <c r="I869" s="16"/>
      <c r="J869" s="17"/>
      <c r="M869" s="470"/>
      <c r="N869" s="16"/>
      <c r="O869" s="16"/>
      <c r="P869" s="16"/>
      <c r="AN869" s="18"/>
      <c r="AO869" s="18"/>
      <c r="AP869" s="18"/>
      <c r="AQ869" s="18"/>
      <c r="AR869" s="18"/>
      <c r="AS869" s="18"/>
      <c r="AU869" s="18"/>
      <c r="AV869" s="18"/>
    </row>
    <row r="870" spans="2:48" ht="15.75" customHeight="1">
      <c r="C870" s="13"/>
      <c r="G870" s="15"/>
      <c r="H870" s="16"/>
      <c r="I870" s="16"/>
      <c r="J870" s="17"/>
      <c r="N870" s="16"/>
      <c r="O870" s="16"/>
      <c r="P870" s="16"/>
      <c r="AN870" s="18"/>
      <c r="AO870" s="18"/>
      <c r="AP870" s="18"/>
      <c r="AQ870" s="18"/>
      <c r="AR870" s="18"/>
      <c r="AS870" s="18"/>
      <c r="AU870" s="18"/>
      <c r="AV870" s="18"/>
    </row>
    <row r="871" spans="2:48" ht="15.75" customHeight="1">
      <c r="C871" s="13"/>
      <c r="G871" s="15"/>
      <c r="H871" s="16"/>
      <c r="I871" s="16"/>
      <c r="J871" s="17"/>
      <c r="N871" s="16"/>
      <c r="O871" s="16"/>
      <c r="P871" s="16"/>
      <c r="AN871" s="18"/>
      <c r="AO871" s="18"/>
      <c r="AP871" s="18"/>
      <c r="AQ871" s="18"/>
      <c r="AR871" s="18"/>
      <c r="AS871" s="18"/>
      <c r="AU871" s="18"/>
      <c r="AV871" s="18"/>
    </row>
    <row r="872" spans="2:48" ht="15.75" customHeight="1">
      <c r="C872" s="13"/>
      <c r="G872" s="15"/>
      <c r="H872" s="16"/>
      <c r="I872" s="16"/>
      <c r="J872" s="17"/>
      <c r="N872" s="16"/>
      <c r="O872" s="16"/>
      <c r="P872" s="16"/>
      <c r="AN872" s="18"/>
      <c r="AO872" s="18"/>
      <c r="AP872" s="18"/>
      <c r="AQ872" s="18"/>
      <c r="AR872" s="18"/>
      <c r="AS872" s="18"/>
      <c r="AU872" s="18"/>
      <c r="AV872" s="18"/>
    </row>
    <row r="873" spans="2:48" ht="15.75" customHeight="1">
      <c r="C873" s="13"/>
      <c r="G873" s="15"/>
      <c r="H873" s="16"/>
      <c r="I873" s="16"/>
      <c r="J873" s="17"/>
      <c r="N873" s="16"/>
      <c r="O873" s="16"/>
      <c r="P873" s="16"/>
      <c r="AN873" s="18"/>
      <c r="AO873" s="18"/>
      <c r="AP873" s="18"/>
      <c r="AQ873" s="18"/>
      <c r="AR873" s="18"/>
      <c r="AS873" s="18"/>
      <c r="AU873" s="18"/>
      <c r="AV873" s="18"/>
    </row>
    <row r="874" spans="2:48" ht="15.75" customHeight="1">
      <c r="C874" s="13"/>
      <c r="G874" s="15"/>
      <c r="H874" s="16"/>
      <c r="I874" s="16"/>
      <c r="J874" s="17"/>
      <c r="N874" s="16"/>
      <c r="O874" s="16"/>
      <c r="P874" s="16"/>
      <c r="AN874" s="18"/>
      <c r="AO874" s="18"/>
      <c r="AP874" s="18"/>
      <c r="AQ874" s="18"/>
      <c r="AR874" s="18"/>
      <c r="AS874" s="18"/>
      <c r="AU874" s="18"/>
      <c r="AV874" s="18"/>
    </row>
    <row r="875" spans="2:48" ht="15.75" customHeight="1">
      <c r="C875" s="13"/>
      <c r="G875" s="15"/>
      <c r="H875" s="16"/>
      <c r="I875" s="16"/>
      <c r="J875" s="17"/>
      <c r="N875" s="16"/>
      <c r="O875" s="16"/>
      <c r="P875" s="16"/>
      <c r="AN875" s="18"/>
      <c r="AO875" s="18"/>
      <c r="AP875" s="18"/>
      <c r="AQ875" s="18"/>
      <c r="AR875" s="18"/>
      <c r="AS875" s="18"/>
      <c r="AU875" s="18"/>
      <c r="AV875" s="18"/>
    </row>
    <row r="876" spans="2:48" ht="15.75" customHeight="1">
      <c r="C876" s="13"/>
      <c r="G876" s="15"/>
      <c r="H876" s="16"/>
      <c r="I876" s="16"/>
      <c r="J876" s="17"/>
      <c r="N876" s="16"/>
      <c r="O876" s="16"/>
      <c r="P876" s="16"/>
      <c r="AN876" s="18"/>
      <c r="AO876" s="18"/>
      <c r="AP876" s="18"/>
      <c r="AQ876" s="18"/>
      <c r="AR876" s="18"/>
      <c r="AS876" s="18"/>
      <c r="AU876" s="18"/>
      <c r="AV876" s="18"/>
    </row>
    <row r="877" spans="2:48" ht="15.75" customHeight="1">
      <c r="C877" s="13"/>
      <c r="G877" s="15"/>
      <c r="H877" s="16"/>
      <c r="I877" s="16"/>
      <c r="J877" s="17"/>
      <c r="N877" s="16"/>
      <c r="O877" s="16"/>
      <c r="P877" s="16"/>
      <c r="AN877" s="18"/>
      <c r="AO877" s="18"/>
      <c r="AP877" s="18"/>
      <c r="AQ877" s="18"/>
      <c r="AR877" s="18"/>
      <c r="AS877" s="18"/>
      <c r="AU877" s="18"/>
      <c r="AV877" s="18"/>
    </row>
    <row r="878" spans="2:48" ht="15.75" customHeight="1">
      <c r="C878" s="13"/>
      <c r="G878" s="15"/>
      <c r="H878" s="16"/>
      <c r="I878" s="16"/>
      <c r="J878" s="17"/>
      <c r="N878" s="16"/>
      <c r="O878" s="16"/>
      <c r="P878" s="16"/>
      <c r="AN878" s="18"/>
      <c r="AO878" s="18"/>
      <c r="AP878" s="18"/>
      <c r="AQ878" s="18"/>
      <c r="AR878" s="18"/>
      <c r="AS878" s="18"/>
      <c r="AU878" s="18"/>
      <c r="AV878" s="18"/>
    </row>
    <row r="879" spans="2:48" ht="15.75" customHeight="1">
      <c r="C879" s="13"/>
      <c r="G879" s="15"/>
      <c r="H879" s="16"/>
      <c r="I879" s="16"/>
      <c r="J879" s="17"/>
      <c r="N879" s="16"/>
      <c r="O879" s="16"/>
      <c r="P879" s="16"/>
      <c r="AN879" s="18"/>
      <c r="AO879" s="18"/>
      <c r="AP879" s="18"/>
      <c r="AQ879" s="18"/>
      <c r="AR879" s="18"/>
      <c r="AS879" s="18"/>
      <c r="AU879" s="18"/>
      <c r="AV879" s="18"/>
    </row>
    <row r="880" spans="2:48" ht="15.75" customHeight="1">
      <c r="C880" s="13"/>
      <c r="G880" s="15"/>
      <c r="H880" s="16"/>
      <c r="I880" s="16"/>
      <c r="J880" s="17"/>
      <c r="N880" s="16"/>
      <c r="O880" s="16"/>
      <c r="P880" s="16"/>
      <c r="AN880" s="18"/>
      <c r="AO880" s="18"/>
      <c r="AP880" s="18"/>
      <c r="AQ880" s="18"/>
      <c r="AR880" s="18"/>
      <c r="AS880" s="18"/>
      <c r="AU880" s="18"/>
      <c r="AV880" s="18"/>
    </row>
    <row r="881" spans="3:48" ht="15.75" customHeight="1">
      <c r="C881" s="13"/>
      <c r="G881" s="15"/>
      <c r="H881" s="16"/>
      <c r="I881" s="16"/>
      <c r="J881" s="17"/>
      <c r="N881" s="16"/>
      <c r="O881" s="16"/>
      <c r="P881" s="16"/>
      <c r="AN881" s="18"/>
      <c r="AO881" s="18"/>
      <c r="AP881" s="18"/>
      <c r="AQ881" s="18"/>
      <c r="AR881" s="18"/>
      <c r="AS881" s="18"/>
      <c r="AU881" s="18"/>
      <c r="AV881" s="18"/>
    </row>
    <row r="882" spans="3:48" ht="15.75" customHeight="1">
      <c r="C882" s="13"/>
      <c r="G882" s="15"/>
      <c r="H882" s="16"/>
      <c r="I882" s="16"/>
      <c r="J882" s="17"/>
      <c r="N882" s="16"/>
      <c r="O882" s="16"/>
      <c r="P882" s="16"/>
      <c r="AN882" s="18"/>
      <c r="AO882" s="18"/>
      <c r="AP882" s="18"/>
      <c r="AQ882" s="18"/>
      <c r="AR882" s="18"/>
      <c r="AS882" s="18"/>
      <c r="AU882" s="18"/>
      <c r="AV882" s="18"/>
    </row>
    <row r="883" spans="3:48" ht="15.75" customHeight="1">
      <c r="C883" s="13"/>
      <c r="G883" s="15"/>
      <c r="H883" s="16"/>
      <c r="I883" s="16"/>
      <c r="J883" s="17"/>
      <c r="N883" s="16"/>
      <c r="O883" s="16"/>
      <c r="P883" s="16"/>
      <c r="AN883" s="18"/>
      <c r="AO883" s="18"/>
      <c r="AP883" s="18"/>
      <c r="AQ883" s="18"/>
      <c r="AR883" s="18"/>
      <c r="AS883" s="18"/>
      <c r="AU883" s="18"/>
      <c r="AV883" s="18"/>
    </row>
    <row r="884" spans="3:48" ht="15.75" customHeight="1">
      <c r="C884" s="13"/>
      <c r="G884" s="15"/>
      <c r="H884" s="16"/>
      <c r="I884" s="16"/>
      <c r="J884" s="17"/>
      <c r="N884" s="16"/>
      <c r="P884" s="16"/>
      <c r="AN884" s="18"/>
      <c r="AO884" s="18"/>
      <c r="AP884" s="18"/>
      <c r="AQ884" s="18"/>
      <c r="AR884" s="18"/>
      <c r="AS884" s="18"/>
      <c r="AU884" s="18"/>
      <c r="AV884" s="18"/>
    </row>
    <row r="885" spans="3:48" ht="15.75" customHeight="1">
      <c r="C885" s="13"/>
      <c r="G885" s="15"/>
      <c r="H885" s="16"/>
      <c r="I885" s="16"/>
      <c r="J885" s="17"/>
      <c r="N885" s="16"/>
      <c r="O885" s="16"/>
      <c r="P885" s="16"/>
      <c r="AN885" s="18"/>
      <c r="AO885" s="18"/>
      <c r="AP885" s="18"/>
      <c r="AQ885" s="18"/>
      <c r="AR885" s="18"/>
      <c r="AS885" s="18"/>
      <c r="AU885" s="18"/>
      <c r="AV885" s="18"/>
    </row>
    <row r="886" spans="3:48" ht="15.75" customHeight="1">
      <c r="C886" s="13"/>
      <c r="G886" s="15"/>
      <c r="H886" s="16"/>
      <c r="I886" s="16"/>
      <c r="J886" s="17"/>
      <c r="N886" s="16"/>
      <c r="O886" s="16"/>
      <c r="P886" s="16"/>
      <c r="AN886" s="18"/>
      <c r="AO886" s="18"/>
      <c r="AP886" s="18"/>
      <c r="AQ886" s="18"/>
      <c r="AR886" s="18"/>
      <c r="AS886" s="18"/>
      <c r="AU886" s="18"/>
      <c r="AV886" s="18"/>
    </row>
    <row r="887" spans="3:48" ht="15.75" customHeight="1">
      <c r="C887" s="13"/>
      <c r="G887" s="15"/>
      <c r="H887" s="16"/>
      <c r="I887" s="16"/>
      <c r="J887" s="17"/>
      <c r="N887" s="16"/>
      <c r="O887" s="16"/>
      <c r="P887" s="16"/>
      <c r="AN887" s="18"/>
      <c r="AO887" s="18"/>
      <c r="AP887" s="18"/>
      <c r="AQ887" s="18"/>
      <c r="AR887" s="18"/>
      <c r="AS887" s="18"/>
      <c r="AU887" s="18"/>
      <c r="AV887" s="18"/>
    </row>
    <row r="888" spans="3:48" ht="15.75" customHeight="1">
      <c r="C888" s="13"/>
      <c r="G888" s="15"/>
      <c r="H888" s="16"/>
      <c r="I888" s="16"/>
      <c r="J888" s="17"/>
      <c r="N888" s="16"/>
      <c r="P888" s="16"/>
      <c r="AN888" s="18"/>
      <c r="AO888" s="18"/>
      <c r="AP888" s="18"/>
      <c r="AQ888" s="18"/>
      <c r="AR888" s="18"/>
      <c r="AS888" s="18"/>
      <c r="AU888" s="18"/>
      <c r="AV888" s="18"/>
    </row>
    <row r="889" spans="3:48" ht="15.75" customHeight="1">
      <c r="C889" s="13"/>
      <c r="G889" s="15"/>
      <c r="H889" s="16"/>
      <c r="I889" s="16"/>
      <c r="J889" s="17"/>
      <c r="N889" s="16"/>
      <c r="P889" s="16"/>
      <c r="AN889" s="18"/>
      <c r="AO889" s="18"/>
      <c r="AP889" s="18"/>
      <c r="AQ889" s="18"/>
      <c r="AR889" s="18"/>
      <c r="AS889" s="18"/>
      <c r="AU889" s="18"/>
      <c r="AV889" s="18"/>
    </row>
    <row r="890" spans="3:48" ht="15.75" customHeight="1">
      <c r="C890" s="13"/>
      <c r="G890" s="15"/>
      <c r="H890" s="16"/>
      <c r="I890" s="16"/>
      <c r="N890" s="16"/>
      <c r="P890" s="16"/>
      <c r="AN890" s="18"/>
      <c r="AO890" s="18"/>
      <c r="AP890" s="18"/>
      <c r="AQ890" s="18"/>
      <c r="AR890" s="18"/>
      <c r="AS890" s="18"/>
      <c r="AU890" s="18"/>
      <c r="AV890" s="18"/>
    </row>
    <row r="891" spans="3:48" ht="15.75" customHeight="1">
      <c r="C891" s="13"/>
      <c r="G891" s="15"/>
      <c r="H891" s="16"/>
      <c r="I891" s="16"/>
      <c r="N891" s="16"/>
      <c r="P891" s="16"/>
      <c r="AN891" s="18"/>
      <c r="AO891" s="18"/>
      <c r="AP891" s="18"/>
      <c r="AQ891" s="18"/>
      <c r="AR891" s="18"/>
      <c r="AS891" s="18"/>
      <c r="AU891" s="18"/>
      <c r="AV891" s="18"/>
    </row>
    <row r="892" spans="3:48" ht="15.75" customHeight="1">
      <c r="C892" s="13"/>
      <c r="G892" s="15"/>
      <c r="H892" s="16"/>
      <c r="I892" s="16"/>
      <c r="N892" s="16"/>
      <c r="P892" s="16"/>
      <c r="AN892" s="18"/>
      <c r="AO892" s="18"/>
      <c r="AP892" s="18"/>
      <c r="AQ892" s="18"/>
      <c r="AR892" s="18"/>
      <c r="AS892" s="18"/>
      <c r="AU892" s="18"/>
      <c r="AV892" s="18"/>
    </row>
    <row r="893" spans="3:48" ht="15.75" customHeight="1">
      <c r="C893" s="13"/>
      <c r="G893" s="15"/>
      <c r="H893" s="16"/>
      <c r="I893" s="16"/>
      <c r="N893" s="16"/>
      <c r="P893" s="16"/>
      <c r="AN893" s="18"/>
      <c r="AO893" s="18"/>
      <c r="AP893" s="18"/>
      <c r="AQ893" s="18"/>
      <c r="AR893" s="18"/>
      <c r="AS893" s="18"/>
      <c r="AU893" s="18"/>
      <c r="AV893" s="18"/>
    </row>
    <row r="894" spans="3:48" ht="15.75" customHeight="1">
      <c r="C894" s="13"/>
      <c r="G894" s="15"/>
      <c r="H894" s="16"/>
      <c r="I894" s="16"/>
      <c r="N894" s="16"/>
      <c r="P894" s="16"/>
      <c r="AN894" s="18"/>
      <c r="AO894" s="18"/>
      <c r="AP894" s="18"/>
      <c r="AQ894" s="18"/>
      <c r="AR894" s="18"/>
      <c r="AS894" s="18"/>
      <c r="AU894" s="18"/>
      <c r="AV894" s="18"/>
    </row>
    <row r="895" spans="3:48" ht="15.75" customHeight="1">
      <c r="C895" s="13"/>
      <c r="G895" s="15"/>
      <c r="H895" s="16"/>
      <c r="I895" s="16"/>
      <c r="N895" s="16"/>
      <c r="P895" s="16"/>
      <c r="AN895" s="18"/>
      <c r="AO895" s="18"/>
      <c r="AP895" s="18"/>
      <c r="AQ895" s="18"/>
      <c r="AR895" s="18"/>
      <c r="AS895" s="18"/>
      <c r="AU895" s="18"/>
      <c r="AV895" s="18"/>
    </row>
    <row r="896" spans="3:48" ht="15.75" customHeight="1">
      <c r="C896" s="13"/>
      <c r="G896" s="15"/>
      <c r="H896" s="16"/>
      <c r="I896" s="16"/>
      <c r="N896" s="16"/>
      <c r="P896" s="16"/>
      <c r="AN896" s="18"/>
      <c r="AO896" s="18"/>
      <c r="AP896" s="18"/>
      <c r="AQ896" s="18"/>
      <c r="AR896" s="18"/>
      <c r="AS896" s="18"/>
      <c r="AU896" s="18"/>
      <c r="AV896" s="18"/>
    </row>
    <row r="897" spans="2:48" ht="15.75" customHeight="1">
      <c r="C897" s="13"/>
      <c r="G897" s="15"/>
      <c r="H897" s="16"/>
      <c r="I897" s="16"/>
      <c r="J897" s="17"/>
      <c r="N897" s="16"/>
      <c r="P897" s="16"/>
      <c r="AN897" s="18"/>
      <c r="AO897" s="18"/>
      <c r="AP897" s="18"/>
      <c r="AQ897" s="18"/>
      <c r="AR897" s="18"/>
      <c r="AS897" s="18"/>
      <c r="AU897" s="18"/>
      <c r="AV897" s="18"/>
    </row>
    <row r="898" spans="2:48" ht="15.75" customHeight="1">
      <c r="C898" s="13"/>
      <c r="G898" s="15"/>
      <c r="H898" s="16"/>
      <c r="I898" s="16"/>
      <c r="J898" s="17"/>
      <c r="N898" s="16"/>
      <c r="O898" s="16"/>
      <c r="P898" s="16"/>
      <c r="AN898" s="18"/>
      <c r="AO898" s="18"/>
      <c r="AP898" s="18"/>
      <c r="AQ898" s="18"/>
      <c r="AR898" s="18"/>
      <c r="AS898" s="18"/>
      <c r="AU898" s="18"/>
      <c r="AV898" s="18"/>
    </row>
    <row r="899" spans="2:48" ht="15.75" customHeight="1">
      <c r="C899" s="13"/>
      <c r="G899" s="15"/>
      <c r="H899" s="16"/>
      <c r="I899" s="16"/>
      <c r="J899" s="17"/>
      <c r="N899" s="16"/>
      <c r="O899" s="16"/>
      <c r="P899" s="16"/>
      <c r="AN899" s="18"/>
      <c r="AO899" s="18"/>
      <c r="AP899" s="18"/>
      <c r="AQ899" s="18"/>
      <c r="AR899" s="18"/>
      <c r="AS899" s="18"/>
      <c r="AU899" s="18"/>
      <c r="AV899" s="18"/>
    </row>
    <row r="900" spans="2:48" ht="15.75" customHeight="1">
      <c r="B900" s="16"/>
      <c r="C900" s="13"/>
      <c r="G900" s="15"/>
      <c r="H900" s="16"/>
      <c r="I900" s="16"/>
      <c r="J900" s="17"/>
      <c r="N900" s="16"/>
      <c r="O900" s="16"/>
      <c r="P900" s="16"/>
      <c r="AN900" s="18"/>
      <c r="AO900" s="18"/>
      <c r="AP900" s="18"/>
      <c r="AQ900" s="18"/>
      <c r="AR900" s="18"/>
      <c r="AS900" s="18"/>
      <c r="AU900" s="18"/>
      <c r="AV900" s="18"/>
    </row>
    <row r="901" spans="2:48" ht="15.75" customHeight="1">
      <c r="B901" s="16"/>
      <c r="C901" s="13"/>
      <c r="G901" s="15"/>
      <c r="H901" s="16"/>
      <c r="I901" s="16"/>
      <c r="J901" s="17"/>
      <c r="N901" s="16"/>
      <c r="P901" s="16"/>
      <c r="AN901" s="18"/>
      <c r="AO901" s="18"/>
      <c r="AP901" s="18"/>
      <c r="AQ901" s="18"/>
      <c r="AR901" s="18"/>
      <c r="AS901" s="18"/>
      <c r="AU901" s="18"/>
      <c r="AV901" s="18"/>
    </row>
    <row r="902" spans="2:48" ht="15.75" customHeight="1">
      <c r="B902" s="16"/>
      <c r="C902" s="13"/>
      <c r="G902" s="15"/>
      <c r="H902" s="16"/>
      <c r="I902" s="16"/>
      <c r="J902" s="17"/>
      <c r="N902" s="16"/>
      <c r="O902" s="16"/>
      <c r="P902" s="16"/>
      <c r="AN902" s="18"/>
      <c r="AO902" s="18"/>
      <c r="AP902" s="18"/>
      <c r="AQ902" s="18"/>
      <c r="AR902" s="18"/>
      <c r="AS902" s="18"/>
      <c r="AU902" s="18"/>
      <c r="AV902" s="18"/>
    </row>
    <row r="903" spans="2:48" ht="15.75" customHeight="1">
      <c r="B903" s="16"/>
      <c r="C903" s="13"/>
      <c r="G903" s="15"/>
      <c r="H903" s="16"/>
      <c r="I903" s="16"/>
      <c r="J903" s="17"/>
      <c r="N903" s="16"/>
      <c r="O903" s="16"/>
      <c r="P903" s="16"/>
      <c r="AN903" s="18"/>
      <c r="AO903" s="18"/>
      <c r="AP903" s="18"/>
      <c r="AQ903" s="18"/>
      <c r="AR903" s="18"/>
      <c r="AS903" s="18"/>
      <c r="AU903" s="18"/>
      <c r="AV903" s="18"/>
    </row>
    <row r="904" spans="2:48" ht="15.75" customHeight="1">
      <c r="B904" s="16"/>
      <c r="C904" s="13"/>
      <c r="G904" s="15"/>
      <c r="H904" s="16"/>
      <c r="I904" s="16"/>
      <c r="J904" s="17"/>
      <c r="N904" s="16"/>
      <c r="O904" s="16"/>
      <c r="P904" s="16"/>
      <c r="AN904" s="18"/>
      <c r="AO904" s="18"/>
      <c r="AP904" s="18"/>
      <c r="AQ904" s="18"/>
      <c r="AR904" s="18"/>
      <c r="AS904" s="18"/>
      <c r="AU904" s="18"/>
      <c r="AV904" s="18"/>
    </row>
    <row r="905" spans="2:48" ht="15.75" customHeight="1">
      <c r="B905" s="16"/>
      <c r="C905" s="13"/>
      <c r="G905" s="15"/>
      <c r="H905" s="16"/>
      <c r="I905" s="16"/>
      <c r="J905" s="17"/>
      <c r="N905" s="16"/>
      <c r="O905" s="16"/>
      <c r="P905" s="16"/>
      <c r="AN905" s="18"/>
      <c r="AO905" s="18"/>
      <c r="AP905" s="18"/>
      <c r="AQ905" s="18"/>
      <c r="AR905" s="18"/>
      <c r="AS905" s="18"/>
      <c r="AU905" s="18"/>
      <c r="AV905" s="18"/>
    </row>
    <row r="906" spans="2:48" ht="15.75" customHeight="1">
      <c r="B906" s="16"/>
      <c r="C906" s="13"/>
      <c r="G906" s="15"/>
      <c r="H906" s="16"/>
      <c r="I906" s="16"/>
      <c r="J906" s="17"/>
      <c r="N906" s="16"/>
      <c r="O906" s="16"/>
      <c r="P906" s="16"/>
      <c r="AN906" s="18"/>
      <c r="AO906" s="18"/>
      <c r="AP906" s="18"/>
      <c r="AQ906" s="18"/>
      <c r="AR906" s="18"/>
      <c r="AS906" s="18"/>
      <c r="AU906" s="18"/>
      <c r="AV906" s="18"/>
    </row>
    <row r="907" spans="2:48" ht="15.75" customHeight="1">
      <c r="B907" s="16"/>
      <c r="C907" s="13"/>
      <c r="G907" s="15"/>
      <c r="H907" s="16"/>
      <c r="I907" s="16"/>
      <c r="J907" s="17"/>
      <c r="N907" s="16"/>
      <c r="O907" s="16"/>
      <c r="P907" s="16"/>
      <c r="AN907" s="18"/>
      <c r="AO907" s="18"/>
      <c r="AP907" s="18"/>
      <c r="AQ907" s="18"/>
      <c r="AR907" s="18"/>
      <c r="AS907" s="18"/>
      <c r="AU907" s="18"/>
      <c r="AV907" s="18"/>
    </row>
    <row r="908" spans="2:48" ht="15.75" customHeight="1">
      <c r="B908" s="16"/>
      <c r="C908" s="13"/>
      <c r="G908" s="15"/>
      <c r="H908" s="16"/>
      <c r="I908" s="16"/>
      <c r="J908" s="17"/>
      <c r="N908" s="16"/>
      <c r="O908" s="16"/>
      <c r="P908" s="16"/>
      <c r="AN908" s="18"/>
      <c r="AO908" s="18"/>
      <c r="AP908" s="18"/>
      <c r="AQ908" s="18"/>
      <c r="AR908" s="18"/>
      <c r="AS908" s="18"/>
      <c r="AU908" s="18"/>
      <c r="AV908" s="18"/>
    </row>
    <row r="909" spans="2:48" ht="15.75" customHeight="1">
      <c r="B909" s="16"/>
      <c r="C909" s="13"/>
      <c r="G909" s="15"/>
      <c r="H909" s="16"/>
      <c r="I909" s="16"/>
      <c r="J909" s="17"/>
      <c r="N909" s="16"/>
      <c r="O909" s="16"/>
      <c r="P909" s="16"/>
      <c r="AN909" s="18"/>
      <c r="AO909" s="18"/>
      <c r="AP909" s="18"/>
      <c r="AQ909" s="18"/>
      <c r="AR909" s="18"/>
      <c r="AS909" s="18"/>
      <c r="AU909" s="18"/>
      <c r="AV909" s="18"/>
    </row>
    <row r="910" spans="2:48" ht="15.75" customHeight="1">
      <c r="B910" s="16"/>
      <c r="C910" s="13"/>
      <c r="G910" s="15"/>
      <c r="H910" s="16"/>
      <c r="I910" s="16"/>
      <c r="J910" s="17"/>
      <c r="N910" s="16"/>
      <c r="O910" s="16"/>
      <c r="P910" s="16"/>
      <c r="AN910" s="18"/>
      <c r="AO910" s="18"/>
      <c r="AP910" s="18"/>
      <c r="AQ910" s="18"/>
      <c r="AR910" s="18"/>
      <c r="AS910" s="18"/>
      <c r="AU910" s="18"/>
      <c r="AV910" s="18"/>
    </row>
    <row r="911" spans="2:48" ht="15.75" customHeight="1">
      <c r="B911" s="16"/>
      <c r="C911" s="13"/>
      <c r="G911" s="15"/>
      <c r="H911" s="16"/>
      <c r="I911" s="16"/>
      <c r="J911" s="17"/>
      <c r="N911" s="16"/>
      <c r="O911" s="16"/>
      <c r="P911" s="16"/>
      <c r="AN911" s="18"/>
      <c r="AO911" s="18"/>
      <c r="AP911" s="18"/>
      <c r="AQ911" s="18"/>
      <c r="AR911" s="18"/>
      <c r="AS911" s="18"/>
      <c r="AU911" s="18"/>
      <c r="AV911" s="18"/>
    </row>
    <row r="912" spans="2:48" ht="15.75" customHeight="1">
      <c r="B912" s="16"/>
      <c r="C912" s="13"/>
      <c r="G912" s="15"/>
      <c r="H912" s="16"/>
      <c r="I912" s="16"/>
      <c r="J912" s="17"/>
      <c r="N912" s="16"/>
      <c r="O912" s="16"/>
      <c r="P912" s="16"/>
      <c r="AN912" s="18"/>
      <c r="AO912" s="18"/>
      <c r="AP912" s="18"/>
      <c r="AQ912" s="18"/>
      <c r="AR912" s="18"/>
      <c r="AS912" s="18"/>
      <c r="AU912" s="18"/>
      <c r="AV912" s="18"/>
    </row>
    <row r="913" spans="2:48" ht="15.75" customHeight="1">
      <c r="B913" s="16"/>
      <c r="C913" s="13"/>
      <c r="G913" s="15"/>
      <c r="H913" s="16"/>
      <c r="I913" s="16"/>
      <c r="J913" s="17"/>
      <c r="N913" s="16"/>
      <c r="O913" s="16"/>
      <c r="P913" s="16"/>
      <c r="AN913" s="18"/>
      <c r="AO913" s="18"/>
      <c r="AP913" s="18"/>
      <c r="AQ913" s="18"/>
      <c r="AR913" s="18"/>
      <c r="AS913" s="18"/>
      <c r="AU913" s="18"/>
      <c r="AV913" s="18"/>
    </row>
    <row r="914" spans="2:48" ht="15.75" customHeight="1">
      <c r="B914" s="16"/>
      <c r="C914" s="13"/>
      <c r="G914" s="15"/>
      <c r="H914" s="16"/>
      <c r="I914" s="16"/>
      <c r="J914" s="17"/>
      <c r="N914" s="16"/>
      <c r="O914" s="16"/>
      <c r="P914" s="16"/>
      <c r="AN914" s="18"/>
      <c r="AO914" s="18"/>
      <c r="AP914" s="18"/>
      <c r="AQ914" s="18"/>
      <c r="AR914" s="18"/>
      <c r="AS914" s="18"/>
      <c r="AU914" s="18"/>
      <c r="AV914" s="18"/>
    </row>
    <row r="915" spans="2:48" ht="15.75" customHeight="1">
      <c r="B915" s="16"/>
      <c r="C915" s="13"/>
      <c r="G915" s="15"/>
      <c r="H915" s="16"/>
      <c r="I915" s="16"/>
      <c r="J915" s="17"/>
      <c r="N915" s="16"/>
      <c r="O915" s="16"/>
      <c r="P915" s="16"/>
      <c r="AN915" s="18"/>
      <c r="AO915" s="18"/>
      <c r="AP915" s="18"/>
      <c r="AQ915" s="18"/>
      <c r="AR915" s="18"/>
      <c r="AS915" s="18"/>
      <c r="AU915" s="18"/>
      <c r="AV915" s="18"/>
    </row>
    <row r="916" spans="2:48" ht="15.75" customHeight="1">
      <c r="B916" s="16"/>
      <c r="C916" s="13"/>
      <c r="G916" s="15"/>
      <c r="H916" s="16"/>
      <c r="I916" s="16"/>
      <c r="J916" s="17"/>
      <c r="N916" s="16"/>
      <c r="O916" s="16"/>
      <c r="P916" s="16"/>
      <c r="AN916" s="18"/>
      <c r="AO916" s="18"/>
      <c r="AP916" s="18"/>
      <c r="AQ916" s="18"/>
      <c r="AR916" s="18"/>
      <c r="AS916" s="18"/>
      <c r="AU916" s="18"/>
      <c r="AV916" s="18"/>
    </row>
    <row r="917" spans="2:48" ht="15.75" customHeight="1">
      <c r="B917" s="16"/>
      <c r="C917" s="13"/>
      <c r="G917" s="15"/>
      <c r="H917" s="16"/>
      <c r="I917" s="16"/>
      <c r="J917" s="17"/>
      <c r="N917" s="16"/>
      <c r="O917" s="16"/>
      <c r="P917" s="16"/>
      <c r="AN917" s="18"/>
      <c r="AO917" s="18"/>
      <c r="AP917" s="18"/>
      <c r="AQ917" s="18"/>
      <c r="AR917" s="18"/>
      <c r="AS917" s="18"/>
      <c r="AU917" s="18"/>
      <c r="AV917" s="18"/>
    </row>
    <row r="918" spans="2:48" ht="15.75" customHeight="1">
      <c r="B918" s="16"/>
      <c r="C918" s="13"/>
      <c r="G918" s="15"/>
      <c r="H918" s="16"/>
      <c r="I918" s="16"/>
      <c r="J918" s="17"/>
      <c r="N918" s="16"/>
      <c r="O918" s="16"/>
      <c r="P918" s="16"/>
      <c r="AN918" s="18"/>
      <c r="AO918" s="18"/>
      <c r="AP918" s="18"/>
      <c r="AQ918" s="18"/>
      <c r="AR918" s="18"/>
      <c r="AS918" s="18"/>
      <c r="AU918" s="18"/>
      <c r="AV918" s="18"/>
    </row>
    <row r="919" spans="2:48" ht="15.75" customHeight="1">
      <c r="B919" s="16"/>
      <c r="C919" s="13"/>
      <c r="G919" s="15"/>
      <c r="H919" s="16"/>
      <c r="I919" s="16"/>
      <c r="J919" s="17"/>
      <c r="N919" s="16"/>
      <c r="O919" s="16"/>
      <c r="P919" s="16"/>
      <c r="AN919" s="18"/>
      <c r="AO919" s="18"/>
      <c r="AP919" s="18"/>
      <c r="AQ919" s="18"/>
      <c r="AR919" s="18"/>
      <c r="AS919" s="18"/>
      <c r="AU919" s="18"/>
      <c r="AV919" s="18"/>
    </row>
    <row r="920" spans="2:48" ht="15.75" customHeight="1">
      <c r="B920" s="16"/>
      <c r="C920" s="13"/>
      <c r="G920" s="15"/>
      <c r="H920" s="16"/>
      <c r="I920" s="16"/>
      <c r="J920" s="17"/>
      <c r="N920" s="16"/>
      <c r="O920" s="16"/>
      <c r="P920" s="16"/>
      <c r="AN920" s="18"/>
      <c r="AO920" s="18"/>
      <c r="AP920" s="18"/>
      <c r="AQ920" s="18"/>
      <c r="AR920" s="18"/>
      <c r="AS920" s="18"/>
      <c r="AU920" s="18"/>
      <c r="AV920" s="18"/>
    </row>
    <row r="921" spans="2:48" ht="15.75" customHeight="1">
      <c r="B921" s="16"/>
      <c r="C921" s="13"/>
      <c r="G921" s="15"/>
      <c r="H921" s="16"/>
      <c r="I921" s="16"/>
      <c r="J921" s="17"/>
      <c r="N921" s="16"/>
      <c r="O921" s="16"/>
      <c r="P921" s="16"/>
      <c r="AN921" s="18"/>
      <c r="AO921" s="18"/>
      <c r="AP921" s="18"/>
      <c r="AQ921" s="18"/>
      <c r="AR921" s="18"/>
      <c r="AS921" s="18"/>
      <c r="AU921" s="18"/>
      <c r="AV921" s="18"/>
    </row>
    <row r="922" spans="2:48" ht="15.75" customHeight="1">
      <c r="B922" s="16"/>
      <c r="C922" s="13"/>
      <c r="G922" s="15"/>
      <c r="H922" s="16"/>
      <c r="I922" s="16"/>
      <c r="J922" s="17"/>
      <c r="N922" s="16"/>
      <c r="O922" s="16"/>
      <c r="P922" s="16"/>
      <c r="AN922" s="18"/>
      <c r="AO922" s="18"/>
      <c r="AP922" s="18"/>
      <c r="AQ922" s="18"/>
      <c r="AR922" s="18"/>
      <c r="AS922" s="18"/>
      <c r="AU922" s="18"/>
      <c r="AV922" s="18"/>
    </row>
    <row r="923" spans="2:48" ht="15.75" customHeight="1">
      <c r="B923" s="16"/>
      <c r="C923" s="13"/>
      <c r="G923" s="15"/>
      <c r="H923" s="16"/>
      <c r="I923" s="16"/>
      <c r="J923" s="17"/>
      <c r="N923" s="16"/>
      <c r="O923" s="16"/>
      <c r="P923" s="16"/>
      <c r="AN923" s="18"/>
      <c r="AO923" s="18"/>
      <c r="AP923" s="18"/>
      <c r="AQ923" s="18"/>
      <c r="AR923" s="18"/>
      <c r="AS923" s="18"/>
      <c r="AU923" s="18"/>
      <c r="AV923" s="18"/>
    </row>
    <row r="924" spans="2:48" ht="15.75" customHeight="1">
      <c r="B924" s="16"/>
      <c r="C924" s="13"/>
      <c r="G924" s="15"/>
      <c r="H924" s="16"/>
      <c r="N924" s="16"/>
      <c r="O924" s="16"/>
      <c r="P924" s="16"/>
      <c r="AN924" s="18"/>
      <c r="AO924" s="18"/>
      <c r="AP924" s="18"/>
      <c r="AQ924" s="18"/>
      <c r="AR924" s="18"/>
      <c r="AS924" s="18"/>
      <c r="AU924" s="18"/>
      <c r="AV924" s="18"/>
    </row>
    <row r="925" spans="2:48" ht="15.75" customHeight="1">
      <c r="B925" s="16"/>
      <c r="C925" s="13"/>
      <c r="G925" s="15"/>
      <c r="H925" s="16"/>
      <c r="N925" s="16"/>
      <c r="O925" s="16"/>
      <c r="P925" s="16"/>
      <c r="AN925" s="18"/>
      <c r="AO925" s="18"/>
      <c r="AP925" s="18"/>
      <c r="AQ925" s="18"/>
      <c r="AR925" s="18"/>
      <c r="AS925" s="18"/>
      <c r="AU925" s="18"/>
      <c r="AV925" s="18"/>
    </row>
    <row r="926" spans="2:48" ht="15.75" customHeight="1">
      <c r="B926" s="16"/>
      <c r="C926" s="13"/>
      <c r="G926" s="15"/>
      <c r="H926" s="16"/>
      <c r="I926" s="16"/>
      <c r="J926" s="17"/>
      <c r="N926" s="16"/>
      <c r="O926" s="16"/>
      <c r="P926" s="16"/>
      <c r="AN926" s="18"/>
      <c r="AO926" s="18"/>
      <c r="AP926" s="18"/>
      <c r="AQ926" s="18"/>
      <c r="AR926" s="18"/>
      <c r="AS926" s="18"/>
      <c r="AU926" s="18"/>
      <c r="AV926" s="18"/>
    </row>
    <row r="927" spans="2:48" ht="15.75" customHeight="1">
      <c r="B927" s="16"/>
      <c r="C927" s="13"/>
      <c r="G927" s="15"/>
      <c r="H927" s="16"/>
      <c r="I927" s="16"/>
      <c r="J927" s="17"/>
      <c r="N927" s="16"/>
      <c r="O927" s="16"/>
      <c r="P927" s="16"/>
      <c r="AN927" s="18"/>
      <c r="AO927" s="18"/>
      <c r="AP927" s="18"/>
      <c r="AQ927" s="18"/>
      <c r="AR927" s="18"/>
      <c r="AS927" s="18"/>
      <c r="AU927" s="18"/>
      <c r="AV927" s="18"/>
    </row>
    <row r="928" spans="2:48" ht="15.75" customHeight="1">
      <c r="B928" s="16"/>
      <c r="C928" s="13"/>
      <c r="G928" s="15"/>
      <c r="H928" s="16"/>
      <c r="I928" s="16"/>
      <c r="J928" s="17"/>
      <c r="N928" s="16"/>
      <c r="O928" s="16"/>
      <c r="P928" s="16"/>
      <c r="AN928" s="18"/>
      <c r="AO928" s="18"/>
      <c r="AP928" s="18"/>
      <c r="AQ928" s="18"/>
      <c r="AR928" s="18"/>
      <c r="AS928" s="18"/>
      <c r="AU928" s="18"/>
      <c r="AV928" s="18"/>
    </row>
    <row r="929" spans="2:48" ht="15.75" customHeight="1">
      <c r="B929" s="16"/>
      <c r="C929" s="13"/>
      <c r="G929" s="15"/>
      <c r="H929" s="16"/>
      <c r="I929" s="16"/>
      <c r="J929" s="17"/>
      <c r="N929" s="16"/>
      <c r="O929" s="16"/>
      <c r="P929" s="16"/>
      <c r="AN929" s="18"/>
      <c r="AO929" s="18"/>
      <c r="AP929" s="18"/>
      <c r="AQ929" s="18"/>
      <c r="AR929" s="18"/>
      <c r="AS929" s="18"/>
      <c r="AU929" s="18"/>
      <c r="AV929" s="18"/>
    </row>
    <row r="930" spans="2:48" ht="15.75" customHeight="1">
      <c r="B930" s="16"/>
      <c r="C930" s="13"/>
      <c r="G930" s="15"/>
      <c r="H930" s="16"/>
      <c r="I930" s="16"/>
      <c r="J930" s="17"/>
      <c r="N930" s="16"/>
      <c r="O930" s="16"/>
      <c r="P930" s="16"/>
      <c r="AN930" s="18"/>
      <c r="AO930" s="18"/>
      <c r="AP930" s="18"/>
      <c r="AQ930" s="18"/>
      <c r="AR930" s="18"/>
      <c r="AS930" s="18"/>
      <c r="AU930" s="18"/>
      <c r="AV930" s="18"/>
    </row>
    <row r="931" spans="2:48" ht="15.75" customHeight="1">
      <c r="B931" s="16"/>
      <c r="C931" s="13"/>
      <c r="G931" s="15"/>
      <c r="H931" s="16"/>
      <c r="I931" s="16"/>
      <c r="J931" s="17"/>
      <c r="N931" s="16"/>
      <c r="O931" s="16"/>
      <c r="P931" s="16"/>
      <c r="AN931" s="18"/>
      <c r="AO931" s="18"/>
      <c r="AP931" s="18"/>
      <c r="AQ931" s="18"/>
      <c r="AR931" s="18"/>
      <c r="AS931" s="18"/>
      <c r="AU931" s="18"/>
      <c r="AV931" s="18"/>
    </row>
    <row r="932" spans="2:48" ht="15.75" customHeight="1">
      <c r="B932" s="16"/>
      <c r="C932" s="13"/>
      <c r="G932" s="15"/>
      <c r="H932" s="16"/>
      <c r="I932" s="16"/>
      <c r="J932" s="17"/>
      <c r="N932" s="16"/>
      <c r="O932" s="16"/>
      <c r="P932" s="16"/>
      <c r="AN932" s="18"/>
      <c r="AO932" s="18"/>
      <c r="AP932" s="18"/>
      <c r="AQ932" s="18"/>
      <c r="AR932" s="18"/>
      <c r="AS932" s="18"/>
      <c r="AU932" s="18"/>
      <c r="AV932" s="18"/>
    </row>
    <row r="933" spans="2:48" ht="15.75" customHeight="1">
      <c r="B933" s="16"/>
      <c r="C933" s="13"/>
      <c r="G933" s="15"/>
      <c r="H933" s="16"/>
      <c r="I933" s="16"/>
      <c r="J933" s="17"/>
      <c r="N933" s="16"/>
      <c r="O933" s="16"/>
      <c r="P933" s="16"/>
      <c r="AN933" s="18"/>
      <c r="AO933" s="18"/>
      <c r="AP933" s="18"/>
      <c r="AQ933" s="18"/>
      <c r="AR933" s="18"/>
      <c r="AS933" s="18"/>
      <c r="AU933" s="18"/>
      <c r="AV933" s="18"/>
    </row>
    <row r="934" spans="2:48" ht="15.75" customHeight="1">
      <c r="B934" s="16"/>
      <c r="C934" s="13"/>
      <c r="G934" s="15"/>
      <c r="H934" s="16"/>
      <c r="I934" s="16"/>
      <c r="J934" s="17"/>
      <c r="N934" s="16"/>
      <c r="O934" s="16"/>
      <c r="P934" s="16"/>
      <c r="AN934" s="18"/>
      <c r="AO934" s="18"/>
      <c r="AP934" s="18"/>
      <c r="AQ934" s="18"/>
      <c r="AR934" s="18"/>
      <c r="AS934" s="18"/>
      <c r="AU934" s="18"/>
      <c r="AV934" s="18"/>
    </row>
    <row r="935" spans="2:48" ht="15.75" customHeight="1">
      <c r="B935" s="16"/>
      <c r="C935" s="13"/>
      <c r="G935" s="15"/>
      <c r="H935" s="16"/>
      <c r="I935" s="16"/>
      <c r="J935" s="17"/>
      <c r="N935" s="16"/>
      <c r="O935" s="16"/>
      <c r="P935" s="16"/>
      <c r="AN935" s="18"/>
      <c r="AO935" s="18"/>
      <c r="AP935" s="18"/>
      <c r="AQ935" s="18"/>
      <c r="AR935" s="18"/>
      <c r="AS935" s="18"/>
      <c r="AU935" s="18"/>
      <c r="AV935" s="18"/>
    </row>
    <row r="936" spans="2:48" ht="15.75" customHeight="1">
      <c r="B936" s="16"/>
      <c r="C936" s="13"/>
      <c r="G936" s="15"/>
      <c r="H936" s="16"/>
      <c r="I936" s="16"/>
      <c r="J936" s="17"/>
      <c r="N936" s="16"/>
      <c r="O936" s="16"/>
      <c r="P936" s="16"/>
      <c r="AN936" s="18"/>
      <c r="AO936" s="18"/>
      <c r="AP936" s="18"/>
      <c r="AQ936" s="18"/>
      <c r="AR936" s="18"/>
      <c r="AS936" s="18"/>
      <c r="AU936" s="18"/>
      <c r="AV936" s="18"/>
    </row>
    <row r="937" spans="2:48" ht="15.75" customHeight="1">
      <c r="B937" s="16"/>
      <c r="C937" s="13"/>
      <c r="G937" s="15"/>
      <c r="H937" s="16"/>
      <c r="I937" s="16"/>
      <c r="J937" s="17"/>
      <c r="N937" s="16"/>
      <c r="O937" s="16"/>
      <c r="P937" s="16"/>
      <c r="AN937" s="18"/>
      <c r="AO937" s="18"/>
      <c r="AP937" s="18"/>
      <c r="AQ937" s="18"/>
      <c r="AR937" s="18"/>
      <c r="AS937" s="18"/>
      <c r="AU937" s="18"/>
      <c r="AV937" s="18"/>
    </row>
    <row r="938" spans="2:48" ht="15.75" customHeight="1">
      <c r="B938" s="16"/>
      <c r="C938" s="13"/>
      <c r="G938" s="15"/>
      <c r="H938" s="16"/>
      <c r="I938" s="16"/>
      <c r="J938" s="17"/>
      <c r="N938" s="16"/>
      <c r="O938" s="16"/>
      <c r="P938" s="16"/>
      <c r="AN938" s="18"/>
      <c r="AO938" s="18"/>
      <c r="AP938" s="18"/>
      <c r="AQ938" s="18"/>
      <c r="AR938" s="18"/>
      <c r="AS938" s="18"/>
      <c r="AU938" s="18"/>
      <c r="AV938" s="18"/>
    </row>
    <row r="939" spans="2:48" ht="15.75" customHeight="1">
      <c r="B939" s="16"/>
      <c r="C939" s="13"/>
      <c r="G939" s="15"/>
      <c r="H939" s="16"/>
      <c r="I939" s="16"/>
      <c r="J939" s="17"/>
      <c r="N939" s="16"/>
      <c r="O939" s="16"/>
      <c r="P939" s="16"/>
      <c r="AN939" s="18"/>
      <c r="AO939" s="18"/>
      <c r="AP939" s="18"/>
      <c r="AQ939" s="18"/>
      <c r="AR939" s="18"/>
      <c r="AS939" s="18"/>
      <c r="AU939" s="18"/>
      <c r="AV939" s="18"/>
    </row>
    <row r="940" spans="2:48" ht="15.75" customHeight="1">
      <c r="B940" s="16"/>
      <c r="C940" s="13"/>
      <c r="G940" s="15"/>
      <c r="H940" s="16"/>
      <c r="I940" s="16"/>
      <c r="J940" s="17"/>
      <c r="N940" s="16"/>
      <c r="O940" s="16"/>
      <c r="P940" s="16"/>
      <c r="AN940" s="18"/>
      <c r="AO940" s="18"/>
      <c r="AP940" s="18"/>
      <c r="AQ940" s="18"/>
      <c r="AR940" s="18"/>
      <c r="AS940" s="18"/>
      <c r="AU940" s="18"/>
      <c r="AV940" s="18"/>
    </row>
    <row r="941" spans="2:48" ht="15.75" customHeight="1">
      <c r="B941" s="16"/>
      <c r="C941" s="13"/>
      <c r="G941" s="15"/>
      <c r="H941" s="16"/>
      <c r="I941" s="16"/>
      <c r="J941" s="17"/>
      <c r="N941" s="16"/>
      <c r="O941" s="16"/>
      <c r="P941" s="16"/>
      <c r="AN941" s="18"/>
      <c r="AO941" s="18"/>
      <c r="AP941" s="18"/>
      <c r="AQ941" s="18"/>
      <c r="AR941" s="18"/>
      <c r="AS941" s="18"/>
      <c r="AU941" s="18"/>
      <c r="AV941" s="18"/>
    </row>
    <row r="942" spans="2:48" ht="15.75" customHeight="1">
      <c r="B942" s="16"/>
      <c r="C942" s="13"/>
      <c r="G942" s="15"/>
      <c r="H942" s="16"/>
      <c r="I942" s="16"/>
      <c r="J942" s="17"/>
      <c r="N942" s="16"/>
      <c r="O942" s="16"/>
      <c r="P942" s="16"/>
      <c r="AN942" s="18"/>
      <c r="AO942" s="18"/>
      <c r="AP942" s="18"/>
      <c r="AQ942" s="18"/>
      <c r="AR942" s="18"/>
      <c r="AS942" s="18"/>
      <c r="AU942" s="18"/>
      <c r="AV942" s="18"/>
    </row>
    <row r="943" spans="2:48" ht="15.75" customHeight="1">
      <c r="B943" s="16"/>
      <c r="C943" s="13"/>
      <c r="G943" s="15"/>
      <c r="H943" s="16"/>
      <c r="I943" s="16"/>
      <c r="J943" s="17"/>
      <c r="N943" s="16"/>
      <c r="O943" s="16"/>
      <c r="P943" s="16"/>
      <c r="AN943" s="18"/>
      <c r="AO943" s="18"/>
      <c r="AP943" s="18"/>
      <c r="AQ943" s="18"/>
      <c r="AR943" s="18"/>
      <c r="AS943" s="18"/>
      <c r="AU943" s="18"/>
      <c r="AV943" s="18"/>
    </row>
    <row r="944" spans="2:48" ht="15.75" customHeight="1">
      <c r="B944" s="16"/>
      <c r="C944" s="13"/>
      <c r="G944" s="15"/>
      <c r="H944" s="16"/>
      <c r="I944" s="16"/>
      <c r="J944" s="17"/>
      <c r="N944" s="16"/>
      <c r="O944" s="16"/>
      <c r="P944" s="16"/>
      <c r="AN944" s="18"/>
      <c r="AO944" s="18"/>
      <c r="AP944" s="18"/>
      <c r="AQ944" s="18"/>
      <c r="AR944" s="18"/>
      <c r="AS944" s="18"/>
      <c r="AU944" s="18"/>
      <c r="AV944" s="18"/>
    </row>
    <row r="945" spans="2:48" ht="15.75" customHeight="1">
      <c r="B945" s="16"/>
      <c r="C945" s="13"/>
      <c r="G945" s="15"/>
      <c r="H945" s="16"/>
      <c r="I945" s="16"/>
      <c r="J945" s="17"/>
      <c r="N945" s="16"/>
      <c r="O945" s="16"/>
      <c r="P945" s="16"/>
      <c r="AN945" s="18"/>
      <c r="AO945" s="18"/>
      <c r="AP945" s="18"/>
      <c r="AQ945" s="18"/>
      <c r="AR945" s="18"/>
      <c r="AS945" s="18"/>
      <c r="AU945" s="18"/>
      <c r="AV945" s="18"/>
    </row>
    <row r="946" spans="2:48" ht="15.75" customHeight="1">
      <c r="B946" s="16"/>
      <c r="C946" s="13"/>
      <c r="G946" s="15"/>
      <c r="H946" s="16"/>
      <c r="I946" s="16"/>
      <c r="J946" s="17"/>
      <c r="N946" s="16"/>
      <c r="O946" s="16"/>
      <c r="P946" s="16"/>
      <c r="AN946" s="18"/>
      <c r="AO946" s="18"/>
      <c r="AP946" s="18"/>
      <c r="AQ946" s="18"/>
      <c r="AR946" s="18"/>
      <c r="AS946" s="18"/>
      <c r="AU946" s="18"/>
      <c r="AV946" s="18"/>
    </row>
    <row r="947" spans="2:48" ht="15.75" customHeight="1">
      <c r="B947" s="16"/>
      <c r="C947" s="13"/>
      <c r="G947" s="15"/>
      <c r="H947" s="16"/>
      <c r="I947" s="16"/>
      <c r="J947" s="17"/>
      <c r="N947" s="16"/>
      <c r="O947" s="16"/>
      <c r="P947" s="16"/>
      <c r="AN947" s="18"/>
      <c r="AO947" s="18"/>
      <c r="AP947" s="18"/>
      <c r="AQ947" s="18"/>
      <c r="AR947" s="18"/>
      <c r="AS947" s="18"/>
      <c r="AU947" s="18"/>
      <c r="AV947" s="18"/>
    </row>
    <row r="948" spans="2:48" ht="15.75" customHeight="1">
      <c r="B948" s="16"/>
      <c r="C948" s="13"/>
      <c r="G948" s="15"/>
      <c r="H948" s="16"/>
      <c r="I948" s="16"/>
      <c r="J948" s="17"/>
      <c r="N948" s="16"/>
      <c r="O948" s="16"/>
      <c r="P948" s="16"/>
      <c r="AN948" s="18"/>
      <c r="AO948" s="18"/>
      <c r="AP948" s="18"/>
      <c r="AQ948" s="18"/>
      <c r="AR948" s="18"/>
      <c r="AS948" s="18"/>
      <c r="AU948" s="18"/>
      <c r="AV948" s="18"/>
    </row>
    <row r="949" spans="2:48" ht="15.75" customHeight="1">
      <c r="B949" s="16"/>
      <c r="C949" s="13"/>
      <c r="G949" s="15"/>
      <c r="H949" s="16"/>
      <c r="I949" s="16"/>
      <c r="J949" s="17"/>
      <c r="N949" s="16"/>
      <c r="O949" s="16"/>
      <c r="P949" s="16"/>
      <c r="AN949" s="18"/>
      <c r="AO949" s="18"/>
      <c r="AP949" s="18"/>
      <c r="AQ949" s="18"/>
      <c r="AR949" s="18"/>
      <c r="AS949" s="18"/>
      <c r="AU949" s="18"/>
      <c r="AV949" s="18"/>
    </row>
    <row r="950" spans="2:48" ht="15.75" customHeight="1">
      <c r="B950" s="16"/>
      <c r="C950" s="13"/>
      <c r="G950" s="15"/>
      <c r="H950" s="16"/>
      <c r="I950" s="16"/>
      <c r="J950" s="17"/>
      <c r="N950" s="16"/>
      <c r="O950" s="16"/>
      <c r="P950" s="16"/>
      <c r="AN950" s="18"/>
      <c r="AO950" s="18"/>
      <c r="AP950" s="18"/>
      <c r="AQ950" s="18"/>
      <c r="AR950" s="18"/>
      <c r="AS950" s="18"/>
      <c r="AU950" s="18"/>
      <c r="AV950" s="18"/>
    </row>
    <row r="951" spans="2:48" ht="15.75" customHeight="1">
      <c r="B951" s="16"/>
      <c r="C951" s="13"/>
      <c r="G951" s="15"/>
      <c r="H951" s="16"/>
      <c r="I951" s="16"/>
      <c r="J951" s="17"/>
      <c r="N951" s="16"/>
      <c r="O951" s="16"/>
      <c r="P951" s="16"/>
      <c r="AN951" s="18"/>
      <c r="AO951" s="18"/>
      <c r="AP951" s="18"/>
      <c r="AQ951" s="18"/>
      <c r="AR951" s="18"/>
      <c r="AS951" s="18"/>
      <c r="AU951" s="18"/>
      <c r="AV951" s="18"/>
    </row>
    <row r="952" spans="2:48" ht="15.75" customHeight="1">
      <c r="B952" s="16"/>
      <c r="C952" s="13"/>
      <c r="G952" s="15"/>
      <c r="H952" s="16"/>
      <c r="I952" s="16"/>
      <c r="J952" s="17"/>
      <c r="N952" s="16"/>
      <c r="O952" s="16"/>
      <c r="P952" s="16"/>
      <c r="AN952" s="18"/>
      <c r="AO952" s="18"/>
      <c r="AP952" s="18"/>
      <c r="AQ952" s="18"/>
      <c r="AR952" s="18"/>
      <c r="AS952" s="18"/>
      <c r="AU952" s="18"/>
      <c r="AV952" s="18"/>
    </row>
    <row r="953" spans="2:48" ht="15.75" customHeight="1">
      <c r="B953" s="16"/>
      <c r="C953" s="13"/>
      <c r="G953" s="15"/>
      <c r="H953" s="16"/>
      <c r="I953" s="16"/>
      <c r="J953" s="17"/>
      <c r="N953" s="16"/>
      <c r="O953" s="16"/>
      <c r="P953" s="16"/>
      <c r="AN953" s="18"/>
      <c r="AO953" s="18"/>
      <c r="AP953" s="18"/>
      <c r="AQ953" s="18"/>
      <c r="AR953" s="18"/>
      <c r="AS953" s="18"/>
      <c r="AU953" s="18"/>
      <c r="AV953" s="18"/>
    </row>
    <row r="954" spans="2:48" ht="15.75" customHeight="1">
      <c r="B954" s="16"/>
      <c r="C954" s="13"/>
      <c r="G954" s="15"/>
      <c r="H954" s="16"/>
      <c r="I954" s="16"/>
      <c r="J954" s="17"/>
      <c r="N954" s="16"/>
      <c r="O954" s="16"/>
      <c r="P954" s="16"/>
      <c r="AN954" s="18"/>
      <c r="AO954" s="18"/>
      <c r="AP954" s="18"/>
      <c r="AQ954" s="18"/>
      <c r="AR954" s="18"/>
      <c r="AS954" s="18"/>
      <c r="AU954" s="18"/>
      <c r="AV954" s="18"/>
    </row>
    <row r="955" spans="2:48" ht="15.75" customHeight="1">
      <c r="B955" s="16"/>
      <c r="C955" s="13"/>
      <c r="G955" s="15"/>
      <c r="H955" s="16"/>
      <c r="I955" s="16"/>
      <c r="J955" s="17"/>
      <c r="N955" s="16"/>
      <c r="O955" s="16"/>
      <c r="P955" s="16"/>
      <c r="AN955" s="18"/>
      <c r="AO955" s="18"/>
      <c r="AP955" s="18"/>
      <c r="AQ955" s="18"/>
      <c r="AR955" s="18"/>
      <c r="AS955" s="18"/>
      <c r="AU955" s="18"/>
      <c r="AV955" s="18"/>
    </row>
    <row r="956" spans="2:48" ht="15.75" customHeight="1">
      <c r="B956" s="16"/>
      <c r="C956" s="13"/>
      <c r="G956" s="15"/>
      <c r="H956" s="16"/>
      <c r="I956" s="16"/>
      <c r="J956" s="17"/>
      <c r="N956" s="16"/>
      <c r="O956" s="16"/>
      <c r="P956" s="16"/>
      <c r="AN956" s="18"/>
      <c r="AO956" s="18"/>
      <c r="AP956" s="18"/>
      <c r="AQ956" s="18"/>
      <c r="AR956" s="18"/>
      <c r="AS956" s="18"/>
      <c r="AU956" s="18"/>
      <c r="AV956" s="18"/>
    </row>
    <row r="957" spans="2:48" ht="15.75" customHeight="1">
      <c r="B957" s="16"/>
      <c r="C957" s="13"/>
      <c r="G957" s="15"/>
      <c r="H957" s="16"/>
      <c r="I957" s="16"/>
      <c r="J957" s="17"/>
      <c r="N957" s="16"/>
      <c r="O957" s="16"/>
      <c r="P957" s="16"/>
      <c r="AN957" s="18"/>
      <c r="AO957" s="18"/>
      <c r="AP957" s="18"/>
      <c r="AQ957" s="18"/>
      <c r="AR957" s="18"/>
      <c r="AS957" s="18"/>
      <c r="AU957" s="18"/>
      <c r="AV957" s="18"/>
    </row>
    <row r="958" spans="2:48" ht="15.75" customHeight="1">
      <c r="B958" s="16"/>
      <c r="C958" s="13"/>
      <c r="G958" s="15"/>
      <c r="H958" s="16"/>
      <c r="I958" s="16"/>
      <c r="J958" s="17"/>
      <c r="N958" s="16"/>
      <c r="O958" s="16"/>
      <c r="P958" s="16"/>
      <c r="AN958" s="18"/>
      <c r="AO958" s="18"/>
      <c r="AP958" s="18"/>
      <c r="AQ958" s="18"/>
      <c r="AR958" s="18"/>
      <c r="AS958" s="18"/>
      <c r="AU958" s="18"/>
      <c r="AV958" s="18"/>
    </row>
    <row r="959" spans="2:48" ht="15.75" customHeight="1">
      <c r="B959" s="16"/>
      <c r="C959" s="13"/>
      <c r="G959" s="15"/>
      <c r="H959" s="16"/>
      <c r="I959" s="16"/>
      <c r="J959" s="17"/>
      <c r="N959" s="16"/>
      <c r="O959" s="16"/>
      <c r="P959" s="16"/>
      <c r="AN959" s="18"/>
      <c r="AO959" s="18"/>
      <c r="AP959" s="18"/>
      <c r="AQ959" s="18"/>
      <c r="AR959" s="18"/>
      <c r="AS959" s="18"/>
      <c r="AU959" s="18"/>
      <c r="AV959" s="18"/>
    </row>
    <row r="960" spans="2:48" ht="15.75" customHeight="1">
      <c r="B960" s="16"/>
      <c r="C960" s="13"/>
      <c r="G960" s="15"/>
      <c r="H960" s="16"/>
      <c r="I960" s="16"/>
      <c r="J960" s="17"/>
      <c r="N960" s="16"/>
      <c r="O960" s="16"/>
      <c r="P960" s="16"/>
      <c r="AN960" s="18"/>
      <c r="AO960" s="18"/>
      <c r="AP960" s="18"/>
      <c r="AQ960" s="18"/>
      <c r="AR960" s="18"/>
      <c r="AS960" s="18"/>
      <c r="AU960" s="18"/>
      <c r="AV960" s="18"/>
    </row>
    <row r="961" spans="2:48" ht="15.75" customHeight="1">
      <c r="B961" s="16"/>
      <c r="C961" s="13"/>
      <c r="G961" s="15"/>
      <c r="H961" s="16"/>
      <c r="I961" s="16"/>
      <c r="J961" s="17"/>
      <c r="N961" s="16"/>
      <c r="O961" s="16"/>
      <c r="P961" s="16"/>
      <c r="AN961" s="18"/>
      <c r="AO961" s="18"/>
      <c r="AP961" s="18"/>
      <c r="AQ961" s="18"/>
      <c r="AR961" s="18"/>
      <c r="AS961" s="18"/>
      <c r="AU961" s="18"/>
      <c r="AV961" s="18"/>
    </row>
    <row r="962" spans="2:48" ht="15.75" customHeight="1">
      <c r="B962" s="16"/>
      <c r="C962" s="13"/>
      <c r="G962" s="15"/>
      <c r="H962" s="16"/>
      <c r="I962" s="16"/>
      <c r="J962" s="17"/>
      <c r="N962" s="16"/>
      <c r="O962" s="16"/>
      <c r="P962" s="16"/>
      <c r="AN962" s="18"/>
      <c r="AO962" s="18"/>
      <c r="AP962" s="18"/>
      <c r="AQ962" s="18"/>
      <c r="AR962" s="18"/>
      <c r="AS962" s="18"/>
      <c r="AU962" s="18"/>
      <c r="AV962" s="18"/>
    </row>
    <row r="963" spans="2:48" ht="15.75" customHeight="1">
      <c r="B963" s="16"/>
      <c r="C963" s="13"/>
      <c r="G963" s="15"/>
      <c r="H963" s="16"/>
      <c r="I963" s="16"/>
      <c r="J963" s="17"/>
      <c r="N963" s="16"/>
      <c r="O963" s="16"/>
      <c r="P963" s="16"/>
      <c r="AN963" s="18"/>
      <c r="AO963" s="18"/>
      <c r="AP963" s="18"/>
      <c r="AQ963" s="18"/>
      <c r="AR963" s="18"/>
      <c r="AS963" s="18"/>
      <c r="AU963" s="18"/>
      <c r="AV963" s="18"/>
    </row>
    <row r="964" spans="2:48" ht="15.75" customHeight="1">
      <c r="B964" s="16"/>
      <c r="C964" s="13"/>
      <c r="G964" s="15"/>
      <c r="H964" s="16"/>
      <c r="I964" s="16"/>
      <c r="J964" s="17"/>
      <c r="N964" s="16"/>
      <c r="O964" s="16"/>
      <c r="P964" s="16"/>
      <c r="AN964" s="18"/>
      <c r="AO964" s="18"/>
      <c r="AP964" s="18"/>
      <c r="AQ964" s="18"/>
      <c r="AR964" s="18"/>
      <c r="AS964" s="18"/>
      <c r="AU964" s="18"/>
      <c r="AV964" s="18"/>
    </row>
    <row r="965" spans="2:48" ht="15.75" customHeight="1">
      <c r="B965" s="16"/>
      <c r="C965" s="13"/>
      <c r="G965" s="15"/>
      <c r="H965" s="16"/>
      <c r="I965" s="16"/>
      <c r="J965" s="17"/>
      <c r="N965" s="16"/>
      <c r="O965" s="16"/>
      <c r="P965" s="16"/>
      <c r="AN965" s="18"/>
      <c r="AO965" s="18"/>
      <c r="AP965" s="18"/>
      <c r="AQ965" s="18"/>
      <c r="AR965" s="18"/>
      <c r="AS965" s="18"/>
      <c r="AU965" s="18"/>
      <c r="AV965" s="18"/>
    </row>
    <row r="966" spans="2:48" ht="15.75" customHeight="1">
      <c r="B966" s="16"/>
      <c r="C966" s="13"/>
      <c r="G966" s="15"/>
      <c r="H966" s="16"/>
      <c r="I966" s="16"/>
      <c r="J966" s="17"/>
      <c r="N966" s="16"/>
      <c r="O966" s="16"/>
      <c r="P966" s="16"/>
      <c r="AN966" s="18"/>
      <c r="AO966" s="18"/>
      <c r="AP966" s="18"/>
      <c r="AQ966" s="18"/>
      <c r="AR966" s="18"/>
      <c r="AS966" s="18"/>
      <c r="AU966" s="18"/>
      <c r="AV966" s="18"/>
    </row>
    <row r="967" spans="2:48" ht="15.75" customHeight="1">
      <c r="B967" s="16"/>
      <c r="C967" s="13"/>
      <c r="G967" s="15"/>
      <c r="H967" s="16"/>
      <c r="I967" s="16"/>
      <c r="J967" s="17"/>
      <c r="N967" s="16"/>
      <c r="O967" s="16"/>
      <c r="P967" s="16"/>
      <c r="AN967" s="18"/>
      <c r="AO967" s="18"/>
      <c r="AP967" s="18"/>
      <c r="AQ967" s="18"/>
      <c r="AR967" s="18"/>
      <c r="AS967" s="18"/>
      <c r="AU967" s="18"/>
      <c r="AV967" s="18"/>
    </row>
    <row r="968" spans="2:48" ht="15.75" customHeight="1">
      <c r="B968" s="16"/>
      <c r="C968" s="13"/>
      <c r="G968" s="15"/>
      <c r="H968" s="16"/>
      <c r="I968" s="16"/>
      <c r="J968" s="17"/>
      <c r="N968" s="16"/>
      <c r="O968" s="16"/>
      <c r="P968" s="16"/>
      <c r="AN968" s="18"/>
      <c r="AO968" s="18"/>
      <c r="AP968" s="18"/>
      <c r="AQ968" s="18"/>
      <c r="AR968" s="18"/>
      <c r="AS968" s="18"/>
      <c r="AU968" s="18"/>
      <c r="AV968" s="18"/>
    </row>
    <row r="969" spans="2:48" ht="15.75" customHeight="1">
      <c r="B969" s="16"/>
      <c r="C969" s="13"/>
      <c r="G969" s="15"/>
      <c r="H969" s="16"/>
      <c r="I969" s="16"/>
      <c r="N969" s="16"/>
      <c r="O969" s="16"/>
      <c r="P969" s="16"/>
      <c r="AN969" s="18"/>
      <c r="AO969" s="18"/>
      <c r="AP969" s="18"/>
      <c r="AQ969" s="18"/>
      <c r="AR969" s="18"/>
      <c r="AS969" s="18"/>
      <c r="AU969" s="18"/>
      <c r="AV969" s="18"/>
    </row>
    <row r="970" spans="2:48" ht="15.75" customHeight="1">
      <c r="B970" s="16"/>
      <c r="H970" s="16"/>
      <c r="I970" s="16"/>
      <c r="J970" s="17"/>
      <c r="N970" s="16"/>
      <c r="O970" s="16"/>
      <c r="P970" s="16"/>
      <c r="AN970" s="18"/>
      <c r="AO970" s="18"/>
      <c r="AP970" s="18"/>
      <c r="AQ970" s="18"/>
      <c r="AR970" s="18"/>
      <c r="AS970" s="18"/>
      <c r="AU970" s="18"/>
      <c r="AV970" s="18"/>
    </row>
    <row r="971" spans="2:48" ht="15.75" customHeight="1">
      <c r="B971" s="16"/>
      <c r="H971" s="16"/>
      <c r="I971" s="16"/>
      <c r="J971" s="17"/>
      <c r="N971" s="16"/>
      <c r="O971" s="16"/>
      <c r="P971" s="16"/>
      <c r="AN971" s="18"/>
      <c r="AO971" s="18"/>
      <c r="AP971" s="18"/>
      <c r="AQ971" s="18"/>
      <c r="AR971" s="18"/>
      <c r="AS971" s="18"/>
      <c r="AU971" s="18"/>
      <c r="AV971" s="18"/>
    </row>
    <row r="972" spans="2:48" ht="15.75" customHeight="1">
      <c r="B972" s="16"/>
      <c r="H972" s="16"/>
      <c r="I972" s="16"/>
      <c r="J972" s="17"/>
      <c r="N972" s="16"/>
      <c r="O972" s="16"/>
      <c r="P972" s="16"/>
      <c r="AN972" s="18"/>
      <c r="AO972" s="18"/>
      <c r="AP972" s="18"/>
      <c r="AQ972" s="18"/>
      <c r="AR972" s="18"/>
      <c r="AS972" s="18"/>
      <c r="AU972" s="18"/>
      <c r="AV972" s="18"/>
    </row>
    <row r="973" spans="2:48" ht="15.75" customHeight="1">
      <c r="B973" s="16"/>
      <c r="H973" s="16"/>
      <c r="I973" s="16"/>
      <c r="J973" s="17"/>
      <c r="N973" s="16"/>
      <c r="O973" s="16"/>
      <c r="P973" s="16"/>
      <c r="AN973" s="18"/>
      <c r="AO973" s="18"/>
      <c r="AP973" s="18"/>
      <c r="AQ973" s="18"/>
      <c r="AR973" s="18"/>
      <c r="AS973" s="18"/>
      <c r="AU973" s="18"/>
      <c r="AV973" s="18"/>
    </row>
    <row r="974" spans="2:48" ht="15.75" customHeight="1">
      <c r="B974" s="16"/>
      <c r="H974" s="16"/>
      <c r="I974" s="16"/>
      <c r="J974" s="17"/>
      <c r="N974" s="16"/>
      <c r="O974" s="16"/>
      <c r="P974" s="16"/>
      <c r="AN974" s="18"/>
      <c r="AO974" s="18"/>
      <c r="AP974" s="18"/>
      <c r="AQ974" s="18"/>
      <c r="AR974" s="18"/>
      <c r="AS974" s="18"/>
      <c r="AU974" s="18"/>
      <c r="AV974" s="18"/>
    </row>
    <row r="975" spans="2:48" ht="15.75" customHeight="1">
      <c r="B975" s="16"/>
      <c r="H975" s="16"/>
      <c r="I975" s="16"/>
      <c r="J975" s="17"/>
      <c r="N975" s="16"/>
      <c r="O975" s="16"/>
      <c r="P975" s="16"/>
      <c r="AN975" s="18"/>
      <c r="AO975" s="18"/>
      <c r="AP975" s="18"/>
      <c r="AQ975" s="18"/>
      <c r="AR975" s="18"/>
      <c r="AS975" s="18"/>
      <c r="AU975" s="18"/>
      <c r="AV975" s="18"/>
    </row>
    <row r="976" spans="2:48" ht="15.75" customHeight="1">
      <c r="B976" s="16"/>
      <c r="H976" s="16"/>
      <c r="I976" s="16"/>
      <c r="J976" s="17"/>
      <c r="N976" s="16"/>
      <c r="O976" s="16"/>
      <c r="P976" s="16"/>
      <c r="AN976" s="18"/>
      <c r="AO976" s="18"/>
      <c r="AP976" s="18"/>
      <c r="AQ976" s="18"/>
      <c r="AR976" s="18"/>
      <c r="AS976" s="18"/>
      <c r="AU976" s="18"/>
      <c r="AV976" s="18"/>
    </row>
    <row r="977" spans="2:48" ht="15.75" customHeight="1">
      <c r="B977" s="16"/>
      <c r="H977" s="16"/>
      <c r="I977" s="16"/>
      <c r="J977" s="17"/>
      <c r="N977" s="16"/>
      <c r="O977" s="16"/>
      <c r="P977" s="16"/>
      <c r="AN977" s="18"/>
      <c r="AO977" s="18"/>
      <c r="AP977" s="18"/>
      <c r="AQ977" s="18"/>
      <c r="AR977" s="18"/>
      <c r="AS977" s="18"/>
      <c r="AU977" s="18"/>
      <c r="AV977" s="18"/>
    </row>
    <row r="978" spans="2:48" ht="15.75" customHeight="1">
      <c r="B978" s="16"/>
      <c r="H978" s="16"/>
      <c r="I978" s="16"/>
      <c r="J978" s="17"/>
      <c r="N978" s="16"/>
      <c r="O978" s="16"/>
      <c r="P978" s="16"/>
      <c r="AN978" s="18"/>
      <c r="AO978" s="18"/>
      <c r="AP978" s="18"/>
      <c r="AQ978" s="18"/>
      <c r="AR978" s="18"/>
      <c r="AS978" s="18"/>
      <c r="AU978" s="18"/>
      <c r="AV978" s="18"/>
    </row>
    <row r="979" spans="2:48" ht="15.75" customHeight="1">
      <c r="B979" s="16"/>
      <c r="H979" s="16"/>
      <c r="I979" s="16"/>
      <c r="J979" s="17"/>
      <c r="N979" s="16"/>
      <c r="O979" s="16"/>
      <c r="P979" s="16"/>
      <c r="AN979" s="18"/>
      <c r="AO979" s="18"/>
      <c r="AP979" s="18"/>
      <c r="AQ979" s="18"/>
      <c r="AR979" s="18"/>
      <c r="AS979" s="18"/>
      <c r="AU979" s="18"/>
      <c r="AV979" s="18"/>
    </row>
    <row r="980" spans="2:48" ht="15.75" customHeight="1">
      <c r="B980" s="16"/>
      <c r="H980" s="16"/>
      <c r="I980" s="16"/>
      <c r="J980" s="17"/>
      <c r="N980" s="16"/>
      <c r="O980" s="16"/>
      <c r="P980" s="16"/>
      <c r="AN980" s="18"/>
      <c r="AO980" s="18"/>
      <c r="AP980" s="18"/>
      <c r="AQ980" s="18"/>
      <c r="AR980" s="18"/>
      <c r="AS980" s="18"/>
      <c r="AU980" s="18"/>
      <c r="AV980" s="18"/>
    </row>
    <row r="981" spans="2:48" ht="15.75" customHeight="1">
      <c r="B981" s="16"/>
      <c r="H981" s="16"/>
      <c r="I981" s="16"/>
      <c r="J981" s="17"/>
      <c r="N981" s="16"/>
      <c r="O981" s="16"/>
      <c r="P981" s="16"/>
      <c r="AN981" s="18"/>
      <c r="AO981" s="18"/>
      <c r="AP981" s="18"/>
      <c r="AQ981" s="18"/>
      <c r="AR981" s="18"/>
      <c r="AS981" s="18"/>
      <c r="AU981" s="18"/>
      <c r="AV981" s="18"/>
    </row>
    <row r="982" spans="2:48" ht="15.75" customHeight="1">
      <c r="B982" s="16"/>
      <c r="H982" s="16"/>
      <c r="I982" s="16"/>
      <c r="J982" s="17"/>
      <c r="N982" s="16"/>
      <c r="O982" s="16"/>
      <c r="P982" s="16"/>
      <c r="AN982" s="18"/>
      <c r="AO982" s="18"/>
      <c r="AP982" s="18"/>
      <c r="AQ982" s="18"/>
      <c r="AR982" s="18"/>
      <c r="AS982" s="18"/>
      <c r="AU982" s="18"/>
      <c r="AV982" s="18"/>
    </row>
    <row r="983" spans="2:48" ht="15.75" customHeight="1">
      <c r="B983" s="16"/>
      <c r="H983" s="16"/>
      <c r="I983" s="16"/>
      <c r="J983" s="17"/>
      <c r="N983" s="16"/>
      <c r="O983" s="16"/>
      <c r="P983" s="16"/>
      <c r="AN983" s="18"/>
      <c r="AO983" s="18"/>
      <c r="AP983" s="18"/>
      <c r="AQ983" s="18"/>
      <c r="AR983" s="18"/>
      <c r="AS983" s="18"/>
      <c r="AU983" s="18"/>
      <c r="AV983" s="18"/>
    </row>
    <row r="984" spans="2:48" ht="15.75" customHeight="1">
      <c r="B984" s="16"/>
      <c r="H984" s="16"/>
      <c r="I984" s="16"/>
      <c r="J984" s="17"/>
      <c r="N984" s="16"/>
      <c r="O984" s="16"/>
      <c r="P984" s="16"/>
      <c r="AN984" s="18"/>
      <c r="AO984" s="18"/>
      <c r="AP984" s="18"/>
      <c r="AQ984" s="18"/>
      <c r="AR984" s="18"/>
      <c r="AS984" s="18"/>
      <c r="AU984" s="18"/>
      <c r="AV984" s="18"/>
    </row>
    <row r="985" spans="2:48" ht="15.75" customHeight="1">
      <c r="B985" s="16"/>
      <c r="H985" s="16"/>
      <c r="I985" s="16"/>
      <c r="J985" s="17"/>
      <c r="N985" s="16"/>
      <c r="O985" s="16"/>
      <c r="P985" s="16"/>
      <c r="AN985" s="18"/>
      <c r="AO985" s="18"/>
      <c r="AP985" s="18"/>
      <c r="AQ985" s="18"/>
      <c r="AR985" s="18"/>
      <c r="AS985" s="18"/>
      <c r="AU985" s="18"/>
      <c r="AV985" s="18"/>
    </row>
    <row r="986" spans="2:48" ht="15.75" customHeight="1">
      <c r="B986" s="16"/>
      <c r="H986" s="16"/>
      <c r="I986" s="16"/>
      <c r="J986" s="17"/>
      <c r="N986" s="16"/>
      <c r="O986" s="16"/>
      <c r="P986" s="16"/>
      <c r="AN986" s="18"/>
      <c r="AO986" s="18"/>
      <c r="AP986" s="18"/>
      <c r="AQ986" s="18"/>
      <c r="AR986" s="18"/>
      <c r="AS986" s="18"/>
      <c r="AU986" s="18"/>
      <c r="AV986" s="18"/>
    </row>
    <row r="987" spans="2:48" ht="15.75" customHeight="1">
      <c r="B987" s="16"/>
      <c r="H987" s="16"/>
      <c r="I987" s="16"/>
      <c r="J987" s="17"/>
      <c r="N987" s="16"/>
      <c r="O987" s="16"/>
      <c r="P987" s="16"/>
      <c r="AN987" s="18"/>
      <c r="AO987" s="18"/>
      <c r="AP987" s="18"/>
      <c r="AQ987" s="18"/>
      <c r="AR987" s="18"/>
      <c r="AS987" s="18"/>
      <c r="AU987" s="18"/>
      <c r="AV987" s="18"/>
    </row>
    <row r="988" spans="2:48" ht="15.75" customHeight="1">
      <c r="B988" s="16"/>
      <c r="H988" s="16"/>
      <c r="I988" s="16"/>
      <c r="J988" s="17"/>
      <c r="N988" s="16"/>
      <c r="O988" s="16"/>
      <c r="P988" s="16"/>
      <c r="AN988" s="18"/>
      <c r="AO988" s="18"/>
      <c r="AP988" s="18"/>
      <c r="AQ988" s="18"/>
      <c r="AR988" s="18"/>
      <c r="AS988" s="18"/>
      <c r="AU988" s="18"/>
      <c r="AV988" s="18"/>
    </row>
    <row r="989" spans="2:48" ht="15.75" customHeight="1">
      <c r="B989" s="16"/>
      <c r="H989" s="16"/>
      <c r="I989" s="16"/>
      <c r="J989" s="17"/>
      <c r="N989" s="16"/>
      <c r="O989" s="16"/>
      <c r="P989" s="16"/>
      <c r="AN989" s="18"/>
      <c r="AO989" s="18"/>
      <c r="AP989" s="18"/>
      <c r="AQ989" s="18"/>
      <c r="AR989" s="18"/>
      <c r="AS989" s="18"/>
      <c r="AU989" s="18"/>
      <c r="AV989" s="18"/>
    </row>
    <row r="990" spans="2:48" ht="15.75" customHeight="1">
      <c r="B990" s="16"/>
      <c r="H990" s="16"/>
      <c r="I990" s="16"/>
      <c r="J990" s="17"/>
      <c r="N990" s="16"/>
      <c r="O990" s="16"/>
      <c r="P990" s="16"/>
      <c r="AN990" s="18"/>
      <c r="AO990" s="18"/>
      <c r="AP990" s="18"/>
      <c r="AQ990" s="18"/>
      <c r="AR990" s="18"/>
      <c r="AS990" s="18"/>
      <c r="AU990" s="18"/>
      <c r="AV990" s="18"/>
    </row>
    <row r="991" spans="2:48" ht="15.75" customHeight="1">
      <c r="B991" s="16"/>
      <c r="H991" s="16"/>
      <c r="I991" s="16"/>
      <c r="J991" s="17"/>
      <c r="N991" s="16"/>
      <c r="O991" s="16"/>
      <c r="P991" s="16"/>
      <c r="AN991" s="18"/>
      <c r="AO991" s="18"/>
      <c r="AP991" s="18"/>
      <c r="AQ991" s="18"/>
      <c r="AR991" s="18"/>
      <c r="AS991" s="18"/>
      <c r="AU991" s="18"/>
      <c r="AV991" s="18"/>
    </row>
    <row r="992" spans="2:48" ht="15.75" customHeight="1">
      <c r="B992" s="16"/>
      <c r="H992" s="16"/>
      <c r="I992" s="16"/>
      <c r="J992" s="17"/>
      <c r="N992" s="16"/>
      <c r="O992" s="16"/>
      <c r="P992" s="16"/>
      <c r="AN992" s="18"/>
      <c r="AO992" s="18"/>
      <c r="AP992" s="18"/>
      <c r="AQ992" s="18"/>
      <c r="AR992" s="18"/>
      <c r="AS992" s="18"/>
      <c r="AU992" s="18"/>
      <c r="AV992" s="18"/>
    </row>
    <row r="993" spans="2:48" ht="15.75" customHeight="1">
      <c r="B993" s="16"/>
      <c r="H993" s="16"/>
      <c r="I993" s="16"/>
      <c r="J993" s="17"/>
      <c r="N993" s="16"/>
      <c r="O993" s="16"/>
      <c r="P993" s="16"/>
      <c r="AN993" s="18"/>
      <c r="AO993" s="18"/>
      <c r="AP993" s="18"/>
      <c r="AQ993" s="18"/>
      <c r="AR993" s="18"/>
      <c r="AS993" s="18"/>
      <c r="AU993" s="18"/>
      <c r="AV993" s="18"/>
    </row>
    <row r="994" spans="2:48" ht="15.75" customHeight="1">
      <c r="B994" s="16"/>
      <c r="H994" s="16"/>
      <c r="I994" s="16"/>
      <c r="J994" s="17"/>
      <c r="N994" s="16"/>
      <c r="O994" s="16"/>
      <c r="P994" s="16"/>
      <c r="AN994" s="18"/>
      <c r="AO994" s="18"/>
      <c r="AP994" s="18"/>
      <c r="AQ994" s="18"/>
      <c r="AR994" s="18"/>
      <c r="AS994" s="18"/>
      <c r="AU994" s="18"/>
      <c r="AV994" s="18"/>
    </row>
    <row r="995" spans="2:48" ht="15.75" customHeight="1">
      <c r="B995" s="16"/>
      <c r="H995" s="16"/>
      <c r="I995" s="16"/>
      <c r="J995" s="17"/>
      <c r="N995" s="16"/>
      <c r="O995" s="16"/>
      <c r="P995" s="16"/>
      <c r="AN995" s="18"/>
      <c r="AO995" s="18"/>
      <c r="AP995" s="18"/>
      <c r="AQ995" s="18"/>
      <c r="AR995" s="18"/>
      <c r="AS995" s="18"/>
      <c r="AU995" s="18"/>
      <c r="AV995" s="18"/>
    </row>
    <row r="996" spans="2:48" ht="15.75" customHeight="1">
      <c r="B996" s="16"/>
      <c r="H996" s="16"/>
      <c r="I996" s="16"/>
      <c r="J996" s="17"/>
      <c r="N996" s="16"/>
      <c r="O996" s="16"/>
      <c r="P996" s="16"/>
      <c r="AN996" s="18"/>
      <c r="AO996" s="18"/>
      <c r="AP996" s="18"/>
      <c r="AQ996" s="18"/>
      <c r="AR996" s="18"/>
      <c r="AS996" s="18"/>
      <c r="AU996" s="18"/>
      <c r="AV996" s="18"/>
    </row>
    <row r="997" spans="2:48" ht="15.75" customHeight="1">
      <c r="B997" s="16"/>
      <c r="H997" s="16"/>
      <c r="I997" s="16"/>
      <c r="J997" s="17"/>
      <c r="N997" s="16"/>
      <c r="O997" s="16"/>
      <c r="P997" s="16"/>
      <c r="AN997" s="18"/>
      <c r="AO997" s="18"/>
      <c r="AP997" s="18"/>
      <c r="AQ997" s="18"/>
      <c r="AR997" s="18"/>
      <c r="AS997" s="18"/>
      <c r="AU997" s="18"/>
      <c r="AV997" s="18"/>
    </row>
    <row r="998" spans="2:48" ht="15.75" customHeight="1">
      <c r="B998" s="16"/>
      <c r="H998" s="16"/>
      <c r="I998" s="16"/>
      <c r="J998" s="17"/>
      <c r="N998" s="16"/>
      <c r="O998" s="16"/>
      <c r="P998" s="16"/>
      <c r="AN998" s="18"/>
      <c r="AO998" s="18"/>
      <c r="AP998" s="18"/>
      <c r="AQ998" s="18"/>
      <c r="AR998" s="18"/>
      <c r="AS998" s="18"/>
      <c r="AU998" s="18"/>
      <c r="AV998" s="18"/>
    </row>
    <row r="999" spans="2:48" ht="15.75" customHeight="1">
      <c r="B999" s="16"/>
      <c r="H999" s="16"/>
      <c r="I999" s="16"/>
      <c r="J999" s="17"/>
      <c r="N999" s="16"/>
      <c r="O999" s="16"/>
      <c r="P999" s="16"/>
      <c r="AN999" s="18"/>
      <c r="AO999" s="18"/>
      <c r="AP999" s="18"/>
      <c r="AQ999" s="18"/>
      <c r="AR999" s="18"/>
      <c r="AS999" s="18"/>
      <c r="AU999" s="18"/>
      <c r="AV999" s="18"/>
    </row>
    <row r="1000" spans="2:48" ht="15.75" customHeight="1">
      <c r="B1000" s="16"/>
      <c r="H1000" s="16"/>
      <c r="I1000" s="16"/>
      <c r="J1000" s="17"/>
      <c r="N1000" s="16"/>
      <c r="O1000" s="16"/>
      <c r="P1000" s="16"/>
      <c r="AN1000" s="18"/>
      <c r="AO1000" s="18"/>
      <c r="AP1000" s="18"/>
      <c r="AQ1000" s="18"/>
      <c r="AR1000" s="18"/>
      <c r="AS1000" s="18"/>
      <c r="AU1000" s="18"/>
      <c r="AV1000" s="18"/>
    </row>
    <row r="1001" spans="2:48" ht="15.75" customHeight="1">
      <c r="B1001" s="16"/>
      <c r="H1001" s="16"/>
      <c r="I1001" s="16"/>
      <c r="J1001" s="17"/>
      <c r="N1001" s="16"/>
      <c r="O1001" s="16"/>
      <c r="P1001" s="16"/>
      <c r="AN1001" s="18"/>
      <c r="AO1001" s="18"/>
      <c r="AP1001" s="18"/>
      <c r="AQ1001" s="18"/>
      <c r="AR1001" s="18"/>
      <c r="AS1001" s="18"/>
      <c r="AU1001" s="18"/>
      <c r="AV1001" s="18"/>
    </row>
    <row r="1002" spans="2:48" ht="15.75" customHeight="1">
      <c r="B1002" s="16"/>
      <c r="H1002" s="16"/>
      <c r="I1002" s="16"/>
      <c r="J1002" s="17"/>
      <c r="N1002" s="16"/>
      <c r="O1002" s="16"/>
      <c r="P1002" s="16"/>
      <c r="AN1002" s="18"/>
      <c r="AO1002" s="18"/>
      <c r="AP1002" s="18"/>
      <c r="AQ1002" s="18"/>
      <c r="AR1002" s="18"/>
      <c r="AS1002" s="18"/>
      <c r="AU1002" s="18"/>
      <c r="AV1002" s="18"/>
    </row>
    <row r="1003" spans="2:48" ht="15.75" customHeight="1">
      <c r="B1003" s="16"/>
      <c r="H1003" s="16"/>
      <c r="I1003" s="16"/>
      <c r="J1003" s="17"/>
      <c r="N1003" s="16"/>
      <c r="O1003" s="16"/>
      <c r="P1003" s="16"/>
      <c r="AN1003" s="18"/>
      <c r="AO1003" s="18"/>
      <c r="AP1003" s="18"/>
      <c r="AQ1003" s="18"/>
      <c r="AR1003" s="18"/>
      <c r="AS1003" s="18"/>
      <c r="AU1003" s="18"/>
      <c r="AV1003" s="18"/>
    </row>
    <row r="1004" spans="2:48" ht="15.75" customHeight="1">
      <c r="B1004" s="16"/>
      <c r="H1004" s="16"/>
      <c r="I1004" s="16"/>
      <c r="J1004" s="17"/>
      <c r="N1004" s="16"/>
      <c r="O1004" s="16"/>
      <c r="P1004" s="16"/>
      <c r="AN1004" s="18"/>
      <c r="AO1004" s="18"/>
      <c r="AP1004" s="18"/>
      <c r="AQ1004" s="18"/>
      <c r="AR1004" s="18"/>
      <c r="AS1004" s="18"/>
      <c r="AU1004" s="18"/>
      <c r="AV1004" s="18"/>
    </row>
    <row r="1005" spans="2:48" ht="15.75" customHeight="1">
      <c r="B1005" s="16"/>
      <c r="H1005" s="16"/>
      <c r="I1005" s="16"/>
      <c r="J1005" s="17"/>
      <c r="N1005" s="16"/>
      <c r="O1005" s="16"/>
      <c r="P1005" s="16"/>
      <c r="AN1005" s="18"/>
      <c r="AO1005" s="18"/>
      <c r="AP1005" s="18"/>
      <c r="AQ1005" s="18"/>
      <c r="AR1005" s="18"/>
      <c r="AS1005" s="18"/>
      <c r="AU1005" s="18"/>
      <c r="AV1005" s="18"/>
    </row>
    <row r="1006" spans="2:48" ht="15.75" customHeight="1">
      <c r="B1006" s="16"/>
      <c r="H1006" s="16"/>
      <c r="I1006" s="16"/>
      <c r="J1006" s="17"/>
      <c r="N1006" s="16"/>
      <c r="O1006" s="16"/>
      <c r="P1006" s="16"/>
      <c r="AN1006" s="18"/>
      <c r="AO1006" s="18"/>
      <c r="AP1006" s="18"/>
      <c r="AQ1006" s="18"/>
      <c r="AR1006" s="18"/>
      <c r="AS1006" s="18"/>
      <c r="AU1006" s="18"/>
      <c r="AV1006" s="18"/>
    </row>
    <row r="1007" spans="2:48" ht="15.75" customHeight="1">
      <c r="B1007" s="16"/>
      <c r="H1007" s="16"/>
      <c r="I1007" s="16"/>
      <c r="J1007" s="17"/>
      <c r="N1007" s="16"/>
      <c r="O1007" s="16"/>
      <c r="P1007" s="16"/>
      <c r="AN1007" s="18"/>
      <c r="AO1007" s="18"/>
      <c r="AP1007" s="18"/>
      <c r="AQ1007" s="18"/>
      <c r="AR1007" s="18"/>
      <c r="AS1007" s="18"/>
      <c r="AU1007" s="18"/>
      <c r="AV1007" s="18"/>
    </row>
    <row r="1008" spans="2:48" ht="15.75" customHeight="1">
      <c r="B1008" s="16"/>
      <c r="H1008" s="16"/>
      <c r="I1008" s="16"/>
      <c r="J1008" s="17"/>
      <c r="N1008" s="16"/>
      <c r="O1008" s="16"/>
      <c r="P1008" s="16"/>
      <c r="AN1008" s="18"/>
      <c r="AO1008" s="18"/>
      <c r="AP1008" s="18"/>
      <c r="AQ1008" s="18"/>
      <c r="AR1008" s="18"/>
      <c r="AS1008" s="18"/>
      <c r="AU1008" s="18"/>
      <c r="AV1008" s="18"/>
    </row>
    <row r="1009" spans="2:48" ht="15.75" customHeight="1">
      <c r="B1009" s="16"/>
      <c r="H1009" s="16"/>
      <c r="I1009" s="16"/>
      <c r="J1009" s="17"/>
      <c r="N1009" s="16"/>
      <c r="O1009" s="16"/>
      <c r="P1009" s="16"/>
      <c r="AN1009" s="18"/>
      <c r="AO1009" s="18"/>
      <c r="AP1009" s="18"/>
      <c r="AQ1009" s="18"/>
      <c r="AR1009" s="18"/>
      <c r="AS1009" s="18"/>
      <c r="AU1009" s="18"/>
      <c r="AV1009" s="18"/>
    </row>
    <row r="1010" spans="2:48" ht="15.75" customHeight="1">
      <c r="B1010" s="16"/>
      <c r="H1010" s="16"/>
      <c r="I1010" s="16"/>
      <c r="J1010" s="17"/>
      <c r="N1010" s="16"/>
      <c r="O1010" s="16"/>
      <c r="P1010" s="16"/>
      <c r="AN1010" s="18"/>
      <c r="AO1010" s="18"/>
      <c r="AP1010" s="18"/>
      <c r="AQ1010" s="18"/>
      <c r="AR1010" s="18"/>
      <c r="AS1010" s="18"/>
      <c r="AU1010" s="18"/>
      <c r="AV1010" s="18"/>
    </row>
    <row r="1011" spans="2:48" ht="15.75" customHeight="1">
      <c r="B1011" s="16"/>
      <c r="H1011" s="16"/>
      <c r="I1011" s="16"/>
      <c r="J1011" s="17"/>
      <c r="N1011" s="16"/>
      <c r="O1011" s="16"/>
      <c r="P1011" s="16"/>
      <c r="AN1011" s="18"/>
      <c r="AO1011" s="18"/>
      <c r="AP1011" s="18"/>
      <c r="AQ1011" s="18"/>
      <c r="AR1011" s="18"/>
      <c r="AS1011" s="18"/>
      <c r="AU1011" s="18"/>
      <c r="AV1011" s="18"/>
    </row>
    <row r="1012" spans="2:48" ht="15.75" customHeight="1">
      <c r="B1012" s="16"/>
      <c r="H1012" s="16"/>
      <c r="I1012" s="16"/>
      <c r="J1012" s="17"/>
      <c r="N1012" s="16"/>
      <c r="O1012" s="16"/>
      <c r="P1012" s="16"/>
      <c r="AN1012" s="18"/>
      <c r="AO1012" s="18"/>
      <c r="AP1012" s="18"/>
      <c r="AQ1012" s="18"/>
      <c r="AR1012" s="18"/>
      <c r="AS1012" s="18"/>
      <c r="AU1012" s="18"/>
      <c r="AV1012" s="18"/>
    </row>
    <row r="1013" spans="2:48" ht="15.75" customHeight="1">
      <c r="B1013" s="16"/>
      <c r="H1013" s="16"/>
      <c r="I1013" s="16"/>
      <c r="J1013" s="17"/>
      <c r="N1013" s="16"/>
      <c r="O1013" s="16"/>
      <c r="P1013" s="16"/>
      <c r="AN1013" s="18"/>
      <c r="AO1013" s="18"/>
      <c r="AP1013" s="18"/>
      <c r="AQ1013" s="18"/>
      <c r="AR1013" s="18"/>
      <c r="AS1013" s="18"/>
      <c r="AU1013" s="18"/>
      <c r="AV1013" s="18"/>
    </row>
    <row r="1014" spans="2:48" ht="15.75" customHeight="1">
      <c r="B1014" s="16"/>
      <c r="H1014" s="16"/>
      <c r="I1014" s="16"/>
      <c r="J1014" s="17"/>
      <c r="N1014" s="16"/>
      <c r="O1014" s="16"/>
      <c r="P1014" s="16"/>
      <c r="AN1014" s="18"/>
      <c r="AO1014" s="18"/>
      <c r="AP1014" s="18"/>
      <c r="AQ1014" s="18"/>
      <c r="AR1014" s="18"/>
      <c r="AS1014" s="18"/>
      <c r="AU1014" s="18"/>
      <c r="AV1014" s="18"/>
    </row>
    <row r="1015" spans="2:48" ht="15.75" customHeight="1">
      <c r="B1015" s="16"/>
      <c r="H1015" s="16"/>
      <c r="I1015" s="16"/>
      <c r="J1015" s="17"/>
      <c r="N1015" s="16"/>
      <c r="O1015" s="16"/>
      <c r="P1015" s="16"/>
      <c r="AN1015" s="18"/>
      <c r="AO1015" s="18"/>
      <c r="AP1015" s="18"/>
      <c r="AQ1015" s="18"/>
      <c r="AR1015" s="18"/>
      <c r="AS1015" s="18"/>
      <c r="AU1015" s="18"/>
      <c r="AV1015" s="18"/>
    </row>
    <row r="1016" spans="2:48" ht="15.75" customHeight="1">
      <c r="B1016" s="16"/>
      <c r="H1016" s="16"/>
      <c r="I1016" s="16"/>
      <c r="J1016" s="17"/>
      <c r="N1016" s="16"/>
      <c r="O1016" s="16"/>
      <c r="P1016" s="16"/>
      <c r="AN1016" s="18"/>
      <c r="AO1016" s="18"/>
      <c r="AP1016" s="18"/>
      <c r="AQ1016" s="18"/>
      <c r="AR1016" s="18"/>
      <c r="AS1016" s="18"/>
      <c r="AU1016" s="18"/>
      <c r="AV1016" s="18"/>
    </row>
    <row r="1017" spans="2:48" ht="15.75" customHeight="1">
      <c r="B1017" s="16"/>
      <c r="H1017" s="16"/>
      <c r="I1017" s="16"/>
      <c r="J1017" s="17"/>
      <c r="N1017" s="16"/>
      <c r="O1017" s="16"/>
      <c r="P1017" s="16"/>
      <c r="AN1017" s="18"/>
      <c r="AO1017" s="18"/>
      <c r="AP1017" s="18"/>
      <c r="AQ1017" s="18"/>
      <c r="AR1017" s="18"/>
      <c r="AS1017" s="18"/>
      <c r="AU1017" s="18"/>
      <c r="AV1017" s="18"/>
    </row>
    <row r="1018" spans="2:48" ht="15.75" customHeight="1">
      <c r="B1018" s="16"/>
      <c r="H1018" s="16"/>
      <c r="I1018" s="16"/>
      <c r="J1018" s="17"/>
      <c r="N1018" s="16"/>
      <c r="O1018" s="16"/>
      <c r="P1018" s="16"/>
      <c r="AN1018" s="18"/>
      <c r="AO1018" s="18"/>
      <c r="AP1018" s="18"/>
      <c r="AQ1018" s="18"/>
      <c r="AR1018" s="18"/>
      <c r="AS1018" s="18"/>
      <c r="AU1018" s="18"/>
      <c r="AV1018" s="18"/>
    </row>
    <row r="1019" spans="2:48" ht="15.75" customHeight="1">
      <c r="B1019" s="16"/>
      <c r="H1019" s="16"/>
      <c r="I1019" s="16"/>
      <c r="J1019" s="17"/>
      <c r="N1019" s="16"/>
      <c r="O1019" s="16"/>
      <c r="P1019" s="16"/>
      <c r="AN1019" s="18"/>
      <c r="AO1019" s="18"/>
      <c r="AP1019" s="18"/>
      <c r="AQ1019" s="18"/>
      <c r="AR1019" s="18"/>
      <c r="AS1019" s="18"/>
      <c r="AU1019" s="18"/>
      <c r="AV1019" s="18"/>
    </row>
    <row r="1020" spans="2:48" ht="15.75" customHeight="1">
      <c r="B1020" s="16"/>
      <c r="H1020" s="16"/>
      <c r="I1020" s="16"/>
      <c r="J1020" s="17"/>
      <c r="N1020" s="16"/>
      <c r="O1020" s="16"/>
      <c r="P1020" s="16"/>
      <c r="AN1020" s="18"/>
      <c r="AO1020" s="18"/>
      <c r="AP1020" s="18"/>
      <c r="AQ1020" s="18"/>
      <c r="AR1020" s="18"/>
      <c r="AS1020" s="18"/>
      <c r="AU1020" s="18"/>
      <c r="AV1020" s="18"/>
    </row>
    <row r="1021" spans="2:48" ht="15.75" customHeight="1">
      <c r="B1021" s="16"/>
      <c r="H1021" s="16"/>
      <c r="I1021" s="16"/>
      <c r="J1021" s="17"/>
      <c r="N1021" s="16"/>
      <c r="O1021" s="16"/>
      <c r="P1021" s="16"/>
      <c r="AN1021" s="18"/>
      <c r="AO1021" s="18"/>
      <c r="AP1021" s="18"/>
      <c r="AQ1021" s="18"/>
      <c r="AR1021" s="18"/>
      <c r="AS1021" s="18"/>
      <c r="AU1021" s="18"/>
      <c r="AV1021" s="18"/>
    </row>
    <row r="1022" spans="2:48" ht="15.75" customHeight="1">
      <c r="B1022" s="16"/>
      <c r="H1022" s="16"/>
      <c r="I1022" s="16"/>
      <c r="J1022" s="17"/>
      <c r="N1022" s="16"/>
      <c r="O1022" s="16"/>
      <c r="P1022" s="16"/>
      <c r="AN1022" s="18"/>
      <c r="AO1022" s="18"/>
      <c r="AP1022" s="18"/>
      <c r="AQ1022" s="18"/>
      <c r="AR1022" s="18"/>
      <c r="AS1022" s="18"/>
      <c r="AU1022" s="18"/>
      <c r="AV1022" s="18"/>
    </row>
    <row r="1023" spans="2:48" ht="15.75" customHeight="1">
      <c r="B1023" s="16"/>
      <c r="H1023" s="16"/>
      <c r="I1023" s="16"/>
      <c r="J1023" s="17"/>
      <c r="N1023" s="16"/>
      <c r="O1023" s="16"/>
      <c r="P1023" s="16"/>
      <c r="AN1023" s="18"/>
      <c r="AO1023" s="18"/>
      <c r="AP1023" s="18"/>
      <c r="AQ1023" s="18"/>
      <c r="AR1023" s="18"/>
      <c r="AS1023" s="18"/>
      <c r="AU1023" s="18"/>
      <c r="AV1023" s="18"/>
    </row>
    <row r="1024" spans="2:48" ht="15.75" customHeight="1">
      <c r="B1024" s="16"/>
      <c r="H1024" s="16"/>
      <c r="I1024" s="16"/>
      <c r="J1024" s="17"/>
      <c r="N1024" s="16"/>
      <c r="O1024" s="16"/>
      <c r="P1024" s="16"/>
      <c r="AN1024" s="18"/>
      <c r="AO1024" s="18"/>
      <c r="AP1024" s="18"/>
      <c r="AQ1024" s="18"/>
      <c r="AR1024" s="18"/>
      <c r="AS1024" s="18"/>
      <c r="AU1024" s="18"/>
      <c r="AV1024" s="18"/>
    </row>
    <row r="1025" spans="2:48" ht="15.75" customHeight="1">
      <c r="B1025" s="16"/>
      <c r="H1025" s="16"/>
      <c r="I1025" s="16"/>
      <c r="J1025" s="17"/>
      <c r="N1025" s="16"/>
      <c r="O1025" s="16"/>
      <c r="P1025" s="16"/>
      <c r="AN1025" s="18"/>
      <c r="AO1025" s="18"/>
      <c r="AP1025" s="18"/>
      <c r="AQ1025" s="18"/>
      <c r="AR1025" s="18"/>
      <c r="AS1025" s="18"/>
      <c r="AU1025" s="18"/>
      <c r="AV1025" s="18"/>
    </row>
    <row r="1026" spans="2:48" ht="15.75" customHeight="1">
      <c r="B1026" s="16"/>
      <c r="H1026" s="16"/>
      <c r="I1026" s="16"/>
      <c r="J1026" s="17"/>
      <c r="N1026" s="16"/>
      <c r="O1026" s="16"/>
      <c r="P1026" s="16"/>
      <c r="AN1026" s="18"/>
      <c r="AO1026" s="18"/>
      <c r="AP1026" s="18"/>
      <c r="AQ1026" s="18"/>
      <c r="AR1026" s="18"/>
      <c r="AS1026" s="18"/>
      <c r="AU1026" s="18"/>
      <c r="AV1026" s="18"/>
    </row>
    <row r="1027" spans="2:48" ht="15.75" customHeight="1">
      <c r="B1027" s="16"/>
      <c r="H1027" s="16"/>
      <c r="I1027" s="16"/>
      <c r="J1027" s="17"/>
      <c r="N1027" s="16"/>
      <c r="O1027" s="16"/>
      <c r="P1027" s="16"/>
      <c r="AN1027" s="18"/>
      <c r="AO1027" s="18"/>
      <c r="AP1027" s="18"/>
      <c r="AQ1027" s="18"/>
      <c r="AR1027" s="18"/>
      <c r="AS1027" s="18"/>
      <c r="AU1027" s="18"/>
      <c r="AV1027" s="18"/>
    </row>
    <row r="1028" spans="2:48" ht="15.75" customHeight="1">
      <c r="B1028" s="16"/>
      <c r="H1028" s="16"/>
      <c r="I1028" s="16"/>
      <c r="J1028" s="17"/>
      <c r="N1028" s="16"/>
      <c r="O1028" s="16"/>
      <c r="P1028" s="16"/>
      <c r="AN1028" s="18"/>
      <c r="AO1028" s="18"/>
      <c r="AP1028" s="18"/>
      <c r="AQ1028" s="18"/>
      <c r="AR1028" s="18"/>
      <c r="AS1028" s="18"/>
      <c r="AU1028" s="18"/>
      <c r="AV1028" s="18"/>
    </row>
    <row r="1029" spans="2:48" ht="15.75" customHeight="1">
      <c r="B1029" s="16"/>
      <c r="H1029" s="16"/>
      <c r="I1029" s="16"/>
      <c r="J1029" s="17"/>
      <c r="N1029" s="16"/>
      <c r="O1029" s="16"/>
      <c r="P1029" s="16"/>
      <c r="AN1029" s="18"/>
      <c r="AO1029" s="18"/>
      <c r="AP1029" s="18"/>
      <c r="AQ1029" s="18"/>
      <c r="AR1029" s="18"/>
      <c r="AS1029" s="18"/>
      <c r="AU1029" s="18"/>
      <c r="AV1029" s="18"/>
    </row>
    <row r="1030" spans="2:48" ht="15.75" customHeight="1">
      <c r="B1030" s="16"/>
      <c r="H1030" s="16"/>
      <c r="I1030" s="16"/>
      <c r="J1030" s="17"/>
      <c r="N1030" s="16"/>
      <c r="O1030" s="16"/>
      <c r="P1030" s="16"/>
      <c r="AN1030" s="18"/>
      <c r="AO1030" s="18"/>
      <c r="AP1030" s="18"/>
      <c r="AQ1030" s="18"/>
      <c r="AR1030" s="18"/>
      <c r="AS1030" s="18"/>
      <c r="AU1030" s="18"/>
      <c r="AV1030" s="18"/>
    </row>
    <row r="1031" spans="2:48" ht="15.75" customHeight="1">
      <c r="B1031" s="16"/>
      <c r="H1031" s="16"/>
      <c r="I1031" s="16"/>
      <c r="J1031" s="17"/>
      <c r="N1031" s="16"/>
      <c r="O1031" s="16"/>
      <c r="P1031" s="16"/>
      <c r="AN1031" s="18"/>
      <c r="AO1031" s="18"/>
      <c r="AP1031" s="18"/>
      <c r="AQ1031" s="18"/>
      <c r="AR1031" s="18"/>
      <c r="AS1031" s="18"/>
      <c r="AU1031" s="18"/>
      <c r="AV1031" s="18"/>
    </row>
    <row r="1032" spans="2:48" ht="15.75" customHeight="1">
      <c r="B1032" s="16"/>
      <c r="H1032" s="16"/>
      <c r="I1032" s="16"/>
      <c r="J1032" s="17"/>
      <c r="N1032" s="16"/>
      <c r="O1032" s="16"/>
      <c r="P1032" s="16"/>
      <c r="AN1032" s="18"/>
      <c r="AO1032" s="18"/>
      <c r="AP1032" s="18"/>
      <c r="AQ1032" s="18"/>
      <c r="AR1032" s="18"/>
      <c r="AS1032" s="18"/>
      <c r="AU1032" s="18"/>
      <c r="AV1032" s="18"/>
    </row>
    <row r="1033" spans="2:48" ht="15.75" customHeight="1">
      <c r="B1033" s="16"/>
      <c r="H1033" s="16"/>
      <c r="I1033" s="16"/>
      <c r="J1033" s="17"/>
      <c r="N1033" s="16"/>
      <c r="O1033" s="16"/>
      <c r="P1033" s="16"/>
      <c r="AN1033" s="18"/>
      <c r="AO1033" s="18"/>
      <c r="AP1033" s="18"/>
      <c r="AQ1033" s="18"/>
      <c r="AR1033" s="18"/>
      <c r="AS1033" s="18"/>
      <c r="AU1033" s="18"/>
      <c r="AV1033" s="18"/>
    </row>
    <row r="1034" spans="2:48" ht="15.75" customHeight="1">
      <c r="B1034" s="16"/>
      <c r="H1034" s="16"/>
      <c r="I1034" s="16"/>
      <c r="J1034" s="17"/>
      <c r="N1034" s="16"/>
      <c r="O1034" s="16"/>
      <c r="P1034" s="16"/>
      <c r="AN1034" s="18"/>
      <c r="AO1034" s="18"/>
      <c r="AP1034" s="18"/>
      <c r="AQ1034" s="18"/>
      <c r="AR1034" s="18"/>
      <c r="AS1034" s="18"/>
      <c r="AU1034" s="18"/>
      <c r="AV1034" s="18"/>
    </row>
    <row r="1035" spans="2:48" ht="15.75" customHeight="1">
      <c r="B1035" s="16"/>
      <c r="H1035" s="16"/>
      <c r="I1035" s="16"/>
      <c r="J1035" s="17"/>
      <c r="N1035" s="16"/>
      <c r="O1035" s="16"/>
      <c r="P1035" s="16"/>
      <c r="AN1035" s="18"/>
      <c r="AO1035" s="18"/>
      <c r="AP1035" s="18"/>
      <c r="AQ1035" s="18"/>
      <c r="AR1035" s="18"/>
      <c r="AS1035" s="18"/>
      <c r="AU1035" s="18"/>
      <c r="AV1035" s="18"/>
    </row>
    <row r="1036" spans="2:48" ht="15.75" customHeight="1">
      <c r="B1036" s="16"/>
      <c r="H1036" s="16"/>
      <c r="I1036" s="16"/>
      <c r="J1036" s="17"/>
      <c r="N1036" s="16"/>
      <c r="O1036" s="16"/>
      <c r="P1036" s="16"/>
      <c r="AN1036" s="18"/>
      <c r="AO1036" s="18"/>
      <c r="AP1036" s="18"/>
      <c r="AQ1036" s="18"/>
      <c r="AR1036" s="18"/>
      <c r="AS1036" s="18"/>
      <c r="AU1036" s="18"/>
      <c r="AV1036" s="18"/>
    </row>
    <row r="1037" spans="2:48" ht="15.75" customHeight="1">
      <c r="B1037" s="16"/>
      <c r="H1037" s="16"/>
      <c r="I1037" s="16"/>
      <c r="J1037" s="17"/>
      <c r="N1037" s="16"/>
      <c r="O1037" s="16"/>
      <c r="P1037" s="16"/>
      <c r="AN1037" s="18"/>
      <c r="AO1037" s="18"/>
      <c r="AP1037" s="18"/>
      <c r="AQ1037" s="18"/>
      <c r="AR1037" s="18"/>
      <c r="AS1037" s="18"/>
      <c r="AU1037" s="18"/>
      <c r="AV1037" s="18"/>
    </row>
    <row r="1038" spans="2:48" ht="15.75" customHeight="1">
      <c r="B1038" s="16"/>
      <c r="H1038" s="16"/>
      <c r="I1038" s="16"/>
      <c r="J1038" s="17"/>
      <c r="N1038" s="16"/>
      <c r="O1038" s="16"/>
      <c r="P1038" s="16"/>
      <c r="AN1038" s="18"/>
      <c r="AO1038" s="18"/>
      <c r="AP1038" s="18"/>
      <c r="AQ1038" s="18"/>
      <c r="AR1038" s="18"/>
      <c r="AS1038" s="18"/>
      <c r="AU1038" s="18"/>
      <c r="AV1038" s="18"/>
    </row>
    <row r="1039" spans="2:48" ht="15.75" customHeight="1">
      <c r="B1039" s="16"/>
      <c r="H1039" s="16"/>
      <c r="I1039" s="16"/>
      <c r="J1039" s="17"/>
      <c r="N1039" s="16"/>
      <c r="O1039" s="16"/>
      <c r="P1039" s="16"/>
      <c r="AN1039" s="18"/>
      <c r="AO1039" s="18"/>
      <c r="AP1039" s="18"/>
      <c r="AQ1039" s="18"/>
      <c r="AR1039" s="18"/>
      <c r="AS1039" s="18"/>
      <c r="AU1039" s="18"/>
      <c r="AV1039" s="18"/>
    </row>
    <row r="1040" spans="2:48" ht="15.75" customHeight="1">
      <c r="B1040" s="16"/>
      <c r="H1040" s="16"/>
      <c r="I1040" s="16"/>
      <c r="J1040" s="17"/>
      <c r="N1040" s="16"/>
      <c r="O1040" s="16"/>
      <c r="P1040" s="16"/>
      <c r="AN1040" s="18"/>
      <c r="AO1040" s="18"/>
      <c r="AP1040" s="18"/>
      <c r="AQ1040" s="18"/>
      <c r="AR1040" s="18"/>
      <c r="AS1040" s="18"/>
      <c r="AU1040" s="18"/>
      <c r="AV1040" s="18"/>
    </row>
    <row r="1041" spans="2:48" ht="15.75" customHeight="1">
      <c r="B1041" s="16"/>
      <c r="H1041" s="16"/>
      <c r="I1041" s="16"/>
      <c r="J1041" s="17"/>
      <c r="N1041" s="16"/>
      <c r="O1041" s="16"/>
      <c r="P1041" s="16"/>
      <c r="AN1041" s="18"/>
      <c r="AO1041" s="18"/>
      <c r="AP1041" s="18"/>
      <c r="AQ1041" s="18"/>
      <c r="AR1041" s="18"/>
      <c r="AS1041" s="18"/>
      <c r="AU1041" s="18"/>
      <c r="AV1041" s="18"/>
    </row>
    <row r="1042" spans="2:48" ht="15.75" customHeight="1">
      <c r="B1042" s="16"/>
      <c r="H1042" s="16"/>
      <c r="I1042" s="16"/>
      <c r="J1042" s="17"/>
      <c r="N1042" s="16"/>
      <c r="O1042" s="16"/>
      <c r="P1042" s="16"/>
    </row>
    <row r="1043" spans="2:48" ht="15.75" customHeight="1">
      <c r="B1043" s="16"/>
      <c r="H1043" s="16"/>
      <c r="I1043" s="16"/>
      <c r="J1043" s="17"/>
      <c r="N1043" s="16"/>
      <c r="O1043" s="16"/>
      <c r="P1043" s="16"/>
    </row>
    <row r="1044" spans="2:48" ht="15.75" customHeight="1">
      <c r="B1044" s="16"/>
      <c r="H1044" s="16"/>
      <c r="I1044" s="16"/>
      <c r="J1044" s="17"/>
      <c r="N1044" s="16"/>
      <c r="O1044" s="16"/>
      <c r="P1044" s="16"/>
    </row>
    <row r="1045" spans="2:48" ht="15.75" customHeight="1">
      <c r="B1045" s="16"/>
      <c r="H1045" s="16"/>
      <c r="I1045" s="16"/>
      <c r="J1045" s="17"/>
      <c r="N1045" s="16"/>
      <c r="O1045" s="16"/>
      <c r="P1045" s="16"/>
    </row>
    <row r="1046" spans="2:48" ht="15.75" customHeight="1">
      <c r="B1046" s="16"/>
      <c r="H1046" s="16"/>
      <c r="I1046" s="16"/>
      <c r="J1046" s="17"/>
      <c r="N1046" s="16"/>
      <c r="O1046" s="16"/>
      <c r="P1046" s="16"/>
    </row>
    <row r="1047" spans="2:48" ht="15.75" customHeight="1">
      <c r="B1047" s="16"/>
      <c r="H1047" s="16"/>
      <c r="I1047" s="16"/>
      <c r="J1047" s="17"/>
      <c r="N1047" s="16"/>
      <c r="O1047" s="16"/>
      <c r="P1047" s="16"/>
    </row>
    <row r="1048" spans="2:48" ht="15.75" customHeight="1">
      <c r="B1048" s="16"/>
      <c r="H1048" s="16"/>
      <c r="I1048" s="16"/>
      <c r="J1048" s="17"/>
      <c r="N1048" s="16"/>
      <c r="O1048" s="16"/>
      <c r="P1048" s="16"/>
    </row>
    <row r="1049" spans="2:48" ht="15.75" customHeight="1">
      <c r="B1049" s="16"/>
      <c r="H1049" s="16"/>
      <c r="I1049" s="16"/>
      <c r="J1049" s="17"/>
      <c r="N1049" s="16"/>
      <c r="O1049" s="16"/>
      <c r="P1049" s="16"/>
    </row>
    <row r="1050" spans="2:48" ht="15.75" customHeight="1">
      <c r="B1050" s="16"/>
      <c r="H1050" s="16"/>
      <c r="I1050" s="16"/>
      <c r="J1050" s="17"/>
      <c r="N1050" s="16"/>
      <c r="O1050" s="16"/>
      <c r="P1050" s="16"/>
    </row>
    <row r="1051" spans="2:48" ht="15.75" customHeight="1">
      <c r="B1051" s="16"/>
      <c r="H1051" s="16"/>
      <c r="I1051" s="16"/>
      <c r="J1051" s="17"/>
      <c r="N1051" s="16"/>
      <c r="O1051" s="16"/>
      <c r="P1051" s="16"/>
    </row>
    <row r="1052" spans="2:48" ht="15.75" customHeight="1">
      <c r="B1052" s="16"/>
      <c r="H1052" s="16"/>
      <c r="I1052" s="16"/>
      <c r="J1052" s="17"/>
      <c r="N1052" s="16"/>
      <c r="O1052" s="16"/>
      <c r="P1052" s="16"/>
    </row>
    <row r="1053" spans="2:48" ht="15.75" customHeight="1">
      <c r="B1053" s="16"/>
      <c r="H1053" s="16"/>
      <c r="I1053" s="16"/>
      <c r="J1053" s="17"/>
      <c r="N1053" s="16"/>
      <c r="O1053" s="16"/>
      <c r="P1053" s="16"/>
    </row>
    <row r="1054" spans="2:48" ht="15.75" customHeight="1">
      <c r="B1054" s="16"/>
      <c r="H1054" s="16"/>
      <c r="I1054" s="16"/>
      <c r="J1054" s="17"/>
      <c r="N1054" s="16"/>
      <c r="O1054" s="16"/>
      <c r="P1054" s="16"/>
    </row>
    <row r="1055" spans="2:48" ht="15.75" customHeight="1">
      <c r="B1055" s="16"/>
      <c r="H1055" s="16"/>
      <c r="I1055" s="16"/>
      <c r="J1055" s="17"/>
      <c r="N1055" s="16"/>
      <c r="O1055" s="16"/>
      <c r="P1055" s="16"/>
    </row>
    <row r="1056" spans="2:48" ht="15.75" customHeight="1">
      <c r="B1056" s="16"/>
      <c r="H1056" s="16"/>
      <c r="I1056" s="16"/>
      <c r="J1056" s="17"/>
      <c r="N1056" s="16"/>
      <c r="O1056" s="16"/>
      <c r="P1056" s="16"/>
    </row>
    <row r="1057" spans="2:16" ht="15.75" customHeight="1">
      <c r="B1057" s="16"/>
      <c r="H1057" s="16"/>
      <c r="I1057" s="16"/>
      <c r="J1057" s="17"/>
      <c r="N1057" s="16"/>
      <c r="O1057" s="16"/>
      <c r="P1057" s="16"/>
    </row>
    <row r="1058" spans="2:16" ht="15.75" customHeight="1">
      <c r="B1058" s="16"/>
      <c r="H1058" s="16"/>
      <c r="I1058" s="16"/>
      <c r="J1058" s="17"/>
      <c r="N1058" s="16"/>
      <c r="O1058" s="16"/>
      <c r="P1058" s="16"/>
    </row>
    <row r="1059" spans="2:16" ht="15.75" customHeight="1">
      <c r="B1059" s="16"/>
      <c r="H1059" s="16"/>
      <c r="I1059" s="16"/>
      <c r="J1059" s="17"/>
      <c r="N1059" s="16"/>
      <c r="O1059" s="16"/>
      <c r="P1059" s="16"/>
    </row>
    <row r="1060" spans="2:16" ht="15.75" customHeight="1">
      <c r="B1060" s="16"/>
      <c r="H1060" s="16"/>
      <c r="I1060" s="16"/>
      <c r="J1060" s="17"/>
      <c r="N1060" s="16"/>
      <c r="O1060" s="16"/>
      <c r="P1060" s="16"/>
    </row>
    <row r="1061" spans="2:16" ht="15.75" customHeight="1">
      <c r="B1061" s="16"/>
      <c r="H1061" s="16"/>
      <c r="I1061" s="16"/>
      <c r="J1061" s="17"/>
      <c r="N1061" s="16"/>
      <c r="O1061" s="16"/>
      <c r="P1061" s="16"/>
    </row>
    <row r="1062" spans="2:16" ht="15.75" customHeight="1">
      <c r="B1062" s="16"/>
      <c r="H1062" s="16"/>
      <c r="I1062" s="16"/>
      <c r="J1062" s="17"/>
      <c r="N1062" s="16"/>
      <c r="O1062" s="16"/>
      <c r="P1062" s="16"/>
    </row>
    <row r="1063" spans="2:16" ht="15.75" customHeight="1">
      <c r="B1063" s="16"/>
      <c r="H1063" s="16"/>
      <c r="I1063" s="16"/>
      <c r="J1063" s="17"/>
      <c r="N1063" s="16"/>
      <c r="O1063" s="16"/>
      <c r="P1063" s="16"/>
    </row>
    <row r="1064" spans="2:16" ht="15.75" customHeight="1">
      <c r="B1064" s="16"/>
      <c r="H1064" s="16"/>
      <c r="I1064" s="16"/>
      <c r="J1064" s="17"/>
      <c r="N1064" s="16"/>
      <c r="O1064" s="16"/>
      <c r="P1064" s="16"/>
    </row>
    <row r="1065" spans="2:16" ht="15.75" customHeight="1">
      <c r="B1065" s="16"/>
      <c r="H1065" s="16"/>
      <c r="I1065" s="16"/>
      <c r="J1065" s="17"/>
      <c r="N1065" s="16"/>
      <c r="O1065" s="16"/>
      <c r="P1065" s="16"/>
    </row>
    <row r="1066" spans="2:16" ht="15.75" customHeight="1">
      <c r="B1066" s="16"/>
      <c r="H1066" s="16"/>
      <c r="I1066" s="16"/>
      <c r="J1066" s="17"/>
      <c r="N1066" s="16"/>
      <c r="O1066" s="16"/>
      <c r="P1066" s="16"/>
    </row>
    <row r="1067" spans="2:16" ht="15.75" customHeight="1">
      <c r="B1067" s="16"/>
      <c r="H1067" s="16"/>
      <c r="I1067" s="16"/>
      <c r="J1067" s="17"/>
      <c r="N1067" s="16"/>
      <c r="O1067" s="16"/>
      <c r="P1067" s="16"/>
    </row>
    <row r="1068" spans="2:16" ht="15.75" customHeight="1">
      <c r="B1068" s="16"/>
      <c r="H1068" s="16"/>
      <c r="I1068" s="16"/>
      <c r="J1068" s="17"/>
      <c r="N1068" s="16"/>
      <c r="O1068" s="16"/>
      <c r="P1068" s="16"/>
    </row>
    <row r="1069" spans="2:16" ht="15.75" customHeight="1">
      <c r="B1069" s="16"/>
      <c r="H1069" s="16"/>
      <c r="I1069" s="16"/>
      <c r="J1069" s="17"/>
      <c r="N1069" s="16"/>
      <c r="O1069" s="16"/>
      <c r="P1069" s="16"/>
    </row>
    <row r="1070" spans="2:16" ht="15.75" customHeight="1">
      <c r="B1070" s="16"/>
      <c r="H1070" s="16"/>
      <c r="I1070" s="16"/>
      <c r="J1070" s="17"/>
      <c r="N1070" s="16"/>
      <c r="O1070" s="16"/>
      <c r="P1070" s="16"/>
    </row>
    <row r="1071" spans="2:16" ht="15.75" customHeight="1">
      <c r="B1071" s="16"/>
      <c r="H1071" s="16"/>
      <c r="I1071" s="16"/>
      <c r="J1071" s="17"/>
      <c r="N1071" s="16"/>
      <c r="O1071" s="16"/>
      <c r="P1071" s="16"/>
    </row>
    <row r="1072" spans="2:16" ht="15.75" customHeight="1">
      <c r="B1072" s="16"/>
      <c r="H1072" s="16"/>
      <c r="I1072" s="16"/>
      <c r="J1072" s="17"/>
      <c r="N1072" s="16"/>
      <c r="O1072" s="16"/>
      <c r="P1072" s="16"/>
    </row>
    <row r="1073" spans="2:16" ht="15.75" customHeight="1">
      <c r="B1073" s="16"/>
      <c r="H1073" s="16"/>
      <c r="I1073" s="16"/>
      <c r="J1073" s="17"/>
      <c r="N1073" s="16"/>
      <c r="O1073" s="16"/>
      <c r="P1073" s="16"/>
    </row>
    <row r="1074" spans="2:16" ht="15.75" customHeight="1">
      <c r="B1074" s="16"/>
      <c r="H1074" s="16"/>
      <c r="I1074" s="16"/>
      <c r="J1074" s="17"/>
      <c r="N1074" s="16"/>
      <c r="O1074" s="16"/>
      <c r="P1074" s="16"/>
    </row>
    <row r="1075" spans="2:16" ht="15.75" customHeight="1">
      <c r="B1075" s="16"/>
      <c r="H1075" s="16"/>
      <c r="I1075" s="16"/>
      <c r="J1075" s="17"/>
      <c r="N1075" s="16"/>
      <c r="O1075" s="16"/>
      <c r="P1075" s="16"/>
    </row>
    <row r="1076" spans="2:16" ht="15.75" customHeight="1">
      <c r="B1076" s="16"/>
      <c r="H1076" s="16"/>
      <c r="I1076" s="16"/>
      <c r="J1076" s="17"/>
      <c r="N1076" s="16"/>
      <c r="O1076" s="16"/>
      <c r="P1076" s="16"/>
    </row>
    <row r="1077" spans="2:16" ht="15.75" customHeight="1">
      <c r="B1077" s="16"/>
      <c r="H1077" s="16"/>
      <c r="I1077" s="16"/>
      <c r="J1077" s="17"/>
      <c r="N1077" s="16"/>
      <c r="O1077" s="16"/>
      <c r="P1077" s="16"/>
    </row>
    <row r="1078" spans="2:16" ht="15.75" customHeight="1">
      <c r="B1078" s="16"/>
      <c r="H1078" s="16"/>
      <c r="I1078" s="16"/>
      <c r="J1078" s="17"/>
      <c r="N1078" s="16"/>
      <c r="O1078" s="16"/>
      <c r="P1078" s="16"/>
    </row>
    <row r="1079" spans="2:16" ht="15.75" customHeight="1">
      <c r="B1079" s="16"/>
      <c r="H1079" s="16"/>
      <c r="I1079" s="16"/>
      <c r="J1079" s="17"/>
      <c r="N1079" s="16"/>
      <c r="O1079" s="16"/>
      <c r="P1079" s="16"/>
    </row>
    <row r="1080" spans="2:16" ht="15.75" customHeight="1">
      <c r="B1080" s="16"/>
      <c r="H1080" s="16"/>
      <c r="I1080" s="16"/>
      <c r="J1080" s="17"/>
      <c r="N1080" s="16"/>
      <c r="O1080" s="16"/>
      <c r="P1080" s="16"/>
    </row>
    <row r="1081" spans="2:16" ht="15.75" customHeight="1">
      <c r="B1081" s="16"/>
      <c r="H1081" s="16"/>
      <c r="I1081" s="16"/>
      <c r="J1081" s="17"/>
      <c r="N1081" s="16"/>
      <c r="O1081" s="16"/>
      <c r="P1081" s="16"/>
    </row>
    <row r="1082" spans="2:16" ht="15.75" customHeight="1">
      <c r="B1082" s="16"/>
      <c r="H1082" s="16"/>
      <c r="I1082" s="16"/>
      <c r="J1082" s="17"/>
      <c r="N1082" s="16"/>
      <c r="O1082" s="16"/>
      <c r="P1082" s="16"/>
    </row>
    <row r="1083" spans="2:16" ht="15.75" customHeight="1">
      <c r="B1083" s="16"/>
      <c r="H1083" s="16"/>
      <c r="I1083" s="16"/>
      <c r="J1083" s="17"/>
      <c r="N1083" s="16"/>
      <c r="O1083" s="16"/>
      <c r="P1083" s="16"/>
    </row>
    <row r="1084" spans="2:16" ht="15.75" customHeight="1">
      <c r="B1084" s="16"/>
      <c r="H1084" s="16"/>
      <c r="I1084" s="16"/>
      <c r="J1084" s="17"/>
      <c r="N1084" s="16"/>
      <c r="O1084" s="16"/>
      <c r="P1084" s="16"/>
    </row>
    <row r="1085" spans="2:16" ht="15.75" customHeight="1">
      <c r="B1085" s="16"/>
      <c r="H1085" s="16"/>
      <c r="I1085" s="16"/>
      <c r="J1085" s="17"/>
      <c r="N1085" s="16"/>
      <c r="O1085" s="16"/>
      <c r="P1085" s="16"/>
    </row>
    <row r="1086" spans="2:16" ht="15.75" customHeight="1">
      <c r="B1086" s="16"/>
      <c r="H1086" s="16"/>
      <c r="I1086" s="16"/>
      <c r="J1086" s="17"/>
      <c r="N1086" s="16"/>
      <c r="O1086" s="16"/>
      <c r="P1086" s="16"/>
    </row>
    <row r="1087" spans="2:16" ht="15.75" customHeight="1">
      <c r="B1087" s="16"/>
      <c r="H1087" s="16"/>
      <c r="I1087" s="16"/>
      <c r="J1087" s="17"/>
      <c r="N1087" s="16"/>
      <c r="O1087" s="16"/>
      <c r="P1087" s="16"/>
    </row>
    <row r="1088" spans="2:16" ht="15.75" customHeight="1">
      <c r="B1088" s="16"/>
      <c r="H1088" s="16"/>
      <c r="I1088" s="16"/>
      <c r="J1088" s="17"/>
      <c r="N1088" s="16"/>
      <c r="O1088" s="16"/>
      <c r="P1088" s="16"/>
    </row>
    <row r="1089" spans="2:16" ht="15.75" customHeight="1">
      <c r="B1089" s="16"/>
      <c r="H1089" s="16"/>
      <c r="I1089" s="16"/>
      <c r="J1089" s="17"/>
      <c r="N1089" s="16"/>
      <c r="O1089" s="16"/>
      <c r="P1089" s="16"/>
    </row>
    <row r="1090" spans="2:16" ht="15.75" customHeight="1">
      <c r="B1090" s="16"/>
      <c r="H1090" s="16"/>
      <c r="I1090" s="16"/>
      <c r="J1090" s="17"/>
      <c r="N1090" s="16"/>
      <c r="O1090" s="16"/>
      <c r="P1090" s="16"/>
    </row>
    <row r="1091" spans="2:16" ht="15.75" customHeight="1">
      <c r="B1091" s="16"/>
      <c r="H1091" s="16"/>
      <c r="I1091" s="16"/>
      <c r="J1091" s="17"/>
      <c r="N1091" s="16"/>
      <c r="O1091" s="16"/>
      <c r="P1091" s="16"/>
    </row>
    <row r="1092" spans="2:16" ht="15.75" customHeight="1">
      <c r="B1092" s="16"/>
      <c r="H1092" s="16"/>
      <c r="I1092" s="16"/>
      <c r="J1092" s="17"/>
      <c r="N1092" s="16"/>
      <c r="O1092" s="16"/>
      <c r="P1092" s="16"/>
    </row>
    <row r="1093" spans="2:16" ht="15.75" customHeight="1">
      <c r="B1093" s="16"/>
      <c r="H1093" s="16"/>
      <c r="I1093" s="16"/>
      <c r="J1093" s="17"/>
      <c r="N1093" s="16"/>
      <c r="O1093" s="16"/>
      <c r="P1093" s="16"/>
    </row>
    <row r="1094" spans="2:16" ht="15.75" customHeight="1">
      <c r="B1094" s="16"/>
      <c r="H1094" s="16"/>
      <c r="I1094" s="16"/>
      <c r="J1094" s="17"/>
      <c r="N1094" s="16"/>
      <c r="O1094" s="16"/>
      <c r="P1094" s="16"/>
    </row>
    <row r="1095" spans="2:16" ht="15.75" customHeight="1">
      <c r="B1095" s="16"/>
      <c r="H1095" s="16"/>
      <c r="I1095" s="16"/>
      <c r="J1095" s="17"/>
      <c r="N1095" s="16"/>
      <c r="O1095" s="16"/>
      <c r="P1095" s="16"/>
    </row>
    <row r="1096" spans="2:16" ht="15.75" customHeight="1">
      <c r="B1096" s="16"/>
      <c r="H1096" s="16"/>
      <c r="I1096" s="16"/>
      <c r="J1096" s="17"/>
      <c r="N1096" s="16"/>
      <c r="O1096" s="16"/>
      <c r="P1096" s="16"/>
    </row>
    <row r="1097" spans="2:16" ht="15.75" customHeight="1">
      <c r="B1097" s="16"/>
      <c r="H1097" s="16"/>
      <c r="I1097" s="16"/>
      <c r="J1097" s="17"/>
      <c r="N1097" s="16"/>
      <c r="O1097" s="16"/>
      <c r="P1097" s="16"/>
    </row>
    <row r="1098" spans="2:16" ht="15.75" customHeight="1">
      <c r="B1098" s="16"/>
      <c r="H1098" s="16"/>
      <c r="I1098" s="16"/>
      <c r="J1098" s="17"/>
      <c r="N1098" s="16"/>
      <c r="O1098" s="16"/>
      <c r="P1098" s="16"/>
    </row>
    <row r="1099" spans="2:16" ht="15.75" customHeight="1">
      <c r="B1099" s="16"/>
      <c r="H1099" s="16"/>
      <c r="I1099" s="16"/>
      <c r="J1099" s="17"/>
      <c r="N1099" s="16"/>
      <c r="O1099" s="16"/>
      <c r="P1099" s="16"/>
    </row>
    <row r="1100" spans="2:16" ht="15.75" customHeight="1">
      <c r="B1100" s="16"/>
      <c r="H1100" s="16"/>
      <c r="I1100" s="16"/>
      <c r="J1100" s="17"/>
      <c r="N1100" s="16"/>
      <c r="O1100" s="16"/>
      <c r="P1100" s="16"/>
    </row>
    <row r="1101" spans="2:16" ht="15.75" customHeight="1">
      <c r="B1101" s="16"/>
      <c r="H1101" s="16"/>
      <c r="I1101" s="16"/>
      <c r="J1101" s="17"/>
      <c r="N1101" s="16"/>
      <c r="O1101" s="16"/>
      <c r="P1101" s="16"/>
    </row>
    <row r="1102" spans="2:16" ht="15.75" customHeight="1">
      <c r="B1102" s="16"/>
      <c r="H1102" s="16"/>
      <c r="I1102" s="16"/>
      <c r="J1102" s="17"/>
      <c r="N1102" s="16"/>
      <c r="O1102" s="16"/>
      <c r="P1102" s="16"/>
    </row>
    <row r="1103" spans="2:16" ht="15.75" customHeight="1">
      <c r="B1103" s="16"/>
      <c r="H1103" s="16"/>
      <c r="I1103" s="16"/>
      <c r="J1103" s="17"/>
      <c r="N1103" s="16"/>
      <c r="O1103" s="16"/>
      <c r="P1103" s="16"/>
    </row>
    <row r="1104" spans="2:16" ht="15.75" customHeight="1">
      <c r="B1104" s="16"/>
      <c r="H1104" s="16"/>
      <c r="I1104" s="16"/>
      <c r="J1104" s="17"/>
      <c r="N1104" s="16"/>
      <c r="O1104" s="16"/>
      <c r="P1104" s="16"/>
    </row>
    <row r="1105" spans="2:16" ht="15.75" customHeight="1">
      <c r="B1105" s="16"/>
      <c r="H1105" s="16"/>
      <c r="I1105" s="16"/>
      <c r="J1105" s="17"/>
      <c r="N1105" s="16"/>
      <c r="O1105" s="16"/>
      <c r="P1105" s="16"/>
    </row>
    <row r="1106" spans="2:16" ht="15.75" customHeight="1">
      <c r="B1106" s="16"/>
      <c r="H1106" s="16"/>
      <c r="I1106" s="16"/>
      <c r="J1106" s="17"/>
      <c r="N1106" s="16"/>
      <c r="O1106" s="16"/>
      <c r="P1106" s="16"/>
    </row>
    <row r="1107" spans="2:16" ht="15.75" customHeight="1">
      <c r="B1107" s="16"/>
      <c r="H1107" s="16"/>
      <c r="I1107" s="16"/>
      <c r="J1107" s="17"/>
      <c r="N1107" s="16"/>
      <c r="O1107" s="16"/>
      <c r="P1107" s="16"/>
    </row>
    <row r="1108" spans="2:16" ht="15.75" customHeight="1">
      <c r="B1108" s="16"/>
      <c r="H1108" s="16"/>
      <c r="I1108" s="16"/>
      <c r="J1108" s="17"/>
      <c r="N1108" s="16"/>
      <c r="O1108" s="16"/>
      <c r="P1108" s="16"/>
    </row>
    <row r="1109" spans="2:16" ht="15.75" customHeight="1">
      <c r="B1109" s="16"/>
      <c r="H1109" s="16"/>
      <c r="I1109" s="16"/>
      <c r="J1109" s="17"/>
      <c r="N1109" s="16"/>
      <c r="O1109" s="16"/>
      <c r="P1109" s="16"/>
    </row>
    <row r="1110" spans="2:16" ht="15.75" customHeight="1">
      <c r="B1110" s="16"/>
      <c r="H1110" s="16"/>
      <c r="I1110" s="16"/>
      <c r="J1110" s="17"/>
      <c r="N1110" s="16"/>
      <c r="O1110" s="16"/>
      <c r="P1110" s="16"/>
    </row>
    <row r="1111" spans="2:16" ht="15.75" customHeight="1">
      <c r="B1111" s="16"/>
      <c r="H1111" s="16"/>
      <c r="I1111" s="16"/>
      <c r="J1111" s="17"/>
      <c r="N1111" s="16"/>
      <c r="O1111" s="16"/>
      <c r="P1111" s="16"/>
    </row>
    <row r="1112" spans="2:16" ht="15.75" customHeight="1">
      <c r="B1112" s="16"/>
      <c r="H1112" s="16"/>
      <c r="I1112" s="16"/>
      <c r="J1112" s="17"/>
      <c r="N1112" s="16"/>
      <c r="O1112" s="16"/>
      <c r="P1112" s="16"/>
    </row>
    <row r="1113" spans="2:16" ht="15.75" customHeight="1">
      <c r="B1113" s="16"/>
      <c r="H1113" s="16"/>
      <c r="N1113" s="16"/>
      <c r="O1113" s="16"/>
      <c r="P1113" s="16"/>
    </row>
    <row r="1114" spans="2:16" ht="15.75" customHeight="1">
      <c r="B1114" s="16"/>
      <c r="H1114" s="16"/>
      <c r="I1114" s="16"/>
      <c r="J1114" s="17"/>
      <c r="O1114" s="16"/>
      <c r="P1114" s="16"/>
    </row>
    <row r="1115" spans="2:16" ht="15.75" customHeight="1">
      <c r="B1115" s="16"/>
      <c r="H1115" s="16"/>
      <c r="I1115" s="16"/>
      <c r="J1115" s="17"/>
      <c r="N1115" s="16"/>
      <c r="O1115" s="16"/>
      <c r="P1115" s="16"/>
    </row>
    <row r="1116" spans="2:16" ht="15.75" customHeight="1">
      <c r="B1116" s="16"/>
      <c r="H1116" s="16"/>
      <c r="I1116" s="16"/>
      <c r="J1116" s="17"/>
      <c r="N1116" s="16"/>
      <c r="O1116" s="16"/>
      <c r="P1116" s="16"/>
    </row>
    <row r="1117" spans="2:16" ht="15.75" customHeight="1">
      <c r="B1117" s="16"/>
      <c r="H1117" s="16"/>
      <c r="I1117" s="16"/>
      <c r="J1117" s="17"/>
      <c r="N1117" s="16"/>
      <c r="P1117" s="16"/>
    </row>
    <row r="1118" spans="2:16" ht="15.75" customHeight="1">
      <c r="B1118" s="16"/>
      <c r="H1118" s="16"/>
      <c r="I1118" s="16"/>
      <c r="J1118" s="17"/>
      <c r="N1118" s="16"/>
      <c r="P1118" s="16"/>
    </row>
    <row r="1119" spans="2:16" ht="15.75" customHeight="1">
      <c r="B1119" s="16"/>
      <c r="H1119" s="16"/>
      <c r="I1119" s="16"/>
      <c r="J1119" s="17"/>
      <c r="N1119" s="16"/>
      <c r="P1119" s="16"/>
    </row>
    <row r="1120" spans="2:16" ht="15.75" customHeight="1">
      <c r="B1120" s="16"/>
      <c r="H1120" s="16"/>
      <c r="I1120" s="16"/>
      <c r="J1120" s="17"/>
      <c r="N1120" s="16"/>
      <c r="P1120" s="16"/>
    </row>
    <row r="1121" spans="2:16" ht="15.75" customHeight="1">
      <c r="B1121" s="16"/>
      <c r="H1121" s="16"/>
      <c r="I1121" s="16"/>
      <c r="J1121" s="17"/>
      <c r="N1121" s="16"/>
      <c r="P1121" s="16"/>
    </row>
    <row r="1122" spans="2:16" ht="15.75" customHeight="1">
      <c r="B1122" s="16"/>
      <c r="H1122" s="16"/>
      <c r="I1122" s="16"/>
      <c r="J1122" s="17"/>
      <c r="N1122" s="16"/>
      <c r="O1122" s="16"/>
      <c r="P1122" s="16"/>
    </row>
    <row r="1123" spans="2:16" ht="15.75" customHeight="1">
      <c r="B1123" s="16"/>
      <c r="H1123" s="16"/>
      <c r="I1123" s="16"/>
      <c r="J1123" s="17"/>
      <c r="N1123" s="16"/>
      <c r="O1123" s="16"/>
      <c r="P1123" s="16"/>
    </row>
    <row r="1124" spans="2:16" ht="15.75" customHeight="1">
      <c r="B1124" s="16"/>
      <c r="H1124" s="16"/>
      <c r="I1124" s="16"/>
      <c r="J1124" s="17"/>
      <c r="N1124" s="16"/>
      <c r="O1124" s="16"/>
      <c r="P1124" s="16"/>
    </row>
    <row r="1125" spans="2:16" ht="15.75" customHeight="1">
      <c r="B1125" s="16"/>
      <c r="H1125" s="16"/>
      <c r="I1125" s="16"/>
      <c r="J1125" s="17"/>
      <c r="N1125" s="16"/>
      <c r="O1125" s="16"/>
      <c r="P1125" s="16"/>
    </row>
    <row r="1126" spans="2:16" ht="15.75" customHeight="1">
      <c r="B1126" s="16"/>
      <c r="H1126" s="16"/>
      <c r="I1126" s="16"/>
      <c r="J1126" s="17"/>
      <c r="N1126" s="16"/>
      <c r="O1126" s="16"/>
      <c r="P1126" s="16"/>
    </row>
    <row r="1127" spans="2:16" ht="15.75" customHeight="1">
      <c r="B1127" s="16"/>
      <c r="H1127" s="16"/>
      <c r="I1127" s="16"/>
      <c r="J1127" s="17"/>
      <c r="N1127" s="16"/>
      <c r="O1127" s="16"/>
      <c r="P1127" s="16"/>
    </row>
    <row r="1128" spans="2:16" ht="15.75" customHeight="1">
      <c r="B1128" s="16"/>
      <c r="H1128" s="16"/>
      <c r="I1128" s="16"/>
      <c r="J1128" s="17"/>
      <c r="N1128" s="16"/>
      <c r="O1128" s="16"/>
      <c r="P1128" s="16"/>
    </row>
    <row r="1129" spans="2:16" ht="15.75" customHeight="1">
      <c r="B1129" s="16"/>
      <c r="H1129" s="16"/>
      <c r="I1129" s="16"/>
      <c r="J1129" s="17"/>
      <c r="N1129" s="16"/>
      <c r="O1129" s="16"/>
      <c r="P1129" s="16"/>
    </row>
    <row r="1130" spans="2:16" ht="15.75" customHeight="1">
      <c r="B1130" s="16"/>
      <c r="H1130" s="16"/>
      <c r="I1130" s="16"/>
      <c r="J1130" s="17"/>
      <c r="N1130" s="16"/>
      <c r="O1130" s="16"/>
      <c r="P1130" s="16"/>
    </row>
    <row r="1131" spans="2:16" ht="15.75" customHeight="1">
      <c r="B1131" s="16"/>
      <c r="H1131" s="16"/>
      <c r="I1131" s="16"/>
      <c r="J1131" s="17"/>
      <c r="N1131" s="16"/>
      <c r="O1131" s="16"/>
      <c r="P1131" s="16"/>
    </row>
    <row r="1132" spans="2:16" ht="15.75" customHeight="1">
      <c r="B1132" s="16"/>
      <c r="H1132" s="16"/>
      <c r="I1132" s="16"/>
      <c r="J1132" s="17"/>
      <c r="N1132" s="16"/>
      <c r="O1132" s="16"/>
      <c r="P1132" s="16"/>
    </row>
    <row r="1133" spans="2:16" ht="15.75" customHeight="1">
      <c r="B1133" s="16"/>
      <c r="H1133" s="16"/>
      <c r="I1133" s="16"/>
      <c r="J1133" s="17"/>
      <c r="N1133" s="16"/>
      <c r="O1133" s="16"/>
      <c r="P1133" s="16"/>
    </row>
    <row r="1134" spans="2:16" ht="15.75" customHeight="1">
      <c r="B1134" s="16"/>
      <c r="H1134" s="16"/>
      <c r="I1134" s="16"/>
      <c r="J1134" s="17"/>
      <c r="N1134" s="16"/>
      <c r="O1134" s="16"/>
      <c r="P1134" s="16"/>
    </row>
    <row r="1135" spans="2:16" ht="15.75" customHeight="1">
      <c r="B1135" s="16"/>
      <c r="H1135" s="16"/>
      <c r="I1135" s="16"/>
      <c r="J1135" s="17"/>
      <c r="N1135" s="16"/>
      <c r="O1135" s="16"/>
      <c r="P1135" s="16"/>
    </row>
    <row r="1136" spans="2:16" ht="15.75" customHeight="1">
      <c r="B1136" s="16"/>
      <c r="H1136" s="16"/>
      <c r="I1136" s="16"/>
      <c r="J1136" s="17"/>
      <c r="N1136" s="16"/>
      <c r="O1136" s="16"/>
      <c r="P1136" s="16"/>
    </row>
    <row r="1137" spans="2:16" ht="15.75" customHeight="1">
      <c r="B1137" s="16"/>
      <c r="H1137" s="16"/>
      <c r="I1137" s="16"/>
      <c r="J1137" s="17"/>
      <c r="N1137" s="16"/>
      <c r="O1137" s="16"/>
      <c r="P1137" s="16"/>
    </row>
    <row r="1138" spans="2:16" ht="15.75" customHeight="1">
      <c r="B1138" s="16"/>
      <c r="H1138" s="16"/>
      <c r="I1138" s="16"/>
      <c r="J1138" s="17"/>
      <c r="N1138" s="16"/>
      <c r="O1138" s="16"/>
      <c r="P1138" s="16"/>
    </row>
    <row r="1139" spans="2:16" ht="15.75" customHeight="1">
      <c r="B1139" s="16"/>
      <c r="H1139" s="16"/>
      <c r="I1139" s="16"/>
      <c r="J1139" s="17"/>
      <c r="N1139" s="16"/>
      <c r="O1139" s="16"/>
      <c r="P1139" s="16"/>
    </row>
    <row r="1140" spans="2:16" ht="15.75" customHeight="1">
      <c r="B1140" s="16"/>
      <c r="H1140" s="16"/>
      <c r="I1140" s="16"/>
      <c r="J1140" s="17"/>
      <c r="N1140" s="16"/>
      <c r="O1140" s="16"/>
      <c r="P1140" s="16"/>
    </row>
    <row r="1141" spans="2:16" ht="15.75" customHeight="1">
      <c r="B1141" s="16"/>
      <c r="H1141" s="16"/>
      <c r="I1141" s="16"/>
      <c r="J1141" s="17"/>
      <c r="N1141" s="16"/>
      <c r="O1141" s="16"/>
      <c r="P1141" s="16"/>
    </row>
    <row r="1142" spans="2:16" ht="15.75" customHeight="1">
      <c r="B1142" s="16"/>
      <c r="H1142" s="16"/>
      <c r="I1142" s="16"/>
      <c r="J1142" s="17"/>
      <c r="N1142" s="16"/>
      <c r="O1142" s="16"/>
      <c r="P1142" s="16"/>
    </row>
    <row r="1143" spans="2:16" ht="15.75" customHeight="1">
      <c r="B1143" s="16"/>
      <c r="H1143" s="16"/>
      <c r="I1143" s="16"/>
      <c r="J1143" s="17"/>
      <c r="N1143" s="16"/>
      <c r="O1143" s="16"/>
      <c r="P1143" s="16"/>
    </row>
    <row r="1144" spans="2:16" ht="15.75" customHeight="1">
      <c r="B1144" s="16"/>
      <c r="H1144" s="16"/>
      <c r="I1144" s="16"/>
      <c r="J1144" s="17"/>
      <c r="N1144" s="16"/>
      <c r="O1144" s="16"/>
      <c r="P1144" s="16"/>
    </row>
    <row r="1145" spans="2:16" ht="15.75" customHeight="1">
      <c r="B1145" s="16"/>
      <c r="H1145" s="16"/>
      <c r="I1145" s="16"/>
      <c r="J1145" s="17"/>
      <c r="N1145" s="16"/>
      <c r="O1145" s="16"/>
      <c r="P1145" s="16"/>
    </row>
    <row r="1146" spans="2:16" ht="15.75" customHeight="1">
      <c r="B1146" s="16"/>
      <c r="H1146" s="16"/>
      <c r="I1146" s="16"/>
      <c r="J1146" s="17"/>
      <c r="N1146" s="16"/>
      <c r="O1146" s="16"/>
      <c r="P1146" s="16"/>
    </row>
    <row r="1147" spans="2:16" ht="15.75" customHeight="1">
      <c r="B1147" s="16"/>
      <c r="H1147" s="16"/>
      <c r="N1147" s="16"/>
      <c r="O1147" s="16"/>
      <c r="P1147" s="16"/>
    </row>
    <row r="1148" spans="2:16" ht="15.75" customHeight="1">
      <c r="B1148" s="16"/>
      <c r="H1148" s="16"/>
      <c r="N1148" s="16"/>
      <c r="O1148" s="16"/>
      <c r="P1148" s="16"/>
    </row>
    <row r="1149" spans="2:16" ht="15.75" customHeight="1">
      <c r="B1149" s="16"/>
      <c r="H1149" s="16"/>
      <c r="I1149" s="16"/>
      <c r="J1149" s="17"/>
      <c r="N1149" s="16"/>
      <c r="O1149" s="16"/>
      <c r="P1149" s="16"/>
    </row>
    <row r="1150" spans="2:16" ht="15.75" customHeight="1">
      <c r="B1150" s="16"/>
      <c r="H1150" s="16"/>
      <c r="I1150" s="16"/>
      <c r="J1150" s="17"/>
      <c r="N1150" s="16"/>
      <c r="O1150" s="16"/>
      <c r="P1150" s="16"/>
    </row>
    <row r="1151" spans="2:16" ht="15.75" customHeight="1">
      <c r="B1151" s="16"/>
      <c r="H1151" s="16"/>
      <c r="I1151" s="16"/>
      <c r="J1151" s="17"/>
      <c r="N1151" s="16"/>
      <c r="O1151" s="16"/>
      <c r="P1151" s="16"/>
    </row>
    <row r="1152" spans="2:16" ht="15.75" customHeight="1">
      <c r="B1152" s="16"/>
      <c r="H1152" s="16"/>
      <c r="I1152" s="16"/>
      <c r="J1152" s="17"/>
      <c r="N1152" s="16"/>
      <c r="O1152" s="16"/>
      <c r="P1152" s="16"/>
    </row>
    <row r="1153" spans="2:16" ht="15.75" customHeight="1">
      <c r="B1153" s="16"/>
      <c r="H1153" s="16"/>
      <c r="I1153" s="16"/>
      <c r="J1153" s="17"/>
      <c r="N1153" s="16"/>
      <c r="O1153" s="16"/>
      <c r="P1153" s="16"/>
    </row>
    <row r="1154" spans="2:16" ht="15.75" customHeight="1">
      <c r="B1154" s="16"/>
      <c r="H1154" s="16"/>
      <c r="N1154" s="16"/>
      <c r="O1154" s="16"/>
      <c r="P1154" s="16"/>
    </row>
    <row r="1155" spans="2:16" ht="15.75" customHeight="1">
      <c r="B1155" s="16"/>
      <c r="H1155" s="16"/>
      <c r="N1155" s="16"/>
      <c r="O1155" s="16"/>
      <c r="P1155" s="16"/>
    </row>
    <row r="1156" spans="2:16" ht="15.75" customHeight="1">
      <c r="B1156" s="16"/>
      <c r="H1156" s="16"/>
      <c r="I1156" s="16"/>
      <c r="J1156" s="17"/>
      <c r="N1156" s="16"/>
      <c r="O1156" s="16"/>
      <c r="P1156" s="16"/>
    </row>
    <row r="1157" spans="2:16" ht="15.75" customHeight="1">
      <c r="B1157" s="16"/>
      <c r="H1157" s="16"/>
      <c r="I1157" s="16"/>
      <c r="J1157" s="17"/>
      <c r="N1157" s="16"/>
      <c r="O1157" s="16"/>
      <c r="P1157" s="16"/>
    </row>
    <row r="1158" spans="2:16" ht="15.75" customHeight="1">
      <c r="B1158" s="16"/>
      <c r="H1158" s="16"/>
      <c r="I1158" s="16"/>
      <c r="J1158" s="17"/>
      <c r="N1158" s="16"/>
      <c r="O1158" s="16"/>
      <c r="P1158" s="16"/>
    </row>
    <row r="1159" spans="2:16" ht="15.75" customHeight="1">
      <c r="B1159" s="16"/>
      <c r="H1159" s="16"/>
      <c r="I1159" s="16"/>
      <c r="J1159" s="17"/>
      <c r="N1159" s="16"/>
      <c r="O1159" s="16"/>
      <c r="P1159" s="16"/>
    </row>
    <row r="1160" spans="2:16" ht="15.75" customHeight="1">
      <c r="B1160" s="16"/>
      <c r="H1160" s="16"/>
      <c r="I1160" s="16"/>
      <c r="J1160" s="17"/>
      <c r="N1160" s="16"/>
      <c r="O1160" s="16"/>
      <c r="P1160" s="16"/>
    </row>
    <row r="1161" spans="2:16" ht="15.75" customHeight="1">
      <c r="B1161" s="16"/>
      <c r="H1161" s="16"/>
      <c r="I1161" s="16"/>
      <c r="J1161" s="17"/>
      <c r="N1161" s="16"/>
      <c r="O1161" s="16"/>
      <c r="P1161" s="16"/>
    </row>
    <row r="1162" spans="2:16" ht="15.75" customHeight="1">
      <c r="B1162" s="16"/>
      <c r="H1162" s="16"/>
      <c r="I1162" s="16"/>
      <c r="J1162" s="17"/>
      <c r="N1162" s="16"/>
      <c r="O1162" s="16"/>
      <c r="P1162" s="16"/>
    </row>
    <row r="1163" spans="2:16" ht="15.75" customHeight="1">
      <c r="B1163" s="16"/>
      <c r="H1163" s="16"/>
      <c r="I1163" s="16"/>
      <c r="J1163" s="17"/>
      <c r="N1163" s="16"/>
      <c r="O1163" s="16"/>
      <c r="P1163" s="16"/>
    </row>
    <row r="1164" spans="2:16" ht="15.75" customHeight="1">
      <c r="B1164" s="16"/>
      <c r="H1164" s="16"/>
      <c r="I1164" s="16"/>
      <c r="J1164" s="17"/>
      <c r="N1164" s="16"/>
      <c r="O1164" s="16"/>
      <c r="P1164" s="16"/>
    </row>
    <row r="1165" spans="2:16" ht="15.75" customHeight="1">
      <c r="B1165" s="16"/>
      <c r="H1165" s="16"/>
      <c r="I1165" s="16"/>
      <c r="J1165" s="17"/>
      <c r="N1165" s="16"/>
      <c r="O1165" s="16"/>
      <c r="P1165" s="16"/>
    </row>
    <row r="1166" spans="2:16" ht="15.75" customHeight="1">
      <c r="B1166" s="16"/>
      <c r="H1166" s="16"/>
      <c r="I1166" s="16"/>
      <c r="J1166" s="17"/>
      <c r="N1166" s="16"/>
      <c r="O1166" s="16"/>
      <c r="P1166" s="16"/>
    </row>
    <row r="1167" spans="2:16" ht="15.75" customHeight="1">
      <c r="B1167" s="16"/>
      <c r="H1167" s="16"/>
      <c r="I1167" s="16"/>
      <c r="J1167" s="17"/>
      <c r="N1167" s="16"/>
      <c r="O1167" s="16"/>
      <c r="P1167" s="16"/>
    </row>
    <row r="1168" spans="2:16" ht="15.75" customHeight="1">
      <c r="B1168" s="16"/>
      <c r="H1168" s="16"/>
      <c r="I1168" s="16"/>
      <c r="J1168" s="17"/>
      <c r="N1168" s="16"/>
      <c r="O1168" s="16"/>
      <c r="P1168" s="16"/>
    </row>
    <row r="1169" spans="2:16" ht="15.75" customHeight="1">
      <c r="B1169" s="16"/>
      <c r="H1169" s="16"/>
      <c r="I1169" s="16"/>
      <c r="J1169" s="17"/>
      <c r="N1169" s="16"/>
      <c r="O1169" s="16"/>
      <c r="P1169" s="16"/>
    </row>
    <row r="1170" spans="2:16" ht="15.75" customHeight="1">
      <c r="B1170" s="16"/>
      <c r="H1170" s="16"/>
      <c r="I1170" s="16"/>
      <c r="J1170" s="17"/>
      <c r="N1170" s="16"/>
      <c r="O1170" s="16"/>
      <c r="P1170" s="16"/>
    </row>
    <row r="1171" spans="2:16" ht="15.75" customHeight="1">
      <c r="B1171" s="16"/>
      <c r="H1171" s="16"/>
      <c r="I1171" s="16"/>
      <c r="J1171" s="17"/>
      <c r="N1171" s="16"/>
      <c r="O1171" s="16"/>
      <c r="P1171" s="16"/>
    </row>
    <row r="1172" spans="2:16" ht="15.75" customHeight="1">
      <c r="B1172" s="16"/>
      <c r="H1172" s="16"/>
      <c r="I1172" s="16"/>
      <c r="J1172" s="17"/>
      <c r="N1172" s="16"/>
      <c r="O1172" s="16"/>
      <c r="P1172" s="16"/>
    </row>
    <row r="1173" spans="2:16" ht="15.75" customHeight="1">
      <c r="B1173" s="16"/>
      <c r="H1173" s="16"/>
      <c r="I1173" s="16"/>
      <c r="J1173" s="17"/>
      <c r="N1173" s="16"/>
      <c r="O1173" s="16"/>
      <c r="P1173" s="16"/>
    </row>
    <row r="1174" spans="2:16" ht="15.75" customHeight="1">
      <c r="B1174" s="16"/>
      <c r="H1174" s="16"/>
      <c r="I1174" s="16"/>
      <c r="J1174" s="17"/>
      <c r="N1174" s="16"/>
      <c r="O1174" s="16"/>
      <c r="P1174" s="16"/>
    </row>
    <row r="1175" spans="2:16" ht="15.75" customHeight="1">
      <c r="B1175" s="16"/>
      <c r="H1175" s="16"/>
      <c r="I1175" s="16"/>
      <c r="J1175" s="17"/>
      <c r="N1175" s="16"/>
      <c r="O1175" s="16"/>
      <c r="P1175" s="16"/>
    </row>
    <row r="1176" spans="2:16" ht="15.75" customHeight="1">
      <c r="B1176" s="16"/>
      <c r="H1176" s="16"/>
      <c r="I1176" s="16"/>
      <c r="J1176" s="17"/>
      <c r="N1176" s="16"/>
      <c r="O1176" s="16"/>
      <c r="P1176" s="16"/>
    </row>
    <row r="1177" spans="2:16" ht="15.75" customHeight="1">
      <c r="B1177" s="16"/>
      <c r="H1177" s="16"/>
      <c r="I1177" s="16"/>
      <c r="J1177" s="17"/>
      <c r="N1177" s="16"/>
      <c r="O1177" s="16"/>
      <c r="P1177" s="16"/>
    </row>
    <row r="1178" spans="2:16" ht="15.75" customHeight="1">
      <c r="B1178" s="16"/>
      <c r="H1178" s="16"/>
      <c r="I1178" s="16"/>
      <c r="J1178" s="17"/>
      <c r="N1178" s="16"/>
      <c r="O1178" s="16"/>
      <c r="P1178" s="16"/>
    </row>
    <row r="1179" spans="2:16" ht="15.75" customHeight="1">
      <c r="B1179" s="16"/>
      <c r="H1179" s="16"/>
      <c r="I1179" s="16"/>
      <c r="J1179" s="17"/>
      <c r="N1179" s="16"/>
      <c r="O1179" s="16"/>
      <c r="P1179" s="16"/>
    </row>
    <row r="1180" spans="2:16" ht="15.75" customHeight="1">
      <c r="B1180" s="16"/>
      <c r="H1180" s="16"/>
      <c r="I1180" s="16"/>
      <c r="J1180" s="17"/>
      <c r="N1180" s="16"/>
      <c r="O1180" s="16"/>
      <c r="P1180" s="16"/>
    </row>
    <row r="1181" spans="2:16" ht="15.75" customHeight="1">
      <c r="B1181" s="16"/>
      <c r="H1181" s="16"/>
      <c r="I1181" s="16"/>
      <c r="J1181" s="17"/>
      <c r="N1181" s="16"/>
      <c r="O1181" s="16"/>
      <c r="P1181" s="16"/>
    </row>
    <row r="1182" spans="2:16" ht="15.75" customHeight="1">
      <c r="B1182" s="16"/>
      <c r="H1182" s="16"/>
      <c r="I1182" s="16"/>
      <c r="J1182" s="17"/>
      <c r="N1182" s="16"/>
      <c r="O1182" s="16"/>
      <c r="P1182" s="16"/>
    </row>
    <row r="1183" spans="2:16" ht="15.75" customHeight="1">
      <c r="B1183" s="16"/>
      <c r="H1183" s="16"/>
      <c r="I1183" s="16"/>
      <c r="J1183" s="17"/>
      <c r="N1183" s="16"/>
      <c r="O1183" s="16"/>
      <c r="P1183" s="16"/>
    </row>
    <row r="1184" spans="2:16" ht="15.75" customHeight="1">
      <c r="B1184" s="16"/>
      <c r="H1184" s="16"/>
      <c r="I1184" s="16"/>
      <c r="J1184" s="17"/>
      <c r="N1184" s="16"/>
      <c r="O1184" s="16"/>
      <c r="P1184" s="16"/>
    </row>
    <row r="1185" spans="2:16" ht="15.75" customHeight="1">
      <c r="B1185" s="16"/>
      <c r="H1185" s="16"/>
      <c r="I1185" s="16"/>
      <c r="J1185" s="17"/>
      <c r="N1185" s="16"/>
      <c r="O1185" s="16"/>
      <c r="P1185" s="16"/>
    </row>
    <row r="1186" spans="2:16" ht="15.75" customHeight="1">
      <c r="B1186" s="16"/>
      <c r="H1186" s="16"/>
      <c r="I1186" s="16"/>
      <c r="J1186" s="17"/>
      <c r="N1186" s="16"/>
      <c r="O1186" s="16"/>
      <c r="P1186" s="16"/>
    </row>
    <row r="1187" spans="2:16" ht="15.75" customHeight="1">
      <c r="B1187" s="16"/>
      <c r="H1187" s="16"/>
      <c r="I1187" s="16"/>
      <c r="J1187" s="17"/>
      <c r="N1187" s="16"/>
      <c r="O1187" s="16"/>
      <c r="P1187" s="16"/>
    </row>
    <row r="1188" spans="2:16" ht="15.75" customHeight="1">
      <c r="B1188" s="16"/>
      <c r="H1188" s="16"/>
      <c r="I1188" s="16"/>
      <c r="J1188" s="17"/>
      <c r="N1188" s="16"/>
      <c r="O1188" s="16"/>
      <c r="P1188" s="16"/>
    </row>
    <row r="1189" spans="2:16" ht="15.75" customHeight="1">
      <c r="B1189" s="16"/>
      <c r="H1189" s="16"/>
      <c r="I1189" s="16"/>
      <c r="J1189" s="17"/>
      <c r="N1189" s="16"/>
      <c r="O1189" s="16"/>
      <c r="P1189" s="16"/>
    </row>
    <row r="1190" spans="2:16" ht="15.75" customHeight="1">
      <c r="B1190" s="16"/>
      <c r="H1190" s="16"/>
      <c r="I1190" s="16"/>
      <c r="J1190" s="17"/>
      <c r="N1190" s="16"/>
      <c r="O1190" s="16"/>
      <c r="P1190" s="16"/>
    </row>
    <row r="1191" spans="2:16" ht="15.75" customHeight="1">
      <c r="B1191" s="16"/>
      <c r="H1191" s="16"/>
      <c r="I1191" s="16"/>
      <c r="J1191" s="17"/>
      <c r="N1191" s="16"/>
      <c r="O1191" s="16"/>
      <c r="P1191" s="16"/>
    </row>
    <row r="1192" spans="2:16" ht="15.75" customHeight="1">
      <c r="B1192" s="16"/>
      <c r="H1192" s="16"/>
      <c r="I1192" s="16"/>
      <c r="J1192" s="17"/>
      <c r="N1192" s="16"/>
      <c r="O1192" s="16"/>
      <c r="P1192" s="16"/>
    </row>
    <row r="1193" spans="2:16" ht="15.75" customHeight="1">
      <c r="B1193" s="16"/>
      <c r="H1193" s="16"/>
      <c r="I1193" s="16"/>
      <c r="J1193" s="17"/>
      <c r="N1193" s="16"/>
      <c r="O1193" s="16"/>
      <c r="P1193" s="16"/>
    </row>
    <row r="1194" spans="2:16" ht="15.75" customHeight="1">
      <c r="B1194" s="16"/>
      <c r="H1194" s="16"/>
      <c r="I1194" s="16"/>
      <c r="J1194" s="17"/>
      <c r="N1194" s="16"/>
      <c r="O1194" s="16"/>
      <c r="P1194" s="16"/>
    </row>
    <row r="1195" spans="2:16" ht="15.75" customHeight="1">
      <c r="B1195" s="16"/>
      <c r="H1195" s="16"/>
      <c r="I1195" s="16"/>
      <c r="J1195" s="17"/>
      <c r="N1195" s="16"/>
      <c r="O1195" s="16"/>
      <c r="P1195" s="16"/>
    </row>
    <row r="1196" spans="2:16" ht="15.75" customHeight="1">
      <c r="B1196" s="16"/>
      <c r="H1196" s="16"/>
      <c r="I1196" s="16"/>
      <c r="J1196" s="17"/>
      <c r="N1196" s="16"/>
      <c r="O1196" s="16"/>
      <c r="P1196" s="16"/>
    </row>
    <row r="1197" spans="2:16" ht="15.75" customHeight="1">
      <c r="B1197" s="16"/>
      <c r="H1197" s="16"/>
      <c r="I1197" s="16"/>
      <c r="J1197" s="17"/>
      <c r="N1197" s="16"/>
      <c r="O1197" s="16"/>
      <c r="P1197" s="16"/>
    </row>
    <row r="1198" spans="2:16" ht="15.75" customHeight="1">
      <c r="B1198" s="16"/>
      <c r="H1198" s="16"/>
      <c r="I1198" s="16"/>
      <c r="J1198" s="17"/>
      <c r="N1198" s="16"/>
      <c r="O1198" s="16"/>
      <c r="P1198" s="16"/>
    </row>
    <row r="1199" spans="2:16" ht="15.75" customHeight="1">
      <c r="B1199" s="16"/>
      <c r="H1199" s="16"/>
      <c r="I1199" s="16"/>
      <c r="J1199" s="17"/>
      <c r="N1199" s="16"/>
      <c r="O1199" s="16"/>
      <c r="P1199" s="16"/>
    </row>
    <row r="1200" spans="2:16" ht="15.75" customHeight="1">
      <c r="B1200" s="16"/>
      <c r="H1200" s="16"/>
      <c r="I1200" s="16"/>
      <c r="J1200" s="17"/>
      <c r="N1200" s="16"/>
      <c r="O1200" s="16"/>
      <c r="P1200" s="16"/>
    </row>
    <row r="1201" spans="2:16" ht="15.75" customHeight="1">
      <c r="B1201" s="16"/>
      <c r="H1201" s="16"/>
      <c r="I1201" s="16"/>
      <c r="J1201" s="17"/>
      <c r="N1201" s="16"/>
      <c r="O1201" s="16"/>
      <c r="P1201" s="16"/>
    </row>
    <row r="1202" spans="2:16" ht="15.75" customHeight="1">
      <c r="B1202" s="16"/>
      <c r="H1202" s="16"/>
      <c r="I1202" s="16"/>
      <c r="J1202" s="17"/>
      <c r="N1202" s="16"/>
      <c r="O1202" s="16"/>
      <c r="P1202" s="16"/>
    </row>
    <row r="1203" spans="2:16" ht="15.75" customHeight="1">
      <c r="B1203" s="16"/>
      <c r="H1203" s="16"/>
      <c r="I1203" s="16"/>
      <c r="J1203" s="17"/>
      <c r="N1203" s="16"/>
      <c r="O1203" s="16"/>
      <c r="P1203" s="16"/>
    </row>
    <row r="1204" spans="2:16" ht="15.75" customHeight="1">
      <c r="B1204" s="16"/>
      <c r="H1204" s="16"/>
      <c r="I1204" s="16"/>
      <c r="J1204" s="17"/>
      <c r="N1204" s="16"/>
      <c r="O1204" s="16"/>
      <c r="P1204" s="16"/>
    </row>
    <row r="1205" spans="2:16" ht="15.75" customHeight="1">
      <c r="B1205" s="16"/>
      <c r="H1205" s="16"/>
      <c r="I1205" s="16"/>
      <c r="J1205" s="17"/>
      <c r="N1205" s="16"/>
      <c r="O1205" s="16"/>
      <c r="P1205" s="16"/>
    </row>
    <row r="1206" spans="2:16" ht="15.75" customHeight="1">
      <c r="B1206" s="16"/>
      <c r="H1206" s="16"/>
      <c r="I1206" s="16"/>
      <c r="J1206" s="17"/>
      <c r="N1206" s="16"/>
      <c r="O1206" s="16"/>
      <c r="P1206" s="16"/>
    </row>
    <row r="1207" spans="2:16" ht="15.75" customHeight="1">
      <c r="B1207" s="16"/>
      <c r="H1207" s="16"/>
      <c r="I1207" s="16"/>
      <c r="J1207" s="17"/>
      <c r="N1207" s="16"/>
      <c r="O1207" s="16"/>
      <c r="P1207" s="16"/>
    </row>
    <row r="1208" spans="2:16" ht="15.75" customHeight="1">
      <c r="B1208" s="16"/>
      <c r="H1208" s="16"/>
      <c r="I1208" s="16"/>
      <c r="J1208" s="17"/>
      <c r="N1208" s="16"/>
      <c r="O1208" s="16"/>
      <c r="P1208" s="16"/>
    </row>
    <row r="1209" spans="2:16" ht="15.75" customHeight="1">
      <c r="B1209" s="16"/>
      <c r="H1209" s="16"/>
      <c r="I1209" s="16"/>
      <c r="J1209" s="17"/>
      <c r="N1209" s="16"/>
      <c r="O1209" s="16"/>
      <c r="P1209" s="16"/>
    </row>
    <row r="1210" spans="2:16" ht="15.75" customHeight="1">
      <c r="B1210" s="16"/>
      <c r="H1210" s="16"/>
      <c r="I1210" s="16"/>
      <c r="J1210" s="17"/>
      <c r="N1210" s="16"/>
      <c r="O1210" s="16"/>
      <c r="P1210" s="16"/>
    </row>
    <row r="1211" spans="2:16" ht="15.75" customHeight="1">
      <c r="B1211" s="16"/>
      <c r="H1211" s="16"/>
      <c r="I1211" s="16"/>
      <c r="J1211" s="17"/>
      <c r="N1211" s="16"/>
      <c r="O1211" s="16"/>
      <c r="P1211" s="16"/>
    </row>
    <row r="1212" spans="2:16" ht="15.75" customHeight="1">
      <c r="B1212" s="16"/>
      <c r="H1212" s="16"/>
      <c r="I1212" s="16"/>
      <c r="J1212" s="17"/>
      <c r="N1212" s="16"/>
      <c r="O1212" s="16"/>
      <c r="P1212" s="16"/>
    </row>
    <row r="1213" spans="2:16" ht="15.75" customHeight="1">
      <c r="B1213" s="16"/>
      <c r="H1213" s="16"/>
      <c r="I1213" s="16"/>
      <c r="J1213" s="17"/>
      <c r="N1213" s="16"/>
      <c r="O1213" s="16"/>
      <c r="P1213" s="16"/>
    </row>
    <row r="1214" spans="2:16" ht="15.75" customHeight="1">
      <c r="B1214" s="16"/>
      <c r="H1214" s="16"/>
      <c r="I1214" s="16"/>
      <c r="J1214" s="17"/>
      <c r="N1214" s="16"/>
      <c r="O1214" s="16"/>
      <c r="P1214" s="16"/>
    </row>
    <row r="1215" spans="2:16" ht="15.75" customHeight="1">
      <c r="B1215" s="16"/>
      <c r="H1215" s="16"/>
      <c r="I1215" s="16"/>
      <c r="J1215" s="17"/>
      <c r="N1215" s="16"/>
      <c r="O1215" s="16"/>
      <c r="P1215" s="16"/>
    </row>
    <row r="1216" spans="2:16" ht="15.75" customHeight="1">
      <c r="B1216" s="16"/>
      <c r="H1216" s="16"/>
      <c r="I1216" s="16"/>
      <c r="J1216" s="17"/>
      <c r="N1216" s="16"/>
      <c r="O1216" s="16"/>
      <c r="P1216" s="16"/>
    </row>
    <row r="1217" spans="2:16" ht="15.75" customHeight="1">
      <c r="B1217" s="16"/>
      <c r="H1217" s="16"/>
      <c r="I1217" s="16"/>
      <c r="J1217" s="17"/>
      <c r="N1217" s="16"/>
      <c r="O1217" s="16"/>
      <c r="P1217" s="16"/>
    </row>
    <row r="1218" spans="2:16" ht="15.75" customHeight="1">
      <c r="B1218" s="16"/>
      <c r="H1218" s="16"/>
      <c r="I1218" s="16"/>
      <c r="J1218" s="17"/>
      <c r="N1218" s="16"/>
      <c r="O1218" s="16"/>
      <c r="P1218" s="16"/>
    </row>
    <row r="1219" spans="2:16" ht="15.75" customHeight="1">
      <c r="B1219" s="16"/>
      <c r="H1219" s="16"/>
      <c r="I1219" s="16"/>
      <c r="J1219" s="17"/>
      <c r="N1219" s="16"/>
      <c r="O1219" s="16"/>
      <c r="P1219" s="16"/>
    </row>
    <row r="1220" spans="2:16" ht="15.75" customHeight="1">
      <c r="B1220" s="16"/>
      <c r="H1220" s="16"/>
      <c r="I1220" s="16"/>
      <c r="J1220" s="17"/>
      <c r="N1220" s="16"/>
      <c r="O1220" s="16"/>
      <c r="P1220" s="16"/>
    </row>
    <row r="1221" spans="2:16" ht="15.75" customHeight="1">
      <c r="B1221" s="16"/>
      <c r="H1221" s="16"/>
      <c r="I1221" s="16"/>
      <c r="J1221" s="17"/>
      <c r="N1221" s="16"/>
      <c r="O1221" s="16"/>
      <c r="P1221" s="16"/>
    </row>
    <row r="1222" spans="2:16" ht="15.75" customHeight="1">
      <c r="B1222" s="16"/>
      <c r="H1222" s="16"/>
      <c r="I1222" s="16"/>
      <c r="J1222" s="17"/>
      <c r="N1222" s="16"/>
      <c r="O1222" s="16"/>
      <c r="P1222" s="16"/>
    </row>
    <row r="1223" spans="2:16" ht="15.75" customHeight="1">
      <c r="B1223" s="16"/>
      <c r="H1223" s="16"/>
      <c r="I1223" s="16"/>
      <c r="J1223" s="17"/>
      <c r="N1223" s="16"/>
      <c r="O1223" s="16"/>
      <c r="P1223" s="16"/>
    </row>
    <row r="1224" spans="2:16" ht="15.75" customHeight="1">
      <c r="B1224" s="16"/>
      <c r="H1224" s="16"/>
      <c r="I1224" s="16"/>
      <c r="J1224" s="17"/>
      <c r="N1224" s="16"/>
      <c r="O1224" s="16"/>
      <c r="P1224" s="16"/>
    </row>
    <row r="1225" spans="2:16" ht="15.75" customHeight="1">
      <c r="B1225" s="16"/>
      <c r="H1225" s="16"/>
      <c r="I1225" s="16"/>
      <c r="J1225" s="17"/>
      <c r="N1225" s="16"/>
      <c r="O1225" s="16"/>
      <c r="P1225" s="16"/>
    </row>
    <row r="1226" spans="2:16" ht="15.75" customHeight="1">
      <c r="B1226" s="16"/>
      <c r="H1226" s="16"/>
      <c r="I1226" s="16"/>
      <c r="J1226" s="17"/>
      <c r="N1226" s="16"/>
      <c r="O1226" s="16"/>
      <c r="P1226" s="16"/>
    </row>
    <row r="1227" spans="2:16" ht="15.75" customHeight="1">
      <c r="B1227" s="16"/>
      <c r="H1227" s="16"/>
      <c r="I1227" s="16"/>
      <c r="J1227" s="17"/>
      <c r="N1227" s="16"/>
      <c r="O1227" s="16"/>
      <c r="P1227" s="16"/>
    </row>
    <row r="1228" spans="2:16" ht="15.75" customHeight="1">
      <c r="B1228" s="16"/>
      <c r="H1228" s="16"/>
      <c r="I1228" s="16"/>
      <c r="J1228" s="17"/>
      <c r="N1228" s="16"/>
      <c r="O1228" s="16"/>
      <c r="P1228" s="16"/>
    </row>
    <row r="1229" spans="2:16" ht="15.75" customHeight="1">
      <c r="B1229" s="16"/>
      <c r="H1229" s="16"/>
      <c r="I1229" s="16"/>
      <c r="J1229" s="17"/>
      <c r="N1229" s="16"/>
      <c r="O1229" s="16"/>
      <c r="P1229" s="16"/>
    </row>
    <row r="1230" spans="2:16" ht="15.75" customHeight="1">
      <c r="B1230" s="16"/>
      <c r="H1230" s="16"/>
      <c r="I1230" s="16"/>
      <c r="J1230" s="17"/>
      <c r="N1230" s="16"/>
      <c r="O1230" s="16"/>
      <c r="P1230" s="16"/>
    </row>
    <row r="1231" spans="2:16" ht="15.75" customHeight="1">
      <c r="B1231" s="16"/>
      <c r="H1231" s="16"/>
      <c r="I1231" s="16"/>
      <c r="J1231" s="17"/>
      <c r="N1231" s="16"/>
      <c r="O1231" s="16"/>
      <c r="P1231" s="16"/>
    </row>
    <row r="1232" spans="2:16" ht="15.75" customHeight="1">
      <c r="B1232" s="16"/>
      <c r="H1232" s="16"/>
      <c r="I1232" s="16"/>
      <c r="J1232" s="17"/>
      <c r="N1232" s="16"/>
      <c r="O1232" s="16"/>
      <c r="P1232" s="16"/>
    </row>
    <row r="1233" spans="2:16" ht="15.75" customHeight="1">
      <c r="B1233" s="16"/>
      <c r="H1233" s="16"/>
      <c r="I1233" s="16"/>
      <c r="J1233" s="17"/>
      <c r="N1233" s="16"/>
      <c r="O1233" s="16"/>
      <c r="P1233" s="16"/>
    </row>
    <row r="1234" spans="2:16" ht="15.75" customHeight="1">
      <c r="B1234" s="16"/>
      <c r="H1234" s="16"/>
      <c r="I1234" s="16"/>
      <c r="J1234" s="17"/>
      <c r="N1234" s="16"/>
      <c r="O1234" s="16"/>
      <c r="P1234" s="16"/>
    </row>
    <row r="1235" spans="2:16" ht="15.75" customHeight="1">
      <c r="B1235" s="16"/>
      <c r="H1235" s="16"/>
      <c r="I1235" s="16"/>
      <c r="J1235" s="17"/>
      <c r="N1235" s="16"/>
      <c r="O1235" s="16"/>
      <c r="P1235" s="16"/>
    </row>
    <row r="1236" spans="2:16" ht="15.75" customHeight="1">
      <c r="B1236" s="16"/>
      <c r="H1236" s="16"/>
      <c r="I1236" s="16"/>
      <c r="J1236" s="17"/>
      <c r="N1236" s="16"/>
      <c r="O1236" s="16"/>
      <c r="P1236" s="16"/>
    </row>
    <row r="1237" spans="2:16" ht="15.75" customHeight="1">
      <c r="B1237" s="16"/>
      <c r="H1237" s="16"/>
      <c r="I1237" s="16"/>
      <c r="J1237" s="17"/>
      <c r="N1237" s="16"/>
      <c r="O1237" s="16"/>
      <c r="P1237" s="16"/>
    </row>
    <row r="1238" spans="2:16" ht="15.75" customHeight="1">
      <c r="B1238" s="16"/>
      <c r="H1238" s="16"/>
      <c r="I1238" s="16"/>
      <c r="J1238" s="17"/>
      <c r="N1238" s="16"/>
      <c r="O1238" s="16"/>
      <c r="P1238" s="16"/>
    </row>
    <row r="1239" spans="2:16" ht="15.75" customHeight="1">
      <c r="B1239" s="16"/>
      <c r="H1239" s="16"/>
      <c r="I1239" s="16"/>
      <c r="J1239" s="17"/>
      <c r="N1239" s="16"/>
      <c r="O1239" s="16"/>
      <c r="P1239" s="16"/>
    </row>
    <row r="1240" spans="2:16" ht="15.75" customHeight="1">
      <c r="B1240" s="16"/>
      <c r="H1240" s="16"/>
      <c r="I1240" s="16"/>
      <c r="J1240" s="17"/>
      <c r="N1240" s="16"/>
      <c r="O1240" s="16"/>
      <c r="P1240" s="16"/>
    </row>
    <row r="1241" spans="2:16" ht="15.75" customHeight="1">
      <c r="B1241" s="16"/>
      <c r="H1241" s="16"/>
      <c r="I1241" s="16"/>
      <c r="J1241" s="17"/>
      <c r="N1241" s="16"/>
      <c r="O1241" s="16"/>
      <c r="P1241" s="16"/>
    </row>
    <row r="1242" spans="2:16" ht="15.75" customHeight="1">
      <c r="B1242" s="16"/>
      <c r="H1242" s="16"/>
      <c r="I1242" s="16"/>
      <c r="J1242" s="17"/>
      <c r="N1242" s="16"/>
      <c r="O1242" s="16"/>
      <c r="P1242" s="16"/>
    </row>
    <row r="1243" spans="2:16" ht="15.75" customHeight="1">
      <c r="B1243" s="16"/>
      <c r="H1243" s="16"/>
      <c r="I1243" s="16"/>
      <c r="J1243" s="17"/>
      <c r="N1243" s="16"/>
      <c r="O1243" s="16"/>
      <c r="P1243" s="16"/>
    </row>
    <row r="1244" spans="2:16" ht="15.75" customHeight="1">
      <c r="B1244" s="16"/>
      <c r="H1244" s="16"/>
      <c r="I1244" s="16"/>
      <c r="J1244" s="17"/>
      <c r="N1244" s="16"/>
      <c r="O1244" s="16"/>
      <c r="P1244" s="16"/>
    </row>
    <row r="1245" spans="2:16" ht="15.75" customHeight="1">
      <c r="B1245" s="16"/>
      <c r="H1245" s="16"/>
      <c r="I1245" s="16"/>
      <c r="J1245" s="17"/>
      <c r="N1245" s="16"/>
      <c r="O1245" s="16"/>
      <c r="P1245" s="16"/>
    </row>
    <row r="1246" spans="2:16" ht="15.75" customHeight="1">
      <c r="B1246" s="16"/>
      <c r="H1246" s="16"/>
      <c r="I1246" s="16"/>
      <c r="J1246" s="17"/>
      <c r="N1246" s="16"/>
      <c r="O1246" s="16"/>
      <c r="P1246" s="16"/>
    </row>
    <row r="1247" spans="2:16" ht="15.75" customHeight="1">
      <c r="B1247" s="16"/>
      <c r="H1247" s="16"/>
      <c r="I1247" s="16"/>
      <c r="J1247" s="17"/>
      <c r="N1247" s="16"/>
      <c r="O1247" s="16"/>
      <c r="P1247" s="16"/>
    </row>
    <row r="1248" spans="2:16" ht="15.75" customHeight="1">
      <c r="B1248" s="16"/>
      <c r="H1248" s="16"/>
      <c r="I1248" s="16"/>
      <c r="J1248" s="17"/>
      <c r="N1248" s="16"/>
      <c r="O1248" s="16"/>
      <c r="P1248" s="16"/>
    </row>
    <row r="1249" spans="2:16" ht="15.75" customHeight="1">
      <c r="B1249" s="16"/>
      <c r="H1249" s="16"/>
      <c r="I1249" s="16"/>
      <c r="J1249" s="17"/>
      <c r="N1249" s="16"/>
      <c r="O1249" s="16"/>
      <c r="P1249" s="16"/>
    </row>
    <row r="1250" spans="2:16" ht="15.75" customHeight="1">
      <c r="B1250" s="16"/>
      <c r="H1250" s="16"/>
      <c r="I1250" s="16"/>
      <c r="J1250" s="17"/>
      <c r="N1250" s="16"/>
      <c r="O1250" s="16"/>
      <c r="P1250" s="16"/>
    </row>
    <row r="1251" spans="2:16" ht="15.75" customHeight="1">
      <c r="B1251" s="16"/>
      <c r="H1251" s="16"/>
      <c r="I1251" s="16"/>
      <c r="J1251" s="17"/>
      <c r="N1251" s="16"/>
      <c r="O1251" s="16"/>
      <c r="P1251" s="16"/>
    </row>
    <row r="1252" spans="2:16" ht="15.75" customHeight="1">
      <c r="B1252" s="16"/>
      <c r="H1252" s="16"/>
      <c r="I1252" s="16"/>
      <c r="J1252" s="17"/>
      <c r="N1252" s="16"/>
      <c r="O1252" s="16"/>
      <c r="P1252" s="16"/>
    </row>
    <row r="1253" spans="2:16" ht="15.75" customHeight="1">
      <c r="B1253" s="16"/>
      <c r="H1253" s="16"/>
      <c r="I1253" s="16"/>
      <c r="J1253" s="17"/>
      <c r="N1253" s="16"/>
      <c r="O1253" s="16"/>
      <c r="P1253" s="16"/>
    </row>
    <row r="1254" spans="2:16" ht="15.75" customHeight="1">
      <c r="B1254" s="16"/>
      <c r="H1254" s="16"/>
      <c r="I1254" s="16"/>
      <c r="J1254" s="17"/>
      <c r="N1254" s="16"/>
      <c r="O1254" s="16"/>
      <c r="P1254" s="16"/>
    </row>
    <row r="1255" spans="2:16" ht="15.75" customHeight="1">
      <c r="B1255" s="16"/>
      <c r="H1255" s="16"/>
      <c r="I1255" s="16"/>
      <c r="J1255" s="17"/>
      <c r="N1255" s="16"/>
      <c r="O1255" s="16"/>
      <c r="P1255" s="16"/>
    </row>
    <row r="1256" spans="2:16" ht="15.75" customHeight="1">
      <c r="B1256" s="16"/>
      <c r="H1256" s="16"/>
      <c r="I1256" s="16"/>
      <c r="J1256" s="17"/>
      <c r="N1256" s="16"/>
      <c r="O1256" s="16"/>
      <c r="P1256" s="16"/>
    </row>
    <row r="1257" spans="2:16" ht="15.75" customHeight="1">
      <c r="B1257" s="16"/>
      <c r="H1257" s="16"/>
      <c r="I1257" s="16"/>
      <c r="J1257" s="17"/>
      <c r="N1257" s="16"/>
      <c r="O1257" s="16"/>
      <c r="P1257" s="16"/>
    </row>
    <row r="1258" spans="2:16" ht="15.75" customHeight="1">
      <c r="B1258" s="16"/>
      <c r="H1258" s="16"/>
      <c r="I1258" s="16"/>
      <c r="J1258" s="17"/>
      <c r="N1258" s="16"/>
      <c r="O1258" s="16"/>
      <c r="P1258" s="16"/>
    </row>
    <row r="1259" spans="2:16" ht="15.75" customHeight="1">
      <c r="B1259" s="16"/>
      <c r="H1259" s="16"/>
      <c r="I1259" s="16"/>
      <c r="J1259" s="17"/>
      <c r="N1259" s="16"/>
      <c r="O1259" s="16"/>
      <c r="P1259" s="16"/>
    </row>
    <row r="1260" spans="2:16" ht="15.75" customHeight="1">
      <c r="B1260" s="16"/>
      <c r="H1260" s="16"/>
      <c r="I1260" s="16"/>
      <c r="J1260" s="17"/>
      <c r="N1260" s="16"/>
      <c r="O1260" s="16"/>
      <c r="P1260" s="16"/>
    </row>
    <row r="1261" spans="2:16" ht="15.75" customHeight="1">
      <c r="B1261" s="16"/>
      <c r="H1261" s="16"/>
      <c r="I1261" s="16"/>
      <c r="J1261" s="17"/>
      <c r="N1261" s="16"/>
      <c r="O1261" s="16"/>
      <c r="P1261" s="16"/>
    </row>
    <row r="1262" spans="2:16" ht="15.75" customHeight="1">
      <c r="B1262" s="16"/>
      <c r="H1262" s="16"/>
      <c r="I1262" s="16"/>
      <c r="J1262" s="17"/>
      <c r="N1262" s="16"/>
      <c r="O1262" s="16"/>
      <c r="P1262" s="16"/>
    </row>
    <row r="1263" spans="2:16" ht="15.75" customHeight="1">
      <c r="B1263" s="16"/>
      <c r="H1263" s="16"/>
      <c r="I1263" s="16"/>
      <c r="J1263" s="17"/>
      <c r="N1263" s="16"/>
      <c r="O1263" s="16"/>
      <c r="P1263" s="16"/>
    </row>
    <row r="1264" spans="2:16" ht="15.75" customHeight="1">
      <c r="B1264" s="16"/>
      <c r="H1264" s="16"/>
      <c r="I1264" s="16"/>
      <c r="J1264" s="17"/>
      <c r="N1264" s="16"/>
      <c r="O1264" s="16"/>
      <c r="P1264" s="16"/>
    </row>
    <row r="1265" spans="2:16" ht="15.75" customHeight="1">
      <c r="B1265" s="16"/>
      <c r="H1265" s="16"/>
      <c r="I1265" s="16"/>
      <c r="J1265" s="17"/>
      <c r="N1265" s="16"/>
      <c r="O1265" s="16"/>
      <c r="P1265" s="16"/>
    </row>
    <row r="1266" spans="2:16" ht="15.75" customHeight="1">
      <c r="B1266" s="16"/>
      <c r="H1266" s="16"/>
      <c r="I1266" s="16"/>
      <c r="J1266" s="17"/>
      <c r="N1266" s="16"/>
      <c r="O1266" s="16"/>
      <c r="P1266" s="16"/>
    </row>
    <row r="1267" spans="2:16" ht="15.75" customHeight="1">
      <c r="B1267" s="16"/>
      <c r="H1267" s="16"/>
      <c r="I1267" s="16"/>
      <c r="J1267" s="17"/>
      <c r="N1267" s="16"/>
      <c r="O1267" s="16"/>
      <c r="P1267" s="16"/>
    </row>
    <row r="1268" spans="2:16" ht="15.75" customHeight="1">
      <c r="B1268" s="16"/>
      <c r="H1268" s="16"/>
      <c r="I1268" s="16"/>
      <c r="J1268" s="17"/>
      <c r="N1268" s="16"/>
      <c r="O1268" s="16"/>
      <c r="P1268" s="16"/>
    </row>
    <row r="1269" spans="2:16" ht="15.75" customHeight="1">
      <c r="B1269" s="16"/>
      <c r="H1269" s="16"/>
      <c r="I1269" s="16"/>
      <c r="J1269" s="17"/>
      <c r="N1269" s="16"/>
      <c r="O1269" s="16"/>
      <c r="P1269" s="16"/>
    </row>
    <row r="1270" spans="2:16" ht="15.75" customHeight="1">
      <c r="B1270" s="16"/>
      <c r="H1270" s="16"/>
      <c r="I1270" s="16"/>
      <c r="J1270" s="17"/>
      <c r="N1270" s="16"/>
      <c r="O1270" s="16"/>
      <c r="P1270" s="16"/>
    </row>
    <row r="1271" spans="2:16" ht="15.75" customHeight="1">
      <c r="B1271" s="16"/>
      <c r="H1271" s="16"/>
      <c r="I1271" s="16"/>
      <c r="J1271" s="17"/>
      <c r="N1271" s="16"/>
      <c r="O1271" s="16"/>
      <c r="P1271" s="16"/>
    </row>
    <row r="1272" spans="2:16" ht="15.75" customHeight="1">
      <c r="B1272" s="16"/>
      <c r="H1272" s="16"/>
      <c r="I1272" s="16"/>
      <c r="J1272" s="17"/>
      <c r="N1272" s="16"/>
      <c r="O1272" s="16"/>
      <c r="P1272" s="16"/>
    </row>
    <row r="1273" spans="2:16" ht="15.75" customHeight="1">
      <c r="B1273" s="16"/>
      <c r="H1273" s="16"/>
      <c r="I1273" s="16"/>
      <c r="J1273" s="17"/>
      <c r="N1273" s="16"/>
      <c r="O1273" s="16"/>
      <c r="P1273" s="16"/>
    </row>
    <row r="1274" spans="2:16" ht="15.75" customHeight="1">
      <c r="B1274" s="16"/>
      <c r="H1274" s="16"/>
      <c r="I1274" s="16"/>
      <c r="J1274" s="17"/>
      <c r="N1274" s="16"/>
      <c r="O1274" s="16"/>
      <c r="P1274" s="16"/>
    </row>
    <row r="1275" spans="2:16" ht="15.75" customHeight="1">
      <c r="B1275" s="16"/>
      <c r="H1275" s="16"/>
      <c r="I1275" s="16"/>
      <c r="J1275" s="17"/>
      <c r="N1275" s="16"/>
      <c r="O1275" s="16"/>
      <c r="P1275" s="16"/>
    </row>
    <row r="1276" spans="2:16" ht="15.75" customHeight="1">
      <c r="B1276" s="16"/>
      <c r="H1276" s="16"/>
      <c r="I1276" s="16"/>
      <c r="J1276" s="17"/>
      <c r="N1276" s="16"/>
      <c r="O1276" s="16"/>
      <c r="P1276" s="16"/>
    </row>
    <row r="1277" spans="2:16" ht="15.75" customHeight="1">
      <c r="B1277" s="16"/>
      <c r="H1277" s="16"/>
      <c r="I1277" s="16"/>
      <c r="J1277" s="17"/>
      <c r="N1277" s="16"/>
      <c r="O1277" s="16"/>
      <c r="P1277" s="16"/>
    </row>
    <row r="1278" spans="2:16" ht="15.75" customHeight="1">
      <c r="B1278" s="16"/>
      <c r="H1278" s="16"/>
      <c r="I1278" s="16"/>
      <c r="J1278" s="17"/>
      <c r="N1278" s="16"/>
      <c r="O1278" s="16"/>
      <c r="P1278" s="16"/>
    </row>
    <row r="1279" spans="2:16" ht="15.75" customHeight="1">
      <c r="B1279" s="16"/>
      <c r="H1279" s="16"/>
      <c r="I1279" s="16"/>
      <c r="J1279" s="17"/>
      <c r="N1279" s="16"/>
      <c r="O1279" s="16"/>
      <c r="P1279" s="16"/>
    </row>
    <row r="1280" spans="2:16" ht="15.75" customHeight="1">
      <c r="B1280" s="16"/>
      <c r="H1280" s="16"/>
      <c r="I1280" s="16"/>
      <c r="J1280" s="17"/>
      <c r="N1280" s="16"/>
      <c r="O1280" s="16"/>
      <c r="P1280" s="16"/>
    </row>
    <row r="1281" spans="2:16" ht="15.75" customHeight="1">
      <c r="B1281" s="16"/>
      <c r="H1281" s="16"/>
      <c r="I1281" s="16"/>
      <c r="J1281" s="17"/>
      <c r="N1281" s="16"/>
      <c r="O1281" s="16"/>
      <c r="P1281" s="16"/>
    </row>
    <row r="1282" spans="2:16" ht="15.75" customHeight="1">
      <c r="B1282" s="16"/>
      <c r="H1282" s="16"/>
      <c r="I1282" s="16"/>
      <c r="J1282" s="17"/>
      <c r="N1282" s="16"/>
      <c r="O1282" s="16"/>
      <c r="P1282" s="16"/>
    </row>
    <row r="1283" spans="2:16" ht="15.75" customHeight="1">
      <c r="B1283" s="16"/>
      <c r="H1283" s="16"/>
      <c r="I1283" s="16"/>
      <c r="J1283" s="17"/>
      <c r="N1283" s="16"/>
      <c r="O1283" s="16"/>
      <c r="P1283" s="16"/>
    </row>
    <row r="1284" spans="2:16" ht="15.75" customHeight="1">
      <c r="B1284" s="16"/>
      <c r="H1284" s="16"/>
      <c r="I1284" s="16"/>
      <c r="J1284" s="17"/>
      <c r="N1284" s="16"/>
      <c r="O1284" s="16"/>
      <c r="P1284" s="16"/>
    </row>
    <row r="1285" spans="2:16" ht="15.75" customHeight="1">
      <c r="B1285" s="16"/>
      <c r="H1285" s="16"/>
      <c r="I1285" s="16"/>
      <c r="J1285" s="17"/>
      <c r="N1285" s="16"/>
      <c r="O1285" s="16"/>
      <c r="P1285" s="16"/>
    </row>
    <row r="1286" spans="2:16" ht="15.75" customHeight="1">
      <c r="B1286" s="16"/>
      <c r="H1286" s="16"/>
      <c r="I1286" s="16"/>
      <c r="J1286" s="17"/>
      <c r="N1286" s="16"/>
      <c r="O1286" s="16"/>
      <c r="P1286" s="16"/>
    </row>
    <row r="1287" spans="2:16" ht="15.75" customHeight="1">
      <c r="B1287" s="16"/>
      <c r="H1287" s="16"/>
      <c r="N1287" s="16"/>
      <c r="O1287" s="16"/>
      <c r="P1287" s="16"/>
    </row>
    <row r="1288" spans="2:16" ht="15.75" customHeight="1">
      <c r="B1288" s="16"/>
      <c r="H1288" s="16"/>
      <c r="N1288" s="16"/>
      <c r="O1288" s="16"/>
      <c r="P1288" s="16"/>
    </row>
    <row r="1289" spans="2:16" ht="15.75" customHeight="1">
      <c r="B1289" s="16"/>
      <c r="H1289" s="16"/>
      <c r="I1289" s="16"/>
      <c r="J1289" s="17"/>
      <c r="N1289" s="16"/>
      <c r="O1289" s="16"/>
      <c r="P1289" s="16"/>
    </row>
    <row r="1290" spans="2:16" ht="15.75" customHeight="1">
      <c r="B1290" s="16"/>
      <c r="H1290" s="16"/>
      <c r="I1290" s="16"/>
      <c r="J1290" s="17"/>
      <c r="N1290" s="16"/>
      <c r="O1290" s="16"/>
      <c r="P1290" s="16"/>
    </row>
    <row r="1291" spans="2:16" ht="15.75" customHeight="1">
      <c r="B1291" s="16"/>
      <c r="H1291" s="16"/>
      <c r="I1291" s="16"/>
      <c r="J1291" s="17"/>
      <c r="N1291" s="16"/>
      <c r="O1291" s="16"/>
      <c r="P1291" s="16"/>
    </row>
    <row r="1292" spans="2:16" ht="15.75" customHeight="1">
      <c r="B1292" s="16"/>
      <c r="H1292" s="16"/>
      <c r="I1292" s="16"/>
      <c r="J1292" s="17"/>
      <c r="N1292" s="16"/>
      <c r="O1292" s="16"/>
      <c r="P1292" s="16"/>
    </row>
    <row r="1293" spans="2:16" ht="15.75" customHeight="1">
      <c r="B1293" s="16"/>
      <c r="H1293" s="16"/>
      <c r="I1293" s="16"/>
      <c r="J1293" s="17"/>
      <c r="N1293" s="16"/>
      <c r="O1293" s="16"/>
      <c r="P1293" s="16"/>
    </row>
    <row r="1294" spans="2:16" ht="15.75" customHeight="1">
      <c r="B1294" s="16"/>
      <c r="H1294" s="16"/>
      <c r="I1294" s="16"/>
      <c r="J1294" s="17"/>
      <c r="N1294" s="16"/>
      <c r="O1294" s="16"/>
      <c r="P1294" s="16"/>
    </row>
    <row r="1295" spans="2:16" ht="15.75" customHeight="1">
      <c r="B1295" s="16"/>
      <c r="H1295" s="16"/>
      <c r="I1295" s="16"/>
      <c r="J1295" s="17"/>
      <c r="N1295" s="16"/>
      <c r="O1295" s="16"/>
      <c r="P1295" s="16"/>
    </row>
    <row r="1296" spans="2:16" ht="15.75" customHeight="1">
      <c r="B1296" s="16"/>
      <c r="H1296" s="16"/>
      <c r="I1296" s="16"/>
      <c r="J1296" s="17"/>
      <c r="N1296" s="16"/>
      <c r="O1296" s="16"/>
      <c r="P1296" s="16"/>
    </row>
    <row r="1297" spans="2:16" ht="15.75" customHeight="1">
      <c r="B1297" s="16"/>
      <c r="H1297" s="16"/>
      <c r="I1297" s="16"/>
      <c r="J1297" s="17"/>
      <c r="N1297" s="16"/>
      <c r="O1297" s="16"/>
      <c r="P1297" s="16"/>
    </row>
    <row r="1298" spans="2:16" ht="15.75" customHeight="1">
      <c r="B1298" s="16"/>
      <c r="H1298" s="16"/>
      <c r="I1298" s="16"/>
      <c r="J1298" s="17"/>
      <c r="N1298" s="16"/>
      <c r="O1298" s="16"/>
      <c r="P1298" s="16"/>
    </row>
    <row r="1299" spans="2:16" ht="15.75" customHeight="1">
      <c r="B1299" s="16"/>
      <c r="H1299" s="16"/>
      <c r="I1299" s="16"/>
      <c r="J1299" s="17"/>
      <c r="N1299" s="16"/>
      <c r="O1299" s="16"/>
      <c r="P1299" s="16"/>
    </row>
    <row r="1300" spans="2:16" ht="15.75" customHeight="1">
      <c r="B1300" s="16"/>
      <c r="H1300" s="16"/>
      <c r="N1300" s="16"/>
      <c r="O1300" s="16"/>
      <c r="P1300" s="16"/>
    </row>
    <row r="1301" spans="2:16" ht="15.75" customHeight="1">
      <c r="B1301" s="16"/>
      <c r="H1301" s="16"/>
      <c r="N1301" s="16"/>
      <c r="O1301" s="16"/>
      <c r="P1301" s="16"/>
    </row>
    <row r="1302" spans="2:16" ht="15.75" customHeight="1">
      <c r="B1302" s="16"/>
      <c r="H1302" s="16"/>
      <c r="N1302" s="16"/>
      <c r="O1302" s="16"/>
      <c r="P1302" s="16"/>
    </row>
    <row r="1303" spans="2:16" ht="15.75" customHeight="1">
      <c r="B1303" s="16"/>
      <c r="H1303" s="16"/>
      <c r="N1303" s="16"/>
      <c r="P1303" s="16"/>
    </row>
    <row r="1304" spans="2:16" ht="15.75" customHeight="1">
      <c r="B1304" s="16"/>
      <c r="H1304" s="16"/>
      <c r="I1304" s="16"/>
      <c r="J1304" s="17"/>
      <c r="N1304" s="16"/>
      <c r="P1304" s="16"/>
    </row>
    <row r="1305" spans="2:16" ht="15.75" customHeight="1">
      <c r="B1305" s="16"/>
      <c r="H1305" s="16"/>
      <c r="I1305" s="16"/>
      <c r="J1305" s="17"/>
      <c r="N1305" s="16"/>
      <c r="P1305" s="16"/>
    </row>
    <row r="1306" spans="2:16" ht="15.75" customHeight="1">
      <c r="B1306" s="16"/>
      <c r="H1306" s="16"/>
      <c r="I1306" s="16"/>
      <c r="J1306" s="17"/>
      <c r="N1306" s="16"/>
      <c r="O1306" s="16"/>
      <c r="P1306" s="16"/>
    </row>
    <row r="1307" spans="2:16" ht="15.75" customHeight="1">
      <c r="B1307" s="16"/>
      <c r="H1307" s="16"/>
      <c r="I1307" s="16"/>
      <c r="J1307" s="17"/>
      <c r="N1307" s="16"/>
      <c r="O1307" s="16"/>
      <c r="P1307" s="16"/>
    </row>
    <row r="1308" spans="2:16" ht="15.75" customHeight="1">
      <c r="B1308" s="16"/>
      <c r="H1308" s="16"/>
      <c r="I1308" s="16"/>
      <c r="J1308" s="17"/>
      <c r="N1308" s="16"/>
      <c r="O1308" s="16"/>
      <c r="P1308" s="16"/>
    </row>
    <row r="1309" spans="2:16" ht="15.75" customHeight="1">
      <c r="B1309" s="16"/>
      <c r="H1309" s="16"/>
      <c r="I1309" s="16"/>
      <c r="J1309" s="17"/>
      <c r="N1309" s="16"/>
      <c r="O1309" s="16"/>
      <c r="P1309" s="16"/>
    </row>
    <row r="1310" spans="2:16" ht="15.75" customHeight="1">
      <c r="B1310" s="16"/>
      <c r="H1310" s="16"/>
      <c r="I1310" s="16"/>
      <c r="J1310" s="17"/>
      <c r="N1310" s="16"/>
      <c r="O1310" s="16"/>
      <c r="P1310" s="16"/>
    </row>
    <row r="1311" spans="2:16" ht="15.75" customHeight="1">
      <c r="B1311" s="16"/>
      <c r="H1311" s="16"/>
      <c r="I1311" s="16"/>
      <c r="J1311" s="17"/>
      <c r="N1311" s="16"/>
      <c r="O1311" s="16"/>
      <c r="P1311" s="16"/>
    </row>
    <row r="1312" spans="2:16" ht="15.75" customHeight="1">
      <c r="B1312" s="16"/>
      <c r="H1312" s="16"/>
      <c r="I1312" s="16"/>
      <c r="J1312" s="17"/>
      <c r="N1312" s="16"/>
      <c r="O1312" s="16"/>
      <c r="P1312" s="16"/>
    </row>
    <row r="1313" spans="2:16" ht="15.75" customHeight="1">
      <c r="B1313" s="16"/>
      <c r="H1313" s="16"/>
      <c r="N1313" s="16"/>
      <c r="O1313" s="16"/>
      <c r="P1313" s="16"/>
    </row>
    <row r="1314" spans="2:16" ht="15.75" customHeight="1">
      <c r="B1314" s="16"/>
      <c r="H1314" s="16"/>
      <c r="I1314" s="16"/>
      <c r="J1314" s="17"/>
      <c r="N1314" s="16"/>
      <c r="O1314" s="16"/>
      <c r="P1314" s="16"/>
    </row>
    <row r="1315" spans="2:16" ht="15.75" customHeight="1">
      <c r="B1315" s="16"/>
      <c r="H1315" s="16"/>
      <c r="I1315" s="16"/>
      <c r="J1315" s="17"/>
      <c r="N1315" s="16"/>
      <c r="O1315" s="16"/>
      <c r="P1315" s="16"/>
    </row>
    <row r="1316" spans="2:16" ht="15.75" customHeight="1">
      <c r="B1316" s="16"/>
      <c r="H1316" s="16"/>
      <c r="N1316" s="16"/>
      <c r="O1316" s="16"/>
      <c r="P1316" s="16"/>
    </row>
    <row r="1317" spans="2:16" ht="15.75" customHeight="1">
      <c r="B1317" s="16"/>
      <c r="H1317" s="16"/>
      <c r="I1317" s="16"/>
      <c r="J1317" s="17"/>
      <c r="N1317" s="16"/>
      <c r="O1317" s="16"/>
      <c r="P1317" s="16"/>
    </row>
    <row r="1318" spans="2:16" ht="15.75" customHeight="1">
      <c r="B1318" s="16"/>
      <c r="H1318" s="16"/>
      <c r="I1318" s="16"/>
      <c r="J1318" s="17"/>
      <c r="N1318" s="16"/>
      <c r="O1318" s="16"/>
      <c r="P1318" s="16"/>
    </row>
    <row r="1319" spans="2:16" ht="15.75" customHeight="1">
      <c r="B1319" s="16"/>
      <c r="H1319" s="16"/>
      <c r="I1319" s="16"/>
      <c r="J1319" s="17"/>
      <c r="N1319" s="16"/>
      <c r="O1319" s="16"/>
      <c r="P1319" s="16"/>
    </row>
    <row r="1320" spans="2:16" ht="15.75" customHeight="1">
      <c r="B1320" s="16"/>
      <c r="H1320" s="16"/>
      <c r="I1320" s="16"/>
      <c r="J1320" s="17"/>
      <c r="N1320" s="16"/>
      <c r="O1320" s="16"/>
      <c r="P1320" s="16"/>
    </row>
    <row r="1321" spans="2:16" ht="15.75" customHeight="1">
      <c r="B1321" s="16"/>
      <c r="H1321" s="16"/>
      <c r="I1321" s="16"/>
      <c r="J1321" s="17"/>
      <c r="N1321" s="16"/>
      <c r="O1321" s="16"/>
      <c r="P1321" s="16"/>
    </row>
    <row r="1322" spans="2:16" ht="15.75" customHeight="1">
      <c r="B1322" s="16"/>
      <c r="H1322" s="16"/>
      <c r="N1322" s="16"/>
      <c r="O1322" s="16"/>
      <c r="P1322" s="16"/>
    </row>
    <row r="1323" spans="2:16" ht="15.75" customHeight="1">
      <c r="B1323" s="16"/>
      <c r="H1323" s="16"/>
      <c r="N1323" s="16"/>
      <c r="O1323" s="16"/>
      <c r="P1323" s="16"/>
    </row>
    <row r="1324" spans="2:16" ht="15.75" customHeight="1">
      <c r="B1324" s="16"/>
      <c r="H1324" s="16"/>
      <c r="N1324" s="16"/>
      <c r="O1324" s="16"/>
      <c r="P1324" s="16"/>
    </row>
    <row r="1325" spans="2:16" ht="15.75" customHeight="1">
      <c r="B1325" s="16"/>
      <c r="H1325" s="16"/>
      <c r="N1325" s="16"/>
      <c r="O1325" s="16"/>
      <c r="P1325" s="16"/>
    </row>
    <row r="1326" spans="2:16" ht="15.75" customHeight="1">
      <c r="B1326" s="16"/>
      <c r="H1326" s="16"/>
      <c r="I1326" s="16"/>
      <c r="J1326" s="17"/>
      <c r="N1326" s="16"/>
      <c r="O1326" s="16"/>
      <c r="P1326" s="16"/>
    </row>
    <row r="1327" spans="2:16" ht="15.75" customHeight="1">
      <c r="B1327" s="16"/>
      <c r="H1327" s="16"/>
      <c r="I1327" s="16"/>
      <c r="J1327" s="17"/>
      <c r="N1327" s="16"/>
      <c r="O1327" s="16"/>
      <c r="P1327" s="16"/>
    </row>
    <row r="1328" spans="2:16" ht="15.75" customHeight="1">
      <c r="B1328" s="16"/>
      <c r="H1328" s="16"/>
      <c r="I1328" s="16"/>
      <c r="J1328" s="17"/>
      <c r="N1328" s="16"/>
      <c r="O1328" s="16"/>
      <c r="P1328" s="16"/>
    </row>
    <row r="1329" spans="2:16" ht="15.75" customHeight="1">
      <c r="B1329" s="16"/>
      <c r="H1329" s="16"/>
      <c r="I1329" s="16"/>
      <c r="J1329" s="17"/>
      <c r="N1329" s="16"/>
      <c r="O1329" s="16"/>
      <c r="P1329" s="16"/>
    </row>
    <row r="1330" spans="2:16" ht="15.75" customHeight="1">
      <c r="B1330" s="16"/>
      <c r="H1330" s="16"/>
      <c r="I1330" s="16"/>
      <c r="J1330" s="17"/>
      <c r="N1330" s="16"/>
      <c r="O1330" s="16"/>
      <c r="P1330" s="16"/>
    </row>
    <row r="1331" spans="2:16" ht="15.75" customHeight="1">
      <c r="B1331" s="16"/>
      <c r="H1331" s="16"/>
      <c r="I1331" s="16"/>
      <c r="J1331" s="17"/>
      <c r="N1331" s="16"/>
      <c r="O1331" s="16"/>
      <c r="P1331" s="16"/>
    </row>
    <row r="1332" spans="2:16" ht="15.75" customHeight="1">
      <c r="B1332" s="16"/>
      <c r="H1332" s="16"/>
      <c r="I1332" s="16"/>
      <c r="J1332" s="17"/>
      <c r="N1332" s="16"/>
      <c r="O1332" s="16"/>
      <c r="P1332" s="16"/>
    </row>
    <row r="1333" spans="2:16" ht="15.75" customHeight="1">
      <c r="B1333" s="16"/>
      <c r="H1333" s="16"/>
      <c r="I1333" s="16"/>
      <c r="J1333" s="17"/>
      <c r="N1333" s="16"/>
      <c r="O1333" s="16"/>
      <c r="P1333" s="16"/>
    </row>
    <row r="1334" spans="2:16" ht="15.75" customHeight="1">
      <c r="B1334" s="16"/>
      <c r="H1334" s="16"/>
      <c r="I1334" s="16"/>
      <c r="J1334" s="17"/>
      <c r="N1334" s="16"/>
      <c r="O1334" s="16"/>
      <c r="P1334" s="16"/>
    </row>
    <row r="1335" spans="2:16" ht="15.75" customHeight="1">
      <c r="B1335" s="16"/>
      <c r="H1335" s="16"/>
      <c r="I1335" s="16"/>
      <c r="J1335" s="17"/>
      <c r="N1335" s="16"/>
      <c r="O1335" s="16"/>
      <c r="P1335" s="16"/>
    </row>
    <row r="1336" spans="2:16" ht="15.75" customHeight="1">
      <c r="B1336" s="16"/>
      <c r="H1336" s="16"/>
      <c r="I1336" s="16"/>
      <c r="J1336" s="17"/>
      <c r="N1336" s="16"/>
      <c r="O1336" s="16"/>
      <c r="P1336" s="16"/>
    </row>
    <row r="1337" spans="2:16" ht="15.75" customHeight="1">
      <c r="B1337" s="16"/>
      <c r="H1337" s="16"/>
      <c r="I1337" s="16"/>
      <c r="J1337" s="17"/>
      <c r="N1337" s="16"/>
      <c r="O1337" s="16"/>
      <c r="P1337" s="16"/>
    </row>
    <row r="1338" spans="2:16" ht="15.75" customHeight="1">
      <c r="B1338" s="16"/>
      <c r="H1338" s="16"/>
      <c r="I1338" s="16"/>
      <c r="J1338" s="17"/>
      <c r="N1338" s="16"/>
      <c r="O1338" s="16"/>
      <c r="P1338" s="16"/>
    </row>
    <row r="1339" spans="2:16" ht="15.75" customHeight="1">
      <c r="B1339" s="16"/>
      <c r="H1339" s="16"/>
      <c r="I1339" s="16"/>
      <c r="J1339" s="17"/>
      <c r="N1339" s="16"/>
      <c r="O1339" s="16"/>
      <c r="P1339" s="16"/>
    </row>
    <row r="1340" spans="2:16" ht="15.75" customHeight="1">
      <c r="B1340" s="16"/>
      <c r="H1340" s="16"/>
      <c r="I1340" s="16"/>
      <c r="J1340" s="17"/>
      <c r="N1340" s="16"/>
      <c r="O1340" s="16"/>
      <c r="P1340" s="16"/>
    </row>
    <row r="1341" spans="2:16" ht="15.75" customHeight="1">
      <c r="B1341" s="16"/>
      <c r="H1341" s="16"/>
      <c r="I1341" s="16"/>
      <c r="J1341" s="17"/>
      <c r="N1341" s="16"/>
      <c r="O1341" s="16"/>
      <c r="P1341" s="16"/>
    </row>
    <row r="1342" spans="2:16" ht="15.75" customHeight="1">
      <c r="B1342" s="16"/>
      <c r="H1342" s="16"/>
      <c r="I1342" s="16"/>
      <c r="J1342" s="17"/>
      <c r="N1342" s="16"/>
      <c r="O1342" s="16"/>
      <c r="P1342" s="16"/>
    </row>
    <row r="1343" spans="2:16" ht="15.75" customHeight="1">
      <c r="B1343" s="16"/>
      <c r="H1343" s="16"/>
      <c r="I1343" s="16"/>
      <c r="J1343" s="17"/>
      <c r="N1343" s="16"/>
      <c r="O1343" s="16"/>
      <c r="P1343" s="16"/>
    </row>
    <row r="1344" spans="2:16" ht="15.75" customHeight="1">
      <c r="B1344" s="16"/>
      <c r="H1344" s="16"/>
      <c r="I1344" s="16"/>
      <c r="J1344" s="17"/>
      <c r="N1344" s="16"/>
      <c r="O1344" s="16"/>
      <c r="P1344" s="16"/>
    </row>
    <row r="1345" spans="2:16" ht="15.75" customHeight="1">
      <c r="B1345" s="16"/>
      <c r="H1345" s="16"/>
      <c r="I1345" s="16"/>
      <c r="J1345" s="17"/>
      <c r="N1345" s="16"/>
      <c r="O1345" s="16"/>
      <c r="P1345" s="16"/>
    </row>
    <row r="1346" spans="2:16" ht="15.75" customHeight="1">
      <c r="B1346" s="16"/>
      <c r="H1346" s="16"/>
      <c r="I1346" s="16"/>
      <c r="J1346" s="17"/>
      <c r="N1346" s="16"/>
      <c r="O1346" s="16"/>
      <c r="P1346" s="16"/>
    </row>
    <row r="1347" spans="2:16" ht="15.75" customHeight="1">
      <c r="B1347" s="16"/>
      <c r="H1347" s="16"/>
      <c r="I1347" s="16"/>
      <c r="J1347" s="17"/>
      <c r="N1347" s="16"/>
      <c r="O1347" s="16"/>
      <c r="P1347" s="16"/>
    </row>
    <row r="1348" spans="2:16" ht="15.75" customHeight="1">
      <c r="B1348" s="16"/>
      <c r="H1348" s="16"/>
      <c r="I1348" s="16"/>
      <c r="J1348" s="17"/>
      <c r="N1348" s="16"/>
      <c r="O1348" s="16"/>
      <c r="P1348" s="16"/>
    </row>
    <row r="1349" spans="2:16" ht="15.75" customHeight="1">
      <c r="B1349" s="16"/>
      <c r="H1349" s="16"/>
      <c r="I1349" s="16"/>
      <c r="J1349" s="17"/>
      <c r="N1349" s="16"/>
      <c r="O1349" s="16"/>
      <c r="P1349" s="16"/>
    </row>
    <row r="1350" spans="2:16" ht="15.75" customHeight="1">
      <c r="B1350" s="16"/>
      <c r="H1350" s="16"/>
      <c r="I1350" s="16"/>
      <c r="J1350" s="17"/>
      <c r="N1350" s="16"/>
      <c r="O1350" s="16"/>
      <c r="P1350" s="16"/>
    </row>
    <row r="1351" spans="2:16" ht="15.75" customHeight="1">
      <c r="B1351" s="16"/>
      <c r="H1351" s="16"/>
      <c r="I1351" s="16"/>
      <c r="J1351" s="17"/>
      <c r="N1351" s="16"/>
      <c r="O1351" s="16"/>
      <c r="P1351" s="16"/>
    </row>
    <row r="1352" spans="2:16" ht="15.75" customHeight="1">
      <c r="B1352" s="16"/>
      <c r="H1352" s="16"/>
      <c r="I1352" s="16"/>
      <c r="J1352" s="17"/>
      <c r="N1352" s="16"/>
      <c r="O1352" s="16"/>
      <c r="P1352" s="16"/>
    </row>
    <row r="1353" spans="2:16" ht="15.75" customHeight="1">
      <c r="B1353" s="16"/>
      <c r="H1353" s="16"/>
      <c r="I1353" s="16"/>
      <c r="J1353" s="17"/>
      <c r="N1353" s="16"/>
      <c r="O1353" s="16"/>
      <c r="P1353" s="16"/>
    </row>
    <row r="1354" spans="2:16" ht="15.75" customHeight="1">
      <c r="B1354" s="16"/>
      <c r="H1354" s="16"/>
      <c r="I1354" s="16"/>
      <c r="J1354" s="17"/>
      <c r="N1354" s="16"/>
      <c r="O1354" s="16"/>
      <c r="P1354" s="16"/>
    </row>
    <row r="1355" spans="2:16" ht="15.75" customHeight="1">
      <c r="B1355" s="16"/>
      <c r="H1355" s="16"/>
      <c r="I1355" s="16"/>
      <c r="J1355" s="17"/>
      <c r="N1355" s="16"/>
      <c r="O1355" s="16"/>
      <c r="P1355" s="16"/>
    </row>
    <row r="1356" spans="2:16" ht="15.75" customHeight="1">
      <c r="B1356" s="16"/>
      <c r="H1356" s="16"/>
      <c r="I1356" s="16"/>
      <c r="J1356" s="17"/>
      <c r="N1356" s="16"/>
      <c r="O1356" s="16"/>
      <c r="P1356" s="16"/>
    </row>
    <row r="1357" spans="2:16" ht="15.75" customHeight="1">
      <c r="B1357" s="16"/>
      <c r="H1357" s="16"/>
      <c r="I1357" s="16"/>
      <c r="J1357" s="17"/>
      <c r="N1357" s="16"/>
      <c r="O1357" s="16"/>
      <c r="P1357" s="16"/>
    </row>
    <row r="1358" spans="2:16" ht="15.75" customHeight="1">
      <c r="B1358" s="16"/>
      <c r="H1358" s="16"/>
      <c r="I1358" s="16"/>
      <c r="J1358" s="17"/>
      <c r="N1358" s="16"/>
      <c r="O1358" s="16"/>
      <c r="P1358" s="16"/>
    </row>
    <row r="1359" spans="2:16" ht="15.75" customHeight="1">
      <c r="B1359" s="16"/>
      <c r="H1359" s="16"/>
      <c r="I1359" s="16"/>
      <c r="J1359" s="17"/>
      <c r="N1359" s="16"/>
      <c r="O1359" s="16"/>
      <c r="P1359" s="16"/>
    </row>
    <row r="1360" spans="2:16" ht="15.75" customHeight="1">
      <c r="B1360" s="16"/>
      <c r="H1360" s="16"/>
      <c r="I1360" s="16"/>
      <c r="J1360" s="17"/>
      <c r="N1360" s="16"/>
      <c r="O1360" s="16"/>
      <c r="P1360" s="16"/>
    </row>
    <row r="1361" spans="2:16" ht="15.75" customHeight="1">
      <c r="B1361" s="16"/>
      <c r="H1361" s="16"/>
      <c r="I1361" s="16"/>
      <c r="J1361" s="17"/>
      <c r="N1361" s="16"/>
      <c r="O1361" s="16"/>
      <c r="P1361" s="16"/>
    </row>
    <row r="1362" spans="2:16" ht="15.75" customHeight="1">
      <c r="B1362" s="16"/>
      <c r="H1362" s="16"/>
      <c r="I1362" s="16"/>
      <c r="J1362" s="17"/>
      <c r="N1362" s="16"/>
      <c r="O1362" s="16"/>
      <c r="P1362" s="16"/>
    </row>
    <row r="1363" spans="2:16" ht="15.75" customHeight="1">
      <c r="B1363" s="16"/>
      <c r="H1363" s="16"/>
      <c r="I1363" s="16"/>
      <c r="J1363" s="17"/>
      <c r="N1363" s="16"/>
      <c r="O1363" s="16"/>
      <c r="P1363" s="16"/>
    </row>
    <row r="1364" spans="2:16" ht="15.75" customHeight="1">
      <c r="B1364" s="16"/>
      <c r="H1364" s="16"/>
      <c r="I1364" s="16"/>
      <c r="J1364" s="17"/>
      <c r="N1364" s="16"/>
      <c r="O1364" s="16"/>
      <c r="P1364" s="16"/>
    </row>
    <row r="1365" spans="2:16" ht="15.75" customHeight="1">
      <c r="B1365" s="16"/>
      <c r="H1365" s="16"/>
      <c r="I1365" s="16"/>
      <c r="J1365" s="17"/>
      <c r="N1365" s="16"/>
      <c r="O1365" s="16"/>
      <c r="P1365" s="16"/>
    </row>
    <row r="1366" spans="2:16" ht="15.75" customHeight="1">
      <c r="B1366" s="16"/>
      <c r="H1366" s="16"/>
      <c r="I1366" s="16"/>
      <c r="J1366" s="17"/>
      <c r="N1366" s="16"/>
      <c r="O1366" s="16"/>
      <c r="P1366" s="16"/>
    </row>
    <row r="1367" spans="2:16" ht="15.75" customHeight="1">
      <c r="B1367" s="16"/>
      <c r="H1367" s="16"/>
      <c r="I1367" s="16"/>
      <c r="J1367" s="17"/>
      <c r="N1367" s="16"/>
      <c r="O1367" s="16"/>
      <c r="P1367" s="16"/>
    </row>
    <row r="1368" spans="2:16" ht="15.75" customHeight="1">
      <c r="B1368" s="16"/>
      <c r="H1368" s="16"/>
      <c r="I1368" s="16"/>
      <c r="J1368" s="17"/>
      <c r="N1368" s="16"/>
      <c r="O1368" s="16"/>
      <c r="P1368" s="16"/>
    </row>
    <row r="1369" spans="2:16" ht="15.75" customHeight="1">
      <c r="B1369" s="16"/>
      <c r="H1369" s="16"/>
      <c r="I1369" s="16"/>
      <c r="J1369" s="17"/>
      <c r="N1369" s="16"/>
      <c r="O1369" s="16"/>
      <c r="P1369" s="16"/>
    </row>
    <row r="1370" spans="2:16" ht="15.75" customHeight="1">
      <c r="B1370" s="16"/>
      <c r="H1370" s="16"/>
      <c r="I1370" s="16"/>
      <c r="J1370" s="17"/>
      <c r="N1370" s="16"/>
      <c r="O1370" s="16"/>
      <c r="P1370" s="16"/>
    </row>
    <row r="1371" spans="2:16" ht="15.75" customHeight="1">
      <c r="B1371" s="16"/>
      <c r="H1371" s="16"/>
      <c r="I1371" s="16"/>
      <c r="J1371" s="17"/>
      <c r="N1371" s="16"/>
      <c r="O1371" s="16"/>
      <c r="P1371" s="16"/>
    </row>
    <row r="1372" spans="2:16" ht="15.75" customHeight="1">
      <c r="B1372" s="16"/>
      <c r="H1372" s="16"/>
      <c r="I1372" s="16"/>
      <c r="J1372" s="17"/>
      <c r="N1372" s="16"/>
      <c r="O1372" s="16"/>
      <c r="P1372" s="16"/>
    </row>
    <row r="1373" spans="2:16" ht="15.75" customHeight="1">
      <c r="B1373" s="16"/>
      <c r="H1373" s="16"/>
      <c r="I1373" s="16"/>
      <c r="J1373" s="17"/>
      <c r="N1373" s="16"/>
      <c r="O1373" s="16"/>
      <c r="P1373" s="16"/>
    </row>
    <row r="1374" spans="2:16" ht="15.75" customHeight="1">
      <c r="B1374" s="16"/>
      <c r="H1374" s="16"/>
      <c r="I1374" s="16"/>
      <c r="J1374" s="17"/>
      <c r="N1374" s="16"/>
      <c r="O1374" s="16"/>
      <c r="P1374" s="16"/>
    </row>
    <row r="1375" spans="2:16" ht="15.75" customHeight="1">
      <c r="B1375" s="16"/>
      <c r="H1375" s="16"/>
      <c r="I1375" s="16"/>
      <c r="J1375" s="17"/>
      <c r="N1375" s="16"/>
      <c r="O1375" s="16"/>
      <c r="P1375" s="16"/>
    </row>
    <row r="1376" spans="2:16" ht="15.75" customHeight="1">
      <c r="B1376" s="16"/>
      <c r="H1376" s="16"/>
      <c r="I1376" s="16"/>
      <c r="J1376" s="17"/>
      <c r="N1376" s="16"/>
      <c r="O1376" s="16"/>
      <c r="P1376" s="16"/>
    </row>
    <row r="1377" spans="2:16" ht="15.75" customHeight="1">
      <c r="B1377" s="16"/>
      <c r="H1377" s="16"/>
      <c r="I1377" s="16"/>
      <c r="J1377" s="17"/>
      <c r="N1377" s="16"/>
      <c r="O1377" s="16"/>
      <c r="P1377" s="16"/>
    </row>
    <row r="1378" spans="2:16" ht="15.75" customHeight="1">
      <c r="B1378" s="16"/>
      <c r="H1378" s="16"/>
      <c r="I1378" s="16"/>
      <c r="J1378" s="17"/>
      <c r="N1378" s="16"/>
      <c r="O1378" s="16"/>
      <c r="P1378" s="16"/>
    </row>
    <row r="1379" spans="2:16" ht="15.75" customHeight="1">
      <c r="B1379" s="16"/>
      <c r="H1379" s="16"/>
      <c r="I1379" s="16"/>
      <c r="J1379" s="17"/>
      <c r="N1379" s="16"/>
      <c r="O1379" s="16"/>
      <c r="P1379" s="16"/>
    </row>
    <row r="1380" spans="2:16" ht="15.75" customHeight="1">
      <c r="B1380" s="16"/>
      <c r="H1380" s="16"/>
      <c r="I1380" s="16"/>
      <c r="J1380" s="17"/>
      <c r="N1380" s="16"/>
      <c r="O1380" s="16"/>
      <c r="P1380" s="16"/>
    </row>
    <row r="1381" spans="2:16" ht="15.75" customHeight="1">
      <c r="B1381" s="16"/>
      <c r="H1381" s="16"/>
      <c r="I1381" s="16"/>
      <c r="J1381" s="17"/>
      <c r="N1381" s="16"/>
      <c r="O1381" s="16"/>
      <c r="P1381" s="16"/>
    </row>
    <row r="1382" spans="2:16" ht="15.75" customHeight="1">
      <c r="B1382" s="16"/>
      <c r="H1382" s="16"/>
      <c r="I1382" s="16"/>
      <c r="J1382" s="17"/>
      <c r="N1382" s="16"/>
      <c r="O1382" s="16"/>
      <c r="P1382" s="16"/>
    </row>
    <row r="1383" spans="2:16" ht="15.75" customHeight="1">
      <c r="B1383" s="16"/>
      <c r="H1383" s="16"/>
      <c r="N1383" s="16"/>
      <c r="O1383" s="16"/>
      <c r="P1383" s="16"/>
    </row>
    <row r="1384" spans="2:16" ht="15.75" customHeight="1">
      <c r="B1384" s="16"/>
      <c r="H1384" s="16"/>
      <c r="N1384" s="16"/>
      <c r="O1384" s="16"/>
      <c r="P1384" s="16"/>
    </row>
    <row r="1385" spans="2:16" ht="15.75" customHeight="1">
      <c r="B1385" s="16"/>
      <c r="H1385" s="16"/>
      <c r="I1385" s="16"/>
      <c r="J1385" s="17"/>
      <c r="N1385" s="16"/>
      <c r="O1385" s="16"/>
      <c r="P1385" s="16"/>
    </row>
    <row r="1386" spans="2:16" ht="15.75" customHeight="1">
      <c r="B1386" s="16"/>
      <c r="H1386" s="16"/>
      <c r="I1386" s="16"/>
      <c r="J1386" s="17"/>
      <c r="N1386" s="16"/>
      <c r="O1386" s="16"/>
      <c r="P1386" s="16"/>
    </row>
    <row r="1387" spans="2:16" ht="15.75" customHeight="1">
      <c r="B1387" s="16"/>
      <c r="H1387" s="16"/>
      <c r="I1387" s="16"/>
      <c r="J1387" s="17"/>
      <c r="N1387" s="16"/>
      <c r="O1387" s="16"/>
      <c r="P1387" s="16"/>
    </row>
    <row r="1388" spans="2:16" ht="15.75" customHeight="1">
      <c r="B1388" s="16"/>
      <c r="H1388" s="16"/>
      <c r="I1388" s="16"/>
      <c r="J1388" s="17"/>
      <c r="N1388" s="16"/>
      <c r="O1388" s="16"/>
      <c r="P1388" s="16"/>
    </row>
    <row r="1389" spans="2:16" ht="15.75" customHeight="1">
      <c r="B1389" s="16"/>
      <c r="H1389" s="16"/>
      <c r="I1389" s="16"/>
      <c r="J1389" s="17"/>
      <c r="N1389" s="16"/>
      <c r="O1389" s="16"/>
      <c r="P1389" s="16"/>
    </row>
    <row r="1390" spans="2:16" ht="15.75" customHeight="1">
      <c r="B1390" s="16"/>
      <c r="H1390" s="16"/>
      <c r="N1390" s="16"/>
      <c r="O1390" s="16"/>
      <c r="P1390" s="16"/>
    </row>
    <row r="1391" spans="2:16" ht="15.75" customHeight="1">
      <c r="B1391" s="16"/>
      <c r="H1391" s="16"/>
      <c r="N1391" s="16"/>
      <c r="O1391" s="16"/>
      <c r="P1391" s="16"/>
    </row>
    <row r="1392" spans="2:16" ht="15.75" customHeight="1">
      <c r="B1392" s="16"/>
      <c r="H1392" s="16"/>
      <c r="I1392" s="16"/>
      <c r="J1392" s="17"/>
      <c r="N1392" s="16"/>
      <c r="O1392" s="16"/>
      <c r="P1392" s="16"/>
    </row>
    <row r="1393" spans="2:16" ht="15.75" customHeight="1">
      <c r="B1393" s="16"/>
      <c r="H1393" s="16"/>
      <c r="I1393" s="16"/>
      <c r="J1393" s="17"/>
      <c r="N1393" s="16"/>
      <c r="O1393" s="16"/>
      <c r="P1393" s="16"/>
    </row>
    <row r="1394" spans="2:16" ht="15.75" customHeight="1">
      <c r="B1394" s="16"/>
      <c r="H1394" s="16"/>
      <c r="I1394" s="16"/>
      <c r="J1394" s="17"/>
      <c r="N1394" s="16"/>
      <c r="O1394" s="16"/>
      <c r="P1394" s="16"/>
    </row>
    <row r="1395" spans="2:16" ht="15.75" customHeight="1">
      <c r="B1395" s="16"/>
      <c r="H1395" s="16"/>
      <c r="I1395" s="16"/>
      <c r="J1395" s="17"/>
      <c r="N1395" s="16"/>
      <c r="O1395" s="16"/>
      <c r="P1395" s="16"/>
    </row>
    <row r="1396" spans="2:16" ht="15.75" customHeight="1">
      <c r="B1396" s="16"/>
      <c r="H1396" s="16"/>
      <c r="I1396" s="16"/>
      <c r="J1396" s="17"/>
      <c r="N1396" s="16"/>
      <c r="O1396" s="16"/>
      <c r="P1396" s="16"/>
    </row>
    <row r="1397" spans="2:16" ht="15.75" customHeight="1">
      <c r="B1397" s="16"/>
      <c r="H1397" s="16"/>
      <c r="I1397" s="16"/>
      <c r="J1397" s="17"/>
      <c r="N1397" s="16"/>
      <c r="O1397" s="16"/>
      <c r="P1397" s="16"/>
    </row>
    <row r="1398" spans="2:16" ht="15.75" customHeight="1">
      <c r="B1398" s="16"/>
      <c r="H1398" s="16"/>
      <c r="I1398" s="16"/>
      <c r="J1398" s="17"/>
      <c r="N1398" s="16"/>
      <c r="O1398" s="16"/>
      <c r="P1398" s="16"/>
    </row>
    <row r="1399" spans="2:16" ht="15.75" customHeight="1">
      <c r="B1399" s="16"/>
      <c r="H1399" s="16"/>
      <c r="I1399" s="16"/>
      <c r="J1399" s="17"/>
      <c r="N1399" s="16"/>
      <c r="O1399" s="16"/>
      <c r="P1399" s="16"/>
    </row>
    <row r="1400" spans="2:16" ht="15.75" customHeight="1">
      <c r="B1400" s="16"/>
      <c r="H1400" s="16"/>
      <c r="I1400" s="16"/>
      <c r="J1400" s="17"/>
      <c r="N1400" s="16"/>
      <c r="O1400" s="16"/>
      <c r="P1400" s="16"/>
    </row>
    <row r="1401" spans="2:16" ht="15.75" customHeight="1">
      <c r="B1401" s="16"/>
      <c r="H1401" s="16"/>
      <c r="I1401" s="16"/>
      <c r="J1401" s="17"/>
      <c r="N1401" s="16"/>
      <c r="O1401" s="16"/>
      <c r="P1401" s="16"/>
    </row>
    <row r="1402" spans="2:16" ht="15.75" customHeight="1">
      <c r="B1402" s="16"/>
      <c r="H1402" s="16"/>
      <c r="I1402" s="16"/>
      <c r="J1402" s="17"/>
      <c r="N1402" s="16"/>
      <c r="O1402" s="16"/>
      <c r="P1402" s="16"/>
    </row>
    <row r="1403" spans="2:16" ht="15.75" customHeight="1">
      <c r="B1403" s="16"/>
      <c r="H1403" s="16"/>
      <c r="I1403" s="16"/>
      <c r="J1403" s="17"/>
      <c r="N1403" s="16"/>
      <c r="O1403" s="16"/>
      <c r="P1403" s="16"/>
    </row>
    <row r="1404" spans="2:16" ht="15.75" customHeight="1">
      <c r="B1404" s="16"/>
      <c r="H1404" s="16"/>
      <c r="I1404" s="16"/>
      <c r="J1404" s="17"/>
      <c r="N1404" s="16"/>
      <c r="O1404" s="16"/>
      <c r="P1404" s="16"/>
    </row>
    <row r="1405" spans="2:16" ht="15.75" customHeight="1">
      <c r="B1405" s="16"/>
      <c r="H1405" s="16"/>
      <c r="I1405" s="16"/>
      <c r="J1405" s="17"/>
      <c r="N1405" s="16"/>
      <c r="O1405" s="16"/>
      <c r="P1405" s="16"/>
    </row>
    <row r="1406" spans="2:16" ht="15.75" customHeight="1">
      <c r="B1406" s="16"/>
      <c r="H1406" s="16"/>
      <c r="I1406" s="16"/>
      <c r="J1406" s="17"/>
      <c r="N1406" s="16"/>
      <c r="O1406" s="16"/>
      <c r="P1406" s="16"/>
    </row>
    <row r="1407" spans="2:16" ht="15.75" customHeight="1">
      <c r="B1407" s="16"/>
      <c r="H1407" s="16"/>
      <c r="I1407" s="16"/>
      <c r="J1407" s="17"/>
      <c r="N1407" s="16"/>
      <c r="P1407" s="16"/>
    </row>
    <row r="1408" spans="2:16" ht="15.75" customHeight="1">
      <c r="B1408" s="16"/>
      <c r="H1408" s="16"/>
      <c r="I1408" s="16"/>
      <c r="J1408" s="17"/>
      <c r="N1408" s="16"/>
      <c r="P1408" s="16"/>
    </row>
    <row r="1409" spans="2:16" ht="15.75" customHeight="1">
      <c r="B1409" s="16"/>
      <c r="H1409" s="16"/>
      <c r="I1409" s="16"/>
      <c r="J1409" s="17"/>
      <c r="N1409" s="16"/>
      <c r="O1409" s="16"/>
      <c r="P1409" s="16"/>
    </row>
    <row r="1410" spans="2:16" ht="15.75" customHeight="1">
      <c r="B1410" s="16"/>
      <c r="H1410" s="16"/>
      <c r="I1410" s="16"/>
      <c r="J1410" s="17"/>
      <c r="N1410" s="16"/>
      <c r="O1410" s="16"/>
      <c r="P1410" s="16"/>
    </row>
    <row r="1411" spans="2:16" ht="15.75" customHeight="1">
      <c r="B1411" s="16"/>
      <c r="H1411" s="16"/>
      <c r="I1411" s="16"/>
      <c r="J1411" s="17"/>
      <c r="N1411" s="16"/>
      <c r="O1411" s="16"/>
      <c r="P1411" s="16"/>
    </row>
    <row r="1412" spans="2:16" ht="15.75" customHeight="1">
      <c r="B1412" s="16"/>
      <c r="H1412" s="16"/>
      <c r="I1412" s="16"/>
      <c r="J1412" s="17"/>
      <c r="N1412" s="16"/>
      <c r="O1412" s="16"/>
      <c r="P1412" s="16"/>
    </row>
    <row r="1413" spans="2:16" ht="15.75" customHeight="1">
      <c r="B1413" s="16"/>
      <c r="H1413" s="16"/>
      <c r="I1413" s="16"/>
      <c r="J1413" s="17"/>
      <c r="N1413" s="16"/>
      <c r="O1413" s="16"/>
      <c r="P1413" s="16"/>
    </row>
    <row r="1414" spans="2:16" ht="15.75" customHeight="1">
      <c r="B1414" s="16"/>
      <c r="H1414" s="16"/>
      <c r="I1414" s="16"/>
      <c r="J1414" s="17"/>
      <c r="N1414" s="16"/>
      <c r="O1414" s="16"/>
      <c r="P1414" s="16"/>
    </row>
    <row r="1415" spans="2:16" ht="15.75" customHeight="1">
      <c r="B1415" s="16"/>
      <c r="H1415" s="16"/>
      <c r="N1415" s="16"/>
      <c r="O1415" s="16"/>
      <c r="P1415" s="16"/>
    </row>
    <row r="1416" spans="2:16" ht="15.75" customHeight="1">
      <c r="B1416" s="16"/>
      <c r="H1416" s="16"/>
      <c r="N1416" s="16"/>
      <c r="O1416" s="16"/>
      <c r="P1416" s="16"/>
    </row>
    <row r="1417" spans="2:16" ht="15.75" customHeight="1">
      <c r="B1417" s="16"/>
      <c r="H1417" s="16"/>
      <c r="I1417" s="16"/>
      <c r="J1417" s="17"/>
      <c r="N1417" s="16"/>
      <c r="O1417" s="16"/>
      <c r="P1417" s="16"/>
    </row>
    <row r="1418" spans="2:16" ht="15.75" customHeight="1">
      <c r="B1418" s="16"/>
      <c r="H1418" s="16"/>
      <c r="I1418" s="16"/>
      <c r="J1418" s="17"/>
      <c r="N1418" s="16"/>
      <c r="O1418" s="16"/>
      <c r="P1418" s="16"/>
    </row>
    <row r="1419" spans="2:16" ht="15.75" customHeight="1">
      <c r="B1419" s="16"/>
      <c r="H1419" s="16"/>
      <c r="I1419" s="16"/>
      <c r="J1419" s="17"/>
      <c r="N1419" s="16"/>
      <c r="O1419" s="16"/>
      <c r="P1419" s="16"/>
    </row>
    <row r="1420" spans="2:16" ht="15.75" customHeight="1">
      <c r="B1420" s="16"/>
      <c r="H1420" s="16"/>
      <c r="I1420" s="16"/>
      <c r="J1420" s="17"/>
      <c r="N1420" s="16"/>
      <c r="O1420" s="16"/>
      <c r="P1420" s="16"/>
    </row>
    <row r="1421" spans="2:16" ht="15.75" customHeight="1">
      <c r="B1421" s="16"/>
      <c r="H1421" s="16"/>
      <c r="I1421" s="16"/>
      <c r="J1421" s="17"/>
      <c r="N1421" s="16"/>
      <c r="O1421" s="16"/>
      <c r="P1421" s="16"/>
    </row>
    <row r="1422" spans="2:16" ht="15.75" customHeight="1">
      <c r="B1422" s="16"/>
      <c r="H1422" s="16"/>
      <c r="I1422" s="16"/>
      <c r="J1422" s="17"/>
      <c r="N1422" s="16"/>
      <c r="O1422" s="16"/>
      <c r="P1422" s="16"/>
    </row>
    <row r="1423" spans="2:16" ht="15.75" customHeight="1">
      <c r="B1423" s="16"/>
      <c r="H1423" s="16"/>
      <c r="I1423" s="16"/>
      <c r="J1423" s="17"/>
      <c r="N1423" s="16"/>
      <c r="O1423" s="16"/>
      <c r="P1423" s="16"/>
    </row>
    <row r="1424" spans="2:16" ht="15.75" customHeight="1">
      <c r="B1424" s="16"/>
      <c r="H1424" s="16"/>
      <c r="I1424" s="16"/>
      <c r="J1424" s="17"/>
      <c r="N1424" s="16"/>
      <c r="O1424" s="16"/>
      <c r="P1424" s="16"/>
    </row>
    <row r="1425" spans="2:16" ht="15.75" customHeight="1">
      <c r="B1425" s="16"/>
      <c r="H1425" s="16"/>
      <c r="I1425" s="16"/>
      <c r="J1425" s="17"/>
      <c r="N1425" s="16"/>
      <c r="O1425" s="16"/>
      <c r="P1425" s="16"/>
    </row>
    <row r="1426" spans="2:16" ht="15.75" customHeight="1">
      <c r="B1426" s="16"/>
      <c r="H1426" s="16"/>
      <c r="I1426" s="16"/>
      <c r="J1426" s="17"/>
      <c r="N1426" s="16"/>
      <c r="O1426" s="16"/>
      <c r="P1426" s="16"/>
    </row>
    <row r="1427" spans="2:16" ht="15.75" customHeight="1">
      <c r="B1427" s="16"/>
      <c r="H1427" s="16"/>
      <c r="I1427" s="16"/>
      <c r="J1427" s="17"/>
      <c r="N1427" s="16"/>
      <c r="O1427" s="16"/>
      <c r="P1427" s="16"/>
    </row>
    <row r="1428" spans="2:16" ht="15.75" customHeight="1">
      <c r="B1428" s="16"/>
      <c r="H1428" s="16"/>
      <c r="I1428" s="16"/>
      <c r="J1428" s="17"/>
      <c r="N1428" s="16"/>
      <c r="O1428" s="16"/>
      <c r="P1428" s="16"/>
    </row>
    <row r="1429" spans="2:16" ht="15.75" customHeight="1">
      <c r="B1429" s="16"/>
      <c r="H1429" s="16"/>
      <c r="I1429" s="16"/>
      <c r="J1429" s="17"/>
      <c r="N1429" s="16"/>
      <c r="O1429" s="16"/>
      <c r="P1429" s="16"/>
    </row>
    <row r="1430" spans="2:16" ht="15.75" customHeight="1">
      <c r="B1430" s="16"/>
      <c r="H1430" s="16"/>
      <c r="I1430" s="16"/>
      <c r="J1430" s="17"/>
      <c r="N1430" s="16"/>
      <c r="O1430" s="16"/>
      <c r="P1430" s="16"/>
    </row>
    <row r="1431" spans="2:16" ht="15.75" customHeight="1">
      <c r="B1431" s="16"/>
      <c r="H1431" s="16"/>
      <c r="I1431" s="16"/>
      <c r="J1431" s="17"/>
      <c r="N1431" s="16"/>
      <c r="O1431" s="16"/>
      <c r="P1431" s="16"/>
    </row>
    <row r="1432" spans="2:16" ht="15.75" customHeight="1">
      <c r="B1432" s="16"/>
      <c r="H1432" s="16"/>
      <c r="I1432" s="16"/>
      <c r="J1432" s="17"/>
      <c r="N1432" s="16"/>
      <c r="O1432" s="16"/>
      <c r="P1432" s="16"/>
    </row>
    <row r="1433" spans="2:16" ht="15.75" customHeight="1">
      <c r="B1433" s="16"/>
      <c r="H1433" s="16"/>
      <c r="I1433" s="16"/>
      <c r="J1433" s="17"/>
      <c r="N1433" s="16"/>
      <c r="O1433" s="16"/>
      <c r="P1433" s="16"/>
    </row>
    <row r="1434" spans="2:16" ht="15.75" customHeight="1">
      <c r="B1434" s="16"/>
      <c r="H1434" s="16"/>
      <c r="I1434" s="16"/>
      <c r="J1434" s="17"/>
      <c r="N1434" s="16"/>
      <c r="O1434" s="16"/>
      <c r="P1434" s="16"/>
    </row>
    <row r="1435" spans="2:16" ht="15.75" customHeight="1">
      <c r="B1435" s="16"/>
      <c r="H1435" s="16"/>
      <c r="I1435" s="16"/>
      <c r="J1435" s="17"/>
      <c r="N1435" s="16"/>
      <c r="O1435" s="16"/>
      <c r="P1435" s="16"/>
    </row>
    <row r="1436" spans="2:16" ht="15.75" customHeight="1">
      <c r="B1436" s="16"/>
      <c r="H1436" s="16"/>
      <c r="I1436" s="16"/>
      <c r="J1436" s="17"/>
      <c r="N1436" s="16"/>
      <c r="O1436" s="16"/>
      <c r="P1436" s="16"/>
    </row>
    <row r="1437" spans="2:16" ht="15.75" customHeight="1">
      <c r="B1437" s="16"/>
      <c r="H1437" s="16"/>
      <c r="I1437" s="16"/>
      <c r="J1437" s="17"/>
      <c r="N1437" s="16"/>
      <c r="O1437" s="16"/>
      <c r="P1437" s="16"/>
    </row>
    <row r="1438" spans="2:16" ht="15.75" customHeight="1">
      <c r="B1438" s="16"/>
      <c r="H1438" s="16"/>
      <c r="I1438" s="16"/>
      <c r="J1438" s="17"/>
      <c r="N1438" s="16"/>
      <c r="O1438" s="16"/>
      <c r="P1438" s="16"/>
    </row>
    <row r="1439" spans="2:16" ht="15.75" customHeight="1">
      <c r="B1439" s="16"/>
      <c r="H1439" s="16"/>
      <c r="I1439" s="16"/>
      <c r="J1439" s="17"/>
      <c r="N1439" s="16"/>
      <c r="O1439" s="16"/>
      <c r="P1439" s="16"/>
    </row>
    <row r="1440" spans="2:16" ht="15.75" customHeight="1">
      <c r="B1440" s="16"/>
      <c r="H1440" s="16"/>
      <c r="I1440" s="16"/>
      <c r="J1440" s="17"/>
      <c r="N1440" s="16"/>
      <c r="O1440" s="16"/>
      <c r="P1440" s="16"/>
    </row>
    <row r="1441" spans="2:16" ht="15.75" customHeight="1">
      <c r="B1441" s="16"/>
      <c r="H1441" s="16"/>
      <c r="I1441" s="16"/>
      <c r="J1441" s="17"/>
      <c r="N1441" s="16"/>
      <c r="O1441" s="16"/>
      <c r="P1441" s="16"/>
    </row>
    <row r="1442" spans="2:16" ht="15.75" customHeight="1">
      <c r="B1442" s="16"/>
      <c r="H1442" s="16"/>
      <c r="I1442" s="16"/>
      <c r="J1442" s="17"/>
      <c r="N1442" s="16"/>
      <c r="O1442" s="16"/>
      <c r="P1442" s="16"/>
    </row>
    <row r="1443" spans="2:16" ht="15.75" customHeight="1">
      <c r="B1443" s="16"/>
      <c r="H1443" s="16"/>
      <c r="I1443" s="16"/>
      <c r="J1443" s="17"/>
      <c r="N1443" s="16"/>
      <c r="O1443" s="16"/>
      <c r="P1443" s="16"/>
    </row>
    <row r="1444" spans="2:16" ht="15.75" customHeight="1">
      <c r="B1444" s="16"/>
      <c r="H1444" s="16"/>
      <c r="I1444" s="16"/>
      <c r="J1444" s="17"/>
      <c r="N1444" s="16"/>
      <c r="O1444" s="16"/>
      <c r="P1444" s="16"/>
    </row>
    <row r="1445" spans="2:16" ht="15.75" customHeight="1">
      <c r="B1445" s="16"/>
      <c r="H1445" s="16"/>
      <c r="I1445" s="16"/>
      <c r="J1445" s="17"/>
      <c r="N1445" s="16"/>
      <c r="O1445" s="16"/>
      <c r="P1445" s="16"/>
    </row>
    <row r="1446" spans="2:16" ht="15.75" customHeight="1">
      <c r="B1446" s="16"/>
      <c r="H1446" s="16"/>
      <c r="I1446" s="16"/>
      <c r="J1446" s="17"/>
      <c r="N1446" s="16"/>
      <c r="O1446" s="16"/>
      <c r="P1446" s="16"/>
    </row>
    <row r="1447" spans="2:16" ht="15.75" customHeight="1">
      <c r="B1447" s="16"/>
      <c r="H1447" s="16"/>
      <c r="I1447" s="16"/>
      <c r="J1447" s="17"/>
      <c r="N1447" s="16"/>
      <c r="O1447" s="16"/>
      <c r="P1447" s="16"/>
    </row>
    <row r="1448" spans="2:16" ht="15.75" customHeight="1">
      <c r="B1448" s="16"/>
      <c r="H1448" s="16"/>
      <c r="I1448" s="16"/>
      <c r="J1448" s="17"/>
      <c r="N1448" s="16"/>
      <c r="O1448" s="16"/>
      <c r="P1448" s="16"/>
    </row>
    <row r="1449" spans="2:16" ht="15.75" customHeight="1">
      <c r="B1449" s="16"/>
      <c r="H1449" s="16"/>
      <c r="I1449" s="16"/>
      <c r="J1449" s="17"/>
      <c r="N1449" s="16"/>
      <c r="O1449" s="16"/>
      <c r="P1449" s="16"/>
    </row>
    <row r="1450" spans="2:16" ht="15.75" customHeight="1">
      <c r="B1450" s="16"/>
      <c r="H1450" s="16"/>
      <c r="I1450" s="16"/>
      <c r="J1450" s="17"/>
      <c r="N1450" s="16"/>
      <c r="O1450" s="16"/>
      <c r="P1450" s="16"/>
    </row>
    <row r="1451" spans="2:16" ht="15.75" customHeight="1">
      <c r="B1451" s="16"/>
      <c r="H1451" s="16"/>
      <c r="I1451" s="16"/>
      <c r="J1451" s="17"/>
      <c r="N1451" s="16"/>
      <c r="O1451" s="16"/>
      <c r="P1451" s="16"/>
    </row>
    <row r="1452" spans="2:16" ht="15.75" customHeight="1">
      <c r="B1452" s="16"/>
      <c r="H1452" s="16"/>
      <c r="I1452" s="16"/>
      <c r="J1452" s="17"/>
      <c r="N1452" s="16"/>
      <c r="O1452" s="16"/>
      <c r="P1452" s="16"/>
    </row>
    <row r="1453" spans="2:16" ht="15.75" customHeight="1">
      <c r="B1453" s="16"/>
      <c r="H1453" s="16"/>
      <c r="I1453" s="16"/>
      <c r="J1453" s="17"/>
      <c r="N1453" s="16"/>
      <c r="O1453" s="16"/>
      <c r="P1453" s="16"/>
    </row>
    <row r="1454" spans="2:16" ht="15.75" customHeight="1">
      <c r="B1454" s="16"/>
      <c r="H1454" s="16"/>
      <c r="I1454" s="16"/>
      <c r="J1454" s="17"/>
      <c r="N1454" s="16"/>
      <c r="O1454" s="16"/>
      <c r="P1454" s="16"/>
    </row>
    <row r="1455" spans="2:16" ht="15.75" customHeight="1">
      <c r="B1455" s="16"/>
      <c r="H1455" s="16"/>
      <c r="I1455" s="16"/>
      <c r="J1455" s="17"/>
      <c r="N1455" s="16"/>
      <c r="O1455" s="16"/>
      <c r="P1455" s="16"/>
    </row>
    <row r="1456" spans="2:16" ht="15.75" customHeight="1">
      <c r="B1456" s="16"/>
      <c r="H1456" s="16"/>
      <c r="I1456" s="16"/>
      <c r="J1456" s="17"/>
      <c r="N1456" s="16"/>
      <c r="O1456" s="16"/>
      <c r="P1456" s="16"/>
    </row>
    <row r="1457" spans="2:16" ht="15.75" customHeight="1">
      <c r="B1457" s="16"/>
      <c r="H1457" s="16"/>
      <c r="I1457" s="16"/>
      <c r="J1457" s="17"/>
      <c r="N1457" s="16"/>
      <c r="O1457" s="16"/>
      <c r="P1457" s="16"/>
    </row>
    <row r="1458" spans="2:16" ht="15.75" customHeight="1">
      <c r="B1458" s="16"/>
      <c r="H1458" s="16"/>
      <c r="I1458" s="16"/>
      <c r="J1458" s="17"/>
      <c r="N1458" s="16"/>
      <c r="O1458" s="16"/>
      <c r="P1458" s="16"/>
    </row>
    <row r="1459" spans="2:16" ht="15.75" customHeight="1">
      <c r="B1459" s="16"/>
      <c r="H1459" s="16"/>
      <c r="I1459" s="16"/>
      <c r="J1459" s="17"/>
      <c r="N1459" s="16"/>
      <c r="O1459" s="16"/>
      <c r="P1459" s="16"/>
    </row>
    <row r="1460" spans="2:16" ht="15.75" customHeight="1">
      <c r="B1460" s="16"/>
      <c r="H1460" s="16"/>
      <c r="I1460" s="16"/>
      <c r="J1460" s="17"/>
      <c r="N1460" s="16"/>
      <c r="O1460" s="16"/>
      <c r="P1460" s="16"/>
    </row>
    <row r="1461" spans="2:16" ht="15.75" customHeight="1">
      <c r="B1461" s="16"/>
      <c r="H1461" s="16"/>
      <c r="I1461" s="16"/>
      <c r="J1461" s="17"/>
      <c r="N1461" s="16"/>
      <c r="O1461" s="16"/>
      <c r="P1461" s="16"/>
    </row>
    <row r="1462" spans="2:16" ht="15.75" customHeight="1">
      <c r="B1462" s="16"/>
      <c r="H1462" s="16"/>
      <c r="I1462" s="16"/>
      <c r="J1462" s="17"/>
      <c r="N1462" s="16"/>
      <c r="O1462" s="16"/>
      <c r="P1462" s="16"/>
    </row>
    <row r="1463" spans="2:16" ht="15.75" customHeight="1">
      <c r="B1463" s="16"/>
      <c r="H1463" s="16"/>
      <c r="I1463" s="16"/>
      <c r="J1463" s="17"/>
      <c r="N1463" s="16"/>
      <c r="O1463" s="16"/>
      <c r="P1463" s="16"/>
    </row>
    <row r="1464" spans="2:16" ht="15.75" customHeight="1">
      <c r="B1464" s="16"/>
      <c r="H1464" s="16"/>
      <c r="I1464" s="16"/>
      <c r="J1464" s="17"/>
      <c r="N1464" s="16"/>
      <c r="O1464" s="16"/>
      <c r="P1464" s="16"/>
    </row>
    <row r="1465" spans="2:16" ht="15.75" customHeight="1">
      <c r="B1465" s="16"/>
      <c r="H1465" s="16"/>
      <c r="I1465" s="16"/>
      <c r="J1465" s="17"/>
      <c r="N1465" s="16"/>
      <c r="O1465" s="16"/>
      <c r="P1465" s="16"/>
    </row>
    <row r="1466" spans="2:16" ht="15.75" customHeight="1">
      <c r="B1466" s="16"/>
      <c r="H1466" s="16"/>
      <c r="I1466" s="16"/>
      <c r="J1466" s="17"/>
      <c r="N1466" s="16"/>
      <c r="O1466" s="16"/>
      <c r="P1466" s="16"/>
    </row>
    <row r="1467" spans="2:16" ht="15.75" customHeight="1">
      <c r="B1467" s="16"/>
      <c r="H1467" s="16"/>
      <c r="I1467" s="16"/>
      <c r="J1467" s="17"/>
      <c r="N1467" s="16"/>
      <c r="O1467" s="16"/>
      <c r="P1467" s="16"/>
    </row>
    <row r="1468" spans="2:16" ht="15.75" customHeight="1">
      <c r="B1468" s="16"/>
      <c r="H1468" s="16"/>
      <c r="I1468" s="16"/>
      <c r="J1468" s="17"/>
      <c r="N1468" s="16"/>
      <c r="O1468" s="16"/>
      <c r="P1468" s="16"/>
    </row>
    <row r="1469" spans="2:16" ht="15.75" customHeight="1">
      <c r="B1469" s="16"/>
      <c r="H1469" s="16"/>
      <c r="I1469" s="16"/>
      <c r="J1469" s="17"/>
      <c r="N1469" s="16"/>
      <c r="O1469" s="16"/>
      <c r="P1469" s="16"/>
    </row>
    <row r="1470" spans="2:16" ht="15.75" customHeight="1">
      <c r="B1470" s="16"/>
      <c r="H1470" s="16"/>
      <c r="I1470" s="16"/>
      <c r="J1470" s="17"/>
      <c r="N1470" s="16"/>
      <c r="O1470" s="16"/>
      <c r="P1470" s="16"/>
    </row>
    <row r="1471" spans="2:16" ht="15.75" customHeight="1">
      <c r="B1471" s="16"/>
      <c r="H1471" s="16"/>
      <c r="I1471" s="16"/>
      <c r="J1471" s="17"/>
      <c r="N1471" s="16"/>
      <c r="O1471" s="16"/>
      <c r="P1471" s="16"/>
    </row>
    <row r="1472" spans="2:16" ht="15.75" customHeight="1">
      <c r="B1472" s="16"/>
      <c r="H1472" s="16"/>
      <c r="I1472" s="16"/>
      <c r="J1472" s="17"/>
      <c r="N1472" s="16"/>
      <c r="O1472" s="16"/>
      <c r="P1472" s="16"/>
    </row>
    <row r="1473" spans="2:16" ht="15.75" customHeight="1">
      <c r="B1473" s="16"/>
      <c r="H1473" s="16"/>
      <c r="I1473" s="16"/>
      <c r="J1473" s="17"/>
      <c r="N1473" s="16"/>
      <c r="O1473" s="16"/>
      <c r="P1473" s="16"/>
    </row>
    <row r="1474" spans="2:16" ht="15.75" customHeight="1">
      <c r="B1474" s="16"/>
      <c r="H1474" s="16"/>
      <c r="I1474" s="16"/>
      <c r="J1474" s="17"/>
      <c r="N1474" s="16"/>
      <c r="O1474" s="16"/>
      <c r="P1474" s="16"/>
    </row>
    <row r="1475" spans="2:16" ht="15.75" customHeight="1">
      <c r="B1475" s="16"/>
      <c r="H1475" s="16"/>
      <c r="I1475" s="16"/>
      <c r="J1475" s="17"/>
      <c r="N1475" s="16"/>
      <c r="O1475" s="16"/>
      <c r="P1475" s="16"/>
    </row>
    <row r="1476" spans="2:16" ht="15.75" customHeight="1">
      <c r="B1476" s="16"/>
      <c r="H1476" s="16"/>
      <c r="I1476" s="16"/>
      <c r="J1476" s="17"/>
      <c r="N1476" s="16"/>
      <c r="O1476" s="16"/>
      <c r="P1476" s="16"/>
    </row>
    <row r="1477" spans="2:16" ht="15.75" customHeight="1">
      <c r="B1477" s="16"/>
      <c r="H1477" s="16"/>
      <c r="I1477" s="16"/>
      <c r="J1477" s="17"/>
      <c r="N1477" s="16"/>
      <c r="O1477" s="16"/>
      <c r="P1477" s="16"/>
    </row>
    <row r="1478" spans="2:16" ht="15.75" customHeight="1">
      <c r="B1478" s="16"/>
      <c r="H1478" s="16"/>
      <c r="I1478" s="16"/>
      <c r="J1478" s="17"/>
      <c r="N1478" s="16"/>
      <c r="O1478" s="16"/>
      <c r="P1478" s="16"/>
    </row>
    <row r="1479" spans="2:16" ht="15.75" customHeight="1">
      <c r="B1479" s="16"/>
      <c r="H1479" s="16"/>
      <c r="I1479" s="16"/>
      <c r="J1479" s="17"/>
      <c r="N1479" s="16"/>
      <c r="O1479" s="16"/>
      <c r="P1479" s="16"/>
    </row>
    <row r="1480" spans="2:16" ht="15.75" customHeight="1">
      <c r="B1480" s="16"/>
      <c r="H1480" s="16"/>
      <c r="I1480" s="16"/>
      <c r="J1480" s="17"/>
      <c r="N1480" s="16"/>
      <c r="O1480" s="16"/>
      <c r="P1480" s="16"/>
    </row>
    <row r="1481" spans="2:16" ht="15.75" customHeight="1">
      <c r="B1481" s="16"/>
      <c r="H1481" s="16"/>
      <c r="I1481" s="16"/>
      <c r="J1481" s="17"/>
      <c r="N1481" s="16"/>
      <c r="O1481" s="16"/>
      <c r="P1481" s="16"/>
    </row>
    <row r="1482" spans="2:16" ht="15.75" customHeight="1">
      <c r="B1482" s="16"/>
      <c r="H1482" s="16"/>
      <c r="I1482" s="16"/>
      <c r="J1482" s="17"/>
      <c r="N1482" s="16"/>
      <c r="O1482" s="16"/>
      <c r="P1482" s="16"/>
    </row>
    <row r="1483" spans="2:16" ht="15.75" customHeight="1">
      <c r="B1483" s="16"/>
      <c r="H1483" s="16"/>
      <c r="I1483" s="16"/>
      <c r="J1483" s="17"/>
      <c r="N1483" s="16"/>
      <c r="O1483" s="16"/>
      <c r="P1483" s="16"/>
    </row>
    <row r="1484" spans="2:16" ht="15.75" customHeight="1">
      <c r="B1484" s="16"/>
      <c r="H1484" s="16"/>
      <c r="I1484" s="16"/>
      <c r="J1484" s="17"/>
      <c r="N1484" s="16"/>
      <c r="O1484" s="16"/>
      <c r="P1484" s="16"/>
    </row>
    <row r="1485" spans="2:16" ht="15.75" customHeight="1">
      <c r="B1485" s="16"/>
      <c r="H1485" s="16"/>
      <c r="I1485" s="16"/>
      <c r="J1485" s="17"/>
      <c r="N1485" s="16"/>
      <c r="O1485" s="16"/>
      <c r="P1485" s="16"/>
    </row>
    <row r="1486" spans="2:16" ht="15.75" customHeight="1">
      <c r="B1486" s="16"/>
      <c r="H1486" s="16"/>
      <c r="I1486" s="16"/>
      <c r="J1486" s="17"/>
      <c r="N1486" s="16"/>
      <c r="O1486" s="16"/>
      <c r="P1486" s="16"/>
    </row>
    <row r="1487" spans="2:16" ht="15.75" customHeight="1">
      <c r="B1487" s="16"/>
      <c r="H1487" s="16"/>
      <c r="I1487" s="16"/>
      <c r="J1487" s="17"/>
      <c r="N1487" s="16"/>
      <c r="O1487" s="16"/>
      <c r="P1487" s="16"/>
    </row>
    <row r="1488" spans="2:16" ht="15.75" customHeight="1">
      <c r="B1488" s="16"/>
      <c r="H1488" s="16"/>
      <c r="I1488" s="16"/>
      <c r="J1488" s="17"/>
      <c r="N1488" s="16"/>
      <c r="O1488" s="16"/>
      <c r="P1488" s="16"/>
    </row>
    <row r="1489" spans="2:16" ht="15.75" customHeight="1">
      <c r="B1489" s="16"/>
      <c r="H1489" s="16"/>
      <c r="I1489" s="16"/>
      <c r="J1489" s="17"/>
      <c r="N1489" s="16"/>
      <c r="O1489" s="16"/>
      <c r="P1489" s="16"/>
    </row>
    <row r="1490" spans="2:16" ht="15.75" customHeight="1">
      <c r="B1490" s="16"/>
      <c r="H1490" s="16"/>
      <c r="I1490" s="16"/>
      <c r="J1490" s="17"/>
      <c r="N1490" s="16"/>
      <c r="O1490" s="16"/>
      <c r="P1490" s="16"/>
    </row>
    <row r="1491" spans="2:16" ht="15.75" customHeight="1">
      <c r="B1491" s="16"/>
      <c r="H1491" s="16"/>
      <c r="I1491" s="16"/>
      <c r="J1491" s="17"/>
      <c r="N1491" s="16"/>
      <c r="O1491" s="16"/>
      <c r="P1491" s="16"/>
    </row>
    <row r="1492" spans="2:16" ht="15.75" customHeight="1">
      <c r="B1492" s="16"/>
      <c r="H1492" s="16"/>
      <c r="I1492" s="16"/>
      <c r="J1492" s="17"/>
      <c r="N1492" s="16"/>
      <c r="O1492" s="16"/>
      <c r="P1492" s="16"/>
    </row>
    <row r="1493" spans="2:16" ht="15.75" customHeight="1">
      <c r="B1493" s="16"/>
      <c r="H1493" s="16"/>
      <c r="I1493" s="16"/>
      <c r="J1493" s="17"/>
      <c r="N1493" s="16"/>
      <c r="O1493" s="16"/>
      <c r="P1493" s="16"/>
    </row>
    <row r="1494" spans="2:16" ht="15.75" customHeight="1">
      <c r="B1494" s="16"/>
      <c r="H1494" s="16"/>
      <c r="I1494" s="16"/>
      <c r="J1494" s="17"/>
      <c r="N1494" s="16"/>
      <c r="O1494" s="16"/>
      <c r="P1494" s="16"/>
    </row>
    <row r="1495" spans="2:16" ht="15.75" customHeight="1">
      <c r="B1495" s="16"/>
      <c r="H1495" s="16"/>
      <c r="I1495" s="16"/>
      <c r="J1495" s="17"/>
      <c r="N1495" s="16"/>
      <c r="O1495" s="16"/>
      <c r="P1495" s="16"/>
    </row>
    <row r="1496" spans="2:16" ht="15.75" customHeight="1">
      <c r="B1496" s="16"/>
      <c r="H1496" s="16"/>
      <c r="I1496" s="16"/>
      <c r="J1496" s="17"/>
      <c r="N1496" s="16"/>
      <c r="O1496" s="16"/>
      <c r="P1496" s="16"/>
    </row>
    <row r="1497" spans="2:16" ht="15.75" customHeight="1">
      <c r="B1497" s="16"/>
      <c r="H1497" s="16"/>
      <c r="I1497" s="16"/>
      <c r="J1497" s="17"/>
      <c r="N1497" s="16"/>
      <c r="O1497" s="16"/>
      <c r="P1497" s="16"/>
    </row>
    <row r="1498" spans="2:16" ht="15.75" customHeight="1">
      <c r="B1498" s="16"/>
      <c r="H1498" s="16"/>
      <c r="I1498" s="16"/>
      <c r="J1498" s="17"/>
      <c r="N1498" s="16"/>
      <c r="O1498" s="16"/>
      <c r="P1498" s="16"/>
    </row>
    <row r="1499" spans="2:16" ht="15.75" customHeight="1">
      <c r="B1499" s="16"/>
      <c r="H1499" s="16"/>
      <c r="I1499" s="16"/>
      <c r="J1499" s="17"/>
      <c r="N1499" s="16"/>
      <c r="O1499" s="16"/>
      <c r="P1499" s="16"/>
    </row>
    <row r="1500" spans="2:16" ht="15.75" customHeight="1">
      <c r="B1500" s="16"/>
      <c r="H1500" s="16"/>
      <c r="I1500" s="16"/>
      <c r="J1500" s="17"/>
      <c r="N1500" s="16"/>
      <c r="O1500" s="16"/>
      <c r="P1500" s="16"/>
    </row>
    <row r="1501" spans="2:16" ht="15.75" customHeight="1">
      <c r="B1501" s="16"/>
      <c r="H1501" s="16"/>
      <c r="I1501" s="16"/>
      <c r="J1501" s="17"/>
      <c r="N1501" s="16"/>
      <c r="O1501" s="16"/>
      <c r="P1501" s="16"/>
    </row>
    <row r="1502" spans="2:16" ht="15.75" customHeight="1">
      <c r="B1502" s="16"/>
      <c r="H1502" s="16"/>
      <c r="I1502" s="16"/>
      <c r="J1502" s="17"/>
      <c r="N1502" s="16"/>
      <c r="O1502" s="16"/>
      <c r="P1502" s="16"/>
    </row>
    <row r="1503" spans="2:16" ht="15.75" customHeight="1">
      <c r="B1503" s="16"/>
      <c r="H1503" s="16"/>
      <c r="I1503" s="16"/>
      <c r="J1503" s="17"/>
      <c r="N1503" s="16"/>
      <c r="O1503" s="16"/>
      <c r="P1503" s="16"/>
    </row>
    <row r="1504" spans="2:16" ht="15.75" customHeight="1">
      <c r="B1504" s="16"/>
      <c r="H1504" s="16"/>
      <c r="I1504" s="16"/>
      <c r="J1504" s="17"/>
      <c r="N1504" s="16"/>
      <c r="O1504" s="16"/>
      <c r="P1504" s="16"/>
    </row>
    <row r="1505" spans="2:16" ht="15.75" customHeight="1">
      <c r="B1505" s="16"/>
      <c r="H1505" s="16"/>
      <c r="I1505" s="16"/>
      <c r="J1505" s="17"/>
      <c r="N1505" s="16"/>
      <c r="O1505" s="16"/>
      <c r="P1505" s="16"/>
    </row>
    <row r="1506" spans="2:16" ht="15.75" customHeight="1">
      <c r="B1506" s="16"/>
      <c r="H1506" s="16"/>
      <c r="I1506" s="16"/>
      <c r="J1506" s="17"/>
      <c r="N1506" s="16"/>
      <c r="O1506" s="16"/>
      <c r="P1506" s="16"/>
    </row>
    <row r="1507" spans="2:16" ht="15.75" customHeight="1">
      <c r="B1507" s="16"/>
      <c r="H1507" s="16"/>
      <c r="I1507" s="16"/>
      <c r="J1507" s="17"/>
      <c r="N1507" s="16"/>
      <c r="O1507" s="16"/>
      <c r="P1507" s="16"/>
    </row>
    <row r="1508" spans="2:16" ht="15.75" customHeight="1">
      <c r="B1508" s="16"/>
      <c r="H1508" s="16"/>
      <c r="I1508" s="16"/>
      <c r="J1508" s="17"/>
      <c r="N1508" s="16"/>
      <c r="O1508" s="16"/>
      <c r="P1508" s="16"/>
    </row>
    <row r="1509" spans="2:16" ht="15.75" customHeight="1">
      <c r="B1509" s="16"/>
      <c r="H1509" s="16"/>
      <c r="I1509" s="16"/>
      <c r="J1509" s="17"/>
      <c r="N1509" s="16"/>
      <c r="O1509" s="16"/>
      <c r="P1509" s="16"/>
    </row>
    <row r="1510" spans="2:16" ht="15.75" customHeight="1">
      <c r="B1510" s="16"/>
      <c r="H1510" s="16"/>
      <c r="I1510" s="16"/>
      <c r="J1510" s="17"/>
      <c r="N1510" s="16"/>
      <c r="O1510" s="16"/>
      <c r="P1510" s="16"/>
    </row>
    <row r="1511" spans="2:16" ht="15.75" customHeight="1">
      <c r="B1511" s="16"/>
      <c r="H1511" s="16"/>
      <c r="I1511" s="16"/>
      <c r="J1511" s="17"/>
      <c r="N1511" s="16"/>
      <c r="O1511" s="16"/>
      <c r="P1511" s="16"/>
    </row>
    <row r="1512" spans="2:16" ht="15.75" customHeight="1">
      <c r="B1512" s="16"/>
      <c r="H1512" s="16"/>
      <c r="I1512" s="16"/>
      <c r="J1512" s="17"/>
      <c r="N1512" s="16"/>
      <c r="O1512" s="16"/>
      <c r="P1512" s="16"/>
    </row>
    <row r="1513" spans="2:16" ht="15.75" customHeight="1">
      <c r="B1513" s="16"/>
      <c r="H1513" s="16"/>
      <c r="I1513" s="16"/>
      <c r="J1513" s="17"/>
      <c r="N1513" s="16"/>
      <c r="O1513" s="16"/>
      <c r="P1513" s="16"/>
    </row>
    <row r="1514" spans="2:16" ht="15.75" customHeight="1">
      <c r="B1514" s="16"/>
      <c r="H1514" s="16"/>
      <c r="I1514" s="16"/>
      <c r="J1514" s="17"/>
      <c r="N1514" s="16"/>
      <c r="O1514" s="16"/>
      <c r="P1514" s="16"/>
    </row>
    <row r="1515" spans="2:16" ht="15.75" customHeight="1">
      <c r="B1515" s="16"/>
      <c r="H1515" s="16"/>
      <c r="I1515" s="16"/>
      <c r="J1515" s="17"/>
      <c r="N1515" s="16"/>
      <c r="O1515" s="16"/>
      <c r="P1515" s="16"/>
    </row>
    <row r="1516" spans="2:16" ht="15.75" customHeight="1">
      <c r="B1516" s="16"/>
      <c r="H1516" s="16"/>
      <c r="I1516" s="16"/>
      <c r="J1516" s="17"/>
      <c r="N1516" s="16"/>
      <c r="O1516" s="16"/>
      <c r="P1516" s="16"/>
    </row>
    <row r="1517" spans="2:16" ht="15.75" customHeight="1">
      <c r="B1517" s="16"/>
      <c r="H1517" s="16"/>
      <c r="I1517" s="16"/>
      <c r="J1517" s="17"/>
      <c r="N1517" s="16"/>
      <c r="O1517" s="16"/>
      <c r="P1517" s="16"/>
    </row>
    <row r="1518" spans="2:16" ht="15.75" customHeight="1">
      <c r="B1518" s="16"/>
      <c r="H1518" s="16"/>
      <c r="I1518" s="16"/>
      <c r="J1518" s="17"/>
      <c r="N1518" s="16"/>
      <c r="O1518" s="16"/>
      <c r="P1518" s="16"/>
    </row>
    <row r="1519" spans="2:16" ht="15.75" customHeight="1">
      <c r="B1519" s="16"/>
      <c r="H1519" s="16"/>
      <c r="I1519" s="16"/>
      <c r="J1519" s="17"/>
      <c r="N1519" s="16"/>
      <c r="P1519" s="16"/>
    </row>
    <row r="1520" spans="2:16" ht="15.75" customHeight="1">
      <c r="B1520" s="16"/>
      <c r="H1520" s="16"/>
      <c r="N1520" s="16"/>
      <c r="P1520" s="16"/>
    </row>
    <row r="1521" spans="2:16" ht="15.75" customHeight="1">
      <c r="B1521" s="16"/>
      <c r="H1521" s="16"/>
      <c r="N1521" s="16"/>
      <c r="P1521" s="16"/>
    </row>
    <row r="1522" spans="2:16" ht="15.75" customHeight="1">
      <c r="B1522" s="16"/>
      <c r="H1522" s="16"/>
      <c r="N1522" s="16"/>
      <c r="O1522" s="16"/>
      <c r="P1522" s="16"/>
    </row>
    <row r="1523" spans="2:16" ht="15.75" customHeight="1">
      <c r="B1523" s="16"/>
      <c r="H1523" s="16"/>
      <c r="I1523" s="16"/>
      <c r="J1523" s="17"/>
      <c r="N1523" s="16"/>
      <c r="O1523" s="16"/>
      <c r="P1523" s="16"/>
    </row>
    <row r="1524" spans="2:16" ht="15.75" customHeight="1">
      <c r="B1524" s="16"/>
      <c r="H1524" s="16"/>
      <c r="I1524" s="16"/>
      <c r="J1524" s="17"/>
      <c r="N1524" s="16"/>
      <c r="O1524" s="16"/>
      <c r="P1524" s="16"/>
    </row>
    <row r="1525" spans="2:16" ht="15.75" customHeight="1">
      <c r="B1525" s="16"/>
      <c r="H1525" s="16"/>
      <c r="I1525" s="16"/>
      <c r="J1525" s="17"/>
      <c r="N1525" s="16"/>
      <c r="O1525" s="16"/>
      <c r="P1525" s="16"/>
    </row>
    <row r="1526" spans="2:16" ht="15.75" customHeight="1">
      <c r="B1526" s="16"/>
      <c r="H1526" s="16"/>
      <c r="I1526" s="16"/>
      <c r="J1526" s="17"/>
      <c r="N1526" s="16"/>
      <c r="O1526" s="16"/>
      <c r="P1526" s="16"/>
    </row>
    <row r="1527" spans="2:16" ht="15.75" customHeight="1">
      <c r="B1527" s="16"/>
      <c r="H1527" s="16"/>
      <c r="I1527" s="16"/>
      <c r="J1527" s="17"/>
      <c r="N1527" s="16"/>
      <c r="O1527" s="16"/>
      <c r="P1527" s="16"/>
    </row>
    <row r="1528" spans="2:16" ht="15.75" customHeight="1">
      <c r="B1528" s="16"/>
      <c r="H1528" s="16"/>
      <c r="I1528" s="16"/>
      <c r="J1528" s="17"/>
      <c r="N1528" s="16"/>
      <c r="O1528" s="16"/>
      <c r="P1528" s="16"/>
    </row>
    <row r="1529" spans="2:16" ht="15.75" customHeight="1">
      <c r="B1529" s="16"/>
      <c r="H1529" s="16"/>
      <c r="I1529" s="16"/>
      <c r="J1529" s="17"/>
      <c r="N1529" s="16"/>
      <c r="O1529" s="16"/>
      <c r="P1529" s="16"/>
    </row>
    <row r="1530" spans="2:16" ht="15.75" customHeight="1">
      <c r="B1530" s="16"/>
      <c r="H1530" s="16"/>
      <c r="I1530" s="16"/>
      <c r="J1530" s="17"/>
      <c r="N1530" s="16"/>
      <c r="O1530" s="16"/>
      <c r="P1530" s="16"/>
    </row>
    <row r="1531" spans="2:16" ht="15.75" customHeight="1">
      <c r="B1531" s="16"/>
      <c r="H1531" s="16"/>
      <c r="I1531" s="16"/>
      <c r="J1531" s="17"/>
      <c r="N1531" s="16"/>
      <c r="O1531" s="16"/>
      <c r="P1531" s="16"/>
    </row>
    <row r="1532" spans="2:16" ht="15.75" customHeight="1">
      <c r="B1532" s="16"/>
      <c r="H1532" s="16"/>
      <c r="I1532" s="16"/>
      <c r="J1532" s="17"/>
      <c r="N1532" s="16"/>
      <c r="O1532" s="16"/>
      <c r="P1532" s="16"/>
    </row>
    <row r="1533" spans="2:16" ht="15.75" customHeight="1">
      <c r="B1533" s="16"/>
      <c r="H1533" s="16"/>
      <c r="I1533" s="16"/>
      <c r="J1533" s="17"/>
      <c r="N1533" s="16"/>
      <c r="O1533" s="16"/>
      <c r="P1533" s="16"/>
    </row>
    <row r="1534" spans="2:16" ht="15.75" customHeight="1">
      <c r="B1534" s="16"/>
      <c r="H1534" s="16"/>
      <c r="I1534" s="16"/>
      <c r="J1534" s="17"/>
      <c r="N1534" s="16"/>
      <c r="O1534" s="16"/>
      <c r="P1534" s="16"/>
    </row>
    <row r="1535" spans="2:16" ht="15.75" customHeight="1">
      <c r="B1535" s="16"/>
      <c r="H1535" s="16"/>
      <c r="I1535" s="16"/>
      <c r="J1535" s="17"/>
      <c r="N1535" s="16"/>
      <c r="O1535" s="16"/>
      <c r="P1535" s="16"/>
    </row>
    <row r="1536" spans="2:16" ht="15.75" customHeight="1">
      <c r="B1536" s="16"/>
      <c r="H1536" s="16"/>
      <c r="I1536" s="16"/>
      <c r="J1536" s="17"/>
      <c r="N1536" s="16"/>
      <c r="O1536" s="16"/>
      <c r="P1536" s="16"/>
    </row>
    <row r="1537" spans="2:16" ht="15.75" customHeight="1">
      <c r="B1537" s="16"/>
      <c r="H1537" s="16"/>
      <c r="I1537" s="16"/>
      <c r="J1537" s="17"/>
      <c r="N1537" s="16"/>
      <c r="O1537" s="16"/>
      <c r="P1537" s="16"/>
    </row>
    <row r="1538" spans="2:16" ht="15.75" customHeight="1">
      <c r="B1538" s="16"/>
      <c r="H1538" s="16"/>
      <c r="I1538" s="16"/>
      <c r="J1538" s="17"/>
      <c r="N1538" s="16"/>
      <c r="O1538" s="16"/>
      <c r="P1538" s="16"/>
    </row>
    <row r="1539" spans="2:16" ht="15.75" customHeight="1">
      <c r="B1539" s="16"/>
      <c r="H1539" s="16"/>
      <c r="N1539" s="16"/>
      <c r="O1539" s="16"/>
      <c r="P1539" s="16"/>
    </row>
    <row r="1540" spans="2:16" ht="15.75" customHeight="1">
      <c r="B1540" s="16"/>
      <c r="H1540" s="16"/>
      <c r="N1540" s="16"/>
      <c r="O1540" s="16"/>
      <c r="P1540" s="16"/>
    </row>
    <row r="1541" spans="2:16" ht="15.75" customHeight="1">
      <c r="B1541" s="16"/>
      <c r="H1541" s="16"/>
      <c r="N1541" s="16"/>
      <c r="O1541" s="16"/>
      <c r="P1541" s="16"/>
    </row>
    <row r="1542" spans="2:16" ht="15.75" customHeight="1">
      <c r="B1542" s="16"/>
      <c r="H1542" s="16"/>
      <c r="N1542" s="16"/>
      <c r="O1542" s="16"/>
      <c r="P1542" s="16"/>
    </row>
    <row r="1543" spans="2:16" ht="15.75" customHeight="1">
      <c r="B1543" s="16"/>
      <c r="H1543" s="16"/>
      <c r="N1543" s="16"/>
      <c r="O1543" s="16"/>
      <c r="P1543" s="16"/>
    </row>
    <row r="1544" spans="2:16" ht="15.75" customHeight="1">
      <c r="B1544" s="16"/>
      <c r="H1544" s="16"/>
      <c r="N1544" s="16"/>
      <c r="O1544" s="16"/>
      <c r="P1544" s="16"/>
    </row>
    <row r="1545" spans="2:16" ht="15.75" customHeight="1">
      <c r="B1545" s="16"/>
      <c r="H1545" s="16"/>
      <c r="I1545" s="16"/>
      <c r="J1545" s="17"/>
      <c r="N1545" s="16"/>
      <c r="O1545" s="16"/>
      <c r="P1545" s="16"/>
    </row>
    <row r="1546" spans="2:16" ht="15.75" customHeight="1">
      <c r="B1546" s="16"/>
      <c r="H1546" s="16"/>
      <c r="I1546" s="16"/>
      <c r="J1546" s="17"/>
      <c r="N1546" s="16"/>
      <c r="O1546" s="16"/>
      <c r="P1546" s="16"/>
    </row>
    <row r="1547" spans="2:16" ht="15.75" customHeight="1">
      <c r="B1547" s="16"/>
      <c r="H1547" s="16"/>
      <c r="I1547" s="16"/>
      <c r="J1547" s="17"/>
      <c r="N1547" s="16"/>
      <c r="O1547" s="16"/>
      <c r="P1547" s="16"/>
    </row>
    <row r="1548" spans="2:16" ht="15.75" customHeight="1">
      <c r="B1548" s="16"/>
      <c r="H1548" s="16"/>
      <c r="I1548" s="16"/>
      <c r="J1548" s="17"/>
      <c r="N1548" s="16"/>
      <c r="O1548" s="16"/>
      <c r="P1548" s="16"/>
    </row>
    <row r="1549" spans="2:16" ht="15.75" customHeight="1">
      <c r="B1549" s="16"/>
      <c r="H1549" s="16"/>
      <c r="I1549" s="16"/>
      <c r="J1549" s="17"/>
      <c r="N1549" s="16"/>
      <c r="O1549" s="16"/>
      <c r="P1549" s="16"/>
    </row>
    <row r="1550" spans="2:16" ht="15.75" customHeight="1">
      <c r="B1550" s="16"/>
      <c r="H1550" s="16"/>
      <c r="I1550" s="16"/>
      <c r="J1550" s="17"/>
      <c r="N1550" s="16"/>
      <c r="O1550" s="16"/>
      <c r="P1550" s="16"/>
    </row>
    <row r="1551" spans="2:16" ht="15.75" customHeight="1">
      <c r="B1551" s="16"/>
      <c r="H1551" s="16"/>
      <c r="I1551" s="16"/>
      <c r="J1551" s="17"/>
      <c r="N1551" s="16"/>
      <c r="O1551" s="16"/>
      <c r="P1551" s="16"/>
    </row>
    <row r="1552" spans="2:16" ht="15.75" customHeight="1">
      <c r="B1552" s="16"/>
      <c r="H1552" s="16"/>
      <c r="I1552" s="16"/>
      <c r="J1552" s="17"/>
      <c r="N1552" s="16"/>
      <c r="O1552" s="16"/>
      <c r="P1552" s="16"/>
    </row>
    <row r="1553" spans="2:16" ht="15.75" customHeight="1">
      <c r="B1553" s="16"/>
      <c r="H1553" s="16"/>
      <c r="I1553" s="16"/>
      <c r="J1553" s="17"/>
      <c r="N1553" s="16"/>
      <c r="O1553" s="16"/>
      <c r="P1553" s="16"/>
    </row>
    <row r="1554" spans="2:16" ht="15.75" customHeight="1">
      <c r="B1554" s="16"/>
      <c r="H1554" s="16"/>
      <c r="I1554" s="16"/>
      <c r="J1554" s="17"/>
      <c r="N1554" s="16"/>
      <c r="O1554" s="16"/>
      <c r="P1554" s="16"/>
    </row>
    <row r="1555" spans="2:16" ht="15.75" customHeight="1">
      <c r="B1555" s="16"/>
      <c r="H1555" s="16"/>
      <c r="I1555" s="16"/>
      <c r="J1555" s="17"/>
      <c r="N1555" s="16"/>
      <c r="O1555" s="16"/>
      <c r="P1555" s="16"/>
    </row>
    <row r="1556" spans="2:16" ht="15.75" customHeight="1">
      <c r="B1556" s="16"/>
      <c r="H1556" s="16"/>
      <c r="I1556" s="16"/>
      <c r="J1556" s="17"/>
      <c r="N1556" s="16"/>
      <c r="O1556" s="16"/>
      <c r="P1556" s="16"/>
    </row>
    <row r="1557" spans="2:16" ht="15.75" customHeight="1">
      <c r="B1557" s="16"/>
      <c r="H1557" s="16"/>
      <c r="I1557" s="16"/>
      <c r="J1557" s="17"/>
      <c r="N1557" s="16"/>
      <c r="P1557" s="16"/>
    </row>
    <row r="1558" spans="2:16" ht="15.75" customHeight="1">
      <c r="B1558" s="16"/>
      <c r="H1558" s="16"/>
      <c r="I1558" s="16"/>
      <c r="J1558" s="17"/>
      <c r="N1558" s="16"/>
      <c r="P1558" s="16"/>
    </row>
    <row r="1559" spans="2:16" ht="15.75" customHeight="1">
      <c r="B1559" s="16"/>
      <c r="H1559" s="16"/>
      <c r="I1559" s="16"/>
      <c r="J1559" s="17"/>
      <c r="N1559" s="16"/>
      <c r="O1559" s="16"/>
      <c r="P1559" s="16"/>
    </row>
    <row r="1560" spans="2:16" ht="15.75" customHeight="1">
      <c r="B1560" s="16"/>
      <c r="H1560" s="16"/>
      <c r="I1560" s="16"/>
      <c r="J1560" s="17"/>
      <c r="N1560" s="16"/>
      <c r="O1560" s="16"/>
      <c r="P1560" s="16"/>
    </row>
    <row r="1561" spans="2:16" ht="15.75" customHeight="1">
      <c r="B1561" s="16"/>
      <c r="H1561" s="16"/>
      <c r="I1561" s="16"/>
      <c r="J1561" s="17"/>
      <c r="N1561" s="16"/>
      <c r="O1561" s="16"/>
      <c r="P1561" s="16"/>
    </row>
    <row r="1562" spans="2:16" ht="15.75" customHeight="1">
      <c r="B1562" s="16"/>
      <c r="H1562" s="16"/>
      <c r="I1562" s="16"/>
      <c r="J1562" s="17"/>
      <c r="N1562" s="16"/>
      <c r="O1562" s="16"/>
      <c r="P1562" s="16"/>
    </row>
    <row r="1563" spans="2:16" ht="15.75" customHeight="1">
      <c r="B1563" s="16"/>
      <c r="H1563" s="16"/>
      <c r="I1563" s="16"/>
      <c r="J1563" s="17"/>
      <c r="N1563" s="16"/>
      <c r="O1563" s="16"/>
      <c r="P1563" s="16"/>
    </row>
    <row r="1564" spans="2:16" ht="15.75" customHeight="1">
      <c r="B1564" s="16"/>
      <c r="H1564" s="16"/>
      <c r="I1564" s="16"/>
      <c r="J1564" s="17"/>
      <c r="N1564" s="16"/>
      <c r="O1564" s="16"/>
      <c r="P1564" s="16"/>
    </row>
    <row r="1565" spans="2:16" ht="15.75" customHeight="1">
      <c r="B1565" s="16"/>
      <c r="H1565" s="16"/>
      <c r="I1565" s="16"/>
      <c r="J1565" s="17"/>
      <c r="N1565" s="16"/>
      <c r="O1565" s="16"/>
      <c r="P1565" s="16"/>
    </row>
    <row r="1566" spans="2:16" ht="15.75" customHeight="1">
      <c r="B1566" s="16"/>
      <c r="H1566" s="16"/>
      <c r="I1566" s="16"/>
      <c r="J1566" s="17"/>
      <c r="N1566" s="16"/>
      <c r="O1566" s="16"/>
      <c r="P1566" s="16"/>
    </row>
    <row r="1567" spans="2:16" ht="15.75" customHeight="1">
      <c r="B1567" s="16"/>
      <c r="H1567" s="16"/>
      <c r="I1567" s="16"/>
      <c r="J1567" s="17"/>
      <c r="N1567" s="16"/>
      <c r="O1567" s="16"/>
      <c r="P1567" s="16"/>
    </row>
    <row r="1568" spans="2:16" ht="15.75" customHeight="1">
      <c r="B1568" s="16"/>
      <c r="H1568" s="16"/>
      <c r="I1568" s="16"/>
      <c r="J1568" s="17"/>
      <c r="N1568" s="16"/>
      <c r="O1568" s="16"/>
      <c r="P1568" s="16"/>
    </row>
    <row r="1569" spans="2:16" ht="15.75" customHeight="1">
      <c r="B1569" s="16"/>
      <c r="H1569" s="16"/>
      <c r="I1569" s="16"/>
      <c r="J1569" s="17"/>
      <c r="N1569" s="16"/>
      <c r="O1569" s="16"/>
      <c r="P1569" s="16"/>
    </row>
    <row r="1570" spans="2:16" ht="15.75" customHeight="1">
      <c r="B1570" s="16"/>
      <c r="H1570" s="16"/>
      <c r="I1570" s="16"/>
      <c r="J1570" s="17"/>
      <c r="N1570" s="16"/>
      <c r="O1570" s="16"/>
      <c r="P1570" s="16"/>
    </row>
    <row r="1571" spans="2:16" ht="15.75" customHeight="1">
      <c r="B1571" s="16"/>
      <c r="H1571" s="16"/>
      <c r="I1571" s="16"/>
      <c r="J1571" s="17"/>
      <c r="N1571" s="16"/>
      <c r="O1571" s="16"/>
      <c r="P1571" s="16"/>
    </row>
    <row r="1572" spans="2:16" ht="15.75" customHeight="1">
      <c r="B1572" s="16"/>
      <c r="H1572" s="16"/>
      <c r="I1572" s="16"/>
      <c r="J1572" s="17"/>
      <c r="N1572" s="16"/>
      <c r="O1572" s="16"/>
      <c r="P1572" s="16"/>
    </row>
    <row r="1573" spans="2:16" ht="15.75" customHeight="1">
      <c r="B1573" s="16"/>
      <c r="H1573" s="16"/>
      <c r="I1573" s="16"/>
      <c r="J1573" s="17"/>
      <c r="N1573" s="16"/>
      <c r="O1573" s="16"/>
      <c r="P1573" s="16"/>
    </row>
    <row r="1574" spans="2:16" ht="15.75" customHeight="1">
      <c r="B1574" s="16"/>
      <c r="H1574" s="16"/>
      <c r="I1574" s="16"/>
      <c r="J1574" s="17"/>
      <c r="N1574" s="16"/>
      <c r="O1574" s="16"/>
      <c r="P1574" s="16"/>
    </row>
    <row r="1575" spans="2:16" ht="15.75" customHeight="1">
      <c r="B1575" s="16"/>
      <c r="H1575" s="16"/>
      <c r="I1575" s="16"/>
      <c r="J1575" s="17"/>
      <c r="N1575" s="16"/>
      <c r="O1575" s="16"/>
      <c r="P1575" s="16"/>
    </row>
    <row r="1576" spans="2:16" ht="15.75" customHeight="1">
      <c r="B1576" s="16"/>
      <c r="H1576" s="16"/>
      <c r="I1576" s="16"/>
      <c r="J1576" s="17"/>
      <c r="N1576" s="16"/>
      <c r="O1576" s="16"/>
      <c r="P1576" s="16"/>
    </row>
    <row r="1577" spans="2:16" ht="15.75" customHeight="1">
      <c r="B1577" s="16"/>
      <c r="H1577" s="16"/>
      <c r="I1577" s="16"/>
      <c r="J1577" s="17"/>
      <c r="N1577" s="16"/>
      <c r="O1577" s="16"/>
      <c r="P1577" s="16"/>
    </row>
    <row r="1578" spans="2:16" ht="15.75" customHeight="1">
      <c r="B1578" s="16"/>
      <c r="H1578" s="16"/>
      <c r="I1578" s="16"/>
      <c r="J1578" s="17"/>
      <c r="N1578" s="16"/>
      <c r="O1578" s="16"/>
      <c r="P1578" s="16"/>
    </row>
    <row r="1579" spans="2:16" ht="15.75" customHeight="1">
      <c r="B1579" s="16"/>
      <c r="H1579" s="16"/>
      <c r="I1579" s="16"/>
      <c r="J1579" s="17"/>
      <c r="N1579" s="16"/>
      <c r="O1579" s="16"/>
      <c r="P1579" s="16"/>
    </row>
    <row r="1580" spans="2:16" ht="15.75" customHeight="1">
      <c r="B1580" s="16"/>
      <c r="H1580" s="16"/>
      <c r="I1580" s="16"/>
      <c r="J1580" s="17"/>
      <c r="N1580" s="16"/>
      <c r="O1580" s="16"/>
      <c r="P1580" s="16"/>
    </row>
    <row r="1581" spans="2:16" ht="15.75" customHeight="1">
      <c r="B1581" s="16"/>
      <c r="H1581" s="16"/>
      <c r="I1581" s="16"/>
      <c r="J1581" s="17"/>
      <c r="N1581" s="16"/>
      <c r="O1581" s="16"/>
      <c r="P1581" s="16"/>
    </row>
    <row r="1582" spans="2:16" ht="15.75" customHeight="1">
      <c r="B1582" s="16"/>
      <c r="H1582" s="16"/>
      <c r="I1582" s="16"/>
      <c r="J1582" s="17"/>
      <c r="N1582" s="16"/>
      <c r="O1582" s="16"/>
      <c r="P1582" s="16"/>
    </row>
    <row r="1583" spans="2:16" ht="15.75" customHeight="1">
      <c r="B1583" s="16"/>
      <c r="H1583" s="16"/>
      <c r="I1583" s="16"/>
      <c r="J1583" s="17"/>
      <c r="N1583" s="16"/>
      <c r="O1583" s="16"/>
      <c r="P1583" s="16"/>
    </row>
    <row r="1584" spans="2:16" ht="15.75" customHeight="1">
      <c r="B1584" s="16"/>
      <c r="H1584" s="16"/>
      <c r="I1584" s="16"/>
      <c r="J1584" s="17"/>
      <c r="N1584" s="16"/>
      <c r="O1584" s="16"/>
      <c r="P1584" s="16"/>
    </row>
    <row r="1585" spans="2:16" ht="15.75" customHeight="1">
      <c r="B1585" s="16"/>
      <c r="H1585" s="16"/>
      <c r="I1585" s="16"/>
      <c r="J1585" s="17"/>
      <c r="N1585" s="16"/>
      <c r="O1585" s="16"/>
      <c r="P1585" s="16"/>
    </row>
    <row r="1586" spans="2:16" ht="15.75" customHeight="1">
      <c r="B1586" s="16"/>
      <c r="H1586" s="16"/>
      <c r="I1586" s="16"/>
      <c r="J1586" s="17"/>
      <c r="N1586" s="16"/>
      <c r="O1586" s="16"/>
      <c r="P1586" s="16"/>
    </row>
    <row r="1587" spans="2:16" ht="15.75" customHeight="1">
      <c r="B1587" s="16"/>
      <c r="H1587" s="16"/>
      <c r="I1587" s="16"/>
      <c r="J1587" s="17"/>
      <c r="N1587" s="16"/>
      <c r="O1587" s="16"/>
      <c r="P1587" s="16"/>
    </row>
    <row r="1588" spans="2:16" ht="15.75" customHeight="1">
      <c r="B1588" s="16"/>
      <c r="H1588" s="16"/>
      <c r="I1588" s="16"/>
      <c r="J1588" s="17"/>
      <c r="N1588" s="16"/>
      <c r="O1588" s="16"/>
      <c r="P1588" s="16"/>
    </row>
    <row r="1589" spans="2:16" ht="15.75" customHeight="1">
      <c r="B1589" s="16"/>
      <c r="H1589" s="16"/>
      <c r="I1589" s="16"/>
      <c r="J1589" s="17"/>
      <c r="N1589" s="16"/>
      <c r="O1589" s="16"/>
      <c r="P1589" s="16"/>
    </row>
    <row r="1590" spans="2:16" ht="15.75" customHeight="1">
      <c r="B1590" s="16"/>
      <c r="H1590" s="16"/>
      <c r="I1590" s="16"/>
      <c r="J1590" s="17"/>
      <c r="N1590" s="16"/>
      <c r="O1590" s="16"/>
      <c r="P1590" s="16"/>
    </row>
    <row r="1591" spans="2:16" ht="15.75" customHeight="1">
      <c r="B1591" s="16"/>
      <c r="H1591" s="16"/>
      <c r="I1591" s="16"/>
      <c r="J1591" s="17"/>
      <c r="N1591" s="16"/>
      <c r="O1591" s="16"/>
      <c r="P1591" s="16"/>
    </row>
    <row r="1592" spans="2:16" ht="15.75" customHeight="1">
      <c r="B1592" s="16"/>
      <c r="H1592" s="16"/>
      <c r="I1592" s="16"/>
      <c r="J1592" s="17"/>
      <c r="N1592" s="16"/>
      <c r="O1592" s="16"/>
      <c r="P1592" s="16"/>
    </row>
    <row r="1593" spans="2:16" ht="15.75" customHeight="1">
      <c r="B1593" s="16"/>
      <c r="H1593" s="16"/>
      <c r="I1593" s="16"/>
      <c r="J1593" s="17"/>
      <c r="N1593" s="16"/>
      <c r="O1593" s="16"/>
      <c r="P1593" s="16"/>
    </row>
    <row r="1594" spans="2:16" ht="15.75" customHeight="1">
      <c r="B1594" s="16"/>
      <c r="H1594" s="16"/>
      <c r="I1594" s="16"/>
      <c r="J1594" s="17"/>
      <c r="N1594" s="16"/>
      <c r="O1594" s="16"/>
      <c r="P1594" s="16"/>
    </row>
    <row r="1595" spans="2:16" ht="15.75" customHeight="1">
      <c r="B1595" s="16"/>
      <c r="H1595" s="16"/>
      <c r="I1595" s="16"/>
      <c r="J1595" s="17"/>
      <c r="N1595" s="16"/>
      <c r="O1595" s="16"/>
      <c r="P1595" s="16"/>
    </row>
    <row r="1596" spans="2:16" ht="15.75" customHeight="1">
      <c r="B1596" s="16"/>
      <c r="H1596" s="16"/>
      <c r="I1596" s="16"/>
      <c r="J1596" s="17"/>
      <c r="N1596" s="16"/>
      <c r="O1596" s="16"/>
      <c r="P1596" s="16"/>
    </row>
    <row r="1597" spans="2:16" ht="15.75" customHeight="1">
      <c r="B1597" s="16"/>
      <c r="H1597" s="16"/>
      <c r="N1597" s="16"/>
      <c r="O1597" s="16"/>
      <c r="P1597" s="16"/>
    </row>
    <row r="1598" spans="2:16" ht="15.75" customHeight="1">
      <c r="B1598" s="16"/>
      <c r="H1598" s="16"/>
      <c r="I1598" s="16"/>
      <c r="J1598" s="17"/>
      <c r="N1598" s="16"/>
      <c r="O1598" s="16"/>
      <c r="P1598" s="16"/>
    </row>
    <row r="1599" spans="2:16" ht="15.75" customHeight="1">
      <c r="B1599" s="16"/>
      <c r="H1599" s="16"/>
      <c r="N1599" s="16"/>
      <c r="O1599" s="16"/>
      <c r="P1599" s="16"/>
    </row>
    <row r="1600" spans="2:16" ht="15.75" customHeight="1">
      <c r="B1600" s="16"/>
      <c r="H1600" s="16"/>
      <c r="N1600" s="16"/>
      <c r="O1600" s="16"/>
      <c r="P1600" s="16"/>
    </row>
    <row r="1601" spans="2:16" ht="15.75" customHeight="1">
      <c r="B1601" s="16"/>
      <c r="H1601" s="16"/>
      <c r="N1601" s="16"/>
      <c r="O1601" s="16"/>
      <c r="P1601" s="16"/>
    </row>
    <row r="1602" spans="2:16" ht="15.75" customHeight="1">
      <c r="B1602" s="16"/>
      <c r="H1602" s="16"/>
      <c r="N1602" s="16"/>
      <c r="O1602" s="16"/>
      <c r="P1602" s="16"/>
    </row>
    <row r="1603" spans="2:16" ht="15.75" customHeight="1">
      <c r="B1603" s="16"/>
      <c r="H1603" s="16"/>
      <c r="N1603" s="16"/>
      <c r="O1603" s="16"/>
      <c r="P1603" s="16"/>
    </row>
    <row r="1604" spans="2:16" ht="15.75" customHeight="1">
      <c r="B1604" s="16"/>
      <c r="H1604" s="16"/>
      <c r="N1604" s="16"/>
      <c r="O1604" s="16"/>
      <c r="P1604" s="16"/>
    </row>
    <row r="1605" spans="2:16" ht="15.75" customHeight="1">
      <c r="B1605" s="16"/>
      <c r="H1605" s="16"/>
      <c r="N1605" s="16"/>
      <c r="O1605" s="16"/>
      <c r="P1605" s="16"/>
    </row>
    <row r="1606" spans="2:16" ht="15.75" customHeight="1">
      <c r="B1606" s="16"/>
      <c r="H1606" s="16"/>
      <c r="I1606" s="16"/>
      <c r="J1606" s="17"/>
      <c r="N1606" s="16"/>
      <c r="O1606" s="16"/>
      <c r="P1606" s="16"/>
    </row>
    <row r="1607" spans="2:16" ht="15.75" customHeight="1">
      <c r="B1607" s="16"/>
      <c r="H1607" s="16"/>
      <c r="I1607" s="16"/>
      <c r="J1607" s="17"/>
      <c r="N1607" s="16"/>
      <c r="O1607" s="16"/>
      <c r="P1607" s="16"/>
    </row>
    <row r="1608" spans="2:16" ht="15.75" customHeight="1">
      <c r="B1608" s="16"/>
      <c r="H1608" s="16"/>
      <c r="I1608" s="16"/>
      <c r="J1608" s="17"/>
      <c r="N1608" s="16"/>
      <c r="O1608" s="16"/>
      <c r="P1608" s="16"/>
    </row>
    <row r="1609" spans="2:16" ht="15.75" customHeight="1">
      <c r="B1609" s="16"/>
      <c r="H1609" s="16"/>
      <c r="I1609" s="16"/>
      <c r="J1609" s="17"/>
      <c r="N1609" s="16"/>
      <c r="O1609" s="16"/>
      <c r="P1609" s="16"/>
    </row>
    <row r="1610" spans="2:16" ht="15.75" customHeight="1">
      <c r="B1610" s="16"/>
      <c r="H1610" s="16"/>
      <c r="I1610" s="16"/>
      <c r="J1610" s="17"/>
      <c r="N1610" s="16"/>
      <c r="O1610" s="16"/>
      <c r="P1610" s="16"/>
    </row>
    <row r="1611" spans="2:16" ht="15.75" customHeight="1">
      <c r="B1611" s="16"/>
      <c r="H1611" s="16"/>
      <c r="I1611" s="16"/>
      <c r="J1611" s="17"/>
      <c r="N1611" s="16"/>
      <c r="O1611" s="16"/>
      <c r="P1611" s="16"/>
    </row>
    <row r="1612" spans="2:16" ht="15.75" customHeight="1">
      <c r="B1612" s="16"/>
      <c r="H1612" s="16"/>
      <c r="I1612" s="16"/>
      <c r="J1612" s="17"/>
      <c r="N1612" s="16"/>
      <c r="O1612" s="16"/>
      <c r="P1612" s="16"/>
    </row>
    <row r="1613" spans="2:16" ht="15.75" customHeight="1">
      <c r="B1613" s="16"/>
      <c r="H1613" s="16"/>
      <c r="I1613" s="16"/>
      <c r="J1613" s="17"/>
      <c r="N1613" s="16"/>
      <c r="O1613" s="16"/>
      <c r="P1613" s="16"/>
    </row>
    <row r="1614" spans="2:16" ht="15.75" customHeight="1">
      <c r="B1614" s="16"/>
      <c r="H1614" s="16"/>
      <c r="I1614" s="16"/>
      <c r="J1614" s="17"/>
      <c r="N1614" s="16"/>
      <c r="O1614" s="16"/>
      <c r="P1614" s="16"/>
    </row>
    <row r="1615" spans="2:16" ht="15.75" customHeight="1">
      <c r="B1615" s="16"/>
      <c r="H1615" s="16"/>
      <c r="N1615" s="16"/>
      <c r="O1615" s="16"/>
      <c r="P1615" s="16"/>
    </row>
    <row r="1616" spans="2:16" ht="15.75" customHeight="1">
      <c r="B1616" s="16"/>
      <c r="H1616" s="16"/>
      <c r="N1616" s="16"/>
      <c r="O1616" s="16"/>
      <c r="P1616" s="16"/>
    </row>
    <row r="1617" spans="2:16" ht="15.75" customHeight="1">
      <c r="B1617" s="16"/>
      <c r="H1617" s="16"/>
      <c r="N1617" s="16"/>
      <c r="O1617" s="16"/>
      <c r="P1617" s="16"/>
    </row>
    <row r="1618" spans="2:16" ht="15.75" customHeight="1">
      <c r="B1618" s="16"/>
      <c r="H1618" s="16"/>
      <c r="I1618" s="16"/>
      <c r="J1618" s="17"/>
      <c r="N1618" s="16"/>
      <c r="O1618" s="16"/>
      <c r="P1618" s="16"/>
    </row>
    <row r="1619" spans="2:16" ht="15.75" customHeight="1">
      <c r="B1619" s="16"/>
      <c r="H1619" s="16"/>
      <c r="I1619" s="16"/>
      <c r="J1619" s="17"/>
      <c r="N1619" s="16"/>
      <c r="O1619" s="16"/>
      <c r="P1619" s="16"/>
    </row>
    <row r="1620" spans="2:16" ht="15.75" customHeight="1">
      <c r="B1620" s="16"/>
      <c r="H1620" s="16"/>
      <c r="I1620" s="16"/>
      <c r="J1620" s="17"/>
      <c r="N1620" s="16"/>
      <c r="O1620" s="16"/>
      <c r="P1620" s="16"/>
    </row>
    <row r="1621" spans="2:16" ht="15.75" customHeight="1">
      <c r="B1621" s="16"/>
      <c r="H1621" s="16"/>
      <c r="I1621" s="16"/>
      <c r="J1621" s="17"/>
      <c r="N1621" s="16"/>
      <c r="O1621" s="16"/>
      <c r="P1621" s="16"/>
    </row>
    <row r="1622" spans="2:16" ht="15.75" customHeight="1">
      <c r="B1622" s="16"/>
      <c r="H1622" s="16"/>
      <c r="I1622" s="16"/>
      <c r="J1622" s="17"/>
      <c r="N1622" s="16"/>
      <c r="O1622" s="16"/>
      <c r="P1622" s="16"/>
    </row>
    <row r="1623" spans="2:16" ht="15.75" customHeight="1">
      <c r="B1623" s="16"/>
      <c r="H1623" s="16"/>
      <c r="I1623" s="16"/>
      <c r="J1623" s="17"/>
      <c r="N1623" s="16"/>
      <c r="O1623" s="16"/>
      <c r="P1623" s="16"/>
    </row>
    <row r="1624" spans="2:16" ht="15.75" customHeight="1">
      <c r="B1624" s="16"/>
      <c r="H1624" s="16"/>
      <c r="I1624" s="16"/>
      <c r="J1624" s="17"/>
      <c r="N1624" s="16"/>
      <c r="O1624" s="16"/>
      <c r="P1624" s="16"/>
    </row>
    <row r="1625" spans="2:16" ht="15.75" customHeight="1">
      <c r="B1625" s="16"/>
      <c r="H1625" s="16"/>
      <c r="I1625" s="16"/>
      <c r="J1625" s="17"/>
      <c r="N1625" s="16"/>
      <c r="O1625" s="16"/>
      <c r="P1625" s="16"/>
    </row>
    <row r="1626" spans="2:16" ht="15.75" customHeight="1">
      <c r="B1626" s="16"/>
      <c r="H1626" s="16"/>
      <c r="I1626" s="16"/>
      <c r="J1626" s="17"/>
      <c r="N1626" s="16"/>
      <c r="O1626" s="16"/>
      <c r="P1626" s="16"/>
    </row>
    <row r="1627" spans="2:16" ht="15.75" customHeight="1">
      <c r="B1627" s="16"/>
      <c r="H1627" s="16"/>
      <c r="I1627" s="16"/>
      <c r="J1627" s="17"/>
      <c r="N1627" s="16"/>
      <c r="O1627" s="16"/>
      <c r="P1627" s="16"/>
    </row>
    <row r="1628" spans="2:16" ht="15.75" customHeight="1">
      <c r="B1628" s="16"/>
      <c r="H1628" s="16"/>
      <c r="I1628" s="16"/>
      <c r="J1628" s="17"/>
      <c r="N1628" s="16"/>
      <c r="O1628" s="16"/>
      <c r="P1628" s="16"/>
    </row>
    <row r="1629" spans="2:16" ht="15.75" customHeight="1">
      <c r="B1629" s="16"/>
      <c r="H1629" s="16"/>
      <c r="I1629" s="16"/>
      <c r="J1629" s="17"/>
      <c r="N1629" s="16"/>
      <c r="O1629" s="16"/>
      <c r="P1629" s="16"/>
    </row>
    <row r="1630" spans="2:16" ht="15.75" customHeight="1">
      <c r="B1630" s="16"/>
      <c r="H1630" s="16"/>
      <c r="I1630" s="16"/>
      <c r="J1630" s="17"/>
      <c r="N1630" s="16"/>
      <c r="O1630" s="16"/>
      <c r="P1630" s="16"/>
    </row>
    <row r="1631" spans="2:16" ht="15.75" customHeight="1">
      <c r="B1631" s="16"/>
      <c r="H1631" s="16"/>
      <c r="I1631" s="16"/>
      <c r="J1631" s="17"/>
      <c r="N1631" s="16"/>
      <c r="O1631" s="16"/>
      <c r="P1631" s="16"/>
    </row>
    <row r="1632" spans="2:16" ht="15.75" customHeight="1">
      <c r="B1632" s="16"/>
      <c r="H1632" s="16"/>
      <c r="I1632" s="16"/>
      <c r="J1632" s="17"/>
      <c r="N1632" s="16"/>
      <c r="O1632" s="16"/>
      <c r="P1632" s="16"/>
    </row>
    <row r="1633" spans="2:16" ht="15.75" customHeight="1">
      <c r="B1633" s="16"/>
      <c r="H1633" s="16"/>
      <c r="I1633" s="16"/>
      <c r="J1633" s="17"/>
      <c r="N1633" s="16"/>
      <c r="O1633" s="16"/>
      <c r="P1633" s="16"/>
    </row>
    <row r="1634" spans="2:16" ht="15.75" customHeight="1">
      <c r="B1634" s="16"/>
      <c r="H1634" s="16"/>
      <c r="I1634" s="16"/>
      <c r="J1634" s="17"/>
      <c r="N1634" s="16"/>
      <c r="O1634" s="16"/>
      <c r="P1634" s="16"/>
    </row>
    <row r="1635" spans="2:16" ht="15.75" customHeight="1">
      <c r="B1635" s="16"/>
      <c r="H1635" s="16"/>
      <c r="I1635" s="16"/>
      <c r="J1635" s="17"/>
      <c r="N1635" s="16"/>
      <c r="O1635" s="16"/>
      <c r="P1635" s="16"/>
    </row>
    <row r="1636" spans="2:16" ht="15.75" customHeight="1">
      <c r="B1636" s="16"/>
      <c r="H1636" s="16"/>
      <c r="I1636" s="16"/>
      <c r="J1636" s="17"/>
      <c r="N1636" s="16"/>
      <c r="O1636" s="16"/>
      <c r="P1636" s="16"/>
    </row>
    <row r="1637" spans="2:16" ht="15.75" customHeight="1">
      <c r="B1637" s="16"/>
      <c r="H1637" s="16"/>
      <c r="I1637" s="16"/>
      <c r="J1637" s="17"/>
      <c r="N1637" s="16"/>
      <c r="O1637" s="16"/>
      <c r="P1637" s="16"/>
    </row>
    <row r="1638" spans="2:16" ht="15.75" customHeight="1">
      <c r="B1638" s="16"/>
      <c r="H1638" s="16"/>
      <c r="I1638" s="16"/>
      <c r="J1638" s="17"/>
      <c r="N1638" s="16"/>
      <c r="O1638" s="16"/>
      <c r="P1638" s="16"/>
    </row>
    <row r="1639" spans="2:16" ht="15.75" customHeight="1">
      <c r="B1639" s="16"/>
      <c r="H1639" s="16"/>
      <c r="I1639" s="16"/>
      <c r="J1639" s="17"/>
      <c r="N1639" s="16"/>
      <c r="O1639" s="16"/>
      <c r="P1639" s="16"/>
    </row>
    <row r="1640" spans="2:16" ht="15.75" customHeight="1">
      <c r="B1640" s="16"/>
      <c r="H1640" s="16"/>
      <c r="I1640" s="16"/>
      <c r="J1640" s="17"/>
      <c r="N1640" s="16"/>
      <c r="O1640" s="16"/>
      <c r="P1640" s="16"/>
    </row>
    <row r="1641" spans="2:16" ht="15.75" customHeight="1">
      <c r="B1641" s="16"/>
      <c r="H1641" s="16"/>
      <c r="I1641" s="16"/>
      <c r="J1641" s="17"/>
      <c r="N1641" s="16"/>
      <c r="O1641" s="16"/>
      <c r="P1641" s="16"/>
    </row>
    <row r="1642" spans="2:16" ht="15.75" customHeight="1">
      <c r="B1642" s="16"/>
      <c r="H1642" s="16"/>
      <c r="I1642" s="16"/>
      <c r="J1642" s="17"/>
      <c r="N1642" s="16"/>
      <c r="O1642" s="16"/>
      <c r="P1642" s="16"/>
    </row>
    <row r="1643" spans="2:16" ht="15.75" customHeight="1">
      <c r="B1643" s="16"/>
      <c r="H1643" s="16"/>
      <c r="I1643" s="16"/>
      <c r="J1643" s="17"/>
      <c r="N1643" s="16"/>
      <c r="O1643" s="16"/>
      <c r="P1643" s="16"/>
    </row>
    <row r="1644" spans="2:16" ht="15.75" customHeight="1">
      <c r="B1644" s="16"/>
      <c r="H1644" s="16"/>
      <c r="I1644" s="16"/>
      <c r="J1644" s="17"/>
      <c r="N1644" s="16"/>
      <c r="O1644" s="16"/>
      <c r="P1644" s="16"/>
    </row>
    <row r="1645" spans="2:16" ht="15.75" customHeight="1">
      <c r="B1645" s="16"/>
      <c r="H1645" s="16"/>
      <c r="I1645" s="16"/>
      <c r="J1645" s="17"/>
      <c r="N1645" s="16"/>
      <c r="O1645" s="16"/>
      <c r="P1645" s="16"/>
    </row>
    <row r="1646" spans="2:16" ht="15.75" customHeight="1">
      <c r="B1646" s="16"/>
      <c r="H1646" s="16"/>
      <c r="I1646" s="16"/>
      <c r="J1646" s="17"/>
      <c r="N1646" s="16"/>
      <c r="O1646" s="16"/>
      <c r="P1646" s="16"/>
    </row>
    <row r="1647" spans="2:16" ht="15.75" customHeight="1">
      <c r="B1647" s="16"/>
      <c r="H1647" s="16"/>
      <c r="I1647" s="16"/>
      <c r="J1647" s="17"/>
      <c r="N1647" s="16"/>
      <c r="O1647" s="16"/>
      <c r="P1647" s="16"/>
    </row>
    <row r="1648" spans="2:16" ht="15.75" customHeight="1">
      <c r="B1648" s="16"/>
      <c r="H1648" s="16"/>
      <c r="I1648" s="16"/>
      <c r="J1648" s="17"/>
      <c r="N1648" s="16"/>
      <c r="O1648" s="16"/>
      <c r="P1648" s="16"/>
    </row>
    <row r="1649" spans="2:16" ht="15.75" customHeight="1">
      <c r="B1649" s="16"/>
      <c r="H1649" s="16"/>
      <c r="I1649" s="16"/>
      <c r="J1649" s="17"/>
      <c r="N1649" s="16"/>
      <c r="O1649" s="16"/>
      <c r="P1649" s="16"/>
    </row>
    <row r="1650" spans="2:16" ht="15.75" customHeight="1">
      <c r="B1650" s="16"/>
      <c r="H1650" s="16"/>
      <c r="I1650" s="16"/>
      <c r="J1650" s="17"/>
      <c r="N1650" s="16"/>
      <c r="O1650" s="16"/>
      <c r="P1650" s="16"/>
    </row>
    <row r="1651" spans="2:16" ht="15.75" customHeight="1">
      <c r="B1651" s="16"/>
      <c r="H1651" s="16"/>
      <c r="I1651" s="16"/>
      <c r="J1651" s="17"/>
      <c r="N1651" s="16"/>
      <c r="O1651" s="16"/>
      <c r="P1651" s="16"/>
    </row>
    <row r="1652" spans="2:16" ht="15.75" customHeight="1">
      <c r="B1652" s="16"/>
      <c r="H1652" s="16"/>
      <c r="I1652" s="16"/>
      <c r="J1652" s="17"/>
      <c r="N1652" s="16"/>
      <c r="O1652" s="16"/>
      <c r="P1652" s="16"/>
    </row>
    <row r="1653" spans="2:16" ht="15.75" customHeight="1">
      <c r="B1653" s="16"/>
      <c r="H1653" s="16"/>
      <c r="I1653" s="16"/>
      <c r="J1653" s="17"/>
      <c r="N1653" s="16"/>
      <c r="O1653" s="16"/>
      <c r="P1653" s="16"/>
    </row>
    <row r="1654" spans="2:16" ht="15.75" customHeight="1">
      <c r="B1654" s="16"/>
      <c r="H1654" s="16"/>
      <c r="I1654" s="16"/>
      <c r="J1654" s="17"/>
      <c r="N1654" s="16"/>
      <c r="O1654" s="16"/>
      <c r="P1654" s="16"/>
    </row>
    <row r="1655" spans="2:16" ht="15.75" customHeight="1">
      <c r="B1655" s="16"/>
      <c r="H1655" s="16"/>
      <c r="I1655" s="16"/>
      <c r="J1655" s="17"/>
      <c r="N1655" s="16"/>
      <c r="O1655" s="16"/>
      <c r="P1655" s="16"/>
    </row>
    <row r="1656" spans="2:16" ht="15.75" customHeight="1">
      <c r="B1656" s="16"/>
      <c r="H1656" s="16"/>
      <c r="I1656" s="16"/>
      <c r="J1656" s="17"/>
      <c r="N1656" s="16"/>
      <c r="O1656" s="16"/>
      <c r="P1656" s="16"/>
    </row>
    <row r="1657" spans="2:16" ht="15.75" customHeight="1">
      <c r="B1657" s="16"/>
      <c r="H1657" s="16"/>
      <c r="I1657" s="16"/>
      <c r="J1657" s="17"/>
      <c r="N1657" s="16"/>
      <c r="O1657" s="16"/>
      <c r="P1657" s="16"/>
    </row>
    <row r="1658" spans="2:16" ht="15.75" customHeight="1">
      <c r="B1658" s="16"/>
      <c r="H1658" s="16"/>
      <c r="I1658" s="16"/>
      <c r="J1658" s="17"/>
      <c r="N1658" s="16"/>
      <c r="O1658" s="16"/>
      <c r="P1658" s="16"/>
    </row>
    <row r="1659" spans="2:16" ht="15.75" customHeight="1">
      <c r="B1659" s="16"/>
      <c r="H1659" s="16"/>
      <c r="I1659" s="16"/>
      <c r="J1659" s="17"/>
      <c r="N1659" s="16"/>
      <c r="O1659" s="16"/>
      <c r="P1659" s="16"/>
    </row>
    <row r="1660" spans="2:16" ht="15.75" customHeight="1">
      <c r="B1660" s="16"/>
      <c r="H1660" s="16"/>
      <c r="I1660" s="16"/>
      <c r="J1660" s="17"/>
      <c r="N1660" s="16"/>
      <c r="O1660" s="16"/>
      <c r="P1660" s="16"/>
    </row>
    <row r="1661" spans="2:16" ht="15.75" customHeight="1">
      <c r="B1661" s="16"/>
      <c r="H1661" s="16"/>
      <c r="I1661" s="16"/>
      <c r="J1661" s="17"/>
      <c r="N1661" s="16"/>
      <c r="O1661" s="16"/>
      <c r="P1661" s="16"/>
    </row>
    <row r="1662" spans="2:16" ht="15.75" customHeight="1">
      <c r="B1662" s="16"/>
      <c r="H1662" s="16"/>
      <c r="I1662" s="16"/>
      <c r="J1662" s="17"/>
      <c r="N1662" s="16"/>
      <c r="O1662" s="16"/>
      <c r="P1662" s="16"/>
    </row>
    <row r="1663" spans="2:16" ht="15.75" customHeight="1">
      <c r="B1663" s="16"/>
      <c r="H1663" s="16"/>
      <c r="N1663" s="16"/>
      <c r="O1663" s="16"/>
      <c r="P1663" s="16"/>
    </row>
    <row r="1664" spans="2:16" ht="15.75" customHeight="1">
      <c r="B1664" s="16"/>
      <c r="H1664" s="16"/>
      <c r="N1664" s="16"/>
      <c r="O1664" s="16"/>
      <c r="P1664" s="16"/>
    </row>
    <row r="1665" spans="2:16" ht="15.75" customHeight="1">
      <c r="B1665" s="16"/>
      <c r="H1665" s="16"/>
      <c r="N1665" s="16"/>
      <c r="O1665" s="16"/>
      <c r="P1665" s="16"/>
    </row>
    <row r="1666" spans="2:16" ht="15.75" customHeight="1">
      <c r="B1666" s="16"/>
      <c r="H1666" s="16"/>
      <c r="N1666" s="16"/>
      <c r="O1666" s="16"/>
      <c r="P1666" s="16"/>
    </row>
    <row r="1667" spans="2:16" ht="15.75" customHeight="1">
      <c r="B1667" s="16"/>
      <c r="H1667" s="16"/>
      <c r="I1667" s="16"/>
      <c r="J1667" s="17"/>
      <c r="N1667" s="16"/>
      <c r="O1667" s="16"/>
      <c r="P1667" s="16"/>
    </row>
    <row r="1668" spans="2:16" ht="15.75" customHeight="1">
      <c r="B1668" s="16"/>
      <c r="H1668" s="16"/>
      <c r="I1668" s="16"/>
      <c r="J1668" s="17"/>
      <c r="N1668" s="16"/>
      <c r="O1668" s="16"/>
      <c r="P1668" s="16"/>
    </row>
    <row r="1669" spans="2:16" ht="15.75" customHeight="1">
      <c r="B1669" s="16"/>
      <c r="H1669" s="16"/>
      <c r="I1669" s="16"/>
      <c r="J1669" s="17"/>
      <c r="N1669" s="16"/>
      <c r="O1669" s="16"/>
      <c r="P1669" s="16"/>
    </row>
    <row r="1670" spans="2:16" ht="15.75" customHeight="1">
      <c r="B1670" s="16"/>
      <c r="H1670" s="16"/>
      <c r="I1670" s="16"/>
      <c r="J1670" s="17"/>
      <c r="N1670" s="16"/>
      <c r="O1670" s="16"/>
      <c r="P1670" s="16"/>
    </row>
    <row r="1671" spans="2:16" ht="15.75" customHeight="1">
      <c r="B1671" s="16"/>
      <c r="H1671" s="16"/>
      <c r="I1671" s="16"/>
      <c r="J1671" s="17"/>
      <c r="N1671" s="16"/>
      <c r="O1671" s="16"/>
      <c r="P1671" s="16"/>
    </row>
    <row r="1672" spans="2:16" ht="15.75" customHeight="1">
      <c r="B1672" s="16"/>
      <c r="H1672" s="16"/>
      <c r="N1672" s="16"/>
      <c r="O1672" s="16"/>
      <c r="P1672" s="16"/>
    </row>
    <row r="1673" spans="2:16" ht="15.75" customHeight="1">
      <c r="B1673" s="16"/>
      <c r="H1673" s="16"/>
      <c r="N1673" s="16"/>
      <c r="O1673" s="16"/>
      <c r="P1673" s="16"/>
    </row>
    <row r="1674" spans="2:16" ht="15.75" customHeight="1">
      <c r="B1674" s="16"/>
      <c r="H1674" s="16"/>
      <c r="I1674" s="16"/>
      <c r="J1674" s="17"/>
      <c r="N1674" s="16"/>
      <c r="O1674" s="16"/>
      <c r="P1674" s="16"/>
    </row>
    <row r="1675" spans="2:16" ht="15.75" customHeight="1">
      <c r="B1675" s="16"/>
      <c r="H1675" s="16"/>
      <c r="I1675" s="16"/>
      <c r="J1675" s="17"/>
      <c r="N1675" s="16"/>
      <c r="O1675" s="16"/>
      <c r="P1675" s="16"/>
    </row>
    <row r="1676" spans="2:16" ht="15.75" customHeight="1">
      <c r="B1676" s="16"/>
      <c r="H1676" s="16"/>
      <c r="N1676" s="16"/>
      <c r="O1676" s="16"/>
      <c r="P1676" s="16"/>
    </row>
    <row r="1677" spans="2:16" ht="15.75" customHeight="1">
      <c r="B1677" s="16"/>
      <c r="H1677" s="16"/>
      <c r="N1677" s="16"/>
      <c r="O1677" s="16"/>
      <c r="P1677" s="16"/>
    </row>
    <row r="1678" spans="2:16" ht="15.75" customHeight="1">
      <c r="B1678" s="16"/>
      <c r="H1678" s="16"/>
      <c r="N1678" s="16"/>
      <c r="O1678" s="16"/>
      <c r="P1678" s="16"/>
    </row>
    <row r="1679" spans="2:16" ht="15.75" customHeight="1">
      <c r="B1679" s="16"/>
      <c r="H1679" s="16"/>
      <c r="N1679" s="16"/>
      <c r="O1679" s="16"/>
      <c r="P1679" s="16"/>
    </row>
    <row r="1680" spans="2:16" ht="15.75" customHeight="1">
      <c r="B1680" s="16"/>
      <c r="H1680" s="16"/>
      <c r="N1680" s="16"/>
      <c r="O1680" s="16"/>
      <c r="P1680" s="16"/>
    </row>
    <row r="1681" spans="2:16" ht="15.75" customHeight="1">
      <c r="B1681" s="16"/>
      <c r="H1681" s="16"/>
      <c r="N1681" s="16"/>
      <c r="O1681" s="16"/>
      <c r="P1681" s="16"/>
    </row>
    <row r="1682" spans="2:16" ht="15.75" customHeight="1">
      <c r="B1682" s="16"/>
      <c r="H1682" s="16"/>
      <c r="N1682" s="16"/>
      <c r="O1682" s="16"/>
      <c r="P1682" s="16"/>
    </row>
    <row r="1683" spans="2:16" ht="15.75" customHeight="1">
      <c r="B1683" s="16"/>
      <c r="H1683" s="16"/>
      <c r="N1683" s="16"/>
      <c r="O1683" s="16"/>
      <c r="P1683" s="16"/>
    </row>
    <row r="1684" spans="2:16" ht="15.75" customHeight="1">
      <c r="B1684" s="16"/>
      <c r="H1684" s="16"/>
      <c r="I1684" s="16"/>
      <c r="J1684" s="17"/>
      <c r="N1684" s="16"/>
      <c r="O1684" s="16"/>
      <c r="P1684" s="16"/>
    </row>
    <row r="1685" spans="2:16" ht="15.75" customHeight="1">
      <c r="B1685" s="16"/>
      <c r="H1685" s="16"/>
      <c r="I1685" s="16"/>
      <c r="J1685" s="17"/>
      <c r="N1685" s="16"/>
      <c r="O1685" s="16"/>
      <c r="P1685" s="16"/>
    </row>
    <row r="1686" spans="2:16" ht="15.75" customHeight="1">
      <c r="B1686" s="16"/>
      <c r="H1686" s="16"/>
      <c r="I1686" s="16"/>
      <c r="J1686" s="17"/>
      <c r="N1686" s="16"/>
      <c r="O1686" s="16"/>
      <c r="P1686" s="16"/>
    </row>
    <row r="1687" spans="2:16" ht="15.75" customHeight="1">
      <c r="B1687" s="16"/>
      <c r="H1687" s="16"/>
      <c r="I1687" s="16"/>
      <c r="J1687" s="17"/>
      <c r="N1687" s="16"/>
      <c r="O1687" s="16"/>
      <c r="P1687" s="16"/>
    </row>
    <row r="1688" spans="2:16" ht="15.75" customHeight="1">
      <c r="B1688" s="16"/>
      <c r="H1688" s="16"/>
      <c r="I1688" s="16"/>
      <c r="J1688" s="17"/>
      <c r="N1688" s="16"/>
      <c r="O1688" s="16"/>
      <c r="P1688" s="16"/>
    </row>
    <row r="1689" spans="2:16" ht="15.75" customHeight="1">
      <c r="B1689" s="16"/>
      <c r="H1689" s="16"/>
      <c r="I1689" s="16"/>
      <c r="J1689" s="17"/>
      <c r="N1689" s="16"/>
      <c r="O1689" s="16"/>
      <c r="P1689" s="16"/>
    </row>
    <row r="1690" spans="2:16" ht="15.75" customHeight="1">
      <c r="B1690" s="16"/>
      <c r="H1690" s="16"/>
      <c r="I1690" s="16"/>
      <c r="J1690" s="17"/>
      <c r="N1690" s="16"/>
      <c r="O1690" s="16"/>
      <c r="P1690" s="16"/>
    </row>
    <row r="1691" spans="2:16" ht="15.75" customHeight="1">
      <c r="B1691" s="16"/>
      <c r="H1691" s="16"/>
      <c r="I1691" s="16"/>
      <c r="J1691" s="17"/>
      <c r="N1691" s="16"/>
      <c r="O1691" s="16"/>
      <c r="P1691" s="16"/>
    </row>
    <row r="1692" spans="2:16" ht="15.75" customHeight="1">
      <c r="B1692" s="16"/>
      <c r="H1692" s="16"/>
      <c r="I1692" s="16"/>
      <c r="J1692" s="17"/>
      <c r="N1692" s="16"/>
      <c r="O1692" s="16"/>
      <c r="P1692" s="16"/>
    </row>
    <row r="1693" spans="2:16" ht="15.75" customHeight="1">
      <c r="B1693" s="16"/>
      <c r="H1693" s="16"/>
      <c r="N1693" s="16"/>
      <c r="O1693" s="16"/>
      <c r="P1693" s="16"/>
    </row>
    <row r="1694" spans="2:16" ht="15.75" customHeight="1">
      <c r="B1694" s="16"/>
      <c r="H1694" s="16"/>
      <c r="N1694" s="16"/>
      <c r="O1694" s="16"/>
      <c r="P1694" s="16"/>
    </row>
    <row r="1695" spans="2:16" ht="15.75" customHeight="1">
      <c r="B1695" s="16"/>
      <c r="H1695" s="16"/>
      <c r="I1695" s="16"/>
      <c r="J1695" s="17"/>
      <c r="N1695" s="16"/>
      <c r="O1695" s="16"/>
      <c r="P1695" s="16"/>
    </row>
    <row r="1696" spans="2:16" ht="15.75" customHeight="1">
      <c r="B1696" s="16"/>
      <c r="H1696" s="16"/>
      <c r="I1696" s="16"/>
      <c r="J1696" s="17"/>
      <c r="N1696" s="16"/>
      <c r="O1696" s="16"/>
      <c r="P1696" s="16"/>
    </row>
    <row r="1697" spans="2:16" ht="15.75" customHeight="1">
      <c r="B1697" s="16"/>
      <c r="H1697" s="16"/>
      <c r="I1697" s="16"/>
      <c r="J1697" s="17"/>
      <c r="N1697" s="16"/>
      <c r="O1697" s="16"/>
      <c r="P1697" s="16"/>
    </row>
    <row r="1698" spans="2:16" ht="15.75" customHeight="1">
      <c r="B1698" s="16"/>
      <c r="H1698" s="16"/>
      <c r="I1698" s="16"/>
      <c r="J1698" s="17"/>
      <c r="N1698" s="16"/>
      <c r="O1698" s="16"/>
      <c r="P1698" s="16"/>
    </row>
    <row r="1699" spans="2:16" ht="15.75" customHeight="1">
      <c r="B1699" s="16"/>
      <c r="H1699" s="16"/>
      <c r="I1699" s="16"/>
      <c r="J1699" s="17"/>
      <c r="N1699" s="16"/>
      <c r="O1699" s="16"/>
      <c r="P1699" s="16"/>
    </row>
    <row r="1700" spans="2:16" ht="15.75" customHeight="1">
      <c r="B1700" s="16"/>
      <c r="H1700" s="16"/>
      <c r="I1700" s="16"/>
      <c r="J1700" s="17"/>
      <c r="N1700" s="16"/>
      <c r="O1700" s="16"/>
      <c r="P1700" s="16"/>
    </row>
    <row r="1701" spans="2:16" ht="15.75" customHeight="1">
      <c r="B1701" s="16"/>
      <c r="H1701" s="16"/>
      <c r="I1701" s="16"/>
      <c r="J1701" s="17"/>
      <c r="N1701" s="16"/>
      <c r="O1701" s="16"/>
      <c r="P1701" s="16"/>
    </row>
    <row r="1702" spans="2:16" ht="15.75" customHeight="1">
      <c r="B1702" s="16"/>
      <c r="H1702" s="16"/>
      <c r="I1702" s="16"/>
      <c r="J1702" s="17"/>
      <c r="N1702" s="16"/>
      <c r="O1702" s="16"/>
      <c r="P1702" s="16"/>
    </row>
    <row r="1703" spans="2:16" ht="15.75" customHeight="1">
      <c r="B1703" s="16"/>
      <c r="H1703" s="16"/>
      <c r="I1703" s="16"/>
      <c r="J1703" s="17"/>
      <c r="N1703" s="16"/>
      <c r="O1703" s="16"/>
      <c r="P1703" s="16"/>
    </row>
    <row r="1704" spans="2:16" ht="15.75" customHeight="1">
      <c r="B1704" s="16"/>
      <c r="H1704" s="16"/>
      <c r="I1704" s="16"/>
      <c r="J1704" s="17"/>
      <c r="N1704" s="16"/>
      <c r="O1704" s="16"/>
      <c r="P1704" s="16"/>
    </row>
    <row r="1705" spans="2:16" ht="15.75" customHeight="1">
      <c r="B1705" s="16"/>
      <c r="H1705" s="16"/>
      <c r="N1705" s="16"/>
      <c r="O1705" s="16"/>
      <c r="P1705" s="16"/>
    </row>
    <row r="1706" spans="2:16" ht="15.75" customHeight="1">
      <c r="B1706" s="16"/>
      <c r="H1706" s="16"/>
      <c r="I1706" s="16"/>
      <c r="J1706" s="17"/>
      <c r="N1706" s="16"/>
      <c r="O1706" s="16"/>
      <c r="P1706" s="16"/>
    </row>
    <row r="1707" spans="2:16" ht="15.75" customHeight="1">
      <c r="B1707" s="16"/>
      <c r="H1707" s="16"/>
      <c r="I1707" s="16"/>
      <c r="J1707" s="17"/>
      <c r="N1707" s="16"/>
      <c r="O1707" s="16"/>
      <c r="P1707" s="16"/>
    </row>
    <row r="1708" spans="2:16" ht="15.75" customHeight="1">
      <c r="B1708" s="16"/>
      <c r="H1708" s="16"/>
      <c r="I1708" s="16"/>
      <c r="J1708" s="17"/>
      <c r="N1708" s="16"/>
      <c r="O1708" s="16"/>
      <c r="P1708" s="16"/>
    </row>
    <row r="1709" spans="2:16" ht="15.75" customHeight="1">
      <c r="B1709" s="16"/>
      <c r="H1709" s="16"/>
      <c r="I1709" s="16"/>
      <c r="J1709" s="17"/>
      <c r="N1709" s="16"/>
      <c r="O1709" s="16"/>
      <c r="P1709" s="16"/>
    </row>
    <row r="1710" spans="2:16" ht="15.75" customHeight="1">
      <c r="B1710" s="16"/>
      <c r="H1710" s="16"/>
      <c r="I1710" s="16"/>
      <c r="J1710" s="17"/>
      <c r="N1710" s="16"/>
      <c r="O1710" s="16"/>
      <c r="P1710" s="16"/>
    </row>
    <row r="1711" spans="2:16" ht="15.75" customHeight="1">
      <c r="B1711" s="16"/>
      <c r="H1711" s="16"/>
      <c r="I1711" s="16"/>
      <c r="J1711" s="17"/>
      <c r="N1711" s="16"/>
      <c r="O1711" s="16"/>
      <c r="P1711" s="16"/>
    </row>
    <row r="1712" spans="2:16" ht="15.75" customHeight="1">
      <c r="B1712" s="16"/>
      <c r="H1712" s="16"/>
      <c r="I1712" s="16"/>
      <c r="J1712" s="17"/>
      <c r="N1712" s="16"/>
      <c r="O1712" s="16"/>
      <c r="P1712" s="16"/>
    </row>
    <row r="1713" spans="2:16" ht="15.75" customHeight="1">
      <c r="B1713" s="16"/>
      <c r="H1713" s="16"/>
      <c r="I1713" s="16"/>
      <c r="J1713" s="17"/>
      <c r="N1713" s="16"/>
      <c r="O1713" s="16"/>
      <c r="P1713" s="16"/>
    </row>
    <row r="1714" spans="2:16" ht="15.75" customHeight="1">
      <c r="B1714" s="16"/>
      <c r="H1714" s="16"/>
      <c r="I1714" s="16"/>
      <c r="J1714" s="17"/>
      <c r="N1714" s="16"/>
      <c r="O1714" s="16"/>
      <c r="P1714" s="16"/>
    </row>
    <row r="1715" spans="2:16" ht="15.75" customHeight="1">
      <c r="B1715" s="16"/>
      <c r="H1715" s="16"/>
      <c r="I1715" s="16"/>
      <c r="J1715" s="17"/>
      <c r="N1715" s="16"/>
      <c r="O1715" s="16"/>
      <c r="P1715" s="16"/>
    </row>
    <row r="1716" spans="2:16" ht="15.75" customHeight="1">
      <c r="B1716" s="16"/>
      <c r="H1716" s="16"/>
      <c r="I1716" s="16"/>
      <c r="J1716" s="17"/>
      <c r="N1716" s="16"/>
      <c r="O1716" s="16"/>
      <c r="P1716" s="16"/>
    </row>
    <row r="1717" spans="2:16" ht="15.75" customHeight="1">
      <c r="B1717" s="16"/>
      <c r="H1717" s="16"/>
      <c r="I1717" s="16"/>
      <c r="J1717" s="17"/>
      <c r="N1717" s="16"/>
      <c r="O1717" s="16"/>
      <c r="P1717" s="16"/>
    </row>
    <row r="1718" spans="2:16" ht="15.75" customHeight="1">
      <c r="B1718" s="16"/>
      <c r="H1718" s="16"/>
      <c r="I1718" s="16"/>
      <c r="J1718" s="17"/>
      <c r="N1718" s="16"/>
      <c r="O1718" s="16"/>
      <c r="P1718" s="16"/>
    </row>
    <row r="1719" spans="2:16" ht="15.75" customHeight="1">
      <c r="B1719" s="16"/>
      <c r="H1719" s="16"/>
      <c r="I1719" s="16"/>
      <c r="J1719" s="17"/>
      <c r="N1719" s="16"/>
      <c r="O1719" s="16"/>
      <c r="P1719" s="16"/>
    </row>
    <row r="1720" spans="2:16" ht="15.75" customHeight="1">
      <c r="B1720" s="16"/>
      <c r="H1720" s="16"/>
      <c r="I1720" s="16"/>
      <c r="J1720" s="17"/>
      <c r="N1720" s="16"/>
      <c r="O1720" s="16"/>
      <c r="P1720" s="16"/>
    </row>
    <row r="1721" spans="2:16" ht="15.75" customHeight="1">
      <c r="B1721" s="16"/>
      <c r="H1721" s="16"/>
      <c r="I1721" s="16"/>
      <c r="J1721" s="17"/>
      <c r="N1721" s="16"/>
      <c r="O1721" s="16"/>
      <c r="P1721" s="16"/>
    </row>
    <row r="1722" spans="2:16" ht="15.75" customHeight="1">
      <c r="B1722" s="16"/>
      <c r="H1722" s="16"/>
      <c r="I1722" s="16"/>
      <c r="J1722" s="17"/>
      <c r="N1722" s="16"/>
      <c r="O1722" s="16"/>
      <c r="P1722" s="16"/>
    </row>
    <row r="1723" spans="2:16" ht="15.75" customHeight="1">
      <c r="B1723" s="16"/>
      <c r="H1723" s="16"/>
      <c r="I1723" s="16"/>
      <c r="J1723" s="17"/>
      <c r="N1723" s="16"/>
      <c r="O1723" s="16"/>
      <c r="P1723" s="16"/>
    </row>
    <row r="1724" spans="2:16" ht="15.75" customHeight="1">
      <c r="B1724" s="16"/>
      <c r="H1724" s="16"/>
      <c r="I1724" s="16"/>
      <c r="J1724" s="17"/>
      <c r="N1724" s="16"/>
      <c r="O1724" s="16"/>
      <c r="P1724" s="16"/>
    </row>
    <row r="1725" spans="2:16" ht="15.75" customHeight="1">
      <c r="B1725" s="16"/>
      <c r="H1725" s="16"/>
      <c r="I1725" s="16"/>
      <c r="J1725" s="17"/>
      <c r="N1725" s="16"/>
      <c r="O1725" s="16"/>
      <c r="P1725" s="16"/>
    </row>
    <row r="1726" spans="2:16" ht="15.75" customHeight="1">
      <c r="B1726" s="16"/>
      <c r="H1726" s="16"/>
      <c r="I1726" s="16"/>
      <c r="J1726" s="17"/>
      <c r="N1726" s="16"/>
      <c r="O1726" s="16"/>
      <c r="P1726" s="16"/>
    </row>
    <row r="1727" spans="2:16" ht="15.75" customHeight="1">
      <c r="B1727" s="16"/>
      <c r="H1727" s="16"/>
      <c r="I1727" s="16"/>
      <c r="J1727" s="17"/>
      <c r="N1727" s="16"/>
      <c r="O1727" s="16"/>
      <c r="P1727" s="16"/>
    </row>
    <row r="1728" spans="2:16" ht="15.75" customHeight="1">
      <c r="B1728" s="16"/>
      <c r="H1728" s="16"/>
      <c r="I1728" s="16"/>
      <c r="J1728" s="17"/>
      <c r="N1728" s="16"/>
      <c r="O1728" s="16"/>
      <c r="P1728" s="16"/>
    </row>
    <row r="1729" spans="2:16" ht="15.75" customHeight="1">
      <c r="B1729" s="16"/>
      <c r="H1729" s="16"/>
      <c r="I1729" s="16"/>
      <c r="J1729" s="17"/>
      <c r="N1729" s="16"/>
      <c r="O1729" s="16"/>
      <c r="P1729" s="16"/>
    </row>
    <row r="1730" spans="2:16" ht="15.75" customHeight="1">
      <c r="B1730" s="16"/>
      <c r="H1730" s="16"/>
      <c r="I1730" s="16"/>
      <c r="J1730" s="17"/>
      <c r="N1730" s="16"/>
      <c r="O1730" s="16"/>
      <c r="P1730" s="16"/>
    </row>
    <row r="1731" spans="2:16" ht="15.75" customHeight="1">
      <c r="B1731" s="16"/>
      <c r="H1731" s="16"/>
      <c r="I1731" s="16"/>
      <c r="J1731" s="17"/>
      <c r="N1731" s="16"/>
      <c r="O1731" s="16"/>
      <c r="P1731" s="16"/>
    </row>
    <row r="1732" spans="2:16" ht="15.75" customHeight="1">
      <c r="B1732" s="16"/>
      <c r="H1732" s="16"/>
      <c r="I1732" s="16"/>
      <c r="J1732" s="17"/>
      <c r="N1732" s="16"/>
      <c r="O1732" s="16"/>
      <c r="P1732" s="16"/>
    </row>
    <row r="1733" spans="2:16" ht="15.75" customHeight="1">
      <c r="B1733" s="16"/>
      <c r="H1733" s="16"/>
      <c r="I1733" s="16"/>
      <c r="J1733" s="17"/>
      <c r="N1733" s="16"/>
      <c r="O1733" s="16"/>
      <c r="P1733" s="16"/>
    </row>
    <row r="1734" spans="2:16" ht="15.75" customHeight="1">
      <c r="B1734" s="16"/>
      <c r="H1734" s="16"/>
      <c r="I1734" s="16"/>
      <c r="J1734" s="17"/>
      <c r="N1734" s="16"/>
      <c r="O1734" s="16"/>
      <c r="P1734" s="16"/>
    </row>
    <row r="1735" spans="2:16" ht="15.75" customHeight="1">
      <c r="B1735" s="16"/>
      <c r="H1735" s="16"/>
      <c r="I1735" s="16"/>
      <c r="J1735" s="17"/>
      <c r="N1735" s="16"/>
      <c r="O1735" s="16"/>
      <c r="P1735" s="16"/>
    </row>
    <row r="1736" spans="2:16" ht="15.75" customHeight="1">
      <c r="B1736" s="16"/>
      <c r="H1736" s="16"/>
      <c r="I1736" s="16"/>
      <c r="J1736" s="17"/>
      <c r="N1736" s="16"/>
      <c r="O1736" s="16"/>
      <c r="P1736" s="16"/>
    </row>
    <row r="1737" spans="2:16" ht="15.75" customHeight="1">
      <c r="B1737" s="16"/>
      <c r="H1737" s="16"/>
      <c r="I1737" s="16"/>
      <c r="J1737" s="17"/>
      <c r="N1737" s="16"/>
      <c r="O1737" s="16"/>
      <c r="P1737" s="16"/>
    </row>
    <row r="1738" spans="2:16" ht="15.75" customHeight="1">
      <c r="B1738" s="16"/>
      <c r="H1738" s="16"/>
      <c r="I1738" s="16"/>
      <c r="J1738" s="17"/>
      <c r="N1738" s="16"/>
      <c r="O1738" s="16"/>
      <c r="P1738" s="16"/>
    </row>
    <row r="1739" spans="2:16" ht="15.75" customHeight="1">
      <c r="B1739" s="16"/>
      <c r="H1739" s="16"/>
      <c r="I1739" s="16"/>
      <c r="J1739" s="17"/>
      <c r="N1739" s="16"/>
      <c r="O1739" s="16"/>
      <c r="P1739" s="16"/>
    </row>
    <row r="1740" spans="2:16" ht="15.75" customHeight="1">
      <c r="B1740" s="16"/>
      <c r="H1740" s="16"/>
      <c r="I1740" s="16"/>
      <c r="J1740" s="17"/>
      <c r="N1740" s="16"/>
      <c r="O1740" s="16"/>
      <c r="P1740" s="16"/>
    </row>
    <row r="1741" spans="2:16" ht="15.75" customHeight="1">
      <c r="B1741" s="16"/>
      <c r="H1741" s="16"/>
      <c r="I1741" s="16"/>
      <c r="J1741" s="17"/>
      <c r="N1741" s="16"/>
      <c r="O1741" s="16"/>
      <c r="P1741" s="16"/>
    </row>
    <row r="1742" spans="2:16" ht="15.75" customHeight="1">
      <c r="B1742" s="16"/>
      <c r="H1742" s="16"/>
      <c r="I1742" s="16"/>
      <c r="J1742" s="17"/>
      <c r="N1742" s="16"/>
      <c r="O1742" s="16"/>
      <c r="P1742" s="16"/>
    </row>
    <row r="1743" spans="2:16" ht="15.75" customHeight="1">
      <c r="B1743" s="16"/>
      <c r="H1743" s="16"/>
      <c r="I1743" s="16"/>
      <c r="J1743" s="17"/>
      <c r="N1743" s="16"/>
      <c r="O1743" s="16"/>
      <c r="P1743" s="16"/>
    </row>
    <row r="1744" spans="2:16" ht="15.75" customHeight="1">
      <c r="B1744" s="16"/>
      <c r="H1744" s="16"/>
      <c r="I1744" s="16"/>
      <c r="J1744" s="17"/>
      <c r="N1744" s="16"/>
      <c r="O1744" s="16"/>
      <c r="P1744" s="16"/>
    </row>
    <row r="1745" spans="2:16" ht="15.75" customHeight="1">
      <c r="B1745" s="16"/>
      <c r="H1745" s="16"/>
      <c r="I1745" s="16"/>
      <c r="J1745" s="17"/>
      <c r="N1745" s="16"/>
      <c r="O1745" s="16"/>
      <c r="P1745" s="16"/>
    </row>
    <row r="1746" spans="2:16" ht="15.75" customHeight="1">
      <c r="B1746" s="16"/>
      <c r="H1746" s="16"/>
      <c r="I1746" s="16"/>
      <c r="J1746" s="17"/>
      <c r="N1746" s="16"/>
      <c r="O1746" s="16"/>
      <c r="P1746" s="16"/>
    </row>
    <row r="1747" spans="2:16" ht="15.75" customHeight="1">
      <c r="B1747" s="16"/>
      <c r="H1747" s="16"/>
      <c r="I1747" s="16"/>
      <c r="J1747" s="17"/>
      <c r="N1747" s="16"/>
      <c r="O1747" s="16"/>
      <c r="P1747" s="16"/>
    </row>
    <row r="1748" spans="2:16" ht="15.75" customHeight="1">
      <c r="B1748" s="16"/>
      <c r="H1748" s="16"/>
      <c r="I1748" s="16"/>
      <c r="J1748" s="17"/>
      <c r="N1748" s="16"/>
      <c r="O1748" s="16"/>
      <c r="P1748" s="16"/>
    </row>
    <row r="1749" spans="2:16" ht="15.75" customHeight="1">
      <c r="B1749" s="16"/>
      <c r="H1749" s="16"/>
      <c r="I1749" s="16"/>
      <c r="J1749" s="17"/>
      <c r="N1749" s="16"/>
      <c r="O1749" s="16"/>
      <c r="P1749" s="16"/>
    </row>
    <row r="1750" spans="2:16" ht="15.75" customHeight="1">
      <c r="B1750" s="16"/>
      <c r="H1750" s="16"/>
      <c r="I1750" s="16"/>
      <c r="J1750" s="17"/>
      <c r="N1750" s="16"/>
      <c r="O1750" s="16"/>
      <c r="P1750" s="16"/>
    </row>
    <row r="1751" spans="2:16" ht="15.75" customHeight="1">
      <c r="B1751" s="16"/>
      <c r="H1751" s="16"/>
      <c r="I1751" s="16"/>
      <c r="J1751" s="17"/>
      <c r="N1751" s="16"/>
      <c r="O1751" s="16"/>
      <c r="P1751" s="16"/>
    </row>
    <row r="1752" spans="2:16" ht="15.75" customHeight="1">
      <c r="B1752" s="16"/>
      <c r="H1752" s="16"/>
      <c r="I1752" s="16"/>
      <c r="J1752" s="17"/>
      <c r="N1752" s="16"/>
      <c r="O1752" s="16"/>
      <c r="P1752" s="16"/>
    </row>
    <row r="1753" spans="2:16" ht="15.75" customHeight="1">
      <c r="B1753" s="16"/>
      <c r="H1753" s="16"/>
      <c r="I1753" s="16"/>
      <c r="J1753" s="17"/>
      <c r="N1753" s="16"/>
      <c r="O1753" s="16"/>
      <c r="P1753" s="16"/>
    </row>
    <row r="1754" spans="2:16" ht="15.75" customHeight="1">
      <c r="B1754" s="16"/>
      <c r="H1754" s="16"/>
      <c r="I1754" s="16"/>
      <c r="J1754" s="17"/>
      <c r="N1754" s="16"/>
      <c r="O1754" s="16"/>
      <c r="P1754" s="16"/>
    </row>
    <row r="1755" spans="2:16" ht="15.75" customHeight="1">
      <c r="B1755" s="16"/>
      <c r="H1755" s="16"/>
      <c r="I1755" s="16"/>
      <c r="J1755" s="17"/>
      <c r="N1755" s="16"/>
      <c r="O1755" s="16"/>
      <c r="P1755" s="16"/>
    </row>
    <row r="1756" spans="2:16" ht="15.75" customHeight="1">
      <c r="B1756" s="16"/>
      <c r="H1756" s="16"/>
      <c r="I1756" s="16"/>
      <c r="J1756" s="17"/>
      <c r="N1756" s="16"/>
      <c r="O1756" s="16"/>
      <c r="P1756" s="16"/>
    </row>
    <row r="1757" spans="2:16" ht="15.75" customHeight="1">
      <c r="B1757" s="16"/>
      <c r="H1757" s="16"/>
      <c r="I1757" s="16"/>
      <c r="J1757" s="17"/>
      <c r="N1757" s="16"/>
      <c r="O1757" s="16"/>
      <c r="P1757" s="16"/>
    </row>
    <row r="1758" spans="2:16" ht="15.75" customHeight="1">
      <c r="B1758" s="16"/>
      <c r="H1758" s="16"/>
      <c r="I1758" s="16"/>
      <c r="J1758" s="17"/>
      <c r="N1758" s="16"/>
      <c r="O1758" s="16"/>
      <c r="P1758" s="16"/>
    </row>
    <row r="1759" spans="2:16" ht="15.75" customHeight="1">
      <c r="B1759" s="16"/>
      <c r="H1759" s="16"/>
      <c r="I1759" s="16"/>
      <c r="J1759" s="17"/>
      <c r="N1759" s="16"/>
      <c r="O1759" s="16"/>
      <c r="P1759" s="16"/>
    </row>
    <row r="1760" spans="2:16" ht="15.75" customHeight="1">
      <c r="B1760" s="16"/>
      <c r="H1760" s="16"/>
      <c r="I1760" s="16"/>
      <c r="J1760" s="17"/>
      <c r="N1760" s="16"/>
      <c r="O1760" s="16"/>
      <c r="P1760" s="16"/>
    </row>
    <row r="1761" spans="2:16" ht="15.75" customHeight="1">
      <c r="B1761" s="16"/>
      <c r="H1761" s="16"/>
      <c r="I1761" s="16"/>
      <c r="J1761" s="17"/>
      <c r="N1761" s="16"/>
      <c r="O1761" s="16"/>
      <c r="P1761" s="16"/>
    </row>
    <row r="1762" spans="2:16" ht="15.75" customHeight="1">
      <c r="B1762" s="16"/>
      <c r="H1762" s="16"/>
      <c r="I1762" s="16"/>
      <c r="J1762" s="17"/>
      <c r="N1762" s="16"/>
      <c r="O1762" s="16"/>
      <c r="P1762" s="16"/>
    </row>
    <row r="1763" spans="2:16" ht="15.75" customHeight="1">
      <c r="B1763" s="16"/>
      <c r="H1763" s="16"/>
      <c r="I1763" s="16"/>
      <c r="J1763" s="17"/>
      <c r="N1763" s="16"/>
      <c r="O1763" s="16"/>
      <c r="P1763" s="16"/>
    </row>
    <row r="1764" spans="2:16" ht="15.75" customHeight="1">
      <c r="B1764" s="16"/>
      <c r="H1764" s="16"/>
      <c r="I1764" s="16"/>
      <c r="J1764" s="17"/>
      <c r="N1764" s="16"/>
      <c r="O1764" s="16"/>
      <c r="P1764" s="16"/>
    </row>
    <row r="1765" spans="2:16" ht="15.75" customHeight="1">
      <c r="B1765" s="16"/>
      <c r="H1765" s="16"/>
      <c r="I1765" s="16"/>
      <c r="J1765" s="17"/>
      <c r="N1765" s="16"/>
      <c r="O1765" s="16"/>
      <c r="P1765" s="16"/>
    </row>
    <row r="1766" spans="2:16" ht="15.75" customHeight="1">
      <c r="B1766" s="16"/>
      <c r="H1766" s="16"/>
      <c r="I1766" s="16"/>
      <c r="J1766" s="17"/>
      <c r="N1766" s="16"/>
      <c r="O1766" s="16"/>
      <c r="P1766" s="16"/>
    </row>
    <row r="1767" spans="2:16" ht="15.75" customHeight="1">
      <c r="B1767" s="16"/>
      <c r="H1767" s="16"/>
      <c r="I1767" s="16"/>
      <c r="J1767" s="17"/>
      <c r="N1767" s="16"/>
      <c r="O1767" s="16"/>
      <c r="P1767" s="16"/>
    </row>
    <row r="1768" spans="2:16" ht="15.75" customHeight="1">
      <c r="B1768" s="16"/>
      <c r="H1768" s="16"/>
      <c r="I1768" s="16"/>
      <c r="J1768" s="17"/>
      <c r="N1768" s="16"/>
      <c r="O1768" s="16"/>
      <c r="P1768" s="16"/>
    </row>
    <row r="1769" spans="2:16" ht="15.75" customHeight="1">
      <c r="B1769" s="16"/>
      <c r="H1769" s="16"/>
      <c r="I1769" s="16"/>
      <c r="J1769" s="17"/>
      <c r="N1769" s="16"/>
      <c r="O1769" s="16"/>
      <c r="P1769" s="16"/>
    </row>
    <row r="1770" spans="2:16" ht="15.75" customHeight="1">
      <c r="B1770" s="16"/>
      <c r="H1770" s="16"/>
      <c r="I1770" s="16"/>
      <c r="J1770" s="17"/>
      <c r="N1770" s="16"/>
      <c r="O1770" s="16"/>
      <c r="P1770" s="16"/>
    </row>
    <row r="1771" spans="2:16" ht="15.75" customHeight="1">
      <c r="B1771" s="16"/>
      <c r="H1771" s="16"/>
      <c r="I1771" s="16"/>
      <c r="J1771" s="17"/>
      <c r="N1771" s="16"/>
      <c r="O1771" s="16"/>
      <c r="P1771" s="16"/>
    </row>
    <row r="1772" spans="2:16" ht="15.75" customHeight="1">
      <c r="B1772" s="16"/>
      <c r="H1772" s="16"/>
      <c r="I1772" s="16"/>
      <c r="J1772" s="17"/>
      <c r="N1772" s="16"/>
      <c r="O1772" s="16"/>
      <c r="P1772" s="16"/>
    </row>
    <row r="1773" spans="2:16" ht="15.75" customHeight="1">
      <c r="B1773" s="16"/>
      <c r="H1773" s="16"/>
      <c r="I1773" s="16"/>
      <c r="J1773" s="17"/>
      <c r="N1773" s="16"/>
      <c r="O1773" s="16"/>
      <c r="P1773" s="16"/>
    </row>
    <row r="1774" spans="2:16" ht="15.75" customHeight="1">
      <c r="B1774" s="16"/>
      <c r="H1774" s="16"/>
      <c r="I1774" s="16"/>
      <c r="J1774" s="17"/>
      <c r="N1774" s="16"/>
      <c r="O1774" s="16"/>
      <c r="P1774" s="16"/>
    </row>
    <row r="1775" spans="2:16" ht="15.75" customHeight="1">
      <c r="B1775" s="16"/>
      <c r="H1775" s="16"/>
      <c r="I1775" s="16"/>
      <c r="J1775" s="17"/>
      <c r="N1775" s="16"/>
      <c r="O1775" s="16"/>
      <c r="P1775" s="16"/>
    </row>
    <row r="1776" spans="2:16" ht="15.75" customHeight="1">
      <c r="B1776" s="16"/>
      <c r="H1776" s="16"/>
      <c r="I1776" s="16"/>
      <c r="J1776" s="17"/>
      <c r="N1776" s="16"/>
      <c r="O1776" s="16"/>
      <c r="P1776" s="16"/>
    </row>
    <row r="1777" spans="2:16" ht="15.75" customHeight="1">
      <c r="B1777" s="16"/>
      <c r="H1777" s="16"/>
      <c r="I1777" s="16"/>
      <c r="J1777" s="17"/>
      <c r="N1777" s="16"/>
      <c r="O1777" s="16"/>
      <c r="P1777" s="16"/>
    </row>
    <row r="1778" spans="2:16" ht="15.75" customHeight="1">
      <c r="B1778" s="16"/>
      <c r="H1778" s="16"/>
      <c r="I1778" s="16"/>
      <c r="J1778" s="17"/>
      <c r="N1778" s="16"/>
      <c r="O1778" s="16"/>
      <c r="P1778" s="16"/>
    </row>
    <row r="1779" spans="2:16" ht="15.75" customHeight="1">
      <c r="B1779" s="16"/>
      <c r="H1779" s="16"/>
      <c r="I1779" s="16"/>
      <c r="J1779" s="17"/>
      <c r="N1779" s="16"/>
      <c r="O1779" s="16"/>
      <c r="P1779" s="16"/>
    </row>
    <row r="1780" spans="2:16" ht="15.75" customHeight="1">
      <c r="B1780" s="16"/>
      <c r="H1780" s="16"/>
      <c r="I1780" s="16"/>
      <c r="J1780" s="17"/>
      <c r="N1780" s="16"/>
      <c r="O1780" s="16"/>
      <c r="P1780" s="16"/>
    </row>
    <row r="1781" spans="2:16" ht="15.75" customHeight="1">
      <c r="B1781" s="16"/>
      <c r="H1781" s="16"/>
      <c r="I1781" s="16"/>
      <c r="J1781" s="17"/>
      <c r="N1781" s="16"/>
      <c r="O1781" s="16"/>
      <c r="P1781" s="16"/>
    </row>
    <row r="1782" spans="2:16" ht="15.75" customHeight="1">
      <c r="B1782" s="16"/>
      <c r="H1782" s="16"/>
      <c r="I1782" s="16"/>
      <c r="J1782" s="17"/>
      <c r="N1782" s="16"/>
      <c r="O1782" s="16"/>
      <c r="P1782" s="16"/>
    </row>
    <row r="1783" spans="2:16" ht="15.75" customHeight="1">
      <c r="B1783" s="16"/>
      <c r="H1783" s="16"/>
      <c r="I1783" s="16"/>
      <c r="J1783" s="17"/>
      <c r="N1783" s="16"/>
      <c r="O1783" s="16"/>
      <c r="P1783" s="16"/>
    </row>
    <row r="1784" spans="2:16" ht="15.75" customHeight="1">
      <c r="B1784" s="16"/>
      <c r="H1784" s="16"/>
      <c r="I1784" s="16"/>
      <c r="J1784" s="17"/>
      <c r="N1784" s="16"/>
      <c r="O1784" s="16"/>
      <c r="P1784" s="16"/>
    </row>
    <row r="1785" spans="2:16" ht="15.75" customHeight="1">
      <c r="B1785" s="16"/>
      <c r="H1785" s="16"/>
      <c r="I1785" s="16"/>
      <c r="J1785" s="17"/>
      <c r="N1785" s="16"/>
      <c r="O1785" s="16"/>
      <c r="P1785" s="16"/>
    </row>
    <row r="1786" spans="2:16" ht="15.75" customHeight="1">
      <c r="B1786" s="16"/>
      <c r="H1786" s="16"/>
      <c r="I1786" s="16"/>
      <c r="J1786" s="17"/>
      <c r="N1786" s="16"/>
      <c r="O1786" s="16"/>
      <c r="P1786" s="16"/>
    </row>
    <row r="1787" spans="2:16" ht="15.75" customHeight="1">
      <c r="B1787" s="16"/>
      <c r="H1787" s="16"/>
      <c r="I1787" s="16"/>
      <c r="J1787" s="17"/>
      <c r="N1787" s="16"/>
      <c r="O1787" s="16"/>
      <c r="P1787" s="16"/>
    </row>
    <row r="1788" spans="2:16" ht="15.75" customHeight="1">
      <c r="B1788" s="16"/>
      <c r="H1788" s="16"/>
      <c r="I1788" s="16"/>
      <c r="J1788" s="17"/>
      <c r="N1788" s="16"/>
      <c r="O1788" s="16"/>
      <c r="P1788" s="16"/>
    </row>
    <row r="1789" spans="2:16" ht="15.75" customHeight="1">
      <c r="B1789" s="16"/>
      <c r="H1789" s="16"/>
      <c r="I1789" s="16"/>
      <c r="J1789" s="17"/>
      <c r="N1789" s="16"/>
      <c r="O1789" s="16"/>
      <c r="P1789" s="16"/>
    </row>
    <row r="1790" spans="2:16" ht="15.75" customHeight="1">
      <c r="B1790" s="16"/>
      <c r="H1790" s="16"/>
      <c r="I1790" s="16"/>
      <c r="J1790" s="17"/>
      <c r="N1790" s="16"/>
      <c r="O1790" s="16"/>
      <c r="P1790" s="16"/>
    </row>
    <row r="1791" spans="2:16" ht="15.75" customHeight="1">
      <c r="B1791" s="16"/>
      <c r="H1791" s="16"/>
      <c r="I1791" s="16"/>
      <c r="J1791" s="17"/>
      <c r="N1791" s="16"/>
      <c r="O1791" s="16"/>
      <c r="P1791" s="16"/>
    </row>
    <row r="1792" spans="2:16" ht="15.75" customHeight="1">
      <c r="B1792" s="16"/>
      <c r="H1792" s="16"/>
      <c r="I1792" s="16"/>
      <c r="J1792" s="17"/>
      <c r="N1792" s="16"/>
      <c r="O1792" s="16"/>
      <c r="P1792" s="16"/>
    </row>
    <row r="1793" spans="2:16" ht="15.75" customHeight="1">
      <c r="B1793" s="16"/>
      <c r="H1793" s="16"/>
      <c r="I1793" s="16"/>
      <c r="J1793" s="17"/>
      <c r="N1793" s="16"/>
      <c r="O1793" s="16"/>
      <c r="P1793" s="16"/>
    </row>
    <row r="1794" spans="2:16" ht="15.75" customHeight="1">
      <c r="B1794" s="16"/>
      <c r="H1794" s="16"/>
      <c r="I1794" s="16"/>
      <c r="J1794" s="17"/>
      <c r="N1794" s="16"/>
      <c r="O1794" s="16"/>
      <c r="P1794" s="16"/>
    </row>
    <row r="1795" spans="2:16" ht="15.75" customHeight="1">
      <c r="B1795" s="16"/>
      <c r="H1795" s="16"/>
      <c r="N1795" s="16"/>
      <c r="P1795" s="16"/>
    </row>
    <row r="1796" spans="2:16" ht="15.75" customHeight="1">
      <c r="B1796" s="16"/>
      <c r="H1796" s="16"/>
      <c r="N1796" s="16"/>
      <c r="P1796" s="16"/>
    </row>
    <row r="1797" spans="2:16" ht="15.75" customHeight="1">
      <c r="B1797" s="16"/>
      <c r="H1797" s="16"/>
      <c r="N1797" s="16"/>
      <c r="P1797" s="16"/>
    </row>
    <row r="1798" spans="2:16" ht="15.75" customHeight="1">
      <c r="B1798" s="16"/>
      <c r="H1798" s="16"/>
      <c r="N1798" s="16"/>
      <c r="P1798" s="16"/>
    </row>
    <row r="1799" spans="2:16" ht="15.75" customHeight="1">
      <c r="B1799" s="16"/>
      <c r="H1799" s="16"/>
      <c r="N1799" s="16"/>
      <c r="P1799" s="16"/>
    </row>
    <row r="1800" spans="2:16" ht="15.75" customHeight="1">
      <c r="B1800" s="16"/>
      <c r="H1800" s="16"/>
      <c r="P1800" s="16"/>
    </row>
    <row r="1801" spans="2:16" ht="15.75" customHeight="1">
      <c r="B1801" s="16"/>
      <c r="H1801" s="16"/>
      <c r="I1801" s="16"/>
      <c r="J1801" s="17"/>
      <c r="N1801" s="16"/>
      <c r="O1801" s="16"/>
      <c r="P1801" s="16"/>
    </row>
    <row r="1802" spans="2:16" ht="15.75" customHeight="1">
      <c r="B1802" s="16"/>
      <c r="H1802" s="16"/>
      <c r="I1802" s="16"/>
      <c r="J1802" s="17"/>
      <c r="N1802" s="16"/>
      <c r="O1802" s="16"/>
      <c r="P1802" s="16"/>
    </row>
    <row r="1803" spans="2:16" ht="15.75" customHeight="1">
      <c r="B1803" s="16"/>
      <c r="H1803" s="16"/>
      <c r="I1803" s="16"/>
      <c r="J1803" s="17"/>
      <c r="N1803" s="16"/>
      <c r="O1803" s="16"/>
      <c r="P1803" s="16"/>
    </row>
    <row r="1804" spans="2:16" ht="15.75" customHeight="1">
      <c r="B1804" s="16"/>
      <c r="H1804" s="16"/>
      <c r="I1804" s="16"/>
      <c r="J1804" s="17"/>
      <c r="N1804" s="16"/>
      <c r="O1804" s="16"/>
      <c r="P1804" s="16"/>
    </row>
    <row r="1805" spans="2:16" ht="15.75" customHeight="1">
      <c r="B1805" s="16"/>
      <c r="H1805" s="16"/>
      <c r="I1805" s="16"/>
      <c r="J1805" s="17"/>
      <c r="N1805" s="16"/>
      <c r="O1805" s="16"/>
      <c r="P1805" s="16"/>
    </row>
    <row r="1806" spans="2:16" ht="15.75" customHeight="1">
      <c r="B1806" s="16"/>
      <c r="H1806" s="16"/>
      <c r="I1806" s="16"/>
      <c r="J1806" s="17"/>
      <c r="N1806" s="16"/>
      <c r="O1806" s="16"/>
      <c r="P1806" s="16"/>
    </row>
    <row r="1807" spans="2:16" ht="15.75" customHeight="1">
      <c r="B1807" s="16"/>
      <c r="H1807" s="16"/>
      <c r="I1807" s="16"/>
      <c r="J1807" s="17"/>
      <c r="N1807" s="16"/>
      <c r="O1807" s="16"/>
      <c r="P1807" s="16"/>
    </row>
    <row r="1808" spans="2:16" ht="15.75" customHeight="1">
      <c r="B1808" s="16"/>
      <c r="H1808" s="16"/>
      <c r="I1808" s="16"/>
      <c r="J1808" s="17"/>
      <c r="N1808" s="16"/>
      <c r="O1808" s="16"/>
      <c r="P1808" s="16"/>
    </row>
    <row r="1809" spans="2:16" ht="15.75" customHeight="1">
      <c r="B1809" s="16"/>
      <c r="H1809" s="16"/>
      <c r="I1809" s="16"/>
      <c r="J1809" s="17"/>
      <c r="N1809" s="16"/>
      <c r="O1809" s="16"/>
      <c r="P1809" s="16"/>
    </row>
    <row r="1810" spans="2:16" ht="15.75" customHeight="1">
      <c r="B1810" s="16"/>
      <c r="H1810" s="16"/>
      <c r="I1810" s="16"/>
      <c r="J1810" s="17"/>
      <c r="N1810" s="16"/>
      <c r="O1810" s="16"/>
      <c r="P1810" s="16"/>
    </row>
    <row r="1811" spans="2:16" ht="15.75" customHeight="1">
      <c r="B1811" s="16"/>
      <c r="H1811" s="16"/>
      <c r="I1811" s="16"/>
      <c r="J1811" s="17"/>
      <c r="N1811" s="16"/>
      <c r="O1811" s="16"/>
      <c r="P1811" s="16"/>
    </row>
    <row r="1812" spans="2:16" ht="15.75" customHeight="1">
      <c r="B1812" s="16"/>
      <c r="H1812" s="16"/>
      <c r="I1812" s="16"/>
      <c r="J1812" s="17"/>
      <c r="N1812" s="16"/>
      <c r="O1812" s="16"/>
      <c r="P1812" s="16"/>
    </row>
    <row r="1813" spans="2:16" ht="15.75" customHeight="1">
      <c r="B1813" s="16"/>
      <c r="H1813" s="16"/>
      <c r="I1813" s="16"/>
      <c r="J1813" s="17"/>
      <c r="N1813" s="16"/>
      <c r="O1813" s="16"/>
      <c r="P1813" s="16"/>
    </row>
    <row r="1814" spans="2:16" ht="15.75" customHeight="1">
      <c r="B1814" s="16"/>
      <c r="H1814" s="16"/>
      <c r="I1814" s="16"/>
      <c r="J1814" s="17"/>
      <c r="N1814" s="16"/>
      <c r="O1814" s="16"/>
      <c r="P1814" s="16"/>
    </row>
    <row r="1815" spans="2:16" ht="15.75" customHeight="1">
      <c r="B1815" s="16"/>
      <c r="H1815" s="16"/>
      <c r="I1815" s="16"/>
      <c r="J1815" s="17"/>
      <c r="N1815" s="16"/>
      <c r="O1815" s="16"/>
      <c r="P1815" s="16"/>
    </row>
    <row r="1816" spans="2:16" ht="15.75" customHeight="1">
      <c r="B1816" s="16"/>
      <c r="H1816" s="16"/>
      <c r="I1816" s="16"/>
      <c r="J1816" s="17"/>
      <c r="N1816" s="16"/>
      <c r="O1816" s="16"/>
      <c r="P1816" s="16"/>
    </row>
    <row r="1817" spans="2:16" ht="15.75" customHeight="1">
      <c r="B1817" s="16"/>
      <c r="H1817" s="16"/>
      <c r="I1817" s="16"/>
      <c r="J1817" s="17"/>
      <c r="N1817" s="16"/>
      <c r="O1817" s="16"/>
      <c r="P1817" s="16"/>
    </row>
    <row r="1818" spans="2:16" ht="15.75" customHeight="1">
      <c r="B1818" s="16"/>
      <c r="H1818" s="16"/>
      <c r="I1818" s="16"/>
      <c r="J1818" s="17"/>
      <c r="N1818" s="16"/>
      <c r="O1818" s="16"/>
      <c r="P1818" s="16"/>
    </row>
    <row r="1819" spans="2:16" ht="15.75" customHeight="1">
      <c r="B1819" s="16"/>
      <c r="H1819" s="16"/>
      <c r="I1819" s="16"/>
      <c r="J1819" s="17"/>
      <c r="N1819" s="16"/>
      <c r="O1819" s="16"/>
      <c r="P1819" s="16"/>
    </row>
    <row r="1820" spans="2:16" ht="15.75" customHeight="1">
      <c r="B1820" s="16"/>
      <c r="H1820" s="16"/>
      <c r="I1820" s="16"/>
      <c r="J1820" s="17"/>
      <c r="N1820" s="16"/>
      <c r="O1820" s="16"/>
      <c r="P1820" s="16"/>
    </row>
    <row r="1821" spans="2:16" ht="15.75" customHeight="1">
      <c r="B1821" s="16"/>
      <c r="H1821" s="16"/>
      <c r="I1821" s="16"/>
      <c r="J1821" s="17"/>
      <c r="N1821" s="16"/>
      <c r="O1821" s="16"/>
      <c r="P1821" s="16"/>
    </row>
    <row r="1822" spans="2:16" ht="15.75" customHeight="1">
      <c r="B1822" s="16"/>
      <c r="H1822" s="16"/>
      <c r="I1822" s="16"/>
      <c r="J1822" s="17"/>
      <c r="N1822" s="16"/>
      <c r="O1822" s="16"/>
      <c r="P1822" s="16"/>
    </row>
    <row r="1823" spans="2:16" ht="15.75" customHeight="1">
      <c r="B1823" s="16"/>
      <c r="H1823" s="16"/>
      <c r="I1823" s="16"/>
      <c r="J1823" s="17"/>
      <c r="N1823" s="16"/>
      <c r="O1823" s="16"/>
      <c r="P1823" s="16"/>
    </row>
    <row r="1824" spans="2:16" ht="15.75" customHeight="1">
      <c r="B1824" s="16"/>
      <c r="H1824" s="16"/>
      <c r="I1824" s="16"/>
      <c r="J1824" s="17"/>
      <c r="N1824" s="16"/>
      <c r="O1824" s="16"/>
      <c r="P1824" s="16"/>
    </row>
    <row r="1825" spans="2:16" ht="15.75" customHeight="1">
      <c r="B1825" s="16"/>
      <c r="H1825" s="16"/>
      <c r="I1825" s="16"/>
      <c r="J1825" s="17"/>
      <c r="N1825" s="16"/>
      <c r="O1825" s="16"/>
      <c r="P1825" s="16"/>
    </row>
    <row r="1826" spans="2:16" ht="15.75" customHeight="1">
      <c r="B1826" s="16"/>
      <c r="H1826" s="16"/>
      <c r="I1826" s="16"/>
      <c r="J1826" s="17"/>
      <c r="N1826" s="16"/>
      <c r="O1826" s="16"/>
      <c r="P1826" s="16"/>
    </row>
    <row r="1827" spans="2:16" ht="15.75" customHeight="1">
      <c r="B1827" s="16"/>
      <c r="H1827" s="16"/>
      <c r="I1827" s="16"/>
      <c r="J1827" s="17"/>
      <c r="N1827" s="16"/>
      <c r="O1827" s="16"/>
      <c r="P1827" s="16"/>
    </row>
    <row r="1828" spans="2:16" ht="15.75" customHeight="1">
      <c r="B1828" s="16"/>
      <c r="H1828" s="16"/>
      <c r="I1828" s="16"/>
      <c r="J1828" s="17"/>
      <c r="N1828" s="16"/>
      <c r="O1828" s="16"/>
      <c r="P1828" s="16"/>
    </row>
    <row r="1829" spans="2:16" ht="15.75" customHeight="1">
      <c r="B1829" s="16"/>
      <c r="H1829" s="16"/>
      <c r="I1829" s="16"/>
      <c r="J1829" s="17"/>
      <c r="N1829" s="16"/>
      <c r="O1829" s="16"/>
      <c r="P1829" s="16"/>
    </row>
    <row r="1830" spans="2:16" ht="15.75" customHeight="1">
      <c r="B1830" s="16"/>
      <c r="H1830" s="16"/>
      <c r="I1830" s="16"/>
      <c r="J1830" s="17"/>
      <c r="N1830" s="16"/>
      <c r="O1830" s="16"/>
      <c r="P1830" s="16"/>
    </row>
    <row r="1831" spans="2:16" ht="15.75" customHeight="1">
      <c r="B1831" s="16"/>
      <c r="H1831" s="16"/>
      <c r="I1831" s="16"/>
      <c r="J1831" s="17"/>
      <c r="N1831" s="16"/>
      <c r="O1831" s="16"/>
      <c r="P1831" s="16"/>
    </row>
    <row r="1832" spans="2:16" ht="15.75" customHeight="1">
      <c r="B1832" s="16"/>
      <c r="H1832" s="16"/>
      <c r="I1832" s="16"/>
      <c r="J1832" s="17"/>
      <c r="N1832" s="16"/>
      <c r="O1832" s="16"/>
      <c r="P1832" s="16"/>
    </row>
    <row r="1833" spans="2:16" ht="15.75" customHeight="1">
      <c r="B1833" s="16"/>
      <c r="H1833" s="16"/>
      <c r="I1833" s="16"/>
      <c r="J1833" s="17"/>
      <c r="N1833" s="16"/>
      <c r="O1833" s="16"/>
      <c r="P1833" s="16"/>
    </row>
    <row r="1834" spans="2:16" ht="15.75" customHeight="1">
      <c r="B1834" s="16"/>
      <c r="H1834" s="16"/>
      <c r="I1834" s="16"/>
      <c r="J1834" s="17"/>
      <c r="N1834" s="16"/>
      <c r="O1834" s="16"/>
      <c r="P1834" s="16"/>
    </row>
    <row r="1835" spans="2:16" ht="15.75" customHeight="1">
      <c r="B1835" s="16"/>
      <c r="H1835" s="16"/>
      <c r="I1835" s="16"/>
      <c r="J1835" s="17"/>
      <c r="N1835" s="16"/>
      <c r="O1835" s="16"/>
      <c r="P1835" s="16"/>
    </row>
    <row r="1836" spans="2:16" ht="15.75" customHeight="1">
      <c r="B1836" s="16"/>
      <c r="H1836" s="16"/>
      <c r="I1836" s="16"/>
      <c r="J1836" s="17"/>
      <c r="N1836" s="16"/>
      <c r="O1836" s="16"/>
      <c r="P1836" s="16"/>
    </row>
    <row r="1837" spans="2:16" ht="15.75" customHeight="1">
      <c r="B1837" s="16"/>
      <c r="H1837" s="16"/>
      <c r="I1837" s="16"/>
      <c r="J1837" s="17"/>
      <c r="N1837" s="16"/>
      <c r="O1837" s="16"/>
      <c r="P1837" s="16"/>
    </row>
    <row r="1838" spans="2:16" ht="15.75" customHeight="1">
      <c r="B1838" s="16"/>
      <c r="H1838" s="16"/>
      <c r="I1838" s="16"/>
      <c r="J1838" s="17"/>
      <c r="N1838" s="16"/>
      <c r="O1838" s="16"/>
      <c r="P1838" s="16"/>
    </row>
    <row r="1839" spans="2:16" ht="15.75" customHeight="1">
      <c r="B1839" s="16"/>
      <c r="H1839" s="16"/>
      <c r="I1839" s="16"/>
      <c r="J1839" s="17"/>
      <c r="N1839" s="16"/>
      <c r="O1839" s="16"/>
      <c r="P1839" s="16"/>
    </row>
    <row r="1840" spans="2:16" ht="15.75" customHeight="1">
      <c r="B1840" s="16"/>
      <c r="H1840" s="16"/>
      <c r="I1840" s="16"/>
      <c r="J1840" s="17"/>
      <c r="N1840" s="16"/>
      <c r="O1840" s="16"/>
      <c r="P1840" s="16"/>
    </row>
    <row r="1841" spans="2:16" ht="15.75" customHeight="1">
      <c r="B1841" s="16"/>
      <c r="H1841" s="16"/>
      <c r="I1841" s="16"/>
      <c r="J1841" s="17"/>
      <c r="N1841" s="16"/>
      <c r="O1841" s="16"/>
      <c r="P1841" s="16"/>
    </row>
    <row r="1842" spans="2:16" ht="15.75" customHeight="1">
      <c r="B1842" s="16"/>
      <c r="H1842" s="16"/>
      <c r="I1842" s="16"/>
      <c r="J1842" s="17"/>
      <c r="N1842" s="16"/>
      <c r="O1842" s="16"/>
      <c r="P1842" s="16"/>
    </row>
    <row r="1843" spans="2:16" ht="15.75" customHeight="1">
      <c r="B1843" s="16"/>
      <c r="H1843" s="16"/>
      <c r="I1843" s="16"/>
      <c r="J1843" s="17"/>
      <c r="N1843" s="16"/>
      <c r="O1843" s="16"/>
      <c r="P1843" s="16"/>
    </row>
    <row r="1844" spans="2:16" ht="15.75" customHeight="1">
      <c r="B1844" s="16"/>
      <c r="H1844" s="16"/>
      <c r="I1844" s="16"/>
      <c r="J1844" s="17"/>
      <c r="N1844" s="16"/>
      <c r="O1844" s="16"/>
      <c r="P1844" s="16"/>
    </row>
    <row r="1845" spans="2:16" ht="15.75" customHeight="1">
      <c r="B1845" s="16"/>
      <c r="N1845" s="16"/>
      <c r="O1845" s="16"/>
      <c r="P1845" s="16"/>
    </row>
    <row r="1846" spans="2:16" ht="15.75" customHeight="1">
      <c r="B1846" s="16"/>
      <c r="N1846" s="16"/>
      <c r="O1846" s="16"/>
      <c r="P1846" s="16"/>
    </row>
    <row r="1847" spans="2:16" ht="15.75" customHeight="1">
      <c r="B1847" s="16"/>
      <c r="N1847" s="16"/>
      <c r="O1847" s="16"/>
      <c r="P1847" s="16"/>
    </row>
    <row r="1848" spans="2:16" ht="15.75" customHeight="1">
      <c r="B1848" s="16"/>
      <c r="N1848" s="16"/>
      <c r="O1848" s="16"/>
      <c r="P1848" s="16"/>
    </row>
    <row r="1849" spans="2:16" ht="15.75" customHeight="1">
      <c r="B1849" s="16"/>
      <c r="H1849" s="16"/>
      <c r="I1849" s="16"/>
      <c r="J1849" s="17"/>
      <c r="N1849" s="16"/>
      <c r="O1849" s="16"/>
      <c r="P1849" s="16"/>
    </row>
    <row r="1850" spans="2:16" ht="15.75" customHeight="1">
      <c r="B1850" s="16"/>
      <c r="H1850" s="16"/>
      <c r="I1850" s="16"/>
      <c r="J1850" s="17"/>
      <c r="N1850" s="16"/>
      <c r="O1850" s="16"/>
      <c r="P1850" s="16"/>
    </row>
    <row r="1851" spans="2:16" ht="15.75" customHeight="1">
      <c r="B1851" s="16"/>
      <c r="H1851" s="16"/>
      <c r="I1851" s="16"/>
      <c r="J1851" s="17"/>
      <c r="N1851" s="16"/>
      <c r="O1851" s="16"/>
      <c r="P1851" s="16"/>
    </row>
    <row r="1852" spans="2:16" ht="15.75" customHeight="1">
      <c r="B1852" s="16"/>
      <c r="H1852" s="16"/>
      <c r="I1852" s="16"/>
      <c r="J1852" s="17"/>
      <c r="N1852" s="16"/>
      <c r="O1852" s="16"/>
      <c r="P1852" s="16"/>
    </row>
    <row r="1853" spans="2:16" ht="15.75" customHeight="1">
      <c r="B1853" s="16"/>
      <c r="H1853" s="16"/>
      <c r="I1853" s="16"/>
      <c r="J1853" s="17"/>
      <c r="N1853" s="16"/>
      <c r="O1853" s="16"/>
      <c r="P1853" s="16"/>
    </row>
    <row r="1854" spans="2:16" ht="15.75" customHeight="1">
      <c r="B1854" s="16"/>
      <c r="H1854" s="16"/>
      <c r="I1854" s="16"/>
      <c r="J1854" s="17"/>
      <c r="N1854" s="16"/>
      <c r="O1854" s="16"/>
      <c r="P1854" s="16"/>
    </row>
    <row r="1855" spans="2:16" ht="15.75" customHeight="1">
      <c r="B1855" s="16"/>
      <c r="H1855" s="16"/>
      <c r="I1855" s="16"/>
      <c r="J1855" s="17"/>
      <c r="N1855" s="16"/>
      <c r="O1855" s="16"/>
      <c r="P1855" s="16"/>
    </row>
    <row r="1856" spans="2:16" ht="15.75" customHeight="1">
      <c r="B1856" s="16"/>
      <c r="H1856" s="16"/>
      <c r="I1856" s="16"/>
      <c r="J1856" s="17"/>
      <c r="N1856" s="16"/>
      <c r="O1856" s="16"/>
      <c r="P1856" s="16"/>
    </row>
    <row r="1857" spans="2:16" ht="15.75" customHeight="1">
      <c r="B1857" s="16"/>
      <c r="H1857" s="16"/>
      <c r="I1857" s="16"/>
      <c r="J1857" s="17"/>
      <c r="N1857" s="16"/>
      <c r="O1857" s="16"/>
      <c r="P1857" s="16"/>
    </row>
    <row r="1858" spans="2:16" ht="15.75" customHeight="1">
      <c r="B1858" s="16"/>
      <c r="H1858" s="16"/>
      <c r="I1858" s="16"/>
      <c r="J1858" s="17"/>
      <c r="N1858" s="16"/>
      <c r="O1858" s="16"/>
      <c r="P1858" s="16"/>
    </row>
    <row r="1859" spans="2:16" ht="15.75" customHeight="1">
      <c r="B1859" s="16"/>
      <c r="H1859" s="16"/>
      <c r="I1859" s="16"/>
      <c r="J1859" s="17"/>
      <c r="N1859" s="16"/>
      <c r="O1859" s="16"/>
      <c r="P1859" s="16"/>
    </row>
    <row r="1860" spans="2:16" ht="15.75" customHeight="1">
      <c r="B1860" s="16"/>
      <c r="H1860" s="16"/>
      <c r="I1860" s="16"/>
      <c r="J1860" s="17"/>
      <c r="N1860" s="16"/>
      <c r="O1860" s="16"/>
      <c r="P1860" s="16"/>
    </row>
    <row r="1861" spans="2:16" ht="15.75" customHeight="1">
      <c r="B1861" s="16"/>
      <c r="H1861" s="16"/>
      <c r="I1861" s="16"/>
      <c r="J1861" s="17"/>
      <c r="N1861" s="16"/>
      <c r="O1861" s="16"/>
      <c r="P1861" s="16"/>
    </row>
    <row r="1862" spans="2:16" ht="15.75" customHeight="1">
      <c r="B1862" s="16"/>
      <c r="N1862" s="16"/>
      <c r="O1862" s="16"/>
      <c r="P1862" s="16"/>
    </row>
    <row r="1863" spans="2:16" ht="15.75" customHeight="1">
      <c r="B1863" s="16"/>
      <c r="N1863" s="16"/>
      <c r="P1863" s="16"/>
    </row>
    <row r="1864" spans="2:16" ht="15.75" customHeight="1">
      <c r="B1864" s="16"/>
      <c r="N1864" s="16"/>
      <c r="P1864" s="16"/>
    </row>
    <row r="1865" spans="2:16" ht="15.75" customHeight="1">
      <c r="B1865" s="16"/>
      <c r="N1865" s="16"/>
      <c r="P1865" s="16"/>
    </row>
    <row r="1866" spans="2:16" ht="15.75" customHeight="1">
      <c r="B1866" s="16"/>
      <c r="N1866" s="16"/>
      <c r="O1866" s="16"/>
      <c r="P1866" s="16"/>
    </row>
    <row r="1867" spans="2:16" ht="15.75" customHeight="1">
      <c r="B1867" s="16"/>
      <c r="N1867" s="16"/>
      <c r="O1867" s="16"/>
      <c r="P1867" s="16"/>
    </row>
    <row r="1868" spans="2:16" ht="15.75" customHeight="1">
      <c r="B1868" s="16"/>
      <c r="N1868" s="16"/>
      <c r="O1868" s="16"/>
      <c r="P1868" s="16"/>
    </row>
    <row r="1869" spans="2:16" ht="15.75" customHeight="1">
      <c r="B1869" s="16"/>
      <c r="N1869" s="16"/>
      <c r="O1869" s="16"/>
      <c r="P1869" s="16"/>
    </row>
    <row r="1870" spans="2:16" ht="15.75" customHeight="1">
      <c r="B1870" s="16"/>
      <c r="N1870" s="16"/>
      <c r="O1870" s="16"/>
      <c r="P1870" s="16"/>
    </row>
    <row r="1871" spans="2:16" ht="15.75" customHeight="1">
      <c r="B1871" s="16"/>
      <c r="N1871" s="16"/>
      <c r="O1871" s="16"/>
      <c r="P1871" s="16"/>
    </row>
    <row r="1872" spans="2:16" ht="15.75" customHeight="1">
      <c r="B1872" s="16"/>
      <c r="H1872" s="16"/>
      <c r="I1872" s="16"/>
      <c r="J1872" s="17"/>
      <c r="N1872" s="16"/>
      <c r="O1872" s="16"/>
      <c r="P1872" s="16"/>
    </row>
    <row r="1873" spans="2:16" ht="15.75" customHeight="1">
      <c r="B1873" s="16"/>
      <c r="H1873" s="16"/>
      <c r="I1873" s="16"/>
      <c r="J1873" s="17"/>
      <c r="N1873" s="16"/>
      <c r="O1873" s="16"/>
      <c r="P1873" s="16"/>
    </row>
    <row r="1874" spans="2:16" ht="15.75" customHeight="1">
      <c r="B1874" s="16"/>
      <c r="H1874" s="16"/>
      <c r="I1874" s="16"/>
      <c r="J1874" s="17"/>
      <c r="N1874" s="16"/>
      <c r="O1874" s="16"/>
      <c r="P1874" s="16"/>
    </row>
    <row r="1875" spans="2:16" ht="15.75" customHeight="1">
      <c r="B1875" s="16"/>
      <c r="H1875" s="16"/>
      <c r="I1875" s="16"/>
      <c r="J1875" s="17"/>
      <c r="N1875" s="16"/>
      <c r="O1875" s="16"/>
      <c r="P1875" s="16"/>
    </row>
    <row r="1876" spans="2:16" ht="15.75" customHeight="1">
      <c r="B1876" s="16"/>
      <c r="H1876" s="16"/>
      <c r="I1876" s="16"/>
      <c r="J1876" s="17"/>
      <c r="N1876" s="16"/>
      <c r="O1876" s="16"/>
      <c r="P1876" s="16"/>
    </row>
    <row r="1877" spans="2:16" ht="15.75" customHeight="1">
      <c r="B1877" s="16"/>
      <c r="H1877" s="16"/>
      <c r="I1877" s="16"/>
      <c r="J1877" s="17"/>
      <c r="N1877" s="16"/>
      <c r="O1877" s="16"/>
      <c r="P1877" s="16"/>
    </row>
    <row r="1878" spans="2:16" ht="15.75" customHeight="1">
      <c r="B1878" s="16"/>
      <c r="H1878" s="16"/>
      <c r="I1878" s="16"/>
      <c r="J1878" s="17"/>
      <c r="N1878" s="16"/>
      <c r="O1878" s="16"/>
      <c r="P1878" s="16"/>
    </row>
    <row r="1879" spans="2:16" ht="15.75" customHeight="1">
      <c r="B1879" s="16"/>
      <c r="H1879" s="16"/>
      <c r="I1879" s="16"/>
      <c r="J1879" s="17"/>
      <c r="N1879" s="16"/>
      <c r="O1879" s="16"/>
      <c r="P1879" s="16"/>
    </row>
    <row r="1880" spans="2:16" ht="15.75" customHeight="1">
      <c r="B1880" s="16"/>
      <c r="H1880" s="16"/>
      <c r="I1880" s="16"/>
      <c r="J1880" s="17"/>
      <c r="N1880" s="16"/>
      <c r="O1880" s="16"/>
      <c r="P1880" s="16"/>
    </row>
    <row r="1881" spans="2:16" ht="15.75" customHeight="1">
      <c r="B1881" s="16"/>
      <c r="H1881" s="16"/>
      <c r="I1881" s="16"/>
      <c r="J1881" s="17"/>
      <c r="N1881" s="16"/>
      <c r="O1881" s="16"/>
      <c r="P1881" s="16"/>
    </row>
    <row r="1882" spans="2:16" ht="15.75" customHeight="1">
      <c r="B1882" s="16"/>
      <c r="H1882" s="16"/>
      <c r="I1882" s="16"/>
      <c r="J1882" s="17"/>
      <c r="N1882" s="16"/>
      <c r="O1882" s="16"/>
      <c r="P1882" s="16"/>
    </row>
    <row r="1883" spans="2:16" ht="15.75" customHeight="1">
      <c r="B1883" s="16"/>
      <c r="H1883" s="16"/>
      <c r="I1883" s="16"/>
      <c r="J1883" s="17"/>
      <c r="N1883" s="16"/>
      <c r="O1883" s="16"/>
      <c r="P1883" s="16"/>
    </row>
    <row r="1884" spans="2:16" ht="15.75" customHeight="1">
      <c r="B1884" s="16"/>
      <c r="H1884" s="16"/>
      <c r="I1884" s="16"/>
      <c r="J1884" s="17"/>
      <c r="N1884" s="16"/>
      <c r="O1884" s="16"/>
      <c r="P1884" s="16"/>
    </row>
    <row r="1885" spans="2:16" ht="15.75" customHeight="1">
      <c r="B1885" s="16"/>
      <c r="H1885" s="16"/>
      <c r="I1885" s="16"/>
      <c r="J1885" s="17"/>
      <c r="N1885" s="16"/>
      <c r="O1885" s="16"/>
      <c r="P1885" s="16"/>
    </row>
    <row r="1886" spans="2:16" ht="15.75" customHeight="1">
      <c r="B1886" s="16"/>
      <c r="H1886" s="16"/>
      <c r="I1886" s="16"/>
      <c r="J1886" s="17"/>
      <c r="N1886" s="16"/>
      <c r="O1886" s="16"/>
      <c r="P1886" s="16"/>
    </row>
    <row r="1887" spans="2:16" ht="15.75" customHeight="1">
      <c r="B1887" s="16"/>
      <c r="H1887" s="16"/>
      <c r="I1887" s="16"/>
      <c r="J1887" s="17"/>
      <c r="N1887" s="16"/>
      <c r="O1887" s="16"/>
      <c r="P1887" s="16"/>
    </row>
    <row r="1888" spans="2:16" ht="15.75" customHeight="1">
      <c r="B1888" s="16"/>
      <c r="H1888" s="16"/>
      <c r="I1888" s="16"/>
      <c r="J1888" s="17"/>
      <c r="N1888" s="16"/>
      <c r="O1888" s="16"/>
      <c r="P1888" s="16"/>
    </row>
    <row r="1889" spans="2:16" ht="15.75" customHeight="1">
      <c r="B1889" s="16"/>
      <c r="H1889" s="16"/>
      <c r="I1889" s="16"/>
      <c r="J1889" s="17"/>
      <c r="N1889" s="16"/>
      <c r="O1889" s="16"/>
      <c r="P1889" s="16"/>
    </row>
    <row r="1890" spans="2:16" ht="15.75" customHeight="1">
      <c r="B1890" s="16"/>
      <c r="H1890" s="16"/>
      <c r="I1890" s="16"/>
      <c r="J1890" s="17"/>
      <c r="N1890" s="16"/>
      <c r="O1890" s="16"/>
      <c r="P1890" s="16"/>
    </row>
    <row r="1891" spans="2:16" ht="15.75" customHeight="1">
      <c r="B1891" s="16"/>
      <c r="H1891" s="16"/>
      <c r="I1891" s="16"/>
      <c r="J1891" s="17"/>
      <c r="N1891" s="16"/>
      <c r="O1891" s="16"/>
      <c r="P1891" s="16"/>
    </row>
    <row r="1892" spans="2:16" ht="15.75" customHeight="1">
      <c r="B1892" s="16"/>
      <c r="N1892" s="16"/>
    </row>
    <row r="1893" spans="2:16" ht="15.75" customHeight="1">
      <c r="B1893" s="16"/>
      <c r="H1893" s="16"/>
      <c r="I1893" s="16"/>
      <c r="J1893" s="17"/>
      <c r="N1893" s="16"/>
      <c r="O1893" s="16"/>
      <c r="P1893" s="16"/>
    </row>
    <row r="1894" spans="2:16" ht="15.75" customHeight="1">
      <c r="B1894" s="16"/>
      <c r="H1894" s="16"/>
      <c r="I1894" s="16"/>
      <c r="J1894" s="17"/>
      <c r="N1894" s="16"/>
      <c r="O1894" s="16"/>
      <c r="P1894" s="16"/>
    </row>
    <row r="1895" spans="2:16" ht="15.75" customHeight="1">
      <c r="B1895" s="16"/>
      <c r="H1895" s="16"/>
      <c r="I1895" s="16"/>
      <c r="J1895" s="17"/>
      <c r="N1895" s="16"/>
      <c r="O1895" s="16"/>
      <c r="P1895" s="16"/>
    </row>
    <row r="1896" spans="2:16" ht="15.75" customHeight="1">
      <c r="B1896" s="16"/>
      <c r="H1896" s="16"/>
      <c r="I1896" s="16"/>
      <c r="J1896" s="17"/>
      <c r="N1896" s="16"/>
      <c r="O1896" s="16"/>
      <c r="P1896" s="16"/>
    </row>
    <row r="1897" spans="2:16" ht="15.75" customHeight="1">
      <c r="B1897" s="16"/>
      <c r="H1897" s="16"/>
      <c r="I1897" s="16"/>
      <c r="J1897" s="17"/>
      <c r="N1897" s="16"/>
      <c r="O1897" s="16"/>
      <c r="P1897" s="16"/>
    </row>
    <row r="1898" spans="2:16" ht="15.75" customHeight="1">
      <c r="B1898" s="16"/>
      <c r="H1898" s="16"/>
      <c r="I1898" s="16"/>
      <c r="J1898" s="17"/>
      <c r="N1898" s="16"/>
      <c r="O1898" s="16"/>
      <c r="P1898" s="16"/>
    </row>
    <row r="1899" spans="2:16" ht="15.75" customHeight="1">
      <c r="B1899" s="16"/>
      <c r="H1899" s="16"/>
      <c r="I1899" s="16"/>
      <c r="J1899" s="17"/>
      <c r="N1899" s="16"/>
      <c r="O1899" s="16"/>
      <c r="P1899" s="16"/>
    </row>
    <row r="1900" spans="2:16" ht="15.75" customHeight="1">
      <c r="B1900" s="16"/>
      <c r="H1900" s="16"/>
      <c r="I1900" s="16"/>
      <c r="J1900" s="17"/>
      <c r="N1900" s="16"/>
      <c r="O1900" s="16"/>
      <c r="P1900" s="16"/>
    </row>
    <row r="1901" spans="2:16" ht="15.75" customHeight="1">
      <c r="B1901" s="16"/>
      <c r="H1901" s="16"/>
      <c r="I1901" s="16"/>
      <c r="J1901" s="17"/>
      <c r="N1901" s="16"/>
      <c r="O1901" s="16"/>
      <c r="P1901" s="16"/>
    </row>
    <row r="1902" spans="2:16" ht="15.75" customHeight="1">
      <c r="B1902" s="16"/>
      <c r="H1902" s="16"/>
      <c r="I1902" s="16"/>
      <c r="J1902" s="17"/>
      <c r="N1902" s="16"/>
      <c r="O1902" s="16"/>
      <c r="P1902" s="16"/>
    </row>
    <row r="1903" spans="2:16" ht="15.75" customHeight="1">
      <c r="B1903" s="16"/>
      <c r="H1903" s="16"/>
      <c r="I1903" s="16"/>
      <c r="J1903" s="17"/>
      <c r="N1903" s="16"/>
      <c r="O1903" s="16"/>
      <c r="P1903" s="16"/>
    </row>
    <row r="1904" spans="2:16" ht="15.75" customHeight="1">
      <c r="B1904" s="16"/>
      <c r="H1904" s="16"/>
      <c r="I1904" s="16"/>
      <c r="J1904" s="17"/>
      <c r="N1904" s="16"/>
      <c r="O1904" s="16"/>
      <c r="P1904" s="16"/>
    </row>
    <row r="1905" spans="2:16" ht="15.75" customHeight="1">
      <c r="B1905" s="16"/>
      <c r="N1905" s="16"/>
      <c r="O1905" s="16"/>
      <c r="P1905" s="16"/>
    </row>
    <row r="1906" spans="2:16" ht="15.75" customHeight="1">
      <c r="B1906" s="16"/>
      <c r="H1906" s="16"/>
      <c r="I1906" s="16"/>
      <c r="J1906" s="17"/>
      <c r="N1906" s="16"/>
      <c r="O1906" s="16"/>
      <c r="P1906" s="16"/>
    </row>
    <row r="1907" spans="2:16" ht="15.75" customHeight="1">
      <c r="B1907" s="16"/>
      <c r="H1907" s="16"/>
      <c r="I1907" s="16"/>
      <c r="J1907" s="17"/>
      <c r="N1907" s="16"/>
      <c r="O1907" s="16"/>
      <c r="P1907" s="16"/>
    </row>
    <row r="1908" spans="2:16" ht="15.75" customHeight="1">
      <c r="B1908" s="16"/>
      <c r="H1908" s="16"/>
      <c r="I1908" s="16"/>
      <c r="J1908" s="17"/>
      <c r="N1908" s="16"/>
      <c r="O1908" s="16"/>
      <c r="P1908" s="16"/>
    </row>
    <row r="1909" spans="2:16" ht="15.75" customHeight="1">
      <c r="B1909" s="16"/>
      <c r="H1909" s="16"/>
      <c r="I1909" s="16"/>
      <c r="J1909" s="17"/>
      <c r="N1909" s="16"/>
      <c r="O1909" s="16"/>
      <c r="P1909" s="16"/>
    </row>
    <row r="1910" spans="2:16" ht="15.75" customHeight="1">
      <c r="B1910" s="16"/>
      <c r="H1910" s="16"/>
      <c r="I1910" s="16"/>
      <c r="J1910" s="17"/>
      <c r="N1910" s="16"/>
      <c r="O1910" s="16"/>
      <c r="P1910" s="16"/>
    </row>
    <row r="1911" spans="2:16" ht="15.75" customHeight="1">
      <c r="B1911" s="16"/>
      <c r="H1911" s="16"/>
      <c r="I1911" s="16"/>
      <c r="J1911" s="17"/>
      <c r="N1911" s="16"/>
      <c r="O1911" s="16"/>
      <c r="P1911" s="16"/>
    </row>
    <row r="1912" spans="2:16" ht="15.75" customHeight="1">
      <c r="B1912" s="16"/>
      <c r="H1912" s="16"/>
      <c r="I1912" s="16"/>
      <c r="J1912" s="17"/>
      <c r="N1912" s="16"/>
      <c r="O1912" s="16"/>
      <c r="P1912" s="16"/>
    </row>
    <row r="1913" spans="2:16" ht="15.75" customHeight="1">
      <c r="B1913" s="16"/>
      <c r="H1913" s="16"/>
      <c r="I1913" s="16"/>
      <c r="J1913" s="17"/>
      <c r="N1913" s="16"/>
      <c r="O1913" s="16"/>
      <c r="P1913" s="16"/>
    </row>
    <row r="1914" spans="2:16" ht="15.75" customHeight="1">
      <c r="B1914" s="16"/>
      <c r="H1914" s="16"/>
      <c r="I1914" s="16"/>
      <c r="J1914" s="17"/>
      <c r="N1914" s="16"/>
      <c r="O1914" s="16"/>
      <c r="P1914" s="16"/>
    </row>
    <row r="1915" spans="2:16" ht="15.75" customHeight="1">
      <c r="B1915" s="16"/>
      <c r="H1915" s="16"/>
      <c r="I1915" s="16"/>
      <c r="J1915" s="17"/>
      <c r="N1915" s="16"/>
      <c r="O1915" s="16"/>
      <c r="P1915" s="16"/>
    </row>
    <row r="1916" spans="2:16" ht="15.75" customHeight="1">
      <c r="B1916" s="16"/>
      <c r="H1916" s="16"/>
      <c r="I1916" s="16"/>
      <c r="J1916" s="17"/>
      <c r="N1916" s="16"/>
      <c r="O1916" s="16"/>
      <c r="P1916" s="16"/>
    </row>
    <row r="1917" spans="2:16" ht="15.75" customHeight="1">
      <c r="B1917" s="16"/>
      <c r="H1917" s="16"/>
      <c r="I1917" s="16"/>
      <c r="J1917" s="17"/>
      <c r="N1917" s="16"/>
      <c r="O1917" s="16"/>
      <c r="P1917" s="16"/>
    </row>
    <row r="1918" spans="2:16" ht="15.75" customHeight="1">
      <c r="B1918" s="16"/>
      <c r="H1918" s="16"/>
      <c r="I1918" s="16"/>
      <c r="J1918" s="17"/>
      <c r="N1918" s="16"/>
      <c r="O1918" s="16"/>
      <c r="P1918" s="16"/>
    </row>
    <row r="1919" spans="2:16" ht="15.75" customHeight="1">
      <c r="B1919" s="16"/>
      <c r="H1919" s="16"/>
      <c r="I1919" s="16"/>
      <c r="J1919" s="17"/>
      <c r="N1919" s="16"/>
      <c r="O1919" s="16"/>
      <c r="P1919" s="16"/>
    </row>
    <row r="1921" spans="2:16" ht="15.75" customHeight="1">
      <c r="B1921" s="16"/>
      <c r="H1921" s="16"/>
      <c r="I1921" s="16"/>
      <c r="J1921" s="17"/>
      <c r="N1921" s="16"/>
      <c r="O1921" s="16"/>
      <c r="P1921" s="16"/>
    </row>
    <row r="1922" spans="2:16" ht="15.75" customHeight="1">
      <c r="B1922" s="16"/>
      <c r="H1922" s="16"/>
      <c r="I1922" s="16"/>
      <c r="J1922" s="17"/>
      <c r="N1922" s="16"/>
      <c r="O1922" s="16"/>
      <c r="P1922" s="16"/>
    </row>
    <row r="1923" spans="2:16" ht="15.75" customHeight="1">
      <c r="B1923" s="16"/>
      <c r="H1923" s="16"/>
      <c r="I1923" s="16"/>
      <c r="J1923" s="17"/>
      <c r="N1923" s="16"/>
      <c r="O1923" s="16"/>
      <c r="P1923" s="16"/>
    </row>
    <row r="1924" spans="2:16" ht="15.75" customHeight="1">
      <c r="B1924" s="16"/>
      <c r="H1924" s="16"/>
      <c r="I1924" s="16"/>
      <c r="J1924" s="17"/>
      <c r="N1924" s="16"/>
      <c r="O1924" s="16"/>
      <c r="P1924" s="16"/>
    </row>
    <row r="1925" spans="2:16" ht="15.75" customHeight="1">
      <c r="B1925" s="16"/>
      <c r="H1925" s="16"/>
      <c r="I1925" s="16"/>
      <c r="J1925" s="17"/>
      <c r="N1925" s="16"/>
      <c r="O1925" s="16"/>
      <c r="P1925" s="16"/>
    </row>
    <row r="1926" spans="2:16" ht="15.75" customHeight="1">
      <c r="B1926" s="16"/>
      <c r="H1926" s="16"/>
      <c r="I1926" s="16"/>
      <c r="J1926" s="17"/>
      <c r="N1926" s="16"/>
      <c r="O1926" s="16"/>
      <c r="P1926" s="16"/>
    </row>
    <row r="1927" spans="2:16" ht="15.75" customHeight="1">
      <c r="B1927" s="16"/>
      <c r="H1927" s="16"/>
      <c r="I1927" s="16"/>
      <c r="J1927" s="17"/>
      <c r="N1927" s="16"/>
      <c r="O1927" s="16"/>
      <c r="P1927" s="16"/>
    </row>
    <row r="1928" spans="2:16" ht="15.75" customHeight="1">
      <c r="B1928" s="16"/>
      <c r="H1928" s="16"/>
      <c r="I1928" s="16"/>
      <c r="J1928" s="17"/>
      <c r="N1928" s="16"/>
      <c r="O1928" s="16"/>
      <c r="P1928" s="16"/>
    </row>
    <row r="1929" spans="2:16" ht="15.75" customHeight="1">
      <c r="B1929" s="16"/>
      <c r="H1929" s="16"/>
      <c r="I1929" s="16"/>
      <c r="J1929" s="17"/>
      <c r="N1929" s="16"/>
      <c r="O1929" s="16"/>
      <c r="P1929" s="16"/>
    </row>
    <row r="1930" spans="2:16" ht="15.75" customHeight="1">
      <c r="B1930" s="16"/>
      <c r="H1930" s="16"/>
      <c r="I1930" s="16"/>
      <c r="J1930" s="17"/>
      <c r="N1930" s="16"/>
      <c r="O1930" s="16"/>
      <c r="P1930" s="16"/>
    </row>
    <row r="1931" spans="2:16" ht="15.75" customHeight="1">
      <c r="B1931" s="16"/>
      <c r="H1931" s="16"/>
      <c r="I1931" s="16"/>
      <c r="J1931" s="17"/>
      <c r="N1931" s="16"/>
      <c r="O1931" s="16"/>
      <c r="P1931" s="16"/>
    </row>
    <row r="1932" spans="2:16" ht="15.75" customHeight="1">
      <c r="B1932" s="16"/>
      <c r="H1932" s="16"/>
      <c r="I1932" s="16"/>
      <c r="J1932" s="17"/>
      <c r="N1932" s="16"/>
      <c r="O1932" s="16"/>
      <c r="P1932" s="16"/>
    </row>
    <row r="1933" spans="2:16" ht="15.75" customHeight="1">
      <c r="B1933" s="16"/>
      <c r="H1933" s="16"/>
      <c r="I1933" s="16"/>
      <c r="J1933" s="17"/>
      <c r="N1933" s="16"/>
      <c r="O1933" s="16"/>
      <c r="P1933" s="16"/>
    </row>
    <row r="1934" spans="2:16" ht="15.75" customHeight="1">
      <c r="B1934" s="16"/>
      <c r="H1934" s="16"/>
      <c r="I1934" s="16"/>
      <c r="J1934" s="17"/>
      <c r="N1934" s="16"/>
      <c r="O1934" s="16"/>
      <c r="P1934" s="16"/>
    </row>
    <row r="1935" spans="2:16" ht="15.75" customHeight="1">
      <c r="B1935" s="16"/>
      <c r="H1935" s="16"/>
      <c r="I1935" s="16"/>
      <c r="J1935" s="17"/>
      <c r="N1935" s="16"/>
      <c r="O1935" s="16"/>
      <c r="P1935" s="16"/>
    </row>
    <row r="1936" spans="2:16" ht="15.75" customHeight="1">
      <c r="B1936" s="16"/>
      <c r="H1936" s="16"/>
      <c r="I1936" s="16"/>
      <c r="J1936" s="17"/>
      <c r="N1936" s="16"/>
      <c r="O1936" s="16"/>
      <c r="P1936" s="16"/>
    </row>
    <row r="1937" spans="2:16" ht="15.75" customHeight="1">
      <c r="B1937" s="16"/>
      <c r="H1937" s="16"/>
      <c r="I1937" s="16"/>
      <c r="J1937" s="17"/>
      <c r="N1937" s="16"/>
      <c r="O1937" s="16"/>
      <c r="P1937" s="16"/>
    </row>
    <row r="1938" spans="2:16" ht="15.75" customHeight="1">
      <c r="B1938" s="16"/>
      <c r="H1938" s="16"/>
      <c r="I1938" s="16"/>
      <c r="J1938" s="17"/>
      <c r="N1938" s="16"/>
      <c r="O1938" s="16"/>
      <c r="P1938" s="16"/>
    </row>
    <row r="1939" spans="2:16" ht="15.75" customHeight="1">
      <c r="B1939" s="16"/>
      <c r="H1939" s="16"/>
      <c r="I1939" s="16"/>
      <c r="J1939" s="17"/>
      <c r="N1939" s="16"/>
      <c r="O1939" s="16"/>
      <c r="P1939" s="16"/>
    </row>
    <row r="1940" spans="2:16" ht="15.75" customHeight="1">
      <c r="B1940" s="16"/>
      <c r="H1940" s="16"/>
      <c r="I1940" s="16"/>
      <c r="J1940" s="17"/>
      <c r="N1940" s="16"/>
      <c r="O1940" s="16"/>
      <c r="P1940" s="16"/>
    </row>
    <row r="1941" spans="2:16" ht="15.75" customHeight="1">
      <c r="B1941" s="16"/>
      <c r="H1941" s="16"/>
      <c r="I1941" s="16"/>
      <c r="J1941" s="17"/>
      <c r="N1941" s="16"/>
      <c r="O1941" s="16"/>
      <c r="P1941" s="16"/>
    </row>
    <row r="1942" spans="2:16" ht="15.75" customHeight="1">
      <c r="B1942" s="16"/>
      <c r="H1942" s="16"/>
      <c r="I1942" s="16"/>
      <c r="J1942" s="17"/>
      <c r="N1942" s="16"/>
      <c r="O1942" s="16"/>
      <c r="P1942" s="16"/>
    </row>
    <row r="1943" spans="2:16" ht="15.75" customHeight="1">
      <c r="B1943" s="16"/>
      <c r="H1943" s="16"/>
      <c r="I1943" s="16"/>
      <c r="J1943" s="17"/>
      <c r="N1943" s="16"/>
      <c r="O1943" s="16"/>
      <c r="P1943" s="16"/>
    </row>
    <row r="1944" spans="2:16" ht="15.75" customHeight="1">
      <c r="B1944" s="16"/>
      <c r="H1944" s="16"/>
      <c r="I1944" s="16"/>
      <c r="J1944" s="17"/>
      <c r="N1944" s="16"/>
      <c r="O1944" s="16"/>
      <c r="P1944" s="16"/>
    </row>
    <row r="1945" spans="2:16" ht="15.75" customHeight="1">
      <c r="B1945" s="16"/>
      <c r="H1945" s="16"/>
      <c r="I1945" s="16"/>
      <c r="J1945" s="17"/>
      <c r="N1945" s="16"/>
      <c r="O1945" s="16"/>
      <c r="P1945" s="16"/>
    </row>
    <row r="1946" spans="2:16" ht="15.75" customHeight="1">
      <c r="B1946" s="16"/>
      <c r="H1946" s="16"/>
      <c r="I1946" s="16"/>
      <c r="J1946" s="17"/>
      <c r="N1946" s="16"/>
      <c r="O1946" s="16"/>
      <c r="P1946" s="16"/>
    </row>
    <row r="1947" spans="2:16" ht="15.75" customHeight="1">
      <c r="B1947" s="16"/>
      <c r="H1947" s="16"/>
      <c r="I1947" s="16"/>
      <c r="J1947" s="17"/>
      <c r="N1947" s="16"/>
      <c r="O1947" s="16"/>
      <c r="P1947" s="16"/>
    </row>
    <row r="1948" spans="2:16" ht="15.75" customHeight="1">
      <c r="B1948" s="16"/>
      <c r="H1948" s="16"/>
      <c r="I1948" s="16"/>
      <c r="J1948" s="17"/>
      <c r="N1948" s="16"/>
      <c r="O1948" s="16"/>
      <c r="P1948" s="16"/>
    </row>
    <row r="1949" spans="2:16" ht="15.75" customHeight="1">
      <c r="B1949" s="16"/>
      <c r="H1949" s="16"/>
      <c r="I1949" s="16"/>
      <c r="J1949" s="17"/>
      <c r="N1949" s="16"/>
      <c r="O1949" s="16"/>
      <c r="P1949" s="16"/>
    </row>
    <row r="1950" spans="2:16" ht="15.75" customHeight="1">
      <c r="B1950" s="16"/>
      <c r="H1950" s="16"/>
      <c r="I1950" s="16"/>
      <c r="J1950" s="17"/>
      <c r="N1950" s="16"/>
      <c r="O1950" s="16"/>
      <c r="P1950" s="16"/>
    </row>
    <row r="1951" spans="2:16" ht="15.75" customHeight="1">
      <c r="B1951" s="16"/>
      <c r="H1951" s="16"/>
      <c r="I1951" s="16"/>
      <c r="J1951" s="17"/>
      <c r="N1951" s="16"/>
      <c r="O1951" s="16"/>
      <c r="P1951" s="16"/>
    </row>
    <row r="1952" spans="2:16" ht="15.75" customHeight="1">
      <c r="B1952" s="16"/>
      <c r="H1952" s="16"/>
      <c r="I1952" s="16"/>
      <c r="J1952" s="17"/>
      <c r="N1952" s="16"/>
      <c r="O1952" s="16"/>
      <c r="P1952" s="16"/>
    </row>
    <row r="1953" spans="2:16" ht="15.75" customHeight="1">
      <c r="B1953" s="16"/>
      <c r="H1953" s="16"/>
      <c r="I1953" s="16"/>
      <c r="J1953" s="17"/>
      <c r="N1953" s="16"/>
      <c r="O1953" s="16"/>
      <c r="P1953" s="16"/>
    </row>
    <row r="1954" spans="2:16" ht="15.75" customHeight="1">
      <c r="B1954" s="16"/>
      <c r="H1954" s="16"/>
      <c r="I1954" s="16"/>
      <c r="J1954" s="17"/>
      <c r="N1954" s="16"/>
      <c r="O1954" s="16"/>
      <c r="P1954" s="16"/>
    </row>
    <row r="1955" spans="2:16" ht="15.75" customHeight="1">
      <c r="B1955" s="16"/>
      <c r="H1955" s="16"/>
      <c r="I1955" s="16"/>
      <c r="J1955" s="17"/>
      <c r="N1955" s="16"/>
      <c r="O1955" s="16"/>
      <c r="P1955" s="16"/>
    </row>
    <row r="1956" spans="2:16" ht="15.75" customHeight="1">
      <c r="B1956" s="16"/>
      <c r="H1956" s="16"/>
      <c r="I1956" s="16"/>
      <c r="J1956" s="17"/>
      <c r="N1956" s="16"/>
      <c r="O1956" s="16"/>
      <c r="P1956" s="16"/>
    </row>
    <row r="1957" spans="2:16" ht="15.75" customHeight="1">
      <c r="B1957" s="16"/>
      <c r="H1957" s="16"/>
      <c r="I1957" s="16"/>
      <c r="J1957" s="17"/>
      <c r="N1957" s="16"/>
      <c r="O1957" s="16"/>
      <c r="P1957" s="16"/>
    </row>
    <row r="1958" spans="2:16" ht="15.75" customHeight="1">
      <c r="B1958" s="16"/>
      <c r="H1958" s="16"/>
      <c r="I1958" s="16"/>
      <c r="J1958" s="17"/>
      <c r="N1958" s="16"/>
      <c r="O1958" s="16"/>
      <c r="P1958" s="16"/>
    </row>
    <row r="1959" spans="2:16" ht="15.75" customHeight="1">
      <c r="B1959" s="16"/>
      <c r="H1959" s="16"/>
      <c r="I1959" s="16"/>
      <c r="J1959" s="17"/>
      <c r="N1959" s="16"/>
      <c r="O1959" s="16"/>
      <c r="P1959" s="16"/>
    </row>
    <row r="1960" spans="2:16" ht="15.75" customHeight="1">
      <c r="B1960" s="16"/>
      <c r="H1960" s="16"/>
      <c r="I1960" s="16"/>
      <c r="J1960" s="17"/>
      <c r="N1960" s="16"/>
      <c r="O1960" s="16"/>
      <c r="P1960" s="16"/>
    </row>
    <row r="1961" spans="2:16" ht="15.75" customHeight="1">
      <c r="B1961" s="16"/>
      <c r="H1961" s="16"/>
      <c r="I1961" s="16"/>
      <c r="J1961" s="17"/>
      <c r="N1961" s="16"/>
      <c r="O1961" s="16"/>
      <c r="P1961" s="16"/>
    </row>
    <row r="1962" spans="2:16" ht="15.75" customHeight="1">
      <c r="B1962" s="16"/>
      <c r="H1962" s="16"/>
      <c r="I1962" s="16"/>
      <c r="J1962" s="17"/>
      <c r="N1962" s="16"/>
      <c r="O1962" s="16"/>
      <c r="P1962" s="16"/>
    </row>
    <row r="1963" spans="2:16" ht="15.75" customHeight="1">
      <c r="B1963" s="16"/>
      <c r="H1963" s="16"/>
      <c r="I1963" s="16"/>
      <c r="J1963" s="17"/>
      <c r="N1963" s="16"/>
      <c r="O1963" s="16"/>
      <c r="P1963" s="16"/>
    </row>
    <row r="1964" spans="2:16" ht="15.75" customHeight="1">
      <c r="B1964" s="16"/>
      <c r="H1964" s="16"/>
      <c r="I1964" s="16"/>
      <c r="J1964" s="17"/>
      <c r="N1964" s="16"/>
      <c r="O1964" s="16"/>
      <c r="P1964" s="16"/>
    </row>
    <row r="1965" spans="2:16" ht="15.75" customHeight="1">
      <c r="B1965" s="16"/>
      <c r="H1965" s="16"/>
      <c r="I1965" s="16"/>
      <c r="J1965" s="17"/>
      <c r="N1965" s="16"/>
      <c r="O1965" s="16"/>
      <c r="P1965" s="16"/>
    </row>
    <row r="1966" spans="2:16" ht="15.75" customHeight="1">
      <c r="B1966" s="16"/>
      <c r="H1966" s="16"/>
      <c r="I1966" s="16"/>
      <c r="J1966" s="17"/>
      <c r="N1966" s="16"/>
      <c r="O1966" s="16"/>
      <c r="P1966" s="16"/>
    </row>
    <row r="1967" spans="2:16" ht="15.75" customHeight="1">
      <c r="B1967" s="16"/>
      <c r="H1967" s="16"/>
      <c r="I1967" s="16"/>
      <c r="J1967" s="17"/>
      <c r="N1967" s="16"/>
      <c r="O1967" s="16"/>
      <c r="P1967" s="16"/>
    </row>
    <row r="1968" spans="2:16" ht="15.75" customHeight="1">
      <c r="B1968" s="16"/>
      <c r="H1968" s="16"/>
      <c r="I1968" s="16"/>
      <c r="J1968" s="17"/>
      <c r="N1968" s="16"/>
      <c r="O1968" s="16"/>
      <c r="P1968" s="16"/>
    </row>
    <row r="1969" spans="2:16" ht="15.75" customHeight="1">
      <c r="B1969" s="16"/>
      <c r="H1969" s="16"/>
      <c r="I1969" s="16"/>
      <c r="J1969" s="17"/>
      <c r="N1969" s="16"/>
      <c r="O1969" s="16"/>
      <c r="P1969" s="16"/>
    </row>
    <row r="1970" spans="2:16" ht="15.75" customHeight="1">
      <c r="B1970" s="16"/>
      <c r="H1970" s="16"/>
      <c r="I1970" s="16"/>
      <c r="J1970" s="17"/>
      <c r="N1970" s="16"/>
      <c r="O1970" s="16"/>
      <c r="P1970" s="16"/>
    </row>
    <row r="1971" spans="2:16" ht="15.75" customHeight="1">
      <c r="B1971" s="16"/>
      <c r="H1971" s="16"/>
      <c r="I1971" s="16"/>
      <c r="J1971" s="17"/>
      <c r="N1971" s="16"/>
      <c r="O1971" s="16"/>
      <c r="P1971" s="16"/>
    </row>
    <row r="1972" spans="2:16" ht="15.75" customHeight="1">
      <c r="B1972" s="16"/>
      <c r="H1972" s="16"/>
      <c r="I1972" s="16"/>
      <c r="J1972" s="17"/>
      <c r="N1972" s="16"/>
      <c r="O1972" s="16"/>
      <c r="P1972" s="16"/>
    </row>
    <row r="1973" spans="2:16" ht="15.75" customHeight="1">
      <c r="B1973" s="16"/>
      <c r="H1973" s="16"/>
      <c r="I1973" s="16"/>
      <c r="J1973" s="17"/>
      <c r="N1973" s="16"/>
      <c r="O1973" s="16"/>
      <c r="P1973" s="16"/>
    </row>
    <row r="1974" spans="2:16" ht="15.75" customHeight="1">
      <c r="B1974" s="16"/>
      <c r="H1974" s="16"/>
      <c r="I1974" s="16"/>
      <c r="J1974" s="17"/>
      <c r="N1974" s="16"/>
      <c r="O1974" s="16"/>
      <c r="P1974" s="16"/>
    </row>
    <row r="1975" spans="2:16" ht="15.75" customHeight="1">
      <c r="B1975" s="16"/>
      <c r="H1975" s="16"/>
      <c r="I1975" s="16"/>
      <c r="J1975" s="17"/>
      <c r="N1975" s="16"/>
      <c r="O1975" s="16"/>
      <c r="P1975" s="16"/>
    </row>
    <row r="1976" spans="2:16" ht="15.75" customHeight="1">
      <c r="B1976" s="16"/>
      <c r="H1976" s="16"/>
      <c r="I1976" s="16"/>
      <c r="J1976" s="17"/>
      <c r="N1976" s="16"/>
      <c r="O1976" s="16"/>
      <c r="P1976" s="16"/>
    </row>
    <row r="1977" spans="2:16" ht="15.75" customHeight="1">
      <c r="B1977" s="16"/>
      <c r="H1977" s="16"/>
      <c r="I1977" s="16"/>
      <c r="J1977" s="17"/>
      <c r="N1977" s="16"/>
      <c r="O1977" s="16"/>
      <c r="P1977" s="16"/>
    </row>
    <row r="1978" spans="2:16" ht="15.75" customHeight="1">
      <c r="B1978" s="16"/>
      <c r="H1978" s="16"/>
      <c r="I1978" s="16"/>
      <c r="J1978" s="17"/>
      <c r="N1978" s="16"/>
      <c r="O1978" s="16"/>
      <c r="P1978" s="16"/>
    </row>
    <row r="1979" spans="2:16" ht="15.75" customHeight="1">
      <c r="B1979" s="16"/>
      <c r="H1979" s="16"/>
      <c r="I1979" s="16"/>
      <c r="J1979" s="17"/>
      <c r="N1979" s="16"/>
      <c r="O1979" s="16"/>
      <c r="P1979" s="16"/>
    </row>
    <row r="1980" spans="2:16" ht="15.75" customHeight="1">
      <c r="B1980" s="16"/>
      <c r="H1980" s="16"/>
      <c r="I1980" s="16"/>
      <c r="J1980" s="17"/>
      <c r="N1980" s="16"/>
      <c r="O1980" s="16"/>
      <c r="P1980" s="16"/>
    </row>
    <row r="1981" spans="2:16" ht="15.75" customHeight="1">
      <c r="B1981" s="16"/>
      <c r="H1981" s="16"/>
      <c r="I1981" s="16"/>
      <c r="J1981" s="17"/>
      <c r="N1981" s="16"/>
      <c r="O1981" s="16"/>
      <c r="P1981" s="16"/>
    </row>
    <row r="1982" spans="2:16" ht="15.75" customHeight="1">
      <c r="B1982" s="16"/>
      <c r="H1982" s="16"/>
      <c r="I1982" s="16"/>
      <c r="J1982" s="17"/>
      <c r="N1982" s="16"/>
      <c r="O1982" s="16"/>
      <c r="P1982" s="16"/>
    </row>
    <row r="1983" spans="2:16" ht="15.75" customHeight="1">
      <c r="B1983" s="16"/>
      <c r="H1983" s="16"/>
      <c r="I1983" s="16"/>
      <c r="J1983" s="17"/>
      <c r="N1983" s="16"/>
      <c r="O1983" s="16"/>
      <c r="P1983" s="16"/>
    </row>
    <row r="1984" spans="2:16" ht="15.75" customHeight="1">
      <c r="B1984" s="16"/>
      <c r="H1984" s="16"/>
      <c r="I1984" s="16"/>
      <c r="J1984" s="17"/>
      <c r="N1984" s="16"/>
      <c r="O1984" s="16"/>
      <c r="P1984" s="16"/>
    </row>
    <row r="1985" spans="2:16" ht="15.75" customHeight="1">
      <c r="B1985" s="16"/>
      <c r="H1985" s="16"/>
      <c r="I1985" s="16"/>
      <c r="J1985" s="17"/>
      <c r="N1985" s="16"/>
      <c r="O1985" s="16"/>
      <c r="P1985" s="16"/>
    </row>
    <row r="1986" spans="2:16" ht="15.75" customHeight="1">
      <c r="B1986" s="16"/>
      <c r="H1986" s="16"/>
      <c r="I1986" s="16"/>
      <c r="J1986" s="17"/>
      <c r="N1986" s="16"/>
      <c r="O1986" s="16"/>
      <c r="P1986" s="16"/>
    </row>
    <row r="1987" spans="2:16" ht="15.75" customHeight="1">
      <c r="B1987" s="16"/>
      <c r="H1987" s="16"/>
      <c r="I1987" s="16"/>
      <c r="J1987" s="17"/>
      <c r="N1987" s="16"/>
      <c r="O1987" s="16"/>
      <c r="P1987" s="16"/>
    </row>
    <row r="1988" spans="2:16" ht="15.75" customHeight="1">
      <c r="B1988" s="16"/>
      <c r="H1988" s="16"/>
      <c r="I1988" s="16"/>
      <c r="J1988" s="17"/>
      <c r="N1988" s="16"/>
      <c r="O1988" s="16"/>
      <c r="P1988" s="16"/>
    </row>
    <row r="1989" spans="2:16" ht="15.75" customHeight="1">
      <c r="B1989" s="16"/>
      <c r="H1989" s="16"/>
      <c r="I1989" s="16"/>
      <c r="J1989" s="17"/>
      <c r="N1989" s="16"/>
      <c r="O1989" s="16"/>
      <c r="P1989" s="16"/>
    </row>
    <row r="1990" spans="2:16" ht="15.75" customHeight="1">
      <c r="B1990" s="16"/>
      <c r="H1990" s="16"/>
      <c r="I1990" s="16"/>
      <c r="J1990" s="17"/>
      <c r="N1990" s="16"/>
      <c r="O1990" s="16"/>
      <c r="P1990" s="16"/>
    </row>
    <row r="1991" spans="2:16" ht="15.75" customHeight="1">
      <c r="B1991" s="16"/>
      <c r="H1991" s="16"/>
      <c r="I1991" s="16"/>
      <c r="J1991" s="17"/>
      <c r="N1991" s="16"/>
      <c r="O1991" s="16"/>
      <c r="P1991" s="16"/>
    </row>
    <row r="1992" spans="2:16" ht="15.75" customHeight="1">
      <c r="B1992" s="16"/>
      <c r="H1992" s="16"/>
      <c r="I1992" s="16"/>
      <c r="J1992" s="17"/>
      <c r="N1992" s="16"/>
      <c r="O1992" s="16"/>
      <c r="P1992" s="16"/>
    </row>
    <row r="1993" spans="2:16" ht="15.75" customHeight="1">
      <c r="B1993" s="16"/>
      <c r="H1993" s="16"/>
      <c r="I1993" s="16"/>
      <c r="J1993" s="17"/>
      <c r="N1993" s="16"/>
      <c r="O1993" s="16"/>
      <c r="P1993" s="16"/>
    </row>
    <row r="1994" spans="2:16" ht="15.75" customHeight="1">
      <c r="B1994" s="16"/>
      <c r="H1994" s="16"/>
      <c r="I1994" s="16"/>
      <c r="J1994" s="17"/>
      <c r="N1994" s="16"/>
      <c r="O1994" s="16"/>
      <c r="P1994" s="16"/>
    </row>
    <row r="1995" spans="2:16" ht="15.75" customHeight="1">
      <c r="B1995" s="16"/>
      <c r="H1995" s="16"/>
      <c r="I1995" s="16"/>
      <c r="J1995" s="17"/>
      <c r="N1995" s="16"/>
      <c r="O1995" s="16"/>
      <c r="P1995" s="16"/>
    </row>
    <row r="1996" spans="2:16" ht="15.75" customHeight="1">
      <c r="B1996" s="16"/>
      <c r="H1996" s="16"/>
      <c r="I1996" s="16"/>
      <c r="J1996" s="17"/>
      <c r="N1996" s="16"/>
      <c r="O1996" s="16"/>
      <c r="P1996" s="16"/>
    </row>
    <row r="1997" spans="2:16" ht="15.75" customHeight="1">
      <c r="B1997" s="16"/>
      <c r="H1997" s="16"/>
      <c r="I1997" s="16"/>
      <c r="J1997" s="17"/>
      <c r="N1997" s="16"/>
      <c r="O1997" s="16"/>
      <c r="P1997" s="16"/>
    </row>
    <row r="1998" spans="2:16" ht="15.75" customHeight="1">
      <c r="B1998" s="16"/>
      <c r="H1998" s="16"/>
      <c r="I1998" s="16"/>
      <c r="J1998" s="17"/>
      <c r="N1998" s="16"/>
      <c r="O1998" s="16"/>
      <c r="P1998" s="16"/>
    </row>
    <row r="1999" spans="2:16" ht="15.75" customHeight="1">
      <c r="B1999" s="16"/>
      <c r="H1999" s="16"/>
      <c r="I1999" s="16"/>
      <c r="J1999" s="17"/>
      <c r="N1999" s="16"/>
      <c r="O1999" s="16"/>
      <c r="P1999" s="16"/>
    </row>
    <row r="2000" spans="2:16" ht="15.75" customHeight="1">
      <c r="B2000" s="16"/>
      <c r="H2000" s="16"/>
      <c r="I2000" s="16"/>
      <c r="J2000" s="17"/>
      <c r="N2000" s="16"/>
      <c r="O2000" s="16"/>
      <c r="P2000" s="16"/>
    </row>
    <row r="2001" spans="2:16" ht="15.75" customHeight="1">
      <c r="B2001" s="16"/>
      <c r="H2001" s="16"/>
      <c r="I2001" s="16"/>
      <c r="J2001" s="17"/>
      <c r="N2001" s="16"/>
      <c r="O2001" s="16"/>
      <c r="P2001" s="16"/>
    </row>
    <row r="2002" spans="2:16" ht="15.75" customHeight="1">
      <c r="B2002" s="16"/>
      <c r="H2002" s="16"/>
      <c r="I2002" s="16"/>
      <c r="J2002" s="17"/>
      <c r="N2002" s="16"/>
      <c r="O2002" s="16"/>
      <c r="P2002" s="16"/>
    </row>
    <row r="2003" spans="2:16" ht="15.75" customHeight="1">
      <c r="B2003" s="16"/>
      <c r="H2003" s="16"/>
      <c r="I2003" s="16"/>
      <c r="J2003" s="17"/>
      <c r="N2003" s="16"/>
      <c r="O2003" s="16"/>
      <c r="P2003" s="16"/>
    </row>
    <row r="2004" spans="2:16" ht="15.75" customHeight="1">
      <c r="B2004" s="16"/>
      <c r="H2004" s="16"/>
      <c r="I2004" s="16"/>
      <c r="J2004" s="17"/>
      <c r="N2004" s="16"/>
      <c r="O2004" s="16"/>
      <c r="P2004" s="16"/>
    </row>
    <row r="2005" spans="2:16" ht="15.75" customHeight="1">
      <c r="B2005" s="16"/>
      <c r="H2005" s="16"/>
      <c r="I2005" s="16"/>
      <c r="J2005" s="17"/>
      <c r="N2005" s="16"/>
      <c r="O2005" s="16"/>
      <c r="P2005" s="16"/>
    </row>
    <row r="2006" spans="2:16" ht="15.75" customHeight="1">
      <c r="B2006" s="16"/>
      <c r="H2006" s="16"/>
      <c r="I2006" s="16"/>
      <c r="J2006" s="17"/>
      <c r="N2006" s="16"/>
      <c r="O2006" s="16"/>
      <c r="P2006" s="16"/>
    </row>
    <row r="2007" spans="2:16" ht="15.75" customHeight="1">
      <c r="B2007" s="16"/>
      <c r="H2007" s="16"/>
      <c r="I2007" s="16"/>
      <c r="J2007" s="17"/>
      <c r="N2007" s="16"/>
      <c r="O2007" s="16"/>
      <c r="P2007" s="16"/>
    </row>
    <row r="2008" spans="2:16" ht="15.75" customHeight="1">
      <c r="B2008" s="16"/>
      <c r="H2008" s="16"/>
      <c r="I2008" s="16"/>
      <c r="J2008" s="17"/>
      <c r="N2008" s="16"/>
      <c r="O2008" s="16"/>
      <c r="P2008" s="16"/>
    </row>
    <row r="2009" spans="2:16" ht="15.75" customHeight="1">
      <c r="B2009" s="16"/>
      <c r="H2009" s="16"/>
      <c r="I2009" s="16"/>
      <c r="J2009" s="17"/>
      <c r="N2009" s="16"/>
      <c r="O2009" s="16"/>
      <c r="P2009" s="16"/>
    </row>
    <row r="2010" spans="2:16" ht="15.75" customHeight="1">
      <c r="B2010" s="16"/>
      <c r="H2010" s="16"/>
      <c r="I2010" s="16"/>
      <c r="J2010" s="17"/>
      <c r="N2010" s="16"/>
      <c r="O2010" s="16"/>
      <c r="P2010" s="16"/>
    </row>
    <row r="2011" spans="2:16" ht="15.75" customHeight="1">
      <c r="B2011" s="16"/>
      <c r="H2011" s="16"/>
      <c r="I2011" s="16"/>
      <c r="J2011" s="17"/>
      <c r="N2011" s="16"/>
      <c r="O2011" s="16"/>
      <c r="P2011" s="16"/>
    </row>
    <row r="2012" spans="2:16" ht="15.75" customHeight="1">
      <c r="B2012" s="16"/>
      <c r="H2012" s="16"/>
      <c r="I2012" s="16"/>
      <c r="J2012" s="17"/>
      <c r="N2012" s="16"/>
      <c r="O2012" s="16"/>
      <c r="P2012" s="16"/>
    </row>
    <row r="2013" spans="2:16" ht="15.75" customHeight="1">
      <c r="B2013" s="16"/>
      <c r="H2013" s="16"/>
      <c r="I2013" s="16"/>
      <c r="J2013" s="17"/>
      <c r="N2013" s="16"/>
      <c r="O2013" s="16"/>
      <c r="P2013" s="16"/>
    </row>
    <row r="2014" spans="2:16" ht="15.75" customHeight="1">
      <c r="B2014" s="16"/>
      <c r="H2014" s="16"/>
      <c r="I2014" s="16"/>
      <c r="J2014" s="17"/>
      <c r="N2014" s="16"/>
      <c r="O2014" s="16"/>
      <c r="P2014" s="16"/>
    </row>
    <row r="2015" spans="2:16" ht="15.75" customHeight="1">
      <c r="B2015" s="16"/>
      <c r="H2015" s="16"/>
      <c r="I2015" s="16"/>
      <c r="J2015" s="17"/>
      <c r="N2015" s="16"/>
      <c r="O2015" s="16"/>
      <c r="P2015" s="16"/>
    </row>
    <row r="2016" spans="2:16" ht="15.75" customHeight="1">
      <c r="B2016" s="16"/>
      <c r="H2016" s="16"/>
      <c r="I2016" s="16"/>
      <c r="J2016" s="17"/>
      <c r="N2016" s="16"/>
      <c r="O2016" s="16"/>
      <c r="P2016" s="16"/>
    </row>
    <row r="2017" spans="2:16" ht="15.75" customHeight="1">
      <c r="B2017" s="16"/>
      <c r="H2017" s="16"/>
      <c r="I2017" s="16"/>
      <c r="J2017" s="17"/>
      <c r="N2017" s="16"/>
      <c r="O2017" s="16"/>
      <c r="P2017" s="16"/>
    </row>
    <row r="2018" spans="2:16" ht="15.75" customHeight="1">
      <c r="B2018" s="16"/>
      <c r="H2018" s="16"/>
      <c r="I2018" s="16"/>
      <c r="J2018" s="17"/>
      <c r="N2018" s="16"/>
      <c r="O2018" s="16"/>
      <c r="P2018" s="16"/>
    </row>
    <row r="2019" spans="2:16" ht="15.75" customHeight="1">
      <c r="B2019" s="16"/>
      <c r="H2019" s="16"/>
      <c r="I2019" s="16"/>
      <c r="J2019" s="17"/>
      <c r="N2019" s="16"/>
      <c r="O2019" s="16"/>
      <c r="P2019" s="16"/>
    </row>
    <row r="2020" spans="2:16" ht="15.75" customHeight="1">
      <c r="B2020" s="16"/>
      <c r="H2020" s="16"/>
      <c r="I2020" s="16"/>
      <c r="J2020" s="17"/>
      <c r="N2020" s="16"/>
      <c r="O2020" s="16"/>
      <c r="P2020" s="16"/>
    </row>
    <row r="2021" spans="2:16" ht="15.75" customHeight="1">
      <c r="B2021" s="16"/>
      <c r="H2021" s="16"/>
      <c r="I2021" s="16"/>
      <c r="J2021" s="17"/>
      <c r="N2021" s="16"/>
      <c r="O2021" s="16"/>
      <c r="P2021" s="16"/>
    </row>
    <row r="2022" spans="2:16" ht="15.75" customHeight="1">
      <c r="B2022" s="16"/>
      <c r="H2022" s="16"/>
      <c r="I2022" s="16"/>
      <c r="J2022" s="17"/>
      <c r="N2022" s="16"/>
      <c r="O2022" s="16"/>
      <c r="P2022" s="16"/>
    </row>
    <row r="2023" spans="2:16" ht="15.75" customHeight="1">
      <c r="B2023" s="16"/>
      <c r="H2023" s="16"/>
      <c r="I2023" s="16"/>
      <c r="J2023" s="17"/>
      <c r="N2023" s="16"/>
      <c r="O2023" s="16"/>
      <c r="P2023" s="16"/>
    </row>
    <row r="2024" spans="2:16" ht="15.75" customHeight="1">
      <c r="B2024" s="16"/>
      <c r="H2024" s="16"/>
      <c r="I2024" s="16"/>
      <c r="J2024" s="17"/>
      <c r="N2024" s="16"/>
      <c r="O2024" s="16"/>
      <c r="P2024" s="16"/>
    </row>
    <row r="2025" spans="2:16" ht="15.75" customHeight="1">
      <c r="B2025" s="16"/>
      <c r="H2025" s="16"/>
      <c r="I2025" s="16"/>
      <c r="J2025" s="17"/>
      <c r="N2025" s="16"/>
      <c r="O2025" s="16"/>
      <c r="P2025" s="16"/>
    </row>
    <row r="2026" spans="2:16" ht="15.75" customHeight="1">
      <c r="B2026" s="16"/>
      <c r="H2026" s="16"/>
      <c r="I2026" s="16"/>
      <c r="J2026" s="17"/>
      <c r="N2026" s="16"/>
      <c r="O2026" s="16"/>
      <c r="P2026" s="16"/>
    </row>
    <row r="2027" spans="2:16" ht="15.75" customHeight="1">
      <c r="B2027" s="16"/>
      <c r="H2027" s="16"/>
      <c r="I2027" s="16"/>
      <c r="J2027" s="17"/>
      <c r="N2027" s="16"/>
      <c r="O2027" s="16"/>
      <c r="P2027" s="16"/>
    </row>
    <row r="2028" spans="2:16" ht="15.75" customHeight="1">
      <c r="B2028" s="16"/>
      <c r="H2028" s="16"/>
      <c r="I2028" s="16"/>
      <c r="J2028" s="17"/>
      <c r="N2028" s="16"/>
      <c r="O2028" s="16"/>
      <c r="P2028" s="16"/>
    </row>
    <row r="2029" spans="2:16" ht="15.75" customHeight="1">
      <c r="B2029" s="16"/>
      <c r="H2029" s="16"/>
      <c r="I2029" s="16"/>
      <c r="J2029" s="17"/>
      <c r="N2029" s="16"/>
      <c r="O2029" s="16"/>
      <c r="P2029" s="16"/>
    </row>
    <row r="2030" spans="2:16" ht="15.75" customHeight="1">
      <c r="B2030" s="16"/>
      <c r="H2030" s="16"/>
      <c r="I2030" s="16"/>
      <c r="J2030" s="17"/>
      <c r="N2030" s="16"/>
      <c r="O2030" s="16"/>
      <c r="P2030" s="16"/>
    </row>
    <row r="2031" spans="2:16" ht="15.75" customHeight="1">
      <c r="B2031" s="16"/>
      <c r="H2031" s="16"/>
      <c r="I2031" s="16"/>
      <c r="J2031" s="17"/>
      <c r="N2031" s="16"/>
      <c r="O2031" s="16"/>
      <c r="P2031" s="16"/>
    </row>
    <row r="2032" spans="2:16" ht="15.75" customHeight="1">
      <c r="B2032" s="16"/>
      <c r="H2032" s="16"/>
      <c r="I2032" s="16"/>
      <c r="J2032" s="17"/>
      <c r="N2032" s="16"/>
      <c r="O2032" s="16"/>
      <c r="P2032" s="16"/>
    </row>
    <row r="2033" spans="2:16" ht="15.75" customHeight="1">
      <c r="B2033" s="16"/>
      <c r="H2033" s="16"/>
      <c r="I2033" s="16"/>
      <c r="J2033" s="17"/>
      <c r="N2033" s="16"/>
      <c r="O2033" s="16"/>
      <c r="P2033" s="16"/>
    </row>
    <row r="2034" spans="2:16" ht="15.75" customHeight="1">
      <c r="B2034" s="16"/>
      <c r="H2034" s="16"/>
      <c r="I2034" s="16"/>
      <c r="J2034" s="17"/>
      <c r="N2034" s="16"/>
      <c r="O2034" s="16"/>
      <c r="P2034" s="16"/>
    </row>
    <row r="2035" spans="2:16" ht="15.75" customHeight="1">
      <c r="B2035" s="16"/>
      <c r="H2035" s="16"/>
      <c r="I2035" s="16"/>
      <c r="J2035" s="17"/>
      <c r="N2035" s="16"/>
      <c r="O2035" s="16"/>
      <c r="P2035" s="16"/>
    </row>
    <row r="2036" spans="2:16" ht="15.75" customHeight="1">
      <c r="B2036" s="16"/>
      <c r="H2036" s="16"/>
      <c r="I2036" s="16"/>
      <c r="J2036" s="17"/>
      <c r="N2036" s="16"/>
      <c r="O2036" s="16"/>
      <c r="P2036" s="16"/>
    </row>
    <row r="2037" spans="2:16" ht="15.75" customHeight="1">
      <c r="H2037" s="16"/>
      <c r="I2037" s="16"/>
      <c r="J2037" s="17"/>
      <c r="N2037" s="16"/>
      <c r="O2037" s="16"/>
      <c r="P2037" s="16"/>
    </row>
    <row r="2038" spans="2:16" ht="15.75" customHeight="1">
      <c r="H2038" s="16"/>
      <c r="I2038" s="16"/>
      <c r="J2038" s="17"/>
      <c r="N2038" s="16"/>
      <c r="O2038" s="16"/>
      <c r="P2038" s="16"/>
    </row>
    <row r="2039" spans="2:16" ht="15.75" customHeight="1">
      <c r="H2039" s="16"/>
      <c r="I2039" s="16"/>
      <c r="J2039" s="17"/>
      <c r="N2039" s="16"/>
      <c r="O2039" s="16"/>
      <c r="P2039" s="16"/>
    </row>
    <row r="2040" spans="2:16" ht="15.75" customHeight="1">
      <c r="H2040" s="16"/>
      <c r="I2040" s="16"/>
      <c r="J2040" s="17"/>
      <c r="N2040" s="16"/>
      <c r="O2040" s="16"/>
      <c r="P2040" s="16"/>
    </row>
    <row r="2041" spans="2:16" ht="15.75" customHeight="1">
      <c r="H2041" s="16"/>
      <c r="I2041" s="16"/>
      <c r="J2041" s="17"/>
      <c r="N2041" s="16"/>
      <c r="O2041" s="16"/>
      <c r="P2041" s="16"/>
    </row>
    <row r="2042" spans="2:16" ht="15.75" customHeight="1">
      <c r="H2042" s="16"/>
      <c r="I2042" s="16"/>
      <c r="J2042" s="17"/>
      <c r="N2042" s="16"/>
      <c r="O2042" s="16"/>
      <c r="P2042" s="16"/>
    </row>
    <row r="2043" spans="2:16" ht="15.75" customHeight="1">
      <c r="H2043" s="16"/>
      <c r="I2043" s="16"/>
      <c r="J2043" s="17"/>
      <c r="N2043" s="16"/>
      <c r="O2043" s="16"/>
      <c r="P2043" s="16"/>
    </row>
    <row r="2044" spans="2:16" ht="15.75" customHeight="1">
      <c r="H2044" s="16"/>
      <c r="I2044" s="16"/>
      <c r="J2044" s="17"/>
      <c r="N2044" s="16"/>
      <c r="O2044" s="16"/>
      <c r="P2044" s="16"/>
    </row>
    <row r="2045" spans="2:16" ht="15.75" customHeight="1">
      <c r="H2045" s="16"/>
      <c r="I2045" s="16"/>
      <c r="J2045" s="17"/>
      <c r="N2045" s="16"/>
      <c r="O2045" s="16"/>
      <c r="P2045" s="16"/>
    </row>
    <row r="2046" spans="2:16" ht="15.75" customHeight="1">
      <c r="H2046" s="16"/>
      <c r="I2046" s="16"/>
      <c r="J2046" s="17"/>
      <c r="N2046" s="16"/>
      <c r="O2046" s="16"/>
      <c r="P2046" s="16"/>
    </row>
    <row r="2047" spans="2:16" ht="15.75" customHeight="1">
      <c r="H2047" s="16"/>
      <c r="I2047" s="16"/>
      <c r="J2047" s="17"/>
      <c r="N2047" s="16"/>
      <c r="O2047" s="16"/>
      <c r="P2047" s="16"/>
    </row>
    <row r="2048" spans="2:16" ht="15.75" customHeight="1">
      <c r="H2048" s="16"/>
      <c r="I2048" s="16"/>
      <c r="J2048" s="17"/>
      <c r="N2048" s="16"/>
      <c r="O2048" s="16"/>
      <c r="P2048" s="16"/>
    </row>
    <row r="2049" spans="8:16" ht="15.75" customHeight="1">
      <c r="H2049" s="16"/>
      <c r="I2049" s="16"/>
      <c r="J2049" s="17"/>
      <c r="N2049" s="16"/>
      <c r="O2049" s="16"/>
      <c r="P2049" s="16"/>
    </row>
    <row r="2050" spans="8:16" ht="15.75" customHeight="1">
      <c r="H2050" s="16"/>
      <c r="I2050" s="16"/>
      <c r="J2050" s="17"/>
      <c r="N2050" s="16"/>
      <c r="O2050" s="16"/>
      <c r="P2050" s="16"/>
    </row>
    <row r="2051" spans="8:16" ht="15.75" customHeight="1">
      <c r="H2051" s="16"/>
      <c r="I2051" s="16"/>
      <c r="J2051" s="17"/>
      <c r="N2051" s="16"/>
      <c r="O2051" s="16"/>
      <c r="P2051" s="16"/>
    </row>
    <row r="2052" spans="8:16" ht="15.75" customHeight="1">
      <c r="H2052" s="16"/>
      <c r="I2052" s="16"/>
      <c r="J2052" s="17"/>
      <c r="N2052" s="16"/>
      <c r="O2052" s="16"/>
      <c r="P2052" s="16"/>
    </row>
    <row r="2053" spans="8:16" ht="15.75" customHeight="1">
      <c r="H2053" s="16"/>
      <c r="I2053" s="16"/>
      <c r="J2053" s="17"/>
      <c r="N2053" s="16"/>
      <c r="O2053" s="16"/>
      <c r="P2053" s="16"/>
    </row>
    <row r="2054" spans="8:16" ht="15.75" customHeight="1">
      <c r="H2054" s="16"/>
      <c r="I2054" s="16"/>
      <c r="J2054" s="17"/>
      <c r="N2054" s="16"/>
      <c r="O2054" s="16"/>
      <c r="P2054" s="16"/>
    </row>
    <row r="2055" spans="8:16" ht="15.75" customHeight="1">
      <c r="H2055" s="16"/>
      <c r="I2055" s="16"/>
      <c r="J2055" s="17"/>
      <c r="N2055" s="16"/>
      <c r="O2055" s="16"/>
      <c r="P2055" s="16"/>
    </row>
    <row r="2056" spans="8:16" ht="15.75" customHeight="1">
      <c r="H2056" s="16"/>
      <c r="I2056" s="16"/>
      <c r="J2056" s="17"/>
      <c r="N2056" s="16"/>
      <c r="O2056" s="16"/>
      <c r="P2056" s="16"/>
    </row>
    <row r="2057" spans="8:16" ht="15.75" customHeight="1">
      <c r="H2057" s="16"/>
      <c r="I2057" s="16"/>
      <c r="J2057" s="17"/>
      <c r="N2057" s="16"/>
      <c r="O2057" s="16"/>
      <c r="P2057" s="16"/>
    </row>
    <row r="2058" spans="8:16" ht="15.75" customHeight="1">
      <c r="H2058" s="16"/>
      <c r="I2058" s="16"/>
      <c r="J2058" s="17"/>
      <c r="N2058" s="16"/>
      <c r="O2058" s="16"/>
      <c r="P2058" s="16"/>
    </row>
    <row r="2059" spans="8:16" ht="15.75" customHeight="1">
      <c r="H2059" s="16"/>
      <c r="I2059" s="16"/>
      <c r="J2059" s="17"/>
      <c r="N2059" s="16"/>
      <c r="O2059" s="16"/>
      <c r="P2059" s="16"/>
    </row>
    <row r="2060" spans="8:16" ht="15.75" customHeight="1">
      <c r="H2060" s="16"/>
      <c r="I2060" s="16"/>
      <c r="J2060" s="17"/>
      <c r="N2060" s="16"/>
      <c r="O2060" s="16"/>
      <c r="P2060" s="16"/>
    </row>
    <row r="2061" spans="8:16" ht="15.75" customHeight="1">
      <c r="H2061" s="16"/>
      <c r="I2061" s="16"/>
      <c r="J2061" s="17"/>
      <c r="N2061" s="16"/>
      <c r="O2061" s="16"/>
      <c r="P2061" s="16"/>
    </row>
    <row r="2062" spans="8:16" ht="15.75" customHeight="1">
      <c r="H2062" s="16"/>
      <c r="I2062" s="16"/>
      <c r="J2062" s="17"/>
      <c r="N2062" s="16"/>
      <c r="O2062" s="16"/>
      <c r="P2062" s="16"/>
    </row>
    <row r="2063" spans="8:16" ht="15.75" customHeight="1">
      <c r="H2063" s="16"/>
      <c r="I2063" s="16"/>
      <c r="J2063" s="17"/>
      <c r="N2063" s="16"/>
      <c r="O2063" s="16"/>
      <c r="P2063" s="16"/>
    </row>
    <row r="2064" spans="8:16" ht="15.75" customHeight="1">
      <c r="H2064" s="16"/>
      <c r="I2064" s="16"/>
      <c r="J2064" s="17"/>
      <c r="N2064" s="16"/>
      <c r="O2064" s="16"/>
      <c r="P2064" s="16"/>
    </row>
    <row r="2065" spans="8:16" ht="15.75" customHeight="1">
      <c r="H2065" s="16"/>
      <c r="I2065" s="16"/>
      <c r="J2065" s="17"/>
      <c r="N2065" s="16"/>
      <c r="O2065" s="16"/>
      <c r="P2065" s="16"/>
    </row>
    <row r="2066" spans="8:16" ht="15.75" customHeight="1">
      <c r="H2066" s="16"/>
      <c r="I2066" s="16"/>
      <c r="J2066" s="17"/>
      <c r="N2066" s="16"/>
      <c r="O2066" s="16"/>
      <c r="P2066" s="16"/>
    </row>
    <row r="2067" spans="8:16" ht="15.75" customHeight="1">
      <c r="H2067" s="16"/>
      <c r="I2067" s="16"/>
      <c r="J2067" s="17"/>
      <c r="N2067" s="16"/>
      <c r="O2067" s="16"/>
      <c r="P2067" s="16"/>
    </row>
    <row r="2068" spans="8:16" ht="15.75" customHeight="1">
      <c r="H2068" s="16"/>
      <c r="I2068" s="16"/>
      <c r="J2068" s="17"/>
      <c r="N2068" s="16"/>
      <c r="O2068" s="16"/>
      <c r="P2068" s="16"/>
    </row>
    <row r="2069" spans="8:16" ht="15.75" customHeight="1">
      <c r="H2069" s="16"/>
      <c r="I2069" s="16"/>
      <c r="J2069" s="17"/>
      <c r="N2069" s="16"/>
      <c r="O2069" s="16"/>
      <c r="P2069" s="16"/>
    </row>
    <row r="2070" spans="8:16" ht="15.75" customHeight="1">
      <c r="H2070" s="16"/>
      <c r="I2070" s="16"/>
      <c r="J2070" s="17"/>
      <c r="N2070" s="16"/>
      <c r="O2070" s="16"/>
      <c r="P2070" s="16"/>
    </row>
    <row r="2071" spans="8:16" ht="15.75" customHeight="1">
      <c r="H2071" s="16"/>
      <c r="I2071" s="16"/>
      <c r="J2071" s="17"/>
      <c r="N2071" s="16"/>
      <c r="O2071" s="16"/>
      <c r="P2071" s="16"/>
    </row>
    <row r="2072" spans="8:16" ht="15.75" customHeight="1">
      <c r="H2072" s="16"/>
      <c r="I2072" s="16"/>
      <c r="J2072" s="17"/>
      <c r="N2072" s="16"/>
      <c r="O2072" s="16"/>
      <c r="P2072" s="16"/>
    </row>
    <row r="2073" spans="8:16" ht="15.75" customHeight="1">
      <c r="H2073" s="16"/>
      <c r="I2073" s="16"/>
      <c r="J2073" s="17"/>
      <c r="N2073" s="16"/>
      <c r="O2073" s="16"/>
      <c r="P2073" s="16"/>
    </row>
    <row r="2074" spans="8:16" ht="15.75" customHeight="1">
      <c r="H2074" s="16"/>
      <c r="I2074" s="16"/>
      <c r="J2074" s="17"/>
      <c r="N2074" s="16"/>
      <c r="O2074" s="16"/>
      <c r="P2074" s="16"/>
    </row>
    <row r="2075" spans="8:16" ht="15.75" customHeight="1">
      <c r="H2075" s="16"/>
      <c r="I2075" s="16"/>
      <c r="J2075" s="17"/>
      <c r="N2075" s="16"/>
      <c r="O2075" s="16"/>
      <c r="P2075" s="16"/>
    </row>
    <row r="2076" spans="8:16" ht="15.75" customHeight="1">
      <c r="H2076" s="16"/>
      <c r="I2076" s="16"/>
      <c r="J2076" s="17"/>
      <c r="N2076" s="16"/>
      <c r="O2076" s="16"/>
      <c r="P2076" s="16"/>
    </row>
    <row r="2077" spans="8:16" ht="15.75" customHeight="1">
      <c r="H2077" s="16"/>
      <c r="I2077" s="16"/>
      <c r="J2077" s="17"/>
      <c r="N2077" s="16"/>
      <c r="O2077" s="16"/>
      <c r="P2077" s="16"/>
    </row>
    <row r="2078" spans="8:16" ht="15.75" customHeight="1">
      <c r="H2078" s="16"/>
      <c r="I2078" s="16"/>
      <c r="J2078" s="17"/>
      <c r="N2078" s="16"/>
      <c r="O2078" s="16"/>
      <c r="P2078" s="16"/>
    </row>
    <row r="2079" spans="8:16" ht="15.75" customHeight="1">
      <c r="H2079" s="16"/>
      <c r="I2079" s="16"/>
      <c r="J2079" s="17"/>
      <c r="N2079" s="16"/>
      <c r="O2079" s="16"/>
      <c r="P2079" s="16"/>
    </row>
    <row r="2080" spans="8:16" ht="15.75" customHeight="1">
      <c r="H2080" s="16"/>
      <c r="I2080" s="16"/>
      <c r="J2080" s="17"/>
      <c r="N2080" s="16"/>
      <c r="O2080" s="16"/>
      <c r="P2080" s="16"/>
    </row>
    <row r="2081" spans="8:16" ht="15.75" customHeight="1">
      <c r="H2081" s="16"/>
      <c r="I2081" s="16"/>
      <c r="J2081" s="17"/>
      <c r="N2081" s="16"/>
      <c r="O2081" s="16"/>
      <c r="P2081" s="16"/>
    </row>
    <row r="2082" spans="8:16" ht="15.75" customHeight="1">
      <c r="H2082" s="16"/>
      <c r="I2082" s="16"/>
      <c r="J2082" s="17"/>
      <c r="N2082" s="16"/>
      <c r="O2082" s="16"/>
      <c r="P2082" s="16"/>
    </row>
    <row r="2083" spans="8:16" ht="15.75" customHeight="1">
      <c r="H2083" s="16"/>
      <c r="I2083" s="16"/>
      <c r="J2083" s="17"/>
      <c r="N2083" s="16"/>
      <c r="O2083" s="16"/>
      <c r="P2083" s="16"/>
    </row>
    <row r="2084" spans="8:16" ht="15.75" customHeight="1">
      <c r="H2084" s="16"/>
      <c r="I2084" s="16"/>
      <c r="J2084" s="17"/>
      <c r="N2084" s="16"/>
      <c r="O2084" s="16"/>
      <c r="P2084" s="16"/>
    </row>
    <row r="2085" spans="8:16" ht="15.75" customHeight="1">
      <c r="H2085" s="16"/>
      <c r="I2085" s="16"/>
      <c r="J2085" s="17"/>
      <c r="N2085" s="16"/>
      <c r="O2085" s="16"/>
      <c r="P2085" s="16"/>
    </row>
    <row r="2086" spans="8:16" ht="15.75" customHeight="1">
      <c r="H2086" s="16"/>
      <c r="I2086" s="16"/>
      <c r="J2086" s="17"/>
      <c r="N2086" s="16"/>
      <c r="O2086" s="16"/>
      <c r="P2086" s="16"/>
    </row>
    <row r="2087" spans="8:16" ht="15.75" customHeight="1">
      <c r="H2087" s="16"/>
      <c r="I2087" s="16"/>
      <c r="J2087" s="17"/>
      <c r="N2087" s="16"/>
      <c r="O2087" s="16"/>
      <c r="P2087" s="16"/>
    </row>
    <row r="2088" spans="8:16" ht="15.75" customHeight="1">
      <c r="H2088" s="16"/>
      <c r="I2088" s="16"/>
      <c r="J2088" s="17"/>
      <c r="N2088" s="16"/>
      <c r="O2088" s="16"/>
      <c r="P2088" s="16"/>
    </row>
    <row r="2089" spans="8:16" ht="15.75" customHeight="1">
      <c r="H2089" s="16"/>
      <c r="I2089" s="16"/>
      <c r="J2089" s="17"/>
      <c r="N2089" s="16"/>
      <c r="O2089" s="16"/>
      <c r="P2089" s="16"/>
    </row>
    <row r="2090" spans="8:16" ht="15.75" customHeight="1">
      <c r="H2090" s="16"/>
      <c r="I2090" s="16"/>
      <c r="J2090" s="17"/>
      <c r="N2090" s="16"/>
      <c r="O2090" s="16"/>
      <c r="P2090" s="16"/>
    </row>
    <row r="2091" spans="8:16" ht="15.75" customHeight="1">
      <c r="H2091" s="16"/>
      <c r="I2091" s="16"/>
      <c r="J2091" s="17"/>
      <c r="N2091" s="16"/>
      <c r="O2091" s="16"/>
      <c r="P2091" s="16"/>
    </row>
    <row r="2092" spans="8:16" ht="15.75" customHeight="1">
      <c r="H2092" s="16"/>
      <c r="I2092" s="16"/>
      <c r="J2092" s="17"/>
      <c r="N2092" s="16"/>
      <c r="O2092" s="16"/>
      <c r="P2092" s="16"/>
    </row>
    <row r="2093" spans="8:16" ht="15.75" customHeight="1">
      <c r="H2093" s="16"/>
      <c r="I2093" s="16"/>
      <c r="J2093" s="17"/>
      <c r="N2093" s="16"/>
      <c r="O2093" s="16"/>
      <c r="P2093" s="16"/>
    </row>
    <row r="2094" spans="8:16" ht="15.75" customHeight="1">
      <c r="H2094" s="16"/>
      <c r="I2094" s="16"/>
      <c r="J2094" s="17"/>
      <c r="N2094" s="16"/>
      <c r="O2094" s="16"/>
      <c r="P2094" s="16"/>
    </row>
    <row r="2095" spans="8:16" ht="15.75" customHeight="1">
      <c r="H2095" s="16"/>
      <c r="I2095" s="16"/>
      <c r="J2095" s="17"/>
      <c r="N2095" s="16"/>
      <c r="O2095" s="16"/>
      <c r="P2095" s="16"/>
    </row>
    <row r="2096" spans="8:16" ht="15.75" customHeight="1">
      <c r="H2096" s="16"/>
      <c r="I2096" s="16"/>
      <c r="J2096" s="17"/>
      <c r="N2096" s="16"/>
      <c r="O2096" s="16"/>
      <c r="P2096" s="16"/>
    </row>
    <row r="2097" spans="7:16" ht="15.75" customHeight="1">
      <c r="H2097" s="16"/>
      <c r="I2097" s="16"/>
      <c r="J2097" s="17"/>
      <c r="N2097" s="16"/>
      <c r="O2097" s="16"/>
      <c r="P2097" s="16"/>
    </row>
    <row r="2098" spans="7:16" ht="15.75" customHeight="1">
      <c r="H2098" s="16"/>
      <c r="I2098" s="16"/>
      <c r="J2098" s="17"/>
      <c r="N2098" s="16"/>
      <c r="O2098" s="16"/>
      <c r="P2098" s="16"/>
    </row>
    <row r="2099" spans="7:16" ht="15.75" customHeight="1">
      <c r="H2099" s="16"/>
      <c r="I2099" s="16"/>
      <c r="J2099" s="17"/>
      <c r="N2099" s="16"/>
      <c r="O2099" s="16"/>
      <c r="P2099" s="16"/>
    </row>
    <row r="2100" spans="7:16" ht="15.75" customHeight="1">
      <c r="H2100" s="16"/>
      <c r="I2100" s="16"/>
      <c r="J2100" s="17"/>
      <c r="N2100" s="16"/>
      <c r="O2100" s="16"/>
      <c r="P2100" s="16"/>
    </row>
    <row r="2101" spans="7:16" ht="15.75" customHeight="1">
      <c r="H2101" s="16"/>
      <c r="I2101" s="16"/>
      <c r="J2101" s="17"/>
      <c r="N2101" s="16"/>
      <c r="O2101" s="16"/>
      <c r="P2101" s="16"/>
    </row>
    <row r="2102" spans="7:16" ht="15.75" customHeight="1">
      <c r="H2102" s="16"/>
      <c r="I2102" s="16"/>
      <c r="J2102" s="17"/>
      <c r="N2102" s="16"/>
      <c r="O2102" s="16"/>
      <c r="P2102" s="16"/>
    </row>
    <row r="2103" spans="7:16" ht="15.75" customHeight="1">
      <c r="H2103" s="16"/>
      <c r="I2103" s="16"/>
      <c r="J2103" s="17"/>
      <c r="N2103" s="16"/>
      <c r="O2103" s="16"/>
      <c r="P2103" s="16"/>
    </row>
    <row r="2104" spans="7:16" ht="15.75" customHeight="1">
      <c r="H2104" s="16"/>
      <c r="I2104" s="16"/>
      <c r="J2104" s="17"/>
      <c r="N2104" s="16"/>
      <c r="O2104" s="16"/>
      <c r="P2104" s="16"/>
    </row>
    <row r="2105" spans="7:16" ht="15.75" customHeight="1">
      <c r="H2105" s="16"/>
      <c r="I2105" s="16"/>
      <c r="J2105" s="17"/>
      <c r="N2105" s="16"/>
      <c r="O2105" s="16"/>
      <c r="P2105" s="16"/>
    </row>
    <row r="2106" spans="7:16" ht="15.75" customHeight="1">
      <c r="G2106" s="129"/>
      <c r="H2106" s="16"/>
      <c r="I2106" s="16"/>
      <c r="J2106" s="17"/>
      <c r="N2106" s="16"/>
      <c r="O2106" s="16"/>
      <c r="P2106" s="16"/>
    </row>
    <row r="2107" spans="7:16" ht="15.75" customHeight="1">
      <c r="H2107" s="16"/>
      <c r="I2107" s="16"/>
      <c r="J2107" s="17"/>
      <c r="N2107" s="16"/>
      <c r="O2107" s="16"/>
      <c r="P2107" s="16"/>
    </row>
    <row r="2108" spans="7:16" ht="15.75" customHeight="1">
      <c r="H2108" s="16"/>
      <c r="I2108" s="16"/>
      <c r="J2108" s="17"/>
      <c r="N2108" s="16"/>
      <c r="O2108" s="16"/>
      <c r="P2108" s="16"/>
    </row>
    <row r="2109" spans="7:16" ht="15.75" customHeight="1">
      <c r="H2109" s="16"/>
      <c r="I2109" s="16"/>
      <c r="J2109" s="17"/>
      <c r="N2109" s="16"/>
      <c r="O2109" s="16"/>
      <c r="P2109" s="16"/>
    </row>
    <row r="2110" spans="7:16" ht="15.75" customHeight="1">
      <c r="H2110" s="16"/>
      <c r="I2110" s="16"/>
      <c r="J2110" s="17"/>
      <c r="N2110" s="16"/>
      <c r="O2110" s="16"/>
      <c r="P2110" s="16"/>
    </row>
    <row r="2111" spans="7:16" ht="15.75" customHeight="1">
      <c r="H2111" s="16"/>
      <c r="I2111" s="16"/>
      <c r="J2111" s="17"/>
      <c r="N2111" s="16"/>
      <c r="O2111" s="16"/>
      <c r="P2111" s="16"/>
    </row>
    <row r="2112" spans="7:16" ht="15.75" customHeight="1">
      <c r="H2112" s="16"/>
      <c r="I2112" s="16"/>
      <c r="J2112" s="17"/>
      <c r="N2112" s="16"/>
      <c r="O2112" s="16"/>
      <c r="P2112" s="16"/>
    </row>
    <row r="2113" spans="8:33" ht="15.75" customHeight="1">
      <c r="H2113" s="16"/>
      <c r="I2113" s="16"/>
      <c r="J2113" s="17"/>
      <c r="N2113" s="16"/>
      <c r="O2113" s="16"/>
      <c r="P2113" s="16"/>
    </row>
    <row r="2114" spans="8:33" ht="15.75" customHeight="1">
      <c r="H2114" s="16"/>
      <c r="I2114" s="16"/>
      <c r="J2114" s="17"/>
      <c r="N2114" s="16"/>
      <c r="O2114" s="16"/>
      <c r="P2114" s="16"/>
    </row>
    <row r="2115" spans="8:33" ht="15.75" customHeight="1">
      <c r="H2115" s="16"/>
      <c r="I2115" s="16"/>
      <c r="J2115" s="17"/>
      <c r="N2115" s="16"/>
      <c r="O2115" s="16"/>
      <c r="P2115" s="16"/>
      <c r="AG2115" s="92"/>
    </row>
    <row r="2116" spans="8:33" ht="15.75" customHeight="1">
      <c r="H2116" s="16"/>
      <c r="I2116" s="16"/>
      <c r="J2116" s="17"/>
      <c r="N2116" s="16"/>
      <c r="O2116" s="16"/>
      <c r="P2116" s="16"/>
    </row>
    <row r="2117" spans="8:33" ht="15.75" customHeight="1">
      <c r="H2117" s="16"/>
      <c r="I2117" s="16"/>
      <c r="J2117" s="17"/>
      <c r="N2117" s="16"/>
      <c r="O2117" s="16"/>
      <c r="P2117" s="16"/>
    </row>
    <row r="2118" spans="8:33" ht="15.75" customHeight="1">
      <c r="H2118" s="16"/>
      <c r="I2118" s="16"/>
      <c r="J2118" s="17"/>
      <c r="N2118" s="16"/>
      <c r="O2118" s="16"/>
      <c r="P2118" s="16"/>
    </row>
    <row r="2119" spans="8:33" ht="15.75" customHeight="1">
      <c r="H2119" s="16"/>
      <c r="I2119" s="16"/>
      <c r="J2119" s="17"/>
      <c r="N2119" s="16"/>
      <c r="O2119" s="16"/>
      <c r="P2119" s="16"/>
    </row>
    <row r="2120" spans="8:33" ht="15.75" customHeight="1">
      <c r="H2120" s="16"/>
      <c r="I2120" s="16"/>
      <c r="J2120" s="17"/>
      <c r="N2120" s="16"/>
      <c r="O2120" s="16"/>
      <c r="P2120" s="16"/>
    </row>
    <row r="2121" spans="8:33" ht="15.75" customHeight="1">
      <c r="H2121" s="16"/>
      <c r="I2121" s="16"/>
      <c r="J2121" s="130"/>
      <c r="N2121" s="16"/>
      <c r="O2121" s="16"/>
      <c r="P2121" s="16"/>
    </row>
    <row r="2122" spans="8:33" ht="15.75" customHeight="1">
      <c r="H2122" s="16"/>
      <c r="I2122" s="16"/>
      <c r="J2122" s="17"/>
      <c r="N2122" s="16"/>
      <c r="O2122" s="16"/>
      <c r="P2122" s="16"/>
    </row>
    <row r="2123" spans="8:33" ht="15.75" customHeight="1">
      <c r="H2123" s="16"/>
      <c r="I2123" s="16"/>
      <c r="J2123" s="17"/>
      <c r="N2123" s="16"/>
      <c r="O2123" s="16"/>
      <c r="P2123" s="16"/>
    </row>
    <row r="2124" spans="8:33" ht="15.75" customHeight="1">
      <c r="H2124" s="16"/>
      <c r="I2124" s="16"/>
      <c r="J2124" s="17"/>
      <c r="N2124" s="16"/>
      <c r="O2124" s="16"/>
      <c r="P2124" s="16"/>
    </row>
    <row r="2125" spans="8:33" ht="15.75" customHeight="1">
      <c r="H2125" s="16"/>
      <c r="I2125" s="16"/>
      <c r="J2125" s="17"/>
      <c r="N2125" s="16"/>
      <c r="O2125" s="16"/>
      <c r="P2125" s="16"/>
    </row>
    <row r="2126" spans="8:33" ht="15.75" customHeight="1">
      <c r="H2126" s="16"/>
      <c r="I2126" s="16"/>
      <c r="J2126" s="17"/>
      <c r="N2126" s="16"/>
      <c r="O2126" s="16"/>
      <c r="P2126" s="16"/>
    </row>
    <row r="2127" spans="8:33" ht="15.75" customHeight="1">
      <c r="H2127" s="16"/>
      <c r="I2127" s="16"/>
      <c r="J2127" s="17"/>
      <c r="N2127" s="16"/>
      <c r="O2127" s="16"/>
      <c r="P2127" s="16"/>
    </row>
    <row r="2128" spans="8:33" ht="15.75" customHeight="1">
      <c r="H2128" s="16"/>
      <c r="I2128" s="16"/>
      <c r="J2128" s="17"/>
      <c r="N2128" s="16"/>
      <c r="O2128" s="16"/>
      <c r="P2128" s="16"/>
    </row>
    <row r="2129" spans="8:16" ht="15.75" customHeight="1">
      <c r="H2129" s="16"/>
      <c r="I2129" s="16"/>
      <c r="J2129" s="17"/>
      <c r="N2129" s="16"/>
      <c r="O2129" s="16"/>
      <c r="P2129" s="16"/>
    </row>
    <row r="2130" spans="8:16" ht="15.75" customHeight="1">
      <c r="H2130" s="16"/>
      <c r="I2130" s="16"/>
      <c r="J2130" s="17"/>
      <c r="N2130" s="16"/>
      <c r="O2130" s="16"/>
      <c r="P2130" s="16"/>
    </row>
    <row r="2131" spans="8:16" ht="15.75" customHeight="1">
      <c r="H2131" s="16"/>
      <c r="I2131" s="16"/>
      <c r="J2131" s="17"/>
      <c r="N2131" s="16"/>
      <c r="O2131" s="16"/>
      <c r="P2131" s="16"/>
    </row>
    <row r="2132" spans="8:16" ht="15.75" customHeight="1">
      <c r="H2132" s="16"/>
      <c r="I2132" s="16"/>
      <c r="J2132" s="17"/>
      <c r="N2132" s="16"/>
      <c r="O2132" s="16"/>
      <c r="P2132" s="16"/>
    </row>
    <row r="2133" spans="8:16" ht="15.75" customHeight="1">
      <c r="H2133" s="16"/>
      <c r="I2133" s="16"/>
      <c r="J2133" s="17"/>
      <c r="N2133" s="16"/>
      <c r="O2133" s="16"/>
      <c r="P2133" s="16"/>
    </row>
    <row r="2134" spans="8:16" ht="15.75" customHeight="1">
      <c r="H2134" s="16"/>
      <c r="I2134" s="16"/>
      <c r="J2134" s="17"/>
      <c r="N2134" s="16"/>
      <c r="O2134" s="16"/>
      <c r="P2134" s="16"/>
    </row>
    <row r="2135" spans="8:16" ht="15.75" customHeight="1">
      <c r="H2135" s="16"/>
      <c r="I2135" s="16"/>
      <c r="J2135" s="17"/>
      <c r="N2135" s="16"/>
      <c r="O2135" s="16"/>
      <c r="P2135" s="16"/>
    </row>
    <row r="2136" spans="8:16" ht="15.75" customHeight="1">
      <c r="H2136" s="16"/>
      <c r="I2136" s="16"/>
      <c r="J2136" s="17"/>
      <c r="N2136" s="16"/>
      <c r="O2136" s="16"/>
      <c r="P2136" s="16"/>
    </row>
    <row r="2137" spans="8:16" ht="15.75" customHeight="1">
      <c r="H2137" s="16"/>
      <c r="I2137" s="16"/>
      <c r="J2137" s="17"/>
      <c r="N2137" s="16"/>
      <c r="O2137" s="16"/>
      <c r="P2137" s="16"/>
    </row>
    <row r="2138" spans="8:16" ht="15.75" customHeight="1">
      <c r="H2138" s="16"/>
      <c r="I2138" s="16"/>
      <c r="J2138" s="17"/>
      <c r="N2138" s="16"/>
      <c r="O2138" s="16"/>
      <c r="P2138" s="16"/>
    </row>
    <row r="2139" spans="8:16" ht="15.75" customHeight="1">
      <c r="H2139" s="16"/>
      <c r="I2139" s="16"/>
      <c r="J2139" s="17"/>
      <c r="N2139" s="16"/>
      <c r="O2139" s="16"/>
      <c r="P2139" s="16"/>
    </row>
    <row r="2140" spans="8:16" ht="15.75" customHeight="1">
      <c r="H2140" s="16"/>
      <c r="I2140" s="16"/>
      <c r="J2140" s="17"/>
      <c r="N2140" s="16"/>
      <c r="O2140" s="16"/>
      <c r="P2140" s="16"/>
    </row>
    <row r="2141" spans="8:16" ht="15.75" customHeight="1">
      <c r="H2141" s="16"/>
      <c r="I2141" s="16"/>
      <c r="J2141" s="17"/>
      <c r="N2141" s="16"/>
      <c r="O2141" s="16"/>
      <c r="P2141" s="16"/>
    </row>
    <row r="2142" spans="8:16" ht="15.75" customHeight="1">
      <c r="H2142" s="16"/>
      <c r="I2142" s="16"/>
      <c r="J2142" s="17"/>
      <c r="N2142" s="16"/>
      <c r="O2142" s="16"/>
      <c r="P2142" s="16"/>
    </row>
    <row r="2143" spans="8:16" ht="15.75" customHeight="1">
      <c r="H2143" s="16"/>
      <c r="I2143" s="16"/>
      <c r="J2143" s="17"/>
      <c r="N2143" s="16"/>
      <c r="O2143" s="16"/>
      <c r="P2143" s="16"/>
    </row>
    <row r="2144" spans="8:16" ht="15.75" customHeight="1">
      <c r="H2144" s="16"/>
      <c r="I2144" s="16"/>
      <c r="J2144" s="17"/>
      <c r="N2144" s="16"/>
      <c r="O2144" s="16"/>
      <c r="P2144" s="16"/>
    </row>
    <row r="2145" spans="8:16" ht="15.75" customHeight="1">
      <c r="H2145" s="16"/>
      <c r="I2145" s="16"/>
      <c r="J2145" s="17"/>
      <c r="N2145" s="16"/>
      <c r="O2145" s="16"/>
      <c r="P2145" s="16"/>
    </row>
    <row r="2146" spans="8:16" ht="15.75" customHeight="1">
      <c r="H2146" s="16"/>
      <c r="I2146" s="16"/>
      <c r="J2146" s="17"/>
      <c r="N2146" s="16"/>
      <c r="O2146" s="16"/>
      <c r="P2146" s="16"/>
    </row>
    <row r="2147" spans="8:16" ht="15.75" customHeight="1">
      <c r="H2147" s="16"/>
      <c r="I2147" s="16"/>
      <c r="J2147" s="17"/>
      <c r="N2147" s="16"/>
      <c r="O2147" s="16"/>
      <c r="P2147" s="16"/>
    </row>
    <row r="2148" spans="8:16" ht="15.75" customHeight="1">
      <c r="H2148" s="16"/>
      <c r="I2148" s="16"/>
      <c r="J2148" s="17"/>
      <c r="N2148" s="16"/>
      <c r="O2148" s="16"/>
      <c r="P2148" s="16"/>
    </row>
    <row r="2149" spans="8:16" ht="15.75" customHeight="1">
      <c r="H2149" s="16"/>
      <c r="I2149" s="16"/>
      <c r="J2149" s="17"/>
      <c r="N2149" s="16"/>
      <c r="O2149" s="16"/>
      <c r="P2149" s="16"/>
    </row>
    <row r="2150" spans="8:16" ht="15.75" customHeight="1">
      <c r="H2150" s="16"/>
      <c r="I2150" s="16"/>
      <c r="J2150" s="17"/>
      <c r="N2150" s="16"/>
      <c r="O2150" s="16"/>
      <c r="P2150" s="16"/>
    </row>
    <row r="2151" spans="8:16" ht="15.75" customHeight="1">
      <c r="H2151" s="16"/>
      <c r="I2151" s="16"/>
      <c r="J2151" s="17"/>
      <c r="N2151" s="16"/>
      <c r="O2151" s="16"/>
      <c r="P2151" s="16"/>
    </row>
    <row r="2152" spans="8:16" ht="15.75" customHeight="1">
      <c r="H2152" s="16"/>
      <c r="I2152" s="16"/>
      <c r="J2152" s="17"/>
      <c r="N2152" s="16"/>
      <c r="O2152" s="16"/>
      <c r="P2152" s="16"/>
    </row>
    <row r="2153" spans="8:16" ht="15.75" customHeight="1">
      <c r="H2153" s="16"/>
      <c r="I2153" s="16"/>
      <c r="J2153" s="17"/>
      <c r="N2153" s="16"/>
      <c r="O2153" s="16"/>
      <c r="P2153" s="16"/>
    </row>
    <row r="2154" spans="8:16" ht="15.75" customHeight="1">
      <c r="H2154" s="16"/>
      <c r="I2154" s="16"/>
      <c r="J2154" s="17"/>
      <c r="N2154" s="16"/>
      <c r="O2154" s="16"/>
      <c r="P2154" s="16"/>
    </row>
    <row r="2155" spans="8:16" ht="15.75" customHeight="1">
      <c r="H2155" s="16"/>
      <c r="I2155" s="16"/>
      <c r="J2155" s="17"/>
      <c r="N2155" s="16"/>
      <c r="O2155" s="16"/>
      <c r="P2155" s="16"/>
    </row>
    <row r="2156" spans="8:16" ht="15.75" customHeight="1">
      <c r="H2156" s="16"/>
      <c r="I2156" s="16"/>
      <c r="J2156" s="17"/>
      <c r="N2156" s="16"/>
      <c r="O2156" s="16"/>
      <c r="P2156" s="16"/>
    </row>
    <row r="2157" spans="8:16" ht="15.75" customHeight="1">
      <c r="H2157" s="16"/>
      <c r="I2157" s="16"/>
      <c r="J2157" s="17"/>
      <c r="N2157" s="16"/>
      <c r="O2157" s="16"/>
      <c r="P2157" s="16"/>
    </row>
    <row r="2158" spans="8:16" ht="15.75" customHeight="1">
      <c r="H2158" s="16"/>
      <c r="I2158" s="16"/>
      <c r="J2158" s="17"/>
      <c r="N2158" s="16"/>
      <c r="O2158" s="16"/>
      <c r="P2158" s="16"/>
    </row>
    <row r="2159" spans="8:16" ht="15.75" customHeight="1">
      <c r="H2159" s="16"/>
      <c r="I2159" s="16"/>
      <c r="J2159" s="17"/>
      <c r="N2159" s="16"/>
      <c r="O2159" s="16"/>
      <c r="P2159" s="16"/>
    </row>
    <row r="2160" spans="8:16" ht="15.75" customHeight="1">
      <c r="H2160" s="16"/>
      <c r="I2160" s="16"/>
      <c r="J2160" s="17"/>
      <c r="N2160" s="16"/>
      <c r="O2160" s="16"/>
      <c r="P2160" s="16"/>
    </row>
    <row r="2161" spans="8:16" ht="15.75" customHeight="1">
      <c r="H2161" s="16"/>
      <c r="I2161" s="16"/>
      <c r="J2161" s="17"/>
      <c r="N2161" s="16"/>
      <c r="O2161" s="16"/>
      <c r="P2161" s="16"/>
    </row>
    <row r="2162" spans="8:16" ht="15.75" customHeight="1">
      <c r="H2162" s="16"/>
      <c r="I2162" s="16"/>
      <c r="J2162" s="17"/>
      <c r="N2162" s="16"/>
      <c r="O2162" s="16"/>
      <c r="P2162" s="16"/>
    </row>
    <row r="2163" spans="8:16" ht="15.75" customHeight="1">
      <c r="H2163" s="16"/>
      <c r="I2163" s="16"/>
      <c r="J2163" s="17"/>
      <c r="N2163" s="16"/>
      <c r="O2163" s="16"/>
      <c r="P2163" s="16"/>
    </row>
    <row r="2164" spans="8:16" ht="15.75" customHeight="1">
      <c r="H2164" s="16"/>
      <c r="I2164" s="16"/>
      <c r="J2164" s="17"/>
      <c r="N2164" s="16"/>
      <c r="O2164" s="16"/>
      <c r="P2164" s="16"/>
    </row>
    <row r="2165" spans="8:16" ht="15.75" customHeight="1">
      <c r="H2165" s="16"/>
      <c r="I2165" s="16"/>
      <c r="J2165" s="17"/>
      <c r="N2165" s="16"/>
      <c r="O2165" s="16"/>
      <c r="P2165" s="16"/>
    </row>
    <row r="2166" spans="8:16" ht="15.75" customHeight="1">
      <c r="H2166" s="16"/>
      <c r="I2166" s="16"/>
      <c r="J2166" s="17"/>
      <c r="N2166" s="16"/>
      <c r="O2166" s="16"/>
      <c r="P2166" s="16"/>
    </row>
    <row r="2167" spans="8:16" ht="15.75" customHeight="1">
      <c r="H2167" s="16"/>
      <c r="I2167" s="16"/>
      <c r="J2167" s="17"/>
      <c r="N2167" s="16"/>
      <c r="O2167" s="16"/>
      <c r="P2167" s="16"/>
    </row>
    <row r="2168" spans="8:16" ht="15.75" customHeight="1">
      <c r="H2168" s="16"/>
      <c r="I2168" s="16"/>
      <c r="J2168" s="17"/>
      <c r="N2168" s="16"/>
      <c r="O2168" s="16"/>
      <c r="P2168" s="16"/>
    </row>
    <row r="2169" spans="8:16" ht="15.75" customHeight="1">
      <c r="H2169" s="16"/>
      <c r="I2169" s="16"/>
      <c r="J2169" s="17"/>
      <c r="N2169" s="16"/>
      <c r="O2169" s="16"/>
      <c r="P2169" s="16"/>
    </row>
    <row r="2170" spans="8:16" ht="15.75" customHeight="1">
      <c r="H2170" s="16"/>
      <c r="I2170" s="16"/>
      <c r="J2170" s="17"/>
      <c r="N2170" s="16"/>
      <c r="O2170" s="16"/>
      <c r="P2170" s="16"/>
    </row>
    <row r="2171" spans="8:16" ht="15.75" customHeight="1">
      <c r="H2171" s="16"/>
      <c r="I2171" s="16"/>
      <c r="J2171" s="17"/>
      <c r="N2171" s="16"/>
      <c r="O2171" s="16"/>
      <c r="P2171" s="16"/>
    </row>
    <row r="2172" spans="8:16" ht="15.75" customHeight="1">
      <c r="H2172" s="16"/>
      <c r="I2172" s="16"/>
      <c r="J2172" s="17"/>
      <c r="N2172" s="16"/>
      <c r="O2172" s="16"/>
      <c r="P2172" s="16"/>
    </row>
    <row r="2173" spans="8:16" ht="15.75" customHeight="1">
      <c r="H2173" s="16"/>
      <c r="I2173" s="16"/>
      <c r="J2173" s="17"/>
      <c r="N2173" s="16"/>
      <c r="O2173" s="16"/>
      <c r="P2173" s="16"/>
    </row>
    <row r="2174" spans="8:16" ht="15.75" customHeight="1">
      <c r="H2174" s="16"/>
      <c r="I2174" s="16"/>
      <c r="J2174" s="17"/>
      <c r="N2174" s="16"/>
      <c r="O2174" s="16"/>
      <c r="P2174" s="16"/>
    </row>
    <row r="2175" spans="8:16" ht="15.75" customHeight="1">
      <c r="H2175" s="16"/>
      <c r="I2175" s="16"/>
      <c r="J2175" s="17"/>
      <c r="N2175" s="16"/>
      <c r="O2175" s="16"/>
      <c r="P2175" s="16"/>
    </row>
    <row r="2176" spans="8:16" ht="15.75" customHeight="1">
      <c r="H2176" s="16"/>
      <c r="I2176" s="16"/>
      <c r="J2176" s="17"/>
      <c r="N2176" s="16"/>
      <c r="O2176" s="16"/>
      <c r="P2176" s="16"/>
    </row>
    <row r="2177" spans="8:16" ht="15.75" customHeight="1">
      <c r="H2177" s="16"/>
      <c r="I2177" s="16"/>
      <c r="J2177" s="17"/>
      <c r="N2177" s="16"/>
      <c r="O2177" s="16"/>
      <c r="P2177" s="16"/>
    </row>
    <row r="2178" spans="8:16" ht="15.75" customHeight="1">
      <c r="H2178" s="16"/>
      <c r="I2178" s="16"/>
      <c r="J2178" s="17"/>
      <c r="N2178" s="16"/>
      <c r="O2178" s="16"/>
      <c r="P2178" s="16"/>
    </row>
    <row r="2179" spans="8:16" ht="15.75" customHeight="1">
      <c r="H2179" s="16"/>
      <c r="I2179" s="16"/>
      <c r="J2179" s="17"/>
      <c r="N2179" s="16"/>
      <c r="O2179" s="16"/>
      <c r="P2179" s="16"/>
    </row>
    <row r="2180" spans="8:16" ht="15.75" customHeight="1">
      <c r="H2180" s="16"/>
      <c r="I2180" s="16"/>
      <c r="J2180" s="17"/>
      <c r="N2180" s="16"/>
      <c r="O2180" s="16"/>
      <c r="P2180" s="16"/>
    </row>
    <row r="2181" spans="8:16" ht="15.75" customHeight="1">
      <c r="H2181" s="16"/>
      <c r="I2181" s="16"/>
      <c r="J2181" s="17"/>
      <c r="N2181" s="16"/>
      <c r="O2181" s="16"/>
      <c r="P2181" s="16"/>
    </row>
    <row r="2182" spans="8:16" ht="15.75" customHeight="1">
      <c r="H2182" s="16"/>
      <c r="I2182" s="16"/>
      <c r="J2182" s="17"/>
      <c r="N2182" s="16"/>
      <c r="O2182" s="16"/>
      <c r="P2182" s="16"/>
    </row>
    <row r="2183" spans="8:16" ht="15.75" customHeight="1">
      <c r="H2183" s="16"/>
      <c r="I2183" s="16"/>
      <c r="J2183" s="17"/>
      <c r="N2183" s="16"/>
      <c r="O2183" s="16"/>
      <c r="P2183" s="16"/>
    </row>
    <row r="2184" spans="8:16" ht="15.75" customHeight="1">
      <c r="H2184" s="16"/>
      <c r="I2184" s="16"/>
      <c r="J2184" s="17"/>
      <c r="N2184" s="16"/>
      <c r="O2184" s="16"/>
      <c r="P2184" s="16"/>
    </row>
    <row r="2185" spans="8:16" ht="15.75" customHeight="1">
      <c r="H2185" s="16"/>
      <c r="I2185" s="16"/>
      <c r="J2185" s="17"/>
      <c r="N2185" s="16"/>
      <c r="O2185" s="16"/>
      <c r="P2185" s="16"/>
    </row>
    <row r="2186" spans="8:16" ht="15.75" customHeight="1">
      <c r="H2186" s="16"/>
      <c r="I2186" s="16"/>
      <c r="J2186" s="17"/>
      <c r="N2186" s="16"/>
      <c r="O2186" s="16"/>
      <c r="P2186" s="16"/>
    </row>
    <row r="2187" spans="8:16" ht="15.75" customHeight="1">
      <c r="H2187" s="16"/>
      <c r="I2187" s="16"/>
      <c r="J2187" s="17"/>
      <c r="N2187" s="16"/>
      <c r="O2187" s="16"/>
      <c r="P2187" s="16"/>
    </row>
    <row r="2188" spans="8:16" ht="15.75" customHeight="1">
      <c r="H2188" s="16"/>
      <c r="I2188" s="16"/>
      <c r="J2188" s="17"/>
      <c r="N2188" s="16"/>
      <c r="O2188" s="16"/>
      <c r="P2188" s="16"/>
    </row>
    <row r="2189" spans="8:16" ht="15.75" customHeight="1">
      <c r="H2189" s="16"/>
      <c r="I2189" s="16"/>
      <c r="J2189" s="17"/>
      <c r="N2189" s="16"/>
      <c r="O2189" s="16"/>
      <c r="P2189" s="16"/>
    </row>
    <row r="2190" spans="8:16" ht="15.75" customHeight="1">
      <c r="H2190" s="16"/>
      <c r="I2190" s="16"/>
      <c r="J2190" s="17"/>
      <c r="N2190" s="16"/>
      <c r="O2190" s="16"/>
      <c r="P2190" s="16"/>
    </row>
    <row r="2191" spans="8:16" ht="15.75" customHeight="1">
      <c r="H2191" s="16"/>
      <c r="I2191" s="16"/>
      <c r="J2191" s="17"/>
      <c r="N2191" s="16"/>
      <c r="O2191" s="16"/>
      <c r="P2191" s="16"/>
    </row>
    <row r="2192" spans="8:16" ht="15.75" customHeight="1">
      <c r="H2192" s="16"/>
      <c r="I2192" s="16"/>
      <c r="J2192" s="17"/>
      <c r="N2192" s="16"/>
      <c r="O2192" s="16"/>
      <c r="P2192" s="16"/>
    </row>
    <row r="2193" spans="8:16" ht="15.75" customHeight="1">
      <c r="H2193" s="16"/>
      <c r="I2193" s="16"/>
      <c r="J2193" s="17"/>
      <c r="N2193" s="16"/>
      <c r="O2193" s="16"/>
      <c r="P2193" s="16"/>
    </row>
    <row r="2194" spans="8:16" ht="15.75" customHeight="1">
      <c r="H2194" s="16"/>
      <c r="I2194" s="16"/>
      <c r="J2194" s="17"/>
      <c r="N2194" s="16"/>
      <c r="O2194" s="16"/>
      <c r="P2194" s="16"/>
    </row>
    <row r="2195" spans="8:16" ht="15.75" customHeight="1">
      <c r="H2195" s="16"/>
      <c r="I2195" s="16"/>
      <c r="J2195" s="17"/>
      <c r="N2195" s="16"/>
      <c r="O2195" s="16"/>
      <c r="P2195" s="16"/>
    </row>
    <row r="2196" spans="8:16" ht="15.75" customHeight="1">
      <c r="H2196" s="16"/>
      <c r="I2196" s="16"/>
      <c r="J2196" s="17"/>
      <c r="N2196" s="16"/>
      <c r="O2196" s="16"/>
      <c r="P2196" s="16"/>
    </row>
    <row r="2197" spans="8:16" ht="15.75" customHeight="1">
      <c r="H2197" s="16"/>
      <c r="I2197" s="16"/>
      <c r="J2197" s="17"/>
      <c r="N2197" s="16"/>
      <c r="O2197" s="16"/>
      <c r="P2197" s="16"/>
    </row>
    <row r="2198" spans="8:16" ht="15.75" customHeight="1">
      <c r="H2198" s="16"/>
      <c r="I2198" s="16"/>
      <c r="J2198" s="17"/>
      <c r="N2198" s="16"/>
      <c r="O2198" s="16"/>
      <c r="P2198" s="16"/>
    </row>
    <row r="2199" spans="8:16" ht="15.75" customHeight="1">
      <c r="H2199" s="16"/>
      <c r="I2199" s="16"/>
      <c r="J2199" s="17"/>
      <c r="N2199" s="16"/>
      <c r="O2199" s="16"/>
      <c r="P2199" s="16"/>
    </row>
    <row r="2200" spans="8:16" ht="15.75" customHeight="1">
      <c r="H2200" s="16"/>
      <c r="I2200" s="16"/>
      <c r="J2200" s="17"/>
      <c r="N2200" s="16"/>
      <c r="O2200" s="16"/>
      <c r="P2200" s="16"/>
    </row>
    <row r="2201" spans="8:16" ht="15.75" customHeight="1">
      <c r="H2201" s="16"/>
      <c r="I2201" s="16"/>
      <c r="J2201" s="17"/>
      <c r="N2201" s="16"/>
      <c r="O2201" s="16"/>
      <c r="P2201" s="16"/>
    </row>
    <row r="2202" spans="8:16" ht="15.75" customHeight="1">
      <c r="H2202" s="16"/>
      <c r="I2202" s="16"/>
      <c r="J2202" s="17"/>
      <c r="N2202" s="16"/>
      <c r="O2202" s="16"/>
      <c r="P2202" s="16"/>
    </row>
    <row r="2203" spans="8:16" ht="15.75" customHeight="1">
      <c r="H2203" s="16"/>
      <c r="I2203" s="16"/>
      <c r="J2203" s="17"/>
      <c r="N2203" s="16"/>
      <c r="O2203" s="16"/>
      <c r="P2203" s="16"/>
    </row>
    <row r="2204" spans="8:16" ht="15.75" customHeight="1">
      <c r="H2204" s="16"/>
      <c r="I2204" s="16"/>
      <c r="J2204" s="17"/>
      <c r="N2204" s="16"/>
      <c r="O2204" s="16"/>
      <c r="P2204" s="16"/>
    </row>
    <row r="2205" spans="8:16" ht="15.75" customHeight="1">
      <c r="H2205" s="16"/>
      <c r="I2205" s="16"/>
      <c r="J2205" s="17"/>
      <c r="N2205" s="16"/>
      <c r="O2205" s="16"/>
      <c r="P2205" s="16"/>
    </row>
    <row r="2206" spans="8:16" ht="15.75" customHeight="1">
      <c r="H2206" s="16"/>
      <c r="I2206" s="16"/>
      <c r="J2206" s="17"/>
      <c r="N2206" s="16"/>
      <c r="O2206" s="16"/>
      <c r="P2206" s="16"/>
    </row>
    <row r="2207" spans="8:16" ht="15.75" customHeight="1">
      <c r="H2207" s="16"/>
      <c r="I2207" s="16"/>
      <c r="J2207" s="17"/>
      <c r="N2207" s="16"/>
      <c r="O2207" s="16"/>
      <c r="P2207" s="16"/>
    </row>
    <row r="2208" spans="8:16" ht="15.75" customHeight="1">
      <c r="H2208" s="16"/>
      <c r="I2208" s="16"/>
      <c r="J2208" s="17"/>
      <c r="N2208" s="16"/>
      <c r="O2208" s="16"/>
      <c r="P2208" s="16"/>
    </row>
    <row r="2209" spans="8:16" ht="15.75" customHeight="1">
      <c r="H2209" s="16"/>
      <c r="I2209" s="16"/>
      <c r="J2209" s="17"/>
      <c r="N2209" s="16"/>
      <c r="O2209" s="16"/>
      <c r="P2209" s="16"/>
    </row>
    <row r="2210" spans="8:16" ht="15.75" customHeight="1">
      <c r="H2210" s="16"/>
      <c r="I2210" s="16"/>
      <c r="J2210" s="17"/>
      <c r="N2210" s="16"/>
      <c r="O2210" s="16"/>
      <c r="P2210" s="16"/>
    </row>
    <row r="2211" spans="8:16" ht="15.75" customHeight="1">
      <c r="H2211" s="16"/>
      <c r="I2211" s="16"/>
      <c r="J2211" s="17"/>
      <c r="N2211" s="16"/>
      <c r="O2211" s="16"/>
      <c r="P2211" s="16"/>
    </row>
    <row r="2212" spans="8:16" ht="15.75" customHeight="1">
      <c r="H2212" s="16"/>
      <c r="I2212" s="16"/>
      <c r="J2212" s="17"/>
      <c r="N2212" s="16"/>
      <c r="O2212" s="16"/>
      <c r="P2212" s="16"/>
    </row>
    <row r="2213" spans="8:16" ht="15.75" customHeight="1">
      <c r="H2213" s="16"/>
      <c r="I2213" s="16"/>
      <c r="J2213" s="17"/>
      <c r="N2213" s="16"/>
      <c r="O2213" s="16"/>
      <c r="P2213" s="16"/>
    </row>
    <row r="2214" spans="8:16" ht="15.75" customHeight="1">
      <c r="H2214" s="16"/>
      <c r="I2214" s="16"/>
      <c r="J2214" s="17"/>
      <c r="N2214" s="16"/>
      <c r="O2214" s="16"/>
      <c r="P2214" s="16"/>
    </row>
    <row r="2215" spans="8:16" ht="15.75" customHeight="1">
      <c r="H2215" s="16"/>
      <c r="I2215" s="16"/>
      <c r="J2215" s="17"/>
      <c r="N2215" s="16"/>
      <c r="O2215" s="16"/>
      <c r="P2215" s="16"/>
    </row>
    <row r="2216" spans="8:16" ht="15.75" customHeight="1">
      <c r="H2216" s="16"/>
      <c r="I2216" s="16"/>
      <c r="J2216" s="17"/>
      <c r="N2216" s="16"/>
      <c r="O2216" s="16"/>
      <c r="P2216" s="16"/>
    </row>
    <row r="2217" spans="8:16" ht="15.75" customHeight="1">
      <c r="H2217" s="16"/>
      <c r="I2217" s="16"/>
      <c r="J2217" s="17"/>
      <c r="N2217" s="16"/>
      <c r="O2217" s="16"/>
      <c r="P2217" s="16"/>
    </row>
    <row r="2218" spans="8:16" ht="15.75" customHeight="1">
      <c r="H2218" s="16"/>
      <c r="I2218" s="16"/>
      <c r="J2218" s="17"/>
      <c r="N2218" s="16"/>
      <c r="O2218" s="16"/>
      <c r="P2218" s="16"/>
    </row>
    <row r="2219" spans="8:16" ht="15.75" customHeight="1">
      <c r="H2219" s="16"/>
      <c r="I2219" s="16"/>
      <c r="J2219" s="17"/>
      <c r="N2219" s="16"/>
      <c r="O2219" s="16"/>
      <c r="P2219" s="16"/>
    </row>
    <row r="2220" spans="8:16" ht="15.75" customHeight="1">
      <c r="H2220" s="16"/>
      <c r="I2220" s="16"/>
      <c r="J2220" s="17"/>
      <c r="N2220" s="16"/>
      <c r="O2220" s="16"/>
      <c r="P2220" s="16"/>
    </row>
    <row r="2221" spans="8:16" ht="15.75" customHeight="1">
      <c r="H2221" s="16"/>
      <c r="I2221" s="16"/>
      <c r="J2221" s="17"/>
      <c r="N2221" s="16"/>
      <c r="O2221" s="16"/>
      <c r="P2221" s="16"/>
    </row>
    <row r="2222" spans="8:16" ht="15.75" customHeight="1">
      <c r="H2222" s="16"/>
      <c r="I2222" s="16"/>
      <c r="J2222" s="17"/>
      <c r="N2222" s="16"/>
      <c r="O2222" s="16"/>
      <c r="P2222" s="16"/>
    </row>
    <row r="2223" spans="8:16" ht="15.75" customHeight="1">
      <c r="H2223" s="16"/>
      <c r="I2223" s="16"/>
      <c r="J2223" s="17"/>
      <c r="N2223" s="16"/>
      <c r="O2223" s="16"/>
      <c r="P2223" s="16"/>
    </row>
    <row r="2224" spans="8:16" ht="15.75" customHeight="1">
      <c r="H2224" s="16"/>
      <c r="I2224" s="16"/>
      <c r="J2224" s="17"/>
      <c r="N2224" s="16"/>
      <c r="O2224" s="16"/>
      <c r="P2224" s="16"/>
    </row>
    <row r="2225" spans="8:16" ht="15.75" customHeight="1">
      <c r="H2225" s="16"/>
      <c r="I2225" s="16"/>
      <c r="J2225" s="17"/>
      <c r="N2225" s="16"/>
      <c r="O2225" s="16"/>
      <c r="P2225" s="16"/>
    </row>
    <row r="2226" spans="8:16" ht="15.75" customHeight="1">
      <c r="H2226" s="16"/>
      <c r="I2226" s="16"/>
      <c r="J2226" s="17"/>
      <c r="N2226" s="16"/>
      <c r="O2226" s="16"/>
      <c r="P2226" s="16"/>
    </row>
    <row r="2227" spans="8:16" ht="15.75" customHeight="1">
      <c r="H2227" s="16"/>
      <c r="I2227" s="16"/>
      <c r="J2227" s="17"/>
      <c r="N2227" s="16"/>
      <c r="O2227" s="16"/>
      <c r="P2227" s="16"/>
    </row>
    <row r="2228" spans="8:16" ht="15.75" customHeight="1">
      <c r="H2228" s="16"/>
      <c r="I2228" s="16"/>
      <c r="J2228" s="17"/>
      <c r="N2228" s="16"/>
      <c r="O2228" s="16"/>
      <c r="P2228" s="16"/>
    </row>
    <row r="2229" spans="8:16" ht="15.75" customHeight="1">
      <c r="H2229" s="16"/>
      <c r="I2229" s="16"/>
      <c r="J2229" s="17"/>
      <c r="N2229" s="16"/>
      <c r="O2229" s="16"/>
      <c r="P2229" s="16"/>
    </row>
    <row r="2230" spans="8:16" ht="15.75" customHeight="1">
      <c r="H2230" s="16"/>
      <c r="I2230" s="16"/>
      <c r="J2230" s="17"/>
      <c r="N2230" s="16"/>
      <c r="O2230" s="16"/>
      <c r="P2230" s="16"/>
    </row>
    <row r="2231" spans="8:16" ht="15.75" customHeight="1">
      <c r="H2231" s="16"/>
      <c r="I2231" s="16"/>
      <c r="J2231" s="17"/>
      <c r="N2231" s="16"/>
      <c r="O2231" s="16"/>
      <c r="P2231" s="16"/>
    </row>
    <row r="2232" spans="8:16" ht="15.75" customHeight="1">
      <c r="H2232" s="16"/>
      <c r="I2232" s="16"/>
      <c r="J2232" s="17"/>
      <c r="N2232" s="16"/>
      <c r="O2232" s="16"/>
      <c r="P2232" s="16"/>
    </row>
    <row r="2233" spans="8:16" ht="15.75" customHeight="1">
      <c r="H2233" s="16"/>
      <c r="I2233" s="16"/>
      <c r="J2233" s="17"/>
      <c r="N2233" s="16"/>
      <c r="O2233" s="16"/>
      <c r="P2233" s="16"/>
    </row>
    <row r="2234" spans="8:16" ht="15.75" customHeight="1">
      <c r="H2234" s="16"/>
      <c r="I2234" s="16"/>
      <c r="J2234" s="17"/>
      <c r="N2234" s="16"/>
      <c r="O2234" s="16"/>
      <c r="P2234" s="16"/>
    </row>
    <row r="2235" spans="8:16" ht="15.75" customHeight="1">
      <c r="H2235" s="16"/>
      <c r="I2235" s="16"/>
      <c r="J2235" s="17"/>
      <c r="N2235" s="16"/>
      <c r="O2235" s="16"/>
      <c r="P2235" s="16"/>
    </row>
    <row r="2236" spans="8:16" ht="15.75" customHeight="1">
      <c r="H2236" s="16"/>
      <c r="I2236" s="16"/>
      <c r="J2236" s="17"/>
      <c r="N2236" s="16"/>
      <c r="O2236" s="16"/>
      <c r="P2236" s="16"/>
    </row>
    <row r="2237" spans="8:16" ht="15.75" customHeight="1">
      <c r="H2237" s="16"/>
      <c r="I2237" s="16"/>
      <c r="J2237" s="17"/>
      <c r="N2237" s="16"/>
      <c r="O2237" s="16"/>
      <c r="P2237" s="16"/>
    </row>
    <row r="2238" spans="8:16" ht="15.75" customHeight="1">
      <c r="H2238" s="16"/>
      <c r="I2238" s="16"/>
      <c r="J2238" s="17"/>
      <c r="N2238" s="16"/>
      <c r="O2238" s="16"/>
      <c r="P2238" s="16"/>
    </row>
    <row r="2239" spans="8:16" ht="15.75" customHeight="1">
      <c r="H2239" s="16"/>
      <c r="I2239" s="16"/>
      <c r="J2239" s="17"/>
      <c r="N2239" s="16"/>
      <c r="O2239" s="16"/>
      <c r="P2239" s="16"/>
    </row>
    <row r="2240" spans="8:16" ht="15.75" customHeight="1">
      <c r="H2240" s="16"/>
      <c r="I2240" s="16"/>
      <c r="J2240" s="17"/>
      <c r="N2240" s="16"/>
      <c r="O2240" s="16"/>
      <c r="P2240" s="16"/>
    </row>
    <row r="2241" spans="8:16" ht="15.75" customHeight="1">
      <c r="H2241" s="16"/>
      <c r="I2241" s="16"/>
      <c r="J2241" s="17"/>
      <c r="N2241" s="16"/>
      <c r="O2241" s="16"/>
      <c r="P2241" s="16"/>
    </row>
    <row r="2242" spans="8:16" ht="15.75" customHeight="1">
      <c r="H2242" s="16"/>
      <c r="I2242" s="16"/>
      <c r="J2242" s="17"/>
      <c r="N2242" s="16"/>
      <c r="O2242" s="16"/>
      <c r="P2242" s="16"/>
    </row>
    <row r="2243" spans="8:16" ht="15.75" customHeight="1">
      <c r="H2243" s="16"/>
      <c r="I2243" s="16"/>
      <c r="J2243" s="17"/>
      <c r="N2243" s="16"/>
      <c r="O2243" s="16"/>
      <c r="P2243" s="16"/>
    </row>
    <row r="2244" spans="8:16" ht="15.75" customHeight="1">
      <c r="H2244" s="16"/>
      <c r="I2244" s="16"/>
      <c r="J2244" s="17"/>
      <c r="N2244" s="16"/>
      <c r="O2244" s="16"/>
      <c r="P2244" s="16"/>
    </row>
    <row r="2245" spans="8:16" ht="15.75" customHeight="1">
      <c r="H2245" s="16"/>
      <c r="I2245" s="16"/>
      <c r="J2245" s="17"/>
      <c r="N2245" s="16"/>
      <c r="O2245" s="16"/>
      <c r="P2245" s="16"/>
    </row>
    <row r="2246" spans="8:16" ht="15.75" customHeight="1">
      <c r="H2246" s="16"/>
      <c r="I2246" s="16"/>
      <c r="J2246" s="17"/>
      <c r="N2246" s="16"/>
      <c r="O2246" s="16"/>
      <c r="P2246" s="16"/>
    </row>
    <row r="2247" spans="8:16" ht="15.75" customHeight="1">
      <c r="H2247" s="16"/>
      <c r="I2247" s="16"/>
      <c r="J2247" s="17"/>
      <c r="N2247" s="16"/>
      <c r="O2247" s="16"/>
      <c r="P2247" s="16"/>
    </row>
    <row r="2248" spans="8:16" ht="15.75" customHeight="1">
      <c r="H2248" s="16"/>
      <c r="I2248" s="16"/>
      <c r="J2248" s="17"/>
      <c r="N2248" s="16"/>
      <c r="O2248" s="16"/>
      <c r="P2248" s="16"/>
    </row>
    <row r="2249" spans="8:16" ht="15.75" customHeight="1">
      <c r="H2249" s="16"/>
      <c r="I2249" s="16"/>
      <c r="J2249" s="17"/>
      <c r="N2249" s="16"/>
      <c r="O2249" s="16"/>
      <c r="P2249" s="16"/>
    </row>
    <row r="2250" spans="8:16" ht="15.75" customHeight="1">
      <c r="H2250" s="16"/>
      <c r="I2250" s="16"/>
      <c r="J2250" s="17"/>
      <c r="N2250" s="16"/>
      <c r="O2250" s="16"/>
      <c r="P2250" s="16"/>
    </row>
    <row r="2251" spans="8:16" ht="15.75" customHeight="1">
      <c r="H2251" s="16"/>
      <c r="I2251" s="16"/>
      <c r="J2251" s="17"/>
      <c r="N2251" s="16"/>
      <c r="O2251" s="16"/>
      <c r="P2251" s="16"/>
    </row>
    <row r="2252" spans="8:16" ht="15.75" customHeight="1">
      <c r="H2252" s="16"/>
      <c r="I2252" s="16"/>
      <c r="J2252" s="17"/>
      <c r="N2252" s="16"/>
      <c r="O2252" s="16"/>
      <c r="P2252" s="16"/>
    </row>
    <row r="2253" spans="8:16" ht="15.75" customHeight="1">
      <c r="H2253" s="16"/>
      <c r="I2253" s="16"/>
      <c r="J2253" s="17"/>
      <c r="N2253" s="16"/>
      <c r="O2253" s="16"/>
      <c r="P2253" s="16"/>
    </row>
    <row r="2254" spans="8:16" ht="15.75" customHeight="1">
      <c r="H2254" s="16"/>
      <c r="I2254" s="16"/>
      <c r="J2254" s="17"/>
      <c r="N2254" s="16"/>
      <c r="O2254" s="16"/>
      <c r="P2254" s="16"/>
    </row>
    <row r="2255" spans="8:16" ht="15.75" customHeight="1">
      <c r="H2255" s="16"/>
      <c r="I2255" s="16"/>
      <c r="J2255" s="17"/>
      <c r="N2255" s="16"/>
      <c r="O2255" s="16"/>
      <c r="P2255" s="16"/>
    </row>
    <row r="2256" spans="8:16" ht="15.75" customHeight="1">
      <c r="H2256" s="16"/>
      <c r="I2256" s="16"/>
      <c r="J2256" s="17"/>
      <c r="N2256" s="16"/>
      <c r="O2256" s="16"/>
      <c r="P2256" s="16"/>
    </row>
    <row r="2257" spans="8:16" ht="15.75" customHeight="1">
      <c r="H2257" s="16"/>
      <c r="I2257" s="16"/>
      <c r="J2257" s="17"/>
      <c r="N2257" s="16"/>
      <c r="O2257" s="16"/>
      <c r="P2257" s="16"/>
    </row>
    <row r="2258" spans="8:16" ht="15.75" customHeight="1">
      <c r="H2258" s="16"/>
      <c r="I2258" s="16"/>
      <c r="J2258" s="17"/>
      <c r="N2258" s="16"/>
      <c r="O2258" s="16"/>
      <c r="P2258" s="16"/>
    </row>
    <row r="2259" spans="8:16" ht="15.75" customHeight="1">
      <c r="H2259" s="16"/>
      <c r="I2259" s="16"/>
      <c r="J2259" s="17"/>
      <c r="N2259" s="16"/>
      <c r="O2259" s="16"/>
      <c r="P2259" s="16"/>
    </row>
    <row r="2260" spans="8:16" ht="15.75" customHeight="1">
      <c r="H2260" s="16"/>
      <c r="I2260" s="16"/>
      <c r="J2260" s="17"/>
      <c r="N2260" s="16"/>
      <c r="O2260" s="16"/>
      <c r="P2260" s="16"/>
    </row>
    <row r="2261" spans="8:16" ht="15.75" customHeight="1">
      <c r="H2261" s="16"/>
      <c r="I2261" s="16"/>
      <c r="J2261" s="17"/>
      <c r="N2261" s="16"/>
      <c r="O2261" s="16"/>
      <c r="P2261" s="16"/>
    </row>
    <row r="2262" spans="8:16" ht="15.75" customHeight="1">
      <c r="H2262" s="16"/>
      <c r="I2262" s="16"/>
      <c r="J2262" s="17"/>
      <c r="N2262" s="16"/>
      <c r="O2262" s="16"/>
      <c r="P2262" s="16"/>
    </row>
    <row r="2263" spans="8:16" ht="15.75" customHeight="1">
      <c r="H2263" s="16"/>
      <c r="I2263" s="16"/>
      <c r="J2263" s="17"/>
      <c r="N2263" s="16"/>
      <c r="O2263" s="16"/>
      <c r="P2263" s="16"/>
    </row>
    <row r="2264" spans="8:16" ht="15.75" customHeight="1">
      <c r="H2264" s="16"/>
      <c r="I2264" s="16"/>
      <c r="J2264" s="17"/>
      <c r="N2264" s="16"/>
      <c r="O2264" s="16"/>
      <c r="P2264" s="16"/>
    </row>
    <row r="2265" spans="8:16" ht="15.75" customHeight="1">
      <c r="H2265" s="16"/>
      <c r="I2265" s="16"/>
      <c r="J2265" s="17"/>
      <c r="N2265" s="16"/>
      <c r="O2265" s="16"/>
      <c r="P2265" s="16"/>
    </row>
    <row r="2266" spans="8:16" ht="15.75" customHeight="1">
      <c r="H2266" s="16"/>
      <c r="I2266" s="16"/>
      <c r="J2266" s="17"/>
      <c r="N2266" s="16"/>
      <c r="O2266" s="16"/>
      <c r="P2266" s="16"/>
    </row>
    <row r="2267" spans="8:16" ht="15.75" customHeight="1">
      <c r="H2267" s="16"/>
      <c r="I2267" s="16"/>
      <c r="J2267" s="17"/>
      <c r="N2267" s="16"/>
      <c r="O2267" s="16"/>
      <c r="P2267" s="16"/>
    </row>
    <row r="2268" spans="8:16" ht="15.75" customHeight="1">
      <c r="H2268" s="16"/>
      <c r="I2268" s="16"/>
      <c r="J2268" s="17"/>
      <c r="N2268" s="16"/>
      <c r="O2268" s="16"/>
      <c r="P2268" s="16"/>
    </row>
    <row r="2269" spans="8:16" ht="15.75" customHeight="1">
      <c r="H2269" s="16"/>
      <c r="I2269" s="16"/>
      <c r="J2269" s="17"/>
      <c r="N2269" s="16"/>
      <c r="O2269" s="16"/>
      <c r="P2269" s="16"/>
    </row>
    <row r="2270" spans="8:16" ht="15.75" customHeight="1">
      <c r="H2270" s="16"/>
      <c r="I2270" s="16"/>
      <c r="J2270" s="17"/>
      <c r="N2270" s="16"/>
      <c r="O2270" s="16"/>
      <c r="P2270" s="16"/>
    </row>
    <row r="2271" spans="8:16" ht="15.75" customHeight="1">
      <c r="H2271" s="16"/>
      <c r="I2271" s="16"/>
      <c r="J2271" s="17"/>
      <c r="N2271" s="16"/>
      <c r="O2271" s="16"/>
      <c r="P2271" s="16"/>
    </row>
    <row r="2272" spans="8:16" ht="15.75" customHeight="1">
      <c r="H2272" s="16"/>
      <c r="I2272" s="16"/>
      <c r="J2272" s="17"/>
      <c r="N2272" s="16"/>
      <c r="O2272" s="16"/>
      <c r="P2272" s="16"/>
    </row>
    <row r="2273" spans="8:16" ht="15.75" customHeight="1">
      <c r="H2273" s="16"/>
      <c r="I2273" s="16"/>
      <c r="J2273" s="17"/>
      <c r="N2273" s="16"/>
      <c r="O2273" s="16"/>
      <c r="P2273" s="16"/>
    </row>
    <row r="2274" spans="8:16" ht="15.75" customHeight="1">
      <c r="H2274" s="16"/>
      <c r="I2274" s="16"/>
      <c r="J2274" s="17"/>
      <c r="N2274" s="16"/>
      <c r="O2274" s="16"/>
      <c r="P2274" s="16"/>
    </row>
    <row r="2275" spans="8:16" ht="15.75" customHeight="1">
      <c r="H2275" s="16"/>
      <c r="I2275" s="16"/>
      <c r="J2275" s="17"/>
      <c r="N2275" s="16"/>
      <c r="O2275" s="16"/>
      <c r="P2275" s="16"/>
    </row>
    <row r="2276" spans="8:16" ht="15.75" customHeight="1">
      <c r="H2276" s="16"/>
      <c r="I2276" s="16"/>
      <c r="J2276" s="17"/>
      <c r="N2276" s="16"/>
      <c r="O2276" s="16"/>
      <c r="P2276" s="16"/>
    </row>
    <row r="2277" spans="8:16" ht="15.75" customHeight="1">
      <c r="H2277" s="16"/>
      <c r="I2277" s="16"/>
      <c r="J2277" s="17"/>
      <c r="N2277" s="16"/>
      <c r="O2277" s="16"/>
      <c r="P2277" s="16"/>
    </row>
    <row r="2278" spans="8:16" ht="15.75" customHeight="1">
      <c r="H2278" s="16"/>
      <c r="I2278" s="16"/>
      <c r="J2278" s="17"/>
      <c r="N2278" s="16"/>
      <c r="O2278" s="16"/>
      <c r="P2278" s="16"/>
    </row>
    <row r="2279" spans="8:16" ht="15.75" customHeight="1">
      <c r="H2279" s="16"/>
      <c r="I2279" s="16"/>
      <c r="J2279" s="17"/>
      <c r="N2279" s="16"/>
      <c r="O2279" s="16"/>
      <c r="P2279" s="16"/>
    </row>
    <row r="2280" spans="8:16" ht="15.75" customHeight="1">
      <c r="H2280" s="16"/>
      <c r="I2280" s="16"/>
      <c r="J2280" s="17"/>
      <c r="N2280" s="16"/>
      <c r="O2280" s="16"/>
      <c r="P2280" s="16"/>
    </row>
    <row r="2281" spans="8:16" ht="15.75" customHeight="1">
      <c r="H2281" s="16"/>
      <c r="I2281" s="16"/>
      <c r="J2281" s="17"/>
      <c r="N2281" s="16"/>
      <c r="O2281" s="16"/>
      <c r="P2281" s="16"/>
    </row>
    <row r="2282" spans="8:16" ht="15.75" customHeight="1">
      <c r="H2282" s="16"/>
      <c r="I2282" s="16"/>
      <c r="J2282" s="17"/>
      <c r="N2282" s="16"/>
      <c r="O2282" s="16"/>
      <c r="P2282" s="16"/>
    </row>
    <row r="2283" spans="8:16" ht="15.75" customHeight="1">
      <c r="H2283" s="16"/>
      <c r="I2283" s="16"/>
      <c r="J2283" s="17"/>
      <c r="N2283" s="16"/>
      <c r="O2283" s="16"/>
      <c r="P2283" s="16"/>
    </row>
    <row r="2284" spans="8:16" ht="15.75" customHeight="1">
      <c r="H2284" s="16"/>
      <c r="I2284" s="16"/>
      <c r="J2284" s="17"/>
      <c r="N2284" s="16"/>
      <c r="O2284" s="16"/>
      <c r="P2284" s="16"/>
    </row>
    <row r="2285" spans="8:16" ht="15.75" customHeight="1">
      <c r="H2285" s="16"/>
      <c r="I2285" s="16"/>
      <c r="J2285" s="17"/>
      <c r="N2285" s="16"/>
      <c r="O2285" s="16"/>
      <c r="P2285" s="16"/>
    </row>
    <row r="2286" spans="8:16" ht="15.75" customHeight="1">
      <c r="H2286" s="16"/>
      <c r="I2286" s="16"/>
      <c r="J2286" s="17"/>
      <c r="N2286" s="16"/>
      <c r="O2286" s="16"/>
      <c r="P2286" s="16"/>
    </row>
    <row r="2287" spans="8:16" ht="15.75" customHeight="1">
      <c r="H2287" s="16"/>
      <c r="I2287" s="16"/>
      <c r="J2287" s="17"/>
      <c r="N2287" s="16"/>
      <c r="O2287" s="16"/>
      <c r="P2287" s="16"/>
    </row>
    <row r="2288" spans="8:16" ht="15.75" customHeight="1">
      <c r="H2288" s="16"/>
      <c r="I2288" s="16"/>
      <c r="J2288" s="17"/>
      <c r="N2288" s="16"/>
      <c r="O2288" s="16"/>
      <c r="P2288" s="16"/>
    </row>
    <row r="2289" spans="8:16" ht="15.75" customHeight="1">
      <c r="H2289" s="16"/>
      <c r="I2289" s="16"/>
      <c r="J2289" s="17"/>
      <c r="N2289" s="16"/>
      <c r="O2289" s="16"/>
      <c r="P2289" s="16"/>
    </row>
    <row r="2290" spans="8:16" ht="15.75" customHeight="1">
      <c r="H2290" s="16"/>
      <c r="I2290" s="16"/>
      <c r="J2290" s="17"/>
      <c r="N2290" s="16"/>
      <c r="O2290" s="16"/>
      <c r="P2290" s="16"/>
    </row>
    <row r="2291" spans="8:16" ht="15.75" customHeight="1">
      <c r="H2291" s="16"/>
      <c r="I2291" s="16"/>
      <c r="J2291" s="17"/>
      <c r="N2291" s="16"/>
      <c r="O2291" s="16"/>
      <c r="P2291" s="16"/>
    </row>
    <row r="2292" spans="8:16" ht="15.75" customHeight="1">
      <c r="H2292" s="16"/>
      <c r="I2292" s="16"/>
      <c r="J2292" s="17"/>
      <c r="N2292" s="16"/>
      <c r="O2292" s="16"/>
      <c r="P2292" s="16"/>
    </row>
    <row r="2293" spans="8:16" ht="15.75" customHeight="1">
      <c r="H2293" s="16"/>
      <c r="I2293" s="16"/>
      <c r="J2293" s="17"/>
      <c r="N2293" s="16"/>
      <c r="O2293" s="16"/>
      <c r="P2293" s="16"/>
    </row>
    <row r="2294" spans="8:16" ht="15.75" customHeight="1">
      <c r="H2294" s="16"/>
      <c r="I2294" s="16"/>
      <c r="J2294" s="17"/>
      <c r="N2294" s="16"/>
      <c r="O2294" s="16"/>
      <c r="P2294" s="16"/>
    </row>
    <row r="2295" spans="8:16" ht="15.75" customHeight="1">
      <c r="H2295" s="16"/>
      <c r="I2295" s="16"/>
      <c r="J2295" s="17"/>
      <c r="N2295" s="16"/>
      <c r="O2295" s="16"/>
      <c r="P2295" s="16"/>
    </row>
    <row r="2296" spans="8:16" ht="15.75" customHeight="1">
      <c r="H2296" s="16"/>
      <c r="I2296" s="16"/>
      <c r="J2296" s="17"/>
      <c r="N2296" s="16"/>
      <c r="O2296" s="16"/>
      <c r="P2296" s="16"/>
    </row>
    <row r="2297" spans="8:16" ht="15.75" customHeight="1">
      <c r="H2297" s="16"/>
      <c r="I2297" s="16"/>
      <c r="J2297" s="17"/>
      <c r="N2297" s="16"/>
      <c r="O2297" s="16"/>
      <c r="P2297" s="16"/>
    </row>
    <row r="2298" spans="8:16" ht="15.75" customHeight="1">
      <c r="H2298" s="16"/>
      <c r="I2298" s="16"/>
      <c r="J2298" s="17"/>
      <c r="N2298" s="16"/>
      <c r="O2298" s="16"/>
      <c r="P2298" s="16"/>
    </row>
    <row r="2299" spans="8:16" ht="15.75" customHeight="1">
      <c r="H2299" s="16"/>
      <c r="I2299" s="16"/>
      <c r="J2299" s="17"/>
      <c r="N2299" s="16"/>
      <c r="O2299" s="16"/>
      <c r="P2299" s="16"/>
    </row>
    <row r="2300" spans="8:16" ht="15.75" customHeight="1">
      <c r="H2300" s="16"/>
      <c r="I2300" s="16"/>
      <c r="J2300" s="17"/>
      <c r="N2300" s="16"/>
      <c r="O2300" s="16"/>
      <c r="P2300" s="16"/>
    </row>
    <row r="2301" spans="8:16" ht="15.75" customHeight="1">
      <c r="H2301" s="16"/>
      <c r="I2301" s="16"/>
      <c r="J2301" s="17"/>
      <c r="N2301" s="16"/>
      <c r="O2301" s="16"/>
      <c r="P2301" s="16"/>
    </row>
    <row r="2302" spans="8:16" ht="15.75" customHeight="1">
      <c r="H2302" s="16"/>
      <c r="I2302" s="16"/>
      <c r="J2302" s="17"/>
      <c r="N2302" s="16"/>
      <c r="O2302" s="16"/>
      <c r="P2302" s="16"/>
    </row>
    <row r="2303" spans="8:16" ht="15.75" customHeight="1">
      <c r="H2303" s="16"/>
      <c r="I2303" s="16"/>
      <c r="J2303" s="17"/>
      <c r="N2303" s="16"/>
      <c r="O2303" s="16"/>
      <c r="P2303" s="16"/>
    </row>
    <row r="2304" spans="8:16" ht="15.75" customHeight="1">
      <c r="H2304" s="16"/>
      <c r="I2304" s="16"/>
      <c r="J2304" s="17"/>
      <c r="N2304" s="16"/>
      <c r="O2304" s="16"/>
      <c r="P2304" s="16"/>
    </row>
    <row r="2305" spans="8:16" ht="15.75" customHeight="1">
      <c r="H2305" s="16"/>
      <c r="I2305" s="16"/>
      <c r="J2305" s="17"/>
      <c r="N2305" s="16"/>
      <c r="O2305" s="16"/>
      <c r="P2305" s="16"/>
    </row>
    <row r="2306" spans="8:16" ht="15.75" customHeight="1">
      <c r="H2306" s="16"/>
      <c r="I2306" s="16"/>
      <c r="J2306" s="17"/>
      <c r="N2306" s="16"/>
      <c r="O2306" s="16"/>
      <c r="P2306" s="16"/>
    </row>
    <row r="2307" spans="8:16" ht="15.75" customHeight="1">
      <c r="H2307" s="16"/>
      <c r="I2307" s="16"/>
      <c r="J2307" s="17"/>
      <c r="N2307" s="16"/>
      <c r="O2307" s="16"/>
      <c r="P2307" s="16"/>
    </row>
    <row r="2308" spans="8:16" ht="15.75" customHeight="1">
      <c r="H2308" s="16"/>
      <c r="I2308" s="16"/>
      <c r="J2308" s="17"/>
      <c r="N2308" s="16"/>
      <c r="O2308" s="16"/>
      <c r="P2308" s="16"/>
    </row>
    <row r="2309" spans="8:16" ht="15.75" customHeight="1">
      <c r="H2309" s="16"/>
      <c r="I2309" s="16"/>
      <c r="J2309" s="17"/>
      <c r="N2309" s="16"/>
      <c r="O2309" s="16"/>
      <c r="P2309" s="16"/>
    </row>
    <row r="2310" spans="8:16" ht="15.75" customHeight="1">
      <c r="H2310" s="16"/>
      <c r="I2310" s="16"/>
      <c r="J2310" s="17"/>
      <c r="N2310" s="16"/>
      <c r="O2310" s="16"/>
      <c r="P2310" s="16"/>
    </row>
    <row r="2311" spans="8:16" ht="15.75" customHeight="1">
      <c r="H2311" s="16"/>
      <c r="I2311" s="16"/>
      <c r="J2311" s="17"/>
      <c r="N2311" s="16"/>
      <c r="O2311" s="16"/>
      <c r="P2311" s="16"/>
    </row>
    <row r="2312" spans="8:16" ht="15.75" customHeight="1">
      <c r="H2312" s="16"/>
      <c r="I2312" s="16"/>
      <c r="J2312" s="17"/>
      <c r="N2312" s="16"/>
      <c r="O2312" s="16"/>
      <c r="P2312" s="16"/>
    </row>
    <row r="2313" spans="8:16" ht="15.75" customHeight="1">
      <c r="H2313" s="16"/>
      <c r="I2313" s="16"/>
      <c r="J2313" s="17"/>
      <c r="N2313" s="16"/>
      <c r="O2313" s="16"/>
      <c r="P2313" s="16"/>
    </row>
    <row r="2314" spans="8:16" ht="15.75" customHeight="1">
      <c r="H2314" s="16"/>
      <c r="I2314" s="16"/>
      <c r="J2314" s="17"/>
      <c r="N2314" s="16"/>
      <c r="O2314" s="16"/>
      <c r="P2314" s="16"/>
    </row>
    <row r="2315" spans="8:16" ht="15.75" customHeight="1">
      <c r="H2315" s="16"/>
      <c r="I2315" s="16"/>
      <c r="J2315" s="17"/>
      <c r="N2315" s="16"/>
      <c r="O2315" s="16"/>
      <c r="P2315" s="16"/>
    </row>
    <row r="2316" spans="8:16" ht="15.75" customHeight="1">
      <c r="H2316" s="16"/>
      <c r="I2316" s="16"/>
      <c r="J2316" s="17"/>
      <c r="N2316" s="16"/>
      <c r="O2316" s="16"/>
      <c r="P2316" s="16"/>
    </row>
    <row r="2317" spans="8:16" ht="15.75" customHeight="1">
      <c r="H2317" s="16"/>
      <c r="I2317" s="16"/>
      <c r="J2317" s="17"/>
      <c r="N2317" s="16"/>
      <c r="O2317" s="16"/>
      <c r="P2317" s="16"/>
    </row>
    <row r="2318" spans="8:16" ht="15.75" customHeight="1">
      <c r="H2318" s="16"/>
      <c r="I2318" s="16"/>
      <c r="J2318" s="17"/>
      <c r="N2318" s="16"/>
      <c r="O2318" s="16"/>
      <c r="P2318" s="16"/>
    </row>
    <row r="2319" spans="8:16" ht="15.75" customHeight="1">
      <c r="H2319" s="16"/>
      <c r="I2319" s="16"/>
      <c r="J2319" s="17"/>
      <c r="N2319" s="16"/>
      <c r="O2319" s="16"/>
      <c r="P2319" s="16"/>
    </row>
    <row r="2320" spans="8:16" ht="15.75" customHeight="1">
      <c r="H2320" s="16"/>
      <c r="I2320" s="16"/>
      <c r="J2320" s="17"/>
      <c r="N2320" s="16"/>
      <c r="O2320" s="16"/>
      <c r="P2320" s="16"/>
    </row>
    <row r="2321" spans="8:16" ht="15.75" customHeight="1">
      <c r="H2321" s="16"/>
      <c r="I2321" s="16"/>
      <c r="J2321" s="17"/>
      <c r="N2321" s="16"/>
      <c r="O2321" s="16"/>
      <c r="P2321" s="16"/>
    </row>
    <row r="2322" spans="8:16" ht="15.75" customHeight="1">
      <c r="H2322" s="16"/>
      <c r="I2322" s="16"/>
      <c r="J2322" s="17"/>
      <c r="N2322" s="16"/>
      <c r="O2322" s="16"/>
      <c r="P2322" s="16"/>
    </row>
    <row r="2323" spans="8:16" ht="15.75" customHeight="1">
      <c r="H2323" s="16"/>
      <c r="I2323" s="16"/>
      <c r="J2323" s="17"/>
      <c r="N2323" s="16"/>
      <c r="O2323" s="16"/>
      <c r="P2323" s="16"/>
    </row>
    <row r="2324" spans="8:16" ht="15.75" customHeight="1">
      <c r="H2324" s="16"/>
      <c r="I2324" s="16"/>
      <c r="J2324" s="17"/>
      <c r="N2324" s="16"/>
      <c r="O2324" s="16"/>
      <c r="P2324" s="16"/>
    </row>
    <row r="2325" spans="8:16" ht="15.75" customHeight="1">
      <c r="H2325" s="16"/>
      <c r="I2325" s="16"/>
      <c r="J2325" s="17"/>
      <c r="N2325" s="16"/>
      <c r="O2325" s="16"/>
      <c r="P2325" s="16"/>
    </row>
    <row r="2326" spans="8:16" ht="15.75" customHeight="1">
      <c r="H2326" s="16"/>
      <c r="I2326" s="16"/>
      <c r="J2326" s="17"/>
      <c r="N2326" s="16"/>
      <c r="O2326" s="16"/>
      <c r="P2326" s="16"/>
    </row>
    <row r="2327" spans="8:16" ht="15.75" customHeight="1">
      <c r="H2327" s="16"/>
      <c r="I2327" s="16"/>
      <c r="J2327" s="17"/>
      <c r="N2327" s="16"/>
      <c r="O2327" s="16"/>
      <c r="P2327" s="16"/>
    </row>
    <row r="2328" spans="8:16" ht="15.75" customHeight="1">
      <c r="H2328" s="16"/>
      <c r="I2328" s="16"/>
      <c r="J2328" s="17"/>
      <c r="N2328" s="16"/>
      <c r="O2328" s="16"/>
      <c r="P2328" s="16"/>
    </row>
    <row r="2329" spans="8:16" ht="15.75" customHeight="1">
      <c r="H2329" s="16"/>
      <c r="I2329" s="16"/>
      <c r="J2329" s="17"/>
      <c r="N2329" s="16"/>
      <c r="O2329" s="16"/>
      <c r="P2329" s="16"/>
    </row>
    <row r="2330" spans="8:16" ht="15.75" customHeight="1">
      <c r="H2330" s="16"/>
      <c r="I2330" s="16"/>
      <c r="J2330" s="17"/>
      <c r="N2330" s="16"/>
      <c r="O2330" s="16"/>
      <c r="P2330" s="16"/>
    </row>
    <row r="2331" spans="8:16" ht="15.75" customHeight="1">
      <c r="H2331" s="16"/>
      <c r="I2331" s="16"/>
      <c r="J2331" s="17"/>
      <c r="N2331" s="16"/>
      <c r="O2331" s="16"/>
      <c r="P2331" s="16"/>
    </row>
    <row r="2332" spans="8:16" ht="15.75" customHeight="1">
      <c r="H2332" s="16"/>
      <c r="I2332" s="16"/>
      <c r="J2332" s="17"/>
      <c r="N2332" s="16"/>
      <c r="O2332" s="16"/>
      <c r="P2332" s="16"/>
    </row>
    <row r="2333" spans="8:16" ht="15.75" customHeight="1">
      <c r="H2333" s="16"/>
      <c r="I2333" s="16"/>
      <c r="J2333" s="17"/>
      <c r="N2333" s="16"/>
      <c r="O2333" s="16"/>
      <c r="P2333" s="16"/>
    </row>
    <row r="2334" spans="8:16" ht="15.75" customHeight="1">
      <c r="H2334" s="16"/>
      <c r="I2334" s="16"/>
      <c r="J2334" s="17"/>
      <c r="N2334" s="16"/>
      <c r="O2334" s="16"/>
      <c r="P2334" s="16"/>
    </row>
    <row r="2335" spans="8:16" ht="15.75" customHeight="1">
      <c r="H2335" s="16"/>
      <c r="I2335" s="16"/>
      <c r="J2335" s="17"/>
      <c r="N2335" s="16"/>
      <c r="O2335" s="16"/>
      <c r="P2335" s="16"/>
    </row>
    <row r="2336" spans="8:16" ht="15.75" customHeight="1">
      <c r="H2336" s="16"/>
      <c r="I2336" s="16"/>
      <c r="J2336" s="17"/>
      <c r="N2336" s="16"/>
      <c r="O2336" s="16"/>
      <c r="P2336" s="16"/>
    </row>
    <row r="2337" spans="8:16" ht="15.75" customHeight="1">
      <c r="H2337" s="16"/>
      <c r="I2337" s="16"/>
      <c r="J2337" s="17"/>
      <c r="N2337" s="16"/>
      <c r="O2337" s="16"/>
      <c r="P2337" s="16"/>
    </row>
    <row r="2338" spans="8:16" ht="15.75" customHeight="1">
      <c r="H2338" s="16"/>
      <c r="I2338" s="16"/>
      <c r="J2338" s="17"/>
      <c r="N2338" s="16"/>
      <c r="O2338" s="16"/>
      <c r="P2338" s="16"/>
    </row>
    <row r="2339" spans="8:16" ht="15.75" customHeight="1">
      <c r="H2339" s="16"/>
      <c r="I2339" s="16"/>
      <c r="J2339" s="17"/>
      <c r="N2339" s="16"/>
      <c r="O2339" s="16"/>
      <c r="P2339" s="16"/>
    </row>
    <row r="2340" spans="8:16" ht="15.75" customHeight="1">
      <c r="H2340" s="16"/>
      <c r="I2340" s="16"/>
      <c r="J2340" s="17"/>
      <c r="N2340" s="16"/>
      <c r="O2340" s="16"/>
      <c r="P2340" s="16"/>
    </row>
    <row r="2341" spans="8:16" ht="15.75" customHeight="1">
      <c r="H2341" s="16"/>
      <c r="I2341" s="16"/>
      <c r="J2341" s="17"/>
      <c r="N2341" s="16"/>
      <c r="O2341" s="16"/>
      <c r="P2341" s="16"/>
    </row>
    <row r="2342" spans="8:16" ht="15.75" customHeight="1">
      <c r="H2342" s="16"/>
      <c r="I2342" s="16"/>
      <c r="J2342" s="17"/>
      <c r="N2342" s="16"/>
      <c r="O2342" s="16"/>
      <c r="P2342" s="16"/>
    </row>
    <row r="2343" spans="8:16" ht="15.75" customHeight="1">
      <c r="H2343" s="16"/>
      <c r="I2343" s="16"/>
      <c r="J2343" s="17"/>
      <c r="N2343" s="16"/>
      <c r="O2343" s="16"/>
      <c r="P2343" s="16"/>
    </row>
    <row r="2344" spans="8:16" ht="15.75" customHeight="1">
      <c r="H2344" s="16"/>
      <c r="I2344" s="16"/>
      <c r="J2344" s="17"/>
      <c r="N2344" s="16"/>
      <c r="O2344" s="16"/>
      <c r="P2344" s="16"/>
    </row>
    <row r="2345" spans="8:16" ht="15.75" customHeight="1">
      <c r="H2345" s="16"/>
      <c r="I2345" s="16"/>
      <c r="J2345" s="17"/>
      <c r="N2345" s="16"/>
      <c r="O2345" s="16"/>
      <c r="P2345" s="16"/>
    </row>
    <row r="2346" spans="8:16" ht="15.75" customHeight="1">
      <c r="H2346" s="16"/>
      <c r="I2346" s="16"/>
      <c r="J2346" s="17"/>
      <c r="N2346" s="16"/>
      <c r="O2346" s="16"/>
      <c r="P2346" s="16"/>
    </row>
    <row r="2347" spans="8:16" ht="15.75" customHeight="1">
      <c r="H2347" s="16"/>
      <c r="I2347" s="16"/>
      <c r="J2347" s="17"/>
      <c r="N2347" s="16"/>
      <c r="O2347" s="16"/>
      <c r="P2347" s="16"/>
    </row>
    <row r="2348" spans="8:16" ht="15.75" customHeight="1">
      <c r="H2348" s="16"/>
      <c r="I2348" s="16"/>
      <c r="J2348" s="17"/>
      <c r="N2348" s="16"/>
      <c r="O2348" s="16"/>
      <c r="P2348" s="16"/>
    </row>
    <row r="2349" spans="8:16" ht="15.75" customHeight="1">
      <c r="H2349" s="16"/>
      <c r="I2349" s="16"/>
      <c r="J2349" s="17"/>
      <c r="N2349" s="16"/>
      <c r="O2349" s="16"/>
      <c r="P2349" s="16"/>
    </row>
    <row r="2350" spans="8:16" ht="15.75" customHeight="1">
      <c r="H2350" s="16"/>
      <c r="I2350" s="16"/>
      <c r="J2350" s="17"/>
      <c r="N2350" s="16"/>
      <c r="O2350" s="16"/>
      <c r="P2350" s="16"/>
    </row>
    <row r="2351" spans="8:16" ht="15.75" customHeight="1">
      <c r="H2351" s="16"/>
      <c r="I2351" s="16"/>
      <c r="J2351" s="17"/>
      <c r="N2351" s="16"/>
      <c r="O2351" s="16"/>
      <c r="P2351" s="16"/>
    </row>
    <row r="2352" spans="8:16" ht="15.75" customHeight="1">
      <c r="H2352" s="16"/>
      <c r="I2352" s="16"/>
      <c r="J2352" s="17"/>
      <c r="N2352" s="16"/>
      <c r="O2352" s="16"/>
      <c r="P2352" s="16"/>
    </row>
    <row r="2353" spans="8:16" ht="15.75" customHeight="1">
      <c r="H2353" s="16"/>
      <c r="I2353" s="16"/>
      <c r="J2353" s="17"/>
      <c r="N2353" s="16"/>
      <c r="O2353" s="16"/>
      <c r="P2353" s="16"/>
    </row>
    <row r="2354" spans="8:16" ht="15.75" customHeight="1">
      <c r="H2354" s="16"/>
      <c r="I2354" s="16"/>
      <c r="J2354" s="17"/>
      <c r="N2354" s="16"/>
      <c r="O2354" s="16"/>
      <c r="P2354" s="16"/>
    </row>
    <row r="2355" spans="8:16" ht="15.75" customHeight="1">
      <c r="H2355" s="16"/>
      <c r="I2355" s="16"/>
      <c r="J2355" s="17"/>
      <c r="N2355" s="16"/>
      <c r="O2355" s="16"/>
      <c r="P2355" s="16"/>
    </row>
    <row r="2356" spans="8:16" ht="15.75" customHeight="1">
      <c r="H2356" s="16"/>
      <c r="I2356" s="16"/>
      <c r="J2356" s="17"/>
      <c r="N2356" s="16"/>
      <c r="O2356" s="16"/>
      <c r="P2356" s="16"/>
    </row>
    <row r="2357" spans="8:16" ht="15.75" customHeight="1">
      <c r="H2357" s="16"/>
      <c r="I2357" s="16"/>
      <c r="J2357" s="17"/>
      <c r="N2357" s="16"/>
      <c r="O2357" s="16"/>
      <c r="P2357" s="16"/>
    </row>
    <row r="2358" spans="8:16" ht="15.75" customHeight="1">
      <c r="H2358" s="16"/>
      <c r="I2358" s="16"/>
      <c r="J2358" s="17"/>
      <c r="N2358" s="16"/>
      <c r="O2358" s="16"/>
      <c r="P2358" s="16"/>
    </row>
    <row r="2359" spans="8:16" ht="15.75" customHeight="1">
      <c r="H2359" s="16"/>
      <c r="I2359" s="16"/>
      <c r="J2359" s="17"/>
      <c r="N2359" s="16"/>
      <c r="O2359" s="16"/>
      <c r="P2359" s="16"/>
    </row>
    <row r="2360" spans="8:16" ht="15.75" customHeight="1">
      <c r="H2360" s="16"/>
      <c r="I2360" s="16"/>
      <c r="J2360" s="17"/>
      <c r="N2360" s="16"/>
      <c r="O2360" s="16"/>
      <c r="P2360" s="16"/>
    </row>
    <row r="2361" spans="8:16" ht="15.75" customHeight="1">
      <c r="H2361" s="16"/>
      <c r="I2361" s="16"/>
      <c r="J2361" s="17"/>
      <c r="N2361" s="16"/>
      <c r="O2361" s="16"/>
      <c r="P2361" s="16"/>
    </row>
    <row r="2362" spans="8:16" ht="15.75" customHeight="1">
      <c r="H2362" s="16"/>
      <c r="I2362" s="16"/>
      <c r="J2362" s="17"/>
      <c r="N2362" s="16"/>
      <c r="O2362" s="16"/>
      <c r="P2362" s="16"/>
    </row>
    <row r="2363" spans="8:16" ht="15.75" customHeight="1">
      <c r="H2363" s="16"/>
      <c r="I2363" s="16"/>
      <c r="J2363" s="17"/>
      <c r="N2363" s="16"/>
      <c r="O2363" s="16"/>
      <c r="P2363" s="16"/>
    </row>
    <row r="2364" spans="8:16" ht="15.75" customHeight="1">
      <c r="H2364" s="16"/>
      <c r="I2364" s="16"/>
      <c r="J2364" s="17"/>
      <c r="N2364" s="16"/>
      <c r="O2364" s="16"/>
      <c r="P2364" s="16"/>
    </row>
    <row r="2365" spans="8:16" ht="15.75" customHeight="1">
      <c r="H2365" s="16"/>
      <c r="I2365" s="16"/>
      <c r="J2365" s="17"/>
      <c r="N2365" s="16"/>
      <c r="O2365" s="16"/>
      <c r="P2365" s="16"/>
    </row>
    <row r="2366" spans="8:16" ht="15.75" customHeight="1">
      <c r="H2366" s="16"/>
      <c r="I2366" s="16"/>
      <c r="J2366" s="17"/>
      <c r="N2366" s="16"/>
      <c r="O2366" s="16"/>
      <c r="P2366" s="16"/>
    </row>
    <row r="2367" spans="8:16" ht="15.75" customHeight="1">
      <c r="H2367" s="16"/>
      <c r="I2367" s="16"/>
      <c r="J2367" s="17"/>
      <c r="N2367" s="16"/>
      <c r="O2367" s="16"/>
      <c r="P2367" s="16"/>
    </row>
    <row r="2368" spans="8:16" ht="15.75" customHeight="1">
      <c r="H2368" s="16"/>
      <c r="I2368" s="16"/>
      <c r="J2368" s="17"/>
      <c r="N2368" s="16"/>
      <c r="O2368" s="16"/>
      <c r="P2368" s="16"/>
    </row>
    <row r="2369" spans="8:16" ht="15.75" customHeight="1">
      <c r="H2369" s="16"/>
      <c r="I2369" s="16"/>
      <c r="J2369" s="17"/>
      <c r="N2369" s="16"/>
      <c r="O2369" s="16"/>
      <c r="P2369" s="16"/>
    </row>
    <row r="2370" spans="8:16" ht="15.75" customHeight="1">
      <c r="H2370" s="16"/>
      <c r="I2370" s="16"/>
      <c r="J2370" s="17"/>
      <c r="N2370" s="16"/>
      <c r="O2370" s="16"/>
      <c r="P2370" s="16"/>
    </row>
    <row r="2371" spans="8:16" ht="15.75" customHeight="1">
      <c r="H2371" s="16"/>
      <c r="I2371" s="16"/>
      <c r="J2371" s="17"/>
      <c r="N2371" s="16"/>
      <c r="O2371" s="16"/>
      <c r="P2371" s="16"/>
    </row>
    <row r="2372" spans="8:16" ht="15.75" customHeight="1">
      <c r="H2372" s="16"/>
      <c r="I2372" s="16"/>
      <c r="J2372" s="17"/>
      <c r="N2372" s="16"/>
      <c r="O2372" s="16"/>
      <c r="P2372" s="16"/>
    </row>
    <row r="2373" spans="8:16" ht="15.75" customHeight="1">
      <c r="H2373" s="16"/>
      <c r="I2373" s="16"/>
      <c r="J2373" s="17"/>
      <c r="N2373" s="16"/>
      <c r="O2373" s="16"/>
      <c r="P2373" s="16"/>
    </row>
    <row r="2374" spans="8:16" ht="15.75" customHeight="1">
      <c r="H2374" s="16"/>
      <c r="I2374" s="16"/>
      <c r="J2374" s="17"/>
      <c r="N2374" s="16"/>
      <c r="O2374" s="16"/>
      <c r="P2374" s="16"/>
    </row>
    <row r="2375" spans="8:16" ht="15.75" customHeight="1">
      <c r="H2375" s="16"/>
      <c r="I2375" s="16"/>
      <c r="J2375" s="17"/>
      <c r="N2375" s="16"/>
      <c r="O2375" s="16"/>
      <c r="P2375" s="16"/>
    </row>
    <row r="2376" spans="8:16" ht="15.75" customHeight="1">
      <c r="H2376" s="16"/>
      <c r="I2376" s="16"/>
      <c r="J2376" s="17"/>
      <c r="N2376" s="16"/>
      <c r="O2376" s="16"/>
      <c r="P2376" s="16"/>
    </row>
    <row r="2377" spans="8:16" ht="15.75" customHeight="1">
      <c r="H2377" s="16"/>
      <c r="I2377" s="16"/>
      <c r="J2377" s="17"/>
      <c r="N2377" s="16"/>
      <c r="O2377" s="16"/>
      <c r="P2377" s="16"/>
    </row>
    <row r="2378" spans="8:16" ht="15.75" customHeight="1">
      <c r="H2378" s="16"/>
      <c r="I2378" s="16"/>
      <c r="J2378" s="17"/>
      <c r="N2378" s="16"/>
      <c r="O2378" s="16"/>
      <c r="P2378" s="16"/>
    </row>
    <row r="2379" spans="8:16" ht="15.75" customHeight="1">
      <c r="H2379" s="16"/>
      <c r="I2379" s="16"/>
      <c r="J2379" s="17"/>
      <c r="N2379" s="16"/>
      <c r="O2379" s="16"/>
      <c r="P2379" s="16"/>
    </row>
    <row r="2380" spans="8:16" ht="15.75" customHeight="1">
      <c r="H2380" s="16"/>
      <c r="I2380" s="16"/>
      <c r="J2380" s="17"/>
      <c r="N2380" s="16"/>
      <c r="O2380" s="16"/>
      <c r="P2380" s="16"/>
    </row>
    <row r="2381" spans="8:16" ht="15.75" customHeight="1">
      <c r="H2381" s="16"/>
      <c r="I2381" s="16"/>
      <c r="J2381" s="17"/>
      <c r="N2381" s="16"/>
      <c r="O2381" s="16"/>
      <c r="P2381" s="16"/>
    </row>
    <row r="2382" spans="8:16" ht="15.75" customHeight="1">
      <c r="H2382" s="16"/>
      <c r="I2382" s="16"/>
      <c r="J2382" s="17"/>
      <c r="N2382" s="16"/>
      <c r="O2382" s="16"/>
      <c r="P2382" s="16"/>
    </row>
    <row r="2383" spans="8:16" ht="15.75" customHeight="1">
      <c r="H2383" s="16"/>
      <c r="I2383" s="16"/>
      <c r="J2383" s="17"/>
      <c r="N2383" s="16"/>
      <c r="O2383" s="16"/>
      <c r="P2383" s="16"/>
    </row>
    <row r="2384" spans="8:16" ht="15.75" customHeight="1">
      <c r="H2384" s="16"/>
      <c r="I2384" s="16"/>
      <c r="J2384" s="17"/>
      <c r="N2384" s="16"/>
      <c r="O2384" s="16"/>
      <c r="P2384" s="16"/>
    </row>
    <row r="2385" spans="8:16" ht="15.75" customHeight="1">
      <c r="H2385" s="16"/>
      <c r="I2385" s="16"/>
      <c r="J2385" s="17"/>
      <c r="N2385" s="16"/>
      <c r="O2385" s="16"/>
      <c r="P2385" s="16"/>
    </row>
    <row r="2386" spans="8:16" ht="15.75" customHeight="1">
      <c r="H2386" s="16"/>
      <c r="I2386" s="16"/>
      <c r="J2386" s="17"/>
      <c r="N2386" s="16"/>
      <c r="O2386" s="16"/>
      <c r="P2386" s="16"/>
    </row>
    <row r="2387" spans="8:16" ht="15.75" customHeight="1">
      <c r="H2387" s="16"/>
      <c r="I2387" s="16"/>
      <c r="J2387" s="17"/>
      <c r="N2387" s="16"/>
      <c r="O2387" s="16"/>
      <c r="P2387" s="16"/>
    </row>
    <row r="2388" spans="8:16" ht="15.75" customHeight="1">
      <c r="H2388" s="16"/>
      <c r="I2388" s="16"/>
      <c r="J2388" s="17"/>
      <c r="N2388" s="16"/>
      <c r="O2388" s="16"/>
      <c r="P2388" s="16"/>
    </row>
    <row r="2389" spans="8:16" ht="15.75" customHeight="1">
      <c r="H2389" s="16"/>
      <c r="I2389" s="16"/>
      <c r="J2389" s="17"/>
      <c r="N2389" s="16"/>
      <c r="O2389" s="16"/>
      <c r="P2389" s="16"/>
    </row>
    <row r="2390" spans="8:16" ht="15.75" customHeight="1">
      <c r="H2390" s="16"/>
      <c r="I2390" s="16"/>
      <c r="J2390" s="17"/>
      <c r="N2390" s="16"/>
      <c r="O2390" s="16"/>
      <c r="P2390" s="16"/>
    </row>
    <row r="2391" spans="8:16" ht="15.75" customHeight="1">
      <c r="H2391" s="16"/>
      <c r="I2391" s="16"/>
      <c r="J2391" s="17"/>
      <c r="N2391" s="16"/>
      <c r="O2391" s="16"/>
      <c r="P2391" s="16"/>
    </row>
    <row r="2392" spans="8:16" ht="15.75" customHeight="1">
      <c r="H2392" s="16"/>
      <c r="I2392" s="16"/>
      <c r="J2392" s="17"/>
      <c r="N2392" s="16"/>
      <c r="O2392" s="16"/>
      <c r="P2392" s="16"/>
    </row>
    <row r="2393" spans="8:16" ht="15.75" customHeight="1">
      <c r="H2393" s="16"/>
      <c r="I2393" s="16"/>
      <c r="J2393" s="17"/>
      <c r="N2393" s="16"/>
      <c r="O2393" s="16"/>
      <c r="P2393" s="16"/>
    </row>
    <row r="2394" spans="8:16" ht="15.75" customHeight="1">
      <c r="H2394" s="16"/>
      <c r="I2394" s="16"/>
      <c r="J2394" s="17"/>
      <c r="N2394" s="16"/>
      <c r="O2394" s="16"/>
      <c r="P2394" s="16"/>
    </row>
    <row r="2395" spans="8:16" ht="15.75" customHeight="1">
      <c r="H2395" s="16"/>
      <c r="I2395" s="16"/>
      <c r="J2395" s="17"/>
      <c r="N2395" s="16"/>
      <c r="O2395" s="16"/>
      <c r="P2395" s="16"/>
    </row>
    <row r="2396" spans="8:16" ht="15.75" customHeight="1">
      <c r="H2396" s="16"/>
      <c r="I2396" s="16"/>
      <c r="J2396" s="17"/>
      <c r="N2396" s="16"/>
      <c r="O2396" s="16"/>
      <c r="P2396" s="16"/>
    </row>
    <row r="2397" spans="8:16" ht="15.75" customHeight="1">
      <c r="H2397" s="16"/>
      <c r="I2397" s="16"/>
      <c r="J2397" s="17"/>
      <c r="N2397" s="16"/>
      <c r="O2397" s="16"/>
      <c r="P2397" s="16"/>
    </row>
    <row r="2398" spans="8:16" ht="15.75" customHeight="1">
      <c r="H2398" s="16"/>
      <c r="I2398" s="16"/>
      <c r="J2398" s="17"/>
      <c r="N2398" s="16"/>
      <c r="O2398" s="16"/>
      <c r="P2398" s="16"/>
    </row>
    <row r="2399" spans="8:16" ht="15.75" customHeight="1">
      <c r="H2399" s="16"/>
      <c r="I2399" s="16"/>
      <c r="J2399" s="17"/>
      <c r="N2399" s="16"/>
      <c r="O2399" s="16"/>
      <c r="P2399" s="16"/>
    </row>
    <row r="2400" spans="8:16" ht="15.75" customHeight="1">
      <c r="H2400" s="16"/>
      <c r="I2400" s="16"/>
      <c r="J2400" s="17"/>
      <c r="N2400" s="16"/>
      <c r="O2400" s="16"/>
      <c r="P2400" s="16"/>
    </row>
    <row r="2401" spans="8:16" ht="15.75" customHeight="1">
      <c r="H2401" s="16"/>
      <c r="I2401" s="16"/>
      <c r="J2401" s="17"/>
      <c r="N2401" s="16"/>
      <c r="O2401" s="16"/>
      <c r="P2401" s="16"/>
    </row>
    <row r="2402" spans="8:16" ht="15.75" customHeight="1">
      <c r="H2402" s="16"/>
      <c r="I2402" s="16"/>
      <c r="J2402" s="17"/>
      <c r="N2402" s="16"/>
      <c r="O2402" s="16"/>
      <c r="P2402" s="16"/>
    </row>
    <row r="2403" spans="8:16" ht="15.75" customHeight="1">
      <c r="H2403" s="16"/>
      <c r="I2403" s="16"/>
      <c r="J2403" s="17"/>
      <c r="N2403" s="16"/>
      <c r="O2403" s="16"/>
      <c r="P2403" s="16"/>
    </row>
    <row r="2404" spans="8:16" ht="15.75" customHeight="1">
      <c r="H2404" s="16"/>
      <c r="I2404" s="16"/>
      <c r="J2404" s="17"/>
      <c r="N2404" s="16"/>
      <c r="O2404" s="16"/>
      <c r="P2404" s="16"/>
    </row>
    <row r="2405" spans="8:16" ht="15.75" customHeight="1">
      <c r="H2405" s="16"/>
      <c r="I2405" s="16"/>
      <c r="J2405" s="17"/>
      <c r="N2405" s="16"/>
      <c r="O2405" s="16"/>
      <c r="P2405" s="16"/>
    </row>
    <row r="2406" spans="8:16" ht="15.75" customHeight="1">
      <c r="H2406" s="16"/>
      <c r="I2406" s="16"/>
      <c r="J2406" s="17"/>
      <c r="N2406" s="16"/>
      <c r="O2406" s="16"/>
      <c r="P2406" s="16"/>
    </row>
    <row r="2407" spans="8:16" ht="15.75" customHeight="1">
      <c r="H2407" s="16"/>
      <c r="I2407" s="16"/>
      <c r="J2407" s="17"/>
      <c r="N2407" s="16"/>
      <c r="O2407" s="16"/>
      <c r="P2407" s="16"/>
    </row>
    <row r="2408" spans="8:16" ht="15.75" customHeight="1">
      <c r="H2408" s="16"/>
      <c r="I2408" s="16"/>
      <c r="J2408" s="17"/>
      <c r="N2408" s="16"/>
      <c r="O2408" s="16"/>
      <c r="P2408" s="16"/>
    </row>
    <row r="2409" spans="8:16" ht="15.75" customHeight="1">
      <c r="H2409" s="16"/>
      <c r="I2409" s="16"/>
      <c r="J2409" s="17"/>
      <c r="N2409" s="16"/>
      <c r="O2409" s="16"/>
      <c r="P2409" s="16"/>
    </row>
    <row r="2410" spans="8:16" ht="15.75" customHeight="1">
      <c r="H2410" s="16"/>
      <c r="I2410" s="16"/>
      <c r="J2410" s="17"/>
      <c r="N2410" s="16"/>
      <c r="O2410" s="16"/>
      <c r="P2410" s="16"/>
    </row>
    <row r="2411" spans="8:16" ht="15.75" customHeight="1">
      <c r="H2411" s="16"/>
      <c r="I2411" s="16"/>
      <c r="J2411" s="17"/>
      <c r="N2411" s="16"/>
      <c r="O2411" s="16"/>
      <c r="P2411" s="16"/>
    </row>
    <row r="2412" spans="8:16" ht="15.75" customHeight="1">
      <c r="H2412" s="16"/>
      <c r="I2412" s="16"/>
      <c r="J2412" s="17"/>
      <c r="N2412" s="16"/>
      <c r="O2412" s="16"/>
      <c r="P2412" s="16"/>
    </row>
    <row r="2413" spans="8:16" ht="15.75" customHeight="1">
      <c r="H2413" s="16"/>
      <c r="I2413" s="16"/>
      <c r="J2413" s="17"/>
      <c r="N2413" s="16"/>
      <c r="O2413" s="16"/>
      <c r="P2413" s="16"/>
    </row>
    <row r="2414" spans="8:16" ht="15.75" customHeight="1">
      <c r="H2414" s="16"/>
      <c r="I2414" s="16"/>
      <c r="J2414" s="17"/>
      <c r="N2414" s="16"/>
      <c r="O2414" s="16"/>
      <c r="P2414" s="16"/>
    </row>
    <row r="2415" spans="8:16" ht="15.75" customHeight="1">
      <c r="H2415" s="16"/>
      <c r="I2415" s="16"/>
      <c r="J2415" s="17"/>
      <c r="N2415" s="16"/>
      <c r="O2415" s="16"/>
      <c r="P2415" s="16"/>
    </row>
    <row r="2416" spans="8:16" ht="15.75" customHeight="1">
      <c r="H2416" s="16"/>
      <c r="I2416" s="16"/>
      <c r="J2416" s="17"/>
      <c r="N2416" s="16"/>
      <c r="O2416" s="16"/>
      <c r="P2416" s="16"/>
    </row>
    <row r="2417" spans="8:16" ht="15.75" customHeight="1">
      <c r="H2417" s="16"/>
      <c r="I2417" s="16"/>
      <c r="J2417" s="17"/>
      <c r="N2417" s="16"/>
      <c r="O2417" s="16"/>
      <c r="P2417" s="16"/>
    </row>
    <row r="2418" spans="8:16" ht="15.75" customHeight="1">
      <c r="H2418" s="16"/>
      <c r="I2418" s="16"/>
      <c r="J2418" s="17"/>
      <c r="N2418" s="16"/>
      <c r="O2418" s="16"/>
      <c r="P2418" s="16"/>
    </row>
    <row r="2419" spans="8:16" ht="15.75" customHeight="1">
      <c r="H2419" s="16"/>
      <c r="I2419" s="16"/>
      <c r="J2419" s="17"/>
      <c r="N2419" s="16"/>
      <c r="O2419" s="16"/>
      <c r="P2419" s="16"/>
    </row>
    <row r="2420" spans="8:16" ht="15.75" customHeight="1">
      <c r="H2420" s="16"/>
      <c r="I2420" s="16"/>
      <c r="J2420" s="17"/>
      <c r="N2420" s="16"/>
      <c r="O2420" s="16"/>
      <c r="P2420" s="16"/>
    </row>
    <row r="2421" spans="8:16" ht="15.75" customHeight="1">
      <c r="H2421" s="16"/>
      <c r="I2421" s="16"/>
      <c r="J2421" s="17"/>
      <c r="N2421" s="16"/>
      <c r="O2421" s="16"/>
      <c r="P2421" s="16"/>
    </row>
    <row r="2422" spans="8:16" ht="15.75" customHeight="1">
      <c r="H2422" s="16"/>
      <c r="I2422" s="16"/>
      <c r="J2422" s="17"/>
      <c r="N2422" s="16"/>
      <c r="O2422" s="16"/>
      <c r="P2422" s="16"/>
    </row>
    <row r="2423" spans="8:16" ht="15.75" customHeight="1">
      <c r="H2423" s="16"/>
      <c r="I2423" s="16"/>
      <c r="J2423" s="17"/>
      <c r="N2423" s="16"/>
      <c r="O2423" s="16"/>
      <c r="P2423" s="16"/>
    </row>
    <row r="2424" spans="8:16" ht="15.75" customHeight="1">
      <c r="H2424" s="16"/>
      <c r="I2424" s="16"/>
      <c r="J2424" s="17"/>
      <c r="N2424" s="16"/>
      <c r="O2424" s="16"/>
      <c r="P2424" s="16"/>
    </row>
    <row r="2425" spans="8:16" ht="15.75" customHeight="1">
      <c r="H2425" s="16"/>
      <c r="I2425" s="16"/>
      <c r="J2425" s="17"/>
      <c r="N2425" s="16"/>
      <c r="O2425" s="16"/>
      <c r="P2425" s="16"/>
    </row>
    <row r="2426" spans="8:16" ht="15.75" customHeight="1">
      <c r="H2426" s="16"/>
      <c r="I2426" s="16"/>
      <c r="J2426" s="17"/>
      <c r="N2426" s="16"/>
      <c r="O2426" s="16"/>
      <c r="P2426" s="16"/>
    </row>
    <row r="2427" spans="8:16" ht="15.75" customHeight="1">
      <c r="H2427" s="16"/>
      <c r="I2427" s="16"/>
      <c r="J2427" s="17"/>
      <c r="N2427" s="16"/>
      <c r="O2427" s="16"/>
      <c r="P2427" s="16"/>
    </row>
    <row r="2428" spans="8:16" ht="15.75" customHeight="1">
      <c r="H2428" s="16"/>
      <c r="I2428" s="16"/>
      <c r="J2428" s="17"/>
      <c r="N2428" s="16"/>
      <c r="O2428" s="16"/>
      <c r="P2428" s="16"/>
    </row>
    <row r="2429" spans="8:16" ht="15.75" customHeight="1">
      <c r="H2429" s="16"/>
      <c r="I2429" s="16"/>
      <c r="J2429" s="17"/>
      <c r="N2429" s="16"/>
      <c r="O2429" s="16"/>
      <c r="P2429" s="16"/>
    </row>
    <row r="2430" spans="8:16" ht="15.75" customHeight="1">
      <c r="H2430" s="16"/>
      <c r="I2430" s="16"/>
      <c r="J2430" s="17"/>
      <c r="N2430" s="16"/>
      <c r="O2430" s="16"/>
      <c r="P2430" s="16"/>
    </row>
    <row r="2431" spans="8:16" ht="15.75" customHeight="1">
      <c r="H2431" s="16"/>
      <c r="I2431" s="16"/>
      <c r="J2431" s="17"/>
      <c r="N2431" s="16"/>
      <c r="O2431" s="16"/>
      <c r="P2431" s="16"/>
    </row>
    <row r="2432" spans="8:16" ht="15.75" customHeight="1">
      <c r="H2432" s="16"/>
      <c r="I2432" s="16"/>
      <c r="J2432" s="17"/>
      <c r="N2432" s="16"/>
      <c r="O2432" s="16"/>
      <c r="P2432" s="16"/>
    </row>
    <row r="2433" spans="8:16" ht="15.75" customHeight="1">
      <c r="H2433" s="16"/>
      <c r="I2433" s="16"/>
      <c r="J2433" s="17"/>
      <c r="N2433" s="16"/>
      <c r="O2433" s="16"/>
      <c r="P2433" s="16"/>
    </row>
    <row r="2434" spans="8:16" ht="15.75" customHeight="1">
      <c r="H2434" s="16"/>
      <c r="I2434" s="16"/>
      <c r="J2434" s="17"/>
      <c r="N2434" s="16"/>
      <c r="O2434" s="16"/>
      <c r="P2434" s="16"/>
    </row>
    <row r="2435" spans="8:16" ht="15.75" customHeight="1">
      <c r="H2435" s="16"/>
      <c r="I2435" s="16"/>
      <c r="J2435" s="17"/>
      <c r="N2435" s="16"/>
      <c r="O2435" s="16"/>
      <c r="P2435" s="16"/>
    </row>
    <row r="2436" spans="8:16" ht="15.75" customHeight="1">
      <c r="H2436" s="16"/>
      <c r="I2436" s="16"/>
      <c r="J2436" s="17"/>
      <c r="N2436" s="16"/>
      <c r="O2436" s="16"/>
      <c r="P2436" s="16"/>
    </row>
    <row r="2437" spans="8:16" ht="15.75" customHeight="1">
      <c r="H2437" s="16"/>
      <c r="I2437" s="16"/>
      <c r="J2437" s="17"/>
      <c r="N2437" s="16"/>
      <c r="O2437" s="16"/>
      <c r="P2437" s="16"/>
    </row>
    <row r="2438" spans="8:16" ht="15.75" customHeight="1">
      <c r="H2438" s="16"/>
      <c r="I2438" s="16"/>
      <c r="J2438" s="17"/>
      <c r="N2438" s="16"/>
      <c r="O2438" s="16"/>
      <c r="P2438" s="16"/>
    </row>
    <row r="2439" spans="8:16" ht="15.75" customHeight="1">
      <c r="H2439" s="16"/>
      <c r="I2439" s="16"/>
      <c r="J2439" s="17"/>
      <c r="N2439" s="16"/>
      <c r="O2439" s="16"/>
      <c r="P2439" s="16"/>
    </row>
    <row r="2440" spans="8:16" ht="15.75" customHeight="1">
      <c r="H2440" s="16"/>
      <c r="I2440" s="16"/>
      <c r="J2440" s="17"/>
      <c r="N2440" s="16"/>
      <c r="O2440" s="16"/>
      <c r="P2440" s="16"/>
    </row>
    <row r="2441" spans="8:16" ht="15.75" customHeight="1">
      <c r="H2441" s="16"/>
      <c r="I2441" s="16"/>
      <c r="J2441" s="17"/>
      <c r="N2441" s="16"/>
      <c r="O2441" s="16"/>
      <c r="P2441" s="16"/>
    </row>
    <row r="2442" spans="8:16" ht="15.75" customHeight="1">
      <c r="H2442" s="16"/>
      <c r="I2442" s="16"/>
      <c r="J2442" s="17"/>
      <c r="N2442" s="16"/>
      <c r="O2442" s="16"/>
      <c r="P2442" s="16"/>
    </row>
    <row r="2443" spans="8:16" ht="15.75" customHeight="1">
      <c r="H2443" s="16"/>
      <c r="I2443" s="16"/>
      <c r="J2443" s="17"/>
      <c r="N2443" s="16"/>
      <c r="O2443" s="16"/>
      <c r="P2443" s="16"/>
    </row>
    <row r="2444" spans="8:16" ht="15.75" customHeight="1">
      <c r="H2444" s="16"/>
      <c r="I2444" s="16"/>
      <c r="J2444" s="17"/>
      <c r="N2444" s="16"/>
      <c r="O2444" s="16"/>
      <c r="P2444" s="16"/>
    </row>
    <row r="2445" spans="8:16" ht="15.75" customHeight="1">
      <c r="H2445" s="16"/>
      <c r="I2445" s="16"/>
      <c r="J2445" s="17"/>
      <c r="N2445" s="16"/>
      <c r="O2445" s="16"/>
      <c r="P2445" s="16"/>
    </row>
    <row r="2446" spans="8:16" ht="15.75" customHeight="1">
      <c r="H2446" s="16"/>
      <c r="I2446" s="16"/>
      <c r="J2446" s="17"/>
      <c r="N2446" s="16"/>
      <c r="O2446" s="16"/>
      <c r="P2446" s="16"/>
    </row>
    <row r="2447" spans="8:16" ht="15.75" customHeight="1">
      <c r="H2447" s="16"/>
      <c r="I2447" s="16"/>
      <c r="J2447" s="17"/>
      <c r="N2447" s="16"/>
      <c r="O2447" s="16"/>
      <c r="P2447" s="16"/>
    </row>
    <row r="2448" spans="8:16" ht="15.75" customHeight="1">
      <c r="H2448" s="16"/>
      <c r="I2448" s="16"/>
      <c r="J2448" s="17"/>
      <c r="N2448" s="16"/>
      <c r="O2448" s="16"/>
      <c r="P2448" s="16"/>
    </row>
    <row r="2449" spans="8:16" ht="15.75" customHeight="1">
      <c r="H2449" s="16"/>
      <c r="I2449" s="16"/>
      <c r="J2449" s="17"/>
      <c r="N2449" s="16"/>
      <c r="O2449" s="16"/>
      <c r="P2449" s="16"/>
    </row>
    <row r="2450" spans="8:16" ht="15.75" customHeight="1">
      <c r="H2450" s="16"/>
      <c r="I2450" s="16"/>
      <c r="J2450" s="17"/>
      <c r="N2450" s="16"/>
      <c r="O2450" s="16"/>
      <c r="P2450" s="16"/>
    </row>
    <row r="2451" spans="8:16" ht="15.75" customHeight="1">
      <c r="H2451" s="16"/>
      <c r="I2451" s="16"/>
      <c r="J2451" s="17"/>
      <c r="N2451" s="16"/>
      <c r="O2451" s="16"/>
      <c r="P2451" s="16"/>
    </row>
    <row r="2452" spans="8:16" ht="15.75" customHeight="1">
      <c r="H2452" s="16"/>
      <c r="I2452" s="16"/>
      <c r="J2452" s="17"/>
      <c r="N2452" s="16"/>
      <c r="O2452" s="16"/>
      <c r="P2452" s="16"/>
    </row>
    <row r="2453" spans="8:16" ht="15.75" customHeight="1">
      <c r="H2453" s="16"/>
      <c r="I2453" s="16"/>
      <c r="J2453" s="17"/>
      <c r="N2453" s="16"/>
      <c r="O2453" s="16"/>
      <c r="P2453" s="16"/>
    </row>
    <row r="2454" spans="8:16" ht="15.75" customHeight="1">
      <c r="H2454" s="16"/>
      <c r="I2454" s="16"/>
      <c r="J2454" s="17"/>
      <c r="N2454" s="16"/>
      <c r="O2454" s="16"/>
      <c r="P2454" s="16"/>
    </row>
    <row r="2455" spans="8:16" ht="15.75" customHeight="1">
      <c r="H2455" s="16"/>
      <c r="I2455" s="16"/>
      <c r="J2455" s="17"/>
      <c r="N2455" s="16"/>
      <c r="O2455" s="16"/>
      <c r="P2455" s="16"/>
    </row>
    <row r="2456" spans="8:16" ht="15.75" customHeight="1">
      <c r="H2456" s="16"/>
      <c r="I2456" s="16"/>
      <c r="J2456" s="17"/>
      <c r="N2456" s="16"/>
      <c r="O2456" s="16"/>
      <c r="P2456" s="16"/>
    </row>
    <row r="2457" spans="8:16" ht="15.75" customHeight="1">
      <c r="H2457" s="16"/>
      <c r="I2457" s="16"/>
      <c r="J2457" s="17"/>
      <c r="N2457" s="16"/>
      <c r="O2457" s="16"/>
      <c r="P2457" s="16"/>
    </row>
    <row r="2458" spans="8:16" ht="15.75" customHeight="1">
      <c r="H2458" s="16"/>
      <c r="I2458" s="16"/>
      <c r="J2458" s="17"/>
      <c r="N2458" s="16"/>
      <c r="O2458" s="16"/>
      <c r="P2458" s="16"/>
    </row>
    <row r="2459" spans="8:16" ht="15.75" customHeight="1">
      <c r="H2459" s="16"/>
      <c r="I2459" s="16"/>
      <c r="J2459" s="17"/>
      <c r="N2459" s="16"/>
      <c r="O2459" s="16"/>
      <c r="P2459" s="16"/>
    </row>
    <row r="2460" spans="8:16" ht="15.75" customHeight="1">
      <c r="H2460" s="16"/>
      <c r="I2460" s="16"/>
      <c r="J2460" s="17"/>
      <c r="N2460" s="16"/>
      <c r="O2460" s="16"/>
      <c r="P2460" s="16"/>
    </row>
    <row r="2461" spans="8:16" ht="15.75" customHeight="1">
      <c r="H2461" s="16"/>
      <c r="I2461" s="16"/>
      <c r="J2461" s="17"/>
      <c r="N2461" s="16"/>
      <c r="O2461" s="16"/>
      <c r="P2461" s="16"/>
    </row>
    <row r="2462" spans="8:16" ht="15.75" customHeight="1">
      <c r="H2462" s="16"/>
      <c r="I2462" s="16"/>
      <c r="J2462" s="17"/>
      <c r="N2462" s="16"/>
      <c r="O2462" s="16"/>
      <c r="P2462" s="16"/>
    </row>
    <row r="2463" spans="8:16" ht="15.75" customHeight="1">
      <c r="H2463" s="16"/>
      <c r="I2463" s="16"/>
      <c r="J2463" s="17"/>
      <c r="N2463" s="16"/>
      <c r="O2463" s="16"/>
      <c r="P2463" s="16"/>
    </row>
    <row r="2464" spans="8:16" ht="15.75" customHeight="1">
      <c r="H2464" s="16"/>
      <c r="I2464" s="16"/>
      <c r="J2464" s="17"/>
      <c r="N2464" s="16"/>
      <c r="O2464" s="16"/>
      <c r="P2464" s="16"/>
    </row>
    <row r="2465" spans="8:16" ht="15.75" customHeight="1">
      <c r="H2465" s="16"/>
      <c r="I2465" s="16"/>
      <c r="J2465" s="17"/>
      <c r="N2465" s="16"/>
      <c r="O2465" s="16"/>
      <c r="P2465" s="16"/>
    </row>
    <row r="2466" spans="8:16" ht="15.75" customHeight="1">
      <c r="H2466" s="16"/>
      <c r="I2466" s="16"/>
      <c r="J2466" s="17"/>
      <c r="N2466" s="16"/>
      <c r="O2466" s="16"/>
      <c r="P2466" s="16"/>
    </row>
    <row r="2467" spans="8:16" ht="15.75" customHeight="1">
      <c r="H2467" s="16"/>
      <c r="I2467" s="16"/>
      <c r="J2467" s="17"/>
      <c r="N2467" s="16"/>
      <c r="O2467" s="16"/>
      <c r="P2467" s="16"/>
    </row>
    <row r="2468" spans="8:16" ht="15.75" customHeight="1">
      <c r="H2468" s="16"/>
      <c r="I2468" s="16"/>
      <c r="J2468" s="17"/>
      <c r="N2468" s="16"/>
      <c r="O2468" s="16"/>
      <c r="P2468" s="16"/>
    </row>
    <row r="2469" spans="8:16" ht="15.75" customHeight="1">
      <c r="H2469" s="16"/>
      <c r="I2469" s="16"/>
      <c r="J2469" s="17"/>
      <c r="N2469" s="16"/>
      <c r="O2469" s="16"/>
      <c r="P2469" s="16"/>
    </row>
    <row r="2470" spans="8:16" ht="15.75" customHeight="1">
      <c r="H2470" s="16"/>
      <c r="I2470" s="16"/>
      <c r="J2470" s="17"/>
      <c r="N2470" s="16"/>
      <c r="O2470" s="16"/>
      <c r="P2470" s="16"/>
    </row>
    <row r="2471" spans="8:16" ht="15.75" customHeight="1">
      <c r="H2471" s="16"/>
      <c r="I2471" s="16"/>
      <c r="J2471" s="17"/>
      <c r="N2471" s="16"/>
      <c r="O2471" s="16"/>
      <c r="P2471" s="16"/>
    </row>
    <row r="2472" spans="8:16" ht="15.75" customHeight="1">
      <c r="H2472" s="16"/>
      <c r="I2472" s="16"/>
      <c r="J2472" s="17"/>
      <c r="N2472" s="16"/>
      <c r="O2472" s="16"/>
      <c r="P2472" s="16"/>
    </row>
    <row r="2473" spans="8:16" ht="15.75" customHeight="1">
      <c r="H2473" s="16"/>
      <c r="I2473" s="16"/>
      <c r="J2473" s="17"/>
      <c r="N2473" s="16"/>
      <c r="O2473" s="16"/>
      <c r="P2473" s="16"/>
    </row>
    <row r="2474" spans="8:16" ht="15.75" customHeight="1">
      <c r="H2474" s="16"/>
      <c r="I2474" s="16"/>
      <c r="J2474" s="17"/>
      <c r="N2474" s="16"/>
      <c r="O2474" s="16"/>
      <c r="P2474" s="16"/>
    </row>
    <row r="2475" spans="8:16" ht="15.75" customHeight="1">
      <c r="H2475" s="16"/>
      <c r="I2475" s="16"/>
      <c r="J2475" s="17"/>
      <c r="N2475" s="16"/>
      <c r="O2475" s="16"/>
      <c r="P2475" s="16"/>
    </row>
    <row r="2476" spans="8:16" ht="15.75" customHeight="1">
      <c r="H2476" s="16"/>
      <c r="I2476" s="16"/>
      <c r="J2476" s="17"/>
      <c r="N2476" s="16"/>
      <c r="O2476" s="16"/>
      <c r="P2476" s="16"/>
    </row>
    <row r="2477" spans="8:16" ht="15.75" customHeight="1">
      <c r="H2477" s="16"/>
      <c r="I2477" s="16"/>
      <c r="J2477" s="17"/>
      <c r="N2477" s="16"/>
      <c r="O2477" s="16"/>
      <c r="P2477" s="16"/>
    </row>
    <row r="2478" spans="8:16" ht="15.75" customHeight="1">
      <c r="H2478" s="16"/>
      <c r="I2478" s="16"/>
      <c r="J2478" s="17"/>
      <c r="N2478" s="16"/>
      <c r="O2478" s="16"/>
      <c r="P2478" s="16"/>
    </row>
    <row r="2479" spans="8:16" ht="15.75" customHeight="1">
      <c r="H2479" s="16"/>
      <c r="I2479" s="16"/>
      <c r="J2479" s="17"/>
      <c r="N2479" s="16"/>
      <c r="O2479" s="16"/>
      <c r="P2479" s="16"/>
    </row>
    <row r="2480" spans="8:16" ht="15.75" customHeight="1">
      <c r="H2480" s="16"/>
      <c r="I2480" s="16"/>
      <c r="J2480" s="17"/>
      <c r="N2480" s="16"/>
      <c r="O2480" s="16"/>
      <c r="P2480" s="16"/>
    </row>
    <row r="2481" spans="8:16" ht="15.75" customHeight="1">
      <c r="H2481" s="16"/>
      <c r="I2481" s="16"/>
      <c r="J2481" s="17"/>
      <c r="N2481" s="16"/>
      <c r="O2481" s="16"/>
      <c r="P2481" s="16"/>
    </row>
    <row r="2482" spans="8:16" ht="15.75" customHeight="1">
      <c r="H2482" s="16"/>
      <c r="I2482" s="16"/>
      <c r="J2482" s="17"/>
      <c r="N2482" s="16"/>
      <c r="O2482" s="16"/>
      <c r="P2482" s="16"/>
    </row>
    <row r="2483" spans="8:16" ht="15.75" customHeight="1">
      <c r="H2483" s="16"/>
      <c r="I2483" s="16"/>
      <c r="J2483" s="17"/>
      <c r="N2483" s="16"/>
      <c r="O2483" s="16"/>
      <c r="P2483" s="16"/>
    </row>
    <row r="2484" spans="8:16" ht="15.75" customHeight="1">
      <c r="H2484" s="16"/>
      <c r="I2484" s="16"/>
      <c r="J2484" s="17"/>
      <c r="N2484" s="16"/>
      <c r="O2484" s="16"/>
      <c r="P2484" s="16"/>
    </row>
    <row r="2485" spans="8:16" ht="15.75" customHeight="1">
      <c r="H2485" s="16"/>
      <c r="I2485" s="16"/>
      <c r="J2485" s="17"/>
      <c r="N2485" s="16"/>
      <c r="O2485" s="16"/>
      <c r="P2485" s="16"/>
    </row>
    <row r="2486" spans="8:16" ht="15.75" customHeight="1">
      <c r="H2486" s="16"/>
      <c r="I2486" s="16"/>
      <c r="J2486" s="17"/>
      <c r="N2486" s="16"/>
      <c r="O2486" s="16"/>
      <c r="P2486" s="16"/>
    </row>
    <row r="2487" spans="8:16" ht="15.75" customHeight="1">
      <c r="H2487" s="16"/>
      <c r="I2487" s="16"/>
      <c r="J2487" s="17"/>
      <c r="N2487" s="16"/>
      <c r="O2487" s="16"/>
      <c r="P2487" s="16"/>
    </row>
    <row r="2488" spans="8:16" ht="15.75" customHeight="1">
      <c r="H2488" s="16"/>
      <c r="I2488" s="16"/>
      <c r="J2488" s="17"/>
      <c r="N2488" s="16"/>
      <c r="O2488" s="16"/>
      <c r="P2488" s="16"/>
    </row>
    <row r="2489" spans="8:16" ht="15.75" customHeight="1">
      <c r="H2489" s="16"/>
      <c r="I2489" s="16"/>
      <c r="J2489" s="17"/>
      <c r="N2489" s="16"/>
      <c r="O2489" s="16"/>
      <c r="P2489" s="16"/>
    </row>
    <row r="2490" spans="8:16" ht="15.75" customHeight="1">
      <c r="H2490" s="16"/>
      <c r="I2490" s="16"/>
      <c r="J2490" s="17"/>
      <c r="N2490" s="16"/>
      <c r="O2490" s="16"/>
      <c r="P2490" s="16"/>
    </row>
    <row r="2491" spans="8:16" ht="15.75" customHeight="1">
      <c r="H2491" s="16"/>
      <c r="I2491" s="16"/>
      <c r="J2491" s="17"/>
      <c r="N2491" s="16"/>
      <c r="O2491" s="16"/>
      <c r="P2491" s="16"/>
    </row>
    <row r="2492" spans="8:16" ht="15.75" customHeight="1">
      <c r="H2492" s="16"/>
      <c r="I2492" s="16"/>
      <c r="J2492" s="17"/>
      <c r="N2492" s="16"/>
      <c r="O2492" s="16"/>
      <c r="P2492" s="16"/>
    </row>
    <row r="2493" spans="8:16" ht="15.75" customHeight="1">
      <c r="H2493" s="16"/>
      <c r="I2493" s="16"/>
      <c r="J2493" s="17"/>
      <c r="N2493" s="16"/>
      <c r="O2493" s="16"/>
      <c r="P2493" s="16"/>
    </row>
    <row r="2494" spans="8:16" ht="15.75" customHeight="1">
      <c r="H2494" s="16"/>
      <c r="I2494" s="16"/>
      <c r="J2494" s="17"/>
      <c r="N2494" s="16"/>
      <c r="O2494" s="16"/>
      <c r="P2494" s="16"/>
    </row>
    <row r="2495" spans="8:16" ht="15.75" customHeight="1">
      <c r="H2495" s="16"/>
      <c r="I2495" s="16"/>
      <c r="J2495" s="17"/>
      <c r="N2495" s="16"/>
      <c r="O2495" s="16"/>
      <c r="P2495" s="16"/>
    </row>
    <row r="2496" spans="8:16" ht="15.75" customHeight="1">
      <c r="H2496" s="16"/>
      <c r="I2496" s="16"/>
      <c r="J2496" s="17"/>
      <c r="N2496" s="16"/>
      <c r="O2496" s="16"/>
      <c r="P2496" s="16"/>
    </row>
    <row r="2497" spans="8:16" ht="15.75" customHeight="1">
      <c r="H2497" s="16"/>
      <c r="I2497" s="16"/>
      <c r="J2497" s="17"/>
      <c r="N2497" s="16"/>
      <c r="O2497" s="16"/>
      <c r="P2497" s="16"/>
    </row>
    <row r="2498" spans="8:16" ht="15.75" customHeight="1">
      <c r="H2498" s="16"/>
      <c r="I2498" s="16"/>
      <c r="J2498" s="17"/>
      <c r="N2498" s="16"/>
      <c r="O2498" s="16"/>
      <c r="P2498" s="16"/>
    </row>
    <row r="2499" spans="8:16" ht="15.75" customHeight="1">
      <c r="H2499" s="16"/>
      <c r="I2499" s="16"/>
      <c r="J2499" s="17"/>
      <c r="N2499" s="16"/>
      <c r="O2499" s="16"/>
      <c r="P2499" s="16"/>
    </row>
    <row r="2500" spans="8:16" ht="15.75" customHeight="1">
      <c r="H2500" s="16"/>
      <c r="I2500" s="16"/>
      <c r="J2500" s="17"/>
      <c r="N2500" s="16"/>
      <c r="O2500" s="16"/>
      <c r="P2500" s="16"/>
    </row>
    <row r="2501" spans="8:16" ht="15.75" customHeight="1">
      <c r="H2501" s="16"/>
      <c r="I2501" s="16"/>
      <c r="J2501" s="17"/>
      <c r="N2501" s="16"/>
      <c r="O2501" s="16"/>
      <c r="P2501" s="16"/>
    </row>
    <row r="2502" spans="8:16" ht="15.75" customHeight="1">
      <c r="H2502" s="16"/>
      <c r="I2502" s="16"/>
      <c r="J2502" s="17"/>
      <c r="N2502" s="16"/>
      <c r="O2502" s="16"/>
      <c r="P2502" s="16"/>
    </row>
    <row r="2503" spans="8:16" ht="15.75" customHeight="1">
      <c r="H2503" s="16"/>
      <c r="I2503" s="16"/>
      <c r="J2503" s="17"/>
      <c r="N2503" s="16"/>
      <c r="O2503" s="16"/>
      <c r="P2503" s="16"/>
    </row>
    <row r="2504" spans="8:16" ht="15.75" customHeight="1">
      <c r="H2504" s="16"/>
      <c r="I2504" s="16"/>
      <c r="J2504" s="17"/>
      <c r="N2504" s="16"/>
      <c r="O2504" s="16"/>
      <c r="P2504" s="16"/>
    </row>
    <row r="2505" spans="8:16" ht="15.75" customHeight="1">
      <c r="H2505" s="16"/>
      <c r="I2505" s="16"/>
      <c r="J2505" s="17"/>
      <c r="N2505" s="16"/>
      <c r="O2505" s="16"/>
      <c r="P2505" s="16"/>
    </row>
    <row r="2506" spans="8:16" ht="15.75" customHeight="1">
      <c r="H2506" s="16"/>
      <c r="I2506" s="16"/>
      <c r="J2506" s="17"/>
      <c r="N2506" s="16"/>
      <c r="O2506" s="16"/>
      <c r="P2506" s="16"/>
    </row>
    <row r="2507" spans="8:16" ht="15.75" customHeight="1">
      <c r="H2507" s="16"/>
      <c r="I2507" s="16"/>
      <c r="J2507" s="17"/>
      <c r="N2507" s="16"/>
      <c r="O2507" s="16"/>
      <c r="P2507" s="16"/>
    </row>
    <row r="2508" spans="8:16" ht="15.75" customHeight="1">
      <c r="H2508" s="16"/>
      <c r="I2508" s="16"/>
      <c r="J2508" s="17"/>
      <c r="N2508" s="16"/>
      <c r="O2508" s="16"/>
      <c r="P2508" s="16"/>
    </row>
    <row r="2509" spans="8:16" ht="15.75" customHeight="1">
      <c r="H2509" s="16"/>
      <c r="I2509" s="16"/>
      <c r="J2509" s="17"/>
      <c r="N2509" s="16"/>
      <c r="O2509" s="16"/>
      <c r="P2509" s="16"/>
    </row>
    <row r="2510" spans="8:16" ht="15.75" customHeight="1">
      <c r="H2510" s="16"/>
      <c r="I2510" s="16"/>
      <c r="J2510" s="17"/>
      <c r="N2510" s="16"/>
      <c r="O2510" s="16"/>
      <c r="P2510" s="16"/>
    </row>
    <row r="2511" spans="8:16" ht="15.75" customHeight="1">
      <c r="H2511" s="16"/>
      <c r="I2511" s="16"/>
      <c r="J2511" s="17"/>
      <c r="N2511" s="16"/>
      <c r="O2511" s="16"/>
      <c r="P2511" s="16"/>
    </row>
    <row r="2512" spans="8:16" ht="15.75" customHeight="1">
      <c r="H2512" s="16"/>
      <c r="I2512" s="16"/>
      <c r="J2512" s="17"/>
      <c r="N2512" s="16"/>
      <c r="O2512" s="16"/>
      <c r="P2512" s="16"/>
    </row>
    <row r="2513" spans="8:16" ht="15.75" customHeight="1">
      <c r="H2513" s="16"/>
      <c r="I2513" s="16"/>
      <c r="J2513" s="17"/>
      <c r="N2513" s="16"/>
      <c r="O2513" s="16"/>
      <c r="P2513" s="16"/>
    </row>
    <row r="2514" spans="8:16" ht="15.75" customHeight="1">
      <c r="H2514" s="16"/>
      <c r="I2514" s="16"/>
      <c r="J2514" s="17"/>
      <c r="N2514" s="16"/>
      <c r="O2514" s="16"/>
      <c r="P2514" s="16"/>
    </row>
    <row r="2515" spans="8:16" ht="15.75" customHeight="1">
      <c r="H2515" s="16"/>
      <c r="I2515" s="16"/>
      <c r="J2515" s="17"/>
      <c r="N2515" s="16"/>
      <c r="O2515" s="16"/>
      <c r="P2515" s="16"/>
    </row>
    <row r="2516" spans="8:16" ht="15.75" customHeight="1">
      <c r="H2516" s="16"/>
      <c r="I2516" s="16"/>
      <c r="J2516" s="17"/>
      <c r="N2516" s="16"/>
      <c r="O2516" s="16"/>
      <c r="P2516" s="16"/>
    </row>
    <row r="2517" spans="8:16" ht="15.75" customHeight="1">
      <c r="H2517" s="16"/>
      <c r="I2517" s="16"/>
      <c r="J2517" s="17"/>
      <c r="N2517" s="16"/>
      <c r="O2517" s="16"/>
      <c r="P2517" s="16"/>
    </row>
    <row r="2518" spans="8:16" ht="15.75" customHeight="1">
      <c r="H2518" s="16"/>
      <c r="I2518" s="16"/>
      <c r="J2518" s="17"/>
      <c r="N2518" s="16"/>
      <c r="O2518" s="16"/>
      <c r="P2518" s="16"/>
    </row>
    <row r="2519" spans="8:16" ht="15.75" customHeight="1">
      <c r="H2519" s="16"/>
      <c r="I2519" s="16"/>
      <c r="J2519" s="17"/>
      <c r="N2519" s="16"/>
      <c r="O2519" s="16"/>
      <c r="P2519" s="16"/>
    </row>
    <row r="2520" spans="8:16" ht="15.75" customHeight="1">
      <c r="H2520" s="16"/>
      <c r="I2520" s="16"/>
      <c r="J2520" s="17"/>
      <c r="N2520" s="16"/>
      <c r="O2520" s="16"/>
      <c r="P2520" s="16"/>
    </row>
    <row r="2521" spans="8:16" ht="15.75" customHeight="1">
      <c r="H2521" s="16"/>
      <c r="I2521" s="16"/>
      <c r="J2521" s="17"/>
      <c r="N2521" s="16"/>
      <c r="O2521" s="16"/>
      <c r="P2521" s="16"/>
    </row>
    <row r="2522" spans="8:16" ht="15.75" customHeight="1">
      <c r="H2522" s="16"/>
      <c r="I2522" s="16"/>
      <c r="J2522" s="17"/>
      <c r="N2522" s="16"/>
      <c r="O2522" s="16"/>
      <c r="P2522" s="16"/>
    </row>
    <row r="2523" spans="8:16" ht="15.75" customHeight="1">
      <c r="H2523" s="16"/>
      <c r="I2523" s="16"/>
      <c r="J2523" s="17"/>
      <c r="N2523" s="16"/>
      <c r="O2523" s="16"/>
      <c r="P2523" s="16"/>
    </row>
    <row r="2524" spans="8:16" ht="15.75" customHeight="1">
      <c r="H2524" s="16"/>
      <c r="I2524" s="16"/>
      <c r="J2524" s="17"/>
      <c r="N2524" s="16"/>
      <c r="O2524" s="16"/>
      <c r="P2524" s="16"/>
    </row>
    <row r="2525" spans="8:16" ht="15.75" customHeight="1">
      <c r="H2525" s="16"/>
      <c r="I2525" s="16"/>
      <c r="J2525" s="17"/>
      <c r="N2525" s="16"/>
      <c r="O2525" s="16"/>
      <c r="P2525" s="16"/>
    </row>
    <row r="2526" spans="8:16" ht="15.75" customHeight="1">
      <c r="H2526" s="16"/>
      <c r="I2526" s="16"/>
      <c r="J2526" s="17"/>
      <c r="N2526" s="16"/>
      <c r="O2526" s="16"/>
      <c r="P2526" s="16"/>
    </row>
    <row r="2527" spans="8:16" ht="15.75" customHeight="1">
      <c r="H2527" s="16"/>
      <c r="I2527" s="16"/>
      <c r="J2527" s="17"/>
      <c r="N2527" s="16"/>
      <c r="O2527" s="16"/>
      <c r="P2527" s="16"/>
    </row>
    <row r="2528" spans="8:16" ht="15.75" customHeight="1">
      <c r="H2528" s="16"/>
      <c r="I2528" s="16"/>
      <c r="J2528" s="17"/>
      <c r="N2528" s="16"/>
      <c r="O2528" s="16"/>
      <c r="P2528" s="16"/>
    </row>
    <row r="2529" spans="8:16" ht="15.75" customHeight="1">
      <c r="H2529" s="16"/>
      <c r="I2529" s="16"/>
      <c r="J2529" s="17"/>
      <c r="N2529" s="16"/>
      <c r="O2529" s="16"/>
      <c r="P2529" s="16"/>
    </row>
    <row r="2530" spans="8:16" ht="15.75" customHeight="1">
      <c r="H2530" s="16"/>
      <c r="I2530" s="16"/>
      <c r="J2530" s="17"/>
      <c r="N2530" s="16"/>
      <c r="O2530" s="16"/>
      <c r="P2530" s="16"/>
    </row>
    <row r="2531" spans="8:16" ht="15.75" customHeight="1">
      <c r="H2531" s="16"/>
      <c r="I2531" s="16"/>
      <c r="J2531" s="17"/>
      <c r="N2531" s="16"/>
      <c r="O2531" s="16"/>
      <c r="P2531" s="16"/>
    </row>
    <row r="2532" spans="8:16" ht="15.75" customHeight="1">
      <c r="H2532" s="16"/>
      <c r="I2532" s="16"/>
      <c r="J2532" s="17"/>
      <c r="N2532" s="16"/>
      <c r="O2532" s="16"/>
      <c r="P2532" s="16"/>
    </row>
    <row r="2533" spans="8:16" ht="15.75" customHeight="1">
      <c r="H2533" s="16"/>
      <c r="I2533" s="16"/>
      <c r="J2533" s="17"/>
      <c r="N2533" s="16"/>
      <c r="O2533" s="16"/>
      <c r="P2533" s="16"/>
    </row>
    <row r="2534" spans="8:16" ht="15.75" customHeight="1">
      <c r="H2534" s="16"/>
      <c r="I2534" s="16"/>
      <c r="J2534" s="17"/>
      <c r="N2534" s="16"/>
      <c r="O2534" s="16"/>
      <c r="P2534" s="16"/>
    </row>
    <row r="2535" spans="8:16" ht="15.75" customHeight="1">
      <c r="H2535" s="16"/>
      <c r="I2535" s="16"/>
      <c r="J2535" s="17"/>
      <c r="N2535" s="16"/>
      <c r="O2535" s="16"/>
      <c r="P2535" s="16"/>
    </row>
    <row r="2536" spans="8:16" ht="15.75" customHeight="1">
      <c r="H2536" s="16"/>
      <c r="I2536" s="16"/>
      <c r="J2536" s="17"/>
      <c r="N2536" s="16"/>
      <c r="O2536" s="16"/>
      <c r="P2536" s="16"/>
    </row>
    <row r="2537" spans="8:16" ht="15.75" customHeight="1">
      <c r="H2537" s="16"/>
      <c r="I2537" s="16"/>
      <c r="J2537" s="17"/>
      <c r="N2537" s="16"/>
      <c r="O2537" s="16"/>
      <c r="P2537" s="16"/>
    </row>
    <row r="2538" spans="8:16" ht="15.75" customHeight="1">
      <c r="H2538" s="16"/>
      <c r="I2538" s="16"/>
      <c r="J2538" s="17"/>
      <c r="N2538" s="16"/>
      <c r="O2538" s="16"/>
      <c r="P2538" s="16"/>
    </row>
    <row r="2539" spans="8:16" ht="15.75" customHeight="1">
      <c r="H2539" s="16"/>
      <c r="I2539" s="16"/>
      <c r="J2539" s="17"/>
      <c r="N2539" s="16"/>
      <c r="O2539" s="16"/>
      <c r="P2539" s="16"/>
    </row>
    <row r="2540" spans="8:16" ht="15.75" customHeight="1">
      <c r="H2540" s="16"/>
      <c r="I2540" s="16"/>
      <c r="J2540" s="17"/>
      <c r="N2540" s="16"/>
      <c r="O2540" s="16"/>
      <c r="P2540" s="16"/>
    </row>
    <row r="2541" spans="8:16" ht="15.75" customHeight="1">
      <c r="H2541" s="16"/>
      <c r="I2541" s="16"/>
      <c r="J2541" s="17"/>
      <c r="N2541" s="16"/>
      <c r="O2541" s="16"/>
      <c r="P2541" s="16"/>
    </row>
    <row r="2542" spans="8:16" ht="15.75" customHeight="1">
      <c r="H2542" s="16"/>
      <c r="I2542" s="16"/>
      <c r="J2542" s="17"/>
      <c r="N2542" s="16"/>
      <c r="O2542" s="16"/>
      <c r="P2542" s="16"/>
    </row>
    <row r="2543" spans="8:16" ht="15.75" customHeight="1">
      <c r="H2543" s="16"/>
      <c r="I2543" s="16"/>
      <c r="J2543" s="17"/>
      <c r="N2543" s="16"/>
      <c r="O2543" s="16"/>
      <c r="P2543" s="16"/>
    </row>
    <row r="2544" spans="8:16" ht="15.75" customHeight="1">
      <c r="H2544" s="16"/>
      <c r="I2544" s="16"/>
      <c r="J2544" s="17"/>
      <c r="N2544" s="16"/>
      <c r="O2544" s="16"/>
      <c r="P2544" s="16"/>
    </row>
    <row r="2545" spans="8:16" ht="15.75" customHeight="1">
      <c r="H2545" s="16"/>
      <c r="I2545" s="16"/>
      <c r="J2545" s="17"/>
      <c r="N2545" s="16"/>
      <c r="O2545" s="16"/>
      <c r="P2545" s="16"/>
    </row>
    <row r="2546" spans="8:16" ht="15.75" customHeight="1">
      <c r="H2546" s="16"/>
      <c r="I2546" s="16"/>
      <c r="J2546" s="17"/>
      <c r="N2546" s="16"/>
      <c r="O2546" s="16"/>
      <c r="P2546" s="16"/>
    </row>
    <row r="2547" spans="8:16" ht="15.75" customHeight="1">
      <c r="H2547" s="16"/>
      <c r="I2547" s="16"/>
      <c r="J2547" s="17"/>
      <c r="N2547" s="16"/>
      <c r="O2547" s="16"/>
      <c r="P2547" s="16"/>
    </row>
    <row r="2548" spans="8:16" ht="15.75" customHeight="1">
      <c r="H2548" s="16"/>
      <c r="I2548" s="16"/>
      <c r="J2548" s="17"/>
      <c r="N2548" s="16"/>
      <c r="O2548" s="16"/>
      <c r="P2548" s="16"/>
    </row>
    <row r="2549" spans="8:16" ht="15.75" customHeight="1">
      <c r="H2549" s="16"/>
      <c r="I2549" s="16"/>
      <c r="J2549" s="17"/>
      <c r="N2549" s="16"/>
      <c r="O2549" s="16"/>
      <c r="P2549" s="16"/>
    </row>
    <row r="2550" spans="8:16" ht="15.75" customHeight="1">
      <c r="H2550" s="16"/>
      <c r="I2550" s="16"/>
      <c r="J2550" s="17"/>
      <c r="N2550" s="16"/>
      <c r="O2550" s="16"/>
      <c r="P2550" s="16"/>
    </row>
    <row r="2551" spans="8:16" ht="15.75" customHeight="1">
      <c r="H2551" s="16"/>
      <c r="I2551" s="16"/>
      <c r="J2551" s="17"/>
      <c r="N2551" s="16"/>
      <c r="O2551" s="16"/>
      <c r="P2551" s="16"/>
    </row>
    <row r="2552" spans="8:16" ht="15.75" customHeight="1">
      <c r="H2552" s="16"/>
      <c r="I2552" s="16"/>
      <c r="J2552" s="17"/>
      <c r="N2552" s="16"/>
      <c r="O2552" s="16"/>
      <c r="P2552" s="16"/>
    </row>
    <row r="2553" spans="8:16" ht="15.75" customHeight="1">
      <c r="H2553" s="16"/>
      <c r="I2553" s="16"/>
      <c r="J2553" s="17"/>
      <c r="N2553" s="16"/>
      <c r="O2553" s="16"/>
      <c r="P2553" s="16"/>
    </row>
    <row r="2554" spans="8:16" ht="15.75" customHeight="1">
      <c r="H2554" s="16"/>
      <c r="I2554" s="16"/>
      <c r="J2554" s="17"/>
      <c r="N2554" s="16"/>
      <c r="O2554" s="16"/>
      <c r="P2554" s="16"/>
    </row>
    <row r="2555" spans="8:16" ht="15.75" customHeight="1">
      <c r="H2555" s="16"/>
      <c r="I2555" s="16"/>
      <c r="J2555" s="17"/>
      <c r="N2555" s="16"/>
      <c r="O2555" s="16"/>
      <c r="P2555" s="16"/>
    </row>
    <row r="2556" spans="8:16" ht="15.75" customHeight="1">
      <c r="H2556" s="16"/>
      <c r="I2556" s="16"/>
      <c r="J2556" s="17"/>
      <c r="N2556" s="16"/>
      <c r="O2556" s="16"/>
      <c r="P2556" s="16"/>
    </row>
    <row r="2557" spans="8:16" ht="15.75" customHeight="1">
      <c r="H2557" s="16"/>
      <c r="I2557" s="16"/>
      <c r="J2557" s="17"/>
      <c r="N2557" s="16"/>
      <c r="O2557" s="16"/>
      <c r="P2557" s="16"/>
    </row>
    <row r="2558" spans="8:16" ht="15.75" customHeight="1">
      <c r="H2558" s="16"/>
      <c r="I2558" s="16"/>
      <c r="J2558" s="17"/>
      <c r="N2558" s="16"/>
      <c r="O2558" s="16"/>
      <c r="P2558" s="16"/>
    </row>
    <row r="2559" spans="8:16" ht="15.75" customHeight="1">
      <c r="H2559" s="16"/>
      <c r="I2559" s="16"/>
      <c r="J2559" s="17"/>
      <c r="N2559" s="16"/>
      <c r="O2559" s="16"/>
      <c r="P2559" s="16"/>
    </row>
    <row r="2560" spans="8:16" ht="15.75" customHeight="1">
      <c r="H2560" s="16"/>
      <c r="I2560" s="16"/>
      <c r="J2560" s="17"/>
      <c r="N2560" s="16"/>
      <c r="O2560" s="16"/>
      <c r="P2560" s="16"/>
    </row>
    <row r="2561" spans="8:16" ht="15.75" customHeight="1">
      <c r="H2561" s="16"/>
      <c r="I2561" s="16"/>
      <c r="J2561" s="17"/>
      <c r="N2561" s="16"/>
      <c r="O2561" s="16"/>
      <c r="P2561" s="16"/>
    </row>
    <row r="2562" spans="8:16" ht="15.75" customHeight="1">
      <c r="H2562" s="16"/>
      <c r="I2562" s="16"/>
      <c r="J2562" s="17"/>
      <c r="N2562" s="16"/>
      <c r="O2562" s="16"/>
      <c r="P2562" s="16"/>
    </row>
    <row r="2563" spans="8:16" ht="15.75" customHeight="1">
      <c r="H2563" s="16"/>
      <c r="I2563" s="16"/>
      <c r="J2563" s="17"/>
      <c r="N2563" s="16"/>
      <c r="O2563" s="16"/>
      <c r="P2563" s="16"/>
    </row>
    <row r="2564" spans="8:16" ht="15.75" customHeight="1">
      <c r="H2564" s="16"/>
      <c r="I2564" s="16"/>
      <c r="J2564" s="17"/>
      <c r="N2564" s="16"/>
      <c r="O2564" s="16"/>
      <c r="P2564" s="16"/>
    </row>
    <row r="2565" spans="8:16" ht="15.75" customHeight="1">
      <c r="H2565" s="16"/>
      <c r="I2565" s="16"/>
      <c r="J2565" s="17"/>
      <c r="N2565" s="16"/>
      <c r="O2565" s="16"/>
      <c r="P2565" s="16"/>
    </row>
    <row r="2566" spans="8:16" ht="15.75" customHeight="1">
      <c r="H2566" s="16"/>
      <c r="I2566" s="16"/>
      <c r="J2566" s="17"/>
      <c r="N2566" s="16"/>
      <c r="O2566" s="16"/>
      <c r="P2566" s="16"/>
    </row>
    <row r="2567" spans="8:16" ht="15.75" customHeight="1">
      <c r="H2567" s="16"/>
      <c r="I2567" s="16"/>
      <c r="J2567" s="17"/>
      <c r="N2567" s="16"/>
      <c r="O2567" s="16"/>
      <c r="P2567" s="16"/>
    </row>
    <row r="2568" spans="8:16" ht="15.75" customHeight="1">
      <c r="H2568" s="16"/>
      <c r="I2568" s="16"/>
      <c r="J2568" s="17"/>
      <c r="N2568" s="16"/>
      <c r="O2568" s="16"/>
      <c r="P2568" s="16"/>
    </row>
    <row r="2569" spans="8:16" ht="15.75" customHeight="1">
      <c r="H2569" s="16"/>
      <c r="I2569" s="16"/>
      <c r="J2569" s="17"/>
      <c r="N2569" s="16"/>
      <c r="O2569" s="16"/>
      <c r="P2569" s="16"/>
    </row>
    <row r="2570" spans="8:16" ht="15.75" customHeight="1">
      <c r="H2570" s="16"/>
      <c r="I2570" s="16"/>
      <c r="J2570" s="17"/>
      <c r="N2570" s="16"/>
      <c r="O2570" s="16"/>
      <c r="P2570" s="16"/>
    </row>
    <row r="2571" spans="8:16" ht="15.75" customHeight="1">
      <c r="H2571" s="16"/>
      <c r="I2571" s="16"/>
      <c r="J2571" s="17"/>
      <c r="N2571" s="16"/>
      <c r="O2571" s="16"/>
      <c r="P2571" s="16"/>
    </row>
    <row r="2572" spans="8:16" ht="15.75" customHeight="1">
      <c r="H2572" s="16"/>
      <c r="I2572" s="16"/>
      <c r="J2572" s="17"/>
      <c r="N2572" s="16"/>
      <c r="O2572" s="16"/>
      <c r="P2572" s="16"/>
    </row>
    <row r="2573" spans="8:16" ht="15.75" customHeight="1">
      <c r="H2573" s="16"/>
      <c r="I2573" s="16"/>
      <c r="J2573" s="17"/>
      <c r="N2573" s="16"/>
      <c r="O2573" s="16"/>
      <c r="P2573" s="16"/>
    </row>
    <row r="2574" spans="8:16" ht="15.75" customHeight="1">
      <c r="H2574" s="16"/>
      <c r="I2574" s="16"/>
      <c r="J2574" s="17"/>
      <c r="N2574" s="16"/>
      <c r="O2574" s="16"/>
      <c r="P2574" s="16"/>
    </row>
    <row r="2575" spans="8:16" ht="15.75" customHeight="1">
      <c r="H2575" s="16"/>
      <c r="I2575" s="16"/>
      <c r="J2575" s="17"/>
      <c r="N2575" s="16"/>
      <c r="O2575" s="16"/>
      <c r="P2575" s="16"/>
    </row>
    <row r="2576" spans="8:16" ht="15.75" customHeight="1">
      <c r="H2576" s="16"/>
      <c r="I2576" s="16"/>
      <c r="J2576" s="17"/>
      <c r="N2576" s="16"/>
      <c r="O2576" s="16"/>
      <c r="P2576" s="16"/>
    </row>
    <row r="2577" spans="8:16" ht="15.75" customHeight="1">
      <c r="H2577" s="16"/>
      <c r="I2577" s="16"/>
      <c r="J2577" s="17"/>
      <c r="N2577" s="16"/>
      <c r="O2577" s="16"/>
      <c r="P2577" s="16"/>
    </row>
    <row r="2578" spans="8:16" ht="15.75" customHeight="1">
      <c r="H2578" s="16"/>
      <c r="I2578" s="16"/>
      <c r="J2578" s="17"/>
      <c r="N2578" s="16"/>
      <c r="O2578" s="16"/>
      <c r="P2578" s="16"/>
    </row>
    <row r="2579" spans="8:16" ht="15.75" customHeight="1">
      <c r="H2579" s="16"/>
      <c r="I2579" s="16"/>
      <c r="J2579" s="17"/>
      <c r="N2579" s="16"/>
      <c r="O2579" s="16"/>
      <c r="P2579" s="16"/>
    </row>
    <row r="2580" spans="8:16" ht="15.75" customHeight="1">
      <c r="H2580" s="16"/>
      <c r="I2580" s="16"/>
      <c r="J2580" s="17"/>
      <c r="N2580" s="16"/>
      <c r="O2580" s="16"/>
      <c r="P2580" s="16"/>
    </row>
    <row r="2581" spans="8:16" ht="15.75" customHeight="1">
      <c r="H2581" s="16"/>
      <c r="I2581" s="16"/>
      <c r="J2581" s="17"/>
      <c r="N2581" s="16"/>
      <c r="O2581" s="16"/>
      <c r="P2581" s="16"/>
    </row>
    <row r="2582" spans="8:16" ht="15.75" customHeight="1">
      <c r="H2582" s="16"/>
      <c r="I2582" s="16"/>
      <c r="J2582" s="17"/>
      <c r="N2582" s="16"/>
      <c r="O2582" s="16"/>
      <c r="P2582" s="16"/>
    </row>
    <row r="2583" spans="8:16" ht="15.75" customHeight="1">
      <c r="H2583" s="16"/>
      <c r="I2583" s="16"/>
      <c r="J2583" s="17"/>
      <c r="N2583" s="16"/>
      <c r="O2583" s="16"/>
      <c r="P2583" s="16"/>
    </row>
    <row r="2584" spans="8:16" ht="15.75" customHeight="1">
      <c r="H2584" s="16"/>
      <c r="I2584" s="16"/>
      <c r="J2584" s="17"/>
      <c r="N2584" s="16"/>
      <c r="O2584" s="16"/>
      <c r="P2584" s="16"/>
    </row>
    <row r="2585" spans="8:16" ht="15.75" customHeight="1">
      <c r="H2585" s="16"/>
      <c r="I2585" s="16"/>
      <c r="J2585" s="17"/>
      <c r="N2585" s="16"/>
      <c r="O2585" s="16"/>
      <c r="P2585" s="16"/>
    </row>
    <row r="2586" spans="8:16" ht="15.75" customHeight="1">
      <c r="H2586" s="16"/>
      <c r="I2586" s="16"/>
      <c r="J2586" s="17"/>
      <c r="N2586" s="16"/>
      <c r="O2586" s="16"/>
      <c r="P2586" s="16"/>
    </row>
    <row r="2587" spans="8:16" ht="15.75" customHeight="1">
      <c r="H2587" s="16"/>
      <c r="I2587" s="16"/>
      <c r="J2587" s="17"/>
      <c r="N2587" s="16"/>
      <c r="O2587" s="16"/>
      <c r="P2587" s="16"/>
    </row>
    <row r="2588" spans="8:16" ht="15.75" customHeight="1">
      <c r="H2588" s="16"/>
      <c r="I2588" s="16"/>
      <c r="J2588" s="17"/>
      <c r="N2588" s="16"/>
      <c r="O2588" s="16"/>
      <c r="P2588" s="16"/>
    </row>
    <row r="2589" spans="8:16" ht="15.75" customHeight="1">
      <c r="H2589" s="16"/>
      <c r="I2589" s="16"/>
      <c r="J2589" s="17"/>
      <c r="N2589" s="16"/>
      <c r="O2589" s="16"/>
      <c r="P2589" s="16"/>
    </row>
    <row r="2590" spans="8:16" ht="15.75" customHeight="1">
      <c r="H2590" s="16"/>
      <c r="I2590" s="16"/>
      <c r="J2590" s="17"/>
      <c r="N2590" s="16"/>
      <c r="O2590" s="16"/>
      <c r="P2590" s="16"/>
    </row>
    <row r="2591" spans="8:16" ht="15.75" customHeight="1">
      <c r="H2591" s="16"/>
      <c r="I2591" s="16"/>
      <c r="J2591" s="17"/>
      <c r="N2591" s="16"/>
      <c r="O2591" s="16"/>
      <c r="P2591" s="16"/>
    </row>
    <row r="2592" spans="8:16" ht="15.75" customHeight="1">
      <c r="H2592" s="16"/>
      <c r="I2592" s="16"/>
      <c r="J2592" s="17"/>
      <c r="N2592" s="16"/>
      <c r="O2592" s="16"/>
      <c r="P2592" s="16"/>
    </row>
    <row r="2593" spans="8:16" ht="15.75" customHeight="1">
      <c r="H2593" s="16"/>
      <c r="I2593" s="16"/>
      <c r="J2593" s="17"/>
      <c r="N2593" s="16"/>
      <c r="O2593" s="16"/>
      <c r="P2593" s="16"/>
    </row>
    <row r="2594" spans="8:16" ht="15.75" customHeight="1">
      <c r="H2594" s="16"/>
      <c r="I2594" s="16"/>
      <c r="J2594" s="17"/>
      <c r="N2594" s="16"/>
      <c r="O2594" s="16"/>
      <c r="P2594" s="16"/>
    </row>
    <row r="2595" spans="8:16" ht="15.75" customHeight="1">
      <c r="H2595" s="16"/>
      <c r="I2595" s="16"/>
      <c r="J2595" s="17"/>
      <c r="N2595" s="16"/>
      <c r="O2595" s="16"/>
      <c r="P2595" s="16"/>
    </row>
    <row r="2596" spans="8:16" ht="15.75" customHeight="1">
      <c r="H2596" s="16"/>
      <c r="I2596" s="16"/>
      <c r="J2596" s="17"/>
      <c r="N2596" s="16"/>
      <c r="O2596" s="16"/>
      <c r="P2596" s="16"/>
    </row>
    <row r="2597" spans="8:16" ht="15.75" customHeight="1">
      <c r="H2597" s="16"/>
      <c r="I2597" s="16"/>
      <c r="J2597" s="17"/>
      <c r="N2597" s="16"/>
      <c r="O2597" s="16"/>
      <c r="P2597" s="16"/>
    </row>
    <row r="2598" spans="8:16" ht="15.75" customHeight="1">
      <c r="H2598" s="16"/>
      <c r="I2598" s="16"/>
      <c r="J2598" s="17"/>
      <c r="N2598" s="16"/>
      <c r="O2598" s="16"/>
      <c r="P2598" s="16"/>
    </row>
    <row r="2599" spans="8:16" ht="15.75" customHeight="1">
      <c r="H2599" s="16"/>
      <c r="I2599" s="16"/>
      <c r="J2599" s="17"/>
      <c r="N2599" s="16"/>
      <c r="O2599" s="16"/>
      <c r="P2599" s="16"/>
    </row>
    <row r="2600" spans="8:16" ht="15.75" customHeight="1">
      <c r="H2600" s="16"/>
      <c r="I2600" s="16"/>
      <c r="J2600" s="17"/>
      <c r="N2600" s="16"/>
      <c r="O2600" s="16"/>
      <c r="P2600" s="16"/>
    </row>
    <row r="2601" spans="8:16" ht="15.75" customHeight="1">
      <c r="H2601" s="16"/>
      <c r="I2601" s="16"/>
      <c r="J2601" s="17"/>
      <c r="N2601" s="16"/>
      <c r="O2601" s="16"/>
      <c r="P2601" s="16"/>
    </row>
    <row r="2602" spans="8:16" ht="15.75" customHeight="1">
      <c r="H2602" s="16"/>
      <c r="I2602" s="16"/>
      <c r="J2602" s="17"/>
      <c r="N2602" s="16"/>
      <c r="O2602" s="16"/>
      <c r="P2602" s="16"/>
    </row>
    <row r="2603" spans="8:16" ht="15.75" customHeight="1">
      <c r="H2603" s="16"/>
      <c r="I2603" s="16"/>
      <c r="J2603" s="17"/>
      <c r="N2603" s="16"/>
      <c r="O2603" s="16"/>
      <c r="P2603" s="16"/>
    </row>
    <row r="2604" spans="8:16" ht="15.75" customHeight="1">
      <c r="H2604" s="16"/>
      <c r="I2604" s="16"/>
      <c r="J2604" s="17"/>
      <c r="N2604" s="16"/>
      <c r="O2604" s="16"/>
      <c r="P2604" s="16"/>
    </row>
    <row r="2605" spans="8:16" ht="15.75" customHeight="1">
      <c r="H2605" s="16"/>
      <c r="I2605" s="16"/>
      <c r="J2605" s="17"/>
      <c r="N2605" s="16"/>
      <c r="O2605" s="16"/>
      <c r="P2605" s="16"/>
    </row>
    <row r="2606" spans="8:16" ht="15.75" customHeight="1">
      <c r="H2606" s="16"/>
      <c r="I2606" s="16"/>
      <c r="J2606" s="17"/>
      <c r="N2606" s="16"/>
      <c r="O2606" s="16"/>
      <c r="P2606" s="16"/>
    </row>
    <row r="2607" spans="8:16" ht="15.75" customHeight="1">
      <c r="H2607" s="16"/>
      <c r="I2607" s="16"/>
      <c r="J2607" s="17"/>
      <c r="N2607" s="16"/>
      <c r="O2607" s="16"/>
      <c r="P2607" s="16"/>
    </row>
    <row r="2608" spans="8:16" ht="15.75" customHeight="1">
      <c r="H2608" s="16"/>
      <c r="I2608" s="16"/>
      <c r="J2608" s="17"/>
      <c r="N2608" s="16"/>
      <c r="O2608" s="16"/>
      <c r="P2608" s="16"/>
    </row>
    <row r="2609" spans="8:16" ht="15.75" customHeight="1">
      <c r="H2609" s="16"/>
      <c r="I2609" s="16"/>
      <c r="J2609" s="17"/>
      <c r="N2609" s="16"/>
      <c r="O2609" s="16"/>
      <c r="P2609" s="16"/>
    </row>
    <row r="2610" spans="8:16" ht="15.75" customHeight="1">
      <c r="H2610" s="16"/>
      <c r="I2610" s="16"/>
      <c r="J2610" s="17"/>
      <c r="N2610" s="16"/>
      <c r="O2610" s="16"/>
      <c r="P2610" s="16"/>
    </row>
    <row r="2611" spans="8:16" ht="15.75" customHeight="1">
      <c r="H2611" s="16"/>
      <c r="I2611" s="16"/>
      <c r="J2611" s="17"/>
      <c r="N2611" s="16"/>
      <c r="O2611" s="16"/>
      <c r="P2611" s="16"/>
    </row>
    <row r="2612" spans="8:16" ht="15.75" customHeight="1">
      <c r="H2612" s="16"/>
      <c r="I2612" s="16"/>
      <c r="J2612" s="17"/>
      <c r="N2612" s="16"/>
      <c r="O2612" s="16"/>
      <c r="P2612" s="16"/>
    </row>
    <row r="2613" spans="8:16" ht="15.75" customHeight="1">
      <c r="H2613" s="16"/>
      <c r="I2613" s="16"/>
      <c r="J2613" s="17"/>
      <c r="N2613" s="16"/>
      <c r="O2613" s="16"/>
      <c r="P2613" s="16"/>
    </row>
    <row r="2614" spans="8:16" ht="15.75" customHeight="1">
      <c r="H2614" s="16"/>
      <c r="I2614" s="16"/>
      <c r="J2614" s="17"/>
      <c r="N2614" s="16"/>
      <c r="O2614" s="16"/>
      <c r="P2614" s="16"/>
    </row>
    <row r="2615" spans="8:16" ht="15.75" customHeight="1">
      <c r="H2615" s="16"/>
      <c r="I2615" s="16"/>
      <c r="J2615" s="17"/>
      <c r="N2615" s="16"/>
      <c r="O2615" s="16"/>
      <c r="P2615" s="16"/>
    </row>
    <row r="2616" spans="8:16" ht="15.75" customHeight="1">
      <c r="H2616" s="16"/>
      <c r="I2616" s="16"/>
      <c r="J2616" s="17"/>
      <c r="N2616" s="16"/>
      <c r="O2616" s="16"/>
      <c r="P2616" s="16"/>
    </row>
    <row r="2617" spans="8:16" ht="15.75" customHeight="1">
      <c r="H2617" s="16"/>
      <c r="I2617" s="16"/>
      <c r="J2617" s="17"/>
      <c r="N2617" s="16"/>
      <c r="O2617" s="16"/>
      <c r="P2617" s="16"/>
    </row>
    <row r="2618" spans="8:16" ht="15.75" customHeight="1">
      <c r="H2618" s="16"/>
      <c r="I2618" s="16"/>
      <c r="J2618" s="17"/>
      <c r="N2618" s="16"/>
      <c r="O2618" s="16"/>
      <c r="P2618" s="16"/>
    </row>
    <row r="2619" spans="8:16" ht="15.75" customHeight="1">
      <c r="H2619" s="16"/>
      <c r="I2619" s="16"/>
      <c r="J2619" s="17"/>
      <c r="N2619" s="16"/>
      <c r="O2619" s="16"/>
      <c r="P2619" s="16"/>
    </row>
    <row r="2620" spans="8:16" ht="15.75" customHeight="1">
      <c r="H2620" s="16"/>
      <c r="I2620" s="16"/>
      <c r="J2620" s="17"/>
      <c r="N2620" s="16"/>
      <c r="O2620" s="16"/>
      <c r="P2620" s="16"/>
    </row>
    <row r="2621" spans="8:16" ht="15.75" customHeight="1">
      <c r="H2621" s="16"/>
      <c r="I2621" s="16"/>
      <c r="J2621" s="17"/>
      <c r="N2621" s="16"/>
      <c r="O2621" s="16"/>
      <c r="P2621" s="16"/>
    </row>
    <row r="2622" spans="8:16" ht="15.75" customHeight="1">
      <c r="H2622" s="16"/>
      <c r="I2622" s="16"/>
      <c r="J2622" s="17"/>
      <c r="N2622" s="16"/>
      <c r="O2622" s="16"/>
      <c r="P2622" s="16"/>
    </row>
    <row r="2623" spans="8:16" ht="15.75" customHeight="1">
      <c r="H2623" s="16"/>
      <c r="I2623" s="16"/>
      <c r="J2623" s="17"/>
      <c r="N2623" s="16"/>
      <c r="O2623" s="16"/>
      <c r="P2623" s="16"/>
    </row>
    <row r="2624" spans="8:16" ht="15.75" customHeight="1">
      <c r="H2624" s="16"/>
      <c r="I2624" s="16"/>
      <c r="J2624" s="17"/>
      <c r="N2624" s="16"/>
      <c r="O2624" s="16"/>
      <c r="P2624" s="16"/>
    </row>
    <row r="2625" spans="8:16" ht="15.75" customHeight="1">
      <c r="H2625" s="16"/>
      <c r="I2625" s="16"/>
      <c r="J2625" s="17"/>
      <c r="N2625" s="16"/>
      <c r="O2625" s="16"/>
      <c r="P2625" s="16"/>
    </row>
    <row r="2626" spans="8:16" ht="15.75" customHeight="1">
      <c r="H2626" s="16"/>
      <c r="I2626" s="16"/>
      <c r="J2626" s="17"/>
      <c r="N2626" s="16"/>
      <c r="O2626" s="16"/>
      <c r="P2626" s="16"/>
    </row>
    <row r="2627" spans="8:16" ht="15.75" customHeight="1">
      <c r="H2627" s="16"/>
      <c r="I2627" s="16"/>
      <c r="J2627" s="17"/>
      <c r="N2627" s="16"/>
      <c r="O2627" s="16"/>
      <c r="P2627" s="16"/>
    </row>
    <row r="2628" spans="8:16" ht="15.75" customHeight="1">
      <c r="H2628" s="16"/>
      <c r="I2628" s="16"/>
      <c r="J2628" s="17"/>
      <c r="N2628" s="16"/>
      <c r="O2628" s="16"/>
      <c r="P2628" s="16"/>
    </row>
    <row r="2629" spans="8:16" ht="15.75" customHeight="1">
      <c r="H2629" s="16"/>
      <c r="I2629" s="16"/>
      <c r="J2629" s="17"/>
      <c r="N2629" s="16"/>
      <c r="O2629" s="16"/>
      <c r="P2629" s="16"/>
    </row>
    <row r="2630" spans="8:16" ht="15.75" customHeight="1">
      <c r="H2630" s="16"/>
      <c r="I2630" s="16"/>
      <c r="J2630" s="17"/>
      <c r="N2630" s="16"/>
      <c r="O2630" s="16"/>
      <c r="P2630" s="16"/>
    </row>
    <row r="2631" spans="8:16" ht="15.75" customHeight="1">
      <c r="H2631" s="16"/>
      <c r="I2631" s="16"/>
      <c r="J2631" s="17"/>
      <c r="N2631" s="16"/>
      <c r="O2631" s="16"/>
      <c r="P2631" s="16"/>
    </row>
    <row r="2632" spans="8:16" ht="15.75" customHeight="1">
      <c r="H2632" s="16"/>
      <c r="I2632" s="16"/>
      <c r="J2632" s="17"/>
      <c r="N2632" s="16"/>
      <c r="O2632" s="16"/>
      <c r="P2632" s="16"/>
    </row>
    <row r="2633" spans="8:16" ht="15.75" customHeight="1">
      <c r="H2633" s="16"/>
      <c r="I2633" s="16"/>
      <c r="J2633" s="17"/>
      <c r="N2633" s="16"/>
      <c r="O2633" s="16"/>
      <c r="P2633" s="16"/>
    </row>
    <row r="2634" spans="8:16" ht="15.75" customHeight="1">
      <c r="H2634" s="16"/>
      <c r="I2634" s="16"/>
      <c r="J2634" s="17"/>
      <c r="N2634" s="16"/>
      <c r="O2634" s="16"/>
      <c r="P2634" s="16"/>
    </row>
    <row r="2635" spans="8:16" ht="15.75" customHeight="1">
      <c r="H2635" s="16"/>
      <c r="I2635" s="16"/>
      <c r="J2635" s="17"/>
      <c r="N2635" s="16"/>
      <c r="O2635" s="16"/>
      <c r="P2635" s="16"/>
    </row>
    <row r="2636" spans="8:16" ht="15.75" customHeight="1">
      <c r="H2636" s="16"/>
      <c r="I2636" s="16"/>
      <c r="J2636" s="17"/>
      <c r="N2636" s="16"/>
      <c r="O2636" s="16"/>
      <c r="P2636" s="16"/>
    </row>
    <row r="2637" spans="8:16" ht="15.75" customHeight="1">
      <c r="H2637" s="16"/>
      <c r="I2637" s="16"/>
      <c r="J2637" s="17"/>
      <c r="N2637" s="16"/>
      <c r="O2637" s="16"/>
      <c r="P2637" s="16"/>
    </row>
    <row r="2638" spans="8:16" ht="15.75" customHeight="1">
      <c r="H2638" s="16"/>
      <c r="I2638" s="16"/>
      <c r="J2638" s="17"/>
      <c r="N2638" s="16"/>
      <c r="O2638" s="16"/>
      <c r="P2638" s="16"/>
    </row>
    <row r="2639" spans="8:16" ht="15.75" customHeight="1">
      <c r="H2639" s="16"/>
      <c r="I2639" s="16"/>
      <c r="J2639" s="17"/>
      <c r="N2639" s="16"/>
      <c r="O2639" s="16"/>
      <c r="P2639" s="16"/>
    </row>
    <row r="2640" spans="8:16" ht="15.75" customHeight="1">
      <c r="H2640" s="16"/>
      <c r="I2640" s="16"/>
      <c r="J2640" s="17"/>
      <c r="N2640" s="16"/>
      <c r="O2640" s="16"/>
      <c r="P2640" s="16"/>
    </row>
    <row r="2641" spans="8:16" ht="15.75" customHeight="1">
      <c r="H2641" s="16"/>
      <c r="I2641" s="16"/>
      <c r="J2641" s="17"/>
      <c r="N2641" s="16"/>
      <c r="O2641" s="16"/>
      <c r="P2641" s="16"/>
    </row>
    <row r="2642" spans="8:16" ht="15.75" customHeight="1">
      <c r="H2642" s="16"/>
      <c r="I2642" s="16"/>
      <c r="J2642" s="17"/>
      <c r="N2642" s="16"/>
      <c r="O2642" s="16"/>
      <c r="P2642" s="16"/>
    </row>
    <row r="2643" spans="8:16" ht="15.75" customHeight="1">
      <c r="H2643" s="16"/>
      <c r="I2643" s="16"/>
      <c r="J2643" s="17"/>
      <c r="N2643" s="16"/>
      <c r="O2643" s="16"/>
      <c r="P2643" s="16"/>
    </row>
    <row r="2644" spans="8:16" ht="15.75" customHeight="1">
      <c r="H2644" s="16"/>
      <c r="I2644" s="16"/>
      <c r="J2644" s="17"/>
      <c r="N2644" s="16"/>
      <c r="O2644" s="16"/>
      <c r="P2644" s="16"/>
    </row>
    <row r="2645" spans="8:16" ht="15.75" customHeight="1">
      <c r="H2645" s="16"/>
      <c r="I2645" s="16"/>
      <c r="J2645" s="17"/>
      <c r="N2645" s="16"/>
      <c r="O2645" s="16"/>
      <c r="P2645" s="16"/>
    </row>
    <row r="2646" spans="8:16" ht="15.75" customHeight="1">
      <c r="H2646" s="16"/>
      <c r="I2646" s="16"/>
      <c r="J2646" s="17"/>
      <c r="N2646" s="16"/>
      <c r="O2646" s="16"/>
      <c r="P2646" s="16"/>
    </row>
    <row r="2647" spans="8:16" ht="15.75" customHeight="1">
      <c r="H2647" s="16"/>
      <c r="I2647" s="16"/>
      <c r="J2647" s="17"/>
      <c r="N2647" s="16"/>
      <c r="O2647" s="16"/>
      <c r="P2647" s="16"/>
    </row>
    <row r="2648" spans="8:16" ht="15.75" customHeight="1">
      <c r="H2648" s="16"/>
      <c r="I2648" s="16"/>
      <c r="J2648" s="17"/>
      <c r="N2648" s="16"/>
      <c r="O2648" s="16"/>
      <c r="P2648" s="16"/>
    </row>
    <row r="2649" spans="8:16" ht="15.75" customHeight="1">
      <c r="H2649" s="16"/>
      <c r="I2649" s="16"/>
      <c r="J2649" s="17"/>
      <c r="N2649" s="16"/>
      <c r="O2649" s="16"/>
      <c r="P2649" s="16"/>
    </row>
    <row r="2650" spans="8:16" ht="15.75" customHeight="1">
      <c r="H2650" s="16"/>
      <c r="I2650" s="16"/>
      <c r="J2650" s="17"/>
      <c r="N2650" s="16"/>
      <c r="O2650" s="16"/>
      <c r="P2650" s="16"/>
    </row>
    <row r="2651" spans="8:16" ht="15.75" customHeight="1">
      <c r="H2651" s="16"/>
      <c r="I2651" s="16"/>
      <c r="J2651" s="17"/>
      <c r="N2651" s="16"/>
      <c r="O2651" s="16"/>
      <c r="P2651" s="16"/>
    </row>
    <row r="2652" spans="8:16" ht="15.75" customHeight="1">
      <c r="H2652" s="16"/>
      <c r="I2652" s="16"/>
      <c r="J2652" s="17"/>
      <c r="N2652" s="16"/>
      <c r="O2652" s="16"/>
      <c r="P2652" s="16"/>
    </row>
    <row r="2653" spans="8:16" ht="15.75" customHeight="1">
      <c r="H2653" s="16"/>
      <c r="I2653" s="16"/>
      <c r="J2653" s="17"/>
      <c r="N2653" s="16"/>
      <c r="O2653" s="16"/>
      <c r="P2653" s="16"/>
    </row>
    <row r="2654" spans="8:16" ht="15.75" customHeight="1">
      <c r="H2654" s="16"/>
      <c r="I2654" s="16"/>
      <c r="J2654" s="17"/>
      <c r="N2654" s="16"/>
      <c r="O2654" s="16"/>
      <c r="P2654" s="16"/>
    </row>
    <row r="2655" spans="8:16" ht="15.75" customHeight="1">
      <c r="H2655" s="16"/>
      <c r="I2655" s="16"/>
      <c r="J2655" s="17"/>
      <c r="N2655" s="16"/>
      <c r="O2655" s="16"/>
      <c r="P2655" s="16"/>
    </row>
    <row r="2656" spans="8:16" ht="15.75" customHeight="1">
      <c r="H2656" s="16"/>
      <c r="I2656" s="16"/>
      <c r="J2656" s="17"/>
      <c r="N2656" s="16"/>
      <c r="O2656" s="16"/>
      <c r="P2656" s="16"/>
    </row>
    <row r="2657" spans="8:16" ht="15.75" customHeight="1">
      <c r="H2657" s="16"/>
      <c r="I2657" s="16"/>
      <c r="J2657" s="17"/>
      <c r="N2657" s="16"/>
      <c r="O2657" s="16"/>
      <c r="P2657" s="16"/>
    </row>
    <row r="2658" spans="8:16" ht="15.75" customHeight="1">
      <c r="H2658" s="16"/>
      <c r="I2658" s="16"/>
      <c r="J2658" s="17"/>
      <c r="N2658" s="16"/>
      <c r="O2658" s="16"/>
      <c r="P2658" s="16"/>
    </row>
    <row r="2659" spans="8:16" ht="15.75" customHeight="1">
      <c r="H2659" s="16"/>
      <c r="I2659" s="16"/>
      <c r="J2659" s="17"/>
      <c r="N2659" s="16"/>
      <c r="O2659" s="16"/>
      <c r="P2659" s="16"/>
    </row>
    <row r="2660" spans="8:16" ht="15.75" customHeight="1">
      <c r="H2660" s="16"/>
      <c r="I2660" s="16"/>
      <c r="J2660" s="17"/>
      <c r="N2660" s="16"/>
      <c r="O2660" s="16"/>
      <c r="P2660" s="16"/>
    </row>
    <row r="2661" spans="8:16" ht="15.75" customHeight="1">
      <c r="H2661" s="16"/>
      <c r="I2661" s="16"/>
      <c r="J2661" s="17"/>
      <c r="N2661" s="16"/>
      <c r="O2661" s="16"/>
      <c r="P2661" s="16"/>
    </row>
    <row r="2662" spans="8:16" ht="15.75" customHeight="1">
      <c r="H2662" s="16"/>
      <c r="I2662" s="16"/>
      <c r="J2662" s="17"/>
      <c r="N2662" s="16"/>
      <c r="O2662" s="16"/>
      <c r="P2662" s="16"/>
    </row>
    <row r="2663" spans="8:16" ht="15.75" customHeight="1">
      <c r="H2663" s="16"/>
      <c r="I2663" s="16"/>
      <c r="J2663" s="17"/>
      <c r="N2663" s="16"/>
      <c r="O2663" s="16"/>
      <c r="P2663" s="16"/>
    </row>
    <row r="2664" spans="8:16" ht="15.75" customHeight="1">
      <c r="H2664" s="16"/>
      <c r="I2664" s="16"/>
      <c r="J2664" s="17"/>
      <c r="N2664" s="16"/>
      <c r="O2664" s="16"/>
      <c r="P2664" s="16"/>
    </row>
    <row r="2665" spans="8:16" ht="15.75" customHeight="1">
      <c r="H2665" s="16"/>
      <c r="I2665" s="16"/>
      <c r="J2665" s="17"/>
      <c r="N2665" s="16"/>
      <c r="O2665" s="16"/>
      <c r="P2665" s="16"/>
    </row>
    <row r="2666" spans="8:16" ht="15.75" customHeight="1">
      <c r="H2666" s="16"/>
      <c r="I2666" s="16"/>
      <c r="J2666" s="17"/>
      <c r="N2666" s="16"/>
      <c r="O2666" s="16"/>
      <c r="P2666" s="16"/>
    </row>
    <row r="2667" spans="8:16" ht="15.75" customHeight="1">
      <c r="H2667" s="16"/>
      <c r="I2667" s="16"/>
      <c r="J2667" s="17"/>
      <c r="N2667" s="16"/>
      <c r="O2667" s="16"/>
      <c r="P2667" s="16"/>
    </row>
    <row r="2668" spans="8:16" ht="15.75" customHeight="1">
      <c r="H2668" s="16"/>
      <c r="I2668" s="16"/>
      <c r="J2668" s="17"/>
      <c r="N2668" s="16"/>
      <c r="O2668" s="16"/>
      <c r="P2668" s="16"/>
    </row>
    <row r="2669" spans="8:16" ht="15.75" customHeight="1">
      <c r="H2669" s="16"/>
      <c r="I2669" s="16"/>
      <c r="J2669" s="17"/>
      <c r="N2669" s="16"/>
      <c r="O2669" s="16"/>
      <c r="P2669" s="16"/>
    </row>
    <row r="2670" spans="8:16" ht="15.75" customHeight="1">
      <c r="H2670" s="16"/>
      <c r="I2670" s="16"/>
      <c r="J2670" s="17"/>
      <c r="N2670" s="16"/>
      <c r="O2670" s="16"/>
      <c r="P2670" s="16"/>
    </row>
    <row r="2671" spans="8:16" ht="15.75" customHeight="1">
      <c r="H2671" s="16"/>
      <c r="I2671" s="16"/>
      <c r="J2671" s="17"/>
      <c r="N2671" s="16"/>
      <c r="O2671" s="16"/>
      <c r="P2671" s="16"/>
    </row>
    <row r="2672" spans="8:16" ht="15.75" customHeight="1">
      <c r="H2672" s="16"/>
      <c r="I2672" s="16"/>
      <c r="J2672" s="17"/>
      <c r="N2672" s="16"/>
      <c r="O2672" s="16"/>
      <c r="P2672" s="16"/>
    </row>
    <row r="2673" spans="8:16" ht="15.75" customHeight="1">
      <c r="H2673" s="16"/>
      <c r="I2673" s="16"/>
      <c r="J2673" s="17"/>
      <c r="N2673" s="16"/>
      <c r="O2673" s="16"/>
      <c r="P2673" s="16"/>
    </row>
    <row r="2674" spans="8:16" ht="15.75" customHeight="1">
      <c r="H2674" s="16"/>
      <c r="I2674" s="16"/>
      <c r="J2674" s="17"/>
      <c r="N2674" s="16"/>
      <c r="O2674" s="16"/>
      <c r="P2674" s="16"/>
    </row>
    <row r="2675" spans="8:16" ht="15.75" customHeight="1">
      <c r="H2675" s="16"/>
      <c r="I2675" s="16"/>
      <c r="J2675" s="17"/>
      <c r="N2675" s="16"/>
      <c r="O2675" s="16"/>
      <c r="P2675" s="16"/>
    </row>
    <row r="2676" spans="8:16" ht="15.75" customHeight="1">
      <c r="H2676" s="16"/>
      <c r="I2676" s="16"/>
      <c r="J2676" s="17"/>
      <c r="N2676" s="16"/>
      <c r="O2676" s="16"/>
      <c r="P2676" s="16"/>
    </row>
    <row r="2677" spans="8:16" ht="15.75" customHeight="1">
      <c r="H2677" s="16"/>
      <c r="I2677" s="16"/>
      <c r="J2677" s="17"/>
      <c r="N2677" s="16"/>
      <c r="O2677" s="16"/>
      <c r="P2677" s="16"/>
    </row>
    <row r="2678" spans="8:16" ht="15.75" customHeight="1">
      <c r="H2678" s="16"/>
      <c r="I2678" s="16"/>
      <c r="J2678" s="17"/>
      <c r="N2678" s="16"/>
      <c r="O2678" s="16"/>
      <c r="P2678" s="16"/>
    </row>
    <row r="2679" spans="8:16" ht="15.75" customHeight="1">
      <c r="H2679" s="16"/>
      <c r="I2679" s="16"/>
      <c r="J2679" s="17"/>
      <c r="N2679" s="16"/>
      <c r="O2679" s="16"/>
      <c r="P2679" s="16"/>
    </row>
    <row r="2680" spans="8:16" ht="15.75" customHeight="1">
      <c r="H2680" s="16"/>
      <c r="I2680" s="16"/>
      <c r="J2680" s="17"/>
      <c r="N2680" s="16"/>
      <c r="O2680" s="16"/>
      <c r="P2680" s="16"/>
    </row>
    <row r="2681" spans="8:16" ht="15.75" customHeight="1">
      <c r="H2681" s="16"/>
      <c r="I2681" s="16"/>
      <c r="J2681" s="17"/>
      <c r="N2681" s="16"/>
      <c r="O2681" s="16"/>
      <c r="P2681" s="16"/>
    </row>
    <row r="2682" spans="8:16" ht="15.75" customHeight="1">
      <c r="H2682" s="16"/>
      <c r="I2682" s="16"/>
      <c r="J2682" s="17"/>
      <c r="N2682" s="16"/>
      <c r="O2682" s="16"/>
      <c r="P2682" s="16"/>
    </row>
    <row r="2683" spans="8:16" ht="15.75" customHeight="1">
      <c r="H2683" s="16"/>
      <c r="I2683" s="16"/>
      <c r="J2683" s="17"/>
      <c r="N2683" s="16"/>
      <c r="O2683" s="16"/>
      <c r="P2683" s="16"/>
    </row>
    <row r="2684" spans="8:16" ht="15.75" customHeight="1">
      <c r="H2684" s="16"/>
      <c r="I2684" s="16"/>
      <c r="J2684" s="17"/>
      <c r="N2684" s="16"/>
      <c r="O2684" s="16"/>
      <c r="P2684" s="16"/>
    </row>
    <row r="2685" spans="8:16" ht="15.75" customHeight="1">
      <c r="H2685" s="16"/>
      <c r="I2685" s="16"/>
      <c r="J2685" s="17"/>
      <c r="N2685" s="16"/>
      <c r="O2685" s="16"/>
      <c r="P2685" s="16"/>
    </row>
    <row r="2686" spans="8:16" ht="15.75" customHeight="1">
      <c r="H2686" s="16"/>
      <c r="I2686" s="16"/>
      <c r="J2686" s="17"/>
      <c r="N2686" s="16"/>
      <c r="O2686" s="16"/>
      <c r="P2686" s="16"/>
    </row>
    <row r="2687" spans="8:16" ht="15.75" customHeight="1">
      <c r="H2687" s="16"/>
      <c r="I2687" s="16"/>
      <c r="J2687" s="17"/>
      <c r="N2687" s="16"/>
      <c r="O2687" s="16"/>
      <c r="P2687" s="16"/>
    </row>
    <row r="2688" spans="8:16" ht="15.75" customHeight="1">
      <c r="H2688" s="16"/>
      <c r="I2688" s="16"/>
      <c r="J2688" s="17"/>
      <c r="N2688" s="16"/>
      <c r="O2688" s="16"/>
      <c r="P2688" s="16"/>
    </row>
    <row r="2689" spans="8:16" ht="15.75" customHeight="1">
      <c r="H2689" s="16"/>
      <c r="I2689" s="16"/>
      <c r="J2689" s="17"/>
      <c r="N2689" s="16"/>
      <c r="O2689" s="16"/>
      <c r="P2689" s="16"/>
    </row>
    <row r="2690" spans="8:16" ht="15.75" customHeight="1">
      <c r="H2690" s="16"/>
      <c r="I2690" s="16"/>
      <c r="J2690" s="17"/>
      <c r="N2690" s="16"/>
      <c r="O2690" s="16"/>
      <c r="P2690" s="16"/>
    </row>
    <row r="2691" spans="8:16" ht="15.75" customHeight="1">
      <c r="H2691" s="16"/>
      <c r="I2691" s="16"/>
      <c r="J2691" s="17"/>
      <c r="N2691" s="16"/>
      <c r="O2691" s="16"/>
      <c r="P2691" s="16"/>
    </row>
    <row r="2692" spans="8:16" ht="15.75" customHeight="1">
      <c r="H2692" s="16"/>
      <c r="I2692" s="16"/>
      <c r="J2692" s="17"/>
      <c r="N2692" s="16"/>
      <c r="O2692" s="16"/>
      <c r="P2692" s="16"/>
    </row>
    <row r="2693" spans="8:16" ht="15.75" customHeight="1">
      <c r="H2693" s="16"/>
      <c r="I2693" s="16"/>
      <c r="J2693" s="17"/>
      <c r="N2693" s="16"/>
      <c r="O2693" s="16"/>
      <c r="P2693" s="16"/>
    </row>
    <row r="2694" spans="8:16" ht="15.75" customHeight="1">
      <c r="H2694" s="16"/>
      <c r="I2694" s="16"/>
      <c r="J2694" s="17"/>
      <c r="N2694" s="16"/>
      <c r="O2694" s="16"/>
      <c r="P2694" s="16"/>
    </row>
    <row r="2695" spans="8:16" ht="15.75" customHeight="1">
      <c r="H2695" s="16"/>
      <c r="I2695" s="16"/>
      <c r="J2695" s="17"/>
      <c r="N2695" s="16"/>
      <c r="O2695" s="16"/>
      <c r="P2695" s="16"/>
    </row>
    <row r="2696" spans="8:16" ht="15.75" customHeight="1">
      <c r="H2696" s="16"/>
      <c r="I2696" s="16"/>
      <c r="J2696" s="17"/>
      <c r="N2696" s="16"/>
      <c r="O2696" s="16"/>
      <c r="P2696" s="16"/>
    </row>
    <row r="2697" spans="8:16" ht="15.75" customHeight="1">
      <c r="H2697" s="16"/>
      <c r="I2697" s="16"/>
      <c r="J2697" s="17"/>
      <c r="N2697" s="16"/>
      <c r="O2697" s="16"/>
      <c r="P2697" s="16"/>
    </row>
    <row r="2698" spans="8:16" ht="15.75" customHeight="1">
      <c r="H2698" s="16"/>
      <c r="I2698" s="16"/>
      <c r="J2698" s="17"/>
      <c r="N2698" s="16"/>
      <c r="O2698" s="16"/>
      <c r="P2698" s="16"/>
    </row>
    <row r="2699" spans="8:16" ht="15.75" customHeight="1">
      <c r="H2699" s="16"/>
      <c r="I2699" s="16"/>
      <c r="J2699" s="17"/>
      <c r="N2699" s="16"/>
      <c r="O2699" s="16"/>
      <c r="P2699" s="16"/>
    </row>
    <row r="2700" spans="8:16" ht="15.75" customHeight="1">
      <c r="H2700" s="16"/>
      <c r="I2700" s="16"/>
      <c r="J2700" s="17"/>
      <c r="N2700" s="16"/>
      <c r="O2700" s="16"/>
      <c r="P2700" s="16"/>
    </row>
    <row r="2701" spans="8:16" ht="15.75" customHeight="1">
      <c r="H2701" s="16"/>
      <c r="I2701" s="16"/>
      <c r="J2701" s="17"/>
      <c r="N2701" s="16"/>
      <c r="O2701" s="16"/>
      <c r="P2701" s="16"/>
    </row>
    <row r="2702" spans="8:16" ht="15.75" customHeight="1">
      <c r="H2702" s="16"/>
      <c r="I2702" s="16"/>
      <c r="J2702" s="17"/>
      <c r="N2702" s="16"/>
      <c r="O2702" s="16"/>
      <c r="P2702" s="16"/>
    </row>
    <row r="2703" spans="8:16" ht="15.75" customHeight="1">
      <c r="H2703" s="16"/>
      <c r="I2703" s="16"/>
      <c r="J2703" s="17"/>
      <c r="N2703" s="16"/>
      <c r="O2703" s="16"/>
      <c r="P2703" s="16"/>
    </row>
    <row r="2704" spans="8:16" ht="15.75" customHeight="1">
      <c r="H2704" s="16"/>
      <c r="I2704" s="16"/>
      <c r="J2704" s="17"/>
      <c r="N2704" s="16"/>
      <c r="O2704" s="16"/>
      <c r="P2704" s="16"/>
    </row>
    <row r="2705" spans="8:16" ht="15.75" customHeight="1">
      <c r="H2705" s="16"/>
      <c r="I2705" s="16"/>
      <c r="J2705" s="17"/>
      <c r="N2705" s="16"/>
      <c r="O2705" s="16"/>
      <c r="P2705" s="16"/>
    </row>
    <row r="2706" spans="8:16" ht="15.75" customHeight="1">
      <c r="H2706" s="16"/>
      <c r="I2706" s="16"/>
      <c r="J2706" s="17"/>
      <c r="N2706" s="16"/>
      <c r="O2706" s="16"/>
      <c r="P2706" s="16"/>
    </row>
    <row r="2707" spans="8:16" ht="15.75" customHeight="1">
      <c r="H2707" s="16"/>
      <c r="I2707" s="16"/>
      <c r="J2707" s="17"/>
      <c r="N2707" s="16"/>
      <c r="O2707" s="16"/>
      <c r="P2707" s="16"/>
    </row>
    <row r="2708" spans="8:16" ht="15.75" customHeight="1">
      <c r="H2708" s="16"/>
      <c r="I2708" s="16"/>
      <c r="J2708" s="17"/>
      <c r="N2708" s="16"/>
      <c r="O2708" s="16"/>
      <c r="P2708" s="16"/>
    </row>
    <row r="2709" spans="8:16" ht="15.75" customHeight="1">
      <c r="H2709" s="16"/>
      <c r="I2709" s="16"/>
      <c r="J2709" s="17"/>
      <c r="N2709" s="16"/>
      <c r="O2709" s="16"/>
      <c r="P2709" s="16"/>
    </row>
    <row r="2710" spans="8:16" ht="15.75" customHeight="1">
      <c r="H2710" s="16"/>
      <c r="I2710" s="16"/>
      <c r="J2710" s="17"/>
      <c r="N2710" s="16"/>
      <c r="O2710" s="16"/>
      <c r="P2710" s="16"/>
    </row>
    <row r="2711" spans="8:16" ht="15.75" customHeight="1">
      <c r="H2711" s="16"/>
      <c r="I2711" s="16"/>
      <c r="J2711" s="17"/>
      <c r="N2711" s="16"/>
      <c r="O2711" s="16"/>
      <c r="P2711" s="16"/>
    </row>
    <row r="2712" spans="8:16" ht="15.75" customHeight="1">
      <c r="H2712" s="16"/>
      <c r="I2712" s="16"/>
      <c r="J2712" s="17"/>
      <c r="N2712" s="16"/>
      <c r="O2712" s="16"/>
      <c r="P2712" s="16"/>
    </row>
    <row r="2713" spans="8:16" ht="15.75" customHeight="1">
      <c r="H2713" s="16"/>
      <c r="I2713" s="16"/>
      <c r="J2713" s="17"/>
      <c r="N2713" s="16"/>
      <c r="O2713" s="16"/>
      <c r="P2713" s="16"/>
    </row>
    <row r="2714" spans="8:16" ht="15.75" customHeight="1">
      <c r="H2714" s="16"/>
      <c r="I2714" s="16"/>
      <c r="J2714" s="17"/>
      <c r="N2714" s="16"/>
      <c r="O2714" s="16"/>
      <c r="P2714" s="16"/>
    </row>
    <row r="2715" spans="8:16" ht="15.75" customHeight="1">
      <c r="H2715" s="16"/>
      <c r="I2715" s="16"/>
      <c r="J2715" s="17"/>
      <c r="N2715" s="16"/>
      <c r="O2715" s="16"/>
      <c r="P2715" s="16"/>
    </row>
    <row r="2716" spans="8:16" ht="15.75" customHeight="1">
      <c r="H2716" s="16"/>
      <c r="I2716" s="16"/>
      <c r="J2716" s="17"/>
      <c r="N2716" s="16"/>
      <c r="O2716" s="16"/>
      <c r="P2716" s="16"/>
    </row>
    <row r="2717" spans="8:16" ht="15.75" customHeight="1">
      <c r="H2717" s="16"/>
      <c r="I2717" s="16"/>
      <c r="J2717" s="17"/>
      <c r="N2717" s="16"/>
      <c r="O2717" s="16"/>
      <c r="P2717" s="16"/>
    </row>
    <row r="2718" spans="8:16" ht="15.75" customHeight="1">
      <c r="H2718" s="16"/>
      <c r="I2718" s="16"/>
      <c r="J2718" s="17"/>
      <c r="N2718" s="16"/>
      <c r="O2718" s="16"/>
      <c r="P2718" s="16"/>
    </row>
    <row r="2719" spans="8:16" ht="15.75" customHeight="1">
      <c r="H2719" s="16"/>
      <c r="I2719" s="16"/>
      <c r="J2719" s="17"/>
      <c r="N2719" s="16"/>
      <c r="O2719" s="16"/>
      <c r="P2719" s="16"/>
    </row>
    <row r="2720" spans="8:16" ht="15.75" customHeight="1">
      <c r="H2720" s="16"/>
      <c r="I2720" s="16"/>
      <c r="J2720" s="17"/>
      <c r="N2720" s="16"/>
      <c r="O2720" s="16"/>
      <c r="P2720" s="16"/>
    </row>
    <row r="2721" spans="8:16" ht="15.75" customHeight="1">
      <c r="H2721" s="16"/>
      <c r="I2721" s="16"/>
      <c r="J2721" s="17"/>
      <c r="N2721" s="16"/>
      <c r="O2721" s="16"/>
      <c r="P2721" s="16"/>
    </row>
    <row r="2722" spans="8:16" ht="15.75" customHeight="1">
      <c r="H2722" s="16"/>
      <c r="I2722" s="16"/>
      <c r="J2722" s="17"/>
      <c r="N2722" s="16"/>
      <c r="O2722" s="16"/>
      <c r="P2722" s="16"/>
    </row>
    <row r="2723" spans="8:16" ht="15.75" customHeight="1">
      <c r="H2723" s="16"/>
      <c r="I2723" s="16"/>
      <c r="J2723" s="17"/>
      <c r="N2723" s="16"/>
      <c r="O2723" s="16"/>
      <c r="P2723" s="16"/>
    </row>
    <row r="2724" spans="8:16" ht="15.75" customHeight="1">
      <c r="H2724" s="16"/>
      <c r="I2724" s="16"/>
      <c r="J2724" s="17"/>
      <c r="N2724" s="16"/>
      <c r="O2724" s="16"/>
      <c r="P2724" s="16"/>
    </row>
    <row r="2725" spans="8:16" ht="15.75" customHeight="1">
      <c r="H2725" s="16"/>
      <c r="I2725" s="16"/>
      <c r="J2725" s="17"/>
      <c r="N2725" s="16"/>
      <c r="O2725" s="16"/>
      <c r="P2725" s="16"/>
    </row>
    <row r="2726" spans="8:16" ht="15.75" customHeight="1">
      <c r="H2726" s="16"/>
      <c r="I2726" s="16"/>
      <c r="J2726" s="17"/>
      <c r="N2726" s="16"/>
      <c r="O2726" s="16"/>
      <c r="P2726" s="16"/>
    </row>
    <row r="2727" spans="8:16" ht="15.75" customHeight="1">
      <c r="H2727" s="16"/>
      <c r="I2727" s="16"/>
      <c r="J2727" s="17"/>
      <c r="N2727" s="16"/>
      <c r="O2727" s="16"/>
      <c r="P2727" s="16"/>
    </row>
    <row r="2728" spans="8:16" ht="15.75" customHeight="1">
      <c r="H2728" s="16"/>
      <c r="I2728" s="16"/>
      <c r="J2728" s="17"/>
      <c r="N2728" s="16"/>
      <c r="O2728" s="16"/>
      <c r="P2728" s="16"/>
    </row>
    <row r="2729" spans="8:16" ht="15.75" customHeight="1">
      <c r="H2729" s="16"/>
      <c r="I2729" s="16"/>
      <c r="J2729" s="17"/>
      <c r="N2729" s="16"/>
      <c r="O2729" s="16"/>
      <c r="P2729" s="16"/>
    </row>
    <row r="2730" spans="8:16" ht="15.75" customHeight="1">
      <c r="H2730" s="16"/>
      <c r="I2730" s="16"/>
      <c r="J2730" s="17"/>
      <c r="N2730" s="16"/>
      <c r="O2730" s="16"/>
      <c r="P2730" s="16"/>
    </row>
    <row r="2731" spans="8:16" ht="15.75" customHeight="1">
      <c r="H2731" s="16"/>
      <c r="I2731" s="16"/>
      <c r="J2731" s="17"/>
      <c r="N2731" s="16"/>
      <c r="O2731" s="16"/>
      <c r="P2731" s="16"/>
    </row>
    <row r="2732" spans="8:16" ht="15.75" customHeight="1">
      <c r="H2732" s="16"/>
      <c r="I2732" s="16"/>
      <c r="J2732" s="17"/>
      <c r="N2732" s="16"/>
      <c r="O2732" s="16"/>
      <c r="P2732" s="16"/>
    </row>
    <row r="2733" spans="8:16" ht="15.75" customHeight="1">
      <c r="H2733" s="16"/>
      <c r="I2733" s="16"/>
      <c r="J2733" s="17"/>
      <c r="N2733" s="16"/>
      <c r="O2733" s="16"/>
      <c r="P2733" s="16"/>
    </row>
    <row r="2734" spans="8:16" ht="15.75" customHeight="1">
      <c r="H2734" s="16"/>
      <c r="I2734" s="16"/>
      <c r="J2734" s="17"/>
      <c r="N2734" s="16"/>
      <c r="O2734" s="16"/>
      <c r="P2734" s="16"/>
    </row>
    <row r="2735" spans="8:16" ht="15.75" customHeight="1">
      <c r="H2735" s="16"/>
      <c r="I2735" s="16"/>
      <c r="J2735" s="17"/>
      <c r="N2735" s="16"/>
      <c r="O2735" s="16"/>
      <c r="P2735" s="16"/>
    </row>
    <row r="2736" spans="8:16" ht="15.75" customHeight="1">
      <c r="H2736" s="16"/>
      <c r="I2736" s="16"/>
      <c r="J2736" s="17"/>
      <c r="N2736" s="16"/>
      <c r="O2736" s="16"/>
      <c r="P2736" s="16"/>
    </row>
    <row r="2737" spans="8:16" ht="15.75" customHeight="1">
      <c r="H2737" s="16"/>
      <c r="I2737" s="16"/>
      <c r="J2737" s="17"/>
      <c r="N2737" s="16"/>
      <c r="O2737" s="16"/>
      <c r="P2737" s="16"/>
    </row>
    <row r="2738" spans="8:16" ht="15.75" customHeight="1">
      <c r="H2738" s="16"/>
      <c r="I2738" s="16"/>
      <c r="J2738" s="17"/>
      <c r="N2738" s="16"/>
      <c r="O2738" s="16"/>
      <c r="P2738" s="16"/>
    </row>
    <row r="2739" spans="8:16" ht="15.75" customHeight="1">
      <c r="H2739" s="16"/>
      <c r="I2739" s="16"/>
      <c r="J2739" s="17"/>
      <c r="N2739" s="16"/>
      <c r="O2739" s="16"/>
      <c r="P2739" s="16"/>
    </row>
    <row r="2740" spans="8:16" ht="15.75" customHeight="1">
      <c r="H2740" s="16"/>
      <c r="I2740" s="16"/>
      <c r="J2740" s="17"/>
      <c r="N2740" s="16"/>
      <c r="O2740" s="16"/>
      <c r="P2740" s="16"/>
    </row>
    <row r="2741" spans="8:16" ht="15.75" customHeight="1">
      <c r="H2741" s="16"/>
      <c r="I2741" s="16"/>
      <c r="J2741" s="17"/>
      <c r="N2741" s="16"/>
      <c r="O2741" s="16"/>
      <c r="P2741" s="16"/>
    </row>
    <row r="2742" spans="8:16" ht="15.75" customHeight="1">
      <c r="H2742" s="16"/>
      <c r="I2742" s="16"/>
      <c r="J2742" s="17"/>
      <c r="N2742" s="16"/>
      <c r="O2742" s="16"/>
      <c r="P2742" s="16"/>
    </row>
    <row r="2743" spans="8:16" ht="15.75" customHeight="1">
      <c r="H2743" s="16"/>
      <c r="I2743" s="16"/>
      <c r="J2743" s="17"/>
      <c r="N2743" s="16"/>
      <c r="O2743" s="16"/>
      <c r="P2743" s="16"/>
    </row>
    <row r="2744" spans="8:16" ht="15.75" customHeight="1">
      <c r="H2744" s="16"/>
      <c r="I2744" s="16"/>
      <c r="J2744" s="17"/>
      <c r="N2744" s="16"/>
      <c r="O2744" s="16"/>
      <c r="P2744" s="16"/>
    </row>
    <row r="2745" spans="8:16" ht="15.75" customHeight="1">
      <c r="H2745" s="16"/>
      <c r="I2745" s="16"/>
      <c r="J2745" s="17"/>
      <c r="N2745" s="16"/>
      <c r="O2745" s="16"/>
      <c r="P2745" s="16"/>
    </row>
    <row r="2746" spans="8:16" ht="15.75" customHeight="1">
      <c r="H2746" s="16"/>
      <c r="I2746" s="16"/>
      <c r="J2746" s="17"/>
      <c r="N2746" s="16"/>
      <c r="O2746" s="16"/>
      <c r="P2746" s="16"/>
    </row>
    <row r="2747" spans="8:16" ht="15.75" customHeight="1">
      <c r="H2747" s="16"/>
      <c r="I2747" s="16"/>
      <c r="J2747" s="17"/>
      <c r="N2747" s="16"/>
      <c r="O2747" s="16"/>
      <c r="P2747" s="16"/>
    </row>
    <row r="2748" spans="8:16" ht="15.75" customHeight="1">
      <c r="H2748" s="16"/>
      <c r="I2748" s="16"/>
      <c r="J2748" s="17"/>
      <c r="N2748" s="16"/>
      <c r="O2748" s="16"/>
      <c r="P2748" s="16"/>
    </row>
    <row r="2749" spans="8:16" ht="15.75" customHeight="1">
      <c r="H2749" s="16"/>
      <c r="I2749" s="16"/>
      <c r="J2749" s="17"/>
      <c r="N2749" s="16"/>
      <c r="O2749" s="16"/>
      <c r="P2749" s="16"/>
    </row>
    <row r="2750" spans="8:16" ht="15.75" customHeight="1">
      <c r="H2750" s="16"/>
      <c r="I2750" s="16"/>
      <c r="J2750" s="17"/>
      <c r="N2750" s="16"/>
      <c r="O2750" s="16"/>
      <c r="P2750" s="16"/>
    </row>
    <row r="2751" spans="8:16" ht="15.75" customHeight="1">
      <c r="H2751" s="16"/>
      <c r="I2751" s="16"/>
      <c r="J2751" s="17"/>
      <c r="N2751" s="16"/>
      <c r="O2751" s="16"/>
      <c r="P2751" s="16"/>
    </row>
    <row r="2752" spans="8:16" ht="15.75" customHeight="1">
      <c r="H2752" s="16"/>
      <c r="I2752" s="16"/>
      <c r="J2752" s="17"/>
      <c r="N2752" s="16"/>
      <c r="O2752" s="16"/>
      <c r="P2752" s="16"/>
    </row>
    <row r="2753" spans="8:16" ht="15.75" customHeight="1">
      <c r="H2753" s="16"/>
      <c r="I2753" s="16"/>
      <c r="J2753" s="17"/>
      <c r="N2753" s="16"/>
      <c r="O2753" s="16"/>
      <c r="P2753" s="16"/>
    </row>
    <row r="2754" spans="8:16" ht="15.75" customHeight="1">
      <c r="H2754" s="16"/>
      <c r="I2754" s="16"/>
      <c r="J2754" s="17"/>
      <c r="N2754" s="16"/>
      <c r="O2754" s="16"/>
      <c r="P2754" s="16"/>
    </row>
    <row r="2755" spans="8:16" ht="15.75" customHeight="1">
      <c r="H2755" s="16"/>
      <c r="I2755" s="16"/>
      <c r="J2755" s="17"/>
      <c r="N2755" s="16"/>
      <c r="O2755" s="16"/>
      <c r="P2755" s="16"/>
    </row>
    <row r="2756" spans="8:16" ht="15.75" customHeight="1">
      <c r="H2756" s="16"/>
      <c r="I2756" s="16"/>
      <c r="J2756" s="17"/>
      <c r="N2756" s="16"/>
      <c r="O2756" s="16"/>
      <c r="P2756" s="16"/>
    </row>
    <row r="2757" spans="8:16" ht="15.75" customHeight="1">
      <c r="H2757" s="16"/>
      <c r="I2757" s="16"/>
      <c r="J2757" s="17"/>
      <c r="N2757" s="16"/>
      <c r="O2757" s="16"/>
      <c r="P2757" s="16"/>
    </row>
    <row r="2758" spans="8:16" ht="15.75" customHeight="1">
      <c r="H2758" s="16"/>
      <c r="I2758" s="16"/>
      <c r="J2758" s="17"/>
      <c r="N2758" s="16"/>
      <c r="O2758" s="16"/>
      <c r="P2758" s="16"/>
    </row>
    <row r="2759" spans="8:16" ht="15.75" customHeight="1">
      <c r="H2759" s="16"/>
      <c r="I2759" s="16"/>
      <c r="J2759" s="17"/>
      <c r="N2759" s="16"/>
      <c r="O2759" s="16"/>
      <c r="P2759" s="16"/>
    </row>
    <row r="2760" spans="8:16" ht="15.75" customHeight="1">
      <c r="H2760" s="16"/>
      <c r="I2760" s="16"/>
      <c r="J2760" s="17"/>
      <c r="N2760" s="16"/>
      <c r="O2760" s="16"/>
      <c r="P2760" s="16"/>
    </row>
    <row r="2761" spans="8:16" ht="15.75" customHeight="1">
      <c r="H2761" s="16"/>
      <c r="I2761" s="16"/>
      <c r="J2761" s="17"/>
      <c r="N2761" s="16"/>
      <c r="O2761" s="16"/>
      <c r="P2761" s="16"/>
    </row>
    <row r="2762" spans="8:16" ht="15.75" customHeight="1">
      <c r="H2762" s="16"/>
      <c r="I2762" s="16"/>
      <c r="J2762" s="17"/>
      <c r="N2762" s="16"/>
      <c r="O2762" s="16"/>
      <c r="P2762" s="16"/>
    </row>
    <row r="2763" spans="8:16" ht="15.75" customHeight="1">
      <c r="H2763" s="16"/>
      <c r="I2763" s="16"/>
      <c r="J2763" s="17"/>
      <c r="N2763" s="16"/>
      <c r="O2763" s="16"/>
      <c r="P2763" s="16"/>
    </row>
    <row r="2764" spans="8:16" ht="15.75" customHeight="1">
      <c r="H2764" s="16"/>
      <c r="I2764" s="16"/>
      <c r="J2764" s="17"/>
      <c r="N2764" s="16"/>
      <c r="O2764" s="16"/>
      <c r="P2764" s="16"/>
    </row>
    <row r="2765" spans="8:16" ht="15.75" customHeight="1">
      <c r="H2765" s="16"/>
      <c r="I2765" s="16"/>
      <c r="J2765" s="17"/>
      <c r="N2765" s="16"/>
      <c r="O2765" s="16"/>
      <c r="P2765" s="16"/>
    </row>
    <row r="2766" spans="8:16" ht="15.75" customHeight="1">
      <c r="H2766" s="16"/>
      <c r="I2766" s="16"/>
      <c r="J2766" s="17"/>
      <c r="N2766" s="16"/>
      <c r="O2766" s="16"/>
      <c r="P2766" s="16"/>
    </row>
    <row r="2767" spans="8:16" ht="15.75" customHeight="1">
      <c r="H2767" s="16"/>
      <c r="I2767" s="16"/>
      <c r="J2767" s="17"/>
      <c r="N2767" s="16"/>
      <c r="O2767" s="16"/>
      <c r="P2767" s="16"/>
    </row>
    <row r="2768" spans="8:16" ht="15.75" customHeight="1">
      <c r="H2768" s="16"/>
      <c r="I2768" s="16"/>
      <c r="J2768" s="17"/>
      <c r="N2768" s="16"/>
      <c r="O2768" s="16"/>
      <c r="P2768" s="16"/>
    </row>
    <row r="2769" spans="8:16" ht="15.75" customHeight="1">
      <c r="H2769" s="16"/>
      <c r="I2769" s="16"/>
      <c r="J2769" s="17"/>
      <c r="N2769" s="16"/>
      <c r="O2769" s="16"/>
      <c r="P2769" s="16"/>
    </row>
    <row r="2770" spans="8:16" ht="15.75" customHeight="1">
      <c r="H2770" s="16"/>
      <c r="I2770" s="16"/>
      <c r="J2770" s="17"/>
      <c r="N2770" s="16"/>
      <c r="O2770" s="16"/>
      <c r="P2770" s="16"/>
    </row>
    <row r="2771" spans="8:16" ht="15.75" customHeight="1">
      <c r="H2771" s="16"/>
      <c r="I2771" s="16"/>
      <c r="J2771" s="17"/>
      <c r="N2771" s="16"/>
      <c r="O2771" s="16"/>
      <c r="P2771" s="16"/>
    </row>
    <row r="2772" spans="8:16" ht="15.75" customHeight="1">
      <c r="H2772" s="16"/>
      <c r="I2772" s="16"/>
      <c r="J2772" s="17"/>
      <c r="N2772" s="16"/>
      <c r="O2772" s="16"/>
      <c r="P2772" s="16"/>
    </row>
    <row r="2773" spans="8:16" ht="15.75" customHeight="1">
      <c r="H2773" s="16"/>
      <c r="I2773" s="16"/>
      <c r="J2773" s="17"/>
      <c r="N2773" s="16"/>
      <c r="O2773" s="16"/>
      <c r="P2773" s="16"/>
    </row>
    <row r="2774" spans="8:16" ht="15.75" customHeight="1">
      <c r="H2774" s="16"/>
      <c r="I2774" s="16"/>
      <c r="J2774" s="17"/>
      <c r="N2774" s="16"/>
      <c r="O2774" s="16"/>
      <c r="P2774" s="16"/>
    </row>
    <row r="2775" spans="8:16" ht="15.75" customHeight="1">
      <c r="H2775" s="16"/>
      <c r="I2775" s="16"/>
      <c r="J2775" s="17"/>
      <c r="N2775" s="16"/>
      <c r="O2775" s="16"/>
      <c r="P2775" s="16"/>
    </row>
    <row r="2776" spans="8:16" ht="15.75" customHeight="1">
      <c r="H2776" s="16"/>
      <c r="I2776" s="16"/>
      <c r="J2776" s="17"/>
      <c r="N2776" s="16"/>
      <c r="O2776" s="16"/>
      <c r="P2776" s="16"/>
    </row>
    <row r="2777" spans="8:16" ht="15.75" customHeight="1">
      <c r="H2777" s="16"/>
      <c r="I2777" s="16"/>
      <c r="J2777" s="17"/>
      <c r="N2777" s="16"/>
      <c r="O2777" s="16"/>
      <c r="P2777" s="16"/>
    </row>
    <row r="2778" spans="8:16" ht="15.75" customHeight="1">
      <c r="H2778" s="16"/>
      <c r="I2778" s="16"/>
      <c r="J2778" s="17"/>
      <c r="N2778" s="16"/>
      <c r="O2778" s="16"/>
      <c r="P2778" s="16"/>
    </row>
    <row r="2779" spans="8:16" ht="15.75" customHeight="1">
      <c r="H2779" s="16"/>
      <c r="I2779" s="16"/>
      <c r="J2779" s="17"/>
      <c r="N2779" s="16"/>
      <c r="O2779" s="16"/>
      <c r="P2779" s="16"/>
    </row>
    <row r="2780" spans="8:16" ht="15.75" customHeight="1">
      <c r="H2780" s="16"/>
      <c r="I2780" s="16"/>
      <c r="J2780" s="17"/>
      <c r="N2780" s="16"/>
      <c r="O2780" s="16"/>
      <c r="P2780" s="16"/>
    </row>
    <row r="2781" spans="8:16" ht="15.75" customHeight="1">
      <c r="H2781" s="16"/>
      <c r="I2781" s="16"/>
      <c r="J2781" s="17"/>
      <c r="N2781" s="16"/>
      <c r="O2781" s="16"/>
      <c r="P2781" s="16"/>
    </row>
    <row r="2782" spans="8:16" ht="15.75" customHeight="1">
      <c r="H2782" s="16"/>
      <c r="I2782" s="16"/>
      <c r="J2782" s="17"/>
      <c r="N2782" s="16"/>
      <c r="O2782" s="16"/>
      <c r="P2782" s="16"/>
    </row>
    <row r="2783" spans="8:16" ht="15.75" customHeight="1">
      <c r="H2783" s="16"/>
      <c r="I2783" s="16"/>
      <c r="J2783" s="17"/>
      <c r="N2783" s="16"/>
      <c r="O2783" s="16"/>
      <c r="P2783" s="16"/>
    </row>
    <row r="2784" spans="8:16" ht="15.75" customHeight="1">
      <c r="H2784" s="16"/>
      <c r="I2784" s="16"/>
      <c r="J2784" s="17"/>
      <c r="N2784" s="16"/>
      <c r="O2784" s="16"/>
      <c r="P2784" s="16"/>
    </row>
    <row r="2785" spans="8:16" ht="15.75" customHeight="1">
      <c r="H2785" s="16"/>
      <c r="I2785" s="16"/>
      <c r="J2785" s="17"/>
      <c r="N2785" s="16"/>
      <c r="O2785" s="16"/>
      <c r="P2785" s="16"/>
    </row>
    <row r="2786" spans="8:16" ht="15.75" customHeight="1">
      <c r="H2786" s="16"/>
      <c r="I2786" s="16"/>
      <c r="J2786" s="17"/>
      <c r="N2786" s="16"/>
      <c r="O2786" s="16"/>
      <c r="P2786" s="16"/>
    </row>
    <row r="2787" spans="8:16" ht="15.75" customHeight="1">
      <c r="H2787" s="16"/>
      <c r="I2787" s="16"/>
      <c r="J2787" s="17"/>
      <c r="N2787" s="16"/>
      <c r="O2787" s="16"/>
      <c r="P2787" s="16"/>
    </row>
    <row r="2788" spans="8:16" ht="15.75" customHeight="1">
      <c r="H2788" s="16"/>
      <c r="I2788" s="16"/>
      <c r="J2788" s="17"/>
      <c r="N2788" s="16"/>
      <c r="O2788" s="16"/>
      <c r="P2788" s="16"/>
    </row>
    <row r="2789" spans="8:16" ht="15.75" customHeight="1">
      <c r="H2789" s="16"/>
      <c r="I2789" s="16"/>
      <c r="J2789" s="17"/>
      <c r="N2789" s="16"/>
      <c r="O2789" s="16"/>
      <c r="P2789" s="16"/>
    </row>
    <row r="2790" spans="8:16" ht="15.75" customHeight="1">
      <c r="H2790" s="16"/>
      <c r="I2790" s="16"/>
      <c r="J2790" s="17"/>
      <c r="N2790" s="16"/>
      <c r="O2790" s="16"/>
      <c r="P2790" s="16"/>
    </row>
    <row r="2791" spans="8:16" ht="15.75" customHeight="1">
      <c r="H2791" s="16"/>
      <c r="I2791" s="16"/>
      <c r="J2791" s="17"/>
      <c r="N2791" s="16"/>
      <c r="O2791" s="16"/>
      <c r="P2791" s="16"/>
    </row>
    <row r="2792" spans="8:16" ht="15.75" customHeight="1">
      <c r="H2792" s="16"/>
      <c r="I2792" s="16"/>
      <c r="J2792" s="17"/>
      <c r="N2792" s="16"/>
      <c r="O2792" s="16"/>
      <c r="P2792" s="16"/>
    </row>
    <row r="2793" spans="8:16" ht="15.75" customHeight="1">
      <c r="H2793" s="16"/>
      <c r="I2793" s="16"/>
      <c r="J2793" s="17"/>
      <c r="N2793" s="16"/>
      <c r="O2793" s="16"/>
      <c r="P2793" s="16"/>
    </row>
    <row r="2794" spans="8:16" ht="15.75" customHeight="1">
      <c r="H2794" s="16"/>
      <c r="I2794" s="16"/>
      <c r="J2794" s="17"/>
      <c r="N2794" s="16"/>
      <c r="O2794" s="16"/>
      <c r="P2794" s="16"/>
    </row>
    <row r="2795" spans="8:16" ht="15.75" customHeight="1">
      <c r="H2795" s="16"/>
      <c r="I2795" s="16"/>
      <c r="J2795" s="17"/>
      <c r="N2795" s="16"/>
      <c r="O2795" s="16"/>
      <c r="P2795" s="16"/>
    </row>
    <row r="2796" spans="8:16" ht="15.75" customHeight="1">
      <c r="H2796" s="16"/>
      <c r="I2796" s="16"/>
      <c r="J2796" s="17"/>
      <c r="N2796" s="16"/>
      <c r="O2796" s="16"/>
      <c r="P2796" s="16"/>
    </row>
    <row r="2797" spans="8:16" ht="15.75" customHeight="1">
      <c r="H2797" s="16"/>
      <c r="I2797" s="16"/>
      <c r="J2797" s="17"/>
      <c r="N2797" s="16"/>
      <c r="O2797" s="16"/>
      <c r="P2797" s="16"/>
    </row>
    <row r="2798" spans="8:16" ht="15.75" customHeight="1">
      <c r="H2798" s="16"/>
      <c r="I2798" s="16"/>
      <c r="J2798" s="17"/>
      <c r="N2798" s="16"/>
      <c r="O2798" s="16"/>
      <c r="P2798" s="16"/>
    </row>
    <row r="2799" spans="8:16" ht="15.75" customHeight="1">
      <c r="H2799" s="16"/>
      <c r="I2799" s="16"/>
      <c r="J2799" s="17"/>
      <c r="N2799" s="16"/>
      <c r="O2799" s="16"/>
      <c r="P2799" s="16"/>
    </row>
    <row r="2800" spans="8:16" ht="15.75" customHeight="1">
      <c r="H2800" s="16"/>
      <c r="I2800" s="16"/>
      <c r="J2800" s="17"/>
      <c r="N2800" s="16"/>
      <c r="O2800" s="16"/>
      <c r="P2800" s="16"/>
    </row>
    <row r="2801" spans="8:16" ht="15.75" customHeight="1">
      <c r="H2801" s="16"/>
      <c r="I2801" s="16"/>
      <c r="J2801" s="17"/>
      <c r="N2801" s="16"/>
      <c r="O2801" s="16"/>
      <c r="P2801" s="16"/>
    </row>
    <row r="2802" spans="8:16" ht="15.75" customHeight="1">
      <c r="H2802" s="16"/>
      <c r="I2802" s="16"/>
      <c r="J2802" s="17"/>
      <c r="N2802" s="16"/>
      <c r="O2802" s="16"/>
      <c r="P2802" s="16"/>
    </row>
    <row r="2803" spans="8:16" ht="15.75" customHeight="1">
      <c r="H2803" s="16"/>
      <c r="I2803" s="16"/>
      <c r="J2803" s="17"/>
      <c r="N2803" s="16"/>
      <c r="O2803" s="16"/>
      <c r="P2803" s="16"/>
    </row>
    <row r="2804" spans="8:16" ht="15.75" customHeight="1">
      <c r="H2804" s="16"/>
      <c r="I2804" s="16"/>
      <c r="J2804" s="17"/>
      <c r="N2804" s="16"/>
      <c r="O2804" s="16"/>
      <c r="P2804" s="16"/>
    </row>
    <row r="2805" spans="8:16" ht="15.75" customHeight="1">
      <c r="H2805" s="16"/>
      <c r="I2805" s="16"/>
      <c r="J2805" s="17"/>
      <c r="N2805" s="16"/>
      <c r="O2805" s="16"/>
      <c r="P2805" s="16"/>
    </row>
    <row r="2806" spans="8:16" ht="15.75" customHeight="1">
      <c r="H2806" s="16"/>
      <c r="I2806" s="16"/>
      <c r="J2806" s="17"/>
      <c r="N2806" s="16"/>
      <c r="O2806" s="16"/>
      <c r="P2806" s="16"/>
    </row>
    <row r="2807" spans="8:16" ht="15.75" customHeight="1">
      <c r="H2807" s="16"/>
      <c r="I2807" s="16"/>
      <c r="J2807" s="17"/>
      <c r="N2807" s="16"/>
      <c r="O2807" s="16"/>
      <c r="P2807" s="16"/>
    </row>
    <row r="2808" spans="8:16" ht="15.75" customHeight="1">
      <c r="H2808" s="16"/>
      <c r="I2808" s="16"/>
      <c r="J2808" s="17"/>
      <c r="N2808" s="16"/>
      <c r="O2808" s="16"/>
      <c r="P2808" s="16"/>
    </row>
    <row r="2809" spans="8:16" ht="15.75" customHeight="1">
      <c r="H2809" s="16"/>
      <c r="I2809" s="16"/>
      <c r="J2809" s="17"/>
      <c r="N2809" s="16"/>
      <c r="O2809" s="16"/>
      <c r="P2809" s="16"/>
    </row>
    <row r="2810" spans="8:16" ht="15.75" customHeight="1">
      <c r="H2810" s="16"/>
      <c r="I2810" s="16"/>
      <c r="J2810" s="17"/>
      <c r="N2810" s="16"/>
      <c r="O2810" s="16"/>
      <c r="P2810" s="16"/>
    </row>
    <row r="2811" spans="8:16" ht="15.75" customHeight="1">
      <c r="H2811" s="16"/>
      <c r="I2811" s="16"/>
      <c r="J2811" s="17"/>
      <c r="N2811" s="16"/>
      <c r="O2811" s="16"/>
      <c r="P2811" s="16"/>
    </row>
    <row r="2812" spans="8:16" ht="15.75" customHeight="1">
      <c r="H2812" s="16"/>
      <c r="I2812" s="16"/>
      <c r="J2812" s="17"/>
      <c r="N2812" s="16"/>
      <c r="O2812" s="16"/>
      <c r="P2812" s="16"/>
    </row>
    <row r="2813" spans="8:16" ht="15.75" customHeight="1">
      <c r="H2813" s="16"/>
      <c r="I2813" s="16"/>
      <c r="J2813" s="17"/>
      <c r="N2813" s="16"/>
      <c r="O2813" s="16"/>
      <c r="P2813" s="16"/>
    </row>
    <row r="2814" spans="8:16" ht="15.75" customHeight="1">
      <c r="H2814" s="16"/>
      <c r="I2814" s="16"/>
      <c r="J2814" s="17"/>
      <c r="N2814" s="16"/>
      <c r="O2814" s="16"/>
      <c r="P2814" s="16"/>
    </row>
    <row r="2815" spans="8:16" ht="15.75" customHeight="1">
      <c r="H2815" s="16"/>
      <c r="I2815" s="16"/>
      <c r="J2815" s="17"/>
      <c r="N2815" s="16"/>
      <c r="O2815" s="16"/>
      <c r="P2815" s="16"/>
    </row>
    <row r="2816" spans="8:16" ht="15.75" customHeight="1">
      <c r="H2816" s="16"/>
      <c r="I2816" s="16"/>
      <c r="J2816" s="17"/>
      <c r="N2816" s="16"/>
      <c r="O2816" s="16"/>
      <c r="P2816" s="16"/>
    </row>
    <row r="2817" spans="8:16" ht="15.75" customHeight="1">
      <c r="H2817" s="16"/>
      <c r="I2817" s="16"/>
      <c r="J2817" s="17"/>
      <c r="N2817" s="16"/>
      <c r="O2817" s="16"/>
      <c r="P2817" s="16"/>
    </row>
    <row r="2818" spans="8:16" ht="15.75" customHeight="1">
      <c r="H2818" s="16"/>
      <c r="I2818" s="16"/>
      <c r="J2818" s="17"/>
      <c r="N2818" s="16"/>
      <c r="O2818" s="16"/>
      <c r="P2818" s="16"/>
    </row>
    <row r="2819" spans="8:16" ht="15.75" customHeight="1">
      <c r="H2819" s="16"/>
      <c r="I2819" s="16"/>
      <c r="J2819" s="17"/>
      <c r="N2819" s="16"/>
      <c r="O2819" s="16"/>
      <c r="P2819" s="16"/>
    </row>
    <row r="2820" spans="8:16" ht="15.75" customHeight="1">
      <c r="H2820" s="16"/>
      <c r="I2820" s="16"/>
      <c r="J2820" s="17"/>
      <c r="N2820" s="16"/>
      <c r="O2820" s="16"/>
      <c r="P2820" s="16"/>
    </row>
    <row r="2821" spans="8:16" ht="15.75" customHeight="1">
      <c r="H2821" s="16"/>
      <c r="I2821" s="16"/>
      <c r="J2821" s="17"/>
      <c r="N2821" s="16"/>
      <c r="O2821" s="16"/>
      <c r="P2821" s="16"/>
    </row>
    <row r="2822" spans="8:16" ht="15.75" customHeight="1">
      <c r="H2822" s="16"/>
      <c r="I2822" s="16"/>
      <c r="J2822" s="17"/>
      <c r="N2822" s="16"/>
      <c r="O2822" s="16"/>
      <c r="P2822" s="16"/>
    </row>
    <row r="2823" spans="8:16" ht="15.75" customHeight="1">
      <c r="H2823" s="16"/>
      <c r="I2823" s="16"/>
      <c r="J2823" s="17"/>
      <c r="N2823" s="16"/>
      <c r="O2823" s="16"/>
      <c r="P2823" s="16"/>
    </row>
    <row r="2824" spans="8:16" ht="15.75" customHeight="1">
      <c r="H2824" s="16"/>
      <c r="I2824" s="16"/>
      <c r="J2824" s="17"/>
      <c r="N2824" s="16"/>
      <c r="O2824" s="16"/>
      <c r="P2824" s="16"/>
    </row>
    <row r="2825" spans="8:16" ht="15.75" customHeight="1">
      <c r="H2825" s="16"/>
      <c r="I2825" s="16"/>
      <c r="J2825" s="17"/>
      <c r="N2825" s="16"/>
      <c r="O2825" s="16"/>
      <c r="P2825" s="16"/>
    </row>
    <row r="2826" spans="8:16" ht="15.75" customHeight="1">
      <c r="H2826" s="16"/>
      <c r="I2826" s="16"/>
      <c r="J2826" s="17"/>
      <c r="N2826" s="16"/>
      <c r="O2826" s="16"/>
      <c r="P2826" s="16"/>
    </row>
    <row r="2827" spans="8:16" ht="15.75" customHeight="1">
      <c r="H2827" s="16"/>
      <c r="I2827" s="16"/>
      <c r="J2827" s="17"/>
      <c r="N2827" s="16"/>
      <c r="O2827" s="16"/>
      <c r="P2827" s="16"/>
    </row>
    <row r="2828" spans="8:16" ht="15.75" customHeight="1">
      <c r="H2828" s="16"/>
      <c r="I2828" s="16"/>
      <c r="J2828" s="17"/>
      <c r="N2828" s="16"/>
      <c r="O2828" s="16"/>
      <c r="P2828" s="16"/>
    </row>
    <row r="2829" spans="8:16" ht="15.75" customHeight="1">
      <c r="H2829" s="16"/>
      <c r="I2829" s="16"/>
      <c r="J2829" s="17"/>
      <c r="N2829" s="16"/>
      <c r="O2829" s="16"/>
      <c r="P2829" s="16"/>
    </row>
    <row r="2830" spans="8:16" ht="15.75" customHeight="1">
      <c r="H2830" s="16"/>
      <c r="I2830" s="16"/>
      <c r="J2830" s="17"/>
      <c r="N2830" s="16"/>
      <c r="O2830" s="16"/>
      <c r="P2830" s="16"/>
    </row>
    <row r="2831" spans="8:16" ht="15.75" customHeight="1">
      <c r="H2831" s="16"/>
      <c r="I2831" s="16"/>
      <c r="J2831" s="17"/>
      <c r="N2831" s="16"/>
      <c r="O2831" s="16"/>
      <c r="P2831" s="16"/>
    </row>
    <row r="2832" spans="8:16" ht="15.75" customHeight="1">
      <c r="H2832" s="16"/>
      <c r="I2832" s="16"/>
      <c r="J2832" s="17"/>
      <c r="N2832" s="16"/>
      <c r="O2832" s="16"/>
      <c r="P2832" s="16"/>
    </row>
    <row r="2833" spans="8:16" ht="15.75" customHeight="1">
      <c r="H2833" s="16"/>
      <c r="I2833" s="16"/>
      <c r="J2833" s="17"/>
      <c r="N2833" s="16"/>
      <c r="O2833" s="16"/>
      <c r="P2833" s="16"/>
    </row>
    <row r="2834" spans="8:16" ht="15.75" customHeight="1">
      <c r="H2834" s="16"/>
      <c r="I2834" s="16"/>
      <c r="J2834" s="17"/>
      <c r="N2834" s="16"/>
      <c r="O2834" s="16"/>
      <c r="P2834" s="16"/>
    </row>
    <row r="2835" spans="8:16" ht="15.75" customHeight="1">
      <c r="H2835" s="16"/>
      <c r="I2835" s="16"/>
      <c r="J2835" s="17"/>
      <c r="N2835" s="16"/>
      <c r="O2835" s="16"/>
      <c r="P2835" s="16"/>
    </row>
    <row r="2836" spans="8:16" ht="15.75" customHeight="1">
      <c r="H2836" s="16"/>
      <c r="I2836" s="16"/>
      <c r="J2836" s="17"/>
      <c r="N2836" s="16"/>
      <c r="O2836" s="16"/>
      <c r="P2836" s="16"/>
    </row>
    <row r="2837" spans="8:16" ht="15.75" customHeight="1">
      <c r="H2837" s="16"/>
      <c r="I2837" s="16"/>
      <c r="J2837" s="17"/>
      <c r="N2837" s="16"/>
      <c r="O2837" s="16"/>
      <c r="P2837" s="16"/>
    </row>
    <row r="2838" spans="8:16" ht="15.75" customHeight="1">
      <c r="H2838" s="16"/>
      <c r="I2838" s="16"/>
      <c r="J2838" s="17"/>
      <c r="N2838" s="16"/>
      <c r="O2838" s="16"/>
      <c r="P2838" s="16"/>
    </row>
    <row r="2839" spans="8:16" ht="15.75" customHeight="1">
      <c r="H2839" s="16"/>
      <c r="I2839" s="16"/>
      <c r="J2839" s="17"/>
      <c r="N2839" s="16"/>
      <c r="O2839" s="16"/>
      <c r="P2839" s="16"/>
    </row>
    <row r="2840" spans="8:16" ht="15.75" customHeight="1">
      <c r="H2840" s="16"/>
      <c r="I2840" s="16"/>
      <c r="J2840" s="17"/>
      <c r="N2840" s="16"/>
      <c r="O2840" s="16"/>
      <c r="P2840" s="16"/>
    </row>
    <row r="2841" spans="8:16" ht="15.75" customHeight="1">
      <c r="H2841" s="16"/>
      <c r="I2841" s="16"/>
      <c r="J2841" s="17"/>
      <c r="N2841" s="16"/>
      <c r="O2841" s="16"/>
      <c r="P2841" s="16"/>
    </row>
    <row r="2842" spans="8:16" ht="15.75" customHeight="1">
      <c r="H2842" s="16"/>
      <c r="I2842" s="16"/>
      <c r="J2842" s="17"/>
      <c r="N2842" s="16"/>
      <c r="O2842" s="16"/>
      <c r="P2842" s="16"/>
    </row>
    <row r="2843" spans="8:16" ht="15.75" customHeight="1">
      <c r="H2843" s="16"/>
      <c r="I2843" s="16"/>
      <c r="J2843" s="17"/>
      <c r="N2843" s="16"/>
      <c r="O2843" s="16"/>
      <c r="P2843" s="16"/>
    </row>
    <row r="2844" spans="8:16" ht="15.75" customHeight="1">
      <c r="H2844" s="16"/>
      <c r="I2844" s="16"/>
      <c r="J2844" s="17"/>
      <c r="N2844" s="16"/>
      <c r="O2844" s="16"/>
      <c r="P2844" s="16"/>
    </row>
    <row r="2845" spans="8:16" ht="15.75" customHeight="1">
      <c r="H2845" s="16"/>
      <c r="I2845" s="16"/>
      <c r="J2845" s="17"/>
      <c r="N2845" s="16"/>
      <c r="O2845" s="16"/>
      <c r="P2845" s="16"/>
    </row>
    <row r="2846" spans="8:16" ht="15.75" customHeight="1">
      <c r="H2846" s="16"/>
      <c r="I2846" s="16"/>
      <c r="J2846" s="17"/>
      <c r="N2846" s="16"/>
      <c r="O2846" s="16"/>
      <c r="P2846" s="16"/>
    </row>
    <row r="2847" spans="8:16" ht="15.75" customHeight="1">
      <c r="H2847" s="16"/>
      <c r="I2847" s="16"/>
      <c r="J2847" s="17"/>
      <c r="N2847" s="16"/>
      <c r="O2847" s="16"/>
      <c r="P2847" s="16"/>
    </row>
    <row r="2848" spans="8:16" ht="15.75" customHeight="1">
      <c r="H2848" s="16"/>
      <c r="I2848" s="16"/>
      <c r="J2848" s="17"/>
      <c r="N2848" s="16"/>
      <c r="O2848" s="16"/>
      <c r="P2848" s="16"/>
    </row>
    <row r="2849" spans="8:16" ht="15.75" customHeight="1">
      <c r="H2849" s="16"/>
      <c r="I2849" s="16"/>
      <c r="J2849" s="17"/>
      <c r="N2849" s="16"/>
      <c r="O2849" s="16"/>
      <c r="P2849" s="16"/>
    </row>
    <row r="2850" spans="8:16" ht="15.75" customHeight="1">
      <c r="H2850" s="16"/>
      <c r="I2850" s="16"/>
      <c r="J2850" s="17"/>
      <c r="N2850" s="16"/>
      <c r="O2850" s="16"/>
      <c r="P2850" s="16"/>
    </row>
    <row r="2851" spans="8:16" ht="15.75" customHeight="1">
      <c r="H2851" s="16"/>
      <c r="I2851" s="16"/>
      <c r="J2851" s="17"/>
      <c r="N2851" s="16"/>
      <c r="O2851" s="16"/>
      <c r="P2851" s="16"/>
    </row>
    <row r="2852" spans="8:16" ht="15.75" customHeight="1">
      <c r="H2852" s="16"/>
      <c r="I2852" s="16"/>
      <c r="J2852" s="17"/>
      <c r="N2852" s="16"/>
      <c r="O2852" s="16"/>
      <c r="P2852" s="16"/>
    </row>
    <row r="2853" spans="8:16" ht="15.75" customHeight="1">
      <c r="H2853" s="16"/>
      <c r="I2853" s="16"/>
      <c r="J2853" s="17"/>
      <c r="N2853" s="16"/>
      <c r="O2853" s="16"/>
      <c r="P2853" s="16"/>
    </row>
    <row r="2854" spans="8:16" ht="15.75" customHeight="1">
      <c r="H2854" s="16"/>
      <c r="I2854" s="16"/>
      <c r="J2854" s="17"/>
      <c r="N2854" s="16"/>
      <c r="O2854" s="16"/>
      <c r="P2854" s="16"/>
    </row>
    <row r="2855" spans="8:16" ht="15.75" customHeight="1">
      <c r="H2855" s="16"/>
      <c r="I2855" s="16"/>
      <c r="J2855" s="17"/>
      <c r="N2855" s="16"/>
      <c r="O2855" s="16"/>
      <c r="P2855" s="16"/>
    </row>
    <row r="2856" spans="8:16" ht="15.75" customHeight="1">
      <c r="H2856" s="16"/>
      <c r="I2856" s="16"/>
      <c r="J2856" s="17"/>
      <c r="N2856" s="16"/>
      <c r="O2856" s="16"/>
      <c r="P2856" s="16"/>
    </row>
    <row r="2857" spans="8:16" ht="15.75" customHeight="1">
      <c r="H2857" s="16"/>
      <c r="I2857" s="16"/>
      <c r="J2857" s="17"/>
      <c r="N2857" s="16"/>
      <c r="O2857" s="16"/>
      <c r="P2857" s="16"/>
    </row>
    <row r="2858" spans="8:16" ht="15.75" customHeight="1">
      <c r="H2858" s="16"/>
      <c r="I2858" s="16"/>
      <c r="J2858" s="17"/>
      <c r="N2858" s="16"/>
      <c r="O2858" s="16"/>
      <c r="P2858" s="16"/>
    </row>
    <row r="2859" spans="8:16" ht="15.75" customHeight="1">
      <c r="H2859" s="16"/>
      <c r="I2859" s="16"/>
      <c r="J2859" s="17"/>
      <c r="N2859" s="16"/>
      <c r="O2859" s="16"/>
      <c r="P2859" s="16"/>
    </row>
    <row r="2860" spans="8:16" ht="15.75" customHeight="1">
      <c r="H2860" s="16"/>
      <c r="I2860" s="16"/>
      <c r="J2860" s="17"/>
      <c r="N2860" s="16"/>
      <c r="O2860" s="16"/>
      <c r="P2860" s="16"/>
    </row>
    <row r="2861" spans="8:16" ht="15.75" customHeight="1">
      <c r="H2861" s="16"/>
      <c r="I2861" s="16"/>
      <c r="J2861" s="17"/>
      <c r="N2861" s="16"/>
      <c r="O2861" s="16"/>
      <c r="P2861" s="16"/>
    </row>
    <row r="2862" spans="8:16" ht="15.75" customHeight="1">
      <c r="H2862" s="16"/>
      <c r="I2862" s="16"/>
      <c r="J2862" s="17"/>
      <c r="N2862" s="16"/>
      <c r="O2862" s="16"/>
      <c r="P2862" s="16"/>
    </row>
    <row r="2863" spans="8:16" ht="15.75" customHeight="1">
      <c r="H2863" s="16"/>
      <c r="I2863" s="16"/>
      <c r="J2863" s="17"/>
      <c r="N2863" s="16"/>
      <c r="O2863" s="16"/>
      <c r="P2863" s="16"/>
    </row>
    <row r="2864" spans="8:16" ht="15.75" customHeight="1">
      <c r="H2864" s="16"/>
      <c r="I2864" s="16"/>
      <c r="J2864" s="17"/>
      <c r="N2864" s="16"/>
      <c r="O2864" s="16"/>
      <c r="P2864" s="16"/>
    </row>
    <row r="2865" spans="8:16" ht="15.75" customHeight="1">
      <c r="H2865" s="16"/>
      <c r="I2865" s="16"/>
      <c r="J2865" s="17"/>
      <c r="N2865" s="16"/>
      <c r="O2865" s="16"/>
      <c r="P2865" s="16"/>
    </row>
    <row r="2866" spans="8:16" ht="15.75" customHeight="1">
      <c r="H2866" s="16"/>
      <c r="I2866" s="16"/>
      <c r="J2866" s="17"/>
      <c r="N2866" s="16"/>
      <c r="O2866" s="16"/>
      <c r="P2866" s="16"/>
    </row>
    <row r="2867" spans="8:16" ht="15.75" customHeight="1">
      <c r="H2867" s="16"/>
      <c r="I2867" s="16"/>
      <c r="J2867" s="17"/>
      <c r="N2867" s="16"/>
      <c r="O2867" s="16"/>
      <c r="P2867" s="16"/>
    </row>
    <row r="2868" spans="8:16" ht="15.75" customHeight="1">
      <c r="H2868" s="16"/>
      <c r="I2868" s="16"/>
      <c r="J2868" s="17"/>
      <c r="N2868" s="16"/>
      <c r="O2868" s="16"/>
      <c r="P2868" s="16"/>
    </row>
    <row r="2869" spans="8:16" ht="15.75" customHeight="1">
      <c r="H2869" s="16"/>
      <c r="I2869" s="16"/>
      <c r="J2869" s="17"/>
      <c r="N2869" s="16"/>
      <c r="O2869" s="16"/>
      <c r="P2869" s="16"/>
    </row>
    <row r="2870" spans="8:16" ht="15.75" customHeight="1">
      <c r="H2870" s="16"/>
      <c r="I2870" s="16"/>
      <c r="J2870" s="17"/>
      <c r="N2870" s="16"/>
      <c r="O2870" s="16"/>
      <c r="P2870" s="16"/>
    </row>
    <row r="2871" spans="8:16" ht="15.75" customHeight="1">
      <c r="H2871" s="16"/>
      <c r="I2871" s="16"/>
      <c r="J2871" s="17"/>
      <c r="N2871" s="16"/>
      <c r="O2871" s="16"/>
      <c r="P2871" s="16"/>
    </row>
    <row r="2872" spans="8:16" ht="15.75" customHeight="1">
      <c r="H2872" s="16"/>
      <c r="I2872" s="16"/>
      <c r="J2872" s="17"/>
      <c r="N2872" s="16"/>
      <c r="O2872" s="16"/>
      <c r="P2872" s="16"/>
    </row>
    <row r="2873" spans="8:16" ht="15.75" customHeight="1">
      <c r="H2873" s="16"/>
      <c r="I2873" s="16"/>
      <c r="J2873" s="17"/>
      <c r="N2873" s="16"/>
      <c r="O2873" s="16"/>
      <c r="P2873" s="16"/>
    </row>
    <row r="2874" spans="8:16" ht="15.75" customHeight="1">
      <c r="H2874" s="16"/>
      <c r="I2874" s="16"/>
      <c r="J2874" s="17"/>
      <c r="N2874" s="16"/>
      <c r="O2874" s="16"/>
      <c r="P2874" s="16"/>
    </row>
    <row r="2875" spans="8:16" ht="15.75" customHeight="1">
      <c r="H2875" s="16"/>
      <c r="I2875" s="16"/>
      <c r="J2875" s="17"/>
      <c r="N2875" s="16"/>
      <c r="O2875" s="16"/>
      <c r="P2875" s="16"/>
    </row>
    <row r="2876" spans="8:16" ht="15.75" customHeight="1">
      <c r="H2876" s="16"/>
      <c r="I2876" s="16"/>
      <c r="J2876" s="17"/>
      <c r="N2876" s="16"/>
      <c r="O2876" s="16"/>
      <c r="P2876" s="16"/>
    </row>
    <row r="2877" spans="8:16" ht="15.75" customHeight="1">
      <c r="H2877" s="16"/>
      <c r="I2877" s="16"/>
      <c r="J2877" s="17"/>
      <c r="N2877" s="16"/>
      <c r="O2877" s="16"/>
      <c r="P2877" s="16"/>
    </row>
    <row r="2878" spans="8:16" ht="15.75" customHeight="1">
      <c r="H2878" s="16"/>
      <c r="I2878" s="16"/>
      <c r="J2878" s="17"/>
      <c r="N2878" s="16"/>
      <c r="O2878" s="16"/>
      <c r="P2878" s="16"/>
    </row>
    <row r="2879" spans="8:16" ht="15.75" customHeight="1">
      <c r="H2879" s="16"/>
      <c r="I2879" s="16"/>
      <c r="J2879" s="17"/>
      <c r="N2879" s="16"/>
      <c r="O2879" s="16"/>
      <c r="P2879" s="16"/>
    </row>
    <row r="2880" spans="8:16" ht="15.75" customHeight="1">
      <c r="H2880" s="16"/>
      <c r="I2880" s="16"/>
      <c r="J2880" s="17"/>
      <c r="N2880" s="16"/>
      <c r="O2880" s="16"/>
      <c r="P2880" s="16"/>
    </row>
    <row r="2881" spans="8:16" ht="15.75" customHeight="1">
      <c r="H2881" s="16"/>
      <c r="I2881" s="16"/>
      <c r="J2881" s="17"/>
      <c r="N2881" s="16"/>
      <c r="O2881" s="16"/>
      <c r="P2881" s="16"/>
    </row>
    <row r="2882" spans="8:16" ht="15.75" customHeight="1">
      <c r="H2882" s="16"/>
      <c r="I2882" s="16"/>
      <c r="J2882" s="17"/>
      <c r="N2882" s="16"/>
      <c r="O2882" s="16"/>
      <c r="P2882" s="16"/>
    </row>
    <row r="2883" spans="8:16" ht="15.75" customHeight="1">
      <c r="H2883" s="16"/>
      <c r="I2883" s="16"/>
      <c r="J2883" s="17"/>
      <c r="N2883" s="16"/>
      <c r="O2883" s="16"/>
      <c r="P2883" s="16"/>
    </row>
    <row r="2884" spans="8:16" ht="15.75" customHeight="1">
      <c r="H2884" s="16"/>
      <c r="I2884" s="16"/>
      <c r="J2884" s="17"/>
      <c r="N2884" s="16"/>
      <c r="O2884" s="16"/>
      <c r="P2884" s="16"/>
    </row>
    <row r="2885" spans="8:16" ht="15.75" customHeight="1">
      <c r="H2885" s="16"/>
      <c r="I2885" s="16"/>
      <c r="J2885" s="17"/>
      <c r="N2885" s="16"/>
      <c r="O2885" s="16"/>
      <c r="P2885" s="16"/>
    </row>
    <row r="2886" spans="8:16" ht="15.75" customHeight="1">
      <c r="H2886" s="16"/>
      <c r="I2886" s="16"/>
      <c r="J2886" s="17"/>
      <c r="N2886" s="16"/>
      <c r="O2886" s="16"/>
      <c r="P2886" s="16"/>
    </row>
    <row r="2887" spans="8:16" ht="15.75" customHeight="1">
      <c r="H2887" s="16"/>
      <c r="I2887" s="16"/>
      <c r="J2887" s="17"/>
      <c r="N2887" s="16"/>
      <c r="O2887" s="16"/>
      <c r="P2887" s="16"/>
    </row>
    <row r="2888" spans="8:16" ht="15.75" customHeight="1">
      <c r="H2888" s="16"/>
      <c r="I2888" s="16"/>
      <c r="J2888" s="17"/>
      <c r="N2888" s="16"/>
      <c r="O2888" s="16"/>
      <c r="P2888" s="16"/>
    </row>
    <row r="2889" spans="8:16" ht="15.75" customHeight="1">
      <c r="H2889" s="16"/>
      <c r="I2889" s="16"/>
      <c r="J2889" s="17"/>
      <c r="N2889" s="16"/>
      <c r="O2889" s="16"/>
      <c r="P2889" s="16"/>
    </row>
    <row r="2890" spans="8:16" ht="15.75" customHeight="1">
      <c r="H2890" s="16"/>
      <c r="I2890" s="16"/>
      <c r="J2890" s="17"/>
      <c r="N2890" s="16"/>
      <c r="O2890" s="16"/>
      <c r="P2890" s="16"/>
    </row>
    <row r="2891" spans="8:16" ht="15.75" customHeight="1">
      <c r="H2891" s="16"/>
      <c r="I2891" s="16"/>
      <c r="J2891" s="17"/>
      <c r="N2891" s="16"/>
      <c r="O2891" s="16"/>
      <c r="P2891" s="16"/>
    </row>
    <row r="2892" spans="8:16" ht="15.75" customHeight="1">
      <c r="H2892" s="16"/>
      <c r="I2892" s="16"/>
      <c r="J2892" s="17"/>
      <c r="N2892" s="16"/>
      <c r="O2892" s="16"/>
      <c r="P2892" s="16"/>
    </row>
    <row r="2893" spans="8:16" ht="15.75" customHeight="1">
      <c r="H2893" s="16"/>
      <c r="I2893" s="16"/>
      <c r="J2893" s="17"/>
      <c r="N2893" s="16"/>
      <c r="O2893" s="16"/>
      <c r="P2893" s="16"/>
    </row>
    <row r="2894" spans="8:16" ht="15.75" customHeight="1">
      <c r="H2894" s="16"/>
      <c r="I2894" s="16"/>
      <c r="J2894" s="17"/>
      <c r="N2894" s="16"/>
      <c r="O2894" s="16"/>
      <c r="P2894" s="16"/>
    </row>
    <row r="2895" spans="8:16" ht="15.75" customHeight="1">
      <c r="H2895" s="16"/>
      <c r="I2895" s="16"/>
      <c r="J2895" s="17"/>
      <c r="N2895" s="16"/>
      <c r="O2895" s="16"/>
      <c r="P2895" s="16"/>
    </row>
    <row r="2896" spans="8:16" ht="15.75" customHeight="1">
      <c r="H2896" s="16"/>
      <c r="I2896" s="16"/>
      <c r="J2896" s="17"/>
      <c r="N2896" s="16"/>
      <c r="O2896" s="16"/>
      <c r="P2896" s="16"/>
    </row>
    <row r="2897" spans="8:16" ht="15.75" customHeight="1">
      <c r="H2897" s="16"/>
      <c r="I2897" s="16"/>
      <c r="J2897" s="17"/>
      <c r="N2897" s="16"/>
      <c r="O2897" s="16"/>
      <c r="P2897" s="16"/>
    </row>
    <row r="2898" spans="8:16" ht="15.75" customHeight="1">
      <c r="H2898" s="16"/>
      <c r="I2898" s="16"/>
      <c r="J2898" s="17"/>
      <c r="N2898" s="16"/>
      <c r="O2898" s="16"/>
      <c r="P2898" s="16"/>
    </row>
    <row r="2899" spans="8:16" ht="15.75" customHeight="1">
      <c r="H2899" s="16"/>
      <c r="I2899" s="16"/>
      <c r="J2899" s="17"/>
      <c r="N2899" s="16"/>
      <c r="O2899" s="16"/>
      <c r="P2899" s="16"/>
    </row>
    <row r="2900" spans="8:16" ht="15.75" customHeight="1">
      <c r="H2900" s="16"/>
      <c r="I2900" s="16"/>
      <c r="J2900" s="17"/>
      <c r="N2900" s="16"/>
      <c r="O2900" s="16"/>
      <c r="P2900" s="16"/>
    </row>
    <row r="2901" spans="8:16" ht="15.75" customHeight="1">
      <c r="H2901" s="16"/>
      <c r="I2901" s="16"/>
      <c r="J2901" s="17"/>
      <c r="N2901" s="16"/>
      <c r="O2901" s="16"/>
      <c r="P2901" s="16"/>
    </row>
    <row r="2902" spans="8:16" ht="15.75" customHeight="1">
      <c r="H2902" s="16"/>
      <c r="I2902" s="16"/>
      <c r="J2902" s="17"/>
      <c r="N2902" s="16"/>
      <c r="O2902" s="16"/>
      <c r="P2902" s="16"/>
    </row>
    <row r="2903" spans="8:16" ht="15.75" customHeight="1">
      <c r="H2903" s="16"/>
      <c r="I2903" s="16"/>
      <c r="J2903" s="17"/>
      <c r="N2903" s="16"/>
      <c r="O2903" s="16"/>
      <c r="P2903" s="16"/>
    </row>
    <row r="2904" spans="8:16" ht="15.75" customHeight="1">
      <c r="H2904" s="16"/>
      <c r="I2904" s="16"/>
      <c r="J2904" s="17"/>
      <c r="N2904" s="16"/>
      <c r="O2904" s="16"/>
      <c r="P2904" s="16"/>
    </row>
    <row r="2905" spans="8:16" ht="15.75" customHeight="1">
      <c r="H2905" s="16"/>
      <c r="I2905" s="16"/>
      <c r="J2905" s="17"/>
      <c r="N2905" s="16"/>
      <c r="O2905" s="16"/>
      <c r="P2905" s="16"/>
    </row>
    <row r="2906" spans="8:16" ht="15.75" customHeight="1">
      <c r="H2906" s="16"/>
      <c r="I2906" s="16"/>
      <c r="J2906" s="17"/>
      <c r="N2906" s="16"/>
      <c r="O2906" s="16"/>
      <c r="P2906" s="16"/>
    </row>
    <row r="2907" spans="8:16" ht="15.75" customHeight="1">
      <c r="H2907" s="16"/>
      <c r="I2907" s="16"/>
      <c r="J2907" s="17"/>
      <c r="N2907" s="16"/>
      <c r="O2907" s="16"/>
      <c r="P2907" s="16"/>
    </row>
    <row r="2908" spans="8:16" ht="15.75" customHeight="1">
      <c r="H2908" s="16"/>
      <c r="I2908" s="16"/>
      <c r="J2908" s="17"/>
      <c r="N2908" s="16"/>
      <c r="O2908" s="16"/>
      <c r="P2908" s="16"/>
    </row>
    <row r="2909" spans="8:16" ht="15.75" customHeight="1">
      <c r="H2909" s="16"/>
      <c r="I2909" s="16"/>
      <c r="J2909" s="17"/>
      <c r="N2909" s="16"/>
      <c r="O2909" s="16"/>
      <c r="P2909" s="16"/>
    </row>
    <row r="2910" spans="8:16" ht="15.75" customHeight="1">
      <c r="H2910" s="16"/>
      <c r="I2910" s="16"/>
      <c r="J2910" s="17"/>
      <c r="N2910" s="16"/>
      <c r="O2910" s="16"/>
      <c r="P2910" s="16"/>
    </row>
    <row r="2911" spans="8:16" ht="15.75" customHeight="1">
      <c r="H2911" s="16"/>
      <c r="I2911" s="16"/>
      <c r="J2911" s="17"/>
      <c r="N2911" s="16"/>
      <c r="O2911" s="16"/>
      <c r="P2911" s="16"/>
    </row>
    <row r="2912" spans="8:16" ht="15.75" customHeight="1">
      <c r="H2912" s="16"/>
      <c r="I2912" s="16"/>
      <c r="J2912" s="17"/>
      <c r="N2912" s="16"/>
      <c r="O2912" s="16"/>
      <c r="P2912" s="16"/>
    </row>
    <row r="2913" spans="8:16" ht="15.75" customHeight="1">
      <c r="H2913" s="16"/>
      <c r="I2913" s="16"/>
      <c r="J2913" s="17"/>
      <c r="N2913" s="16"/>
      <c r="O2913" s="16"/>
      <c r="P2913" s="16"/>
    </row>
    <row r="2914" spans="8:16" ht="15.75" customHeight="1">
      <c r="H2914" s="16"/>
      <c r="I2914" s="16"/>
      <c r="J2914" s="17"/>
      <c r="N2914" s="16"/>
      <c r="O2914" s="16"/>
      <c r="P2914" s="16"/>
    </row>
    <row r="2915" spans="8:16" ht="15.75" customHeight="1">
      <c r="H2915" s="16"/>
      <c r="I2915" s="16"/>
      <c r="J2915" s="17"/>
      <c r="N2915" s="16"/>
      <c r="O2915" s="16"/>
      <c r="P2915" s="16"/>
    </row>
    <row r="2916" spans="8:16" ht="15.75" customHeight="1">
      <c r="H2916" s="16"/>
      <c r="I2916" s="16"/>
      <c r="J2916" s="17"/>
      <c r="N2916" s="16"/>
      <c r="O2916" s="16"/>
      <c r="P2916" s="16"/>
    </row>
    <row r="2917" spans="8:16" ht="15.75" customHeight="1">
      <c r="H2917" s="16"/>
      <c r="I2917" s="16"/>
      <c r="J2917" s="17"/>
      <c r="N2917" s="16"/>
      <c r="O2917" s="16"/>
      <c r="P2917" s="16"/>
    </row>
    <row r="2918" spans="8:16" ht="15.75" customHeight="1">
      <c r="H2918" s="16"/>
      <c r="I2918" s="16"/>
      <c r="J2918" s="17"/>
      <c r="N2918" s="16"/>
      <c r="O2918" s="16"/>
      <c r="P2918" s="16"/>
    </row>
    <row r="2919" spans="8:16" ht="15.75" customHeight="1">
      <c r="H2919" s="16"/>
      <c r="I2919" s="16"/>
      <c r="J2919" s="17"/>
      <c r="N2919" s="16"/>
      <c r="O2919" s="16"/>
      <c r="P2919" s="16"/>
    </row>
    <row r="2920" spans="8:16" ht="15.75" customHeight="1">
      <c r="H2920" s="16"/>
      <c r="I2920" s="16"/>
      <c r="J2920" s="17"/>
      <c r="N2920" s="16"/>
      <c r="O2920" s="16"/>
      <c r="P2920" s="16"/>
    </row>
    <row r="2921" spans="8:16" ht="15.75" customHeight="1">
      <c r="H2921" s="16"/>
      <c r="I2921" s="16"/>
      <c r="J2921" s="17"/>
      <c r="N2921" s="16"/>
      <c r="O2921" s="16"/>
      <c r="P2921" s="16"/>
    </row>
    <row r="2922" spans="8:16" ht="15.75" customHeight="1">
      <c r="H2922" s="16"/>
      <c r="I2922" s="16"/>
      <c r="J2922" s="17"/>
      <c r="N2922" s="16"/>
      <c r="O2922" s="16"/>
      <c r="P2922" s="16"/>
    </row>
    <row r="2923" spans="8:16" ht="15.75" customHeight="1">
      <c r="H2923" s="16"/>
      <c r="I2923" s="16"/>
      <c r="J2923" s="17"/>
      <c r="N2923" s="16"/>
      <c r="O2923" s="16"/>
      <c r="P2923" s="16"/>
    </row>
    <row r="2924" spans="8:16" ht="15.75" customHeight="1">
      <c r="H2924" s="16"/>
      <c r="I2924" s="16"/>
      <c r="J2924" s="17"/>
      <c r="N2924" s="16"/>
      <c r="O2924" s="16"/>
      <c r="P2924" s="16"/>
    </row>
    <row r="2925" spans="8:16" ht="15.75" customHeight="1">
      <c r="H2925" s="16"/>
      <c r="I2925" s="16"/>
      <c r="J2925" s="17"/>
      <c r="N2925" s="16"/>
      <c r="O2925" s="16"/>
      <c r="P2925" s="16"/>
    </row>
    <row r="2926" spans="8:16" ht="15.75" customHeight="1">
      <c r="H2926" s="16"/>
      <c r="I2926" s="16"/>
      <c r="J2926" s="17"/>
      <c r="N2926" s="16"/>
      <c r="O2926" s="16"/>
      <c r="P2926" s="16"/>
    </row>
    <row r="2927" spans="8:16" ht="15.75" customHeight="1">
      <c r="H2927" s="16"/>
      <c r="I2927" s="16"/>
      <c r="J2927" s="17"/>
      <c r="N2927" s="16"/>
      <c r="O2927" s="16"/>
      <c r="P2927" s="16"/>
    </row>
    <row r="2928" spans="8:16" ht="15.75" customHeight="1">
      <c r="H2928" s="16"/>
      <c r="I2928" s="16"/>
      <c r="J2928" s="17"/>
      <c r="N2928" s="16"/>
      <c r="O2928" s="16"/>
      <c r="P2928" s="16"/>
    </row>
    <row r="2929" spans="8:16" ht="15.75" customHeight="1">
      <c r="H2929" s="16"/>
      <c r="I2929" s="16"/>
      <c r="J2929" s="17"/>
      <c r="N2929" s="16"/>
      <c r="O2929" s="16"/>
      <c r="P2929" s="16"/>
    </row>
    <row r="2930" spans="8:16" ht="15.75" customHeight="1">
      <c r="H2930" s="16"/>
      <c r="I2930" s="16"/>
      <c r="J2930" s="17"/>
      <c r="N2930" s="16"/>
      <c r="O2930" s="16"/>
      <c r="P2930" s="16"/>
    </row>
    <row r="2931" spans="8:16" ht="15.75" customHeight="1">
      <c r="H2931" s="16"/>
      <c r="I2931" s="16"/>
      <c r="J2931" s="17"/>
      <c r="N2931" s="16"/>
      <c r="O2931" s="16"/>
      <c r="P2931" s="16"/>
    </row>
    <row r="2932" spans="8:16" ht="15.75" customHeight="1">
      <c r="H2932" s="16"/>
      <c r="I2932" s="16"/>
      <c r="J2932" s="17"/>
      <c r="N2932" s="16"/>
      <c r="O2932" s="16"/>
      <c r="P2932" s="16"/>
    </row>
    <row r="2933" spans="8:16" ht="15.75" customHeight="1">
      <c r="H2933" s="16"/>
      <c r="I2933" s="16"/>
      <c r="J2933" s="17"/>
      <c r="N2933" s="16"/>
      <c r="O2933" s="16"/>
      <c r="P2933" s="16"/>
    </row>
    <row r="2934" spans="8:16" ht="15.75" customHeight="1">
      <c r="H2934" s="16"/>
      <c r="I2934" s="16"/>
      <c r="J2934" s="17"/>
      <c r="N2934" s="16"/>
      <c r="O2934" s="16"/>
      <c r="P2934" s="16"/>
    </row>
    <row r="2935" spans="8:16" ht="15.75" customHeight="1">
      <c r="H2935" s="16"/>
      <c r="I2935" s="16"/>
      <c r="J2935" s="17"/>
      <c r="N2935" s="16"/>
      <c r="O2935" s="16"/>
      <c r="P2935" s="16"/>
    </row>
    <row r="2936" spans="8:16" ht="15.75" customHeight="1">
      <c r="H2936" s="16"/>
      <c r="I2936" s="16"/>
      <c r="J2936" s="17"/>
      <c r="N2936" s="16"/>
      <c r="O2936" s="16"/>
      <c r="P2936" s="16"/>
    </row>
    <row r="2937" spans="8:16" ht="15.75" customHeight="1">
      <c r="H2937" s="16"/>
      <c r="I2937" s="16"/>
      <c r="J2937" s="17"/>
      <c r="N2937" s="16"/>
      <c r="O2937" s="16"/>
      <c r="P2937" s="16"/>
    </row>
    <row r="2938" spans="8:16" ht="15.75" customHeight="1">
      <c r="H2938" s="16"/>
      <c r="I2938" s="16"/>
      <c r="J2938" s="17"/>
      <c r="N2938" s="16"/>
      <c r="O2938" s="16"/>
      <c r="P2938" s="16"/>
    </row>
    <row r="2939" spans="8:16" ht="15.75" customHeight="1">
      <c r="H2939" s="16"/>
      <c r="I2939" s="16"/>
      <c r="J2939" s="17"/>
      <c r="N2939" s="16"/>
      <c r="O2939" s="16"/>
      <c r="P2939" s="16"/>
    </row>
    <row r="2940" spans="8:16" ht="15.75" customHeight="1">
      <c r="H2940" s="16"/>
      <c r="I2940" s="16"/>
      <c r="J2940" s="17"/>
      <c r="N2940" s="16"/>
      <c r="O2940" s="16"/>
      <c r="P2940" s="16"/>
    </row>
    <row r="2941" spans="8:16" ht="15.75" customHeight="1">
      <c r="H2941" s="16"/>
      <c r="I2941" s="16"/>
      <c r="J2941" s="17"/>
      <c r="N2941" s="16"/>
      <c r="O2941" s="16"/>
      <c r="P2941" s="16"/>
    </row>
    <row r="2942" spans="8:16" ht="15.75" customHeight="1">
      <c r="H2942" s="16"/>
      <c r="I2942" s="16"/>
      <c r="J2942" s="17"/>
      <c r="N2942" s="16"/>
      <c r="O2942" s="16"/>
      <c r="P2942" s="16"/>
    </row>
    <row r="2943" spans="8:16" ht="15.75" customHeight="1">
      <c r="H2943" s="16"/>
      <c r="I2943" s="16"/>
      <c r="J2943" s="17"/>
      <c r="N2943" s="16"/>
      <c r="O2943" s="16"/>
      <c r="P2943" s="16"/>
    </row>
    <row r="2944" spans="8:16" ht="15.75" customHeight="1">
      <c r="H2944" s="16"/>
      <c r="I2944" s="16"/>
      <c r="J2944" s="17"/>
      <c r="N2944" s="16"/>
      <c r="O2944" s="16"/>
      <c r="P2944" s="16"/>
    </row>
    <row r="2945" spans="8:16" ht="15.75" customHeight="1">
      <c r="H2945" s="16"/>
      <c r="I2945" s="16"/>
      <c r="J2945" s="17"/>
      <c r="N2945" s="16"/>
      <c r="O2945" s="16"/>
      <c r="P2945" s="16"/>
    </row>
    <row r="2946" spans="8:16" ht="15.75" customHeight="1">
      <c r="H2946" s="16"/>
      <c r="I2946" s="16"/>
      <c r="J2946" s="17"/>
      <c r="N2946" s="16"/>
      <c r="O2946" s="16"/>
      <c r="P2946" s="16"/>
    </row>
    <row r="2947" spans="8:16" ht="15.75" customHeight="1">
      <c r="H2947" s="16"/>
      <c r="I2947" s="16"/>
      <c r="J2947" s="17"/>
      <c r="N2947" s="16"/>
      <c r="O2947" s="16"/>
      <c r="P2947" s="16"/>
    </row>
    <row r="2948" spans="8:16" ht="15.75" customHeight="1">
      <c r="H2948" s="16"/>
      <c r="I2948" s="16"/>
      <c r="J2948" s="17"/>
      <c r="N2948" s="16"/>
      <c r="O2948" s="16"/>
      <c r="P2948" s="16"/>
    </row>
    <row r="2949" spans="8:16" ht="15.75" customHeight="1">
      <c r="H2949" s="16"/>
      <c r="I2949" s="16"/>
      <c r="J2949" s="17"/>
      <c r="N2949" s="16"/>
      <c r="O2949" s="16"/>
      <c r="P2949" s="16"/>
    </row>
    <row r="2950" spans="8:16" ht="15.75" customHeight="1">
      <c r="H2950" s="16"/>
      <c r="I2950" s="16"/>
      <c r="J2950" s="17"/>
      <c r="N2950" s="16"/>
      <c r="O2950" s="16"/>
      <c r="P2950" s="16"/>
    </row>
    <row r="2951" spans="8:16" ht="15.75" customHeight="1">
      <c r="H2951" s="16"/>
      <c r="I2951" s="16"/>
      <c r="J2951" s="17"/>
      <c r="N2951" s="16"/>
      <c r="O2951" s="16"/>
      <c r="P2951" s="16"/>
    </row>
    <row r="2952" spans="8:16" ht="15.75" customHeight="1">
      <c r="H2952" s="16"/>
      <c r="I2952" s="16"/>
      <c r="J2952" s="17"/>
      <c r="N2952" s="16"/>
      <c r="O2952" s="16"/>
      <c r="P2952" s="16"/>
    </row>
    <row r="2953" spans="8:16" ht="15.75" customHeight="1">
      <c r="H2953" s="16"/>
      <c r="I2953" s="16"/>
      <c r="J2953" s="17"/>
      <c r="N2953" s="16"/>
      <c r="O2953" s="16"/>
      <c r="P2953" s="16"/>
    </row>
    <row r="2954" spans="8:16" ht="15.75" customHeight="1">
      <c r="H2954" s="16"/>
      <c r="I2954" s="16"/>
      <c r="J2954" s="17"/>
      <c r="N2954" s="16"/>
      <c r="O2954" s="16"/>
      <c r="P2954" s="16"/>
    </row>
    <row r="2955" spans="8:16" ht="15.75" customHeight="1">
      <c r="H2955" s="16"/>
      <c r="I2955" s="16"/>
      <c r="J2955" s="17"/>
      <c r="N2955" s="16"/>
      <c r="O2955" s="16"/>
      <c r="P2955" s="16"/>
    </row>
    <row r="2956" spans="8:16" ht="15.75" customHeight="1">
      <c r="H2956" s="16"/>
      <c r="I2956" s="16"/>
      <c r="J2956" s="17"/>
      <c r="N2956" s="16"/>
      <c r="O2956" s="16"/>
      <c r="P2956" s="16"/>
    </row>
    <row r="2957" spans="8:16" ht="15.75" customHeight="1">
      <c r="H2957" s="16"/>
      <c r="I2957" s="16"/>
      <c r="J2957" s="17"/>
      <c r="N2957" s="16"/>
      <c r="O2957" s="16"/>
      <c r="P2957" s="16"/>
    </row>
    <row r="2958" spans="8:16" ht="15.75" customHeight="1">
      <c r="H2958" s="16"/>
      <c r="I2958" s="16"/>
      <c r="J2958" s="17"/>
      <c r="N2958" s="16"/>
      <c r="O2958" s="16"/>
      <c r="P2958" s="16"/>
    </row>
    <row r="2959" spans="8:16" ht="15.75" customHeight="1">
      <c r="H2959" s="16"/>
      <c r="I2959" s="16"/>
      <c r="J2959" s="17"/>
      <c r="N2959" s="16"/>
      <c r="O2959" s="16"/>
      <c r="P2959" s="16"/>
    </row>
    <row r="2960" spans="8:16" ht="15.75" customHeight="1">
      <c r="H2960" s="16"/>
      <c r="I2960" s="16"/>
      <c r="J2960" s="17"/>
      <c r="N2960" s="16"/>
      <c r="O2960" s="16"/>
      <c r="P2960" s="16"/>
    </row>
    <row r="2961" spans="8:16" ht="15.75" customHeight="1">
      <c r="H2961" s="16"/>
      <c r="I2961" s="16"/>
      <c r="J2961" s="17"/>
      <c r="N2961" s="16"/>
      <c r="O2961" s="16"/>
      <c r="P2961" s="16"/>
    </row>
    <row r="2962" spans="8:16" ht="15.75" customHeight="1">
      <c r="H2962" s="16"/>
      <c r="I2962" s="16"/>
      <c r="J2962" s="17"/>
      <c r="N2962" s="16"/>
      <c r="O2962" s="16"/>
      <c r="P2962" s="16"/>
    </row>
    <row r="2963" spans="8:16" ht="15.75" customHeight="1">
      <c r="H2963" s="16"/>
      <c r="I2963" s="16"/>
      <c r="J2963" s="17"/>
      <c r="N2963" s="16"/>
      <c r="O2963" s="16"/>
      <c r="P2963" s="16"/>
    </row>
    <row r="2964" spans="8:16" ht="15.75" customHeight="1">
      <c r="H2964" s="16"/>
      <c r="I2964" s="16"/>
      <c r="J2964" s="17"/>
      <c r="N2964" s="16"/>
      <c r="O2964" s="16"/>
      <c r="P2964" s="16"/>
    </row>
    <row r="2965" spans="8:16" ht="15.75" customHeight="1">
      <c r="H2965" s="16"/>
      <c r="I2965" s="16"/>
      <c r="J2965" s="17"/>
      <c r="N2965" s="16"/>
      <c r="O2965" s="16"/>
      <c r="P2965" s="16"/>
    </row>
    <row r="2966" spans="8:16" ht="15.75" customHeight="1">
      <c r="H2966" s="16"/>
      <c r="I2966" s="16"/>
      <c r="J2966" s="17"/>
      <c r="N2966" s="16"/>
      <c r="O2966" s="16"/>
      <c r="P2966" s="16"/>
    </row>
    <row r="2967" spans="8:16" ht="15.75" customHeight="1">
      <c r="H2967" s="16"/>
      <c r="I2967" s="16"/>
      <c r="J2967" s="17"/>
      <c r="N2967" s="16"/>
      <c r="O2967" s="16"/>
      <c r="P2967" s="16"/>
    </row>
    <row r="2968" spans="8:16" ht="15.75" customHeight="1">
      <c r="H2968" s="16"/>
      <c r="I2968" s="16"/>
      <c r="J2968" s="17"/>
      <c r="N2968" s="16"/>
      <c r="O2968" s="16"/>
      <c r="P2968" s="16"/>
    </row>
    <row r="2969" spans="8:16" ht="15.75" customHeight="1">
      <c r="H2969" s="16"/>
      <c r="I2969" s="16"/>
      <c r="J2969" s="17"/>
      <c r="N2969" s="16"/>
      <c r="O2969" s="16"/>
      <c r="P2969" s="16"/>
    </row>
    <row r="2970" spans="8:16" ht="15.75" customHeight="1">
      <c r="H2970" s="16"/>
      <c r="I2970" s="16"/>
      <c r="J2970" s="17"/>
      <c r="N2970" s="16"/>
      <c r="O2970" s="16"/>
      <c r="P2970" s="16"/>
    </row>
    <row r="2971" spans="8:16" ht="15.75" customHeight="1">
      <c r="H2971" s="16"/>
      <c r="I2971" s="16"/>
      <c r="J2971" s="17"/>
      <c r="N2971" s="16"/>
      <c r="O2971" s="16"/>
      <c r="P2971" s="16"/>
    </row>
    <row r="2972" spans="8:16" ht="15.75" customHeight="1">
      <c r="H2972" s="16"/>
      <c r="I2972" s="16"/>
      <c r="J2972" s="17"/>
      <c r="N2972" s="16"/>
      <c r="O2972" s="16"/>
      <c r="P2972" s="16"/>
    </row>
    <row r="2973" spans="8:16" ht="15.75" customHeight="1">
      <c r="H2973" s="16"/>
      <c r="I2973" s="16"/>
      <c r="J2973" s="17"/>
      <c r="N2973" s="16"/>
      <c r="O2973" s="16"/>
      <c r="P2973" s="16"/>
    </row>
    <row r="2974" spans="8:16" ht="15.75" customHeight="1">
      <c r="H2974" s="16"/>
      <c r="I2974" s="16"/>
      <c r="J2974" s="17"/>
      <c r="N2974" s="16"/>
      <c r="O2974" s="16"/>
      <c r="P2974" s="16"/>
    </row>
    <row r="2975" spans="8:16" ht="15.75" customHeight="1">
      <c r="H2975" s="16"/>
      <c r="I2975" s="16"/>
      <c r="J2975" s="17"/>
      <c r="N2975" s="16"/>
      <c r="O2975" s="16"/>
      <c r="P2975" s="16"/>
    </row>
    <row r="2976" spans="8:16" ht="15.75" customHeight="1">
      <c r="H2976" s="16"/>
      <c r="I2976" s="16"/>
      <c r="J2976" s="17"/>
      <c r="N2976" s="16"/>
      <c r="O2976" s="16"/>
      <c r="P2976" s="16"/>
    </row>
    <row r="2977" spans="8:16" ht="15.75" customHeight="1">
      <c r="H2977" s="16"/>
      <c r="I2977" s="16"/>
      <c r="J2977" s="17"/>
      <c r="N2977" s="16"/>
      <c r="O2977" s="16"/>
      <c r="P2977" s="16"/>
    </row>
    <row r="2978" spans="8:16" ht="15.75" customHeight="1">
      <c r="H2978" s="16"/>
      <c r="I2978" s="16"/>
      <c r="J2978" s="17"/>
      <c r="N2978" s="16"/>
      <c r="O2978" s="16"/>
      <c r="P2978" s="16"/>
    </row>
    <row r="2979" spans="8:16" ht="15.75" customHeight="1">
      <c r="H2979" s="16"/>
      <c r="I2979" s="16"/>
      <c r="J2979" s="17"/>
      <c r="N2979" s="16"/>
      <c r="O2979" s="16"/>
      <c r="P2979" s="16"/>
    </row>
    <row r="2980" spans="8:16" ht="15.75" customHeight="1">
      <c r="H2980" s="16"/>
      <c r="I2980" s="16"/>
      <c r="J2980" s="17"/>
      <c r="N2980" s="16"/>
      <c r="O2980" s="16"/>
      <c r="P2980" s="16"/>
    </row>
    <row r="2981" spans="8:16" ht="15.75" customHeight="1">
      <c r="H2981" s="16"/>
      <c r="I2981" s="16"/>
      <c r="J2981" s="17"/>
      <c r="N2981" s="16"/>
      <c r="O2981" s="16"/>
      <c r="P2981" s="16"/>
    </row>
    <row r="2982" spans="8:16" ht="15.75" customHeight="1">
      <c r="H2982" s="16"/>
      <c r="I2982" s="16"/>
      <c r="J2982" s="17"/>
      <c r="N2982" s="16"/>
      <c r="O2982" s="16"/>
      <c r="P2982" s="16"/>
    </row>
    <row r="2983" spans="8:16" ht="15.75" customHeight="1">
      <c r="H2983" s="16"/>
      <c r="I2983" s="16"/>
      <c r="J2983" s="17"/>
      <c r="N2983" s="16"/>
      <c r="O2983" s="16"/>
      <c r="P2983" s="16"/>
    </row>
    <row r="2984" spans="8:16" ht="15.75" customHeight="1">
      <c r="H2984" s="16"/>
      <c r="I2984" s="16"/>
      <c r="J2984" s="17"/>
      <c r="N2984" s="16"/>
      <c r="O2984" s="16"/>
      <c r="P2984" s="16"/>
    </row>
    <row r="2985" spans="8:16" ht="15.75" customHeight="1">
      <c r="H2985" s="16"/>
      <c r="I2985" s="16"/>
      <c r="J2985" s="17"/>
      <c r="N2985" s="16"/>
      <c r="O2985" s="16"/>
      <c r="P2985" s="16"/>
    </row>
    <row r="2986" spans="8:16" ht="15.75" customHeight="1">
      <c r="H2986" s="16"/>
      <c r="I2986" s="16"/>
      <c r="J2986" s="17"/>
      <c r="N2986" s="16"/>
      <c r="O2986" s="16"/>
      <c r="P2986" s="16"/>
    </row>
    <row r="2987" spans="8:16" ht="15.75" customHeight="1">
      <c r="H2987" s="16"/>
      <c r="I2987" s="16"/>
      <c r="J2987" s="17"/>
      <c r="N2987" s="16"/>
      <c r="O2987" s="16"/>
      <c r="P2987" s="16"/>
    </row>
    <row r="2988" spans="8:16" ht="15.75" customHeight="1">
      <c r="H2988" s="16"/>
      <c r="I2988" s="16"/>
      <c r="J2988" s="17"/>
      <c r="N2988" s="16"/>
      <c r="O2988" s="16"/>
      <c r="P2988" s="16"/>
    </row>
    <row r="2989" spans="8:16" ht="15.75" customHeight="1">
      <c r="H2989" s="16"/>
      <c r="I2989" s="16"/>
      <c r="J2989" s="17"/>
      <c r="N2989" s="16"/>
      <c r="O2989" s="16"/>
      <c r="P2989" s="16"/>
    </row>
    <row r="2990" spans="8:16" ht="15.75" customHeight="1">
      <c r="H2990" s="16"/>
      <c r="I2990" s="16"/>
      <c r="J2990" s="17"/>
      <c r="N2990" s="16"/>
      <c r="O2990" s="16"/>
      <c r="P2990" s="16"/>
    </row>
    <row r="2991" spans="8:16" ht="15.75" customHeight="1">
      <c r="H2991" s="16"/>
      <c r="I2991" s="16"/>
      <c r="J2991" s="17"/>
      <c r="N2991" s="16"/>
      <c r="O2991" s="16"/>
      <c r="P2991" s="16"/>
    </row>
    <row r="2992" spans="8:16" ht="15.75" customHeight="1">
      <c r="H2992" s="16"/>
      <c r="I2992" s="16"/>
      <c r="J2992" s="17"/>
      <c r="N2992" s="16"/>
      <c r="O2992" s="16"/>
      <c r="P2992" s="16"/>
    </row>
    <row r="2993" spans="8:16" ht="15.75" customHeight="1">
      <c r="H2993" s="16"/>
      <c r="I2993" s="16"/>
      <c r="J2993" s="17"/>
      <c r="N2993" s="16"/>
      <c r="O2993" s="16"/>
      <c r="P2993" s="16"/>
    </row>
    <row r="2994" spans="8:16" ht="15.75" customHeight="1">
      <c r="H2994" s="16"/>
      <c r="I2994" s="16"/>
      <c r="J2994" s="17"/>
      <c r="N2994" s="16"/>
      <c r="O2994" s="16"/>
      <c r="P2994" s="16"/>
    </row>
    <row r="2995" spans="8:16" ht="15.75" customHeight="1">
      <c r="H2995" s="16"/>
      <c r="I2995" s="16"/>
      <c r="J2995" s="17"/>
      <c r="N2995" s="16"/>
      <c r="O2995" s="16"/>
      <c r="P2995" s="16"/>
    </row>
    <row r="2996" spans="8:16" ht="15.75" customHeight="1">
      <c r="H2996" s="16"/>
      <c r="I2996" s="16"/>
      <c r="J2996" s="17"/>
      <c r="N2996" s="16"/>
      <c r="O2996" s="16"/>
      <c r="P2996" s="16"/>
    </row>
    <row r="2997" spans="8:16" ht="15.75" customHeight="1">
      <c r="H2997" s="16"/>
      <c r="I2997" s="16"/>
      <c r="J2997" s="17"/>
      <c r="N2997" s="16"/>
      <c r="O2997" s="16"/>
      <c r="P2997" s="16"/>
    </row>
    <row r="2998" spans="8:16" ht="15.75" customHeight="1">
      <c r="H2998" s="16"/>
      <c r="I2998" s="16"/>
      <c r="J2998" s="17"/>
      <c r="N2998" s="16"/>
      <c r="O2998" s="16"/>
      <c r="P2998" s="16"/>
    </row>
    <row r="2999" spans="8:16" ht="15.75" customHeight="1">
      <c r="H2999" s="16"/>
      <c r="I2999" s="16"/>
      <c r="J2999" s="17"/>
      <c r="N2999" s="16"/>
      <c r="O2999" s="16"/>
      <c r="P2999" s="16"/>
    </row>
    <row r="3000" spans="8:16" ht="15.75" customHeight="1">
      <c r="H3000" s="16"/>
      <c r="I3000" s="16"/>
      <c r="J3000" s="17"/>
      <c r="N3000" s="16"/>
      <c r="O3000" s="16"/>
      <c r="P3000" s="16"/>
    </row>
    <row r="3001" spans="8:16" ht="15.75" customHeight="1">
      <c r="H3001" s="16"/>
      <c r="I3001" s="16"/>
      <c r="J3001" s="17"/>
      <c r="N3001" s="16"/>
      <c r="O3001" s="16"/>
      <c r="P3001" s="16"/>
    </row>
    <row r="3002" spans="8:16" ht="15.75" customHeight="1">
      <c r="H3002" s="16"/>
      <c r="I3002" s="16"/>
      <c r="J3002" s="17"/>
      <c r="N3002" s="16"/>
      <c r="O3002" s="16"/>
      <c r="P3002" s="16"/>
    </row>
    <row r="3003" spans="8:16" ht="15.75" customHeight="1">
      <c r="H3003" s="16"/>
      <c r="I3003" s="16"/>
      <c r="J3003" s="17"/>
      <c r="N3003" s="16"/>
      <c r="O3003" s="16"/>
      <c r="P3003" s="16"/>
    </row>
    <row r="3004" spans="8:16" ht="15.75" customHeight="1">
      <c r="H3004" s="16"/>
      <c r="I3004" s="16"/>
      <c r="J3004" s="17"/>
      <c r="N3004" s="16"/>
      <c r="O3004" s="16"/>
      <c r="P3004" s="16"/>
    </row>
    <row r="3005" spans="8:16" ht="15.75" customHeight="1">
      <c r="H3005" s="16"/>
      <c r="I3005" s="16"/>
      <c r="J3005" s="17"/>
      <c r="N3005" s="16"/>
      <c r="O3005" s="16"/>
      <c r="P3005" s="16"/>
    </row>
    <row r="3006" spans="8:16" ht="15.75" customHeight="1">
      <c r="H3006" s="16"/>
      <c r="I3006" s="16"/>
      <c r="J3006" s="17"/>
      <c r="N3006" s="16"/>
      <c r="O3006" s="16"/>
      <c r="P3006" s="16"/>
    </row>
    <row r="3007" spans="8:16" ht="15.75" customHeight="1">
      <c r="H3007" s="16"/>
      <c r="I3007" s="16"/>
      <c r="J3007" s="17"/>
      <c r="N3007" s="16"/>
      <c r="O3007" s="16"/>
      <c r="P3007" s="16"/>
    </row>
    <row r="3008" spans="8:16" ht="15.75" customHeight="1">
      <c r="H3008" s="16"/>
      <c r="I3008" s="16"/>
      <c r="J3008" s="17"/>
      <c r="N3008" s="16"/>
      <c r="O3008" s="16"/>
      <c r="P3008" s="16"/>
    </row>
    <row r="3009" spans="8:16" ht="15.75" customHeight="1">
      <c r="H3009" s="16"/>
      <c r="I3009" s="16"/>
      <c r="J3009" s="17"/>
      <c r="N3009" s="16"/>
      <c r="O3009" s="16"/>
      <c r="P3009" s="16"/>
    </row>
    <row r="3010" spans="8:16" ht="15.75" customHeight="1">
      <c r="H3010" s="16"/>
      <c r="I3010" s="16"/>
      <c r="J3010" s="17"/>
      <c r="N3010" s="16"/>
      <c r="O3010" s="16"/>
      <c r="P3010" s="16"/>
    </row>
    <row r="3011" spans="8:16" ht="15.75" customHeight="1">
      <c r="H3011" s="16"/>
      <c r="I3011" s="16"/>
      <c r="J3011" s="17"/>
      <c r="N3011" s="16"/>
      <c r="O3011" s="16"/>
      <c r="P3011" s="16"/>
    </row>
    <row r="3012" spans="8:16" ht="15.75" customHeight="1">
      <c r="H3012" s="16"/>
      <c r="I3012" s="16"/>
      <c r="J3012" s="17"/>
      <c r="N3012" s="16"/>
      <c r="O3012" s="16"/>
      <c r="P3012" s="16"/>
    </row>
    <row r="3013" spans="8:16" ht="15.75" customHeight="1">
      <c r="H3013" s="16"/>
      <c r="I3013" s="16"/>
      <c r="J3013" s="17"/>
      <c r="N3013" s="16"/>
      <c r="O3013" s="16"/>
      <c r="P3013" s="16"/>
    </row>
    <row r="3014" spans="8:16" ht="15.75" customHeight="1">
      <c r="H3014" s="16"/>
      <c r="I3014" s="16"/>
      <c r="J3014" s="17"/>
      <c r="N3014" s="16"/>
      <c r="O3014" s="16"/>
      <c r="P3014" s="16"/>
    </row>
    <row r="3015" spans="8:16" ht="15.75" customHeight="1">
      <c r="H3015" s="16"/>
      <c r="I3015" s="16"/>
      <c r="J3015" s="17"/>
      <c r="N3015" s="16"/>
      <c r="O3015" s="16"/>
      <c r="P3015" s="16"/>
    </row>
    <row r="3016" spans="8:16" ht="15.75" customHeight="1">
      <c r="H3016" s="16"/>
      <c r="I3016" s="16"/>
      <c r="J3016" s="17"/>
      <c r="N3016" s="16"/>
      <c r="O3016" s="16"/>
      <c r="P3016" s="16"/>
    </row>
    <row r="3017" spans="8:16" ht="15.75" customHeight="1">
      <c r="H3017" s="16"/>
      <c r="I3017" s="16"/>
      <c r="J3017" s="17"/>
      <c r="N3017" s="16"/>
      <c r="O3017" s="16"/>
      <c r="P3017" s="16"/>
    </row>
    <row r="3018" spans="8:16" ht="15.75" customHeight="1">
      <c r="H3018" s="16"/>
      <c r="I3018" s="16"/>
      <c r="J3018" s="17"/>
      <c r="N3018" s="16"/>
      <c r="O3018" s="16"/>
      <c r="P3018" s="16"/>
    </row>
    <row r="3019" spans="8:16" ht="15.75" customHeight="1">
      <c r="H3019" s="16"/>
      <c r="I3019" s="16"/>
      <c r="J3019" s="17"/>
      <c r="N3019" s="16"/>
      <c r="O3019" s="16"/>
      <c r="P3019" s="16"/>
    </row>
    <row r="3020" spans="8:16" ht="15.75" customHeight="1">
      <c r="H3020" s="16"/>
      <c r="I3020" s="16"/>
      <c r="J3020" s="17"/>
      <c r="N3020" s="16"/>
      <c r="O3020" s="16"/>
      <c r="P3020" s="16"/>
    </row>
    <row r="3021" spans="8:16" ht="15.75" customHeight="1">
      <c r="H3021" s="16"/>
      <c r="I3021" s="16"/>
      <c r="J3021" s="17"/>
      <c r="N3021" s="16"/>
      <c r="O3021" s="16"/>
      <c r="P3021" s="16"/>
    </row>
    <row r="3022" spans="8:16" ht="15.75" customHeight="1">
      <c r="H3022" s="16"/>
      <c r="I3022" s="16"/>
      <c r="J3022" s="17"/>
      <c r="N3022" s="16"/>
      <c r="O3022" s="16"/>
      <c r="P3022" s="16"/>
    </row>
    <row r="3023" spans="8:16" ht="15.75" customHeight="1">
      <c r="H3023" s="16"/>
      <c r="I3023" s="16"/>
      <c r="J3023" s="17"/>
      <c r="N3023" s="16"/>
      <c r="O3023" s="16"/>
      <c r="P3023" s="16"/>
    </row>
    <row r="3024" spans="8:16" ht="15.75" customHeight="1">
      <c r="H3024" s="16"/>
      <c r="I3024" s="16"/>
      <c r="J3024" s="17"/>
      <c r="N3024" s="16"/>
      <c r="O3024" s="16"/>
      <c r="P3024" s="16"/>
    </row>
    <row r="3025" spans="8:16" ht="15.75" customHeight="1">
      <c r="H3025" s="16"/>
      <c r="I3025" s="16"/>
      <c r="J3025" s="17"/>
      <c r="N3025" s="16"/>
      <c r="O3025" s="16"/>
      <c r="P3025" s="16"/>
    </row>
    <row r="3026" spans="8:16" ht="15.75" customHeight="1">
      <c r="H3026" s="16"/>
      <c r="I3026" s="16"/>
      <c r="J3026" s="17"/>
      <c r="N3026" s="16"/>
      <c r="O3026" s="16"/>
      <c r="P3026" s="16"/>
    </row>
    <row r="3027" spans="8:16" ht="15.75" customHeight="1">
      <c r="H3027" s="16"/>
      <c r="I3027" s="16"/>
      <c r="J3027" s="17"/>
      <c r="N3027" s="16"/>
      <c r="O3027" s="16"/>
      <c r="P3027" s="16"/>
    </row>
    <row r="3028" spans="8:16" ht="15.75" customHeight="1">
      <c r="H3028" s="16"/>
      <c r="I3028" s="16"/>
      <c r="J3028" s="17"/>
      <c r="N3028" s="16"/>
      <c r="O3028" s="16"/>
      <c r="P3028" s="16"/>
    </row>
    <row r="3029" spans="8:16" ht="15.75" customHeight="1">
      <c r="H3029" s="16"/>
      <c r="I3029" s="16"/>
      <c r="J3029" s="17"/>
      <c r="N3029" s="16"/>
      <c r="O3029" s="16"/>
      <c r="P3029" s="16"/>
    </row>
    <row r="3030" spans="8:16" ht="15.75" customHeight="1">
      <c r="H3030" s="16"/>
      <c r="I3030" s="16"/>
      <c r="J3030" s="17"/>
      <c r="N3030" s="16"/>
      <c r="O3030" s="16"/>
      <c r="P3030" s="16"/>
    </row>
    <row r="3031" spans="8:16" ht="15.75" customHeight="1">
      <c r="H3031" s="16"/>
      <c r="I3031" s="16"/>
      <c r="J3031" s="17"/>
      <c r="N3031" s="16"/>
      <c r="O3031" s="16"/>
      <c r="P3031" s="16"/>
    </row>
    <row r="3032" spans="8:16" ht="15.75" customHeight="1">
      <c r="H3032" s="16"/>
      <c r="I3032" s="16"/>
      <c r="J3032" s="17"/>
      <c r="N3032" s="16"/>
      <c r="O3032" s="16"/>
      <c r="P3032" s="16"/>
    </row>
    <row r="3033" spans="8:16" ht="15.75" customHeight="1">
      <c r="H3033" s="16"/>
      <c r="I3033" s="16"/>
      <c r="J3033" s="17"/>
      <c r="N3033" s="16"/>
      <c r="O3033" s="16"/>
      <c r="P3033" s="16"/>
    </row>
    <row r="3034" spans="8:16" ht="15.75" customHeight="1">
      <c r="H3034" s="16"/>
      <c r="I3034" s="16"/>
      <c r="J3034" s="17"/>
      <c r="N3034" s="16"/>
      <c r="O3034" s="16"/>
      <c r="P3034" s="16"/>
    </row>
    <row r="3035" spans="8:16" ht="15.75" customHeight="1">
      <c r="H3035" s="16"/>
      <c r="I3035" s="16"/>
      <c r="J3035" s="17"/>
      <c r="N3035" s="16"/>
      <c r="O3035" s="16"/>
      <c r="P3035" s="16"/>
    </row>
    <row r="3036" spans="8:16" ht="15.75" customHeight="1">
      <c r="H3036" s="16"/>
      <c r="I3036" s="16"/>
      <c r="J3036" s="17"/>
      <c r="N3036" s="16"/>
      <c r="O3036" s="16"/>
      <c r="P3036" s="16"/>
    </row>
    <row r="3037" spans="8:16" ht="15.75" customHeight="1">
      <c r="H3037" s="16"/>
      <c r="I3037" s="16"/>
      <c r="J3037" s="17"/>
      <c r="N3037" s="16"/>
      <c r="O3037" s="16"/>
      <c r="P3037" s="16"/>
    </row>
    <row r="3038" spans="8:16" ht="15.75" customHeight="1">
      <c r="H3038" s="16"/>
      <c r="I3038" s="16"/>
      <c r="J3038" s="17"/>
      <c r="N3038" s="16"/>
      <c r="O3038" s="16"/>
      <c r="P3038" s="16"/>
    </row>
    <row r="3039" spans="8:16" ht="15.75" customHeight="1">
      <c r="H3039" s="16"/>
      <c r="I3039" s="16"/>
      <c r="J3039" s="17"/>
      <c r="N3039" s="16"/>
      <c r="O3039" s="16"/>
      <c r="P3039" s="16"/>
    </row>
    <row r="3040" spans="8:16" ht="15.75" customHeight="1">
      <c r="H3040" s="16"/>
      <c r="I3040" s="16"/>
      <c r="J3040" s="17"/>
      <c r="N3040" s="16"/>
      <c r="O3040" s="16"/>
      <c r="P3040" s="16"/>
    </row>
    <row r="3041" spans="8:16" ht="15.75" customHeight="1">
      <c r="H3041" s="16"/>
      <c r="I3041" s="16"/>
      <c r="J3041" s="17"/>
      <c r="N3041" s="16"/>
      <c r="O3041" s="16"/>
      <c r="P3041" s="16"/>
    </row>
    <row r="3042" spans="8:16" ht="15.75" customHeight="1">
      <c r="H3042" s="16"/>
      <c r="I3042" s="16"/>
      <c r="J3042" s="17"/>
      <c r="N3042" s="16"/>
      <c r="O3042" s="16"/>
      <c r="P3042" s="16"/>
    </row>
    <row r="3043" spans="8:16" ht="15.75" customHeight="1">
      <c r="H3043" s="16"/>
      <c r="I3043" s="16"/>
      <c r="J3043" s="17"/>
      <c r="N3043" s="16"/>
      <c r="O3043" s="16"/>
      <c r="P3043" s="16"/>
    </row>
    <row r="3044" spans="8:16" ht="15.75" customHeight="1">
      <c r="H3044" s="16"/>
      <c r="I3044" s="16"/>
      <c r="J3044" s="17"/>
      <c r="N3044" s="16"/>
      <c r="O3044" s="16"/>
      <c r="P3044" s="16"/>
    </row>
    <row r="3045" spans="8:16" ht="15.75" customHeight="1">
      <c r="H3045" s="16"/>
      <c r="I3045" s="16"/>
      <c r="J3045" s="17"/>
      <c r="N3045" s="16"/>
      <c r="O3045" s="16"/>
      <c r="P3045" s="16"/>
    </row>
    <row r="3046" spans="8:16" ht="15.75" customHeight="1">
      <c r="H3046" s="16"/>
      <c r="I3046" s="16"/>
      <c r="J3046" s="17"/>
      <c r="N3046" s="16"/>
      <c r="O3046" s="16"/>
      <c r="P3046" s="16"/>
    </row>
    <row r="3047" spans="8:16" ht="15.75" customHeight="1">
      <c r="H3047" s="16"/>
      <c r="I3047" s="16"/>
      <c r="J3047" s="17"/>
      <c r="N3047" s="16"/>
      <c r="O3047" s="16"/>
      <c r="P3047" s="16"/>
    </row>
    <row r="3048" spans="8:16" ht="15.75" customHeight="1">
      <c r="H3048" s="16"/>
      <c r="I3048" s="16"/>
      <c r="J3048" s="17"/>
      <c r="N3048" s="16"/>
      <c r="O3048" s="16"/>
      <c r="P3048" s="16"/>
    </row>
    <row r="3049" spans="8:16" ht="15.75" customHeight="1">
      <c r="H3049" s="16"/>
      <c r="I3049" s="16"/>
      <c r="J3049" s="17"/>
      <c r="N3049" s="16"/>
      <c r="O3049" s="16"/>
      <c r="P3049" s="16"/>
    </row>
    <row r="3050" spans="8:16" ht="15.75" customHeight="1">
      <c r="H3050" s="16"/>
      <c r="I3050" s="16"/>
      <c r="J3050" s="17"/>
      <c r="N3050" s="16"/>
      <c r="O3050" s="16"/>
      <c r="P3050" s="16"/>
    </row>
    <row r="3051" spans="8:16" ht="15.75" customHeight="1">
      <c r="H3051" s="16"/>
      <c r="I3051" s="16"/>
      <c r="J3051" s="17"/>
      <c r="N3051" s="16"/>
      <c r="O3051" s="16"/>
      <c r="P3051" s="16"/>
    </row>
    <row r="3052" spans="8:16" ht="15.75" customHeight="1">
      <c r="H3052" s="16"/>
      <c r="I3052" s="16"/>
      <c r="J3052" s="17"/>
      <c r="N3052" s="16"/>
      <c r="O3052" s="16"/>
      <c r="P3052" s="16"/>
    </row>
    <row r="3053" spans="8:16" ht="15.75" customHeight="1">
      <c r="H3053" s="16"/>
      <c r="I3053" s="16"/>
      <c r="J3053" s="17"/>
      <c r="N3053" s="16"/>
      <c r="O3053" s="16"/>
      <c r="P3053" s="16"/>
    </row>
    <row r="3054" spans="8:16" ht="15.75" customHeight="1">
      <c r="H3054" s="16"/>
      <c r="I3054" s="16"/>
      <c r="J3054" s="17"/>
      <c r="N3054" s="16"/>
      <c r="O3054" s="16"/>
      <c r="P3054" s="16"/>
    </row>
    <row r="3055" spans="8:16" ht="15.75" customHeight="1">
      <c r="H3055" s="16"/>
      <c r="I3055" s="16"/>
      <c r="J3055" s="17"/>
      <c r="N3055" s="16"/>
      <c r="O3055" s="16"/>
      <c r="P3055" s="16"/>
    </row>
    <row r="3056" spans="8:16" ht="15.75" customHeight="1">
      <c r="H3056" s="16"/>
      <c r="I3056" s="16"/>
      <c r="J3056" s="17"/>
      <c r="N3056" s="16"/>
      <c r="O3056" s="16"/>
      <c r="P3056" s="16"/>
    </row>
    <row r="3057" spans="8:16" ht="15.75" customHeight="1">
      <c r="H3057" s="16"/>
      <c r="I3057" s="16"/>
      <c r="J3057" s="17"/>
      <c r="N3057" s="16"/>
      <c r="O3057" s="16"/>
      <c r="P3057" s="16"/>
    </row>
    <row r="3058" spans="8:16" ht="15.75" customHeight="1">
      <c r="H3058" s="16"/>
      <c r="I3058" s="16"/>
      <c r="J3058" s="17"/>
      <c r="N3058" s="16"/>
      <c r="O3058" s="16"/>
      <c r="P3058" s="16"/>
    </row>
    <row r="3059" spans="8:16" ht="15.75" customHeight="1">
      <c r="H3059" s="16"/>
      <c r="I3059" s="16"/>
      <c r="J3059" s="17"/>
      <c r="N3059" s="16"/>
      <c r="O3059" s="16"/>
      <c r="P3059" s="16"/>
    </row>
    <row r="3060" spans="8:16" ht="15.75" customHeight="1">
      <c r="H3060" s="16"/>
      <c r="I3060" s="16"/>
      <c r="J3060" s="17"/>
      <c r="N3060" s="16"/>
      <c r="O3060" s="16"/>
      <c r="P3060" s="16"/>
    </row>
    <row r="3061" spans="8:16" ht="15.75" customHeight="1">
      <c r="H3061" s="16"/>
      <c r="I3061" s="16"/>
      <c r="J3061" s="17"/>
      <c r="N3061" s="16"/>
      <c r="O3061" s="16"/>
      <c r="P3061" s="16"/>
    </row>
    <row r="3062" spans="8:16" ht="15.75" customHeight="1">
      <c r="H3062" s="16"/>
      <c r="I3062" s="16"/>
      <c r="J3062" s="17"/>
      <c r="N3062" s="16"/>
      <c r="O3062" s="16"/>
      <c r="P3062" s="16"/>
    </row>
    <row r="3063" spans="8:16" ht="15.75" customHeight="1">
      <c r="H3063" s="16"/>
      <c r="I3063" s="16"/>
      <c r="J3063" s="17"/>
      <c r="N3063" s="16"/>
      <c r="O3063" s="16"/>
      <c r="P3063" s="16"/>
    </row>
    <row r="3064" spans="8:16" ht="15.75" customHeight="1">
      <c r="H3064" s="16"/>
      <c r="I3064" s="16"/>
      <c r="J3064" s="17"/>
      <c r="N3064" s="16"/>
      <c r="O3064" s="16"/>
      <c r="P3064" s="16"/>
    </row>
    <row r="3065" spans="8:16" ht="15.75" customHeight="1">
      <c r="H3065" s="16"/>
      <c r="I3065" s="16"/>
      <c r="J3065" s="17"/>
      <c r="N3065" s="16"/>
      <c r="O3065" s="16"/>
      <c r="P3065" s="16"/>
    </row>
    <row r="3066" spans="8:16" ht="15.75" customHeight="1">
      <c r="H3066" s="16"/>
      <c r="I3066" s="16"/>
      <c r="J3066" s="17"/>
      <c r="N3066" s="16"/>
      <c r="O3066" s="16"/>
      <c r="P3066" s="16"/>
    </row>
    <row r="3067" spans="8:16" ht="15.75" customHeight="1">
      <c r="H3067" s="16"/>
      <c r="I3067" s="16"/>
      <c r="J3067" s="17"/>
      <c r="N3067" s="16"/>
      <c r="O3067" s="16"/>
      <c r="P3067" s="16"/>
    </row>
    <row r="3068" spans="8:16" ht="15.75" customHeight="1">
      <c r="H3068" s="16"/>
      <c r="I3068" s="16"/>
      <c r="J3068" s="17"/>
      <c r="N3068" s="16"/>
      <c r="O3068" s="16"/>
      <c r="P3068" s="16"/>
    </row>
    <row r="3069" spans="8:16" ht="15.75" customHeight="1">
      <c r="H3069" s="16"/>
      <c r="I3069" s="16"/>
      <c r="J3069" s="17"/>
      <c r="N3069" s="16"/>
      <c r="O3069" s="16"/>
      <c r="P3069" s="16"/>
    </row>
    <row r="3070" spans="8:16" ht="15.75" customHeight="1">
      <c r="H3070" s="16"/>
      <c r="I3070" s="16"/>
      <c r="J3070" s="17"/>
      <c r="N3070" s="16"/>
      <c r="O3070" s="16"/>
      <c r="P3070" s="16"/>
    </row>
    <row r="3071" spans="8:16" ht="15.75" customHeight="1">
      <c r="H3071" s="16"/>
      <c r="I3071" s="16"/>
      <c r="J3071" s="17"/>
      <c r="N3071" s="16"/>
      <c r="O3071" s="16"/>
      <c r="P3071" s="16"/>
    </row>
    <row r="3072" spans="8:16" ht="15.75" customHeight="1">
      <c r="H3072" s="16"/>
      <c r="I3072" s="16"/>
      <c r="J3072" s="17"/>
      <c r="N3072" s="16"/>
      <c r="O3072" s="16"/>
      <c r="P3072" s="16"/>
    </row>
    <row r="3073" spans="8:16" ht="15.75" customHeight="1">
      <c r="H3073" s="16"/>
      <c r="I3073" s="16"/>
      <c r="J3073" s="17"/>
      <c r="N3073" s="16"/>
      <c r="O3073" s="16"/>
      <c r="P3073" s="16"/>
    </row>
    <row r="3074" spans="8:16" ht="15.75" customHeight="1">
      <c r="H3074" s="16"/>
      <c r="I3074" s="16"/>
      <c r="J3074" s="17"/>
      <c r="N3074" s="16"/>
      <c r="O3074" s="16"/>
      <c r="P3074" s="16"/>
    </row>
    <row r="3075" spans="8:16" ht="15.75" customHeight="1">
      <c r="H3075" s="16"/>
      <c r="I3075" s="16"/>
      <c r="J3075" s="17"/>
      <c r="N3075" s="16"/>
      <c r="O3075" s="16"/>
      <c r="P3075" s="16"/>
    </row>
    <row r="3076" spans="8:16" ht="15.75" customHeight="1">
      <c r="H3076" s="16"/>
      <c r="I3076" s="16"/>
      <c r="J3076" s="17"/>
      <c r="N3076" s="16"/>
      <c r="O3076" s="16"/>
      <c r="P3076" s="16"/>
    </row>
    <row r="3077" spans="8:16" ht="15.75" customHeight="1">
      <c r="H3077" s="16"/>
      <c r="I3077" s="16"/>
      <c r="J3077" s="17"/>
      <c r="N3077" s="16"/>
      <c r="O3077" s="16"/>
      <c r="P3077" s="16"/>
    </row>
    <row r="3078" spans="8:16" ht="15.75" customHeight="1">
      <c r="H3078" s="16"/>
      <c r="I3078" s="16"/>
      <c r="J3078" s="17"/>
      <c r="N3078" s="16"/>
      <c r="O3078" s="16"/>
      <c r="P3078" s="16"/>
    </row>
    <row r="3079" spans="8:16" ht="15.75" customHeight="1">
      <c r="H3079" s="16"/>
      <c r="I3079" s="16"/>
      <c r="J3079" s="17"/>
      <c r="N3079" s="16"/>
      <c r="O3079" s="16"/>
      <c r="P3079" s="16"/>
    </row>
    <row r="3080" spans="8:16" ht="15.75" customHeight="1">
      <c r="H3080" s="16"/>
      <c r="I3080" s="16"/>
      <c r="J3080" s="17"/>
      <c r="N3080" s="16"/>
      <c r="O3080" s="16"/>
      <c r="P3080" s="16"/>
    </row>
    <row r="3081" spans="8:16" ht="15.75" customHeight="1">
      <c r="H3081" s="16"/>
      <c r="I3081" s="16"/>
      <c r="J3081" s="17"/>
      <c r="N3081" s="16"/>
      <c r="O3081" s="16"/>
      <c r="P3081" s="16"/>
    </row>
    <row r="3082" spans="8:16" ht="15.75" customHeight="1">
      <c r="H3082" s="16"/>
      <c r="I3082" s="16"/>
      <c r="J3082" s="17"/>
      <c r="N3082" s="16"/>
      <c r="O3082" s="16"/>
      <c r="P3082" s="16"/>
    </row>
    <row r="3083" spans="8:16" ht="15.75" customHeight="1">
      <c r="H3083" s="16"/>
      <c r="I3083" s="16"/>
      <c r="J3083" s="17"/>
      <c r="N3083" s="16"/>
      <c r="O3083" s="16"/>
      <c r="P3083" s="16"/>
    </row>
    <row r="3084" spans="8:16" ht="15.75" customHeight="1">
      <c r="H3084" s="16"/>
      <c r="I3084" s="16"/>
      <c r="J3084" s="17"/>
      <c r="N3084" s="16"/>
      <c r="O3084" s="16"/>
      <c r="P3084" s="16"/>
    </row>
    <row r="3085" spans="8:16" ht="15.75" customHeight="1">
      <c r="H3085" s="16"/>
      <c r="I3085" s="16"/>
      <c r="J3085" s="17"/>
      <c r="N3085" s="16"/>
      <c r="O3085" s="16"/>
      <c r="P3085" s="16"/>
    </row>
    <row r="3086" spans="8:16" ht="15.75" customHeight="1">
      <c r="H3086" s="16"/>
      <c r="I3086" s="16"/>
      <c r="J3086" s="17"/>
      <c r="N3086" s="16"/>
      <c r="O3086" s="16"/>
      <c r="P3086" s="16"/>
    </row>
    <row r="3087" spans="8:16" ht="15.75" customHeight="1">
      <c r="H3087" s="16"/>
      <c r="I3087" s="16"/>
      <c r="J3087" s="17"/>
      <c r="N3087" s="16"/>
      <c r="O3087" s="16"/>
      <c r="P3087" s="16"/>
    </row>
    <row r="3088" spans="8:16" ht="15.75" customHeight="1">
      <c r="H3088" s="16"/>
      <c r="I3088" s="16"/>
      <c r="J3088" s="17"/>
      <c r="N3088" s="16"/>
      <c r="O3088" s="16"/>
      <c r="P3088" s="16"/>
    </row>
    <row r="3089" spans="8:16" ht="15.75" customHeight="1">
      <c r="H3089" s="16"/>
      <c r="I3089" s="16"/>
      <c r="J3089" s="17"/>
      <c r="N3089" s="16"/>
      <c r="O3089" s="16"/>
      <c r="P3089" s="16"/>
    </row>
    <row r="3090" spans="8:16" ht="15.75" customHeight="1">
      <c r="H3090" s="16"/>
      <c r="I3090" s="16"/>
      <c r="J3090" s="17"/>
      <c r="N3090" s="16"/>
      <c r="O3090" s="16"/>
      <c r="P3090" s="16"/>
    </row>
    <row r="3091" spans="8:16" ht="15.75" customHeight="1">
      <c r="H3091" s="16"/>
      <c r="I3091" s="16"/>
      <c r="J3091" s="17"/>
      <c r="N3091" s="16"/>
      <c r="O3091" s="16"/>
      <c r="P3091" s="16"/>
    </row>
    <row r="3092" spans="8:16" ht="15.75" customHeight="1">
      <c r="H3092" s="16"/>
      <c r="I3092" s="16"/>
      <c r="J3092" s="17"/>
      <c r="N3092" s="16"/>
      <c r="O3092" s="16"/>
      <c r="P3092" s="16"/>
    </row>
    <row r="3093" spans="8:16" ht="15.75" customHeight="1">
      <c r="H3093" s="16"/>
      <c r="I3093" s="16"/>
      <c r="J3093" s="17"/>
      <c r="N3093" s="16"/>
      <c r="O3093" s="16"/>
      <c r="P3093" s="16"/>
    </row>
    <row r="3094" spans="8:16" ht="15.75" customHeight="1">
      <c r="H3094" s="16"/>
      <c r="I3094" s="16"/>
      <c r="J3094" s="17"/>
      <c r="N3094" s="16"/>
      <c r="O3094" s="16"/>
      <c r="P3094" s="16"/>
    </row>
    <row r="3095" spans="8:16" ht="15.75" customHeight="1">
      <c r="H3095" s="16"/>
      <c r="I3095" s="16"/>
      <c r="J3095" s="17"/>
      <c r="N3095" s="16"/>
      <c r="O3095" s="16"/>
      <c r="P3095" s="16"/>
    </row>
    <row r="3096" spans="8:16" ht="15.75" customHeight="1">
      <c r="H3096" s="16"/>
      <c r="I3096" s="16"/>
      <c r="J3096" s="17"/>
      <c r="N3096" s="16"/>
      <c r="O3096" s="16"/>
      <c r="P3096" s="16"/>
    </row>
    <row r="3097" spans="8:16" ht="15.75" customHeight="1">
      <c r="H3097" s="16"/>
      <c r="I3097" s="16"/>
      <c r="J3097" s="17"/>
      <c r="N3097" s="16"/>
      <c r="O3097" s="16"/>
      <c r="P3097" s="16"/>
    </row>
    <row r="3098" spans="8:16" ht="15.75" customHeight="1">
      <c r="H3098" s="16"/>
      <c r="I3098" s="16"/>
      <c r="J3098" s="17"/>
      <c r="N3098" s="16"/>
      <c r="O3098" s="16"/>
      <c r="P3098" s="16"/>
    </row>
    <row r="3099" spans="8:16" ht="15.75" customHeight="1">
      <c r="H3099" s="16"/>
      <c r="I3099" s="16"/>
      <c r="J3099" s="17"/>
      <c r="N3099" s="16"/>
      <c r="O3099" s="16"/>
      <c r="P3099" s="16"/>
    </row>
    <row r="3100" spans="8:16" ht="15.75" customHeight="1">
      <c r="H3100" s="16"/>
      <c r="I3100" s="16"/>
      <c r="J3100" s="17"/>
      <c r="N3100" s="16"/>
      <c r="O3100" s="16"/>
      <c r="P3100" s="16"/>
    </row>
    <row r="3101" spans="8:16" ht="15.75" customHeight="1">
      <c r="H3101" s="16"/>
      <c r="I3101" s="16"/>
      <c r="J3101" s="17"/>
      <c r="N3101" s="16"/>
      <c r="O3101" s="16"/>
      <c r="P3101" s="16"/>
    </row>
    <row r="3102" spans="8:16" ht="15.75" customHeight="1">
      <c r="H3102" s="16"/>
      <c r="I3102" s="16"/>
      <c r="J3102" s="17"/>
      <c r="N3102" s="16"/>
      <c r="O3102" s="16"/>
      <c r="P3102" s="16"/>
    </row>
    <row r="3103" spans="8:16" ht="15.75" customHeight="1">
      <c r="H3103" s="16"/>
      <c r="I3103" s="16"/>
      <c r="J3103" s="17"/>
      <c r="N3103" s="16"/>
      <c r="O3103" s="16"/>
      <c r="P3103" s="16"/>
    </row>
    <row r="3104" spans="8:16" ht="15.75" customHeight="1">
      <c r="H3104" s="16"/>
      <c r="I3104" s="16"/>
      <c r="J3104" s="17"/>
      <c r="N3104" s="16"/>
      <c r="O3104" s="16"/>
      <c r="P3104" s="16"/>
    </row>
    <row r="3105" spans="8:16" ht="15.75" customHeight="1">
      <c r="H3105" s="16"/>
      <c r="I3105" s="16"/>
      <c r="J3105" s="17"/>
      <c r="N3105" s="16"/>
      <c r="O3105" s="16"/>
      <c r="P3105" s="16"/>
    </row>
    <row r="3106" spans="8:16" ht="15.75" customHeight="1">
      <c r="H3106" s="16"/>
      <c r="I3106" s="16"/>
      <c r="J3106" s="17"/>
      <c r="N3106" s="16"/>
      <c r="O3106" s="16"/>
      <c r="P3106" s="16"/>
    </row>
    <row r="3107" spans="8:16" ht="15.75" customHeight="1">
      <c r="H3107" s="16"/>
      <c r="I3107" s="16"/>
      <c r="J3107" s="17"/>
      <c r="N3107" s="16"/>
      <c r="O3107" s="16"/>
      <c r="P3107" s="16"/>
    </row>
    <row r="3108" spans="8:16" ht="15.75" customHeight="1">
      <c r="H3108" s="16"/>
      <c r="I3108" s="16"/>
      <c r="J3108" s="17"/>
      <c r="N3108" s="16"/>
      <c r="O3108" s="16"/>
      <c r="P3108" s="16"/>
    </row>
    <row r="3109" spans="8:16" ht="15.75" customHeight="1">
      <c r="H3109" s="16"/>
      <c r="I3109" s="16"/>
      <c r="J3109" s="17"/>
      <c r="N3109" s="16"/>
      <c r="O3109" s="16"/>
      <c r="P3109" s="16"/>
    </row>
    <row r="3110" spans="8:16" ht="15.75" customHeight="1">
      <c r="H3110" s="16"/>
      <c r="I3110" s="16"/>
      <c r="J3110" s="17"/>
      <c r="N3110" s="16"/>
      <c r="O3110" s="16"/>
      <c r="P3110" s="16"/>
    </row>
    <row r="3111" spans="8:16" ht="15.75" customHeight="1">
      <c r="H3111" s="16"/>
      <c r="I3111" s="16"/>
      <c r="J3111" s="17"/>
      <c r="N3111" s="16"/>
      <c r="O3111" s="16"/>
      <c r="P3111" s="16"/>
    </row>
    <row r="3112" spans="8:16" ht="15.75" customHeight="1">
      <c r="H3112" s="16"/>
      <c r="I3112" s="16"/>
      <c r="J3112" s="17"/>
      <c r="N3112" s="16"/>
      <c r="O3112" s="16"/>
      <c r="P3112" s="16"/>
    </row>
    <row r="3113" spans="8:16" ht="15.75" customHeight="1">
      <c r="H3113" s="16"/>
      <c r="I3113" s="16"/>
      <c r="J3113" s="17"/>
      <c r="N3113" s="16"/>
      <c r="O3113" s="16"/>
      <c r="P3113" s="16"/>
    </row>
    <row r="3114" spans="8:16" ht="15.75" customHeight="1">
      <c r="H3114" s="16"/>
      <c r="I3114" s="16"/>
      <c r="J3114" s="17"/>
      <c r="N3114" s="16"/>
      <c r="O3114" s="16"/>
      <c r="P3114" s="16"/>
    </row>
    <row r="3115" spans="8:16" ht="15.75" customHeight="1">
      <c r="H3115" s="16"/>
      <c r="I3115" s="16"/>
      <c r="J3115" s="17"/>
      <c r="N3115" s="16"/>
      <c r="O3115" s="16"/>
      <c r="P3115" s="16"/>
    </row>
    <row r="3116" spans="8:16" ht="15.75" customHeight="1">
      <c r="H3116" s="16"/>
      <c r="I3116" s="16"/>
      <c r="J3116" s="17"/>
      <c r="N3116" s="16"/>
      <c r="O3116" s="16"/>
      <c r="P3116" s="16"/>
    </row>
    <row r="3117" spans="8:16" ht="15.75" customHeight="1">
      <c r="H3117" s="16"/>
      <c r="I3117" s="16"/>
      <c r="J3117" s="17"/>
      <c r="N3117" s="16"/>
      <c r="O3117" s="16"/>
      <c r="P3117" s="16"/>
    </row>
    <row r="3118" spans="8:16" ht="15.75" customHeight="1">
      <c r="H3118" s="16"/>
      <c r="I3118" s="16"/>
      <c r="J3118" s="17"/>
      <c r="N3118" s="16"/>
      <c r="O3118" s="16"/>
      <c r="P3118" s="16"/>
    </row>
    <row r="3119" spans="8:16" ht="15.75" customHeight="1">
      <c r="H3119" s="16"/>
      <c r="I3119" s="16"/>
      <c r="J3119" s="17"/>
      <c r="N3119" s="16"/>
      <c r="O3119" s="16"/>
      <c r="P3119" s="16"/>
    </row>
    <row r="3120" spans="8:16" ht="15.75" customHeight="1">
      <c r="H3120" s="16"/>
      <c r="I3120" s="16"/>
      <c r="J3120" s="17"/>
      <c r="N3120" s="16"/>
      <c r="O3120" s="16"/>
      <c r="P3120" s="16"/>
    </row>
    <row r="3121" spans="8:16" ht="15.75" customHeight="1">
      <c r="H3121" s="16"/>
      <c r="I3121" s="16"/>
      <c r="J3121" s="17"/>
      <c r="N3121" s="16"/>
      <c r="O3121" s="16"/>
      <c r="P3121" s="16"/>
    </row>
    <row r="3122" spans="8:16" ht="15.75" customHeight="1">
      <c r="H3122" s="16"/>
      <c r="I3122" s="16"/>
      <c r="J3122" s="17"/>
      <c r="N3122" s="16"/>
      <c r="O3122" s="16"/>
      <c r="P3122" s="16"/>
    </row>
    <row r="3123" spans="8:16" ht="15.75" customHeight="1">
      <c r="H3123" s="16"/>
      <c r="I3123" s="16"/>
      <c r="J3123" s="17"/>
      <c r="N3123" s="16"/>
      <c r="O3123" s="16"/>
      <c r="P3123" s="16"/>
    </row>
    <row r="3124" spans="8:16" ht="15.75" customHeight="1">
      <c r="H3124" s="16"/>
      <c r="I3124" s="16"/>
      <c r="J3124" s="17"/>
      <c r="N3124" s="16"/>
      <c r="O3124" s="16"/>
      <c r="P3124" s="16"/>
    </row>
    <row r="3125" spans="8:16" ht="15.75" customHeight="1">
      <c r="H3125" s="16"/>
      <c r="I3125" s="16"/>
      <c r="J3125" s="17"/>
      <c r="N3125" s="16"/>
      <c r="O3125" s="16"/>
      <c r="P3125" s="16"/>
    </row>
    <row r="3126" spans="8:16" ht="15.75" customHeight="1">
      <c r="H3126" s="16"/>
      <c r="I3126" s="16"/>
      <c r="J3126" s="17"/>
      <c r="N3126" s="16"/>
      <c r="O3126" s="16"/>
      <c r="P3126" s="16"/>
    </row>
    <row r="3127" spans="8:16" ht="15.75" customHeight="1">
      <c r="H3127" s="16"/>
      <c r="I3127" s="16"/>
      <c r="J3127" s="17"/>
      <c r="N3127" s="16"/>
      <c r="O3127" s="16"/>
      <c r="P3127" s="16"/>
    </row>
    <row r="3128" spans="8:16" ht="15.75" customHeight="1">
      <c r="H3128" s="16"/>
      <c r="I3128" s="16"/>
      <c r="J3128" s="17"/>
      <c r="N3128" s="16"/>
      <c r="O3128" s="16"/>
      <c r="P3128" s="16"/>
    </row>
    <row r="3129" spans="8:16" ht="15.75" customHeight="1">
      <c r="H3129" s="16"/>
      <c r="I3129" s="16"/>
      <c r="J3129" s="17"/>
      <c r="N3129" s="16"/>
      <c r="O3129" s="16"/>
      <c r="P3129" s="16"/>
    </row>
    <row r="3130" spans="8:16" ht="15.75" customHeight="1">
      <c r="H3130" s="16"/>
      <c r="I3130" s="16"/>
      <c r="J3130" s="17"/>
      <c r="N3130" s="16"/>
      <c r="O3130" s="16"/>
      <c r="P3130" s="16"/>
    </row>
    <row r="3131" spans="8:16" ht="15.75" customHeight="1">
      <c r="H3131" s="16"/>
      <c r="I3131" s="16"/>
      <c r="J3131" s="17"/>
      <c r="N3131" s="16"/>
      <c r="O3131" s="16"/>
      <c r="P3131" s="16"/>
    </row>
    <row r="3132" spans="8:16" ht="15.75" customHeight="1">
      <c r="H3132" s="16"/>
      <c r="I3132" s="16"/>
      <c r="J3132" s="17"/>
      <c r="N3132" s="16"/>
      <c r="O3132" s="16"/>
      <c r="P3132" s="16"/>
    </row>
    <row r="3133" spans="8:16" ht="15.75" customHeight="1">
      <c r="H3133" s="16"/>
      <c r="I3133" s="16"/>
      <c r="J3133" s="17"/>
      <c r="N3133" s="16"/>
      <c r="O3133" s="16"/>
      <c r="P3133" s="16"/>
    </row>
    <row r="3134" spans="8:16" ht="15.75" customHeight="1">
      <c r="H3134" s="16"/>
      <c r="I3134" s="16"/>
      <c r="J3134" s="17"/>
      <c r="N3134" s="16"/>
      <c r="O3134" s="16"/>
      <c r="P3134" s="16"/>
    </row>
    <row r="3135" spans="8:16" ht="15.75" customHeight="1">
      <c r="H3135" s="16"/>
      <c r="I3135" s="16"/>
      <c r="J3135" s="17"/>
      <c r="N3135" s="16"/>
      <c r="O3135" s="16"/>
      <c r="P3135" s="16"/>
    </row>
    <row r="3136" spans="8:16" ht="15.75" customHeight="1">
      <c r="H3136" s="16"/>
      <c r="I3136" s="16"/>
      <c r="J3136" s="17"/>
      <c r="N3136" s="16"/>
      <c r="O3136" s="16"/>
      <c r="P3136" s="16"/>
    </row>
    <row r="3137" spans="8:16" ht="15.75" customHeight="1">
      <c r="H3137" s="16"/>
      <c r="I3137" s="16"/>
      <c r="J3137" s="17"/>
      <c r="N3137" s="16"/>
      <c r="O3137" s="16"/>
      <c r="P3137" s="16"/>
    </row>
    <row r="3138" spans="8:16" ht="15.75" customHeight="1">
      <c r="H3138" s="16"/>
      <c r="I3138" s="16"/>
      <c r="J3138" s="17"/>
      <c r="N3138" s="16"/>
      <c r="O3138" s="16"/>
      <c r="P3138" s="16"/>
    </row>
    <row r="3139" spans="8:16" ht="15.75" customHeight="1">
      <c r="H3139" s="16"/>
      <c r="I3139" s="16"/>
      <c r="J3139" s="17"/>
      <c r="N3139" s="16"/>
      <c r="O3139" s="16"/>
      <c r="P3139" s="16"/>
    </row>
    <row r="3140" spans="8:16" ht="15.75" customHeight="1">
      <c r="H3140" s="16"/>
      <c r="I3140" s="16"/>
      <c r="J3140" s="17"/>
      <c r="N3140" s="16"/>
      <c r="O3140" s="16"/>
      <c r="P3140" s="16"/>
    </row>
    <row r="3141" spans="8:16" ht="15.75" customHeight="1">
      <c r="H3141" s="16"/>
      <c r="I3141" s="16"/>
      <c r="J3141" s="17"/>
      <c r="N3141" s="16"/>
      <c r="O3141" s="16"/>
      <c r="P3141" s="16"/>
    </row>
    <row r="3142" spans="8:16" ht="15.75" customHeight="1">
      <c r="H3142" s="16"/>
      <c r="I3142" s="16"/>
      <c r="J3142" s="17"/>
      <c r="N3142" s="16"/>
      <c r="O3142" s="16"/>
      <c r="P3142" s="16"/>
    </row>
    <row r="3143" spans="8:16" ht="15.75" customHeight="1">
      <c r="H3143" s="16"/>
      <c r="I3143" s="16"/>
      <c r="J3143" s="17"/>
      <c r="N3143" s="16"/>
      <c r="O3143" s="16"/>
      <c r="P3143" s="16"/>
    </row>
    <row r="3144" spans="8:16" ht="15.75" customHeight="1">
      <c r="H3144" s="16"/>
      <c r="I3144" s="16"/>
      <c r="J3144" s="17"/>
      <c r="N3144" s="16"/>
      <c r="O3144" s="16"/>
      <c r="P3144" s="16"/>
    </row>
    <row r="3145" spans="8:16" ht="15.75" customHeight="1">
      <c r="H3145" s="16"/>
      <c r="I3145" s="16"/>
      <c r="J3145" s="17"/>
      <c r="N3145" s="16"/>
      <c r="O3145" s="16"/>
      <c r="P3145" s="16"/>
    </row>
    <row r="3146" spans="8:16" ht="15.75" customHeight="1">
      <c r="H3146" s="16"/>
      <c r="I3146" s="16"/>
      <c r="J3146" s="17"/>
      <c r="N3146" s="16"/>
      <c r="O3146" s="16"/>
      <c r="P3146" s="16"/>
    </row>
    <row r="3147" spans="8:16" ht="15.75" customHeight="1">
      <c r="H3147" s="16"/>
      <c r="I3147" s="16"/>
      <c r="J3147" s="17"/>
      <c r="N3147" s="16"/>
      <c r="O3147" s="16"/>
      <c r="P3147" s="16"/>
    </row>
    <row r="3148" spans="8:16" ht="15.75" customHeight="1">
      <c r="H3148" s="16"/>
      <c r="I3148" s="16"/>
      <c r="J3148" s="17"/>
      <c r="N3148" s="16"/>
      <c r="O3148" s="16"/>
      <c r="P3148" s="16"/>
    </row>
    <row r="3149" spans="8:16" ht="15.75" customHeight="1">
      <c r="H3149" s="16"/>
      <c r="I3149" s="16"/>
      <c r="J3149" s="17"/>
      <c r="N3149" s="16"/>
      <c r="O3149" s="16"/>
      <c r="P3149" s="16"/>
    </row>
    <row r="3150" spans="8:16" ht="15.75" customHeight="1">
      <c r="H3150" s="16"/>
      <c r="I3150" s="16"/>
      <c r="J3150" s="17"/>
      <c r="N3150" s="16"/>
      <c r="O3150" s="16"/>
      <c r="P3150" s="16"/>
    </row>
    <row r="3151" spans="8:16" ht="15.75" customHeight="1">
      <c r="H3151" s="16"/>
      <c r="I3151" s="16"/>
      <c r="J3151" s="17"/>
      <c r="N3151" s="16"/>
      <c r="O3151" s="16"/>
      <c r="P3151" s="16"/>
    </row>
    <row r="3152" spans="8:16" ht="15.75" customHeight="1">
      <c r="H3152" s="16"/>
      <c r="I3152" s="16"/>
      <c r="J3152" s="17"/>
      <c r="N3152" s="16"/>
      <c r="O3152" s="16"/>
      <c r="P3152" s="16"/>
    </row>
    <row r="3153" spans="8:16" ht="15.75" customHeight="1">
      <c r="H3153" s="16"/>
      <c r="I3153" s="16"/>
      <c r="J3153" s="17"/>
      <c r="N3153" s="16"/>
      <c r="O3153" s="16"/>
      <c r="P3153" s="16"/>
    </row>
    <row r="3154" spans="8:16" ht="15.75" customHeight="1">
      <c r="H3154" s="16"/>
      <c r="I3154" s="16"/>
      <c r="J3154" s="17"/>
      <c r="N3154" s="16"/>
      <c r="O3154" s="16"/>
      <c r="P3154" s="16"/>
    </row>
    <row r="3155" spans="8:16" ht="15.75" customHeight="1">
      <c r="H3155" s="16"/>
      <c r="I3155" s="16"/>
      <c r="J3155" s="17"/>
      <c r="N3155" s="16"/>
      <c r="O3155" s="16"/>
      <c r="P3155" s="16"/>
    </row>
    <row r="3156" spans="8:16" ht="15.75" customHeight="1">
      <c r="H3156" s="16"/>
      <c r="I3156" s="16"/>
      <c r="J3156" s="17"/>
      <c r="N3156" s="16"/>
      <c r="O3156" s="16"/>
      <c r="P3156" s="16"/>
    </row>
    <row r="3157" spans="8:16" ht="15.75" customHeight="1">
      <c r="H3157" s="16"/>
      <c r="I3157" s="16"/>
      <c r="J3157" s="17"/>
      <c r="N3157" s="16"/>
      <c r="O3157" s="16"/>
      <c r="P3157" s="16"/>
    </row>
    <row r="3158" spans="8:16" ht="15.75" customHeight="1">
      <c r="H3158" s="16"/>
      <c r="I3158" s="16"/>
      <c r="J3158" s="17"/>
      <c r="N3158" s="16"/>
      <c r="O3158" s="16"/>
      <c r="P3158" s="16"/>
    </row>
    <row r="3159" spans="8:16" ht="15.75" customHeight="1">
      <c r="H3159" s="16"/>
      <c r="I3159" s="16"/>
      <c r="J3159" s="17"/>
      <c r="N3159" s="16"/>
      <c r="O3159" s="16"/>
      <c r="P3159" s="16"/>
    </row>
    <row r="3160" spans="8:16" ht="15.75" customHeight="1">
      <c r="H3160" s="16"/>
      <c r="I3160" s="16"/>
      <c r="J3160" s="17"/>
      <c r="N3160" s="16"/>
      <c r="O3160" s="16"/>
      <c r="P3160" s="16"/>
    </row>
    <row r="3161" spans="8:16" ht="15.75" customHeight="1">
      <c r="H3161" s="16"/>
      <c r="I3161" s="16"/>
      <c r="J3161" s="17"/>
      <c r="N3161" s="16"/>
      <c r="O3161" s="16"/>
      <c r="P3161" s="16"/>
    </row>
    <row r="3162" spans="8:16" ht="15.75" customHeight="1">
      <c r="H3162" s="16"/>
      <c r="I3162" s="16"/>
      <c r="J3162" s="17"/>
      <c r="N3162" s="16"/>
      <c r="O3162" s="16"/>
      <c r="P3162" s="16"/>
    </row>
    <row r="3163" spans="8:16" ht="15.75" customHeight="1">
      <c r="H3163" s="16"/>
      <c r="I3163" s="16"/>
      <c r="J3163" s="17"/>
      <c r="N3163" s="16"/>
      <c r="O3163" s="16"/>
      <c r="P3163" s="16"/>
    </row>
    <row r="3164" spans="8:16" ht="15.75" customHeight="1">
      <c r="H3164" s="16"/>
      <c r="I3164" s="16"/>
      <c r="J3164" s="17"/>
      <c r="N3164" s="16"/>
      <c r="O3164" s="16"/>
      <c r="P3164" s="16"/>
    </row>
    <row r="3165" spans="8:16" ht="15.75" customHeight="1">
      <c r="H3165" s="16"/>
      <c r="I3165" s="16"/>
      <c r="J3165" s="17"/>
      <c r="N3165" s="16"/>
      <c r="O3165" s="16"/>
      <c r="P3165" s="16"/>
    </row>
    <row r="3166" spans="8:16" ht="15.75" customHeight="1">
      <c r="H3166" s="16"/>
      <c r="I3166" s="16"/>
      <c r="J3166" s="17"/>
      <c r="N3166" s="16"/>
      <c r="O3166" s="16"/>
      <c r="P3166" s="16"/>
    </row>
    <row r="3167" spans="8:16" ht="15.75" customHeight="1">
      <c r="H3167" s="16"/>
      <c r="I3167" s="16"/>
      <c r="J3167" s="17"/>
      <c r="N3167" s="16"/>
      <c r="O3167" s="16"/>
      <c r="P3167" s="16"/>
    </row>
    <row r="3168" spans="8:16" ht="15.75" customHeight="1">
      <c r="H3168" s="16"/>
      <c r="I3168" s="16"/>
      <c r="J3168" s="17"/>
      <c r="N3168" s="16"/>
      <c r="O3168" s="16"/>
      <c r="P3168" s="16"/>
    </row>
    <row r="3169" spans="8:16" ht="15.75" customHeight="1">
      <c r="H3169" s="16"/>
      <c r="I3169" s="16"/>
      <c r="J3169" s="17"/>
      <c r="N3169" s="16"/>
      <c r="O3169" s="16"/>
      <c r="P3169" s="16"/>
    </row>
    <row r="3170" spans="8:16" ht="15.75" customHeight="1">
      <c r="H3170" s="16"/>
      <c r="I3170" s="16"/>
      <c r="J3170" s="17"/>
      <c r="N3170" s="16"/>
      <c r="O3170" s="16"/>
      <c r="P3170" s="16"/>
    </row>
    <row r="3171" spans="8:16" ht="15.75" customHeight="1">
      <c r="H3171" s="16"/>
      <c r="I3171" s="16"/>
      <c r="J3171" s="17"/>
      <c r="N3171" s="16"/>
      <c r="O3171" s="16"/>
      <c r="P3171" s="16"/>
    </row>
    <row r="3172" spans="8:16" ht="15.75" customHeight="1">
      <c r="H3172" s="16"/>
      <c r="I3172" s="16"/>
      <c r="J3172" s="17"/>
      <c r="N3172" s="16"/>
      <c r="O3172" s="16"/>
      <c r="P3172" s="16"/>
    </row>
    <row r="3173" spans="8:16" ht="15.75" customHeight="1">
      <c r="H3173" s="16"/>
      <c r="I3173" s="16"/>
      <c r="J3173" s="17"/>
      <c r="N3173" s="16"/>
      <c r="O3173" s="16"/>
      <c r="P3173" s="16"/>
    </row>
    <row r="3174" spans="8:16" ht="15.75" customHeight="1">
      <c r="H3174" s="16"/>
      <c r="I3174" s="16"/>
      <c r="J3174" s="17"/>
      <c r="N3174" s="16"/>
      <c r="O3174" s="16"/>
      <c r="P3174" s="16"/>
    </row>
    <row r="3175" spans="8:16" ht="15.75" customHeight="1">
      <c r="H3175" s="16"/>
      <c r="I3175" s="16"/>
      <c r="J3175" s="17"/>
      <c r="N3175" s="16"/>
      <c r="O3175" s="16"/>
      <c r="P3175" s="16"/>
    </row>
    <row r="3176" spans="8:16" ht="15.75" customHeight="1">
      <c r="H3176" s="16"/>
      <c r="I3176" s="16"/>
      <c r="J3176" s="17"/>
      <c r="N3176" s="16"/>
      <c r="O3176" s="16"/>
      <c r="P3176" s="16"/>
    </row>
    <row r="3177" spans="8:16" ht="15.75" customHeight="1">
      <c r="H3177" s="16"/>
      <c r="I3177" s="16"/>
      <c r="J3177" s="17"/>
      <c r="N3177" s="16"/>
      <c r="O3177" s="16"/>
      <c r="P3177" s="16"/>
    </row>
    <row r="3178" spans="8:16" ht="15.75" customHeight="1">
      <c r="H3178" s="16"/>
      <c r="I3178" s="16"/>
      <c r="J3178" s="17"/>
      <c r="N3178" s="16"/>
      <c r="O3178" s="16"/>
      <c r="P3178" s="16"/>
    </row>
    <row r="3179" spans="8:16" ht="15.75" customHeight="1">
      <c r="H3179" s="16"/>
      <c r="I3179" s="16"/>
      <c r="J3179" s="17"/>
      <c r="N3179" s="16"/>
      <c r="O3179" s="16"/>
      <c r="P3179" s="16"/>
    </row>
    <row r="3180" spans="8:16" ht="15.75" customHeight="1">
      <c r="H3180" s="16"/>
      <c r="I3180" s="16"/>
      <c r="J3180" s="17"/>
      <c r="P3180" s="16"/>
    </row>
    <row r="3181" spans="8:16" ht="15.75" customHeight="1">
      <c r="H3181" s="16"/>
      <c r="I3181" s="16"/>
      <c r="J3181" s="17"/>
      <c r="P3181" s="16"/>
    </row>
    <row r="3182" spans="8:16" ht="15.75" customHeight="1">
      <c r="H3182" s="16"/>
      <c r="I3182" s="16"/>
      <c r="J3182" s="17"/>
      <c r="P3182" s="16"/>
    </row>
    <row r="3183" spans="8:16" ht="15.75" customHeight="1">
      <c r="H3183" s="16"/>
      <c r="I3183" s="16"/>
      <c r="J3183" s="17"/>
      <c r="P3183" s="16"/>
    </row>
    <row r="3184" spans="8:16" ht="15.75" customHeight="1">
      <c r="H3184" s="16"/>
      <c r="I3184" s="16"/>
      <c r="J3184" s="17"/>
      <c r="P3184" s="16"/>
    </row>
    <row r="3185" spans="8:16" ht="15.75" customHeight="1">
      <c r="H3185" s="16"/>
      <c r="I3185" s="16"/>
      <c r="J3185" s="17"/>
      <c r="P3185" s="16"/>
    </row>
    <row r="3186" spans="8:16" ht="15.75" customHeight="1">
      <c r="H3186" s="16"/>
      <c r="I3186" s="16"/>
      <c r="J3186" s="17"/>
      <c r="P3186" s="16"/>
    </row>
    <row r="3187" spans="8:16" ht="15.75" customHeight="1">
      <c r="H3187" s="16"/>
      <c r="I3187" s="16"/>
      <c r="J3187" s="17"/>
      <c r="P3187" s="16"/>
    </row>
    <row r="3188" spans="8:16" ht="15.75" customHeight="1">
      <c r="H3188" s="16"/>
      <c r="I3188" s="16"/>
      <c r="J3188" s="17"/>
      <c r="P3188" s="16"/>
    </row>
    <row r="3189" spans="8:16" ht="15.75" customHeight="1">
      <c r="H3189" s="16"/>
      <c r="I3189" s="16"/>
      <c r="J3189" s="17"/>
      <c r="P3189" s="16"/>
    </row>
    <row r="3190" spans="8:16" ht="15.75" customHeight="1">
      <c r="H3190" s="16"/>
      <c r="I3190" s="16"/>
      <c r="J3190" s="17"/>
      <c r="P3190" s="16"/>
    </row>
    <row r="3191" spans="8:16" ht="15.75" customHeight="1">
      <c r="H3191" s="16"/>
      <c r="I3191" s="16"/>
      <c r="J3191" s="17"/>
      <c r="P3191" s="16"/>
    </row>
    <row r="3192" spans="8:16" ht="15.75" customHeight="1">
      <c r="H3192" s="16"/>
      <c r="I3192" s="16"/>
      <c r="J3192" s="17"/>
      <c r="P3192" s="16"/>
    </row>
    <row r="3193" spans="8:16" ht="15.75" customHeight="1">
      <c r="H3193" s="16"/>
      <c r="I3193" s="16"/>
      <c r="J3193" s="17"/>
    </row>
    <row r="3194" spans="8:16" ht="15.75" customHeight="1">
      <c r="H3194" s="16"/>
      <c r="I3194" s="16"/>
      <c r="J3194" s="17"/>
    </row>
    <row r="3195" spans="8:16" ht="15.75" customHeight="1">
      <c r="H3195" s="16"/>
      <c r="I3195" s="16"/>
      <c r="J3195" s="17"/>
    </row>
    <row r="3196" spans="8:16" ht="15.75" customHeight="1">
      <c r="H3196" s="16"/>
      <c r="I3196" s="16"/>
      <c r="J3196" s="17"/>
    </row>
    <row r="3197" spans="8:16" ht="15.75" customHeight="1">
      <c r="H3197" s="16"/>
      <c r="I3197" s="16"/>
      <c r="J3197" s="17"/>
    </row>
    <row r="3198" spans="8:16" ht="15.75" customHeight="1">
      <c r="H3198" s="16"/>
      <c r="I3198" s="16"/>
      <c r="J3198" s="17"/>
    </row>
    <row r="3199" spans="8:16" ht="15.75" customHeight="1">
      <c r="H3199" s="16"/>
      <c r="I3199" s="16"/>
      <c r="J3199" s="17"/>
    </row>
    <row r="3200" spans="8:16" ht="15.75" customHeight="1">
      <c r="H3200" s="16"/>
      <c r="I3200" s="16"/>
      <c r="J3200" s="17"/>
    </row>
    <row r="3201" spans="8:10" ht="15.75" customHeight="1">
      <c r="H3201" s="16"/>
      <c r="I3201" s="16"/>
      <c r="J3201" s="17"/>
    </row>
    <row r="3202" spans="8:10" ht="15.75" customHeight="1">
      <c r="H3202" s="16"/>
      <c r="I3202" s="16"/>
      <c r="J3202" s="17"/>
    </row>
    <row r="3203" spans="8:10" ht="15.75" customHeight="1">
      <c r="H3203" s="16"/>
      <c r="I3203" s="16"/>
      <c r="J3203" s="17"/>
    </row>
    <row r="3204" spans="8:10" ht="15.75" customHeight="1">
      <c r="H3204" s="16"/>
      <c r="I3204" s="16"/>
      <c r="J3204" s="17"/>
    </row>
    <row r="3205" spans="8:10" ht="15.75" customHeight="1">
      <c r="H3205" s="16"/>
      <c r="I3205" s="16"/>
      <c r="J3205" s="17"/>
    </row>
    <row r="3206" spans="8:10" ht="15.75" customHeight="1">
      <c r="H3206" s="16"/>
      <c r="I3206" s="16"/>
      <c r="J3206" s="17"/>
    </row>
    <row r="3207" spans="8:10" ht="15.75" customHeight="1">
      <c r="H3207" s="16"/>
      <c r="I3207" s="16"/>
      <c r="J3207" s="17"/>
    </row>
    <row r="3208" spans="8:10" ht="15.75" customHeight="1">
      <c r="H3208" s="16"/>
      <c r="I3208" s="16"/>
      <c r="J3208" s="17"/>
    </row>
    <row r="3209" spans="8:10" ht="15.75" customHeight="1">
      <c r="H3209" s="16"/>
      <c r="I3209" s="16"/>
      <c r="J3209" s="17"/>
    </row>
    <row r="3210" spans="8:10" ht="15.75" customHeight="1">
      <c r="H3210" s="16"/>
      <c r="I3210" s="16"/>
      <c r="J3210" s="17"/>
    </row>
    <row r="3211" spans="8:10" ht="15.75" customHeight="1">
      <c r="H3211" s="16"/>
      <c r="I3211" s="16"/>
      <c r="J3211" s="17"/>
    </row>
    <row r="3212" spans="8:10" ht="15.75" customHeight="1">
      <c r="H3212" s="16"/>
      <c r="I3212" s="16"/>
      <c r="J3212" s="17"/>
    </row>
    <row r="3213" spans="8:10" ht="15.75" customHeight="1">
      <c r="H3213" s="16"/>
      <c r="I3213" s="16"/>
      <c r="J3213" s="17"/>
    </row>
    <row r="3214" spans="8:10" ht="15.75" customHeight="1">
      <c r="H3214" s="16"/>
      <c r="I3214" s="16"/>
      <c r="J3214" s="17"/>
    </row>
    <row r="3215" spans="8:10" ht="15.75" customHeight="1">
      <c r="H3215" s="16"/>
      <c r="I3215" s="16"/>
      <c r="J3215" s="17"/>
    </row>
    <row r="3216" spans="8:10" ht="15.75" customHeight="1">
      <c r="H3216" s="16"/>
      <c r="I3216" s="16"/>
      <c r="J3216" s="17"/>
    </row>
    <row r="3217" spans="8:10" ht="15.75" customHeight="1">
      <c r="H3217" s="16"/>
      <c r="I3217" s="16"/>
      <c r="J3217" s="17"/>
    </row>
    <row r="3218" spans="8:10" ht="15.75" customHeight="1">
      <c r="H3218" s="16"/>
      <c r="I3218" s="16"/>
      <c r="J3218" s="17"/>
    </row>
    <row r="3219" spans="8:10" ht="15.75" customHeight="1">
      <c r="H3219" s="16"/>
      <c r="I3219" s="16"/>
      <c r="J3219" s="17"/>
    </row>
    <row r="3220" spans="8:10" ht="15.75" customHeight="1">
      <c r="H3220" s="16"/>
      <c r="I3220" s="16"/>
      <c r="J3220" s="17"/>
    </row>
    <row r="3221" spans="8:10" ht="15.75" customHeight="1">
      <c r="H3221" s="16"/>
      <c r="I3221" s="16"/>
      <c r="J3221" s="17"/>
    </row>
    <row r="3222" spans="8:10" ht="15.75" customHeight="1">
      <c r="H3222" s="16"/>
      <c r="I3222" s="16"/>
      <c r="J3222" s="17"/>
    </row>
    <row r="3223" spans="8:10" ht="15.75" customHeight="1">
      <c r="H3223" s="16"/>
      <c r="I3223" s="16"/>
      <c r="J3223" s="17"/>
    </row>
    <row r="3224" spans="8:10" ht="15.75" customHeight="1">
      <c r="H3224" s="16"/>
      <c r="I3224" s="16"/>
      <c r="J3224" s="17"/>
    </row>
    <row r="3225" spans="8:10" ht="15.75" customHeight="1">
      <c r="H3225" s="16"/>
      <c r="I3225" s="16"/>
      <c r="J3225" s="17"/>
    </row>
    <row r="3226" spans="8:10" ht="15.75" customHeight="1">
      <c r="H3226" s="16"/>
      <c r="I3226" s="16"/>
      <c r="J3226" s="17"/>
    </row>
    <row r="3227" spans="8:10" ht="15.75" customHeight="1">
      <c r="H3227" s="16"/>
      <c r="I3227" s="16"/>
      <c r="J3227" s="17"/>
    </row>
    <row r="3228" spans="8:10" ht="15.75" customHeight="1">
      <c r="H3228" s="16"/>
      <c r="I3228" s="16"/>
      <c r="J3228" s="17"/>
    </row>
    <row r="3229" spans="8:10" ht="15.75" customHeight="1">
      <c r="H3229" s="16"/>
      <c r="I3229" s="16"/>
      <c r="J3229" s="17"/>
    </row>
    <row r="3230" spans="8:10" ht="15.75" customHeight="1">
      <c r="H3230" s="16"/>
      <c r="I3230" s="16"/>
      <c r="J3230" s="17"/>
    </row>
    <row r="3231" spans="8:10" ht="15.75" customHeight="1">
      <c r="H3231" s="16"/>
      <c r="I3231" s="16"/>
      <c r="J3231" s="17"/>
    </row>
    <row r="3232" spans="8:10" ht="15.75" customHeight="1">
      <c r="H3232" s="16"/>
      <c r="I3232" s="16"/>
      <c r="J3232" s="17"/>
    </row>
    <row r="3233" spans="8:10" ht="15.75" customHeight="1">
      <c r="H3233" s="16"/>
      <c r="I3233" s="16"/>
      <c r="J3233" s="17"/>
    </row>
    <row r="3234" spans="8:10" ht="15.75" customHeight="1">
      <c r="H3234" s="16"/>
      <c r="I3234" s="16"/>
      <c r="J3234" s="17"/>
    </row>
    <row r="3235" spans="8:10" ht="15.75" customHeight="1">
      <c r="H3235" s="16"/>
      <c r="I3235" s="16"/>
      <c r="J3235" s="17"/>
    </row>
    <row r="3236" spans="8:10" ht="15.75" customHeight="1">
      <c r="H3236" s="16"/>
      <c r="I3236" s="16"/>
      <c r="J3236" s="17"/>
    </row>
    <row r="3237" spans="8:10" ht="15.75" customHeight="1">
      <c r="H3237" s="16"/>
      <c r="I3237" s="16"/>
      <c r="J3237" s="17"/>
    </row>
    <row r="3238" spans="8:10" ht="15.75" customHeight="1">
      <c r="H3238" s="16"/>
      <c r="I3238" s="16"/>
      <c r="J3238" s="17"/>
    </row>
    <row r="3239" spans="8:10" ht="15.75" customHeight="1">
      <c r="H3239" s="16"/>
      <c r="I3239" s="16"/>
      <c r="J3239" s="17"/>
    </row>
    <row r="3240" spans="8:10" ht="15.75" customHeight="1">
      <c r="H3240" s="16"/>
      <c r="I3240" s="16"/>
      <c r="J3240" s="17"/>
    </row>
    <row r="3241" spans="8:10" ht="15.75" customHeight="1">
      <c r="H3241" s="16"/>
      <c r="I3241" s="16"/>
      <c r="J3241" s="17"/>
    </row>
    <row r="3242" spans="8:10" ht="15.75" customHeight="1">
      <c r="H3242" s="16"/>
      <c r="I3242" s="16"/>
      <c r="J3242" s="17"/>
    </row>
    <row r="3243" spans="8:10" ht="15.75" customHeight="1">
      <c r="H3243" s="16"/>
      <c r="I3243" s="16"/>
      <c r="J3243" s="17"/>
    </row>
    <row r="3244" spans="8:10" ht="15.75" customHeight="1">
      <c r="H3244" s="16"/>
      <c r="I3244" s="16"/>
      <c r="J3244" s="17"/>
    </row>
    <row r="3245" spans="8:10" ht="15.75" customHeight="1">
      <c r="H3245" s="16"/>
      <c r="I3245" s="16"/>
      <c r="J3245" s="17"/>
    </row>
    <row r="3246" spans="8:10" ht="15.75" customHeight="1">
      <c r="H3246" s="16"/>
      <c r="I3246" s="16"/>
      <c r="J3246" s="17"/>
    </row>
    <row r="3247" spans="8:10" ht="15.75" customHeight="1">
      <c r="H3247" s="16"/>
      <c r="I3247" s="16"/>
      <c r="J3247" s="17"/>
    </row>
    <row r="3248" spans="8:10" ht="15.75" customHeight="1">
      <c r="H3248" s="16"/>
      <c r="I3248" s="16"/>
      <c r="J3248" s="17"/>
    </row>
    <row r="3249" spans="8:10" ht="15.75" customHeight="1">
      <c r="H3249" s="16"/>
      <c r="I3249" s="16"/>
      <c r="J3249" s="17"/>
    </row>
    <row r="3250" spans="8:10" ht="15.75" customHeight="1">
      <c r="H3250" s="16"/>
      <c r="I3250" s="16"/>
      <c r="J3250" s="17"/>
    </row>
    <row r="3251" spans="8:10" ht="15.75" customHeight="1">
      <c r="H3251" s="16"/>
      <c r="I3251" s="16"/>
      <c r="J3251" s="17"/>
    </row>
    <row r="3252" spans="8:10" ht="15.75" customHeight="1">
      <c r="H3252" s="16"/>
      <c r="I3252" s="16"/>
      <c r="J3252" s="17"/>
    </row>
    <row r="3253" spans="8:10" ht="15.75" customHeight="1">
      <c r="H3253" s="16"/>
      <c r="I3253" s="16"/>
      <c r="J3253" s="17"/>
    </row>
    <row r="3254" spans="8:10" ht="15.75" customHeight="1">
      <c r="H3254" s="16"/>
      <c r="I3254" s="16"/>
      <c r="J3254" s="17"/>
    </row>
    <row r="3255" spans="8:10" ht="15.75" customHeight="1">
      <c r="H3255" s="16"/>
      <c r="I3255" s="16"/>
      <c r="J3255" s="17"/>
    </row>
    <row r="3256" spans="8:10" ht="15.75" customHeight="1">
      <c r="H3256" s="16"/>
      <c r="I3256" s="16"/>
      <c r="J3256" s="17"/>
    </row>
    <row r="3257" spans="8:10" ht="15.75" customHeight="1">
      <c r="H3257" s="16"/>
      <c r="I3257" s="16"/>
      <c r="J3257" s="17"/>
    </row>
    <row r="3258" spans="8:10" ht="15.75" customHeight="1">
      <c r="H3258" s="16"/>
      <c r="I3258" s="16"/>
      <c r="J3258" s="17"/>
    </row>
    <row r="3259" spans="8:10" ht="15.75" customHeight="1">
      <c r="H3259" s="16"/>
      <c r="I3259" s="16"/>
      <c r="J3259" s="17"/>
    </row>
    <row r="3260" spans="8:10" ht="15.75" customHeight="1">
      <c r="H3260" s="16"/>
      <c r="I3260" s="16"/>
      <c r="J3260" s="17"/>
    </row>
    <row r="3261" spans="8:10" ht="15.75" customHeight="1">
      <c r="H3261" s="16"/>
      <c r="I3261" s="16"/>
      <c r="J3261" s="17"/>
    </row>
    <row r="3262" spans="8:10" ht="15.75" customHeight="1">
      <c r="H3262" s="16"/>
      <c r="I3262" s="16"/>
      <c r="J3262" s="17"/>
    </row>
    <row r="3263" spans="8:10" ht="15.75" customHeight="1">
      <c r="H3263" s="16"/>
      <c r="I3263" s="16"/>
      <c r="J3263" s="17"/>
    </row>
    <row r="3264" spans="8:10" ht="15.75" customHeight="1">
      <c r="H3264" s="16"/>
      <c r="I3264" s="16"/>
      <c r="J3264" s="17"/>
    </row>
    <row r="3265" spans="8:10" ht="15.75" customHeight="1">
      <c r="H3265" s="16"/>
      <c r="I3265" s="16"/>
      <c r="J3265" s="17"/>
    </row>
    <row r="3266" spans="8:10" ht="15.75" customHeight="1">
      <c r="H3266" s="16"/>
      <c r="I3266" s="16"/>
      <c r="J3266" s="17"/>
    </row>
    <row r="3267" spans="8:10" ht="15.75" customHeight="1">
      <c r="H3267" s="16"/>
      <c r="I3267" s="16"/>
      <c r="J3267" s="17"/>
    </row>
    <row r="3268" spans="8:10" ht="15.75" customHeight="1">
      <c r="H3268" s="16"/>
      <c r="I3268" s="16"/>
      <c r="J3268" s="17"/>
    </row>
    <row r="3269" spans="8:10" ht="15.75" customHeight="1">
      <c r="H3269" s="16"/>
      <c r="I3269" s="16"/>
      <c r="J3269" s="17"/>
    </row>
    <row r="3270" spans="8:10" ht="15.75" customHeight="1">
      <c r="H3270" s="16"/>
      <c r="I3270" s="16"/>
      <c r="J3270" s="17"/>
    </row>
    <row r="3271" spans="8:10" ht="15.75" customHeight="1">
      <c r="H3271" s="16"/>
      <c r="I3271" s="16"/>
      <c r="J3271" s="17"/>
    </row>
    <row r="3272" spans="8:10" ht="15.75" customHeight="1">
      <c r="H3272" s="16"/>
      <c r="I3272" s="16"/>
      <c r="J3272" s="17"/>
    </row>
    <row r="3273" spans="8:10" ht="15.75" customHeight="1">
      <c r="H3273" s="16"/>
      <c r="I3273" s="16"/>
      <c r="J3273" s="17"/>
    </row>
    <row r="3274" spans="8:10" ht="15.75" customHeight="1">
      <c r="H3274" s="16"/>
      <c r="I3274" s="16"/>
      <c r="J3274" s="17"/>
    </row>
    <row r="3275" spans="8:10" ht="15.75" customHeight="1">
      <c r="H3275" s="16"/>
      <c r="I3275" s="16"/>
      <c r="J3275" s="17"/>
    </row>
    <row r="3276" spans="8:10" ht="15.75" customHeight="1">
      <c r="H3276" s="16"/>
      <c r="I3276" s="16"/>
      <c r="J3276" s="17"/>
    </row>
    <row r="3277" spans="8:10" ht="15.75" customHeight="1">
      <c r="H3277" s="16"/>
      <c r="I3277" s="16"/>
      <c r="J3277" s="17"/>
    </row>
    <row r="3278" spans="8:10" ht="15.75" customHeight="1">
      <c r="H3278" s="16"/>
      <c r="I3278" s="16"/>
      <c r="J3278" s="17"/>
    </row>
    <row r="3279" spans="8:10" ht="15.75" customHeight="1">
      <c r="H3279" s="16"/>
      <c r="I3279" s="16"/>
      <c r="J3279" s="17"/>
    </row>
    <row r="3280" spans="8:10" ht="15.75" customHeight="1">
      <c r="H3280" s="16"/>
      <c r="I3280" s="16"/>
      <c r="J3280" s="17"/>
    </row>
    <row r="3281" spans="8:10" ht="15.75" customHeight="1">
      <c r="H3281" s="16"/>
      <c r="I3281" s="16"/>
      <c r="J3281" s="17"/>
    </row>
    <row r="3282" spans="8:10" ht="15.75" customHeight="1">
      <c r="H3282" s="16"/>
      <c r="I3282" s="16"/>
      <c r="J3282" s="17"/>
    </row>
    <row r="3283" spans="8:10" ht="15.75" customHeight="1">
      <c r="H3283" s="16"/>
      <c r="I3283" s="16"/>
      <c r="J3283" s="17"/>
    </row>
    <row r="3284" spans="8:10" ht="15.75" customHeight="1">
      <c r="H3284" s="16"/>
      <c r="I3284" s="16"/>
      <c r="J3284" s="17"/>
    </row>
    <row r="3285" spans="8:10" ht="15.75" customHeight="1">
      <c r="H3285" s="16"/>
      <c r="I3285" s="16"/>
      <c r="J3285" s="17"/>
    </row>
    <row r="3286" spans="8:10" ht="15.75" customHeight="1">
      <c r="H3286" s="16"/>
      <c r="I3286" s="16"/>
      <c r="J3286" s="17"/>
    </row>
    <row r="3287" spans="8:10" ht="15.75" customHeight="1">
      <c r="H3287" s="16"/>
      <c r="I3287" s="16"/>
      <c r="J3287" s="17"/>
    </row>
    <row r="3288" spans="8:10" ht="15.75" customHeight="1">
      <c r="H3288" s="16"/>
      <c r="I3288" s="16"/>
      <c r="J3288" s="17"/>
    </row>
    <row r="3289" spans="8:10" ht="15.75" customHeight="1">
      <c r="H3289" s="16"/>
      <c r="I3289" s="16"/>
      <c r="J3289" s="17"/>
    </row>
    <row r="3290" spans="8:10" ht="15.75" customHeight="1">
      <c r="H3290" s="16"/>
      <c r="I3290" s="16"/>
      <c r="J3290" s="17"/>
    </row>
    <row r="3291" spans="8:10" ht="15.75" customHeight="1">
      <c r="H3291" s="16"/>
      <c r="I3291" s="16"/>
      <c r="J3291" s="17"/>
    </row>
    <row r="3292" spans="8:10" ht="15.75" customHeight="1">
      <c r="H3292" s="16"/>
      <c r="I3292" s="16"/>
      <c r="J3292" s="17"/>
    </row>
    <row r="3293" spans="8:10" ht="15.75" customHeight="1">
      <c r="H3293" s="16"/>
      <c r="I3293" s="16"/>
      <c r="J3293" s="17"/>
    </row>
    <row r="3294" spans="8:10" ht="15.75" customHeight="1">
      <c r="H3294" s="16"/>
      <c r="I3294" s="16"/>
      <c r="J3294" s="17"/>
    </row>
    <row r="3295" spans="8:10" ht="15.75" customHeight="1">
      <c r="H3295" s="16"/>
      <c r="I3295" s="16"/>
      <c r="J3295" s="17"/>
    </row>
    <row r="3296" spans="8:10" ht="15.75" customHeight="1">
      <c r="H3296" s="16"/>
      <c r="I3296" s="16"/>
      <c r="J3296" s="17"/>
    </row>
    <row r="3297" spans="8:10" ht="15.75" customHeight="1">
      <c r="H3297" s="16"/>
      <c r="I3297" s="16"/>
      <c r="J3297" s="17"/>
    </row>
    <row r="3298" spans="8:10" ht="15.75" customHeight="1">
      <c r="H3298" s="16"/>
      <c r="I3298" s="16"/>
      <c r="J3298" s="17"/>
    </row>
    <row r="3299" spans="8:10" ht="15.75" customHeight="1">
      <c r="H3299" s="16"/>
      <c r="I3299" s="16"/>
      <c r="J3299" s="17"/>
    </row>
    <row r="3300" spans="8:10" ht="15.75" customHeight="1">
      <c r="H3300" s="16"/>
      <c r="I3300" s="16"/>
      <c r="J3300" s="17"/>
    </row>
    <row r="3301" spans="8:10" ht="15.75" customHeight="1">
      <c r="H3301" s="16"/>
      <c r="I3301" s="16"/>
      <c r="J3301" s="17"/>
    </row>
    <row r="3302" spans="8:10" ht="15.75" customHeight="1">
      <c r="H3302" s="16"/>
      <c r="I3302" s="16"/>
      <c r="J3302" s="17"/>
    </row>
    <row r="3303" spans="8:10" ht="15.75" customHeight="1">
      <c r="H3303" s="16"/>
      <c r="I3303" s="16"/>
      <c r="J3303" s="17"/>
    </row>
    <row r="3304" spans="8:10" ht="15.75" customHeight="1">
      <c r="H3304" s="16"/>
      <c r="I3304" s="16"/>
      <c r="J3304" s="17"/>
    </row>
    <row r="3305" spans="8:10" ht="15.75" customHeight="1">
      <c r="H3305" s="16"/>
      <c r="I3305" s="16"/>
      <c r="J3305" s="17"/>
    </row>
    <row r="3306" spans="8:10" ht="15.75" customHeight="1">
      <c r="H3306" s="16"/>
      <c r="I3306" s="16"/>
      <c r="J3306" s="17"/>
    </row>
    <row r="3307" spans="8:10" ht="15.75" customHeight="1">
      <c r="H3307" s="16"/>
      <c r="I3307" s="16"/>
      <c r="J3307" s="17"/>
    </row>
    <row r="3308" spans="8:10" ht="15.75" customHeight="1">
      <c r="H3308" s="16"/>
      <c r="I3308" s="16"/>
      <c r="J3308" s="17"/>
    </row>
    <row r="3309" spans="8:10" ht="15.75" customHeight="1">
      <c r="H3309" s="16"/>
      <c r="I3309" s="16"/>
      <c r="J3309" s="17"/>
    </row>
    <row r="3310" spans="8:10" ht="15.75" customHeight="1">
      <c r="H3310" s="16"/>
      <c r="I3310" s="16"/>
      <c r="J3310" s="17"/>
    </row>
    <row r="3311" spans="8:10" ht="15.75" customHeight="1">
      <c r="H3311" s="16"/>
      <c r="I3311" s="16"/>
      <c r="J3311" s="17"/>
    </row>
    <row r="3312" spans="8:10" ht="15.75" customHeight="1">
      <c r="H3312" s="16"/>
      <c r="I3312" s="16"/>
      <c r="J3312" s="17"/>
    </row>
    <row r="3313" spans="8:10" ht="15.75" customHeight="1">
      <c r="H3313" s="16"/>
      <c r="I3313" s="16"/>
      <c r="J3313" s="17"/>
    </row>
    <row r="3314" spans="8:10" ht="15.75" customHeight="1">
      <c r="H3314" s="16"/>
      <c r="I3314" s="16"/>
      <c r="J3314" s="17"/>
    </row>
    <row r="3315" spans="8:10" ht="15.75" customHeight="1">
      <c r="H3315" s="16"/>
      <c r="I3315" s="16"/>
      <c r="J3315" s="17"/>
    </row>
    <row r="3316" spans="8:10" ht="15.75" customHeight="1">
      <c r="H3316" s="16"/>
      <c r="I3316" s="16"/>
      <c r="J3316" s="17"/>
    </row>
    <row r="3317" spans="8:10" ht="15.75" customHeight="1">
      <c r="H3317" s="16"/>
      <c r="I3317" s="16"/>
      <c r="J3317" s="17"/>
    </row>
    <row r="3318" spans="8:10" ht="15.75" customHeight="1">
      <c r="H3318" s="16"/>
      <c r="I3318" s="16"/>
      <c r="J3318" s="17"/>
    </row>
    <row r="3319" spans="8:10" ht="15.75" customHeight="1">
      <c r="H3319" s="16"/>
      <c r="I3319" s="16"/>
      <c r="J3319" s="17"/>
    </row>
    <row r="3320" spans="8:10" ht="15.75" customHeight="1">
      <c r="H3320" s="16"/>
      <c r="I3320" s="16"/>
      <c r="J3320" s="17"/>
    </row>
    <row r="3321" spans="8:10" ht="15.75" customHeight="1">
      <c r="H3321" s="16"/>
      <c r="I3321" s="16"/>
      <c r="J3321" s="17"/>
    </row>
    <row r="3322" spans="8:10" ht="15.75" customHeight="1">
      <c r="H3322" s="16"/>
      <c r="I3322" s="16"/>
      <c r="J3322" s="17"/>
    </row>
    <row r="3323" spans="8:10" ht="15.75" customHeight="1">
      <c r="H3323" s="16"/>
      <c r="I3323" s="16"/>
      <c r="J3323" s="17"/>
    </row>
    <row r="3324" spans="8:10" ht="15.75" customHeight="1">
      <c r="H3324" s="16"/>
      <c r="I3324" s="16"/>
      <c r="J3324" s="17"/>
    </row>
    <row r="3325" spans="8:10" ht="15.75" customHeight="1">
      <c r="H3325" s="16"/>
      <c r="I3325" s="16"/>
      <c r="J3325" s="17"/>
    </row>
    <row r="3326" spans="8:10" ht="15.75" customHeight="1">
      <c r="H3326" s="16"/>
      <c r="I3326" s="16"/>
      <c r="J3326" s="17"/>
    </row>
    <row r="3327" spans="8:10" ht="15.75" customHeight="1">
      <c r="H3327" s="16"/>
      <c r="I3327" s="16"/>
      <c r="J3327" s="17"/>
    </row>
    <row r="3328" spans="8:10" ht="15.75" customHeight="1">
      <c r="H3328" s="16"/>
      <c r="I3328" s="16"/>
      <c r="J3328" s="17"/>
    </row>
    <row r="3329" spans="8:10" ht="15.75" customHeight="1">
      <c r="H3329" s="16"/>
      <c r="I3329" s="16"/>
      <c r="J3329" s="17"/>
    </row>
    <row r="3330" spans="8:10" ht="15.75" customHeight="1">
      <c r="H3330" s="16"/>
      <c r="I3330" s="16"/>
      <c r="J3330" s="17"/>
    </row>
    <row r="3331" spans="8:10" ht="15.75" customHeight="1">
      <c r="H3331" s="16"/>
      <c r="I3331" s="16"/>
      <c r="J3331" s="17"/>
    </row>
    <row r="3332" spans="8:10" ht="15.75" customHeight="1">
      <c r="H3332" s="16"/>
      <c r="I3332" s="16"/>
      <c r="J3332" s="17"/>
    </row>
    <row r="3333" spans="8:10" ht="15.75" customHeight="1">
      <c r="H3333" s="16"/>
      <c r="I3333" s="16"/>
      <c r="J3333" s="17"/>
    </row>
    <row r="3334" spans="8:10" ht="15.75" customHeight="1">
      <c r="H3334" s="16"/>
      <c r="I3334" s="16"/>
      <c r="J3334" s="17"/>
    </row>
    <row r="3335" spans="8:10" ht="15.75" customHeight="1">
      <c r="H3335" s="16"/>
      <c r="I3335" s="16"/>
      <c r="J3335" s="17"/>
    </row>
    <row r="3336" spans="8:10" ht="15.75" customHeight="1">
      <c r="H3336" s="16"/>
      <c r="I3336" s="16"/>
      <c r="J3336" s="17"/>
    </row>
    <row r="3337" spans="8:10" ht="15.75" customHeight="1">
      <c r="H3337" s="16"/>
      <c r="I3337" s="16"/>
      <c r="J3337" s="17"/>
    </row>
    <row r="3338" spans="8:10" ht="15.75" customHeight="1">
      <c r="H3338" s="16"/>
      <c r="I3338" s="16"/>
      <c r="J3338" s="17"/>
    </row>
    <row r="3339" spans="8:10" ht="15.75" customHeight="1">
      <c r="H3339" s="16"/>
      <c r="I3339" s="16"/>
      <c r="J3339" s="17"/>
    </row>
    <row r="3340" spans="8:10" ht="15.75" customHeight="1">
      <c r="H3340" s="16"/>
      <c r="I3340" s="16"/>
      <c r="J3340" s="17"/>
    </row>
    <row r="3341" spans="8:10" ht="15.75" customHeight="1">
      <c r="H3341" s="16"/>
      <c r="I3341" s="16"/>
      <c r="J3341" s="17"/>
    </row>
    <row r="3342" spans="8:10" ht="15.75" customHeight="1">
      <c r="H3342" s="16"/>
      <c r="I3342" s="16"/>
      <c r="J3342" s="17"/>
    </row>
    <row r="3343" spans="8:10" ht="15.75" customHeight="1">
      <c r="H3343" s="16"/>
      <c r="I3343" s="16"/>
      <c r="J3343" s="17"/>
    </row>
    <row r="3344" spans="8:10" ht="15.75" customHeight="1">
      <c r="H3344" s="16"/>
      <c r="I3344" s="16"/>
      <c r="J3344" s="17"/>
    </row>
    <row r="3345" spans="8:10" ht="15.75" customHeight="1">
      <c r="H3345" s="16"/>
      <c r="I3345" s="16"/>
      <c r="J3345" s="17"/>
    </row>
    <row r="3346" spans="8:10" ht="15.75" customHeight="1">
      <c r="H3346" s="16"/>
      <c r="I3346" s="16"/>
      <c r="J3346" s="17"/>
    </row>
    <row r="3347" spans="8:10" ht="15.75" customHeight="1">
      <c r="H3347" s="16"/>
      <c r="I3347" s="16"/>
      <c r="J3347" s="17"/>
    </row>
    <row r="3348" spans="8:10" ht="15.75" customHeight="1">
      <c r="H3348" s="16"/>
      <c r="I3348" s="16"/>
      <c r="J3348" s="17"/>
    </row>
    <row r="3349" spans="8:10" ht="15.75" customHeight="1">
      <c r="H3349" s="16"/>
      <c r="I3349" s="16"/>
      <c r="J3349" s="17"/>
    </row>
    <row r="3350" spans="8:10" ht="15.75" customHeight="1">
      <c r="H3350" s="16"/>
      <c r="I3350" s="16"/>
      <c r="J3350" s="17"/>
    </row>
    <row r="3351" spans="8:10" ht="15.75" customHeight="1">
      <c r="H3351" s="16"/>
      <c r="I3351" s="16"/>
      <c r="J3351" s="17"/>
    </row>
    <row r="3352" spans="8:10" ht="15.75" customHeight="1">
      <c r="H3352" s="16"/>
      <c r="I3352" s="16"/>
      <c r="J3352" s="17"/>
    </row>
    <row r="3353" spans="8:10" ht="15.75" customHeight="1">
      <c r="H3353" s="16"/>
      <c r="I3353" s="16"/>
      <c r="J3353" s="17"/>
    </row>
    <row r="3354" spans="8:10" ht="15.75" customHeight="1">
      <c r="H3354" s="16"/>
      <c r="I3354" s="16"/>
      <c r="J3354" s="17"/>
    </row>
    <row r="3355" spans="8:10" ht="15.75" customHeight="1">
      <c r="H3355" s="16"/>
      <c r="I3355" s="16"/>
      <c r="J3355" s="17"/>
    </row>
    <row r="3356" spans="8:10" ht="15.75" customHeight="1">
      <c r="H3356" s="16"/>
      <c r="I3356" s="16"/>
      <c r="J3356" s="17"/>
    </row>
    <row r="3357" spans="8:10" ht="15.75" customHeight="1">
      <c r="H3357" s="16"/>
      <c r="I3357" s="16"/>
      <c r="J3357" s="17"/>
    </row>
    <row r="3358" spans="8:10" ht="15.75" customHeight="1">
      <c r="H3358" s="16"/>
      <c r="I3358" s="16"/>
      <c r="J3358" s="17"/>
    </row>
    <row r="3359" spans="8:10" ht="15.75" customHeight="1">
      <c r="H3359" s="16"/>
      <c r="I3359" s="16"/>
      <c r="J3359" s="17"/>
    </row>
    <row r="3360" spans="8:10" ht="15.75" customHeight="1">
      <c r="H3360" s="16"/>
      <c r="I3360" s="16"/>
      <c r="J3360" s="17"/>
    </row>
    <row r="3361" spans="8:10" ht="15.75" customHeight="1">
      <c r="H3361" s="16"/>
      <c r="I3361" s="16"/>
      <c r="J3361" s="17"/>
    </row>
    <row r="3362" spans="8:10" ht="15.75" customHeight="1">
      <c r="H3362" s="16"/>
      <c r="I3362" s="16"/>
      <c r="J3362" s="17"/>
    </row>
    <row r="3363" spans="8:10" ht="15.75" customHeight="1">
      <c r="H3363" s="16"/>
      <c r="I3363" s="16"/>
      <c r="J3363" s="17"/>
    </row>
    <row r="3364" spans="8:10" ht="15.75" customHeight="1">
      <c r="H3364" s="16"/>
      <c r="I3364" s="16"/>
      <c r="J3364" s="17"/>
    </row>
    <row r="3365" spans="8:10" ht="15.75" customHeight="1">
      <c r="H3365" s="16"/>
      <c r="I3365" s="16"/>
      <c r="J3365" s="17"/>
    </row>
    <row r="3366" spans="8:10" ht="15.75" customHeight="1">
      <c r="H3366" s="16"/>
      <c r="I3366" s="16"/>
      <c r="J3366" s="17"/>
    </row>
    <row r="3367" spans="8:10" ht="15.75" customHeight="1">
      <c r="H3367" s="16"/>
      <c r="I3367" s="16"/>
      <c r="J3367" s="17"/>
    </row>
    <row r="3368" spans="8:10" ht="15.75" customHeight="1">
      <c r="H3368" s="16"/>
      <c r="I3368" s="16"/>
      <c r="J3368" s="17"/>
    </row>
    <row r="3369" spans="8:10" ht="15.75" customHeight="1">
      <c r="H3369" s="16"/>
      <c r="I3369" s="16"/>
      <c r="J3369" s="17"/>
    </row>
    <row r="3370" spans="8:10" ht="15.75" customHeight="1">
      <c r="H3370" s="16"/>
      <c r="I3370" s="16"/>
      <c r="J3370" s="17"/>
    </row>
    <row r="3371" spans="8:10" ht="15.75" customHeight="1">
      <c r="H3371" s="16"/>
      <c r="I3371" s="16"/>
      <c r="J3371" s="17"/>
    </row>
    <row r="3372" spans="8:10" ht="15.75" customHeight="1">
      <c r="H3372" s="16"/>
      <c r="I3372" s="16"/>
      <c r="J3372" s="17"/>
    </row>
    <row r="3373" spans="8:10" ht="15.75" customHeight="1">
      <c r="H3373" s="16"/>
      <c r="I3373" s="16"/>
      <c r="J3373" s="17"/>
    </row>
    <row r="3374" spans="8:10" ht="15.75" customHeight="1">
      <c r="H3374" s="16"/>
      <c r="I3374" s="16"/>
      <c r="J3374" s="17"/>
    </row>
    <row r="3375" spans="8:10" ht="15.75" customHeight="1">
      <c r="H3375" s="16"/>
      <c r="I3375" s="16"/>
      <c r="J3375" s="17"/>
    </row>
    <row r="3376" spans="8:10" ht="15.75" customHeight="1">
      <c r="H3376" s="16"/>
      <c r="I3376" s="16"/>
      <c r="J3376" s="17"/>
    </row>
    <row r="3377" spans="8:10" ht="15.75" customHeight="1">
      <c r="H3377" s="16"/>
      <c r="I3377" s="16"/>
      <c r="J3377" s="17"/>
    </row>
    <row r="3378" spans="8:10" ht="15.75" customHeight="1">
      <c r="H3378" s="16"/>
      <c r="I3378" s="16"/>
      <c r="J3378" s="17"/>
    </row>
    <row r="3379" spans="8:10" ht="15.75" customHeight="1">
      <c r="H3379" s="16"/>
      <c r="I3379" s="16"/>
      <c r="J3379" s="17"/>
    </row>
    <row r="3380" spans="8:10" ht="15.75" customHeight="1">
      <c r="H3380" s="16"/>
      <c r="I3380" s="16"/>
      <c r="J3380" s="17"/>
    </row>
    <row r="3381" spans="8:10" ht="15.75" customHeight="1">
      <c r="H3381" s="16"/>
      <c r="I3381" s="16"/>
      <c r="J3381" s="17"/>
    </row>
    <row r="3382" spans="8:10" ht="15.75" customHeight="1">
      <c r="H3382" s="16"/>
      <c r="I3382" s="16"/>
      <c r="J3382" s="17"/>
    </row>
    <row r="3383" spans="8:10" ht="15.75" customHeight="1">
      <c r="H3383" s="16"/>
      <c r="I3383" s="16"/>
      <c r="J3383" s="17"/>
    </row>
    <row r="3384" spans="8:10" ht="15.75" customHeight="1">
      <c r="H3384" s="16"/>
      <c r="I3384" s="16"/>
      <c r="J3384" s="17"/>
    </row>
    <row r="3385" spans="8:10" ht="15.75" customHeight="1">
      <c r="H3385" s="16"/>
      <c r="I3385" s="16"/>
      <c r="J3385" s="17"/>
    </row>
    <row r="3386" spans="8:10" ht="15.75" customHeight="1">
      <c r="H3386" s="16"/>
      <c r="I3386" s="16"/>
      <c r="J3386" s="17"/>
    </row>
    <row r="3387" spans="8:10" ht="15.75" customHeight="1">
      <c r="H3387" s="16"/>
      <c r="I3387" s="16"/>
      <c r="J3387" s="17"/>
    </row>
    <row r="3388" spans="8:10" ht="15.75" customHeight="1">
      <c r="H3388" s="16"/>
      <c r="I3388" s="16"/>
      <c r="J3388" s="17"/>
    </row>
    <row r="3389" spans="8:10" ht="15.75" customHeight="1">
      <c r="H3389" s="16"/>
      <c r="I3389" s="16"/>
      <c r="J3389" s="17"/>
    </row>
    <row r="3390" spans="8:10" ht="15.75" customHeight="1">
      <c r="H3390" s="16"/>
      <c r="I3390" s="16"/>
      <c r="J3390" s="17"/>
    </row>
    <row r="3391" spans="8:10" ht="15.75" customHeight="1">
      <c r="H3391" s="16"/>
      <c r="I3391" s="16"/>
      <c r="J3391" s="17"/>
    </row>
    <row r="3392" spans="8:10" ht="15.75" customHeight="1">
      <c r="H3392" s="16"/>
      <c r="I3392" s="16"/>
      <c r="J3392" s="17"/>
    </row>
    <row r="3393" spans="8:10" ht="15.75" customHeight="1">
      <c r="H3393" s="16"/>
      <c r="I3393" s="16"/>
      <c r="J3393" s="17"/>
    </row>
    <row r="3394" spans="8:10" ht="15.75" customHeight="1">
      <c r="H3394" s="16"/>
      <c r="I3394" s="16"/>
      <c r="J3394" s="17"/>
    </row>
    <row r="3395" spans="8:10" ht="15.75" customHeight="1">
      <c r="H3395" s="16"/>
      <c r="I3395" s="16"/>
      <c r="J3395" s="17"/>
    </row>
    <row r="3396" spans="8:10" ht="15.75" customHeight="1">
      <c r="H3396" s="16"/>
      <c r="I3396" s="16"/>
      <c r="J3396" s="17"/>
    </row>
    <row r="3397" spans="8:10" ht="15.75" customHeight="1">
      <c r="H3397" s="16"/>
      <c r="I3397" s="16"/>
      <c r="J3397" s="17"/>
    </row>
    <row r="3398" spans="8:10" ht="15.75" customHeight="1">
      <c r="H3398" s="16"/>
      <c r="I3398" s="16"/>
      <c r="J3398" s="17"/>
    </row>
    <row r="3399" spans="8:10" ht="15.75" customHeight="1">
      <c r="H3399" s="16"/>
      <c r="I3399" s="16"/>
      <c r="J3399" s="17"/>
    </row>
    <row r="3400" spans="8:10" ht="15.75" customHeight="1">
      <c r="H3400" s="16"/>
      <c r="I3400" s="16"/>
      <c r="J3400" s="17"/>
    </row>
    <row r="3401" spans="8:10" ht="15.75" customHeight="1">
      <c r="H3401" s="16"/>
      <c r="I3401" s="16"/>
      <c r="J3401" s="17"/>
    </row>
    <row r="3402" spans="8:10" ht="15.75" customHeight="1">
      <c r="H3402" s="16"/>
      <c r="I3402" s="16"/>
      <c r="J3402" s="17"/>
    </row>
    <row r="3403" spans="8:10" ht="15.75" customHeight="1">
      <c r="H3403" s="16"/>
      <c r="I3403" s="16"/>
      <c r="J3403" s="17"/>
    </row>
    <row r="3404" spans="8:10" ht="15.75" customHeight="1">
      <c r="H3404" s="16"/>
      <c r="I3404" s="16"/>
      <c r="J3404" s="17"/>
    </row>
    <row r="3405" spans="8:10" ht="15.75" customHeight="1">
      <c r="H3405" s="16"/>
      <c r="I3405" s="16"/>
      <c r="J3405" s="17"/>
    </row>
    <row r="3406" spans="8:10" ht="15.75" customHeight="1">
      <c r="H3406" s="16"/>
      <c r="I3406" s="16"/>
      <c r="J3406" s="17"/>
    </row>
    <row r="3407" spans="8:10" ht="15.75" customHeight="1">
      <c r="H3407" s="16"/>
      <c r="I3407" s="16"/>
      <c r="J3407" s="17"/>
    </row>
    <row r="3408" spans="8:10" ht="15.75" customHeight="1">
      <c r="H3408" s="16"/>
      <c r="I3408" s="16"/>
      <c r="J3408" s="17"/>
    </row>
    <row r="3409" spans="8:10" ht="15.75" customHeight="1">
      <c r="H3409" s="16"/>
      <c r="I3409" s="16"/>
      <c r="J3409" s="17"/>
    </row>
    <row r="3410" spans="8:10" ht="15.75" customHeight="1">
      <c r="H3410" s="16"/>
      <c r="I3410" s="16"/>
      <c r="J3410" s="17"/>
    </row>
    <row r="3411" spans="8:10" ht="15.75" customHeight="1">
      <c r="H3411" s="16"/>
      <c r="I3411" s="16"/>
      <c r="J3411" s="17"/>
    </row>
    <row r="3412" spans="8:10" ht="15.75" customHeight="1">
      <c r="H3412" s="16"/>
      <c r="I3412" s="16"/>
      <c r="J3412" s="17"/>
    </row>
    <row r="3413" spans="8:10" ht="15.75" customHeight="1">
      <c r="H3413" s="16"/>
      <c r="I3413" s="16"/>
      <c r="J3413" s="17"/>
    </row>
    <row r="3414" spans="8:10" ht="15.75" customHeight="1">
      <c r="H3414" s="16"/>
      <c r="I3414" s="16"/>
      <c r="J3414" s="17"/>
    </row>
    <row r="3415" spans="8:10" ht="15.75" customHeight="1">
      <c r="H3415" s="16"/>
      <c r="I3415" s="16"/>
      <c r="J3415" s="17"/>
    </row>
    <row r="3416" spans="8:10" ht="15.75" customHeight="1">
      <c r="H3416" s="16"/>
      <c r="I3416" s="16"/>
      <c r="J3416" s="17"/>
    </row>
    <row r="3417" spans="8:10" ht="15.75" customHeight="1">
      <c r="H3417" s="16"/>
      <c r="I3417" s="16"/>
      <c r="J3417" s="17"/>
    </row>
    <row r="3418" spans="8:10" ht="15.75" customHeight="1">
      <c r="H3418" s="16"/>
      <c r="I3418" s="16"/>
      <c r="J3418" s="17"/>
    </row>
    <row r="3419" spans="8:10" ht="15.75" customHeight="1">
      <c r="H3419" s="16"/>
      <c r="I3419" s="16"/>
      <c r="J3419" s="17"/>
    </row>
    <row r="3420" spans="8:10" ht="15.75" customHeight="1">
      <c r="H3420" s="16"/>
      <c r="I3420" s="16"/>
      <c r="J3420" s="17"/>
    </row>
    <row r="3421" spans="8:10" ht="15.75" customHeight="1">
      <c r="H3421" s="16"/>
      <c r="I3421" s="16"/>
      <c r="J3421" s="17"/>
    </row>
    <row r="3422" spans="8:10" ht="15.75" customHeight="1">
      <c r="H3422" s="16"/>
      <c r="I3422" s="16"/>
      <c r="J3422" s="17"/>
    </row>
    <row r="3423" spans="8:10" ht="15.75" customHeight="1">
      <c r="H3423" s="16"/>
      <c r="I3423" s="16"/>
      <c r="J3423" s="17"/>
    </row>
    <row r="3424" spans="8:10" ht="15.75" customHeight="1">
      <c r="H3424" s="16"/>
      <c r="I3424" s="16"/>
      <c r="J3424" s="17"/>
    </row>
    <row r="3425" spans="8:10" ht="15.75" customHeight="1">
      <c r="H3425" s="16"/>
      <c r="I3425" s="16"/>
      <c r="J3425" s="17"/>
    </row>
    <row r="3426" spans="8:10" ht="15.75" customHeight="1">
      <c r="H3426" s="16"/>
      <c r="I3426" s="16"/>
      <c r="J3426" s="17"/>
    </row>
    <row r="3427" spans="8:10" ht="15.75" customHeight="1">
      <c r="H3427" s="16"/>
      <c r="I3427" s="16"/>
      <c r="J3427" s="17"/>
    </row>
    <row r="3428" spans="8:10" ht="15.75" customHeight="1">
      <c r="H3428" s="16"/>
      <c r="I3428" s="16"/>
      <c r="J3428" s="17"/>
    </row>
    <row r="3429" spans="8:10" ht="15.75" customHeight="1">
      <c r="H3429" s="16"/>
      <c r="I3429" s="16"/>
      <c r="J3429" s="17"/>
    </row>
    <row r="3430" spans="8:10" ht="15.75" customHeight="1">
      <c r="H3430" s="16"/>
      <c r="I3430" s="16"/>
      <c r="J3430" s="17"/>
    </row>
    <row r="3431" spans="8:10" ht="15.75" customHeight="1">
      <c r="H3431" s="16"/>
      <c r="I3431" s="16"/>
      <c r="J3431" s="17"/>
    </row>
    <row r="3432" spans="8:10" ht="15.75" customHeight="1">
      <c r="H3432" s="16"/>
      <c r="I3432" s="16"/>
      <c r="J3432" s="17"/>
    </row>
    <row r="3433" spans="8:10" ht="15.75" customHeight="1">
      <c r="H3433" s="16"/>
      <c r="I3433" s="16"/>
      <c r="J3433" s="17"/>
    </row>
    <row r="3434" spans="8:10" ht="15.75" customHeight="1">
      <c r="H3434" s="16"/>
      <c r="I3434" s="16"/>
      <c r="J3434" s="17"/>
    </row>
    <row r="3435" spans="8:10" ht="15.75" customHeight="1">
      <c r="H3435" s="16"/>
      <c r="I3435" s="16"/>
      <c r="J3435" s="17"/>
    </row>
    <row r="3436" spans="8:10" ht="15.75" customHeight="1">
      <c r="H3436" s="16"/>
      <c r="I3436" s="16"/>
      <c r="J3436" s="17"/>
    </row>
    <row r="3437" spans="8:10" ht="15.75" customHeight="1">
      <c r="H3437" s="16"/>
      <c r="I3437" s="16"/>
      <c r="J3437" s="17"/>
    </row>
    <row r="3438" spans="8:10" ht="15.75" customHeight="1">
      <c r="H3438" s="16"/>
      <c r="I3438" s="16"/>
      <c r="J3438" s="17"/>
    </row>
    <row r="3439" spans="8:10" ht="15.75" customHeight="1">
      <c r="H3439" s="16"/>
      <c r="I3439" s="16"/>
      <c r="J3439" s="17"/>
    </row>
    <row r="3440" spans="8:10" ht="15.75" customHeight="1">
      <c r="H3440" s="16"/>
      <c r="I3440" s="16"/>
      <c r="J3440" s="17"/>
    </row>
    <row r="3441" spans="8:10" ht="15.75" customHeight="1">
      <c r="H3441" s="16"/>
      <c r="I3441" s="16"/>
      <c r="J3441" s="17"/>
    </row>
    <row r="3442" spans="8:10" ht="15.75" customHeight="1">
      <c r="H3442" s="16"/>
      <c r="I3442" s="16"/>
      <c r="J3442" s="17"/>
    </row>
    <row r="3443" spans="8:10" ht="15.75" customHeight="1">
      <c r="H3443" s="16"/>
      <c r="I3443" s="16"/>
      <c r="J3443" s="17"/>
    </row>
    <row r="3444" spans="8:10" ht="15.75" customHeight="1">
      <c r="H3444" s="16"/>
      <c r="I3444" s="16"/>
      <c r="J3444" s="17"/>
    </row>
    <row r="3445" spans="8:10" ht="15.75" customHeight="1">
      <c r="H3445" s="16"/>
      <c r="I3445" s="16"/>
      <c r="J3445" s="17"/>
    </row>
    <row r="3446" spans="8:10" ht="15.75" customHeight="1">
      <c r="H3446" s="16"/>
      <c r="I3446" s="16"/>
      <c r="J3446" s="17"/>
    </row>
    <row r="3447" spans="8:10" ht="15.75" customHeight="1">
      <c r="H3447" s="16"/>
      <c r="I3447" s="16"/>
      <c r="J3447" s="17"/>
    </row>
    <row r="3448" spans="8:10" ht="15.75" customHeight="1">
      <c r="H3448" s="16"/>
      <c r="I3448" s="16"/>
      <c r="J3448" s="17"/>
    </row>
    <row r="3449" spans="8:10" ht="15.75" customHeight="1">
      <c r="H3449" s="16"/>
      <c r="I3449" s="16"/>
      <c r="J3449" s="17"/>
    </row>
    <row r="3450" spans="8:10" ht="15.75" customHeight="1">
      <c r="H3450" s="16"/>
      <c r="I3450" s="16"/>
      <c r="J3450" s="17"/>
    </row>
    <row r="3451" spans="8:10" ht="15.75" customHeight="1">
      <c r="H3451" s="16"/>
      <c r="I3451" s="16"/>
      <c r="J3451" s="17"/>
    </row>
    <row r="3452" spans="8:10" ht="15.75" customHeight="1">
      <c r="H3452" s="16"/>
      <c r="I3452" s="16"/>
      <c r="J3452" s="17"/>
    </row>
    <row r="3453" spans="8:10" ht="15.75" customHeight="1">
      <c r="H3453" s="16"/>
      <c r="I3453" s="16"/>
      <c r="J3453" s="17"/>
    </row>
    <row r="3454" spans="8:10" ht="15.75" customHeight="1">
      <c r="H3454" s="16"/>
      <c r="I3454" s="16"/>
      <c r="J3454" s="17"/>
    </row>
    <row r="3455" spans="8:10" ht="15.75" customHeight="1">
      <c r="H3455" s="16"/>
      <c r="I3455" s="16"/>
      <c r="J3455" s="17"/>
    </row>
    <row r="3456" spans="8:10" ht="15.75" customHeight="1">
      <c r="H3456" s="16"/>
      <c r="I3456" s="16"/>
      <c r="J3456" s="17"/>
    </row>
    <row r="3457" spans="8:10" ht="15.75" customHeight="1">
      <c r="H3457" s="16"/>
      <c r="I3457" s="16"/>
      <c r="J3457" s="17"/>
    </row>
    <row r="3458" spans="8:10" ht="15.75" customHeight="1">
      <c r="H3458" s="16"/>
      <c r="I3458" s="16"/>
      <c r="J3458" s="17"/>
    </row>
    <row r="3459" spans="8:10" ht="15.75" customHeight="1">
      <c r="H3459" s="16"/>
      <c r="I3459" s="16"/>
      <c r="J3459" s="17"/>
    </row>
    <row r="3460" spans="8:10" ht="15.75" customHeight="1">
      <c r="H3460" s="16"/>
      <c r="I3460" s="16"/>
      <c r="J3460" s="17"/>
    </row>
    <row r="3461" spans="8:10" ht="15.75" customHeight="1">
      <c r="H3461" s="16"/>
      <c r="I3461" s="16"/>
      <c r="J3461" s="17"/>
    </row>
    <row r="3462" spans="8:10" ht="15.75" customHeight="1">
      <c r="H3462" s="16"/>
      <c r="I3462" s="16"/>
      <c r="J3462" s="17"/>
    </row>
    <row r="3463" spans="8:10" ht="15.75" customHeight="1">
      <c r="H3463" s="16"/>
      <c r="I3463" s="16"/>
      <c r="J3463" s="17"/>
    </row>
    <row r="3464" spans="8:10" ht="15.75" customHeight="1">
      <c r="H3464" s="16"/>
      <c r="I3464" s="16"/>
      <c r="J3464" s="17"/>
    </row>
    <row r="3465" spans="8:10" ht="15.75" customHeight="1">
      <c r="H3465" s="16"/>
      <c r="I3465" s="16"/>
      <c r="J3465" s="17"/>
    </row>
    <row r="3466" spans="8:10" ht="15.75" customHeight="1">
      <c r="H3466" s="16"/>
      <c r="I3466" s="16"/>
      <c r="J3466" s="17"/>
    </row>
    <row r="3467" spans="8:10" ht="15.75" customHeight="1">
      <c r="H3467" s="16"/>
      <c r="I3467" s="16"/>
      <c r="J3467" s="17"/>
    </row>
    <row r="3468" spans="8:10" ht="15.75" customHeight="1">
      <c r="H3468" s="16"/>
      <c r="I3468" s="16"/>
      <c r="J3468" s="17"/>
    </row>
    <row r="3469" spans="8:10" ht="15.75" customHeight="1">
      <c r="H3469" s="16"/>
      <c r="I3469" s="16"/>
      <c r="J3469" s="17"/>
    </row>
    <row r="3470" spans="8:10" ht="15.75" customHeight="1">
      <c r="H3470" s="16"/>
      <c r="I3470" s="16"/>
      <c r="J3470" s="17"/>
    </row>
    <row r="3471" spans="8:10" ht="15.75" customHeight="1">
      <c r="H3471" s="16"/>
      <c r="I3471" s="16"/>
      <c r="J3471" s="17"/>
    </row>
    <row r="3472" spans="8:10" ht="15.75" customHeight="1">
      <c r="H3472" s="16"/>
      <c r="I3472" s="16"/>
      <c r="J3472" s="17"/>
    </row>
    <row r="3473" spans="8:10" ht="15.75" customHeight="1">
      <c r="H3473" s="16"/>
      <c r="I3473" s="16"/>
      <c r="J3473" s="17"/>
    </row>
    <row r="3474" spans="8:10" ht="15.75" customHeight="1">
      <c r="H3474" s="16"/>
      <c r="I3474" s="16"/>
      <c r="J3474" s="17"/>
    </row>
    <row r="3475" spans="8:10" ht="15.75" customHeight="1">
      <c r="H3475" s="16"/>
      <c r="I3475" s="16"/>
      <c r="J3475" s="17"/>
    </row>
    <row r="3476" spans="8:10" ht="15.75" customHeight="1">
      <c r="H3476" s="16"/>
      <c r="I3476" s="16"/>
      <c r="J3476" s="17"/>
    </row>
    <row r="3477" spans="8:10" ht="15.75" customHeight="1">
      <c r="H3477" s="16"/>
      <c r="I3477" s="16"/>
      <c r="J3477" s="17"/>
    </row>
    <row r="3478" spans="8:10" ht="15.75" customHeight="1">
      <c r="H3478" s="16"/>
      <c r="I3478" s="16"/>
      <c r="J3478" s="17"/>
    </row>
    <row r="3479" spans="8:10" ht="15.75" customHeight="1">
      <c r="H3479" s="16"/>
      <c r="I3479" s="16"/>
      <c r="J3479" s="17"/>
    </row>
    <row r="3480" spans="8:10" ht="15.75" customHeight="1">
      <c r="H3480" s="16"/>
      <c r="I3480" s="16"/>
      <c r="J3480" s="17"/>
    </row>
    <row r="3481" spans="8:10" ht="15.75" customHeight="1">
      <c r="H3481" s="16"/>
      <c r="I3481" s="16"/>
      <c r="J3481" s="17"/>
    </row>
    <row r="3482" spans="8:10" ht="15.75" customHeight="1">
      <c r="H3482" s="16"/>
      <c r="I3482" s="16"/>
      <c r="J3482" s="17"/>
    </row>
    <row r="3483" spans="8:10" ht="15.75" customHeight="1">
      <c r="H3483" s="16"/>
      <c r="I3483" s="16"/>
      <c r="J3483" s="17"/>
    </row>
    <row r="3484" spans="8:10" ht="15.75" customHeight="1">
      <c r="H3484" s="16"/>
      <c r="I3484" s="16"/>
      <c r="J3484" s="17"/>
    </row>
    <row r="3485" spans="8:10" ht="15.75" customHeight="1">
      <c r="H3485" s="16"/>
      <c r="I3485" s="16"/>
      <c r="J3485" s="17"/>
    </row>
    <row r="3486" spans="8:10" ht="15.75" customHeight="1">
      <c r="H3486" s="16"/>
      <c r="I3486" s="16"/>
      <c r="J3486" s="17"/>
    </row>
    <row r="3487" spans="8:10" ht="15.75" customHeight="1">
      <c r="H3487" s="16"/>
      <c r="I3487" s="16"/>
      <c r="J3487" s="17"/>
    </row>
    <row r="3488" spans="8:10" ht="15.75" customHeight="1">
      <c r="H3488" s="16"/>
      <c r="I3488" s="16"/>
      <c r="J3488" s="17"/>
    </row>
    <row r="3489" spans="8:10" ht="15.75" customHeight="1">
      <c r="H3489" s="16"/>
      <c r="I3489" s="16"/>
      <c r="J3489" s="17"/>
    </row>
    <row r="3490" spans="8:10" ht="15.75" customHeight="1">
      <c r="H3490" s="16"/>
      <c r="I3490" s="16"/>
      <c r="J3490" s="17"/>
    </row>
    <row r="3491" spans="8:10" ht="15.75" customHeight="1">
      <c r="H3491" s="16"/>
      <c r="I3491" s="16"/>
      <c r="J3491" s="17"/>
    </row>
    <row r="3492" spans="8:10" ht="15.75" customHeight="1">
      <c r="H3492" s="16"/>
      <c r="I3492" s="16"/>
      <c r="J3492" s="17"/>
    </row>
    <row r="3493" spans="8:10" ht="15.75" customHeight="1">
      <c r="H3493" s="16"/>
      <c r="I3493" s="16"/>
      <c r="J3493" s="17"/>
    </row>
    <row r="3494" spans="8:10" ht="15.75" customHeight="1">
      <c r="H3494" s="16"/>
      <c r="I3494" s="16"/>
      <c r="J3494" s="17"/>
    </row>
    <row r="3495" spans="8:10" ht="15.75" customHeight="1">
      <c r="H3495" s="16"/>
      <c r="I3495" s="16"/>
      <c r="J3495" s="17"/>
    </row>
    <row r="3496" spans="8:10" ht="15.75" customHeight="1">
      <c r="H3496" s="16"/>
      <c r="I3496" s="16"/>
      <c r="J3496" s="17"/>
    </row>
    <row r="3497" spans="8:10" ht="15.75" customHeight="1">
      <c r="H3497" s="16"/>
      <c r="I3497" s="16"/>
      <c r="J3497" s="17"/>
    </row>
    <row r="3498" spans="8:10" ht="15.75" customHeight="1">
      <c r="H3498" s="16"/>
      <c r="I3498" s="16"/>
      <c r="J3498" s="17"/>
    </row>
    <row r="3499" spans="8:10" ht="15.75" customHeight="1">
      <c r="H3499" s="16"/>
      <c r="I3499" s="16"/>
      <c r="J3499" s="17"/>
    </row>
    <row r="3500" spans="8:10" ht="15.75" customHeight="1">
      <c r="H3500" s="16"/>
      <c r="I3500" s="16"/>
      <c r="J3500" s="17"/>
    </row>
    <row r="3501" spans="8:10" ht="15.75" customHeight="1">
      <c r="H3501" s="16"/>
      <c r="I3501" s="16"/>
      <c r="J3501" s="17"/>
    </row>
    <row r="3502" spans="8:10" ht="15.75" customHeight="1">
      <c r="H3502" s="16"/>
      <c r="I3502" s="16"/>
      <c r="J3502" s="17"/>
    </row>
    <row r="3503" spans="8:10" ht="15.75" customHeight="1">
      <c r="H3503" s="16"/>
      <c r="I3503" s="16"/>
      <c r="J3503" s="17"/>
    </row>
    <row r="3504" spans="8:10" ht="15.75" customHeight="1">
      <c r="H3504" s="16"/>
      <c r="I3504" s="16"/>
      <c r="J3504" s="17"/>
    </row>
    <row r="3505" spans="8:10" ht="15.75" customHeight="1">
      <c r="H3505" s="16"/>
      <c r="I3505" s="16"/>
      <c r="J3505" s="17"/>
    </row>
    <row r="3506" spans="8:10" ht="15.75" customHeight="1">
      <c r="H3506" s="16"/>
      <c r="I3506" s="16"/>
      <c r="J3506" s="17"/>
    </row>
    <row r="3507" spans="8:10" ht="15.75" customHeight="1">
      <c r="H3507" s="16"/>
      <c r="I3507" s="16"/>
      <c r="J3507" s="17"/>
    </row>
    <row r="3508" spans="8:10" ht="15.75" customHeight="1">
      <c r="H3508" s="16"/>
      <c r="I3508" s="16"/>
      <c r="J3508" s="17"/>
    </row>
    <row r="3509" spans="8:10" ht="15.75" customHeight="1">
      <c r="H3509" s="16"/>
      <c r="I3509" s="16"/>
      <c r="J3509" s="17"/>
    </row>
    <row r="3510" spans="8:10" ht="15.75" customHeight="1">
      <c r="H3510" s="16"/>
      <c r="I3510" s="16"/>
      <c r="J3510" s="17"/>
    </row>
    <row r="3511" spans="8:10" ht="15.75" customHeight="1">
      <c r="H3511" s="16"/>
      <c r="I3511" s="16"/>
      <c r="J3511" s="17"/>
    </row>
    <row r="3512" spans="8:10" ht="15.75" customHeight="1">
      <c r="H3512" s="16"/>
      <c r="I3512" s="16"/>
      <c r="J3512" s="17"/>
    </row>
    <row r="3513" spans="8:10" ht="15.75" customHeight="1">
      <c r="H3513" s="16"/>
      <c r="I3513" s="16"/>
      <c r="J3513" s="17"/>
    </row>
    <row r="3514" spans="8:10" ht="15.75" customHeight="1">
      <c r="H3514" s="16"/>
      <c r="I3514" s="16"/>
      <c r="J3514" s="17"/>
    </row>
    <row r="3515" spans="8:10" ht="15.75" customHeight="1">
      <c r="H3515" s="16"/>
      <c r="I3515" s="16"/>
      <c r="J3515" s="17"/>
    </row>
    <row r="3516" spans="8:10" ht="15.75" customHeight="1">
      <c r="H3516" s="16"/>
      <c r="I3516" s="16"/>
      <c r="J3516" s="17"/>
    </row>
    <row r="3517" spans="8:10" ht="15.75" customHeight="1">
      <c r="H3517" s="16"/>
      <c r="I3517" s="16"/>
      <c r="J3517" s="17"/>
    </row>
    <row r="3518" spans="8:10" ht="15.75" customHeight="1">
      <c r="H3518" s="16"/>
      <c r="I3518" s="16"/>
      <c r="J3518" s="17"/>
    </row>
    <row r="3519" spans="8:10" ht="15.75" customHeight="1">
      <c r="H3519" s="16"/>
      <c r="I3519" s="16"/>
      <c r="J3519" s="17"/>
    </row>
    <row r="3520" spans="8:10" ht="15.75" customHeight="1">
      <c r="H3520" s="16"/>
      <c r="I3520" s="16"/>
      <c r="J3520" s="17"/>
    </row>
    <row r="3521" spans="8:10" ht="15.75" customHeight="1">
      <c r="H3521" s="16"/>
      <c r="I3521" s="16"/>
      <c r="J3521" s="17"/>
    </row>
    <row r="3522" spans="8:10" ht="15.75" customHeight="1">
      <c r="H3522" s="16"/>
      <c r="I3522" s="16"/>
      <c r="J3522" s="17"/>
    </row>
    <row r="3523" spans="8:10" ht="15.75" customHeight="1">
      <c r="H3523" s="16"/>
      <c r="I3523" s="16"/>
      <c r="J3523" s="17"/>
    </row>
    <row r="3524" spans="8:10" ht="15.75" customHeight="1">
      <c r="H3524" s="16"/>
      <c r="I3524" s="16"/>
      <c r="J3524" s="17"/>
    </row>
    <row r="3525" spans="8:10" ht="15.75" customHeight="1">
      <c r="H3525" s="16"/>
      <c r="I3525" s="16"/>
      <c r="J3525" s="17"/>
    </row>
    <row r="3526" spans="8:10" ht="15.75" customHeight="1">
      <c r="H3526" s="16"/>
      <c r="I3526" s="16"/>
      <c r="J3526" s="17"/>
    </row>
    <row r="3527" spans="8:10" ht="15.75" customHeight="1">
      <c r="H3527" s="16"/>
      <c r="I3527" s="16"/>
      <c r="J3527" s="17"/>
    </row>
    <row r="3528" spans="8:10" ht="15.75" customHeight="1">
      <c r="H3528" s="16"/>
      <c r="I3528" s="16"/>
      <c r="J3528" s="17"/>
    </row>
    <row r="3529" spans="8:10" ht="15.75" customHeight="1">
      <c r="H3529" s="16"/>
      <c r="I3529" s="16"/>
      <c r="J3529" s="17"/>
    </row>
    <row r="3530" spans="8:10" ht="15.75" customHeight="1">
      <c r="H3530" s="16"/>
      <c r="I3530" s="16"/>
      <c r="J3530" s="17"/>
    </row>
    <row r="3531" spans="8:10" ht="15.75" customHeight="1">
      <c r="H3531" s="16"/>
      <c r="I3531" s="16"/>
      <c r="J3531" s="17"/>
    </row>
    <row r="3532" spans="8:10" ht="15.75" customHeight="1">
      <c r="H3532" s="16"/>
      <c r="I3532" s="16"/>
      <c r="J3532" s="17"/>
    </row>
    <row r="3533" spans="8:10" ht="15.75" customHeight="1">
      <c r="H3533" s="16"/>
      <c r="I3533" s="16"/>
      <c r="J3533" s="17"/>
    </row>
    <row r="3534" spans="8:10" ht="15.75" customHeight="1">
      <c r="H3534" s="16"/>
      <c r="I3534" s="16"/>
      <c r="J3534" s="17"/>
    </row>
    <row r="3535" spans="8:10" ht="15.75" customHeight="1">
      <c r="H3535" s="16"/>
      <c r="I3535" s="16"/>
      <c r="J3535" s="17"/>
    </row>
    <row r="3536" spans="8:10" ht="15.75" customHeight="1">
      <c r="H3536" s="16"/>
      <c r="I3536" s="16"/>
      <c r="J3536" s="17"/>
    </row>
    <row r="3537" spans="8:10" ht="15.75" customHeight="1">
      <c r="H3537" s="16"/>
      <c r="I3537" s="16"/>
      <c r="J3537" s="17"/>
    </row>
    <row r="3538" spans="8:10" ht="15.75" customHeight="1">
      <c r="H3538" s="16"/>
      <c r="I3538" s="16"/>
      <c r="J3538" s="17"/>
    </row>
    <row r="3539" spans="8:10" ht="15.75" customHeight="1">
      <c r="H3539" s="16"/>
      <c r="I3539" s="16"/>
      <c r="J3539" s="17"/>
    </row>
    <row r="3540" spans="8:10" ht="15.75" customHeight="1">
      <c r="H3540" s="16"/>
      <c r="I3540" s="16"/>
      <c r="J3540" s="17"/>
    </row>
    <row r="3541" spans="8:10" ht="15.75" customHeight="1">
      <c r="H3541" s="16"/>
      <c r="I3541" s="16"/>
      <c r="J3541" s="17"/>
    </row>
    <row r="3542" spans="8:10" ht="15.75" customHeight="1">
      <c r="H3542" s="16"/>
      <c r="I3542" s="16"/>
      <c r="J3542" s="17"/>
    </row>
    <row r="3543" spans="8:10" ht="15.75" customHeight="1">
      <c r="H3543" s="16"/>
      <c r="I3543" s="16"/>
      <c r="J3543" s="17"/>
    </row>
    <row r="3544" spans="8:10" ht="15.75" customHeight="1">
      <c r="H3544" s="16"/>
      <c r="I3544" s="16"/>
      <c r="J3544" s="17"/>
    </row>
    <row r="3545" spans="8:10" ht="15.75" customHeight="1">
      <c r="H3545" s="16"/>
      <c r="I3545" s="16"/>
      <c r="J3545" s="17"/>
    </row>
    <row r="3546" spans="8:10" ht="15.75" customHeight="1">
      <c r="H3546" s="16"/>
      <c r="I3546" s="16"/>
      <c r="J3546" s="17"/>
    </row>
    <row r="3547" spans="8:10" ht="15.75" customHeight="1">
      <c r="H3547" s="16"/>
      <c r="I3547" s="16"/>
      <c r="J3547" s="17"/>
    </row>
    <row r="3548" spans="8:10" ht="15.75" customHeight="1">
      <c r="H3548" s="16"/>
      <c r="I3548" s="16"/>
      <c r="J3548" s="17"/>
    </row>
    <row r="3549" spans="8:10" ht="15.75" customHeight="1">
      <c r="H3549" s="16"/>
      <c r="I3549" s="16"/>
      <c r="J3549" s="17"/>
    </row>
    <row r="3550" spans="8:10" ht="15.75" customHeight="1">
      <c r="H3550" s="16"/>
      <c r="I3550" s="16"/>
      <c r="J3550" s="17"/>
    </row>
    <row r="3551" spans="8:10" ht="15.75" customHeight="1">
      <c r="H3551" s="16"/>
      <c r="I3551" s="16"/>
      <c r="J3551" s="17"/>
    </row>
    <row r="3552" spans="8:10" ht="15.75" customHeight="1">
      <c r="H3552" s="16"/>
      <c r="I3552" s="16"/>
      <c r="J3552" s="17"/>
    </row>
    <row r="3553" spans="8:10" ht="15.75" customHeight="1">
      <c r="H3553" s="16"/>
      <c r="I3553" s="16"/>
      <c r="J3553" s="17"/>
    </row>
    <row r="3554" spans="8:10" ht="15.75" customHeight="1">
      <c r="H3554" s="16"/>
      <c r="I3554" s="16"/>
      <c r="J3554" s="17"/>
    </row>
    <row r="3555" spans="8:10" ht="15.75" customHeight="1">
      <c r="H3555" s="16"/>
      <c r="I3555" s="16"/>
      <c r="J3555" s="17"/>
    </row>
    <row r="3556" spans="8:10" ht="15.75" customHeight="1">
      <c r="H3556" s="16"/>
      <c r="I3556" s="16"/>
      <c r="J3556" s="17"/>
    </row>
    <row r="3557" spans="8:10" ht="15.75" customHeight="1">
      <c r="H3557" s="16"/>
      <c r="I3557" s="16"/>
      <c r="J3557" s="17"/>
    </row>
    <row r="3558" spans="8:10" ht="15.75" customHeight="1">
      <c r="H3558" s="16"/>
      <c r="I3558" s="16"/>
      <c r="J3558" s="17"/>
    </row>
    <row r="3559" spans="8:10" ht="15.75" customHeight="1">
      <c r="H3559" s="16"/>
      <c r="I3559" s="16"/>
      <c r="J3559" s="17"/>
    </row>
    <row r="3560" spans="8:10" ht="15.75" customHeight="1">
      <c r="H3560" s="16"/>
      <c r="I3560" s="16"/>
      <c r="J3560" s="17"/>
    </row>
    <row r="3561" spans="8:10" ht="15.75" customHeight="1">
      <c r="H3561" s="16"/>
      <c r="I3561" s="16"/>
      <c r="J3561" s="17"/>
    </row>
    <row r="3562" spans="8:10" ht="15.75" customHeight="1">
      <c r="H3562" s="16"/>
      <c r="I3562" s="16"/>
      <c r="J3562" s="17"/>
    </row>
    <row r="3563" spans="8:10" ht="15.75" customHeight="1">
      <c r="H3563" s="16"/>
      <c r="I3563" s="16"/>
      <c r="J3563" s="17"/>
    </row>
    <row r="3564" spans="8:10" ht="15.75" customHeight="1">
      <c r="H3564" s="16"/>
      <c r="I3564" s="16"/>
      <c r="J3564" s="17"/>
    </row>
    <row r="3565" spans="8:10" ht="15.75" customHeight="1">
      <c r="H3565" s="16"/>
      <c r="I3565" s="16"/>
      <c r="J3565" s="17"/>
    </row>
    <row r="3566" spans="8:10" ht="15.75" customHeight="1">
      <c r="H3566" s="16"/>
      <c r="I3566" s="16"/>
      <c r="J3566" s="17"/>
    </row>
    <row r="3567" spans="8:10" ht="15.75" customHeight="1">
      <c r="H3567" s="16"/>
      <c r="I3567" s="16"/>
      <c r="J3567" s="17"/>
    </row>
    <row r="3568" spans="8:10" ht="15.75" customHeight="1">
      <c r="H3568" s="16"/>
      <c r="I3568" s="16"/>
      <c r="J3568" s="17"/>
    </row>
    <row r="3569" spans="8:10" ht="15.75" customHeight="1">
      <c r="H3569" s="16"/>
      <c r="I3569" s="16"/>
      <c r="J3569" s="17"/>
    </row>
    <row r="3570" spans="8:10" ht="15.75" customHeight="1">
      <c r="H3570" s="16"/>
      <c r="I3570" s="16"/>
      <c r="J3570" s="17"/>
    </row>
    <row r="3571" spans="8:10" ht="15.75" customHeight="1">
      <c r="H3571" s="16"/>
      <c r="I3571" s="16"/>
      <c r="J3571" s="17"/>
    </row>
    <row r="3572" spans="8:10" ht="15.75" customHeight="1">
      <c r="H3572" s="16"/>
      <c r="I3572" s="16"/>
      <c r="J3572" s="17"/>
    </row>
    <row r="3573" spans="8:10" ht="15.75" customHeight="1">
      <c r="H3573" s="16"/>
      <c r="I3573" s="16"/>
      <c r="J3573" s="17"/>
    </row>
    <row r="3574" spans="8:10" ht="15.75" customHeight="1">
      <c r="H3574" s="16"/>
      <c r="I3574" s="16"/>
      <c r="J3574" s="17"/>
    </row>
    <row r="3575" spans="8:10" ht="15.75" customHeight="1">
      <c r="H3575" s="16"/>
      <c r="I3575" s="16"/>
      <c r="J3575" s="17"/>
    </row>
    <row r="3576" spans="8:10" ht="15.75" customHeight="1">
      <c r="H3576" s="16"/>
      <c r="I3576" s="16"/>
      <c r="J3576" s="17"/>
    </row>
    <row r="3577" spans="8:10" ht="15.75" customHeight="1">
      <c r="H3577" s="16"/>
      <c r="I3577" s="16"/>
      <c r="J3577" s="17"/>
    </row>
    <row r="3578" spans="8:10" ht="15.75" customHeight="1">
      <c r="H3578" s="16"/>
      <c r="I3578" s="16"/>
      <c r="J3578" s="17"/>
    </row>
    <row r="3579" spans="8:10" ht="15.75" customHeight="1">
      <c r="H3579" s="16"/>
      <c r="I3579" s="16"/>
      <c r="J3579" s="17"/>
    </row>
    <row r="3580" spans="8:10" ht="15.75" customHeight="1">
      <c r="H3580" s="16"/>
      <c r="I3580" s="16"/>
      <c r="J3580" s="17"/>
    </row>
    <row r="3581" spans="8:10" ht="15.75" customHeight="1">
      <c r="H3581" s="16"/>
      <c r="I3581" s="16"/>
      <c r="J3581" s="17"/>
    </row>
    <row r="3582" spans="8:10" ht="15.75" customHeight="1">
      <c r="H3582" s="16"/>
      <c r="I3582" s="16"/>
      <c r="J3582" s="17"/>
    </row>
    <row r="3583" spans="8:10" ht="15.75" customHeight="1">
      <c r="H3583" s="16"/>
      <c r="I3583" s="16"/>
      <c r="J3583" s="17"/>
    </row>
    <row r="3584" spans="8:10" ht="15.75" customHeight="1">
      <c r="H3584" s="16"/>
      <c r="I3584" s="16"/>
      <c r="J3584" s="17"/>
    </row>
    <row r="3585" spans="8:10" ht="15.75" customHeight="1">
      <c r="H3585" s="16"/>
      <c r="I3585" s="16"/>
      <c r="J3585" s="17"/>
    </row>
    <row r="3586" spans="8:10" ht="15.75" customHeight="1">
      <c r="H3586" s="16"/>
      <c r="I3586" s="16"/>
      <c r="J3586" s="17"/>
    </row>
    <row r="3587" spans="8:10" ht="15.75" customHeight="1">
      <c r="H3587" s="16"/>
      <c r="I3587" s="16"/>
      <c r="J3587" s="17"/>
    </row>
    <row r="3588" spans="8:10" ht="15.75" customHeight="1">
      <c r="H3588" s="16"/>
      <c r="I3588" s="16"/>
      <c r="J3588" s="17"/>
    </row>
    <row r="3589" spans="8:10" ht="15.75" customHeight="1">
      <c r="H3589" s="16"/>
      <c r="I3589" s="16"/>
      <c r="J3589" s="17"/>
    </row>
    <row r="3590" spans="8:10" ht="15.75" customHeight="1">
      <c r="H3590" s="16"/>
      <c r="I3590" s="16"/>
      <c r="J3590" s="17"/>
    </row>
    <row r="3591" spans="8:10" ht="15.75" customHeight="1">
      <c r="H3591" s="16"/>
      <c r="I3591" s="16"/>
      <c r="J3591" s="17"/>
    </row>
    <row r="3592" spans="8:10" ht="15.75" customHeight="1">
      <c r="H3592" s="16"/>
      <c r="I3592" s="16"/>
      <c r="J3592" s="17"/>
    </row>
    <row r="3593" spans="8:10" ht="15.75" customHeight="1">
      <c r="H3593" s="16"/>
      <c r="I3593" s="16"/>
      <c r="J3593" s="17"/>
    </row>
    <row r="3594" spans="8:10" ht="15.75" customHeight="1">
      <c r="H3594" s="16"/>
      <c r="I3594" s="16"/>
      <c r="J3594" s="17"/>
    </row>
    <row r="3595" spans="8:10" ht="15.75" customHeight="1">
      <c r="H3595" s="16"/>
      <c r="I3595" s="16"/>
      <c r="J3595" s="17"/>
    </row>
    <row r="3596" spans="8:10" ht="15.75" customHeight="1">
      <c r="H3596" s="16"/>
      <c r="I3596" s="16"/>
      <c r="J3596" s="17"/>
    </row>
    <row r="3597" spans="8:10" ht="15.75" customHeight="1">
      <c r="H3597" s="16"/>
      <c r="I3597" s="16"/>
      <c r="J3597" s="17"/>
    </row>
    <row r="3598" spans="8:10" ht="15.75" customHeight="1">
      <c r="H3598" s="16"/>
      <c r="I3598" s="16"/>
      <c r="J3598" s="17"/>
    </row>
    <row r="3599" spans="8:10" ht="15.75" customHeight="1">
      <c r="H3599" s="16"/>
      <c r="I3599" s="16"/>
      <c r="J3599" s="17"/>
    </row>
    <row r="3600" spans="8:10" ht="15.75" customHeight="1">
      <c r="H3600" s="16"/>
      <c r="I3600" s="16"/>
      <c r="J3600" s="17"/>
    </row>
    <row r="3601" spans="8:10" ht="15.75" customHeight="1">
      <c r="H3601" s="16"/>
      <c r="I3601" s="16"/>
      <c r="J3601" s="17"/>
    </row>
    <row r="3602" spans="8:10" ht="15.75" customHeight="1">
      <c r="H3602" s="16"/>
      <c r="I3602" s="16"/>
      <c r="J3602" s="17"/>
    </row>
    <row r="3603" spans="8:10" ht="15.75" customHeight="1">
      <c r="H3603" s="16"/>
      <c r="I3603" s="16"/>
      <c r="J3603" s="17"/>
    </row>
    <row r="3604" spans="8:10" ht="15.75" customHeight="1">
      <c r="H3604" s="16"/>
      <c r="I3604" s="16"/>
      <c r="J3604" s="17"/>
    </row>
    <row r="3605" spans="8:10" ht="15.75" customHeight="1">
      <c r="H3605" s="16"/>
      <c r="I3605" s="16"/>
      <c r="J3605" s="17"/>
    </row>
    <row r="3606" spans="8:10" ht="15.75" customHeight="1">
      <c r="H3606" s="16"/>
      <c r="I3606" s="16"/>
      <c r="J3606" s="17"/>
    </row>
    <row r="3607" spans="8:10" ht="15.75" customHeight="1">
      <c r="H3607" s="16"/>
      <c r="I3607" s="16"/>
      <c r="J3607" s="17"/>
    </row>
    <row r="3608" spans="8:10" ht="15.75" customHeight="1">
      <c r="H3608" s="16"/>
      <c r="I3608" s="16"/>
      <c r="J3608" s="17"/>
    </row>
    <row r="3609" spans="8:10" ht="15.75" customHeight="1">
      <c r="H3609" s="16"/>
      <c r="I3609" s="16"/>
      <c r="J3609" s="17"/>
    </row>
    <row r="3610" spans="8:10" ht="15.75" customHeight="1">
      <c r="H3610" s="16"/>
      <c r="I3610" s="16"/>
      <c r="J3610" s="17"/>
    </row>
    <row r="3611" spans="8:10" ht="15.75" customHeight="1">
      <c r="H3611" s="16"/>
      <c r="I3611" s="16"/>
      <c r="J3611" s="17"/>
    </row>
    <row r="3612" spans="8:10" ht="15.75" customHeight="1">
      <c r="H3612" s="16"/>
      <c r="I3612" s="16"/>
      <c r="J3612" s="17"/>
    </row>
    <row r="3613" spans="8:10" ht="15.75" customHeight="1">
      <c r="H3613" s="16"/>
      <c r="I3613" s="16"/>
      <c r="J3613" s="17"/>
    </row>
    <row r="3614" spans="8:10" ht="15.75" customHeight="1">
      <c r="H3614" s="16"/>
      <c r="I3614" s="16"/>
      <c r="J3614" s="17"/>
    </row>
    <row r="3615" spans="8:10" ht="15.75" customHeight="1">
      <c r="H3615" s="16"/>
      <c r="I3615" s="16"/>
      <c r="J3615" s="17"/>
    </row>
    <row r="3616" spans="8:10" ht="15.75" customHeight="1">
      <c r="H3616" s="16"/>
      <c r="I3616" s="16"/>
      <c r="J3616" s="17"/>
    </row>
    <row r="3617" spans="8:10" ht="15.75" customHeight="1">
      <c r="H3617" s="16"/>
      <c r="I3617" s="16"/>
      <c r="J3617" s="17"/>
    </row>
    <row r="3618" spans="8:10" ht="15.75" customHeight="1">
      <c r="H3618" s="16"/>
      <c r="I3618" s="16"/>
      <c r="J3618" s="17"/>
    </row>
    <row r="3619" spans="8:10" ht="15.75" customHeight="1">
      <c r="H3619" s="16"/>
      <c r="I3619" s="16"/>
      <c r="J3619" s="17"/>
    </row>
    <row r="3620" spans="8:10" ht="15.75" customHeight="1">
      <c r="H3620" s="16"/>
      <c r="I3620" s="16"/>
      <c r="J3620" s="17"/>
    </row>
    <row r="3621" spans="8:10" ht="15.75" customHeight="1">
      <c r="H3621" s="16"/>
      <c r="I3621" s="16"/>
      <c r="J3621" s="17"/>
    </row>
    <row r="3622" spans="8:10" ht="15.75" customHeight="1">
      <c r="H3622" s="16"/>
      <c r="I3622" s="16"/>
      <c r="J3622" s="17"/>
    </row>
    <row r="3623" spans="8:10" ht="15.75" customHeight="1">
      <c r="H3623" s="16"/>
      <c r="I3623" s="16"/>
      <c r="J3623" s="17"/>
    </row>
    <row r="3624" spans="8:10" ht="15.75" customHeight="1">
      <c r="H3624" s="16"/>
      <c r="I3624" s="16"/>
      <c r="J3624" s="17"/>
    </row>
    <row r="3625" spans="8:10" ht="15.75" customHeight="1">
      <c r="H3625" s="16"/>
      <c r="I3625" s="16"/>
      <c r="J3625" s="17"/>
    </row>
    <row r="3626" spans="8:10" ht="15.75" customHeight="1">
      <c r="H3626" s="16"/>
      <c r="I3626" s="16"/>
      <c r="J3626" s="17"/>
    </row>
    <row r="3627" spans="8:10" ht="15.75" customHeight="1">
      <c r="H3627" s="16"/>
      <c r="I3627" s="16"/>
      <c r="J3627" s="17"/>
    </row>
    <row r="3628" spans="8:10" ht="15.75" customHeight="1">
      <c r="H3628" s="16"/>
      <c r="I3628" s="16"/>
      <c r="J3628" s="17"/>
    </row>
    <row r="3629" spans="8:10" ht="15.75" customHeight="1">
      <c r="H3629" s="16"/>
      <c r="I3629" s="16"/>
      <c r="J3629" s="17"/>
    </row>
    <row r="3630" spans="8:10" ht="15.75" customHeight="1">
      <c r="H3630" s="16"/>
      <c r="I3630" s="16"/>
      <c r="J3630" s="17"/>
    </row>
    <row r="3631" spans="8:10" ht="15.75" customHeight="1">
      <c r="H3631" s="16"/>
      <c r="I3631" s="16"/>
      <c r="J3631" s="17"/>
    </row>
    <row r="3632" spans="8:10" ht="15.75" customHeight="1">
      <c r="H3632" s="16"/>
      <c r="I3632" s="16"/>
      <c r="J3632" s="17"/>
    </row>
    <row r="3633" spans="8:10" ht="15.75" customHeight="1">
      <c r="H3633" s="16"/>
      <c r="I3633" s="16"/>
      <c r="J3633" s="17"/>
    </row>
    <row r="3634" spans="8:10" ht="15.75" customHeight="1">
      <c r="H3634" s="16"/>
      <c r="I3634" s="16"/>
      <c r="J3634" s="17"/>
    </row>
    <row r="3635" spans="8:10" ht="15.75" customHeight="1">
      <c r="H3635" s="16"/>
      <c r="I3635" s="16"/>
      <c r="J3635" s="17"/>
    </row>
    <row r="3636" spans="8:10" ht="15.75" customHeight="1">
      <c r="H3636" s="16"/>
      <c r="I3636" s="16"/>
      <c r="J3636" s="17"/>
    </row>
    <row r="3637" spans="8:10" ht="15.75" customHeight="1">
      <c r="H3637" s="16"/>
      <c r="I3637" s="16"/>
      <c r="J3637" s="17"/>
    </row>
    <row r="3638" spans="8:10" ht="15.75" customHeight="1">
      <c r="H3638" s="16"/>
      <c r="I3638" s="16"/>
      <c r="J3638" s="17"/>
    </row>
    <row r="3639" spans="8:10" ht="15.75" customHeight="1">
      <c r="H3639" s="16"/>
      <c r="I3639" s="16"/>
      <c r="J3639" s="17"/>
    </row>
    <row r="3640" spans="8:10" ht="15.75" customHeight="1">
      <c r="H3640" s="16"/>
      <c r="I3640" s="16"/>
      <c r="J3640" s="17"/>
    </row>
    <row r="3641" spans="8:10" ht="15.75" customHeight="1">
      <c r="H3641" s="16"/>
      <c r="I3641" s="16"/>
      <c r="J3641" s="17"/>
    </row>
    <row r="3642" spans="8:10" ht="15.75" customHeight="1">
      <c r="H3642" s="16"/>
      <c r="I3642" s="16"/>
      <c r="J3642" s="17"/>
    </row>
    <row r="3643" spans="8:10" ht="15.75" customHeight="1">
      <c r="H3643" s="16"/>
      <c r="I3643" s="16"/>
      <c r="J3643" s="17"/>
    </row>
    <row r="3644" spans="8:10" ht="15.75" customHeight="1">
      <c r="H3644" s="16"/>
      <c r="I3644" s="16"/>
      <c r="J3644" s="17"/>
    </row>
    <row r="3645" spans="8:10" ht="15.75" customHeight="1">
      <c r="H3645" s="16"/>
      <c r="I3645" s="16"/>
      <c r="J3645" s="17"/>
    </row>
    <row r="3646" spans="8:10" ht="15.75" customHeight="1">
      <c r="H3646" s="16"/>
      <c r="I3646" s="16"/>
      <c r="J3646" s="17"/>
    </row>
    <row r="3647" spans="8:10" ht="15.75" customHeight="1">
      <c r="H3647" s="16"/>
      <c r="I3647" s="16"/>
      <c r="J3647" s="17"/>
    </row>
    <row r="3648" spans="8:10" ht="15.75" customHeight="1">
      <c r="H3648" s="16"/>
      <c r="I3648" s="16"/>
      <c r="J3648" s="17"/>
    </row>
    <row r="3649" spans="8:10" ht="15.75" customHeight="1">
      <c r="H3649" s="16"/>
      <c r="I3649" s="16"/>
      <c r="J3649" s="17"/>
    </row>
    <row r="3650" spans="8:10" ht="15.75" customHeight="1">
      <c r="H3650" s="16"/>
      <c r="I3650" s="16"/>
      <c r="J3650" s="17"/>
    </row>
    <row r="3651" spans="8:10" ht="15.75" customHeight="1">
      <c r="H3651" s="16"/>
      <c r="I3651" s="16"/>
      <c r="J3651" s="17"/>
    </row>
    <row r="3652" spans="8:10" ht="15.75" customHeight="1">
      <c r="H3652" s="16"/>
      <c r="I3652" s="16"/>
      <c r="J3652" s="17"/>
    </row>
    <row r="3653" spans="8:10" ht="15.75" customHeight="1">
      <c r="H3653" s="16"/>
      <c r="I3653" s="16"/>
      <c r="J3653" s="17"/>
    </row>
    <row r="3654" spans="8:10" ht="15.75" customHeight="1">
      <c r="H3654" s="16"/>
      <c r="I3654" s="16"/>
      <c r="J3654" s="17"/>
    </row>
    <row r="3655" spans="8:10" ht="15.75" customHeight="1">
      <c r="H3655" s="16"/>
      <c r="I3655" s="16"/>
      <c r="J3655" s="17"/>
    </row>
    <row r="3656" spans="8:10" ht="15.75" customHeight="1">
      <c r="H3656" s="16"/>
      <c r="I3656" s="16"/>
      <c r="J3656" s="17"/>
    </row>
    <row r="3657" spans="8:10" ht="15.75" customHeight="1">
      <c r="H3657" s="16"/>
      <c r="I3657" s="16"/>
      <c r="J3657" s="17"/>
    </row>
    <row r="3658" spans="8:10" ht="15.75" customHeight="1">
      <c r="H3658" s="16"/>
      <c r="I3658" s="16"/>
      <c r="J3658" s="17"/>
    </row>
    <row r="3659" spans="8:10" ht="15.75" customHeight="1">
      <c r="H3659" s="16"/>
      <c r="I3659" s="16"/>
      <c r="J3659" s="17"/>
    </row>
    <row r="3660" spans="8:10" ht="15.75" customHeight="1">
      <c r="H3660" s="16"/>
      <c r="I3660" s="16"/>
      <c r="J3660" s="17"/>
    </row>
    <row r="3661" spans="8:10" ht="15.75" customHeight="1">
      <c r="H3661" s="16"/>
      <c r="I3661" s="16"/>
      <c r="J3661" s="17"/>
    </row>
    <row r="3662" spans="8:10" ht="15.75" customHeight="1">
      <c r="H3662" s="16"/>
      <c r="I3662" s="16"/>
      <c r="J3662" s="17"/>
    </row>
    <row r="3663" spans="8:10" ht="15.75" customHeight="1">
      <c r="H3663" s="16"/>
      <c r="I3663" s="16"/>
      <c r="J3663" s="17"/>
    </row>
    <row r="3664" spans="8:10" ht="15.75" customHeight="1">
      <c r="H3664" s="16"/>
      <c r="I3664" s="16"/>
      <c r="J3664" s="17"/>
    </row>
    <row r="3665" spans="8:10" ht="15.75" customHeight="1">
      <c r="H3665" s="16"/>
      <c r="I3665" s="16"/>
      <c r="J3665" s="17"/>
    </row>
    <row r="3666" spans="8:10" ht="15.75" customHeight="1">
      <c r="H3666" s="16"/>
      <c r="I3666" s="16"/>
      <c r="J3666" s="17"/>
    </row>
    <row r="3667" spans="8:10" ht="15.75" customHeight="1">
      <c r="H3667" s="16"/>
      <c r="I3667" s="16"/>
      <c r="J3667" s="17"/>
    </row>
    <row r="3668" spans="8:10" ht="15.75" customHeight="1">
      <c r="H3668" s="16"/>
      <c r="I3668" s="16"/>
      <c r="J3668" s="17"/>
    </row>
    <row r="3669" spans="8:10" ht="15.75" customHeight="1">
      <c r="H3669" s="16"/>
      <c r="I3669" s="16"/>
      <c r="J3669" s="17"/>
    </row>
    <row r="3670" spans="8:10" ht="15.75" customHeight="1">
      <c r="H3670" s="16"/>
      <c r="I3670" s="16"/>
      <c r="J3670" s="17"/>
    </row>
    <row r="3671" spans="8:10" ht="15.75" customHeight="1">
      <c r="H3671" s="16"/>
      <c r="I3671" s="16"/>
      <c r="J3671" s="17"/>
    </row>
    <row r="3672" spans="8:10" ht="15.75" customHeight="1">
      <c r="H3672" s="16"/>
      <c r="I3672" s="16"/>
      <c r="J3672" s="17"/>
    </row>
    <row r="3673" spans="8:10" ht="15.75" customHeight="1">
      <c r="H3673" s="16"/>
      <c r="I3673" s="16"/>
      <c r="J3673" s="17"/>
    </row>
    <row r="3674" spans="8:10" ht="15.75" customHeight="1">
      <c r="H3674" s="16"/>
      <c r="I3674" s="16"/>
      <c r="J3674" s="17"/>
    </row>
    <row r="3675" spans="8:10" ht="15.75" customHeight="1">
      <c r="H3675" s="16"/>
      <c r="I3675" s="16"/>
      <c r="J3675" s="17"/>
    </row>
    <row r="3676" spans="8:10" ht="15.75" customHeight="1">
      <c r="H3676" s="16"/>
      <c r="I3676" s="16"/>
      <c r="J3676" s="17"/>
    </row>
    <row r="3677" spans="8:10" ht="15.75" customHeight="1">
      <c r="H3677" s="16"/>
      <c r="I3677" s="16"/>
      <c r="J3677" s="17"/>
    </row>
    <row r="3678" spans="8:10" ht="15.75" customHeight="1">
      <c r="H3678" s="16"/>
      <c r="I3678" s="16"/>
      <c r="J3678" s="17"/>
    </row>
    <row r="3679" spans="8:10" ht="15.75" customHeight="1">
      <c r="H3679" s="16"/>
      <c r="I3679" s="16"/>
      <c r="J3679" s="17"/>
    </row>
    <row r="3680" spans="8:10" ht="15.75" customHeight="1">
      <c r="H3680" s="16"/>
      <c r="I3680" s="16"/>
      <c r="J3680" s="17"/>
    </row>
    <row r="3681" spans="8:10" ht="15.75" customHeight="1">
      <c r="H3681" s="16"/>
      <c r="I3681" s="16"/>
      <c r="J3681" s="17"/>
    </row>
    <row r="3682" spans="8:10" ht="15.75" customHeight="1">
      <c r="H3682" s="16"/>
      <c r="I3682" s="16"/>
      <c r="J3682" s="17"/>
    </row>
    <row r="3683" spans="8:10" ht="15.75" customHeight="1">
      <c r="H3683" s="16"/>
      <c r="I3683" s="16"/>
      <c r="J3683" s="17"/>
    </row>
    <row r="3684" spans="8:10" ht="15.75" customHeight="1">
      <c r="H3684" s="16"/>
      <c r="I3684" s="16"/>
      <c r="J3684" s="17"/>
    </row>
    <row r="3685" spans="8:10" ht="15.75" customHeight="1">
      <c r="H3685" s="16"/>
      <c r="I3685" s="16"/>
      <c r="J3685" s="17"/>
    </row>
    <row r="3686" spans="8:10" ht="15.75" customHeight="1">
      <c r="H3686" s="16"/>
      <c r="I3686" s="16"/>
      <c r="J3686" s="17"/>
    </row>
    <row r="3687" spans="8:10" ht="15.75" customHeight="1">
      <c r="H3687" s="16"/>
      <c r="I3687" s="16"/>
      <c r="J3687" s="17"/>
    </row>
    <row r="3688" spans="8:10" ht="15.75" customHeight="1">
      <c r="H3688" s="16"/>
      <c r="I3688" s="16"/>
      <c r="J3688" s="17"/>
    </row>
    <row r="3689" spans="8:10" ht="15.75" customHeight="1">
      <c r="H3689" s="16"/>
      <c r="I3689" s="16"/>
      <c r="J3689" s="17"/>
    </row>
    <row r="3690" spans="8:10" ht="15.75" customHeight="1">
      <c r="H3690" s="16"/>
      <c r="I3690" s="16"/>
      <c r="J3690" s="17"/>
    </row>
    <row r="3691" spans="8:10" ht="15.75" customHeight="1">
      <c r="H3691" s="16"/>
      <c r="I3691" s="16"/>
      <c r="J3691" s="17"/>
    </row>
    <row r="3692" spans="8:10" ht="15.75" customHeight="1">
      <c r="H3692" s="16"/>
      <c r="I3692" s="16"/>
      <c r="J3692" s="17"/>
    </row>
    <row r="3693" spans="8:10" ht="15.75" customHeight="1">
      <c r="H3693" s="16"/>
      <c r="I3693" s="16"/>
      <c r="J3693" s="17"/>
    </row>
    <row r="3694" spans="8:10" ht="15.75" customHeight="1">
      <c r="H3694" s="16"/>
      <c r="I3694" s="16"/>
      <c r="J3694" s="17"/>
    </row>
    <row r="3695" spans="8:10" ht="15.75" customHeight="1">
      <c r="H3695" s="16"/>
      <c r="I3695" s="16"/>
      <c r="J3695" s="17"/>
    </row>
    <row r="3696" spans="8:10" ht="15.75" customHeight="1">
      <c r="H3696" s="16"/>
      <c r="I3696" s="16"/>
      <c r="J3696" s="17"/>
    </row>
    <row r="3697" spans="8:10" ht="15.75" customHeight="1">
      <c r="H3697" s="16"/>
      <c r="I3697" s="16"/>
      <c r="J3697" s="17"/>
    </row>
    <row r="3698" spans="8:10" ht="15.75" customHeight="1">
      <c r="H3698" s="16"/>
      <c r="I3698" s="16"/>
      <c r="J3698" s="17"/>
    </row>
    <row r="3699" spans="8:10" ht="15.75" customHeight="1">
      <c r="H3699" s="16"/>
      <c r="I3699" s="16"/>
      <c r="J3699" s="17"/>
    </row>
    <row r="3700" spans="8:10" ht="15.75" customHeight="1">
      <c r="H3700" s="16"/>
      <c r="I3700" s="16"/>
      <c r="J3700" s="17"/>
    </row>
    <row r="3701" spans="8:10" ht="15.75" customHeight="1">
      <c r="H3701" s="16"/>
      <c r="I3701" s="16"/>
      <c r="J3701" s="17"/>
    </row>
    <row r="3702" spans="8:10" ht="15.75" customHeight="1">
      <c r="H3702" s="16"/>
      <c r="I3702" s="16"/>
      <c r="J3702" s="17"/>
    </row>
    <row r="3703" spans="8:10" ht="15.75" customHeight="1">
      <c r="H3703" s="16"/>
      <c r="I3703" s="16"/>
      <c r="J3703" s="17"/>
    </row>
    <row r="3704" spans="8:10" ht="15.75" customHeight="1">
      <c r="H3704" s="16"/>
      <c r="I3704" s="16"/>
      <c r="J3704" s="17"/>
    </row>
    <row r="3705" spans="8:10" ht="15.75" customHeight="1">
      <c r="H3705" s="16"/>
      <c r="I3705" s="16"/>
      <c r="J3705" s="17"/>
    </row>
    <row r="3706" spans="8:10" ht="15.75" customHeight="1">
      <c r="H3706" s="16"/>
      <c r="I3706" s="16"/>
      <c r="J3706" s="17"/>
    </row>
    <row r="3707" spans="8:10" ht="15.75" customHeight="1">
      <c r="H3707" s="16"/>
      <c r="I3707" s="16"/>
      <c r="J3707" s="17"/>
    </row>
    <row r="3708" spans="8:10" ht="15.75" customHeight="1">
      <c r="H3708" s="16"/>
      <c r="I3708" s="16"/>
      <c r="J3708" s="17"/>
    </row>
    <row r="3709" spans="8:10" ht="15.75" customHeight="1">
      <c r="H3709" s="16"/>
      <c r="I3709" s="16"/>
      <c r="J3709" s="17"/>
    </row>
    <row r="3710" spans="8:10" ht="15.75" customHeight="1">
      <c r="H3710" s="16"/>
      <c r="I3710" s="16"/>
      <c r="J3710" s="17"/>
    </row>
    <row r="3711" spans="8:10" ht="15.75" customHeight="1">
      <c r="H3711" s="16"/>
      <c r="I3711" s="16"/>
      <c r="J3711" s="17"/>
    </row>
    <row r="3712" spans="8:10" ht="15.75" customHeight="1">
      <c r="H3712" s="16"/>
      <c r="I3712" s="16"/>
      <c r="J3712" s="17"/>
    </row>
    <row r="3713" spans="8:10" ht="15.75" customHeight="1">
      <c r="H3713" s="16"/>
      <c r="I3713" s="16"/>
      <c r="J3713" s="17"/>
    </row>
    <row r="3714" spans="8:10" ht="15.75" customHeight="1">
      <c r="H3714" s="16"/>
      <c r="I3714" s="16"/>
      <c r="J3714" s="17"/>
    </row>
    <row r="3715" spans="8:10" ht="15.75" customHeight="1">
      <c r="H3715" s="16"/>
      <c r="I3715" s="16"/>
      <c r="J3715" s="17"/>
    </row>
    <row r="3716" spans="8:10" ht="15.75" customHeight="1">
      <c r="H3716" s="16"/>
      <c r="I3716" s="16"/>
      <c r="J3716" s="17"/>
    </row>
    <row r="3717" spans="8:10" ht="15.75" customHeight="1">
      <c r="H3717" s="16"/>
      <c r="I3717" s="16"/>
      <c r="J3717" s="17"/>
    </row>
    <row r="3718" spans="8:10" ht="15.75" customHeight="1">
      <c r="H3718" s="16"/>
      <c r="I3718" s="16"/>
      <c r="J3718" s="17"/>
    </row>
    <row r="3719" spans="8:10" ht="15.75" customHeight="1">
      <c r="H3719" s="16"/>
      <c r="I3719" s="16"/>
      <c r="J3719" s="17"/>
    </row>
    <row r="3720" spans="8:10" ht="15.75" customHeight="1">
      <c r="H3720" s="16"/>
      <c r="I3720" s="16"/>
      <c r="J3720" s="17"/>
    </row>
    <row r="3721" spans="8:10" ht="15.75" customHeight="1">
      <c r="H3721" s="16"/>
      <c r="I3721" s="16"/>
      <c r="J3721" s="17"/>
    </row>
    <row r="3722" spans="8:10" ht="15.75" customHeight="1">
      <c r="H3722" s="16"/>
      <c r="I3722" s="16"/>
      <c r="J3722" s="17"/>
    </row>
    <row r="3723" spans="8:10" ht="15.75" customHeight="1">
      <c r="H3723" s="16"/>
      <c r="I3723" s="16"/>
      <c r="J3723" s="17"/>
    </row>
    <row r="3724" spans="8:10" ht="15.75" customHeight="1">
      <c r="H3724" s="16"/>
      <c r="I3724" s="16"/>
      <c r="J3724" s="17"/>
    </row>
    <row r="3725" spans="8:10" ht="15.75" customHeight="1">
      <c r="H3725" s="16"/>
      <c r="I3725" s="16"/>
      <c r="J3725" s="17"/>
    </row>
    <row r="3726" spans="8:10" ht="15.75" customHeight="1">
      <c r="H3726" s="16"/>
      <c r="I3726" s="16"/>
      <c r="J3726" s="17"/>
    </row>
    <row r="3727" spans="8:10" ht="15.75" customHeight="1">
      <c r="H3727" s="16"/>
      <c r="I3727" s="16"/>
      <c r="J3727" s="17"/>
    </row>
    <row r="3728" spans="8:10" ht="15.75" customHeight="1">
      <c r="H3728" s="16"/>
      <c r="I3728" s="16"/>
      <c r="J3728" s="17"/>
    </row>
    <row r="3729" spans="8:10" ht="15.75" customHeight="1">
      <c r="H3729" s="16"/>
      <c r="I3729" s="16"/>
      <c r="J3729" s="17"/>
    </row>
    <row r="3730" spans="8:10" ht="15.75" customHeight="1">
      <c r="H3730" s="16"/>
      <c r="I3730" s="16"/>
      <c r="J3730" s="17"/>
    </row>
    <row r="3731" spans="8:10" ht="15.75" customHeight="1">
      <c r="H3731" s="16"/>
      <c r="I3731" s="16"/>
      <c r="J3731" s="17"/>
    </row>
    <row r="3732" spans="8:10" ht="15.75" customHeight="1">
      <c r="H3732" s="16"/>
      <c r="I3732" s="16"/>
      <c r="J3732" s="17"/>
    </row>
    <row r="3733" spans="8:10" ht="15.75" customHeight="1">
      <c r="H3733" s="16"/>
      <c r="I3733" s="16"/>
      <c r="J3733" s="17"/>
    </row>
    <row r="3734" spans="8:10" ht="15.75" customHeight="1">
      <c r="H3734" s="16"/>
      <c r="I3734" s="16"/>
      <c r="J3734" s="17"/>
    </row>
    <row r="3735" spans="8:10" ht="15.75" customHeight="1">
      <c r="H3735" s="16"/>
      <c r="I3735" s="16"/>
      <c r="J3735" s="17"/>
    </row>
    <row r="3736" spans="8:10" ht="15.75" customHeight="1">
      <c r="H3736" s="16"/>
      <c r="I3736" s="16"/>
      <c r="J3736" s="17"/>
    </row>
    <row r="3737" spans="8:10" ht="15.75" customHeight="1">
      <c r="H3737" s="16"/>
      <c r="I3737" s="16"/>
      <c r="J3737" s="17"/>
    </row>
    <row r="3738" spans="8:10" ht="15.75" customHeight="1">
      <c r="H3738" s="16"/>
      <c r="I3738" s="16"/>
      <c r="J3738" s="17"/>
    </row>
    <row r="3739" spans="8:10" ht="15.75" customHeight="1">
      <c r="H3739" s="16"/>
      <c r="I3739" s="16"/>
      <c r="J3739" s="17"/>
    </row>
    <row r="3740" spans="8:10" ht="15.75" customHeight="1">
      <c r="H3740" s="16"/>
      <c r="I3740" s="16"/>
      <c r="J3740" s="17"/>
    </row>
    <row r="3741" spans="8:10" ht="15.75" customHeight="1">
      <c r="H3741" s="16"/>
      <c r="I3741" s="16"/>
      <c r="J3741" s="17"/>
    </row>
    <row r="3742" spans="8:10" ht="15.75" customHeight="1">
      <c r="H3742" s="16"/>
      <c r="I3742" s="16"/>
      <c r="J3742" s="17"/>
    </row>
    <row r="3743" spans="8:10" ht="15.75" customHeight="1">
      <c r="H3743" s="16"/>
      <c r="I3743" s="16"/>
      <c r="J3743" s="17"/>
    </row>
    <row r="3744" spans="8:10" ht="15.75" customHeight="1">
      <c r="H3744" s="16"/>
      <c r="I3744" s="16"/>
      <c r="J3744" s="17"/>
    </row>
    <row r="3745" spans="8:10" ht="15.75" customHeight="1">
      <c r="H3745" s="16"/>
      <c r="I3745" s="16"/>
      <c r="J3745" s="17"/>
    </row>
    <row r="3746" spans="8:10" ht="15.75" customHeight="1">
      <c r="H3746" s="16"/>
      <c r="I3746" s="16"/>
      <c r="J3746" s="17"/>
    </row>
    <row r="3747" spans="8:10" ht="15.75" customHeight="1">
      <c r="H3747" s="16"/>
      <c r="I3747" s="16"/>
      <c r="J3747" s="17"/>
    </row>
    <row r="3748" spans="8:10" ht="15.75" customHeight="1">
      <c r="H3748" s="16"/>
      <c r="I3748" s="16"/>
      <c r="J3748" s="17"/>
    </row>
    <row r="3749" spans="8:10" ht="15.75" customHeight="1">
      <c r="H3749" s="16"/>
      <c r="I3749" s="16"/>
      <c r="J3749" s="17"/>
    </row>
    <row r="3750" spans="8:10" ht="15.75" customHeight="1">
      <c r="H3750" s="16"/>
      <c r="I3750" s="16"/>
      <c r="J3750" s="17"/>
    </row>
    <row r="3751" spans="8:10" ht="15.75" customHeight="1">
      <c r="H3751" s="16"/>
      <c r="I3751" s="16"/>
      <c r="J3751" s="17"/>
    </row>
    <row r="3752" spans="8:10" ht="15.75" customHeight="1">
      <c r="H3752" s="16"/>
      <c r="I3752" s="16"/>
      <c r="J3752" s="17"/>
    </row>
    <row r="3753" spans="8:10" ht="15.75" customHeight="1">
      <c r="H3753" s="16"/>
      <c r="I3753" s="16"/>
      <c r="J3753" s="17"/>
    </row>
    <row r="3754" spans="8:10" ht="15.75" customHeight="1">
      <c r="H3754" s="16"/>
      <c r="I3754" s="16"/>
      <c r="J3754" s="17"/>
    </row>
    <row r="3755" spans="8:10" ht="15.75" customHeight="1">
      <c r="H3755" s="16"/>
      <c r="I3755" s="16"/>
      <c r="J3755" s="17"/>
    </row>
    <row r="3756" spans="8:10" ht="15.75" customHeight="1">
      <c r="H3756" s="16"/>
      <c r="I3756" s="16"/>
      <c r="J3756" s="17"/>
    </row>
    <row r="3757" spans="8:10" ht="15.75" customHeight="1">
      <c r="H3757" s="16"/>
      <c r="I3757" s="16"/>
      <c r="J3757" s="17"/>
    </row>
    <row r="3758" spans="8:10" ht="15.75" customHeight="1">
      <c r="H3758" s="16"/>
      <c r="I3758" s="16"/>
      <c r="J3758" s="17"/>
    </row>
    <row r="3759" spans="8:10" ht="15.75" customHeight="1">
      <c r="H3759" s="16"/>
      <c r="I3759" s="16"/>
      <c r="J3759" s="17"/>
    </row>
    <row r="3760" spans="8:10" ht="15.75" customHeight="1">
      <c r="H3760" s="16"/>
      <c r="I3760" s="16"/>
      <c r="J3760" s="17"/>
    </row>
    <row r="3761" spans="8:10" ht="15.75" customHeight="1">
      <c r="H3761" s="16"/>
      <c r="I3761" s="16"/>
      <c r="J3761" s="17"/>
    </row>
    <row r="3762" spans="8:10" ht="15.75" customHeight="1">
      <c r="H3762" s="16"/>
      <c r="I3762" s="16"/>
      <c r="J3762" s="17"/>
    </row>
    <row r="3763" spans="8:10" ht="15.75" customHeight="1">
      <c r="H3763" s="16"/>
      <c r="I3763" s="16"/>
      <c r="J3763" s="17"/>
    </row>
    <row r="3764" spans="8:10" ht="15.75" customHeight="1">
      <c r="H3764" s="16"/>
      <c r="I3764" s="16"/>
      <c r="J3764" s="17"/>
    </row>
    <row r="3765" spans="8:10" ht="15.75" customHeight="1">
      <c r="H3765" s="16"/>
      <c r="I3765" s="16"/>
      <c r="J3765" s="17"/>
    </row>
    <row r="3766" spans="8:10" ht="15.75" customHeight="1">
      <c r="H3766" s="16"/>
      <c r="I3766" s="16"/>
      <c r="J3766" s="17"/>
    </row>
    <row r="3767" spans="8:10" ht="15.75" customHeight="1">
      <c r="H3767" s="16"/>
      <c r="I3767" s="16"/>
      <c r="J3767" s="17"/>
    </row>
    <row r="3768" spans="8:10" ht="15.75" customHeight="1">
      <c r="H3768" s="16"/>
      <c r="I3768" s="16"/>
      <c r="J3768" s="17"/>
    </row>
    <row r="3769" spans="8:10" ht="15.75" customHeight="1">
      <c r="H3769" s="16"/>
      <c r="I3769" s="16"/>
      <c r="J3769" s="17"/>
    </row>
    <row r="3770" spans="8:10" ht="15.75" customHeight="1">
      <c r="H3770" s="16"/>
      <c r="I3770" s="16"/>
      <c r="J3770" s="17"/>
    </row>
    <row r="3771" spans="8:10" ht="15.75" customHeight="1">
      <c r="H3771" s="16"/>
      <c r="I3771" s="16"/>
      <c r="J3771" s="17"/>
    </row>
    <row r="3772" spans="8:10" ht="15.75" customHeight="1">
      <c r="H3772" s="16"/>
      <c r="I3772" s="16"/>
      <c r="J3772" s="17"/>
    </row>
    <row r="3773" spans="8:10" ht="15.75" customHeight="1">
      <c r="H3773" s="16"/>
      <c r="I3773" s="16"/>
      <c r="J3773" s="17"/>
    </row>
    <row r="3774" spans="8:10" ht="15.75" customHeight="1">
      <c r="H3774" s="16"/>
      <c r="I3774" s="16"/>
      <c r="J3774" s="17"/>
    </row>
    <row r="3775" spans="8:10" ht="15.75" customHeight="1">
      <c r="H3775" s="16"/>
      <c r="I3775" s="16"/>
      <c r="J3775" s="17"/>
    </row>
    <row r="3776" spans="8:10" ht="15.75" customHeight="1">
      <c r="H3776" s="16"/>
      <c r="I3776" s="16"/>
      <c r="J3776" s="17"/>
    </row>
    <row r="3777" spans="8:10" ht="15.75" customHeight="1">
      <c r="H3777" s="16"/>
      <c r="I3777" s="16"/>
      <c r="J3777" s="17"/>
    </row>
    <row r="3778" spans="8:10" ht="15.75" customHeight="1">
      <c r="H3778" s="16"/>
      <c r="I3778" s="16"/>
      <c r="J3778" s="17"/>
    </row>
    <row r="3779" spans="8:10" ht="15.75" customHeight="1">
      <c r="H3779" s="16"/>
      <c r="I3779" s="16"/>
      <c r="J3779" s="17"/>
    </row>
    <row r="3780" spans="8:10" ht="15.75" customHeight="1">
      <c r="H3780" s="16"/>
      <c r="I3780" s="16"/>
      <c r="J3780" s="17"/>
    </row>
    <row r="3781" spans="8:10" ht="15.75" customHeight="1">
      <c r="H3781" s="16"/>
      <c r="I3781" s="16"/>
      <c r="J3781" s="17"/>
    </row>
    <row r="3782" spans="8:10" ht="15.75" customHeight="1">
      <c r="H3782" s="16"/>
      <c r="I3782" s="16"/>
      <c r="J3782" s="17"/>
    </row>
    <row r="3783" spans="8:10" ht="15.75" customHeight="1">
      <c r="H3783" s="16"/>
      <c r="I3783" s="16"/>
      <c r="J3783" s="17"/>
    </row>
    <row r="3784" spans="8:10" ht="15.75" customHeight="1">
      <c r="H3784" s="16"/>
      <c r="I3784" s="16"/>
      <c r="J3784" s="17"/>
    </row>
    <row r="3785" spans="8:10" ht="15.75" customHeight="1">
      <c r="H3785" s="16"/>
      <c r="I3785" s="16"/>
      <c r="J3785" s="17"/>
    </row>
    <row r="3786" spans="8:10" ht="15.75" customHeight="1">
      <c r="H3786" s="16"/>
      <c r="I3786" s="16"/>
      <c r="J3786" s="17"/>
    </row>
    <row r="3787" spans="8:10" ht="15.75" customHeight="1">
      <c r="H3787" s="16"/>
      <c r="I3787" s="16"/>
      <c r="J3787" s="17"/>
    </row>
    <row r="3788" spans="8:10" ht="15.75" customHeight="1">
      <c r="H3788" s="16"/>
      <c r="I3788" s="16"/>
      <c r="J3788" s="17"/>
    </row>
    <row r="3789" spans="8:10" ht="15.75" customHeight="1">
      <c r="H3789" s="16"/>
      <c r="I3789" s="16"/>
      <c r="J3789" s="17"/>
    </row>
    <row r="3790" spans="8:10" ht="15.75" customHeight="1">
      <c r="H3790" s="16"/>
      <c r="I3790" s="16"/>
      <c r="J3790" s="17"/>
    </row>
    <row r="3791" spans="8:10" ht="15.75" customHeight="1">
      <c r="H3791" s="16"/>
      <c r="I3791" s="16"/>
      <c r="J3791" s="17"/>
    </row>
    <row r="3792" spans="8:10" ht="15.75" customHeight="1">
      <c r="H3792" s="16"/>
      <c r="I3792" s="16"/>
      <c r="J3792" s="17"/>
    </row>
    <row r="3793" spans="8:10" ht="15.75" customHeight="1">
      <c r="H3793" s="16"/>
      <c r="I3793" s="16"/>
      <c r="J3793" s="17"/>
    </row>
    <row r="3794" spans="8:10" ht="15.75" customHeight="1">
      <c r="H3794" s="16"/>
      <c r="I3794" s="16"/>
      <c r="J3794" s="17"/>
    </row>
    <row r="3795" spans="8:10" ht="15.75" customHeight="1">
      <c r="H3795" s="16"/>
      <c r="I3795" s="16"/>
      <c r="J3795" s="17"/>
    </row>
    <row r="3796" spans="8:10" ht="15.75" customHeight="1">
      <c r="H3796" s="16"/>
      <c r="I3796" s="16"/>
      <c r="J3796" s="17"/>
    </row>
    <row r="3797" spans="8:10" ht="15.75" customHeight="1">
      <c r="H3797" s="16"/>
      <c r="I3797" s="16"/>
      <c r="J3797" s="17"/>
    </row>
    <row r="3798" spans="8:10" ht="15.75" customHeight="1">
      <c r="H3798" s="16"/>
      <c r="I3798" s="16"/>
      <c r="J3798" s="17"/>
    </row>
    <row r="3799" spans="8:10" ht="15.75" customHeight="1">
      <c r="H3799" s="16"/>
      <c r="I3799" s="16"/>
      <c r="J3799" s="17"/>
    </row>
    <row r="3800" spans="8:10" ht="15.75" customHeight="1">
      <c r="H3800" s="16"/>
      <c r="I3800" s="16"/>
      <c r="J3800" s="17"/>
    </row>
    <row r="3801" spans="8:10" ht="15.75" customHeight="1">
      <c r="H3801" s="16"/>
      <c r="I3801" s="16"/>
      <c r="J3801" s="17"/>
    </row>
    <row r="3802" spans="8:10" ht="15.75" customHeight="1">
      <c r="H3802" s="16"/>
      <c r="I3802" s="16"/>
      <c r="J3802" s="17"/>
    </row>
    <row r="3803" spans="8:10" ht="15.75" customHeight="1">
      <c r="H3803" s="16"/>
      <c r="I3803" s="16"/>
      <c r="J3803" s="17"/>
    </row>
    <row r="3804" spans="8:10" ht="15.75" customHeight="1">
      <c r="H3804" s="16"/>
      <c r="I3804" s="16"/>
      <c r="J3804" s="17"/>
    </row>
    <row r="3805" spans="8:10" ht="15.75" customHeight="1">
      <c r="H3805" s="16"/>
      <c r="I3805" s="16"/>
      <c r="J3805" s="17"/>
    </row>
    <row r="3806" spans="8:10" ht="15.75" customHeight="1">
      <c r="H3806" s="16"/>
      <c r="I3806" s="16"/>
      <c r="J3806" s="17"/>
    </row>
    <row r="3807" spans="8:10" ht="15.75" customHeight="1">
      <c r="H3807" s="16"/>
      <c r="I3807" s="16"/>
      <c r="J3807" s="17"/>
    </row>
    <row r="3808" spans="8:10" ht="15.75" customHeight="1">
      <c r="H3808" s="16"/>
      <c r="I3808" s="16"/>
      <c r="J3808" s="17"/>
    </row>
    <row r="3809" spans="8:10" ht="15.75" customHeight="1">
      <c r="H3809" s="16"/>
      <c r="I3809" s="16"/>
      <c r="J3809" s="17"/>
    </row>
    <row r="3810" spans="8:10" ht="15.75" customHeight="1">
      <c r="H3810" s="16"/>
      <c r="I3810" s="16"/>
      <c r="J3810" s="17"/>
    </row>
    <row r="3811" spans="8:10" ht="15.75" customHeight="1">
      <c r="H3811" s="16"/>
      <c r="I3811" s="16"/>
      <c r="J3811" s="17"/>
    </row>
    <row r="3812" spans="8:10" ht="15.75" customHeight="1">
      <c r="H3812" s="16"/>
      <c r="I3812" s="16"/>
      <c r="J3812" s="17"/>
    </row>
    <row r="3813" spans="8:10" ht="15.75" customHeight="1">
      <c r="H3813" s="16"/>
      <c r="I3813" s="16"/>
      <c r="J3813" s="17"/>
    </row>
    <row r="3814" spans="8:10" ht="15.75" customHeight="1">
      <c r="H3814" s="16"/>
      <c r="I3814" s="16"/>
      <c r="J3814" s="17"/>
    </row>
    <row r="3815" spans="8:10" ht="15.75" customHeight="1">
      <c r="H3815" s="16"/>
      <c r="I3815" s="16"/>
      <c r="J3815" s="17"/>
    </row>
    <row r="3816" spans="8:10" ht="15.75" customHeight="1">
      <c r="H3816" s="16"/>
      <c r="I3816" s="16"/>
      <c r="J3816" s="17"/>
    </row>
    <row r="3817" spans="8:10" ht="15.75" customHeight="1">
      <c r="H3817" s="16"/>
      <c r="I3817" s="16"/>
      <c r="J3817" s="17"/>
    </row>
    <row r="3818" spans="8:10" ht="15.75" customHeight="1">
      <c r="H3818" s="16"/>
      <c r="I3818" s="16"/>
      <c r="J3818" s="17"/>
    </row>
    <row r="3819" spans="8:10" ht="15.75" customHeight="1">
      <c r="H3819" s="16"/>
      <c r="I3819" s="16"/>
      <c r="J3819" s="17"/>
    </row>
    <row r="3820" spans="8:10" ht="15.75" customHeight="1">
      <c r="H3820" s="16"/>
      <c r="I3820" s="16"/>
      <c r="J3820" s="17"/>
    </row>
    <row r="3821" spans="8:10" ht="15.75" customHeight="1">
      <c r="H3821" s="16"/>
      <c r="I3821" s="16"/>
      <c r="J3821" s="17"/>
    </row>
    <row r="3822" spans="8:10" ht="15.75" customHeight="1">
      <c r="H3822" s="16"/>
      <c r="I3822" s="16"/>
      <c r="J3822" s="17"/>
    </row>
    <row r="3823" spans="8:10" ht="15.75" customHeight="1">
      <c r="H3823" s="16"/>
      <c r="I3823" s="16"/>
      <c r="J3823" s="17"/>
    </row>
    <row r="3824" spans="8:10" ht="15.75" customHeight="1">
      <c r="H3824" s="16"/>
      <c r="I3824" s="16"/>
      <c r="J3824" s="17"/>
    </row>
    <row r="3825" spans="8:10" ht="15.75" customHeight="1">
      <c r="H3825" s="16"/>
      <c r="I3825" s="16"/>
      <c r="J3825" s="17"/>
    </row>
    <row r="3826" spans="8:10" ht="15.75" customHeight="1">
      <c r="H3826" s="16"/>
      <c r="I3826" s="16"/>
      <c r="J3826" s="17"/>
    </row>
    <row r="3827" spans="8:10" ht="15.75" customHeight="1">
      <c r="H3827" s="16"/>
      <c r="I3827" s="16"/>
      <c r="J3827" s="17"/>
    </row>
    <row r="3828" spans="8:10" ht="15.75" customHeight="1">
      <c r="H3828" s="16"/>
      <c r="I3828" s="16"/>
      <c r="J3828" s="17"/>
    </row>
    <row r="3829" spans="8:10" ht="15.75" customHeight="1">
      <c r="H3829" s="16"/>
      <c r="I3829" s="16"/>
      <c r="J3829" s="17"/>
    </row>
    <row r="3830" spans="8:10" ht="15.75" customHeight="1">
      <c r="H3830" s="16"/>
      <c r="I3830" s="16"/>
      <c r="J3830" s="17"/>
    </row>
    <row r="3831" spans="8:10" ht="15.75" customHeight="1">
      <c r="H3831" s="16"/>
      <c r="I3831" s="16"/>
      <c r="J3831" s="17"/>
    </row>
    <row r="3832" spans="8:10" ht="15.75" customHeight="1">
      <c r="H3832" s="16"/>
      <c r="I3832" s="16"/>
      <c r="J3832" s="17"/>
    </row>
    <row r="3833" spans="8:10" ht="15.75" customHeight="1">
      <c r="H3833" s="16"/>
      <c r="I3833" s="16"/>
      <c r="J3833" s="17"/>
    </row>
    <row r="3834" spans="8:10" ht="15.75" customHeight="1">
      <c r="H3834" s="16"/>
      <c r="I3834" s="16"/>
      <c r="J3834" s="17"/>
    </row>
    <row r="3835" spans="8:10" ht="15.75" customHeight="1">
      <c r="H3835" s="16"/>
      <c r="I3835" s="16"/>
      <c r="J3835" s="17"/>
    </row>
    <row r="3836" spans="8:10" ht="15.75" customHeight="1">
      <c r="H3836" s="16"/>
      <c r="I3836" s="16"/>
      <c r="J3836" s="17"/>
    </row>
    <row r="3837" spans="8:10" ht="15.75" customHeight="1">
      <c r="H3837" s="16"/>
      <c r="I3837" s="16"/>
      <c r="J3837" s="17"/>
    </row>
    <row r="3838" spans="8:10" ht="15.75" customHeight="1">
      <c r="H3838" s="16"/>
      <c r="I3838" s="16"/>
      <c r="J3838" s="17"/>
    </row>
    <row r="3839" spans="8:10" ht="15.75" customHeight="1">
      <c r="H3839" s="16"/>
      <c r="I3839" s="16"/>
      <c r="J3839" s="17"/>
    </row>
    <row r="3840" spans="8:10" ht="15.75" customHeight="1">
      <c r="H3840" s="16"/>
      <c r="I3840" s="16"/>
      <c r="J3840" s="17"/>
    </row>
    <row r="3841" spans="8:10" ht="15.75" customHeight="1">
      <c r="H3841" s="16"/>
      <c r="I3841" s="16"/>
      <c r="J3841" s="17"/>
    </row>
    <row r="3842" spans="8:10" ht="15.75" customHeight="1">
      <c r="H3842" s="16"/>
      <c r="I3842" s="16"/>
      <c r="J3842" s="17"/>
    </row>
    <row r="3843" spans="8:10" ht="15.75" customHeight="1">
      <c r="H3843" s="16"/>
      <c r="I3843" s="16"/>
      <c r="J3843" s="17"/>
    </row>
    <row r="3844" spans="8:10" ht="15.75" customHeight="1">
      <c r="H3844" s="16"/>
      <c r="I3844" s="16"/>
      <c r="J3844" s="17"/>
    </row>
    <row r="3845" spans="8:10" ht="15.75" customHeight="1">
      <c r="H3845" s="16"/>
      <c r="I3845" s="16"/>
      <c r="J3845" s="17"/>
    </row>
    <row r="3846" spans="8:10" ht="15.75" customHeight="1">
      <c r="H3846" s="16"/>
      <c r="I3846" s="16"/>
      <c r="J3846" s="17"/>
    </row>
    <row r="3847" spans="8:10" ht="15.75" customHeight="1">
      <c r="H3847" s="16"/>
      <c r="I3847" s="16"/>
      <c r="J3847" s="17"/>
    </row>
    <row r="3848" spans="8:10" ht="15.75" customHeight="1">
      <c r="H3848" s="16"/>
      <c r="I3848" s="16"/>
      <c r="J3848" s="17"/>
    </row>
    <row r="3849" spans="8:10" ht="15.75" customHeight="1">
      <c r="H3849" s="16"/>
      <c r="I3849" s="16"/>
      <c r="J3849" s="17"/>
    </row>
    <row r="3850" spans="8:10" ht="15.75" customHeight="1">
      <c r="H3850" s="16"/>
      <c r="I3850" s="16"/>
      <c r="J3850" s="17"/>
    </row>
    <row r="3851" spans="8:10" ht="15.75" customHeight="1">
      <c r="H3851" s="16"/>
      <c r="I3851" s="16"/>
      <c r="J3851" s="17"/>
    </row>
    <row r="3852" spans="8:10" ht="15.75" customHeight="1">
      <c r="H3852" s="16"/>
      <c r="I3852" s="16"/>
      <c r="J3852" s="17"/>
    </row>
    <row r="3853" spans="8:10" ht="15.75" customHeight="1">
      <c r="H3853" s="16"/>
      <c r="I3853" s="16"/>
      <c r="J3853" s="17"/>
    </row>
    <row r="3854" spans="8:10" ht="15.75" customHeight="1">
      <c r="H3854" s="16"/>
      <c r="I3854" s="16"/>
      <c r="J3854" s="17"/>
    </row>
    <row r="3855" spans="8:10" ht="15.75" customHeight="1">
      <c r="H3855" s="16"/>
      <c r="I3855" s="16"/>
      <c r="J3855" s="17"/>
    </row>
    <row r="3856" spans="8:10" ht="15.75" customHeight="1">
      <c r="H3856" s="16"/>
      <c r="I3856" s="16"/>
      <c r="J3856" s="17"/>
    </row>
    <row r="3857" spans="8:10" ht="15.75" customHeight="1">
      <c r="H3857" s="16"/>
      <c r="I3857" s="16"/>
      <c r="J3857" s="17"/>
    </row>
    <row r="3858" spans="8:10" ht="15.75" customHeight="1">
      <c r="H3858" s="16"/>
      <c r="I3858" s="16"/>
      <c r="J3858" s="17"/>
    </row>
    <row r="3859" spans="8:10" ht="15.75" customHeight="1">
      <c r="H3859" s="16"/>
      <c r="I3859" s="16"/>
      <c r="J3859" s="17"/>
    </row>
    <row r="3860" spans="8:10" ht="15.75" customHeight="1">
      <c r="H3860" s="16"/>
      <c r="I3860" s="16"/>
      <c r="J3860" s="17"/>
    </row>
    <row r="3861" spans="8:10" ht="15.75" customHeight="1">
      <c r="H3861" s="16"/>
      <c r="I3861" s="16"/>
      <c r="J3861" s="17"/>
    </row>
    <row r="3862" spans="8:10" ht="15.75" customHeight="1">
      <c r="H3862" s="16"/>
      <c r="I3862" s="16"/>
      <c r="J3862" s="17"/>
    </row>
    <row r="3863" spans="8:10" ht="15.75" customHeight="1">
      <c r="H3863" s="16"/>
      <c r="I3863" s="16"/>
      <c r="J3863" s="17"/>
    </row>
    <row r="3864" spans="8:10" ht="15.75" customHeight="1">
      <c r="H3864" s="16"/>
      <c r="I3864" s="16"/>
      <c r="J3864" s="17"/>
    </row>
    <row r="3865" spans="8:10" ht="15.75" customHeight="1">
      <c r="H3865" s="16"/>
      <c r="I3865" s="16"/>
      <c r="J3865" s="17"/>
    </row>
    <row r="3866" spans="8:10" ht="15.75" customHeight="1">
      <c r="H3866" s="16"/>
      <c r="I3866" s="16"/>
      <c r="J3866" s="17"/>
    </row>
    <row r="3867" spans="8:10" ht="15.75" customHeight="1">
      <c r="H3867" s="16"/>
      <c r="I3867" s="16"/>
      <c r="J3867" s="17"/>
    </row>
    <row r="3868" spans="8:10" ht="15.75" customHeight="1">
      <c r="H3868" s="16"/>
      <c r="I3868" s="16"/>
      <c r="J3868" s="17"/>
    </row>
    <row r="3869" spans="8:10" ht="15.75" customHeight="1">
      <c r="H3869" s="16"/>
      <c r="I3869" s="16"/>
      <c r="J3869" s="17"/>
    </row>
    <row r="3870" spans="8:10" ht="15.75" customHeight="1">
      <c r="H3870" s="16"/>
      <c r="I3870" s="16"/>
      <c r="J3870" s="17"/>
    </row>
    <row r="3871" spans="8:10" ht="15.75" customHeight="1">
      <c r="H3871" s="16"/>
      <c r="I3871" s="16"/>
      <c r="J3871" s="17"/>
    </row>
    <row r="3872" spans="8:10" ht="15.75" customHeight="1">
      <c r="H3872" s="16"/>
      <c r="I3872" s="16"/>
      <c r="J3872" s="17"/>
    </row>
    <row r="3873" spans="8:10" ht="15.75" customHeight="1">
      <c r="H3873" s="16"/>
      <c r="I3873" s="16"/>
      <c r="J3873" s="17"/>
    </row>
    <row r="3874" spans="8:10" ht="15.75" customHeight="1">
      <c r="H3874" s="16"/>
      <c r="I3874" s="16"/>
      <c r="J3874" s="17"/>
    </row>
    <row r="3875" spans="8:10" ht="15.75" customHeight="1">
      <c r="H3875" s="16"/>
      <c r="I3875" s="16"/>
      <c r="J3875" s="17"/>
    </row>
    <row r="3876" spans="8:10" ht="15.75" customHeight="1">
      <c r="H3876" s="16"/>
      <c r="I3876" s="16"/>
      <c r="J3876" s="17"/>
    </row>
    <row r="3877" spans="8:10" ht="15.75" customHeight="1">
      <c r="H3877" s="16"/>
      <c r="I3877" s="16"/>
      <c r="J3877" s="17"/>
    </row>
    <row r="3878" spans="8:10" ht="15.75" customHeight="1">
      <c r="H3878" s="16"/>
      <c r="I3878" s="16"/>
      <c r="J3878" s="17"/>
    </row>
    <row r="3879" spans="8:10" ht="15.75" customHeight="1">
      <c r="H3879" s="16"/>
      <c r="I3879" s="16"/>
      <c r="J3879" s="17"/>
    </row>
    <row r="3880" spans="8:10" ht="15.75" customHeight="1">
      <c r="H3880" s="16"/>
      <c r="I3880" s="16"/>
      <c r="J3880" s="17"/>
    </row>
    <row r="3881" spans="8:10" ht="15.75" customHeight="1">
      <c r="H3881" s="16"/>
      <c r="I3881" s="16"/>
      <c r="J3881" s="17"/>
    </row>
    <row r="3882" spans="8:10" ht="15.75" customHeight="1">
      <c r="H3882" s="16"/>
      <c r="I3882" s="16"/>
      <c r="J3882" s="17"/>
    </row>
    <row r="3883" spans="8:10" ht="15.75" customHeight="1">
      <c r="H3883" s="16"/>
      <c r="I3883" s="16"/>
      <c r="J3883" s="17"/>
    </row>
    <row r="3884" spans="8:10" ht="15.75" customHeight="1">
      <c r="H3884" s="16"/>
      <c r="I3884" s="16"/>
      <c r="J3884" s="17"/>
    </row>
    <row r="3885" spans="8:10" ht="15.75" customHeight="1">
      <c r="H3885" s="16"/>
      <c r="I3885" s="16"/>
      <c r="J3885" s="17"/>
    </row>
    <row r="3886" spans="8:10" ht="15.75" customHeight="1">
      <c r="H3886" s="16"/>
      <c r="I3886" s="16"/>
      <c r="J3886" s="17"/>
    </row>
    <row r="3887" spans="8:10" ht="15.75" customHeight="1">
      <c r="H3887" s="16"/>
      <c r="I3887" s="16"/>
      <c r="J3887" s="17"/>
    </row>
    <row r="3888" spans="8:10" ht="15.75" customHeight="1">
      <c r="H3888" s="16"/>
      <c r="I3888" s="16"/>
      <c r="J3888" s="17"/>
    </row>
    <row r="3889" spans="8:10" ht="15.75" customHeight="1">
      <c r="H3889" s="16"/>
      <c r="I3889" s="16"/>
      <c r="J3889" s="17"/>
    </row>
    <row r="3890" spans="8:10" ht="15.75" customHeight="1">
      <c r="H3890" s="16"/>
      <c r="I3890" s="16"/>
      <c r="J3890" s="17"/>
    </row>
    <row r="3891" spans="8:10" ht="15.75" customHeight="1">
      <c r="H3891" s="16"/>
      <c r="I3891" s="16"/>
      <c r="J3891" s="17"/>
    </row>
    <row r="3892" spans="8:10" ht="15.75" customHeight="1">
      <c r="H3892" s="16"/>
      <c r="I3892" s="16"/>
      <c r="J3892" s="17"/>
    </row>
    <row r="3893" spans="8:10" ht="15.75" customHeight="1">
      <c r="H3893" s="16"/>
      <c r="I3893" s="16"/>
      <c r="J3893" s="17"/>
    </row>
    <row r="3894" spans="8:10" ht="15.75" customHeight="1">
      <c r="H3894" s="16"/>
      <c r="I3894" s="16"/>
      <c r="J3894" s="17"/>
    </row>
    <row r="3895" spans="8:10" ht="15.75" customHeight="1">
      <c r="H3895" s="16"/>
      <c r="I3895" s="16"/>
      <c r="J3895" s="17"/>
    </row>
    <row r="3896" spans="8:10" ht="15.75" customHeight="1">
      <c r="H3896" s="16"/>
      <c r="I3896" s="16"/>
      <c r="J3896" s="17"/>
    </row>
    <row r="3897" spans="8:10" ht="15.75" customHeight="1">
      <c r="H3897" s="16"/>
      <c r="I3897" s="16"/>
      <c r="J3897" s="17"/>
    </row>
    <row r="3898" spans="8:10" ht="15.75" customHeight="1">
      <c r="H3898" s="16"/>
      <c r="I3898" s="16"/>
      <c r="J3898" s="17"/>
    </row>
    <row r="3899" spans="8:10" ht="15.75" customHeight="1">
      <c r="H3899" s="16"/>
      <c r="I3899" s="16"/>
      <c r="J3899" s="17"/>
    </row>
    <row r="3900" spans="8:10" ht="15.75" customHeight="1">
      <c r="H3900" s="16"/>
      <c r="I3900" s="16"/>
      <c r="J3900" s="17"/>
    </row>
    <row r="3901" spans="8:10" ht="15.75" customHeight="1">
      <c r="H3901" s="16"/>
      <c r="I3901" s="16"/>
      <c r="J3901" s="17"/>
    </row>
    <row r="3902" spans="8:10" ht="15.75" customHeight="1">
      <c r="H3902" s="16"/>
      <c r="I3902" s="16"/>
      <c r="J3902" s="17"/>
    </row>
    <row r="3903" spans="8:10" ht="15.75" customHeight="1">
      <c r="H3903" s="16"/>
      <c r="I3903" s="16"/>
      <c r="J3903" s="17"/>
    </row>
    <row r="3904" spans="8:10" ht="15.75" customHeight="1">
      <c r="H3904" s="16"/>
      <c r="I3904" s="16"/>
      <c r="J3904" s="17"/>
    </row>
    <row r="3905" spans="8:10" ht="15.75" customHeight="1">
      <c r="H3905" s="16"/>
      <c r="I3905" s="16"/>
      <c r="J3905" s="17"/>
    </row>
    <row r="3906" spans="8:10" ht="15.75" customHeight="1">
      <c r="H3906" s="16"/>
      <c r="I3906" s="16"/>
      <c r="J3906" s="17"/>
    </row>
    <row r="3907" spans="8:10" ht="15.75" customHeight="1">
      <c r="H3907" s="16"/>
      <c r="I3907" s="16"/>
      <c r="J3907" s="17"/>
    </row>
    <row r="3908" spans="8:10" ht="15.75" customHeight="1">
      <c r="H3908" s="16"/>
      <c r="I3908" s="16"/>
      <c r="J3908" s="17"/>
    </row>
    <row r="3909" spans="8:10" ht="15.75" customHeight="1">
      <c r="H3909" s="16"/>
      <c r="I3909" s="16"/>
      <c r="J3909" s="17"/>
    </row>
    <row r="3910" spans="8:10" ht="15.75" customHeight="1">
      <c r="H3910" s="16"/>
      <c r="I3910" s="16"/>
      <c r="J3910" s="17"/>
    </row>
    <row r="3911" spans="8:10" ht="15.75" customHeight="1">
      <c r="H3911" s="16"/>
      <c r="I3911" s="16"/>
      <c r="J3911" s="17"/>
    </row>
    <row r="3912" spans="8:10" ht="15.75" customHeight="1">
      <c r="H3912" s="16"/>
      <c r="I3912" s="16"/>
      <c r="J3912" s="17"/>
    </row>
    <row r="3913" spans="8:10" ht="15.75" customHeight="1">
      <c r="H3913" s="16"/>
      <c r="I3913" s="16"/>
      <c r="J3913" s="17"/>
    </row>
    <row r="3914" spans="8:10" ht="15.75" customHeight="1">
      <c r="H3914" s="16"/>
      <c r="I3914" s="16"/>
      <c r="J3914" s="17"/>
    </row>
    <row r="3915" spans="8:10" ht="15.75" customHeight="1">
      <c r="H3915" s="16"/>
      <c r="I3915" s="16"/>
      <c r="J3915" s="17"/>
    </row>
    <row r="3916" spans="8:10" ht="15.75" customHeight="1">
      <c r="H3916" s="16"/>
      <c r="I3916" s="16"/>
      <c r="J3916" s="17"/>
    </row>
    <row r="3917" spans="8:10" ht="15.75" customHeight="1">
      <c r="H3917" s="16"/>
      <c r="I3917" s="16"/>
      <c r="J3917" s="17"/>
    </row>
    <row r="3918" spans="8:10" ht="15.75" customHeight="1">
      <c r="H3918" s="16"/>
      <c r="I3918" s="16"/>
      <c r="J3918" s="17"/>
    </row>
    <row r="3919" spans="8:10" ht="15.75" customHeight="1">
      <c r="H3919" s="16"/>
      <c r="I3919" s="16"/>
      <c r="J3919" s="17"/>
    </row>
    <row r="3920" spans="8:10" ht="15.75" customHeight="1">
      <c r="H3920" s="16"/>
      <c r="I3920" s="16"/>
      <c r="J3920" s="17"/>
    </row>
    <row r="3921" spans="8:10" ht="15.75" customHeight="1">
      <c r="H3921" s="16"/>
      <c r="I3921" s="16"/>
      <c r="J3921" s="17"/>
    </row>
    <row r="3922" spans="8:10" ht="15.75" customHeight="1">
      <c r="H3922" s="16"/>
      <c r="I3922" s="16"/>
      <c r="J3922" s="17"/>
    </row>
    <row r="3923" spans="8:10" ht="15.75" customHeight="1">
      <c r="H3923" s="16"/>
      <c r="I3923" s="16"/>
      <c r="J3923" s="17"/>
    </row>
    <row r="3924" spans="8:10" ht="15.75" customHeight="1">
      <c r="H3924" s="16"/>
      <c r="I3924" s="16"/>
      <c r="J3924" s="17"/>
    </row>
    <row r="3925" spans="8:10" ht="15.75" customHeight="1">
      <c r="H3925" s="16"/>
      <c r="I3925" s="16"/>
      <c r="J3925" s="17"/>
    </row>
    <row r="3926" spans="8:10" ht="15.75" customHeight="1">
      <c r="H3926" s="16"/>
      <c r="I3926" s="16"/>
      <c r="J3926" s="17"/>
    </row>
    <row r="3927" spans="8:10" ht="15.75" customHeight="1">
      <c r="H3927" s="16"/>
      <c r="I3927" s="16"/>
      <c r="J3927" s="17"/>
    </row>
    <row r="3928" spans="8:10" ht="15.75" customHeight="1">
      <c r="H3928" s="16"/>
      <c r="I3928" s="16"/>
      <c r="J3928" s="17"/>
    </row>
    <row r="3929" spans="8:10" ht="15.75" customHeight="1">
      <c r="H3929" s="16"/>
      <c r="I3929" s="16"/>
      <c r="J3929" s="17"/>
    </row>
    <row r="3930" spans="8:10" ht="15.75" customHeight="1">
      <c r="H3930" s="16"/>
      <c r="I3930" s="16"/>
      <c r="J3930" s="17"/>
    </row>
    <row r="3931" spans="8:10" ht="15.75" customHeight="1">
      <c r="H3931" s="16"/>
      <c r="I3931" s="16"/>
      <c r="J3931" s="17"/>
    </row>
    <row r="3932" spans="8:10" ht="15.75" customHeight="1">
      <c r="H3932" s="16"/>
      <c r="I3932" s="16"/>
      <c r="J3932" s="17"/>
    </row>
    <row r="3933" spans="8:10" ht="15.75" customHeight="1">
      <c r="H3933" s="16"/>
      <c r="I3933" s="16"/>
      <c r="J3933" s="17"/>
    </row>
    <row r="3934" spans="8:10" ht="15.75" customHeight="1">
      <c r="H3934" s="16"/>
      <c r="I3934" s="16"/>
      <c r="J3934" s="17"/>
    </row>
    <row r="3935" spans="8:10" ht="15.75" customHeight="1">
      <c r="H3935" s="16"/>
      <c r="I3935" s="16"/>
      <c r="J3935" s="17"/>
    </row>
    <row r="3936" spans="8:10" ht="15.75" customHeight="1">
      <c r="H3936" s="16"/>
      <c r="I3936" s="16"/>
      <c r="J3936" s="17"/>
    </row>
    <row r="3937" spans="8:10" ht="15.75" customHeight="1">
      <c r="H3937" s="16"/>
      <c r="I3937" s="16"/>
      <c r="J3937" s="17"/>
    </row>
    <row r="3938" spans="8:10" ht="15.75" customHeight="1">
      <c r="H3938" s="16"/>
      <c r="I3938" s="16"/>
      <c r="J3938" s="17"/>
    </row>
    <row r="3939" spans="8:10" ht="15.75" customHeight="1">
      <c r="H3939" s="16"/>
      <c r="I3939" s="16"/>
      <c r="J3939" s="17"/>
    </row>
    <row r="3940" spans="8:10" ht="15.75" customHeight="1">
      <c r="H3940" s="16"/>
      <c r="I3940" s="16"/>
      <c r="J3940" s="17"/>
    </row>
    <row r="3941" spans="8:10" ht="15.75" customHeight="1">
      <c r="H3941" s="16"/>
      <c r="I3941" s="16"/>
      <c r="J3941" s="17"/>
    </row>
    <row r="3942" spans="8:10" ht="15.75" customHeight="1">
      <c r="H3942" s="16"/>
      <c r="I3942" s="16"/>
      <c r="J3942" s="17"/>
    </row>
    <row r="3943" spans="8:10" ht="15.75" customHeight="1">
      <c r="H3943" s="16"/>
      <c r="I3943" s="16"/>
      <c r="J3943" s="17"/>
    </row>
    <row r="3944" spans="8:10" ht="15.75" customHeight="1">
      <c r="H3944" s="16"/>
      <c r="I3944" s="16"/>
      <c r="J3944" s="17"/>
    </row>
    <row r="3945" spans="8:10" ht="15.75" customHeight="1">
      <c r="H3945" s="16"/>
      <c r="I3945" s="16"/>
      <c r="J3945" s="17"/>
    </row>
    <row r="3946" spans="8:10" ht="15.75" customHeight="1">
      <c r="H3946" s="16"/>
      <c r="I3946" s="16"/>
      <c r="J3946" s="17"/>
    </row>
    <row r="3947" spans="8:10" ht="15.75" customHeight="1">
      <c r="H3947" s="16"/>
      <c r="I3947" s="16"/>
      <c r="J3947" s="17"/>
    </row>
    <row r="3948" spans="8:10" ht="15.75" customHeight="1">
      <c r="H3948" s="16"/>
      <c r="I3948" s="16"/>
      <c r="J3948" s="17"/>
    </row>
    <row r="3949" spans="8:10" ht="15.75" customHeight="1">
      <c r="H3949" s="16"/>
      <c r="I3949" s="16"/>
      <c r="J3949" s="17"/>
    </row>
    <row r="3950" spans="8:10" ht="15.75" customHeight="1">
      <c r="H3950" s="16"/>
      <c r="I3950" s="16"/>
      <c r="J3950" s="17"/>
    </row>
    <row r="3951" spans="8:10" ht="15.75" customHeight="1">
      <c r="H3951" s="16"/>
      <c r="I3951" s="16"/>
      <c r="J3951" s="17"/>
    </row>
    <row r="3952" spans="8:10" ht="15.75" customHeight="1">
      <c r="H3952" s="16"/>
      <c r="I3952" s="16"/>
      <c r="J3952" s="17"/>
    </row>
    <row r="3953" spans="8:10" ht="15.75" customHeight="1">
      <c r="H3953" s="16"/>
      <c r="I3953" s="16"/>
      <c r="J3953" s="17"/>
    </row>
    <row r="3954" spans="8:10" ht="15.75" customHeight="1">
      <c r="H3954" s="16"/>
      <c r="I3954" s="16"/>
      <c r="J3954" s="17"/>
    </row>
    <row r="3955" spans="8:10" ht="15.75" customHeight="1">
      <c r="H3955" s="16"/>
      <c r="I3955" s="16"/>
      <c r="J3955" s="17"/>
    </row>
    <row r="3956" spans="8:10" ht="15.75" customHeight="1">
      <c r="H3956" s="16"/>
      <c r="I3956" s="16"/>
      <c r="J3956" s="17"/>
    </row>
    <row r="3957" spans="8:10" ht="15.75" customHeight="1">
      <c r="H3957" s="16"/>
      <c r="I3957" s="16"/>
      <c r="J3957" s="17"/>
    </row>
    <row r="3958" spans="8:10" ht="15.75" customHeight="1">
      <c r="H3958" s="16"/>
      <c r="I3958" s="16"/>
      <c r="J3958" s="17"/>
    </row>
    <row r="3959" spans="8:10" ht="15.75" customHeight="1">
      <c r="H3959" s="16"/>
      <c r="I3959" s="16"/>
      <c r="J3959" s="17"/>
    </row>
    <row r="3960" spans="8:10" ht="15.75" customHeight="1">
      <c r="H3960" s="16"/>
      <c r="I3960" s="16"/>
      <c r="J3960" s="17"/>
    </row>
    <row r="3961" spans="8:10" ht="15.75" customHeight="1">
      <c r="H3961" s="16"/>
      <c r="I3961" s="16"/>
      <c r="J3961" s="17"/>
    </row>
    <row r="3962" spans="8:10" ht="15.75" customHeight="1">
      <c r="H3962" s="16"/>
      <c r="I3962" s="16"/>
      <c r="J3962" s="17"/>
    </row>
    <row r="3963" spans="8:10" ht="15.75" customHeight="1">
      <c r="H3963" s="16"/>
      <c r="I3963" s="16"/>
      <c r="J3963" s="17"/>
    </row>
    <row r="3964" spans="8:10" ht="15.75" customHeight="1">
      <c r="H3964" s="16"/>
      <c r="I3964" s="16"/>
      <c r="J3964" s="17"/>
    </row>
    <row r="3965" spans="8:10" ht="15.75" customHeight="1">
      <c r="H3965" s="16"/>
      <c r="I3965" s="16"/>
      <c r="J3965" s="17"/>
    </row>
    <row r="3966" spans="8:10" ht="15.75" customHeight="1">
      <c r="H3966" s="16"/>
      <c r="I3966" s="16"/>
      <c r="J3966" s="17"/>
    </row>
    <row r="3967" spans="8:10" ht="15.75" customHeight="1">
      <c r="H3967" s="16"/>
      <c r="I3967" s="16"/>
      <c r="J3967" s="17"/>
    </row>
    <row r="3968" spans="8:10" ht="15.75" customHeight="1">
      <c r="H3968" s="16"/>
      <c r="I3968" s="16"/>
      <c r="J3968" s="17"/>
    </row>
    <row r="3969" spans="8:10" ht="15.75" customHeight="1">
      <c r="H3969" s="16"/>
      <c r="I3969" s="16"/>
      <c r="J3969" s="17"/>
    </row>
    <row r="3970" spans="8:10" ht="15.75" customHeight="1">
      <c r="H3970" s="16"/>
      <c r="I3970" s="16"/>
      <c r="J3970" s="17"/>
    </row>
    <row r="3971" spans="8:10" ht="15.75" customHeight="1">
      <c r="H3971" s="16"/>
      <c r="I3971" s="16"/>
      <c r="J3971" s="17"/>
    </row>
    <row r="3972" spans="8:10" ht="15.75" customHeight="1">
      <c r="H3972" s="16"/>
      <c r="I3972" s="16"/>
      <c r="J3972" s="17"/>
    </row>
    <row r="3973" spans="8:10" ht="15.75" customHeight="1">
      <c r="H3973" s="16"/>
      <c r="I3973" s="16"/>
      <c r="J3973" s="17"/>
    </row>
    <row r="3974" spans="8:10" ht="15.75" customHeight="1">
      <c r="H3974" s="16"/>
      <c r="I3974" s="16"/>
      <c r="J3974" s="17"/>
    </row>
    <row r="3975" spans="8:10" ht="15.75" customHeight="1">
      <c r="H3975" s="16"/>
      <c r="I3975" s="16"/>
      <c r="J3975" s="17"/>
    </row>
    <row r="3976" spans="8:10" ht="15.75" customHeight="1">
      <c r="H3976" s="16"/>
      <c r="I3976" s="16"/>
      <c r="J3976" s="17"/>
    </row>
    <row r="3977" spans="8:10" ht="15.75" customHeight="1">
      <c r="H3977" s="16"/>
      <c r="I3977" s="16"/>
      <c r="J3977" s="17"/>
    </row>
    <row r="3978" spans="8:10" ht="15.75" customHeight="1">
      <c r="H3978" s="16"/>
      <c r="I3978" s="16"/>
      <c r="J3978" s="17"/>
    </row>
    <row r="3979" spans="8:10" ht="15.75" customHeight="1">
      <c r="H3979" s="16"/>
      <c r="I3979" s="16"/>
      <c r="J3979" s="17"/>
    </row>
    <row r="3980" spans="8:10" ht="15.75" customHeight="1">
      <c r="H3980" s="16"/>
      <c r="I3980" s="16"/>
      <c r="J3980" s="17"/>
    </row>
    <row r="3981" spans="8:10" ht="15.75" customHeight="1">
      <c r="H3981" s="16"/>
      <c r="I3981" s="16"/>
      <c r="J3981" s="17"/>
    </row>
    <row r="3982" spans="8:10" ht="15.75" customHeight="1">
      <c r="H3982" s="16"/>
      <c r="I3982" s="16"/>
      <c r="J3982" s="17"/>
    </row>
    <row r="3983" spans="8:10" ht="15.75" customHeight="1">
      <c r="H3983" s="16"/>
      <c r="I3983" s="16"/>
      <c r="J3983" s="17"/>
    </row>
    <row r="3984" spans="8:10" ht="15.75" customHeight="1">
      <c r="H3984" s="16"/>
      <c r="I3984" s="16"/>
      <c r="J3984" s="17"/>
    </row>
    <row r="3985" spans="8:10" ht="15.75" customHeight="1">
      <c r="H3985" s="16"/>
      <c r="I3985" s="16"/>
      <c r="J3985" s="17"/>
    </row>
    <row r="3986" spans="8:10" ht="15.75" customHeight="1">
      <c r="H3986" s="16"/>
      <c r="I3986" s="16"/>
      <c r="J3986" s="17"/>
    </row>
    <row r="3987" spans="8:10" ht="15.75" customHeight="1">
      <c r="H3987" s="16"/>
      <c r="I3987" s="16"/>
      <c r="J3987" s="17"/>
    </row>
    <row r="3988" spans="8:10" ht="15.75" customHeight="1">
      <c r="H3988" s="16"/>
      <c r="I3988" s="16"/>
      <c r="J3988" s="17"/>
    </row>
    <row r="3989" spans="8:10" ht="15.75" customHeight="1">
      <c r="H3989" s="16"/>
      <c r="I3989" s="16"/>
      <c r="J3989" s="17"/>
    </row>
    <row r="3990" spans="8:10" ht="15.75" customHeight="1">
      <c r="H3990" s="16"/>
      <c r="I3990" s="16"/>
      <c r="J3990" s="17"/>
    </row>
    <row r="3991" spans="8:10" ht="15.75" customHeight="1">
      <c r="H3991" s="16"/>
      <c r="I3991" s="16"/>
      <c r="J3991" s="17"/>
    </row>
    <row r="3992" spans="8:10" ht="15.75" customHeight="1">
      <c r="H3992" s="16"/>
      <c r="I3992" s="16"/>
      <c r="J3992" s="17"/>
    </row>
    <row r="3993" spans="8:10" ht="15.75" customHeight="1">
      <c r="H3993" s="16"/>
      <c r="I3993" s="16"/>
      <c r="J3993" s="17"/>
    </row>
    <row r="3994" spans="8:10" ht="15.75" customHeight="1">
      <c r="H3994" s="16"/>
      <c r="I3994" s="16"/>
      <c r="J3994" s="17"/>
    </row>
    <row r="3995" spans="8:10" ht="15.75" customHeight="1">
      <c r="H3995" s="16"/>
      <c r="I3995" s="16"/>
      <c r="J3995" s="17"/>
    </row>
    <row r="3996" spans="8:10" ht="15.75" customHeight="1">
      <c r="H3996" s="16"/>
      <c r="I3996" s="16"/>
      <c r="J3996" s="17"/>
    </row>
    <row r="3997" spans="8:10" ht="15.75" customHeight="1">
      <c r="H3997" s="16"/>
      <c r="I3997" s="16"/>
      <c r="J3997" s="17"/>
    </row>
    <row r="3998" spans="8:10" ht="15.75" customHeight="1">
      <c r="H3998" s="16"/>
      <c r="I3998" s="16"/>
      <c r="J3998" s="17"/>
    </row>
    <row r="3999" spans="8:10" ht="15.75" customHeight="1">
      <c r="H3999" s="16"/>
      <c r="I3999" s="16"/>
      <c r="J3999" s="17"/>
    </row>
    <row r="4000" spans="8:10" ht="15.75" customHeight="1">
      <c r="H4000" s="16"/>
      <c r="I4000" s="16"/>
      <c r="J4000" s="17"/>
    </row>
    <row r="4001" spans="8:10" ht="15.75" customHeight="1">
      <c r="H4001" s="16"/>
      <c r="I4001" s="16"/>
      <c r="J4001" s="17"/>
    </row>
    <row r="4002" spans="8:10" ht="15.75" customHeight="1">
      <c r="H4002" s="16"/>
      <c r="I4002" s="16"/>
      <c r="J4002" s="17"/>
    </row>
    <row r="4003" spans="8:10" ht="15.75" customHeight="1">
      <c r="H4003" s="16"/>
      <c r="I4003" s="16"/>
      <c r="J4003" s="17"/>
    </row>
    <row r="4004" spans="8:10" ht="15.75" customHeight="1">
      <c r="H4004" s="16"/>
      <c r="I4004" s="16"/>
      <c r="J4004" s="17"/>
    </row>
    <row r="4005" spans="8:10" ht="15.75" customHeight="1">
      <c r="H4005" s="16"/>
      <c r="I4005" s="16"/>
      <c r="J4005" s="17"/>
    </row>
    <row r="4006" spans="8:10" ht="15.75" customHeight="1">
      <c r="H4006" s="16"/>
      <c r="I4006" s="16"/>
      <c r="J4006" s="17"/>
    </row>
    <row r="4007" spans="8:10" ht="15.75" customHeight="1">
      <c r="H4007" s="16"/>
      <c r="I4007" s="16"/>
      <c r="J4007" s="17"/>
    </row>
    <row r="4008" spans="8:10" ht="15.75" customHeight="1">
      <c r="H4008" s="16"/>
      <c r="I4008" s="16"/>
      <c r="J4008" s="17"/>
    </row>
    <row r="4009" spans="8:10" ht="15.75" customHeight="1">
      <c r="H4009" s="16"/>
      <c r="I4009" s="16"/>
      <c r="J4009" s="17"/>
    </row>
    <row r="4010" spans="8:10" ht="15.75" customHeight="1">
      <c r="H4010" s="16"/>
      <c r="I4010" s="16"/>
      <c r="J4010" s="17"/>
    </row>
    <row r="4011" spans="8:10" ht="15.75" customHeight="1">
      <c r="H4011" s="16"/>
      <c r="I4011" s="16"/>
      <c r="J4011" s="17"/>
    </row>
    <row r="4012" spans="8:10" ht="15.75" customHeight="1">
      <c r="H4012" s="16"/>
      <c r="I4012" s="16"/>
      <c r="J4012" s="17"/>
    </row>
    <row r="4013" spans="8:10" ht="15.75" customHeight="1">
      <c r="H4013" s="16"/>
      <c r="I4013" s="16"/>
      <c r="J4013" s="17"/>
    </row>
    <row r="4014" spans="8:10" ht="15.75" customHeight="1">
      <c r="H4014" s="16"/>
      <c r="I4014" s="16"/>
      <c r="J4014" s="17"/>
    </row>
    <row r="4015" spans="8:10" ht="15.75" customHeight="1">
      <c r="H4015" s="16"/>
      <c r="I4015" s="16"/>
      <c r="J4015" s="17"/>
    </row>
    <row r="4016" spans="8:10" ht="15.75" customHeight="1">
      <c r="H4016" s="16"/>
      <c r="I4016" s="16"/>
      <c r="J4016" s="17"/>
    </row>
    <row r="4017" spans="8:10" ht="15.75" customHeight="1">
      <c r="H4017" s="16"/>
      <c r="I4017" s="16"/>
      <c r="J4017" s="17"/>
    </row>
    <row r="4018" spans="8:10" ht="15.75" customHeight="1">
      <c r="H4018" s="16"/>
      <c r="I4018" s="16"/>
      <c r="J4018" s="17"/>
    </row>
    <row r="4019" spans="8:10" ht="15.75" customHeight="1">
      <c r="H4019" s="16"/>
      <c r="I4019" s="16"/>
      <c r="J4019" s="17"/>
    </row>
    <row r="4020" spans="8:10" ht="15.75" customHeight="1">
      <c r="H4020" s="16"/>
      <c r="I4020" s="16"/>
      <c r="J4020" s="17"/>
    </row>
    <row r="4021" spans="8:10" ht="15.75" customHeight="1">
      <c r="H4021" s="16"/>
      <c r="I4021" s="16"/>
      <c r="J4021" s="17"/>
    </row>
    <row r="4022" spans="8:10" ht="15.75" customHeight="1">
      <c r="H4022" s="16"/>
      <c r="I4022" s="16"/>
      <c r="J4022" s="17"/>
    </row>
    <row r="4023" spans="8:10" ht="15.75" customHeight="1">
      <c r="H4023" s="16"/>
      <c r="I4023" s="16"/>
      <c r="J4023" s="17"/>
    </row>
    <row r="4024" spans="8:10" ht="15.75" customHeight="1">
      <c r="H4024" s="16"/>
      <c r="I4024" s="16"/>
      <c r="J4024" s="17"/>
    </row>
    <row r="4025" spans="8:10" ht="15.75" customHeight="1">
      <c r="H4025" s="16"/>
      <c r="I4025" s="16"/>
      <c r="J4025" s="17"/>
    </row>
    <row r="4026" spans="8:10" ht="15.75" customHeight="1">
      <c r="H4026" s="16"/>
      <c r="I4026" s="16"/>
      <c r="J4026" s="17"/>
    </row>
    <row r="4027" spans="8:10" ht="15.75" customHeight="1">
      <c r="H4027" s="16"/>
      <c r="I4027" s="16"/>
      <c r="J4027" s="17"/>
    </row>
    <row r="4028" spans="8:10" ht="15.75" customHeight="1">
      <c r="H4028" s="16"/>
      <c r="I4028" s="16"/>
      <c r="J4028" s="17"/>
    </row>
    <row r="4029" spans="8:10" ht="15.75" customHeight="1">
      <c r="H4029" s="16"/>
      <c r="I4029" s="16"/>
      <c r="J4029" s="17"/>
    </row>
    <row r="4030" spans="8:10" ht="15.75" customHeight="1">
      <c r="H4030" s="16"/>
      <c r="I4030" s="16"/>
      <c r="J4030" s="17"/>
    </row>
    <row r="4031" spans="8:10" ht="15.75" customHeight="1">
      <c r="H4031" s="16"/>
      <c r="I4031" s="16"/>
      <c r="J4031" s="17"/>
    </row>
    <row r="4032" spans="8:10" ht="15.75" customHeight="1">
      <c r="H4032" s="16"/>
      <c r="I4032" s="16"/>
      <c r="J4032" s="17"/>
    </row>
    <row r="4033" spans="8:10" ht="15.75" customHeight="1">
      <c r="H4033" s="16"/>
      <c r="I4033" s="16"/>
      <c r="J4033" s="17"/>
    </row>
    <row r="4034" spans="8:10" ht="15.75" customHeight="1">
      <c r="H4034" s="16"/>
      <c r="I4034" s="16"/>
      <c r="J4034" s="17"/>
    </row>
    <row r="4035" spans="8:10" ht="15.75" customHeight="1">
      <c r="H4035" s="16"/>
      <c r="I4035" s="16"/>
      <c r="J4035" s="17"/>
    </row>
    <row r="4036" spans="8:10" ht="15.75" customHeight="1">
      <c r="H4036" s="16"/>
      <c r="I4036" s="16"/>
      <c r="J4036" s="17"/>
    </row>
    <row r="4037" spans="8:10" ht="15.75" customHeight="1">
      <c r="H4037" s="16"/>
      <c r="I4037" s="16"/>
      <c r="J4037" s="17"/>
    </row>
    <row r="4038" spans="8:10" ht="15.75" customHeight="1">
      <c r="H4038" s="16"/>
      <c r="I4038" s="16"/>
      <c r="J4038" s="17"/>
    </row>
    <row r="4039" spans="8:10" ht="15.75" customHeight="1">
      <c r="H4039" s="16"/>
      <c r="I4039" s="16"/>
      <c r="J4039" s="17"/>
    </row>
    <row r="4040" spans="8:10" ht="15.75" customHeight="1">
      <c r="H4040" s="16"/>
      <c r="I4040" s="16"/>
      <c r="J4040" s="17"/>
    </row>
    <row r="4041" spans="8:10" ht="15.75" customHeight="1">
      <c r="H4041" s="16"/>
      <c r="I4041" s="16"/>
      <c r="J4041" s="17"/>
    </row>
    <row r="4042" spans="8:10" ht="15.75" customHeight="1">
      <c r="H4042" s="16"/>
      <c r="I4042" s="16"/>
      <c r="J4042" s="17"/>
    </row>
    <row r="4043" spans="8:10" ht="15.75" customHeight="1">
      <c r="H4043" s="16"/>
      <c r="I4043" s="16"/>
      <c r="J4043" s="17"/>
    </row>
    <row r="4044" spans="8:10" ht="15.75" customHeight="1">
      <c r="H4044" s="16"/>
      <c r="I4044" s="16"/>
      <c r="J4044" s="17"/>
    </row>
    <row r="4045" spans="8:10" ht="15.75" customHeight="1">
      <c r="H4045" s="16"/>
      <c r="I4045" s="16"/>
      <c r="J4045" s="17"/>
    </row>
    <row r="4046" spans="8:10" ht="15.75" customHeight="1">
      <c r="H4046" s="16"/>
      <c r="I4046" s="16"/>
      <c r="J4046" s="17"/>
    </row>
    <row r="4047" spans="8:10" ht="15.75" customHeight="1">
      <c r="H4047" s="16"/>
      <c r="I4047" s="16"/>
      <c r="J4047" s="17"/>
    </row>
    <row r="4048" spans="8:10" ht="15.75" customHeight="1">
      <c r="H4048" s="16"/>
      <c r="I4048" s="16"/>
      <c r="J4048" s="17"/>
    </row>
    <row r="4049" spans="8:10" ht="15.75" customHeight="1">
      <c r="H4049" s="16"/>
      <c r="I4049" s="16"/>
      <c r="J4049" s="17"/>
    </row>
    <row r="4050" spans="8:10" ht="15.75" customHeight="1">
      <c r="H4050" s="16"/>
      <c r="I4050" s="16"/>
      <c r="J4050" s="17"/>
    </row>
    <row r="4051" spans="8:10" ht="15.75" customHeight="1">
      <c r="H4051" s="16"/>
      <c r="I4051" s="16"/>
      <c r="J4051" s="17"/>
    </row>
    <row r="4052" spans="8:10" ht="15.75" customHeight="1">
      <c r="H4052" s="16"/>
      <c r="I4052" s="16"/>
      <c r="J4052" s="17"/>
    </row>
    <row r="4053" spans="8:10" ht="15.75" customHeight="1">
      <c r="H4053" s="16"/>
      <c r="I4053" s="16"/>
      <c r="J4053" s="17"/>
    </row>
    <row r="4054" spans="8:10" ht="15.75" customHeight="1">
      <c r="H4054" s="16"/>
      <c r="I4054" s="16"/>
      <c r="J4054" s="17"/>
    </row>
    <row r="4055" spans="8:10" ht="15.75" customHeight="1">
      <c r="H4055" s="16"/>
      <c r="I4055" s="16"/>
      <c r="J4055" s="17"/>
    </row>
    <row r="4056" spans="8:10" ht="15.75" customHeight="1">
      <c r="H4056" s="16"/>
      <c r="I4056" s="16"/>
      <c r="J4056" s="17"/>
    </row>
    <row r="4057" spans="8:10" ht="15.75" customHeight="1">
      <c r="H4057" s="16"/>
      <c r="I4057" s="16"/>
      <c r="J4057" s="17"/>
    </row>
    <row r="4058" spans="8:10" ht="15.75" customHeight="1">
      <c r="H4058" s="16"/>
      <c r="I4058" s="16"/>
      <c r="J4058" s="17"/>
    </row>
    <row r="4059" spans="8:10" ht="15.75" customHeight="1">
      <c r="H4059" s="16"/>
      <c r="I4059" s="16"/>
      <c r="J4059" s="17"/>
    </row>
    <row r="4060" spans="8:10" ht="15.75" customHeight="1">
      <c r="H4060" s="16"/>
      <c r="I4060" s="16"/>
      <c r="J4060" s="17"/>
    </row>
    <row r="4061" spans="8:10" ht="15.75" customHeight="1">
      <c r="H4061" s="16"/>
      <c r="I4061" s="16"/>
      <c r="J4061" s="17"/>
    </row>
    <row r="4062" spans="8:10" ht="15.75" customHeight="1">
      <c r="H4062" s="16"/>
      <c r="I4062" s="16"/>
      <c r="J4062" s="17"/>
    </row>
    <row r="4063" spans="8:10" ht="15.75" customHeight="1">
      <c r="H4063" s="16"/>
      <c r="I4063" s="16"/>
      <c r="J4063" s="17"/>
    </row>
    <row r="4064" spans="8:10" ht="15.75" customHeight="1">
      <c r="H4064" s="16"/>
      <c r="I4064" s="16"/>
      <c r="J4064" s="17"/>
    </row>
    <row r="4065" spans="8:10" ht="15.75" customHeight="1">
      <c r="H4065" s="16"/>
      <c r="I4065" s="16"/>
      <c r="J4065" s="17"/>
    </row>
    <row r="4066" spans="8:10" ht="15.75" customHeight="1">
      <c r="H4066" s="16"/>
      <c r="I4066" s="16"/>
      <c r="J4066" s="17"/>
    </row>
    <row r="4067" spans="8:10" ht="15.75" customHeight="1">
      <c r="H4067" s="16"/>
      <c r="I4067" s="16"/>
      <c r="J4067" s="17"/>
    </row>
    <row r="4068" spans="8:10" ht="15.75" customHeight="1">
      <c r="H4068" s="16"/>
      <c r="I4068" s="16"/>
      <c r="J4068" s="17"/>
    </row>
    <row r="4069" spans="8:10" ht="15.75" customHeight="1">
      <c r="H4069" s="16"/>
      <c r="I4069" s="16"/>
      <c r="J4069" s="17"/>
    </row>
    <row r="4070" spans="8:10" ht="15.75" customHeight="1">
      <c r="H4070" s="16"/>
      <c r="I4070" s="16"/>
      <c r="J4070" s="17"/>
    </row>
    <row r="4071" spans="8:10" ht="15.75" customHeight="1">
      <c r="H4071" s="16"/>
      <c r="I4071" s="16"/>
      <c r="J4071" s="17"/>
    </row>
    <row r="4072" spans="8:10" ht="15.75" customHeight="1">
      <c r="H4072" s="16"/>
      <c r="I4072" s="16"/>
      <c r="J4072" s="17"/>
    </row>
    <row r="4073" spans="8:10" ht="15.75" customHeight="1">
      <c r="H4073" s="16"/>
      <c r="I4073" s="16"/>
      <c r="J4073" s="17"/>
    </row>
    <row r="4074" spans="8:10" ht="15.75" customHeight="1">
      <c r="H4074" s="16"/>
      <c r="I4074" s="16"/>
      <c r="J4074" s="17"/>
    </row>
    <row r="4075" spans="8:10" ht="15.75" customHeight="1">
      <c r="H4075" s="16"/>
      <c r="I4075" s="16"/>
      <c r="J4075" s="17"/>
    </row>
    <row r="4076" spans="8:10" ht="15.75" customHeight="1">
      <c r="H4076" s="16"/>
      <c r="I4076" s="16"/>
      <c r="J4076" s="17"/>
    </row>
    <row r="4077" spans="8:10" ht="15.75" customHeight="1">
      <c r="H4077" s="16"/>
      <c r="I4077" s="16"/>
      <c r="J4077" s="17"/>
    </row>
    <row r="4078" spans="8:10" ht="15.75" customHeight="1">
      <c r="H4078" s="16"/>
      <c r="I4078" s="16"/>
      <c r="J4078" s="17"/>
    </row>
    <row r="4079" spans="8:10" ht="15.75" customHeight="1">
      <c r="H4079" s="16"/>
      <c r="I4079" s="16"/>
      <c r="J4079" s="17"/>
    </row>
    <row r="4080" spans="8:10" ht="15.75" customHeight="1">
      <c r="H4080" s="16"/>
      <c r="I4080" s="16"/>
      <c r="J4080" s="17"/>
    </row>
    <row r="4081" spans="8:10" ht="15.75" customHeight="1">
      <c r="H4081" s="16"/>
      <c r="I4081" s="16"/>
      <c r="J4081" s="17"/>
    </row>
    <row r="4082" spans="8:10" ht="15.75" customHeight="1">
      <c r="H4082" s="16"/>
      <c r="I4082" s="16"/>
      <c r="J4082" s="17"/>
    </row>
    <row r="4083" spans="8:10" ht="15.75" customHeight="1">
      <c r="H4083" s="16"/>
      <c r="I4083" s="16"/>
      <c r="J4083" s="17"/>
    </row>
    <row r="4084" spans="8:10" ht="15.75" customHeight="1">
      <c r="H4084" s="16"/>
      <c r="I4084" s="16"/>
      <c r="J4084" s="17"/>
    </row>
    <row r="4085" spans="8:10" ht="15.75" customHeight="1">
      <c r="H4085" s="16"/>
      <c r="I4085" s="16"/>
      <c r="J4085" s="17"/>
    </row>
    <row r="4086" spans="8:10" ht="15.75" customHeight="1">
      <c r="H4086" s="16"/>
      <c r="I4086" s="16"/>
      <c r="J4086" s="17"/>
    </row>
    <row r="4087" spans="8:10" ht="15.75" customHeight="1">
      <c r="H4087" s="16"/>
      <c r="I4087" s="16"/>
      <c r="J4087" s="17"/>
    </row>
    <row r="4088" spans="8:10" ht="15.75" customHeight="1">
      <c r="H4088" s="16"/>
      <c r="I4088" s="16"/>
      <c r="J4088" s="17"/>
    </row>
    <row r="4089" spans="8:10" ht="15.75" customHeight="1">
      <c r="H4089" s="16"/>
      <c r="I4089" s="16"/>
      <c r="J4089" s="17"/>
    </row>
    <row r="4090" spans="8:10" ht="15.75" customHeight="1">
      <c r="H4090" s="16"/>
      <c r="I4090" s="16"/>
      <c r="J4090" s="17"/>
    </row>
    <row r="4091" spans="8:10" ht="15.75" customHeight="1">
      <c r="H4091" s="16"/>
      <c r="I4091" s="16"/>
      <c r="J4091" s="17"/>
    </row>
    <row r="4092" spans="8:10" ht="15.75" customHeight="1">
      <c r="H4092" s="16"/>
      <c r="I4092" s="16"/>
      <c r="J4092" s="17"/>
    </row>
    <row r="4093" spans="8:10" ht="15.75" customHeight="1">
      <c r="H4093" s="16"/>
      <c r="I4093" s="16"/>
      <c r="J4093" s="17"/>
    </row>
    <row r="4094" spans="8:10" ht="15.75" customHeight="1">
      <c r="H4094" s="16"/>
      <c r="I4094" s="16"/>
      <c r="J4094" s="17"/>
    </row>
    <row r="4095" spans="8:10" ht="15.75" customHeight="1">
      <c r="H4095" s="16"/>
      <c r="I4095" s="16"/>
      <c r="J4095" s="17"/>
    </row>
    <row r="4096" spans="8:10" ht="15.75" customHeight="1">
      <c r="H4096" s="16"/>
      <c r="I4096" s="16"/>
      <c r="J4096" s="17"/>
    </row>
    <row r="4097" spans="8:10" ht="15.75" customHeight="1">
      <c r="H4097" s="16"/>
      <c r="I4097" s="16"/>
      <c r="J4097" s="17"/>
    </row>
    <row r="4098" spans="8:10" ht="15.75" customHeight="1">
      <c r="H4098" s="16"/>
      <c r="I4098" s="16"/>
      <c r="J4098" s="17"/>
    </row>
    <row r="4099" spans="8:10" ht="15.75" customHeight="1">
      <c r="H4099" s="16"/>
      <c r="I4099" s="16"/>
      <c r="J4099" s="17"/>
    </row>
    <row r="4100" spans="8:10" ht="15.75" customHeight="1">
      <c r="H4100" s="16"/>
      <c r="I4100" s="16"/>
      <c r="J4100" s="17"/>
    </row>
    <row r="4101" spans="8:10" ht="15.75" customHeight="1">
      <c r="H4101" s="16"/>
      <c r="I4101" s="16"/>
      <c r="J4101" s="17"/>
    </row>
    <row r="4102" spans="8:10" ht="15.75" customHeight="1">
      <c r="H4102" s="16"/>
      <c r="I4102" s="16"/>
      <c r="J4102" s="17"/>
    </row>
    <row r="4103" spans="8:10" ht="15.75" customHeight="1">
      <c r="H4103" s="16"/>
      <c r="I4103" s="16"/>
      <c r="J4103" s="17"/>
    </row>
    <row r="4104" spans="8:10" ht="15.75" customHeight="1">
      <c r="H4104" s="16"/>
      <c r="I4104" s="16"/>
      <c r="J4104" s="17"/>
    </row>
    <row r="4105" spans="8:10" ht="15.75" customHeight="1">
      <c r="H4105" s="16"/>
      <c r="I4105" s="16"/>
      <c r="J4105" s="17"/>
    </row>
    <row r="4106" spans="8:10" ht="15.75" customHeight="1">
      <c r="H4106" s="16"/>
      <c r="I4106" s="16"/>
      <c r="J4106" s="17"/>
    </row>
    <row r="4107" spans="8:10" ht="15.75" customHeight="1">
      <c r="H4107" s="16"/>
      <c r="I4107" s="16"/>
      <c r="J4107" s="17"/>
    </row>
    <row r="4108" spans="8:10" ht="15.75" customHeight="1">
      <c r="H4108" s="16"/>
      <c r="I4108" s="16"/>
      <c r="J4108" s="17"/>
    </row>
    <row r="4109" spans="8:10" ht="15.75" customHeight="1">
      <c r="H4109" s="16"/>
      <c r="I4109" s="16"/>
      <c r="J4109" s="17"/>
    </row>
    <row r="4110" spans="8:10" ht="15.75" customHeight="1">
      <c r="H4110" s="16"/>
      <c r="I4110" s="16"/>
      <c r="J4110" s="17"/>
    </row>
    <row r="4111" spans="8:10" ht="15.75" customHeight="1">
      <c r="H4111" s="16"/>
      <c r="I4111" s="16"/>
      <c r="J4111" s="17"/>
    </row>
    <row r="4112" spans="8:10" ht="15.75" customHeight="1">
      <c r="H4112" s="16"/>
      <c r="I4112" s="16"/>
      <c r="J4112" s="17"/>
    </row>
    <row r="4113" spans="8:10" ht="15.75" customHeight="1">
      <c r="H4113" s="16"/>
      <c r="I4113" s="16"/>
      <c r="J4113" s="17"/>
    </row>
    <row r="4114" spans="8:10" ht="15.75" customHeight="1">
      <c r="H4114" s="16"/>
      <c r="I4114" s="16"/>
      <c r="J4114" s="17"/>
    </row>
    <row r="4115" spans="8:10" ht="15.75" customHeight="1">
      <c r="H4115" s="16"/>
      <c r="I4115" s="16"/>
      <c r="J4115" s="17"/>
    </row>
    <row r="4116" spans="8:10" ht="15.75" customHeight="1">
      <c r="H4116" s="16"/>
      <c r="I4116" s="16"/>
      <c r="J4116" s="17"/>
    </row>
    <row r="4117" spans="8:10" ht="15.75" customHeight="1">
      <c r="H4117" s="16"/>
      <c r="I4117" s="16"/>
      <c r="J4117" s="17"/>
    </row>
    <row r="4118" spans="8:10" ht="15.75" customHeight="1">
      <c r="H4118" s="16"/>
      <c r="I4118" s="16"/>
      <c r="J4118" s="17"/>
    </row>
    <row r="4119" spans="8:10" ht="15.75" customHeight="1">
      <c r="H4119" s="16"/>
      <c r="I4119" s="16"/>
      <c r="J4119" s="17"/>
    </row>
    <row r="4120" spans="8:10" ht="15.75" customHeight="1">
      <c r="H4120" s="16"/>
      <c r="I4120" s="16"/>
      <c r="J4120" s="17"/>
    </row>
    <row r="4121" spans="8:10" ht="15.75" customHeight="1">
      <c r="H4121" s="16"/>
      <c r="I4121" s="16"/>
      <c r="J4121" s="17"/>
    </row>
    <row r="4122" spans="8:10" ht="15.75" customHeight="1">
      <c r="H4122" s="16"/>
      <c r="I4122" s="16"/>
      <c r="J4122" s="17"/>
    </row>
    <row r="4123" spans="8:10" ht="15.75" customHeight="1">
      <c r="H4123" s="16"/>
      <c r="I4123" s="16"/>
      <c r="J4123" s="17"/>
    </row>
    <row r="4124" spans="8:10" ht="15.75" customHeight="1">
      <c r="H4124" s="16"/>
      <c r="I4124" s="16"/>
      <c r="J4124" s="17"/>
    </row>
    <row r="4125" spans="8:10" ht="15.75" customHeight="1">
      <c r="H4125" s="16"/>
      <c r="I4125" s="16"/>
      <c r="J4125" s="17"/>
    </row>
    <row r="4126" spans="8:10" ht="15.75" customHeight="1">
      <c r="H4126" s="16"/>
      <c r="I4126" s="16"/>
      <c r="J4126" s="17"/>
    </row>
    <row r="4127" spans="8:10" ht="15.75" customHeight="1">
      <c r="H4127" s="16"/>
      <c r="I4127" s="16"/>
      <c r="J4127" s="17"/>
    </row>
    <row r="4128" spans="8:10" ht="15.75" customHeight="1">
      <c r="H4128" s="16"/>
      <c r="I4128" s="16"/>
      <c r="J4128" s="17"/>
    </row>
    <row r="4129" spans="8:10" ht="15.75" customHeight="1">
      <c r="H4129" s="16"/>
      <c r="I4129" s="16"/>
      <c r="J4129" s="17"/>
    </row>
    <row r="4130" spans="8:10" ht="15.75" customHeight="1">
      <c r="H4130" s="16"/>
      <c r="I4130" s="16"/>
      <c r="J4130" s="17"/>
    </row>
    <row r="4131" spans="8:10" ht="15.75" customHeight="1">
      <c r="H4131" s="16"/>
      <c r="I4131" s="16"/>
      <c r="J4131" s="17"/>
    </row>
    <row r="4132" spans="8:10" ht="15.75" customHeight="1">
      <c r="H4132" s="16"/>
      <c r="I4132" s="16"/>
      <c r="J4132" s="17"/>
    </row>
    <row r="4133" spans="8:10" ht="15.75" customHeight="1">
      <c r="H4133" s="16"/>
      <c r="I4133" s="16"/>
      <c r="J4133" s="17"/>
    </row>
    <row r="4134" spans="8:10" ht="15.75" customHeight="1">
      <c r="H4134" s="16"/>
      <c r="I4134" s="16"/>
      <c r="J4134" s="17"/>
    </row>
    <row r="4135" spans="8:10" ht="15.75" customHeight="1">
      <c r="H4135" s="16"/>
      <c r="I4135" s="16"/>
      <c r="J4135" s="17"/>
    </row>
    <row r="4136" spans="8:10" ht="15.75" customHeight="1">
      <c r="H4136" s="16"/>
      <c r="I4136" s="16"/>
      <c r="J4136" s="17"/>
    </row>
    <row r="4137" spans="8:10" ht="15.75" customHeight="1">
      <c r="H4137" s="16"/>
      <c r="I4137" s="16"/>
      <c r="J4137" s="17"/>
    </row>
    <row r="4138" spans="8:10" ht="15.75" customHeight="1">
      <c r="H4138" s="16"/>
      <c r="I4138" s="16"/>
      <c r="J4138" s="17"/>
    </row>
    <row r="4139" spans="8:10" ht="15.75" customHeight="1">
      <c r="H4139" s="16"/>
      <c r="I4139" s="16"/>
      <c r="J4139" s="17"/>
    </row>
    <row r="4140" spans="8:10" ht="15.75" customHeight="1">
      <c r="H4140" s="16"/>
      <c r="I4140" s="16"/>
      <c r="J4140" s="17"/>
    </row>
    <row r="4141" spans="8:10" ht="15.75" customHeight="1">
      <c r="H4141" s="16"/>
      <c r="I4141" s="16"/>
      <c r="J4141" s="17"/>
    </row>
    <row r="4142" spans="8:10" ht="15.75" customHeight="1">
      <c r="H4142" s="16"/>
      <c r="I4142" s="16"/>
      <c r="J4142" s="17"/>
    </row>
    <row r="4143" spans="8:10" ht="15.75" customHeight="1">
      <c r="H4143" s="16"/>
      <c r="I4143" s="16"/>
      <c r="J4143" s="17"/>
    </row>
    <row r="4144" spans="8:10" ht="15.75" customHeight="1">
      <c r="H4144" s="16"/>
      <c r="I4144" s="16"/>
      <c r="J4144" s="17"/>
    </row>
    <row r="4145" spans="8:10" ht="15.75" customHeight="1">
      <c r="H4145" s="16"/>
      <c r="I4145" s="16"/>
      <c r="J4145" s="17"/>
    </row>
    <row r="4146" spans="8:10" ht="15.75" customHeight="1">
      <c r="H4146" s="16"/>
      <c r="I4146" s="16"/>
      <c r="J4146" s="17"/>
    </row>
    <row r="4147" spans="8:10" ht="15.75" customHeight="1">
      <c r="H4147" s="16"/>
      <c r="I4147" s="16"/>
      <c r="J4147" s="17"/>
    </row>
    <row r="4148" spans="8:10" ht="15.75" customHeight="1">
      <c r="H4148" s="16"/>
      <c r="I4148" s="16"/>
      <c r="J4148" s="17"/>
    </row>
    <row r="4149" spans="8:10" ht="15.75" customHeight="1">
      <c r="H4149" s="16"/>
      <c r="I4149" s="16"/>
      <c r="J4149" s="17"/>
    </row>
    <row r="4150" spans="8:10" ht="15.75" customHeight="1">
      <c r="H4150" s="16"/>
      <c r="I4150" s="16"/>
      <c r="J4150" s="17"/>
    </row>
    <row r="4151" spans="8:10" ht="15.75" customHeight="1">
      <c r="H4151" s="16"/>
      <c r="I4151" s="16"/>
      <c r="J4151" s="17"/>
    </row>
    <row r="4152" spans="8:10" ht="15.75" customHeight="1">
      <c r="H4152" s="16"/>
      <c r="I4152" s="16"/>
      <c r="J4152" s="17"/>
    </row>
    <row r="4153" spans="8:10" ht="15.75" customHeight="1">
      <c r="H4153" s="16"/>
      <c r="I4153" s="16"/>
      <c r="J4153" s="17"/>
    </row>
    <row r="4154" spans="8:10" ht="15.75" customHeight="1">
      <c r="H4154" s="16"/>
      <c r="I4154" s="16"/>
      <c r="J4154" s="17"/>
    </row>
    <row r="4155" spans="8:10" ht="15.75" customHeight="1">
      <c r="H4155" s="16"/>
      <c r="I4155" s="16"/>
      <c r="J4155" s="17"/>
    </row>
    <row r="4156" spans="8:10" ht="15.75" customHeight="1">
      <c r="H4156" s="16"/>
      <c r="I4156" s="16"/>
      <c r="J4156" s="17"/>
    </row>
    <row r="4157" spans="8:10" ht="15.75" customHeight="1">
      <c r="H4157" s="16"/>
      <c r="I4157" s="16"/>
      <c r="J4157" s="17"/>
    </row>
    <row r="4158" spans="8:10" ht="15.75" customHeight="1">
      <c r="H4158" s="16"/>
      <c r="I4158" s="16"/>
      <c r="J4158" s="17"/>
    </row>
    <row r="4159" spans="8:10" ht="15.75" customHeight="1">
      <c r="H4159" s="16"/>
      <c r="I4159" s="16"/>
      <c r="J4159" s="17"/>
    </row>
    <row r="4160" spans="8:10" ht="15.75" customHeight="1">
      <c r="H4160" s="16"/>
      <c r="I4160" s="16"/>
      <c r="J4160" s="17"/>
    </row>
    <row r="4161" spans="8:10" ht="15.75" customHeight="1">
      <c r="H4161" s="16"/>
      <c r="I4161" s="16"/>
      <c r="J4161" s="17"/>
    </row>
    <row r="4162" spans="8:10" ht="15.75" customHeight="1">
      <c r="H4162" s="16"/>
      <c r="I4162" s="16"/>
      <c r="J4162" s="17"/>
    </row>
    <row r="4163" spans="8:10" ht="15.75" customHeight="1">
      <c r="H4163" s="16"/>
      <c r="I4163" s="16"/>
      <c r="J4163" s="17"/>
    </row>
    <row r="4164" spans="8:10" ht="15.75" customHeight="1">
      <c r="H4164" s="16"/>
      <c r="I4164" s="16"/>
      <c r="J4164" s="17"/>
    </row>
    <row r="4165" spans="8:10" ht="15.75" customHeight="1">
      <c r="H4165" s="16"/>
      <c r="I4165" s="16"/>
      <c r="J4165" s="17"/>
    </row>
    <row r="4166" spans="8:10" ht="15.75" customHeight="1">
      <c r="H4166" s="16"/>
      <c r="I4166" s="16"/>
      <c r="J4166" s="17"/>
    </row>
    <row r="4167" spans="8:10" ht="15.75" customHeight="1">
      <c r="H4167" s="16"/>
      <c r="I4167" s="16"/>
      <c r="J4167" s="17"/>
    </row>
    <row r="4168" spans="8:10" ht="15.75" customHeight="1">
      <c r="H4168" s="16"/>
      <c r="I4168" s="16"/>
      <c r="J4168" s="17"/>
    </row>
    <row r="4169" spans="8:10" ht="15.75" customHeight="1">
      <c r="H4169" s="16"/>
      <c r="I4169" s="16"/>
      <c r="J4169" s="17"/>
    </row>
    <row r="4170" spans="8:10" ht="15.75" customHeight="1">
      <c r="H4170" s="16"/>
      <c r="I4170" s="16"/>
      <c r="J4170" s="17"/>
    </row>
    <row r="4171" spans="8:10" ht="15.75" customHeight="1">
      <c r="H4171" s="16"/>
      <c r="I4171" s="16"/>
      <c r="J4171" s="17"/>
    </row>
    <row r="4172" spans="8:10" ht="15.75" customHeight="1">
      <c r="H4172" s="16"/>
      <c r="I4172" s="16"/>
      <c r="J4172" s="17"/>
    </row>
    <row r="4173" spans="8:10" ht="15.75" customHeight="1">
      <c r="H4173" s="16"/>
      <c r="I4173" s="16"/>
      <c r="J4173" s="17"/>
    </row>
    <row r="4174" spans="8:10" ht="15.75" customHeight="1">
      <c r="H4174" s="16"/>
      <c r="I4174" s="16"/>
      <c r="J4174" s="17"/>
    </row>
    <row r="4175" spans="8:10" ht="15.75" customHeight="1">
      <c r="H4175" s="16"/>
      <c r="I4175" s="16"/>
      <c r="J4175" s="17"/>
    </row>
    <row r="4176" spans="8:10" ht="15.75" customHeight="1">
      <c r="H4176" s="16"/>
      <c r="I4176" s="16"/>
      <c r="J4176" s="17"/>
    </row>
    <row r="4177" spans="8:10" ht="15.75" customHeight="1">
      <c r="H4177" s="16"/>
      <c r="I4177" s="16"/>
      <c r="J4177" s="17"/>
    </row>
    <row r="4178" spans="8:10" ht="15.75" customHeight="1">
      <c r="H4178" s="16"/>
      <c r="I4178" s="16"/>
      <c r="J4178" s="17"/>
    </row>
    <row r="4179" spans="8:10" ht="15.75" customHeight="1">
      <c r="H4179" s="16"/>
      <c r="I4179" s="16"/>
      <c r="J4179" s="17"/>
    </row>
    <row r="4180" spans="8:10" ht="15.75" customHeight="1">
      <c r="H4180" s="16"/>
      <c r="I4180" s="16"/>
      <c r="J4180" s="17"/>
    </row>
    <row r="4181" spans="8:10" ht="15.75" customHeight="1">
      <c r="H4181" s="16"/>
      <c r="I4181" s="16"/>
      <c r="J4181" s="17"/>
    </row>
    <row r="4182" spans="8:10" ht="15.75" customHeight="1">
      <c r="H4182" s="16"/>
      <c r="I4182" s="16"/>
      <c r="J4182" s="17"/>
    </row>
    <row r="4183" spans="8:10" ht="15.75" customHeight="1">
      <c r="H4183" s="16"/>
      <c r="I4183" s="16"/>
      <c r="J4183" s="17"/>
    </row>
    <row r="4184" spans="8:10" ht="15.75" customHeight="1">
      <c r="H4184" s="16"/>
      <c r="I4184" s="16"/>
      <c r="J4184" s="17"/>
    </row>
    <row r="4185" spans="8:10" ht="15.75" customHeight="1">
      <c r="H4185" s="16"/>
      <c r="I4185" s="16"/>
      <c r="J4185" s="17"/>
    </row>
    <row r="4186" spans="8:10" ht="15.75" customHeight="1">
      <c r="H4186" s="16"/>
      <c r="I4186" s="16"/>
      <c r="J4186" s="17"/>
    </row>
    <row r="4187" spans="8:10" ht="15.75" customHeight="1">
      <c r="H4187" s="16"/>
      <c r="I4187" s="16"/>
      <c r="J4187" s="17"/>
    </row>
    <row r="4188" spans="8:10" ht="15.75" customHeight="1">
      <c r="H4188" s="16"/>
      <c r="I4188" s="16"/>
      <c r="J4188" s="17"/>
    </row>
    <row r="4189" spans="8:10" ht="15.75" customHeight="1">
      <c r="H4189" s="16"/>
      <c r="I4189" s="16"/>
      <c r="J4189" s="17"/>
    </row>
    <row r="4190" spans="8:10" ht="15.75" customHeight="1">
      <c r="H4190" s="16"/>
      <c r="I4190" s="16"/>
      <c r="J4190" s="17"/>
    </row>
    <row r="4191" spans="8:10" ht="15.75" customHeight="1">
      <c r="H4191" s="16"/>
      <c r="I4191" s="16"/>
      <c r="J4191" s="17"/>
    </row>
    <row r="4192" spans="8:10" ht="15.75" customHeight="1">
      <c r="H4192" s="16"/>
      <c r="I4192" s="16"/>
      <c r="J4192" s="17"/>
    </row>
    <row r="4193" spans="8:10" ht="15.75" customHeight="1">
      <c r="H4193" s="16"/>
      <c r="I4193" s="16"/>
      <c r="J4193" s="17"/>
    </row>
    <row r="4194" spans="8:10" ht="15.75" customHeight="1">
      <c r="H4194" s="16"/>
      <c r="I4194" s="16"/>
      <c r="J4194" s="17"/>
    </row>
    <row r="4195" spans="8:10" ht="15.75" customHeight="1">
      <c r="H4195" s="16"/>
      <c r="I4195" s="16"/>
      <c r="J4195" s="17"/>
    </row>
    <row r="4196" spans="8:10" ht="15.75" customHeight="1">
      <c r="H4196" s="16"/>
      <c r="I4196" s="16"/>
      <c r="J4196" s="17"/>
    </row>
    <row r="4197" spans="8:10" ht="15.75" customHeight="1">
      <c r="H4197" s="16"/>
      <c r="I4197" s="16"/>
      <c r="J4197" s="17"/>
    </row>
    <row r="4198" spans="8:10" ht="15.75" customHeight="1">
      <c r="H4198" s="16"/>
      <c r="I4198" s="16"/>
      <c r="J4198" s="17"/>
    </row>
    <row r="4199" spans="8:10" ht="15.75" customHeight="1">
      <c r="H4199" s="16"/>
      <c r="I4199" s="16"/>
      <c r="J4199" s="17"/>
    </row>
    <row r="4200" spans="8:10" ht="15.75" customHeight="1">
      <c r="H4200" s="16"/>
      <c r="I4200" s="16"/>
      <c r="J4200" s="17"/>
    </row>
    <row r="4201" spans="8:10" ht="15.75" customHeight="1">
      <c r="H4201" s="16"/>
      <c r="I4201" s="16"/>
      <c r="J4201" s="17"/>
    </row>
    <row r="4202" spans="8:10" ht="15.75" customHeight="1">
      <c r="H4202" s="16"/>
      <c r="I4202" s="16"/>
      <c r="J4202" s="17"/>
    </row>
    <row r="4203" spans="8:10" ht="15.75" customHeight="1">
      <c r="H4203" s="16"/>
      <c r="I4203" s="16"/>
      <c r="J4203" s="17"/>
    </row>
    <row r="4204" spans="8:10" ht="15.75" customHeight="1">
      <c r="H4204" s="16"/>
      <c r="I4204" s="16"/>
      <c r="J4204" s="17"/>
    </row>
    <row r="4205" spans="8:10" ht="15.75" customHeight="1">
      <c r="H4205" s="16"/>
      <c r="I4205" s="16"/>
      <c r="J4205" s="17"/>
    </row>
    <row r="4206" spans="8:10" ht="15.75" customHeight="1">
      <c r="H4206" s="16"/>
      <c r="I4206" s="16"/>
      <c r="J4206" s="17"/>
    </row>
    <row r="4207" spans="8:10" ht="15.75" customHeight="1">
      <c r="H4207" s="16"/>
      <c r="I4207" s="16"/>
      <c r="J4207" s="17"/>
    </row>
    <row r="4208" spans="8:10" ht="15.75" customHeight="1">
      <c r="H4208" s="16"/>
      <c r="I4208" s="16"/>
      <c r="J4208" s="17"/>
    </row>
    <row r="4209" spans="8:10" ht="15.75" customHeight="1">
      <c r="H4209" s="16"/>
      <c r="I4209" s="16"/>
      <c r="J4209" s="17"/>
    </row>
    <row r="4210" spans="8:10" ht="15.75" customHeight="1">
      <c r="H4210" s="16"/>
      <c r="I4210" s="16"/>
      <c r="J4210" s="17"/>
    </row>
    <row r="4211" spans="8:10" ht="15.75" customHeight="1">
      <c r="H4211" s="16"/>
      <c r="I4211" s="16"/>
      <c r="J4211" s="17"/>
    </row>
    <row r="4212" spans="8:10" ht="15.75" customHeight="1">
      <c r="H4212" s="16"/>
      <c r="I4212" s="16"/>
      <c r="J4212" s="17"/>
    </row>
    <row r="4213" spans="8:10" ht="15.75" customHeight="1">
      <c r="H4213" s="16"/>
      <c r="I4213" s="16"/>
      <c r="J4213" s="17"/>
    </row>
    <row r="4214" spans="8:10" ht="15.75" customHeight="1">
      <c r="H4214" s="16"/>
      <c r="I4214" s="16"/>
      <c r="J4214" s="17"/>
    </row>
    <row r="4215" spans="8:10" ht="15.75" customHeight="1">
      <c r="H4215" s="16"/>
      <c r="I4215" s="16"/>
      <c r="J4215" s="17"/>
    </row>
    <row r="4216" spans="8:10" ht="15.75" customHeight="1">
      <c r="H4216" s="16"/>
      <c r="I4216" s="16"/>
      <c r="J4216" s="17"/>
    </row>
    <row r="4217" spans="8:10" ht="15.75" customHeight="1">
      <c r="H4217" s="16"/>
      <c r="I4217" s="16"/>
      <c r="J4217" s="17"/>
    </row>
    <row r="4218" spans="8:10" ht="15.75" customHeight="1">
      <c r="H4218" s="16"/>
      <c r="I4218" s="16"/>
      <c r="J4218" s="17"/>
    </row>
    <row r="4219" spans="8:10" ht="15.75" customHeight="1">
      <c r="H4219" s="16"/>
      <c r="I4219" s="16"/>
      <c r="J4219" s="17"/>
    </row>
    <row r="4220" spans="8:10" ht="15.75" customHeight="1">
      <c r="H4220" s="16"/>
      <c r="I4220" s="16"/>
      <c r="J4220" s="17"/>
    </row>
    <row r="4221" spans="8:10" ht="15.75" customHeight="1">
      <c r="H4221" s="16"/>
      <c r="I4221" s="16"/>
      <c r="J4221" s="17"/>
    </row>
    <row r="4222" spans="8:10" ht="15.75" customHeight="1">
      <c r="H4222" s="16"/>
      <c r="I4222" s="16"/>
      <c r="J4222" s="17"/>
    </row>
    <row r="4223" spans="8:10" ht="15.75" customHeight="1">
      <c r="H4223" s="16"/>
      <c r="I4223" s="16"/>
      <c r="J4223" s="17"/>
    </row>
    <row r="4224" spans="8:10" ht="15.75" customHeight="1">
      <c r="H4224" s="16"/>
      <c r="I4224" s="16"/>
      <c r="J4224" s="17"/>
    </row>
    <row r="4225" spans="8:10" ht="15.75" customHeight="1">
      <c r="H4225" s="16"/>
      <c r="I4225" s="16"/>
      <c r="J4225" s="17"/>
    </row>
    <row r="4226" spans="8:10" ht="15.75" customHeight="1">
      <c r="H4226" s="16"/>
      <c r="I4226" s="16"/>
      <c r="J4226" s="17"/>
    </row>
    <row r="4227" spans="8:10" ht="15.75" customHeight="1">
      <c r="H4227" s="16"/>
      <c r="I4227" s="16"/>
      <c r="J4227" s="17"/>
    </row>
    <row r="4228" spans="8:10" ht="15.75" customHeight="1">
      <c r="H4228" s="16"/>
      <c r="I4228" s="16"/>
      <c r="J4228" s="17"/>
    </row>
    <row r="4229" spans="8:10" ht="15.75" customHeight="1">
      <c r="H4229" s="16"/>
      <c r="I4229" s="16"/>
      <c r="J4229" s="17"/>
    </row>
    <row r="4230" spans="8:10" ht="15.75" customHeight="1">
      <c r="H4230" s="16"/>
      <c r="I4230" s="16"/>
      <c r="J4230" s="17"/>
    </row>
    <row r="4231" spans="8:10" ht="15.75" customHeight="1">
      <c r="H4231" s="16"/>
      <c r="I4231" s="16"/>
      <c r="J4231" s="17"/>
    </row>
    <row r="4232" spans="8:10" ht="15.75" customHeight="1">
      <c r="H4232" s="16"/>
      <c r="I4232" s="16"/>
      <c r="J4232" s="17"/>
    </row>
    <row r="4233" spans="8:10" ht="15.75" customHeight="1">
      <c r="H4233" s="16"/>
      <c r="I4233" s="16"/>
      <c r="J4233" s="17"/>
    </row>
    <row r="4234" spans="8:10" ht="15.75" customHeight="1">
      <c r="H4234" s="16"/>
      <c r="I4234" s="16"/>
      <c r="J4234" s="17"/>
    </row>
    <row r="4235" spans="8:10" ht="15.75" customHeight="1">
      <c r="H4235" s="16"/>
      <c r="I4235" s="16"/>
      <c r="J4235" s="17"/>
    </row>
    <row r="4236" spans="8:10" ht="15.75" customHeight="1">
      <c r="H4236" s="16"/>
      <c r="I4236" s="16"/>
      <c r="J4236" s="17"/>
    </row>
    <row r="4237" spans="8:10" ht="15.75" customHeight="1">
      <c r="H4237" s="16"/>
      <c r="I4237" s="16"/>
      <c r="J4237" s="17"/>
    </row>
    <row r="4238" spans="8:10" ht="15.75" customHeight="1">
      <c r="H4238" s="16"/>
      <c r="I4238" s="16"/>
      <c r="J4238" s="17"/>
    </row>
    <row r="4239" spans="8:10" ht="15.75" customHeight="1">
      <c r="H4239" s="16"/>
      <c r="I4239" s="16"/>
      <c r="J4239" s="17"/>
    </row>
    <row r="4240" spans="8:10" ht="15.75" customHeight="1">
      <c r="H4240" s="16"/>
      <c r="I4240" s="16"/>
      <c r="J4240" s="17"/>
    </row>
    <row r="4241" spans="8:10" ht="15.75" customHeight="1">
      <c r="H4241" s="16"/>
      <c r="I4241" s="16"/>
      <c r="J4241" s="17"/>
    </row>
    <row r="4242" spans="8:10" ht="15.75" customHeight="1">
      <c r="H4242" s="16"/>
      <c r="I4242" s="16"/>
      <c r="J4242" s="17"/>
    </row>
    <row r="4243" spans="8:10" ht="15.75" customHeight="1">
      <c r="H4243" s="16"/>
      <c r="I4243" s="16"/>
      <c r="J4243" s="17"/>
    </row>
    <row r="4244" spans="8:10" ht="15.75" customHeight="1">
      <c r="H4244" s="16"/>
      <c r="I4244" s="16"/>
      <c r="J4244" s="17"/>
    </row>
    <row r="4245" spans="8:10" ht="15.75" customHeight="1">
      <c r="H4245" s="16"/>
      <c r="I4245" s="16"/>
      <c r="J4245" s="17"/>
    </row>
    <row r="4246" spans="8:10" ht="15.75" customHeight="1">
      <c r="H4246" s="16"/>
      <c r="I4246" s="16"/>
      <c r="J4246" s="17"/>
    </row>
    <row r="4247" spans="8:10" ht="15.75" customHeight="1">
      <c r="H4247" s="16"/>
      <c r="I4247" s="16"/>
      <c r="J4247" s="17"/>
    </row>
    <row r="4248" spans="8:10" ht="15.75" customHeight="1">
      <c r="H4248" s="16"/>
      <c r="I4248" s="16"/>
      <c r="J4248" s="17"/>
    </row>
    <row r="4249" spans="8:10" ht="15.75" customHeight="1">
      <c r="H4249" s="16"/>
      <c r="I4249" s="16"/>
      <c r="J4249" s="17"/>
    </row>
    <row r="4250" spans="8:10" ht="15.75" customHeight="1">
      <c r="H4250" s="16"/>
      <c r="I4250" s="16"/>
      <c r="J4250" s="17"/>
    </row>
    <row r="4251" spans="8:10" ht="15.75" customHeight="1">
      <c r="H4251" s="16"/>
      <c r="I4251" s="16"/>
      <c r="J4251" s="17"/>
    </row>
    <row r="4252" spans="8:10" ht="15.75" customHeight="1">
      <c r="H4252" s="16"/>
      <c r="I4252" s="16"/>
      <c r="J4252" s="17"/>
    </row>
    <row r="4253" spans="8:10" ht="15.75" customHeight="1">
      <c r="H4253" s="16"/>
      <c r="I4253" s="16"/>
      <c r="J4253" s="17"/>
    </row>
    <row r="4254" spans="8:10" ht="15.75" customHeight="1">
      <c r="H4254" s="16"/>
      <c r="I4254" s="16"/>
      <c r="J4254" s="17"/>
    </row>
    <row r="4255" spans="8:10" ht="15.75" customHeight="1">
      <c r="H4255" s="16"/>
      <c r="I4255" s="16"/>
      <c r="J4255" s="17"/>
    </row>
    <row r="4256" spans="8:10" ht="15.75" customHeight="1">
      <c r="H4256" s="16"/>
      <c r="I4256" s="16"/>
      <c r="J4256" s="17"/>
    </row>
    <row r="4257" spans="8:10" ht="15.75" customHeight="1">
      <c r="H4257" s="16"/>
      <c r="I4257" s="16"/>
      <c r="J4257" s="17"/>
    </row>
    <row r="4258" spans="8:10" ht="15.75" customHeight="1">
      <c r="H4258" s="16"/>
      <c r="I4258" s="16"/>
      <c r="J4258" s="17"/>
    </row>
    <row r="4259" spans="8:10" ht="15.75" customHeight="1">
      <c r="H4259" s="16"/>
      <c r="I4259" s="16"/>
      <c r="J4259" s="17"/>
    </row>
    <row r="4260" spans="8:10" ht="15.75" customHeight="1">
      <c r="H4260" s="16"/>
      <c r="I4260" s="16"/>
      <c r="J4260" s="17"/>
    </row>
    <row r="4261" spans="8:10" ht="15.75" customHeight="1">
      <c r="H4261" s="16"/>
      <c r="I4261" s="16"/>
      <c r="J4261" s="17"/>
    </row>
    <row r="4262" spans="8:10" ht="15.75" customHeight="1">
      <c r="H4262" s="16"/>
      <c r="I4262" s="16"/>
      <c r="J4262" s="17"/>
    </row>
    <row r="4263" spans="8:10" ht="15.75" customHeight="1">
      <c r="H4263" s="16"/>
      <c r="I4263" s="16"/>
      <c r="J4263" s="17"/>
    </row>
    <row r="4264" spans="8:10" ht="15.75" customHeight="1">
      <c r="H4264" s="16"/>
      <c r="I4264" s="16"/>
      <c r="J4264" s="17"/>
    </row>
    <row r="4265" spans="8:10" ht="15.75" customHeight="1">
      <c r="H4265" s="16"/>
      <c r="I4265" s="16"/>
      <c r="J4265" s="17"/>
    </row>
    <row r="4266" spans="8:10" ht="15.75" customHeight="1">
      <c r="H4266" s="16"/>
      <c r="I4266" s="16"/>
      <c r="J4266" s="17"/>
    </row>
    <row r="4267" spans="8:10" ht="15.75" customHeight="1">
      <c r="H4267" s="16"/>
      <c r="I4267" s="16"/>
      <c r="J4267" s="17"/>
    </row>
    <row r="4268" spans="8:10" ht="15.75" customHeight="1">
      <c r="H4268" s="16"/>
      <c r="I4268" s="16"/>
      <c r="J4268" s="17"/>
    </row>
    <row r="4269" spans="8:10" ht="15.75" customHeight="1">
      <c r="H4269" s="16"/>
      <c r="I4269" s="16"/>
      <c r="J4269" s="17"/>
    </row>
    <row r="4270" spans="8:10" ht="15.75" customHeight="1">
      <c r="H4270" s="16"/>
      <c r="I4270" s="16"/>
      <c r="J4270" s="17"/>
    </row>
    <row r="4271" spans="8:10" ht="15.75" customHeight="1">
      <c r="H4271" s="16"/>
      <c r="I4271" s="16"/>
      <c r="J4271" s="17"/>
    </row>
    <row r="4272" spans="8:10" ht="15.75" customHeight="1">
      <c r="H4272" s="16"/>
      <c r="I4272" s="16"/>
      <c r="J4272" s="17"/>
    </row>
    <row r="4273" spans="8:10" ht="15.75" customHeight="1">
      <c r="H4273" s="16"/>
      <c r="I4273" s="16"/>
      <c r="J4273" s="17"/>
    </row>
    <row r="4274" spans="8:10" ht="15.75" customHeight="1">
      <c r="H4274" s="16"/>
      <c r="I4274" s="16"/>
      <c r="J4274" s="17"/>
    </row>
    <row r="4275" spans="8:10" ht="15.75" customHeight="1">
      <c r="H4275" s="16"/>
      <c r="I4275" s="16"/>
      <c r="J4275" s="17"/>
    </row>
    <row r="4276" spans="8:10" ht="15.75" customHeight="1">
      <c r="H4276" s="16"/>
      <c r="I4276" s="16"/>
      <c r="J4276" s="17"/>
    </row>
    <row r="4277" spans="8:10" ht="15.75" customHeight="1">
      <c r="H4277" s="16"/>
      <c r="I4277" s="16"/>
      <c r="J4277" s="17"/>
    </row>
    <row r="4278" spans="8:10" ht="15.75" customHeight="1">
      <c r="H4278" s="16"/>
      <c r="I4278" s="16"/>
      <c r="J4278" s="17"/>
    </row>
    <row r="4279" spans="8:10" ht="15.75" customHeight="1">
      <c r="H4279" s="16"/>
      <c r="I4279" s="16"/>
      <c r="J4279" s="17"/>
    </row>
    <row r="4280" spans="8:10" ht="15.75" customHeight="1">
      <c r="H4280" s="16"/>
      <c r="I4280" s="16"/>
      <c r="J4280" s="17"/>
    </row>
    <row r="4281" spans="8:10" ht="15.75" customHeight="1">
      <c r="H4281" s="16"/>
      <c r="I4281" s="16"/>
      <c r="J4281" s="17"/>
    </row>
    <row r="4282" spans="8:10" ht="15.75" customHeight="1">
      <c r="H4282" s="16"/>
      <c r="I4282" s="16"/>
      <c r="J4282" s="17"/>
    </row>
    <row r="4283" spans="8:10" ht="15.75" customHeight="1">
      <c r="H4283" s="16"/>
      <c r="I4283" s="16"/>
      <c r="J4283" s="17"/>
    </row>
    <row r="4284" spans="8:10" ht="15.75" customHeight="1">
      <c r="H4284" s="16"/>
      <c r="I4284" s="16"/>
      <c r="J4284" s="17"/>
    </row>
    <row r="4285" spans="8:10" ht="15.75" customHeight="1">
      <c r="H4285" s="16"/>
      <c r="I4285" s="16"/>
      <c r="J4285" s="17"/>
    </row>
    <row r="4286" spans="8:10" ht="15.75" customHeight="1">
      <c r="H4286" s="16"/>
      <c r="I4286" s="16"/>
      <c r="J4286" s="17"/>
    </row>
    <row r="4287" spans="8:10" ht="15.75" customHeight="1">
      <c r="H4287" s="16"/>
      <c r="I4287" s="16"/>
      <c r="J4287" s="17"/>
    </row>
    <row r="4288" spans="8:10" ht="15.75" customHeight="1">
      <c r="H4288" s="16"/>
      <c r="I4288" s="16"/>
      <c r="J4288" s="17"/>
    </row>
    <row r="4289" spans="8:10" ht="15.75" customHeight="1">
      <c r="H4289" s="16"/>
      <c r="I4289" s="16"/>
      <c r="J4289" s="17"/>
    </row>
    <row r="4290" spans="8:10" ht="15.75" customHeight="1">
      <c r="H4290" s="16"/>
      <c r="I4290" s="16"/>
      <c r="J4290" s="17"/>
    </row>
    <row r="4291" spans="8:10" ht="15.75" customHeight="1">
      <c r="H4291" s="16"/>
      <c r="I4291" s="16"/>
      <c r="J4291" s="17"/>
    </row>
    <row r="4292" spans="8:10" ht="15.75" customHeight="1">
      <c r="H4292" s="16"/>
      <c r="I4292" s="16"/>
      <c r="J4292" s="17"/>
    </row>
    <row r="4293" spans="8:10" ht="15.75" customHeight="1">
      <c r="H4293" s="16"/>
      <c r="I4293" s="16"/>
      <c r="J4293" s="17"/>
    </row>
    <row r="4294" spans="8:10" ht="15.75" customHeight="1">
      <c r="H4294" s="16"/>
      <c r="I4294" s="16"/>
      <c r="J4294" s="17"/>
    </row>
    <row r="4295" spans="8:10" ht="15.75" customHeight="1">
      <c r="H4295" s="16"/>
      <c r="I4295" s="16"/>
      <c r="J4295" s="17"/>
    </row>
    <row r="4296" spans="8:10" ht="15.75" customHeight="1">
      <c r="H4296" s="16"/>
      <c r="I4296" s="16"/>
      <c r="J4296" s="17"/>
    </row>
    <row r="4297" spans="8:10" ht="15.75" customHeight="1">
      <c r="H4297" s="16"/>
      <c r="I4297" s="16"/>
      <c r="J4297" s="17"/>
    </row>
    <row r="4298" spans="8:10" ht="15.75" customHeight="1">
      <c r="H4298" s="16"/>
      <c r="I4298" s="16"/>
      <c r="J4298" s="17"/>
    </row>
    <row r="4299" spans="8:10" ht="15.75" customHeight="1">
      <c r="H4299" s="16"/>
      <c r="I4299" s="16"/>
      <c r="J4299" s="17"/>
    </row>
    <row r="4300" spans="8:10" ht="15.75" customHeight="1">
      <c r="H4300" s="16"/>
      <c r="I4300" s="16"/>
      <c r="J4300" s="17"/>
    </row>
    <row r="4301" spans="8:10" ht="15.75" customHeight="1">
      <c r="H4301" s="16"/>
      <c r="I4301" s="16"/>
      <c r="J4301" s="17"/>
    </row>
    <row r="4302" spans="8:10" ht="15.75" customHeight="1">
      <c r="H4302" s="16"/>
      <c r="I4302" s="16"/>
      <c r="J4302" s="17"/>
    </row>
    <row r="4303" spans="8:10" ht="15.75" customHeight="1">
      <c r="H4303" s="16"/>
      <c r="I4303" s="16"/>
      <c r="J4303" s="17"/>
    </row>
    <row r="4304" spans="8:10" ht="15.75" customHeight="1">
      <c r="H4304" s="16"/>
      <c r="I4304" s="16"/>
      <c r="J4304" s="17"/>
    </row>
    <row r="4305" spans="8:10" ht="15.75" customHeight="1">
      <c r="H4305" s="16"/>
      <c r="I4305" s="16"/>
      <c r="J4305" s="17"/>
    </row>
    <row r="4306" spans="8:10" ht="15.75" customHeight="1">
      <c r="H4306" s="16"/>
      <c r="I4306" s="16"/>
      <c r="J4306" s="17"/>
    </row>
    <row r="4307" spans="8:10" ht="15.75" customHeight="1">
      <c r="H4307" s="16"/>
      <c r="I4307" s="16"/>
      <c r="J4307" s="17"/>
    </row>
    <row r="4308" spans="8:10" ht="15.75" customHeight="1">
      <c r="H4308" s="16"/>
      <c r="I4308" s="16"/>
      <c r="J4308" s="17"/>
    </row>
    <row r="4309" spans="8:10" ht="15.75" customHeight="1">
      <c r="H4309" s="16"/>
      <c r="I4309" s="16"/>
      <c r="J4309" s="17"/>
    </row>
    <row r="4310" spans="8:10" ht="15.75" customHeight="1">
      <c r="H4310" s="16"/>
      <c r="I4310" s="16"/>
      <c r="J4310" s="17"/>
    </row>
    <row r="4311" spans="8:10" ht="15.75" customHeight="1">
      <c r="H4311" s="16"/>
      <c r="I4311" s="16"/>
      <c r="J4311" s="17"/>
    </row>
    <row r="4312" spans="8:10" ht="15.75" customHeight="1">
      <c r="H4312" s="16"/>
      <c r="I4312" s="16"/>
      <c r="J4312" s="17"/>
    </row>
    <row r="4313" spans="8:10" ht="15.75" customHeight="1">
      <c r="H4313" s="16"/>
      <c r="I4313" s="16"/>
      <c r="J4313" s="17"/>
    </row>
    <row r="4314" spans="8:10" ht="15.75" customHeight="1">
      <c r="H4314" s="16"/>
      <c r="I4314" s="16"/>
      <c r="J4314" s="17"/>
    </row>
    <row r="4315" spans="8:10" ht="15.75" customHeight="1">
      <c r="H4315" s="16"/>
      <c r="I4315" s="16"/>
      <c r="J4315" s="17"/>
    </row>
    <row r="4316" spans="8:10" ht="15.75" customHeight="1">
      <c r="H4316" s="16"/>
      <c r="I4316" s="16"/>
      <c r="J4316" s="17"/>
    </row>
    <row r="4317" spans="8:10" ht="15.75" customHeight="1">
      <c r="H4317" s="16"/>
      <c r="I4317" s="16"/>
      <c r="J4317" s="17"/>
    </row>
    <row r="4318" spans="8:10" ht="15.75" customHeight="1">
      <c r="H4318" s="16"/>
      <c r="I4318" s="16"/>
      <c r="J4318" s="17"/>
    </row>
    <row r="4319" spans="8:10" ht="15.75" customHeight="1">
      <c r="H4319" s="16"/>
      <c r="I4319" s="16"/>
      <c r="J4319" s="17"/>
    </row>
    <row r="4320" spans="8:10" ht="15.75" customHeight="1">
      <c r="H4320" s="16"/>
      <c r="I4320" s="16"/>
      <c r="J4320" s="17"/>
    </row>
    <row r="4321" spans="8:10" ht="15.75" customHeight="1">
      <c r="H4321" s="16"/>
      <c r="I4321" s="16"/>
      <c r="J4321" s="17"/>
    </row>
    <row r="4322" spans="8:10" ht="15.75" customHeight="1">
      <c r="H4322" s="16"/>
      <c r="I4322" s="16"/>
      <c r="J4322" s="17"/>
    </row>
    <row r="4323" spans="8:10" ht="15.75" customHeight="1">
      <c r="H4323" s="16"/>
      <c r="I4323" s="16"/>
      <c r="J4323" s="17"/>
    </row>
    <row r="4324" spans="8:10" ht="15.75" customHeight="1">
      <c r="H4324" s="16"/>
      <c r="I4324" s="16"/>
      <c r="J4324" s="17"/>
    </row>
    <row r="4325" spans="8:10" ht="15.75" customHeight="1">
      <c r="H4325" s="16"/>
      <c r="I4325" s="16"/>
      <c r="J4325" s="17"/>
    </row>
    <row r="4326" spans="8:10" ht="15.75" customHeight="1">
      <c r="H4326" s="16"/>
      <c r="I4326" s="16"/>
      <c r="J4326" s="17"/>
    </row>
    <row r="4327" spans="8:10" ht="15.75" customHeight="1">
      <c r="H4327" s="16"/>
      <c r="I4327" s="16"/>
      <c r="J4327" s="17"/>
    </row>
    <row r="4328" spans="8:10" ht="15.75" customHeight="1">
      <c r="H4328" s="16"/>
      <c r="I4328" s="16"/>
      <c r="J4328" s="17"/>
    </row>
    <row r="4329" spans="8:10" ht="15.75" customHeight="1">
      <c r="H4329" s="16"/>
      <c r="I4329" s="16"/>
      <c r="J4329" s="17"/>
    </row>
    <row r="4330" spans="8:10" ht="15.75" customHeight="1">
      <c r="H4330" s="16"/>
      <c r="I4330" s="16"/>
      <c r="J4330" s="17"/>
    </row>
    <row r="4331" spans="8:10" ht="15.75" customHeight="1">
      <c r="H4331" s="16"/>
      <c r="I4331" s="16"/>
      <c r="J4331" s="17"/>
    </row>
    <row r="4332" spans="8:10" ht="15.75" customHeight="1">
      <c r="H4332" s="16"/>
      <c r="I4332" s="16"/>
      <c r="J4332" s="17"/>
    </row>
    <row r="4333" spans="8:10" ht="15.75" customHeight="1">
      <c r="H4333" s="16"/>
      <c r="I4333" s="16"/>
      <c r="J4333" s="17"/>
    </row>
    <row r="4334" spans="8:10" ht="15.75" customHeight="1">
      <c r="H4334" s="16"/>
      <c r="I4334" s="16"/>
      <c r="J4334" s="17"/>
    </row>
    <row r="4335" spans="8:10" ht="15.75" customHeight="1">
      <c r="H4335" s="16"/>
      <c r="I4335" s="16"/>
      <c r="J4335" s="17"/>
    </row>
    <row r="4336" spans="8:10" ht="15.75" customHeight="1">
      <c r="H4336" s="16"/>
      <c r="I4336" s="16"/>
      <c r="J4336" s="17"/>
    </row>
    <row r="4337" spans="8:10" ht="15.75" customHeight="1">
      <c r="H4337" s="16"/>
      <c r="I4337" s="16"/>
      <c r="J4337" s="17"/>
    </row>
    <row r="4338" spans="8:10" ht="15.75" customHeight="1">
      <c r="H4338" s="16"/>
      <c r="I4338" s="16"/>
      <c r="J4338" s="17"/>
    </row>
    <row r="4339" spans="8:10" ht="15.75" customHeight="1">
      <c r="H4339" s="16"/>
      <c r="I4339" s="16"/>
      <c r="J4339" s="17"/>
    </row>
    <row r="4340" spans="8:10" ht="15.75" customHeight="1">
      <c r="H4340" s="16"/>
      <c r="I4340" s="16"/>
      <c r="J4340" s="17"/>
    </row>
    <row r="4341" spans="8:10" ht="15.75" customHeight="1">
      <c r="H4341" s="16"/>
      <c r="I4341" s="16"/>
      <c r="J4341" s="17"/>
    </row>
    <row r="4342" spans="8:10" ht="15.75" customHeight="1">
      <c r="H4342" s="16"/>
      <c r="I4342" s="16"/>
      <c r="J4342" s="17"/>
    </row>
    <row r="4343" spans="8:10" ht="15.75" customHeight="1">
      <c r="H4343" s="16"/>
      <c r="I4343" s="16"/>
      <c r="J4343" s="17"/>
    </row>
    <row r="4344" spans="8:10" ht="15.75" customHeight="1">
      <c r="H4344" s="16"/>
      <c r="I4344" s="16"/>
      <c r="J4344" s="17"/>
    </row>
    <row r="4345" spans="8:10" ht="15.75" customHeight="1">
      <c r="H4345" s="16"/>
      <c r="I4345" s="16"/>
      <c r="J4345" s="17"/>
    </row>
    <row r="4346" spans="8:10" ht="15.75" customHeight="1">
      <c r="H4346" s="16"/>
      <c r="I4346" s="16"/>
      <c r="J4346" s="17"/>
    </row>
    <row r="4347" spans="8:10" ht="15.75" customHeight="1">
      <c r="H4347" s="16"/>
      <c r="I4347" s="16"/>
      <c r="J4347" s="17"/>
    </row>
    <row r="4348" spans="8:10" ht="15.75" customHeight="1">
      <c r="H4348" s="16"/>
      <c r="I4348" s="16"/>
      <c r="J4348" s="17"/>
    </row>
  </sheetData>
  <autoFilter ref="A2:BD406" xr:uid="{00000000-0009-0000-0000-000001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4">
    <mergeCell ref="BF1:BI1"/>
    <mergeCell ref="A3:M3"/>
    <mergeCell ref="Q3:S3"/>
    <mergeCell ref="AF3:AM3"/>
    <mergeCell ref="A1:BD1"/>
    <mergeCell ref="AT2:AV2"/>
    <mergeCell ref="AN2:AP2"/>
    <mergeCell ref="N2:P2"/>
    <mergeCell ref="T2:V2"/>
    <mergeCell ref="W2:Y2"/>
    <mergeCell ref="Z2:AB2"/>
    <mergeCell ref="AC2:AE2"/>
    <mergeCell ref="AQ2:AS2"/>
    <mergeCell ref="BA2:BC2"/>
  </mergeCells>
  <phoneticPr fontId="0" type="noConversion"/>
  <conditionalFormatting sqref="BE5:BE406">
    <cfRule type="containsText" dxfId="12880" priority="4869" operator="containsText" text="a">
      <formula>NOT(ISERROR(SEARCH("a",BE5)))</formula>
    </cfRule>
    <cfRule type="containsText" dxfId="12879" priority="4870" operator="containsText" text="R">
      <formula>NOT(ISERROR(SEARCH("R",BE5)))</formula>
    </cfRule>
  </conditionalFormatting>
  <conditionalFormatting sqref="BD5">
    <cfRule type="containsText" dxfId="12878" priority="4791" operator="containsText" text="Poner a mano">
      <formula>NOT(ISERROR(SEARCH("Poner a mano",BD5)))</formula>
    </cfRule>
  </conditionalFormatting>
  <conditionalFormatting sqref="BD5 I351:I406 J389:K406 AW405:AX406 AY45:AZ115 A11:F406 G12:H406 AY117:AZ406 AM11:AV406 AK141:AL406 L11:AJ406">
    <cfRule type="expression" dxfId="12877" priority="4777">
      <formula>$A5="Overhead Cable"</formula>
    </cfRule>
    <cfRule type="expression" dxfId="12876" priority="4778">
      <formula>$A5="Level Crossing"</formula>
    </cfRule>
    <cfRule type="expression" dxfId="12875" priority="4779">
      <formula>$A5="Neutral Section"</formula>
    </cfRule>
    <cfRule type="expression" dxfId="12874" priority="4780">
      <formula>$A5="Tunnel"</formula>
    </cfRule>
    <cfRule type="expression" dxfId="12873" priority="4781">
      <formula>$A5="Bridge"</formula>
    </cfRule>
    <cfRule type="expression" dxfId="12872" priority="4782">
      <formula>$A5="Drainage Works"</formula>
    </cfRule>
    <cfRule type="expression" dxfId="12871" priority="4783">
      <formula>$A5="Underpass"</formula>
    </cfRule>
    <cfRule type="expression" dxfId="12870" priority="4784">
      <formula>$A5="Overcrossing"</formula>
    </cfRule>
    <cfRule type="expression" dxfId="12869" priority="4785">
      <formula>$A5="Overpass"</formula>
    </cfRule>
    <cfRule type="expression" dxfId="12868" priority="4786">
      <formula>$A5="Station"</formula>
    </cfRule>
    <cfRule type="expression" dxfId="12867" priority="4787">
      <formula>$A5="Overlap between sections"</formula>
    </cfRule>
  </conditionalFormatting>
  <conditionalFormatting sqref="BA4:BC4">
    <cfRule type="expression" dxfId="12866" priority="4775">
      <formula>$BE4="R"</formula>
    </cfRule>
  </conditionalFormatting>
  <conditionalFormatting sqref="B4:E4 BE4 J4 AG4 AN4:AS4 AY4:BC4 G4:H4">
    <cfRule type="expression" dxfId="12865" priority="4773">
      <formula>$M4="NON DEFINED"</formula>
    </cfRule>
    <cfRule type="expression" dxfId="12864" priority="4774">
      <formula>$AY4="N.D."</formula>
    </cfRule>
  </conditionalFormatting>
  <conditionalFormatting sqref="A4:E4 J4 AG4 AN4:AS4 AY4:BE4 G4:H4">
    <cfRule type="cellIs" dxfId="12863" priority="4772" operator="equal">
      <formula>0</formula>
    </cfRule>
  </conditionalFormatting>
  <conditionalFormatting sqref="BA5:BC406">
    <cfRule type="expression" dxfId="12862" priority="4765">
      <formula>$BE5="A"</formula>
    </cfRule>
    <cfRule type="expression" dxfId="12861" priority="4766">
      <formula>$BE5="R"</formula>
    </cfRule>
  </conditionalFormatting>
  <conditionalFormatting sqref="BA5:BC5 I351:I406 J389:K406 AW405:AX406 AY45:AZ115 B11:F406 G12:H406 AY117:AZ406 AM11:AV406 AK141:AL406 L11:AJ406">
    <cfRule type="expression" dxfId="12860" priority="4762">
      <formula>$M5="NON DEFINED"</formula>
    </cfRule>
    <cfRule type="expression" dxfId="12859" priority="4763">
      <formula>$AZ5="N.D."</formula>
    </cfRule>
    <cfRule type="expression" dxfId="12858" priority="4764">
      <formula>$AY5="N.D."</formula>
    </cfRule>
  </conditionalFormatting>
  <conditionalFormatting sqref="BA5:BC5">
    <cfRule type="expression" dxfId="12857" priority="4751">
      <formula>$A5="Overhead Cable"</formula>
    </cfRule>
    <cfRule type="expression" dxfId="12856" priority="4752">
      <formula>$A5="Level Crossing"</formula>
    </cfRule>
    <cfRule type="expression" dxfId="12855" priority="4753">
      <formula>$A5="Neutral Section"</formula>
    </cfRule>
    <cfRule type="expression" dxfId="12854" priority="4754">
      <formula>$A5="Tunnel"</formula>
    </cfRule>
    <cfRule type="expression" dxfId="12853" priority="4755">
      <formula>$A5="Bridge"</formula>
    </cfRule>
    <cfRule type="expression" dxfId="12852" priority="4756">
      <formula>$A5="Drainage Works"</formula>
    </cfRule>
    <cfRule type="expression" dxfId="12851" priority="4757">
      <formula>$A5="Underpass"</formula>
    </cfRule>
    <cfRule type="expression" dxfId="12850" priority="4758">
      <formula>$A5="Overcrossing"</formula>
    </cfRule>
    <cfRule type="expression" dxfId="12849" priority="4759">
      <formula>$A5="Overpass"</formula>
    </cfRule>
    <cfRule type="expression" dxfId="12848" priority="4760">
      <formula>$A5="Station"</formula>
    </cfRule>
    <cfRule type="expression" dxfId="12847" priority="4761">
      <formula>$A5="Overlap between sections"</formula>
    </cfRule>
  </conditionalFormatting>
  <conditionalFormatting sqref="I4">
    <cfRule type="expression" dxfId="12846" priority="4734">
      <formula>$M4="NON DEFINED"</formula>
    </cfRule>
    <cfRule type="expression" dxfId="12845" priority="4735">
      <formula>$AY4="N.D."</formula>
    </cfRule>
  </conditionalFormatting>
  <conditionalFormatting sqref="I4">
    <cfRule type="cellIs" dxfId="12844" priority="4733" operator="equal">
      <formula>0</formula>
    </cfRule>
  </conditionalFormatting>
  <conditionalFormatting sqref="K4">
    <cfRule type="expression" dxfId="12843" priority="4717">
      <formula>$M4="NON DEFINED"</formula>
    </cfRule>
    <cfRule type="expression" dxfId="12842" priority="4718">
      <formula>$AY4="N.D."</formula>
    </cfRule>
  </conditionalFormatting>
  <conditionalFormatting sqref="K4">
    <cfRule type="cellIs" dxfId="12841" priority="4716" operator="equal">
      <formula>0</formula>
    </cfRule>
  </conditionalFormatting>
  <conditionalFormatting sqref="L4">
    <cfRule type="expression" dxfId="12840" priority="4700">
      <formula>$M4="NON DEFINED"</formula>
    </cfRule>
    <cfRule type="expression" dxfId="12839" priority="4701">
      <formula>$AY4="N.D."</formula>
    </cfRule>
  </conditionalFormatting>
  <conditionalFormatting sqref="L4">
    <cfRule type="cellIs" dxfId="12838" priority="4699" operator="equal">
      <formula>0</formula>
    </cfRule>
  </conditionalFormatting>
  <conditionalFormatting sqref="M4">
    <cfRule type="expression" dxfId="12837" priority="4683">
      <formula>$M4="NON DEFINED"</formula>
    </cfRule>
    <cfRule type="expression" dxfId="12836" priority="4684">
      <formula>$AY4="N.D."</formula>
    </cfRule>
  </conditionalFormatting>
  <conditionalFormatting sqref="M4">
    <cfRule type="cellIs" dxfId="12835" priority="4682" operator="equal">
      <formula>0</formula>
    </cfRule>
  </conditionalFormatting>
  <conditionalFormatting sqref="N4">
    <cfRule type="expression" dxfId="12834" priority="4663">
      <formula>$M4="NON DEFINED"</formula>
    </cfRule>
    <cfRule type="expression" dxfId="12833" priority="4664">
      <formula>$AY4="N.D."</formula>
    </cfRule>
  </conditionalFormatting>
  <conditionalFormatting sqref="N4">
    <cfRule type="cellIs" dxfId="12832" priority="4662" operator="equal">
      <formula>0</formula>
    </cfRule>
  </conditionalFormatting>
  <conditionalFormatting sqref="O4">
    <cfRule type="expression" dxfId="12831" priority="4646">
      <formula>$M4="NON DEFINED"</formula>
    </cfRule>
    <cfRule type="expression" dxfId="12830" priority="4647">
      <formula>$AY4="N.D."</formula>
    </cfRule>
  </conditionalFormatting>
  <conditionalFormatting sqref="O4">
    <cfRule type="cellIs" dxfId="12829" priority="4645" operator="equal">
      <formula>0</formula>
    </cfRule>
  </conditionalFormatting>
  <conditionalFormatting sqref="P4">
    <cfRule type="expression" dxfId="12828" priority="4629">
      <formula>$M4="NON DEFINED"</formula>
    </cfRule>
    <cfRule type="expression" dxfId="12827" priority="4630">
      <formula>$AY4="N.D."</formula>
    </cfRule>
  </conditionalFormatting>
  <conditionalFormatting sqref="P4">
    <cfRule type="cellIs" dxfId="12826" priority="4628" operator="equal">
      <formula>0</formula>
    </cfRule>
  </conditionalFormatting>
  <conditionalFormatting sqref="AC4">
    <cfRule type="expression" dxfId="12825" priority="4595">
      <formula>$M4="NON DEFINED"</formula>
    </cfRule>
    <cfRule type="expression" dxfId="12824" priority="4596">
      <formula>$AY4="N.D."</formula>
    </cfRule>
  </conditionalFormatting>
  <conditionalFormatting sqref="AC4">
    <cfRule type="cellIs" dxfId="12823" priority="4594" operator="equal">
      <formula>0</formula>
    </cfRule>
  </conditionalFormatting>
  <conditionalFormatting sqref="AD4">
    <cfRule type="expression" dxfId="12822" priority="4578">
      <formula>$M4="NON DEFINED"</formula>
    </cfRule>
    <cfRule type="expression" dxfId="12821" priority="4579">
      <formula>$AY4="N.D."</formula>
    </cfRule>
  </conditionalFormatting>
  <conditionalFormatting sqref="AD4">
    <cfRule type="cellIs" dxfId="12820" priority="4577" operator="equal">
      <formula>0</formula>
    </cfRule>
  </conditionalFormatting>
  <conditionalFormatting sqref="AE4">
    <cfRule type="expression" dxfId="12819" priority="4561">
      <formula>$M4="NON DEFINED"</formula>
    </cfRule>
    <cfRule type="expression" dxfId="12818" priority="4562">
      <formula>$AY4="N.D."</formula>
    </cfRule>
  </conditionalFormatting>
  <conditionalFormatting sqref="AE4">
    <cfRule type="cellIs" dxfId="12817" priority="4560" operator="equal">
      <formula>0</formula>
    </cfRule>
  </conditionalFormatting>
  <conditionalFormatting sqref="AJ4">
    <cfRule type="expression" dxfId="12816" priority="4544">
      <formula>$M4="NON DEFINED"</formula>
    </cfRule>
    <cfRule type="expression" dxfId="12815" priority="4545">
      <formula>$AY4="N.D."</formula>
    </cfRule>
  </conditionalFormatting>
  <conditionalFormatting sqref="AJ4">
    <cfRule type="cellIs" dxfId="12814" priority="4543" operator="equal">
      <formula>0</formula>
    </cfRule>
  </conditionalFormatting>
  <conditionalFormatting sqref="AK4">
    <cfRule type="expression" dxfId="12813" priority="4527">
      <formula>$M4="NON DEFINED"</formula>
    </cfRule>
    <cfRule type="expression" dxfId="12812" priority="4528">
      <formula>$AY4="N.D."</formula>
    </cfRule>
  </conditionalFormatting>
  <conditionalFormatting sqref="AK4">
    <cfRule type="cellIs" dxfId="12811" priority="4526" operator="equal">
      <formula>0</formula>
    </cfRule>
  </conditionalFormatting>
  <conditionalFormatting sqref="AL4">
    <cfRule type="expression" dxfId="12810" priority="4510">
      <formula>$M4="NON DEFINED"</formula>
    </cfRule>
    <cfRule type="expression" dxfId="12809" priority="4511">
      <formula>$AY4="N.D."</formula>
    </cfRule>
  </conditionalFormatting>
  <conditionalFormatting sqref="AL4">
    <cfRule type="cellIs" dxfId="12808" priority="4509" operator="equal">
      <formula>0</formula>
    </cfRule>
  </conditionalFormatting>
  <conditionalFormatting sqref="AM4">
    <cfRule type="expression" dxfId="12807" priority="4493">
      <formula>$M4="NON DEFINED"</formula>
    </cfRule>
    <cfRule type="expression" dxfId="12806" priority="4494">
      <formula>$AY4="N.D."</formula>
    </cfRule>
  </conditionalFormatting>
  <conditionalFormatting sqref="AM4">
    <cfRule type="cellIs" dxfId="12805" priority="4492" operator="equal">
      <formula>0</formula>
    </cfRule>
  </conditionalFormatting>
  <conditionalFormatting sqref="AT4">
    <cfRule type="expression" dxfId="12804" priority="4476">
      <formula>$M4="NON DEFINED"</formula>
    </cfRule>
    <cfRule type="expression" dxfId="12803" priority="4477">
      <formula>$AY4="N.D."</formula>
    </cfRule>
  </conditionalFormatting>
  <conditionalFormatting sqref="AT4">
    <cfRule type="cellIs" dxfId="12802" priority="4475" operator="equal">
      <formula>0</formula>
    </cfRule>
  </conditionalFormatting>
  <conditionalFormatting sqref="AU4">
    <cfRule type="expression" dxfId="12801" priority="4459">
      <formula>$M4="NON DEFINED"</formula>
    </cfRule>
    <cfRule type="expression" dxfId="12800" priority="4460">
      <formula>$AY4="N.D."</formula>
    </cfRule>
  </conditionalFormatting>
  <conditionalFormatting sqref="AU4">
    <cfRule type="cellIs" dxfId="12799" priority="4458" operator="equal">
      <formula>0</formula>
    </cfRule>
  </conditionalFormatting>
  <conditionalFormatting sqref="AV4">
    <cfRule type="expression" dxfId="12798" priority="4442">
      <formula>$M4="NON DEFINED"</formula>
    </cfRule>
    <cfRule type="expression" dxfId="12797" priority="4443">
      <formula>$AY4="N.D."</formula>
    </cfRule>
  </conditionalFormatting>
  <conditionalFormatting sqref="AV4">
    <cfRule type="cellIs" dxfId="12796" priority="4441" operator="equal">
      <formula>0</formula>
    </cfRule>
  </conditionalFormatting>
  <conditionalFormatting sqref="AW4">
    <cfRule type="expression" dxfId="12795" priority="4425">
      <formula>$M4="NON DEFINED"</formula>
    </cfRule>
    <cfRule type="expression" dxfId="12794" priority="4426">
      <formula>$AY4="N.D."</formula>
    </cfRule>
  </conditionalFormatting>
  <conditionalFormatting sqref="AW4">
    <cfRule type="cellIs" dxfId="12793" priority="4424" operator="equal">
      <formula>0</formula>
    </cfRule>
  </conditionalFormatting>
  <conditionalFormatting sqref="AX4">
    <cfRule type="expression" dxfId="12792" priority="4408">
      <formula>$M4="NON DEFINED"</formula>
    </cfRule>
    <cfRule type="expression" dxfId="12791" priority="4409">
      <formula>$AY4="N.D."</formula>
    </cfRule>
  </conditionalFormatting>
  <conditionalFormatting sqref="AX4">
    <cfRule type="cellIs" dxfId="12790" priority="4407" operator="equal">
      <formula>0</formula>
    </cfRule>
  </conditionalFormatting>
  <conditionalFormatting sqref="F4">
    <cfRule type="expression" dxfId="12789" priority="4391">
      <formula>$M4="NON DEFINED"</formula>
    </cfRule>
    <cfRule type="expression" dxfId="12788" priority="4392">
      <formula>$AY4="N.D."</formula>
    </cfRule>
  </conditionalFormatting>
  <conditionalFormatting sqref="F4">
    <cfRule type="cellIs" dxfId="12787" priority="4390" operator="equal">
      <formula>0</formula>
    </cfRule>
  </conditionalFormatting>
  <conditionalFormatting sqref="Q4">
    <cfRule type="expression" dxfId="12786" priority="4374">
      <formula>$M4="NON DEFINED"</formula>
    </cfRule>
    <cfRule type="expression" dxfId="12785" priority="4375">
      <formula>$AY4="N.D."</formula>
    </cfRule>
  </conditionalFormatting>
  <conditionalFormatting sqref="Q4">
    <cfRule type="cellIs" dxfId="12784" priority="4373" operator="equal">
      <formula>0</formula>
    </cfRule>
  </conditionalFormatting>
  <conditionalFormatting sqref="T4">
    <cfRule type="expression" dxfId="12783" priority="4357">
      <formula>$M4="NON DEFINED"</formula>
    </cfRule>
    <cfRule type="expression" dxfId="12782" priority="4358">
      <formula>$AY4="N.D."</formula>
    </cfRule>
  </conditionalFormatting>
  <conditionalFormatting sqref="T4">
    <cfRule type="cellIs" dxfId="12781" priority="4356" operator="equal">
      <formula>0</formula>
    </cfRule>
  </conditionalFormatting>
  <conditionalFormatting sqref="U4">
    <cfRule type="expression" dxfId="12780" priority="4340">
      <formula>$M4="NON DEFINED"</formula>
    </cfRule>
    <cfRule type="expression" dxfId="12779" priority="4341">
      <formula>$AY4="N.D."</formula>
    </cfRule>
  </conditionalFormatting>
  <conditionalFormatting sqref="U4">
    <cfRule type="cellIs" dxfId="12778" priority="4339" operator="equal">
      <formula>0</formula>
    </cfRule>
  </conditionalFormatting>
  <conditionalFormatting sqref="V4">
    <cfRule type="expression" dxfId="12777" priority="4323">
      <formula>$M4="NON DEFINED"</formula>
    </cfRule>
    <cfRule type="expression" dxfId="12776" priority="4324">
      <formula>$AY4="N.D."</formula>
    </cfRule>
  </conditionalFormatting>
  <conditionalFormatting sqref="V4">
    <cfRule type="cellIs" dxfId="12775" priority="4322" operator="equal">
      <formula>0</formula>
    </cfRule>
  </conditionalFormatting>
  <conditionalFormatting sqref="AF4">
    <cfRule type="expression" dxfId="12774" priority="4306">
      <formula>$M4="NON DEFINED"</formula>
    </cfRule>
    <cfRule type="expression" dxfId="12773" priority="4307">
      <formula>$AY4="N.D."</formula>
    </cfRule>
  </conditionalFormatting>
  <conditionalFormatting sqref="AF4">
    <cfRule type="cellIs" dxfId="12772" priority="4305" operator="equal">
      <formula>0</formula>
    </cfRule>
  </conditionalFormatting>
  <conditionalFormatting sqref="AH4">
    <cfRule type="expression" dxfId="12771" priority="4289">
      <formula>$M4="NON DEFINED"</formula>
    </cfRule>
    <cfRule type="expression" dxfId="12770" priority="4290">
      <formula>$AY4="N.D."</formula>
    </cfRule>
  </conditionalFormatting>
  <conditionalFormatting sqref="AH4">
    <cfRule type="cellIs" dxfId="12769" priority="4288" operator="equal">
      <formula>0</formula>
    </cfRule>
  </conditionalFormatting>
  <conditionalFormatting sqref="AI4">
    <cfRule type="expression" dxfId="12768" priority="4272">
      <formula>$M4="NON DEFINED"</formula>
    </cfRule>
    <cfRule type="expression" dxfId="12767" priority="4273">
      <formula>$AY4="N.D."</formula>
    </cfRule>
  </conditionalFormatting>
  <conditionalFormatting sqref="AI4">
    <cfRule type="cellIs" dxfId="12766" priority="4271" operator="equal">
      <formula>0</formula>
    </cfRule>
  </conditionalFormatting>
  <conditionalFormatting sqref="R4">
    <cfRule type="expression" dxfId="12765" priority="4255">
      <formula>$M4="NON DEFINED"</formula>
    </cfRule>
    <cfRule type="expression" dxfId="12764" priority="4256">
      <formula>$AY4="N.D."</formula>
    </cfRule>
  </conditionalFormatting>
  <conditionalFormatting sqref="R4">
    <cfRule type="cellIs" dxfId="12763" priority="4254" operator="equal">
      <formula>0</formula>
    </cfRule>
  </conditionalFormatting>
  <conditionalFormatting sqref="S4">
    <cfRule type="expression" dxfId="12762" priority="4238">
      <formula>$M4="NON DEFINED"</formula>
    </cfRule>
    <cfRule type="expression" dxfId="12761" priority="4239">
      <formula>$AY4="N.D."</formula>
    </cfRule>
  </conditionalFormatting>
  <conditionalFormatting sqref="S4">
    <cfRule type="cellIs" dxfId="12760" priority="4237" operator="equal">
      <formula>0</formula>
    </cfRule>
  </conditionalFormatting>
  <conditionalFormatting sqref="W4">
    <cfRule type="expression" dxfId="12759" priority="4221">
      <formula>$M4="NON DEFINED"</formula>
    </cfRule>
    <cfRule type="expression" dxfId="12758" priority="4222">
      <formula>$AY4="N.D."</formula>
    </cfRule>
  </conditionalFormatting>
  <conditionalFormatting sqref="W4">
    <cfRule type="cellIs" dxfId="12757" priority="4220" operator="equal">
      <formula>0</formula>
    </cfRule>
  </conditionalFormatting>
  <conditionalFormatting sqref="X4">
    <cfRule type="expression" dxfId="12756" priority="4187">
      <formula>$M4="NON DEFINED"</formula>
    </cfRule>
    <cfRule type="expression" dxfId="12755" priority="4188">
      <formula>$AY4="N.D."</formula>
    </cfRule>
  </conditionalFormatting>
  <conditionalFormatting sqref="X4">
    <cfRule type="cellIs" dxfId="12754" priority="4186" operator="equal">
      <formula>0</formula>
    </cfRule>
  </conditionalFormatting>
  <conditionalFormatting sqref="Y4">
    <cfRule type="expression" dxfId="12753" priority="4170">
      <formula>$M4="NON DEFINED"</formula>
    </cfRule>
    <cfRule type="expression" dxfId="12752" priority="4171">
      <formula>$AY4="N.D."</formula>
    </cfRule>
  </conditionalFormatting>
  <conditionalFormatting sqref="Y4">
    <cfRule type="cellIs" dxfId="12751" priority="4169" operator="equal">
      <formula>0</formula>
    </cfRule>
  </conditionalFormatting>
  <conditionalFormatting sqref="Z4">
    <cfRule type="expression" dxfId="12750" priority="4153">
      <formula>$M4="NON DEFINED"</formula>
    </cfRule>
    <cfRule type="expression" dxfId="12749" priority="4154">
      <formula>$AY4="N.D."</formula>
    </cfRule>
  </conditionalFormatting>
  <conditionalFormatting sqref="Z4">
    <cfRule type="cellIs" dxfId="12748" priority="4152" operator="equal">
      <formula>0</formula>
    </cfRule>
  </conditionalFormatting>
  <conditionalFormatting sqref="AA4">
    <cfRule type="expression" dxfId="12747" priority="4136">
      <formula>$M4="NON DEFINED"</formula>
    </cfRule>
    <cfRule type="expression" dxfId="12746" priority="4137">
      <formula>$AY4="N.D."</formula>
    </cfRule>
  </conditionalFormatting>
  <conditionalFormatting sqref="AA4">
    <cfRule type="cellIs" dxfId="12745" priority="4135" operator="equal">
      <formula>0</formula>
    </cfRule>
  </conditionalFormatting>
  <conditionalFormatting sqref="AB4">
    <cfRule type="expression" dxfId="12744" priority="4119">
      <formula>$M4="NON DEFINED"</formula>
    </cfRule>
    <cfRule type="expression" dxfId="12743" priority="4120">
      <formula>$AY4="N.D."</formula>
    </cfRule>
  </conditionalFormatting>
  <conditionalFormatting sqref="AB4">
    <cfRule type="cellIs" dxfId="12742" priority="4118" operator="equal">
      <formula>0</formula>
    </cfRule>
  </conditionalFormatting>
  <conditionalFormatting sqref="AZ11:AZ43 J11:J206 H11 J208 J216:J261 J263:J265 J267:J287 J293:J299 J311:J317 J323:J341 J343:J347 J351:J383">
    <cfRule type="expression" dxfId="12741" priority="4115">
      <formula>$M11="NON DEFINED"</formula>
    </cfRule>
    <cfRule type="expression" dxfId="12740" priority="4116">
      <formula>$AZ11="N.D."</formula>
    </cfRule>
    <cfRule type="expression" dxfId="12739" priority="4117">
      <formula>$AY11="N.D."</formula>
    </cfRule>
  </conditionalFormatting>
  <conditionalFormatting sqref="AY11:AY43">
    <cfRule type="expression" dxfId="12738" priority="4112">
      <formula>$M11="NON DEFINED"</formula>
    </cfRule>
    <cfRule type="expression" dxfId="12737" priority="4113">
      <formula>$AZ11="N.D."</formula>
    </cfRule>
    <cfRule type="expression" dxfId="12736" priority="4114">
      <formula>$AY11="N.D."</formula>
    </cfRule>
  </conditionalFormatting>
  <conditionalFormatting sqref="J11:J206 AY11:AZ43 H11 J208 J216:J261 J263:J265 J267:J287 J293:J299 J311:J317 J323:J341 J343:J347 J351:J383">
    <cfRule type="expression" dxfId="12735" priority="4100">
      <formula>$A11="Overhead Cable"</formula>
    </cfRule>
    <cfRule type="expression" dxfId="12734" priority="4101">
      <formula>$A11="Level Crossing"</formula>
    </cfRule>
    <cfRule type="expression" dxfId="12733" priority="4102">
      <formula>$A11="Neutral Section"</formula>
    </cfRule>
    <cfRule type="expression" dxfId="12732" priority="4103">
      <formula>$A11="Tunnel"</formula>
    </cfRule>
    <cfRule type="expression" dxfId="12731" priority="4104">
      <formula>$A11="Bridge"</formula>
    </cfRule>
    <cfRule type="expression" dxfId="12730" priority="4105">
      <formula>$A11="Drainage Works"</formula>
    </cfRule>
    <cfRule type="expression" dxfId="12729" priority="4106">
      <formula>$A11="Underpass"</formula>
    </cfRule>
    <cfRule type="expression" dxfId="12728" priority="4107">
      <formula>$A11="Overcrossing"</formula>
    </cfRule>
    <cfRule type="expression" dxfId="12727" priority="4108">
      <formula>$A11="Overpass"</formula>
    </cfRule>
    <cfRule type="expression" dxfId="12726" priority="4109">
      <formula>$A11="Station"</formula>
    </cfRule>
    <cfRule type="expression" dxfId="12725" priority="4110">
      <formula>$A11="Overlap between sections"</formula>
    </cfRule>
  </conditionalFormatting>
  <conditionalFormatting sqref="AN11:AP406">
    <cfRule type="cellIs" dxfId="12724" priority="4099" operator="notEqual">
      <formula>5.5</formula>
    </cfRule>
  </conditionalFormatting>
  <conditionalFormatting sqref="B11:B406">
    <cfRule type="expression" dxfId="12723" priority="4082">
      <formula>AND($AH11&gt;2499,$AH11&lt;2901)</formula>
    </cfRule>
  </conditionalFormatting>
  <conditionalFormatting sqref="I311:I331 I333:I341 I343:I347 I11:I299">
    <cfRule type="expression" dxfId="12722" priority="4079">
      <formula>$M11="NON DEFINED"</formula>
    </cfRule>
    <cfRule type="expression" dxfId="12721" priority="4080">
      <formula>$AZ11="N.D."</formula>
    </cfRule>
    <cfRule type="expression" dxfId="12720" priority="4081">
      <formula>$AY11="N.D."</formula>
    </cfRule>
  </conditionalFormatting>
  <conditionalFormatting sqref="I311:I331 I333:I341 I343:I347 I11:I299">
    <cfRule type="expression" dxfId="12719" priority="4068">
      <formula>$A11="Overhead Cable"</formula>
    </cfRule>
    <cfRule type="expression" dxfId="12718" priority="4069">
      <formula>$A11="Level Crossing"</formula>
    </cfRule>
    <cfRule type="expression" dxfId="12717" priority="4070">
      <formula>$A11="Neutral Section"</formula>
    </cfRule>
    <cfRule type="expression" dxfId="12716" priority="4071">
      <formula>$A11="Tunnel"</formula>
    </cfRule>
    <cfRule type="expression" dxfId="12715" priority="4072">
      <formula>$A11="Bridge"</formula>
    </cfRule>
    <cfRule type="expression" dxfId="12714" priority="4073">
      <formula>$A11="Drainage Works"</formula>
    </cfRule>
    <cfRule type="expression" dxfId="12713" priority="4074">
      <formula>$A11="Underpass"</formula>
    </cfRule>
    <cfRule type="expression" dxfId="12712" priority="4075">
      <formula>$A11="Overcrossing"</formula>
    </cfRule>
    <cfRule type="expression" dxfId="12711" priority="4076">
      <formula>$A11="Overpass"</formula>
    </cfRule>
    <cfRule type="expression" dxfId="12710" priority="4077">
      <formula>$A11="Station"</formula>
    </cfRule>
    <cfRule type="expression" dxfId="12709" priority="4078">
      <formula>$A11="Overlap between sections"</formula>
    </cfRule>
  </conditionalFormatting>
  <conditionalFormatting sqref="K208 K263:K265 K293:K299 K267:K287 K311:K317 K323:K331 K333:K341 K343:K347 K351:K383 K216:K261 K11:K206">
    <cfRule type="expression" dxfId="12708" priority="4065">
      <formula>$M11="NON DEFINED"</formula>
    </cfRule>
    <cfRule type="expression" dxfId="12707" priority="4066">
      <formula>$AZ11="N.D."</formula>
    </cfRule>
    <cfRule type="expression" dxfId="12706" priority="4067">
      <formula>$AY11="N.D."</formula>
    </cfRule>
  </conditionalFormatting>
  <conditionalFormatting sqref="K208 K263:K265 K293:K299 K267:K287 K311:K317 K323:K331 K333:K341 K343:K347 K351:K383 K216:K261 K11:K206">
    <cfRule type="expression" dxfId="12705" priority="4054">
      <formula>$A11="Overhead Cable"</formula>
    </cfRule>
    <cfRule type="expression" dxfId="12704" priority="4055">
      <formula>$A11="Level Crossing"</formula>
    </cfRule>
    <cfRule type="expression" dxfId="12703" priority="4056">
      <formula>$A11="Neutral Section"</formula>
    </cfRule>
    <cfRule type="expression" dxfId="12702" priority="4057">
      <formula>$A11="Tunnel"</formula>
    </cfRule>
    <cfRule type="expression" dxfId="12701" priority="4058">
      <formula>$A11="Bridge"</formula>
    </cfRule>
    <cfRule type="expression" dxfId="12700" priority="4059">
      <formula>$A11="Drainage Works"</formula>
    </cfRule>
    <cfRule type="expression" dxfId="12699" priority="4060">
      <formula>$A11="Underpass"</formula>
    </cfRule>
    <cfRule type="expression" dxfId="12698" priority="4061">
      <formula>$A11="Overcrossing"</formula>
    </cfRule>
    <cfRule type="expression" dxfId="12697" priority="4062">
      <formula>$A11="Overpass"</formula>
    </cfRule>
    <cfRule type="expression" dxfId="12696" priority="4063">
      <formula>$A11="Station"</formula>
    </cfRule>
    <cfRule type="expression" dxfId="12695" priority="4064">
      <formula>$A11="Overlap between sections"</formula>
    </cfRule>
  </conditionalFormatting>
  <conditionalFormatting sqref="AK11:AK135 AK137 AK139">
    <cfRule type="expression" dxfId="12694" priority="3925">
      <formula>$M11="NON DEFINED"</formula>
    </cfRule>
    <cfRule type="expression" dxfId="12693" priority="3926">
      <formula>$AZ11="N.D."</formula>
    </cfRule>
    <cfRule type="expression" dxfId="12692" priority="3927">
      <formula>$AY11="N.D."</formula>
    </cfRule>
  </conditionalFormatting>
  <conditionalFormatting sqref="AK11:AK135 AK137 AK139">
    <cfRule type="expression" dxfId="12691" priority="3914">
      <formula>$A11="Overhead Cable"</formula>
    </cfRule>
    <cfRule type="expression" dxfId="12690" priority="3915">
      <formula>$A11="Level Crossing"</formula>
    </cfRule>
    <cfRule type="expression" dxfId="12689" priority="3916">
      <formula>$A11="Neutral Section"</formula>
    </cfRule>
    <cfRule type="expression" dxfId="12688" priority="3917">
      <formula>$A11="Tunnel"</formula>
    </cfRule>
    <cfRule type="expression" dxfId="12687" priority="3918">
      <formula>$A11="Bridge"</formula>
    </cfRule>
    <cfRule type="expression" dxfId="12686" priority="3919">
      <formula>$A11="Drainage Works"</formula>
    </cfRule>
    <cfRule type="expression" dxfId="12685" priority="3920">
      <formula>$A11="Underpass"</formula>
    </cfRule>
    <cfRule type="expression" dxfId="12684" priority="3921">
      <formula>$A11="Overcrossing"</formula>
    </cfRule>
    <cfRule type="expression" dxfId="12683" priority="3922">
      <formula>$A11="Overpass"</formula>
    </cfRule>
    <cfRule type="expression" dxfId="12682" priority="3923">
      <formula>$A11="Station"</formula>
    </cfRule>
    <cfRule type="expression" dxfId="12681" priority="3924">
      <formula>$A11="Overlap between sections"</formula>
    </cfRule>
  </conditionalFormatting>
  <conditionalFormatting sqref="AL11:AL135 AL137 AL139">
    <cfRule type="expression" dxfId="12680" priority="3911">
      <formula>$M11="NON DEFINED"</formula>
    </cfRule>
    <cfRule type="expression" dxfId="12679" priority="3912">
      <formula>$AZ11="N.D."</formula>
    </cfRule>
    <cfRule type="expression" dxfId="12678" priority="3913">
      <formula>$AY11="N.D."</formula>
    </cfRule>
  </conditionalFormatting>
  <conditionalFormatting sqref="AL11:AL135 AL137 AL139">
    <cfRule type="expression" dxfId="12677" priority="3900">
      <formula>$A11="Overhead Cable"</formula>
    </cfRule>
    <cfRule type="expression" dxfId="12676" priority="3901">
      <formula>$A11="Level Crossing"</formula>
    </cfRule>
    <cfRule type="expression" dxfId="12675" priority="3902">
      <formula>$A11="Neutral Section"</formula>
    </cfRule>
    <cfRule type="expression" dxfId="12674" priority="3903">
      <formula>$A11="Tunnel"</formula>
    </cfRule>
    <cfRule type="expression" dxfId="12673" priority="3904">
      <formula>$A11="Bridge"</formula>
    </cfRule>
    <cfRule type="expression" dxfId="12672" priority="3905">
      <formula>$A11="Drainage Works"</formula>
    </cfRule>
    <cfRule type="expression" dxfId="12671" priority="3906">
      <formula>$A11="Underpass"</formula>
    </cfRule>
    <cfRule type="expression" dxfId="12670" priority="3907">
      <formula>$A11="Overcrossing"</formula>
    </cfRule>
    <cfRule type="expression" dxfId="12669" priority="3908">
      <formula>$A11="Overpass"</formula>
    </cfRule>
    <cfRule type="expression" dxfId="12668" priority="3909">
      <formula>$A11="Station"</formula>
    </cfRule>
    <cfRule type="expression" dxfId="12667" priority="3910">
      <formula>$A11="Overlap between sections"</formula>
    </cfRule>
  </conditionalFormatting>
  <conditionalFormatting sqref="AW45:AW51 AW263 AW265 AW267 AW269 AW271 AW273 AW275 AW277 AW279 AW281 AW283 AW285 AW287 AW289 AW291 AW293 AW295 AW297 AW299 AW301 AW303 AW305 AW307 AW309 AW311 AW313 AW315 AW317 AW319 AW321 AW323 AW325 AW327 AW329 AW331 AW333:AW335 AW337 AW339 AW341 AW343 AW345 AW347 AW349 AW351 AW353 AW355 AW357 AW359 AW361:AW363 AW365 AW367 AW369 AW371 AW373 AW375 AW377:AW381 AW383 AW385 AW387 AW389 AW391 AW393 AW395 AW397 AW399 AW401 AW403 AW225 AW227 AW229:AW261 AW119 AW121:AW223 AW53 AW55 AW57 AW59 AW61 AW63 AW65 AW67 AW69 AW71 AW73 AW75 AW77 AW79 AW81 AW83 AW85:AW97 AW13:AW43 AW117 AW111:AW115 AW99 AW101 AW103:AW109">
    <cfRule type="expression" dxfId="12666" priority="3841">
      <formula>$M13="NON DEFINED"</formula>
    </cfRule>
    <cfRule type="expression" dxfId="12665" priority="3842">
      <formula>$AZ13="N.D."</formula>
    </cfRule>
    <cfRule type="expression" dxfId="12664" priority="3843">
      <formula>$AY13="N.D."</formula>
    </cfRule>
  </conditionalFormatting>
  <conditionalFormatting sqref="AW45:AW51 AW263 AW265 AW267 AW269 AW271 AW273 AW275 AW277 AW279 AW281 AW283 AW285 AW287 AW289 AW291 AW293 AW295 AW297 AW299 AW301 AW303 AW305 AW307 AW309 AW311 AW313 AW315 AW317 AW319 AW321 AW323 AW325 AW327 AW329 AW331 AW333:AW335 AW337 AW339 AW341 AW343 AW345 AW347 AW349 AW351 AW353 AW355 AW357 AW359 AW361:AW363 AW365 AW367 AW369 AW371 AW373 AW375 AW377:AW381 AW383 AW385 AW387 AW389 AW391 AW393 AW395 AW397 AW399 AW401 AW403 AW225 AW227 AW229:AW261 AW119 AW121:AW223 AW53 AW55 AW57 AW59 AW61 AW63 AW65 AW67 AW69 AW71 AW73 AW75 AW77 AW79 AW81 AW83 AW85:AW97 AW13:AW43 AW117 AW111:AW115 AW99 AW101 AW103:AW109">
    <cfRule type="expression" dxfId="12663" priority="3830">
      <formula>$A13="Overhead Cable"</formula>
    </cfRule>
    <cfRule type="expression" dxfId="12662" priority="3831">
      <formula>$A13="Level Crossing"</formula>
    </cfRule>
    <cfRule type="expression" dxfId="12661" priority="3832">
      <formula>$A13="Neutral Section"</formula>
    </cfRule>
    <cfRule type="expression" dxfId="12660" priority="3833">
      <formula>$A13="Tunnel"</formula>
    </cfRule>
    <cfRule type="expression" dxfId="12659" priority="3834">
      <formula>$A13="Bridge"</formula>
    </cfRule>
    <cfRule type="expression" dxfId="12658" priority="3835">
      <formula>$A13="Drainage Works"</formula>
    </cfRule>
    <cfRule type="expression" dxfId="12657" priority="3836">
      <formula>$A13="Underpass"</formula>
    </cfRule>
    <cfRule type="expression" dxfId="12656" priority="3837">
      <formula>$A13="Overcrossing"</formula>
    </cfRule>
    <cfRule type="expression" dxfId="12655" priority="3838">
      <formula>$A13="Overpass"</formula>
    </cfRule>
    <cfRule type="expression" dxfId="12654" priority="3839">
      <formula>$A13="Station"</formula>
    </cfRule>
    <cfRule type="expression" dxfId="12653" priority="3840">
      <formula>$A13="Overlap between sections"</formula>
    </cfRule>
  </conditionalFormatting>
  <conditionalFormatting sqref="AX45:AX51 AX263 AX265 AX267 AX269 AX271 AX273 AX275 AX277 AX279 AX281 AX283 AX285 AX287 AX289 AX291 AX293 AX295 AX297 AX299 AX301 AX303 AX305 AX307 AX309 AX311 AX313 AX315 AX317 AX319 AX321 AX323 AX325 AX327 AX329 AX331 AX333:AX335 AX337 AX339 AX341 AX343 AX345 AX347 AX349 AX351 AX353 AX355 AX357 AX359 AX361:AX363 AX365 AX367 AX369 AX371 AX373 AX375 AX377:AX381 AX383 AX385 AX387 AX389 AX391 AX393 AX395 AX397 AX399 AX401 AX403 AX225 AX227 AX229:AX261 AX119 AX121:AX223 AX53 AX55 AX57 AX59 AX61 AX63 AX65 AX67 AX69 AX71 AX73 AX75 AX77 AX79 AX81 AX83 AX85:AX97 AX13:AX43 AX117 AX111:AX115 AX99 AX101 AX103:AX109">
    <cfRule type="expression" dxfId="12652" priority="3827">
      <formula>$M13="NON DEFINED"</formula>
    </cfRule>
    <cfRule type="expression" dxfId="12651" priority="3828">
      <formula>$AZ13="N.D."</formula>
    </cfRule>
    <cfRule type="expression" dxfId="12650" priority="3829">
      <formula>$AY13="N.D."</formula>
    </cfRule>
  </conditionalFormatting>
  <conditionalFormatting sqref="AX45:AX51 AX263 AX265 AX267 AX269 AX271 AX273 AX275 AX277 AX279 AX281 AX283 AX285 AX287 AX289 AX291 AX293 AX295 AX297 AX299 AX301 AX303 AX305 AX307 AX309 AX311 AX313 AX315 AX317 AX319 AX321 AX323 AX325 AX327 AX329 AX331 AX333:AX335 AX337 AX339 AX341 AX343 AX345 AX347 AX349 AX351 AX353 AX355 AX357 AX359 AX361:AX363 AX365 AX367 AX369 AX371 AX373 AX375 AX377:AX381 AX383 AX385 AX387 AX389 AX391 AX393 AX395 AX397 AX399 AX401 AX403 AX225 AX227 AX229:AX261 AX119 AX121:AX223 AX53 AX55 AX57 AX59 AX61 AX63 AX65 AX67 AX69 AX71 AX73 AX75 AX77 AX79 AX81 AX83 AX85:AX97 AX13:AX43 AX117 AX111:AX115 AX99 AX101 AX103:AX109">
    <cfRule type="expression" dxfId="12649" priority="3816">
      <formula>$A13="Overhead Cable"</formula>
    </cfRule>
    <cfRule type="expression" dxfId="12648" priority="3817">
      <formula>$A13="Level Crossing"</formula>
    </cfRule>
    <cfRule type="expression" dxfId="12647" priority="3818">
      <formula>$A13="Neutral Section"</formula>
    </cfRule>
    <cfRule type="expression" dxfId="12646" priority="3819">
      <formula>$A13="Tunnel"</formula>
    </cfRule>
    <cfRule type="expression" dxfId="12645" priority="3820">
      <formula>$A13="Bridge"</formula>
    </cfRule>
    <cfRule type="expression" dxfId="12644" priority="3821">
      <formula>$A13="Drainage Works"</formula>
    </cfRule>
    <cfRule type="expression" dxfId="12643" priority="3822">
      <formula>$A13="Underpass"</formula>
    </cfRule>
    <cfRule type="expression" dxfId="12642" priority="3823">
      <formula>$A13="Overcrossing"</formula>
    </cfRule>
    <cfRule type="expression" dxfId="12641" priority="3824">
      <formula>$A13="Overpass"</formula>
    </cfRule>
    <cfRule type="expression" dxfId="12640" priority="3825">
      <formula>$A13="Station"</formula>
    </cfRule>
    <cfRule type="expression" dxfId="12639" priority="3826">
      <formula>$A13="Overlap between sections"</formula>
    </cfRule>
  </conditionalFormatting>
  <conditionalFormatting sqref="BD6:BD406">
    <cfRule type="containsText" dxfId="12638" priority="3591" operator="containsText" text="Poner a mano">
      <formula>NOT(ISERROR(SEARCH("Poner a mano",BD6)))</formula>
    </cfRule>
  </conditionalFormatting>
  <conditionalFormatting sqref="B5:E10 J5:J10 AG5:AG10 AN5:AS10 AY5:AZ10 G5:H10">
    <cfRule type="expression" dxfId="12637" priority="3577">
      <formula>$M5="NON DEFINED"</formula>
    </cfRule>
    <cfRule type="expression" dxfId="12636" priority="3578">
      <formula>$AY5="N.D."</formula>
    </cfRule>
  </conditionalFormatting>
  <conditionalFormatting sqref="A5:E10 J5:J10 AG5:AG10 AN5:AS10 AY5:AZ10 G5:H10">
    <cfRule type="cellIs" dxfId="12635" priority="3576" operator="equal">
      <formula>0</formula>
    </cfRule>
  </conditionalFormatting>
  <conditionalFormatting sqref="I5:I10">
    <cfRule type="expression" dxfId="12634" priority="3574">
      <formula>$M5="NON DEFINED"</formula>
    </cfRule>
    <cfRule type="expression" dxfId="12633" priority="3575">
      <formula>$AY5="N.D."</formula>
    </cfRule>
  </conditionalFormatting>
  <conditionalFormatting sqref="I5:I10">
    <cfRule type="cellIs" dxfId="12632" priority="3573" operator="equal">
      <formula>0</formula>
    </cfRule>
  </conditionalFormatting>
  <conditionalFormatting sqref="K5:K10">
    <cfRule type="expression" dxfId="12631" priority="3571">
      <formula>$M5="NON DEFINED"</formula>
    </cfRule>
    <cfRule type="expression" dxfId="12630" priority="3572">
      <formula>$AY5="N.D."</formula>
    </cfRule>
  </conditionalFormatting>
  <conditionalFormatting sqref="K5:K10">
    <cfRule type="cellIs" dxfId="12629" priority="3570" operator="equal">
      <formula>0</formula>
    </cfRule>
  </conditionalFormatting>
  <conditionalFormatting sqref="L5:L10">
    <cfRule type="expression" dxfId="12628" priority="3568">
      <formula>$M5="NON DEFINED"</formula>
    </cfRule>
    <cfRule type="expression" dxfId="12627" priority="3569">
      <formula>$AY5="N.D."</formula>
    </cfRule>
  </conditionalFormatting>
  <conditionalFormatting sqref="L5:L10">
    <cfRule type="cellIs" dxfId="12626" priority="3567" operator="equal">
      <formula>0</formula>
    </cfRule>
  </conditionalFormatting>
  <conditionalFormatting sqref="M5:M10">
    <cfRule type="expression" dxfId="12625" priority="3565">
      <formula>$M5="NON DEFINED"</formula>
    </cfRule>
    <cfRule type="expression" dxfId="12624" priority="3566">
      <formula>$AY5="N.D."</formula>
    </cfRule>
  </conditionalFormatting>
  <conditionalFormatting sqref="M5:M10">
    <cfRule type="cellIs" dxfId="12623" priority="3564" operator="equal">
      <formula>0</formula>
    </cfRule>
  </conditionalFormatting>
  <conditionalFormatting sqref="N5:N10">
    <cfRule type="expression" dxfId="12622" priority="3562">
      <formula>$M5="NON DEFINED"</formula>
    </cfRule>
    <cfRule type="expression" dxfId="12621" priority="3563">
      <formula>$AY5="N.D."</formula>
    </cfRule>
  </conditionalFormatting>
  <conditionalFormatting sqref="N5:N10">
    <cfRule type="cellIs" dxfId="12620" priority="3561" operator="equal">
      <formula>0</formula>
    </cfRule>
  </conditionalFormatting>
  <conditionalFormatting sqref="O5:O10">
    <cfRule type="expression" dxfId="12619" priority="3559">
      <formula>$M5="NON DEFINED"</formula>
    </cfRule>
    <cfRule type="expression" dxfId="12618" priority="3560">
      <formula>$AY5="N.D."</formula>
    </cfRule>
  </conditionalFormatting>
  <conditionalFormatting sqref="O5:O10">
    <cfRule type="cellIs" dxfId="12617" priority="3558" operator="equal">
      <formula>0</formula>
    </cfRule>
  </conditionalFormatting>
  <conditionalFormatting sqref="P5:P10">
    <cfRule type="expression" dxfId="12616" priority="3556">
      <formula>$M5="NON DEFINED"</formula>
    </cfRule>
    <cfRule type="expression" dxfId="12615" priority="3557">
      <formula>$AY5="N.D."</formula>
    </cfRule>
  </conditionalFormatting>
  <conditionalFormatting sqref="P5:P10">
    <cfRule type="cellIs" dxfId="12614" priority="3555" operator="equal">
      <formula>0</formula>
    </cfRule>
  </conditionalFormatting>
  <conditionalFormatting sqref="AC5:AC10">
    <cfRule type="expression" dxfId="12613" priority="3553">
      <formula>$M5="NON DEFINED"</formula>
    </cfRule>
    <cfRule type="expression" dxfId="12612" priority="3554">
      <formula>$AY5="N.D."</formula>
    </cfRule>
  </conditionalFormatting>
  <conditionalFormatting sqref="AC5:AC10">
    <cfRule type="cellIs" dxfId="12611" priority="3552" operator="equal">
      <formula>0</formula>
    </cfRule>
  </conditionalFormatting>
  <conditionalFormatting sqref="AD5:AD10">
    <cfRule type="expression" dxfId="12610" priority="3550">
      <formula>$M5="NON DEFINED"</formula>
    </cfRule>
    <cfRule type="expression" dxfId="12609" priority="3551">
      <formula>$AY5="N.D."</formula>
    </cfRule>
  </conditionalFormatting>
  <conditionalFormatting sqref="AD5:AD10">
    <cfRule type="cellIs" dxfId="12608" priority="3549" operator="equal">
      <formula>0</formula>
    </cfRule>
  </conditionalFormatting>
  <conditionalFormatting sqref="AE5:AE10">
    <cfRule type="expression" dxfId="12607" priority="3547">
      <formula>$M5="NON DEFINED"</formula>
    </cfRule>
    <cfRule type="expression" dxfId="12606" priority="3548">
      <formula>$AY5="N.D."</formula>
    </cfRule>
  </conditionalFormatting>
  <conditionalFormatting sqref="AE5:AE10">
    <cfRule type="cellIs" dxfId="12605" priority="3546" operator="equal">
      <formula>0</formula>
    </cfRule>
  </conditionalFormatting>
  <conditionalFormatting sqref="AJ5:AJ10">
    <cfRule type="expression" dxfId="12604" priority="3544">
      <formula>$M5="NON DEFINED"</formula>
    </cfRule>
    <cfRule type="expression" dxfId="12603" priority="3545">
      <formula>$AY5="N.D."</formula>
    </cfRule>
  </conditionalFormatting>
  <conditionalFormatting sqref="AJ5:AJ10">
    <cfRule type="cellIs" dxfId="12602" priority="3543" operator="equal">
      <formula>0</formula>
    </cfRule>
  </conditionalFormatting>
  <conditionalFormatting sqref="AK5:AK10">
    <cfRule type="expression" dxfId="12601" priority="3541">
      <formula>$M5="NON DEFINED"</formula>
    </cfRule>
    <cfRule type="expression" dxfId="12600" priority="3542">
      <formula>$AY5="N.D."</formula>
    </cfRule>
  </conditionalFormatting>
  <conditionalFormatting sqref="AK5:AK10">
    <cfRule type="cellIs" dxfId="12599" priority="3540" operator="equal">
      <formula>0</formula>
    </cfRule>
  </conditionalFormatting>
  <conditionalFormatting sqref="AL5:AL10">
    <cfRule type="expression" dxfId="12598" priority="3538">
      <formula>$M5="NON DEFINED"</formula>
    </cfRule>
    <cfRule type="expression" dxfId="12597" priority="3539">
      <formula>$AY5="N.D."</formula>
    </cfRule>
  </conditionalFormatting>
  <conditionalFormatting sqref="AL5:AL10">
    <cfRule type="cellIs" dxfId="12596" priority="3537" operator="equal">
      <formula>0</formula>
    </cfRule>
  </conditionalFormatting>
  <conditionalFormatting sqref="AM5:AM10">
    <cfRule type="expression" dxfId="12595" priority="3535">
      <formula>$M5="NON DEFINED"</formula>
    </cfRule>
    <cfRule type="expression" dxfId="12594" priority="3536">
      <formula>$AY5="N.D."</formula>
    </cfRule>
  </conditionalFormatting>
  <conditionalFormatting sqref="AM5:AM10">
    <cfRule type="cellIs" dxfId="12593" priority="3534" operator="equal">
      <formula>0</formula>
    </cfRule>
  </conditionalFormatting>
  <conditionalFormatting sqref="AT5:AT10">
    <cfRule type="expression" dxfId="12592" priority="3532">
      <formula>$M5="NON DEFINED"</formula>
    </cfRule>
    <cfRule type="expression" dxfId="12591" priority="3533">
      <formula>$AY5="N.D."</formula>
    </cfRule>
  </conditionalFormatting>
  <conditionalFormatting sqref="AT5:AT10">
    <cfRule type="cellIs" dxfId="12590" priority="3531" operator="equal">
      <formula>0</formula>
    </cfRule>
  </conditionalFormatting>
  <conditionalFormatting sqref="AU5:AU10">
    <cfRule type="expression" dxfId="12589" priority="3529">
      <formula>$M5="NON DEFINED"</formula>
    </cfRule>
    <cfRule type="expression" dxfId="12588" priority="3530">
      <formula>$AY5="N.D."</formula>
    </cfRule>
  </conditionalFormatting>
  <conditionalFormatting sqref="AU5:AU10">
    <cfRule type="cellIs" dxfId="12587" priority="3528" operator="equal">
      <formula>0</formula>
    </cfRule>
  </conditionalFormatting>
  <conditionalFormatting sqref="AV5:AV10">
    <cfRule type="expression" dxfId="12586" priority="3526">
      <formula>$M5="NON DEFINED"</formula>
    </cfRule>
    <cfRule type="expression" dxfId="12585" priority="3527">
      <formula>$AY5="N.D."</formula>
    </cfRule>
  </conditionalFormatting>
  <conditionalFormatting sqref="AV5:AV10">
    <cfRule type="cellIs" dxfId="12584" priority="3525" operator="equal">
      <formula>0</formula>
    </cfRule>
  </conditionalFormatting>
  <conditionalFormatting sqref="AW5:AW10">
    <cfRule type="expression" dxfId="12583" priority="3523">
      <formula>$M5="NON DEFINED"</formula>
    </cfRule>
    <cfRule type="expression" dxfId="12582" priority="3524">
      <formula>$AY5="N.D."</formula>
    </cfRule>
  </conditionalFormatting>
  <conditionalFormatting sqref="AW5:AW10">
    <cfRule type="cellIs" dxfId="12581" priority="3522" operator="equal">
      <formula>0</formula>
    </cfRule>
  </conditionalFormatting>
  <conditionalFormatting sqref="AX5:AX10">
    <cfRule type="expression" dxfId="12580" priority="3520">
      <formula>$M5="NON DEFINED"</formula>
    </cfRule>
    <cfRule type="expression" dxfId="12579" priority="3521">
      <formula>$AY5="N.D."</formula>
    </cfRule>
  </conditionalFormatting>
  <conditionalFormatting sqref="AX5:AX10">
    <cfRule type="cellIs" dxfId="12578" priority="3519" operator="equal">
      <formula>0</formula>
    </cfRule>
  </conditionalFormatting>
  <conditionalFormatting sqref="F5:F10">
    <cfRule type="expression" dxfId="12577" priority="3517">
      <formula>$M5="NON DEFINED"</formula>
    </cfRule>
    <cfRule type="expression" dxfId="12576" priority="3518">
      <formula>$AY5="N.D."</formula>
    </cfRule>
  </conditionalFormatting>
  <conditionalFormatting sqref="F5:F10">
    <cfRule type="cellIs" dxfId="12575" priority="3516" operator="equal">
      <formula>0</formula>
    </cfRule>
  </conditionalFormatting>
  <conditionalFormatting sqref="Q5:Q10">
    <cfRule type="expression" dxfId="12574" priority="3514">
      <formula>$M5="NON DEFINED"</formula>
    </cfRule>
    <cfRule type="expression" dxfId="12573" priority="3515">
      <formula>$AY5="N.D."</formula>
    </cfRule>
  </conditionalFormatting>
  <conditionalFormatting sqref="Q5:Q10">
    <cfRule type="cellIs" dxfId="12572" priority="3513" operator="equal">
      <formula>0</formula>
    </cfRule>
  </conditionalFormatting>
  <conditionalFormatting sqref="T5:T10">
    <cfRule type="expression" dxfId="12571" priority="3511">
      <formula>$M5="NON DEFINED"</formula>
    </cfRule>
    <cfRule type="expression" dxfId="12570" priority="3512">
      <formula>$AY5="N.D."</formula>
    </cfRule>
  </conditionalFormatting>
  <conditionalFormatting sqref="T5:T10">
    <cfRule type="cellIs" dxfId="12569" priority="3510" operator="equal">
      <formula>0</formula>
    </cfRule>
  </conditionalFormatting>
  <conditionalFormatting sqref="U5:U10">
    <cfRule type="expression" dxfId="12568" priority="3508">
      <formula>$M5="NON DEFINED"</formula>
    </cfRule>
    <cfRule type="expression" dxfId="12567" priority="3509">
      <formula>$AY5="N.D."</formula>
    </cfRule>
  </conditionalFormatting>
  <conditionalFormatting sqref="U5:U10">
    <cfRule type="cellIs" dxfId="12566" priority="3507" operator="equal">
      <formula>0</formula>
    </cfRule>
  </conditionalFormatting>
  <conditionalFormatting sqref="V5:V10">
    <cfRule type="expression" dxfId="12565" priority="3505">
      <formula>$M5="NON DEFINED"</formula>
    </cfRule>
    <cfRule type="expression" dxfId="12564" priority="3506">
      <formula>$AY5="N.D."</formula>
    </cfRule>
  </conditionalFormatting>
  <conditionalFormatting sqref="V5:V10">
    <cfRule type="cellIs" dxfId="12563" priority="3504" operator="equal">
      <formula>0</formula>
    </cfRule>
  </conditionalFormatting>
  <conditionalFormatting sqref="AF5:AF10">
    <cfRule type="expression" dxfId="12562" priority="3502">
      <formula>$M5="NON DEFINED"</formula>
    </cfRule>
    <cfRule type="expression" dxfId="12561" priority="3503">
      <formula>$AY5="N.D."</formula>
    </cfRule>
  </conditionalFormatting>
  <conditionalFormatting sqref="AF5:AF10">
    <cfRule type="cellIs" dxfId="12560" priority="3501" operator="equal">
      <formula>0</formula>
    </cfRule>
  </conditionalFormatting>
  <conditionalFormatting sqref="AH5:AH10">
    <cfRule type="expression" dxfId="12559" priority="3499">
      <formula>$M5="NON DEFINED"</formula>
    </cfRule>
    <cfRule type="expression" dxfId="12558" priority="3500">
      <formula>$AY5="N.D."</formula>
    </cfRule>
  </conditionalFormatting>
  <conditionalFormatting sqref="AH5:AH10">
    <cfRule type="cellIs" dxfId="12557" priority="3498" operator="equal">
      <formula>0</formula>
    </cfRule>
  </conditionalFormatting>
  <conditionalFormatting sqref="AI5:AI10">
    <cfRule type="expression" dxfId="12556" priority="3496">
      <formula>$M5="NON DEFINED"</formula>
    </cfRule>
    <cfRule type="expression" dxfId="12555" priority="3497">
      <formula>$AY5="N.D."</formula>
    </cfRule>
  </conditionalFormatting>
  <conditionalFormatting sqref="AI5:AI10">
    <cfRule type="cellIs" dxfId="12554" priority="3495" operator="equal">
      <formula>0</formula>
    </cfRule>
  </conditionalFormatting>
  <conditionalFormatting sqref="R5:R10">
    <cfRule type="expression" dxfId="12553" priority="3493">
      <formula>$M5="NON DEFINED"</formula>
    </cfRule>
    <cfRule type="expression" dxfId="12552" priority="3494">
      <formula>$AY5="N.D."</formula>
    </cfRule>
  </conditionalFormatting>
  <conditionalFormatting sqref="R5:R10">
    <cfRule type="cellIs" dxfId="12551" priority="3492" operator="equal">
      <formula>0</formula>
    </cfRule>
  </conditionalFormatting>
  <conditionalFormatting sqref="S5:S10">
    <cfRule type="expression" dxfId="12550" priority="3490">
      <formula>$M5="NON DEFINED"</formula>
    </cfRule>
    <cfRule type="expression" dxfId="12549" priority="3491">
      <formula>$AY5="N.D."</formula>
    </cfRule>
  </conditionalFormatting>
  <conditionalFormatting sqref="S5:S10">
    <cfRule type="cellIs" dxfId="12548" priority="3489" operator="equal">
      <formula>0</formula>
    </cfRule>
  </conditionalFormatting>
  <conditionalFormatting sqref="W5:W10">
    <cfRule type="expression" dxfId="12547" priority="3487">
      <formula>$M5="NON DEFINED"</formula>
    </cfRule>
    <cfRule type="expression" dxfId="12546" priority="3488">
      <formula>$AY5="N.D."</formula>
    </cfRule>
  </conditionalFormatting>
  <conditionalFormatting sqref="W5:W10">
    <cfRule type="cellIs" dxfId="12545" priority="3486" operator="equal">
      <formula>0</formula>
    </cfRule>
  </conditionalFormatting>
  <conditionalFormatting sqref="X5:X10">
    <cfRule type="expression" dxfId="12544" priority="3484">
      <formula>$M5="NON DEFINED"</formula>
    </cfRule>
    <cfRule type="expression" dxfId="12543" priority="3485">
      <formula>$AY5="N.D."</formula>
    </cfRule>
  </conditionalFormatting>
  <conditionalFormatting sqref="X5:X10">
    <cfRule type="cellIs" dxfId="12542" priority="3483" operator="equal">
      <formula>0</formula>
    </cfRule>
  </conditionalFormatting>
  <conditionalFormatting sqref="Y5:Y10">
    <cfRule type="expression" dxfId="12541" priority="3481">
      <formula>$M5="NON DEFINED"</formula>
    </cfRule>
    <cfRule type="expression" dxfId="12540" priority="3482">
      <formula>$AY5="N.D."</formula>
    </cfRule>
  </conditionalFormatting>
  <conditionalFormatting sqref="Y5:Y10">
    <cfRule type="cellIs" dxfId="12539" priority="3480" operator="equal">
      <formula>0</formula>
    </cfRule>
  </conditionalFormatting>
  <conditionalFormatting sqref="Z5:Z10">
    <cfRule type="expression" dxfId="12538" priority="3478">
      <formula>$M5="NON DEFINED"</formula>
    </cfRule>
    <cfRule type="expression" dxfId="12537" priority="3479">
      <formula>$AY5="N.D."</formula>
    </cfRule>
  </conditionalFormatting>
  <conditionalFormatting sqref="Z5:Z10">
    <cfRule type="cellIs" dxfId="12536" priority="3477" operator="equal">
      <formula>0</formula>
    </cfRule>
  </conditionalFormatting>
  <conditionalFormatting sqref="AA5:AA10">
    <cfRule type="expression" dxfId="12535" priority="3475">
      <formula>$M5="NON DEFINED"</formula>
    </cfRule>
    <cfRule type="expression" dxfId="12534" priority="3476">
      <formula>$AY5="N.D."</formula>
    </cfRule>
  </conditionalFormatting>
  <conditionalFormatting sqref="AA5:AA10">
    <cfRule type="cellIs" dxfId="12533" priority="3474" operator="equal">
      <formula>0</formula>
    </cfRule>
  </conditionalFormatting>
  <conditionalFormatting sqref="AB5:AB10">
    <cfRule type="expression" dxfId="12532" priority="3472">
      <formula>$M5="NON DEFINED"</formula>
    </cfRule>
    <cfRule type="expression" dxfId="12531" priority="3473">
      <formula>$AY5="N.D."</formula>
    </cfRule>
  </conditionalFormatting>
  <conditionalFormatting sqref="AB5:AB10">
    <cfRule type="cellIs" dxfId="12530" priority="3471" operator="equal">
      <formula>0</formula>
    </cfRule>
  </conditionalFormatting>
  <conditionalFormatting sqref="G11">
    <cfRule type="expression" dxfId="12529" priority="3469">
      <formula>$M11="NON DEFINED"</formula>
    </cfRule>
    <cfRule type="expression" dxfId="12528" priority="3470">
      <formula>$AY11="N.D."</formula>
    </cfRule>
  </conditionalFormatting>
  <conditionalFormatting sqref="G11">
    <cfRule type="cellIs" dxfId="12527" priority="3468" operator="equal">
      <formula>0</formula>
    </cfRule>
  </conditionalFormatting>
  <conditionalFormatting sqref="J209:J212 J214:J215">
    <cfRule type="expression" dxfId="12526" priority="3465">
      <formula>$M209="NON DEFINED"</formula>
    </cfRule>
    <cfRule type="expression" dxfId="12525" priority="3466">
      <formula>$AZ209="N.D."</formula>
    </cfRule>
    <cfRule type="expression" dxfId="12524" priority="3467">
      <formula>$AY209="N.D."</formula>
    </cfRule>
  </conditionalFormatting>
  <conditionalFormatting sqref="J209:J212 J214:J215">
    <cfRule type="expression" dxfId="12523" priority="3454">
      <formula>$A209="Overhead Cable"</formula>
    </cfRule>
    <cfRule type="expression" dxfId="12522" priority="3455">
      <formula>$A209="Level Crossing"</formula>
    </cfRule>
    <cfRule type="expression" dxfId="12521" priority="3456">
      <formula>$A209="Neutral Section"</formula>
    </cfRule>
    <cfRule type="expression" dxfId="12520" priority="3457">
      <formula>$A209="Tunnel"</formula>
    </cfRule>
    <cfRule type="expression" dxfId="12519" priority="3458">
      <formula>$A209="Bridge"</formula>
    </cfRule>
    <cfRule type="expression" dxfId="12518" priority="3459">
      <formula>$A209="Drainage Works"</formula>
    </cfRule>
    <cfRule type="expression" dxfId="12517" priority="3460">
      <formula>$A209="Underpass"</formula>
    </cfRule>
    <cfRule type="expression" dxfId="12516" priority="3461">
      <formula>$A209="Overcrossing"</formula>
    </cfRule>
    <cfRule type="expression" dxfId="12515" priority="3462">
      <formula>$A209="Overpass"</formula>
    </cfRule>
    <cfRule type="expression" dxfId="12514" priority="3463">
      <formula>$A209="Station"</formula>
    </cfRule>
    <cfRule type="expression" dxfId="12513" priority="3464">
      <formula>$A209="Overlap between sections"</formula>
    </cfRule>
  </conditionalFormatting>
  <conditionalFormatting sqref="K209:K212 K214:K215">
    <cfRule type="expression" dxfId="12512" priority="3451">
      <formula>$M209="NON DEFINED"</formula>
    </cfRule>
    <cfRule type="expression" dxfId="12511" priority="3452">
      <formula>$AZ209="N.D."</formula>
    </cfRule>
    <cfRule type="expression" dxfId="12510" priority="3453">
      <formula>$AY209="N.D."</formula>
    </cfRule>
  </conditionalFormatting>
  <conditionalFormatting sqref="K209:K212 K214:K215">
    <cfRule type="expression" dxfId="12509" priority="3440">
      <formula>$A209="Overhead Cable"</formula>
    </cfRule>
    <cfRule type="expression" dxfId="12508" priority="3441">
      <formula>$A209="Level Crossing"</formula>
    </cfRule>
    <cfRule type="expression" dxfId="12507" priority="3442">
      <formula>$A209="Neutral Section"</formula>
    </cfRule>
    <cfRule type="expression" dxfId="12506" priority="3443">
      <formula>$A209="Tunnel"</formula>
    </cfRule>
    <cfRule type="expression" dxfId="12505" priority="3444">
      <formula>$A209="Bridge"</formula>
    </cfRule>
    <cfRule type="expression" dxfId="12504" priority="3445">
      <formula>$A209="Drainage Works"</formula>
    </cfRule>
    <cfRule type="expression" dxfId="12503" priority="3446">
      <formula>$A209="Underpass"</formula>
    </cfRule>
    <cfRule type="expression" dxfId="12502" priority="3447">
      <formula>$A209="Overcrossing"</formula>
    </cfRule>
    <cfRule type="expression" dxfId="12501" priority="3448">
      <formula>$A209="Overpass"</formula>
    </cfRule>
    <cfRule type="expression" dxfId="12500" priority="3449">
      <formula>$A209="Station"</formula>
    </cfRule>
    <cfRule type="expression" dxfId="12499" priority="3450">
      <formula>$A209="Overlap between sections"</formula>
    </cfRule>
  </conditionalFormatting>
  <conditionalFormatting sqref="J207">
    <cfRule type="expression" dxfId="12498" priority="3437">
      <formula>$M207="NON DEFINED"</formula>
    </cfRule>
    <cfRule type="expression" dxfId="12497" priority="3438">
      <formula>$AZ207="N.D."</formula>
    </cfRule>
    <cfRule type="expression" dxfId="12496" priority="3439">
      <formula>$AY207="N.D."</formula>
    </cfRule>
  </conditionalFormatting>
  <conditionalFormatting sqref="J207">
    <cfRule type="expression" dxfId="12495" priority="3426">
      <formula>$A207="Overhead Cable"</formula>
    </cfRule>
    <cfRule type="expression" dxfId="12494" priority="3427">
      <formula>$A207="Level Crossing"</formula>
    </cfRule>
    <cfRule type="expression" dxfId="12493" priority="3428">
      <formula>$A207="Neutral Section"</formula>
    </cfRule>
    <cfRule type="expression" dxfId="12492" priority="3429">
      <formula>$A207="Tunnel"</formula>
    </cfRule>
    <cfRule type="expression" dxfId="12491" priority="3430">
      <formula>$A207="Bridge"</formula>
    </cfRule>
    <cfRule type="expression" dxfId="12490" priority="3431">
      <formula>$A207="Drainage Works"</formula>
    </cfRule>
    <cfRule type="expression" dxfId="12489" priority="3432">
      <formula>$A207="Underpass"</formula>
    </cfRule>
    <cfRule type="expression" dxfId="12488" priority="3433">
      <formula>$A207="Overcrossing"</formula>
    </cfRule>
    <cfRule type="expression" dxfId="12487" priority="3434">
      <formula>$A207="Overpass"</formula>
    </cfRule>
    <cfRule type="expression" dxfId="12486" priority="3435">
      <formula>$A207="Station"</formula>
    </cfRule>
    <cfRule type="expression" dxfId="12485" priority="3436">
      <formula>$A207="Overlap between sections"</formula>
    </cfRule>
  </conditionalFormatting>
  <conditionalFormatting sqref="K207">
    <cfRule type="expression" dxfId="12484" priority="3423">
      <formula>$M207="NON DEFINED"</formula>
    </cfRule>
    <cfRule type="expression" dxfId="12483" priority="3424">
      <formula>$AZ207="N.D."</formula>
    </cfRule>
    <cfRule type="expression" dxfId="12482" priority="3425">
      <formula>$AY207="N.D."</formula>
    </cfRule>
  </conditionalFormatting>
  <conditionalFormatting sqref="K207">
    <cfRule type="expression" dxfId="12481" priority="3412">
      <formula>$A207="Overhead Cable"</formula>
    </cfRule>
    <cfRule type="expression" dxfId="12480" priority="3413">
      <formula>$A207="Level Crossing"</formula>
    </cfRule>
    <cfRule type="expression" dxfId="12479" priority="3414">
      <formula>$A207="Neutral Section"</formula>
    </cfRule>
    <cfRule type="expression" dxfId="12478" priority="3415">
      <formula>$A207="Tunnel"</formula>
    </cfRule>
    <cfRule type="expression" dxfId="12477" priority="3416">
      <formula>$A207="Bridge"</formula>
    </cfRule>
    <cfRule type="expression" dxfId="12476" priority="3417">
      <formula>$A207="Drainage Works"</formula>
    </cfRule>
    <cfRule type="expression" dxfId="12475" priority="3418">
      <formula>$A207="Underpass"</formula>
    </cfRule>
    <cfRule type="expression" dxfId="12474" priority="3419">
      <formula>$A207="Overcrossing"</formula>
    </cfRule>
    <cfRule type="expression" dxfId="12473" priority="3420">
      <formula>$A207="Overpass"</formula>
    </cfRule>
    <cfRule type="expression" dxfId="12472" priority="3421">
      <formula>$A207="Station"</formula>
    </cfRule>
    <cfRule type="expression" dxfId="12471" priority="3422">
      <formula>$A207="Overlap between sections"</formula>
    </cfRule>
  </conditionalFormatting>
  <conditionalFormatting sqref="J213">
    <cfRule type="expression" dxfId="12470" priority="3409">
      <formula>$M213="NON DEFINED"</formula>
    </cfRule>
    <cfRule type="expression" dxfId="12469" priority="3410">
      <formula>$AZ213="N.D."</formula>
    </cfRule>
    <cfRule type="expression" dxfId="12468" priority="3411">
      <formula>$AY213="N.D."</formula>
    </cfRule>
  </conditionalFormatting>
  <conditionalFormatting sqref="J213">
    <cfRule type="expression" dxfId="12467" priority="3398">
      <formula>$A213="Overhead Cable"</formula>
    </cfRule>
    <cfRule type="expression" dxfId="12466" priority="3399">
      <formula>$A213="Level Crossing"</formula>
    </cfRule>
    <cfRule type="expression" dxfId="12465" priority="3400">
      <formula>$A213="Neutral Section"</formula>
    </cfRule>
    <cfRule type="expression" dxfId="12464" priority="3401">
      <formula>$A213="Tunnel"</formula>
    </cfRule>
    <cfRule type="expression" dxfId="12463" priority="3402">
      <formula>$A213="Bridge"</formula>
    </cfRule>
    <cfRule type="expression" dxfId="12462" priority="3403">
      <formula>$A213="Drainage Works"</formula>
    </cfRule>
    <cfRule type="expression" dxfId="12461" priority="3404">
      <formula>$A213="Underpass"</formula>
    </cfRule>
    <cfRule type="expression" dxfId="12460" priority="3405">
      <formula>$A213="Overcrossing"</formula>
    </cfRule>
    <cfRule type="expression" dxfId="12459" priority="3406">
      <formula>$A213="Overpass"</formula>
    </cfRule>
    <cfRule type="expression" dxfId="12458" priority="3407">
      <formula>$A213="Station"</formula>
    </cfRule>
    <cfRule type="expression" dxfId="12457" priority="3408">
      <formula>$A213="Overlap between sections"</formula>
    </cfRule>
  </conditionalFormatting>
  <conditionalFormatting sqref="K213">
    <cfRule type="expression" dxfId="12456" priority="3395">
      <formula>$M213="NON DEFINED"</formula>
    </cfRule>
    <cfRule type="expression" dxfId="12455" priority="3396">
      <formula>$AZ213="N.D."</formula>
    </cfRule>
    <cfRule type="expression" dxfId="12454" priority="3397">
      <formula>$AY213="N.D."</formula>
    </cfRule>
  </conditionalFormatting>
  <conditionalFormatting sqref="K213">
    <cfRule type="expression" dxfId="12453" priority="3384">
      <formula>$A213="Overhead Cable"</formula>
    </cfRule>
    <cfRule type="expression" dxfId="12452" priority="3385">
      <formula>$A213="Level Crossing"</formula>
    </cfRule>
    <cfRule type="expression" dxfId="12451" priority="3386">
      <formula>$A213="Neutral Section"</formula>
    </cfRule>
    <cfRule type="expression" dxfId="12450" priority="3387">
      <formula>$A213="Tunnel"</formula>
    </cfRule>
    <cfRule type="expression" dxfId="12449" priority="3388">
      <formula>$A213="Bridge"</formula>
    </cfRule>
    <cfRule type="expression" dxfId="12448" priority="3389">
      <formula>$A213="Drainage Works"</formula>
    </cfRule>
    <cfRule type="expression" dxfId="12447" priority="3390">
      <formula>$A213="Underpass"</formula>
    </cfRule>
    <cfRule type="expression" dxfId="12446" priority="3391">
      <formula>$A213="Overcrossing"</formula>
    </cfRule>
    <cfRule type="expression" dxfId="12445" priority="3392">
      <formula>$A213="Overpass"</formula>
    </cfRule>
    <cfRule type="expression" dxfId="12444" priority="3393">
      <formula>$A213="Station"</formula>
    </cfRule>
    <cfRule type="expression" dxfId="12443" priority="3394">
      <formula>$A213="Overlap between sections"</formula>
    </cfRule>
  </conditionalFormatting>
  <conditionalFormatting sqref="J262">
    <cfRule type="expression" dxfId="12442" priority="3381">
      <formula>$M262="NON DEFINED"</formula>
    </cfRule>
    <cfRule type="expression" dxfId="12441" priority="3382">
      <formula>$AZ262="N.D."</formula>
    </cfRule>
    <cfRule type="expression" dxfId="12440" priority="3383">
      <formula>$AY262="N.D."</formula>
    </cfRule>
  </conditionalFormatting>
  <conditionalFormatting sqref="J262">
    <cfRule type="expression" dxfId="12439" priority="3370">
      <formula>$A262="Overhead Cable"</formula>
    </cfRule>
    <cfRule type="expression" dxfId="12438" priority="3371">
      <formula>$A262="Level Crossing"</formula>
    </cfRule>
    <cfRule type="expression" dxfId="12437" priority="3372">
      <formula>$A262="Neutral Section"</formula>
    </cfRule>
    <cfRule type="expression" dxfId="12436" priority="3373">
      <formula>$A262="Tunnel"</formula>
    </cfRule>
    <cfRule type="expression" dxfId="12435" priority="3374">
      <formula>$A262="Bridge"</formula>
    </cfRule>
    <cfRule type="expression" dxfId="12434" priority="3375">
      <formula>$A262="Drainage Works"</formula>
    </cfRule>
    <cfRule type="expression" dxfId="12433" priority="3376">
      <formula>$A262="Underpass"</formula>
    </cfRule>
    <cfRule type="expression" dxfId="12432" priority="3377">
      <formula>$A262="Overcrossing"</formula>
    </cfRule>
    <cfRule type="expression" dxfId="12431" priority="3378">
      <formula>$A262="Overpass"</formula>
    </cfRule>
    <cfRule type="expression" dxfId="12430" priority="3379">
      <formula>$A262="Station"</formula>
    </cfRule>
    <cfRule type="expression" dxfId="12429" priority="3380">
      <formula>$A262="Overlap between sections"</formula>
    </cfRule>
  </conditionalFormatting>
  <conditionalFormatting sqref="K262">
    <cfRule type="expression" dxfId="12428" priority="3367">
      <formula>$M262="NON DEFINED"</formula>
    </cfRule>
    <cfRule type="expression" dxfId="12427" priority="3368">
      <formula>$AZ262="N.D."</formula>
    </cfRule>
    <cfRule type="expression" dxfId="12426" priority="3369">
      <formula>$AY262="N.D."</formula>
    </cfRule>
  </conditionalFormatting>
  <conditionalFormatting sqref="K262">
    <cfRule type="expression" dxfId="12425" priority="3356">
      <formula>$A262="Overhead Cable"</formula>
    </cfRule>
    <cfRule type="expression" dxfId="12424" priority="3357">
      <formula>$A262="Level Crossing"</formula>
    </cfRule>
    <cfRule type="expression" dxfId="12423" priority="3358">
      <formula>$A262="Neutral Section"</formula>
    </cfRule>
    <cfRule type="expression" dxfId="12422" priority="3359">
      <formula>$A262="Tunnel"</formula>
    </cfRule>
    <cfRule type="expression" dxfId="12421" priority="3360">
      <formula>$A262="Bridge"</formula>
    </cfRule>
    <cfRule type="expression" dxfId="12420" priority="3361">
      <formula>$A262="Drainage Works"</formula>
    </cfRule>
    <cfRule type="expression" dxfId="12419" priority="3362">
      <formula>$A262="Underpass"</formula>
    </cfRule>
    <cfRule type="expression" dxfId="12418" priority="3363">
      <formula>$A262="Overcrossing"</formula>
    </cfRule>
    <cfRule type="expression" dxfId="12417" priority="3364">
      <formula>$A262="Overpass"</formula>
    </cfRule>
    <cfRule type="expression" dxfId="12416" priority="3365">
      <formula>$A262="Station"</formula>
    </cfRule>
    <cfRule type="expression" dxfId="12415" priority="3366">
      <formula>$A262="Overlap between sections"</formula>
    </cfRule>
  </conditionalFormatting>
  <conditionalFormatting sqref="J266">
    <cfRule type="expression" dxfId="12414" priority="3353">
      <formula>$M266="NON DEFINED"</formula>
    </cfRule>
    <cfRule type="expression" dxfId="12413" priority="3354">
      <formula>$AZ266="N.D."</formula>
    </cfRule>
    <cfRule type="expression" dxfId="12412" priority="3355">
      <formula>$AY266="N.D."</formula>
    </cfRule>
  </conditionalFormatting>
  <conditionalFormatting sqref="J266">
    <cfRule type="expression" dxfId="12411" priority="3342">
      <formula>$A266="Overhead Cable"</formula>
    </cfRule>
    <cfRule type="expression" dxfId="12410" priority="3343">
      <formula>$A266="Level Crossing"</formula>
    </cfRule>
    <cfRule type="expression" dxfId="12409" priority="3344">
      <formula>$A266="Neutral Section"</formula>
    </cfRule>
    <cfRule type="expression" dxfId="12408" priority="3345">
      <formula>$A266="Tunnel"</formula>
    </cfRule>
    <cfRule type="expression" dxfId="12407" priority="3346">
      <formula>$A266="Bridge"</formula>
    </cfRule>
    <cfRule type="expression" dxfId="12406" priority="3347">
      <formula>$A266="Drainage Works"</formula>
    </cfRule>
    <cfRule type="expression" dxfId="12405" priority="3348">
      <formula>$A266="Underpass"</formula>
    </cfRule>
    <cfRule type="expression" dxfId="12404" priority="3349">
      <formula>$A266="Overcrossing"</formula>
    </cfRule>
    <cfRule type="expression" dxfId="12403" priority="3350">
      <formula>$A266="Overpass"</formula>
    </cfRule>
    <cfRule type="expression" dxfId="12402" priority="3351">
      <formula>$A266="Station"</formula>
    </cfRule>
    <cfRule type="expression" dxfId="12401" priority="3352">
      <formula>$A266="Overlap between sections"</formula>
    </cfRule>
  </conditionalFormatting>
  <conditionalFormatting sqref="K266">
    <cfRule type="expression" dxfId="12400" priority="3339">
      <formula>$M266="NON DEFINED"</formula>
    </cfRule>
    <cfRule type="expression" dxfId="12399" priority="3340">
      <formula>$AZ266="N.D."</formula>
    </cfRule>
    <cfRule type="expression" dxfId="12398" priority="3341">
      <formula>$AY266="N.D."</formula>
    </cfRule>
  </conditionalFormatting>
  <conditionalFormatting sqref="K266">
    <cfRule type="expression" dxfId="12397" priority="3328">
      <formula>$A266="Overhead Cable"</formula>
    </cfRule>
    <cfRule type="expression" dxfId="12396" priority="3329">
      <formula>$A266="Level Crossing"</formula>
    </cfRule>
    <cfRule type="expression" dxfId="12395" priority="3330">
      <formula>$A266="Neutral Section"</formula>
    </cfRule>
    <cfRule type="expression" dxfId="12394" priority="3331">
      <formula>$A266="Tunnel"</formula>
    </cfRule>
    <cfRule type="expression" dxfId="12393" priority="3332">
      <formula>$A266="Bridge"</formula>
    </cfRule>
    <cfRule type="expression" dxfId="12392" priority="3333">
      <formula>$A266="Drainage Works"</formula>
    </cfRule>
    <cfRule type="expression" dxfId="12391" priority="3334">
      <formula>$A266="Underpass"</formula>
    </cfRule>
    <cfRule type="expression" dxfId="12390" priority="3335">
      <formula>$A266="Overcrossing"</formula>
    </cfRule>
    <cfRule type="expression" dxfId="12389" priority="3336">
      <formula>$A266="Overpass"</formula>
    </cfRule>
    <cfRule type="expression" dxfId="12388" priority="3337">
      <formula>$A266="Station"</formula>
    </cfRule>
    <cfRule type="expression" dxfId="12387" priority="3338">
      <formula>$A266="Overlap between sections"</formula>
    </cfRule>
  </conditionalFormatting>
  <conditionalFormatting sqref="J289:J291">
    <cfRule type="expression" dxfId="12386" priority="3325">
      <formula>$M289="NON DEFINED"</formula>
    </cfRule>
    <cfRule type="expression" dxfId="12385" priority="3326">
      <formula>$AZ289="N.D."</formula>
    </cfRule>
    <cfRule type="expression" dxfId="12384" priority="3327">
      <formula>$AY289="N.D."</formula>
    </cfRule>
  </conditionalFormatting>
  <conditionalFormatting sqref="J289:J291">
    <cfRule type="expression" dxfId="12383" priority="3314">
      <formula>$A289="Overhead Cable"</formula>
    </cfRule>
    <cfRule type="expression" dxfId="12382" priority="3315">
      <formula>$A289="Level Crossing"</formula>
    </cfRule>
    <cfRule type="expression" dxfId="12381" priority="3316">
      <formula>$A289="Neutral Section"</formula>
    </cfRule>
    <cfRule type="expression" dxfId="12380" priority="3317">
      <formula>$A289="Tunnel"</formula>
    </cfRule>
    <cfRule type="expression" dxfId="12379" priority="3318">
      <formula>$A289="Bridge"</formula>
    </cfRule>
    <cfRule type="expression" dxfId="12378" priority="3319">
      <formula>$A289="Drainage Works"</formula>
    </cfRule>
    <cfRule type="expression" dxfId="12377" priority="3320">
      <formula>$A289="Underpass"</formula>
    </cfRule>
    <cfRule type="expression" dxfId="12376" priority="3321">
      <formula>$A289="Overcrossing"</formula>
    </cfRule>
    <cfRule type="expression" dxfId="12375" priority="3322">
      <formula>$A289="Overpass"</formula>
    </cfRule>
    <cfRule type="expression" dxfId="12374" priority="3323">
      <formula>$A289="Station"</formula>
    </cfRule>
    <cfRule type="expression" dxfId="12373" priority="3324">
      <formula>$A289="Overlap between sections"</formula>
    </cfRule>
  </conditionalFormatting>
  <conditionalFormatting sqref="K289:K291">
    <cfRule type="expression" dxfId="12372" priority="3311">
      <formula>$M289="NON DEFINED"</formula>
    </cfRule>
    <cfRule type="expression" dxfId="12371" priority="3312">
      <formula>$AZ289="N.D."</formula>
    </cfRule>
    <cfRule type="expression" dxfId="12370" priority="3313">
      <formula>$AY289="N.D."</formula>
    </cfRule>
  </conditionalFormatting>
  <conditionalFormatting sqref="K289:K291">
    <cfRule type="expression" dxfId="12369" priority="3300">
      <formula>$A289="Overhead Cable"</formula>
    </cfRule>
    <cfRule type="expression" dxfId="12368" priority="3301">
      <formula>$A289="Level Crossing"</formula>
    </cfRule>
    <cfRule type="expression" dxfId="12367" priority="3302">
      <formula>$A289="Neutral Section"</formula>
    </cfRule>
    <cfRule type="expression" dxfId="12366" priority="3303">
      <formula>$A289="Tunnel"</formula>
    </cfRule>
    <cfRule type="expression" dxfId="12365" priority="3304">
      <formula>$A289="Bridge"</formula>
    </cfRule>
    <cfRule type="expression" dxfId="12364" priority="3305">
      <formula>$A289="Drainage Works"</formula>
    </cfRule>
    <cfRule type="expression" dxfId="12363" priority="3306">
      <formula>$A289="Underpass"</formula>
    </cfRule>
    <cfRule type="expression" dxfId="12362" priority="3307">
      <formula>$A289="Overcrossing"</formula>
    </cfRule>
    <cfRule type="expression" dxfId="12361" priority="3308">
      <formula>$A289="Overpass"</formula>
    </cfRule>
    <cfRule type="expression" dxfId="12360" priority="3309">
      <formula>$A289="Station"</formula>
    </cfRule>
    <cfRule type="expression" dxfId="12359" priority="3310">
      <formula>$A289="Overlap between sections"</formula>
    </cfRule>
  </conditionalFormatting>
  <conditionalFormatting sqref="J288">
    <cfRule type="expression" dxfId="12358" priority="3297">
      <formula>$M288="NON DEFINED"</formula>
    </cfRule>
    <cfRule type="expression" dxfId="12357" priority="3298">
      <formula>$AZ288="N.D."</formula>
    </cfRule>
    <cfRule type="expression" dxfId="12356" priority="3299">
      <formula>$AY288="N.D."</formula>
    </cfRule>
  </conditionalFormatting>
  <conditionalFormatting sqref="J288">
    <cfRule type="expression" dxfId="12355" priority="3286">
      <formula>$A288="Overhead Cable"</formula>
    </cfRule>
    <cfRule type="expression" dxfId="12354" priority="3287">
      <formula>$A288="Level Crossing"</formula>
    </cfRule>
    <cfRule type="expression" dxfId="12353" priority="3288">
      <formula>$A288="Neutral Section"</formula>
    </cfRule>
    <cfRule type="expression" dxfId="12352" priority="3289">
      <formula>$A288="Tunnel"</formula>
    </cfRule>
    <cfRule type="expression" dxfId="12351" priority="3290">
      <formula>$A288="Bridge"</formula>
    </cfRule>
    <cfRule type="expression" dxfId="12350" priority="3291">
      <formula>$A288="Drainage Works"</formula>
    </cfRule>
    <cfRule type="expression" dxfId="12349" priority="3292">
      <formula>$A288="Underpass"</formula>
    </cfRule>
    <cfRule type="expression" dxfId="12348" priority="3293">
      <formula>$A288="Overcrossing"</formula>
    </cfRule>
    <cfRule type="expression" dxfId="12347" priority="3294">
      <formula>$A288="Overpass"</formula>
    </cfRule>
    <cfRule type="expression" dxfId="12346" priority="3295">
      <formula>$A288="Station"</formula>
    </cfRule>
    <cfRule type="expression" dxfId="12345" priority="3296">
      <formula>$A288="Overlap between sections"</formula>
    </cfRule>
  </conditionalFormatting>
  <conditionalFormatting sqref="K288">
    <cfRule type="expression" dxfId="12344" priority="3283">
      <formula>$M288="NON DEFINED"</formula>
    </cfRule>
    <cfRule type="expression" dxfId="12343" priority="3284">
      <formula>$AZ288="N.D."</formula>
    </cfRule>
    <cfRule type="expression" dxfId="12342" priority="3285">
      <formula>$AY288="N.D."</formula>
    </cfRule>
  </conditionalFormatting>
  <conditionalFormatting sqref="K288">
    <cfRule type="expression" dxfId="12341" priority="3272">
      <formula>$A288="Overhead Cable"</formula>
    </cfRule>
    <cfRule type="expression" dxfId="12340" priority="3273">
      <formula>$A288="Level Crossing"</formula>
    </cfRule>
    <cfRule type="expression" dxfId="12339" priority="3274">
      <formula>$A288="Neutral Section"</formula>
    </cfRule>
    <cfRule type="expression" dxfId="12338" priority="3275">
      <formula>$A288="Tunnel"</formula>
    </cfRule>
    <cfRule type="expression" dxfId="12337" priority="3276">
      <formula>$A288="Bridge"</formula>
    </cfRule>
    <cfRule type="expression" dxfId="12336" priority="3277">
      <formula>$A288="Drainage Works"</formula>
    </cfRule>
    <cfRule type="expression" dxfId="12335" priority="3278">
      <formula>$A288="Underpass"</formula>
    </cfRule>
    <cfRule type="expression" dxfId="12334" priority="3279">
      <formula>$A288="Overcrossing"</formula>
    </cfRule>
    <cfRule type="expression" dxfId="12333" priority="3280">
      <formula>$A288="Overpass"</formula>
    </cfRule>
    <cfRule type="expression" dxfId="12332" priority="3281">
      <formula>$A288="Station"</formula>
    </cfRule>
    <cfRule type="expression" dxfId="12331" priority="3282">
      <formula>$A288="Overlap between sections"</formula>
    </cfRule>
  </conditionalFormatting>
  <conditionalFormatting sqref="J292">
    <cfRule type="expression" dxfId="12330" priority="3269">
      <formula>$M292="NON DEFINED"</formula>
    </cfRule>
    <cfRule type="expression" dxfId="12329" priority="3270">
      <formula>$AZ292="N.D."</formula>
    </cfRule>
    <cfRule type="expression" dxfId="12328" priority="3271">
      <formula>$AY292="N.D."</formula>
    </cfRule>
  </conditionalFormatting>
  <conditionalFormatting sqref="J292">
    <cfRule type="expression" dxfId="12327" priority="3258">
      <formula>$A292="Overhead Cable"</formula>
    </cfRule>
    <cfRule type="expression" dxfId="12326" priority="3259">
      <formula>$A292="Level Crossing"</formula>
    </cfRule>
    <cfRule type="expression" dxfId="12325" priority="3260">
      <formula>$A292="Neutral Section"</formula>
    </cfRule>
    <cfRule type="expression" dxfId="12324" priority="3261">
      <formula>$A292="Tunnel"</formula>
    </cfRule>
    <cfRule type="expression" dxfId="12323" priority="3262">
      <formula>$A292="Bridge"</formula>
    </cfRule>
    <cfRule type="expression" dxfId="12322" priority="3263">
      <formula>$A292="Drainage Works"</formula>
    </cfRule>
    <cfRule type="expression" dxfId="12321" priority="3264">
      <formula>$A292="Underpass"</formula>
    </cfRule>
    <cfRule type="expression" dxfId="12320" priority="3265">
      <formula>$A292="Overcrossing"</formula>
    </cfRule>
    <cfRule type="expression" dxfId="12319" priority="3266">
      <formula>$A292="Overpass"</formula>
    </cfRule>
    <cfRule type="expression" dxfId="12318" priority="3267">
      <formula>$A292="Station"</formula>
    </cfRule>
    <cfRule type="expression" dxfId="12317" priority="3268">
      <formula>$A292="Overlap between sections"</formula>
    </cfRule>
  </conditionalFormatting>
  <conditionalFormatting sqref="K292">
    <cfRule type="expression" dxfId="12316" priority="3255">
      <formula>$M292="NON DEFINED"</formula>
    </cfRule>
    <cfRule type="expression" dxfId="12315" priority="3256">
      <formula>$AZ292="N.D."</formula>
    </cfRule>
    <cfRule type="expression" dxfId="12314" priority="3257">
      <formula>$AY292="N.D."</formula>
    </cfRule>
  </conditionalFormatting>
  <conditionalFormatting sqref="K292">
    <cfRule type="expression" dxfId="12313" priority="3244">
      <formula>$A292="Overhead Cable"</formula>
    </cfRule>
    <cfRule type="expression" dxfId="12312" priority="3245">
      <formula>$A292="Level Crossing"</formula>
    </cfRule>
    <cfRule type="expression" dxfId="12311" priority="3246">
      <formula>$A292="Neutral Section"</formula>
    </cfRule>
    <cfRule type="expression" dxfId="12310" priority="3247">
      <formula>$A292="Tunnel"</formula>
    </cfRule>
    <cfRule type="expression" dxfId="12309" priority="3248">
      <formula>$A292="Bridge"</formula>
    </cfRule>
    <cfRule type="expression" dxfId="12308" priority="3249">
      <formula>$A292="Drainage Works"</formula>
    </cfRule>
    <cfRule type="expression" dxfId="12307" priority="3250">
      <formula>$A292="Underpass"</formula>
    </cfRule>
    <cfRule type="expression" dxfId="12306" priority="3251">
      <formula>$A292="Overcrossing"</formula>
    </cfRule>
    <cfRule type="expression" dxfId="12305" priority="3252">
      <formula>$A292="Overpass"</formula>
    </cfRule>
    <cfRule type="expression" dxfId="12304" priority="3253">
      <formula>$A292="Station"</formula>
    </cfRule>
    <cfRule type="expression" dxfId="12303" priority="3254">
      <formula>$A292="Overlap between sections"</formula>
    </cfRule>
  </conditionalFormatting>
  <conditionalFormatting sqref="J300:J310">
    <cfRule type="expression" dxfId="12302" priority="3241">
      <formula>$M300="NON DEFINED"</formula>
    </cfRule>
    <cfRule type="expression" dxfId="12301" priority="3242">
      <formula>$AZ300="N.D."</formula>
    </cfRule>
    <cfRule type="expression" dxfId="12300" priority="3243">
      <formula>$AY300="N.D."</formula>
    </cfRule>
  </conditionalFormatting>
  <conditionalFormatting sqref="J300:J310">
    <cfRule type="expression" dxfId="12299" priority="3230">
      <formula>$A300="Overhead Cable"</formula>
    </cfRule>
    <cfRule type="expression" dxfId="12298" priority="3231">
      <formula>$A300="Level Crossing"</formula>
    </cfRule>
    <cfRule type="expression" dxfId="12297" priority="3232">
      <formula>$A300="Neutral Section"</formula>
    </cfRule>
    <cfRule type="expression" dxfId="12296" priority="3233">
      <formula>$A300="Tunnel"</formula>
    </cfRule>
    <cfRule type="expression" dxfId="12295" priority="3234">
      <formula>$A300="Bridge"</formula>
    </cfRule>
    <cfRule type="expression" dxfId="12294" priority="3235">
      <formula>$A300="Drainage Works"</formula>
    </cfRule>
    <cfRule type="expression" dxfId="12293" priority="3236">
      <formula>$A300="Underpass"</formula>
    </cfRule>
    <cfRule type="expression" dxfId="12292" priority="3237">
      <formula>$A300="Overcrossing"</formula>
    </cfRule>
    <cfRule type="expression" dxfId="12291" priority="3238">
      <formula>$A300="Overpass"</formula>
    </cfRule>
    <cfRule type="expression" dxfId="12290" priority="3239">
      <formula>$A300="Station"</formula>
    </cfRule>
    <cfRule type="expression" dxfId="12289" priority="3240">
      <formula>$A300="Overlap between sections"</formula>
    </cfRule>
  </conditionalFormatting>
  <conditionalFormatting sqref="I300:I310">
    <cfRule type="expression" dxfId="12288" priority="3227">
      <formula>$M300="NON DEFINED"</formula>
    </cfRule>
    <cfRule type="expression" dxfId="12287" priority="3228">
      <formula>$AZ300="N.D."</formula>
    </cfRule>
    <cfRule type="expression" dxfId="12286" priority="3229">
      <formula>$AY300="N.D."</formula>
    </cfRule>
  </conditionalFormatting>
  <conditionalFormatting sqref="I300:I310">
    <cfRule type="expression" dxfId="12285" priority="3216">
      <formula>$A300="Overhead Cable"</formula>
    </cfRule>
    <cfRule type="expression" dxfId="12284" priority="3217">
      <formula>$A300="Level Crossing"</formula>
    </cfRule>
    <cfRule type="expression" dxfId="12283" priority="3218">
      <formula>$A300="Neutral Section"</formula>
    </cfRule>
    <cfRule type="expression" dxfId="12282" priority="3219">
      <formula>$A300="Tunnel"</formula>
    </cfRule>
    <cfRule type="expression" dxfId="12281" priority="3220">
      <formula>$A300="Bridge"</formula>
    </cfRule>
    <cfRule type="expression" dxfId="12280" priority="3221">
      <formula>$A300="Drainage Works"</formula>
    </cfRule>
    <cfRule type="expression" dxfId="12279" priority="3222">
      <formula>$A300="Underpass"</formula>
    </cfRule>
    <cfRule type="expression" dxfId="12278" priority="3223">
      <formula>$A300="Overcrossing"</formula>
    </cfRule>
    <cfRule type="expression" dxfId="12277" priority="3224">
      <formula>$A300="Overpass"</formula>
    </cfRule>
    <cfRule type="expression" dxfId="12276" priority="3225">
      <formula>$A300="Station"</formula>
    </cfRule>
    <cfRule type="expression" dxfId="12275" priority="3226">
      <formula>$A300="Overlap between sections"</formula>
    </cfRule>
  </conditionalFormatting>
  <conditionalFormatting sqref="K300:K310">
    <cfRule type="expression" dxfId="12274" priority="3213">
      <formula>$M300="NON DEFINED"</formula>
    </cfRule>
    <cfRule type="expression" dxfId="12273" priority="3214">
      <formula>$AZ300="N.D."</formula>
    </cfRule>
    <cfRule type="expression" dxfId="12272" priority="3215">
      <formula>$AY300="N.D."</formula>
    </cfRule>
  </conditionalFormatting>
  <conditionalFormatting sqref="K300:K310">
    <cfRule type="expression" dxfId="12271" priority="3202">
      <formula>$A300="Overhead Cable"</formula>
    </cfRule>
    <cfRule type="expression" dxfId="12270" priority="3203">
      <formula>$A300="Level Crossing"</formula>
    </cfRule>
    <cfRule type="expression" dxfId="12269" priority="3204">
      <formula>$A300="Neutral Section"</formula>
    </cfRule>
    <cfRule type="expression" dxfId="12268" priority="3205">
      <formula>$A300="Tunnel"</formula>
    </cfRule>
    <cfRule type="expression" dxfId="12267" priority="3206">
      <formula>$A300="Bridge"</formula>
    </cfRule>
    <cfRule type="expression" dxfId="12266" priority="3207">
      <formula>$A300="Drainage Works"</formula>
    </cfRule>
    <cfRule type="expression" dxfId="12265" priority="3208">
      <formula>$A300="Underpass"</formula>
    </cfRule>
    <cfRule type="expression" dxfId="12264" priority="3209">
      <formula>$A300="Overcrossing"</formula>
    </cfRule>
    <cfRule type="expression" dxfId="12263" priority="3210">
      <formula>$A300="Overpass"</formula>
    </cfRule>
    <cfRule type="expression" dxfId="12262" priority="3211">
      <formula>$A300="Station"</formula>
    </cfRule>
    <cfRule type="expression" dxfId="12261" priority="3212">
      <formula>$A300="Overlap between sections"</formula>
    </cfRule>
  </conditionalFormatting>
  <conditionalFormatting sqref="J319:J321">
    <cfRule type="expression" dxfId="12260" priority="3199">
      <formula>$M319="NON DEFINED"</formula>
    </cfRule>
    <cfRule type="expression" dxfId="12259" priority="3200">
      <formula>$AZ319="N.D."</formula>
    </cfRule>
    <cfRule type="expression" dxfId="12258" priority="3201">
      <formula>$AY319="N.D."</formula>
    </cfRule>
  </conditionalFormatting>
  <conditionalFormatting sqref="J319:J321">
    <cfRule type="expression" dxfId="12257" priority="3188">
      <formula>$A319="Overhead Cable"</formula>
    </cfRule>
    <cfRule type="expression" dxfId="12256" priority="3189">
      <formula>$A319="Level Crossing"</formula>
    </cfRule>
    <cfRule type="expression" dxfId="12255" priority="3190">
      <formula>$A319="Neutral Section"</formula>
    </cfRule>
    <cfRule type="expression" dxfId="12254" priority="3191">
      <formula>$A319="Tunnel"</formula>
    </cfRule>
    <cfRule type="expression" dxfId="12253" priority="3192">
      <formula>$A319="Bridge"</formula>
    </cfRule>
    <cfRule type="expression" dxfId="12252" priority="3193">
      <formula>$A319="Drainage Works"</formula>
    </cfRule>
    <cfRule type="expression" dxfId="12251" priority="3194">
      <formula>$A319="Underpass"</formula>
    </cfRule>
    <cfRule type="expression" dxfId="12250" priority="3195">
      <formula>$A319="Overcrossing"</formula>
    </cfRule>
    <cfRule type="expression" dxfId="12249" priority="3196">
      <formula>$A319="Overpass"</formula>
    </cfRule>
    <cfRule type="expression" dxfId="12248" priority="3197">
      <formula>$A319="Station"</formula>
    </cfRule>
    <cfRule type="expression" dxfId="12247" priority="3198">
      <formula>$A319="Overlap between sections"</formula>
    </cfRule>
  </conditionalFormatting>
  <conditionalFormatting sqref="K319:K321">
    <cfRule type="expression" dxfId="12246" priority="3185">
      <formula>$M319="NON DEFINED"</formula>
    </cfRule>
    <cfRule type="expression" dxfId="12245" priority="3186">
      <formula>$AZ319="N.D."</formula>
    </cfRule>
    <cfRule type="expression" dxfId="12244" priority="3187">
      <formula>$AY319="N.D."</formula>
    </cfRule>
  </conditionalFormatting>
  <conditionalFormatting sqref="K319:K321">
    <cfRule type="expression" dxfId="12243" priority="3174">
      <formula>$A319="Overhead Cable"</formula>
    </cfRule>
    <cfRule type="expression" dxfId="12242" priority="3175">
      <formula>$A319="Level Crossing"</formula>
    </cfRule>
    <cfRule type="expression" dxfId="12241" priority="3176">
      <formula>$A319="Neutral Section"</formula>
    </cfRule>
    <cfRule type="expression" dxfId="12240" priority="3177">
      <formula>$A319="Tunnel"</formula>
    </cfRule>
    <cfRule type="expression" dxfId="12239" priority="3178">
      <formula>$A319="Bridge"</formula>
    </cfRule>
    <cfRule type="expression" dxfId="12238" priority="3179">
      <formula>$A319="Drainage Works"</formula>
    </cfRule>
    <cfRule type="expression" dxfId="12237" priority="3180">
      <formula>$A319="Underpass"</formula>
    </cfRule>
    <cfRule type="expression" dxfId="12236" priority="3181">
      <formula>$A319="Overcrossing"</formula>
    </cfRule>
    <cfRule type="expression" dxfId="12235" priority="3182">
      <formula>$A319="Overpass"</formula>
    </cfRule>
    <cfRule type="expression" dxfId="12234" priority="3183">
      <formula>$A319="Station"</formula>
    </cfRule>
    <cfRule type="expression" dxfId="12233" priority="3184">
      <formula>$A319="Overlap between sections"</formula>
    </cfRule>
  </conditionalFormatting>
  <conditionalFormatting sqref="J318">
    <cfRule type="expression" dxfId="12232" priority="3171">
      <formula>$M318="NON DEFINED"</formula>
    </cfRule>
    <cfRule type="expression" dxfId="12231" priority="3172">
      <formula>$AZ318="N.D."</formula>
    </cfRule>
    <cfRule type="expression" dxfId="12230" priority="3173">
      <formula>$AY318="N.D."</formula>
    </cfRule>
  </conditionalFormatting>
  <conditionalFormatting sqref="J318">
    <cfRule type="expression" dxfId="12229" priority="3160">
      <formula>$A318="Overhead Cable"</formula>
    </cfRule>
    <cfRule type="expression" dxfId="12228" priority="3161">
      <formula>$A318="Level Crossing"</formula>
    </cfRule>
    <cfRule type="expression" dxfId="12227" priority="3162">
      <formula>$A318="Neutral Section"</formula>
    </cfRule>
    <cfRule type="expression" dxfId="12226" priority="3163">
      <formula>$A318="Tunnel"</formula>
    </cfRule>
    <cfRule type="expression" dxfId="12225" priority="3164">
      <formula>$A318="Bridge"</formula>
    </cfRule>
    <cfRule type="expression" dxfId="12224" priority="3165">
      <formula>$A318="Drainage Works"</formula>
    </cfRule>
    <cfRule type="expression" dxfId="12223" priority="3166">
      <formula>$A318="Underpass"</formula>
    </cfRule>
    <cfRule type="expression" dxfId="12222" priority="3167">
      <formula>$A318="Overcrossing"</formula>
    </cfRule>
    <cfRule type="expression" dxfId="12221" priority="3168">
      <formula>$A318="Overpass"</formula>
    </cfRule>
    <cfRule type="expression" dxfId="12220" priority="3169">
      <formula>$A318="Station"</formula>
    </cfRule>
    <cfRule type="expression" dxfId="12219" priority="3170">
      <formula>$A318="Overlap between sections"</formula>
    </cfRule>
  </conditionalFormatting>
  <conditionalFormatting sqref="K318">
    <cfRule type="expression" dxfId="12218" priority="3157">
      <formula>$M318="NON DEFINED"</formula>
    </cfRule>
    <cfRule type="expression" dxfId="12217" priority="3158">
      <formula>$AZ318="N.D."</formula>
    </cfRule>
    <cfRule type="expression" dxfId="12216" priority="3159">
      <formula>$AY318="N.D."</formula>
    </cfRule>
  </conditionalFormatting>
  <conditionalFormatting sqref="K318">
    <cfRule type="expression" dxfId="12215" priority="3146">
      <formula>$A318="Overhead Cable"</formula>
    </cfRule>
    <cfRule type="expression" dxfId="12214" priority="3147">
      <formula>$A318="Level Crossing"</formula>
    </cfRule>
    <cfRule type="expression" dxfId="12213" priority="3148">
      <formula>$A318="Neutral Section"</formula>
    </cfRule>
    <cfRule type="expression" dxfId="12212" priority="3149">
      <formula>$A318="Tunnel"</formula>
    </cfRule>
    <cfRule type="expression" dxfId="12211" priority="3150">
      <formula>$A318="Bridge"</formula>
    </cfRule>
    <cfRule type="expression" dxfId="12210" priority="3151">
      <formula>$A318="Drainage Works"</formula>
    </cfRule>
    <cfRule type="expression" dxfId="12209" priority="3152">
      <formula>$A318="Underpass"</formula>
    </cfRule>
    <cfRule type="expression" dxfId="12208" priority="3153">
      <formula>$A318="Overcrossing"</formula>
    </cfRule>
    <cfRule type="expression" dxfId="12207" priority="3154">
      <formula>$A318="Overpass"</formula>
    </cfRule>
    <cfRule type="expression" dxfId="12206" priority="3155">
      <formula>$A318="Station"</formula>
    </cfRule>
    <cfRule type="expression" dxfId="12205" priority="3156">
      <formula>$A318="Overlap between sections"</formula>
    </cfRule>
  </conditionalFormatting>
  <conditionalFormatting sqref="J322">
    <cfRule type="expression" dxfId="12204" priority="3143">
      <formula>$M322="NON DEFINED"</formula>
    </cfRule>
    <cfRule type="expression" dxfId="12203" priority="3144">
      <formula>$AZ322="N.D."</formula>
    </cfRule>
    <cfRule type="expression" dxfId="12202" priority="3145">
      <formula>$AY322="N.D."</formula>
    </cfRule>
  </conditionalFormatting>
  <conditionalFormatting sqref="J322">
    <cfRule type="expression" dxfId="12201" priority="3132">
      <formula>$A322="Overhead Cable"</formula>
    </cfRule>
    <cfRule type="expression" dxfId="12200" priority="3133">
      <formula>$A322="Level Crossing"</formula>
    </cfRule>
    <cfRule type="expression" dxfId="12199" priority="3134">
      <formula>$A322="Neutral Section"</formula>
    </cfRule>
    <cfRule type="expression" dxfId="12198" priority="3135">
      <formula>$A322="Tunnel"</formula>
    </cfRule>
    <cfRule type="expression" dxfId="12197" priority="3136">
      <formula>$A322="Bridge"</formula>
    </cfRule>
    <cfRule type="expression" dxfId="12196" priority="3137">
      <formula>$A322="Drainage Works"</formula>
    </cfRule>
    <cfRule type="expression" dxfId="12195" priority="3138">
      <formula>$A322="Underpass"</formula>
    </cfRule>
    <cfRule type="expression" dxfId="12194" priority="3139">
      <formula>$A322="Overcrossing"</formula>
    </cfRule>
    <cfRule type="expression" dxfId="12193" priority="3140">
      <formula>$A322="Overpass"</formula>
    </cfRule>
    <cfRule type="expression" dxfId="12192" priority="3141">
      <formula>$A322="Station"</formula>
    </cfRule>
    <cfRule type="expression" dxfId="12191" priority="3142">
      <formula>$A322="Overlap between sections"</formula>
    </cfRule>
  </conditionalFormatting>
  <conditionalFormatting sqref="K322">
    <cfRule type="expression" dxfId="12190" priority="3129">
      <formula>$M322="NON DEFINED"</formula>
    </cfRule>
    <cfRule type="expression" dxfId="12189" priority="3130">
      <formula>$AZ322="N.D."</formula>
    </cfRule>
    <cfRule type="expression" dxfId="12188" priority="3131">
      <formula>$AY322="N.D."</formula>
    </cfRule>
  </conditionalFormatting>
  <conditionalFormatting sqref="K322">
    <cfRule type="expression" dxfId="12187" priority="3118">
      <formula>$A322="Overhead Cable"</formula>
    </cfRule>
    <cfRule type="expression" dxfId="12186" priority="3119">
      <formula>$A322="Level Crossing"</formula>
    </cfRule>
    <cfRule type="expression" dxfId="12185" priority="3120">
      <formula>$A322="Neutral Section"</formula>
    </cfRule>
    <cfRule type="expression" dxfId="12184" priority="3121">
      <formula>$A322="Tunnel"</formula>
    </cfRule>
    <cfRule type="expression" dxfId="12183" priority="3122">
      <formula>$A322="Bridge"</formula>
    </cfRule>
    <cfRule type="expression" dxfId="12182" priority="3123">
      <formula>$A322="Drainage Works"</formula>
    </cfRule>
    <cfRule type="expression" dxfId="12181" priority="3124">
      <formula>$A322="Underpass"</formula>
    </cfRule>
    <cfRule type="expression" dxfId="12180" priority="3125">
      <formula>$A322="Overcrossing"</formula>
    </cfRule>
    <cfRule type="expression" dxfId="12179" priority="3126">
      <formula>$A322="Overpass"</formula>
    </cfRule>
    <cfRule type="expression" dxfId="12178" priority="3127">
      <formula>$A322="Station"</formula>
    </cfRule>
    <cfRule type="expression" dxfId="12177" priority="3128">
      <formula>$A322="Overlap between sections"</formula>
    </cfRule>
  </conditionalFormatting>
  <conditionalFormatting sqref="K332">
    <cfRule type="expression" dxfId="12176" priority="3115">
      <formula>$M332="NON DEFINED"</formula>
    </cfRule>
    <cfRule type="expression" dxfId="12175" priority="3116">
      <formula>$AZ332="N.D."</formula>
    </cfRule>
    <cfRule type="expression" dxfId="12174" priority="3117">
      <formula>$AY332="N.D."</formula>
    </cfRule>
  </conditionalFormatting>
  <conditionalFormatting sqref="K332">
    <cfRule type="expression" dxfId="12173" priority="3104">
      <formula>$A332="Overhead Cable"</formula>
    </cfRule>
    <cfRule type="expression" dxfId="12172" priority="3105">
      <formula>$A332="Level Crossing"</formula>
    </cfRule>
    <cfRule type="expression" dxfId="12171" priority="3106">
      <formula>$A332="Neutral Section"</formula>
    </cfRule>
    <cfRule type="expression" dxfId="12170" priority="3107">
      <formula>$A332="Tunnel"</formula>
    </cfRule>
    <cfRule type="expression" dxfId="12169" priority="3108">
      <formula>$A332="Bridge"</formula>
    </cfRule>
    <cfRule type="expression" dxfId="12168" priority="3109">
      <formula>$A332="Drainage Works"</formula>
    </cfRule>
    <cfRule type="expression" dxfId="12167" priority="3110">
      <formula>$A332="Underpass"</formula>
    </cfRule>
    <cfRule type="expression" dxfId="12166" priority="3111">
      <formula>$A332="Overcrossing"</formula>
    </cfRule>
    <cfRule type="expression" dxfId="12165" priority="3112">
      <formula>$A332="Overpass"</formula>
    </cfRule>
    <cfRule type="expression" dxfId="12164" priority="3113">
      <formula>$A332="Station"</formula>
    </cfRule>
    <cfRule type="expression" dxfId="12163" priority="3114">
      <formula>$A332="Overlap between sections"</formula>
    </cfRule>
  </conditionalFormatting>
  <conditionalFormatting sqref="I332">
    <cfRule type="expression" dxfId="12162" priority="3101">
      <formula>$M332="NON DEFINED"</formula>
    </cfRule>
    <cfRule type="expression" dxfId="12161" priority="3102">
      <formula>$AZ332="N.D."</formula>
    </cfRule>
    <cfRule type="expression" dxfId="12160" priority="3103">
      <formula>$AY332="N.D."</formula>
    </cfRule>
  </conditionalFormatting>
  <conditionalFormatting sqref="I332">
    <cfRule type="expression" dxfId="12159" priority="3090">
      <formula>$A332="Overhead Cable"</formula>
    </cfRule>
    <cfRule type="expression" dxfId="12158" priority="3091">
      <formula>$A332="Level Crossing"</formula>
    </cfRule>
    <cfRule type="expression" dxfId="12157" priority="3092">
      <formula>$A332="Neutral Section"</formula>
    </cfRule>
    <cfRule type="expression" dxfId="12156" priority="3093">
      <formula>$A332="Tunnel"</formula>
    </cfRule>
    <cfRule type="expression" dxfId="12155" priority="3094">
      <formula>$A332="Bridge"</formula>
    </cfRule>
    <cfRule type="expression" dxfId="12154" priority="3095">
      <formula>$A332="Drainage Works"</formula>
    </cfRule>
    <cfRule type="expression" dxfId="12153" priority="3096">
      <formula>$A332="Underpass"</formula>
    </cfRule>
    <cfRule type="expression" dxfId="12152" priority="3097">
      <formula>$A332="Overcrossing"</formula>
    </cfRule>
    <cfRule type="expression" dxfId="12151" priority="3098">
      <formula>$A332="Overpass"</formula>
    </cfRule>
    <cfRule type="expression" dxfId="12150" priority="3099">
      <formula>$A332="Station"</formula>
    </cfRule>
    <cfRule type="expression" dxfId="12149" priority="3100">
      <formula>$A332="Overlap between sections"</formula>
    </cfRule>
  </conditionalFormatting>
  <conditionalFormatting sqref="J342">
    <cfRule type="expression" dxfId="12148" priority="3087">
      <formula>$M342="NON DEFINED"</formula>
    </cfRule>
    <cfRule type="expression" dxfId="12147" priority="3088">
      <formula>$AZ342="N.D."</formula>
    </cfRule>
    <cfRule type="expression" dxfId="12146" priority="3089">
      <formula>$AY342="N.D."</formula>
    </cfRule>
  </conditionalFormatting>
  <conditionalFormatting sqref="J342">
    <cfRule type="expression" dxfId="12145" priority="3076">
      <formula>$A342="Overhead Cable"</formula>
    </cfRule>
    <cfRule type="expression" dxfId="12144" priority="3077">
      <formula>$A342="Level Crossing"</formula>
    </cfRule>
    <cfRule type="expression" dxfId="12143" priority="3078">
      <formula>$A342="Neutral Section"</formula>
    </cfRule>
    <cfRule type="expression" dxfId="12142" priority="3079">
      <formula>$A342="Tunnel"</formula>
    </cfRule>
    <cfRule type="expression" dxfId="12141" priority="3080">
      <formula>$A342="Bridge"</formula>
    </cfRule>
    <cfRule type="expression" dxfId="12140" priority="3081">
      <formula>$A342="Drainage Works"</formula>
    </cfRule>
    <cfRule type="expression" dxfId="12139" priority="3082">
      <formula>$A342="Underpass"</formula>
    </cfRule>
    <cfRule type="expression" dxfId="12138" priority="3083">
      <formula>$A342="Overcrossing"</formula>
    </cfRule>
    <cfRule type="expression" dxfId="12137" priority="3084">
      <formula>$A342="Overpass"</formula>
    </cfRule>
    <cfRule type="expression" dxfId="12136" priority="3085">
      <formula>$A342="Station"</formula>
    </cfRule>
    <cfRule type="expression" dxfId="12135" priority="3086">
      <formula>$A342="Overlap between sections"</formula>
    </cfRule>
  </conditionalFormatting>
  <conditionalFormatting sqref="K342">
    <cfRule type="expression" dxfId="12134" priority="3059">
      <formula>$M342="NON DEFINED"</formula>
    </cfRule>
    <cfRule type="expression" dxfId="12133" priority="3060">
      <formula>$AZ342="N.D."</formula>
    </cfRule>
    <cfRule type="expression" dxfId="12132" priority="3061">
      <formula>$AY342="N.D."</formula>
    </cfRule>
  </conditionalFormatting>
  <conditionalFormatting sqref="K342">
    <cfRule type="expression" dxfId="12131" priority="3048">
      <formula>$A342="Overhead Cable"</formula>
    </cfRule>
    <cfRule type="expression" dxfId="12130" priority="3049">
      <formula>$A342="Level Crossing"</formula>
    </cfRule>
    <cfRule type="expression" dxfId="12129" priority="3050">
      <formula>$A342="Neutral Section"</formula>
    </cfRule>
    <cfRule type="expression" dxfId="12128" priority="3051">
      <formula>$A342="Tunnel"</formula>
    </cfRule>
    <cfRule type="expression" dxfId="12127" priority="3052">
      <formula>$A342="Bridge"</formula>
    </cfRule>
    <cfRule type="expression" dxfId="12126" priority="3053">
      <formula>$A342="Drainage Works"</formula>
    </cfRule>
    <cfRule type="expression" dxfId="12125" priority="3054">
      <formula>$A342="Underpass"</formula>
    </cfRule>
    <cfRule type="expression" dxfId="12124" priority="3055">
      <formula>$A342="Overcrossing"</formula>
    </cfRule>
    <cfRule type="expression" dxfId="12123" priority="3056">
      <formula>$A342="Overpass"</formula>
    </cfRule>
    <cfRule type="expression" dxfId="12122" priority="3057">
      <formula>$A342="Station"</formula>
    </cfRule>
    <cfRule type="expression" dxfId="12121" priority="3058">
      <formula>$A342="Overlap between sections"</formula>
    </cfRule>
  </conditionalFormatting>
  <conditionalFormatting sqref="J348:J350">
    <cfRule type="expression" dxfId="12120" priority="3045">
      <formula>$M348="NON DEFINED"</formula>
    </cfRule>
    <cfRule type="expression" dxfId="12119" priority="3046">
      <formula>$AZ348="N.D."</formula>
    </cfRule>
    <cfRule type="expression" dxfId="12118" priority="3047">
      <formula>$AY348="N.D."</formula>
    </cfRule>
  </conditionalFormatting>
  <conditionalFormatting sqref="J348:J350">
    <cfRule type="expression" dxfId="12117" priority="3034">
      <formula>$A348="Overhead Cable"</formula>
    </cfRule>
    <cfRule type="expression" dxfId="12116" priority="3035">
      <formula>$A348="Level Crossing"</formula>
    </cfRule>
    <cfRule type="expression" dxfId="12115" priority="3036">
      <formula>$A348="Neutral Section"</formula>
    </cfRule>
    <cfRule type="expression" dxfId="12114" priority="3037">
      <formula>$A348="Tunnel"</formula>
    </cfRule>
    <cfRule type="expression" dxfId="12113" priority="3038">
      <formula>$A348="Bridge"</formula>
    </cfRule>
    <cfRule type="expression" dxfId="12112" priority="3039">
      <formula>$A348="Drainage Works"</formula>
    </cfRule>
    <cfRule type="expression" dxfId="12111" priority="3040">
      <formula>$A348="Underpass"</formula>
    </cfRule>
    <cfRule type="expression" dxfId="12110" priority="3041">
      <formula>$A348="Overcrossing"</formula>
    </cfRule>
    <cfRule type="expression" dxfId="12109" priority="3042">
      <formula>$A348="Overpass"</formula>
    </cfRule>
    <cfRule type="expression" dxfId="12108" priority="3043">
      <formula>$A348="Station"</formula>
    </cfRule>
    <cfRule type="expression" dxfId="12107" priority="3044">
      <formula>$A348="Overlap between sections"</formula>
    </cfRule>
  </conditionalFormatting>
  <conditionalFormatting sqref="I348:I350">
    <cfRule type="expression" dxfId="12106" priority="3031">
      <formula>$M348="NON DEFINED"</formula>
    </cfRule>
    <cfRule type="expression" dxfId="12105" priority="3032">
      <formula>$AZ348="N.D."</formula>
    </cfRule>
    <cfRule type="expression" dxfId="12104" priority="3033">
      <formula>$AY348="N.D."</formula>
    </cfRule>
  </conditionalFormatting>
  <conditionalFormatting sqref="I348:I350">
    <cfRule type="expression" dxfId="12103" priority="3020">
      <formula>$A348="Overhead Cable"</formula>
    </cfRule>
    <cfRule type="expression" dxfId="12102" priority="3021">
      <formula>$A348="Level Crossing"</formula>
    </cfRule>
    <cfRule type="expression" dxfId="12101" priority="3022">
      <formula>$A348="Neutral Section"</formula>
    </cfRule>
    <cfRule type="expression" dxfId="12100" priority="3023">
      <formula>$A348="Tunnel"</formula>
    </cfRule>
    <cfRule type="expression" dxfId="12099" priority="3024">
      <formula>$A348="Bridge"</formula>
    </cfRule>
    <cfRule type="expression" dxfId="12098" priority="3025">
      <formula>$A348="Drainage Works"</formula>
    </cfRule>
    <cfRule type="expression" dxfId="12097" priority="3026">
      <formula>$A348="Underpass"</formula>
    </cfRule>
    <cfRule type="expression" dxfId="12096" priority="3027">
      <formula>$A348="Overcrossing"</formula>
    </cfRule>
    <cfRule type="expression" dxfId="12095" priority="3028">
      <formula>$A348="Overpass"</formula>
    </cfRule>
    <cfRule type="expression" dxfId="12094" priority="3029">
      <formula>$A348="Station"</formula>
    </cfRule>
    <cfRule type="expression" dxfId="12093" priority="3030">
      <formula>$A348="Overlap between sections"</formula>
    </cfRule>
  </conditionalFormatting>
  <conditionalFormatting sqref="K348:K350">
    <cfRule type="expression" dxfId="12092" priority="3017">
      <formula>$M348="NON DEFINED"</formula>
    </cfRule>
    <cfRule type="expression" dxfId="12091" priority="3018">
      <formula>$AZ348="N.D."</formula>
    </cfRule>
    <cfRule type="expression" dxfId="12090" priority="3019">
      <formula>$AY348="N.D."</formula>
    </cfRule>
  </conditionalFormatting>
  <conditionalFormatting sqref="K348:K350">
    <cfRule type="expression" dxfId="12089" priority="3006">
      <formula>$A348="Overhead Cable"</formula>
    </cfRule>
    <cfRule type="expression" dxfId="12088" priority="3007">
      <formula>$A348="Level Crossing"</formula>
    </cfRule>
    <cfRule type="expression" dxfId="12087" priority="3008">
      <formula>$A348="Neutral Section"</formula>
    </cfRule>
    <cfRule type="expression" dxfId="12086" priority="3009">
      <formula>$A348="Tunnel"</formula>
    </cfRule>
    <cfRule type="expression" dxfId="12085" priority="3010">
      <formula>$A348="Bridge"</formula>
    </cfRule>
    <cfRule type="expression" dxfId="12084" priority="3011">
      <formula>$A348="Drainage Works"</formula>
    </cfRule>
    <cfRule type="expression" dxfId="12083" priority="3012">
      <formula>$A348="Underpass"</formula>
    </cfRule>
    <cfRule type="expression" dxfId="12082" priority="3013">
      <formula>$A348="Overcrossing"</formula>
    </cfRule>
    <cfRule type="expression" dxfId="12081" priority="3014">
      <formula>$A348="Overpass"</formula>
    </cfRule>
    <cfRule type="expression" dxfId="12080" priority="3015">
      <formula>$A348="Station"</formula>
    </cfRule>
    <cfRule type="expression" dxfId="12079" priority="3016">
      <formula>$A348="Overlap between sections"</formula>
    </cfRule>
  </conditionalFormatting>
  <conditionalFormatting sqref="J385:J387">
    <cfRule type="expression" dxfId="12078" priority="3003">
      <formula>$M385="NON DEFINED"</formula>
    </cfRule>
    <cfRule type="expression" dxfId="12077" priority="3004">
      <formula>$AZ385="N.D."</formula>
    </cfRule>
    <cfRule type="expression" dxfId="12076" priority="3005">
      <formula>$AY385="N.D."</formula>
    </cfRule>
  </conditionalFormatting>
  <conditionalFormatting sqref="J385:J387">
    <cfRule type="expression" dxfId="12075" priority="2992">
      <formula>$A385="Overhead Cable"</formula>
    </cfRule>
    <cfRule type="expression" dxfId="12074" priority="2993">
      <formula>$A385="Level Crossing"</formula>
    </cfRule>
    <cfRule type="expression" dxfId="12073" priority="2994">
      <formula>$A385="Neutral Section"</formula>
    </cfRule>
    <cfRule type="expression" dxfId="12072" priority="2995">
      <formula>$A385="Tunnel"</formula>
    </cfRule>
    <cfRule type="expression" dxfId="12071" priority="2996">
      <formula>$A385="Bridge"</formula>
    </cfRule>
    <cfRule type="expression" dxfId="12070" priority="2997">
      <formula>$A385="Drainage Works"</formula>
    </cfRule>
    <cfRule type="expression" dxfId="12069" priority="2998">
      <formula>$A385="Underpass"</formula>
    </cfRule>
    <cfRule type="expression" dxfId="12068" priority="2999">
      <formula>$A385="Overcrossing"</formula>
    </cfRule>
    <cfRule type="expression" dxfId="12067" priority="3000">
      <formula>$A385="Overpass"</formula>
    </cfRule>
    <cfRule type="expression" dxfId="12066" priority="3001">
      <formula>$A385="Station"</formula>
    </cfRule>
    <cfRule type="expression" dxfId="12065" priority="3002">
      <formula>$A385="Overlap between sections"</formula>
    </cfRule>
  </conditionalFormatting>
  <conditionalFormatting sqref="K385:K387">
    <cfRule type="expression" dxfId="12064" priority="2989">
      <formula>$M385="NON DEFINED"</formula>
    </cfRule>
    <cfRule type="expression" dxfId="12063" priority="2990">
      <formula>$AZ385="N.D."</formula>
    </cfRule>
    <cfRule type="expression" dxfId="12062" priority="2991">
      <formula>$AY385="N.D."</formula>
    </cfRule>
  </conditionalFormatting>
  <conditionalFormatting sqref="K385:K387">
    <cfRule type="expression" dxfId="12061" priority="2978">
      <formula>$A385="Overhead Cable"</formula>
    </cfRule>
    <cfRule type="expression" dxfId="12060" priority="2979">
      <formula>$A385="Level Crossing"</formula>
    </cfRule>
    <cfRule type="expression" dxfId="12059" priority="2980">
      <formula>$A385="Neutral Section"</formula>
    </cfRule>
    <cfRule type="expression" dxfId="12058" priority="2981">
      <formula>$A385="Tunnel"</formula>
    </cfRule>
    <cfRule type="expression" dxfId="12057" priority="2982">
      <formula>$A385="Bridge"</formula>
    </cfRule>
    <cfRule type="expression" dxfId="12056" priority="2983">
      <formula>$A385="Drainage Works"</formula>
    </cfRule>
    <cfRule type="expression" dxfId="12055" priority="2984">
      <formula>$A385="Underpass"</formula>
    </cfRule>
    <cfRule type="expression" dxfId="12054" priority="2985">
      <formula>$A385="Overcrossing"</formula>
    </cfRule>
    <cfRule type="expression" dxfId="12053" priority="2986">
      <formula>$A385="Overpass"</formula>
    </cfRule>
    <cfRule type="expression" dxfId="12052" priority="2987">
      <formula>$A385="Station"</formula>
    </cfRule>
    <cfRule type="expression" dxfId="12051" priority="2988">
      <formula>$A385="Overlap between sections"</formula>
    </cfRule>
  </conditionalFormatting>
  <conditionalFormatting sqref="J384">
    <cfRule type="expression" dxfId="12050" priority="2975">
      <formula>$M384="NON DEFINED"</formula>
    </cfRule>
    <cfRule type="expression" dxfId="12049" priority="2976">
      <formula>$AZ384="N.D."</formula>
    </cfRule>
    <cfRule type="expression" dxfId="12048" priority="2977">
      <formula>$AY384="N.D."</formula>
    </cfRule>
  </conditionalFormatting>
  <conditionalFormatting sqref="J384">
    <cfRule type="expression" dxfId="12047" priority="2964">
      <formula>$A384="Overhead Cable"</formula>
    </cfRule>
    <cfRule type="expression" dxfId="12046" priority="2965">
      <formula>$A384="Level Crossing"</formula>
    </cfRule>
    <cfRule type="expression" dxfId="12045" priority="2966">
      <formula>$A384="Neutral Section"</formula>
    </cfRule>
    <cfRule type="expression" dxfId="12044" priority="2967">
      <formula>$A384="Tunnel"</formula>
    </cfRule>
    <cfRule type="expression" dxfId="12043" priority="2968">
      <formula>$A384="Bridge"</formula>
    </cfRule>
    <cfRule type="expression" dxfId="12042" priority="2969">
      <formula>$A384="Drainage Works"</formula>
    </cfRule>
    <cfRule type="expression" dxfId="12041" priority="2970">
      <formula>$A384="Underpass"</formula>
    </cfRule>
    <cfRule type="expression" dxfId="12040" priority="2971">
      <formula>$A384="Overcrossing"</formula>
    </cfRule>
    <cfRule type="expression" dxfId="12039" priority="2972">
      <formula>$A384="Overpass"</formula>
    </cfRule>
    <cfRule type="expression" dxfId="12038" priority="2973">
      <formula>$A384="Station"</formula>
    </cfRule>
    <cfRule type="expression" dxfId="12037" priority="2974">
      <formula>$A384="Overlap between sections"</formula>
    </cfRule>
  </conditionalFormatting>
  <conditionalFormatting sqref="K384">
    <cfRule type="expression" dxfId="12036" priority="2961">
      <formula>$M384="NON DEFINED"</formula>
    </cfRule>
    <cfRule type="expression" dxfId="12035" priority="2962">
      <formula>$AZ384="N.D."</formula>
    </cfRule>
    <cfRule type="expression" dxfId="12034" priority="2963">
      <formula>$AY384="N.D."</formula>
    </cfRule>
  </conditionalFormatting>
  <conditionalFormatting sqref="K384">
    <cfRule type="expression" dxfId="12033" priority="2950">
      <formula>$A384="Overhead Cable"</formula>
    </cfRule>
    <cfRule type="expression" dxfId="12032" priority="2951">
      <formula>$A384="Level Crossing"</formula>
    </cfRule>
    <cfRule type="expression" dxfId="12031" priority="2952">
      <formula>$A384="Neutral Section"</formula>
    </cfRule>
    <cfRule type="expression" dxfId="12030" priority="2953">
      <formula>$A384="Tunnel"</formula>
    </cfRule>
    <cfRule type="expression" dxfId="12029" priority="2954">
      <formula>$A384="Bridge"</formula>
    </cfRule>
    <cfRule type="expression" dxfId="12028" priority="2955">
      <formula>$A384="Drainage Works"</formula>
    </cfRule>
    <cfRule type="expression" dxfId="12027" priority="2956">
      <formula>$A384="Underpass"</formula>
    </cfRule>
    <cfRule type="expression" dxfId="12026" priority="2957">
      <formula>$A384="Overcrossing"</formula>
    </cfRule>
    <cfRule type="expression" dxfId="12025" priority="2958">
      <formula>$A384="Overpass"</formula>
    </cfRule>
    <cfRule type="expression" dxfId="12024" priority="2959">
      <formula>$A384="Station"</formula>
    </cfRule>
    <cfRule type="expression" dxfId="12023" priority="2960">
      <formula>$A384="Overlap between sections"</formula>
    </cfRule>
  </conditionalFormatting>
  <conditionalFormatting sqref="J388">
    <cfRule type="expression" dxfId="12022" priority="2947">
      <formula>$M388="NON DEFINED"</formula>
    </cfRule>
    <cfRule type="expression" dxfId="12021" priority="2948">
      <formula>$AZ388="N.D."</formula>
    </cfRule>
    <cfRule type="expression" dxfId="12020" priority="2949">
      <formula>$AY388="N.D."</formula>
    </cfRule>
  </conditionalFormatting>
  <conditionalFormatting sqref="J388">
    <cfRule type="expression" dxfId="12019" priority="2936">
      <formula>$A388="Overhead Cable"</formula>
    </cfRule>
    <cfRule type="expression" dxfId="12018" priority="2937">
      <formula>$A388="Level Crossing"</formula>
    </cfRule>
    <cfRule type="expression" dxfId="12017" priority="2938">
      <formula>$A388="Neutral Section"</formula>
    </cfRule>
    <cfRule type="expression" dxfId="12016" priority="2939">
      <formula>$A388="Tunnel"</formula>
    </cfRule>
    <cfRule type="expression" dxfId="12015" priority="2940">
      <formula>$A388="Bridge"</formula>
    </cfRule>
    <cfRule type="expression" dxfId="12014" priority="2941">
      <formula>$A388="Drainage Works"</formula>
    </cfRule>
    <cfRule type="expression" dxfId="12013" priority="2942">
      <formula>$A388="Underpass"</formula>
    </cfRule>
    <cfRule type="expression" dxfId="12012" priority="2943">
      <formula>$A388="Overcrossing"</formula>
    </cfRule>
    <cfRule type="expression" dxfId="12011" priority="2944">
      <formula>$A388="Overpass"</formula>
    </cfRule>
    <cfRule type="expression" dxfId="12010" priority="2945">
      <formula>$A388="Station"</formula>
    </cfRule>
    <cfRule type="expression" dxfId="12009" priority="2946">
      <formula>$A388="Overlap between sections"</formula>
    </cfRule>
  </conditionalFormatting>
  <conditionalFormatting sqref="K388">
    <cfRule type="expression" dxfId="12008" priority="2933">
      <formula>$M388="NON DEFINED"</formula>
    </cfRule>
    <cfRule type="expression" dxfId="12007" priority="2934">
      <formula>$AZ388="N.D."</formula>
    </cfRule>
    <cfRule type="expression" dxfId="12006" priority="2935">
      <formula>$AY388="N.D."</formula>
    </cfRule>
  </conditionalFormatting>
  <conditionalFormatting sqref="K388">
    <cfRule type="expression" dxfId="12005" priority="2922">
      <formula>$A388="Overhead Cable"</formula>
    </cfRule>
    <cfRule type="expression" dxfId="12004" priority="2923">
      <formula>$A388="Level Crossing"</formula>
    </cfRule>
    <cfRule type="expression" dxfId="12003" priority="2924">
      <formula>$A388="Neutral Section"</formula>
    </cfRule>
    <cfRule type="expression" dxfId="12002" priority="2925">
      <formula>$A388="Tunnel"</formula>
    </cfRule>
    <cfRule type="expression" dxfId="12001" priority="2926">
      <formula>$A388="Bridge"</formula>
    </cfRule>
    <cfRule type="expression" dxfId="12000" priority="2927">
      <formula>$A388="Drainage Works"</formula>
    </cfRule>
    <cfRule type="expression" dxfId="11999" priority="2928">
      <formula>$A388="Underpass"</formula>
    </cfRule>
    <cfRule type="expression" dxfId="11998" priority="2929">
      <formula>$A388="Overcrossing"</formula>
    </cfRule>
    <cfRule type="expression" dxfId="11997" priority="2930">
      <formula>$A388="Overpass"</formula>
    </cfRule>
    <cfRule type="expression" dxfId="11996" priority="2931">
      <formula>$A388="Station"</formula>
    </cfRule>
    <cfRule type="expression" dxfId="11995" priority="2932">
      <formula>$A388="Overlap between sections"</formula>
    </cfRule>
  </conditionalFormatting>
  <conditionalFormatting sqref="AK136">
    <cfRule type="expression" dxfId="11994" priority="2919">
      <formula>$M136="NON DEFINED"</formula>
    </cfRule>
    <cfRule type="expression" dxfId="11993" priority="2920">
      <formula>$AZ136="N.D."</formula>
    </cfRule>
    <cfRule type="expression" dxfId="11992" priority="2921">
      <formula>$AY136="N.D."</formula>
    </cfRule>
  </conditionalFormatting>
  <conditionalFormatting sqref="AK136">
    <cfRule type="expression" dxfId="11991" priority="2908">
      <formula>$A136="Overhead Cable"</formula>
    </cfRule>
    <cfRule type="expression" dxfId="11990" priority="2909">
      <formula>$A136="Level Crossing"</formula>
    </cfRule>
    <cfRule type="expression" dxfId="11989" priority="2910">
      <formula>$A136="Neutral Section"</formula>
    </cfRule>
    <cfRule type="expression" dxfId="11988" priority="2911">
      <formula>$A136="Tunnel"</formula>
    </cfRule>
    <cfRule type="expression" dxfId="11987" priority="2912">
      <formula>$A136="Bridge"</formula>
    </cfRule>
    <cfRule type="expression" dxfId="11986" priority="2913">
      <formula>$A136="Drainage Works"</formula>
    </cfRule>
    <cfRule type="expression" dxfId="11985" priority="2914">
      <formula>$A136="Underpass"</formula>
    </cfRule>
    <cfRule type="expression" dxfId="11984" priority="2915">
      <formula>$A136="Overcrossing"</formula>
    </cfRule>
    <cfRule type="expression" dxfId="11983" priority="2916">
      <formula>$A136="Overpass"</formula>
    </cfRule>
    <cfRule type="expression" dxfId="11982" priority="2917">
      <formula>$A136="Station"</formula>
    </cfRule>
    <cfRule type="expression" dxfId="11981" priority="2918">
      <formula>$A136="Overlap between sections"</formula>
    </cfRule>
  </conditionalFormatting>
  <conditionalFormatting sqref="AL136">
    <cfRule type="expression" dxfId="11980" priority="2905">
      <formula>$M136="NON DEFINED"</formula>
    </cfRule>
    <cfRule type="expression" dxfId="11979" priority="2906">
      <formula>$AZ136="N.D."</formula>
    </cfRule>
    <cfRule type="expression" dxfId="11978" priority="2907">
      <formula>$AY136="N.D."</formula>
    </cfRule>
  </conditionalFormatting>
  <conditionalFormatting sqref="AL136">
    <cfRule type="expression" dxfId="11977" priority="2894">
      <formula>$A136="Overhead Cable"</formula>
    </cfRule>
    <cfRule type="expression" dxfId="11976" priority="2895">
      <formula>$A136="Level Crossing"</formula>
    </cfRule>
    <cfRule type="expression" dxfId="11975" priority="2896">
      <formula>$A136="Neutral Section"</formula>
    </cfRule>
    <cfRule type="expression" dxfId="11974" priority="2897">
      <formula>$A136="Tunnel"</formula>
    </cfRule>
    <cfRule type="expression" dxfId="11973" priority="2898">
      <formula>$A136="Bridge"</formula>
    </cfRule>
    <cfRule type="expression" dxfId="11972" priority="2899">
      <formula>$A136="Drainage Works"</formula>
    </cfRule>
    <cfRule type="expression" dxfId="11971" priority="2900">
      <formula>$A136="Underpass"</formula>
    </cfRule>
    <cfRule type="expression" dxfId="11970" priority="2901">
      <formula>$A136="Overcrossing"</formula>
    </cfRule>
    <cfRule type="expression" dxfId="11969" priority="2902">
      <formula>$A136="Overpass"</formula>
    </cfRule>
    <cfRule type="expression" dxfId="11968" priority="2903">
      <formula>$A136="Station"</formula>
    </cfRule>
    <cfRule type="expression" dxfId="11967" priority="2904">
      <formula>$A136="Overlap between sections"</formula>
    </cfRule>
  </conditionalFormatting>
  <conditionalFormatting sqref="AK138">
    <cfRule type="expression" dxfId="11966" priority="2891">
      <formula>$M138="NON DEFINED"</formula>
    </cfRule>
    <cfRule type="expression" dxfId="11965" priority="2892">
      <formula>$AZ138="N.D."</formula>
    </cfRule>
    <cfRule type="expression" dxfId="11964" priority="2893">
      <formula>$AY138="N.D."</formula>
    </cfRule>
  </conditionalFormatting>
  <conditionalFormatting sqref="AK138">
    <cfRule type="expression" dxfId="11963" priority="2880">
      <formula>$A138="Overhead Cable"</formula>
    </cfRule>
    <cfRule type="expression" dxfId="11962" priority="2881">
      <formula>$A138="Level Crossing"</formula>
    </cfRule>
    <cfRule type="expression" dxfId="11961" priority="2882">
      <formula>$A138="Neutral Section"</formula>
    </cfRule>
    <cfRule type="expression" dxfId="11960" priority="2883">
      <formula>$A138="Tunnel"</formula>
    </cfRule>
    <cfRule type="expression" dxfId="11959" priority="2884">
      <formula>$A138="Bridge"</formula>
    </cfRule>
    <cfRule type="expression" dxfId="11958" priority="2885">
      <formula>$A138="Drainage Works"</formula>
    </cfRule>
    <cfRule type="expression" dxfId="11957" priority="2886">
      <formula>$A138="Underpass"</formula>
    </cfRule>
    <cfRule type="expression" dxfId="11956" priority="2887">
      <formula>$A138="Overcrossing"</formula>
    </cfRule>
    <cfRule type="expression" dxfId="11955" priority="2888">
      <formula>$A138="Overpass"</formula>
    </cfRule>
    <cfRule type="expression" dxfId="11954" priority="2889">
      <formula>$A138="Station"</formula>
    </cfRule>
    <cfRule type="expression" dxfId="11953" priority="2890">
      <formula>$A138="Overlap between sections"</formula>
    </cfRule>
  </conditionalFormatting>
  <conditionalFormatting sqref="AL138">
    <cfRule type="expression" dxfId="11952" priority="2877">
      <formula>$M138="NON DEFINED"</formula>
    </cfRule>
    <cfRule type="expression" dxfId="11951" priority="2878">
      <formula>$AZ138="N.D."</formula>
    </cfRule>
    <cfRule type="expression" dxfId="11950" priority="2879">
      <formula>$AY138="N.D."</formula>
    </cfRule>
  </conditionalFormatting>
  <conditionalFormatting sqref="AL138">
    <cfRule type="expression" dxfId="11949" priority="2866">
      <formula>$A138="Overhead Cable"</formula>
    </cfRule>
    <cfRule type="expression" dxfId="11948" priority="2867">
      <formula>$A138="Level Crossing"</formula>
    </cfRule>
    <cfRule type="expression" dxfId="11947" priority="2868">
      <formula>$A138="Neutral Section"</formula>
    </cfRule>
    <cfRule type="expression" dxfId="11946" priority="2869">
      <formula>$A138="Tunnel"</formula>
    </cfRule>
    <cfRule type="expression" dxfId="11945" priority="2870">
      <formula>$A138="Bridge"</formula>
    </cfRule>
    <cfRule type="expression" dxfId="11944" priority="2871">
      <formula>$A138="Drainage Works"</formula>
    </cfRule>
    <cfRule type="expression" dxfId="11943" priority="2872">
      <formula>$A138="Underpass"</formula>
    </cfRule>
    <cfRule type="expression" dxfId="11942" priority="2873">
      <formula>$A138="Overcrossing"</formula>
    </cfRule>
    <cfRule type="expression" dxfId="11941" priority="2874">
      <formula>$A138="Overpass"</formula>
    </cfRule>
    <cfRule type="expression" dxfId="11940" priority="2875">
      <formula>$A138="Station"</formula>
    </cfRule>
    <cfRule type="expression" dxfId="11939" priority="2876">
      <formula>$A138="Overlap between sections"</formula>
    </cfRule>
  </conditionalFormatting>
  <conditionalFormatting sqref="AK140">
    <cfRule type="expression" dxfId="11938" priority="2863">
      <formula>$M140="NON DEFINED"</formula>
    </cfRule>
    <cfRule type="expression" dxfId="11937" priority="2864">
      <formula>$AZ140="N.D."</formula>
    </cfRule>
    <cfRule type="expression" dxfId="11936" priority="2865">
      <formula>$AY140="N.D."</formula>
    </cfRule>
  </conditionalFormatting>
  <conditionalFormatting sqref="AK140">
    <cfRule type="expression" dxfId="11935" priority="2852">
      <formula>$A140="Overhead Cable"</formula>
    </cfRule>
    <cfRule type="expression" dxfId="11934" priority="2853">
      <formula>$A140="Level Crossing"</formula>
    </cfRule>
    <cfRule type="expression" dxfId="11933" priority="2854">
      <formula>$A140="Neutral Section"</formula>
    </cfRule>
    <cfRule type="expression" dxfId="11932" priority="2855">
      <formula>$A140="Tunnel"</formula>
    </cfRule>
    <cfRule type="expression" dxfId="11931" priority="2856">
      <formula>$A140="Bridge"</formula>
    </cfRule>
    <cfRule type="expression" dxfId="11930" priority="2857">
      <formula>$A140="Drainage Works"</formula>
    </cfRule>
    <cfRule type="expression" dxfId="11929" priority="2858">
      <formula>$A140="Underpass"</formula>
    </cfRule>
    <cfRule type="expression" dxfId="11928" priority="2859">
      <formula>$A140="Overcrossing"</formula>
    </cfRule>
    <cfRule type="expression" dxfId="11927" priority="2860">
      <formula>$A140="Overpass"</formula>
    </cfRule>
    <cfRule type="expression" dxfId="11926" priority="2861">
      <formula>$A140="Station"</formula>
    </cfRule>
    <cfRule type="expression" dxfId="11925" priority="2862">
      <formula>$A140="Overlap between sections"</formula>
    </cfRule>
  </conditionalFormatting>
  <conditionalFormatting sqref="AL140">
    <cfRule type="expression" dxfId="11924" priority="2849">
      <formula>$M140="NON DEFINED"</formula>
    </cfRule>
    <cfRule type="expression" dxfId="11923" priority="2850">
      <formula>$AZ140="N.D."</formula>
    </cfRule>
    <cfRule type="expression" dxfId="11922" priority="2851">
      <formula>$AY140="N.D."</formula>
    </cfRule>
  </conditionalFormatting>
  <conditionalFormatting sqref="AL140">
    <cfRule type="expression" dxfId="11921" priority="2838">
      <formula>$A140="Overhead Cable"</formula>
    </cfRule>
    <cfRule type="expression" dxfId="11920" priority="2839">
      <formula>$A140="Level Crossing"</formula>
    </cfRule>
    <cfRule type="expression" dxfId="11919" priority="2840">
      <formula>$A140="Neutral Section"</formula>
    </cfRule>
    <cfRule type="expression" dxfId="11918" priority="2841">
      <formula>$A140="Tunnel"</formula>
    </cfRule>
    <cfRule type="expression" dxfId="11917" priority="2842">
      <formula>$A140="Bridge"</formula>
    </cfRule>
    <cfRule type="expression" dxfId="11916" priority="2843">
      <formula>$A140="Drainage Works"</formula>
    </cfRule>
    <cfRule type="expression" dxfId="11915" priority="2844">
      <formula>$A140="Underpass"</formula>
    </cfRule>
    <cfRule type="expression" dxfId="11914" priority="2845">
      <formula>$A140="Overcrossing"</formula>
    </cfRule>
    <cfRule type="expression" dxfId="11913" priority="2846">
      <formula>$A140="Overpass"</formula>
    </cfRule>
    <cfRule type="expression" dxfId="11912" priority="2847">
      <formula>$A140="Station"</formula>
    </cfRule>
    <cfRule type="expression" dxfId="11911" priority="2848">
      <formula>$A140="Overlap between sections"</formula>
    </cfRule>
  </conditionalFormatting>
  <conditionalFormatting sqref="BC6:BC406">
    <cfRule type="expression" dxfId="11910" priority="2837">
      <formula>$M6="U.S. N.D."</formula>
    </cfRule>
  </conditionalFormatting>
  <conditionalFormatting sqref="BB6:BB406">
    <cfRule type="expression" dxfId="11909" priority="2833">
      <formula>$AZ6="N.D."</formula>
    </cfRule>
  </conditionalFormatting>
  <conditionalFormatting sqref="BA6:BA406">
    <cfRule type="expression" dxfId="11908" priority="2834">
      <formula>$AY6="N.D."</formula>
    </cfRule>
  </conditionalFormatting>
  <conditionalFormatting sqref="AZ44">
    <cfRule type="expression" dxfId="11907" priority="2830">
      <formula>$M44="NON DEFINED"</formula>
    </cfRule>
    <cfRule type="expression" dxfId="11906" priority="2831">
      <formula>$AZ44="N.D."</formula>
    </cfRule>
    <cfRule type="expression" dxfId="11905" priority="2832">
      <formula>$AY44="N.D."</formula>
    </cfRule>
  </conditionalFormatting>
  <conditionalFormatting sqref="AY44">
    <cfRule type="expression" dxfId="11904" priority="2827">
      <formula>$M44="NON DEFINED"</formula>
    </cfRule>
    <cfRule type="expression" dxfId="11903" priority="2828">
      <formula>$AZ44="N.D."</formula>
    </cfRule>
    <cfRule type="expression" dxfId="11902" priority="2829">
      <formula>$AY44="N.D."</formula>
    </cfRule>
  </conditionalFormatting>
  <conditionalFormatting sqref="AY44:AZ44">
    <cfRule type="expression" dxfId="11901" priority="2816">
      <formula>$A44="Overhead Cable"</formula>
    </cfRule>
    <cfRule type="expression" dxfId="11900" priority="2817">
      <formula>$A44="Level Crossing"</formula>
    </cfRule>
    <cfRule type="expression" dxfId="11899" priority="2818">
      <formula>$A44="Neutral Section"</formula>
    </cfRule>
    <cfRule type="expression" dxfId="11898" priority="2819">
      <formula>$A44="Tunnel"</formula>
    </cfRule>
    <cfRule type="expression" dxfId="11897" priority="2820">
      <formula>$A44="Bridge"</formula>
    </cfRule>
    <cfRule type="expression" dxfId="11896" priority="2821">
      <formula>$A44="Drainage Works"</formula>
    </cfRule>
    <cfRule type="expression" dxfId="11895" priority="2822">
      <formula>$A44="Underpass"</formula>
    </cfRule>
    <cfRule type="expression" dxfId="11894" priority="2823">
      <formula>$A44="Overcrossing"</formula>
    </cfRule>
    <cfRule type="expression" dxfId="11893" priority="2824">
      <formula>$A44="Overpass"</formula>
    </cfRule>
    <cfRule type="expression" dxfId="11892" priority="2825">
      <formula>$A44="Station"</formula>
    </cfRule>
    <cfRule type="expression" dxfId="11891" priority="2826">
      <formula>$A44="Overlap between sections"</formula>
    </cfRule>
  </conditionalFormatting>
  <conditionalFormatting sqref="AW44">
    <cfRule type="expression" dxfId="11890" priority="2813">
      <formula>$M44="NON DEFINED"</formula>
    </cfRule>
    <cfRule type="expression" dxfId="11889" priority="2814">
      <formula>$AZ44="N.D."</formula>
    </cfRule>
    <cfRule type="expression" dxfId="11888" priority="2815">
      <formula>$AY44="N.D."</formula>
    </cfRule>
  </conditionalFormatting>
  <conditionalFormatting sqref="AW44">
    <cfRule type="expression" dxfId="11887" priority="2802">
      <formula>$A44="Overhead Cable"</formula>
    </cfRule>
    <cfRule type="expression" dxfId="11886" priority="2803">
      <formula>$A44="Level Crossing"</formula>
    </cfRule>
    <cfRule type="expression" dxfId="11885" priority="2804">
      <formula>$A44="Neutral Section"</formula>
    </cfRule>
    <cfRule type="expression" dxfId="11884" priority="2805">
      <formula>$A44="Tunnel"</formula>
    </cfRule>
    <cfRule type="expression" dxfId="11883" priority="2806">
      <formula>$A44="Bridge"</formula>
    </cfRule>
    <cfRule type="expression" dxfId="11882" priority="2807">
      <formula>$A44="Drainage Works"</formula>
    </cfRule>
    <cfRule type="expression" dxfId="11881" priority="2808">
      <formula>$A44="Underpass"</formula>
    </cfRule>
    <cfRule type="expression" dxfId="11880" priority="2809">
      <formula>$A44="Overcrossing"</formula>
    </cfRule>
    <cfRule type="expression" dxfId="11879" priority="2810">
      <formula>$A44="Overpass"</formula>
    </cfRule>
    <cfRule type="expression" dxfId="11878" priority="2811">
      <formula>$A44="Station"</formula>
    </cfRule>
    <cfRule type="expression" dxfId="11877" priority="2812">
      <formula>$A44="Overlap between sections"</formula>
    </cfRule>
  </conditionalFormatting>
  <conditionalFormatting sqref="AX44">
    <cfRule type="expression" dxfId="11876" priority="2799">
      <formula>$M44="NON DEFINED"</formula>
    </cfRule>
    <cfRule type="expression" dxfId="11875" priority="2800">
      <formula>$AZ44="N.D."</formula>
    </cfRule>
    <cfRule type="expression" dxfId="11874" priority="2801">
      <formula>$AY44="N.D."</formula>
    </cfRule>
  </conditionalFormatting>
  <conditionalFormatting sqref="AX44">
    <cfRule type="expression" dxfId="11873" priority="2788">
      <formula>$A44="Overhead Cable"</formula>
    </cfRule>
    <cfRule type="expression" dxfId="11872" priority="2789">
      <formula>$A44="Level Crossing"</formula>
    </cfRule>
    <cfRule type="expression" dxfId="11871" priority="2790">
      <formula>$A44="Neutral Section"</formula>
    </cfRule>
    <cfRule type="expression" dxfId="11870" priority="2791">
      <formula>$A44="Tunnel"</formula>
    </cfRule>
    <cfRule type="expression" dxfId="11869" priority="2792">
      <formula>$A44="Bridge"</formula>
    </cfRule>
    <cfRule type="expression" dxfId="11868" priority="2793">
      <formula>$A44="Drainage Works"</formula>
    </cfRule>
    <cfRule type="expression" dxfId="11867" priority="2794">
      <formula>$A44="Underpass"</formula>
    </cfRule>
    <cfRule type="expression" dxfId="11866" priority="2795">
      <formula>$A44="Overcrossing"</formula>
    </cfRule>
    <cfRule type="expression" dxfId="11865" priority="2796">
      <formula>$A44="Overpass"</formula>
    </cfRule>
    <cfRule type="expression" dxfId="11864" priority="2797">
      <formula>$A44="Station"</formula>
    </cfRule>
    <cfRule type="expression" dxfId="11863" priority="2798">
      <formula>$A44="Overlap between sections"</formula>
    </cfRule>
  </conditionalFormatting>
  <conditionalFormatting sqref="AW262">
    <cfRule type="expression" dxfId="11862" priority="2785">
      <formula>$M262="NON DEFINED"</formula>
    </cfRule>
    <cfRule type="expression" dxfId="11861" priority="2786">
      <formula>$AZ262="N.D."</formula>
    </cfRule>
    <cfRule type="expression" dxfId="11860" priority="2787">
      <formula>$AY262="N.D."</formula>
    </cfRule>
  </conditionalFormatting>
  <conditionalFormatting sqref="AW262">
    <cfRule type="expression" dxfId="11859" priority="2774">
      <formula>$A262="Overhead Cable"</formula>
    </cfRule>
    <cfRule type="expression" dxfId="11858" priority="2775">
      <formula>$A262="Level Crossing"</formula>
    </cfRule>
    <cfRule type="expression" dxfId="11857" priority="2776">
      <formula>$A262="Neutral Section"</formula>
    </cfRule>
    <cfRule type="expression" dxfId="11856" priority="2777">
      <formula>$A262="Tunnel"</formula>
    </cfRule>
    <cfRule type="expression" dxfId="11855" priority="2778">
      <formula>$A262="Bridge"</formula>
    </cfRule>
    <cfRule type="expression" dxfId="11854" priority="2779">
      <formula>$A262="Drainage Works"</formula>
    </cfRule>
    <cfRule type="expression" dxfId="11853" priority="2780">
      <formula>$A262="Underpass"</formula>
    </cfRule>
    <cfRule type="expression" dxfId="11852" priority="2781">
      <formula>$A262="Overcrossing"</formula>
    </cfRule>
    <cfRule type="expression" dxfId="11851" priority="2782">
      <formula>$A262="Overpass"</formula>
    </cfRule>
    <cfRule type="expression" dxfId="11850" priority="2783">
      <formula>$A262="Station"</formula>
    </cfRule>
    <cfRule type="expression" dxfId="11849" priority="2784">
      <formula>$A262="Overlap between sections"</formula>
    </cfRule>
  </conditionalFormatting>
  <conditionalFormatting sqref="AX262">
    <cfRule type="expression" dxfId="11848" priority="2771">
      <formula>$M262="NON DEFINED"</formula>
    </cfRule>
    <cfRule type="expression" dxfId="11847" priority="2772">
      <formula>$AZ262="N.D."</formula>
    </cfRule>
    <cfRule type="expression" dxfId="11846" priority="2773">
      <formula>$AY262="N.D."</formula>
    </cfRule>
  </conditionalFormatting>
  <conditionalFormatting sqref="AX262">
    <cfRule type="expression" dxfId="11845" priority="2760">
      <formula>$A262="Overhead Cable"</formula>
    </cfRule>
    <cfRule type="expression" dxfId="11844" priority="2761">
      <formula>$A262="Level Crossing"</formula>
    </cfRule>
    <cfRule type="expression" dxfId="11843" priority="2762">
      <formula>$A262="Neutral Section"</formula>
    </cfRule>
    <cfRule type="expression" dxfId="11842" priority="2763">
      <formula>$A262="Tunnel"</formula>
    </cfRule>
    <cfRule type="expression" dxfId="11841" priority="2764">
      <formula>$A262="Bridge"</formula>
    </cfRule>
    <cfRule type="expression" dxfId="11840" priority="2765">
      <formula>$A262="Drainage Works"</formula>
    </cfRule>
    <cfRule type="expression" dxfId="11839" priority="2766">
      <formula>$A262="Underpass"</formula>
    </cfRule>
    <cfRule type="expression" dxfId="11838" priority="2767">
      <formula>$A262="Overcrossing"</formula>
    </cfRule>
    <cfRule type="expression" dxfId="11837" priority="2768">
      <formula>$A262="Overpass"</formula>
    </cfRule>
    <cfRule type="expression" dxfId="11836" priority="2769">
      <formula>$A262="Station"</formula>
    </cfRule>
    <cfRule type="expression" dxfId="11835" priority="2770">
      <formula>$A262="Overlap between sections"</formula>
    </cfRule>
  </conditionalFormatting>
  <conditionalFormatting sqref="AW264">
    <cfRule type="expression" dxfId="11834" priority="2757">
      <formula>$M264="NON DEFINED"</formula>
    </cfRule>
    <cfRule type="expression" dxfId="11833" priority="2758">
      <formula>$AZ264="N.D."</formula>
    </cfRule>
    <cfRule type="expression" dxfId="11832" priority="2759">
      <formula>$AY264="N.D."</formula>
    </cfRule>
  </conditionalFormatting>
  <conditionalFormatting sqref="AW264">
    <cfRule type="expression" dxfId="11831" priority="2746">
      <formula>$A264="Overhead Cable"</formula>
    </cfRule>
    <cfRule type="expression" dxfId="11830" priority="2747">
      <formula>$A264="Level Crossing"</formula>
    </cfRule>
    <cfRule type="expression" dxfId="11829" priority="2748">
      <formula>$A264="Neutral Section"</formula>
    </cfRule>
    <cfRule type="expression" dxfId="11828" priority="2749">
      <formula>$A264="Tunnel"</formula>
    </cfRule>
    <cfRule type="expression" dxfId="11827" priority="2750">
      <formula>$A264="Bridge"</formula>
    </cfRule>
    <cfRule type="expression" dxfId="11826" priority="2751">
      <formula>$A264="Drainage Works"</formula>
    </cfRule>
    <cfRule type="expression" dxfId="11825" priority="2752">
      <formula>$A264="Underpass"</formula>
    </cfRule>
    <cfRule type="expression" dxfId="11824" priority="2753">
      <formula>$A264="Overcrossing"</formula>
    </cfRule>
    <cfRule type="expression" dxfId="11823" priority="2754">
      <formula>$A264="Overpass"</formula>
    </cfRule>
    <cfRule type="expression" dxfId="11822" priority="2755">
      <formula>$A264="Station"</formula>
    </cfRule>
    <cfRule type="expression" dxfId="11821" priority="2756">
      <formula>$A264="Overlap between sections"</formula>
    </cfRule>
  </conditionalFormatting>
  <conditionalFormatting sqref="AX264">
    <cfRule type="expression" dxfId="11820" priority="2743">
      <formula>$M264="NON DEFINED"</formula>
    </cfRule>
    <cfRule type="expression" dxfId="11819" priority="2744">
      <formula>$AZ264="N.D."</formula>
    </cfRule>
    <cfRule type="expression" dxfId="11818" priority="2745">
      <formula>$AY264="N.D."</formula>
    </cfRule>
  </conditionalFormatting>
  <conditionalFormatting sqref="AX264">
    <cfRule type="expression" dxfId="11817" priority="2732">
      <formula>$A264="Overhead Cable"</formula>
    </cfRule>
    <cfRule type="expression" dxfId="11816" priority="2733">
      <formula>$A264="Level Crossing"</formula>
    </cfRule>
    <cfRule type="expression" dxfId="11815" priority="2734">
      <formula>$A264="Neutral Section"</formula>
    </cfRule>
    <cfRule type="expression" dxfId="11814" priority="2735">
      <formula>$A264="Tunnel"</formula>
    </cfRule>
    <cfRule type="expression" dxfId="11813" priority="2736">
      <formula>$A264="Bridge"</formula>
    </cfRule>
    <cfRule type="expression" dxfId="11812" priority="2737">
      <formula>$A264="Drainage Works"</formula>
    </cfRule>
    <cfRule type="expression" dxfId="11811" priority="2738">
      <formula>$A264="Underpass"</formula>
    </cfRule>
    <cfRule type="expression" dxfId="11810" priority="2739">
      <formula>$A264="Overcrossing"</formula>
    </cfRule>
    <cfRule type="expression" dxfId="11809" priority="2740">
      <formula>$A264="Overpass"</formula>
    </cfRule>
    <cfRule type="expression" dxfId="11808" priority="2741">
      <formula>$A264="Station"</formula>
    </cfRule>
    <cfRule type="expression" dxfId="11807" priority="2742">
      <formula>$A264="Overlap between sections"</formula>
    </cfRule>
  </conditionalFormatting>
  <conditionalFormatting sqref="AW266">
    <cfRule type="expression" dxfId="11806" priority="2729">
      <formula>$M266="NON DEFINED"</formula>
    </cfRule>
    <cfRule type="expression" dxfId="11805" priority="2730">
      <formula>$AZ266="N.D."</formula>
    </cfRule>
    <cfRule type="expression" dxfId="11804" priority="2731">
      <formula>$AY266="N.D."</formula>
    </cfRule>
  </conditionalFormatting>
  <conditionalFormatting sqref="AW266">
    <cfRule type="expression" dxfId="11803" priority="2718">
      <formula>$A266="Overhead Cable"</formula>
    </cfRule>
    <cfRule type="expression" dxfId="11802" priority="2719">
      <formula>$A266="Level Crossing"</formula>
    </cfRule>
    <cfRule type="expression" dxfId="11801" priority="2720">
      <formula>$A266="Neutral Section"</formula>
    </cfRule>
    <cfRule type="expression" dxfId="11800" priority="2721">
      <formula>$A266="Tunnel"</formula>
    </cfRule>
    <cfRule type="expression" dxfId="11799" priority="2722">
      <formula>$A266="Bridge"</formula>
    </cfRule>
    <cfRule type="expression" dxfId="11798" priority="2723">
      <formula>$A266="Drainage Works"</formula>
    </cfRule>
    <cfRule type="expression" dxfId="11797" priority="2724">
      <formula>$A266="Underpass"</formula>
    </cfRule>
    <cfRule type="expression" dxfId="11796" priority="2725">
      <formula>$A266="Overcrossing"</formula>
    </cfRule>
    <cfRule type="expression" dxfId="11795" priority="2726">
      <formula>$A266="Overpass"</formula>
    </cfRule>
    <cfRule type="expression" dxfId="11794" priority="2727">
      <formula>$A266="Station"</formula>
    </cfRule>
    <cfRule type="expression" dxfId="11793" priority="2728">
      <formula>$A266="Overlap between sections"</formula>
    </cfRule>
  </conditionalFormatting>
  <conditionalFormatting sqref="AX266">
    <cfRule type="expression" dxfId="11792" priority="2715">
      <formula>$M266="NON DEFINED"</formula>
    </cfRule>
    <cfRule type="expression" dxfId="11791" priority="2716">
      <formula>$AZ266="N.D."</formula>
    </cfRule>
    <cfRule type="expression" dxfId="11790" priority="2717">
      <formula>$AY266="N.D."</formula>
    </cfRule>
  </conditionalFormatting>
  <conditionalFormatting sqref="AX266">
    <cfRule type="expression" dxfId="11789" priority="2704">
      <formula>$A266="Overhead Cable"</formula>
    </cfRule>
    <cfRule type="expression" dxfId="11788" priority="2705">
      <formula>$A266="Level Crossing"</formula>
    </cfRule>
    <cfRule type="expression" dxfId="11787" priority="2706">
      <formula>$A266="Neutral Section"</formula>
    </cfRule>
    <cfRule type="expression" dxfId="11786" priority="2707">
      <formula>$A266="Tunnel"</formula>
    </cfRule>
    <cfRule type="expression" dxfId="11785" priority="2708">
      <formula>$A266="Bridge"</formula>
    </cfRule>
    <cfRule type="expression" dxfId="11784" priority="2709">
      <formula>$A266="Drainage Works"</formula>
    </cfRule>
    <cfRule type="expression" dxfId="11783" priority="2710">
      <formula>$A266="Underpass"</formula>
    </cfRule>
    <cfRule type="expression" dxfId="11782" priority="2711">
      <formula>$A266="Overcrossing"</formula>
    </cfRule>
    <cfRule type="expression" dxfId="11781" priority="2712">
      <formula>$A266="Overpass"</formula>
    </cfRule>
    <cfRule type="expression" dxfId="11780" priority="2713">
      <formula>$A266="Station"</formula>
    </cfRule>
    <cfRule type="expression" dxfId="11779" priority="2714">
      <formula>$A266="Overlap between sections"</formula>
    </cfRule>
  </conditionalFormatting>
  <conditionalFormatting sqref="AW268">
    <cfRule type="expression" dxfId="11778" priority="2701">
      <formula>$M268="NON DEFINED"</formula>
    </cfRule>
    <cfRule type="expression" dxfId="11777" priority="2702">
      <formula>$AZ268="N.D."</formula>
    </cfRule>
    <cfRule type="expression" dxfId="11776" priority="2703">
      <formula>$AY268="N.D."</formula>
    </cfRule>
  </conditionalFormatting>
  <conditionalFormatting sqref="AW268">
    <cfRule type="expression" dxfId="11775" priority="2690">
      <formula>$A268="Overhead Cable"</formula>
    </cfRule>
    <cfRule type="expression" dxfId="11774" priority="2691">
      <formula>$A268="Level Crossing"</formula>
    </cfRule>
    <cfRule type="expression" dxfId="11773" priority="2692">
      <formula>$A268="Neutral Section"</formula>
    </cfRule>
    <cfRule type="expression" dxfId="11772" priority="2693">
      <formula>$A268="Tunnel"</formula>
    </cfRule>
    <cfRule type="expression" dxfId="11771" priority="2694">
      <formula>$A268="Bridge"</formula>
    </cfRule>
    <cfRule type="expression" dxfId="11770" priority="2695">
      <formula>$A268="Drainage Works"</formula>
    </cfRule>
    <cfRule type="expression" dxfId="11769" priority="2696">
      <formula>$A268="Underpass"</formula>
    </cfRule>
    <cfRule type="expression" dxfId="11768" priority="2697">
      <formula>$A268="Overcrossing"</formula>
    </cfRule>
    <cfRule type="expression" dxfId="11767" priority="2698">
      <formula>$A268="Overpass"</formula>
    </cfRule>
    <cfRule type="expression" dxfId="11766" priority="2699">
      <formula>$A268="Station"</formula>
    </cfRule>
    <cfRule type="expression" dxfId="11765" priority="2700">
      <formula>$A268="Overlap between sections"</formula>
    </cfRule>
  </conditionalFormatting>
  <conditionalFormatting sqref="AX268">
    <cfRule type="expression" dxfId="11764" priority="2687">
      <formula>$M268="NON DEFINED"</formula>
    </cfRule>
    <cfRule type="expression" dxfId="11763" priority="2688">
      <formula>$AZ268="N.D."</formula>
    </cfRule>
    <cfRule type="expression" dxfId="11762" priority="2689">
      <formula>$AY268="N.D."</formula>
    </cfRule>
  </conditionalFormatting>
  <conditionalFormatting sqref="AX268">
    <cfRule type="expression" dxfId="11761" priority="2676">
      <formula>$A268="Overhead Cable"</formula>
    </cfRule>
    <cfRule type="expression" dxfId="11760" priority="2677">
      <formula>$A268="Level Crossing"</formula>
    </cfRule>
    <cfRule type="expression" dxfId="11759" priority="2678">
      <formula>$A268="Neutral Section"</formula>
    </cfRule>
    <cfRule type="expression" dxfId="11758" priority="2679">
      <formula>$A268="Tunnel"</formula>
    </cfRule>
    <cfRule type="expression" dxfId="11757" priority="2680">
      <formula>$A268="Bridge"</formula>
    </cfRule>
    <cfRule type="expression" dxfId="11756" priority="2681">
      <formula>$A268="Drainage Works"</formula>
    </cfRule>
    <cfRule type="expression" dxfId="11755" priority="2682">
      <formula>$A268="Underpass"</formula>
    </cfRule>
    <cfRule type="expression" dxfId="11754" priority="2683">
      <formula>$A268="Overcrossing"</formula>
    </cfRule>
    <cfRule type="expression" dxfId="11753" priority="2684">
      <formula>$A268="Overpass"</formula>
    </cfRule>
    <cfRule type="expression" dxfId="11752" priority="2685">
      <formula>$A268="Station"</formula>
    </cfRule>
    <cfRule type="expression" dxfId="11751" priority="2686">
      <formula>$A268="Overlap between sections"</formula>
    </cfRule>
  </conditionalFormatting>
  <conditionalFormatting sqref="AW270">
    <cfRule type="expression" dxfId="11750" priority="2673">
      <formula>$M270="NON DEFINED"</formula>
    </cfRule>
    <cfRule type="expression" dxfId="11749" priority="2674">
      <formula>$AZ270="N.D."</formula>
    </cfRule>
    <cfRule type="expression" dxfId="11748" priority="2675">
      <formula>$AY270="N.D."</formula>
    </cfRule>
  </conditionalFormatting>
  <conditionalFormatting sqref="AW270">
    <cfRule type="expression" dxfId="11747" priority="2662">
      <formula>$A270="Overhead Cable"</formula>
    </cfRule>
    <cfRule type="expression" dxfId="11746" priority="2663">
      <formula>$A270="Level Crossing"</formula>
    </cfRule>
    <cfRule type="expression" dxfId="11745" priority="2664">
      <formula>$A270="Neutral Section"</formula>
    </cfRule>
    <cfRule type="expression" dxfId="11744" priority="2665">
      <formula>$A270="Tunnel"</formula>
    </cfRule>
    <cfRule type="expression" dxfId="11743" priority="2666">
      <formula>$A270="Bridge"</formula>
    </cfRule>
    <cfRule type="expression" dxfId="11742" priority="2667">
      <formula>$A270="Drainage Works"</formula>
    </cfRule>
    <cfRule type="expression" dxfId="11741" priority="2668">
      <formula>$A270="Underpass"</formula>
    </cfRule>
    <cfRule type="expression" dxfId="11740" priority="2669">
      <formula>$A270="Overcrossing"</formula>
    </cfRule>
    <cfRule type="expression" dxfId="11739" priority="2670">
      <formula>$A270="Overpass"</formula>
    </cfRule>
    <cfRule type="expression" dxfId="11738" priority="2671">
      <formula>$A270="Station"</formula>
    </cfRule>
    <cfRule type="expression" dxfId="11737" priority="2672">
      <formula>$A270="Overlap between sections"</formula>
    </cfRule>
  </conditionalFormatting>
  <conditionalFormatting sqref="AX270">
    <cfRule type="expression" dxfId="11736" priority="2659">
      <formula>$M270="NON DEFINED"</formula>
    </cfRule>
    <cfRule type="expression" dxfId="11735" priority="2660">
      <formula>$AZ270="N.D."</formula>
    </cfRule>
    <cfRule type="expression" dxfId="11734" priority="2661">
      <formula>$AY270="N.D."</formula>
    </cfRule>
  </conditionalFormatting>
  <conditionalFormatting sqref="AX270">
    <cfRule type="expression" dxfId="11733" priority="2648">
      <formula>$A270="Overhead Cable"</formula>
    </cfRule>
    <cfRule type="expression" dxfId="11732" priority="2649">
      <formula>$A270="Level Crossing"</formula>
    </cfRule>
    <cfRule type="expression" dxfId="11731" priority="2650">
      <formula>$A270="Neutral Section"</formula>
    </cfRule>
    <cfRule type="expression" dxfId="11730" priority="2651">
      <formula>$A270="Tunnel"</formula>
    </cfRule>
    <cfRule type="expression" dxfId="11729" priority="2652">
      <formula>$A270="Bridge"</formula>
    </cfRule>
    <cfRule type="expression" dxfId="11728" priority="2653">
      <formula>$A270="Drainage Works"</formula>
    </cfRule>
    <cfRule type="expression" dxfId="11727" priority="2654">
      <formula>$A270="Underpass"</formula>
    </cfRule>
    <cfRule type="expression" dxfId="11726" priority="2655">
      <formula>$A270="Overcrossing"</formula>
    </cfRule>
    <cfRule type="expression" dxfId="11725" priority="2656">
      <formula>$A270="Overpass"</formula>
    </cfRule>
    <cfRule type="expression" dxfId="11724" priority="2657">
      <formula>$A270="Station"</formula>
    </cfRule>
    <cfRule type="expression" dxfId="11723" priority="2658">
      <formula>$A270="Overlap between sections"</formula>
    </cfRule>
  </conditionalFormatting>
  <conditionalFormatting sqref="AW272">
    <cfRule type="expression" dxfId="11722" priority="2645">
      <formula>$M272="NON DEFINED"</formula>
    </cfRule>
    <cfRule type="expression" dxfId="11721" priority="2646">
      <formula>$AZ272="N.D."</formula>
    </cfRule>
    <cfRule type="expression" dxfId="11720" priority="2647">
      <formula>$AY272="N.D."</formula>
    </cfRule>
  </conditionalFormatting>
  <conditionalFormatting sqref="AW272">
    <cfRule type="expression" dxfId="11719" priority="2634">
      <formula>$A272="Overhead Cable"</formula>
    </cfRule>
    <cfRule type="expression" dxfId="11718" priority="2635">
      <formula>$A272="Level Crossing"</formula>
    </cfRule>
    <cfRule type="expression" dxfId="11717" priority="2636">
      <formula>$A272="Neutral Section"</formula>
    </cfRule>
    <cfRule type="expression" dxfId="11716" priority="2637">
      <formula>$A272="Tunnel"</formula>
    </cfRule>
    <cfRule type="expression" dxfId="11715" priority="2638">
      <formula>$A272="Bridge"</formula>
    </cfRule>
    <cfRule type="expression" dxfId="11714" priority="2639">
      <formula>$A272="Drainage Works"</formula>
    </cfRule>
    <cfRule type="expression" dxfId="11713" priority="2640">
      <formula>$A272="Underpass"</formula>
    </cfRule>
    <cfRule type="expression" dxfId="11712" priority="2641">
      <formula>$A272="Overcrossing"</formula>
    </cfRule>
    <cfRule type="expression" dxfId="11711" priority="2642">
      <formula>$A272="Overpass"</formula>
    </cfRule>
    <cfRule type="expression" dxfId="11710" priority="2643">
      <formula>$A272="Station"</formula>
    </cfRule>
    <cfRule type="expression" dxfId="11709" priority="2644">
      <formula>$A272="Overlap between sections"</formula>
    </cfRule>
  </conditionalFormatting>
  <conditionalFormatting sqref="AX272">
    <cfRule type="expression" dxfId="11708" priority="2631">
      <formula>$M272="NON DEFINED"</formula>
    </cfRule>
    <cfRule type="expression" dxfId="11707" priority="2632">
      <formula>$AZ272="N.D."</formula>
    </cfRule>
    <cfRule type="expression" dxfId="11706" priority="2633">
      <formula>$AY272="N.D."</formula>
    </cfRule>
  </conditionalFormatting>
  <conditionalFormatting sqref="AX272">
    <cfRule type="expression" dxfId="11705" priority="2620">
      <formula>$A272="Overhead Cable"</formula>
    </cfRule>
    <cfRule type="expression" dxfId="11704" priority="2621">
      <formula>$A272="Level Crossing"</formula>
    </cfRule>
    <cfRule type="expression" dxfId="11703" priority="2622">
      <formula>$A272="Neutral Section"</formula>
    </cfRule>
    <cfRule type="expression" dxfId="11702" priority="2623">
      <formula>$A272="Tunnel"</formula>
    </cfRule>
    <cfRule type="expression" dxfId="11701" priority="2624">
      <formula>$A272="Bridge"</formula>
    </cfRule>
    <cfRule type="expression" dxfId="11700" priority="2625">
      <formula>$A272="Drainage Works"</formula>
    </cfRule>
    <cfRule type="expression" dxfId="11699" priority="2626">
      <formula>$A272="Underpass"</formula>
    </cfRule>
    <cfRule type="expression" dxfId="11698" priority="2627">
      <formula>$A272="Overcrossing"</formula>
    </cfRule>
    <cfRule type="expression" dxfId="11697" priority="2628">
      <formula>$A272="Overpass"</formula>
    </cfRule>
    <cfRule type="expression" dxfId="11696" priority="2629">
      <formula>$A272="Station"</formula>
    </cfRule>
    <cfRule type="expression" dxfId="11695" priority="2630">
      <formula>$A272="Overlap between sections"</formula>
    </cfRule>
  </conditionalFormatting>
  <conditionalFormatting sqref="AW274">
    <cfRule type="expression" dxfId="11694" priority="2617">
      <formula>$M274="NON DEFINED"</formula>
    </cfRule>
    <cfRule type="expression" dxfId="11693" priority="2618">
      <formula>$AZ274="N.D."</formula>
    </cfRule>
    <cfRule type="expression" dxfId="11692" priority="2619">
      <formula>$AY274="N.D."</formula>
    </cfRule>
  </conditionalFormatting>
  <conditionalFormatting sqref="AW274">
    <cfRule type="expression" dxfId="11691" priority="2606">
      <formula>$A274="Overhead Cable"</formula>
    </cfRule>
    <cfRule type="expression" dxfId="11690" priority="2607">
      <formula>$A274="Level Crossing"</formula>
    </cfRule>
    <cfRule type="expression" dxfId="11689" priority="2608">
      <formula>$A274="Neutral Section"</formula>
    </cfRule>
    <cfRule type="expression" dxfId="11688" priority="2609">
      <formula>$A274="Tunnel"</formula>
    </cfRule>
    <cfRule type="expression" dxfId="11687" priority="2610">
      <formula>$A274="Bridge"</formula>
    </cfRule>
    <cfRule type="expression" dxfId="11686" priority="2611">
      <formula>$A274="Drainage Works"</formula>
    </cfRule>
    <cfRule type="expression" dxfId="11685" priority="2612">
      <formula>$A274="Underpass"</formula>
    </cfRule>
    <cfRule type="expression" dxfId="11684" priority="2613">
      <formula>$A274="Overcrossing"</formula>
    </cfRule>
    <cfRule type="expression" dxfId="11683" priority="2614">
      <formula>$A274="Overpass"</formula>
    </cfRule>
    <cfRule type="expression" dxfId="11682" priority="2615">
      <formula>$A274="Station"</formula>
    </cfRule>
    <cfRule type="expression" dxfId="11681" priority="2616">
      <formula>$A274="Overlap between sections"</formula>
    </cfRule>
  </conditionalFormatting>
  <conditionalFormatting sqref="AX274">
    <cfRule type="expression" dxfId="11680" priority="2603">
      <formula>$M274="NON DEFINED"</formula>
    </cfRule>
    <cfRule type="expression" dxfId="11679" priority="2604">
      <formula>$AZ274="N.D."</formula>
    </cfRule>
    <cfRule type="expression" dxfId="11678" priority="2605">
      <formula>$AY274="N.D."</formula>
    </cfRule>
  </conditionalFormatting>
  <conditionalFormatting sqref="AX274">
    <cfRule type="expression" dxfId="11677" priority="2592">
      <formula>$A274="Overhead Cable"</formula>
    </cfRule>
    <cfRule type="expression" dxfId="11676" priority="2593">
      <formula>$A274="Level Crossing"</formula>
    </cfRule>
    <cfRule type="expression" dxfId="11675" priority="2594">
      <formula>$A274="Neutral Section"</formula>
    </cfRule>
    <cfRule type="expression" dxfId="11674" priority="2595">
      <formula>$A274="Tunnel"</formula>
    </cfRule>
    <cfRule type="expression" dxfId="11673" priority="2596">
      <formula>$A274="Bridge"</formula>
    </cfRule>
    <cfRule type="expression" dxfId="11672" priority="2597">
      <formula>$A274="Drainage Works"</formula>
    </cfRule>
    <cfRule type="expression" dxfId="11671" priority="2598">
      <formula>$A274="Underpass"</formula>
    </cfRule>
    <cfRule type="expression" dxfId="11670" priority="2599">
      <formula>$A274="Overcrossing"</formula>
    </cfRule>
    <cfRule type="expression" dxfId="11669" priority="2600">
      <formula>$A274="Overpass"</formula>
    </cfRule>
    <cfRule type="expression" dxfId="11668" priority="2601">
      <formula>$A274="Station"</formula>
    </cfRule>
    <cfRule type="expression" dxfId="11667" priority="2602">
      <formula>$A274="Overlap between sections"</formula>
    </cfRule>
  </conditionalFormatting>
  <conditionalFormatting sqref="AW276">
    <cfRule type="expression" dxfId="11666" priority="2589">
      <formula>$M276="NON DEFINED"</formula>
    </cfRule>
    <cfRule type="expression" dxfId="11665" priority="2590">
      <formula>$AZ276="N.D."</formula>
    </cfRule>
    <cfRule type="expression" dxfId="11664" priority="2591">
      <formula>$AY276="N.D."</formula>
    </cfRule>
  </conditionalFormatting>
  <conditionalFormatting sqref="AW276">
    <cfRule type="expression" dxfId="11663" priority="2578">
      <formula>$A276="Overhead Cable"</formula>
    </cfRule>
    <cfRule type="expression" dxfId="11662" priority="2579">
      <formula>$A276="Level Crossing"</formula>
    </cfRule>
    <cfRule type="expression" dxfId="11661" priority="2580">
      <formula>$A276="Neutral Section"</formula>
    </cfRule>
    <cfRule type="expression" dxfId="11660" priority="2581">
      <formula>$A276="Tunnel"</formula>
    </cfRule>
    <cfRule type="expression" dxfId="11659" priority="2582">
      <formula>$A276="Bridge"</formula>
    </cfRule>
    <cfRule type="expression" dxfId="11658" priority="2583">
      <formula>$A276="Drainage Works"</formula>
    </cfRule>
    <cfRule type="expression" dxfId="11657" priority="2584">
      <formula>$A276="Underpass"</formula>
    </cfRule>
    <cfRule type="expression" dxfId="11656" priority="2585">
      <formula>$A276="Overcrossing"</formula>
    </cfRule>
    <cfRule type="expression" dxfId="11655" priority="2586">
      <formula>$A276="Overpass"</formula>
    </cfRule>
    <cfRule type="expression" dxfId="11654" priority="2587">
      <formula>$A276="Station"</formula>
    </cfRule>
    <cfRule type="expression" dxfId="11653" priority="2588">
      <formula>$A276="Overlap between sections"</formula>
    </cfRule>
  </conditionalFormatting>
  <conditionalFormatting sqref="AX276">
    <cfRule type="expression" dxfId="11652" priority="2575">
      <formula>$M276="NON DEFINED"</formula>
    </cfRule>
    <cfRule type="expression" dxfId="11651" priority="2576">
      <formula>$AZ276="N.D."</formula>
    </cfRule>
    <cfRule type="expression" dxfId="11650" priority="2577">
      <formula>$AY276="N.D."</formula>
    </cfRule>
  </conditionalFormatting>
  <conditionalFormatting sqref="AX276">
    <cfRule type="expression" dxfId="11649" priority="2564">
      <formula>$A276="Overhead Cable"</formula>
    </cfRule>
    <cfRule type="expression" dxfId="11648" priority="2565">
      <formula>$A276="Level Crossing"</formula>
    </cfRule>
    <cfRule type="expression" dxfId="11647" priority="2566">
      <formula>$A276="Neutral Section"</formula>
    </cfRule>
    <cfRule type="expression" dxfId="11646" priority="2567">
      <formula>$A276="Tunnel"</formula>
    </cfRule>
    <cfRule type="expression" dxfId="11645" priority="2568">
      <formula>$A276="Bridge"</formula>
    </cfRule>
    <cfRule type="expression" dxfId="11644" priority="2569">
      <formula>$A276="Drainage Works"</formula>
    </cfRule>
    <cfRule type="expression" dxfId="11643" priority="2570">
      <formula>$A276="Underpass"</formula>
    </cfRule>
    <cfRule type="expression" dxfId="11642" priority="2571">
      <formula>$A276="Overcrossing"</formula>
    </cfRule>
    <cfRule type="expression" dxfId="11641" priority="2572">
      <formula>$A276="Overpass"</formula>
    </cfRule>
    <cfRule type="expression" dxfId="11640" priority="2573">
      <formula>$A276="Station"</formula>
    </cfRule>
    <cfRule type="expression" dxfId="11639" priority="2574">
      <formula>$A276="Overlap between sections"</formula>
    </cfRule>
  </conditionalFormatting>
  <conditionalFormatting sqref="AW278">
    <cfRule type="expression" dxfId="11638" priority="2561">
      <formula>$M278="NON DEFINED"</formula>
    </cfRule>
    <cfRule type="expression" dxfId="11637" priority="2562">
      <formula>$AZ278="N.D."</formula>
    </cfRule>
    <cfRule type="expression" dxfId="11636" priority="2563">
      <formula>$AY278="N.D."</formula>
    </cfRule>
  </conditionalFormatting>
  <conditionalFormatting sqref="AW278">
    <cfRule type="expression" dxfId="11635" priority="2550">
      <formula>$A278="Overhead Cable"</formula>
    </cfRule>
    <cfRule type="expression" dxfId="11634" priority="2551">
      <formula>$A278="Level Crossing"</formula>
    </cfRule>
    <cfRule type="expression" dxfId="11633" priority="2552">
      <formula>$A278="Neutral Section"</formula>
    </cfRule>
    <cfRule type="expression" dxfId="11632" priority="2553">
      <formula>$A278="Tunnel"</formula>
    </cfRule>
    <cfRule type="expression" dxfId="11631" priority="2554">
      <formula>$A278="Bridge"</formula>
    </cfRule>
    <cfRule type="expression" dxfId="11630" priority="2555">
      <formula>$A278="Drainage Works"</formula>
    </cfRule>
    <cfRule type="expression" dxfId="11629" priority="2556">
      <formula>$A278="Underpass"</formula>
    </cfRule>
    <cfRule type="expression" dxfId="11628" priority="2557">
      <formula>$A278="Overcrossing"</formula>
    </cfRule>
    <cfRule type="expression" dxfId="11627" priority="2558">
      <formula>$A278="Overpass"</formula>
    </cfRule>
    <cfRule type="expression" dxfId="11626" priority="2559">
      <formula>$A278="Station"</formula>
    </cfRule>
    <cfRule type="expression" dxfId="11625" priority="2560">
      <formula>$A278="Overlap between sections"</formula>
    </cfRule>
  </conditionalFormatting>
  <conditionalFormatting sqref="AX278">
    <cfRule type="expression" dxfId="11624" priority="2547">
      <formula>$M278="NON DEFINED"</formula>
    </cfRule>
    <cfRule type="expression" dxfId="11623" priority="2548">
      <formula>$AZ278="N.D."</formula>
    </cfRule>
    <cfRule type="expression" dxfId="11622" priority="2549">
      <formula>$AY278="N.D."</formula>
    </cfRule>
  </conditionalFormatting>
  <conditionalFormatting sqref="AX278">
    <cfRule type="expression" dxfId="11621" priority="2536">
      <formula>$A278="Overhead Cable"</formula>
    </cfRule>
    <cfRule type="expression" dxfId="11620" priority="2537">
      <formula>$A278="Level Crossing"</formula>
    </cfRule>
    <cfRule type="expression" dxfId="11619" priority="2538">
      <formula>$A278="Neutral Section"</formula>
    </cfRule>
    <cfRule type="expression" dxfId="11618" priority="2539">
      <formula>$A278="Tunnel"</formula>
    </cfRule>
    <cfRule type="expression" dxfId="11617" priority="2540">
      <formula>$A278="Bridge"</formula>
    </cfRule>
    <cfRule type="expression" dxfId="11616" priority="2541">
      <formula>$A278="Drainage Works"</formula>
    </cfRule>
    <cfRule type="expression" dxfId="11615" priority="2542">
      <formula>$A278="Underpass"</formula>
    </cfRule>
    <cfRule type="expression" dxfId="11614" priority="2543">
      <formula>$A278="Overcrossing"</formula>
    </cfRule>
    <cfRule type="expression" dxfId="11613" priority="2544">
      <formula>$A278="Overpass"</formula>
    </cfRule>
    <cfRule type="expression" dxfId="11612" priority="2545">
      <formula>$A278="Station"</formula>
    </cfRule>
    <cfRule type="expression" dxfId="11611" priority="2546">
      <formula>$A278="Overlap between sections"</formula>
    </cfRule>
  </conditionalFormatting>
  <conditionalFormatting sqref="AW280">
    <cfRule type="expression" dxfId="11610" priority="2533">
      <formula>$M280="NON DEFINED"</formula>
    </cfRule>
    <cfRule type="expression" dxfId="11609" priority="2534">
      <formula>$AZ280="N.D."</formula>
    </cfRule>
    <cfRule type="expression" dxfId="11608" priority="2535">
      <formula>$AY280="N.D."</formula>
    </cfRule>
  </conditionalFormatting>
  <conditionalFormatting sqref="AW280">
    <cfRule type="expression" dxfId="11607" priority="2522">
      <formula>$A280="Overhead Cable"</formula>
    </cfRule>
    <cfRule type="expression" dxfId="11606" priority="2523">
      <formula>$A280="Level Crossing"</formula>
    </cfRule>
    <cfRule type="expression" dxfId="11605" priority="2524">
      <formula>$A280="Neutral Section"</formula>
    </cfRule>
    <cfRule type="expression" dxfId="11604" priority="2525">
      <formula>$A280="Tunnel"</formula>
    </cfRule>
    <cfRule type="expression" dxfId="11603" priority="2526">
      <formula>$A280="Bridge"</formula>
    </cfRule>
    <cfRule type="expression" dxfId="11602" priority="2527">
      <formula>$A280="Drainage Works"</formula>
    </cfRule>
    <cfRule type="expression" dxfId="11601" priority="2528">
      <formula>$A280="Underpass"</formula>
    </cfRule>
    <cfRule type="expression" dxfId="11600" priority="2529">
      <formula>$A280="Overcrossing"</formula>
    </cfRule>
    <cfRule type="expression" dxfId="11599" priority="2530">
      <formula>$A280="Overpass"</formula>
    </cfRule>
    <cfRule type="expression" dxfId="11598" priority="2531">
      <formula>$A280="Station"</formula>
    </cfRule>
    <cfRule type="expression" dxfId="11597" priority="2532">
      <formula>$A280="Overlap between sections"</formula>
    </cfRule>
  </conditionalFormatting>
  <conditionalFormatting sqref="AX280">
    <cfRule type="expression" dxfId="11596" priority="2519">
      <formula>$M280="NON DEFINED"</formula>
    </cfRule>
    <cfRule type="expression" dxfId="11595" priority="2520">
      <formula>$AZ280="N.D."</formula>
    </cfRule>
    <cfRule type="expression" dxfId="11594" priority="2521">
      <formula>$AY280="N.D."</formula>
    </cfRule>
  </conditionalFormatting>
  <conditionalFormatting sqref="AX280">
    <cfRule type="expression" dxfId="11593" priority="2508">
      <formula>$A280="Overhead Cable"</formula>
    </cfRule>
    <cfRule type="expression" dxfId="11592" priority="2509">
      <formula>$A280="Level Crossing"</formula>
    </cfRule>
    <cfRule type="expression" dxfId="11591" priority="2510">
      <formula>$A280="Neutral Section"</formula>
    </cfRule>
    <cfRule type="expression" dxfId="11590" priority="2511">
      <formula>$A280="Tunnel"</formula>
    </cfRule>
    <cfRule type="expression" dxfId="11589" priority="2512">
      <formula>$A280="Bridge"</formula>
    </cfRule>
    <cfRule type="expression" dxfId="11588" priority="2513">
      <formula>$A280="Drainage Works"</formula>
    </cfRule>
    <cfRule type="expression" dxfId="11587" priority="2514">
      <formula>$A280="Underpass"</formula>
    </cfRule>
    <cfRule type="expression" dxfId="11586" priority="2515">
      <formula>$A280="Overcrossing"</formula>
    </cfRule>
    <cfRule type="expression" dxfId="11585" priority="2516">
      <formula>$A280="Overpass"</formula>
    </cfRule>
    <cfRule type="expression" dxfId="11584" priority="2517">
      <formula>$A280="Station"</formula>
    </cfRule>
    <cfRule type="expression" dxfId="11583" priority="2518">
      <formula>$A280="Overlap between sections"</formula>
    </cfRule>
  </conditionalFormatting>
  <conditionalFormatting sqref="AW282">
    <cfRule type="expression" dxfId="11582" priority="2505">
      <formula>$M282="NON DEFINED"</formula>
    </cfRule>
    <cfRule type="expression" dxfId="11581" priority="2506">
      <formula>$AZ282="N.D."</formula>
    </cfRule>
    <cfRule type="expression" dxfId="11580" priority="2507">
      <formula>$AY282="N.D."</formula>
    </cfRule>
  </conditionalFormatting>
  <conditionalFormatting sqref="AW282">
    <cfRule type="expression" dxfId="11579" priority="2494">
      <formula>$A282="Overhead Cable"</formula>
    </cfRule>
    <cfRule type="expression" dxfId="11578" priority="2495">
      <formula>$A282="Level Crossing"</formula>
    </cfRule>
    <cfRule type="expression" dxfId="11577" priority="2496">
      <formula>$A282="Neutral Section"</formula>
    </cfRule>
    <cfRule type="expression" dxfId="11576" priority="2497">
      <formula>$A282="Tunnel"</formula>
    </cfRule>
    <cfRule type="expression" dxfId="11575" priority="2498">
      <formula>$A282="Bridge"</formula>
    </cfRule>
    <cfRule type="expression" dxfId="11574" priority="2499">
      <formula>$A282="Drainage Works"</formula>
    </cfRule>
    <cfRule type="expression" dxfId="11573" priority="2500">
      <formula>$A282="Underpass"</formula>
    </cfRule>
    <cfRule type="expression" dxfId="11572" priority="2501">
      <formula>$A282="Overcrossing"</formula>
    </cfRule>
    <cfRule type="expression" dxfId="11571" priority="2502">
      <formula>$A282="Overpass"</formula>
    </cfRule>
    <cfRule type="expression" dxfId="11570" priority="2503">
      <formula>$A282="Station"</formula>
    </cfRule>
    <cfRule type="expression" dxfId="11569" priority="2504">
      <formula>$A282="Overlap between sections"</formula>
    </cfRule>
  </conditionalFormatting>
  <conditionalFormatting sqref="AX282">
    <cfRule type="expression" dxfId="11568" priority="2491">
      <formula>$M282="NON DEFINED"</formula>
    </cfRule>
    <cfRule type="expression" dxfId="11567" priority="2492">
      <formula>$AZ282="N.D."</formula>
    </cfRule>
    <cfRule type="expression" dxfId="11566" priority="2493">
      <formula>$AY282="N.D."</formula>
    </cfRule>
  </conditionalFormatting>
  <conditionalFormatting sqref="AX282">
    <cfRule type="expression" dxfId="11565" priority="2480">
      <formula>$A282="Overhead Cable"</formula>
    </cfRule>
    <cfRule type="expression" dxfId="11564" priority="2481">
      <formula>$A282="Level Crossing"</formula>
    </cfRule>
    <cfRule type="expression" dxfId="11563" priority="2482">
      <formula>$A282="Neutral Section"</formula>
    </cfRule>
    <cfRule type="expression" dxfId="11562" priority="2483">
      <formula>$A282="Tunnel"</formula>
    </cfRule>
    <cfRule type="expression" dxfId="11561" priority="2484">
      <formula>$A282="Bridge"</formula>
    </cfRule>
    <cfRule type="expression" dxfId="11560" priority="2485">
      <formula>$A282="Drainage Works"</formula>
    </cfRule>
    <cfRule type="expression" dxfId="11559" priority="2486">
      <formula>$A282="Underpass"</formula>
    </cfRule>
    <cfRule type="expression" dxfId="11558" priority="2487">
      <formula>$A282="Overcrossing"</formula>
    </cfRule>
    <cfRule type="expression" dxfId="11557" priority="2488">
      <formula>$A282="Overpass"</formula>
    </cfRule>
    <cfRule type="expression" dxfId="11556" priority="2489">
      <formula>$A282="Station"</formula>
    </cfRule>
    <cfRule type="expression" dxfId="11555" priority="2490">
      <formula>$A282="Overlap between sections"</formula>
    </cfRule>
  </conditionalFormatting>
  <conditionalFormatting sqref="AW284">
    <cfRule type="expression" dxfId="11554" priority="2477">
      <formula>$M284="NON DEFINED"</formula>
    </cfRule>
    <cfRule type="expression" dxfId="11553" priority="2478">
      <formula>$AZ284="N.D."</formula>
    </cfRule>
    <cfRule type="expression" dxfId="11552" priority="2479">
      <formula>$AY284="N.D."</formula>
    </cfRule>
  </conditionalFormatting>
  <conditionalFormatting sqref="AW284">
    <cfRule type="expression" dxfId="11551" priority="2466">
      <formula>$A284="Overhead Cable"</formula>
    </cfRule>
    <cfRule type="expression" dxfId="11550" priority="2467">
      <formula>$A284="Level Crossing"</formula>
    </cfRule>
    <cfRule type="expression" dxfId="11549" priority="2468">
      <formula>$A284="Neutral Section"</formula>
    </cfRule>
    <cfRule type="expression" dxfId="11548" priority="2469">
      <formula>$A284="Tunnel"</formula>
    </cfRule>
    <cfRule type="expression" dxfId="11547" priority="2470">
      <formula>$A284="Bridge"</formula>
    </cfRule>
    <cfRule type="expression" dxfId="11546" priority="2471">
      <formula>$A284="Drainage Works"</formula>
    </cfRule>
    <cfRule type="expression" dxfId="11545" priority="2472">
      <formula>$A284="Underpass"</formula>
    </cfRule>
    <cfRule type="expression" dxfId="11544" priority="2473">
      <formula>$A284="Overcrossing"</formula>
    </cfRule>
    <cfRule type="expression" dxfId="11543" priority="2474">
      <formula>$A284="Overpass"</formula>
    </cfRule>
    <cfRule type="expression" dxfId="11542" priority="2475">
      <formula>$A284="Station"</formula>
    </cfRule>
    <cfRule type="expression" dxfId="11541" priority="2476">
      <formula>$A284="Overlap between sections"</formula>
    </cfRule>
  </conditionalFormatting>
  <conditionalFormatting sqref="AX284">
    <cfRule type="expression" dxfId="11540" priority="2463">
      <formula>$M284="NON DEFINED"</formula>
    </cfRule>
    <cfRule type="expression" dxfId="11539" priority="2464">
      <formula>$AZ284="N.D."</formula>
    </cfRule>
    <cfRule type="expression" dxfId="11538" priority="2465">
      <formula>$AY284="N.D."</formula>
    </cfRule>
  </conditionalFormatting>
  <conditionalFormatting sqref="AX284">
    <cfRule type="expression" dxfId="11537" priority="2452">
      <formula>$A284="Overhead Cable"</formula>
    </cfRule>
    <cfRule type="expression" dxfId="11536" priority="2453">
      <formula>$A284="Level Crossing"</formula>
    </cfRule>
    <cfRule type="expression" dxfId="11535" priority="2454">
      <formula>$A284="Neutral Section"</formula>
    </cfRule>
    <cfRule type="expression" dxfId="11534" priority="2455">
      <formula>$A284="Tunnel"</formula>
    </cfRule>
    <cfRule type="expression" dxfId="11533" priority="2456">
      <formula>$A284="Bridge"</formula>
    </cfRule>
    <cfRule type="expression" dxfId="11532" priority="2457">
      <formula>$A284="Drainage Works"</formula>
    </cfRule>
    <cfRule type="expression" dxfId="11531" priority="2458">
      <formula>$A284="Underpass"</formula>
    </cfRule>
    <cfRule type="expression" dxfId="11530" priority="2459">
      <formula>$A284="Overcrossing"</formula>
    </cfRule>
    <cfRule type="expression" dxfId="11529" priority="2460">
      <formula>$A284="Overpass"</formula>
    </cfRule>
    <cfRule type="expression" dxfId="11528" priority="2461">
      <formula>$A284="Station"</formula>
    </cfRule>
    <cfRule type="expression" dxfId="11527" priority="2462">
      <formula>$A284="Overlap between sections"</formula>
    </cfRule>
  </conditionalFormatting>
  <conditionalFormatting sqref="AW286">
    <cfRule type="expression" dxfId="11526" priority="2449">
      <formula>$M286="NON DEFINED"</formula>
    </cfRule>
    <cfRule type="expression" dxfId="11525" priority="2450">
      <formula>$AZ286="N.D."</formula>
    </cfRule>
    <cfRule type="expression" dxfId="11524" priority="2451">
      <formula>$AY286="N.D."</formula>
    </cfRule>
  </conditionalFormatting>
  <conditionalFormatting sqref="AW286">
    <cfRule type="expression" dxfId="11523" priority="2438">
      <formula>$A286="Overhead Cable"</formula>
    </cfRule>
    <cfRule type="expression" dxfId="11522" priority="2439">
      <formula>$A286="Level Crossing"</formula>
    </cfRule>
    <cfRule type="expression" dxfId="11521" priority="2440">
      <formula>$A286="Neutral Section"</formula>
    </cfRule>
    <cfRule type="expression" dxfId="11520" priority="2441">
      <formula>$A286="Tunnel"</formula>
    </cfRule>
    <cfRule type="expression" dxfId="11519" priority="2442">
      <formula>$A286="Bridge"</formula>
    </cfRule>
    <cfRule type="expression" dxfId="11518" priority="2443">
      <formula>$A286="Drainage Works"</formula>
    </cfRule>
    <cfRule type="expression" dxfId="11517" priority="2444">
      <formula>$A286="Underpass"</formula>
    </cfRule>
    <cfRule type="expression" dxfId="11516" priority="2445">
      <formula>$A286="Overcrossing"</formula>
    </cfRule>
    <cfRule type="expression" dxfId="11515" priority="2446">
      <formula>$A286="Overpass"</formula>
    </cfRule>
    <cfRule type="expression" dxfId="11514" priority="2447">
      <formula>$A286="Station"</formula>
    </cfRule>
    <cfRule type="expression" dxfId="11513" priority="2448">
      <formula>$A286="Overlap between sections"</formula>
    </cfRule>
  </conditionalFormatting>
  <conditionalFormatting sqref="AX286">
    <cfRule type="expression" dxfId="11512" priority="2435">
      <formula>$M286="NON DEFINED"</formula>
    </cfRule>
    <cfRule type="expression" dxfId="11511" priority="2436">
      <formula>$AZ286="N.D."</formula>
    </cfRule>
    <cfRule type="expression" dxfId="11510" priority="2437">
      <formula>$AY286="N.D."</formula>
    </cfRule>
  </conditionalFormatting>
  <conditionalFormatting sqref="AX286">
    <cfRule type="expression" dxfId="11509" priority="2424">
      <formula>$A286="Overhead Cable"</formula>
    </cfRule>
    <cfRule type="expression" dxfId="11508" priority="2425">
      <formula>$A286="Level Crossing"</formula>
    </cfRule>
    <cfRule type="expression" dxfId="11507" priority="2426">
      <formula>$A286="Neutral Section"</formula>
    </cfRule>
    <cfRule type="expression" dxfId="11506" priority="2427">
      <formula>$A286="Tunnel"</formula>
    </cfRule>
    <cfRule type="expression" dxfId="11505" priority="2428">
      <formula>$A286="Bridge"</formula>
    </cfRule>
    <cfRule type="expression" dxfId="11504" priority="2429">
      <formula>$A286="Drainage Works"</formula>
    </cfRule>
    <cfRule type="expression" dxfId="11503" priority="2430">
      <formula>$A286="Underpass"</formula>
    </cfRule>
    <cfRule type="expression" dxfId="11502" priority="2431">
      <formula>$A286="Overcrossing"</formula>
    </cfRule>
    <cfRule type="expression" dxfId="11501" priority="2432">
      <formula>$A286="Overpass"</formula>
    </cfRule>
    <cfRule type="expression" dxfId="11500" priority="2433">
      <formula>$A286="Station"</formula>
    </cfRule>
    <cfRule type="expression" dxfId="11499" priority="2434">
      <formula>$A286="Overlap between sections"</formula>
    </cfRule>
  </conditionalFormatting>
  <conditionalFormatting sqref="AW288">
    <cfRule type="expression" dxfId="11498" priority="2421">
      <formula>$M288="NON DEFINED"</formula>
    </cfRule>
    <cfRule type="expression" dxfId="11497" priority="2422">
      <formula>$AZ288="N.D."</formula>
    </cfRule>
    <cfRule type="expression" dxfId="11496" priority="2423">
      <formula>$AY288="N.D."</formula>
    </cfRule>
  </conditionalFormatting>
  <conditionalFormatting sqref="AW288">
    <cfRule type="expression" dxfId="11495" priority="2410">
      <formula>$A288="Overhead Cable"</formula>
    </cfRule>
    <cfRule type="expression" dxfId="11494" priority="2411">
      <formula>$A288="Level Crossing"</formula>
    </cfRule>
    <cfRule type="expression" dxfId="11493" priority="2412">
      <formula>$A288="Neutral Section"</formula>
    </cfRule>
    <cfRule type="expression" dxfId="11492" priority="2413">
      <formula>$A288="Tunnel"</formula>
    </cfRule>
    <cfRule type="expression" dxfId="11491" priority="2414">
      <formula>$A288="Bridge"</formula>
    </cfRule>
    <cfRule type="expression" dxfId="11490" priority="2415">
      <formula>$A288="Drainage Works"</formula>
    </cfRule>
    <cfRule type="expression" dxfId="11489" priority="2416">
      <formula>$A288="Underpass"</formula>
    </cfRule>
    <cfRule type="expression" dxfId="11488" priority="2417">
      <formula>$A288="Overcrossing"</formula>
    </cfRule>
    <cfRule type="expression" dxfId="11487" priority="2418">
      <formula>$A288="Overpass"</formula>
    </cfRule>
    <cfRule type="expression" dxfId="11486" priority="2419">
      <formula>$A288="Station"</formula>
    </cfRule>
    <cfRule type="expression" dxfId="11485" priority="2420">
      <formula>$A288="Overlap between sections"</formula>
    </cfRule>
  </conditionalFormatting>
  <conditionalFormatting sqref="AX288">
    <cfRule type="expression" dxfId="11484" priority="2407">
      <formula>$M288="NON DEFINED"</formula>
    </cfRule>
    <cfRule type="expression" dxfId="11483" priority="2408">
      <formula>$AZ288="N.D."</formula>
    </cfRule>
    <cfRule type="expression" dxfId="11482" priority="2409">
      <formula>$AY288="N.D."</formula>
    </cfRule>
  </conditionalFormatting>
  <conditionalFormatting sqref="AX288">
    <cfRule type="expression" dxfId="11481" priority="2396">
      <formula>$A288="Overhead Cable"</formula>
    </cfRule>
    <cfRule type="expression" dxfId="11480" priority="2397">
      <formula>$A288="Level Crossing"</formula>
    </cfRule>
    <cfRule type="expression" dxfId="11479" priority="2398">
      <formula>$A288="Neutral Section"</formula>
    </cfRule>
    <cfRule type="expression" dxfId="11478" priority="2399">
      <formula>$A288="Tunnel"</formula>
    </cfRule>
    <cfRule type="expression" dxfId="11477" priority="2400">
      <formula>$A288="Bridge"</formula>
    </cfRule>
    <cfRule type="expression" dxfId="11476" priority="2401">
      <formula>$A288="Drainage Works"</formula>
    </cfRule>
    <cfRule type="expression" dxfId="11475" priority="2402">
      <formula>$A288="Underpass"</formula>
    </cfRule>
    <cfRule type="expression" dxfId="11474" priority="2403">
      <formula>$A288="Overcrossing"</formula>
    </cfRule>
    <cfRule type="expression" dxfId="11473" priority="2404">
      <formula>$A288="Overpass"</formula>
    </cfRule>
    <cfRule type="expression" dxfId="11472" priority="2405">
      <formula>$A288="Station"</formula>
    </cfRule>
    <cfRule type="expression" dxfId="11471" priority="2406">
      <formula>$A288="Overlap between sections"</formula>
    </cfRule>
  </conditionalFormatting>
  <conditionalFormatting sqref="AW290">
    <cfRule type="expression" dxfId="11470" priority="2393">
      <formula>$M290="NON DEFINED"</formula>
    </cfRule>
    <cfRule type="expression" dxfId="11469" priority="2394">
      <formula>$AZ290="N.D."</formula>
    </cfRule>
    <cfRule type="expression" dxfId="11468" priority="2395">
      <formula>$AY290="N.D."</formula>
    </cfRule>
  </conditionalFormatting>
  <conditionalFormatting sqref="AW290">
    <cfRule type="expression" dxfId="11467" priority="2382">
      <formula>$A290="Overhead Cable"</formula>
    </cfRule>
    <cfRule type="expression" dxfId="11466" priority="2383">
      <formula>$A290="Level Crossing"</formula>
    </cfRule>
    <cfRule type="expression" dxfId="11465" priority="2384">
      <formula>$A290="Neutral Section"</formula>
    </cfRule>
    <cfRule type="expression" dxfId="11464" priority="2385">
      <formula>$A290="Tunnel"</formula>
    </cfRule>
    <cfRule type="expression" dxfId="11463" priority="2386">
      <formula>$A290="Bridge"</formula>
    </cfRule>
    <cfRule type="expression" dxfId="11462" priority="2387">
      <formula>$A290="Drainage Works"</formula>
    </cfRule>
    <cfRule type="expression" dxfId="11461" priority="2388">
      <formula>$A290="Underpass"</formula>
    </cfRule>
    <cfRule type="expression" dxfId="11460" priority="2389">
      <formula>$A290="Overcrossing"</formula>
    </cfRule>
    <cfRule type="expression" dxfId="11459" priority="2390">
      <formula>$A290="Overpass"</formula>
    </cfRule>
    <cfRule type="expression" dxfId="11458" priority="2391">
      <formula>$A290="Station"</formula>
    </cfRule>
    <cfRule type="expression" dxfId="11457" priority="2392">
      <formula>$A290="Overlap between sections"</formula>
    </cfRule>
  </conditionalFormatting>
  <conditionalFormatting sqref="AX290">
    <cfRule type="expression" dxfId="11456" priority="2379">
      <formula>$M290="NON DEFINED"</formula>
    </cfRule>
    <cfRule type="expression" dxfId="11455" priority="2380">
      <formula>$AZ290="N.D."</formula>
    </cfRule>
    <cfRule type="expression" dxfId="11454" priority="2381">
      <formula>$AY290="N.D."</formula>
    </cfRule>
  </conditionalFormatting>
  <conditionalFormatting sqref="AX290">
    <cfRule type="expression" dxfId="11453" priority="2368">
      <formula>$A290="Overhead Cable"</formula>
    </cfRule>
    <cfRule type="expression" dxfId="11452" priority="2369">
      <formula>$A290="Level Crossing"</formula>
    </cfRule>
    <cfRule type="expression" dxfId="11451" priority="2370">
      <formula>$A290="Neutral Section"</formula>
    </cfRule>
    <cfRule type="expression" dxfId="11450" priority="2371">
      <formula>$A290="Tunnel"</formula>
    </cfRule>
    <cfRule type="expression" dxfId="11449" priority="2372">
      <formula>$A290="Bridge"</formula>
    </cfRule>
    <cfRule type="expression" dxfId="11448" priority="2373">
      <formula>$A290="Drainage Works"</formula>
    </cfRule>
    <cfRule type="expression" dxfId="11447" priority="2374">
      <formula>$A290="Underpass"</formula>
    </cfRule>
    <cfRule type="expression" dxfId="11446" priority="2375">
      <formula>$A290="Overcrossing"</formula>
    </cfRule>
    <cfRule type="expression" dxfId="11445" priority="2376">
      <formula>$A290="Overpass"</formula>
    </cfRule>
    <cfRule type="expression" dxfId="11444" priority="2377">
      <formula>$A290="Station"</formula>
    </cfRule>
    <cfRule type="expression" dxfId="11443" priority="2378">
      <formula>$A290="Overlap between sections"</formula>
    </cfRule>
  </conditionalFormatting>
  <conditionalFormatting sqref="AW292">
    <cfRule type="expression" dxfId="11442" priority="2365">
      <formula>$M292="NON DEFINED"</formula>
    </cfRule>
    <cfRule type="expression" dxfId="11441" priority="2366">
      <formula>$AZ292="N.D."</formula>
    </cfRule>
    <cfRule type="expression" dxfId="11440" priority="2367">
      <formula>$AY292="N.D."</formula>
    </cfRule>
  </conditionalFormatting>
  <conditionalFormatting sqref="AW292">
    <cfRule type="expression" dxfId="11439" priority="2354">
      <formula>$A292="Overhead Cable"</formula>
    </cfRule>
    <cfRule type="expression" dxfId="11438" priority="2355">
      <formula>$A292="Level Crossing"</formula>
    </cfRule>
    <cfRule type="expression" dxfId="11437" priority="2356">
      <formula>$A292="Neutral Section"</formula>
    </cfRule>
    <cfRule type="expression" dxfId="11436" priority="2357">
      <formula>$A292="Tunnel"</formula>
    </cfRule>
    <cfRule type="expression" dxfId="11435" priority="2358">
      <formula>$A292="Bridge"</formula>
    </cfRule>
    <cfRule type="expression" dxfId="11434" priority="2359">
      <formula>$A292="Drainage Works"</formula>
    </cfRule>
    <cfRule type="expression" dxfId="11433" priority="2360">
      <formula>$A292="Underpass"</formula>
    </cfRule>
    <cfRule type="expression" dxfId="11432" priority="2361">
      <formula>$A292="Overcrossing"</formula>
    </cfRule>
    <cfRule type="expression" dxfId="11431" priority="2362">
      <formula>$A292="Overpass"</formula>
    </cfRule>
    <cfRule type="expression" dxfId="11430" priority="2363">
      <formula>$A292="Station"</formula>
    </cfRule>
    <cfRule type="expression" dxfId="11429" priority="2364">
      <formula>$A292="Overlap between sections"</formula>
    </cfRule>
  </conditionalFormatting>
  <conditionalFormatting sqref="AX292">
    <cfRule type="expression" dxfId="11428" priority="2351">
      <formula>$M292="NON DEFINED"</formula>
    </cfRule>
    <cfRule type="expression" dxfId="11427" priority="2352">
      <formula>$AZ292="N.D."</formula>
    </cfRule>
    <cfRule type="expression" dxfId="11426" priority="2353">
      <formula>$AY292="N.D."</formula>
    </cfRule>
  </conditionalFormatting>
  <conditionalFormatting sqref="AX292">
    <cfRule type="expression" dxfId="11425" priority="2340">
      <formula>$A292="Overhead Cable"</formula>
    </cfRule>
    <cfRule type="expression" dxfId="11424" priority="2341">
      <formula>$A292="Level Crossing"</formula>
    </cfRule>
    <cfRule type="expression" dxfId="11423" priority="2342">
      <formula>$A292="Neutral Section"</formula>
    </cfRule>
    <cfRule type="expression" dxfId="11422" priority="2343">
      <formula>$A292="Tunnel"</formula>
    </cfRule>
    <cfRule type="expression" dxfId="11421" priority="2344">
      <formula>$A292="Bridge"</formula>
    </cfRule>
    <cfRule type="expression" dxfId="11420" priority="2345">
      <formula>$A292="Drainage Works"</formula>
    </cfRule>
    <cfRule type="expression" dxfId="11419" priority="2346">
      <formula>$A292="Underpass"</formula>
    </cfRule>
    <cfRule type="expression" dxfId="11418" priority="2347">
      <formula>$A292="Overcrossing"</formula>
    </cfRule>
    <cfRule type="expression" dxfId="11417" priority="2348">
      <formula>$A292="Overpass"</formula>
    </cfRule>
    <cfRule type="expression" dxfId="11416" priority="2349">
      <formula>$A292="Station"</formula>
    </cfRule>
    <cfRule type="expression" dxfId="11415" priority="2350">
      <formula>$A292="Overlap between sections"</formula>
    </cfRule>
  </conditionalFormatting>
  <conditionalFormatting sqref="AW294">
    <cfRule type="expression" dxfId="11414" priority="2337">
      <formula>$M294="NON DEFINED"</formula>
    </cfRule>
    <cfRule type="expression" dxfId="11413" priority="2338">
      <formula>$AZ294="N.D."</formula>
    </cfRule>
    <cfRule type="expression" dxfId="11412" priority="2339">
      <formula>$AY294="N.D."</formula>
    </cfRule>
  </conditionalFormatting>
  <conditionalFormatting sqref="AW294">
    <cfRule type="expression" dxfId="11411" priority="2326">
      <formula>$A294="Overhead Cable"</formula>
    </cfRule>
    <cfRule type="expression" dxfId="11410" priority="2327">
      <formula>$A294="Level Crossing"</formula>
    </cfRule>
    <cfRule type="expression" dxfId="11409" priority="2328">
      <formula>$A294="Neutral Section"</formula>
    </cfRule>
    <cfRule type="expression" dxfId="11408" priority="2329">
      <formula>$A294="Tunnel"</formula>
    </cfRule>
    <cfRule type="expression" dxfId="11407" priority="2330">
      <formula>$A294="Bridge"</formula>
    </cfRule>
    <cfRule type="expression" dxfId="11406" priority="2331">
      <formula>$A294="Drainage Works"</formula>
    </cfRule>
    <cfRule type="expression" dxfId="11405" priority="2332">
      <formula>$A294="Underpass"</formula>
    </cfRule>
    <cfRule type="expression" dxfId="11404" priority="2333">
      <formula>$A294="Overcrossing"</formula>
    </cfRule>
    <cfRule type="expression" dxfId="11403" priority="2334">
      <formula>$A294="Overpass"</formula>
    </cfRule>
    <cfRule type="expression" dxfId="11402" priority="2335">
      <formula>$A294="Station"</formula>
    </cfRule>
    <cfRule type="expression" dxfId="11401" priority="2336">
      <formula>$A294="Overlap between sections"</formula>
    </cfRule>
  </conditionalFormatting>
  <conditionalFormatting sqref="AX294">
    <cfRule type="expression" dxfId="11400" priority="2323">
      <formula>$M294="NON DEFINED"</formula>
    </cfRule>
    <cfRule type="expression" dxfId="11399" priority="2324">
      <formula>$AZ294="N.D."</formula>
    </cfRule>
    <cfRule type="expression" dxfId="11398" priority="2325">
      <formula>$AY294="N.D."</formula>
    </cfRule>
  </conditionalFormatting>
  <conditionalFormatting sqref="AX294">
    <cfRule type="expression" dxfId="11397" priority="2312">
      <formula>$A294="Overhead Cable"</formula>
    </cfRule>
    <cfRule type="expression" dxfId="11396" priority="2313">
      <formula>$A294="Level Crossing"</formula>
    </cfRule>
    <cfRule type="expression" dxfId="11395" priority="2314">
      <formula>$A294="Neutral Section"</formula>
    </cfRule>
    <cfRule type="expression" dxfId="11394" priority="2315">
      <formula>$A294="Tunnel"</formula>
    </cfRule>
    <cfRule type="expression" dxfId="11393" priority="2316">
      <formula>$A294="Bridge"</formula>
    </cfRule>
    <cfRule type="expression" dxfId="11392" priority="2317">
      <formula>$A294="Drainage Works"</formula>
    </cfRule>
    <cfRule type="expression" dxfId="11391" priority="2318">
      <formula>$A294="Underpass"</formula>
    </cfRule>
    <cfRule type="expression" dxfId="11390" priority="2319">
      <formula>$A294="Overcrossing"</formula>
    </cfRule>
    <cfRule type="expression" dxfId="11389" priority="2320">
      <formula>$A294="Overpass"</formula>
    </cfRule>
    <cfRule type="expression" dxfId="11388" priority="2321">
      <formula>$A294="Station"</formula>
    </cfRule>
    <cfRule type="expression" dxfId="11387" priority="2322">
      <formula>$A294="Overlap between sections"</formula>
    </cfRule>
  </conditionalFormatting>
  <conditionalFormatting sqref="AW296">
    <cfRule type="expression" dxfId="11386" priority="2309">
      <formula>$M296="NON DEFINED"</formula>
    </cfRule>
    <cfRule type="expression" dxfId="11385" priority="2310">
      <formula>$AZ296="N.D."</formula>
    </cfRule>
    <cfRule type="expression" dxfId="11384" priority="2311">
      <formula>$AY296="N.D."</formula>
    </cfRule>
  </conditionalFormatting>
  <conditionalFormatting sqref="AW296">
    <cfRule type="expression" dxfId="11383" priority="2298">
      <formula>$A296="Overhead Cable"</formula>
    </cfRule>
    <cfRule type="expression" dxfId="11382" priority="2299">
      <formula>$A296="Level Crossing"</formula>
    </cfRule>
    <cfRule type="expression" dxfId="11381" priority="2300">
      <formula>$A296="Neutral Section"</formula>
    </cfRule>
    <cfRule type="expression" dxfId="11380" priority="2301">
      <formula>$A296="Tunnel"</formula>
    </cfRule>
    <cfRule type="expression" dxfId="11379" priority="2302">
      <formula>$A296="Bridge"</formula>
    </cfRule>
    <cfRule type="expression" dxfId="11378" priority="2303">
      <formula>$A296="Drainage Works"</formula>
    </cfRule>
    <cfRule type="expression" dxfId="11377" priority="2304">
      <formula>$A296="Underpass"</formula>
    </cfRule>
    <cfRule type="expression" dxfId="11376" priority="2305">
      <formula>$A296="Overcrossing"</formula>
    </cfRule>
    <cfRule type="expression" dxfId="11375" priority="2306">
      <formula>$A296="Overpass"</formula>
    </cfRule>
    <cfRule type="expression" dxfId="11374" priority="2307">
      <formula>$A296="Station"</formula>
    </cfRule>
    <cfRule type="expression" dxfId="11373" priority="2308">
      <formula>$A296="Overlap between sections"</formula>
    </cfRule>
  </conditionalFormatting>
  <conditionalFormatting sqref="AX296">
    <cfRule type="expression" dxfId="11372" priority="2295">
      <formula>$M296="NON DEFINED"</formula>
    </cfRule>
    <cfRule type="expression" dxfId="11371" priority="2296">
      <formula>$AZ296="N.D."</formula>
    </cfRule>
    <cfRule type="expression" dxfId="11370" priority="2297">
      <formula>$AY296="N.D."</formula>
    </cfRule>
  </conditionalFormatting>
  <conditionalFormatting sqref="AX296">
    <cfRule type="expression" dxfId="11369" priority="2284">
      <formula>$A296="Overhead Cable"</formula>
    </cfRule>
    <cfRule type="expression" dxfId="11368" priority="2285">
      <formula>$A296="Level Crossing"</formula>
    </cfRule>
    <cfRule type="expression" dxfId="11367" priority="2286">
      <formula>$A296="Neutral Section"</formula>
    </cfRule>
    <cfRule type="expression" dxfId="11366" priority="2287">
      <formula>$A296="Tunnel"</formula>
    </cfRule>
    <cfRule type="expression" dxfId="11365" priority="2288">
      <formula>$A296="Bridge"</formula>
    </cfRule>
    <cfRule type="expression" dxfId="11364" priority="2289">
      <formula>$A296="Drainage Works"</formula>
    </cfRule>
    <cfRule type="expression" dxfId="11363" priority="2290">
      <formula>$A296="Underpass"</formula>
    </cfRule>
    <cfRule type="expression" dxfId="11362" priority="2291">
      <formula>$A296="Overcrossing"</formula>
    </cfRule>
    <cfRule type="expression" dxfId="11361" priority="2292">
      <formula>$A296="Overpass"</formula>
    </cfRule>
    <cfRule type="expression" dxfId="11360" priority="2293">
      <formula>$A296="Station"</formula>
    </cfRule>
    <cfRule type="expression" dxfId="11359" priority="2294">
      <formula>$A296="Overlap between sections"</formula>
    </cfRule>
  </conditionalFormatting>
  <conditionalFormatting sqref="AW298">
    <cfRule type="expression" dxfId="11358" priority="2281">
      <formula>$M298="NON DEFINED"</formula>
    </cfRule>
    <cfRule type="expression" dxfId="11357" priority="2282">
      <formula>$AZ298="N.D."</formula>
    </cfRule>
    <cfRule type="expression" dxfId="11356" priority="2283">
      <formula>$AY298="N.D."</formula>
    </cfRule>
  </conditionalFormatting>
  <conditionalFormatting sqref="AW298">
    <cfRule type="expression" dxfId="11355" priority="2270">
      <formula>$A298="Overhead Cable"</formula>
    </cfRule>
    <cfRule type="expression" dxfId="11354" priority="2271">
      <formula>$A298="Level Crossing"</formula>
    </cfRule>
    <cfRule type="expression" dxfId="11353" priority="2272">
      <formula>$A298="Neutral Section"</formula>
    </cfRule>
    <cfRule type="expression" dxfId="11352" priority="2273">
      <formula>$A298="Tunnel"</formula>
    </cfRule>
    <cfRule type="expression" dxfId="11351" priority="2274">
      <formula>$A298="Bridge"</formula>
    </cfRule>
    <cfRule type="expression" dxfId="11350" priority="2275">
      <formula>$A298="Drainage Works"</formula>
    </cfRule>
    <cfRule type="expression" dxfId="11349" priority="2276">
      <formula>$A298="Underpass"</formula>
    </cfRule>
    <cfRule type="expression" dxfId="11348" priority="2277">
      <formula>$A298="Overcrossing"</formula>
    </cfRule>
    <cfRule type="expression" dxfId="11347" priority="2278">
      <formula>$A298="Overpass"</formula>
    </cfRule>
    <cfRule type="expression" dxfId="11346" priority="2279">
      <formula>$A298="Station"</formula>
    </cfRule>
    <cfRule type="expression" dxfId="11345" priority="2280">
      <formula>$A298="Overlap between sections"</formula>
    </cfRule>
  </conditionalFormatting>
  <conditionalFormatting sqref="AX298">
    <cfRule type="expression" dxfId="11344" priority="2267">
      <formula>$M298="NON DEFINED"</formula>
    </cfRule>
    <cfRule type="expression" dxfId="11343" priority="2268">
      <formula>$AZ298="N.D."</formula>
    </cfRule>
    <cfRule type="expression" dxfId="11342" priority="2269">
      <formula>$AY298="N.D."</formula>
    </cfRule>
  </conditionalFormatting>
  <conditionalFormatting sqref="AX298">
    <cfRule type="expression" dxfId="11341" priority="2256">
      <formula>$A298="Overhead Cable"</formula>
    </cfRule>
    <cfRule type="expression" dxfId="11340" priority="2257">
      <formula>$A298="Level Crossing"</formula>
    </cfRule>
    <cfRule type="expression" dxfId="11339" priority="2258">
      <formula>$A298="Neutral Section"</formula>
    </cfRule>
    <cfRule type="expression" dxfId="11338" priority="2259">
      <formula>$A298="Tunnel"</formula>
    </cfRule>
    <cfRule type="expression" dxfId="11337" priority="2260">
      <formula>$A298="Bridge"</formula>
    </cfRule>
    <cfRule type="expression" dxfId="11336" priority="2261">
      <formula>$A298="Drainage Works"</formula>
    </cfRule>
    <cfRule type="expression" dxfId="11335" priority="2262">
      <formula>$A298="Underpass"</formula>
    </cfRule>
    <cfRule type="expression" dxfId="11334" priority="2263">
      <formula>$A298="Overcrossing"</formula>
    </cfRule>
    <cfRule type="expression" dxfId="11333" priority="2264">
      <formula>$A298="Overpass"</formula>
    </cfRule>
    <cfRule type="expression" dxfId="11332" priority="2265">
      <formula>$A298="Station"</formula>
    </cfRule>
    <cfRule type="expression" dxfId="11331" priority="2266">
      <formula>$A298="Overlap between sections"</formula>
    </cfRule>
  </conditionalFormatting>
  <conditionalFormatting sqref="AW300">
    <cfRule type="expression" dxfId="11330" priority="2253">
      <formula>$M300="NON DEFINED"</formula>
    </cfRule>
    <cfRule type="expression" dxfId="11329" priority="2254">
      <formula>$AZ300="N.D."</formula>
    </cfRule>
    <cfRule type="expression" dxfId="11328" priority="2255">
      <formula>$AY300="N.D."</formula>
    </cfRule>
  </conditionalFormatting>
  <conditionalFormatting sqref="AW300">
    <cfRule type="expression" dxfId="11327" priority="2242">
      <formula>$A300="Overhead Cable"</formula>
    </cfRule>
    <cfRule type="expression" dxfId="11326" priority="2243">
      <formula>$A300="Level Crossing"</formula>
    </cfRule>
    <cfRule type="expression" dxfId="11325" priority="2244">
      <formula>$A300="Neutral Section"</formula>
    </cfRule>
    <cfRule type="expression" dxfId="11324" priority="2245">
      <formula>$A300="Tunnel"</formula>
    </cfRule>
    <cfRule type="expression" dxfId="11323" priority="2246">
      <formula>$A300="Bridge"</formula>
    </cfRule>
    <cfRule type="expression" dxfId="11322" priority="2247">
      <formula>$A300="Drainage Works"</formula>
    </cfRule>
    <cfRule type="expression" dxfId="11321" priority="2248">
      <formula>$A300="Underpass"</formula>
    </cfRule>
    <cfRule type="expression" dxfId="11320" priority="2249">
      <formula>$A300="Overcrossing"</formula>
    </cfRule>
    <cfRule type="expression" dxfId="11319" priority="2250">
      <formula>$A300="Overpass"</formula>
    </cfRule>
    <cfRule type="expression" dxfId="11318" priority="2251">
      <formula>$A300="Station"</formula>
    </cfRule>
    <cfRule type="expression" dxfId="11317" priority="2252">
      <formula>$A300="Overlap between sections"</formula>
    </cfRule>
  </conditionalFormatting>
  <conditionalFormatting sqref="AX300">
    <cfRule type="expression" dxfId="11316" priority="2239">
      <formula>$M300="NON DEFINED"</formula>
    </cfRule>
    <cfRule type="expression" dxfId="11315" priority="2240">
      <formula>$AZ300="N.D."</formula>
    </cfRule>
    <cfRule type="expression" dxfId="11314" priority="2241">
      <formula>$AY300="N.D."</formula>
    </cfRule>
  </conditionalFormatting>
  <conditionalFormatting sqref="AX300">
    <cfRule type="expression" dxfId="11313" priority="2228">
      <formula>$A300="Overhead Cable"</formula>
    </cfRule>
    <cfRule type="expression" dxfId="11312" priority="2229">
      <formula>$A300="Level Crossing"</formula>
    </cfRule>
    <cfRule type="expression" dxfId="11311" priority="2230">
      <formula>$A300="Neutral Section"</formula>
    </cfRule>
    <cfRule type="expression" dxfId="11310" priority="2231">
      <formula>$A300="Tunnel"</formula>
    </cfRule>
    <cfRule type="expression" dxfId="11309" priority="2232">
      <formula>$A300="Bridge"</formula>
    </cfRule>
    <cfRule type="expression" dxfId="11308" priority="2233">
      <formula>$A300="Drainage Works"</formula>
    </cfRule>
    <cfRule type="expression" dxfId="11307" priority="2234">
      <formula>$A300="Underpass"</formula>
    </cfRule>
    <cfRule type="expression" dxfId="11306" priority="2235">
      <formula>$A300="Overcrossing"</formula>
    </cfRule>
    <cfRule type="expression" dxfId="11305" priority="2236">
      <formula>$A300="Overpass"</formula>
    </cfRule>
    <cfRule type="expression" dxfId="11304" priority="2237">
      <formula>$A300="Station"</formula>
    </cfRule>
    <cfRule type="expression" dxfId="11303" priority="2238">
      <formula>$A300="Overlap between sections"</formula>
    </cfRule>
  </conditionalFormatting>
  <conditionalFormatting sqref="AW302">
    <cfRule type="expression" dxfId="11302" priority="2225">
      <formula>$M302="NON DEFINED"</formula>
    </cfRule>
    <cfRule type="expression" dxfId="11301" priority="2226">
      <formula>$AZ302="N.D."</formula>
    </cfRule>
    <cfRule type="expression" dxfId="11300" priority="2227">
      <formula>$AY302="N.D."</formula>
    </cfRule>
  </conditionalFormatting>
  <conditionalFormatting sqref="AW302">
    <cfRule type="expression" dxfId="11299" priority="2214">
      <formula>$A302="Overhead Cable"</formula>
    </cfRule>
    <cfRule type="expression" dxfId="11298" priority="2215">
      <formula>$A302="Level Crossing"</formula>
    </cfRule>
    <cfRule type="expression" dxfId="11297" priority="2216">
      <formula>$A302="Neutral Section"</formula>
    </cfRule>
    <cfRule type="expression" dxfId="11296" priority="2217">
      <formula>$A302="Tunnel"</formula>
    </cfRule>
    <cfRule type="expression" dxfId="11295" priority="2218">
      <formula>$A302="Bridge"</formula>
    </cfRule>
    <cfRule type="expression" dxfId="11294" priority="2219">
      <formula>$A302="Drainage Works"</formula>
    </cfRule>
    <cfRule type="expression" dxfId="11293" priority="2220">
      <formula>$A302="Underpass"</formula>
    </cfRule>
    <cfRule type="expression" dxfId="11292" priority="2221">
      <formula>$A302="Overcrossing"</formula>
    </cfRule>
    <cfRule type="expression" dxfId="11291" priority="2222">
      <formula>$A302="Overpass"</formula>
    </cfRule>
    <cfRule type="expression" dxfId="11290" priority="2223">
      <formula>$A302="Station"</formula>
    </cfRule>
    <cfRule type="expression" dxfId="11289" priority="2224">
      <formula>$A302="Overlap between sections"</formula>
    </cfRule>
  </conditionalFormatting>
  <conditionalFormatting sqref="AX302">
    <cfRule type="expression" dxfId="11288" priority="2211">
      <formula>$M302="NON DEFINED"</formula>
    </cfRule>
    <cfRule type="expression" dxfId="11287" priority="2212">
      <formula>$AZ302="N.D."</formula>
    </cfRule>
    <cfRule type="expression" dxfId="11286" priority="2213">
      <formula>$AY302="N.D."</formula>
    </cfRule>
  </conditionalFormatting>
  <conditionalFormatting sqref="AX302">
    <cfRule type="expression" dxfId="11285" priority="2200">
      <formula>$A302="Overhead Cable"</formula>
    </cfRule>
    <cfRule type="expression" dxfId="11284" priority="2201">
      <formula>$A302="Level Crossing"</formula>
    </cfRule>
    <cfRule type="expression" dxfId="11283" priority="2202">
      <formula>$A302="Neutral Section"</formula>
    </cfRule>
    <cfRule type="expression" dxfId="11282" priority="2203">
      <formula>$A302="Tunnel"</formula>
    </cfRule>
    <cfRule type="expression" dxfId="11281" priority="2204">
      <formula>$A302="Bridge"</formula>
    </cfRule>
    <cfRule type="expression" dxfId="11280" priority="2205">
      <formula>$A302="Drainage Works"</formula>
    </cfRule>
    <cfRule type="expression" dxfId="11279" priority="2206">
      <formula>$A302="Underpass"</formula>
    </cfRule>
    <cfRule type="expression" dxfId="11278" priority="2207">
      <formula>$A302="Overcrossing"</formula>
    </cfRule>
    <cfRule type="expression" dxfId="11277" priority="2208">
      <formula>$A302="Overpass"</formula>
    </cfRule>
    <cfRule type="expression" dxfId="11276" priority="2209">
      <formula>$A302="Station"</formula>
    </cfRule>
    <cfRule type="expression" dxfId="11275" priority="2210">
      <formula>$A302="Overlap between sections"</formula>
    </cfRule>
  </conditionalFormatting>
  <conditionalFormatting sqref="AW304">
    <cfRule type="expression" dxfId="11274" priority="2197">
      <formula>$M304="NON DEFINED"</formula>
    </cfRule>
    <cfRule type="expression" dxfId="11273" priority="2198">
      <formula>$AZ304="N.D."</formula>
    </cfRule>
    <cfRule type="expression" dxfId="11272" priority="2199">
      <formula>$AY304="N.D."</formula>
    </cfRule>
  </conditionalFormatting>
  <conditionalFormatting sqref="AW304">
    <cfRule type="expression" dxfId="11271" priority="2186">
      <formula>$A304="Overhead Cable"</formula>
    </cfRule>
    <cfRule type="expression" dxfId="11270" priority="2187">
      <formula>$A304="Level Crossing"</formula>
    </cfRule>
    <cfRule type="expression" dxfId="11269" priority="2188">
      <formula>$A304="Neutral Section"</formula>
    </cfRule>
    <cfRule type="expression" dxfId="11268" priority="2189">
      <formula>$A304="Tunnel"</formula>
    </cfRule>
    <cfRule type="expression" dxfId="11267" priority="2190">
      <formula>$A304="Bridge"</formula>
    </cfRule>
    <cfRule type="expression" dxfId="11266" priority="2191">
      <formula>$A304="Drainage Works"</formula>
    </cfRule>
    <cfRule type="expression" dxfId="11265" priority="2192">
      <formula>$A304="Underpass"</formula>
    </cfRule>
    <cfRule type="expression" dxfId="11264" priority="2193">
      <formula>$A304="Overcrossing"</formula>
    </cfRule>
    <cfRule type="expression" dxfId="11263" priority="2194">
      <formula>$A304="Overpass"</formula>
    </cfRule>
    <cfRule type="expression" dxfId="11262" priority="2195">
      <formula>$A304="Station"</formula>
    </cfRule>
    <cfRule type="expression" dxfId="11261" priority="2196">
      <formula>$A304="Overlap between sections"</formula>
    </cfRule>
  </conditionalFormatting>
  <conditionalFormatting sqref="AX304">
    <cfRule type="expression" dxfId="11260" priority="2183">
      <formula>$M304="NON DEFINED"</formula>
    </cfRule>
    <cfRule type="expression" dxfId="11259" priority="2184">
      <formula>$AZ304="N.D."</formula>
    </cfRule>
    <cfRule type="expression" dxfId="11258" priority="2185">
      <formula>$AY304="N.D."</formula>
    </cfRule>
  </conditionalFormatting>
  <conditionalFormatting sqref="AX304">
    <cfRule type="expression" dxfId="11257" priority="2172">
      <formula>$A304="Overhead Cable"</formula>
    </cfRule>
    <cfRule type="expression" dxfId="11256" priority="2173">
      <formula>$A304="Level Crossing"</formula>
    </cfRule>
    <cfRule type="expression" dxfId="11255" priority="2174">
      <formula>$A304="Neutral Section"</formula>
    </cfRule>
    <cfRule type="expression" dxfId="11254" priority="2175">
      <formula>$A304="Tunnel"</formula>
    </cfRule>
    <cfRule type="expression" dxfId="11253" priority="2176">
      <formula>$A304="Bridge"</formula>
    </cfRule>
    <cfRule type="expression" dxfId="11252" priority="2177">
      <formula>$A304="Drainage Works"</formula>
    </cfRule>
    <cfRule type="expression" dxfId="11251" priority="2178">
      <formula>$A304="Underpass"</formula>
    </cfRule>
    <cfRule type="expression" dxfId="11250" priority="2179">
      <formula>$A304="Overcrossing"</formula>
    </cfRule>
    <cfRule type="expression" dxfId="11249" priority="2180">
      <formula>$A304="Overpass"</formula>
    </cfRule>
    <cfRule type="expression" dxfId="11248" priority="2181">
      <formula>$A304="Station"</formula>
    </cfRule>
    <cfRule type="expression" dxfId="11247" priority="2182">
      <formula>$A304="Overlap between sections"</formula>
    </cfRule>
  </conditionalFormatting>
  <conditionalFormatting sqref="AW306">
    <cfRule type="expression" dxfId="11246" priority="2169">
      <formula>$M306="NON DEFINED"</formula>
    </cfRule>
    <cfRule type="expression" dxfId="11245" priority="2170">
      <formula>$AZ306="N.D."</formula>
    </cfRule>
    <cfRule type="expression" dxfId="11244" priority="2171">
      <formula>$AY306="N.D."</formula>
    </cfRule>
  </conditionalFormatting>
  <conditionalFormatting sqref="AW306">
    <cfRule type="expression" dxfId="11243" priority="2158">
      <formula>$A306="Overhead Cable"</formula>
    </cfRule>
    <cfRule type="expression" dxfId="11242" priority="2159">
      <formula>$A306="Level Crossing"</formula>
    </cfRule>
    <cfRule type="expression" dxfId="11241" priority="2160">
      <formula>$A306="Neutral Section"</formula>
    </cfRule>
    <cfRule type="expression" dxfId="11240" priority="2161">
      <formula>$A306="Tunnel"</formula>
    </cfRule>
    <cfRule type="expression" dxfId="11239" priority="2162">
      <formula>$A306="Bridge"</formula>
    </cfRule>
    <cfRule type="expression" dxfId="11238" priority="2163">
      <formula>$A306="Drainage Works"</formula>
    </cfRule>
    <cfRule type="expression" dxfId="11237" priority="2164">
      <formula>$A306="Underpass"</formula>
    </cfRule>
    <cfRule type="expression" dxfId="11236" priority="2165">
      <formula>$A306="Overcrossing"</formula>
    </cfRule>
    <cfRule type="expression" dxfId="11235" priority="2166">
      <formula>$A306="Overpass"</formula>
    </cfRule>
    <cfRule type="expression" dxfId="11234" priority="2167">
      <formula>$A306="Station"</formula>
    </cfRule>
    <cfRule type="expression" dxfId="11233" priority="2168">
      <formula>$A306="Overlap between sections"</formula>
    </cfRule>
  </conditionalFormatting>
  <conditionalFormatting sqref="AX306">
    <cfRule type="expression" dxfId="11232" priority="2155">
      <formula>$M306="NON DEFINED"</formula>
    </cfRule>
    <cfRule type="expression" dxfId="11231" priority="2156">
      <formula>$AZ306="N.D."</formula>
    </cfRule>
    <cfRule type="expression" dxfId="11230" priority="2157">
      <formula>$AY306="N.D."</formula>
    </cfRule>
  </conditionalFormatting>
  <conditionalFormatting sqref="AX306">
    <cfRule type="expression" dxfId="11229" priority="2144">
      <formula>$A306="Overhead Cable"</formula>
    </cfRule>
    <cfRule type="expression" dxfId="11228" priority="2145">
      <formula>$A306="Level Crossing"</formula>
    </cfRule>
    <cfRule type="expression" dxfId="11227" priority="2146">
      <formula>$A306="Neutral Section"</formula>
    </cfRule>
    <cfRule type="expression" dxfId="11226" priority="2147">
      <formula>$A306="Tunnel"</formula>
    </cfRule>
    <cfRule type="expression" dxfId="11225" priority="2148">
      <formula>$A306="Bridge"</formula>
    </cfRule>
    <cfRule type="expression" dxfId="11224" priority="2149">
      <formula>$A306="Drainage Works"</formula>
    </cfRule>
    <cfRule type="expression" dxfId="11223" priority="2150">
      <formula>$A306="Underpass"</formula>
    </cfRule>
    <cfRule type="expression" dxfId="11222" priority="2151">
      <formula>$A306="Overcrossing"</formula>
    </cfRule>
    <cfRule type="expression" dxfId="11221" priority="2152">
      <formula>$A306="Overpass"</formula>
    </cfRule>
    <cfRule type="expression" dxfId="11220" priority="2153">
      <formula>$A306="Station"</formula>
    </cfRule>
    <cfRule type="expression" dxfId="11219" priority="2154">
      <formula>$A306="Overlap between sections"</formula>
    </cfRule>
  </conditionalFormatting>
  <conditionalFormatting sqref="AW308">
    <cfRule type="expression" dxfId="11218" priority="2141">
      <formula>$M308="NON DEFINED"</formula>
    </cfRule>
    <cfRule type="expression" dxfId="11217" priority="2142">
      <formula>$AZ308="N.D."</formula>
    </cfRule>
    <cfRule type="expression" dxfId="11216" priority="2143">
      <formula>$AY308="N.D."</formula>
    </cfRule>
  </conditionalFormatting>
  <conditionalFormatting sqref="AW308">
    <cfRule type="expression" dxfId="11215" priority="2130">
      <formula>$A308="Overhead Cable"</formula>
    </cfRule>
    <cfRule type="expression" dxfId="11214" priority="2131">
      <formula>$A308="Level Crossing"</formula>
    </cfRule>
    <cfRule type="expression" dxfId="11213" priority="2132">
      <formula>$A308="Neutral Section"</formula>
    </cfRule>
    <cfRule type="expression" dxfId="11212" priority="2133">
      <formula>$A308="Tunnel"</formula>
    </cfRule>
    <cfRule type="expression" dxfId="11211" priority="2134">
      <formula>$A308="Bridge"</formula>
    </cfRule>
    <cfRule type="expression" dxfId="11210" priority="2135">
      <formula>$A308="Drainage Works"</formula>
    </cfRule>
    <cfRule type="expression" dxfId="11209" priority="2136">
      <formula>$A308="Underpass"</formula>
    </cfRule>
    <cfRule type="expression" dxfId="11208" priority="2137">
      <formula>$A308="Overcrossing"</formula>
    </cfRule>
    <cfRule type="expression" dxfId="11207" priority="2138">
      <formula>$A308="Overpass"</formula>
    </cfRule>
    <cfRule type="expression" dxfId="11206" priority="2139">
      <formula>$A308="Station"</formula>
    </cfRule>
    <cfRule type="expression" dxfId="11205" priority="2140">
      <formula>$A308="Overlap between sections"</formula>
    </cfRule>
  </conditionalFormatting>
  <conditionalFormatting sqref="AX308">
    <cfRule type="expression" dxfId="11204" priority="2127">
      <formula>$M308="NON DEFINED"</formula>
    </cfRule>
    <cfRule type="expression" dxfId="11203" priority="2128">
      <formula>$AZ308="N.D."</formula>
    </cfRule>
    <cfRule type="expression" dxfId="11202" priority="2129">
      <formula>$AY308="N.D."</formula>
    </cfRule>
  </conditionalFormatting>
  <conditionalFormatting sqref="AX308">
    <cfRule type="expression" dxfId="11201" priority="2116">
      <formula>$A308="Overhead Cable"</formula>
    </cfRule>
    <cfRule type="expression" dxfId="11200" priority="2117">
      <formula>$A308="Level Crossing"</formula>
    </cfRule>
    <cfRule type="expression" dxfId="11199" priority="2118">
      <formula>$A308="Neutral Section"</formula>
    </cfRule>
    <cfRule type="expression" dxfId="11198" priority="2119">
      <formula>$A308="Tunnel"</formula>
    </cfRule>
    <cfRule type="expression" dxfId="11197" priority="2120">
      <formula>$A308="Bridge"</formula>
    </cfRule>
    <cfRule type="expression" dxfId="11196" priority="2121">
      <formula>$A308="Drainage Works"</formula>
    </cfRule>
    <cfRule type="expression" dxfId="11195" priority="2122">
      <formula>$A308="Underpass"</formula>
    </cfRule>
    <cfRule type="expression" dxfId="11194" priority="2123">
      <formula>$A308="Overcrossing"</formula>
    </cfRule>
    <cfRule type="expression" dxfId="11193" priority="2124">
      <formula>$A308="Overpass"</formula>
    </cfRule>
    <cfRule type="expression" dxfId="11192" priority="2125">
      <formula>$A308="Station"</formula>
    </cfRule>
    <cfRule type="expression" dxfId="11191" priority="2126">
      <formula>$A308="Overlap between sections"</formula>
    </cfRule>
  </conditionalFormatting>
  <conditionalFormatting sqref="AW310">
    <cfRule type="expression" dxfId="11190" priority="2113">
      <formula>$M310="NON DEFINED"</formula>
    </cfRule>
    <cfRule type="expression" dxfId="11189" priority="2114">
      <formula>$AZ310="N.D."</formula>
    </cfRule>
    <cfRule type="expression" dxfId="11188" priority="2115">
      <formula>$AY310="N.D."</formula>
    </cfRule>
  </conditionalFormatting>
  <conditionalFormatting sqref="AW310">
    <cfRule type="expression" dxfId="11187" priority="2102">
      <formula>$A310="Overhead Cable"</formula>
    </cfRule>
    <cfRule type="expression" dxfId="11186" priority="2103">
      <formula>$A310="Level Crossing"</formula>
    </cfRule>
    <cfRule type="expression" dxfId="11185" priority="2104">
      <formula>$A310="Neutral Section"</formula>
    </cfRule>
    <cfRule type="expression" dxfId="11184" priority="2105">
      <formula>$A310="Tunnel"</formula>
    </cfRule>
    <cfRule type="expression" dxfId="11183" priority="2106">
      <formula>$A310="Bridge"</formula>
    </cfRule>
    <cfRule type="expression" dxfId="11182" priority="2107">
      <formula>$A310="Drainage Works"</formula>
    </cfRule>
    <cfRule type="expression" dxfId="11181" priority="2108">
      <formula>$A310="Underpass"</formula>
    </cfRule>
    <cfRule type="expression" dxfId="11180" priority="2109">
      <formula>$A310="Overcrossing"</formula>
    </cfRule>
    <cfRule type="expression" dxfId="11179" priority="2110">
      <formula>$A310="Overpass"</formula>
    </cfRule>
    <cfRule type="expression" dxfId="11178" priority="2111">
      <formula>$A310="Station"</formula>
    </cfRule>
    <cfRule type="expression" dxfId="11177" priority="2112">
      <formula>$A310="Overlap between sections"</formula>
    </cfRule>
  </conditionalFormatting>
  <conditionalFormatting sqref="AX310">
    <cfRule type="expression" dxfId="11176" priority="2099">
      <formula>$M310="NON DEFINED"</formula>
    </cfRule>
    <cfRule type="expression" dxfId="11175" priority="2100">
      <formula>$AZ310="N.D."</formula>
    </cfRule>
    <cfRule type="expression" dxfId="11174" priority="2101">
      <formula>$AY310="N.D."</formula>
    </cfRule>
  </conditionalFormatting>
  <conditionalFormatting sqref="AX310">
    <cfRule type="expression" dxfId="11173" priority="2088">
      <formula>$A310="Overhead Cable"</formula>
    </cfRule>
    <cfRule type="expression" dxfId="11172" priority="2089">
      <formula>$A310="Level Crossing"</formula>
    </cfRule>
    <cfRule type="expression" dxfId="11171" priority="2090">
      <formula>$A310="Neutral Section"</formula>
    </cfRule>
    <cfRule type="expression" dxfId="11170" priority="2091">
      <formula>$A310="Tunnel"</formula>
    </cfRule>
    <cfRule type="expression" dxfId="11169" priority="2092">
      <formula>$A310="Bridge"</formula>
    </cfRule>
    <cfRule type="expression" dxfId="11168" priority="2093">
      <formula>$A310="Drainage Works"</formula>
    </cfRule>
    <cfRule type="expression" dxfId="11167" priority="2094">
      <formula>$A310="Underpass"</formula>
    </cfRule>
    <cfRule type="expression" dxfId="11166" priority="2095">
      <formula>$A310="Overcrossing"</formula>
    </cfRule>
    <cfRule type="expression" dxfId="11165" priority="2096">
      <formula>$A310="Overpass"</formula>
    </cfRule>
    <cfRule type="expression" dxfId="11164" priority="2097">
      <formula>$A310="Station"</formula>
    </cfRule>
    <cfRule type="expression" dxfId="11163" priority="2098">
      <formula>$A310="Overlap between sections"</formula>
    </cfRule>
  </conditionalFormatting>
  <conditionalFormatting sqref="AW312">
    <cfRule type="expression" dxfId="11162" priority="2085">
      <formula>$M312="NON DEFINED"</formula>
    </cfRule>
    <cfRule type="expression" dxfId="11161" priority="2086">
      <formula>$AZ312="N.D."</formula>
    </cfRule>
    <cfRule type="expression" dxfId="11160" priority="2087">
      <formula>$AY312="N.D."</formula>
    </cfRule>
  </conditionalFormatting>
  <conditionalFormatting sqref="AW312">
    <cfRule type="expression" dxfId="11159" priority="2074">
      <formula>$A312="Overhead Cable"</formula>
    </cfRule>
    <cfRule type="expression" dxfId="11158" priority="2075">
      <formula>$A312="Level Crossing"</formula>
    </cfRule>
    <cfRule type="expression" dxfId="11157" priority="2076">
      <formula>$A312="Neutral Section"</formula>
    </cfRule>
    <cfRule type="expression" dxfId="11156" priority="2077">
      <formula>$A312="Tunnel"</formula>
    </cfRule>
    <cfRule type="expression" dxfId="11155" priority="2078">
      <formula>$A312="Bridge"</formula>
    </cfRule>
    <cfRule type="expression" dxfId="11154" priority="2079">
      <formula>$A312="Drainage Works"</formula>
    </cfRule>
    <cfRule type="expression" dxfId="11153" priority="2080">
      <formula>$A312="Underpass"</formula>
    </cfRule>
    <cfRule type="expression" dxfId="11152" priority="2081">
      <formula>$A312="Overcrossing"</formula>
    </cfRule>
    <cfRule type="expression" dxfId="11151" priority="2082">
      <formula>$A312="Overpass"</formula>
    </cfRule>
    <cfRule type="expression" dxfId="11150" priority="2083">
      <formula>$A312="Station"</formula>
    </cfRule>
    <cfRule type="expression" dxfId="11149" priority="2084">
      <formula>$A312="Overlap between sections"</formula>
    </cfRule>
  </conditionalFormatting>
  <conditionalFormatting sqref="AX312">
    <cfRule type="expression" dxfId="11148" priority="2071">
      <formula>$M312="NON DEFINED"</formula>
    </cfRule>
    <cfRule type="expression" dxfId="11147" priority="2072">
      <formula>$AZ312="N.D."</formula>
    </cfRule>
    <cfRule type="expression" dxfId="11146" priority="2073">
      <formula>$AY312="N.D."</formula>
    </cfRule>
  </conditionalFormatting>
  <conditionalFormatting sqref="AX312">
    <cfRule type="expression" dxfId="11145" priority="2060">
      <formula>$A312="Overhead Cable"</formula>
    </cfRule>
    <cfRule type="expression" dxfId="11144" priority="2061">
      <formula>$A312="Level Crossing"</formula>
    </cfRule>
    <cfRule type="expression" dxfId="11143" priority="2062">
      <formula>$A312="Neutral Section"</formula>
    </cfRule>
    <cfRule type="expression" dxfId="11142" priority="2063">
      <formula>$A312="Tunnel"</formula>
    </cfRule>
    <cfRule type="expression" dxfId="11141" priority="2064">
      <formula>$A312="Bridge"</formula>
    </cfRule>
    <cfRule type="expression" dxfId="11140" priority="2065">
      <formula>$A312="Drainage Works"</formula>
    </cfRule>
    <cfRule type="expression" dxfId="11139" priority="2066">
      <formula>$A312="Underpass"</formula>
    </cfRule>
    <cfRule type="expression" dxfId="11138" priority="2067">
      <formula>$A312="Overcrossing"</formula>
    </cfRule>
    <cfRule type="expression" dxfId="11137" priority="2068">
      <formula>$A312="Overpass"</formula>
    </cfRule>
    <cfRule type="expression" dxfId="11136" priority="2069">
      <formula>$A312="Station"</formula>
    </cfRule>
    <cfRule type="expression" dxfId="11135" priority="2070">
      <formula>$A312="Overlap between sections"</formula>
    </cfRule>
  </conditionalFormatting>
  <conditionalFormatting sqref="AW314">
    <cfRule type="expression" dxfId="11134" priority="2057">
      <formula>$M314="NON DEFINED"</formula>
    </cfRule>
    <cfRule type="expression" dxfId="11133" priority="2058">
      <formula>$AZ314="N.D."</formula>
    </cfRule>
    <cfRule type="expression" dxfId="11132" priority="2059">
      <formula>$AY314="N.D."</formula>
    </cfRule>
  </conditionalFormatting>
  <conditionalFormatting sqref="AW314">
    <cfRule type="expression" dxfId="11131" priority="2046">
      <formula>$A314="Overhead Cable"</formula>
    </cfRule>
    <cfRule type="expression" dxfId="11130" priority="2047">
      <formula>$A314="Level Crossing"</formula>
    </cfRule>
    <cfRule type="expression" dxfId="11129" priority="2048">
      <formula>$A314="Neutral Section"</formula>
    </cfRule>
    <cfRule type="expression" dxfId="11128" priority="2049">
      <formula>$A314="Tunnel"</formula>
    </cfRule>
    <cfRule type="expression" dxfId="11127" priority="2050">
      <formula>$A314="Bridge"</formula>
    </cfRule>
    <cfRule type="expression" dxfId="11126" priority="2051">
      <formula>$A314="Drainage Works"</formula>
    </cfRule>
    <cfRule type="expression" dxfId="11125" priority="2052">
      <formula>$A314="Underpass"</formula>
    </cfRule>
    <cfRule type="expression" dxfId="11124" priority="2053">
      <formula>$A314="Overcrossing"</formula>
    </cfRule>
    <cfRule type="expression" dxfId="11123" priority="2054">
      <formula>$A314="Overpass"</formula>
    </cfRule>
    <cfRule type="expression" dxfId="11122" priority="2055">
      <formula>$A314="Station"</formula>
    </cfRule>
    <cfRule type="expression" dxfId="11121" priority="2056">
      <formula>$A314="Overlap between sections"</formula>
    </cfRule>
  </conditionalFormatting>
  <conditionalFormatting sqref="AX314">
    <cfRule type="expression" dxfId="11120" priority="2043">
      <formula>$M314="NON DEFINED"</formula>
    </cfRule>
    <cfRule type="expression" dxfId="11119" priority="2044">
      <formula>$AZ314="N.D."</formula>
    </cfRule>
    <cfRule type="expression" dxfId="11118" priority="2045">
      <formula>$AY314="N.D."</formula>
    </cfRule>
  </conditionalFormatting>
  <conditionalFormatting sqref="AX314">
    <cfRule type="expression" dxfId="11117" priority="2032">
      <formula>$A314="Overhead Cable"</formula>
    </cfRule>
    <cfRule type="expression" dxfId="11116" priority="2033">
      <formula>$A314="Level Crossing"</formula>
    </cfRule>
    <cfRule type="expression" dxfId="11115" priority="2034">
      <formula>$A314="Neutral Section"</formula>
    </cfRule>
    <cfRule type="expression" dxfId="11114" priority="2035">
      <formula>$A314="Tunnel"</formula>
    </cfRule>
    <cfRule type="expression" dxfId="11113" priority="2036">
      <formula>$A314="Bridge"</formula>
    </cfRule>
    <cfRule type="expression" dxfId="11112" priority="2037">
      <formula>$A314="Drainage Works"</formula>
    </cfRule>
    <cfRule type="expression" dxfId="11111" priority="2038">
      <formula>$A314="Underpass"</formula>
    </cfRule>
    <cfRule type="expression" dxfId="11110" priority="2039">
      <formula>$A314="Overcrossing"</formula>
    </cfRule>
    <cfRule type="expression" dxfId="11109" priority="2040">
      <formula>$A314="Overpass"</formula>
    </cfRule>
    <cfRule type="expression" dxfId="11108" priority="2041">
      <formula>$A314="Station"</formula>
    </cfRule>
    <cfRule type="expression" dxfId="11107" priority="2042">
      <formula>$A314="Overlap between sections"</formula>
    </cfRule>
  </conditionalFormatting>
  <conditionalFormatting sqref="AW316">
    <cfRule type="expression" dxfId="11106" priority="2029">
      <formula>$M316="NON DEFINED"</formula>
    </cfRule>
    <cfRule type="expression" dxfId="11105" priority="2030">
      <formula>$AZ316="N.D."</formula>
    </cfRule>
    <cfRule type="expression" dxfId="11104" priority="2031">
      <formula>$AY316="N.D."</formula>
    </cfRule>
  </conditionalFormatting>
  <conditionalFormatting sqref="AW316">
    <cfRule type="expression" dxfId="11103" priority="2018">
      <formula>$A316="Overhead Cable"</formula>
    </cfRule>
    <cfRule type="expression" dxfId="11102" priority="2019">
      <formula>$A316="Level Crossing"</formula>
    </cfRule>
    <cfRule type="expression" dxfId="11101" priority="2020">
      <formula>$A316="Neutral Section"</formula>
    </cfRule>
    <cfRule type="expression" dxfId="11100" priority="2021">
      <formula>$A316="Tunnel"</formula>
    </cfRule>
    <cfRule type="expression" dxfId="11099" priority="2022">
      <formula>$A316="Bridge"</formula>
    </cfRule>
    <cfRule type="expression" dxfId="11098" priority="2023">
      <formula>$A316="Drainage Works"</formula>
    </cfRule>
    <cfRule type="expression" dxfId="11097" priority="2024">
      <formula>$A316="Underpass"</formula>
    </cfRule>
    <cfRule type="expression" dxfId="11096" priority="2025">
      <formula>$A316="Overcrossing"</formula>
    </cfRule>
    <cfRule type="expression" dxfId="11095" priority="2026">
      <formula>$A316="Overpass"</formula>
    </cfRule>
    <cfRule type="expression" dxfId="11094" priority="2027">
      <formula>$A316="Station"</formula>
    </cfRule>
    <cfRule type="expression" dxfId="11093" priority="2028">
      <formula>$A316="Overlap between sections"</formula>
    </cfRule>
  </conditionalFormatting>
  <conditionalFormatting sqref="AX316">
    <cfRule type="expression" dxfId="11092" priority="2015">
      <formula>$M316="NON DEFINED"</formula>
    </cfRule>
    <cfRule type="expression" dxfId="11091" priority="2016">
      <formula>$AZ316="N.D."</formula>
    </cfRule>
    <cfRule type="expression" dxfId="11090" priority="2017">
      <formula>$AY316="N.D."</formula>
    </cfRule>
  </conditionalFormatting>
  <conditionalFormatting sqref="AX316">
    <cfRule type="expression" dxfId="11089" priority="2004">
      <formula>$A316="Overhead Cable"</formula>
    </cfRule>
    <cfRule type="expression" dxfId="11088" priority="2005">
      <formula>$A316="Level Crossing"</formula>
    </cfRule>
    <cfRule type="expression" dxfId="11087" priority="2006">
      <formula>$A316="Neutral Section"</formula>
    </cfRule>
    <cfRule type="expression" dxfId="11086" priority="2007">
      <formula>$A316="Tunnel"</formula>
    </cfRule>
    <cfRule type="expression" dxfId="11085" priority="2008">
      <formula>$A316="Bridge"</formula>
    </cfRule>
    <cfRule type="expression" dxfId="11084" priority="2009">
      <formula>$A316="Drainage Works"</formula>
    </cfRule>
    <cfRule type="expression" dxfId="11083" priority="2010">
      <formula>$A316="Underpass"</formula>
    </cfRule>
    <cfRule type="expression" dxfId="11082" priority="2011">
      <formula>$A316="Overcrossing"</formula>
    </cfRule>
    <cfRule type="expression" dxfId="11081" priority="2012">
      <formula>$A316="Overpass"</formula>
    </cfRule>
    <cfRule type="expression" dxfId="11080" priority="2013">
      <formula>$A316="Station"</formula>
    </cfRule>
    <cfRule type="expression" dxfId="11079" priority="2014">
      <formula>$A316="Overlap between sections"</formula>
    </cfRule>
  </conditionalFormatting>
  <conditionalFormatting sqref="AW318">
    <cfRule type="expression" dxfId="11078" priority="2001">
      <formula>$M318="NON DEFINED"</formula>
    </cfRule>
    <cfRule type="expression" dxfId="11077" priority="2002">
      <formula>$AZ318="N.D."</formula>
    </cfRule>
    <cfRule type="expression" dxfId="11076" priority="2003">
      <formula>$AY318="N.D."</formula>
    </cfRule>
  </conditionalFormatting>
  <conditionalFormatting sqref="AW318">
    <cfRule type="expression" dxfId="11075" priority="1990">
      <formula>$A318="Overhead Cable"</formula>
    </cfRule>
    <cfRule type="expression" dxfId="11074" priority="1991">
      <formula>$A318="Level Crossing"</formula>
    </cfRule>
    <cfRule type="expression" dxfId="11073" priority="1992">
      <formula>$A318="Neutral Section"</formula>
    </cfRule>
    <cfRule type="expression" dxfId="11072" priority="1993">
      <formula>$A318="Tunnel"</formula>
    </cfRule>
    <cfRule type="expression" dxfId="11071" priority="1994">
      <formula>$A318="Bridge"</formula>
    </cfRule>
    <cfRule type="expression" dxfId="11070" priority="1995">
      <formula>$A318="Drainage Works"</formula>
    </cfRule>
    <cfRule type="expression" dxfId="11069" priority="1996">
      <formula>$A318="Underpass"</formula>
    </cfRule>
    <cfRule type="expression" dxfId="11068" priority="1997">
      <formula>$A318="Overcrossing"</formula>
    </cfRule>
    <cfRule type="expression" dxfId="11067" priority="1998">
      <formula>$A318="Overpass"</formula>
    </cfRule>
    <cfRule type="expression" dxfId="11066" priority="1999">
      <formula>$A318="Station"</formula>
    </cfRule>
    <cfRule type="expression" dxfId="11065" priority="2000">
      <formula>$A318="Overlap between sections"</formula>
    </cfRule>
  </conditionalFormatting>
  <conditionalFormatting sqref="AX318">
    <cfRule type="expression" dxfId="11064" priority="1987">
      <formula>$M318="NON DEFINED"</formula>
    </cfRule>
    <cfRule type="expression" dxfId="11063" priority="1988">
      <formula>$AZ318="N.D."</formula>
    </cfRule>
    <cfRule type="expression" dxfId="11062" priority="1989">
      <formula>$AY318="N.D."</formula>
    </cfRule>
  </conditionalFormatting>
  <conditionalFormatting sqref="AX318">
    <cfRule type="expression" dxfId="11061" priority="1976">
      <formula>$A318="Overhead Cable"</formula>
    </cfRule>
    <cfRule type="expression" dxfId="11060" priority="1977">
      <formula>$A318="Level Crossing"</formula>
    </cfRule>
    <cfRule type="expression" dxfId="11059" priority="1978">
      <formula>$A318="Neutral Section"</formula>
    </cfRule>
    <cfRule type="expression" dxfId="11058" priority="1979">
      <formula>$A318="Tunnel"</formula>
    </cfRule>
    <cfRule type="expression" dxfId="11057" priority="1980">
      <formula>$A318="Bridge"</formula>
    </cfRule>
    <cfRule type="expression" dxfId="11056" priority="1981">
      <formula>$A318="Drainage Works"</formula>
    </cfRule>
    <cfRule type="expression" dxfId="11055" priority="1982">
      <formula>$A318="Underpass"</formula>
    </cfRule>
    <cfRule type="expression" dxfId="11054" priority="1983">
      <formula>$A318="Overcrossing"</formula>
    </cfRule>
    <cfRule type="expression" dxfId="11053" priority="1984">
      <formula>$A318="Overpass"</formula>
    </cfRule>
    <cfRule type="expression" dxfId="11052" priority="1985">
      <formula>$A318="Station"</formula>
    </cfRule>
    <cfRule type="expression" dxfId="11051" priority="1986">
      <formula>$A318="Overlap between sections"</formula>
    </cfRule>
  </conditionalFormatting>
  <conditionalFormatting sqref="AW320">
    <cfRule type="expression" dxfId="11050" priority="1973">
      <formula>$M320="NON DEFINED"</formula>
    </cfRule>
    <cfRule type="expression" dxfId="11049" priority="1974">
      <formula>$AZ320="N.D."</formula>
    </cfRule>
    <cfRule type="expression" dxfId="11048" priority="1975">
      <formula>$AY320="N.D."</formula>
    </cfRule>
  </conditionalFormatting>
  <conditionalFormatting sqref="AW320">
    <cfRule type="expression" dxfId="11047" priority="1962">
      <formula>$A320="Overhead Cable"</formula>
    </cfRule>
    <cfRule type="expression" dxfId="11046" priority="1963">
      <formula>$A320="Level Crossing"</formula>
    </cfRule>
    <cfRule type="expression" dxfId="11045" priority="1964">
      <formula>$A320="Neutral Section"</formula>
    </cfRule>
    <cfRule type="expression" dxfId="11044" priority="1965">
      <formula>$A320="Tunnel"</formula>
    </cfRule>
    <cfRule type="expression" dxfId="11043" priority="1966">
      <formula>$A320="Bridge"</formula>
    </cfRule>
    <cfRule type="expression" dxfId="11042" priority="1967">
      <formula>$A320="Drainage Works"</formula>
    </cfRule>
    <cfRule type="expression" dxfId="11041" priority="1968">
      <formula>$A320="Underpass"</formula>
    </cfRule>
    <cfRule type="expression" dxfId="11040" priority="1969">
      <formula>$A320="Overcrossing"</formula>
    </cfRule>
    <cfRule type="expression" dxfId="11039" priority="1970">
      <formula>$A320="Overpass"</formula>
    </cfRule>
    <cfRule type="expression" dxfId="11038" priority="1971">
      <formula>$A320="Station"</formula>
    </cfRule>
    <cfRule type="expression" dxfId="11037" priority="1972">
      <formula>$A320="Overlap between sections"</formula>
    </cfRule>
  </conditionalFormatting>
  <conditionalFormatting sqref="AX320">
    <cfRule type="expression" dxfId="11036" priority="1959">
      <formula>$M320="NON DEFINED"</formula>
    </cfRule>
    <cfRule type="expression" dxfId="11035" priority="1960">
      <formula>$AZ320="N.D."</formula>
    </cfRule>
    <cfRule type="expression" dxfId="11034" priority="1961">
      <formula>$AY320="N.D."</formula>
    </cfRule>
  </conditionalFormatting>
  <conditionalFormatting sqref="AX320">
    <cfRule type="expression" dxfId="11033" priority="1948">
      <formula>$A320="Overhead Cable"</formula>
    </cfRule>
    <cfRule type="expression" dxfId="11032" priority="1949">
      <formula>$A320="Level Crossing"</formula>
    </cfRule>
    <cfRule type="expression" dxfId="11031" priority="1950">
      <formula>$A320="Neutral Section"</formula>
    </cfRule>
    <cfRule type="expression" dxfId="11030" priority="1951">
      <formula>$A320="Tunnel"</formula>
    </cfRule>
    <cfRule type="expression" dxfId="11029" priority="1952">
      <formula>$A320="Bridge"</formula>
    </cfRule>
    <cfRule type="expression" dxfId="11028" priority="1953">
      <formula>$A320="Drainage Works"</formula>
    </cfRule>
    <cfRule type="expression" dxfId="11027" priority="1954">
      <formula>$A320="Underpass"</formula>
    </cfRule>
    <cfRule type="expression" dxfId="11026" priority="1955">
      <formula>$A320="Overcrossing"</formula>
    </cfRule>
    <cfRule type="expression" dxfId="11025" priority="1956">
      <formula>$A320="Overpass"</formula>
    </cfRule>
    <cfRule type="expression" dxfId="11024" priority="1957">
      <formula>$A320="Station"</formula>
    </cfRule>
    <cfRule type="expression" dxfId="11023" priority="1958">
      <formula>$A320="Overlap between sections"</formula>
    </cfRule>
  </conditionalFormatting>
  <conditionalFormatting sqref="AW322">
    <cfRule type="expression" dxfId="11022" priority="1945">
      <formula>$M322="NON DEFINED"</formula>
    </cfRule>
    <cfRule type="expression" dxfId="11021" priority="1946">
      <formula>$AZ322="N.D."</formula>
    </cfRule>
    <cfRule type="expression" dxfId="11020" priority="1947">
      <formula>$AY322="N.D."</formula>
    </cfRule>
  </conditionalFormatting>
  <conditionalFormatting sqref="AW322">
    <cfRule type="expression" dxfId="11019" priority="1934">
      <formula>$A322="Overhead Cable"</formula>
    </cfRule>
    <cfRule type="expression" dxfId="11018" priority="1935">
      <formula>$A322="Level Crossing"</formula>
    </cfRule>
    <cfRule type="expression" dxfId="11017" priority="1936">
      <formula>$A322="Neutral Section"</formula>
    </cfRule>
    <cfRule type="expression" dxfId="11016" priority="1937">
      <formula>$A322="Tunnel"</formula>
    </cfRule>
    <cfRule type="expression" dxfId="11015" priority="1938">
      <formula>$A322="Bridge"</formula>
    </cfRule>
    <cfRule type="expression" dxfId="11014" priority="1939">
      <formula>$A322="Drainage Works"</formula>
    </cfRule>
    <cfRule type="expression" dxfId="11013" priority="1940">
      <formula>$A322="Underpass"</formula>
    </cfRule>
    <cfRule type="expression" dxfId="11012" priority="1941">
      <formula>$A322="Overcrossing"</formula>
    </cfRule>
    <cfRule type="expression" dxfId="11011" priority="1942">
      <formula>$A322="Overpass"</formula>
    </cfRule>
    <cfRule type="expression" dxfId="11010" priority="1943">
      <formula>$A322="Station"</formula>
    </cfRule>
    <cfRule type="expression" dxfId="11009" priority="1944">
      <formula>$A322="Overlap between sections"</formula>
    </cfRule>
  </conditionalFormatting>
  <conditionalFormatting sqref="AX322">
    <cfRule type="expression" dxfId="11008" priority="1931">
      <formula>$M322="NON DEFINED"</formula>
    </cfRule>
    <cfRule type="expression" dxfId="11007" priority="1932">
      <formula>$AZ322="N.D."</formula>
    </cfRule>
    <cfRule type="expression" dxfId="11006" priority="1933">
      <formula>$AY322="N.D."</formula>
    </cfRule>
  </conditionalFormatting>
  <conditionalFormatting sqref="AX322">
    <cfRule type="expression" dxfId="11005" priority="1920">
      <formula>$A322="Overhead Cable"</formula>
    </cfRule>
    <cfRule type="expression" dxfId="11004" priority="1921">
      <formula>$A322="Level Crossing"</formula>
    </cfRule>
    <cfRule type="expression" dxfId="11003" priority="1922">
      <formula>$A322="Neutral Section"</formula>
    </cfRule>
    <cfRule type="expression" dxfId="11002" priority="1923">
      <formula>$A322="Tunnel"</formula>
    </cfRule>
    <cfRule type="expression" dxfId="11001" priority="1924">
      <formula>$A322="Bridge"</formula>
    </cfRule>
    <cfRule type="expression" dxfId="11000" priority="1925">
      <formula>$A322="Drainage Works"</formula>
    </cfRule>
    <cfRule type="expression" dxfId="10999" priority="1926">
      <formula>$A322="Underpass"</formula>
    </cfRule>
    <cfRule type="expression" dxfId="10998" priority="1927">
      <formula>$A322="Overcrossing"</formula>
    </cfRule>
    <cfRule type="expression" dxfId="10997" priority="1928">
      <formula>$A322="Overpass"</formula>
    </cfRule>
    <cfRule type="expression" dxfId="10996" priority="1929">
      <formula>$A322="Station"</formula>
    </cfRule>
    <cfRule type="expression" dxfId="10995" priority="1930">
      <formula>$A322="Overlap between sections"</formula>
    </cfRule>
  </conditionalFormatting>
  <conditionalFormatting sqref="AW324">
    <cfRule type="expression" dxfId="10994" priority="1917">
      <formula>$M324="NON DEFINED"</formula>
    </cfRule>
    <cfRule type="expression" dxfId="10993" priority="1918">
      <formula>$AZ324="N.D."</formula>
    </cfRule>
    <cfRule type="expression" dxfId="10992" priority="1919">
      <formula>$AY324="N.D."</formula>
    </cfRule>
  </conditionalFormatting>
  <conditionalFormatting sqref="AW324">
    <cfRule type="expression" dxfId="10991" priority="1906">
      <formula>$A324="Overhead Cable"</formula>
    </cfRule>
    <cfRule type="expression" dxfId="10990" priority="1907">
      <formula>$A324="Level Crossing"</formula>
    </cfRule>
    <cfRule type="expression" dxfId="10989" priority="1908">
      <formula>$A324="Neutral Section"</formula>
    </cfRule>
    <cfRule type="expression" dxfId="10988" priority="1909">
      <formula>$A324="Tunnel"</formula>
    </cfRule>
    <cfRule type="expression" dxfId="10987" priority="1910">
      <formula>$A324="Bridge"</formula>
    </cfRule>
    <cfRule type="expression" dxfId="10986" priority="1911">
      <formula>$A324="Drainage Works"</formula>
    </cfRule>
    <cfRule type="expression" dxfId="10985" priority="1912">
      <formula>$A324="Underpass"</formula>
    </cfRule>
    <cfRule type="expression" dxfId="10984" priority="1913">
      <formula>$A324="Overcrossing"</formula>
    </cfRule>
    <cfRule type="expression" dxfId="10983" priority="1914">
      <formula>$A324="Overpass"</formula>
    </cfRule>
    <cfRule type="expression" dxfId="10982" priority="1915">
      <formula>$A324="Station"</formula>
    </cfRule>
    <cfRule type="expression" dxfId="10981" priority="1916">
      <formula>$A324="Overlap between sections"</formula>
    </cfRule>
  </conditionalFormatting>
  <conditionalFormatting sqref="AX324">
    <cfRule type="expression" dxfId="10980" priority="1903">
      <formula>$M324="NON DEFINED"</formula>
    </cfRule>
    <cfRule type="expression" dxfId="10979" priority="1904">
      <formula>$AZ324="N.D."</formula>
    </cfRule>
    <cfRule type="expression" dxfId="10978" priority="1905">
      <formula>$AY324="N.D."</formula>
    </cfRule>
  </conditionalFormatting>
  <conditionalFormatting sqref="AX324">
    <cfRule type="expression" dxfId="10977" priority="1892">
      <formula>$A324="Overhead Cable"</formula>
    </cfRule>
    <cfRule type="expression" dxfId="10976" priority="1893">
      <formula>$A324="Level Crossing"</formula>
    </cfRule>
    <cfRule type="expression" dxfId="10975" priority="1894">
      <formula>$A324="Neutral Section"</formula>
    </cfRule>
    <cfRule type="expression" dxfId="10974" priority="1895">
      <formula>$A324="Tunnel"</formula>
    </cfRule>
    <cfRule type="expression" dxfId="10973" priority="1896">
      <formula>$A324="Bridge"</formula>
    </cfRule>
    <cfRule type="expression" dxfId="10972" priority="1897">
      <formula>$A324="Drainage Works"</formula>
    </cfRule>
    <cfRule type="expression" dxfId="10971" priority="1898">
      <formula>$A324="Underpass"</formula>
    </cfRule>
    <cfRule type="expression" dxfId="10970" priority="1899">
      <formula>$A324="Overcrossing"</formula>
    </cfRule>
    <cfRule type="expression" dxfId="10969" priority="1900">
      <formula>$A324="Overpass"</formula>
    </cfRule>
    <cfRule type="expression" dxfId="10968" priority="1901">
      <formula>$A324="Station"</formula>
    </cfRule>
    <cfRule type="expression" dxfId="10967" priority="1902">
      <formula>$A324="Overlap between sections"</formula>
    </cfRule>
  </conditionalFormatting>
  <conditionalFormatting sqref="AW326">
    <cfRule type="expression" dxfId="10966" priority="1889">
      <formula>$M326="NON DEFINED"</formula>
    </cfRule>
    <cfRule type="expression" dxfId="10965" priority="1890">
      <formula>$AZ326="N.D."</formula>
    </cfRule>
    <cfRule type="expression" dxfId="10964" priority="1891">
      <formula>$AY326="N.D."</formula>
    </cfRule>
  </conditionalFormatting>
  <conditionalFormatting sqref="AW326">
    <cfRule type="expression" dxfId="10963" priority="1878">
      <formula>$A326="Overhead Cable"</formula>
    </cfRule>
    <cfRule type="expression" dxfId="10962" priority="1879">
      <formula>$A326="Level Crossing"</formula>
    </cfRule>
    <cfRule type="expression" dxfId="10961" priority="1880">
      <formula>$A326="Neutral Section"</formula>
    </cfRule>
    <cfRule type="expression" dxfId="10960" priority="1881">
      <formula>$A326="Tunnel"</formula>
    </cfRule>
    <cfRule type="expression" dxfId="10959" priority="1882">
      <formula>$A326="Bridge"</formula>
    </cfRule>
    <cfRule type="expression" dxfId="10958" priority="1883">
      <formula>$A326="Drainage Works"</formula>
    </cfRule>
    <cfRule type="expression" dxfId="10957" priority="1884">
      <formula>$A326="Underpass"</formula>
    </cfRule>
    <cfRule type="expression" dxfId="10956" priority="1885">
      <formula>$A326="Overcrossing"</formula>
    </cfRule>
    <cfRule type="expression" dxfId="10955" priority="1886">
      <formula>$A326="Overpass"</formula>
    </cfRule>
    <cfRule type="expression" dxfId="10954" priority="1887">
      <formula>$A326="Station"</formula>
    </cfRule>
    <cfRule type="expression" dxfId="10953" priority="1888">
      <formula>$A326="Overlap between sections"</formula>
    </cfRule>
  </conditionalFormatting>
  <conditionalFormatting sqref="AX326">
    <cfRule type="expression" dxfId="10952" priority="1875">
      <formula>$M326="NON DEFINED"</formula>
    </cfRule>
    <cfRule type="expression" dxfId="10951" priority="1876">
      <formula>$AZ326="N.D."</formula>
    </cfRule>
    <cfRule type="expression" dxfId="10950" priority="1877">
      <formula>$AY326="N.D."</formula>
    </cfRule>
  </conditionalFormatting>
  <conditionalFormatting sqref="AX326">
    <cfRule type="expression" dxfId="10949" priority="1864">
      <formula>$A326="Overhead Cable"</formula>
    </cfRule>
    <cfRule type="expression" dxfId="10948" priority="1865">
      <formula>$A326="Level Crossing"</formula>
    </cfRule>
    <cfRule type="expression" dxfId="10947" priority="1866">
      <formula>$A326="Neutral Section"</formula>
    </cfRule>
    <cfRule type="expression" dxfId="10946" priority="1867">
      <formula>$A326="Tunnel"</formula>
    </cfRule>
    <cfRule type="expression" dxfId="10945" priority="1868">
      <formula>$A326="Bridge"</formula>
    </cfRule>
    <cfRule type="expression" dxfId="10944" priority="1869">
      <formula>$A326="Drainage Works"</formula>
    </cfRule>
    <cfRule type="expression" dxfId="10943" priority="1870">
      <formula>$A326="Underpass"</formula>
    </cfRule>
    <cfRule type="expression" dxfId="10942" priority="1871">
      <formula>$A326="Overcrossing"</formula>
    </cfRule>
    <cfRule type="expression" dxfId="10941" priority="1872">
      <formula>$A326="Overpass"</formula>
    </cfRule>
    <cfRule type="expression" dxfId="10940" priority="1873">
      <formula>$A326="Station"</formula>
    </cfRule>
    <cfRule type="expression" dxfId="10939" priority="1874">
      <formula>$A326="Overlap between sections"</formula>
    </cfRule>
  </conditionalFormatting>
  <conditionalFormatting sqref="AW328">
    <cfRule type="expression" dxfId="10938" priority="1861">
      <formula>$M328="NON DEFINED"</formula>
    </cfRule>
    <cfRule type="expression" dxfId="10937" priority="1862">
      <formula>$AZ328="N.D."</formula>
    </cfRule>
    <cfRule type="expression" dxfId="10936" priority="1863">
      <formula>$AY328="N.D."</formula>
    </cfRule>
  </conditionalFormatting>
  <conditionalFormatting sqref="AW328">
    <cfRule type="expression" dxfId="10935" priority="1850">
      <formula>$A328="Overhead Cable"</formula>
    </cfRule>
    <cfRule type="expression" dxfId="10934" priority="1851">
      <formula>$A328="Level Crossing"</formula>
    </cfRule>
    <cfRule type="expression" dxfId="10933" priority="1852">
      <formula>$A328="Neutral Section"</formula>
    </cfRule>
    <cfRule type="expression" dxfId="10932" priority="1853">
      <formula>$A328="Tunnel"</formula>
    </cfRule>
    <cfRule type="expression" dxfId="10931" priority="1854">
      <formula>$A328="Bridge"</formula>
    </cfRule>
    <cfRule type="expression" dxfId="10930" priority="1855">
      <formula>$A328="Drainage Works"</formula>
    </cfRule>
    <cfRule type="expression" dxfId="10929" priority="1856">
      <formula>$A328="Underpass"</formula>
    </cfRule>
    <cfRule type="expression" dxfId="10928" priority="1857">
      <formula>$A328="Overcrossing"</formula>
    </cfRule>
    <cfRule type="expression" dxfId="10927" priority="1858">
      <formula>$A328="Overpass"</formula>
    </cfRule>
    <cfRule type="expression" dxfId="10926" priority="1859">
      <formula>$A328="Station"</formula>
    </cfRule>
    <cfRule type="expression" dxfId="10925" priority="1860">
      <formula>$A328="Overlap between sections"</formula>
    </cfRule>
  </conditionalFormatting>
  <conditionalFormatting sqref="AX328">
    <cfRule type="expression" dxfId="10924" priority="1847">
      <formula>$M328="NON DEFINED"</formula>
    </cfRule>
    <cfRule type="expression" dxfId="10923" priority="1848">
      <formula>$AZ328="N.D."</formula>
    </cfRule>
    <cfRule type="expression" dxfId="10922" priority="1849">
      <formula>$AY328="N.D."</formula>
    </cfRule>
  </conditionalFormatting>
  <conditionalFormatting sqref="AX328">
    <cfRule type="expression" dxfId="10921" priority="1836">
      <formula>$A328="Overhead Cable"</formula>
    </cfRule>
    <cfRule type="expression" dxfId="10920" priority="1837">
      <formula>$A328="Level Crossing"</formula>
    </cfRule>
    <cfRule type="expression" dxfId="10919" priority="1838">
      <formula>$A328="Neutral Section"</formula>
    </cfRule>
    <cfRule type="expression" dxfId="10918" priority="1839">
      <formula>$A328="Tunnel"</formula>
    </cfRule>
    <cfRule type="expression" dxfId="10917" priority="1840">
      <formula>$A328="Bridge"</formula>
    </cfRule>
    <cfRule type="expression" dxfId="10916" priority="1841">
      <formula>$A328="Drainage Works"</formula>
    </cfRule>
    <cfRule type="expression" dxfId="10915" priority="1842">
      <formula>$A328="Underpass"</formula>
    </cfRule>
    <cfRule type="expression" dxfId="10914" priority="1843">
      <formula>$A328="Overcrossing"</formula>
    </cfRule>
    <cfRule type="expression" dxfId="10913" priority="1844">
      <formula>$A328="Overpass"</formula>
    </cfRule>
    <cfRule type="expression" dxfId="10912" priority="1845">
      <formula>$A328="Station"</formula>
    </cfRule>
    <cfRule type="expression" dxfId="10911" priority="1846">
      <formula>$A328="Overlap between sections"</formula>
    </cfRule>
  </conditionalFormatting>
  <conditionalFormatting sqref="AW330">
    <cfRule type="expression" dxfId="10910" priority="1833">
      <formula>$M330="NON DEFINED"</formula>
    </cfRule>
    <cfRule type="expression" dxfId="10909" priority="1834">
      <formula>$AZ330="N.D."</formula>
    </cfRule>
    <cfRule type="expression" dxfId="10908" priority="1835">
      <formula>$AY330="N.D."</formula>
    </cfRule>
  </conditionalFormatting>
  <conditionalFormatting sqref="AW330">
    <cfRule type="expression" dxfId="10907" priority="1822">
      <formula>$A330="Overhead Cable"</formula>
    </cfRule>
    <cfRule type="expression" dxfId="10906" priority="1823">
      <formula>$A330="Level Crossing"</formula>
    </cfRule>
    <cfRule type="expression" dxfId="10905" priority="1824">
      <formula>$A330="Neutral Section"</formula>
    </cfRule>
    <cfRule type="expression" dxfId="10904" priority="1825">
      <formula>$A330="Tunnel"</formula>
    </cfRule>
    <cfRule type="expression" dxfId="10903" priority="1826">
      <formula>$A330="Bridge"</formula>
    </cfRule>
    <cfRule type="expression" dxfId="10902" priority="1827">
      <formula>$A330="Drainage Works"</formula>
    </cfRule>
    <cfRule type="expression" dxfId="10901" priority="1828">
      <formula>$A330="Underpass"</formula>
    </cfRule>
    <cfRule type="expression" dxfId="10900" priority="1829">
      <formula>$A330="Overcrossing"</formula>
    </cfRule>
    <cfRule type="expression" dxfId="10899" priority="1830">
      <formula>$A330="Overpass"</formula>
    </cfRule>
    <cfRule type="expression" dxfId="10898" priority="1831">
      <formula>$A330="Station"</formula>
    </cfRule>
    <cfRule type="expression" dxfId="10897" priority="1832">
      <formula>$A330="Overlap between sections"</formula>
    </cfRule>
  </conditionalFormatting>
  <conditionalFormatting sqref="AX330">
    <cfRule type="expression" dxfId="10896" priority="1819">
      <formula>$M330="NON DEFINED"</formula>
    </cfRule>
    <cfRule type="expression" dxfId="10895" priority="1820">
      <formula>$AZ330="N.D."</formula>
    </cfRule>
    <cfRule type="expression" dxfId="10894" priority="1821">
      <formula>$AY330="N.D."</formula>
    </cfRule>
  </conditionalFormatting>
  <conditionalFormatting sqref="AX330">
    <cfRule type="expression" dxfId="10893" priority="1808">
      <formula>$A330="Overhead Cable"</formula>
    </cfRule>
    <cfRule type="expression" dxfId="10892" priority="1809">
      <formula>$A330="Level Crossing"</formula>
    </cfRule>
    <cfRule type="expression" dxfId="10891" priority="1810">
      <formula>$A330="Neutral Section"</formula>
    </cfRule>
    <cfRule type="expression" dxfId="10890" priority="1811">
      <formula>$A330="Tunnel"</formula>
    </cfRule>
    <cfRule type="expression" dxfId="10889" priority="1812">
      <formula>$A330="Bridge"</formula>
    </cfRule>
    <cfRule type="expression" dxfId="10888" priority="1813">
      <formula>$A330="Drainage Works"</formula>
    </cfRule>
    <cfRule type="expression" dxfId="10887" priority="1814">
      <formula>$A330="Underpass"</formula>
    </cfRule>
    <cfRule type="expression" dxfId="10886" priority="1815">
      <formula>$A330="Overcrossing"</formula>
    </cfRule>
    <cfRule type="expression" dxfId="10885" priority="1816">
      <formula>$A330="Overpass"</formula>
    </cfRule>
    <cfRule type="expression" dxfId="10884" priority="1817">
      <formula>$A330="Station"</formula>
    </cfRule>
    <cfRule type="expression" dxfId="10883" priority="1818">
      <formula>$A330="Overlap between sections"</formula>
    </cfRule>
  </conditionalFormatting>
  <conditionalFormatting sqref="AW332">
    <cfRule type="expression" dxfId="10882" priority="1805">
      <formula>$M332="NON DEFINED"</formula>
    </cfRule>
    <cfRule type="expression" dxfId="10881" priority="1806">
      <formula>$AZ332="N.D."</formula>
    </cfRule>
    <cfRule type="expression" dxfId="10880" priority="1807">
      <formula>$AY332="N.D."</formula>
    </cfRule>
  </conditionalFormatting>
  <conditionalFormatting sqref="AW332">
    <cfRule type="expression" dxfId="10879" priority="1794">
      <formula>$A332="Overhead Cable"</formula>
    </cfRule>
    <cfRule type="expression" dxfId="10878" priority="1795">
      <formula>$A332="Level Crossing"</formula>
    </cfRule>
    <cfRule type="expression" dxfId="10877" priority="1796">
      <formula>$A332="Neutral Section"</formula>
    </cfRule>
    <cfRule type="expression" dxfId="10876" priority="1797">
      <formula>$A332="Tunnel"</formula>
    </cfRule>
    <cfRule type="expression" dxfId="10875" priority="1798">
      <formula>$A332="Bridge"</formula>
    </cfRule>
    <cfRule type="expression" dxfId="10874" priority="1799">
      <formula>$A332="Drainage Works"</formula>
    </cfRule>
    <cfRule type="expression" dxfId="10873" priority="1800">
      <formula>$A332="Underpass"</formula>
    </cfRule>
    <cfRule type="expression" dxfId="10872" priority="1801">
      <formula>$A332="Overcrossing"</formula>
    </cfRule>
    <cfRule type="expression" dxfId="10871" priority="1802">
      <formula>$A332="Overpass"</formula>
    </cfRule>
    <cfRule type="expression" dxfId="10870" priority="1803">
      <formula>$A332="Station"</formula>
    </cfRule>
    <cfRule type="expression" dxfId="10869" priority="1804">
      <formula>$A332="Overlap between sections"</formula>
    </cfRule>
  </conditionalFormatting>
  <conditionalFormatting sqref="AX332">
    <cfRule type="expression" dxfId="10868" priority="1791">
      <formula>$M332="NON DEFINED"</formula>
    </cfRule>
    <cfRule type="expression" dxfId="10867" priority="1792">
      <formula>$AZ332="N.D."</formula>
    </cfRule>
    <cfRule type="expression" dxfId="10866" priority="1793">
      <formula>$AY332="N.D."</formula>
    </cfRule>
  </conditionalFormatting>
  <conditionalFormatting sqref="AX332">
    <cfRule type="expression" dxfId="10865" priority="1780">
      <formula>$A332="Overhead Cable"</formula>
    </cfRule>
    <cfRule type="expression" dxfId="10864" priority="1781">
      <formula>$A332="Level Crossing"</formula>
    </cfRule>
    <cfRule type="expression" dxfId="10863" priority="1782">
      <formula>$A332="Neutral Section"</formula>
    </cfRule>
    <cfRule type="expression" dxfId="10862" priority="1783">
      <formula>$A332="Tunnel"</formula>
    </cfRule>
    <cfRule type="expression" dxfId="10861" priority="1784">
      <formula>$A332="Bridge"</formula>
    </cfRule>
    <cfRule type="expression" dxfId="10860" priority="1785">
      <formula>$A332="Drainage Works"</formula>
    </cfRule>
    <cfRule type="expression" dxfId="10859" priority="1786">
      <formula>$A332="Underpass"</formula>
    </cfRule>
    <cfRule type="expression" dxfId="10858" priority="1787">
      <formula>$A332="Overcrossing"</formula>
    </cfRule>
    <cfRule type="expression" dxfId="10857" priority="1788">
      <formula>$A332="Overpass"</formula>
    </cfRule>
    <cfRule type="expression" dxfId="10856" priority="1789">
      <formula>$A332="Station"</formula>
    </cfRule>
    <cfRule type="expression" dxfId="10855" priority="1790">
      <formula>$A332="Overlap between sections"</formula>
    </cfRule>
  </conditionalFormatting>
  <conditionalFormatting sqref="AX404">
    <cfRule type="expression" dxfId="10854" priority="884">
      <formula>$A404="Overhead Cable"</formula>
    </cfRule>
    <cfRule type="expression" dxfId="10853" priority="885">
      <formula>$A404="Level Crossing"</formula>
    </cfRule>
    <cfRule type="expression" dxfId="10852" priority="886">
      <formula>$A404="Neutral Section"</formula>
    </cfRule>
    <cfRule type="expression" dxfId="10851" priority="887">
      <formula>$A404="Tunnel"</formula>
    </cfRule>
    <cfRule type="expression" dxfId="10850" priority="888">
      <formula>$A404="Bridge"</formula>
    </cfRule>
    <cfRule type="expression" dxfId="10849" priority="889">
      <formula>$A404="Drainage Works"</formula>
    </cfRule>
    <cfRule type="expression" dxfId="10848" priority="890">
      <formula>$A404="Underpass"</formula>
    </cfRule>
    <cfRule type="expression" dxfId="10847" priority="891">
      <formula>$A404="Overcrossing"</formula>
    </cfRule>
    <cfRule type="expression" dxfId="10846" priority="892">
      <formula>$A404="Overpass"</formula>
    </cfRule>
    <cfRule type="expression" dxfId="10845" priority="893">
      <formula>$A404="Station"</formula>
    </cfRule>
    <cfRule type="expression" dxfId="10844" priority="894">
      <formula>$A404="Overlap between sections"</formula>
    </cfRule>
  </conditionalFormatting>
  <conditionalFormatting sqref="AW336">
    <cfRule type="expression" dxfId="10843" priority="1777">
      <formula>$M336="NON DEFINED"</formula>
    </cfRule>
    <cfRule type="expression" dxfId="10842" priority="1778">
      <formula>$AZ336="N.D."</formula>
    </cfRule>
    <cfRule type="expression" dxfId="10841" priority="1779">
      <formula>$AY336="N.D."</formula>
    </cfRule>
  </conditionalFormatting>
  <conditionalFormatting sqref="AW336">
    <cfRule type="expression" dxfId="10840" priority="1766">
      <formula>$A336="Overhead Cable"</formula>
    </cfRule>
    <cfRule type="expression" dxfId="10839" priority="1767">
      <formula>$A336="Level Crossing"</formula>
    </cfRule>
    <cfRule type="expression" dxfId="10838" priority="1768">
      <formula>$A336="Neutral Section"</formula>
    </cfRule>
    <cfRule type="expression" dxfId="10837" priority="1769">
      <formula>$A336="Tunnel"</formula>
    </cfRule>
    <cfRule type="expression" dxfId="10836" priority="1770">
      <formula>$A336="Bridge"</formula>
    </cfRule>
    <cfRule type="expression" dxfId="10835" priority="1771">
      <formula>$A336="Drainage Works"</formula>
    </cfRule>
    <cfRule type="expression" dxfId="10834" priority="1772">
      <formula>$A336="Underpass"</formula>
    </cfRule>
    <cfRule type="expression" dxfId="10833" priority="1773">
      <formula>$A336="Overcrossing"</formula>
    </cfRule>
    <cfRule type="expression" dxfId="10832" priority="1774">
      <formula>$A336="Overpass"</formula>
    </cfRule>
    <cfRule type="expression" dxfId="10831" priority="1775">
      <formula>$A336="Station"</formula>
    </cfRule>
    <cfRule type="expression" dxfId="10830" priority="1776">
      <formula>$A336="Overlap between sections"</formula>
    </cfRule>
  </conditionalFormatting>
  <conditionalFormatting sqref="AX336">
    <cfRule type="expression" dxfId="10829" priority="1763">
      <formula>$M336="NON DEFINED"</formula>
    </cfRule>
    <cfRule type="expression" dxfId="10828" priority="1764">
      <formula>$AZ336="N.D."</formula>
    </cfRule>
    <cfRule type="expression" dxfId="10827" priority="1765">
      <formula>$AY336="N.D."</formula>
    </cfRule>
  </conditionalFormatting>
  <conditionalFormatting sqref="AX336">
    <cfRule type="expression" dxfId="10826" priority="1752">
      <formula>$A336="Overhead Cable"</formula>
    </cfRule>
    <cfRule type="expression" dxfId="10825" priority="1753">
      <formula>$A336="Level Crossing"</formula>
    </cfRule>
    <cfRule type="expression" dxfId="10824" priority="1754">
      <formula>$A336="Neutral Section"</formula>
    </cfRule>
    <cfRule type="expression" dxfId="10823" priority="1755">
      <formula>$A336="Tunnel"</formula>
    </cfRule>
    <cfRule type="expression" dxfId="10822" priority="1756">
      <formula>$A336="Bridge"</formula>
    </cfRule>
    <cfRule type="expression" dxfId="10821" priority="1757">
      <formula>$A336="Drainage Works"</formula>
    </cfRule>
    <cfRule type="expression" dxfId="10820" priority="1758">
      <formula>$A336="Underpass"</formula>
    </cfRule>
    <cfRule type="expression" dxfId="10819" priority="1759">
      <formula>$A336="Overcrossing"</formula>
    </cfRule>
    <cfRule type="expression" dxfId="10818" priority="1760">
      <formula>$A336="Overpass"</formula>
    </cfRule>
    <cfRule type="expression" dxfId="10817" priority="1761">
      <formula>$A336="Station"</formula>
    </cfRule>
    <cfRule type="expression" dxfId="10816" priority="1762">
      <formula>$A336="Overlap between sections"</formula>
    </cfRule>
  </conditionalFormatting>
  <conditionalFormatting sqref="AW338">
    <cfRule type="expression" dxfId="10815" priority="1749">
      <formula>$M338="NON DEFINED"</formula>
    </cfRule>
    <cfRule type="expression" dxfId="10814" priority="1750">
      <formula>$AZ338="N.D."</formula>
    </cfRule>
    <cfRule type="expression" dxfId="10813" priority="1751">
      <formula>$AY338="N.D."</formula>
    </cfRule>
  </conditionalFormatting>
  <conditionalFormatting sqref="AW338">
    <cfRule type="expression" dxfId="10812" priority="1738">
      <formula>$A338="Overhead Cable"</formula>
    </cfRule>
    <cfRule type="expression" dxfId="10811" priority="1739">
      <formula>$A338="Level Crossing"</formula>
    </cfRule>
    <cfRule type="expression" dxfId="10810" priority="1740">
      <formula>$A338="Neutral Section"</formula>
    </cfRule>
    <cfRule type="expression" dxfId="10809" priority="1741">
      <formula>$A338="Tunnel"</formula>
    </cfRule>
    <cfRule type="expression" dxfId="10808" priority="1742">
      <formula>$A338="Bridge"</formula>
    </cfRule>
    <cfRule type="expression" dxfId="10807" priority="1743">
      <formula>$A338="Drainage Works"</formula>
    </cfRule>
    <cfRule type="expression" dxfId="10806" priority="1744">
      <formula>$A338="Underpass"</formula>
    </cfRule>
    <cfRule type="expression" dxfId="10805" priority="1745">
      <formula>$A338="Overcrossing"</formula>
    </cfRule>
    <cfRule type="expression" dxfId="10804" priority="1746">
      <formula>$A338="Overpass"</formula>
    </cfRule>
    <cfRule type="expression" dxfId="10803" priority="1747">
      <formula>$A338="Station"</formula>
    </cfRule>
    <cfRule type="expression" dxfId="10802" priority="1748">
      <formula>$A338="Overlap between sections"</formula>
    </cfRule>
  </conditionalFormatting>
  <conditionalFormatting sqref="AX338">
    <cfRule type="expression" dxfId="10801" priority="1735">
      <formula>$M338="NON DEFINED"</formula>
    </cfRule>
    <cfRule type="expression" dxfId="10800" priority="1736">
      <formula>$AZ338="N.D."</formula>
    </cfRule>
    <cfRule type="expression" dxfId="10799" priority="1737">
      <formula>$AY338="N.D."</formula>
    </cfRule>
  </conditionalFormatting>
  <conditionalFormatting sqref="AX338">
    <cfRule type="expression" dxfId="10798" priority="1724">
      <formula>$A338="Overhead Cable"</formula>
    </cfRule>
    <cfRule type="expression" dxfId="10797" priority="1725">
      <formula>$A338="Level Crossing"</formula>
    </cfRule>
    <cfRule type="expression" dxfId="10796" priority="1726">
      <formula>$A338="Neutral Section"</formula>
    </cfRule>
    <cfRule type="expression" dxfId="10795" priority="1727">
      <formula>$A338="Tunnel"</formula>
    </cfRule>
    <cfRule type="expression" dxfId="10794" priority="1728">
      <formula>$A338="Bridge"</formula>
    </cfRule>
    <cfRule type="expression" dxfId="10793" priority="1729">
      <formula>$A338="Drainage Works"</formula>
    </cfRule>
    <cfRule type="expression" dxfId="10792" priority="1730">
      <formula>$A338="Underpass"</formula>
    </cfRule>
    <cfRule type="expression" dxfId="10791" priority="1731">
      <formula>$A338="Overcrossing"</formula>
    </cfRule>
    <cfRule type="expression" dxfId="10790" priority="1732">
      <formula>$A338="Overpass"</formula>
    </cfRule>
    <cfRule type="expression" dxfId="10789" priority="1733">
      <formula>$A338="Station"</formula>
    </cfRule>
    <cfRule type="expression" dxfId="10788" priority="1734">
      <formula>$A338="Overlap between sections"</formula>
    </cfRule>
  </conditionalFormatting>
  <conditionalFormatting sqref="AW340">
    <cfRule type="expression" dxfId="10787" priority="1721">
      <formula>$M340="NON DEFINED"</formula>
    </cfRule>
    <cfRule type="expression" dxfId="10786" priority="1722">
      <formula>$AZ340="N.D."</formula>
    </cfRule>
    <cfRule type="expression" dxfId="10785" priority="1723">
      <formula>$AY340="N.D."</formula>
    </cfRule>
  </conditionalFormatting>
  <conditionalFormatting sqref="AW340">
    <cfRule type="expression" dxfId="10784" priority="1710">
      <formula>$A340="Overhead Cable"</formula>
    </cfRule>
    <cfRule type="expression" dxfId="10783" priority="1711">
      <formula>$A340="Level Crossing"</formula>
    </cfRule>
    <cfRule type="expression" dxfId="10782" priority="1712">
      <formula>$A340="Neutral Section"</formula>
    </cfRule>
    <cfRule type="expression" dxfId="10781" priority="1713">
      <formula>$A340="Tunnel"</formula>
    </cfRule>
    <cfRule type="expression" dxfId="10780" priority="1714">
      <formula>$A340="Bridge"</formula>
    </cfRule>
    <cfRule type="expression" dxfId="10779" priority="1715">
      <formula>$A340="Drainage Works"</formula>
    </cfRule>
    <cfRule type="expression" dxfId="10778" priority="1716">
      <formula>$A340="Underpass"</formula>
    </cfRule>
    <cfRule type="expression" dxfId="10777" priority="1717">
      <formula>$A340="Overcrossing"</formula>
    </cfRule>
    <cfRule type="expression" dxfId="10776" priority="1718">
      <formula>$A340="Overpass"</formula>
    </cfRule>
    <cfRule type="expression" dxfId="10775" priority="1719">
      <formula>$A340="Station"</formula>
    </cfRule>
    <cfRule type="expression" dxfId="10774" priority="1720">
      <formula>$A340="Overlap between sections"</formula>
    </cfRule>
  </conditionalFormatting>
  <conditionalFormatting sqref="AX340">
    <cfRule type="expression" dxfId="10773" priority="1707">
      <formula>$M340="NON DEFINED"</formula>
    </cfRule>
    <cfRule type="expression" dxfId="10772" priority="1708">
      <formula>$AZ340="N.D."</formula>
    </cfRule>
    <cfRule type="expression" dxfId="10771" priority="1709">
      <formula>$AY340="N.D."</formula>
    </cfRule>
  </conditionalFormatting>
  <conditionalFormatting sqref="AX340">
    <cfRule type="expression" dxfId="10770" priority="1696">
      <formula>$A340="Overhead Cable"</formula>
    </cfRule>
    <cfRule type="expression" dxfId="10769" priority="1697">
      <formula>$A340="Level Crossing"</formula>
    </cfRule>
    <cfRule type="expression" dxfId="10768" priority="1698">
      <formula>$A340="Neutral Section"</formula>
    </cfRule>
    <cfRule type="expression" dxfId="10767" priority="1699">
      <formula>$A340="Tunnel"</formula>
    </cfRule>
    <cfRule type="expression" dxfId="10766" priority="1700">
      <formula>$A340="Bridge"</formula>
    </cfRule>
    <cfRule type="expression" dxfId="10765" priority="1701">
      <formula>$A340="Drainage Works"</formula>
    </cfRule>
    <cfRule type="expression" dxfId="10764" priority="1702">
      <formula>$A340="Underpass"</formula>
    </cfRule>
    <cfRule type="expression" dxfId="10763" priority="1703">
      <formula>$A340="Overcrossing"</formula>
    </cfRule>
    <cfRule type="expression" dxfId="10762" priority="1704">
      <formula>$A340="Overpass"</formula>
    </cfRule>
    <cfRule type="expression" dxfId="10761" priority="1705">
      <formula>$A340="Station"</formula>
    </cfRule>
    <cfRule type="expression" dxfId="10760" priority="1706">
      <formula>$A340="Overlap between sections"</formula>
    </cfRule>
  </conditionalFormatting>
  <conditionalFormatting sqref="AW342">
    <cfRule type="expression" dxfId="10759" priority="1693">
      <formula>$M342="NON DEFINED"</formula>
    </cfRule>
    <cfRule type="expression" dxfId="10758" priority="1694">
      <formula>$AZ342="N.D."</formula>
    </cfRule>
    <cfRule type="expression" dxfId="10757" priority="1695">
      <formula>$AY342="N.D."</formula>
    </cfRule>
  </conditionalFormatting>
  <conditionalFormatting sqref="AW342">
    <cfRule type="expression" dxfId="10756" priority="1682">
      <formula>$A342="Overhead Cable"</formula>
    </cfRule>
    <cfRule type="expression" dxfId="10755" priority="1683">
      <formula>$A342="Level Crossing"</formula>
    </cfRule>
    <cfRule type="expression" dxfId="10754" priority="1684">
      <formula>$A342="Neutral Section"</formula>
    </cfRule>
    <cfRule type="expression" dxfId="10753" priority="1685">
      <formula>$A342="Tunnel"</formula>
    </cfRule>
    <cfRule type="expression" dxfId="10752" priority="1686">
      <formula>$A342="Bridge"</formula>
    </cfRule>
    <cfRule type="expression" dxfId="10751" priority="1687">
      <formula>$A342="Drainage Works"</formula>
    </cfRule>
    <cfRule type="expression" dxfId="10750" priority="1688">
      <formula>$A342="Underpass"</formula>
    </cfRule>
    <cfRule type="expression" dxfId="10749" priority="1689">
      <formula>$A342="Overcrossing"</formula>
    </cfRule>
    <cfRule type="expression" dxfId="10748" priority="1690">
      <formula>$A342="Overpass"</formula>
    </cfRule>
    <cfRule type="expression" dxfId="10747" priority="1691">
      <formula>$A342="Station"</formula>
    </cfRule>
    <cfRule type="expression" dxfId="10746" priority="1692">
      <formula>$A342="Overlap between sections"</formula>
    </cfRule>
  </conditionalFormatting>
  <conditionalFormatting sqref="AX342">
    <cfRule type="expression" dxfId="10745" priority="1679">
      <formula>$M342="NON DEFINED"</formula>
    </cfRule>
    <cfRule type="expression" dxfId="10744" priority="1680">
      <formula>$AZ342="N.D."</formula>
    </cfRule>
    <cfRule type="expression" dxfId="10743" priority="1681">
      <formula>$AY342="N.D."</formula>
    </cfRule>
  </conditionalFormatting>
  <conditionalFormatting sqref="AX342">
    <cfRule type="expression" dxfId="10742" priority="1668">
      <formula>$A342="Overhead Cable"</formula>
    </cfRule>
    <cfRule type="expression" dxfId="10741" priority="1669">
      <formula>$A342="Level Crossing"</formula>
    </cfRule>
    <cfRule type="expression" dxfId="10740" priority="1670">
      <formula>$A342="Neutral Section"</formula>
    </cfRule>
    <cfRule type="expression" dxfId="10739" priority="1671">
      <formula>$A342="Tunnel"</formula>
    </cfRule>
    <cfRule type="expression" dxfId="10738" priority="1672">
      <formula>$A342="Bridge"</formula>
    </cfRule>
    <cfRule type="expression" dxfId="10737" priority="1673">
      <formula>$A342="Drainage Works"</formula>
    </cfRule>
    <cfRule type="expression" dxfId="10736" priority="1674">
      <formula>$A342="Underpass"</formula>
    </cfRule>
    <cfRule type="expression" dxfId="10735" priority="1675">
      <formula>$A342="Overcrossing"</formula>
    </cfRule>
    <cfRule type="expression" dxfId="10734" priority="1676">
      <formula>$A342="Overpass"</formula>
    </cfRule>
    <cfRule type="expression" dxfId="10733" priority="1677">
      <formula>$A342="Station"</formula>
    </cfRule>
    <cfRule type="expression" dxfId="10732" priority="1678">
      <formula>$A342="Overlap between sections"</formula>
    </cfRule>
  </conditionalFormatting>
  <conditionalFormatting sqref="AW344">
    <cfRule type="expression" dxfId="10731" priority="1665">
      <formula>$M344="NON DEFINED"</formula>
    </cfRule>
    <cfRule type="expression" dxfId="10730" priority="1666">
      <formula>$AZ344="N.D."</formula>
    </cfRule>
    <cfRule type="expression" dxfId="10729" priority="1667">
      <formula>$AY344="N.D."</formula>
    </cfRule>
  </conditionalFormatting>
  <conditionalFormatting sqref="AW344">
    <cfRule type="expression" dxfId="10728" priority="1654">
      <formula>$A344="Overhead Cable"</formula>
    </cfRule>
    <cfRule type="expression" dxfId="10727" priority="1655">
      <formula>$A344="Level Crossing"</formula>
    </cfRule>
    <cfRule type="expression" dxfId="10726" priority="1656">
      <formula>$A344="Neutral Section"</formula>
    </cfRule>
    <cfRule type="expression" dxfId="10725" priority="1657">
      <formula>$A344="Tunnel"</formula>
    </cfRule>
    <cfRule type="expression" dxfId="10724" priority="1658">
      <formula>$A344="Bridge"</formula>
    </cfRule>
    <cfRule type="expression" dxfId="10723" priority="1659">
      <formula>$A344="Drainage Works"</formula>
    </cfRule>
    <cfRule type="expression" dxfId="10722" priority="1660">
      <formula>$A344="Underpass"</formula>
    </cfRule>
    <cfRule type="expression" dxfId="10721" priority="1661">
      <formula>$A344="Overcrossing"</formula>
    </cfRule>
    <cfRule type="expression" dxfId="10720" priority="1662">
      <formula>$A344="Overpass"</formula>
    </cfRule>
    <cfRule type="expression" dxfId="10719" priority="1663">
      <formula>$A344="Station"</formula>
    </cfRule>
    <cfRule type="expression" dxfId="10718" priority="1664">
      <formula>$A344="Overlap between sections"</formula>
    </cfRule>
  </conditionalFormatting>
  <conditionalFormatting sqref="AX344">
    <cfRule type="expression" dxfId="10717" priority="1651">
      <formula>$M344="NON DEFINED"</formula>
    </cfRule>
    <cfRule type="expression" dxfId="10716" priority="1652">
      <formula>$AZ344="N.D."</formula>
    </cfRule>
    <cfRule type="expression" dxfId="10715" priority="1653">
      <formula>$AY344="N.D."</formula>
    </cfRule>
  </conditionalFormatting>
  <conditionalFormatting sqref="AX344">
    <cfRule type="expression" dxfId="10714" priority="1640">
      <formula>$A344="Overhead Cable"</formula>
    </cfRule>
    <cfRule type="expression" dxfId="10713" priority="1641">
      <formula>$A344="Level Crossing"</formula>
    </cfRule>
    <cfRule type="expression" dxfId="10712" priority="1642">
      <formula>$A344="Neutral Section"</formula>
    </cfRule>
    <cfRule type="expression" dxfId="10711" priority="1643">
      <formula>$A344="Tunnel"</formula>
    </cfRule>
    <cfRule type="expression" dxfId="10710" priority="1644">
      <formula>$A344="Bridge"</formula>
    </cfRule>
    <cfRule type="expression" dxfId="10709" priority="1645">
      <formula>$A344="Drainage Works"</formula>
    </cfRule>
    <cfRule type="expression" dxfId="10708" priority="1646">
      <formula>$A344="Underpass"</formula>
    </cfRule>
    <cfRule type="expression" dxfId="10707" priority="1647">
      <formula>$A344="Overcrossing"</formula>
    </cfRule>
    <cfRule type="expression" dxfId="10706" priority="1648">
      <formula>$A344="Overpass"</formula>
    </cfRule>
    <cfRule type="expression" dxfId="10705" priority="1649">
      <formula>$A344="Station"</formula>
    </cfRule>
    <cfRule type="expression" dxfId="10704" priority="1650">
      <formula>$A344="Overlap between sections"</formula>
    </cfRule>
  </conditionalFormatting>
  <conditionalFormatting sqref="AW346">
    <cfRule type="expression" dxfId="10703" priority="1637">
      <formula>$M346="NON DEFINED"</formula>
    </cfRule>
    <cfRule type="expression" dxfId="10702" priority="1638">
      <formula>$AZ346="N.D."</formula>
    </cfRule>
    <cfRule type="expression" dxfId="10701" priority="1639">
      <formula>$AY346="N.D."</formula>
    </cfRule>
  </conditionalFormatting>
  <conditionalFormatting sqref="AW346">
    <cfRule type="expression" dxfId="10700" priority="1626">
      <formula>$A346="Overhead Cable"</formula>
    </cfRule>
    <cfRule type="expression" dxfId="10699" priority="1627">
      <formula>$A346="Level Crossing"</formula>
    </cfRule>
    <cfRule type="expression" dxfId="10698" priority="1628">
      <formula>$A346="Neutral Section"</formula>
    </cfRule>
    <cfRule type="expression" dxfId="10697" priority="1629">
      <formula>$A346="Tunnel"</formula>
    </cfRule>
    <cfRule type="expression" dxfId="10696" priority="1630">
      <formula>$A346="Bridge"</formula>
    </cfRule>
    <cfRule type="expression" dxfId="10695" priority="1631">
      <formula>$A346="Drainage Works"</formula>
    </cfRule>
    <cfRule type="expression" dxfId="10694" priority="1632">
      <formula>$A346="Underpass"</formula>
    </cfRule>
    <cfRule type="expression" dxfId="10693" priority="1633">
      <formula>$A346="Overcrossing"</formula>
    </cfRule>
    <cfRule type="expression" dxfId="10692" priority="1634">
      <formula>$A346="Overpass"</formula>
    </cfRule>
    <cfRule type="expression" dxfId="10691" priority="1635">
      <formula>$A346="Station"</formula>
    </cfRule>
    <cfRule type="expression" dxfId="10690" priority="1636">
      <formula>$A346="Overlap between sections"</formula>
    </cfRule>
  </conditionalFormatting>
  <conditionalFormatting sqref="AX346">
    <cfRule type="expression" dxfId="10689" priority="1623">
      <formula>$M346="NON DEFINED"</formula>
    </cfRule>
    <cfRule type="expression" dxfId="10688" priority="1624">
      <formula>$AZ346="N.D."</formula>
    </cfRule>
    <cfRule type="expression" dxfId="10687" priority="1625">
      <formula>$AY346="N.D."</formula>
    </cfRule>
  </conditionalFormatting>
  <conditionalFormatting sqref="AX346">
    <cfRule type="expression" dxfId="10686" priority="1612">
      <formula>$A346="Overhead Cable"</formula>
    </cfRule>
    <cfRule type="expression" dxfId="10685" priority="1613">
      <formula>$A346="Level Crossing"</formula>
    </cfRule>
    <cfRule type="expression" dxfId="10684" priority="1614">
      <formula>$A346="Neutral Section"</formula>
    </cfRule>
    <cfRule type="expression" dxfId="10683" priority="1615">
      <formula>$A346="Tunnel"</formula>
    </cfRule>
    <cfRule type="expression" dxfId="10682" priority="1616">
      <formula>$A346="Bridge"</formula>
    </cfRule>
    <cfRule type="expression" dxfId="10681" priority="1617">
      <formula>$A346="Drainage Works"</formula>
    </cfRule>
    <cfRule type="expression" dxfId="10680" priority="1618">
      <formula>$A346="Underpass"</formula>
    </cfRule>
    <cfRule type="expression" dxfId="10679" priority="1619">
      <formula>$A346="Overcrossing"</formula>
    </cfRule>
    <cfRule type="expression" dxfId="10678" priority="1620">
      <formula>$A346="Overpass"</formula>
    </cfRule>
    <cfRule type="expression" dxfId="10677" priority="1621">
      <formula>$A346="Station"</formula>
    </cfRule>
    <cfRule type="expression" dxfId="10676" priority="1622">
      <formula>$A346="Overlap between sections"</formula>
    </cfRule>
  </conditionalFormatting>
  <conditionalFormatting sqref="AW348">
    <cfRule type="expression" dxfId="10675" priority="1609">
      <formula>$M348="NON DEFINED"</formula>
    </cfRule>
    <cfRule type="expression" dxfId="10674" priority="1610">
      <formula>$AZ348="N.D."</formula>
    </cfRule>
    <cfRule type="expression" dxfId="10673" priority="1611">
      <formula>$AY348="N.D."</formula>
    </cfRule>
  </conditionalFormatting>
  <conditionalFormatting sqref="AW348">
    <cfRule type="expression" dxfId="10672" priority="1598">
      <formula>$A348="Overhead Cable"</formula>
    </cfRule>
    <cfRule type="expression" dxfId="10671" priority="1599">
      <formula>$A348="Level Crossing"</formula>
    </cfRule>
    <cfRule type="expression" dxfId="10670" priority="1600">
      <formula>$A348="Neutral Section"</formula>
    </cfRule>
    <cfRule type="expression" dxfId="10669" priority="1601">
      <formula>$A348="Tunnel"</formula>
    </cfRule>
    <cfRule type="expression" dxfId="10668" priority="1602">
      <formula>$A348="Bridge"</formula>
    </cfRule>
    <cfRule type="expression" dxfId="10667" priority="1603">
      <formula>$A348="Drainage Works"</formula>
    </cfRule>
    <cfRule type="expression" dxfId="10666" priority="1604">
      <formula>$A348="Underpass"</formula>
    </cfRule>
    <cfRule type="expression" dxfId="10665" priority="1605">
      <formula>$A348="Overcrossing"</formula>
    </cfRule>
    <cfRule type="expression" dxfId="10664" priority="1606">
      <formula>$A348="Overpass"</formula>
    </cfRule>
    <cfRule type="expression" dxfId="10663" priority="1607">
      <formula>$A348="Station"</formula>
    </cfRule>
    <cfRule type="expression" dxfId="10662" priority="1608">
      <formula>$A348="Overlap between sections"</formula>
    </cfRule>
  </conditionalFormatting>
  <conditionalFormatting sqref="AX348">
    <cfRule type="expression" dxfId="10661" priority="1595">
      <formula>$M348="NON DEFINED"</formula>
    </cfRule>
    <cfRule type="expression" dxfId="10660" priority="1596">
      <formula>$AZ348="N.D."</formula>
    </cfRule>
    <cfRule type="expression" dxfId="10659" priority="1597">
      <formula>$AY348="N.D."</formula>
    </cfRule>
  </conditionalFormatting>
  <conditionalFormatting sqref="AX348">
    <cfRule type="expression" dxfId="10658" priority="1584">
      <formula>$A348="Overhead Cable"</formula>
    </cfRule>
    <cfRule type="expression" dxfId="10657" priority="1585">
      <formula>$A348="Level Crossing"</formula>
    </cfRule>
    <cfRule type="expression" dxfId="10656" priority="1586">
      <formula>$A348="Neutral Section"</formula>
    </cfRule>
    <cfRule type="expression" dxfId="10655" priority="1587">
      <formula>$A348="Tunnel"</formula>
    </cfRule>
    <cfRule type="expression" dxfId="10654" priority="1588">
      <formula>$A348="Bridge"</formula>
    </cfRule>
    <cfRule type="expression" dxfId="10653" priority="1589">
      <formula>$A348="Drainage Works"</formula>
    </cfRule>
    <cfRule type="expression" dxfId="10652" priority="1590">
      <formula>$A348="Underpass"</formula>
    </cfRule>
    <cfRule type="expression" dxfId="10651" priority="1591">
      <formula>$A348="Overcrossing"</formula>
    </cfRule>
    <cfRule type="expression" dxfId="10650" priority="1592">
      <formula>$A348="Overpass"</formula>
    </cfRule>
    <cfRule type="expression" dxfId="10649" priority="1593">
      <formula>$A348="Station"</formula>
    </cfRule>
    <cfRule type="expression" dxfId="10648" priority="1594">
      <formula>$A348="Overlap between sections"</formula>
    </cfRule>
  </conditionalFormatting>
  <conditionalFormatting sqref="AW350">
    <cfRule type="expression" dxfId="10647" priority="1581">
      <formula>$M350="NON DEFINED"</formula>
    </cfRule>
    <cfRule type="expression" dxfId="10646" priority="1582">
      <formula>$AZ350="N.D."</formula>
    </cfRule>
    <cfRule type="expression" dxfId="10645" priority="1583">
      <formula>$AY350="N.D."</formula>
    </cfRule>
  </conditionalFormatting>
  <conditionalFormatting sqref="AW350">
    <cfRule type="expression" dxfId="10644" priority="1570">
      <formula>$A350="Overhead Cable"</formula>
    </cfRule>
    <cfRule type="expression" dxfId="10643" priority="1571">
      <formula>$A350="Level Crossing"</formula>
    </cfRule>
    <cfRule type="expression" dxfId="10642" priority="1572">
      <formula>$A350="Neutral Section"</formula>
    </cfRule>
    <cfRule type="expression" dxfId="10641" priority="1573">
      <formula>$A350="Tunnel"</formula>
    </cfRule>
    <cfRule type="expression" dxfId="10640" priority="1574">
      <formula>$A350="Bridge"</formula>
    </cfRule>
    <cfRule type="expression" dxfId="10639" priority="1575">
      <formula>$A350="Drainage Works"</formula>
    </cfRule>
    <cfRule type="expression" dxfId="10638" priority="1576">
      <formula>$A350="Underpass"</formula>
    </cfRule>
    <cfRule type="expression" dxfId="10637" priority="1577">
      <formula>$A350="Overcrossing"</formula>
    </cfRule>
    <cfRule type="expression" dxfId="10636" priority="1578">
      <formula>$A350="Overpass"</formula>
    </cfRule>
    <cfRule type="expression" dxfId="10635" priority="1579">
      <formula>$A350="Station"</formula>
    </cfRule>
    <cfRule type="expression" dxfId="10634" priority="1580">
      <formula>$A350="Overlap between sections"</formula>
    </cfRule>
  </conditionalFormatting>
  <conditionalFormatting sqref="AX350">
    <cfRule type="expression" dxfId="10633" priority="1567">
      <formula>$M350="NON DEFINED"</formula>
    </cfRule>
    <cfRule type="expression" dxfId="10632" priority="1568">
      <formula>$AZ350="N.D."</formula>
    </cfRule>
    <cfRule type="expression" dxfId="10631" priority="1569">
      <formula>$AY350="N.D."</formula>
    </cfRule>
  </conditionalFormatting>
  <conditionalFormatting sqref="AX350">
    <cfRule type="expression" dxfId="10630" priority="1556">
      <formula>$A350="Overhead Cable"</formula>
    </cfRule>
    <cfRule type="expression" dxfId="10629" priority="1557">
      <formula>$A350="Level Crossing"</formula>
    </cfRule>
    <cfRule type="expression" dxfId="10628" priority="1558">
      <formula>$A350="Neutral Section"</formula>
    </cfRule>
    <cfRule type="expression" dxfId="10627" priority="1559">
      <formula>$A350="Tunnel"</formula>
    </cfRule>
    <cfRule type="expression" dxfId="10626" priority="1560">
      <formula>$A350="Bridge"</formula>
    </cfRule>
    <cfRule type="expression" dxfId="10625" priority="1561">
      <formula>$A350="Drainage Works"</formula>
    </cfRule>
    <cfRule type="expression" dxfId="10624" priority="1562">
      <formula>$A350="Underpass"</formula>
    </cfRule>
    <cfRule type="expression" dxfId="10623" priority="1563">
      <formula>$A350="Overcrossing"</formula>
    </cfRule>
    <cfRule type="expression" dxfId="10622" priority="1564">
      <formula>$A350="Overpass"</formula>
    </cfRule>
    <cfRule type="expression" dxfId="10621" priority="1565">
      <formula>$A350="Station"</formula>
    </cfRule>
    <cfRule type="expression" dxfId="10620" priority="1566">
      <formula>$A350="Overlap between sections"</formula>
    </cfRule>
  </conditionalFormatting>
  <conditionalFormatting sqref="AW352">
    <cfRule type="expression" dxfId="10619" priority="1553">
      <formula>$M352="NON DEFINED"</formula>
    </cfRule>
    <cfRule type="expression" dxfId="10618" priority="1554">
      <formula>$AZ352="N.D."</formula>
    </cfRule>
    <cfRule type="expression" dxfId="10617" priority="1555">
      <formula>$AY352="N.D."</formula>
    </cfRule>
  </conditionalFormatting>
  <conditionalFormatting sqref="AW352">
    <cfRule type="expression" dxfId="10616" priority="1542">
      <formula>$A352="Overhead Cable"</formula>
    </cfRule>
    <cfRule type="expression" dxfId="10615" priority="1543">
      <formula>$A352="Level Crossing"</formula>
    </cfRule>
    <cfRule type="expression" dxfId="10614" priority="1544">
      <formula>$A352="Neutral Section"</formula>
    </cfRule>
    <cfRule type="expression" dxfId="10613" priority="1545">
      <formula>$A352="Tunnel"</formula>
    </cfRule>
    <cfRule type="expression" dxfId="10612" priority="1546">
      <formula>$A352="Bridge"</formula>
    </cfRule>
    <cfRule type="expression" dxfId="10611" priority="1547">
      <formula>$A352="Drainage Works"</formula>
    </cfRule>
    <cfRule type="expression" dxfId="10610" priority="1548">
      <formula>$A352="Underpass"</formula>
    </cfRule>
    <cfRule type="expression" dxfId="10609" priority="1549">
      <formula>$A352="Overcrossing"</formula>
    </cfRule>
    <cfRule type="expression" dxfId="10608" priority="1550">
      <formula>$A352="Overpass"</formula>
    </cfRule>
    <cfRule type="expression" dxfId="10607" priority="1551">
      <formula>$A352="Station"</formula>
    </cfRule>
    <cfRule type="expression" dxfId="10606" priority="1552">
      <formula>$A352="Overlap between sections"</formula>
    </cfRule>
  </conditionalFormatting>
  <conditionalFormatting sqref="AX352">
    <cfRule type="expression" dxfId="10605" priority="1539">
      <formula>$M352="NON DEFINED"</formula>
    </cfRule>
    <cfRule type="expression" dxfId="10604" priority="1540">
      <formula>$AZ352="N.D."</formula>
    </cfRule>
    <cfRule type="expression" dxfId="10603" priority="1541">
      <formula>$AY352="N.D."</formula>
    </cfRule>
  </conditionalFormatting>
  <conditionalFormatting sqref="AX352">
    <cfRule type="expression" dxfId="10602" priority="1528">
      <formula>$A352="Overhead Cable"</formula>
    </cfRule>
    <cfRule type="expression" dxfId="10601" priority="1529">
      <formula>$A352="Level Crossing"</formula>
    </cfRule>
    <cfRule type="expression" dxfId="10600" priority="1530">
      <formula>$A352="Neutral Section"</formula>
    </cfRule>
    <cfRule type="expression" dxfId="10599" priority="1531">
      <formula>$A352="Tunnel"</formula>
    </cfRule>
    <cfRule type="expression" dxfId="10598" priority="1532">
      <formula>$A352="Bridge"</formula>
    </cfRule>
    <cfRule type="expression" dxfId="10597" priority="1533">
      <formula>$A352="Drainage Works"</formula>
    </cfRule>
    <cfRule type="expression" dxfId="10596" priority="1534">
      <formula>$A352="Underpass"</formula>
    </cfRule>
    <cfRule type="expression" dxfId="10595" priority="1535">
      <formula>$A352="Overcrossing"</formula>
    </cfRule>
    <cfRule type="expression" dxfId="10594" priority="1536">
      <formula>$A352="Overpass"</formula>
    </cfRule>
    <cfRule type="expression" dxfId="10593" priority="1537">
      <formula>$A352="Station"</formula>
    </cfRule>
    <cfRule type="expression" dxfId="10592" priority="1538">
      <formula>$A352="Overlap between sections"</formula>
    </cfRule>
  </conditionalFormatting>
  <conditionalFormatting sqref="AW354">
    <cfRule type="expression" dxfId="10591" priority="1525">
      <formula>$M354="NON DEFINED"</formula>
    </cfRule>
    <cfRule type="expression" dxfId="10590" priority="1526">
      <formula>$AZ354="N.D."</formula>
    </cfRule>
    <cfRule type="expression" dxfId="10589" priority="1527">
      <formula>$AY354="N.D."</formula>
    </cfRule>
  </conditionalFormatting>
  <conditionalFormatting sqref="AW354">
    <cfRule type="expression" dxfId="10588" priority="1514">
      <formula>$A354="Overhead Cable"</formula>
    </cfRule>
    <cfRule type="expression" dxfId="10587" priority="1515">
      <formula>$A354="Level Crossing"</formula>
    </cfRule>
    <cfRule type="expression" dxfId="10586" priority="1516">
      <formula>$A354="Neutral Section"</formula>
    </cfRule>
    <cfRule type="expression" dxfId="10585" priority="1517">
      <formula>$A354="Tunnel"</formula>
    </cfRule>
    <cfRule type="expression" dxfId="10584" priority="1518">
      <formula>$A354="Bridge"</formula>
    </cfRule>
    <cfRule type="expression" dxfId="10583" priority="1519">
      <formula>$A354="Drainage Works"</formula>
    </cfRule>
    <cfRule type="expression" dxfId="10582" priority="1520">
      <formula>$A354="Underpass"</formula>
    </cfRule>
    <cfRule type="expression" dxfId="10581" priority="1521">
      <formula>$A354="Overcrossing"</formula>
    </cfRule>
    <cfRule type="expression" dxfId="10580" priority="1522">
      <formula>$A354="Overpass"</formula>
    </cfRule>
    <cfRule type="expression" dxfId="10579" priority="1523">
      <formula>$A354="Station"</formula>
    </cfRule>
    <cfRule type="expression" dxfId="10578" priority="1524">
      <formula>$A354="Overlap between sections"</formula>
    </cfRule>
  </conditionalFormatting>
  <conditionalFormatting sqref="AX354">
    <cfRule type="expression" dxfId="10577" priority="1511">
      <formula>$M354="NON DEFINED"</formula>
    </cfRule>
    <cfRule type="expression" dxfId="10576" priority="1512">
      <formula>$AZ354="N.D."</formula>
    </cfRule>
    <cfRule type="expression" dxfId="10575" priority="1513">
      <formula>$AY354="N.D."</formula>
    </cfRule>
  </conditionalFormatting>
  <conditionalFormatting sqref="AX354">
    <cfRule type="expression" dxfId="10574" priority="1500">
      <formula>$A354="Overhead Cable"</formula>
    </cfRule>
    <cfRule type="expression" dxfId="10573" priority="1501">
      <formula>$A354="Level Crossing"</formula>
    </cfRule>
    <cfRule type="expression" dxfId="10572" priority="1502">
      <formula>$A354="Neutral Section"</formula>
    </cfRule>
    <cfRule type="expression" dxfId="10571" priority="1503">
      <formula>$A354="Tunnel"</formula>
    </cfRule>
    <cfRule type="expression" dxfId="10570" priority="1504">
      <formula>$A354="Bridge"</formula>
    </cfRule>
    <cfRule type="expression" dxfId="10569" priority="1505">
      <formula>$A354="Drainage Works"</formula>
    </cfRule>
    <cfRule type="expression" dxfId="10568" priority="1506">
      <formula>$A354="Underpass"</formula>
    </cfRule>
    <cfRule type="expression" dxfId="10567" priority="1507">
      <formula>$A354="Overcrossing"</formula>
    </cfRule>
    <cfRule type="expression" dxfId="10566" priority="1508">
      <formula>$A354="Overpass"</formula>
    </cfRule>
    <cfRule type="expression" dxfId="10565" priority="1509">
      <formula>$A354="Station"</formula>
    </cfRule>
    <cfRule type="expression" dxfId="10564" priority="1510">
      <formula>$A354="Overlap between sections"</formula>
    </cfRule>
  </conditionalFormatting>
  <conditionalFormatting sqref="AW356">
    <cfRule type="expression" dxfId="10563" priority="1497">
      <formula>$M356="NON DEFINED"</formula>
    </cfRule>
    <cfRule type="expression" dxfId="10562" priority="1498">
      <formula>$AZ356="N.D."</formula>
    </cfRule>
    <cfRule type="expression" dxfId="10561" priority="1499">
      <formula>$AY356="N.D."</formula>
    </cfRule>
  </conditionalFormatting>
  <conditionalFormatting sqref="AW356">
    <cfRule type="expression" dxfId="10560" priority="1486">
      <formula>$A356="Overhead Cable"</formula>
    </cfRule>
    <cfRule type="expression" dxfId="10559" priority="1487">
      <formula>$A356="Level Crossing"</formula>
    </cfRule>
    <cfRule type="expression" dxfId="10558" priority="1488">
      <formula>$A356="Neutral Section"</formula>
    </cfRule>
    <cfRule type="expression" dxfId="10557" priority="1489">
      <formula>$A356="Tunnel"</formula>
    </cfRule>
    <cfRule type="expression" dxfId="10556" priority="1490">
      <formula>$A356="Bridge"</formula>
    </cfRule>
    <cfRule type="expression" dxfId="10555" priority="1491">
      <formula>$A356="Drainage Works"</formula>
    </cfRule>
    <cfRule type="expression" dxfId="10554" priority="1492">
      <formula>$A356="Underpass"</formula>
    </cfRule>
    <cfRule type="expression" dxfId="10553" priority="1493">
      <formula>$A356="Overcrossing"</formula>
    </cfRule>
    <cfRule type="expression" dxfId="10552" priority="1494">
      <formula>$A356="Overpass"</formula>
    </cfRule>
    <cfRule type="expression" dxfId="10551" priority="1495">
      <formula>$A356="Station"</formula>
    </cfRule>
    <cfRule type="expression" dxfId="10550" priority="1496">
      <formula>$A356="Overlap between sections"</formula>
    </cfRule>
  </conditionalFormatting>
  <conditionalFormatting sqref="AX356">
    <cfRule type="expression" dxfId="10549" priority="1483">
      <formula>$M356="NON DEFINED"</formula>
    </cfRule>
    <cfRule type="expression" dxfId="10548" priority="1484">
      <formula>$AZ356="N.D."</formula>
    </cfRule>
    <cfRule type="expression" dxfId="10547" priority="1485">
      <formula>$AY356="N.D."</formula>
    </cfRule>
  </conditionalFormatting>
  <conditionalFormatting sqref="AX356">
    <cfRule type="expression" dxfId="10546" priority="1472">
      <formula>$A356="Overhead Cable"</formula>
    </cfRule>
    <cfRule type="expression" dxfId="10545" priority="1473">
      <formula>$A356="Level Crossing"</formula>
    </cfRule>
    <cfRule type="expression" dxfId="10544" priority="1474">
      <formula>$A356="Neutral Section"</formula>
    </cfRule>
    <cfRule type="expression" dxfId="10543" priority="1475">
      <formula>$A356="Tunnel"</formula>
    </cfRule>
    <cfRule type="expression" dxfId="10542" priority="1476">
      <formula>$A356="Bridge"</formula>
    </cfRule>
    <cfRule type="expression" dxfId="10541" priority="1477">
      <formula>$A356="Drainage Works"</formula>
    </cfRule>
    <cfRule type="expression" dxfId="10540" priority="1478">
      <formula>$A356="Underpass"</formula>
    </cfRule>
    <cfRule type="expression" dxfId="10539" priority="1479">
      <formula>$A356="Overcrossing"</formula>
    </cfRule>
    <cfRule type="expression" dxfId="10538" priority="1480">
      <formula>$A356="Overpass"</formula>
    </cfRule>
    <cfRule type="expression" dxfId="10537" priority="1481">
      <formula>$A356="Station"</formula>
    </cfRule>
    <cfRule type="expression" dxfId="10536" priority="1482">
      <formula>$A356="Overlap between sections"</formula>
    </cfRule>
  </conditionalFormatting>
  <conditionalFormatting sqref="AW358">
    <cfRule type="expression" dxfId="10535" priority="1469">
      <formula>$M358="NON DEFINED"</formula>
    </cfRule>
    <cfRule type="expression" dxfId="10534" priority="1470">
      <formula>$AZ358="N.D."</formula>
    </cfRule>
    <cfRule type="expression" dxfId="10533" priority="1471">
      <formula>$AY358="N.D."</formula>
    </cfRule>
  </conditionalFormatting>
  <conditionalFormatting sqref="AW358">
    <cfRule type="expression" dxfId="10532" priority="1458">
      <formula>$A358="Overhead Cable"</formula>
    </cfRule>
    <cfRule type="expression" dxfId="10531" priority="1459">
      <formula>$A358="Level Crossing"</formula>
    </cfRule>
    <cfRule type="expression" dxfId="10530" priority="1460">
      <formula>$A358="Neutral Section"</formula>
    </cfRule>
    <cfRule type="expression" dxfId="10529" priority="1461">
      <formula>$A358="Tunnel"</formula>
    </cfRule>
    <cfRule type="expression" dxfId="10528" priority="1462">
      <formula>$A358="Bridge"</formula>
    </cfRule>
    <cfRule type="expression" dxfId="10527" priority="1463">
      <formula>$A358="Drainage Works"</formula>
    </cfRule>
    <cfRule type="expression" dxfId="10526" priority="1464">
      <formula>$A358="Underpass"</formula>
    </cfRule>
    <cfRule type="expression" dxfId="10525" priority="1465">
      <formula>$A358="Overcrossing"</formula>
    </cfRule>
    <cfRule type="expression" dxfId="10524" priority="1466">
      <formula>$A358="Overpass"</formula>
    </cfRule>
    <cfRule type="expression" dxfId="10523" priority="1467">
      <formula>$A358="Station"</formula>
    </cfRule>
    <cfRule type="expression" dxfId="10522" priority="1468">
      <formula>$A358="Overlap between sections"</formula>
    </cfRule>
  </conditionalFormatting>
  <conditionalFormatting sqref="AX358">
    <cfRule type="expression" dxfId="10521" priority="1455">
      <formula>$M358="NON DEFINED"</formula>
    </cfRule>
    <cfRule type="expression" dxfId="10520" priority="1456">
      <formula>$AZ358="N.D."</formula>
    </cfRule>
    <cfRule type="expression" dxfId="10519" priority="1457">
      <formula>$AY358="N.D."</formula>
    </cfRule>
  </conditionalFormatting>
  <conditionalFormatting sqref="AX358">
    <cfRule type="expression" dxfId="10518" priority="1444">
      <formula>$A358="Overhead Cable"</formula>
    </cfRule>
    <cfRule type="expression" dxfId="10517" priority="1445">
      <formula>$A358="Level Crossing"</formula>
    </cfRule>
    <cfRule type="expression" dxfId="10516" priority="1446">
      <formula>$A358="Neutral Section"</formula>
    </cfRule>
    <cfRule type="expression" dxfId="10515" priority="1447">
      <formula>$A358="Tunnel"</formula>
    </cfRule>
    <cfRule type="expression" dxfId="10514" priority="1448">
      <formula>$A358="Bridge"</formula>
    </cfRule>
    <cfRule type="expression" dxfId="10513" priority="1449">
      <formula>$A358="Drainage Works"</formula>
    </cfRule>
    <cfRule type="expression" dxfId="10512" priority="1450">
      <formula>$A358="Underpass"</formula>
    </cfRule>
    <cfRule type="expression" dxfId="10511" priority="1451">
      <formula>$A358="Overcrossing"</formula>
    </cfRule>
    <cfRule type="expression" dxfId="10510" priority="1452">
      <formula>$A358="Overpass"</formula>
    </cfRule>
    <cfRule type="expression" dxfId="10509" priority="1453">
      <formula>$A358="Station"</formula>
    </cfRule>
    <cfRule type="expression" dxfId="10508" priority="1454">
      <formula>$A358="Overlap between sections"</formula>
    </cfRule>
  </conditionalFormatting>
  <conditionalFormatting sqref="AW360">
    <cfRule type="expression" dxfId="10507" priority="1441">
      <formula>$M360="NON DEFINED"</formula>
    </cfRule>
    <cfRule type="expression" dxfId="10506" priority="1442">
      <formula>$AZ360="N.D."</formula>
    </cfRule>
    <cfRule type="expression" dxfId="10505" priority="1443">
      <formula>$AY360="N.D."</formula>
    </cfRule>
  </conditionalFormatting>
  <conditionalFormatting sqref="AW360">
    <cfRule type="expression" dxfId="10504" priority="1430">
      <formula>$A360="Overhead Cable"</formula>
    </cfRule>
    <cfRule type="expression" dxfId="10503" priority="1431">
      <formula>$A360="Level Crossing"</formula>
    </cfRule>
    <cfRule type="expression" dxfId="10502" priority="1432">
      <formula>$A360="Neutral Section"</formula>
    </cfRule>
    <cfRule type="expression" dxfId="10501" priority="1433">
      <formula>$A360="Tunnel"</formula>
    </cfRule>
    <cfRule type="expression" dxfId="10500" priority="1434">
      <formula>$A360="Bridge"</formula>
    </cfRule>
    <cfRule type="expression" dxfId="10499" priority="1435">
      <formula>$A360="Drainage Works"</formula>
    </cfRule>
    <cfRule type="expression" dxfId="10498" priority="1436">
      <formula>$A360="Underpass"</formula>
    </cfRule>
    <cfRule type="expression" dxfId="10497" priority="1437">
      <formula>$A360="Overcrossing"</formula>
    </cfRule>
    <cfRule type="expression" dxfId="10496" priority="1438">
      <formula>$A360="Overpass"</formula>
    </cfRule>
    <cfRule type="expression" dxfId="10495" priority="1439">
      <formula>$A360="Station"</formula>
    </cfRule>
    <cfRule type="expression" dxfId="10494" priority="1440">
      <formula>$A360="Overlap between sections"</formula>
    </cfRule>
  </conditionalFormatting>
  <conditionalFormatting sqref="AX360">
    <cfRule type="expression" dxfId="10493" priority="1427">
      <formula>$M360="NON DEFINED"</formula>
    </cfRule>
    <cfRule type="expression" dxfId="10492" priority="1428">
      <formula>$AZ360="N.D."</formula>
    </cfRule>
    <cfRule type="expression" dxfId="10491" priority="1429">
      <formula>$AY360="N.D."</formula>
    </cfRule>
  </conditionalFormatting>
  <conditionalFormatting sqref="AX360">
    <cfRule type="expression" dxfId="10490" priority="1416">
      <formula>$A360="Overhead Cable"</formula>
    </cfRule>
    <cfRule type="expression" dxfId="10489" priority="1417">
      <formula>$A360="Level Crossing"</formula>
    </cfRule>
    <cfRule type="expression" dxfId="10488" priority="1418">
      <formula>$A360="Neutral Section"</formula>
    </cfRule>
    <cfRule type="expression" dxfId="10487" priority="1419">
      <formula>$A360="Tunnel"</formula>
    </cfRule>
    <cfRule type="expression" dxfId="10486" priority="1420">
      <formula>$A360="Bridge"</formula>
    </cfRule>
    <cfRule type="expression" dxfId="10485" priority="1421">
      <formula>$A360="Drainage Works"</formula>
    </cfRule>
    <cfRule type="expression" dxfId="10484" priority="1422">
      <formula>$A360="Underpass"</formula>
    </cfRule>
    <cfRule type="expression" dxfId="10483" priority="1423">
      <formula>$A360="Overcrossing"</formula>
    </cfRule>
    <cfRule type="expression" dxfId="10482" priority="1424">
      <formula>$A360="Overpass"</formula>
    </cfRule>
    <cfRule type="expression" dxfId="10481" priority="1425">
      <formula>$A360="Station"</formula>
    </cfRule>
    <cfRule type="expression" dxfId="10480" priority="1426">
      <formula>$A360="Overlap between sections"</formula>
    </cfRule>
  </conditionalFormatting>
  <conditionalFormatting sqref="AW364">
    <cfRule type="expression" dxfId="10479" priority="1413">
      <formula>$M364="NON DEFINED"</formula>
    </cfRule>
    <cfRule type="expression" dxfId="10478" priority="1414">
      <formula>$AZ364="N.D."</formula>
    </cfRule>
    <cfRule type="expression" dxfId="10477" priority="1415">
      <formula>$AY364="N.D."</formula>
    </cfRule>
  </conditionalFormatting>
  <conditionalFormatting sqref="AW364">
    <cfRule type="expression" dxfId="10476" priority="1402">
      <formula>$A364="Overhead Cable"</formula>
    </cfRule>
    <cfRule type="expression" dxfId="10475" priority="1403">
      <formula>$A364="Level Crossing"</formula>
    </cfRule>
    <cfRule type="expression" dxfId="10474" priority="1404">
      <formula>$A364="Neutral Section"</formula>
    </cfRule>
    <cfRule type="expression" dxfId="10473" priority="1405">
      <formula>$A364="Tunnel"</formula>
    </cfRule>
    <cfRule type="expression" dxfId="10472" priority="1406">
      <formula>$A364="Bridge"</formula>
    </cfRule>
    <cfRule type="expression" dxfId="10471" priority="1407">
      <formula>$A364="Drainage Works"</formula>
    </cfRule>
    <cfRule type="expression" dxfId="10470" priority="1408">
      <formula>$A364="Underpass"</formula>
    </cfRule>
    <cfRule type="expression" dxfId="10469" priority="1409">
      <formula>$A364="Overcrossing"</formula>
    </cfRule>
    <cfRule type="expression" dxfId="10468" priority="1410">
      <formula>$A364="Overpass"</formula>
    </cfRule>
    <cfRule type="expression" dxfId="10467" priority="1411">
      <formula>$A364="Station"</formula>
    </cfRule>
    <cfRule type="expression" dxfId="10466" priority="1412">
      <formula>$A364="Overlap between sections"</formula>
    </cfRule>
  </conditionalFormatting>
  <conditionalFormatting sqref="AX364">
    <cfRule type="expression" dxfId="10465" priority="1399">
      <formula>$M364="NON DEFINED"</formula>
    </cfRule>
    <cfRule type="expression" dxfId="10464" priority="1400">
      <formula>$AZ364="N.D."</formula>
    </cfRule>
    <cfRule type="expression" dxfId="10463" priority="1401">
      <formula>$AY364="N.D."</formula>
    </cfRule>
  </conditionalFormatting>
  <conditionalFormatting sqref="AX364">
    <cfRule type="expression" dxfId="10462" priority="1388">
      <formula>$A364="Overhead Cable"</formula>
    </cfRule>
    <cfRule type="expression" dxfId="10461" priority="1389">
      <formula>$A364="Level Crossing"</formula>
    </cfRule>
    <cfRule type="expression" dxfId="10460" priority="1390">
      <formula>$A364="Neutral Section"</formula>
    </cfRule>
    <cfRule type="expression" dxfId="10459" priority="1391">
      <formula>$A364="Tunnel"</formula>
    </cfRule>
    <cfRule type="expression" dxfId="10458" priority="1392">
      <formula>$A364="Bridge"</formula>
    </cfRule>
    <cfRule type="expression" dxfId="10457" priority="1393">
      <formula>$A364="Drainage Works"</formula>
    </cfRule>
    <cfRule type="expression" dxfId="10456" priority="1394">
      <formula>$A364="Underpass"</formula>
    </cfRule>
    <cfRule type="expression" dxfId="10455" priority="1395">
      <formula>$A364="Overcrossing"</formula>
    </cfRule>
    <cfRule type="expression" dxfId="10454" priority="1396">
      <formula>$A364="Overpass"</formula>
    </cfRule>
    <cfRule type="expression" dxfId="10453" priority="1397">
      <formula>$A364="Station"</formula>
    </cfRule>
    <cfRule type="expression" dxfId="10452" priority="1398">
      <formula>$A364="Overlap between sections"</formula>
    </cfRule>
  </conditionalFormatting>
  <conditionalFormatting sqref="AW366">
    <cfRule type="expression" dxfId="10451" priority="1385">
      <formula>$M366="NON DEFINED"</formula>
    </cfRule>
    <cfRule type="expression" dxfId="10450" priority="1386">
      <formula>$AZ366="N.D."</formula>
    </cfRule>
    <cfRule type="expression" dxfId="10449" priority="1387">
      <formula>$AY366="N.D."</formula>
    </cfRule>
  </conditionalFormatting>
  <conditionalFormatting sqref="AW366">
    <cfRule type="expression" dxfId="10448" priority="1374">
      <formula>$A366="Overhead Cable"</formula>
    </cfRule>
    <cfRule type="expression" dxfId="10447" priority="1375">
      <formula>$A366="Level Crossing"</formula>
    </cfRule>
    <cfRule type="expression" dxfId="10446" priority="1376">
      <formula>$A366="Neutral Section"</formula>
    </cfRule>
    <cfRule type="expression" dxfId="10445" priority="1377">
      <formula>$A366="Tunnel"</formula>
    </cfRule>
    <cfRule type="expression" dxfId="10444" priority="1378">
      <formula>$A366="Bridge"</formula>
    </cfRule>
    <cfRule type="expression" dxfId="10443" priority="1379">
      <formula>$A366="Drainage Works"</formula>
    </cfRule>
    <cfRule type="expression" dxfId="10442" priority="1380">
      <formula>$A366="Underpass"</formula>
    </cfRule>
    <cfRule type="expression" dxfId="10441" priority="1381">
      <formula>$A366="Overcrossing"</formula>
    </cfRule>
    <cfRule type="expression" dxfId="10440" priority="1382">
      <formula>$A366="Overpass"</formula>
    </cfRule>
    <cfRule type="expression" dxfId="10439" priority="1383">
      <formula>$A366="Station"</formula>
    </cfRule>
    <cfRule type="expression" dxfId="10438" priority="1384">
      <formula>$A366="Overlap between sections"</formula>
    </cfRule>
  </conditionalFormatting>
  <conditionalFormatting sqref="AX366">
    <cfRule type="expression" dxfId="10437" priority="1371">
      <formula>$M366="NON DEFINED"</formula>
    </cfRule>
    <cfRule type="expression" dxfId="10436" priority="1372">
      <formula>$AZ366="N.D."</formula>
    </cfRule>
    <cfRule type="expression" dxfId="10435" priority="1373">
      <formula>$AY366="N.D."</formula>
    </cfRule>
  </conditionalFormatting>
  <conditionalFormatting sqref="AX366">
    <cfRule type="expression" dxfId="10434" priority="1360">
      <formula>$A366="Overhead Cable"</formula>
    </cfRule>
    <cfRule type="expression" dxfId="10433" priority="1361">
      <formula>$A366="Level Crossing"</formula>
    </cfRule>
    <cfRule type="expression" dxfId="10432" priority="1362">
      <formula>$A366="Neutral Section"</formula>
    </cfRule>
    <cfRule type="expression" dxfId="10431" priority="1363">
      <formula>$A366="Tunnel"</formula>
    </cfRule>
    <cfRule type="expression" dxfId="10430" priority="1364">
      <formula>$A366="Bridge"</formula>
    </cfRule>
    <cfRule type="expression" dxfId="10429" priority="1365">
      <formula>$A366="Drainage Works"</formula>
    </cfRule>
    <cfRule type="expression" dxfId="10428" priority="1366">
      <formula>$A366="Underpass"</formula>
    </cfRule>
    <cfRule type="expression" dxfId="10427" priority="1367">
      <formula>$A366="Overcrossing"</formula>
    </cfRule>
    <cfRule type="expression" dxfId="10426" priority="1368">
      <formula>$A366="Overpass"</formula>
    </cfRule>
    <cfRule type="expression" dxfId="10425" priority="1369">
      <formula>$A366="Station"</formula>
    </cfRule>
    <cfRule type="expression" dxfId="10424" priority="1370">
      <formula>$A366="Overlap between sections"</formula>
    </cfRule>
  </conditionalFormatting>
  <conditionalFormatting sqref="AW368">
    <cfRule type="expression" dxfId="10423" priority="1357">
      <formula>$M368="NON DEFINED"</formula>
    </cfRule>
    <cfRule type="expression" dxfId="10422" priority="1358">
      <formula>$AZ368="N.D."</formula>
    </cfRule>
    <cfRule type="expression" dxfId="10421" priority="1359">
      <formula>$AY368="N.D."</formula>
    </cfRule>
  </conditionalFormatting>
  <conditionalFormatting sqref="AW368">
    <cfRule type="expression" dxfId="10420" priority="1346">
      <formula>$A368="Overhead Cable"</formula>
    </cfRule>
    <cfRule type="expression" dxfId="10419" priority="1347">
      <formula>$A368="Level Crossing"</formula>
    </cfRule>
    <cfRule type="expression" dxfId="10418" priority="1348">
      <formula>$A368="Neutral Section"</formula>
    </cfRule>
    <cfRule type="expression" dxfId="10417" priority="1349">
      <formula>$A368="Tunnel"</formula>
    </cfRule>
    <cfRule type="expression" dxfId="10416" priority="1350">
      <formula>$A368="Bridge"</formula>
    </cfRule>
    <cfRule type="expression" dxfId="10415" priority="1351">
      <formula>$A368="Drainage Works"</formula>
    </cfRule>
    <cfRule type="expression" dxfId="10414" priority="1352">
      <formula>$A368="Underpass"</formula>
    </cfRule>
    <cfRule type="expression" dxfId="10413" priority="1353">
      <formula>$A368="Overcrossing"</formula>
    </cfRule>
    <cfRule type="expression" dxfId="10412" priority="1354">
      <formula>$A368="Overpass"</formula>
    </cfRule>
    <cfRule type="expression" dxfId="10411" priority="1355">
      <formula>$A368="Station"</formula>
    </cfRule>
    <cfRule type="expression" dxfId="10410" priority="1356">
      <formula>$A368="Overlap between sections"</formula>
    </cfRule>
  </conditionalFormatting>
  <conditionalFormatting sqref="AX368">
    <cfRule type="expression" dxfId="10409" priority="1343">
      <formula>$M368="NON DEFINED"</formula>
    </cfRule>
    <cfRule type="expression" dxfId="10408" priority="1344">
      <formula>$AZ368="N.D."</formula>
    </cfRule>
    <cfRule type="expression" dxfId="10407" priority="1345">
      <formula>$AY368="N.D."</formula>
    </cfRule>
  </conditionalFormatting>
  <conditionalFormatting sqref="AX368">
    <cfRule type="expression" dxfId="10406" priority="1332">
      <formula>$A368="Overhead Cable"</formula>
    </cfRule>
    <cfRule type="expression" dxfId="10405" priority="1333">
      <formula>$A368="Level Crossing"</formula>
    </cfRule>
    <cfRule type="expression" dxfId="10404" priority="1334">
      <formula>$A368="Neutral Section"</formula>
    </cfRule>
    <cfRule type="expression" dxfId="10403" priority="1335">
      <formula>$A368="Tunnel"</formula>
    </cfRule>
    <cfRule type="expression" dxfId="10402" priority="1336">
      <formula>$A368="Bridge"</formula>
    </cfRule>
    <cfRule type="expression" dxfId="10401" priority="1337">
      <formula>$A368="Drainage Works"</formula>
    </cfRule>
    <cfRule type="expression" dxfId="10400" priority="1338">
      <formula>$A368="Underpass"</formula>
    </cfRule>
    <cfRule type="expression" dxfId="10399" priority="1339">
      <formula>$A368="Overcrossing"</formula>
    </cfRule>
    <cfRule type="expression" dxfId="10398" priority="1340">
      <formula>$A368="Overpass"</formula>
    </cfRule>
    <cfRule type="expression" dxfId="10397" priority="1341">
      <formula>$A368="Station"</formula>
    </cfRule>
    <cfRule type="expression" dxfId="10396" priority="1342">
      <formula>$A368="Overlap between sections"</formula>
    </cfRule>
  </conditionalFormatting>
  <conditionalFormatting sqref="AW370">
    <cfRule type="expression" dxfId="10395" priority="1329">
      <formula>$M370="NON DEFINED"</formula>
    </cfRule>
    <cfRule type="expression" dxfId="10394" priority="1330">
      <formula>$AZ370="N.D."</formula>
    </cfRule>
    <cfRule type="expression" dxfId="10393" priority="1331">
      <formula>$AY370="N.D."</formula>
    </cfRule>
  </conditionalFormatting>
  <conditionalFormatting sqref="AW370">
    <cfRule type="expression" dxfId="10392" priority="1318">
      <formula>$A370="Overhead Cable"</formula>
    </cfRule>
    <cfRule type="expression" dxfId="10391" priority="1319">
      <formula>$A370="Level Crossing"</formula>
    </cfRule>
    <cfRule type="expression" dxfId="10390" priority="1320">
      <formula>$A370="Neutral Section"</formula>
    </cfRule>
    <cfRule type="expression" dxfId="10389" priority="1321">
      <formula>$A370="Tunnel"</formula>
    </cfRule>
    <cfRule type="expression" dxfId="10388" priority="1322">
      <formula>$A370="Bridge"</formula>
    </cfRule>
    <cfRule type="expression" dxfId="10387" priority="1323">
      <formula>$A370="Drainage Works"</formula>
    </cfRule>
    <cfRule type="expression" dxfId="10386" priority="1324">
      <formula>$A370="Underpass"</formula>
    </cfRule>
    <cfRule type="expression" dxfId="10385" priority="1325">
      <formula>$A370="Overcrossing"</formula>
    </cfRule>
    <cfRule type="expression" dxfId="10384" priority="1326">
      <formula>$A370="Overpass"</formula>
    </cfRule>
    <cfRule type="expression" dxfId="10383" priority="1327">
      <formula>$A370="Station"</formula>
    </cfRule>
    <cfRule type="expression" dxfId="10382" priority="1328">
      <formula>$A370="Overlap between sections"</formula>
    </cfRule>
  </conditionalFormatting>
  <conditionalFormatting sqref="AX370">
    <cfRule type="expression" dxfId="10381" priority="1315">
      <formula>$M370="NON DEFINED"</formula>
    </cfRule>
    <cfRule type="expression" dxfId="10380" priority="1316">
      <formula>$AZ370="N.D."</formula>
    </cfRule>
    <cfRule type="expression" dxfId="10379" priority="1317">
      <formula>$AY370="N.D."</formula>
    </cfRule>
  </conditionalFormatting>
  <conditionalFormatting sqref="AX370">
    <cfRule type="expression" dxfId="10378" priority="1304">
      <formula>$A370="Overhead Cable"</formula>
    </cfRule>
    <cfRule type="expression" dxfId="10377" priority="1305">
      <formula>$A370="Level Crossing"</formula>
    </cfRule>
    <cfRule type="expression" dxfId="10376" priority="1306">
      <formula>$A370="Neutral Section"</formula>
    </cfRule>
    <cfRule type="expression" dxfId="10375" priority="1307">
      <formula>$A370="Tunnel"</formula>
    </cfRule>
    <cfRule type="expression" dxfId="10374" priority="1308">
      <formula>$A370="Bridge"</formula>
    </cfRule>
    <cfRule type="expression" dxfId="10373" priority="1309">
      <formula>$A370="Drainage Works"</formula>
    </cfRule>
    <cfRule type="expression" dxfId="10372" priority="1310">
      <formula>$A370="Underpass"</formula>
    </cfRule>
    <cfRule type="expression" dxfId="10371" priority="1311">
      <formula>$A370="Overcrossing"</formula>
    </cfRule>
    <cfRule type="expression" dxfId="10370" priority="1312">
      <formula>$A370="Overpass"</formula>
    </cfRule>
    <cfRule type="expression" dxfId="10369" priority="1313">
      <formula>$A370="Station"</formula>
    </cfRule>
    <cfRule type="expression" dxfId="10368" priority="1314">
      <formula>$A370="Overlap between sections"</formula>
    </cfRule>
  </conditionalFormatting>
  <conditionalFormatting sqref="AW372">
    <cfRule type="expression" dxfId="10367" priority="1301">
      <formula>$M372="NON DEFINED"</formula>
    </cfRule>
    <cfRule type="expression" dxfId="10366" priority="1302">
      <formula>$AZ372="N.D."</formula>
    </cfRule>
    <cfRule type="expression" dxfId="10365" priority="1303">
      <formula>$AY372="N.D."</formula>
    </cfRule>
  </conditionalFormatting>
  <conditionalFormatting sqref="AW372">
    <cfRule type="expression" dxfId="10364" priority="1290">
      <formula>$A372="Overhead Cable"</formula>
    </cfRule>
    <cfRule type="expression" dxfId="10363" priority="1291">
      <formula>$A372="Level Crossing"</formula>
    </cfRule>
    <cfRule type="expression" dxfId="10362" priority="1292">
      <formula>$A372="Neutral Section"</formula>
    </cfRule>
    <cfRule type="expression" dxfId="10361" priority="1293">
      <formula>$A372="Tunnel"</formula>
    </cfRule>
    <cfRule type="expression" dxfId="10360" priority="1294">
      <formula>$A372="Bridge"</formula>
    </cfRule>
    <cfRule type="expression" dxfId="10359" priority="1295">
      <formula>$A372="Drainage Works"</formula>
    </cfRule>
    <cfRule type="expression" dxfId="10358" priority="1296">
      <formula>$A372="Underpass"</formula>
    </cfRule>
    <cfRule type="expression" dxfId="10357" priority="1297">
      <formula>$A372="Overcrossing"</formula>
    </cfRule>
    <cfRule type="expression" dxfId="10356" priority="1298">
      <formula>$A372="Overpass"</formula>
    </cfRule>
    <cfRule type="expression" dxfId="10355" priority="1299">
      <formula>$A372="Station"</formula>
    </cfRule>
    <cfRule type="expression" dxfId="10354" priority="1300">
      <formula>$A372="Overlap between sections"</formula>
    </cfRule>
  </conditionalFormatting>
  <conditionalFormatting sqref="AX372">
    <cfRule type="expression" dxfId="10353" priority="1287">
      <formula>$M372="NON DEFINED"</formula>
    </cfRule>
    <cfRule type="expression" dxfId="10352" priority="1288">
      <formula>$AZ372="N.D."</formula>
    </cfRule>
    <cfRule type="expression" dxfId="10351" priority="1289">
      <formula>$AY372="N.D."</formula>
    </cfRule>
  </conditionalFormatting>
  <conditionalFormatting sqref="AX372">
    <cfRule type="expression" dxfId="10350" priority="1276">
      <formula>$A372="Overhead Cable"</formula>
    </cfRule>
    <cfRule type="expression" dxfId="10349" priority="1277">
      <formula>$A372="Level Crossing"</formula>
    </cfRule>
    <cfRule type="expression" dxfId="10348" priority="1278">
      <formula>$A372="Neutral Section"</formula>
    </cfRule>
    <cfRule type="expression" dxfId="10347" priority="1279">
      <formula>$A372="Tunnel"</formula>
    </cfRule>
    <cfRule type="expression" dxfId="10346" priority="1280">
      <formula>$A372="Bridge"</formula>
    </cfRule>
    <cfRule type="expression" dxfId="10345" priority="1281">
      <formula>$A372="Drainage Works"</formula>
    </cfRule>
    <cfRule type="expression" dxfId="10344" priority="1282">
      <formula>$A372="Underpass"</formula>
    </cfRule>
    <cfRule type="expression" dxfId="10343" priority="1283">
      <formula>$A372="Overcrossing"</formula>
    </cfRule>
    <cfRule type="expression" dxfId="10342" priority="1284">
      <formula>$A372="Overpass"</formula>
    </cfRule>
    <cfRule type="expression" dxfId="10341" priority="1285">
      <formula>$A372="Station"</formula>
    </cfRule>
    <cfRule type="expression" dxfId="10340" priority="1286">
      <formula>$A372="Overlap between sections"</formula>
    </cfRule>
  </conditionalFormatting>
  <conditionalFormatting sqref="AW374">
    <cfRule type="expression" dxfId="10339" priority="1273">
      <formula>$M374="NON DEFINED"</formula>
    </cfRule>
    <cfRule type="expression" dxfId="10338" priority="1274">
      <formula>$AZ374="N.D."</formula>
    </cfRule>
    <cfRule type="expression" dxfId="10337" priority="1275">
      <formula>$AY374="N.D."</formula>
    </cfRule>
  </conditionalFormatting>
  <conditionalFormatting sqref="AW374">
    <cfRule type="expression" dxfId="10336" priority="1262">
      <formula>$A374="Overhead Cable"</formula>
    </cfRule>
    <cfRule type="expression" dxfId="10335" priority="1263">
      <formula>$A374="Level Crossing"</formula>
    </cfRule>
    <cfRule type="expression" dxfId="10334" priority="1264">
      <formula>$A374="Neutral Section"</formula>
    </cfRule>
    <cfRule type="expression" dxfId="10333" priority="1265">
      <formula>$A374="Tunnel"</formula>
    </cfRule>
    <cfRule type="expression" dxfId="10332" priority="1266">
      <formula>$A374="Bridge"</formula>
    </cfRule>
    <cfRule type="expression" dxfId="10331" priority="1267">
      <formula>$A374="Drainage Works"</formula>
    </cfRule>
    <cfRule type="expression" dxfId="10330" priority="1268">
      <formula>$A374="Underpass"</formula>
    </cfRule>
    <cfRule type="expression" dxfId="10329" priority="1269">
      <formula>$A374="Overcrossing"</formula>
    </cfRule>
    <cfRule type="expression" dxfId="10328" priority="1270">
      <formula>$A374="Overpass"</formula>
    </cfRule>
    <cfRule type="expression" dxfId="10327" priority="1271">
      <formula>$A374="Station"</formula>
    </cfRule>
    <cfRule type="expression" dxfId="10326" priority="1272">
      <formula>$A374="Overlap between sections"</formula>
    </cfRule>
  </conditionalFormatting>
  <conditionalFormatting sqref="AX374">
    <cfRule type="expression" dxfId="10325" priority="1259">
      <formula>$M374="NON DEFINED"</formula>
    </cfRule>
    <cfRule type="expression" dxfId="10324" priority="1260">
      <formula>$AZ374="N.D."</formula>
    </cfRule>
    <cfRule type="expression" dxfId="10323" priority="1261">
      <formula>$AY374="N.D."</formula>
    </cfRule>
  </conditionalFormatting>
  <conditionalFormatting sqref="AX374">
    <cfRule type="expression" dxfId="10322" priority="1248">
      <formula>$A374="Overhead Cable"</formula>
    </cfRule>
    <cfRule type="expression" dxfId="10321" priority="1249">
      <formula>$A374="Level Crossing"</formula>
    </cfRule>
    <cfRule type="expression" dxfId="10320" priority="1250">
      <formula>$A374="Neutral Section"</formula>
    </cfRule>
    <cfRule type="expression" dxfId="10319" priority="1251">
      <formula>$A374="Tunnel"</formula>
    </cfRule>
    <cfRule type="expression" dxfId="10318" priority="1252">
      <formula>$A374="Bridge"</formula>
    </cfRule>
    <cfRule type="expression" dxfId="10317" priority="1253">
      <formula>$A374="Drainage Works"</formula>
    </cfRule>
    <cfRule type="expression" dxfId="10316" priority="1254">
      <formula>$A374="Underpass"</formula>
    </cfRule>
    <cfRule type="expression" dxfId="10315" priority="1255">
      <formula>$A374="Overcrossing"</formula>
    </cfRule>
    <cfRule type="expression" dxfId="10314" priority="1256">
      <formula>$A374="Overpass"</formula>
    </cfRule>
    <cfRule type="expression" dxfId="10313" priority="1257">
      <formula>$A374="Station"</formula>
    </cfRule>
    <cfRule type="expression" dxfId="10312" priority="1258">
      <formula>$A374="Overlap between sections"</formula>
    </cfRule>
  </conditionalFormatting>
  <conditionalFormatting sqref="AW376">
    <cfRule type="expression" dxfId="10311" priority="1245">
      <formula>$M376="NON DEFINED"</formula>
    </cfRule>
    <cfRule type="expression" dxfId="10310" priority="1246">
      <formula>$AZ376="N.D."</formula>
    </cfRule>
    <cfRule type="expression" dxfId="10309" priority="1247">
      <formula>$AY376="N.D."</formula>
    </cfRule>
  </conditionalFormatting>
  <conditionalFormatting sqref="AW376">
    <cfRule type="expression" dxfId="10308" priority="1234">
      <formula>$A376="Overhead Cable"</formula>
    </cfRule>
    <cfRule type="expression" dxfId="10307" priority="1235">
      <formula>$A376="Level Crossing"</formula>
    </cfRule>
    <cfRule type="expression" dxfId="10306" priority="1236">
      <formula>$A376="Neutral Section"</formula>
    </cfRule>
    <cfRule type="expression" dxfId="10305" priority="1237">
      <formula>$A376="Tunnel"</formula>
    </cfRule>
    <cfRule type="expression" dxfId="10304" priority="1238">
      <formula>$A376="Bridge"</formula>
    </cfRule>
    <cfRule type="expression" dxfId="10303" priority="1239">
      <formula>$A376="Drainage Works"</formula>
    </cfRule>
    <cfRule type="expression" dxfId="10302" priority="1240">
      <formula>$A376="Underpass"</formula>
    </cfRule>
    <cfRule type="expression" dxfId="10301" priority="1241">
      <formula>$A376="Overcrossing"</formula>
    </cfRule>
    <cfRule type="expression" dxfId="10300" priority="1242">
      <formula>$A376="Overpass"</formula>
    </cfRule>
    <cfRule type="expression" dxfId="10299" priority="1243">
      <formula>$A376="Station"</formula>
    </cfRule>
    <cfRule type="expression" dxfId="10298" priority="1244">
      <formula>$A376="Overlap between sections"</formula>
    </cfRule>
  </conditionalFormatting>
  <conditionalFormatting sqref="AX376">
    <cfRule type="expression" dxfId="10297" priority="1231">
      <formula>$M376="NON DEFINED"</formula>
    </cfRule>
    <cfRule type="expression" dxfId="10296" priority="1232">
      <formula>$AZ376="N.D."</formula>
    </cfRule>
    <cfRule type="expression" dxfId="10295" priority="1233">
      <formula>$AY376="N.D."</formula>
    </cfRule>
  </conditionalFormatting>
  <conditionalFormatting sqref="AX376">
    <cfRule type="expression" dxfId="10294" priority="1220">
      <formula>$A376="Overhead Cable"</formula>
    </cfRule>
    <cfRule type="expression" dxfId="10293" priority="1221">
      <formula>$A376="Level Crossing"</formula>
    </cfRule>
    <cfRule type="expression" dxfId="10292" priority="1222">
      <formula>$A376="Neutral Section"</formula>
    </cfRule>
    <cfRule type="expression" dxfId="10291" priority="1223">
      <formula>$A376="Tunnel"</formula>
    </cfRule>
    <cfRule type="expression" dxfId="10290" priority="1224">
      <formula>$A376="Bridge"</formula>
    </cfRule>
    <cfRule type="expression" dxfId="10289" priority="1225">
      <formula>$A376="Drainage Works"</formula>
    </cfRule>
    <cfRule type="expression" dxfId="10288" priority="1226">
      <formula>$A376="Underpass"</formula>
    </cfRule>
    <cfRule type="expression" dxfId="10287" priority="1227">
      <formula>$A376="Overcrossing"</formula>
    </cfRule>
    <cfRule type="expression" dxfId="10286" priority="1228">
      <formula>$A376="Overpass"</formula>
    </cfRule>
    <cfRule type="expression" dxfId="10285" priority="1229">
      <formula>$A376="Station"</formula>
    </cfRule>
    <cfRule type="expression" dxfId="10284" priority="1230">
      <formula>$A376="Overlap between sections"</formula>
    </cfRule>
  </conditionalFormatting>
  <conditionalFormatting sqref="AW382">
    <cfRule type="expression" dxfId="10283" priority="1217">
      <formula>$M382="NON DEFINED"</formula>
    </cfRule>
    <cfRule type="expression" dxfId="10282" priority="1218">
      <formula>$AZ382="N.D."</formula>
    </cfRule>
    <cfRule type="expression" dxfId="10281" priority="1219">
      <formula>$AY382="N.D."</formula>
    </cfRule>
  </conditionalFormatting>
  <conditionalFormatting sqref="AW382">
    <cfRule type="expression" dxfId="10280" priority="1206">
      <formula>$A382="Overhead Cable"</formula>
    </cfRule>
    <cfRule type="expression" dxfId="10279" priority="1207">
      <formula>$A382="Level Crossing"</formula>
    </cfRule>
    <cfRule type="expression" dxfId="10278" priority="1208">
      <formula>$A382="Neutral Section"</formula>
    </cfRule>
    <cfRule type="expression" dxfId="10277" priority="1209">
      <formula>$A382="Tunnel"</formula>
    </cfRule>
    <cfRule type="expression" dxfId="10276" priority="1210">
      <formula>$A382="Bridge"</formula>
    </cfRule>
    <cfRule type="expression" dxfId="10275" priority="1211">
      <formula>$A382="Drainage Works"</formula>
    </cfRule>
    <cfRule type="expression" dxfId="10274" priority="1212">
      <formula>$A382="Underpass"</formula>
    </cfRule>
    <cfRule type="expression" dxfId="10273" priority="1213">
      <formula>$A382="Overcrossing"</formula>
    </cfRule>
    <cfRule type="expression" dxfId="10272" priority="1214">
      <formula>$A382="Overpass"</formula>
    </cfRule>
    <cfRule type="expression" dxfId="10271" priority="1215">
      <formula>$A382="Station"</formula>
    </cfRule>
    <cfRule type="expression" dxfId="10270" priority="1216">
      <formula>$A382="Overlap between sections"</formula>
    </cfRule>
  </conditionalFormatting>
  <conditionalFormatting sqref="AX382">
    <cfRule type="expression" dxfId="10269" priority="1203">
      <formula>$M382="NON DEFINED"</formula>
    </cfRule>
    <cfRule type="expression" dxfId="10268" priority="1204">
      <formula>$AZ382="N.D."</formula>
    </cfRule>
    <cfRule type="expression" dxfId="10267" priority="1205">
      <formula>$AY382="N.D."</formula>
    </cfRule>
  </conditionalFormatting>
  <conditionalFormatting sqref="AX382">
    <cfRule type="expression" dxfId="10266" priority="1192">
      <formula>$A382="Overhead Cable"</formula>
    </cfRule>
    <cfRule type="expression" dxfId="10265" priority="1193">
      <formula>$A382="Level Crossing"</formula>
    </cfRule>
    <cfRule type="expression" dxfId="10264" priority="1194">
      <formula>$A382="Neutral Section"</formula>
    </cfRule>
    <cfRule type="expression" dxfId="10263" priority="1195">
      <formula>$A382="Tunnel"</formula>
    </cfRule>
    <cfRule type="expression" dxfId="10262" priority="1196">
      <formula>$A382="Bridge"</formula>
    </cfRule>
    <cfRule type="expression" dxfId="10261" priority="1197">
      <formula>$A382="Drainage Works"</formula>
    </cfRule>
    <cfRule type="expression" dxfId="10260" priority="1198">
      <formula>$A382="Underpass"</formula>
    </cfRule>
    <cfRule type="expression" dxfId="10259" priority="1199">
      <formula>$A382="Overcrossing"</formula>
    </cfRule>
    <cfRule type="expression" dxfId="10258" priority="1200">
      <formula>$A382="Overpass"</formula>
    </cfRule>
    <cfRule type="expression" dxfId="10257" priority="1201">
      <formula>$A382="Station"</formula>
    </cfRule>
    <cfRule type="expression" dxfId="10256" priority="1202">
      <formula>$A382="Overlap between sections"</formula>
    </cfRule>
  </conditionalFormatting>
  <conditionalFormatting sqref="AW384">
    <cfRule type="expression" dxfId="10255" priority="1189">
      <formula>$M384="NON DEFINED"</formula>
    </cfRule>
    <cfRule type="expression" dxfId="10254" priority="1190">
      <formula>$AZ384="N.D."</formula>
    </cfRule>
    <cfRule type="expression" dxfId="10253" priority="1191">
      <formula>$AY384="N.D."</formula>
    </cfRule>
  </conditionalFormatting>
  <conditionalFormatting sqref="AW384">
    <cfRule type="expression" dxfId="10252" priority="1178">
      <formula>$A384="Overhead Cable"</formula>
    </cfRule>
    <cfRule type="expression" dxfId="10251" priority="1179">
      <formula>$A384="Level Crossing"</formula>
    </cfRule>
    <cfRule type="expression" dxfId="10250" priority="1180">
      <formula>$A384="Neutral Section"</formula>
    </cfRule>
    <cfRule type="expression" dxfId="10249" priority="1181">
      <formula>$A384="Tunnel"</formula>
    </cfRule>
    <cfRule type="expression" dxfId="10248" priority="1182">
      <formula>$A384="Bridge"</formula>
    </cfRule>
    <cfRule type="expression" dxfId="10247" priority="1183">
      <formula>$A384="Drainage Works"</formula>
    </cfRule>
    <cfRule type="expression" dxfId="10246" priority="1184">
      <formula>$A384="Underpass"</formula>
    </cfRule>
    <cfRule type="expression" dxfId="10245" priority="1185">
      <formula>$A384="Overcrossing"</formula>
    </cfRule>
    <cfRule type="expression" dxfId="10244" priority="1186">
      <formula>$A384="Overpass"</formula>
    </cfRule>
    <cfRule type="expression" dxfId="10243" priority="1187">
      <formula>$A384="Station"</formula>
    </cfRule>
    <cfRule type="expression" dxfId="10242" priority="1188">
      <formula>$A384="Overlap between sections"</formula>
    </cfRule>
  </conditionalFormatting>
  <conditionalFormatting sqref="AX384">
    <cfRule type="expression" dxfId="10241" priority="1175">
      <formula>$M384="NON DEFINED"</formula>
    </cfRule>
    <cfRule type="expression" dxfId="10240" priority="1176">
      <formula>$AZ384="N.D."</formula>
    </cfRule>
    <cfRule type="expression" dxfId="10239" priority="1177">
      <formula>$AY384="N.D."</formula>
    </cfRule>
  </conditionalFormatting>
  <conditionalFormatting sqref="AX384">
    <cfRule type="expression" dxfId="10238" priority="1164">
      <formula>$A384="Overhead Cable"</formula>
    </cfRule>
    <cfRule type="expression" dxfId="10237" priority="1165">
      <formula>$A384="Level Crossing"</formula>
    </cfRule>
    <cfRule type="expression" dxfId="10236" priority="1166">
      <formula>$A384="Neutral Section"</formula>
    </cfRule>
    <cfRule type="expression" dxfId="10235" priority="1167">
      <formula>$A384="Tunnel"</formula>
    </cfRule>
    <cfRule type="expression" dxfId="10234" priority="1168">
      <formula>$A384="Bridge"</formula>
    </cfRule>
    <cfRule type="expression" dxfId="10233" priority="1169">
      <formula>$A384="Drainage Works"</formula>
    </cfRule>
    <cfRule type="expression" dxfId="10232" priority="1170">
      <formula>$A384="Underpass"</formula>
    </cfRule>
    <cfRule type="expression" dxfId="10231" priority="1171">
      <formula>$A384="Overcrossing"</formula>
    </cfRule>
    <cfRule type="expression" dxfId="10230" priority="1172">
      <formula>$A384="Overpass"</formula>
    </cfRule>
    <cfRule type="expression" dxfId="10229" priority="1173">
      <formula>$A384="Station"</formula>
    </cfRule>
    <cfRule type="expression" dxfId="10228" priority="1174">
      <formula>$A384="Overlap between sections"</formula>
    </cfRule>
  </conditionalFormatting>
  <conditionalFormatting sqref="AW386">
    <cfRule type="expression" dxfId="10227" priority="1161">
      <formula>$M386="NON DEFINED"</formula>
    </cfRule>
    <cfRule type="expression" dxfId="10226" priority="1162">
      <formula>$AZ386="N.D."</formula>
    </cfRule>
    <cfRule type="expression" dxfId="10225" priority="1163">
      <formula>$AY386="N.D."</formula>
    </cfRule>
  </conditionalFormatting>
  <conditionalFormatting sqref="AW386">
    <cfRule type="expression" dxfId="10224" priority="1150">
      <formula>$A386="Overhead Cable"</formula>
    </cfRule>
    <cfRule type="expression" dxfId="10223" priority="1151">
      <formula>$A386="Level Crossing"</formula>
    </cfRule>
    <cfRule type="expression" dxfId="10222" priority="1152">
      <formula>$A386="Neutral Section"</formula>
    </cfRule>
    <cfRule type="expression" dxfId="10221" priority="1153">
      <formula>$A386="Tunnel"</formula>
    </cfRule>
    <cfRule type="expression" dxfId="10220" priority="1154">
      <formula>$A386="Bridge"</formula>
    </cfRule>
    <cfRule type="expression" dxfId="10219" priority="1155">
      <formula>$A386="Drainage Works"</formula>
    </cfRule>
    <cfRule type="expression" dxfId="10218" priority="1156">
      <formula>$A386="Underpass"</formula>
    </cfRule>
    <cfRule type="expression" dxfId="10217" priority="1157">
      <formula>$A386="Overcrossing"</formula>
    </cfRule>
    <cfRule type="expression" dxfId="10216" priority="1158">
      <formula>$A386="Overpass"</formula>
    </cfRule>
    <cfRule type="expression" dxfId="10215" priority="1159">
      <formula>$A386="Station"</formula>
    </cfRule>
    <cfRule type="expression" dxfId="10214" priority="1160">
      <formula>$A386="Overlap between sections"</formula>
    </cfRule>
  </conditionalFormatting>
  <conditionalFormatting sqref="AX386">
    <cfRule type="expression" dxfId="10213" priority="1147">
      <formula>$M386="NON DEFINED"</formula>
    </cfRule>
    <cfRule type="expression" dxfId="10212" priority="1148">
      <formula>$AZ386="N.D."</formula>
    </cfRule>
    <cfRule type="expression" dxfId="10211" priority="1149">
      <formula>$AY386="N.D."</formula>
    </cfRule>
  </conditionalFormatting>
  <conditionalFormatting sqref="AX386">
    <cfRule type="expression" dxfId="10210" priority="1136">
      <formula>$A386="Overhead Cable"</formula>
    </cfRule>
    <cfRule type="expression" dxfId="10209" priority="1137">
      <formula>$A386="Level Crossing"</formula>
    </cfRule>
    <cfRule type="expression" dxfId="10208" priority="1138">
      <formula>$A386="Neutral Section"</formula>
    </cfRule>
    <cfRule type="expression" dxfId="10207" priority="1139">
      <formula>$A386="Tunnel"</formula>
    </cfRule>
    <cfRule type="expression" dxfId="10206" priority="1140">
      <formula>$A386="Bridge"</formula>
    </cfRule>
    <cfRule type="expression" dxfId="10205" priority="1141">
      <formula>$A386="Drainage Works"</formula>
    </cfRule>
    <cfRule type="expression" dxfId="10204" priority="1142">
      <formula>$A386="Underpass"</formula>
    </cfRule>
    <cfRule type="expression" dxfId="10203" priority="1143">
      <formula>$A386="Overcrossing"</formula>
    </cfRule>
    <cfRule type="expression" dxfId="10202" priority="1144">
      <formula>$A386="Overpass"</formula>
    </cfRule>
    <cfRule type="expression" dxfId="10201" priority="1145">
      <formula>$A386="Station"</formula>
    </cfRule>
    <cfRule type="expression" dxfId="10200" priority="1146">
      <formula>$A386="Overlap between sections"</formula>
    </cfRule>
  </conditionalFormatting>
  <conditionalFormatting sqref="AW388">
    <cfRule type="expression" dxfId="10199" priority="1133">
      <formula>$M388="NON DEFINED"</formula>
    </cfRule>
    <cfRule type="expression" dxfId="10198" priority="1134">
      <formula>$AZ388="N.D."</formula>
    </cfRule>
    <cfRule type="expression" dxfId="10197" priority="1135">
      <formula>$AY388="N.D."</formula>
    </cfRule>
  </conditionalFormatting>
  <conditionalFormatting sqref="AW388">
    <cfRule type="expression" dxfId="10196" priority="1122">
      <formula>$A388="Overhead Cable"</formula>
    </cfRule>
    <cfRule type="expression" dxfId="10195" priority="1123">
      <formula>$A388="Level Crossing"</formula>
    </cfRule>
    <cfRule type="expression" dxfId="10194" priority="1124">
      <formula>$A388="Neutral Section"</formula>
    </cfRule>
    <cfRule type="expression" dxfId="10193" priority="1125">
      <formula>$A388="Tunnel"</formula>
    </cfRule>
    <cfRule type="expression" dxfId="10192" priority="1126">
      <formula>$A388="Bridge"</formula>
    </cfRule>
    <cfRule type="expression" dxfId="10191" priority="1127">
      <formula>$A388="Drainage Works"</formula>
    </cfRule>
    <cfRule type="expression" dxfId="10190" priority="1128">
      <formula>$A388="Underpass"</formula>
    </cfRule>
    <cfRule type="expression" dxfId="10189" priority="1129">
      <formula>$A388="Overcrossing"</formula>
    </cfRule>
    <cfRule type="expression" dxfId="10188" priority="1130">
      <formula>$A388="Overpass"</formula>
    </cfRule>
    <cfRule type="expression" dxfId="10187" priority="1131">
      <formula>$A388="Station"</formula>
    </cfRule>
    <cfRule type="expression" dxfId="10186" priority="1132">
      <formula>$A388="Overlap between sections"</formula>
    </cfRule>
  </conditionalFormatting>
  <conditionalFormatting sqref="AX388">
    <cfRule type="expression" dxfId="10185" priority="1119">
      <formula>$M388="NON DEFINED"</formula>
    </cfRule>
    <cfRule type="expression" dxfId="10184" priority="1120">
      <formula>$AZ388="N.D."</formula>
    </cfRule>
    <cfRule type="expression" dxfId="10183" priority="1121">
      <formula>$AY388="N.D."</formula>
    </cfRule>
  </conditionalFormatting>
  <conditionalFormatting sqref="AX388">
    <cfRule type="expression" dxfId="10182" priority="1108">
      <formula>$A388="Overhead Cable"</formula>
    </cfRule>
    <cfRule type="expression" dxfId="10181" priority="1109">
      <formula>$A388="Level Crossing"</formula>
    </cfRule>
    <cfRule type="expression" dxfId="10180" priority="1110">
      <formula>$A388="Neutral Section"</formula>
    </cfRule>
    <cfRule type="expression" dxfId="10179" priority="1111">
      <formula>$A388="Tunnel"</formula>
    </cfRule>
    <cfRule type="expression" dxfId="10178" priority="1112">
      <formula>$A388="Bridge"</formula>
    </cfRule>
    <cfRule type="expression" dxfId="10177" priority="1113">
      <formula>$A388="Drainage Works"</formula>
    </cfRule>
    <cfRule type="expression" dxfId="10176" priority="1114">
      <formula>$A388="Underpass"</formula>
    </cfRule>
    <cfRule type="expression" dxfId="10175" priority="1115">
      <formula>$A388="Overcrossing"</formula>
    </cfRule>
    <cfRule type="expression" dxfId="10174" priority="1116">
      <formula>$A388="Overpass"</formula>
    </cfRule>
    <cfRule type="expression" dxfId="10173" priority="1117">
      <formula>$A388="Station"</formula>
    </cfRule>
    <cfRule type="expression" dxfId="10172" priority="1118">
      <formula>$A388="Overlap between sections"</formula>
    </cfRule>
  </conditionalFormatting>
  <conditionalFormatting sqref="AW390">
    <cfRule type="expression" dxfId="10171" priority="1105">
      <formula>$M390="NON DEFINED"</formula>
    </cfRule>
    <cfRule type="expression" dxfId="10170" priority="1106">
      <formula>$AZ390="N.D."</formula>
    </cfRule>
    <cfRule type="expression" dxfId="10169" priority="1107">
      <formula>$AY390="N.D."</formula>
    </cfRule>
  </conditionalFormatting>
  <conditionalFormatting sqref="AW390">
    <cfRule type="expression" dxfId="10168" priority="1094">
      <formula>$A390="Overhead Cable"</formula>
    </cfRule>
    <cfRule type="expression" dxfId="10167" priority="1095">
      <formula>$A390="Level Crossing"</formula>
    </cfRule>
    <cfRule type="expression" dxfId="10166" priority="1096">
      <formula>$A390="Neutral Section"</formula>
    </cfRule>
    <cfRule type="expression" dxfId="10165" priority="1097">
      <formula>$A390="Tunnel"</formula>
    </cfRule>
    <cfRule type="expression" dxfId="10164" priority="1098">
      <formula>$A390="Bridge"</formula>
    </cfRule>
    <cfRule type="expression" dxfId="10163" priority="1099">
      <formula>$A390="Drainage Works"</formula>
    </cfRule>
    <cfRule type="expression" dxfId="10162" priority="1100">
      <formula>$A390="Underpass"</formula>
    </cfRule>
    <cfRule type="expression" dxfId="10161" priority="1101">
      <formula>$A390="Overcrossing"</formula>
    </cfRule>
    <cfRule type="expression" dxfId="10160" priority="1102">
      <formula>$A390="Overpass"</formula>
    </cfRule>
    <cfRule type="expression" dxfId="10159" priority="1103">
      <formula>$A390="Station"</formula>
    </cfRule>
    <cfRule type="expression" dxfId="10158" priority="1104">
      <formula>$A390="Overlap between sections"</formula>
    </cfRule>
  </conditionalFormatting>
  <conditionalFormatting sqref="AX390">
    <cfRule type="expression" dxfId="10157" priority="1091">
      <formula>$M390="NON DEFINED"</formula>
    </cfRule>
    <cfRule type="expression" dxfId="10156" priority="1092">
      <formula>$AZ390="N.D."</formula>
    </cfRule>
    <cfRule type="expression" dxfId="10155" priority="1093">
      <formula>$AY390="N.D."</formula>
    </cfRule>
  </conditionalFormatting>
  <conditionalFormatting sqref="AX390">
    <cfRule type="expression" dxfId="10154" priority="1080">
      <formula>$A390="Overhead Cable"</formula>
    </cfRule>
    <cfRule type="expression" dxfId="10153" priority="1081">
      <formula>$A390="Level Crossing"</formula>
    </cfRule>
    <cfRule type="expression" dxfId="10152" priority="1082">
      <formula>$A390="Neutral Section"</formula>
    </cfRule>
    <cfRule type="expression" dxfId="10151" priority="1083">
      <formula>$A390="Tunnel"</formula>
    </cfRule>
    <cfRule type="expression" dxfId="10150" priority="1084">
      <formula>$A390="Bridge"</formula>
    </cfRule>
    <cfRule type="expression" dxfId="10149" priority="1085">
      <formula>$A390="Drainage Works"</formula>
    </cfRule>
    <cfRule type="expression" dxfId="10148" priority="1086">
      <formula>$A390="Underpass"</formula>
    </cfRule>
    <cfRule type="expression" dxfId="10147" priority="1087">
      <formula>$A390="Overcrossing"</formula>
    </cfRule>
    <cfRule type="expression" dxfId="10146" priority="1088">
      <formula>$A390="Overpass"</formula>
    </cfRule>
    <cfRule type="expression" dxfId="10145" priority="1089">
      <formula>$A390="Station"</formula>
    </cfRule>
    <cfRule type="expression" dxfId="10144" priority="1090">
      <formula>$A390="Overlap between sections"</formula>
    </cfRule>
  </conditionalFormatting>
  <conditionalFormatting sqref="AW392">
    <cfRule type="expression" dxfId="10143" priority="1077">
      <formula>$M392="NON DEFINED"</formula>
    </cfRule>
    <cfRule type="expression" dxfId="10142" priority="1078">
      <formula>$AZ392="N.D."</formula>
    </cfRule>
    <cfRule type="expression" dxfId="10141" priority="1079">
      <formula>$AY392="N.D."</formula>
    </cfRule>
  </conditionalFormatting>
  <conditionalFormatting sqref="AW392">
    <cfRule type="expression" dxfId="10140" priority="1066">
      <formula>$A392="Overhead Cable"</formula>
    </cfRule>
    <cfRule type="expression" dxfId="10139" priority="1067">
      <formula>$A392="Level Crossing"</formula>
    </cfRule>
    <cfRule type="expression" dxfId="10138" priority="1068">
      <formula>$A392="Neutral Section"</formula>
    </cfRule>
    <cfRule type="expression" dxfId="10137" priority="1069">
      <formula>$A392="Tunnel"</formula>
    </cfRule>
    <cfRule type="expression" dxfId="10136" priority="1070">
      <formula>$A392="Bridge"</formula>
    </cfRule>
    <cfRule type="expression" dxfId="10135" priority="1071">
      <formula>$A392="Drainage Works"</formula>
    </cfRule>
    <cfRule type="expression" dxfId="10134" priority="1072">
      <formula>$A392="Underpass"</formula>
    </cfRule>
    <cfRule type="expression" dxfId="10133" priority="1073">
      <formula>$A392="Overcrossing"</formula>
    </cfRule>
    <cfRule type="expression" dxfId="10132" priority="1074">
      <formula>$A392="Overpass"</formula>
    </cfRule>
    <cfRule type="expression" dxfId="10131" priority="1075">
      <formula>$A392="Station"</formula>
    </cfRule>
    <cfRule type="expression" dxfId="10130" priority="1076">
      <formula>$A392="Overlap between sections"</formula>
    </cfRule>
  </conditionalFormatting>
  <conditionalFormatting sqref="AX392">
    <cfRule type="expression" dxfId="10129" priority="1063">
      <formula>$M392="NON DEFINED"</formula>
    </cfRule>
    <cfRule type="expression" dxfId="10128" priority="1064">
      <formula>$AZ392="N.D."</formula>
    </cfRule>
    <cfRule type="expression" dxfId="10127" priority="1065">
      <formula>$AY392="N.D."</formula>
    </cfRule>
  </conditionalFormatting>
  <conditionalFormatting sqref="AX392">
    <cfRule type="expression" dxfId="10126" priority="1052">
      <formula>$A392="Overhead Cable"</formula>
    </cfRule>
    <cfRule type="expression" dxfId="10125" priority="1053">
      <formula>$A392="Level Crossing"</formula>
    </cfRule>
    <cfRule type="expression" dxfId="10124" priority="1054">
      <formula>$A392="Neutral Section"</formula>
    </cfRule>
    <cfRule type="expression" dxfId="10123" priority="1055">
      <formula>$A392="Tunnel"</formula>
    </cfRule>
    <cfRule type="expression" dxfId="10122" priority="1056">
      <formula>$A392="Bridge"</formula>
    </cfRule>
    <cfRule type="expression" dxfId="10121" priority="1057">
      <formula>$A392="Drainage Works"</formula>
    </cfRule>
    <cfRule type="expression" dxfId="10120" priority="1058">
      <formula>$A392="Underpass"</formula>
    </cfRule>
    <cfRule type="expression" dxfId="10119" priority="1059">
      <formula>$A392="Overcrossing"</formula>
    </cfRule>
    <cfRule type="expression" dxfId="10118" priority="1060">
      <formula>$A392="Overpass"</formula>
    </cfRule>
    <cfRule type="expression" dxfId="10117" priority="1061">
      <formula>$A392="Station"</formula>
    </cfRule>
    <cfRule type="expression" dxfId="10116" priority="1062">
      <formula>$A392="Overlap between sections"</formula>
    </cfRule>
  </conditionalFormatting>
  <conditionalFormatting sqref="AW394">
    <cfRule type="expression" dxfId="10115" priority="1049">
      <formula>$M394="NON DEFINED"</formula>
    </cfRule>
    <cfRule type="expression" dxfId="10114" priority="1050">
      <formula>$AZ394="N.D."</formula>
    </cfRule>
    <cfRule type="expression" dxfId="10113" priority="1051">
      <formula>$AY394="N.D."</formula>
    </cfRule>
  </conditionalFormatting>
  <conditionalFormatting sqref="AW394">
    <cfRule type="expression" dxfId="10112" priority="1038">
      <formula>$A394="Overhead Cable"</formula>
    </cfRule>
    <cfRule type="expression" dxfId="10111" priority="1039">
      <formula>$A394="Level Crossing"</formula>
    </cfRule>
    <cfRule type="expression" dxfId="10110" priority="1040">
      <formula>$A394="Neutral Section"</formula>
    </cfRule>
    <cfRule type="expression" dxfId="10109" priority="1041">
      <formula>$A394="Tunnel"</formula>
    </cfRule>
    <cfRule type="expression" dxfId="10108" priority="1042">
      <formula>$A394="Bridge"</formula>
    </cfRule>
    <cfRule type="expression" dxfId="10107" priority="1043">
      <formula>$A394="Drainage Works"</formula>
    </cfRule>
    <cfRule type="expression" dxfId="10106" priority="1044">
      <formula>$A394="Underpass"</formula>
    </cfRule>
    <cfRule type="expression" dxfId="10105" priority="1045">
      <formula>$A394="Overcrossing"</formula>
    </cfRule>
    <cfRule type="expression" dxfId="10104" priority="1046">
      <formula>$A394="Overpass"</formula>
    </cfRule>
    <cfRule type="expression" dxfId="10103" priority="1047">
      <formula>$A394="Station"</formula>
    </cfRule>
    <cfRule type="expression" dxfId="10102" priority="1048">
      <formula>$A394="Overlap between sections"</formula>
    </cfRule>
  </conditionalFormatting>
  <conditionalFormatting sqref="AX394">
    <cfRule type="expression" dxfId="10101" priority="1035">
      <formula>$M394="NON DEFINED"</formula>
    </cfRule>
    <cfRule type="expression" dxfId="10100" priority="1036">
      <formula>$AZ394="N.D."</formula>
    </cfRule>
    <cfRule type="expression" dxfId="10099" priority="1037">
      <formula>$AY394="N.D."</formula>
    </cfRule>
  </conditionalFormatting>
  <conditionalFormatting sqref="AX394">
    <cfRule type="expression" dxfId="10098" priority="1024">
      <formula>$A394="Overhead Cable"</formula>
    </cfRule>
    <cfRule type="expression" dxfId="10097" priority="1025">
      <formula>$A394="Level Crossing"</formula>
    </cfRule>
    <cfRule type="expression" dxfId="10096" priority="1026">
      <formula>$A394="Neutral Section"</formula>
    </cfRule>
    <cfRule type="expression" dxfId="10095" priority="1027">
      <formula>$A394="Tunnel"</formula>
    </cfRule>
    <cfRule type="expression" dxfId="10094" priority="1028">
      <formula>$A394="Bridge"</formula>
    </cfRule>
    <cfRule type="expression" dxfId="10093" priority="1029">
      <formula>$A394="Drainage Works"</formula>
    </cfRule>
    <cfRule type="expression" dxfId="10092" priority="1030">
      <formula>$A394="Underpass"</formula>
    </cfRule>
    <cfRule type="expression" dxfId="10091" priority="1031">
      <formula>$A394="Overcrossing"</formula>
    </cfRule>
    <cfRule type="expression" dxfId="10090" priority="1032">
      <formula>$A394="Overpass"</formula>
    </cfRule>
    <cfRule type="expression" dxfId="10089" priority="1033">
      <formula>$A394="Station"</formula>
    </cfRule>
    <cfRule type="expression" dxfId="10088" priority="1034">
      <formula>$A394="Overlap between sections"</formula>
    </cfRule>
  </conditionalFormatting>
  <conditionalFormatting sqref="AW396">
    <cfRule type="expression" dxfId="10087" priority="1021">
      <formula>$M396="NON DEFINED"</formula>
    </cfRule>
    <cfRule type="expression" dxfId="10086" priority="1022">
      <formula>$AZ396="N.D."</formula>
    </cfRule>
    <cfRule type="expression" dxfId="10085" priority="1023">
      <formula>$AY396="N.D."</formula>
    </cfRule>
  </conditionalFormatting>
  <conditionalFormatting sqref="AW396">
    <cfRule type="expression" dxfId="10084" priority="1010">
      <formula>$A396="Overhead Cable"</formula>
    </cfRule>
    <cfRule type="expression" dxfId="10083" priority="1011">
      <formula>$A396="Level Crossing"</formula>
    </cfRule>
    <cfRule type="expression" dxfId="10082" priority="1012">
      <formula>$A396="Neutral Section"</formula>
    </cfRule>
    <cfRule type="expression" dxfId="10081" priority="1013">
      <formula>$A396="Tunnel"</formula>
    </cfRule>
    <cfRule type="expression" dxfId="10080" priority="1014">
      <formula>$A396="Bridge"</formula>
    </cfRule>
    <cfRule type="expression" dxfId="10079" priority="1015">
      <formula>$A396="Drainage Works"</formula>
    </cfRule>
    <cfRule type="expression" dxfId="10078" priority="1016">
      <formula>$A396="Underpass"</formula>
    </cfRule>
    <cfRule type="expression" dxfId="10077" priority="1017">
      <formula>$A396="Overcrossing"</formula>
    </cfRule>
    <cfRule type="expression" dxfId="10076" priority="1018">
      <formula>$A396="Overpass"</formula>
    </cfRule>
    <cfRule type="expression" dxfId="10075" priority="1019">
      <formula>$A396="Station"</formula>
    </cfRule>
    <cfRule type="expression" dxfId="10074" priority="1020">
      <formula>$A396="Overlap between sections"</formula>
    </cfRule>
  </conditionalFormatting>
  <conditionalFormatting sqref="AX396">
    <cfRule type="expression" dxfId="10073" priority="1007">
      <formula>$M396="NON DEFINED"</formula>
    </cfRule>
    <cfRule type="expression" dxfId="10072" priority="1008">
      <formula>$AZ396="N.D."</formula>
    </cfRule>
    <cfRule type="expression" dxfId="10071" priority="1009">
      <formula>$AY396="N.D."</formula>
    </cfRule>
  </conditionalFormatting>
  <conditionalFormatting sqref="AX396">
    <cfRule type="expression" dxfId="10070" priority="996">
      <formula>$A396="Overhead Cable"</formula>
    </cfRule>
    <cfRule type="expression" dxfId="10069" priority="997">
      <formula>$A396="Level Crossing"</formula>
    </cfRule>
    <cfRule type="expression" dxfId="10068" priority="998">
      <formula>$A396="Neutral Section"</formula>
    </cfRule>
    <cfRule type="expression" dxfId="10067" priority="999">
      <formula>$A396="Tunnel"</formula>
    </cfRule>
    <cfRule type="expression" dxfId="10066" priority="1000">
      <formula>$A396="Bridge"</formula>
    </cfRule>
    <cfRule type="expression" dxfId="10065" priority="1001">
      <formula>$A396="Drainage Works"</formula>
    </cfRule>
    <cfRule type="expression" dxfId="10064" priority="1002">
      <formula>$A396="Underpass"</formula>
    </cfRule>
    <cfRule type="expression" dxfId="10063" priority="1003">
      <formula>$A396="Overcrossing"</formula>
    </cfRule>
    <cfRule type="expression" dxfId="10062" priority="1004">
      <formula>$A396="Overpass"</formula>
    </cfRule>
    <cfRule type="expression" dxfId="10061" priority="1005">
      <formula>$A396="Station"</formula>
    </cfRule>
    <cfRule type="expression" dxfId="10060" priority="1006">
      <formula>$A396="Overlap between sections"</formula>
    </cfRule>
  </conditionalFormatting>
  <conditionalFormatting sqref="AW398">
    <cfRule type="expression" dxfId="10059" priority="993">
      <formula>$M398="NON DEFINED"</formula>
    </cfRule>
    <cfRule type="expression" dxfId="10058" priority="994">
      <formula>$AZ398="N.D."</formula>
    </cfRule>
    <cfRule type="expression" dxfId="10057" priority="995">
      <formula>$AY398="N.D."</formula>
    </cfRule>
  </conditionalFormatting>
  <conditionalFormatting sqref="AW398">
    <cfRule type="expression" dxfId="10056" priority="982">
      <formula>$A398="Overhead Cable"</formula>
    </cfRule>
    <cfRule type="expression" dxfId="10055" priority="983">
      <formula>$A398="Level Crossing"</formula>
    </cfRule>
    <cfRule type="expression" dxfId="10054" priority="984">
      <formula>$A398="Neutral Section"</formula>
    </cfRule>
    <cfRule type="expression" dxfId="10053" priority="985">
      <formula>$A398="Tunnel"</formula>
    </cfRule>
    <cfRule type="expression" dxfId="10052" priority="986">
      <formula>$A398="Bridge"</formula>
    </cfRule>
    <cfRule type="expression" dxfId="10051" priority="987">
      <formula>$A398="Drainage Works"</formula>
    </cfRule>
    <cfRule type="expression" dxfId="10050" priority="988">
      <formula>$A398="Underpass"</formula>
    </cfRule>
    <cfRule type="expression" dxfId="10049" priority="989">
      <formula>$A398="Overcrossing"</formula>
    </cfRule>
    <cfRule type="expression" dxfId="10048" priority="990">
      <formula>$A398="Overpass"</formula>
    </cfRule>
    <cfRule type="expression" dxfId="10047" priority="991">
      <formula>$A398="Station"</formula>
    </cfRule>
    <cfRule type="expression" dxfId="10046" priority="992">
      <formula>$A398="Overlap between sections"</formula>
    </cfRule>
  </conditionalFormatting>
  <conditionalFormatting sqref="AX398">
    <cfRule type="expression" dxfId="10045" priority="979">
      <formula>$M398="NON DEFINED"</formula>
    </cfRule>
    <cfRule type="expression" dxfId="10044" priority="980">
      <formula>$AZ398="N.D."</formula>
    </cfRule>
    <cfRule type="expression" dxfId="10043" priority="981">
      <formula>$AY398="N.D."</formula>
    </cfRule>
  </conditionalFormatting>
  <conditionalFormatting sqref="AX398">
    <cfRule type="expression" dxfId="10042" priority="968">
      <formula>$A398="Overhead Cable"</formula>
    </cfRule>
    <cfRule type="expression" dxfId="10041" priority="969">
      <formula>$A398="Level Crossing"</formula>
    </cfRule>
    <cfRule type="expression" dxfId="10040" priority="970">
      <formula>$A398="Neutral Section"</formula>
    </cfRule>
    <cfRule type="expression" dxfId="10039" priority="971">
      <formula>$A398="Tunnel"</formula>
    </cfRule>
    <cfRule type="expression" dxfId="10038" priority="972">
      <formula>$A398="Bridge"</formula>
    </cfRule>
    <cfRule type="expression" dxfId="10037" priority="973">
      <formula>$A398="Drainage Works"</formula>
    </cfRule>
    <cfRule type="expression" dxfId="10036" priority="974">
      <formula>$A398="Underpass"</formula>
    </cfRule>
    <cfRule type="expression" dxfId="10035" priority="975">
      <formula>$A398="Overcrossing"</formula>
    </cfRule>
    <cfRule type="expression" dxfId="10034" priority="976">
      <formula>$A398="Overpass"</formula>
    </cfRule>
    <cfRule type="expression" dxfId="10033" priority="977">
      <formula>$A398="Station"</formula>
    </cfRule>
    <cfRule type="expression" dxfId="10032" priority="978">
      <formula>$A398="Overlap between sections"</formula>
    </cfRule>
  </conditionalFormatting>
  <conditionalFormatting sqref="AW400">
    <cfRule type="expression" dxfId="10031" priority="965">
      <formula>$M400="NON DEFINED"</formula>
    </cfRule>
    <cfRule type="expression" dxfId="10030" priority="966">
      <formula>$AZ400="N.D."</formula>
    </cfRule>
    <cfRule type="expression" dxfId="10029" priority="967">
      <formula>$AY400="N.D."</formula>
    </cfRule>
  </conditionalFormatting>
  <conditionalFormatting sqref="AW400">
    <cfRule type="expression" dxfId="10028" priority="954">
      <formula>$A400="Overhead Cable"</formula>
    </cfRule>
    <cfRule type="expression" dxfId="10027" priority="955">
      <formula>$A400="Level Crossing"</formula>
    </cfRule>
    <cfRule type="expression" dxfId="10026" priority="956">
      <formula>$A400="Neutral Section"</formula>
    </cfRule>
    <cfRule type="expression" dxfId="10025" priority="957">
      <formula>$A400="Tunnel"</formula>
    </cfRule>
    <cfRule type="expression" dxfId="10024" priority="958">
      <formula>$A400="Bridge"</formula>
    </cfRule>
    <cfRule type="expression" dxfId="10023" priority="959">
      <formula>$A400="Drainage Works"</formula>
    </cfRule>
    <cfRule type="expression" dxfId="10022" priority="960">
      <formula>$A400="Underpass"</formula>
    </cfRule>
    <cfRule type="expression" dxfId="10021" priority="961">
      <formula>$A400="Overcrossing"</formula>
    </cfRule>
    <cfRule type="expression" dxfId="10020" priority="962">
      <formula>$A400="Overpass"</formula>
    </cfRule>
    <cfRule type="expression" dxfId="10019" priority="963">
      <formula>$A400="Station"</formula>
    </cfRule>
    <cfRule type="expression" dxfId="10018" priority="964">
      <formula>$A400="Overlap between sections"</formula>
    </cfRule>
  </conditionalFormatting>
  <conditionalFormatting sqref="AX400">
    <cfRule type="expression" dxfId="10017" priority="951">
      <formula>$M400="NON DEFINED"</formula>
    </cfRule>
    <cfRule type="expression" dxfId="10016" priority="952">
      <formula>$AZ400="N.D."</formula>
    </cfRule>
    <cfRule type="expression" dxfId="10015" priority="953">
      <formula>$AY400="N.D."</formula>
    </cfRule>
  </conditionalFormatting>
  <conditionalFormatting sqref="AX400">
    <cfRule type="expression" dxfId="10014" priority="940">
      <formula>$A400="Overhead Cable"</formula>
    </cfRule>
    <cfRule type="expression" dxfId="10013" priority="941">
      <formula>$A400="Level Crossing"</formula>
    </cfRule>
    <cfRule type="expression" dxfId="10012" priority="942">
      <formula>$A400="Neutral Section"</formula>
    </cfRule>
    <cfRule type="expression" dxfId="10011" priority="943">
      <formula>$A400="Tunnel"</formula>
    </cfRule>
    <cfRule type="expression" dxfId="10010" priority="944">
      <formula>$A400="Bridge"</formula>
    </cfRule>
    <cfRule type="expression" dxfId="10009" priority="945">
      <formula>$A400="Drainage Works"</formula>
    </cfRule>
    <cfRule type="expression" dxfId="10008" priority="946">
      <formula>$A400="Underpass"</formula>
    </cfRule>
    <cfRule type="expression" dxfId="10007" priority="947">
      <formula>$A400="Overcrossing"</formula>
    </cfRule>
    <cfRule type="expression" dxfId="10006" priority="948">
      <formula>$A400="Overpass"</formula>
    </cfRule>
    <cfRule type="expression" dxfId="10005" priority="949">
      <formula>$A400="Station"</formula>
    </cfRule>
    <cfRule type="expression" dxfId="10004" priority="950">
      <formula>$A400="Overlap between sections"</formula>
    </cfRule>
  </conditionalFormatting>
  <conditionalFormatting sqref="AW402">
    <cfRule type="expression" dxfId="10003" priority="937">
      <formula>$M402="NON DEFINED"</formula>
    </cfRule>
    <cfRule type="expression" dxfId="10002" priority="938">
      <formula>$AZ402="N.D."</formula>
    </cfRule>
    <cfRule type="expression" dxfId="10001" priority="939">
      <formula>$AY402="N.D."</formula>
    </cfRule>
  </conditionalFormatting>
  <conditionalFormatting sqref="AW402">
    <cfRule type="expression" dxfId="10000" priority="926">
      <formula>$A402="Overhead Cable"</formula>
    </cfRule>
    <cfRule type="expression" dxfId="9999" priority="927">
      <formula>$A402="Level Crossing"</formula>
    </cfRule>
    <cfRule type="expression" dxfId="9998" priority="928">
      <formula>$A402="Neutral Section"</formula>
    </cfRule>
    <cfRule type="expression" dxfId="9997" priority="929">
      <formula>$A402="Tunnel"</formula>
    </cfRule>
    <cfRule type="expression" dxfId="9996" priority="930">
      <formula>$A402="Bridge"</formula>
    </cfRule>
    <cfRule type="expression" dxfId="9995" priority="931">
      <formula>$A402="Drainage Works"</formula>
    </cfRule>
    <cfRule type="expression" dxfId="9994" priority="932">
      <formula>$A402="Underpass"</formula>
    </cfRule>
    <cfRule type="expression" dxfId="9993" priority="933">
      <formula>$A402="Overcrossing"</formula>
    </cfRule>
    <cfRule type="expression" dxfId="9992" priority="934">
      <formula>$A402="Overpass"</formula>
    </cfRule>
    <cfRule type="expression" dxfId="9991" priority="935">
      <formula>$A402="Station"</formula>
    </cfRule>
    <cfRule type="expression" dxfId="9990" priority="936">
      <formula>$A402="Overlap between sections"</formula>
    </cfRule>
  </conditionalFormatting>
  <conditionalFormatting sqref="AX402">
    <cfRule type="expression" dxfId="9989" priority="923">
      <formula>$M402="NON DEFINED"</formula>
    </cfRule>
    <cfRule type="expression" dxfId="9988" priority="924">
      <formula>$AZ402="N.D."</formula>
    </cfRule>
    <cfRule type="expression" dxfId="9987" priority="925">
      <formula>$AY402="N.D."</formula>
    </cfRule>
  </conditionalFormatting>
  <conditionalFormatting sqref="AX402">
    <cfRule type="expression" dxfId="9986" priority="912">
      <formula>$A402="Overhead Cable"</formula>
    </cfRule>
    <cfRule type="expression" dxfId="9985" priority="913">
      <formula>$A402="Level Crossing"</formula>
    </cfRule>
    <cfRule type="expression" dxfId="9984" priority="914">
      <formula>$A402="Neutral Section"</formula>
    </cfRule>
    <cfRule type="expression" dxfId="9983" priority="915">
      <formula>$A402="Tunnel"</formula>
    </cfRule>
    <cfRule type="expression" dxfId="9982" priority="916">
      <formula>$A402="Bridge"</formula>
    </cfRule>
    <cfRule type="expression" dxfId="9981" priority="917">
      <formula>$A402="Drainage Works"</formula>
    </cfRule>
    <cfRule type="expression" dxfId="9980" priority="918">
      <formula>$A402="Underpass"</formula>
    </cfRule>
    <cfRule type="expression" dxfId="9979" priority="919">
      <formula>$A402="Overcrossing"</formula>
    </cfRule>
    <cfRule type="expression" dxfId="9978" priority="920">
      <formula>$A402="Overpass"</formula>
    </cfRule>
    <cfRule type="expression" dxfId="9977" priority="921">
      <formula>$A402="Station"</formula>
    </cfRule>
    <cfRule type="expression" dxfId="9976" priority="922">
      <formula>$A402="Overlap between sections"</formula>
    </cfRule>
  </conditionalFormatting>
  <conditionalFormatting sqref="AW404">
    <cfRule type="expression" dxfId="9975" priority="909">
      <formula>$M404="NON DEFINED"</formula>
    </cfRule>
    <cfRule type="expression" dxfId="9974" priority="910">
      <formula>$AZ404="N.D."</formula>
    </cfRule>
    <cfRule type="expression" dxfId="9973" priority="911">
      <formula>$AY404="N.D."</formula>
    </cfRule>
  </conditionalFormatting>
  <conditionalFormatting sqref="AW404">
    <cfRule type="expression" dxfId="9972" priority="898">
      <formula>$A404="Overhead Cable"</formula>
    </cfRule>
    <cfRule type="expression" dxfId="9971" priority="899">
      <formula>$A404="Level Crossing"</formula>
    </cfRule>
    <cfRule type="expression" dxfId="9970" priority="900">
      <formula>$A404="Neutral Section"</formula>
    </cfRule>
    <cfRule type="expression" dxfId="9969" priority="901">
      <formula>$A404="Tunnel"</formula>
    </cfRule>
    <cfRule type="expression" dxfId="9968" priority="902">
      <formula>$A404="Bridge"</formula>
    </cfRule>
    <cfRule type="expression" dxfId="9967" priority="903">
      <formula>$A404="Drainage Works"</formula>
    </cfRule>
    <cfRule type="expression" dxfId="9966" priority="904">
      <formula>$A404="Underpass"</formula>
    </cfRule>
    <cfRule type="expression" dxfId="9965" priority="905">
      <formula>$A404="Overcrossing"</formula>
    </cfRule>
    <cfRule type="expression" dxfId="9964" priority="906">
      <formula>$A404="Overpass"</formula>
    </cfRule>
    <cfRule type="expression" dxfId="9963" priority="907">
      <formula>$A404="Station"</formula>
    </cfRule>
    <cfRule type="expression" dxfId="9962" priority="908">
      <formula>$A404="Overlap between sections"</formula>
    </cfRule>
  </conditionalFormatting>
  <conditionalFormatting sqref="AX404">
    <cfRule type="expression" dxfId="9961" priority="895">
      <formula>$M404="NON DEFINED"</formula>
    </cfRule>
    <cfRule type="expression" dxfId="9960" priority="896">
      <formula>$AZ404="N.D."</formula>
    </cfRule>
    <cfRule type="expression" dxfId="9959" priority="897">
      <formula>$AY404="N.D."</formula>
    </cfRule>
  </conditionalFormatting>
  <conditionalFormatting sqref="AW224">
    <cfRule type="expression" dxfId="9958" priority="881">
      <formula>$M224="NON DEFINED"</formula>
    </cfRule>
    <cfRule type="expression" dxfId="9957" priority="882">
      <formula>$AZ224="N.D."</formula>
    </cfRule>
    <cfRule type="expression" dxfId="9956" priority="883">
      <formula>$AY224="N.D."</formula>
    </cfRule>
  </conditionalFormatting>
  <conditionalFormatting sqref="AW224">
    <cfRule type="expression" dxfId="9955" priority="870">
      <formula>$A224="Overhead Cable"</formula>
    </cfRule>
    <cfRule type="expression" dxfId="9954" priority="871">
      <formula>$A224="Level Crossing"</formula>
    </cfRule>
    <cfRule type="expression" dxfId="9953" priority="872">
      <formula>$A224="Neutral Section"</formula>
    </cfRule>
    <cfRule type="expression" dxfId="9952" priority="873">
      <formula>$A224="Tunnel"</formula>
    </cfRule>
    <cfRule type="expression" dxfId="9951" priority="874">
      <formula>$A224="Bridge"</formula>
    </cfRule>
    <cfRule type="expression" dxfId="9950" priority="875">
      <formula>$A224="Drainage Works"</formula>
    </cfRule>
    <cfRule type="expression" dxfId="9949" priority="876">
      <formula>$A224="Underpass"</formula>
    </cfRule>
    <cfRule type="expression" dxfId="9948" priority="877">
      <formula>$A224="Overcrossing"</formula>
    </cfRule>
    <cfRule type="expression" dxfId="9947" priority="878">
      <formula>$A224="Overpass"</formula>
    </cfRule>
    <cfRule type="expression" dxfId="9946" priority="879">
      <formula>$A224="Station"</formula>
    </cfRule>
    <cfRule type="expression" dxfId="9945" priority="880">
      <formula>$A224="Overlap between sections"</formula>
    </cfRule>
  </conditionalFormatting>
  <conditionalFormatting sqref="AX224">
    <cfRule type="expression" dxfId="9944" priority="867">
      <formula>$M224="NON DEFINED"</formula>
    </cfRule>
    <cfRule type="expression" dxfId="9943" priority="868">
      <formula>$AZ224="N.D."</formula>
    </cfRule>
    <cfRule type="expression" dxfId="9942" priority="869">
      <formula>$AY224="N.D."</formula>
    </cfRule>
  </conditionalFormatting>
  <conditionalFormatting sqref="AX224">
    <cfRule type="expression" dxfId="9941" priority="856">
      <formula>$A224="Overhead Cable"</formula>
    </cfRule>
    <cfRule type="expression" dxfId="9940" priority="857">
      <formula>$A224="Level Crossing"</formula>
    </cfRule>
    <cfRule type="expression" dxfId="9939" priority="858">
      <formula>$A224="Neutral Section"</formula>
    </cfRule>
    <cfRule type="expression" dxfId="9938" priority="859">
      <formula>$A224="Tunnel"</formula>
    </cfRule>
    <cfRule type="expression" dxfId="9937" priority="860">
      <formula>$A224="Bridge"</formula>
    </cfRule>
    <cfRule type="expression" dxfId="9936" priority="861">
      <formula>$A224="Drainage Works"</formula>
    </cfRule>
    <cfRule type="expression" dxfId="9935" priority="862">
      <formula>$A224="Underpass"</formula>
    </cfRule>
    <cfRule type="expression" dxfId="9934" priority="863">
      <formula>$A224="Overcrossing"</formula>
    </cfRule>
    <cfRule type="expression" dxfId="9933" priority="864">
      <formula>$A224="Overpass"</formula>
    </cfRule>
    <cfRule type="expression" dxfId="9932" priority="865">
      <formula>$A224="Station"</formula>
    </cfRule>
    <cfRule type="expression" dxfId="9931" priority="866">
      <formula>$A224="Overlap between sections"</formula>
    </cfRule>
  </conditionalFormatting>
  <conditionalFormatting sqref="AW226">
    <cfRule type="expression" dxfId="9930" priority="853">
      <formula>$M226="NON DEFINED"</formula>
    </cfRule>
    <cfRule type="expression" dxfId="9929" priority="854">
      <formula>$AZ226="N.D."</formula>
    </cfRule>
    <cfRule type="expression" dxfId="9928" priority="855">
      <formula>$AY226="N.D."</formula>
    </cfRule>
  </conditionalFormatting>
  <conditionalFormatting sqref="AW226">
    <cfRule type="expression" dxfId="9927" priority="842">
      <formula>$A226="Overhead Cable"</formula>
    </cfRule>
    <cfRule type="expression" dxfId="9926" priority="843">
      <formula>$A226="Level Crossing"</formula>
    </cfRule>
    <cfRule type="expression" dxfId="9925" priority="844">
      <formula>$A226="Neutral Section"</formula>
    </cfRule>
    <cfRule type="expression" dxfId="9924" priority="845">
      <formula>$A226="Tunnel"</formula>
    </cfRule>
    <cfRule type="expression" dxfId="9923" priority="846">
      <formula>$A226="Bridge"</formula>
    </cfRule>
    <cfRule type="expression" dxfId="9922" priority="847">
      <formula>$A226="Drainage Works"</formula>
    </cfRule>
    <cfRule type="expression" dxfId="9921" priority="848">
      <formula>$A226="Underpass"</formula>
    </cfRule>
    <cfRule type="expression" dxfId="9920" priority="849">
      <formula>$A226="Overcrossing"</formula>
    </cfRule>
    <cfRule type="expression" dxfId="9919" priority="850">
      <formula>$A226="Overpass"</formula>
    </cfRule>
    <cfRule type="expression" dxfId="9918" priority="851">
      <formula>$A226="Station"</formula>
    </cfRule>
    <cfRule type="expression" dxfId="9917" priority="852">
      <formula>$A226="Overlap between sections"</formula>
    </cfRule>
  </conditionalFormatting>
  <conditionalFormatting sqref="AX226">
    <cfRule type="expression" dxfId="9916" priority="839">
      <formula>$M226="NON DEFINED"</formula>
    </cfRule>
    <cfRule type="expression" dxfId="9915" priority="840">
      <formula>$AZ226="N.D."</formula>
    </cfRule>
    <cfRule type="expression" dxfId="9914" priority="841">
      <formula>$AY226="N.D."</formula>
    </cfRule>
  </conditionalFormatting>
  <conditionalFormatting sqref="AX226">
    <cfRule type="expression" dxfId="9913" priority="828">
      <formula>$A226="Overhead Cable"</formula>
    </cfRule>
    <cfRule type="expression" dxfId="9912" priority="829">
      <formula>$A226="Level Crossing"</formula>
    </cfRule>
    <cfRule type="expression" dxfId="9911" priority="830">
      <formula>$A226="Neutral Section"</formula>
    </cfRule>
    <cfRule type="expression" dxfId="9910" priority="831">
      <formula>$A226="Tunnel"</formula>
    </cfRule>
    <cfRule type="expression" dxfId="9909" priority="832">
      <formula>$A226="Bridge"</formula>
    </cfRule>
    <cfRule type="expression" dxfId="9908" priority="833">
      <formula>$A226="Drainage Works"</formula>
    </cfRule>
    <cfRule type="expression" dxfId="9907" priority="834">
      <formula>$A226="Underpass"</formula>
    </cfRule>
    <cfRule type="expression" dxfId="9906" priority="835">
      <formula>$A226="Overcrossing"</formula>
    </cfRule>
    <cfRule type="expression" dxfId="9905" priority="836">
      <formula>$A226="Overpass"</formula>
    </cfRule>
    <cfRule type="expression" dxfId="9904" priority="837">
      <formula>$A226="Station"</formula>
    </cfRule>
    <cfRule type="expression" dxfId="9903" priority="838">
      <formula>$A226="Overlap between sections"</formula>
    </cfRule>
  </conditionalFormatting>
  <conditionalFormatting sqref="AW228">
    <cfRule type="expression" dxfId="9902" priority="825">
      <formula>$M228="NON DEFINED"</formula>
    </cfRule>
    <cfRule type="expression" dxfId="9901" priority="826">
      <formula>$AZ228="N.D."</formula>
    </cfRule>
    <cfRule type="expression" dxfId="9900" priority="827">
      <formula>$AY228="N.D."</formula>
    </cfRule>
  </conditionalFormatting>
  <conditionalFormatting sqref="AW228">
    <cfRule type="expression" dxfId="9899" priority="814">
      <formula>$A228="Overhead Cable"</formula>
    </cfRule>
    <cfRule type="expression" dxfId="9898" priority="815">
      <formula>$A228="Level Crossing"</formula>
    </cfRule>
    <cfRule type="expression" dxfId="9897" priority="816">
      <formula>$A228="Neutral Section"</formula>
    </cfRule>
    <cfRule type="expression" dxfId="9896" priority="817">
      <formula>$A228="Tunnel"</formula>
    </cfRule>
    <cfRule type="expression" dxfId="9895" priority="818">
      <formula>$A228="Bridge"</formula>
    </cfRule>
    <cfRule type="expression" dxfId="9894" priority="819">
      <formula>$A228="Drainage Works"</formula>
    </cfRule>
    <cfRule type="expression" dxfId="9893" priority="820">
      <formula>$A228="Underpass"</formula>
    </cfRule>
    <cfRule type="expression" dxfId="9892" priority="821">
      <formula>$A228="Overcrossing"</formula>
    </cfRule>
    <cfRule type="expression" dxfId="9891" priority="822">
      <formula>$A228="Overpass"</formula>
    </cfRule>
    <cfRule type="expression" dxfId="9890" priority="823">
      <formula>$A228="Station"</formula>
    </cfRule>
    <cfRule type="expression" dxfId="9889" priority="824">
      <formula>$A228="Overlap between sections"</formula>
    </cfRule>
  </conditionalFormatting>
  <conditionalFormatting sqref="AX228">
    <cfRule type="expression" dxfId="9888" priority="811">
      <formula>$M228="NON DEFINED"</formula>
    </cfRule>
    <cfRule type="expression" dxfId="9887" priority="812">
      <formula>$AZ228="N.D."</formula>
    </cfRule>
    <cfRule type="expression" dxfId="9886" priority="813">
      <formula>$AY228="N.D."</formula>
    </cfRule>
  </conditionalFormatting>
  <conditionalFormatting sqref="AX228">
    <cfRule type="expression" dxfId="9885" priority="800">
      <formula>$A228="Overhead Cable"</formula>
    </cfRule>
    <cfRule type="expression" dxfId="9884" priority="801">
      <formula>$A228="Level Crossing"</formula>
    </cfRule>
    <cfRule type="expression" dxfId="9883" priority="802">
      <formula>$A228="Neutral Section"</formula>
    </cfRule>
    <cfRule type="expression" dxfId="9882" priority="803">
      <formula>$A228="Tunnel"</formula>
    </cfRule>
    <cfRule type="expression" dxfId="9881" priority="804">
      <formula>$A228="Bridge"</formula>
    </cfRule>
    <cfRule type="expression" dxfId="9880" priority="805">
      <formula>$A228="Drainage Works"</formula>
    </cfRule>
    <cfRule type="expression" dxfId="9879" priority="806">
      <formula>$A228="Underpass"</formula>
    </cfRule>
    <cfRule type="expression" dxfId="9878" priority="807">
      <formula>$A228="Overcrossing"</formula>
    </cfRule>
    <cfRule type="expression" dxfId="9877" priority="808">
      <formula>$A228="Overpass"</formula>
    </cfRule>
    <cfRule type="expression" dxfId="9876" priority="809">
      <formula>$A228="Station"</formula>
    </cfRule>
    <cfRule type="expression" dxfId="9875" priority="810">
      <formula>$A228="Overlap between sections"</formula>
    </cfRule>
  </conditionalFormatting>
  <conditionalFormatting sqref="AW118">
    <cfRule type="expression" dxfId="9874" priority="797">
      <formula>$M118="NON DEFINED"</formula>
    </cfRule>
    <cfRule type="expression" dxfId="9873" priority="798">
      <formula>$AZ118="N.D."</formula>
    </cfRule>
    <cfRule type="expression" dxfId="9872" priority="799">
      <formula>$AY118="N.D."</formula>
    </cfRule>
  </conditionalFormatting>
  <conditionalFormatting sqref="AW118">
    <cfRule type="expression" dxfId="9871" priority="786">
      <formula>$A118="Overhead Cable"</formula>
    </cfRule>
    <cfRule type="expression" dxfId="9870" priority="787">
      <formula>$A118="Level Crossing"</formula>
    </cfRule>
    <cfRule type="expression" dxfId="9869" priority="788">
      <formula>$A118="Neutral Section"</formula>
    </cfRule>
    <cfRule type="expression" dxfId="9868" priority="789">
      <formula>$A118="Tunnel"</formula>
    </cfRule>
    <cfRule type="expression" dxfId="9867" priority="790">
      <formula>$A118="Bridge"</formula>
    </cfRule>
    <cfRule type="expression" dxfId="9866" priority="791">
      <formula>$A118="Drainage Works"</formula>
    </cfRule>
    <cfRule type="expression" dxfId="9865" priority="792">
      <formula>$A118="Underpass"</formula>
    </cfRule>
    <cfRule type="expression" dxfId="9864" priority="793">
      <formula>$A118="Overcrossing"</formula>
    </cfRule>
    <cfRule type="expression" dxfId="9863" priority="794">
      <formula>$A118="Overpass"</formula>
    </cfRule>
    <cfRule type="expression" dxfId="9862" priority="795">
      <formula>$A118="Station"</formula>
    </cfRule>
    <cfRule type="expression" dxfId="9861" priority="796">
      <formula>$A118="Overlap between sections"</formula>
    </cfRule>
  </conditionalFormatting>
  <conditionalFormatting sqref="AX118">
    <cfRule type="expression" dxfId="9860" priority="783">
      <formula>$M118="NON DEFINED"</formula>
    </cfRule>
    <cfRule type="expression" dxfId="9859" priority="784">
      <formula>$AZ118="N.D."</formula>
    </cfRule>
    <cfRule type="expression" dxfId="9858" priority="785">
      <formula>$AY118="N.D."</formula>
    </cfRule>
  </conditionalFormatting>
  <conditionalFormatting sqref="AX118">
    <cfRule type="expression" dxfId="9857" priority="772">
      <formula>$A118="Overhead Cable"</formula>
    </cfRule>
    <cfRule type="expression" dxfId="9856" priority="773">
      <formula>$A118="Level Crossing"</formula>
    </cfRule>
    <cfRule type="expression" dxfId="9855" priority="774">
      <formula>$A118="Neutral Section"</formula>
    </cfRule>
    <cfRule type="expression" dxfId="9854" priority="775">
      <formula>$A118="Tunnel"</formula>
    </cfRule>
    <cfRule type="expression" dxfId="9853" priority="776">
      <formula>$A118="Bridge"</formula>
    </cfRule>
    <cfRule type="expression" dxfId="9852" priority="777">
      <formula>$A118="Drainage Works"</formula>
    </cfRule>
    <cfRule type="expression" dxfId="9851" priority="778">
      <formula>$A118="Underpass"</formula>
    </cfRule>
    <cfRule type="expression" dxfId="9850" priority="779">
      <formula>$A118="Overcrossing"</formula>
    </cfRule>
    <cfRule type="expression" dxfId="9849" priority="780">
      <formula>$A118="Overpass"</formula>
    </cfRule>
    <cfRule type="expression" dxfId="9848" priority="781">
      <formula>$A118="Station"</formula>
    </cfRule>
    <cfRule type="expression" dxfId="9847" priority="782">
      <formula>$A118="Overlap between sections"</formula>
    </cfRule>
  </conditionalFormatting>
  <conditionalFormatting sqref="AW120">
    <cfRule type="expression" dxfId="9846" priority="769">
      <formula>$M120="NON DEFINED"</formula>
    </cfRule>
    <cfRule type="expression" dxfId="9845" priority="770">
      <formula>$AZ120="N.D."</formula>
    </cfRule>
    <cfRule type="expression" dxfId="9844" priority="771">
      <formula>$AY120="N.D."</formula>
    </cfRule>
  </conditionalFormatting>
  <conditionalFormatting sqref="AW120">
    <cfRule type="expression" dxfId="9843" priority="758">
      <formula>$A120="Overhead Cable"</formula>
    </cfRule>
    <cfRule type="expression" dxfId="9842" priority="759">
      <formula>$A120="Level Crossing"</formula>
    </cfRule>
    <cfRule type="expression" dxfId="9841" priority="760">
      <formula>$A120="Neutral Section"</formula>
    </cfRule>
    <cfRule type="expression" dxfId="9840" priority="761">
      <formula>$A120="Tunnel"</formula>
    </cfRule>
    <cfRule type="expression" dxfId="9839" priority="762">
      <formula>$A120="Bridge"</formula>
    </cfRule>
    <cfRule type="expression" dxfId="9838" priority="763">
      <formula>$A120="Drainage Works"</formula>
    </cfRule>
    <cfRule type="expression" dxfId="9837" priority="764">
      <formula>$A120="Underpass"</formula>
    </cfRule>
    <cfRule type="expression" dxfId="9836" priority="765">
      <formula>$A120="Overcrossing"</formula>
    </cfRule>
    <cfRule type="expression" dxfId="9835" priority="766">
      <formula>$A120="Overpass"</formula>
    </cfRule>
    <cfRule type="expression" dxfId="9834" priority="767">
      <formula>$A120="Station"</formula>
    </cfRule>
    <cfRule type="expression" dxfId="9833" priority="768">
      <formula>$A120="Overlap between sections"</formula>
    </cfRule>
  </conditionalFormatting>
  <conditionalFormatting sqref="AX120">
    <cfRule type="expression" dxfId="9832" priority="755">
      <formula>$M120="NON DEFINED"</formula>
    </cfRule>
    <cfRule type="expression" dxfId="9831" priority="756">
      <formula>$AZ120="N.D."</formula>
    </cfRule>
    <cfRule type="expression" dxfId="9830" priority="757">
      <formula>$AY120="N.D."</formula>
    </cfRule>
  </conditionalFormatting>
  <conditionalFormatting sqref="AX120">
    <cfRule type="expression" dxfId="9829" priority="744">
      <formula>$A120="Overhead Cable"</formula>
    </cfRule>
    <cfRule type="expression" dxfId="9828" priority="745">
      <formula>$A120="Level Crossing"</formula>
    </cfRule>
    <cfRule type="expression" dxfId="9827" priority="746">
      <formula>$A120="Neutral Section"</formula>
    </cfRule>
    <cfRule type="expression" dxfId="9826" priority="747">
      <formula>$A120="Tunnel"</formula>
    </cfRule>
    <cfRule type="expression" dxfId="9825" priority="748">
      <formula>$A120="Bridge"</formula>
    </cfRule>
    <cfRule type="expression" dxfId="9824" priority="749">
      <formula>$A120="Drainage Works"</formula>
    </cfRule>
    <cfRule type="expression" dxfId="9823" priority="750">
      <formula>$A120="Underpass"</formula>
    </cfRule>
    <cfRule type="expression" dxfId="9822" priority="751">
      <formula>$A120="Overcrossing"</formula>
    </cfRule>
    <cfRule type="expression" dxfId="9821" priority="752">
      <formula>$A120="Overpass"</formula>
    </cfRule>
    <cfRule type="expression" dxfId="9820" priority="753">
      <formula>$A120="Station"</formula>
    </cfRule>
    <cfRule type="expression" dxfId="9819" priority="754">
      <formula>$A120="Overlap between sections"</formula>
    </cfRule>
  </conditionalFormatting>
  <conditionalFormatting sqref="AW52">
    <cfRule type="expression" dxfId="9818" priority="741">
      <formula>$M52="NON DEFINED"</formula>
    </cfRule>
    <cfRule type="expression" dxfId="9817" priority="742">
      <formula>$AZ52="N.D."</formula>
    </cfRule>
    <cfRule type="expression" dxfId="9816" priority="743">
      <formula>$AY52="N.D."</formula>
    </cfRule>
  </conditionalFormatting>
  <conditionalFormatting sqref="AW52">
    <cfRule type="expression" dxfId="9815" priority="730">
      <formula>$A52="Overhead Cable"</formula>
    </cfRule>
    <cfRule type="expression" dxfId="9814" priority="731">
      <formula>$A52="Level Crossing"</formula>
    </cfRule>
    <cfRule type="expression" dxfId="9813" priority="732">
      <formula>$A52="Neutral Section"</formula>
    </cfRule>
    <cfRule type="expression" dxfId="9812" priority="733">
      <formula>$A52="Tunnel"</formula>
    </cfRule>
    <cfRule type="expression" dxfId="9811" priority="734">
      <formula>$A52="Bridge"</formula>
    </cfRule>
    <cfRule type="expression" dxfId="9810" priority="735">
      <formula>$A52="Drainage Works"</formula>
    </cfRule>
    <cfRule type="expression" dxfId="9809" priority="736">
      <formula>$A52="Underpass"</formula>
    </cfRule>
    <cfRule type="expression" dxfId="9808" priority="737">
      <formula>$A52="Overcrossing"</formula>
    </cfRule>
    <cfRule type="expression" dxfId="9807" priority="738">
      <formula>$A52="Overpass"</formula>
    </cfRule>
    <cfRule type="expression" dxfId="9806" priority="739">
      <formula>$A52="Station"</formula>
    </cfRule>
    <cfRule type="expression" dxfId="9805" priority="740">
      <formula>$A52="Overlap between sections"</formula>
    </cfRule>
  </conditionalFormatting>
  <conditionalFormatting sqref="AX52">
    <cfRule type="expression" dxfId="9804" priority="727">
      <formula>$M52="NON DEFINED"</formula>
    </cfRule>
    <cfRule type="expression" dxfId="9803" priority="728">
      <formula>$AZ52="N.D."</formula>
    </cfRule>
    <cfRule type="expression" dxfId="9802" priority="729">
      <formula>$AY52="N.D."</formula>
    </cfRule>
  </conditionalFormatting>
  <conditionalFormatting sqref="AX52">
    <cfRule type="expression" dxfId="9801" priority="716">
      <formula>$A52="Overhead Cable"</formula>
    </cfRule>
    <cfRule type="expression" dxfId="9800" priority="717">
      <formula>$A52="Level Crossing"</formula>
    </cfRule>
    <cfRule type="expression" dxfId="9799" priority="718">
      <formula>$A52="Neutral Section"</formula>
    </cfRule>
    <cfRule type="expression" dxfId="9798" priority="719">
      <formula>$A52="Tunnel"</formula>
    </cfRule>
    <cfRule type="expression" dxfId="9797" priority="720">
      <formula>$A52="Bridge"</formula>
    </cfRule>
    <cfRule type="expression" dxfId="9796" priority="721">
      <formula>$A52="Drainage Works"</formula>
    </cfRule>
    <cfRule type="expression" dxfId="9795" priority="722">
      <formula>$A52="Underpass"</formula>
    </cfRule>
    <cfRule type="expression" dxfId="9794" priority="723">
      <formula>$A52="Overcrossing"</formula>
    </cfRule>
    <cfRule type="expression" dxfId="9793" priority="724">
      <formula>$A52="Overpass"</formula>
    </cfRule>
    <cfRule type="expression" dxfId="9792" priority="725">
      <formula>$A52="Station"</formula>
    </cfRule>
    <cfRule type="expression" dxfId="9791" priority="726">
      <formula>$A52="Overlap between sections"</formula>
    </cfRule>
  </conditionalFormatting>
  <conditionalFormatting sqref="AW54">
    <cfRule type="expression" dxfId="9790" priority="713">
      <formula>$M54="NON DEFINED"</formula>
    </cfRule>
    <cfRule type="expression" dxfId="9789" priority="714">
      <formula>$AZ54="N.D."</formula>
    </cfRule>
    <cfRule type="expression" dxfId="9788" priority="715">
      <formula>$AY54="N.D."</formula>
    </cfRule>
  </conditionalFormatting>
  <conditionalFormatting sqref="AW54">
    <cfRule type="expression" dxfId="9787" priority="702">
      <formula>$A54="Overhead Cable"</formula>
    </cfRule>
    <cfRule type="expression" dxfId="9786" priority="703">
      <formula>$A54="Level Crossing"</formula>
    </cfRule>
    <cfRule type="expression" dxfId="9785" priority="704">
      <formula>$A54="Neutral Section"</formula>
    </cfRule>
    <cfRule type="expression" dxfId="9784" priority="705">
      <formula>$A54="Tunnel"</formula>
    </cfRule>
    <cfRule type="expression" dxfId="9783" priority="706">
      <formula>$A54="Bridge"</formula>
    </cfRule>
    <cfRule type="expression" dxfId="9782" priority="707">
      <formula>$A54="Drainage Works"</formula>
    </cfRule>
    <cfRule type="expression" dxfId="9781" priority="708">
      <formula>$A54="Underpass"</formula>
    </cfRule>
    <cfRule type="expression" dxfId="9780" priority="709">
      <formula>$A54="Overcrossing"</formula>
    </cfRule>
    <cfRule type="expression" dxfId="9779" priority="710">
      <formula>$A54="Overpass"</formula>
    </cfRule>
    <cfRule type="expression" dxfId="9778" priority="711">
      <formula>$A54="Station"</formula>
    </cfRule>
    <cfRule type="expression" dxfId="9777" priority="712">
      <formula>$A54="Overlap between sections"</formula>
    </cfRule>
  </conditionalFormatting>
  <conditionalFormatting sqref="AX54">
    <cfRule type="expression" dxfId="9776" priority="699">
      <formula>$M54="NON DEFINED"</formula>
    </cfRule>
    <cfRule type="expression" dxfId="9775" priority="700">
      <formula>$AZ54="N.D."</formula>
    </cfRule>
    <cfRule type="expression" dxfId="9774" priority="701">
      <formula>$AY54="N.D."</formula>
    </cfRule>
  </conditionalFormatting>
  <conditionalFormatting sqref="AX54">
    <cfRule type="expression" dxfId="9773" priority="688">
      <formula>$A54="Overhead Cable"</formula>
    </cfRule>
    <cfRule type="expression" dxfId="9772" priority="689">
      <formula>$A54="Level Crossing"</formula>
    </cfRule>
    <cfRule type="expression" dxfId="9771" priority="690">
      <formula>$A54="Neutral Section"</formula>
    </cfRule>
    <cfRule type="expression" dxfId="9770" priority="691">
      <formula>$A54="Tunnel"</formula>
    </cfRule>
    <cfRule type="expression" dxfId="9769" priority="692">
      <formula>$A54="Bridge"</formula>
    </cfRule>
    <cfRule type="expression" dxfId="9768" priority="693">
      <formula>$A54="Drainage Works"</formula>
    </cfRule>
    <cfRule type="expression" dxfId="9767" priority="694">
      <formula>$A54="Underpass"</formula>
    </cfRule>
    <cfRule type="expression" dxfId="9766" priority="695">
      <formula>$A54="Overcrossing"</formula>
    </cfRule>
    <cfRule type="expression" dxfId="9765" priority="696">
      <formula>$A54="Overpass"</formula>
    </cfRule>
    <cfRule type="expression" dxfId="9764" priority="697">
      <formula>$A54="Station"</formula>
    </cfRule>
    <cfRule type="expression" dxfId="9763" priority="698">
      <formula>$A54="Overlap between sections"</formula>
    </cfRule>
  </conditionalFormatting>
  <conditionalFormatting sqref="AW56">
    <cfRule type="expression" dxfId="9762" priority="685">
      <formula>$M56="NON DEFINED"</formula>
    </cfRule>
    <cfRule type="expression" dxfId="9761" priority="686">
      <formula>$AZ56="N.D."</formula>
    </cfRule>
    <cfRule type="expression" dxfId="9760" priority="687">
      <formula>$AY56="N.D."</formula>
    </cfRule>
  </conditionalFormatting>
  <conditionalFormatting sqref="AW56">
    <cfRule type="expression" dxfId="9759" priority="674">
      <formula>$A56="Overhead Cable"</formula>
    </cfRule>
    <cfRule type="expression" dxfId="9758" priority="675">
      <formula>$A56="Level Crossing"</formula>
    </cfRule>
    <cfRule type="expression" dxfId="9757" priority="676">
      <formula>$A56="Neutral Section"</formula>
    </cfRule>
    <cfRule type="expression" dxfId="9756" priority="677">
      <formula>$A56="Tunnel"</formula>
    </cfRule>
    <cfRule type="expression" dxfId="9755" priority="678">
      <formula>$A56="Bridge"</formula>
    </cfRule>
    <cfRule type="expression" dxfId="9754" priority="679">
      <formula>$A56="Drainage Works"</formula>
    </cfRule>
    <cfRule type="expression" dxfId="9753" priority="680">
      <formula>$A56="Underpass"</formula>
    </cfRule>
    <cfRule type="expression" dxfId="9752" priority="681">
      <formula>$A56="Overcrossing"</formula>
    </cfRule>
    <cfRule type="expression" dxfId="9751" priority="682">
      <formula>$A56="Overpass"</formula>
    </cfRule>
    <cfRule type="expression" dxfId="9750" priority="683">
      <formula>$A56="Station"</formula>
    </cfRule>
    <cfRule type="expression" dxfId="9749" priority="684">
      <formula>$A56="Overlap between sections"</formula>
    </cfRule>
  </conditionalFormatting>
  <conditionalFormatting sqref="AX56">
    <cfRule type="expression" dxfId="9748" priority="671">
      <formula>$M56="NON DEFINED"</formula>
    </cfRule>
    <cfRule type="expression" dxfId="9747" priority="672">
      <formula>$AZ56="N.D."</formula>
    </cfRule>
    <cfRule type="expression" dxfId="9746" priority="673">
      <formula>$AY56="N.D."</formula>
    </cfRule>
  </conditionalFormatting>
  <conditionalFormatting sqref="AX56">
    <cfRule type="expression" dxfId="9745" priority="660">
      <formula>$A56="Overhead Cable"</formula>
    </cfRule>
    <cfRule type="expression" dxfId="9744" priority="661">
      <formula>$A56="Level Crossing"</formula>
    </cfRule>
    <cfRule type="expression" dxfId="9743" priority="662">
      <formula>$A56="Neutral Section"</formula>
    </cfRule>
    <cfRule type="expression" dxfId="9742" priority="663">
      <formula>$A56="Tunnel"</formula>
    </cfRule>
    <cfRule type="expression" dxfId="9741" priority="664">
      <formula>$A56="Bridge"</formula>
    </cfRule>
    <cfRule type="expression" dxfId="9740" priority="665">
      <formula>$A56="Drainage Works"</formula>
    </cfRule>
    <cfRule type="expression" dxfId="9739" priority="666">
      <formula>$A56="Underpass"</formula>
    </cfRule>
    <cfRule type="expression" dxfId="9738" priority="667">
      <formula>$A56="Overcrossing"</formula>
    </cfRule>
    <cfRule type="expression" dxfId="9737" priority="668">
      <formula>$A56="Overpass"</formula>
    </cfRule>
    <cfRule type="expression" dxfId="9736" priority="669">
      <formula>$A56="Station"</formula>
    </cfRule>
    <cfRule type="expression" dxfId="9735" priority="670">
      <formula>$A56="Overlap between sections"</formula>
    </cfRule>
  </conditionalFormatting>
  <conditionalFormatting sqref="AW58">
    <cfRule type="expression" dxfId="9734" priority="657">
      <formula>$M58="NON DEFINED"</formula>
    </cfRule>
    <cfRule type="expression" dxfId="9733" priority="658">
      <formula>$AZ58="N.D."</formula>
    </cfRule>
    <cfRule type="expression" dxfId="9732" priority="659">
      <formula>$AY58="N.D."</formula>
    </cfRule>
  </conditionalFormatting>
  <conditionalFormatting sqref="AW58">
    <cfRule type="expression" dxfId="9731" priority="646">
      <formula>$A58="Overhead Cable"</formula>
    </cfRule>
    <cfRule type="expression" dxfId="9730" priority="647">
      <formula>$A58="Level Crossing"</formula>
    </cfRule>
    <cfRule type="expression" dxfId="9729" priority="648">
      <formula>$A58="Neutral Section"</formula>
    </cfRule>
    <cfRule type="expression" dxfId="9728" priority="649">
      <formula>$A58="Tunnel"</formula>
    </cfRule>
    <cfRule type="expression" dxfId="9727" priority="650">
      <formula>$A58="Bridge"</formula>
    </cfRule>
    <cfRule type="expression" dxfId="9726" priority="651">
      <formula>$A58="Drainage Works"</formula>
    </cfRule>
    <cfRule type="expression" dxfId="9725" priority="652">
      <formula>$A58="Underpass"</formula>
    </cfRule>
    <cfRule type="expression" dxfId="9724" priority="653">
      <formula>$A58="Overcrossing"</formula>
    </cfRule>
    <cfRule type="expression" dxfId="9723" priority="654">
      <formula>$A58="Overpass"</formula>
    </cfRule>
    <cfRule type="expression" dxfId="9722" priority="655">
      <formula>$A58="Station"</formula>
    </cfRule>
    <cfRule type="expression" dxfId="9721" priority="656">
      <formula>$A58="Overlap between sections"</formula>
    </cfRule>
  </conditionalFormatting>
  <conditionalFormatting sqref="AX58">
    <cfRule type="expression" dxfId="9720" priority="643">
      <formula>$M58="NON DEFINED"</formula>
    </cfRule>
    <cfRule type="expression" dxfId="9719" priority="644">
      <formula>$AZ58="N.D."</formula>
    </cfRule>
    <cfRule type="expression" dxfId="9718" priority="645">
      <formula>$AY58="N.D."</formula>
    </cfRule>
  </conditionalFormatting>
  <conditionalFormatting sqref="AX58">
    <cfRule type="expression" dxfId="9717" priority="632">
      <formula>$A58="Overhead Cable"</formula>
    </cfRule>
    <cfRule type="expression" dxfId="9716" priority="633">
      <formula>$A58="Level Crossing"</formula>
    </cfRule>
    <cfRule type="expression" dxfId="9715" priority="634">
      <formula>$A58="Neutral Section"</formula>
    </cfRule>
    <cfRule type="expression" dxfId="9714" priority="635">
      <formula>$A58="Tunnel"</formula>
    </cfRule>
    <cfRule type="expression" dxfId="9713" priority="636">
      <formula>$A58="Bridge"</formula>
    </cfRule>
    <cfRule type="expression" dxfId="9712" priority="637">
      <formula>$A58="Drainage Works"</formula>
    </cfRule>
    <cfRule type="expression" dxfId="9711" priority="638">
      <formula>$A58="Underpass"</formula>
    </cfRule>
    <cfRule type="expression" dxfId="9710" priority="639">
      <formula>$A58="Overcrossing"</formula>
    </cfRule>
    <cfRule type="expression" dxfId="9709" priority="640">
      <formula>$A58="Overpass"</formula>
    </cfRule>
    <cfRule type="expression" dxfId="9708" priority="641">
      <formula>$A58="Station"</formula>
    </cfRule>
    <cfRule type="expression" dxfId="9707" priority="642">
      <formula>$A58="Overlap between sections"</formula>
    </cfRule>
  </conditionalFormatting>
  <conditionalFormatting sqref="AW60">
    <cfRule type="expression" dxfId="9706" priority="629">
      <formula>$M60="NON DEFINED"</formula>
    </cfRule>
    <cfRule type="expression" dxfId="9705" priority="630">
      <formula>$AZ60="N.D."</formula>
    </cfRule>
    <cfRule type="expression" dxfId="9704" priority="631">
      <formula>$AY60="N.D."</formula>
    </cfRule>
  </conditionalFormatting>
  <conditionalFormatting sqref="AW60">
    <cfRule type="expression" dxfId="9703" priority="618">
      <formula>$A60="Overhead Cable"</formula>
    </cfRule>
    <cfRule type="expression" dxfId="9702" priority="619">
      <formula>$A60="Level Crossing"</formula>
    </cfRule>
    <cfRule type="expression" dxfId="9701" priority="620">
      <formula>$A60="Neutral Section"</formula>
    </cfRule>
    <cfRule type="expression" dxfId="9700" priority="621">
      <formula>$A60="Tunnel"</formula>
    </cfRule>
    <cfRule type="expression" dxfId="9699" priority="622">
      <formula>$A60="Bridge"</formula>
    </cfRule>
    <cfRule type="expression" dxfId="9698" priority="623">
      <formula>$A60="Drainage Works"</formula>
    </cfRule>
    <cfRule type="expression" dxfId="9697" priority="624">
      <formula>$A60="Underpass"</formula>
    </cfRule>
    <cfRule type="expression" dxfId="9696" priority="625">
      <formula>$A60="Overcrossing"</formula>
    </cfRule>
    <cfRule type="expression" dxfId="9695" priority="626">
      <formula>$A60="Overpass"</formula>
    </cfRule>
    <cfRule type="expression" dxfId="9694" priority="627">
      <formula>$A60="Station"</formula>
    </cfRule>
    <cfRule type="expression" dxfId="9693" priority="628">
      <formula>$A60="Overlap between sections"</formula>
    </cfRule>
  </conditionalFormatting>
  <conditionalFormatting sqref="AX60">
    <cfRule type="expression" dxfId="9692" priority="615">
      <formula>$M60="NON DEFINED"</formula>
    </cfRule>
    <cfRule type="expression" dxfId="9691" priority="616">
      <formula>$AZ60="N.D."</formula>
    </cfRule>
    <cfRule type="expression" dxfId="9690" priority="617">
      <formula>$AY60="N.D."</formula>
    </cfRule>
  </conditionalFormatting>
  <conditionalFormatting sqref="AX60">
    <cfRule type="expression" dxfId="9689" priority="604">
      <formula>$A60="Overhead Cable"</formula>
    </cfRule>
    <cfRule type="expression" dxfId="9688" priority="605">
      <formula>$A60="Level Crossing"</formula>
    </cfRule>
    <cfRule type="expression" dxfId="9687" priority="606">
      <formula>$A60="Neutral Section"</formula>
    </cfRule>
    <cfRule type="expression" dxfId="9686" priority="607">
      <formula>$A60="Tunnel"</formula>
    </cfRule>
    <cfRule type="expression" dxfId="9685" priority="608">
      <formula>$A60="Bridge"</formula>
    </cfRule>
    <cfRule type="expression" dxfId="9684" priority="609">
      <formula>$A60="Drainage Works"</formula>
    </cfRule>
    <cfRule type="expression" dxfId="9683" priority="610">
      <formula>$A60="Underpass"</formula>
    </cfRule>
    <cfRule type="expression" dxfId="9682" priority="611">
      <formula>$A60="Overcrossing"</formula>
    </cfRule>
    <cfRule type="expression" dxfId="9681" priority="612">
      <formula>$A60="Overpass"</formula>
    </cfRule>
    <cfRule type="expression" dxfId="9680" priority="613">
      <formula>$A60="Station"</formula>
    </cfRule>
    <cfRule type="expression" dxfId="9679" priority="614">
      <formula>$A60="Overlap between sections"</formula>
    </cfRule>
  </conditionalFormatting>
  <conditionalFormatting sqref="AW62">
    <cfRule type="expression" dxfId="9678" priority="601">
      <formula>$M62="NON DEFINED"</formula>
    </cfRule>
    <cfRule type="expression" dxfId="9677" priority="602">
      <formula>$AZ62="N.D."</formula>
    </cfRule>
    <cfRule type="expression" dxfId="9676" priority="603">
      <formula>$AY62="N.D."</formula>
    </cfRule>
  </conditionalFormatting>
  <conditionalFormatting sqref="AW62">
    <cfRule type="expression" dxfId="9675" priority="590">
      <formula>$A62="Overhead Cable"</formula>
    </cfRule>
    <cfRule type="expression" dxfId="9674" priority="591">
      <formula>$A62="Level Crossing"</formula>
    </cfRule>
    <cfRule type="expression" dxfId="9673" priority="592">
      <formula>$A62="Neutral Section"</formula>
    </cfRule>
    <cfRule type="expression" dxfId="9672" priority="593">
      <formula>$A62="Tunnel"</formula>
    </cfRule>
    <cfRule type="expression" dxfId="9671" priority="594">
      <formula>$A62="Bridge"</formula>
    </cfRule>
    <cfRule type="expression" dxfId="9670" priority="595">
      <formula>$A62="Drainage Works"</formula>
    </cfRule>
    <cfRule type="expression" dxfId="9669" priority="596">
      <formula>$A62="Underpass"</formula>
    </cfRule>
    <cfRule type="expression" dxfId="9668" priority="597">
      <formula>$A62="Overcrossing"</formula>
    </cfRule>
    <cfRule type="expression" dxfId="9667" priority="598">
      <formula>$A62="Overpass"</formula>
    </cfRule>
    <cfRule type="expression" dxfId="9666" priority="599">
      <formula>$A62="Station"</formula>
    </cfRule>
    <cfRule type="expression" dxfId="9665" priority="600">
      <formula>$A62="Overlap between sections"</formula>
    </cfRule>
  </conditionalFormatting>
  <conditionalFormatting sqref="AX62">
    <cfRule type="expression" dxfId="9664" priority="587">
      <formula>$M62="NON DEFINED"</formula>
    </cfRule>
    <cfRule type="expression" dxfId="9663" priority="588">
      <formula>$AZ62="N.D."</formula>
    </cfRule>
    <cfRule type="expression" dxfId="9662" priority="589">
      <formula>$AY62="N.D."</formula>
    </cfRule>
  </conditionalFormatting>
  <conditionalFormatting sqref="AX62">
    <cfRule type="expression" dxfId="9661" priority="576">
      <formula>$A62="Overhead Cable"</formula>
    </cfRule>
    <cfRule type="expression" dxfId="9660" priority="577">
      <formula>$A62="Level Crossing"</formula>
    </cfRule>
    <cfRule type="expression" dxfId="9659" priority="578">
      <formula>$A62="Neutral Section"</formula>
    </cfRule>
    <cfRule type="expression" dxfId="9658" priority="579">
      <formula>$A62="Tunnel"</formula>
    </cfRule>
    <cfRule type="expression" dxfId="9657" priority="580">
      <formula>$A62="Bridge"</formula>
    </cfRule>
    <cfRule type="expression" dxfId="9656" priority="581">
      <formula>$A62="Drainage Works"</formula>
    </cfRule>
    <cfRule type="expression" dxfId="9655" priority="582">
      <formula>$A62="Underpass"</formula>
    </cfRule>
    <cfRule type="expression" dxfId="9654" priority="583">
      <formula>$A62="Overcrossing"</formula>
    </cfRule>
    <cfRule type="expression" dxfId="9653" priority="584">
      <formula>$A62="Overpass"</formula>
    </cfRule>
    <cfRule type="expression" dxfId="9652" priority="585">
      <formula>$A62="Station"</formula>
    </cfRule>
    <cfRule type="expression" dxfId="9651" priority="586">
      <formula>$A62="Overlap between sections"</formula>
    </cfRule>
  </conditionalFormatting>
  <conditionalFormatting sqref="AW64">
    <cfRule type="expression" dxfId="9650" priority="573">
      <formula>$M64="NON DEFINED"</formula>
    </cfRule>
    <cfRule type="expression" dxfId="9649" priority="574">
      <formula>$AZ64="N.D."</formula>
    </cfRule>
    <cfRule type="expression" dxfId="9648" priority="575">
      <formula>$AY64="N.D."</formula>
    </cfRule>
  </conditionalFormatting>
  <conditionalFormatting sqref="AW64">
    <cfRule type="expression" dxfId="9647" priority="562">
      <formula>$A64="Overhead Cable"</formula>
    </cfRule>
    <cfRule type="expression" dxfId="9646" priority="563">
      <formula>$A64="Level Crossing"</formula>
    </cfRule>
    <cfRule type="expression" dxfId="9645" priority="564">
      <formula>$A64="Neutral Section"</formula>
    </cfRule>
    <cfRule type="expression" dxfId="9644" priority="565">
      <formula>$A64="Tunnel"</formula>
    </cfRule>
    <cfRule type="expression" dxfId="9643" priority="566">
      <formula>$A64="Bridge"</formula>
    </cfRule>
    <cfRule type="expression" dxfId="9642" priority="567">
      <formula>$A64="Drainage Works"</formula>
    </cfRule>
    <cfRule type="expression" dxfId="9641" priority="568">
      <formula>$A64="Underpass"</formula>
    </cfRule>
    <cfRule type="expression" dxfId="9640" priority="569">
      <formula>$A64="Overcrossing"</formula>
    </cfRule>
    <cfRule type="expression" dxfId="9639" priority="570">
      <formula>$A64="Overpass"</formula>
    </cfRule>
    <cfRule type="expression" dxfId="9638" priority="571">
      <formula>$A64="Station"</formula>
    </cfRule>
    <cfRule type="expression" dxfId="9637" priority="572">
      <formula>$A64="Overlap between sections"</formula>
    </cfRule>
  </conditionalFormatting>
  <conditionalFormatting sqref="AX64">
    <cfRule type="expression" dxfId="9636" priority="559">
      <formula>$M64="NON DEFINED"</formula>
    </cfRule>
    <cfRule type="expression" dxfId="9635" priority="560">
      <formula>$AZ64="N.D."</formula>
    </cfRule>
    <cfRule type="expression" dxfId="9634" priority="561">
      <formula>$AY64="N.D."</formula>
    </cfRule>
  </conditionalFormatting>
  <conditionalFormatting sqref="AX64">
    <cfRule type="expression" dxfId="9633" priority="548">
      <formula>$A64="Overhead Cable"</formula>
    </cfRule>
    <cfRule type="expression" dxfId="9632" priority="549">
      <formula>$A64="Level Crossing"</formula>
    </cfRule>
    <cfRule type="expression" dxfId="9631" priority="550">
      <formula>$A64="Neutral Section"</formula>
    </cfRule>
    <cfRule type="expression" dxfId="9630" priority="551">
      <formula>$A64="Tunnel"</formula>
    </cfRule>
    <cfRule type="expression" dxfId="9629" priority="552">
      <formula>$A64="Bridge"</formula>
    </cfRule>
    <cfRule type="expression" dxfId="9628" priority="553">
      <formula>$A64="Drainage Works"</formula>
    </cfRule>
    <cfRule type="expression" dxfId="9627" priority="554">
      <formula>$A64="Underpass"</formula>
    </cfRule>
    <cfRule type="expression" dxfId="9626" priority="555">
      <formula>$A64="Overcrossing"</formula>
    </cfRule>
    <cfRule type="expression" dxfId="9625" priority="556">
      <formula>$A64="Overpass"</formula>
    </cfRule>
    <cfRule type="expression" dxfId="9624" priority="557">
      <formula>$A64="Station"</formula>
    </cfRule>
    <cfRule type="expression" dxfId="9623" priority="558">
      <formula>$A64="Overlap between sections"</formula>
    </cfRule>
  </conditionalFormatting>
  <conditionalFormatting sqref="AW66">
    <cfRule type="expression" dxfId="9622" priority="545">
      <formula>$M66="NON DEFINED"</formula>
    </cfRule>
    <cfRule type="expression" dxfId="9621" priority="546">
      <formula>$AZ66="N.D."</formula>
    </cfRule>
    <cfRule type="expression" dxfId="9620" priority="547">
      <formula>$AY66="N.D."</formula>
    </cfRule>
  </conditionalFormatting>
  <conditionalFormatting sqref="AW66">
    <cfRule type="expression" dxfId="9619" priority="534">
      <formula>$A66="Overhead Cable"</formula>
    </cfRule>
    <cfRule type="expression" dxfId="9618" priority="535">
      <formula>$A66="Level Crossing"</formula>
    </cfRule>
    <cfRule type="expression" dxfId="9617" priority="536">
      <formula>$A66="Neutral Section"</formula>
    </cfRule>
    <cfRule type="expression" dxfId="9616" priority="537">
      <formula>$A66="Tunnel"</formula>
    </cfRule>
    <cfRule type="expression" dxfId="9615" priority="538">
      <formula>$A66="Bridge"</formula>
    </cfRule>
    <cfRule type="expression" dxfId="9614" priority="539">
      <formula>$A66="Drainage Works"</formula>
    </cfRule>
    <cfRule type="expression" dxfId="9613" priority="540">
      <formula>$A66="Underpass"</formula>
    </cfRule>
    <cfRule type="expression" dxfId="9612" priority="541">
      <formula>$A66="Overcrossing"</formula>
    </cfRule>
    <cfRule type="expression" dxfId="9611" priority="542">
      <formula>$A66="Overpass"</formula>
    </cfRule>
    <cfRule type="expression" dxfId="9610" priority="543">
      <formula>$A66="Station"</formula>
    </cfRule>
    <cfRule type="expression" dxfId="9609" priority="544">
      <formula>$A66="Overlap between sections"</formula>
    </cfRule>
  </conditionalFormatting>
  <conditionalFormatting sqref="AX66">
    <cfRule type="expression" dxfId="9608" priority="531">
      <formula>$M66="NON DEFINED"</formula>
    </cfRule>
    <cfRule type="expression" dxfId="9607" priority="532">
      <formula>$AZ66="N.D."</formula>
    </cfRule>
    <cfRule type="expression" dxfId="9606" priority="533">
      <formula>$AY66="N.D."</formula>
    </cfRule>
  </conditionalFormatting>
  <conditionalFormatting sqref="AX66">
    <cfRule type="expression" dxfId="9605" priority="520">
      <formula>$A66="Overhead Cable"</formula>
    </cfRule>
    <cfRule type="expression" dxfId="9604" priority="521">
      <formula>$A66="Level Crossing"</formula>
    </cfRule>
    <cfRule type="expression" dxfId="9603" priority="522">
      <formula>$A66="Neutral Section"</formula>
    </cfRule>
    <cfRule type="expression" dxfId="9602" priority="523">
      <formula>$A66="Tunnel"</formula>
    </cfRule>
    <cfRule type="expression" dxfId="9601" priority="524">
      <formula>$A66="Bridge"</formula>
    </cfRule>
    <cfRule type="expression" dxfId="9600" priority="525">
      <formula>$A66="Drainage Works"</formula>
    </cfRule>
    <cfRule type="expression" dxfId="9599" priority="526">
      <formula>$A66="Underpass"</formula>
    </cfRule>
    <cfRule type="expression" dxfId="9598" priority="527">
      <formula>$A66="Overcrossing"</formula>
    </cfRule>
    <cfRule type="expression" dxfId="9597" priority="528">
      <formula>$A66="Overpass"</formula>
    </cfRule>
    <cfRule type="expression" dxfId="9596" priority="529">
      <formula>$A66="Station"</formula>
    </cfRule>
    <cfRule type="expression" dxfId="9595" priority="530">
      <formula>$A66="Overlap between sections"</formula>
    </cfRule>
  </conditionalFormatting>
  <conditionalFormatting sqref="AW68">
    <cfRule type="expression" dxfId="9594" priority="517">
      <formula>$M68="NON DEFINED"</formula>
    </cfRule>
    <cfRule type="expression" dxfId="9593" priority="518">
      <formula>$AZ68="N.D."</formula>
    </cfRule>
    <cfRule type="expression" dxfId="9592" priority="519">
      <formula>$AY68="N.D."</formula>
    </cfRule>
  </conditionalFormatting>
  <conditionalFormatting sqref="AW68">
    <cfRule type="expression" dxfId="9591" priority="506">
      <formula>$A68="Overhead Cable"</formula>
    </cfRule>
    <cfRule type="expression" dxfId="9590" priority="507">
      <formula>$A68="Level Crossing"</formula>
    </cfRule>
    <cfRule type="expression" dxfId="9589" priority="508">
      <formula>$A68="Neutral Section"</formula>
    </cfRule>
    <cfRule type="expression" dxfId="9588" priority="509">
      <formula>$A68="Tunnel"</formula>
    </cfRule>
    <cfRule type="expression" dxfId="9587" priority="510">
      <formula>$A68="Bridge"</formula>
    </cfRule>
    <cfRule type="expression" dxfId="9586" priority="511">
      <formula>$A68="Drainage Works"</formula>
    </cfRule>
    <cfRule type="expression" dxfId="9585" priority="512">
      <formula>$A68="Underpass"</formula>
    </cfRule>
    <cfRule type="expression" dxfId="9584" priority="513">
      <formula>$A68="Overcrossing"</formula>
    </cfRule>
    <cfRule type="expression" dxfId="9583" priority="514">
      <formula>$A68="Overpass"</formula>
    </cfRule>
    <cfRule type="expression" dxfId="9582" priority="515">
      <formula>$A68="Station"</formula>
    </cfRule>
    <cfRule type="expression" dxfId="9581" priority="516">
      <formula>$A68="Overlap between sections"</formula>
    </cfRule>
  </conditionalFormatting>
  <conditionalFormatting sqref="AX68">
    <cfRule type="expression" dxfId="9580" priority="503">
      <formula>$M68="NON DEFINED"</formula>
    </cfRule>
    <cfRule type="expression" dxfId="9579" priority="504">
      <formula>$AZ68="N.D."</formula>
    </cfRule>
    <cfRule type="expression" dxfId="9578" priority="505">
      <formula>$AY68="N.D."</formula>
    </cfRule>
  </conditionalFormatting>
  <conditionalFormatting sqref="AX68">
    <cfRule type="expression" dxfId="9577" priority="492">
      <formula>$A68="Overhead Cable"</formula>
    </cfRule>
    <cfRule type="expression" dxfId="9576" priority="493">
      <formula>$A68="Level Crossing"</formula>
    </cfRule>
    <cfRule type="expression" dxfId="9575" priority="494">
      <formula>$A68="Neutral Section"</formula>
    </cfRule>
    <cfRule type="expression" dxfId="9574" priority="495">
      <formula>$A68="Tunnel"</formula>
    </cfRule>
    <cfRule type="expression" dxfId="9573" priority="496">
      <formula>$A68="Bridge"</formula>
    </cfRule>
    <cfRule type="expression" dxfId="9572" priority="497">
      <formula>$A68="Drainage Works"</formula>
    </cfRule>
    <cfRule type="expression" dxfId="9571" priority="498">
      <formula>$A68="Underpass"</formula>
    </cfRule>
    <cfRule type="expression" dxfId="9570" priority="499">
      <formula>$A68="Overcrossing"</formula>
    </cfRule>
    <cfRule type="expression" dxfId="9569" priority="500">
      <formula>$A68="Overpass"</formula>
    </cfRule>
    <cfRule type="expression" dxfId="9568" priority="501">
      <formula>$A68="Station"</formula>
    </cfRule>
    <cfRule type="expression" dxfId="9567" priority="502">
      <formula>$A68="Overlap between sections"</formula>
    </cfRule>
  </conditionalFormatting>
  <conditionalFormatting sqref="AW70">
    <cfRule type="expression" dxfId="9566" priority="489">
      <formula>$M70="NON DEFINED"</formula>
    </cfRule>
    <cfRule type="expression" dxfId="9565" priority="490">
      <formula>$AZ70="N.D."</formula>
    </cfRule>
    <cfRule type="expression" dxfId="9564" priority="491">
      <formula>$AY70="N.D."</formula>
    </cfRule>
  </conditionalFormatting>
  <conditionalFormatting sqref="AW70">
    <cfRule type="expression" dxfId="9563" priority="478">
      <formula>$A70="Overhead Cable"</formula>
    </cfRule>
    <cfRule type="expression" dxfId="9562" priority="479">
      <formula>$A70="Level Crossing"</formula>
    </cfRule>
    <cfRule type="expression" dxfId="9561" priority="480">
      <formula>$A70="Neutral Section"</formula>
    </cfRule>
    <cfRule type="expression" dxfId="9560" priority="481">
      <formula>$A70="Tunnel"</formula>
    </cfRule>
    <cfRule type="expression" dxfId="9559" priority="482">
      <formula>$A70="Bridge"</formula>
    </cfRule>
    <cfRule type="expression" dxfId="9558" priority="483">
      <formula>$A70="Drainage Works"</formula>
    </cfRule>
    <cfRule type="expression" dxfId="9557" priority="484">
      <formula>$A70="Underpass"</formula>
    </cfRule>
    <cfRule type="expression" dxfId="9556" priority="485">
      <formula>$A70="Overcrossing"</formula>
    </cfRule>
    <cfRule type="expression" dxfId="9555" priority="486">
      <formula>$A70="Overpass"</formula>
    </cfRule>
    <cfRule type="expression" dxfId="9554" priority="487">
      <formula>$A70="Station"</formula>
    </cfRule>
    <cfRule type="expression" dxfId="9553" priority="488">
      <formula>$A70="Overlap between sections"</formula>
    </cfRule>
  </conditionalFormatting>
  <conditionalFormatting sqref="AX70">
    <cfRule type="expression" dxfId="9552" priority="475">
      <formula>$M70="NON DEFINED"</formula>
    </cfRule>
    <cfRule type="expression" dxfId="9551" priority="476">
      <formula>$AZ70="N.D."</formula>
    </cfRule>
    <cfRule type="expression" dxfId="9550" priority="477">
      <formula>$AY70="N.D."</formula>
    </cfRule>
  </conditionalFormatting>
  <conditionalFormatting sqref="AX70">
    <cfRule type="expression" dxfId="9549" priority="464">
      <formula>$A70="Overhead Cable"</formula>
    </cfRule>
    <cfRule type="expression" dxfId="9548" priority="465">
      <formula>$A70="Level Crossing"</formula>
    </cfRule>
    <cfRule type="expression" dxfId="9547" priority="466">
      <formula>$A70="Neutral Section"</formula>
    </cfRule>
    <cfRule type="expression" dxfId="9546" priority="467">
      <formula>$A70="Tunnel"</formula>
    </cfRule>
    <cfRule type="expression" dxfId="9545" priority="468">
      <formula>$A70="Bridge"</formula>
    </cfRule>
    <cfRule type="expression" dxfId="9544" priority="469">
      <formula>$A70="Drainage Works"</formula>
    </cfRule>
    <cfRule type="expression" dxfId="9543" priority="470">
      <formula>$A70="Underpass"</formula>
    </cfRule>
    <cfRule type="expression" dxfId="9542" priority="471">
      <formula>$A70="Overcrossing"</formula>
    </cfRule>
    <cfRule type="expression" dxfId="9541" priority="472">
      <formula>$A70="Overpass"</formula>
    </cfRule>
    <cfRule type="expression" dxfId="9540" priority="473">
      <formula>$A70="Station"</formula>
    </cfRule>
    <cfRule type="expression" dxfId="9539" priority="474">
      <formula>$A70="Overlap between sections"</formula>
    </cfRule>
  </conditionalFormatting>
  <conditionalFormatting sqref="AW72">
    <cfRule type="expression" dxfId="9538" priority="461">
      <formula>$M72="NON DEFINED"</formula>
    </cfRule>
    <cfRule type="expression" dxfId="9537" priority="462">
      <formula>$AZ72="N.D."</formula>
    </cfRule>
    <cfRule type="expression" dxfId="9536" priority="463">
      <formula>$AY72="N.D."</formula>
    </cfRule>
  </conditionalFormatting>
  <conditionalFormatting sqref="AW72">
    <cfRule type="expression" dxfId="9535" priority="450">
      <formula>$A72="Overhead Cable"</formula>
    </cfRule>
    <cfRule type="expression" dxfId="9534" priority="451">
      <formula>$A72="Level Crossing"</formula>
    </cfRule>
    <cfRule type="expression" dxfId="9533" priority="452">
      <formula>$A72="Neutral Section"</formula>
    </cfRule>
    <cfRule type="expression" dxfId="9532" priority="453">
      <formula>$A72="Tunnel"</formula>
    </cfRule>
    <cfRule type="expression" dxfId="9531" priority="454">
      <formula>$A72="Bridge"</formula>
    </cfRule>
    <cfRule type="expression" dxfId="9530" priority="455">
      <formula>$A72="Drainage Works"</formula>
    </cfRule>
    <cfRule type="expression" dxfId="9529" priority="456">
      <formula>$A72="Underpass"</formula>
    </cfRule>
    <cfRule type="expression" dxfId="9528" priority="457">
      <formula>$A72="Overcrossing"</formula>
    </cfRule>
    <cfRule type="expression" dxfId="9527" priority="458">
      <formula>$A72="Overpass"</formula>
    </cfRule>
    <cfRule type="expression" dxfId="9526" priority="459">
      <formula>$A72="Station"</formula>
    </cfRule>
    <cfRule type="expression" dxfId="9525" priority="460">
      <formula>$A72="Overlap between sections"</formula>
    </cfRule>
  </conditionalFormatting>
  <conditionalFormatting sqref="AX72">
    <cfRule type="expression" dxfId="9524" priority="447">
      <formula>$M72="NON DEFINED"</formula>
    </cfRule>
    <cfRule type="expression" dxfId="9523" priority="448">
      <formula>$AZ72="N.D."</formula>
    </cfRule>
    <cfRule type="expression" dxfId="9522" priority="449">
      <formula>$AY72="N.D."</formula>
    </cfRule>
  </conditionalFormatting>
  <conditionalFormatting sqref="AX72">
    <cfRule type="expression" dxfId="9521" priority="436">
      <formula>$A72="Overhead Cable"</formula>
    </cfRule>
    <cfRule type="expression" dxfId="9520" priority="437">
      <formula>$A72="Level Crossing"</formula>
    </cfRule>
    <cfRule type="expression" dxfId="9519" priority="438">
      <formula>$A72="Neutral Section"</formula>
    </cfRule>
    <cfRule type="expression" dxfId="9518" priority="439">
      <formula>$A72="Tunnel"</formula>
    </cfRule>
    <cfRule type="expression" dxfId="9517" priority="440">
      <formula>$A72="Bridge"</formula>
    </cfRule>
    <cfRule type="expression" dxfId="9516" priority="441">
      <formula>$A72="Drainage Works"</formula>
    </cfRule>
    <cfRule type="expression" dxfId="9515" priority="442">
      <formula>$A72="Underpass"</formula>
    </cfRule>
    <cfRule type="expression" dxfId="9514" priority="443">
      <formula>$A72="Overcrossing"</formula>
    </cfRule>
    <cfRule type="expression" dxfId="9513" priority="444">
      <formula>$A72="Overpass"</formula>
    </cfRule>
    <cfRule type="expression" dxfId="9512" priority="445">
      <formula>$A72="Station"</formula>
    </cfRule>
    <cfRule type="expression" dxfId="9511" priority="446">
      <formula>$A72="Overlap between sections"</formula>
    </cfRule>
  </conditionalFormatting>
  <conditionalFormatting sqref="AW74">
    <cfRule type="expression" dxfId="9510" priority="433">
      <formula>$M74="NON DEFINED"</formula>
    </cfRule>
    <cfRule type="expression" dxfId="9509" priority="434">
      <formula>$AZ74="N.D."</formula>
    </cfRule>
    <cfRule type="expression" dxfId="9508" priority="435">
      <formula>$AY74="N.D."</formula>
    </cfRule>
  </conditionalFormatting>
  <conditionalFormatting sqref="AW74">
    <cfRule type="expression" dxfId="9507" priority="422">
      <formula>$A74="Overhead Cable"</formula>
    </cfRule>
    <cfRule type="expression" dxfId="9506" priority="423">
      <formula>$A74="Level Crossing"</formula>
    </cfRule>
    <cfRule type="expression" dxfId="9505" priority="424">
      <formula>$A74="Neutral Section"</formula>
    </cfRule>
    <cfRule type="expression" dxfId="9504" priority="425">
      <formula>$A74="Tunnel"</formula>
    </cfRule>
    <cfRule type="expression" dxfId="9503" priority="426">
      <formula>$A74="Bridge"</formula>
    </cfRule>
    <cfRule type="expression" dxfId="9502" priority="427">
      <formula>$A74="Drainage Works"</formula>
    </cfRule>
    <cfRule type="expression" dxfId="9501" priority="428">
      <formula>$A74="Underpass"</formula>
    </cfRule>
    <cfRule type="expression" dxfId="9500" priority="429">
      <formula>$A74="Overcrossing"</formula>
    </cfRule>
    <cfRule type="expression" dxfId="9499" priority="430">
      <formula>$A74="Overpass"</formula>
    </cfRule>
    <cfRule type="expression" dxfId="9498" priority="431">
      <formula>$A74="Station"</formula>
    </cfRule>
    <cfRule type="expression" dxfId="9497" priority="432">
      <formula>$A74="Overlap between sections"</formula>
    </cfRule>
  </conditionalFormatting>
  <conditionalFormatting sqref="AX74">
    <cfRule type="expression" dxfId="9496" priority="419">
      <formula>$M74="NON DEFINED"</formula>
    </cfRule>
    <cfRule type="expression" dxfId="9495" priority="420">
      <formula>$AZ74="N.D."</formula>
    </cfRule>
    <cfRule type="expression" dxfId="9494" priority="421">
      <formula>$AY74="N.D."</formula>
    </cfRule>
  </conditionalFormatting>
  <conditionalFormatting sqref="AX74">
    <cfRule type="expression" dxfId="9493" priority="408">
      <formula>$A74="Overhead Cable"</formula>
    </cfRule>
    <cfRule type="expression" dxfId="9492" priority="409">
      <formula>$A74="Level Crossing"</formula>
    </cfRule>
    <cfRule type="expression" dxfId="9491" priority="410">
      <formula>$A74="Neutral Section"</formula>
    </cfRule>
    <cfRule type="expression" dxfId="9490" priority="411">
      <formula>$A74="Tunnel"</formula>
    </cfRule>
    <cfRule type="expression" dxfId="9489" priority="412">
      <formula>$A74="Bridge"</formula>
    </cfRule>
    <cfRule type="expression" dxfId="9488" priority="413">
      <formula>$A74="Drainage Works"</formula>
    </cfRule>
    <cfRule type="expression" dxfId="9487" priority="414">
      <formula>$A74="Underpass"</formula>
    </cfRule>
    <cfRule type="expression" dxfId="9486" priority="415">
      <formula>$A74="Overcrossing"</formula>
    </cfRule>
    <cfRule type="expression" dxfId="9485" priority="416">
      <formula>$A74="Overpass"</formula>
    </cfRule>
    <cfRule type="expression" dxfId="9484" priority="417">
      <formula>$A74="Station"</formula>
    </cfRule>
    <cfRule type="expression" dxfId="9483" priority="418">
      <formula>$A74="Overlap between sections"</formula>
    </cfRule>
  </conditionalFormatting>
  <conditionalFormatting sqref="AW76">
    <cfRule type="expression" dxfId="9482" priority="405">
      <formula>$M76="NON DEFINED"</formula>
    </cfRule>
    <cfRule type="expression" dxfId="9481" priority="406">
      <formula>$AZ76="N.D."</formula>
    </cfRule>
    <cfRule type="expression" dxfId="9480" priority="407">
      <formula>$AY76="N.D."</formula>
    </cfRule>
  </conditionalFormatting>
  <conditionalFormatting sqref="AW76">
    <cfRule type="expression" dxfId="9479" priority="394">
      <formula>$A76="Overhead Cable"</formula>
    </cfRule>
    <cfRule type="expression" dxfId="9478" priority="395">
      <formula>$A76="Level Crossing"</formula>
    </cfRule>
    <cfRule type="expression" dxfId="9477" priority="396">
      <formula>$A76="Neutral Section"</formula>
    </cfRule>
    <cfRule type="expression" dxfId="9476" priority="397">
      <formula>$A76="Tunnel"</formula>
    </cfRule>
    <cfRule type="expression" dxfId="9475" priority="398">
      <formula>$A76="Bridge"</formula>
    </cfRule>
    <cfRule type="expression" dxfId="9474" priority="399">
      <formula>$A76="Drainage Works"</formula>
    </cfRule>
    <cfRule type="expression" dxfId="9473" priority="400">
      <formula>$A76="Underpass"</formula>
    </cfRule>
    <cfRule type="expression" dxfId="9472" priority="401">
      <formula>$A76="Overcrossing"</formula>
    </cfRule>
    <cfRule type="expression" dxfId="9471" priority="402">
      <formula>$A76="Overpass"</formula>
    </cfRule>
    <cfRule type="expression" dxfId="9470" priority="403">
      <formula>$A76="Station"</formula>
    </cfRule>
    <cfRule type="expression" dxfId="9469" priority="404">
      <formula>$A76="Overlap between sections"</formula>
    </cfRule>
  </conditionalFormatting>
  <conditionalFormatting sqref="AX76">
    <cfRule type="expression" dxfId="9468" priority="391">
      <formula>$M76="NON DEFINED"</formula>
    </cfRule>
    <cfRule type="expression" dxfId="9467" priority="392">
      <formula>$AZ76="N.D."</formula>
    </cfRule>
    <cfRule type="expression" dxfId="9466" priority="393">
      <formula>$AY76="N.D."</formula>
    </cfRule>
  </conditionalFormatting>
  <conditionalFormatting sqref="AX76">
    <cfRule type="expression" dxfId="9465" priority="380">
      <formula>$A76="Overhead Cable"</formula>
    </cfRule>
    <cfRule type="expression" dxfId="9464" priority="381">
      <formula>$A76="Level Crossing"</formula>
    </cfRule>
    <cfRule type="expression" dxfId="9463" priority="382">
      <formula>$A76="Neutral Section"</formula>
    </cfRule>
    <cfRule type="expression" dxfId="9462" priority="383">
      <formula>$A76="Tunnel"</formula>
    </cfRule>
    <cfRule type="expression" dxfId="9461" priority="384">
      <formula>$A76="Bridge"</formula>
    </cfRule>
    <cfRule type="expression" dxfId="9460" priority="385">
      <formula>$A76="Drainage Works"</formula>
    </cfRule>
    <cfRule type="expression" dxfId="9459" priority="386">
      <formula>$A76="Underpass"</formula>
    </cfRule>
    <cfRule type="expression" dxfId="9458" priority="387">
      <formula>$A76="Overcrossing"</formula>
    </cfRule>
    <cfRule type="expression" dxfId="9457" priority="388">
      <formula>$A76="Overpass"</formula>
    </cfRule>
    <cfRule type="expression" dxfId="9456" priority="389">
      <formula>$A76="Station"</formula>
    </cfRule>
    <cfRule type="expression" dxfId="9455" priority="390">
      <formula>$A76="Overlap between sections"</formula>
    </cfRule>
  </conditionalFormatting>
  <conditionalFormatting sqref="AW78">
    <cfRule type="expression" dxfId="9454" priority="377">
      <formula>$M78="NON DEFINED"</formula>
    </cfRule>
    <cfRule type="expression" dxfId="9453" priority="378">
      <formula>$AZ78="N.D."</formula>
    </cfRule>
    <cfRule type="expression" dxfId="9452" priority="379">
      <formula>$AY78="N.D."</formula>
    </cfRule>
  </conditionalFormatting>
  <conditionalFormatting sqref="AW78">
    <cfRule type="expression" dxfId="9451" priority="366">
      <formula>$A78="Overhead Cable"</formula>
    </cfRule>
    <cfRule type="expression" dxfId="9450" priority="367">
      <formula>$A78="Level Crossing"</formula>
    </cfRule>
    <cfRule type="expression" dxfId="9449" priority="368">
      <formula>$A78="Neutral Section"</formula>
    </cfRule>
    <cfRule type="expression" dxfId="9448" priority="369">
      <formula>$A78="Tunnel"</formula>
    </cfRule>
    <cfRule type="expression" dxfId="9447" priority="370">
      <formula>$A78="Bridge"</formula>
    </cfRule>
    <cfRule type="expression" dxfId="9446" priority="371">
      <formula>$A78="Drainage Works"</formula>
    </cfRule>
    <cfRule type="expression" dxfId="9445" priority="372">
      <formula>$A78="Underpass"</formula>
    </cfRule>
    <cfRule type="expression" dxfId="9444" priority="373">
      <formula>$A78="Overcrossing"</formula>
    </cfRule>
    <cfRule type="expression" dxfId="9443" priority="374">
      <formula>$A78="Overpass"</formula>
    </cfRule>
    <cfRule type="expression" dxfId="9442" priority="375">
      <formula>$A78="Station"</formula>
    </cfRule>
    <cfRule type="expression" dxfId="9441" priority="376">
      <formula>$A78="Overlap between sections"</formula>
    </cfRule>
  </conditionalFormatting>
  <conditionalFormatting sqref="AX78">
    <cfRule type="expression" dxfId="9440" priority="363">
      <formula>$M78="NON DEFINED"</formula>
    </cfRule>
    <cfRule type="expression" dxfId="9439" priority="364">
      <formula>$AZ78="N.D."</formula>
    </cfRule>
    <cfRule type="expression" dxfId="9438" priority="365">
      <formula>$AY78="N.D."</formula>
    </cfRule>
  </conditionalFormatting>
  <conditionalFormatting sqref="AX78">
    <cfRule type="expression" dxfId="9437" priority="352">
      <formula>$A78="Overhead Cable"</formula>
    </cfRule>
    <cfRule type="expression" dxfId="9436" priority="353">
      <formula>$A78="Level Crossing"</formula>
    </cfRule>
    <cfRule type="expression" dxfId="9435" priority="354">
      <formula>$A78="Neutral Section"</formula>
    </cfRule>
    <cfRule type="expression" dxfId="9434" priority="355">
      <formula>$A78="Tunnel"</formula>
    </cfRule>
    <cfRule type="expression" dxfId="9433" priority="356">
      <formula>$A78="Bridge"</formula>
    </cfRule>
    <cfRule type="expression" dxfId="9432" priority="357">
      <formula>$A78="Drainage Works"</formula>
    </cfRule>
    <cfRule type="expression" dxfId="9431" priority="358">
      <formula>$A78="Underpass"</formula>
    </cfRule>
    <cfRule type="expression" dxfId="9430" priority="359">
      <formula>$A78="Overcrossing"</formula>
    </cfRule>
    <cfRule type="expression" dxfId="9429" priority="360">
      <formula>$A78="Overpass"</formula>
    </cfRule>
    <cfRule type="expression" dxfId="9428" priority="361">
      <formula>$A78="Station"</formula>
    </cfRule>
    <cfRule type="expression" dxfId="9427" priority="362">
      <formula>$A78="Overlap between sections"</formula>
    </cfRule>
  </conditionalFormatting>
  <conditionalFormatting sqref="AW80">
    <cfRule type="expression" dxfId="9426" priority="349">
      <formula>$M80="NON DEFINED"</formula>
    </cfRule>
    <cfRule type="expression" dxfId="9425" priority="350">
      <formula>$AZ80="N.D."</formula>
    </cfRule>
    <cfRule type="expression" dxfId="9424" priority="351">
      <formula>$AY80="N.D."</formula>
    </cfRule>
  </conditionalFormatting>
  <conditionalFormatting sqref="AW80">
    <cfRule type="expression" dxfId="9423" priority="338">
      <formula>$A80="Overhead Cable"</formula>
    </cfRule>
    <cfRule type="expression" dxfId="9422" priority="339">
      <formula>$A80="Level Crossing"</formula>
    </cfRule>
    <cfRule type="expression" dxfId="9421" priority="340">
      <formula>$A80="Neutral Section"</formula>
    </cfRule>
    <cfRule type="expression" dxfId="9420" priority="341">
      <formula>$A80="Tunnel"</formula>
    </cfRule>
    <cfRule type="expression" dxfId="9419" priority="342">
      <formula>$A80="Bridge"</formula>
    </cfRule>
    <cfRule type="expression" dxfId="9418" priority="343">
      <formula>$A80="Drainage Works"</formula>
    </cfRule>
    <cfRule type="expression" dxfId="9417" priority="344">
      <formula>$A80="Underpass"</formula>
    </cfRule>
    <cfRule type="expression" dxfId="9416" priority="345">
      <formula>$A80="Overcrossing"</formula>
    </cfRule>
    <cfRule type="expression" dxfId="9415" priority="346">
      <formula>$A80="Overpass"</formula>
    </cfRule>
    <cfRule type="expression" dxfId="9414" priority="347">
      <formula>$A80="Station"</formula>
    </cfRule>
    <cfRule type="expression" dxfId="9413" priority="348">
      <formula>$A80="Overlap between sections"</formula>
    </cfRule>
  </conditionalFormatting>
  <conditionalFormatting sqref="AX80">
    <cfRule type="expression" dxfId="9412" priority="335">
      <formula>$M80="NON DEFINED"</formula>
    </cfRule>
    <cfRule type="expression" dxfId="9411" priority="336">
      <formula>$AZ80="N.D."</formula>
    </cfRule>
    <cfRule type="expression" dxfId="9410" priority="337">
      <formula>$AY80="N.D."</formula>
    </cfRule>
  </conditionalFormatting>
  <conditionalFormatting sqref="AX80">
    <cfRule type="expression" dxfId="9409" priority="324">
      <formula>$A80="Overhead Cable"</formula>
    </cfRule>
    <cfRule type="expression" dxfId="9408" priority="325">
      <formula>$A80="Level Crossing"</formula>
    </cfRule>
    <cfRule type="expression" dxfId="9407" priority="326">
      <formula>$A80="Neutral Section"</formula>
    </cfRule>
    <cfRule type="expression" dxfId="9406" priority="327">
      <formula>$A80="Tunnel"</formula>
    </cfRule>
    <cfRule type="expression" dxfId="9405" priority="328">
      <formula>$A80="Bridge"</formula>
    </cfRule>
    <cfRule type="expression" dxfId="9404" priority="329">
      <formula>$A80="Drainage Works"</formula>
    </cfRule>
    <cfRule type="expression" dxfId="9403" priority="330">
      <formula>$A80="Underpass"</formula>
    </cfRule>
    <cfRule type="expression" dxfId="9402" priority="331">
      <formula>$A80="Overcrossing"</formula>
    </cfRule>
    <cfRule type="expression" dxfId="9401" priority="332">
      <formula>$A80="Overpass"</formula>
    </cfRule>
    <cfRule type="expression" dxfId="9400" priority="333">
      <formula>$A80="Station"</formula>
    </cfRule>
    <cfRule type="expression" dxfId="9399" priority="334">
      <formula>$A80="Overlap between sections"</formula>
    </cfRule>
  </conditionalFormatting>
  <conditionalFormatting sqref="AW82">
    <cfRule type="expression" dxfId="9398" priority="321">
      <formula>$M82="NON DEFINED"</formula>
    </cfRule>
    <cfRule type="expression" dxfId="9397" priority="322">
      <formula>$AZ82="N.D."</formula>
    </cfRule>
    <cfRule type="expression" dxfId="9396" priority="323">
      <formula>$AY82="N.D."</formula>
    </cfRule>
  </conditionalFormatting>
  <conditionalFormatting sqref="AW82">
    <cfRule type="expression" dxfId="9395" priority="310">
      <formula>$A82="Overhead Cable"</formula>
    </cfRule>
    <cfRule type="expression" dxfId="9394" priority="311">
      <formula>$A82="Level Crossing"</formula>
    </cfRule>
    <cfRule type="expression" dxfId="9393" priority="312">
      <formula>$A82="Neutral Section"</formula>
    </cfRule>
    <cfRule type="expression" dxfId="9392" priority="313">
      <formula>$A82="Tunnel"</formula>
    </cfRule>
    <cfRule type="expression" dxfId="9391" priority="314">
      <formula>$A82="Bridge"</formula>
    </cfRule>
    <cfRule type="expression" dxfId="9390" priority="315">
      <formula>$A82="Drainage Works"</formula>
    </cfRule>
    <cfRule type="expression" dxfId="9389" priority="316">
      <formula>$A82="Underpass"</formula>
    </cfRule>
    <cfRule type="expression" dxfId="9388" priority="317">
      <formula>$A82="Overcrossing"</formula>
    </cfRule>
    <cfRule type="expression" dxfId="9387" priority="318">
      <formula>$A82="Overpass"</formula>
    </cfRule>
    <cfRule type="expression" dxfId="9386" priority="319">
      <formula>$A82="Station"</formula>
    </cfRule>
    <cfRule type="expression" dxfId="9385" priority="320">
      <formula>$A82="Overlap between sections"</formula>
    </cfRule>
  </conditionalFormatting>
  <conditionalFormatting sqref="AX82">
    <cfRule type="expression" dxfId="9384" priority="307">
      <formula>$M82="NON DEFINED"</formula>
    </cfRule>
    <cfRule type="expression" dxfId="9383" priority="308">
      <formula>$AZ82="N.D."</formula>
    </cfRule>
    <cfRule type="expression" dxfId="9382" priority="309">
      <formula>$AY82="N.D."</formula>
    </cfRule>
  </conditionalFormatting>
  <conditionalFormatting sqref="AX82">
    <cfRule type="expression" dxfId="9381" priority="296">
      <formula>$A82="Overhead Cable"</formula>
    </cfRule>
    <cfRule type="expression" dxfId="9380" priority="297">
      <formula>$A82="Level Crossing"</formula>
    </cfRule>
    <cfRule type="expression" dxfId="9379" priority="298">
      <formula>$A82="Neutral Section"</formula>
    </cfRule>
    <cfRule type="expression" dxfId="9378" priority="299">
      <formula>$A82="Tunnel"</formula>
    </cfRule>
    <cfRule type="expression" dxfId="9377" priority="300">
      <formula>$A82="Bridge"</formula>
    </cfRule>
    <cfRule type="expression" dxfId="9376" priority="301">
      <formula>$A82="Drainage Works"</formula>
    </cfRule>
    <cfRule type="expression" dxfId="9375" priority="302">
      <formula>$A82="Underpass"</formula>
    </cfRule>
    <cfRule type="expression" dxfId="9374" priority="303">
      <formula>$A82="Overcrossing"</formula>
    </cfRule>
    <cfRule type="expression" dxfId="9373" priority="304">
      <formula>$A82="Overpass"</formula>
    </cfRule>
    <cfRule type="expression" dxfId="9372" priority="305">
      <formula>$A82="Station"</formula>
    </cfRule>
    <cfRule type="expression" dxfId="9371" priority="306">
      <formula>$A82="Overlap between sections"</formula>
    </cfRule>
  </conditionalFormatting>
  <conditionalFormatting sqref="AW84">
    <cfRule type="expression" dxfId="9370" priority="293">
      <formula>$M84="NON DEFINED"</formula>
    </cfRule>
    <cfRule type="expression" dxfId="9369" priority="294">
      <formula>$AZ84="N.D."</formula>
    </cfRule>
    <cfRule type="expression" dxfId="9368" priority="295">
      <formula>$AY84="N.D."</formula>
    </cfRule>
  </conditionalFormatting>
  <conditionalFormatting sqref="AW84">
    <cfRule type="expression" dxfId="9367" priority="282">
      <formula>$A84="Overhead Cable"</formula>
    </cfRule>
    <cfRule type="expression" dxfId="9366" priority="283">
      <formula>$A84="Level Crossing"</formula>
    </cfRule>
    <cfRule type="expression" dxfId="9365" priority="284">
      <formula>$A84="Neutral Section"</formula>
    </cfRule>
    <cfRule type="expression" dxfId="9364" priority="285">
      <formula>$A84="Tunnel"</formula>
    </cfRule>
    <cfRule type="expression" dxfId="9363" priority="286">
      <formula>$A84="Bridge"</formula>
    </cfRule>
    <cfRule type="expression" dxfId="9362" priority="287">
      <formula>$A84="Drainage Works"</formula>
    </cfRule>
    <cfRule type="expression" dxfId="9361" priority="288">
      <formula>$A84="Underpass"</formula>
    </cfRule>
    <cfRule type="expression" dxfId="9360" priority="289">
      <formula>$A84="Overcrossing"</formula>
    </cfRule>
    <cfRule type="expression" dxfId="9359" priority="290">
      <formula>$A84="Overpass"</formula>
    </cfRule>
    <cfRule type="expression" dxfId="9358" priority="291">
      <formula>$A84="Station"</formula>
    </cfRule>
    <cfRule type="expression" dxfId="9357" priority="292">
      <formula>$A84="Overlap between sections"</formula>
    </cfRule>
  </conditionalFormatting>
  <conditionalFormatting sqref="AX84">
    <cfRule type="expression" dxfId="9356" priority="279">
      <formula>$M84="NON DEFINED"</formula>
    </cfRule>
    <cfRule type="expression" dxfId="9355" priority="280">
      <formula>$AZ84="N.D."</formula>
    </cfRule>
    <cfRule type="expression" dxfId="9354" priority="281">
      <formula>$AY84="N.D."</formula>
    </cfRule>
  </conditionalFormatting>
  <conditionalFormatting sqref="AX84">
    <cfRule type="expression" dxfId="9353" priority="268">
      <formula>$A84="Overhead Cable"</formula>
    </cfRule>
    <cfRule type="expression" dxfId="9352" priority="269">
      <formula>$A84="Level Crossing"</formula>
    </cfRule>
    <cfRule type="expression" dxfId="9351" priority="270">
      <formula>$A84="Neutral Section"</formula>
    </cfRule>
    <cfRule type="expression" dxfId="9350" priority="271">
      <formula>$A84="Tunnel"</formula>
    </cfRule>
    <cfRule type="expression" dxfId="9349" priority="272">
      <formula>$A84="Bridge"</formula>
    </cfRule>
    <cfRule type="expression" dxfId="9348" priority="273">
      <formula>$A84="Drainage Works"</formula>
    </cfRule>
    <cfRule type="expression" dxfId="9347" priority="274">
      <formula>$A84="Underpass"</formula>
    </cfRule>
    <cfRule type="expression" dxfId="9346" priority="275">
      <formula>$A84="Overcrossing"</formula>
    </cfRule>
    <cfRule type="expression" dxfId="9345" priority="276">
      <formula>$A84="Overpass"</formula>
    </cfRule>
    <cfRule type="expression" dxfId="9344" priority="277">
      <formula>$A84="Station"</formula>
    </cfRule>
    <cfRule type="expression" dxfId="9343" priority="278">
      <formula>$A84="Overlap between sections"</formula>
    </cfRule>
  </conditionalFormatting>
  <conditionalFormatting sqref="AW12">
    <cfRule type="expression" dxfId="9342" priority="265">
      <formula>$M12="NON DEFINED"</formula>
    </cfRule>
    <cfRule type="expression" dxfId="9341" priority="266">
      <formula>$AZ12="N.D."</formula>
    </cfRule>
    <cfRule type="expression" dxfId="9340" priority="267">
      <formula>$AY12="N.D."</formula>
    </cfRule>
  </conditionalFormatting>
  <conditionalFormatting sqref="AW12">
    <cfRule type="expression" dxfId="9339" priority="254">
      <formula>$A12="Overhead Cable"</formula>
    </cfRule>
    <cfRule type="expression" dxfId="9338" priority="255">
      <formula>$A12="Level Crossing"</formula>
    </cfRule>
    <cfRule type="expression" dxfId="9337" priority="256">
      <formula>$A12="Neutral Section"</formula>
    </cfRule>
    <cfRule type="expression" dxfId="9336" priority="257">
      <formula>$A12="Tunnel"</formula>
    </cfRule>
    <cfRule type="expression" dxfId="9335" priority="258">
      <formula>$A12="Bridge"</formula>
    </cfRule>
    <cfRule type="expression" dxfId="9334" priority="259">
      <formula>$A12="Drainage Works"</formula>
    </cfRule>
    <cfRule type="expression" dxfId="9333" priority="260">
      <formula>$A12="Underpass"</formula>
    </cfRule>
    <cfRule type="expression" dxfId="9332" priority="261">
      <formula>$A12="Overcrossing"</formula>
    </cfRule>
    <cfRule type="expression" dxfId="9331" priority="262">
      <formula>$A12="Overpass"</formula>
    </cfRule>
    <cfRule type="expression" dxfId="9330" priority="263">
      <formula>$A12="Station"</formula>
    </cfRule>
    <cfRule type="expression" dxfId="9329" priority="264">
      <formula>$A12="Overlap between sections"</formula>
    </cfRule>
  </conditionalFormatting>
  <conditionalFormatting sqref="AX12">
    <cfRule type="expression" dxfId="9328" priority="251">
      <formula>$M12="NON DEFINED"</formula>
    </cfRule>
    <cfRule type="expression" dxfId="9327" priority="252">
      <formula>$AZ12="N.D."</formula>
    </cfRule>
    <cfRule type="expression" dxfId="9326" priority="253">
      <formula>$AY12="N.D."</formula>
    </cfRule>
  </conditionalFormatting>
  <conditionalFormatting sqref="AX12">
    <cfRule type="expression" dxfId="9325" priority="240">
      <formula>$A12="Overhead Cable"</formula>
    </cfRule>
    <cfRule type="expression" dxfId="9324" priority="241">
      <formula>$A12="Level Crossing"</formula>
    </cfRule>
    <cfRule type="expression" dxfId="9323" priority="242">
      <formula>$A12="Neutral Section"</formula>
    </cfRule>
    <cfRule type="expression" dxfId="9322" priority="243">
      <formula>$A12="Tunnel"</formula>
    </cfRule>
    <cfRule type="expression" dxfId="9321" priority="244">
      <formula>$A12="Bridge"</formula>
    </cfRule>
    <cfRule type="expression" dxfId="9320" priority="245">
      <formula>$A12="Drainage Works"</formula>
    </cfRule>
    <cfRule type="expression" dxfId="9319" priority="246">
      <formula>$A12="Underpass"</formula>
    </cfRule>
    <cfRule type="expression" dxfId="9318" priority="247">
      <formula>$A12="Overcrossing"</formula>
    </cfRule>
    <cfRule type="expression" dxfId="9317" priority="248">
      <formula>$A12="Overpass"</formula>
    </cfRule>
    <cfRule type="expression" dxfId="9316" priority="249">
      <formula>$A12="Station"</formula>
    </cfRule>
    <cfRule type="expression" dxfId="9315" priority="250">
      <formula>$A12="Overlap between sections"</formula>
    </cfRule>
  </conditionalFormatting>
  <conditionalFormatting sqref="AW11">
    <cfRule type="expression" dxfId="9314" priority="237">
      <formula>$M11="NON DEFINED"</formula>
    </cfRule>
    <cfRule type="expression" dxfId="9313" priority="238">
      <formula>$AZ11="N.D."</formula>
    </cfRule>
    <cfRule type="expression" dxfId="9312" priority="239">
      <formula>$AY11="N.D."</formula>
    </cfRule>
  </conditionalFormatting>
  <conditionalFormatting sqref="AW11">
    <cfRule type="expression" dxfId="9311" priority="226">
      <formula>$A11="Overhead Cable"</formula>
    </cfRule>
    <cfRule type="expression" dxfId="9310" priority="227">
      <formula>$A11="Level Crossing"</formula>
    </cfRule>
    <cfRule type="expression" dxfId="9309" priority="228">
      <formula>$A11="Neutral Section"</formula>
    </cfRule>
    <cfRule type="expression" dxfId="9308" priority="229">
      <formula>$A11="Tunnel"</formula>
    </cfRule>
    <cfRule type="expression" dxfId="9307" priority="230">
      <formula>$A11="Bridge"</formula>
    </cfRule>
    <cfRule type="expression" dxfId="9306" priority="231">
      <formula>$A11="Drainage Works"</formula>
    </cfRule>
    <cfRule type="expression" dxfId="9305" priority="232">
      <formula>$A11="Underpass"</formula>
    </cfRule>
    <cfRule type="expression" dxfId="9304" priority="233">
      <formula>$A11="Overcrossing"</formula>
    </cfRule>
    <cfRule type="expression" dxfId="9303" priority="234">
      <formula>$A11="Overpass"</formula>
    </cfRule>
    <cfRule type="expression" dxfId="9302" priority="235">
      <formula>$A11="Station"</formula>
    </cfRule>
    <cfRule type="expression" dxfId="9301" priority="236">
      <formula>$A11="Overlap between sections"</formula>
    </cfRule>
  </conditionalFormatting>
  <conditionalFormatting sqref="AX11">
    <cfRule type="expression" dxfId="9300" priority="223">
      <formula>$M11="NON DEFINED"</formula>
    </cfRule>
    <cfRule type="expression" dxfId="9299" priority="224">
      <formula>$AZ11="N.D."</formula>
    </cfRule>
    <cfRule type="expression" dxfId="9298" priority="225">
      <formula>$AY11="N.D."</formula>
    </cfRule>
  </conditionalFormatting>
  <conditionalFormatting sqref="AX11">
    <cfRule type="expression" dxfId="9297" priority="212">
      <formula>$A11="Overhead Cable"</formula>
    </cfRule>
    <cfRule type="expression" dxfId="9296" priority="213">
      <formula>$A11="Level Crossing"</formula>
    </cfRule>
    <cfRule type="expression" dxfId="9295" priority="214">
      <formula>$A11="Neutral Section"</formula>
    </cfRule>
    <cfRule type="expression" dxfId="9294" priority="215">
      <formula>$A11="Tunnel"</formula>
    </cfRule>
    <cfRule type="expression" dxfId="9293" priority="216">
      <formula>$A11="Bridge"</formula>
    </cfRule>
    <cfRule type="expression" dxfId="9292" priority="217">
      <formula>$A11="Drainage Works"</formula>
    </cfRule>
    <cfRule type="expression" dxfId="9291" priority="218">
      <formula>$A11="Underpass"</formula>
    </cfRule>
    <cfRule type="expression" dxfId="9290" priority="219">
      <formula>$A11="Overcrossing"</formula>
    </cfRule>
    <cfRule type="expression" dxfId="9289" priority="220">
      <formula>$A11="Overpass"</formula>
    </cfRule>
    <cfRule type="expression" dxfId="9288" priority="221">
      <formula>$A11="Station"</formula>
    </cfRule>
    <cfRule type="expression" dxfId="9287" priority="222">
      <formula>$A11="Overlap between sections"</formula>
    </cfRule>
  </conditionalFormatting>
  <conditionalFormatting sqref="AY116:AZ116">
    <cfRule type="expression" dxfId="9286" priority="159">
      <formula>$A116="Overhead Cable"</formula>
    </cfRule>
    <cfRule type="expression" dxfId="9285" priority="160">
      <formula>$A116="Level Crossing"</formula>
    </cfRule>
    <cfRule type="expression" dxfId="9284" priority="161">
      <formula>$A116="Neutral Section"</formula>
    </cfRule>
    <cfRule type="expression" dxfId="9283" priority="162">
      <formula>$A116="Tunnel"</formula>
    </cfRule>
    <cfRule type="expression" dxfId="9282" priority="163">
      <formula>$A116="Bridge"</formula>
    </cfRule>
    <cfRule type="expression" dxfId="9281" priority="164">
      <formula>$A116="Drainage Works"</formula>
    </cfRule>
    <cfRule type="expression" dxfId="9280" priority="165">
      <formula>$A116="Underpass"</formula>
    </cfRule>
    <cfRule type="expression" dxfId="9279" priority="166">
      <formula>$A116="Overcrossing"</formula>
    </cfRule>
    <cfRule type="expression" dxfId="9278" priority="167">
      <formula>$A116="Overpass"</formula>
    </cfRule>
    <cfRule type="expression" dxfId="9277" priority="168">
      <formula>$A116="Station"</formula>
    </cfRule>
    <cfRule type="expression" dxfId="9276" priority="169">
      <formula>$A116="Overlap between sections"</formula>
    </cfRule>
  </conditionalFormatting>
  <conditionalFormatting sqref="AY116:AZ116">
    <cfRule type="expression" dxfId="9275" priority="156">
      <formula>$M116="NON DEFINED"</formula>
    </cfRule>
    <cfRule type="expression" dxfId="9274" priority="157">
      <formula>$AZ116="N.D."</formula>
    </cfRule>
    <cfRule type="expression" dxfId="9273" priority="158">
      <formula>$AY116="N.D."</formula>
    </cfRule>
  </conditionalFormatting>
  <conditionalFormatting sqref="AW116">
    <cfRule type="expression" dxfId="9272" priority="153">
      <formula>$M116="NON DEFINED"</formula>
    </cfRule>
    <cfRule type="expression" dxfId="9271" priority="154">
      <formula>$AZ116="N.D."</formula>
    </cfRule>
    <cfRule type="expression" dxfId="9270" priority="155">
      <formula>$AY116="N.D."</formula>
    </cfRule>
  </conditionalFormatting>
  <conditionalFormatting sqref="AW116">
    <cfRule type="expression" dxfId="9269" priority="142">
      <formula>$A116="Overhead Cable"</formula>
    </cfRule>
    <cfRule type="expression" dxfId="9268" priority="143">
      <formula>$A116="Level Crossing"</formula>
    </cfRule>
    <cfRule type="expression" dxfId="9267" priority="144">
      <formula>$A116="Neutral Section"</formula>
    </cfRule>
    <cfRule type="expression" dxfId="9266" priority="145">
      <formula>$A116="Tunnel"</formula>
    </cfRule>
    <cfRule type="expression" dxfId="9265" priority="146">
      <formula>$A116="Bridge"</formula>
    </cfRule>
    <cfRule type="expression" dxfId="9264" priority="147">
      <formula>$A116="Drainage Works"</formula>
    </cfRule>
    <cfRule type="expression" dxfId="9263" priority="148">
      <formula>$A116="Underpass"</formula>
    </cfRule>
    <cfRule type="expression" dxfId="9262" priority="149">
      <formula>$A116="Overcrossing"</formula>
    </cfRule>
    <cfRule type="expression" dxfId="9261" priority="150">
      <formula>$A116="Overpass"</formula>
    </cfRule>
    <cfRule type="expression" dxfId="9260" priority="151">
      <formula>$A116="Station"</formula>
    </cfRule>
    <cfRule type="expression" dxfId="9259" priority="152">
      <formula>$A116="Overlap between sections"</formula>
    </cfRule>
  </conditionalFormatting>
  <conditionalFormatting sqref="AX116">
    <cfRule type="expression" dxfId="9258" priority="139">
      <formula>$M116="NON DEFINED"</formula>
    </cfRule>
    <cfRule type="expression" dxfId="9257" priority="140">
      <formula>$AZ116="N.D."</formula>
    </cfRule>
    <cfRule type="expression" dxfId="9256" priority="141">
      <formula>$AY116="N.D."</formula>
    </cfRule>
  </conditionalFormatting>
  <conditionalFormatting sqref="AX116">
    <cfRule type="expression" dxfId="9255" priority="128">
      <formula>$A116="Overhead Cable"</formula>
    </cfRule>
    <cfRule type="expression" dxfId="9254" priority="129">
      <formula>$A116="Level Crossing"</formula>
    </cfRule>
    <cfRule type="expression" dxfId="9253" priority="130">
      <formula>$A116="Neutral Section"</formula>
    </cfRule>
    <cfRule type="expression" dxfId="9252" priority="131">
      <formula>$A116="Tunnel"</formula>
    </cfRule>
    <cfRule type="expression" dxfId="9251" priority="132">
      <formula>$A116="Bridge"</formula>
    </cfRule>
    <cfRule type="expression" dxfId="9250" priority="133">
      <formula>$A116="Drainage Works"</formula>
    </cfRule>
    <cfRule type="expression" dxfId="9249" priority="134">
      <formula>$A116="Underpass"</formula>
    </cfRule>
    <cfRule type="expression" dxfId="9248" priority="135">
      <formula>$A116="Overcrossing"</formula>
    </cfRule>
    <cfRule type="expression" dxfId="9247" priority="136">
      <formula>$A116="Overpass"</formula>
    </cfRule>
    <cfRule type="expression" dxfId="9246" priority="137">
      <formula>$A116="Station"</formula>
    </cfRule>
    <cfRule type="expression" dxfId="9245" priority="138">
      <formula>$A116="Overlap between sections"</formula>
    </cfRule>
  </conditionalFormatting>
  <conditionalFormatting sqref="BF6:BG6 BI6 BF8:BG8 BF10:BG10 BF12:BG12 BF14:BG14 BF16:BG16 BF18:BG18 BF20:BG20 BF22:BG22 BF24:BG24 BF26:BG26 BF28:BG28 BF30:BG30 BF32:BG32 BF34:BG34 BF36:BG36 BF38:BG38 BF40:BG40 BF42:BG42 BF44:BG44 BF46:BG46 BF48:BG48 BF50:BG50 BF52:BG52 BF54:BG54 BF56:BG56 BF58:BG58 BF60:BG60 BF62:BG62 BF64:BG64 BF66:BG66 BF68:BG68 BF70:BG70 BF72:BG72 BF74:BG74 BF76:BG76 BF78:BG78 BF80:BG80 BF82:BG82 BF84:BG84 BF86:BG86 BF88:BG88 BF90:BG90 BF92:BG92 BF94:BG94 BF96:BG96 BF98:BG98 BF100:BG100 BF102:BG102 BF104:BG104 BF106:BG106 BF108:BG108 BF110:BG110 BF112:BG112 BF114:BG114 BF116:BG116 BF118:BG118 BF120:BG120 BF122:BG122 BF124:BG124 BF126:BG126 BF128:BG128 BF130:BG130 BF132:BG132 BF134:BG134 BF136:BG136 BF138:BG138 BF140:BG140 BF142:BG142 BF144:BG144 BF146:BG146 BF148:BG148 BF150:BG150 BF152:BG152 BF154:BG154 BF156:BG156 BF158:BG158 BF160:BG160 BF162:BG162 BF164:BG164 BF166:BG166 BF168:BG168 BF170:BG170 BF172:BG172 BF174:BG174 BF176:BG176 BF178:BG178 BF180:BG180 BF182:BG182 BF184:BG184 BF186:BG186 BF188:BG188 BF190:BG190 BF192:BG192 BF194:BG194 BF196:BG196 BF198:BG198 BF200:BG200 BF202:BG202 BF204:BG204 BF206:BG206 BF208:BG208 BF210:BG210 BF212:BG212 BF214:BG214 BF216:BG216 BF218:BG218 BF220:BG220 BF222:BG222 BF224:BG224 BF226:BG226 BF228:BG228 BF230:BG230 BF232:BG232 BF234:BG234 BF236:BG236 BF238:BG238 BF240:BG240 BF242:BG242 BF244:BG244 BF246:BG246 BF248:BG248 BF250:BG250 BF252:BG252 BF254:BG254 BF256:BG256 BF258:BG258 BF260:BG260 BF262:BG262 BF264:BG264 BF266:BG266 BF268:BG268 BF270:BG270 BF272:BG272 BF274:BG274 BF276:BG276 BF278:BG278 BF280:BG280 BF282:BG282 BF284:BG284 BF286:BG286 BF288:BG288 BF290:BG290 BF292:BG292 BF294:BG294 BF296:BG296 BF298:BG298 BF300:BG300 BF302:BG302 BF304:BG304 BF306:BG306 BF308:BG308 BF310:BG310 BF312:BG312 BF314:BG314 BF316:BG316 BF318:BG318 BF320:BG320 BF322:BG322 BF324:BG324 BF326:BG326 BF328:BG328 BF330:BG330 BF332:BG332 BF334:BG334 BF336:BG336 BF338:BG338 BF340:BG340 BF342:BG342 BF344:BG344 BF346:BG346 BF348:BG348 BF350:BG350 BF352:BG352 BF354:BG354 BF356:BG356 BF358:BG358 BF360:BG360 BF362:BG362 BF364:BG364 BF366:BG366 BF368:BG368 BF370:BG370 BF372:BG372 BF374:BG374 BF376:BG376 BF378:BG378 BF380:BG380 BF382:BG382 BF384:BG384 BF386:BG386 BF388:BG388 BF390:BG390 BF392:BG392 BF394:BG394 BF396:BG396 BF398:BG398 BF400:BG400 BF402:BG402 BF404:BG404 BF406:BG406 BI8 BI10 BI12 BI14 BI16 BI18 BI20 BI22 BI24 BI26 BI28 BI30 BI32 BI34 BI36 BI38 BI40 BI42 BI44 BI46 BI48 BI50 BI52 BI54 BI56 BI58 BI60 BI62 BI64 BI66 BI68 BI70 BI72 BI74 BI76 BI78 BI80 BI82 BI84 BI86 BI88 BI90 BI92 BI94 BI96 BI98 BI100 BI102 BI104 BI106 BI108 BI110 BI112 BI114 BI116 BI118 BI120 BI122 BI124 BI126 BI128 BI130 BI132 BI134 BI136 BI138 BI140 BI142 BI144 BI146 BI148 BI150 BI152 BI154 BI156 BI158 BI160 BI162 BI164 BI166 BI168 BI170 BI172 BI174 BI176 BI178 BI180 BI182 BI184 BI186 BI188 BI190 BI192 BI194 BI196 BI198 BI200 BI202 BI204 BI206 BI208 BI210 BI212 BI214 BI216 BI218 BI220 BI222 BI224 BI226 BI228 BI230 BI232 BI234 BI236 BI238 BI240 BI242 BI244 BI246 BI248 BI250 BI252 BI254 BI256 BI258 BI260 BI262 BI264 BI266 BI268 BI270 BI272 BI274 BI276 BI278 BI280 BI282 BI284 BI286 BI288 BI290 BI292 BI294 BI296 BI298 BI300 BI302 BI304 BI306 BI308 BI310 BI312 BI314 BI316 BI318 BI320 BI322 BI324 BI326 BI328 BI330 BI332 BI334 BI336 BI338 BI340 BI342 BI344 BI346 BI348 BI350 BI352 BI354 BI356 BI358 BI360 BI362 BI364 BI366 BI368 BI370 BI372 BI374 BI376 BI378 BI380 BI382 BI384 BI386 BI388 BI390 BI392 BI394 BI396 BI398 BI400 BI402 BI404 BI406">
    <cfRule type="containsBlanks" dxfId="9244" priority="127">
      <formula>LEN(TRIM(BF6))=0</formula>
    </cfRule>
  </conditionalFormatting>
  <conditionalFormatting sqref="AW110">
    <cfRule type="expression" dxfId="9243" priority="124">
      <formula>$M110="NON DEFINED"</formula>
    </cfRule>
    <cfRule type="expression" dxfId="9242" priority="125">
      <formula>$AZ110="N.D."</formula>
    </cfRule>
    <cfRule type="expression" dxfId="9241" priority="126">
      <formula>$AY110="N.D."</formula>
    </cfRule>
  </conditionalFormatting>
  <conditionalFormatting sqref="AW110">
    <cfRule type="expression" dxfId="9240" priority="113">
      <formula>$A110="Overhead Cable"</formula>
    </cfRule>
    <cfRule type="expression" dxfId="9239" priority="114">
      <formula>$A110="Level Crossing"</formula>
    </cfRule>
    <cfRule type="expression" dxfId="9238" priority="115">
      <formula>$A110="Neutral Section"</formula>
    </cfRule>
    <cfRule type="expression" dxfId="9237" priority="116">
      <formula>$A110="Tunnel"</formula>
    </cfRule>
    <cfRule type="expression" dxfId="9236" priority="117">
      <formula>$A110="Bridge"</formula>
    </cfRule>
    <cfRule type="expression" dxfId="9235" priority="118">
      <formula>$A110="Drainage Works"</formula>
    </cfRule>
    <cfRule type="expression" dxfId="9234" priority="119">
      <formula>$A110="Underpass"</formula>
    </cfRule>
    <cfRule type="expression" dxfId="9233" priority="120">
      <formula>$A110="Overcrossing"</formula>
    </cfRule>
    <cfRule type="expression" dxfId="9232" priority="121">
      <formula>$A110="Overpass"</formula>
    </cfRule>
    <cfRule type="expression" dxfId="9231" priority="122">
      <formula>$A110="Station"</formula>
    </cfRule>
    <cfRule type="expression" dxfId="9230" priority="123">
      <formula>$A110="Overlap between sections"</formula>
    </cfRule>
  </conditionalFormatting>
  <conditionalFormatting sqref="AX110">
    <cfRule type="expression" dxfId="9229" priority="110">
      <formula>$M110="NON DEFINED"</formula>
    </cfRule>
    <cfRule type="expression" dxfId="9228" priority="111">
      <formula>$AZ110="N.D."</formula>
    </cfRule>
    <cfRule type="expression" dxfId="9227" priority="112">
      <formula>$AY110="N.D."</formula>
    </cfRule>
  </conditionalFormatting>
  <conditionalFormatting sqref="AX110">
    <cfRule type="expression" dxfId="9226" priority="99">
      <formula>$A110="Overhead Cable"</formula>
    </cfRule>
    <cfRule type="expression" dxfId="9225" priority="100">
      <formula>$A110="Level Crossing"</formula>
    </cfRule>
    <cfRule type="expression" dxfId="9224" priority="101">
      <formula>$A110="Neutral Section"</formula>
    </cfRule>
    <cfRule type="expression" dxfId="9223" priority="102">
      <formula>$A110="Tunnel"</formula>
    </cfRule>
    <cfRule type="expression" dxfId="9222" priority="103">
      <formula>$A110="Bridge"</formula>
    </cfRule>
    <cfRule type="expression" dxfId="9221" priority="104">
      <formula>$A110="Drainage Works"</formula>
    </cfRule>
    <cfRule type="expression" dxfId="9220" priority="105">
      <formula>$A110="Underpass"</formula>
    </cfRule>
    <cfRule type="expression" dxfId="9219" priority="106">
      <formula>$A110="Overcrossing"</formula>
    </cfRule>
    <cfRule type="expression" dxfId="9218" priority="107">
      <formula>$A110="Overpass"</formula>
    </cfRule>
    <cfRule type="expression" dxfId="9217" priority="108">
      <formula>$A110="Station"</formula>
    </cfRule>
    <cfRule type="expression" dxfId="9216" priority="109">
      <formula>$A110="Overlap between sections"</formula>
    </cfRule>
  </conditionalFormatting>
  <conditionalFormatting sqref="AW98">
    <cfRule type="expression" dxfId="9215" priority="96">
      <formula>$M98="NON DEFINED"</formula>
    </cfRule>
    <cfRule type="expression" dxfId="9214" priority="97">
      <formula>$AZ98="N.D."</formula>
    </cfRule>
    <cfRule type="expression" dxfId="9213" priority="98">
      <formula>$AY98="N.D."</formula>
    </cfRule>
  </conditionalFormatting>
  <conditionalFormatting sqref="AW98">
    <cfRule type="expression" dxfId="9212" priority="85">
      <formula>$A98="Overhead Cable"</formula>
    </cfRule>
    <cfRule type="expression" dxfId="9211" priority="86">
      <formula>$A98="Level Crossing"</formula>
    </cfRule>
    <cfRule type="expression" dxfId="9210" priority="87">
      <formula>$A98="Neutral Section"</formula>
    </cfRule>
    <cfRule type="expression" dxfId="9209" priority="88">
      <formula>$A98="Tunnel"</formula>
    </cfRule>
    <cfRule type="expression" dxfId="9208" priority="89">
      <formula>$A98="Bridge"</formula>
    </cfRule>
    <cfRule type="expression" dxfId="9207" priority="90">
      <formula>$A98="Drainage Works"</formula>
    </cfRule>
    <cfRule type="expression" dxfId="9206" priority="91">
      <formula>$A98="Underpass"</formula>
    </cfRule>
    <cfRule type="expression" dxfId="9205" priority="92">
      <formula>$A98="Overcrossing"</formula>
    </cfRule>
    <cfRule type="expression" dxfId="9204" priority="93">
      <formula>$A98="Overpass"</formula>
    </cfRule>
    <cfRule type="expression" dxfId="9203" priority="94">
      <formula>$A98="Station"</formula>
    </cfRule>
    <cfRule type="expression" dxfId="9202" priority="95">
      <formula>$A98="Overlap between sections"</formula>
    </cfRule>
  </conditionalFormatting>
  <conditionalFormatting sqref="AX98">
    <cfRule type="expression" dxfId="9201" priority="82">
      <formula>$M98="NON DEFINED"</formula>
    </cfRule>
    <cfRule type="expression" dxfId="9200" priority="83">
      <formula>$AZ98="N.D."</formula>
    </cfRule>
    <cfRule type="expression" dxfId="9199" priority="84">
      <formula>$AY98="N.D."</formula>
    </cfRule>
  </conditionalFormatting>
  <conditionalFormatting sqref="AX98">
    <cfRule type="expression" dxfId="9198" priority="71">
      <formula>$A98="Overhead Cable"</formula>
    </cfRule>
    <cfRule type="expression" dxfId="9197" priority="72">
      <formula>$A98="Level Crossing"</formula>
    </cfRule>
    <cfRule type="expression" dxfId="9196" priority="73">
      <formula>$A98="Neutral Section"</formula>
    </cfRule>
    <cfRule type="expression" dxfId="9195" priority="74">
      <formula>$A98="Tunnel"</formula>
    </cfRule>
    <cfRule type="expression" dxfId="9194" priority="75">
      <formula>$A98="Bridge"</formula>
    </cfRule>
    <cfRule type="expression" dxfId="9193" priority="76">
      <formula>$A98="Drainage Works"</formula>
    </cfRule>
    <cfRule type="expression" dxfId="9192" priority="77">
      <formula>$A98="Underpass"</formula>
    </cfRule>
    <cfRule type="expression" dxfId="9191" priority="78">
      <formula>$A98="Overcrossing"</formula>
    </cfRule>
    <cfRule type="expression" dxfId="9190" priority="79">
      <formula>$A98="Overpass"</formula>
    </cfRule>
    <cfRule type="expression" dxfId="9189" priority="80">
      <formula>$A98="Station"</formula>
    </cfRule>
    <cfRule type="expression" dxfId="9188" priority="81">
      <formula>$A98="Overlap between sections"</formula>
    </cfRule>
  </conditionalFormatting>
  <conditionalFormatting sqref="AW100">
    <cfRule type="expression" dxfId="9187" priority="68">
      <formula>$M100="NON DEFINED"</formula>
    </cfRule>
    <cfRule type="expression" dxfId="9186" priority="69">
      <formula>$AZ100="N.D."</formula>
    </cfRule>
    <cfRule type="expression" dxfId="9185" priority="70">
      <formula>$AY100="N.D."</formula>
    </cfRule>
  </conditionalFormatting>
  <conditionalFormatting sqref="AW100">
    <cfRule type="expression" dxfId="9184" priority="57">
      <formula>$A100="Overhead Cable"</formula>
    </cfRule>
    <cfRule type="expression" dxfId="9183" priority="58">
      <formula>$A100="Level Crossing"</formula>
    </cfRule>
    <cfRule type="expression" dxfId="9182" priority="59">
      <formula>$A100="Neutral Section"</formula>
    </cfRule>
    <cfRule type="expression" dxfId="9181" priority="60">
      <formula>$A100="Tunnel"</formula>
    </cfRule>
    <cfRule type="expression" dxfId="9180" priority="61">
      <formula>$A100="Bridge"</formula>
    </cfRule>
    <cfRule type="expression" dxfId="9179" priority="62">
      <formula>$A100="Drainage Works"</formula>
    </cfRule>
    <cfRule type="expression" dxfId="9178" priority="63">
      <formula>$A100="Underpass"</formula>
    </cfRule>
    <cfRule type="expression" dxfId="9177" priority="64">
      <formula>$A100="Overcrossing"</formula>
    </cfRule>
    <cfRule type="expression" dxfId="9176" priority="65">
      <formula>$A100="Overpass"</formula>
    </cfRule>
    <cfRule type="expression" dxfId="9175" priority="66">
      <formula>$A100="Station"</formula>
    </cfRule>
    <cfRule type="expression" dxfId="9174" priority="67">
      <formula>$A100="Overlap between sections"</formula>
    </cfRule>
  </conditionalFormatting>
  <conditionalFormatting sqref="AX100">
    <cfRule type="expression" dxfId="9173" priority="54">
      <formula>$M100="NON DEFINED"</formula>
    </cfRule>
    <cfRule type="expression" dxfId="9172" priority="55">
      <formula>$AZ100="N.D."</formula>
    </cfRule>
    <cfRule type="expression" dxfId="9171" priority="56">
      <formula>$AY100="N.D."</formula>
    </cfRule>
  </conditionalFormatting>
  <conditionalFormatting sqref="AX100">
    <cfRule type="expression" dxfId="9170" priority="43">
      <formula>$A100="Overhead Cable"</formula>
    </cfRule>
    <cfRule type="expression" dxfId="9169" priority="44">
      <formula>$A100="Level Crossing"</formula>
    </cfRule>
    <cfRule type="expression" dxfId="9168" priority="45">
      <formula>$A100="Neutral Section"</formula>
    </cfRule>
    <cfRule type="expression" dxfId="9167" priority="46">
      <formula>$A100="Tunnel"</formula>
    </cfRule>
    <cfRule type="expression" dxfId="9166" priority="47">
      <formula>$A100="Bridge"</formula>
    </cfRule>
    <cfRule type="expression" dxfId="9165" priority="48">
      <formula>$A100="Drainage Works"</formula>
    </cfRule>
    <cfRule type="expression" dxfId="9164" priority="49">
      <formula>$A100="Underpass"</formula>
    </cfRule>
    <cfRule type="expression" dxfId="9163" priority="50">
      <formula>$A100="Overcrossing"</formula>
    </cfRule>
    <cfRule type="expression" dxfId="9162" priority="51">
      <formula>$A100="Overpass"</formula>
    </cfRule>
    <cfRule type="expression" dxfId="9161" priority="52">
      <formula>$A100="Station"</formula>
    </cfRule>
    <cfRule type="expression" dxfId="9160" priority="53">
      <formula>$A100="Overlap between sections"</formula>
    </cfRule>
  </conditionalFormatting>
  <conditionalFormatting sqref="AW102">
    <cfRule type="expression" dxfId="9159" priority="40">
      <formula>$M102="NON DEFINED"</formula>
    </cfRule>
    <cfRule type="expression" dxfId="9158" priority="41">
      <formula>$AZ102="N.D."</formula>
    </cfRule>
    <cfRule type="expression" dxfId="9157" priority="42">
      <formula>$AY102="N.D."</formula>
    </cfRule>
  </conditionalFormatting>
  <conditionalFormatting sqref="AW102">
    <cfRule type="expression" dxfId="9156" priority="29">
      <formula>$A102="Overhead Cable"</formula>
    </cfRule>
    <cfRule type="expression" dxfId="9155" priority="30">
      <formula>$A102="Level Crossing"</formula>
    </cfRule>
    <cfRule type="expression" dxfId="9154" priority="31">
      <formula>$A102="Neutral Section"</formula>
    </cfRule>
    <cfRule type="expression" dxfId="9153" priority="32">
      <formula>$A102="Tunnel"</formula>
    </cfRule>
    <cfRule type="expression" dxfId="9152" priority="33">
      <formula>$A102="Bridge"</formula>
    </cfRule>
    <cfRule type="expression" dxfId="9151" priority="34">
      <formula>$A102="Drainage Works"</formula>
    </cfRule>
    <cfRule type="expression" dxfId="9150" priority="35">
      <formula>$A102="Underpass"</formula>
    </cfRule>
    <cfRule type="expression" dxfId="9149" priority="36">
      <formula>$A102="Overcrossing"</formula>
    </cfRule>
    <cfRule type="expression" dxfId="9148" priority="37">
      <formula>$A102="Overpass"</formula>
    </cfRule>
    <cfRule type="expression" dxfId="9147" priority="38">
      <formula>$A102="Station"</formula>
    </cfRule>
    <cfRule type="expression" dxfId="9146" priority="39">
      <formula>$A102="Overlap between sections"</formula>
    </cfRule>
  </conditionalFormatting>
  <conditionalFormatting sqref="AX102">
    <cfRule type="expression" dxfId="9145" priority="26">
      <formula>$M102="NON DEFINED"</formula>
    </cfRule>
    <cfRule type="expression" dxfId="9144" priority="27">
      <formula>$AZ102="N.D."</formula>
    </cfRule>
    <cfRule type="expression" dxfId="9143" priority="28">
      <formula>$AY102="N.D."</formula>
    </cfRule>
  </conditionalFormatting>
  <conditionalFormatting sqref="AX102">
    <cfRule type="expression" dxfId="9142" priority="15">
      <formula>$A102="Overhead Cable"</formula>
    </cfRule>
    <cfRule type="expression" dxfId="9141" priority="16">
      <formula>$A102="Level Crossing"</formula>
    </cfRule>
    <cfRule type="expression" dxfId="9140" priority="17">
      <formula>$A102="Neutral Section"</formula>
    </cfRule>
    <cfRule type="expression" dxfId="9139" priority="18">
      <formula>$A102="Tunnel"</formula>
    </cfRule>
    <cfRule type="expression" dxfId="9138" priority="19">
      <formula>$A102="Bridge"</formula>
    </cfRule>
    <cfRule type="expression" dxfId="9137" priority="20">
      <formula>$A102="Drainage Works"</formula>
    </cfRule>
    <cfRule type="expression" dxfId="9136" priority="21">
      <formula>$A102="Underpass"</formula>
    </cfRule>
    <cfRule type="expression" dxfId="9135" priority="22">
      <formula>$A102="Overcrossing"</formula>
    </cfRule>
    <cfRule type="expression" dxfId="9134" priority="23">
      <formula>$A102="Overpass"</formula>
    </cfRule>
    <cfRule type="expression" dxfId="9133" priority="24">
      <formula>$A102="Station"</formula>
    </cfRule>
    <cfRule type="expression" dxfId="9132" priority="25">
      <formula>$A102="Overlap between sections"</formula>
    </cfRule>
  </conditionalFormatting>
  <conditionalFormatting sqref="I342">
    <cfRule type="expression" dxfId="9131" priority="12">
      <formula>$M342="NON DEFINED"</formula>
    </cfRule>
    <cfRule type="expression" dxfId="9130" priority="13">
      <formula>$AZ342="N.D."</formula>
    </cfRule>
    <cfRule type="expression" dxfId="9129" priority="14">
      <formula>$AY342="N.D."</formula>
    </cfRule>
  </conditionalFormatting>
  <conditionalFormatting sqref="I342">
    <cfRule type="expression" dxfId="9128" priority="1">
      <formula>$A342="Overhead Cable"</formula>
    </cfRule>
    <cfRule type="expression" dxfId="9127" priority="2">
      <formula>$A342="Level Crossing"</formula>
    </cfRule>
    <cfRule type="expression" dxfId="9126" priority="3">
      <formula>$A342="Neutral Section"</formula>
    </cfRule>
    <cfRule type="expression" dxfId="9125" priority="4">
      <formula>$A342="Tunnel"</formula>
    </cfRule>
    <cfRule type="expression" dxfId="9124" priority="5">
      <formula>$A342="Bridge"</formula>
    </cfRule>
    <cfRule type="expression" dxfId="9123" priority="6">
      <formula>$A342="Drainage Works"</formula>
    </cfRule>
    <cfRule type="expression" dxfId="9122" priority="7">
      <formula>$A342="Underpass"</formula>
    </cfRule>
    <cfRule type="expression" dxfId="9121" priority="8">
      <formula>$A342="Overcrossing"</formula>
    </cfRule>
    <cfRule type="expression" dxfId="9120" priority="9">
      <formula>$A342="Overpass"</formula>
    </cfRule>
    <cfRule type="expression" dxfId="9119" priority="10">
      <formula>$A342="Station"</formula>
    </cfRule>
    <cfRule type="expression" dxfId="9118" priority="11">
      <formula>$A342="Overlap between sections"</formula>
    </cfRule>
  </conditionalFormatting>
  <printOptions horizontalCentered="1" gridLines="1"/>
  <pageMargins left="0.39370078740157483" right="0.39370078740157483" top="0.78740157480314965" bottom="0.78740157480314965" header="0.31496062992125984" footer="0.31496062992125984"/>
  <pageSetup paperSize="9" scale="52" fitToHeight="0" orientation="landscape" cellComments="asDisplayed" r:id="rId1"/>
  <headerFooter alignWithMargins="0">
    <oddHeader>&amp;L&amp;G&amp;C
LAYOUT AND EQUIPMENT
EP 11A TRACK 1 
KP -00+092 to 07+861
&amp;R&amp;G</oddHeader>
    <oddFooter>&amp;L&amp;G
&amp;F&amp;C&amp;D&amp;RPag &amp;P of &amp;N</oddFoot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7">
    <tabColor theme="3" tint="0.59999389629810485"/>
    <pageSetUpPr fitToPage="1"/>
  </sheetPr>
  <dimension ref="A1:BK4035"/>
  <sheetViews>
    <sheetView showGridLines="0" view="pageBreakPreview" zoomScale="80" zoomScaleNormal="80" zoomScaleSheetLayoutView="80" workbookViewId="0">
      <pane xSplit="3" ySplit="3" topLeftCell="F4" activePane="bottomRight" state="frozen"/>
      <selection activeCell="C42" sqref="C42"/>
      <selection pane="topRight" activeCell="C42" sqref="C42"/>
      <selection pane="bottomLeft" activeCell="C42" sqref="C42"/>
      <selection pane="bottomRight" activeCell="C42" sqref="C42"/>
    </sheetView>
  </sheetViews>
  <sheetFormatPr baseColWidth="10" defaultColWidth="11.44140625" defaultRowHeight="15.75" customHeight="1"/>
  <cols>
    <col min="1" max="1" width="20.6640625" style="90" customWidth="1"/>
    <col min="2" max="2" width="12.6640625" style="8" customWidth="1"/>
    <col min="3" max="3" width="12.6640625" style="89" customWidth="1"/>
    <col min="4" max="5" width="12.6640625" style="8" hidden="1" customWidth="1"/>
    <col min="6" max="6" width="12.6640625" style="91" customWidth="1"/>
    <col min="7" max="7" width="12.6640625" style="8" customWidth="1"/>
    <col min="8" max="8" width="18.6640625" style="8" customWidth="1"/>
    <col min="9" max="9" width="12.6640625" style="8" customWidth="1"/>
    <col min="10" max="10" width="12.6640625" style="89" customWidth="1"/>
    <col min="11" max="11" width="12.6640625" style="8" customWidth="1"/>
    <col min="12" max="13" width="14.6640625" style="8" customWidth="1"/>
    <col min="14" max="16" width="8.6640625" style="8" hidden="1" customWidth="1"/>
    <col min="17" max="19" width="12.6640625" style="8" hidden="1" customWidth="1"/>
    <col min="20" max="28" width="8.6640625" style="8" hidden="1" customWidth="1"/>
    <col min="29" max="31" width="10.6640625" style="8" hidden="1" customWidth="1"/>
    <col min="32" max="36" width="12.6640625" style="8" hidden="1" customWidth="1"/>
    <col min="37" max="38" width="12.6640625" style="8" customWidth="1"/>
    <col min="39" max="39" width="12.6640625" style="8" hidden="1" customWidth="1"/>
    <col min="40" max="45" width="8.6640625" style="8" hidden="1" customWidth="1"/>
    <col min="46" max="46" width="8.6640625" style="18" hidden="1" customWidth="1"/>
    <col min="47" max="48" width="8.6640625" style="8" hidden="1" customWidth="1"/>
    <col min="49" max="52" width="12.6640625" style="8" customWidth="1"/>
    <col min="53" max="55" width="4.6640625" style="8" customWidth="1"/>
    <col min="56" max="56" width="21.6640625" style="8" customWidth="1"/>
    <col min="57" max="57" width="16.33203125" style="8" customWidth="1"/>
    <col min="58" max="61" width="14" style="8" customWidth="1"/>
    <col min="62" max="16384" width="11.44140625" style="8"/>
  </cols>
  <sheetData>
    <row r="1" spans="1:63" s="448" customFormat="1" ht="35.25" customHeight="1" thickBot="1">
      <c r="A1" s="708" t="s">
        <v>51</v>
      </c>
      <c r="B1" s="709"/>
      <c r="C1" s="709"/>
      <c r="D1" s="709"/>
      <c r="E1" s="709"/>
      <c r="F1" s="709"/>
      <c r="G1" s="709"/>
      <c r="H1" s="709"/>
      <c r="I1" s="709"/>
      <c r="J1" s="709"/>
      <c r="K1" s="709"/>
      <c r="L1" s="709"/>
      <c r="M1" s="709"/>
      <c r="N1" s="709"/>
      <c r="O1" s="709"/>
      <c r="P1" s="709"/>
      <c r="Q1" s="709"/>
      <c r="R1" s="709"/>
      <c r="S1" s="709"/>
      <c r="T1" s="709"/>
      <c r="U1" s="709"/>
      <c r="V1" s="709"/>
      <c r="W1" s="709"/>
      <c r="X1" s="709"/>
      <c r="Y1" s="709"/>
      <c r="Z1" s="709"/>
      <c r="AA1" s="709"/>
      <c r="AB1" s="709"/>
      <c r="AC1" s="709"/>
      <c r="AD1" s="709"/>
      <c r="AE1" s="709"/>
      <c r="AF1" s="709"/>
      <c r="AG1" s="709"/>
      <c r="AH1" s="709"/>
      <c r="AI1" s="709"/>
      <c r="AJ1" s="709"/>
      <c r="AK1" s="709"/>
      <c r="AL1" s="709"/>
      <c r="AM1" s="709"/>
      <c r="AN1" s="709"/>
      <c r="AO1" s="709"/>
      <c r="AP1" s="709"/>
      <c r="AQ1" s="709"/>
      <c r="AR1" s="709"/>
      <c r="AS1" s="709"/>
      <c r="AT1" s="709"/>
      <c r="AU1" s="709"/>
      <c r="AV1" s="709"/>
      <c r="AW1" s="709"/>
      <c r="AX1" s="709"/>
      <c r="AY1" s="709"/>
      <c r="AZ1" s="709"/>
      <c r="BA1" s="709"/>
      <c r="BB1" s="709"/>
      <c r="BC1" s="709"/>
      <c r="BD1" s="710"/>
      <c r="BE1" s="449" t="s">
        <v>1596</v>
      </c>
      <c r="BF1" s="695" t="s">
        <v>1598</v>
      </c>
      <c r="BG1" s="695"/>
      <c r="BH1" s="695"/>
      <c r="BI1" s="695"/>
    </row>
    <row r="2" spans="1:63" s="448" customFormat="1" ht="42" customHeight="1" thickBot="1">
      <c r="A2" s="490" t="s">
        <v>1321</v>
      </c>
      <c r="B2" s="489" t="s">
        <v>1322</v>
      </c>
      <c r="C2" s="490" t="s">
        <v>1325</v>
      </c>
      <c r="D2" s="548" t="s">
        <v>1323</v>
      </c>
      <c r="E2" s="490" t="s">
        <v>1327</v>
      </c>
      <c r="F2" s="490" t="s">
        <v>1328</v>
      </c>
      <c r="G2" s="490" t="s">
        <v>1326</v>
      </c>
      <c r="H2" s="490" t="s">
        <v>46</v>
      </c>
      <c r="I2" s="489" t="s">
        <v>45</v>
      </c>
      <c r="J2" s="490" t="s">
        <v>1493</v>
      </c>
      <c r="K2" s="490" t="s">
        <v>185</v>
      </c>
      <c r="L2" s="490" t="s">
        <v>47</v>
      </c>
      <c r="M2" s="490" t="s">
        <v>44</v>
      </c>
      <c r="N2" s="711" t="s">
        <v>48</v>
      </c>
      <c r="O2" s="712"/>
      <c r="P2" s="713"/>
      <c r="Q2" s="490" t="s">
        <v>1329</v>
      </c>
      <c r="R2" s="490" t="s">
        <v>1330</v>
      </c>
      <c r="S2" s="490" t="s">
        <v>1331</v>
      </c>
      <c r="T2" s="714" t="s">
        <v>1332</v>
      </c>
      <c r="U2" s="715"/>
      <c r="V2" s="716"/>
      <c r="W2" s="711" t="s">
        <v>1333</v>
      </c>
      <c r="X2" s="712"/>
      <c r="Y2" s="713"/>
      <c r="Z2" s="714" t="s">
        <v>1334</v>
      </c>
      <c r="AA2" s="715"/>
      <c r="AB2" s="716"/>
      <c r="AC2" s="711" t="s">
        <v>186</v>
      </c>
      <c r="AD2" s="712"/>
      <c r="AE2" s="713"/>
      <c r="AF2" s="490" t="s">
        <v>1494</v>
      </c>
      <c r="AG2" s="490" t="s">
        <v>1324</v>
      </c>
      <c r="AH2" s="490" t="s">
        <v>1335</v>
      </c>
      <c r="AI2" s="490" t="s">
        <v>1336</v>
      </c>
      <c r="AJ2" s="492" t="s">
        <v>187</v>
      </c>
      <c r="AK2" s="490" t="s">
        <v>49</v>
      </c>
      <c r="AL2" s="490" t="s">
        <v>50</v>
      </c>
      <c r="AM2" s="547" t="s">
        <v>872</v>
      </c>
      <c r="AN2" s="711" t="s">
        <v>1337</v>
      </c>
      <c r="AO2" s="712"/>
      <c r="AP2" s="713"/>
      <c r="AQ2" s="711" t="s">
        <v>52</v>
      </c>
      <c r="AR2" s="712"/>
      <c r="AS2" s="713"/>
      <c r="AT2" s="711" t="s">
        <v>188</v>
      </c>
      <c r="AU2" s="712"/>
      <c r="AV2" s="713"/>
      <c r="AW2" s="490" t="s">
        <v>875</v>
      </c>
      <c r="AX2" s="490" t="s">
        <v>1495</v>
      </c>
      <c r="AY2" s="490" t="s">
        <v>1338</v>
      </c>
      <c r="AZ2" s="490" t="s">
        <v>1339</v>
      </c>
      <c r="BA2" s="711" t="s">
        <v>753</v>
      </c>
      <c r="BB2" s="712"/>
      <c r="BC2" s="713"/>
      <c r="BD2" s="490" t="s">
        <v>873</v>
      </c>
      <c r="BE2" s="449" t="s">
        <v>1597</v>
      </c>
      <c r="BF2" s="450" t="s">
        <v>44</v>
      </c>
      <c r="BG2" s="450" t="s">
        <v>1599</v>
      </c>
      <c r="BH2" s="450" t="s">
        <v>1600</v>
      </c>
      <c r="BI2" s="450" t="s">
        <v>48</v>
      </c>
    </row>
    <row r="3" spans="1:63" s="448" customFormat="1" ht="15.75" customHeight="1" thickBot="1">
      <c r="A3" s="465"/>
      <c r="B3" s="487"/>
      <c r="C3" s="463"/>
      <c r="D3" s="463"/>
      <c r="E3" s="463"/>
      <c r="F3" s="463"/>
      <c r="G3" s="463"/>
      <c r="H3" s="487"/>
      <c r="I3" s="487"/>
      <c r="J3" s="463"/>
      <c r="K3" s="487"/>
      <c r="L3" s="487"/>
      <c r="M3" s="487"/>
      <c r="N3" s="491" t="s">
        <v>11</v>
      </c>
      <c r="O3" s="491" t="s">
        <v>12</v>
      </c>
      <c r="P3" s="491" t="s">
        <v>13</v>
      </c>
      <c r="Q3" s="463"/>
      <c r="R3" s="463"/>
      <c r="S3" s="463"/>
      <c r="T3" s="466" t="s">
        <v>14</v>
      </c>
      <c r="U3" s="466" t="s">
        <v>15</v>
      </c>
      <c r="V3" s="466" t="s">
        <v>16</v>
      </c>
      <c r="W3" s="466" t="s">
        <v>17</v>
      </c>
      <c r="X3" s="466" t="s">
        <v>18</v>
      </c>
      <c r="Y3" s="466" t="s">
        <v>19</v>
      </c>
      <c r="Z3" s="466" t="s">
        <v>20</v>
      </c>
      <c r="AA3" s="466" t="s">
        <v>21</v>
      </c>
      <c r="AB3" s="466" t="s">
        <v>22</v>
      </c>
      <c r="AC3" s="491" t="s">
        <v>23</v>
      </c>
      <c r="AD3" s="491" t="s">
        <v>24</v>
      </c>
      <c r="AE3" s="491" t="s">
        <v>25</v>
      </c>
      <c r="AF3" s="463"/>
      <c r="AG3" s="463"/>
      <c r="AH3" s="463"/>
      <c r="AI3" s="463"/>
      <c r="AJ3" s="487"/>
      <c r="AK3" s="487"/>
      <c r="AL3" s="487"/>
      <c r="AM3" s="487"/>
      <c r="AN3" s="466" t="s">
        <v>17</v>
      </c>
      <c r="AO3" s="466" t="s">
        <v>18</v>
      </c>
      <c r="AP3" s="466" t="s">
        <v>19</v>
      </c>
      <c r="AQ3" s="466" t="s">
        <v>173</v>
      </c>
      <c r="AR3" s="466" t="s">
        <v>174</v>
      </c>
      <c r="AS3" s="466" t="s">
        <v>175</v>
      </c>
      <c r="AT3" s="651" t="s">
        <v>176</v>
      </c>
      <c r="AU3" s="466" t="s">
        <v>177</v>
      </c>
      <c r="AV3" s="466" t="s">
        <v>178</v>
      </c>
      <c r="AW3" s="487"/>
      <c r="AX3" s="487"/>
      <c r="AY3" s="463"/>
      <c r="AZ3" s="463"/>
      <c r="BA3" s="491" t="s">
        <v>1624</v>
      </c>
      <c r="BB3" s="491" t="s">
        <v>180</v>
      </c>
      <c r="BC3" s="491" t="s">
        <v>1625</v>
      </c>
      <c r="BD3" s="493"/>
      <c r="BF3" s="453"/>
      <c r="BG3" s="453"/>
      <c r="BH3" s="453"/>
      <c r="BI3" s="453"/>
    </row>
    <row r="4" spans="1:63" ht="16.2" customHeight="1" thickTop="1">
      <c r="A4" s="561"/>
      <c r="B4" s="562"/>
      <c r="C4" s="563"/>
      <c r="D4" s="564"/>
      <c r="E4" s="565"/>
      <c r="F4" s="565"/>
      <c r="G4" s="566"/>
      <c r="H4" s="567"/>
      <c r="I4" s="567"/>
      <c r="J4" s="568"/>
      <c r="K4" s="567"/>
      <c r="L4" s="567"/>
      <c r="M4" s="567"/>
      <c r="N4" s="567"/>
      <c r="O4" s="567"/>
      <c r="P4" s="567"/>
      <c r="Q4" s="565"/>
      <c r="R4" s="566"/>
      <c r="S4" s="566"/>
      <c r="T4" s="565"/>
      <c r="U4" s="565"/>
      <c r="V4" s="565"/>
      <c r="W4" s="569"/>
      <c r="X4" s="569"/>
      <c r="Y4" s="569"/>
      <c r="Z4" s="569"/>
      <c r="AA4" s="569"/>
      <c r="AB4" s="569"/>
      <c r="AC4" s="567"/>
      <c r="AD4" s="567"/>
      <c r="AE4" s="567"/>
      <c r="AF4" s="565"/>
      <c r="AG4" s="564"/>
      <c r="AH4" s="565"/>
      <c r="AI4" s="565"/>
      <c r="AJ4" s="567"/>
      <c r="AK4" s="567"/>
      <c r="AL4" s="567"/>
      <c r="AM4" s="567"/>
      <c r="AN4" s="569"/>
      <c r="AO4" s="567"/>
      <c r="AP4" s="567"/>
      <c r="AQ4" s="569"/>
      <c r="AR4" s="569"/>
      <c r="AS4" s="569"/>
      <c r="AT4" s="569"/>
      <c r="AU4" s="570"/>
      <c r="AV4" s="570"/>
      <c r="AW4" s="567"/>
      <c r="AX4" s="567"/>
      <c r="AY4" s="569"/>
      <c r="AZ4" s="569"/>
      <c r="BA4" s="517"/>
      <c r="BB4" s="517"/>
      <c r="BC4" s="517"/>
      <c r="BD4" s="571"/>
      <c r="BE4" s="557"/>
      <c r="BF4" s="308"/>
      <c r="BG4" s="308"/>
      <c r="BH4" s="308"/>
      <c r="BI4" s="308"/>
      <c r="BK4" s="445"/>
    </row>
    <row r="5" spans="1:63" ht="16.2" customHeight="1">
      <c r="A5" s="561"/>
      <c r="B5" s="562"/>
      <c r="C5" s="563"/>
      <c r="D5" s="564"/>
      <c r="E5" s="565"/>
      <c r="F5" s="565"/>
      <c r="G5" s="566"/>
      <c r="H5" s="567"/>
      <c r="I5" s="567"/>
      <c r="J5" s="568"/>
      <c r="K5" s="567"/>
      <c r="L5" s="567"/>
      <c r="M5" s="567" t="str">
        <f>IF(L5="","",
IF(AX5="PT",VLOOKUP(L5,Foundation_Calc!$V$4:$X$37,VLOOKUP(AX5,Foundation_Calc!$I$10:$J$13,2,FALSE),0),
IF(AX5="K",VLOOKUP(L5,Foundation_Calc!$V$41:$X$74,VLOOKUP(AX5,Foundation_Calc!$I$10:$J$13,2,FALSE),0),"")))</f>
        <v/>
      </c>
      <c r="N5" s="567"/>
      <c r="O5" s="567"/>
      <c r="P5" s="567"/>
      <c r="Q5" s="565"/>
      <c r="R5" s="566"/>
      <c r="S5" s="566"/>
      <c r="T5" s="565"/>
      <c r="U5" s="565"/>
      <c r="V5" s="565"/>
      <c r="W5" s="569"/>
      <c r="X5" s="569"/>
      <c r="Y5" s="569"/>
      <c r="Z5" s="569"/>
      <c r="AA5" s="569"/>
      <c r="AB5" s="569"/>
      <c r="AC5" s="567" t="str">
        <f t="shared" ref="AC5" si="0">IF(OR(AT5&gt;8,AT5&lt;-8),"PH",
IF(OR(AT5&gt;5,AT5&lt;-5),"PHQ",
IF(OR(AT5&gt;1,AT5&lt;-1),
"PHC","")))</f>
        <v/>
      </c>
      <c r="AD5" s="567"/>
      <c r="AE5" s="567"/>
      <c r="AF5" s="565"/>
      <c r="AG5" s="564"/>
      <c r="AH5" s="565"/>
      <c r="AI5" s="565"/>
      <c r="AJ5" s="567"/>
      <c r="AK5" s="567"/>
      <c r="AL5" s="567"/>
      <c r="AM5" s="567"/>
      <c r="AN5" s="569"/>
      <c r="AO5" s="567"/>
      <c r="AP5" s="567"/>
      <c r="AQ5" s="569"/>
      <c r="AR5" s="569"/>
      <c r="AS5" s="569"/>
      <c r="AT5" s="569"/>
      <c r="AU5" s="570"/>
      <c r="AV5" s="570"/>
      <c r="AW5" s="567"/>
      <c r="AX5" s="567"/>
      <c r="AY5" s="569"/>
      <c r="AZ5" s="569"/>
      <c r="BA5" s="517" t="str">
        <f>IF(AY5="","",IF(AY5&gt;0,"ü",""))</f>
        <v/>
      </c>
      <c r="BB5" s="517" t="str">
        <f>IF(AZ5="","",IF(AZ5&gt;0,"ü",""))</f>
        <v/>
      </c>
      <c r="BC5" s="517" t="str">
        <f>IF(M5="","",IF(M5="Unique Solution","ü",""))</f>
        <v/>
      </c>
      <c r="BD5" s="571" t="str">
        <f>IF(AND(L5="",H5=""),"",
IF(H5="",Pole_Calc!A9,
IF(H5="MP",Pole_Calc!A10,
IF(H5="AnMP",Pole_Calc!A11,
IF(H5="A",Pole_Calc!A12,
IF(H5="S/A",Pole_Calc!A13,
IF(H5="A/S",Pole_Calc!A14,"Poner a mano")))))))</f>
        <v/>
      </c>
      <c r="BE5" s="448" t="s">
        <v>1726</v>
      </c>
      <c r="BF5" s="305"/>
      <c r="BG5" s="305"/>
      <c r="BH5" s="306"/>
      <c r="BI5" s="305"/>
    </row>
    <row r="6" spans="1:63" ht="16.2" customHeight="1">
      <c r="A6" s="561"/>
      <c r="B6" s="562" t="s">
        <v>1854</v>
      </c>
      <c r="C6" s="563">
        <v>17858</v>
      </c>
      <c r="D6" s="564"/>
      <c r="E6" s="565"/>
      <c r="F6" s="565"/>
      <c r="G6" s="566"/>
      <c r="H6" s="567" t="s">
        <v>388</v>
      </c>
      <c r="I6" s="567" t="s">
        <v>339</v>
      </c>
      <c r="J6" s="568"/>
      <c r="K6" s="567"/>
      <c r="L6" s="567"/>
      <c r="M6" s="567" t="str">
        <f>IF(L6="","",
IF(AX6="PT",VLOOKUP(L6,Foundation_Calc!$V$4:$X$37,VLOOKUP(AX6,Foundation_Calc!$I$10:$J$13,2,FALSE),0),
IF(AX6="K",VLOOKUP(L6,Foundation_Calc!$V$41:$X$74,VLOOKUP(AX6,Foundation_Calc!$I$10:$J$13,2,FALSE),0),"")))</f>
        <v/>
      </c>
      <c r="N6" s="567" t="s">
        <v>192</v>
      </c>
      <c r="O6" s="567"/>
      <c r="P6" s="567"/>
      <c r="Q6" s="565"/>
      <c r="R6" s="566"/>
      <c r="S6" s="566"/>
      <c r="T6" s="565">
        <v>35</v>
      </c>
      <c r="U6" s="565"/>
      <c r="V6" s="565"/>
      <c r="W6" s="569">
        <v>1.4</v>
      </c>
      <c r="X6" s="569"/>
      <c r="Y6" s="569"/>
      <c r="Z6" s="569"/>
      <c r="AA6" s="569"/>
      <c r="AB6" s="569"/>
      <c r="AC6" s="567" t="str">
        <f t="shared" ref="AC6:AC69" si="1">IF(OR(AT6&gt;8,AT6&lt;-8),"PH",
IF(OR(AT6&gt;5,AT6&lt;-5),"PHQ",
IF(OR(AT6&gt;1,AT6&lt;-1),
"PHC","")))</f>
        <v/>
      </c>
      <c r="AD6" s="567"/>
      <c r="AE6" s="567"/>
      <c r="AF6" s="565"/>
      <c r="AG6" s="564"/>
      <c r="AH6" s="565"/>
      <c r="AI6" s="565"/>
      <c r="AJ6" s="567"/>
      <c r="AK6" s="567" t="s">
        <v>763</v>
      </c>
      <c r="AL6" s="567"/>
      <c r="AM6" s="567"/>
      <c r="AN6" s="569">
        <v>5.33</v>
      </c>
      <c r="AO6" s="567"/>
      <c r="AP6" s="567"/>
      <c r="AQ6" s="569"/>
      <c r="AR6" s="569"/>
      <c r="AS6" s="569"/>
      <c r="AT6" s="569"/>
      <c r="AU6" s="570"/>
      <c r="AV6" s="570"/>
      <c r="AW6" s="567"/>
      <c r="AX6" s="567"/>
      <c r="AY6" s="569"/>
      <c r="AZ6" s="569"/>
      <c r="BA6" s="553" t="str">
        <f t="shared" ref="BA6:BB69" si="2">IF(AY6="","",IF(AY6&gt;0,"ü",""))</f>
        <v/>
      </c>
      <c r="BB6" s="553" t="str">
        <f t="shared" si="2"/>
        <v/>
      </c>
      <c r="BC6" s="553" t="str">
        <f>IF(M6="","",IF(M6="U.S.","ü",IF(M6="U.S. N.D.","ü","")))</f>
        <v/>
      </c>
      <c r="BD6" s="572"/>
      <c r="BE6" s="448" t="s">
        <v>1726</v>
      </c>
      <c r="BF6" s="306"/>
      <c r="BG6" s="306"/>
      <c r="BH6" s="306"/>
      <c r="BI6" s="306"/>
    </row>
    <row r="7" spans="1:63" ht="16.2" customHeight="1">
      <c r="A7" s="561"/>
      <c r="B7" s="562"/>
      <c r="C7" s="563"/>
      <c r="D7" s="564"/>
      <c r="E7" s="565"/>
      <c r="F7" s="565"/>
      <c r="G7" s="566">
        <v>54.3</v>
      </c>
      <c r="H7" s="567"/>
      <c r="I7" s="567"/>
      <c r="J7" s="568"/>
      <c r="K7" s="567"/>
      <c r="L7" s="567"/>
      <c r="M7" s="567" t="str">
        <f>IF(L7="","",
IF(AX7="PT",VLOOKUP(L7,Foundation_Calc!$V$4:$X$37,VLOOKUP(AX7,Foundation_Calc!$I$10:$J$13,2,FALSE),0),
IF(AX7="K",VLOOKUP(L7,Foundation_Calc!$V$41:$X$74,VLOOKUP(AX7,Foundation_Calc!$I$10:$J$13,2,FALSE),0),"")))</f>
        <v/>
      </c>
      <c r="N7" s="567"/>
      <c r="O7" s="567"/>
      <c r="P7" s="567"/>
      <c r="Q7" s="565"/>
      <c r="R7" s="566"/>
      <c r="S7" s="566"/>
      <c r="T7" s="565"/>
      <c r="U7" s="565"/>
      <c r="V7" s="565"/>
      <c r="W7" s="569"/>
      <c r="X7" s="569"/>
      <c r="Y7" s="569"/>
      <c r="Z7" s="569"/>
      <c r="AA7" s="569"/>
      <c r="AB7" s="569"/>
      <c r="AC7" s="567" t="str">
        <f t="shared" si="1"/>
        <v/>
      </c>
      <c r="AD7" s="567"/>
      <c r="AE7" s="567"/>
      <c r="AF7" s="565"/>
      <c r="AG7" s="564"/>
      <c r="AH7" s="565"/>
      <c r="AI7" s="565"/>
      <c r="AJ7" s="567"/>
      <c r="AK7" s="567"/>
      <c r="AL7" s="567"/>
      <c r="AM7" s="567"/>
      <c r="AN7" s="569"/>
      <c r="AO7" s="567"/>
      <c r="AP7" s="567"/>
      <c r="AQ7" s="569"/>
      <c r="AR7" s="569"/>
      <c r="AS7" s="569"/>
      <c r="AT7" s="569"/>
      <c r="AU7" s="570"/>
      <c r="AV7" s="570"/>
      <c r="AW7" s="567"/>
      <c r="AX7" s="567"/>
      <c r="AY7" s="569"/>
      <c r="AZ7" s="569"/>
      <c r="BA7" s="553" t="str">
        <f t="shared" si="2"/>
        <v/>
      </c>
      <c r="BB7" s="553" t="str">
        <f t="shared" si="2"/>
        <v/>
      </c>
      <c r="BC7" s="553" t="str">
        <f t="shared" ref="BC7:BC70" si="3">IF(M7="","",IF(M7="U.S.","ü",IF(M7="U.S. N.D.","ü","")))</f>
        <v/>
      </c>
      <c r="BD7" s="572" t="str">
        <f>IF(AND(L7="",H7=""),"",
IF(H7="",Pole_Calc!A$9,
IF(H7="MP",Pole_Calc!A$10,
IF(H7="AnMP",Pole_Calc!A$11,
IF(H7="A",Pole_Calc!A$12,
IF(H7="S/A",Pole_Calc!A$13,
IF(H7="A/S",Pole_Calc!A$14,"Poner a mano")))))))</f>
        <v/>
      </c>
      <c r="BE7" s="448" t="s">
        <v>1726</v>
      </c>
      <c r="BF7" s="305"/>
      <c r="BG7" s="305"/>
      <c r="BH7" s="306"/>
      <c r="BI7" s="305"/>
    </row>
    <row r="8" spans="1:63" ht="16.2" customHeight="1">
      <c r="A8" s="561"/>
      <c r="B8" s="562" t="s">
        <v>1855</v>
      </c>
      <c r="C8" s="563">
        <v>17911</v>
      </c>
      <c r="D8" s="564"/>
      <c r="E8" s="565"/>
      <c r="F8" s="565"/>
      <c r="G8" s="566"/>
      <c r="H8" s="567" t="s">
        <v>179</v>
      </c>
      <c r="I8" s="567"/>
      <c r="J8" s="568"/>
      <c r="K8" s="567"/>
      <c r="L8" s="567"/>
      <c r="M8" s="567" t="str">
        <f>IF(L8="","",
IF(AX8="PT",VLOOKUP(L8,Foundation_Calc!$V$4:$X$37,VLOOKUP(AX8,Foundation_Calc!$I$10:$J$13,2,FALSE),0),
IF(AX8="K",VLOOKUP(L8,Foundation_Calc!$V$41:$X$74,VLOOKUP(AX8,Foundation_Calc!$I$10:$J$13,2,FALSE),0),"")))</f>
        <v/>
      </c>
      <c r="N8" s="567" t="s">
        <v>193</v>
      </c>
      <c r="O8" s="567" t="s">
        <v>191</v>
      </c>
      <c r="P8" s="567"/>
      <c r="Q8" s="565"/>
      <c r="R8" s="566"/>
      <c r="S8" s="566"/>
      <c r="T8" s="565">
        <v>-70</v>
      </c>
      <c r="U8" s="565">
        <v>-20</v>
      </c>
      <c r="V8" s="565"/>
      <c r="W8" s="569">
        <v>1.1000000000000001</v>
      </c>
      <c r="X8" s="569">
        <v>0.9</v>
      </c>
      <c r="Y8" s="569"/>
      <c r="Z8" s="569">
        <v>0.45</v>
      </c>
      <c r="AA8" s="569"/>
      <c r="AB8" s="569"/>
      <c r="AC8" s="567" t="str">
        <f t="shared" si="1"/>
        <v/>
      </c>
      <c r="AD8" s="567"/>
      <c r="AE8" s="567"/>
      <c r="AF8" s="565"/>
      <c r="AG8" s="564"/>
      <c r="AH8" s="565"/>
      <c r="AI8" s="565"/>
      <c r="AJ8" s="567"/>
      <c r="AK8" s="567" t="s">
        <v>764</v>
      </c>
      <c r="AL8" s="567"/>
      <c r="AM8" s="567"/>
      <c r="AN8" s="569">
        <v>5.25</v>
      </c>
      <c r="AO8" s="567"/>
      <c r="AP8" s="567"/>
      <c r="AQ8" s="569"/>
      <c r="AR8" s="569"/>
      <c r="AS8" s="569"/>
      <c r="AT8" s="569"/>
      <c r="AU8" s="570"/>
      <c r="AV8" s="570"/>
      <c r="AW8" s="567"/>
      <c r="AX8" s="567"/>
      <c r="AY8" s="569"/>
      <c r="AZ8" s="569"/>
      <c r="BA8" s="553" t="str">
        <f t="shared" si="2"/>
        <v/>
      </c>
      <c r="BB8" s="553" t="str">
        <f t="shared" si="2"/>
        <v/>
      </c>
      <c r="BC8" s="553" t="str">
        <f t="shared" si="3"/>
        <v/>
      </c>
      <c r="BD8" s="572"/>
      <c r="BE8" s="448" t="s">
        <v>1726</v>
      </c>
      <c r="BF8" s="306"/>
      <c r="BG8" s="306"/>
      <c r="BH8" s="306"/>
      <c r="BI8" s="306"/>
    </row>
    <row r="9" spans="1:63" ht="16.2" customHeight="1">
      <c r="A9" s="561"/>
      <c r="B9" s="562"/>
      <c r="C9" s="563"/>
      <c r="D9" s="564"/>
      <c r="E9" s="565"/>
      <c r="F9" s="565"/>
      <c r="G9" s="566">
        <v>54.6</v>
      </c>
      <c r="H9" s="567"/>
      <c r="I9" s="567"/>
      <c r="J9" s="568"/>
      <c r="K9" s="567"/>
      <c r="L9" s="567"/>
      <c r="M9" s="567" t="str">
        <f>IF(L9="","",
IF(AX9="PT",VLOOKUP(L9,Foundation_Calc!$V$4:$X$37,VLOOKUP(AX9,Foundation_Calc!$I$10:$J$13,2,FALSE),0),
IF(AX9="K",VLOOKUP(L9,Foundation_Calc!$V$41:$X$74,VLOOKUP(AX9,Foundation_Calc!$I$10:$J$13,2,FALSE),0),"")))</f>
        <v/>
      </c>
      <c r="N9" s="567"/>
      <c r="O9" s="567"/>
      <c r="P9" s="567"/>
      <c r="Q9" s="565"/>
      <c r="R9" s="566"/>
      <c r="S9" s="566"/>
      <c r="T9" s="565"/>
      <c r="U9" s="565"/>
      <c r="V9" s="565"/>
      <c r="W9" s="569"/>
      <c r="X9" s="569"/>
      <c r="Y9" s="569"/>
      <c r="Z9" s="569"/>
      <c r="AA9" s="569"/>
      <c r="AB9" s="569"/>
      <c r="AC9" s="567" t="str">
        <f t="shared" si="1"/>
        <v/>
      </c>
      <c r="AD9" s="567"/>
      <c r="AE9" s="567"/>
      <c r="AF9" s="565"/>
      <c r="AG9" s="564"/>
      <c r="AH9" s="565"/>
      <c r="AI9" s="565"/>
      <c r="AJ9" s="567"/>
      <c r="AK9" s="567"/>
      <c r="AL9" s="567"/>
      <c r="AM9" s="567"/>
      <c r="AN9" s="569"/>
      <c r="AO9" s="567"/>
      <c r="AP9" s="567"/>
      <c r="AQ9" s="569"/>
      <c r="AR9" s="569"/>
      <c r="AS9" s="569"/>
      <c r="AT9" s="569"/>
      <c r="AU9" s="570"/>
      <c r="AV9" s="570"/>
      <c r="AW9" s="567"/>
      <c r="AX9" s="567"/>
      <c r="AY9" s="569"/>
      <c r="AZ9" s="569"/>
      <c r="BA9" s="553" t="str">
        <f t="shared" si="2"/>
        <v/>
      </c>
      <c r="BB9" s="553" t="str">
        <f t="shared" si="2"/>
        <v/>
      </c>
      <c r="BC9" s="553" t="str">
        <f t="shared" si="3"/>
        <v/>
      </c>
      <c r="BD9" s="572" t="str">
        <f>IF(AND(L9="",H9=""),"",
IF(H9="",Pole_Calc!A$9,
IF(H9="MP",Pole_Calc!A$10,
IF(H9="AnMP",Pole_Calc!A$11,
IF(H9="A",Pole_Calc!A$12,
IF(H9="S/A",Pole_Calc!A$13,
IF(H9="A/S",Pole_Calc!A$14,"Poner a mano")))))))</f>
        <v/>
      </c>
      <c r="BE9" s="448" t="s">
        <v>1726</v>
      </c>
      <c r="BF9" s="305"/>
      <c r="BG9" s="305"/>
      <c r="BH9" s="306"/>
      <c r="BI9" s="305"/>
    </row>
    <row r="10" spans="1:63" ht="16.2" customHeight="1">
      <c r="A10" s="561"/>
      <c r="B10" s="562" t="s">
        <v>1856</v>
      </c>
      <c r="C10" s="563">
        <v>17966</v>
      </c>
      <c r="D10" s="564"/>
      <c r="E10" s="565"/>
      <c r="F10" s="565"/>
      <c r="G10" s="566"/>
      <c r="H10" s="567" t="s">
        <v>1857</v>
      </c>
      <c r="I10" s="567"/>
      <c r="J10" s="568"/>
      <c r="K10" s="567"/>
      <c r="L10" s="567" t="s">
        <v>38</v>
      </c>
      <c r="M10" s="567" t="s">
        <v>674</v>
      </c>
      <c r="N10" s="567" t="s">
        <v>33</v>
      </c>
      <c r="O10" s="567" t="s">
        <v>191</v>
      </c>
      <c r="P10" s="567"/>
      <c r="Q10" s="565"/>
      <c r="R10" s="566"/>
      <c r="S10" s="566"/>
      <c r="T10" s="565">
        <v>-80</v>
      </c>
      <c r="U10" s="565">
        <v>-25</v>
      </c>
      <c r="V10" s="565"/>
      <c r="W10" s="569">
        <v>1.4</v>
      </c>
      <c r="X10" s="569">
        <v>0.9</v>
      </c>
      <c r="Y10" s="569"/>
      <c r="Z10" s="569"/>
      <c r="AA10" s="569"/>
      <c r="AB10" s="569"/>
      <c r="AC10" s="567" t="str">
        <f t="shared" si="1"/>
        <v/>
      </c>
      <c r="AD10" s="567"/>
      <c r="AE10" s="567"/>
      <c r="AF10" s="565"/>
      <c r="AG10" s="564"/>
      <c r="AH10" s="565"/>
      <c r="AI10" s="565"/>
      <c r="AJ10" s="567"/>
      <c r="AK10" s="567"/>
      <c r="AL10" s="567"/>
      <c r="AM10" s="567"/>
      <c r="AN10" s="569">
        <v>5.25</v>
      </c>
      <c r="AO10" s="567"/>
      <c r="AP10" s="567"/>
      <c r="AQ10" s="569"/>
      <c r="AR10" s="569"/>
      <c r="AS10" s="569"/>
      <c r="AT10" s="569"/>
      <c r="AU10" s="570"/>
      <c r="AV10" s="570"/>
      <c r="AW10" s="567"/>
      <c r="AX10" s="567"/>
      <c r="AY10" s="569"/>
      <c r="AZ10" s="569"/>
      <c r="BA10" s="553" t="str">
        <f t="shared" si="2"/>
        <v/>
      </c>
      <c r="BB10" s="553" t="str">
        <f t="shared" si="2"/>
        <v/>
      </c>
      <c r="BC10" s="553" t="str">
        <f t="shared" si="3"/>
        <v/>
      </c>
      <c r="BD10" s="572"/>
      <c r="BE10" s="448" t="s">
        <v>1726</v>
      </c>
      <c r="BF10" s="306"/>
      <c r="BG10" s="306"/>
      <c r="BH10" s="306"/>
      <c r="BI10" s="306"/>
    </row>
    <row r="11" spans="1:63" ht="16.2" customHeight="1">
      <c r="A11" s="561"/>
      <c r="B11" s="562"/>
      <c r="C11" s="563"/>
      <c r="D11" s="564"/>
      <c r="E11" s="565"/>
      <c r="F11" s="565"/>
      <c r="G11" s="566">
        <v>63.8</v>
      </c>
      <c r="H11" s="567"/>
      <c r="I11" s="567"/>
      <c r="J11" s="3">
        <f>C12-9.5</f>
        <v>-89.2</v>
      </c>
      <c r="K11" s="468" t="s">
        <v>1095</v>
      </c>
      <c r="L11" s="567"/>
      <c r="M11" s="567" t="str">
        <f>IF(L11="","",
IF(AX11="PT",VLOOKUP(L11,Foundation_Calc!$V$79:$X$112,VLOOKUP(AX11,Foundation_Calc!$I$10:$J$13,2,FALSE),0),
IF(AX11="K",VLOOKUP(L11,Foundation_Calc!$V$116:$X$149,VLOOKUP(AX11,Foundation_Calc!$I$10:$J$13,2,FALSE),0),"")))</f>
        <v/>
      </c>
      <c r="N11" s="567"/>
      <c r="O11" s="567"/>
      <c r="P11" s="567"/>
      <c r="Q11" s="565"/>
      <c r="R11" s="566"/>
      <c r="S11" s="566"/>
      <c r="T11" s="565"/>
      <c r="U11" s="565"/>
      <c r="V11" s="565"/>
      <c r="W11" s="569"/>
      <c r="X11" s="569"/>
      <c r="Y11" s="569"/>
      <c r="Z11" s="569"/>
      <c r="AA11" s="569"/>
      <c r="AB11" s="569"/>
      <c r="AC11" s="567" t="str">
        <f t="shared" si="1"/>
        <v/>
      </c>
      <c r="AD11" s="567"/>
      <c r="AE11" s="567"/>
      <c r="AF11" s="565"/>
      <c r="AG11" s="564"/>
      <c r="AH11" s="565"/>
      <c r="AI11" s="565"/>
      <c r="AJ11" s="567"/>
      <c r="AK11" s="567"/>
      <c r="AL11" s="567"/>
      <c r="AM11" s="567"/>
      <c r="AN11" s="569"/>
      <c r="AO11" s="567"/>
      <c r="AP11" s="567"/>
      <c r="AQ11" s="569"/>
      <c r="AR11" s="569"/>
      <c r="AS11" s="569"/>
      <c r="AT11" s="569"/>
      <c r="AU11" s="570"/>
      <c r="AV11" s="570"/>
      <c r="AW11" s="610" t="s">
        <v>2519</v>
      </c>
      <c r="AX11" s="610" t="s">
        <v>611</v>
      </c>
      <c r="AY11" s="569" t="str">
        <f>IF(L11="","",
IF(AX11="PT",VLOOKUP(L11,Foundation_Calc!$K$79:$R$112,VLOOKUP(AW11,Foundation_Calc!$I$2:$J$8,2,FALSE),0),
IF(AX11="K",VLOOKUP(L11,Foundation_Calc!$K$116:$R$149,VLOOKUP(AW11,Foundation_Calc!$I$2:$J$8,2,FALSE),0),"")))</f>
        <v/>
      </c>
      <c r="AZ11" s="611">
        <f>IF(K11="","",
IF(AX11="PT",VLOOKUP(K11,Foundation_Calc!$K$79:$R$112,VLOOKUP(AW11,Foundation_Calc!$I$2:$J$8,2,FALSE),0),
IF(AX11="K",VLOOKUP(K11,Foundation_Calc!$K$116:$R$149,VLOOKUP(AW11,Foundation_Calc!$I$2:$J$8,2,FALSE),0),"")))</f>
        <v>3.9</v>
      </c>
      <c r="BA11" s="553" t="str">
        <f t="shared" si="2"/>
        <v/>
      </c>
      <c r="BB11" s="553" t="str">
        <f t="shared" si="2"/>
        <v>ü</v>
      </c>
      <c r="BC11" s="553" t="str">
        <f t="shared" si="3"/>
        <v/>
      </c>
      <c r="BD11" s="572" t="str">
        <f>IF(AND(L11="",H11=""),"",
IF(H11="",Pole_Calc!A$9,
IF(H11="MP",Pole_Calc!A$10,
IF(H11="AnMP",Pole_Calc!A$11,
IF(H11="A",Pole_Calc!A$12,
IF(H11="S/A",Pole_Calc!A$13,
IF(H11="A/S",Pole_Calc!A$14,"Poner a mano")))))))</f>
        <v/>
      </c>
      <c r="BE11" s="448" t="s">
        <v>1726</v>
      </c>
      <c r="BF11" s="305"/>
      <c r="BG11" s="305"/>
      <c r="BH11" s="306"/>
      <c r="BI11" s="305"/>
    </row>
    <row r="12" spans="1:63" ht="16.2" customHeight="1">
      <c r="A12" s="573"/>
      <c r="B12" s="469" t="s">
        <v>1858</v>
      </c>
      <c r="C12" s="3">
        <v>-79.7</v>
      </c>
      <c r="D12" s="88"/>
      <c r="E12" s="4"/>
      <c r="F12" s="4">
        <v>0</v>
      </c>
      <c r="G12" s="6"/>
      <c r="H12" s="468" t="s">
        <v>26</v>
      </c>
      <c r="I12" s="468" t="s">
        <v>183</v>
      </c>
      <c r="J12" s="3">
        <f>C12-7.5</f>
        <v>-87.2</v>
      </c>
      <c r="K12" s="468" t="s">
        <v>1096</v>
      </c>
      <c r="L12" s="468" t="s">
        <v>452</v>
      </c>
      <c r="M12" s="468" t="str">
        <f>IF(L12="","",
IF(AX12="PT",VLOOKUP(L12,Foundation_Calc!$V$79:$X$112,VLOOKUP(AX12,Foundation_Calc!$I$10:$J$13,2,FALSE),0),
IF(AX12="K",VLOOKUP(L12,Foundation_Calc!$V$116:$X$149,VLOOKUP(AX12,Foundation_Calc!$I$10:$J$13,2,FALSE),0),"")))</f>
        <v>C4R</v>
      </c>
      <c r="N12" s="468"/>
      <c r="O12" s="468"/>
      <c r="P12" s="468"/>
      <c r="Q12" s="4"/>
      <c r="R12" s="6"/>
      <c r="S12" s="6"/>
      <c r="T12" s="4">
        <v>0</v>
      </c>
      <c r="U12" s="4"/>
      <c r="V12" s="4"/>
      <c r="W12" s="9"/>
      <c r="X12" s="9"/>
      <c r="Y12" s="9"/>
      <c r="Z12" s="9"/>
      <c r="AA12" s="9"/>
      <c r="AB12" s="9"/>
      <c r="AC12" s="468" t="str">
        <f t="shared" si="1"/>
        <v/>
      </c>
      <c r="AD12" s="468"/>
      <c r="AE12" s="468"/>
      <c r="AF12" s="4"/>
      <c r="AG12" s="88"/>
      <c r="AH12" s="4"/>
      <c r="AI12" s="4"/>
      <c r="AJ12" s="468"/>
      <c r="AK12" s="468"/>
      <c r="AL12" s="468"/>
      <c r="AM12" s="468" t="s">
        <v>486</v>
      </c>
      <c r="AN12" s="10"/>
      <c r="AO12" s="9"/>
      <c r="AP12" s="9"/>
      <c r="AQ12" s="9"/>
      <c r="AR12" s="9"/>
      <c r="AS12" s="9"/>
      <c r="AT12" s="9"/>
      <c r="AU12" s="447"/>
      <c r="AV12" s="447"/>
      <c r="AW12" s="468" t="s">
        <v>2519</v>
      </c>
      <c r="AX12" s="468" t="s">
        <v>611</v>
      </c>
      <c r="AY12" s="10">
        <f>IF(L12="","",
IF(AX12="PT",VLOOKUP(L12,Foundation_Calc!$K$79:$R$112,VLOOKUP(AW12,Foundation_Calc!$I$2:$J$8,2,FALSE),0),
IF(AX12="K",VLOOKUP(L12,Foundation_Calc!$K$116:$R$149,VLOOKUP(AW12,Foundation_Calc!$I$2:$J$8,2,FALSE),0),"")))</f>
        <v>3.5</v>
      </c>
      <c r="AZ12" s="10">
        <f>IF(K12="","",
IF(AX12="PT",VLOOKUP(K12,Foundation_Calc!$K$79:$R$112,VLOOKUP(AW12,Foundation_Calc!$I$2:$J$8,2,FALSE),0),
IF(AX12="K",VLOOKUP(K12,Foundation_Calc!$K$116:$R$149,VLOOKUP(AW12,Foundation_Calc!$I$2:$J$8,2,FALSE),0),"")))</f>
        <v>2.8</v>
      </c>
      <c r="BA12" s="553" t="str">
        <f t="shared" si="2"/>
        <v>ü</v>
      </c>
      <c r="BB12" s="553" t="str">
        <f t="shared" si="2"/>
        <v>ü</v>
      </c>
      <c r="BC12" s="553" t="str">
        <f t="shared" si="3"/>
        <v/>
      </c>
      <c r="BD12" s="572" t="str">
        <f>IF(AND(L12="",H12=""),"",
IF(H12="",Pole_Calc!A$9,
IF(H12="MP",Pole_Calc!A$10,
IF(H12="AnMP",Pole_Calc!A$11,
IF(H12="A",Pole_Calc!A$12,
IF(H12="S/A",Pole_Calc!A$13,
IF(H12="A/S",Pole_Calc!A$14,"Poner a mano")))))))</f>
        <v>App.7-V11H-P9.5.1.6</v>
      </c>
      <c r="BE12" s="448" t="s">
        <v>1726</v>
      </c>
      <c r="BF12" s="306"/>
      <c r="BG12" s="306"/>
      <c r="BH12" s="306"/>
      <c r="BI12" s="306"/>
    </row>
    <row r="13" spans="1:63" ht="16.2" customHeight="1">
      <c r="A13" s="573"/>
      <c r="B13" s="469"/>
      <c r="C13" s="3"/>
      <c r="D13" s="88"/>
      <c r="E13" s="4"/>
      <c r="F13" s="4"/>
      <c r="G13" s="6">
        <v>29.7</v>
      </c>
      <c r="H13" s="468"/>
      <c r="I13" s="468" t="s">
        <v>482</v>
      </c>
      <c r="J13" s="3"/>
      <c r="K13" s="468"/>
      <c r="L13" s="468"/>
      <c r="M13" s="468" t="str">
        <f>IF(L13="","",
IF(AX13="PT",VLOOKUP(L13,Foundation_Calc!$V$79:$X$112,VLOOKUP(AX13,Foundation_Calc!$I$10:$J$13,2,FALSE),0),
IF(AX13="K",VLOOKUP(L13,Foundation_Calc!$V$116:$X$149,VLOOKUP(AX13,Foundation_Calc!$I$10:$J$13,2,FALSE),0),"")))</f>
        <v/>
      </c>
      <c r="N13" s="468"/>
      <c r="O13" s="468"/>
      <c r="P13" s="468"/>
      <c r="Q13" s="4"/>
      <c r="R13" s="6"/>
      <c r="S13" s="6"/>
      <c r="T13" s="4"/>
      <c r="U13" s="4"/>
      <c r="V13" s="4"/>
      <c r="W13" s="9"/>
      <c r="X13" s="9"/>
      <c r="Y13" s="9"/>
      <c r="Z13" s="9"/>
      <c r="AA13" s="9"/>
      <c r="AB13" s="9"/>
      <c r="AC13" s="468" t="str">
        <f t="shared" si="1"/>
        <v/>
      </c>
      <c r="AD13" s="468"/>
      <c r="AE13" s="468"/>
      <c r="AF13" s="4"/>
      <c r="AG13" s="88"/>
      <c r="AH13" s="4"/>
      <c r="AI13" s="4"/>
      <c r="AJ13" s="468"/>
      <c r="AK13" s="468"/>
      <c r="AL13" s="468"/>
      <c r="AM13" s="468"/>
      <c r="AN13" s="10"/>
      <c r="AO13" s="9"/>
      <c r="AP13" s="9"/>
      <c r="AQ13" s="9">
        <f>+FL_1($T$14,$T$12,$G$13,1200,9.28, 1*$F$14)</f>
        <v>0.38737529099024948</v>
      </c>
      <c r="AR13" s="9"/>
      <c r="AS13" s="9"/>
      <c r="AT13" s="9"/>
      <c r="AU13" s="447"/>
      <c r="AV13" s="447"/>
      <c r="AW13" s="468"/>
      <c r="AX13" s="468"/>
      <c r="AY13" s="10" t="str">
        <f>IF(L13="","",
IF(AX13="PT",VLOOKUP(L13,Foundation_Calc!$K$79:$R$112,VLOOKUP(AW13,Foundation_Calc!$I$2:$J$8,2,FALSE),0),
IF(AX13="K",VLOOKUP(L13,Foundation_Calc!$K$116:$R$149,VLOOKUP(AW13,Foundation_Calc!$I$2:$J$8,2,FALSE),0),"")))</f>
        <v/>
      </c>
      <c r="AZ13" s="10" t="str">
        <f>IF(K13="","",
IF(AX13="PT",VLOOKUP(K13,Foundation_Calc!$K$79:$R$112,VLOOKUP(AW13,Foundation_Calc!$I$2:$J$8,2,FALSE),0),
IF(AX13="K",VLOOKUP(K13,Foundation_Calc!$K$116:$R$149,VLOOKUP(AW13,Foundation_Calc!$I$2:$J$8,2,FALSE),0),"")))</f>
        <v/>
      </c>
      <c r="BA13" s="553" t="str">
        <f t="shared" si="2"/>
        <v/>
      </c>
      <c r="BB13" s="553" t="str">
        <f t="shared" si="2"/>
        <v/>
      </c>
      <c r="BC13" s="553" t="str">
        <f t="shared" si="3"/>
        <v/>
      </c>
      <c r="BD13" s="572" t="str">
        <f>IF(AND(L13="",H13=""),"",
IF(H13="",Pole_Calc!A$9,
IF(H13="MP",Pole_Calc!A$10,
IF(H13="AnMP",Pole_Calc!A$11,
IF(H13="A",Pole_Calc!A$12,
IF(H13="S/A",Pole_Calc!A$13,
IF(H13="A/S",Pole_Calc!A$14,"Poner a mano")))))))</f>
        <v/>
      </c>
      <c r="BE13" s="448" t="s">
        <v>1726</v>
      </c>
      <c r="BF13" s="305"/>
      <c r="BG13" s="305"/>
      <c r="BH13" s="306"/>
      <c r="BI13" s="305"/>
    </row>
    <row r="14" spans="1:63" ht="16.2" customHeight="1">
      <c r="A14" s="573"/>
      <c r="B14" s="638" t="s">
        <v>1859</v>
      </c>
      <c r="C14" s="3">
        <f>C12+G13</f>
        <v>-50</v>
      </c>
      <c r="D14" s="88"/>
      <c r="E14" s="4"/>
      <c r="F14" s="4">
        <v>-250</v>
      </c>
      <c r="G14" s="6"/>
      <c r="H14" s="468"/>
      <c r="I14" s="468"/>
      <c r="J14" s="3"/>
      <c r="K14" s="468"/>
      <c r="L14" s="468" t="s">
        <v>39</v>
      </c>
      <c r="M14" s="468" t="str">
        <f>IF(L14="","",
IF(AX14="PT",VLOOKUP(L14,Foundation_Calc!$V$79:$X$112,VLOOKUP(AX14,Foundation_Calc!$I$10:$J$13,2,FALSE),0),
IF(AX14="K",VLOOKUP(L14,Foundation_Calc!$V$116:$X$149,VLOOKUP(AX14,Foundation_Calc!$I$10:$J$13,2,FALSE),0),"")))</f>
        <v>C7R</v>
      </c>
      <c r="N14" s="468" t="s">
        <v>32</v>
      </c>
      <c r="O14" s="468"/>
      <c r="P14" s="468"/>
      <c r="Q14" s="4"/>
      <c r="R14" s="6"/>
      <c r="S14" s="6"/>
      <c r="T14" s="4">
        <v>-30</v>
      </c>
      <c r="U14" s="4"/>
      <c r="V14" s="4"/>
      <c r="W14" s="9">
        <v>1.4</v>
      </c>
      <c r="X14" s="9"/>
      <c r="Y14" s="9"/>
      <c r="Z14" s="9"/>
      <c r="AA14" s="9"/>
      <c r="AB14" s="9"/>
      <c r="AC14" s="468" t="str">
        <f t="shared" si="1"/>
        <v>PHC</v>
      </c>
      <c r="AD14" s="468"/>
      <c r="AE14" s="468"/>
      <c r="AF14" s="4"/>
      <c r="AG14" s="88"/>
      <c r="AH14" s="4"/>
      <c r="AI14" s="4"/>
      <c r="AJ14" s="468"/>
      <c r="AK14" s="468"/>
      <c r="AL14" s="468"/>
      <c r="AM14" s="468" t="s">
        <v>486</v>
      </c>
      <c r="AN14" s="10">
        <v>5.25</v>
      </c>
      <c r="AO14" s="9"/>
      <c r="AP14" s="9"/>
      <c r="AQ14" s="9"/>
      <c r="AR14" s="9"/>
      <c r="AS14" s="9"/>
      <c r="AT14" s="9">
        <f>+ab($T$14,$T$12,$T$16,$G$13,$G$15, 1*$F$14,1200)</f>
        <v>-1.4103750014560448</v>
      </c>
      <c r="AU14" s="447"/>
      <c r="AV14" s="447"/>
      <c r="AW14" s="468" t="s">
        <v>2519</v>
      </c>
      <c r="AX14" s="468" t="s">
        <v>611</v>
      </c>
      <c r="AY14" s="10">
        <f>IF(L14="","",
IF(AX14="PT",VLOOKUP(L14,Foundation_Calc!$K$79:$R$112,VLOOKUP(AW14,Foundation_Calc!$I$2:$J$8,2,FALSE),0),
IF(AX14="K",VLOOKUP(L14,Foundation_Calc!$K$116:$R$149,VLOOKUP(AW14,Foundation_Calc!$I$2:$J$8,2,FALSE),0),"")))</f>
        <v>4</v>
      </c>
      <c r="AZ14" s="10" t="str">
        <f>IF(K14="","",
IF(AX14="PT",VLOOKUP(K14,Foundation_Calc!$K$79:$R$112,VLOOKUP(AW14,Foundation_Calc!$I$2:$J$8,2,FALSE),0),
IF(AX14="K",VLOOKUP(K14,Foundation_Calc!$K$116:$R$149,VLOOKUP(AW14,Foundation_Calc!$I$2:$J$8,2,FALSE),0),"")))</f>
        <v/>
      </c>
      <c r="BA14" s="553" t="str">
        <f t="shared" si="2"/>
        <v>ü</v>
      </c>
      <c r="BB14" s="553" t="str">
        <f t="shared" si="2"/>
        <v/>
      </c>
      <c r="BC14" s="553" t="str">
        <f t="shared" si="3"/>
        <v/>
      </c>
      <c r="BD14" s="572" t="str">
        <f>IF(AND(L14="",H14=""),"",
IF(H14="",Pole_Calc!A$9,
IF(H14="MP",Pole_Calc!A$10,
IF(H14="AnMP",Pole_Calc!A$11,
IF(H14="A",Pole_Calc!A$12,
IF(H14="S/A",Pole_Calc!A$13,
IF(H14="A/S",Pole_Calc!A$14,"Poner a mano")))))))</f>
        <v>App.7-V11H-P9.5.1.1</v>
      </c>
      <c r="BE14" s="448" t="s">
        <v>1726</v>
      </c>
      <c r="BF14" s="306"/>
      <c r="BG14" s="306"/>
      <c r="BH14" s="306"/>
      <c r="BI14" s="306"/>
    </row>
    <row r="15" spans="1:63" ht="16.2" customHeight="1">
      <c r="A15" s="573"/>
      <c r="B15" s="469"/>
      <c r="C15" s="3"/>
      <c r="D15" s="88"/>
      <c r="E15" s="4"/>
      <c r="F15" s="4"/>
      <c r="G15" s="6">
        <v>34</v>
      </c>
      <c r="H15" s="468"/>
      <c r="I15" s="468"/>
      <c r="J15" s="3"/>
      <c r="K15" s="468"/>
      <c r="L15" s="468"/>
      <c r="M15" s="468" t="str">
        <f>IF(L15="","",
IF(AX15="PT",VLOOKUP(L15,Foundation_Calc!$V$79:$X$112,VLOOKUP(AX15,Foundation_Calc!$I$10:$J$13,2,FALSE),0),
IF(AX15="K",VLOOKUP(L15,Foundation_Calc!$V$116:$X$149,VLOOKUP(AX15,Foundation_Calc!$I$10:$J$13,2,FALSE),0),"")))</f>
        <v/>
      </c>
      <c r="N15" s="468"/>
      <c r="O15" s="468"/>
      <c r="P15" s="468"/>
      <c r="Q15" s="4"/>
      <c r="R15" s="6"/>
      <c r="S15" s="6"/>
      <c r="T15" s="4"/>
      <c r="U15" s="4"/>
      <c r="V15" s="4"/>
      <c r="W15" s="9"/>
      <c r="X15" s="9"/>
      <c r="Y15" s="9"/>
      <c r="Z15" s="9"/>
      <c r="AA15" s="9"/>
      <c r="AB15" s="9"/>
      <c r="AC15" s="468" t="str">
        <f t="shared" si="1"/>
        <v/>
      </c>
      <c r="AD15" s="468"/>
      <c r="AE15" s="468"/>
      <c r="AF15" s="4"/>
      <c r="AG15" s="88"/>
      <c r="AH15" s="4"/>
      <c r="AI15" s="4"/>
      <c r="AJ15" s="468"/>
      <c r="AK15" s="468"/>
      <c r="AL15" s="468"/>
      <c r="AM15" s="468"/>
      <c r="AN15" s="10"/>
      <c r="AO15" s="9"/>
      <c r="AP15" s="9"/>
      <c r="AQ15" s="9">
        <f>+FL_2($T$16,$T$14,$G$15,1200,9.28, 1*$F$16)</f>
        <v>-0.43814491764705876</v>
      </c>
      <c r="AR15" s="9"/>
      <c r="AS15" s="9"/>
      <c r="AT15" s="9"/>
      <c r="AU15" s="447"/>
      <c r="AV15" s="447"/>
      <c r="AW15" s="468" t="str">
        <f>IF(C15&gt;0,VLOOKUP(C15,Foundation_Calc!$A$2:$C$13,3,1),
IF(J15&gt;0,VLOOKUP(J15,Foundation_Calc!$A$2:$C$13,3,1),""))</f>
        <v/>
      </c>
      <c r="AX15" s="468" t="str">
        <f>IF(C15&gt;0,VLOOKUP(C15,Foundation_Calc!$E$2:$G$13,3,1),
IF(J15&gt;0,VLOOKUP(J15,Foundation_Calc!$E$2:$G$13,3,1),""))</f>
        <v/>
      </c>
      <c r="AY15" s="10" t="str">
        <f>IF(L15="","",
IF(AX15="PT",VLOOKUP(L15,Foundation_Calc!$K$79:$R$112,VLOOKUP(AW15,Foundation_Calc!$I$2:$J$8,2,FALSE),0),
IF(AX15="K",VLOOKUP(L15,Foundation_Calc!$K$116:$R$149,VLOOKUP(AW15,Foundation_Calc!$I$2:$J$8,2,FALSE),0),"")))</f>
        <v/>
      </c>
      <c r="AZ15" s="10" t="str">
        <f>IF(K15="","",
IF(AX15="PT",VLOOKUP(K15,Foundation_Calc!$K$79:$R$112,VLOOKUP(AW15,Foundation_Calc!$I$2:$J$8,2,FALSE),0),
IF(AX15="K",VLOOKUP(K15,Foundation_Calc!$K$116:$R$149,VLOOKUP(AW15,Foundation_Calc!$I$2:$J$8,2,FALSE),0),"")))</f>
        <v/>
      </c>
      <c r="BA15" s="553" t="str">
        <f t="shared" si="2"/>
        <v/>
      </c>
      <c r="BB15" s="553" t="str">
        <f t="shared" si="2"/>
        <v/>
      </c>
      <c r="BC15" s="553" t="str">
        <f t="shared" si="3"/>
        <v/>
      </c>
      <c r="BD15" s="572" t="str">
        <f>IF(AND(L15="",H15=""),"",
IF(H15="",Pole_Calc!A$9,
IF(H15="MP",Pole_Calc!A$10,
IF(H15="AnMP",Pole_Calc!A$11,
IF(H15="A",Pole_Calc!A$12,
IF(H15="S/A",Pole_Calc!A$13,
IF(H15="A/S",Pole_Calc!A$14,"Poner a mano")))))))</f>
        <v/>
      </c>
      <c r="BE15" s="448" t="s">
        <v>1726</v>
      </c>
      <c r="BF15" s="305"/>
      <c r="BG15" s="305"/>
      <c r="BH15" s="306"/>
      <c r="BI15" s="305"/>
    </row>
    <row r="16" spans="1:63" ht="16.2" customHeight="1">
      <c r="A16" s="573"/>
      <c r="B16" s="498" t="s">
        <v>1860</v>
      </c>
      <c r="C16" s="499">
        <v>108.55</v>
      </c>
      <c r="D16" s="88"/>
      <c r="E16" s="4"/>
      <c r="F16" s="4">
        <v>0</v>
      </c>
      <c r="G16" s="6"/>
      <c r="H16" s="468" t="s">
        <v>1739</v>
      </c>
      <c r="I16" s="468"/>
      <c r="J16" s="3"/>
      <c r="K16" s="468"/>
      <c r="L16" s="602" t="s">
        <v>325</v>
      </c>
      <c r="M16" s="602" t="s">
        <v>677</v>
      </c>
      <c r="N16" s="468" t="s">
        <v>32</v>
      </c>
      <c r="O16" s="669" t="s">
        <v>33</v>
      </c>
      <c r="P16" s="468"/>
      <c r="Q16" s="4"/>
      <c r="R16" s="6"/>
      <c r="S16" s="6"/>
      <c r="T16" s="4">
        <v>-35</v>
      </c>
      <c r="U16" s="4">
        <v>-20</v>
      </c>
      <c r="V16" s="4"/>
      <c r="W16" s="9">
        <v>1.8</v>
      </c>
      <c r="X16" s="9">
        <v>1.4</v>
      </c>
      <c r="Y16" s="9"/>
      <c r="Z16" s="9"/>
      <c r="AA16" s="9"/>
      <c r="AB16" s="9"/>
      <c r="AC16" s="468" t="s">
        <v>647</v>
      </c>
      <c r="AD16" s="468" t="s">
        <v>1068</v>
      </c>
      <c r="AE16" s="468"/>
      <c r="AF16" s="4"/>
      <c r="AG16" s="88"/>
      <c r="AH16" s="4"/>
      <c r="AI16" s="4"/>
      <c r="AJ16" s="468"/>
      <c r="AK16" s="468"/>
      <c r="AL16" s="468" t="s">
        <v>1113</v>
      </c>
      <c r="AM16" s="468" t="s">
        <v>486</v>
      </c>
      <c r="AN16" s="10">
        <v>5.25</v>
      </c>
      <c r="AO16" s="9"/>
      <c r="AP16" s="9"/>
      <c r="AQ16" s="9"/>
      <c r="AR16" s="9"/>
      <c r="AS16" s="9"/>
      <c r="AT16" s="9">
        <f>+ab($T$16,$T$14,$T$18,$G$15,$G$17, 1*$F$16,1200)</f>
        <v>-14.77884154606123</v>
      </c>
      <c r="AU16" s="447"/>
      <c r="AV16" s="447"/>
      <c r="AW16" s="468" t="str">
        <f>IF(C16&gt;0,VLOOKUP(C16,Foundation_Calc!$A$2:$C$13,3,1),
IF(J16&gt;0,VLOOKUP(J16,Foundation_Calc!$A$2:$C$13,3,1),""))</f>
        <v>MultiSoil</v>
      </c>
      <c r="AX16" s="468" t="str">
        <f>IF(C16&gt;0,VLOOKUP(C16,Foundation_Calc!$E$2:$G$13,3,1),
IF(J16&gt;0,VLOOKUP(J16,Foundation_Calc!$E$2:$G$13,3,1),""))</f>
        <v>PT</v>
      </c>
      <c r="AY16" s="10"/>
      <c r="AZ16" s="10" t="str">
        <f>IF(K16="","",
IF(AX16="PT",VLOOKUP(K16,Foundation_Calc!$K$79:$R$112,VLOOKUP(AW16,Foundation_Calc!$I$2:$J$8,2,FALSE),0),
IF(AX16="K",VLOOKUP(K16,Foundation_Calc!$K$116:$R$149,VLOOKUP(AW16,Foundation_Calc!$I$2:$J$8,2,FALSE),0),"")))</f>
        <v/>
      </c>
      <c r="BA16" s="553" t="str">
        <f t="shared" si="2"/>
        <v/>
      </c>
      <c r="BB16" s="553" t="str">
        <f t="shared" si="2"/>
        <v/>
      </c>
      <c r="BC16" s="553" t="str">
        <f t="shared" si="3"/>
        <v/>
      </c>
      <c r="BD16" s="572" t="str">
        <f>Pole_Calc!A$251</f>
        <v>App.8-V08H-P10.3</v>
      </c>
      <c r="BE16" s="448" t="s">
        <v>1726</v>
      </c>
      <c r="BF16" s="306"/>
      <c r="BG16" s="306"/>
      <c r="BH16" s="306"/>
      <c r="BI16" s="306"/>
    </row>
    <row r="17" spans="1:61" ht="16.2" customHeight="1">
      <c r="A17" s="573"/>
      <c r="B17" s="469"/>
      <c r="C17" s="3"/>
      <c r="D17" s="88"/>
      <c r="E17" s="4"/>
      <c r="F17" s="4"/>
      <c r="G17" s="6">
        <v>49</v>
      </c>
      <c r="H17" s="468"/>
      <c r="I17" s="468"/>
      <c r="J17" s="3">
        <f>C18-7.5</f>
        <v>150.05000000000001</v>
      </c>
      <c r="K17" s="468" t="s">
        <v>1095</v>
      </c>
      <c r="L17" s="468"/>
      <c r="M17" s="468" t="str">
        <f>IF(L17="","",
IF(AX17="PT",VLOOKUP(L17,Foundation_Calc!$V$79:$X$112,VLOOKUP(AX17,Foundation_Calc!$I$10:$J$13,2,FALSE),0),
IF(AX17="K",VLOOKUP(L17,Foundation_Calc!$V$116:$X$149,VLOOKUP(AX17,Foundation_Calc!$I$10:$J$13,2,FALSE),0),"")))</f>
        <v/>
      </c>
      <c r="N17" s="468"/>
      <c r="O17" s="468"/>
      <c r="P17" s="468"/>
      <c r="Q17" s="4"/>
      <c r="R17" s="6"/>
      <c r="S17" s="6"/>
      <c r="T17" s="4"/>
      <c r="U17" s="4"/>
      <c r="V17" s="4"/>
      <c r="W17" s="9"/>
      <c r="X17" s="9"/>
      <c r="Y17" s="9"/>
      <c r="Z17" s="9"/>
      <c r="AA17" s="9"/>
      <c r="AB17" s="9"/>
      <c r="AC17" s="468" t="str">
        <f t="shared" si="1"/>
        <v/>
      </c>
      <c r="AD17" s="468"/>
      <c r="AE17" s="468"/>
      <c r="AF17" s="4"/>
      <c r="AG17" s="88"/>
      <c r="AH17" s="4"/>
      <c r="AI17" s="4"/>
      <c r="AJ17" s="468"/>
      <c r="AK17" s="468"/>
      <c r="AL17" s="468"/>
      <c r="AM17" s="468"/>
      <c r="AN17" s="10"/>
      <c r="AO17" s="9"/>
      <c r="AP17" s="9"/>
      <c r="AQ17" s="9">
        <f>+FL_2($T$18,$T$16,$G$17,1200,9.28, 1*$F$18)</f>
        <v>-0.36493346032361018</v>
      </c>
      <c r="AR17" s="9"/>
      <c r="AS17" s="9"/>
      <c r="AT17" s="9"/>
      <c r="AU17" s="447"/>
      <c r="AV17" s="447"/>
      <c r="AW17" s="468" t="str">
        <f>IF(C17&gt;0,VLOOKUP(C17,Foundation_Calc!$A$2:$C$13,3,1),
IF(J17&gt;0,VLOOKUP(J17,Foundation_Calc!$A$2:$C$13,3,1),""))</f>
        <v>MultiSoil</v>
      </c>
      <c r="AX17" s="468" t="str">
        <f>IF(C17&gt;0,VLOOKUP(C17,Foundation_Calc!$E$2:$G$13,3,1),
IF(J17&gt;0,VLOOKUP(J17,Foundation_Calc!$E$2:$G$13,3,1),""))</f>
        <v>PT</v>
      </c>
      <c r="AY17" s="10" t="str">
        <f>IF(L17="","",
IF(AX17="PT",VLOOKUP(L17,Foundation_Calc!$K$79:$R$112,VLOOKUP(AW17,Foundation_Calc!$I$2:$J$8,2,FALSE),0),
IF(AX17="K",VLOOKUP(L17,Foundation_Calc!$K$116:$R$149,VLOOKUP(AW17,Foundation_Calc!$I$2:$J$8,2,FALSE),0),"")))</f>
        <v/>
      </c>
      <c r="AZ17" s="10">
        <f>IF(K17="","",
IF(AX17="PT",VLOOKUP(K17,Foundation_Calc!$K$79:$R$112,VLOOKUP(AW17,Foundation_Calc!$I$2:$J$8,2,FALSE),0),
IF(AX17="K",VLOOKUP(K17,Foundation_Calc!$K$116:$R$149,VLOOKUP(AW17,Foundation_Calc!$I$2:$J$8,2,FALSE),0),"")))</f>
        <v>3.9</v>
      </c>
      <c r="BA17" s="553" t="str">
        <f t="shared" si="2"/>
        <v/>
      </c>
      <c r="BB17" s="553" t="str">
        <f t="shared" si="2"/>
        <v>ü</v>
      </c>
      <c r="BC17" s="553" t="str">
        <f t="shared" si="3"/>
        <v/>
      </c>
      <c r="BD17" s="572" t="str">
        <f>IF(AND(L17="",H17=""),"",
IF(H17="",Pole_Calc!A$9,
IF(H17="MP",Pole_Calc!A$10,
IF(H17="AnMP",Pole_Calc!A$11,
IF(H17="A",Pole_Calc!A$12,
IF(H17="S/A",Pole_Calc!A$13,
IF(H17="A/S",Pole_Calc!A$14,"Poner a mano")))))))</f>
        <v/>
      </c>
      <c r="BE17" s="448" t="s">
        <v>1726</v>
      </c>
      <c r="BF17" s="305"/>
      <c r="BG17" s="305"/>
      <c r="BH17" s="306"/>
      <c r="BI17" s="305"/>
    </row>
    <row r="18" spans="1:61" ht="16.2" customHeight="1">
      <c r="A18" s="573"/>
      <c r="B18" s="638" t="s">
        <v>1864</v>
      </c>
      <c r="C18" s="3">
        <f>+$C$16+$G$17</f>
        <v>157.55000000000001</v>
      </c>
      <c r="D18" s="88"/>
      <c r="E18" s="4"/>
      <c r="F18" s="4">
        <v>-7283.72</v>
      </c>
      <c r="G18" s="6"/>
      <c r="H18" s="468" t="s">
        <v>906</v>
      </c>
      <c r="I18" s="468" t="s">
        <v>182</v>
      </c>
      <c r="J18" s="3"/>
      <c r="K18" s="468"/>
      <c r="L18" s="468" t="s">
        <v>448</v>
      </c>
      <c r="M18" s="468" t="str">
        <f>IF(L18="","",
IF(AX18="PT",VLOOKUP(L18,Foundation_Calc!$V$79:$X$112,VLOOKUP(AX18,Foundation_Calc!$I$10:$J$13,2,FALSE),0),
IF(AX18="K",VLOOKUP(L18,Foundation_Calc!$V$116:$X$149,VLOOKUP(AX18,Foundation_Calc!$I$10:$J$13,2,FALSE),0),"")))</f>
        <v>2C3R</v>
      </c>
      <c r="N18" s="468" t="s">
        <v>33</v>
      </c>
      <c r="O18" s="669" t="s">
        <v>28</v>
      </c>
      <c r="P18" s="468"/>
      <c r="Q18" s="4"/>
      <c r="R18" s="6"/>
      <c r="S18" s="6"/>
      <c r="T18" s="4">
        <v>20</v>
      </c>
      <c r="U18" s="4">
        <v>55</v>
      </c>
      <c r="V18" s="4"/>
      <c r="W18" s="9">
        <v>1.8</v>
      </c>
      <c r="X18" s="9">
        <v>1.4</v>
      </c>
      <c r="Y18" s="9"/>
      <c r="Z18" s="9"/>
      <c r="AA18" s="9">
        <v>0.45</v>
      </c>
      <c r="AB18" s="9"/>
      <c r="AC18" s="468" t="str">
        <f t="shared" si="1"/>
        <v>PH</v>
      </c>
      <c r="AD18" s="468"/>
      <c r="AE18" s="468"/>
      <c r="AF18" s="4"/>
      <c r="AG18" s="88"/>
      <c r="AH18" s="4"/>
      <c r="AI18" s="4"/>
      <c r="AJ18" s="468"/>
      <c r="AK18" s="468"/>
      <c r="AL18" s="468"/>
      <c r="AM18" s="468" t="s">
        <v>486</v>
      </c>
      <c r="AN18" s="10">
        <v>5.25</v>
      </c>
      <c r="AO18" s="9"/>
      <c r="AP18" s="9"/>
      <c r="AQ18" s="9"/>
      <c r="AR18" s="9"/>
      <c r="AS18" s="9"/>
      <c r="AT18" s="9">
        <f>+ab($T$18,$T$16,$U$20,$G$17,$G$19, 1*$F$18,1200)</f>
        <v>11.038378839346125</v>
      </c>
      <c r="AU18" s="447"/>
      <c r="AV18" s="447"/>
      <c r="AW18" s="468" t="str">
        <f>IF(C18&gt;0,VLOOKUP(C18,Foundation_Calc!$A$2:$C$13,3,1),
IF(J18&gt;0,VLOOKUP(J18,Foundation_Calc!$A$2:$C$13,3,1),""))</f>
        <v>MultiSoil</v>
      </c>
      <c r="AX18" s="468" t="str">
        <f>IF(C18&gt;0,VLOOKUP(C18,Foundation_Calc!$E$2:$G$13,3,1),
IF(J18&gt;0,VLOOKUP(J18,Foundation_Calc!$E$2:$G$13,3,1),""))</f>
        <v>PT</v>
      </c>
      <c r="AY18" s="10">
        <f>IF(L18="","",
IF(AX18="PT",VLOOKUP(L18,Foundation_Calc!$K$79:$R$112,VLOOKUP(AW18,Foundation_Calc!$I$2:$J$8,2,FALSE),0),
IF(AX18="K",VLOOKUP(L18,Foundation_Calc!$K$116:$R$149,VLOOKUP(AW18,Foundation_Calc!$I$2:$J$8,2,FALSE),0),"")))</f>
        <v>3.7</v>
      </c>
      <c r="AZ18" s="10" t="str">
        <f>IF(K18="","",
IF(AX18="PT",VLOOKUP(K18,Foundation_Calc!$K$79:$R$112,VLOOKUP(AW18,Foundation_Calc!$I$2:$J$8,2,FALSE),0),
IF(AX18="K",VLOOKUP(K18,Foundation_Calc!$K$116:$R$149,VLOOKUP(AW18,Foundation_Calc!$I$2:$J$8,2,FALSE),0),"")))</f>
        <v/>
      </c>
      <c r="BA18" s="553" t="str">
        <f t="shared" si="2"/>
        <v>ü</v>
      </c>
      <c r="BB18" s="553" t="str">
        <f t="shared" si="2"/>
        <v/>
      </c>
      <c r="BC18" s="553" t="str">
        <f t="shared" si="3"/>
        <v/>
      </c>
      <c r="BD18" s="572" t="str">
        <f>Pole_Calc!A$16</f>
        <v>App.7-V11H-P9.5.1.8</v>
      </c>
      <c r="BE18" s="448" t="s">
        <v>1726</v>
      </c>
      <c r="BF18" s="306"/>
      <c r="BG18" s="306"/>
      <c r="BH18" s="306"/>
      <c r="BI18" s="306"/>
    </row>
    <row r="19" spans="1:61" ht="16.2" customHeight="1">
      <c r="A19" s="573"/>
      <c r="B19" s="469"/>
      <c r="C19" s="3"/>
      <c r="D19" s="88"/>
      <c r="E19" s="4"/>
      <c r="F19" s="4"/>
      <c r="G19" s="6">
        <v>41.2</v>
      </c>
      <c r="H19" s="468"/>
      <c r="I19" s="4">
        <f>SUM(G13:G19)</f>
        <v>153.9</v>
      </c>
      <c r="J19" s="3"/>
      <c r="K19" s="468"/>
      <c r="L19" s="468"/>
      <c r="M19" s="468" t="str">
        <f>IF(L19="","",
IF(AX19="PT",VLOOKUP(L19,Foundation_Calc!$V$79:$X$112,VLOOKUP(AX19,Foundation_Calc!$I$10:$J$13,2,FALSE),0),
IF(AX19="K",VLOOKUP(L19,Foundation_Calc!$V$116:$X$149,VLOOKUP(AX19,Foundation_Calc!$I$10:$J$13,2,FALSE),0),"")))</f>
        <v/>
      </c>
      <c r="N19" s="468"/>
      <c r="O19" s="468"/>
      <c r="P19" s="468"/>
      <c r="Q19" s="4"/>
      <c r="R19" s="6"/>
      <c r="S19" s="6"/>
      <c r="T19" s="4"/>
      <c r="U19" s="4"/>
      <c r="V19" s="4"/>
      <c r="W19" s="9"/>
      <c r="X19" s="9"/>
      <c r="Y19" s="9"/>
      <c r="Z19" s="9"/>
      <c r="AA19" s="9"/>
      <c r="AB19" s="9"/>
      <c r="AC19" s="468" t="str">
        <f t="shared" si="1"/>
        <v/>
      </c>
      <c r="AD19" s="468"/>
      <c r="AE19" s="468"/>
      <c r="AF19" s="4"/>
      <c r="AG19" s="88"/>
      <c r="AH19" s="4"/>
      <c r="AI19" s="4"/>
      <c r="AJ19" s="468"/>
      <c r="AK19" s="468"/>
      <c r="AL19" s="468"/>
      <c r="AM19" s="468"/>
      <c r="AN19" s="10"/>
      <c r="AO19" s="9"/>
      <c r="AP19" s="9"/>
      <c r="AQ19" s="9">
        <f>+FL_1($U$20,$T$18,$G$19,1200,9.28, 1*$F$20)</f>
        <v>0.31515096385966063</v>
      </c>
      <c r="AR19" s="9"/>
      <c r="AS19" s="9"/>
      <c r="AT19" s="9"/>
      <c r="AU19" s="447"/>
      <c r="AV19" s="447"/>
      <c r="AW19" s="468" t="str">
        <f>IF(C19&gt;0,VLOOKUP(C19,Foundation_Calc!$A$2:$C$13,3,1),
IF(J19&gt;0,VLOOKUP(J19,Foundation_Calc!$A$2:$C$13,3,1),""))</f>
        <v/>
      </c>
      <c r="AX19" s="468" t="str">
        <f>IF(C19&gt;0,VLOOKUP(C19,Foundation_Calc!$E$2:$G$13,3,1),
IF(J19&gt;0,VLOOKUP(J19,Foundation_Calc!$E$2:$G$13,3,1),""))</f>
        <v/>
      </c>
      <c r="AY19" s="10" t="str">
        <f>IF(L19="","",
IF(AX19="PT",VLOOKUP(L19,Foundation_Calc!$K$79:$R$112,VLOOKUP(AW19,Foundation_Calc!$I$2:$J$8,2,FALSE),0),
IF(AX19="K",VLOOKUP(L19,Foundation_Calc!$K$116:$R$149,VLOOKUP(AW19,Foundation_Calc!$I$2:$J$8,2,FALSE),0),"")))</f>
        <v/>
      </c>
      <c r="AZ19" s="10" t="str">
        <f>IF(K19="","",
IF(AX19="PT",VLOOKUP(K19,Foundation_Calc!$K$79:$R$112,VLOOKUP(AW19,Foundation_Calc!$I$2:$J$8,2,FALSE),0),
IF(AX19="K",VLOOKUP(K19,Foundation_Calc!$K$116:$R$149,VLOOKUP(AW19,Foundation_Calc!$I$2:$J$8,2,FALSE),0),"")))</f>
        <v/>
      </c>
      <c r="BA19" s="553" t="str">
        <f t="shared" si="2"/>
        <v/>
      </c>
      <c r="BB19" s="553" t="str">
        <f t="shared" si="2"/>
        <v/>
      </c>
      <c r="BC19" s="553" t="str">
        <f t="shared" si="3"/>
        <v/>
      </c>
      <c r="BD19" s="572" t="str">
        <f>IF(AND(L19="",H19=""),"",
IF(H19="",Pole_Calc!A$9,
IF(H19="MP",Pole_Calc!A$10,
IF(H19="AnMP",Pole_Calc!A$11,
IF(H19="A",Pole_Calc!A$12,
IF(H19="S/A",Pole_Calc!A$13,
IF(H19="A/S",Pole_Calc!A$14,"Poner a mano")))))))</f>
        <v/>
      </c>
      <c r="BE19" s="448" t="s">
        <v>1726</v>
      </c>
      <c r="BF19" s="305"/>
      <c r="BG19" s="305"/>
      <c r="BH19" s="306"/>
      <c r="BI19" s="305"/>
    </row>
    <row r="20" spans="1:61" ht="16.2" customHeight="1">
      <c r="A20" s="573"/>
      <c r="B20" s="638" t="s">
        <v>1865</v>
      </c>
      <c r="C20" s="3">
        <f>+$C$18+$G$19</f>
        <v>198.75</v>
      </c>
      <c r="D20" s="88"/>
      <c r="E20" s="4"/>
      <c r="F20" s="4">
        <v>-1400</v>
      </c>
      <c r="G20" s="6"/>
      <c r="H20" s="468" t="s">
        <v>1863</v>
      </c>
      <c r="I20" s="468" t="s">
        <v>182</v>
      </c>
      <c r="J20" s="3"/>
      <c r="K20" s="468"/>
      <c r="L20" s="468" t="s">
        <v>448</v>
      </c>
      <c r="M20" s="468" t="str">
        <f>IF(L20="","",
IF(AX20="PT",VLOOKUP(L20,Foundation_Calc!$V$79:$X$112,VLOOKUP(AX20,Foundation_Calc!$I$10:$J$13,2,FALSE),0),
IF(AX20="K",VLOOKUP(L20,Foundation_Calc!$V$116:$X$149,VLOOKUP(AX20,Foundation_Calc!$I$10:$J$13,2,FALSE),0),"")))</f>
        <v>2C3R</v>
      </c>
      <c r="N20" s="468" t="s">
        <v>28</v>
      </c>
      <c r="O20" s="468" t="s">
        <v>32</v>
      </c>
      <c r="P20" s="468"/>
      <c r="Q20" s="4"/>
      <c r="R20" s="6"/>
      <c r="S20" s="6"/>
      <c r="T20" s="4">
        <v>15</v>
      </c>
      <c r="U20" s="4">
        <v>-30</v>
      </c>
      <c r="V20" s="4"/>
      <c r="W20" s="9">
        <v>1.4</v>
      </c>
      <c r="X20" s="9">
        <v>2.2999999999999998</v>
      </c>
      <c r="Y20" s="9"/>
      <c r="Z20" s="9">
        <v>0.45</v>
      </c>
      <c r="AA20" s="9"/>
      <c r="AB20" s="9"/>
      <c r="AC20" s="468"/>
      <c r="AD20" s="468"/>
      <c r="AE20" s="468"/>
      <c r="AF20" s="4"/>
      <c r="AG20" s="88"/>
      <c r="AH20" s="4"/>
      <c r="AI20" s="4"/>
      <c r="AJ20" s="468"/>
      <c r="AK20" s="468"/>
      <c r="AL20" s="468"/>
      <c r="AM20" s="468" t="s">
        <v>486</v>
      </c>
      <c r="AN20" s="10">
        <v>5.25</v>
      </c>
      <c r="AO20" s="9"/>
      <c r="AP20" s="9"/>
      <c r="AQ20" s="9"/>
      <c r="AR20" s="9"/>
      <c r="AS20" s="9"/>
      <c r="AT20" s="9">
        <f>+ab($U$20,$T$18,$T$22,$G$19,$G$21, 1*$F$20,1200)</f>
        <v>-3.3799853508843549</v>
      </c>
      <c r="AU20" s="447"/>
      <c r="AV20" s="447"/>
      <c r="AW20" s="468" t="str">
        <f>IF(C20&gt;0,VLOOKUP(C20,Foundation_Calc!$A$2:$C$13,3,1),
IF(J20&gt;0,VLOOKUP(J20,Foundation_Calc!$A$2:$C$13,3,1),""))</f>
        <v>MultiSoil</v>
      </c>
      <c r="AX20" s="468" t="str">
        <f>IF(C20&gt;0,VLOOKUP(C20,Foundation_Calc!$E$2:$G$13,3,1),
IF(J20&gt;0,VLOOKUP(J20,Foundation_Calc!$E$2:$G$13,3,1),""))</f>
        <v>PT</v>
      </c>
      <c r="AY20" s="10">
        <f>IF(L20="","",
IF(AX20="PT",VLOOKUP(L20,Foundation_Calc!$K$79:$R$112,VLOOKUP(AW20,Foundation_Calc!$I$2:$J$8,2,FALSE),0),
IF(AX20="K",VLOOKUP(L20,Foundation_Calc!$K$116:$R$149,VLOOKUP(AW20,Foundation_Calc!$I$2:$J$8,2,FALSE),0),"")))</f>
        <v>3.7</v>
      </c>
      <c r="AZ20" s="10" t="str">
        <f>IF(K20="","",
IF(AX20="PT",VLOOKUP(K20,Foundation_Calc!$K$79:$R$112,VLOOKUP(AW20,Foundation_Calc!$I$2:$J$8,2,FALSE),0),
IF(AX20="K",VLOOKUP(K20,Foundation_Calc!$K$116:$R$149,VLOOKUP(AW20,Foundation_Calc!$I$2:$J$8,2,FALSE),0),"")))</f>
        <v/>
      </c>
      <c r="BA20" s="553" t="str">
        <f t="shared" si="2"/>
        <v>ü</v>
      </c>
      <c r="BB20" s="553" t="str">
        <f t="shared" si="2"/>
        <v/>
      </c>
      <c r="BC20" s="553" t="str">
        <f t="shared" si="3"/>
        <v/>
      </c>
      <c r="BD20" s="572" t="str">
        <f>Pole_Calc!A$16</f>
        <v>App.7-V11H-P9.5.1.8</v>
      </c>
      <c r="BE20" s="448" t="s">
        <v>1726</v>
      </c>
      <c r="BF20" s="306"/>
      <c r="BG20" s="306"/>
      <c r="BH20" s="306"/>
      <c r="BI20" s="306"/>
    </row>
    <row r="21" spans="1:61" ht="16.2" customHeight="1">
      <c r="A21" s="573"/>
      <c r="B21" s="469"/>
      <c r="C21" s="3"/>
      <c r="D21" s="88"/>
      <c r="E21" s="4"/>
      <c r="F21" s="4"/>
      <c r="G21" s="6">
        <v>50</v>
      </c>
      <c r="H21" s="468"/>
      <c r="I21" s="468"/>
      <c r="J21" s="3">
        <f>C20+7.5</f>
        <v>206.25</v>
      </c>
      <c r="K21" s="468" t="s">
        <v>1095</v>
      </c>
      <c r="L21" s="468"/>
      <c r="M21" s="468" t="str">
        <f>IF(L21="","",
IF(AX21="PT",VLOOKUP(L21,Foundation_Calc!$V$79:$X$112,VLOOKUP(AX21,Foundation_Calc!$I$10:$J$13,2,FALSE),0),
IF(AX21="K",VLOOKUP(L21,Foundation_Calc!$V$116:$X$149,VLOOKUP(AX21,Foundation_Calc!$I$10:$J$13,2,FALSE),0),"")))</f>
        <v/>
      </c>
      <c r="N21" s="468"/>
      <c r="O21" s="468"/>
      <c r="P21" s="468"/>
      <c r="Q21" s="4"/>
      <c r="R21" s="6"/>
      <c r="S21" s="6"/>
      <c r="T21" s="4"/>
      <c r="U21" s="4"/>
      <c r="V21" s="4"/>
      <c r="W21" s="9"/>
      <c r="X21" s="9"/>
      <c r="Y21" s="9"/>
      <c r="Z21" s="9"/>
      <c r="AA21" s="9"/>
      <c r="AB21" s="9"/>
      <c r="AC21" s="468" t="str">
        <f t="shared" si="1"/>
        <v/>
      </c>
      <c r="AD21" s="468"/>
      <c r="AE21" s="468"/>
      <c r="AF21" s="4"/>
      <c r="AG21" s="88"/>
      <c r="AH21" s="4"/>
      <c r="AI21" s="4"/>
      <c r="AJ21" s="468"/>
      <c r="AK21" s="468"/>
      <c r="AL21" s="468"/>
      <c r="AM21" s="468"/>
      <c r="AN21" s="10"/>
      <c r="AO21" s="9"/>
      <c r="AP21" s="9"/>
      <c r="AQ21" s="9">
        <f>+FL_1($T$22,$T$20,$G$21,1200,9.28, 1*$F$22)</f>
        <v>0.47248563199999993</v>
      </c>
      <c r="AR21" s="9"/>
      <c r="AS21" s="9"/>
      <c r="AT21" s="9"/>
      <c r="AU21" s="447"/>
      <c r="AV21" s="447"/>
      <c r="AW21" s="468" t="str">
        <f>IF(C21&gt;0,VLOOKUP(C21,Foundation_Calc!$A$2:$C$13,3,1),
IF(J21&gt;0,VLOOKUP(J21,Foundation_Calc!$A$2:$C$13,3,1),""))</f>
        <v>MultiSoil</v>
      </c>
      <c r="AX21" s="468" t="str">
        <f>IF(C21&gt;0,VLOOKUP(C21,Foundation_Calc!$E$2:$G$13,3,1),
IF(J21&gt;0,VLOOKUP(J21,Foundation_Calc!$E$2:$G$13,3,1),""))</f>
        <v>PT</v>
      </c>
      <c r="AY21" s="10" t="str">
        <f>IF(L21="","",
IF(AX21="PT",VLOOKUP(L21,Foundation_Calc!$K$79:$R$112,VLOOKUP(AW21,Foundation_Calc!$I$2:$J$8,2,FALSE),0),
IF(AX21="K",VLOOKUP(L21,Foundation_Calc!$K$116:$R$149,VLOOKUP(AW21,Foundation_Calc!$I$2:$J$8,2,FALSE),0),"")))</f>
        <v/>
      </c>
      <c r="AZ21" s="10">
        <f>IF(K21="","",
IF(AX21="PT",VLOOKUP(K21,Foundation_Calc!$K$79:$R$112,VLOOKUP(AW21,Foundation_Calc!$I$2:$J$8,2,FALSE),0),
IF(AX21="K",VLOOKUP(K21,Foundation_Calc!$K$116:$R$149,VLOOKUP(AW21,Foundation_Calc!$I$2:$J$8,2,FALSE),0),"")))</f>
        <v>3.9</v>
      </c>
      <c r="BA21" s="553" t="str">
        <f t="shared" si="2"/>
        <v/>
      </c>
      <c r="BB21" s="553" t="str">
        <f t="shared" si="2"/>
        <v>ü</v>
      </c>
      <c r="BC21" s="553" t="str">
        <f t="shared" si="3"/>
        <v/>
      </c>
      <c r="BD21" s="572" t="str">
        <f>IF(AND(L21="",H21=""),"",
IF(H21="",Pole_Calc!A$9,
IF(H21="MP",Pole_Calc!A$10,
IF(H21="AnMP",Pole_Calc!A$11,
IF(H21="A",Pole_Calc!A$12,
IF(H21="S/A",Pole_Calc!A$13,
IF(H21="A/S",Pole_Calc!A$14,"Poner a mano")))))))</f>
        <v/>
      </c>
      <c r="BE21" s="448" t="s">
        <v>1726</v>
      </c>
      <c r="BF21" s="305"/>
      <c r="BG21" s="305"/>
      <c r="BH21" s="306"/>
      <c r="BI21" s="305"/>
    </row>
    <row r="22" spans="1:61" ht="16.2" customHeight="1">
      <c r="A22" s="573" t="s">
        <v>2372</v>
      </c>
      <c r="B22" s="638" t="s">
        <v>1866</v>
      </c>
      <c r="C22" s="3">
        <f>+$C$20+$G$21</f>
        <v>248.75</v>
      </c>
      <c r="D22" s="88"/>
      <c r="E22" s="4"/>
      <c r="F22" s="4">
        <v>0</v>
      </c>
      <c r="G22" s="6"/>
      <c r="H22" s="468" t="s">
        <v>179</v>
      </c>
      <c r="I22" s="468" t="s">
        <v>653</v>
      </c>
      <c r="J22" s="3"/>
      <c r="K22" s="468"/>
      <c r="L22" s="468" t="s">
        <v>448</v>
      </c>
      <c r="M22" s="468" t="str">
        <f>IF(L22="","",
IF(AX22="PT",VLOOKUP(L22,Foundation_Calc!$V$79:$X$112,VLOOKUP(AX22,Foundation_Calc!$I$10:$J$13,2,FALSE),0),
IF(AX22="K",VLOOKUP(L22,Foundation_Calc!$V$116:$X$149,VLOOKUP(AX22,Foundation_Calc!$I$10:$J$13,2,FALSE),0),"")))</f>
        <v>2C3R</v>
      </c>
      <c r="N22" s="468" t="s">
        <v>33</v>
      </c>
      <c r="O22" s="468" t="s">
        <v>28</v>
      </c>
      <c r="P22" s="468"/>
      <c r="Q22" s="4"/>
      <c r="R22" s="6"/>
      <c r="S22" s="6"/>
      <c r="T22" s="4">
        <v>30</v>
      </c>
      <c r="U22" s="4">
        <v>-15</v>
      </c>
      <c r="V22" s="4"/>
      <c r="W22" s="9">
        <v>1.4</v>
      </c>
      <c r="X22" s="9">
        <v>2.2999999999999998</v>
      </c>
      <c r="Y22" s="9"/>
      <c r="Z22" s="9"/>
      <c r="AA22" s="9">
        <v>0.45</v>
      </c>
      <c r="AB22" s="9"/>
      <c r="AC22" s="468" t="str">
        <f t="shared" si="1"/>
        <v>PH</v>
      </c>
      <c r="AD22" s="468"/>
      <c r="AE22" s="468"/>
      <c r="AF22" s="4"/>
      <c r="AG22" s="88"/>
      <c r="AH22" s="4"/>
      <c r="AI22" s="4"/>
      <c r="AJ22" s="468" t="s">
        <v>1162</v>
      </c>
      <c r="AK22" s="468"/>
      <c r="AL22" s="468"/>
      <c r="AM22" s="468" t="s">
        <v>486</v>
      </c>
      <c r="AN22" s="10">
        <v>5.25</v>
      </c>
      <c r="AO22" s="9"/>
      <c r="AP22" s="9"/>
      <c r="AQ22" s="9"/>
      <c r="AR22" s="9"/>
      <c r="AS22" s="9"/>
      <c r="AT22" s="9">
        <f>+ab($T$22,$T$20,$T$24,$G$21,$G$23, 1*$F$22,1200)</f>
        <v>11.822555052004939</v>
      </c>
      <c r="AU22" s="447"/>
      <c r="AV22" s="447"/>
      <c r="AW22" s="468" t="str">
        <f>IF(C22&gt;0,VLOOKUP(C22,Foundation_Calc!$A$2:$C$13,3,1),
IF(J22&gt;0,VLOOKUP(J22,Foundation_Calc!$A$2:$C$13,3,1),""))</f>
        <v>MultiSoil</v>
      </c>
      <c r="AX22" s="468" t="str">
        <f>IF(C22&gt;0,VLOOKUP(C22,Foundation_Calc!$E$2:$G$13,3,1),
IF(J22&gt;0,VLOOKUP(J22,Foundation_Calc!$E$2:$G$13,3,1),""))</f>
        <v>PT</v>
      </c>
      <c r="AY22" s="10">
        <f>IF(L22="","",
IF(AX22="PT",VLOOKUP(L22,Foundation_Calc!$K$79:$R$112,VLOOKUP(AW22,Foundation_Calc!$I$2:$J$8,2,FALSE),0),
IF(AX22="K",VLOOKUP(L22,Foundation_Calc!$K$116:$R$149,VLOOKUP(AW22,Foundation_Calc!$I$2:$J$8,2,FALSE),0),"")))</f>
        <v>3.7</v>
      </c>
      <c r="AZ22" s="10" t="str">
        <f>IF(K22="","",
IF(AX22="PT",VLOOKUP(K22,Foundation_Calc!$K$79:$R$112,VLOOKUP(AW22,Foundation_Calc!$I$2:$J$8,2,FALSE),0),
IF(AX22="K",VLOOKUP(K22,Foundation_Calc!$K$116:$R$149,VLOOKUP(AW22,Foundation_Calc!$I$2:$J$8,2,FALSE),0),"")))</f>
        <v/>
      </c>
      <c r="BA22" s="553" t="str">
        <f t="shared" si="2"/>
        <v>ü</v>
      </c>
      <c r="BB22" s="553" t="str">
        <f t="shared" si="2"/>
        <v/>
      </c>
      <c r="BC22" s="553" t="str">
        <f t="shared" si="3"/>
        <v/>
      </c>
      <c r="BD22" s="572" t="str">
        <f>IF(AND(L22="",H22=""),"",
IF(H22="",Pole_Calc!A$9,
IF(H22="MP",Pole_Calc!A$10,
IF(H22="AnMP",Pole_Calc!A$11,
IF(H22="A",Pole_Calc!A$12,
IF(H22="S/A",Pole_Calc!A$13,
IF(H22="A/S",Pole_Calc!A$14,"Poner a mano")))))))</f>
        <v>App.7-V11H-P9.5.1.5</v>
      </c>
      <c r="BE22" s="448" t="s">
        <v>1726</v>
      </c>
      <c r="BF22" s="306"/>
      <c r="BG22" s="306"/>
      <c r="BH22" s="306"/>
      <c r="BI22" s="306"/>
    </row>
    <row r="23" spans="1:61" ht="16.2" customHeight="1">
      <c r="A23" s="573"/>
      <c r="B23" s="469"/>
      <c r="C23" s="3"/>
      <c r="D23" s="88"/>
      <c r="E23" s="4"/>
      <c r="F23" s="4"/>
      <c r="G23" s="6">
        <v>50</v>
      </c>
      <c r="H23" s="468"/>
      <c r="I23" s="4">
        <f>G7+G9+G11+G17+G19+G21+G23</f>
        <v>362.9</v>
      </c>
      <c r="J23" s="3"/>
      <c r="K23" s="468"/>
      <c r="L23" s="468"/>
      <c r="M23" s="468" t="str">
        <f>IF(L23="","",
IF(AX23="PT",VLOOKUP(L23,Foundation_Calc!$V$79:$X$112,VLOOKUP(AX23,Foundation_Calc!$I$10:$J$13,2,FALSE),0),
IF(AX23="K",VLOOKUP(L23,Foundation_Calc!$V$116:$X$149,VLOOKUP(AX23,Foundation_Calc!$I$10:$J$13,2,FALSE),0),"")))</f>
        <v/>
      </c>
      <c r="N23" s="468"/>
      <c r="O23" s="468"/>
      <c r="P23" s="468"/>
      <c r="Q23" s="4"/>
      <c r="R23" s="6"/>
      <c r="S23" s="6"/>
      <c r="T23" s="4"/>
      <c r="U23" s="4"/>
      <c r="V23" s="4"/>
      <c r="W23" s="9"/>
      <c r="X23" s="9"/>
      <c r="Y23" s="9"/>
      <c r="Z23" s="9"/>
      <c r="AA23" s="9"/>
      <c r="AB23" s="9"/>
      <c r="AC23" s="468" t="str">
        <f t="shared" si="1"/>
        <v/>
      </c>
      <c r="AD23" s="468"/>
      <c r="AE23" s="468"/>
      <c r="AF23" s="4"/>
      <c r="AG23" s="88"/>
      <c r="AH23" s="4"/>
      <c r="AI23" s="4"/>
      <c r="AJ23" s="468" t="s">
        <v>730</v>
      </c>
      <c r="AK23" s="468"/>
      <c r="AL23" s="468"/>
      <c r="AM23" s="468"/>
      <c r="AN23" s="10"/>
      <c r="AO23" s="9"/>
      <c r="AP23" s="9"/>
      <c r="AQ23" s="9">
        <f>+FL_2($T$24,$T$22,$G$23,1200,9.28, 1*$F$24)</f>
        <v>-0.37593390799999998</v>
      </c>
      <c r="AR23" s="9"/>
      <c r="AS23" s="9"/>
      <c r="AT23" s="9"/>
      <c r="AU23" s="447"/>
      <c r="AV23" s="447"/>
      <c r="AW23" s="468" t="str">
        <f>IF(C23&gt;0,VLOOKUP(C23,Foundation_Calc!$A$2:$C$13,3,1),
IF(J23&gt;0,VLOOKUP(J23,Foundation_Calc!$A$2:$C$13,3,1),""))</f>
        <v/>
      </c>
      <c r="AX23" s="468" t="str">
        <f>IF(C23&gt;0,VLOOKUP(C23,Foundation_Calc!$E$2:$G$13,3,1),
IF(J23&gt;0,VLOOKUP(J23,Foundation_Calc!$E$2:$G$13,3,1),""))</f>
        <v/>
      </c>
      <c r="AY23" s="10" t="str">
        <f>IF(L23="","",
IF(AX23="PT",VLOOKUP(L23,Foundation_Calc!$K$79:$R$112,VLOOKUP(AW23,Foundation_Calc!$I$2:$J$8,2,FALSE),0),
IF(AX23="K",VLOOKUP(L23,Foundation_Calc!$K$116:$R$149,VLOOKUP(AW23,Foundation_Calc!$I$2:$J$8,2,FALSE),0),"")))</f>
        <v/>
      </c>
      <c r="AZ23" s="10" t="str">
        <f>IF(K23="","",
IF(AX23="PT",VLOOKUP(K23,Foundation_Calc!$K$79:$R$112,VLOOKUP(AW23,Foundation_Calc!$I$2:$J$8,2,FALSE),0),
IF(AX23="K",VLOOKUP(K23,Foundation_Calc!$K$116:$R$149,VLOOKUP(AW23,Foundation_Calc!$I$2:$J$8,2,FALSE),0),"")))</f>
        <v/>
      </c>
      <c r="BA23" s="553" t="str">
        <f t="shared" si="2"/>
        <v/>
      </c>
      <c r="BB23" s="553" t="str">
        <f t="shared" si="2"/>
        <v/>
      </c>
      <c r="BC23" s="553" t="str">
        <f t="shared" si="3"/>
        <v/>
      </c>
      <c r="BD23" s="572" t="str">
        <f>IF(AND(L23="",H23=""),"",
IF(H23="",Pole_Calc!A$9,
IF(H23="MP",Pole_Calc!A$10,
IF(H23="AnMP",Pole_Calc!A$11,
IF(H23="A",Pole_Calc!A$12,
IF(H23="S/A",Pole_Calc!A$13,
IF(H23="A/S",Pole_Calc!A$14,"Poner a mano")))))))</f>
        <v/>
      </c>
      <c r="BE23" s="448" t="s">
        <v>1726</v>
      </c>
      <c r="BF23" s="305"/>
      <c r="BG23" s="305"/>
      <c r="BH23" s="306"/>
      <c r="BI23" s="305"/>
    </row>
    <row r="24" spans="1:61" ht="16.2" customHeight="1">
      <c r="A24" s="573"/>
      <c r="B24" s="469" t="s">
        <v>1867</v>
      </c>
      <c r="C24" s="3">
        <f>+$C$22+$G$23</f>
        <v>298.75</v>
      </c>
      <c r="D24" s="88"/>
      <c r="E24" s="4"/>
      <c r="F24" s="4">
        <v>0</v>
      </c>
      <c r="G24" s="6"/>
      <c r="H24" s="468" t="s">
        <v>26</v>
      </c>
      <c r="I24" s="468" t="s">
        <v>182</v>
      </c>
      <c r="J24" s="3"/>
      <c r="K24" s="468"/>
      <c r="L24" s="468" t="s">
        <v>452</v>
      </c>
      <c r="M24" s="468" t="str">
        <f>IF(L24="","",
IF(AX24="PT",VLOOKUP(L24,Foundation_Calc!$V$79:$X$112,VLOOKUP(AX24,Foundation_Calc!$I$10:$J$13,2,FALSE),0),
IF(AX24="K",VLOOKUP(L24,Foundation_Calc!$V$116:$X$149,VLOOKUP(AX24,Foundation_Calc!$I$10:$J$13,2,FALSE),0),"")))</f>
        <v>C4R</v>
      </c>
      <c r="N24" s="468" t="s">
        <v>32</v>
      </c>
      <c r="O24" s="468"/>
      <c r="P24" s="468"/>
      <c r="Q24" s="4"/>
      <c r="R24" s="6"/>
      <c r="S24" s="6"/>
      <c r="T24" s="4">
        <v>-35</v>
      </c>
      <c r="U24" s="4"/>
      <c r="V24" s="4"/>
      <c r="W24" s="9">
        <v>1.4</v>
      </c>
      <c r="X24" s="9"/>
      <c r="Y24" s="9"/>
      <c r="Z24" s="9"/>
      <c r="AA24" s="9"/>
      <c r="AB24" s="9"/>
      <c r="AC24" s="468" t="str">
        <f t="shared" si="1"/>
        <v>PHQ</v>
      </c>
      <c r="AD24" s="468"/>
      <c r="AE24" s="468"/>
      <c r="AF24" s="4"/>
      <c r="AG24" s="88"/>
      <c r="AH24" s="4"/>
      <c r="AI24" s="4"/>
      <c r="AJ24" s="468"/>
      <c r="AK24" s="468"/>
      <c r="AL24" s="468"/>
      <c r="AM24" s="468" t="s">
        <v>486</v>
      </c>
      <c r="AN24" s="10">
        <v>5.25</v>
      </c>
      <c r="AO24" s="9"/>
      <c r="AP24" s="9"/>
      <c r="AQ24" s="9"/>
      <c r="AR24" s="9"/>
      <c r="AS24" s="9"/>
      <c r="AT24" s="9">
        <f>+ab($T$24,$T$22,$T$26,$G$23,$G$25, 1*$F$24,1200)</f>
        <v>-7.0710297839483092</v>
      </c>
      <c r="AU24" s="447"/>
      <c r="AV24" s="447"/>
      <c r="AW24" s="468" t="str">
        <f>IF(C24&gt;0,VLOOKUP(C24,Foundation_Calc!$A$2:$C$13,3,1),
IF(J24&gt;0,VLOOKUP(J24,Foundation_Calc!$A$2:$C$13,3,1),""))</f>
        <v>MultiSoil</v>
      </c>
      <c r="AX24" s="468" t="str">
        <f>IF(C24&gt;0,VLOOKUP(C24,Foundation_Calc!$E$2:$G$13,3,1),
IF(J24&gt;0,VLOOKUP(J24,Foundation_Calc!$E$2:$G$13,3,1),""))</f>
        <v>PT</v>
      </c>
      <c r="AY24" s="10">
        <f>IF(L24="","",
IF(AX24="PT",VLOOKUP(L24,Foundation_Calc!$K$79:$R$112,VLOOKUP(AW24,Foundation_Calc!$I$2:$J$8,2,FALSE),0),
IF(AX24="K",VLOOKUP(L24,Foundation_Calc!$K$116:$R$149,VLOOKUP(AW24,Foundation_Calc!$I$2:$J$8,2,FALSE),0),"")))</f>
        <v>3.5</v>
      </c>
      <c r="AZ24" s="10" t="str">
        <f>IF(K24="","",
IF(AX24="PT",VLOOKUP(K24,Foundation_Calc!$K$79:$R$112,VLOOKUP(AW24,Foundation_Calc!$I$2:$J$8,2,FALSE),0),
IF(AX24="K",VLOOKUP(K24,Foundation_Calc!$K$116:$R$149,VLOOKUP(AW24,Foundation_Calc!$I$2:$J$8,2,FALSE),0),"")))</f>
        <v/>
      </c>
      <c r="BA24" s="553" t="str">
        <f t="shared" si="2"/>
        <v>ü</v>
      </c>
      <c r="BB24" s="553" t="str">
        <f t="shared" si="2"/>
        <v/>
      </c>
      <c r="BC24" s="553" t="str">
        <f t="shared" si="3"/>
        <v/>
      </c>
      <c r="BD24" s="572" t="str">
        <f>IF(AND(L24="",H24=""),"",
IF(H24="",Pole_Calc!A$9,
IF(H24="MP",Pole_Calc!A$10,
IF(H24="AnMP",Pole_Calc!A$11,
IF(H24="A",Pole_Calc!A$12,
IF(H24="S/A",Pole_Calc!A$13,
IF(H24="A/S",Pole_Calc!A$14,"Poner a mano")))))))</f>
        <v>App.7-V11H-P9.5.1.6</v>
      </c>
      <c r="BE24" s="448" t="s">
        <v>1726</v>
      </c>
      <c r="BF24" s="306"/>
      <c r="BG24" s="306"/>
      <c r="BH24" s="306"/>
      <c r="BI24" s="306"/>
    </row>
    <row r="25" spans="1:61" ht="16.2" customHeight="1">
      <c r="A25" s="573"/>
      <c r="B25" s="469"/>
      <c r="C25" s="3"/>
      <c r="D25" s="88"/>
      <c r="E25" s="4"/>
      <c r="F25" s="4"/>
      <c r="G25" s="6">
        <v>50</v>
      </c>
      <c r="H25" s="468"/>
      <c r="I25" s="468"/>
      <c r="J25" s="3">
        <f>C24+7.5</f>
        <v>306.25</v>
      </c>
      <c r="K25" s="468" t="s">
        <v>1095</v>
      </c>
      <c r="L25" s="468"/>
      <c r="M25" s="468" t="str">
        <f>IF(L25="","",
IF(AX25="PT",VLOOKUP(L25,Foundation_Calc!$V$79:$X$112,VLOOKUP(AX25,Foundation_Calc!$I$10:$J$13,2,FALSE),0),
IF(AX25="K",VLOOKUP(L25,Foundation_Calc!$V$116:$X$149,VLOOKUP(AX25,Foundation_Calc!$I$10:$J$13,2,FALSE),0),"")))</f>
        <v/>
      </c>
      <c r="N25" s="468"/>
      <c r="O25" s="468"/>
      <c r="P25" s="468"/>
      <c r="Q25" s="4"/>
      <c r="R25" s="6"/>
      <c r="S25" s="6"/>
      <c r="T25" s="4"/>
      <c r="U25" s="4"/>
      <c r="V25" s="4"/>
      <c r="W25" s="9"/>
      <c r="X25" s="9"/>
      <c r="Y25" s="9"/>
      <c r="Z25" s="9"/>
      <c r="AA25" s="9"/>
      <c r="AB25" s="9"/>
      <c r="AC25" s="468" t="str">
        <f t="shared" si="1"/>
        <v/>
      </c>
      <c r="AD25" s="468"/>
      <c r="AE25" s="468"/>
      <c r="AF25" s="4"/>
      <c r="AG25" s="88"/>
      <c r="AH25" s="4"/>
      <c r="AI25" s="4"/>
      <c r="AJ25" s="468"/>
      <c r="AK25" s="468"/>
      <c r="AL25" s="468"/>
      <c r="AM25" s="468"/>
      <c r="AN25" s="10"/>
      <c r="AO25" s="9"/>
      <c r="AP25" s="9"/>
      <c r="AQ25" s="9">
        <f>+FL_1($T$26,$T$24,$G$25,1200,9.28, 1*$F$26)</f>
        <v>0.36839079999999996</v>
      </c>
      <c r="AR25" s="9"/>
      <c r="AS25" s="9"/>
      <c r="AT25" s="9"/>
      <c r="AU25" s="447"/>
      <c r="AV25" s="447"/>
      <c r="AW25" s="468" t="str">
        <f>IF(C25&gt;0,VLOOKUP(C25,Foundation_Calc!$A$2:$C$13,3,1),
IF(J25&gt;0,VLOOKUP(J25,Foundation_Calc!$A$2:$C$13,3,1),""))</f>
        <v>MultiSoil</v>
      </c>
      <c r="AX25" s="468" t="str">
        <f>IF(C25&gt;0,VLOOKUP(C25,Foundation_Calc!$E$2:$G$13,3,1),
IF(J25&gt;0,VLOOKUP(J25,Foundation_Calc!$E$2:$G$13,3,1),""))</f>
        <v>PT</v>
      </c>
      <c r="AY25" s="10" t="str">
        <f>IF(L25="","",
IF(AX25="PT",VLOOKUP(L25,Foundation_Calc!$K$79:$R$112,VLOOKUP(AW25,Foundation_Calc!$I$2:$J$8,2,FALSE),0),
IF(AX25="K",VLOOKUP(L25,Foundation_Calc!$K$116:$R$149,VLOOKUP(AW25,Foundation_Calc!$I$2:$J$8,2,FALSE),0),"")))</f>
        <v/>
      </c>
      <c r="AZ25" s="10">
        <f>IF(K25="","",
IF(AX25="PT",VLOOKUP(K25,Foundation_Calc!$K$79:$R$112,VLOOKUP(AW25,Foundation_Calc!$I$2:$J$8,2,FALSE),0),
IF(AX25="K",VLOOKUP(K25,Foundation_Calc!$K$116:$R$149,VLOOKUP(AW25,Foundation_Calc!$I$2:$J$8,2,FALSE),0),"")))</f>
        <v>3.9</v>
      </c>
      <c r="BA25" s="553" t="str">
        <f t="shared" si="2"/>
        <v/>
      </c>
      <c r="BB25" s="553" t="str">
        <f t="shared" si="2"/>
        <v>ü</v>
      </c>
      <c r="BC25" s="553" t="str">
        <f t="shared" si="3"/>
        <v/>
      </c>
      <c r="BD25" s="572" t="str">
        <f>IF(AND(L25="",H25=""),"",
IF(H25="",Pole_Calc!A$9,
IF(H25="MP",Pole_Calc!A$10,
IF(H25="AnMP",Pole_Calc!A$11,
IF(H25="A",Pole_Calc!A$12,
IF(H25="S/A",Pole_Calc!A$13,
IF(H25="A/S",Pole_Calc!A$14,"Poner a mano")))))))</f>
        <v/>
      </c>
      <c r="BE25" s="448" t="s">
        <v>1726</v>
      </c>
      <c r="BF25" s="305"/>
      <c r="BG25" s="305"/>
      <c r="BH25" s="306"/>
      <c r="BI25" s="305"/>
    </row>
    <row r="26" spans="1:61" ht="16.2" customHeight="1">
      <c r="A26" s="573"/>
      <c r="B26" s="469" t="s">
        <v>1868</v>
      </c>
      <c r="C26" s="3">
        <f>+$C$24+$G$25</f>
        <v>348.75</v>
      </c>
      <c r="D26" s="88"/>
      <c r="E26" s="4"/>
      <c r="F26" s="4">
        <v>0</v>
      </c>
      <c r="G26" s="6"/>
      <c r="H26" s="468"/>
      <c r="I26" s="468"/>
      <c r="J26" s="3"/>
      <c r="K26" s="468"/>
      <c r="L26" s="468" t="s">
        <v>37</v>
      </c>
      <c r="M26" s="468" t="str">
        <f>IF(L26="","",
IF(AX26="PT",VLOOKUP(L26,Foundation_Calc!$V$79:$X$112,VLOOKUP(AX26,Foundation_Calc!$I$10:$J$13,2,FALSE),0),
IF(AX26="K",VLOOKUP(L26,Foundation_Calc!$V$116:$X$149,VLOOKUP(AX26,Foundation_Calc!$I$10:$J$13,2,FALSE),0),"")))</f>
        <v>C3R</v>
      </c>
      <c r="N26" s="468" t="s">
        <v>33</v>
      </c>
      <c r="O26" s="468"/>
      <c r="P26" s="468"/>
      <c r="Q26" s="4"/>
      <c r="R26" s="6"/>
      <c r="S26" s="6"/>
      <c r="T26" s="4">
        <v>35</v>
      </c>
      <c r="U26" s="4"/>
      <c r="V26" s="4"/>
      <c r="W26" s="9">
        <v>1.4</v>
      </c>
      <c r="X26" s="9"/>
      <c r="Y26" s="9"/>
      <c r="Z26" s="9"/>
      <c r="AA26" s="9"/>
      <c r="AB26" s="9"/>
      <c r="AC26" s="468" t="str">
        <f t="shared" si="1"/>
        <v>PHQ</v>
      </c>
      <c r="AD26" s="468"/>
      <c r="AE26" s="468"/>
      <c r="AF26" s="4"/>
      <c r="AG26" s="88"/>
      <c r="AH26" s="4"/>
      <c r="AI26" s="4"/>
      <c r="AJ26" s="468"/>
      <c r="AK26" s="468"/>
      <c r="AL26" s="468"/>
      <c r="AM26" s="468" t="s">
        <v>486</v>
      </c>
      <c r="AN26" s="10">
        <f>AN24+0.06</f>
        <v>5.31</v>
      </c>
      <c r="AO26" s="9"/>
      <c r="AP26" s="9"/>
      <c r="AQ26" s="9"/>
      <c r="AR26" s="9"/>
      <c r="AS26" s="9"/>
      <c r="AT26" s="9">
        <f>+ab($T$26,$T$24,$T$28,$G$25,$G$27, 1*$F$26,1200)</f>
        <v>7.1485288015053303</v>
      </c>
      <c r="AU26" s="447"/>
      <c r="AV26" s="447"/>
      <c r="AW26" s="468" t="str">
        <f>IF(C26&gt;0,VLOOKUP(C26,Foundation_Calc!$A$2:$C$13,3,1),
IF(J26&gt;0,VLOOKUP(J26,Foundation_Calc!$A$2:$C$13,3,1),""))</f>
        <v>MultiSoil</v>
      </c>
      <c r="AX26" s="468" t="str">
        <f>IF(C26&gt;0,VLOOKUP(C26,Foundation_Calc!$E$2:$G$13,3,1),
IF(J26&gt;0,VLOOKUP(J26,Foundation_Calc!$E$2:$G$13,3,1),""))</f>
        <v>PT</v>
      </c>
      <c r="AY26" s="10">
        <f>IF(L26="","",
IF(AX26="PT",VLOOKUP(L26,Foundation_Calc!$K$79:$R$112,VLOOKUP(AW26,Foundation_Calc!$I$2:$J$8,2,FALSE),0),
IF(AX26="K",VLOOKUP(L26,Foundation_Calc!$K$116:$R$149,VLOOKUP(AW26,Foundation_Calc!$I$2:$J$8,2,FALSE),0),"")))</f>
        <v>3.5</v>
      </c>
      <c r="AZ26" s="10" t="str">
        <f>IF(K26="","",
IF(AX26="PT",VLOOKUP(K26,Foundation_Calc!$K$79:$R$112,VLOOKUP(AW26,Foundation_Calc!$I$2:$J$8,2,FALSE),0),
IF(AX26="K",VLOOKUP(K26,Foundation_Calc!$K$116:$R$149,VLOOKUP(AW26,Foundation_Calc!$I$2:$J$8,2,FALSE),0),"")))</f>
        <v/>
      </c>
      <c r="BA26" s="553" t="str">
        <f t="shared" si="2"/>
        <v>ü</v>
      </c>
      <c r="BB26" s="553" t="str">
        <f t="shared" si="2"/>
        <v/>
      </c>
      <c r="BC26" s="553" t="str">
        <f t="shared" si="3"/>
        <v/>
      </c>
      <c r="BD26" s="572" t="str">
        <f>IF(AND(L26="",H26=""),"",
IF(H26="",Pole_Calc!A$9,
IF(H26="MP",Pole_Calc!A$10,
IF(H26="AnMP",Pole_Calc!A$11,
IF(H26="A",Pole_Calc!A$12,
IF(H26="S/A",Pole_Calc!A$13,
IF(H26="A/S",Pole_Calc!A$14,"Poner a mano")))))))</f>
        <v>App.7-V11H-P9.5.1.1</v>
      </c>
      <c r="BE26" s="448" t="s">
        <v>1726</v>
      </c>
      <c r="BF26" s="306"/>
      <c r="BG26" s="306"/>
      <c r="BH26" s="306"/>
      <c r="BI26" s="306"/>
    </row>
    <row r="27" spans="1:61" ht="16.2" customHeight="1">
      <c r="A27" s="573"/>
      <c r="B27" s="469"/>
      <c r="C27" s="3"/>
      <c r="D27" s="88"/>
      <c r="E27" s="4"/>
      <c r="F27" s="4"/>
      <c r="G27" s="6">
        <v>55.1</v>
      </c>
      <c r="H27" s="468"/>
      <c r="I27" s="468"/>
      <c r="J27" s="3"/>
      <c r="K27" s="468"/>
      <c r="L27" s="468"/>
      <c r="M27" s="468" t="str">
        <f>IF(L27="","",
IF(AX27="PT",VLOOKUP(L27,Foundation_Calc!$V$79:$X$112,VLOOKUP(AX27,Foundation_Calc!$I$10:$J$13,2,FALSE),0),
IF(AX27="K",VLOOKUP(L27,Foundation_Calc!$V$116:$X$149,VLOOKUP(AX27,Foundation_Calc!$I$10:$J$13,2,FALSE),0),"")))</f>
        <v/>
      </c>
      <c r="N27" s="468"/>
      <c r="O27" s="468"/>
      <c r="P27" s="468"/>
      <c r="Q27" s="4"/>
      <c r="R27" s="6"/>
      <c r="S27" s="6"/>
      <c r="T27" s="4"/>
      <c r="U27" s="4"/>
      <c r="V27" s="4"/>
      <c r="W27" s="9"/>
      <c r="X27" s="9"/>
      <c r="Y27" s="9"/>
      <c r="Z27" s="9"/>
      <c r="AA27" s="9"/>
      <c r="AB27" s="9"/>
      <c r="AC27" s="468" t="str">
        <f t="shared" si="1"/>
        <v/>
      </c>
      <c r="AD27" s="468"/>
      <c r="AE27" s="468"/>
      <c r="AF27" s="4"/>
      <c r="AG27" s="88"/>
      <c r="AH27" s="4"/>
      <c r="AI27" s="4"/>
      <c r="AJ27" s="468"/>
      <c r="AK27" s="468"/>
      <c r="AL27" s="468"/>
      <c r="AM27" s="468"/>
      <c r="AN27" s="10"/>
      <c r="AO27" s="9"/>
      <c r="AP27" s="9"/>
      <c r="AQ27" s="9">
        <f>+FL_1($T$28,$T$26,$G$27,1200,9.28, 1*$F$28)</f>
        <v>0.39783185457713233</v>
      </c>
      <c r="AR27" s="9"/>
      <c r="AS27" s="9"/>
      <c r="AT27" s="9"/>
      <c r="AU27" s="447"/>
      <c r="AV27" s="447"/>
      <c r="AW27" s="468" t="str">
        <f>IF(C27&gt;0,VLOOKUP(C27,Foundation_Calc!$A$2:$C$13,3,1),
IF(J27&gt;0,VLOOKUP(J27,Foundation_Calc!$A$2:$C$13,3,1),""))</f>
        <v/>
      </c>
      <c r="AX27" s="468" t="str">
        <f>IF(C27&gt;0,VLOOKUP(C27,Foundation_Calc!$E$2:$G$13,3,1),
IF(J27&gt;0,VLOOKUP(J27,Foundation_Calc!$E$2:$G$13,3,1),""))</f>
        <v/>
      </c>
      <c r="AY27" s="10" t="str">
        <f>IF(L27="","",
IF(AX27="PT",VLOOKUP(L27,Foundation_Calc!$K$79:$R$112,VLOOKUP(AW27,Foundation_Calc!$I$2:$J$8,2,FALSE),0),
IF(AX27="K",VLOOKUP(L27,Foundation_Calc!$K$116:$R$149,VLOOKUP(AW27,Foundation_Calc!$I$2:$J$8,2,FALSE),0),"")))</f>
        <v/>
      </c>
      <c r="AZ27" s="10" t="str">
        <f>IF(K27="","",
IF(AX27="PT",VLOOKUP(K27,Foundation_Calc!$K$79:$R$112,VLOOKUP(AW27,Foundation_Calc!$I$2:$J$8,2,FALSE),0),
IF(AX27="K",VLOOKUP(K27,Foundation_Calc!$K$116:$R$149,VLOOKUP(AW27,Foundation_Calc!$I$2:$J$8,2,FALSE),0),"")))</f>
        <v/>
      </c>
      <c r="BA27" s="553" t="str">
        <f t="shared" si="2"/>
        <v/>
      </c>
      <c r="BB27" s="553" t="str">
        <f t="shared" si="2"/>
        <v/>
      </c>
      <c r="BC27" s="553" t="str">
        <f t="shared" si="3"/>
        <v/>
      </c>
      <c r="BD27" s="572" t="str">
        <f>IF(AND(L27="",H27=""),"",
IF(H27="",Pole_Calc!A$9,
IF(H27="MP",Pole_Calc!A$10,
IF(H27="AnMP",Pole_Calc!A$11,
IF(H27="A",Pole_Calc!A$12,
IF(H27="S/A",Pole_Calc!A$13,
IF(H27="A/S",Pole_Calc!A$14,"Poner a mano")))))))</f>
        <v/>
      </c>
      <c r="BE27" s="448" t="s">
        <v>1726</v>
      </c>
      <c r="BF27" s="305"/>
      <c r="BG27" s="305"/>
      <c r="BH27" s="306"/>
      <c r="BI27" s="305"/>
    </row>
    <row r="28" spans="1:61" ht="16.2" customHeight="1">
      <c r="A28" s="573"/>
      <c r="B28" s="638" t="s">
        <v>1869</v>
      </c>
      <c r="C28" s="3">
        <f>+$C$26+$G$27</f>
        <v>403.85</v>
      </c>
      <c r="D28" s="88"/>
      <c r="E28" s="4"/>
      <c r="F28" s="4">
        <v>0</v>
      </c>
      <c r="G28" s="6"/>
      <c r="H28" s="468"/>
      <c r="I28" s="468"/>
      <c r="J28" s="3"/>
      <c r="K28" s="468"/>
      <c r="L28" s="468" t="s">
        <v>37</v>
      </c>
      <c r="M28" s="468" t="str">
        <f>IF(L28="","",
IF(AX28="PT",VLOOKUP(L28,Foundation_Calc!$V$79:$X$112,VLOOKUP(AX28,Foundation_Calc!$I$10:$J$13,2,FALSE),0),
IF(AX28="K",VLOOKUP(L28,Foundation_Calc!$V$116:$X$149,VLOOKUP(AX28,Foundation_Calc!$I$10:$J$13,2,FALSE),0),"")))</f>
        <v>C3R</v>
      </c>
      <c r="N28" s="468" t="s">
        <v>32</v>
      </c>
      <c r="O28" s="468"/>
      <c r="P28" s="468"/>
      <c r="Q28" s="4"/>
      <c r="R28" s="6"/>
      <c r="S28" s="6"/>
      <c r="T28" s="4">
        <v>-35</v>
      </c>
      <c r="U28" s="4"/>
      <c r="V28" s="4"/>
      <c r="W28" s="9">
        <v>1.4</v>
      </c>
      <c r="X28" s="9"/>
      <c r="Y28" s="9"/>
      <c r="Z28" s="9"/>
      <c r="AA28" s="9"/>
      <c r="AB28" s="9"/>
      <c r="AC28" s="468" t="str">
        <f t="shared" si="1"/>
        <v>PHQ</v>
      </c>
      <c r="AD28" s="468"/>
      <c r="AE28" s="468"/>
      <c r="AF28" s="4"/>
      <c r="AG28" s="88"/>
      <c r="AH28" s="4"/>
      <c r="AI28" s="4"/>
      <c r="AJ28" s="468"/>
      <c r="AK28" s="468"/>
      <c r="AL28" s="468"/>
      <c r="AM28" s="468" t="s">
        <v>486</v>
      </c>
      <c r="AN28" s="10">
        <f>AN26+0.07</f>
        <v>5.38</v>
      </c>
      <c r="AO28" s="9"/>
      <c r="AP28" s="9"/>
      <c r="AQ28" s="9"/>
      <c r="AR28" s="9"/>
      <c r="AS28" s="9"/>
      <c r="AT28" s="9">
        <f>+ab($T$28,$T$26,$T$30,$G$27,$G$29, 1*$F$28,1200)</f>
        <v>-7.434213948069452</v>
      </c>
      <c r="AU28" s="447"/>
      <c r="AV28" s="447"/>
      <c r="AW28" s="468" t="str">
        <f>IF(C28&gt;0,VLOOKUP(C28,Foundation_Calc!$A$2:$C$13,3,1),
IF(J28&gt;0,VLOOKUP(J28,Foundation_Calc!$A$2:$C$13,3,1),""))</f>
        <v>MultiSoil</v>
      </c>
      <c r="AX28" s="468" t="str">
        <f>IF(C28&gt;0,VLOOKUP(C28,Foundation_Calc!$E$2:$G$13,3,1),
IF(J28&gt;0,VLOOKUP(J28,Foundation_Calc!$E$2:$G$13,3,1),""))</f>
        <v>PT</v>
      </c>
      <c r="AY28" s="10">
        <f>IF(L28="","",
IF(AX28="PT",VLOOKUP(L28,Foundation_Calc!$K$79:$R$112,VLOOKUP(AW28,Foundation_Calc!$I$2:$J$8,2,FALSE),0),
IF(AX28="K",VLOOKUP(L28,Foundation_Calc!$K$116:$R$149,VLOOKUP(AW28,Foundation_Calc!$I$2:$J$8,2,FALSE),0),"")))</f>
        <v>3.5</v>
      </c>
      <c r="AZ28" s="10" t="str">
        <f>IF(K28="","",
IF(AX28="PT",VLOOKUP(K28,Foundation_Calc!$K$79:$R$112,VLOOKUP(AW28,Foundation_Calc!$I$2:$J$8,2,FALSE),0),
IF(AX28="K",VLOOKUP(K28,Foundation_Calc!$K$116:$R$149,VLOOKUP(AW28,Foundation_Calc!$I$2:$J$8,2,FALSE),0),"")))</f>
        <v/>
      </c>
      <c r="BA28" s="553" t="str">
        <f t="shared" si="2"/>
        <v>ü</v>
      </c>
      <c r="BB28" s="553" t="str">
        <f t="shared" si="2"/>
        <v/>
      </c>
      <c r="BC28" s="553" t="str">
        <f t="shared" si="3"/>
        <v/>
      </c>
      <c r="BD28" s="572" t="str">
        <f>IF(AND(L28="",H28=""),"",
IF(H28="",Pole_Calc!A$9,
IF(H28="MP",Pole_Calc!A$10,
IF(H28="AnMP",Pole_Calc!A$11,
IF(H28="A",Pole_Calc!A$12,
IF(H28="S/A",Pole_Calc!A$13,
IF(H28="A/S",Pole_Calc!A$14,"Poner a mano")))))))</f>
        <v>App.7-V11H-P9.5.1.1</v>
      </c>
      <c r="BE28" s="448" t="s">
        <v>1726</v>
      </c>
      <c r="BF28" s="306"/>
      <c r="BG28" s="306"/>
      <c r="BH28" s="306"/>
      <c r="BI28" s="306"/>
    </row>
    <row r="29" spans="1:61" ht="16.2" customHeight="1">
      <c r="A29" s="573"/>
      <c r="B29" s="469"/>
      <c r="C29" s="3"/>
      <c r="D29" s="88"/>
      <c r="E29" s="4"/>
      <c r="F29" s="4"/>
      <c r="G29" s="6">
        <v>54</v>
      </c>
      <c r="H29" s="468"/>
      <c r="I29" s="468"/>
      <c r="J29" s="3"/>
      <c r="K29" s="468"/>
      <c r="L29" s="468"/>
      <c r="M29" s="468" t="str">
        <f>IF(L29="","",
IF(AX29="PT",VLOOKUP(L29,Foundation_Calc!$V$79:$X$112,VLOOKUP(AX29,Foundation_Calc!$I$10:$J$13,2,FALSE),0),
IF(AX29="K",VLOOKUP(L29,Foundation_Calc!$V$116:$X$149,VLOOKUP(AX29,Foundation_Calc!$I$10:$J$13,2,FALSE),0),"")))</f>
        <v/>
      </c>
      <c r="N29" s="468"/>
      <c r="O29" s="468"/>
      <c r="P29" s="468"/>
      <c r="Q29" s="4"/>
      <c r="R29" s="6"/>
      <c r="S29" s="6"/>
      <c r="T29" s="4"/>
      <c r="U29" s="4"/>
      <c r="V29" s="4"/>
      <c r="W29" s="9"/>
      <c r="X29" s="9"/>
      <c r="Y29" s="9"/>
      <c r="Z29" s="9"/>
      <c r="AA29" s="9"/>
      <c r="AB29" s="9"/>
      <c r="AC29" s="468" t="str">
        <f t="shared" si="1"/>
        <v/>
      </c>
      <c r="AD29" s="468"/>
      <c r="AE29" s="468"/>
      <c r="AF29" s="4"/>
      <c r="AG29" s="88"/>
      <c r="AH29" s="4"/>
      <c r="AI29" s="4"/>
      <c r="AJ29" s="468"/>
      <c r="AK29" s="468"/>
      <c r="AL29" s="468"/>
      <c r="AM29" s="468"/>
      <c r="AN29" s="10"/>
      <c r="AO29" s="9"/>
      <c r="AP29" s="9"/>
      <c r="AQ29" s="9">
        <f>+FL_2($T$30,$T$28,$G$29,1200,9.28, 1*$F$30)</f>
        <v>-0.39052552059259249</v>
      </c>
      <c r="AR29" s="9"/>
      <c r="AS29" s="9"/>
      <c r="AT29" s="9"/>
      <c r="AU29" s="447"/>
      <c r="AV29" s="447"/>
      <c r="AW29" s="468" t="str">
        <f>IF(C29&gt;0,VLOOKUP(C29,Foundation_Calc!$A$2:$C$13,3,1),
IF(J29&gt;0,VLOOKUP(J29,Foundation_Calc!$A$2:$C$13,3,1),""))</f>
        <v/>
      </c>
      <c r="AX29" s="468" t="str">
        <f>IF(C29&gt;0,VLOOKUP(C29,Foundation_Calc!$E$2:$G$13,3,1),
IF(J29&gt;0,VLOOKUP(J29,Foundation_Calc!$E$2:$G$13,3,1),""))</f>
        <v/>
      </c>
      <c r="AY29" s="10" t="str">
        <f>IF(L29="","",
IF(AX29="PT",VLOOKUP(L29,Foundation_Calc!$K$79:$R$112,VLOOKUP(AW29,Foundation_Calc!$I$2:$J$8,2,FALSE),0),
IF(AX29="K",VLOOKUP(L29,Foundation_Calc!$K$116:$R$149,VLOOKUP(AW29,Foundation_Calc!$I$2:$J$8,2,FALSE),0),"")))</f>
        <v/>
      </c>
      <c r="AZ29" s="10" t="str">
        <f>IF(K29="","",
IF(AX29="PT",VLOOKUP(K29,Foundation_Calc!$K$79:$R$112,VLOOKUP(AW29,Foundation_Calc!$I$2:$J$8,2,FALSE),0),
IF(AX29="K",VLOOKUP(K29,Foundation_Calc!$K$116:$R$149,VLOOKUP(AW29,Foundation_Calc!$I$2:$J$8,2,FALSE),0),"")))</f>
        <v/>
      </c>
      <c r="BA29" s="553" t="str">
        <f t="shared" si="2"/>
        <v/>
      </c>
      <c r="BB29" s="553" t="str">
        <f t="shared" si="2"/>
        <v/>
      </c>
      <c r="BC29" s="553" t="str">
        <f t="shared" si="3"/>
        <v/>
      </c>
      <c r="BD29" s="572" t="str">
        <f>IF(AND(L29="",H29=""),"",
IF(H29="",Pole_Calc!A$9,
IF(H29="MP",Pole_Calc!A$10,
IF(H29="AnMP",Pole_Calc!A$11,
IF(H29="A",Pole_Calc!A$12,
IF(H29="S/A",Pole_Calc!A$13,
IF(H29="A/S",Pole_Calc!A$14,"Poner a mano")))))))</f>
        <v/>
      </c>
      <c r="BE29" s="448" t="s">
        <v>1726</v>
      </c>
      <c r="BF29" s="305"/>
      <c r="BG29" s="305"/>
      <c r="BH29" s="306"/>
      <c r="BI29" s="305"/>
    </row>
    <row r="30" spans="1:61" ht="16.2" customHeight="1">
      <c r="A30" s="573"/>
      <c r="B30" s="638" t="s">
        <v>1870</v>
      </c>
      <c r="C30" s="3">
        <f>+$C$28+$G$29</f>
        <v>457.85</v>
      </c>
      <c r="D30" s="88"/>
      <c r="E30" s="4"/>
      <c r="F30" s="4">
        <v>0</v>
      </c>
      <c r="G30" s="6"/>
      <c r="H30" s="468"/>
      <c r="I30" s="468"/>
      <c r="J30" s="3"/>
      <c r="K30" s="468"/>
      <c r="L30" s="468" t="s">
        <v>37</v>
      </c>
      <c r="M30" s="468" t="str">
        <f>IF(L30="","",
IF(AX30="PT",VLOOKUP(L30,Foundation_Calc!$V$79:$X$112,VLOOKUP(AX30,Foundation_Calc!$I$10:$J$13,2,FALSE),0),
IF(AX30="K",VLOOKUP(L30,Foundation_Calc!$V$116:$X$149,VLOOKUP(AX30,Foundation_Calc!$I$10:$J$13,2,FALSE),0),"")))</f>
        <v>C3R</v>
      </c>
      <c r="N30" s="468" t="s">
        <v>33</v>
      </c>
      <c r="O30" s="468"/>
      <c r="P30" s="468"/>
      <c r="Q30" s="4"/>
      <c r="R30" s="6"/>
      <c r="S30" s="6"/>
      <c r="T30" s="4">
        <v>35</v>
      </c>
      <c r="U30" s="4"/>
      <c r="V30" s="4"/>
      <c r="W30" s="9">
        <v>1.4</v>
      </c>
      <c r="X30" s="9"/>
      <c r="Y30" s="9"/>
      <c r="Z30" s="9"/>
      <c r="AA30" s="9"/>
      <c r="AB30" s="9"/>
      <c r="AC30" s="468" t="str">
        <f t="shared" si="1"/>
        <v>PHQ</v>
      </c>
      <c r="AD30" s="468"/>
      <c r="AE30" s="468"/>
      <c r="AF30" s="4"/>
      <c r="AG30" s="88"/>
      <c r="AH30" s="4"/>
      <c r="AI30" s="4"/>
      <c r="AJ30" s="468"/>
      <c r="AK30" s="468"/>
      <c r="AL30" s="468"/>
      <c r="AM30" s="468" t="s">
        <v>486</v>
      </c>
      <c r="AN30" s="10">
        <f>AN32-0.06</f>
        <v>5.44</v>
      </c>
      <c r="AO30" s="9"/>
      <c r="AP30" s="9"/>
      <c r="AQ30" s="9"/>
      <c r="AR30" s="9"/>
      <c r="AS30" s="9"/>
      <c r="AT30" s="9">
        <f>+ab($T$30,$T$28,$T$32,$G$29,$G$31, 1*$F$30,1200)</f>
        <v>7.0806177167506643</v>
      </c>
      <c r="AU30" s="447"/>
      <c r="AV30" s="447"/>
      <c r="AW30" s="468" t="str">
        <f>IF(C30&gt;0,VLOOKUP(C30,Foundation_Calc!$A$2:$C$13,3,1),
IF(J30&gt;0,VLOOKUP(J30,Foundation_Calc!$A$2:$C$13,3,1),""))</f>
        <v>MultiSoil</v>
      </c>
      <c r="AX30" s="468" t="str">
        <f>IF(C30&gt;0,VLOOKUP(C30,Foundation_Calc!$E$2:$G$13,3,1),
IF(J30&gt;0,VLOOKUP(J30,Foundation_Calc!$E$2:$G$13,3,1),""))</f>
        <v>PT</v>
      </c>
      <c r="AY30" s="10">
        <f>IF(L30="","",
IF(AX30="PT",VLOOKUP(L30,Foundation_Calc!$K$79:$R$112,VLOOKUP(AW30,Foundation_Calc!$I$2:$J$8,2,FALSE),0),
IF(AX30="K",VLOOKUP(L30,Foundation_Calc!$K$116:$R$149,VLOOKUP(AW30,Foundation_Calc!$I$2:$J$8,2,FALSE),0),"")))</f>
        <v>3.5</v>
      </c>
      <c r="AZ30" s="10" t="str">
        <f>IF(K30="","",
IF(AX30="PT",VLOOKUP(K30,Foundation_Calc!$K$79:$R$112,VLOOKUP(AW30,Foundation_Calc!$I$2:$J$8,2,FALSE),0),
IF(AX30="K",VLOOKUP(K30,Foundation_Calc!$K$116:$R$149,VLOOKUP(AW30,Foundation_Calc!$I$2:$J$8,2,FALSE),0),"")))</f>
        <v/>
      </c>
      <c r="BA30" s="553" t="str">
        <f t="shared" si="2"/>
        <v>ü</v>
      </c>
      <c r="BB30" s="553" t="str">
        <f t="shared" si="2"/>
        <v/>
      </c>
      <c r="BC30" s="553" t="str">
        <f t="shared" si="3"/>
        <v/>
      </c>
      <c r="BD30" s="572" t="str">
        <f>IF(AND(L30="",H30=""),"",
IF(H30="",Pole_Calc!A$9,
IF(H30="MP",Pole_Calc!A$10,
IF(H30="AnMP",Pole_Calc!A$11,
IF(H30="A",Pole_Calc!A$12,
IF(H30="S/A",Pole_Calc!A$13,
IF(H30="A/S",Pole_Calc!A$14,"Poner a mano")))))))</f>
        <v>App.7-V11H-P9.5.1.1</v>
      </c>
      <c r="BE30" s="448" t="s">
        <v>1726</v>
      </c>
      <c r="BF30" s="306"/>
      <c r="BG30" s="306"/>
      <c r="BH30" s="306"/>
      <c r="BI30" s="306"/>
    </row>
    <row r="31" spans="1:61" ht="16.2" customHeight="1">
      <c r="A31" s="573"/>
      <c r="B31" s="469"/>
      <c r="C31" s="3"/>
      <c r="D31" s="88"/>
      <c r="E31" s="4"/>
      <c r="F31" s="4"/>
      <c r="G31" s="6">
        <v>50</v>
      </c>
      <c r="H31" s="468"/>
      <c r="I31" s="468"/>
      <c r="J31" s="3"/>
      <c r="K31" s="468"/>
      <c r="L31" s="468"/>
      <c r="M31" s="468" t="str">
        <f>IF(L31="","",
IF(AX31="PT",VLOOKUP(L31,Foundation_Calc!$V$79:$X$112,VLOOKUP(AX31,Foundation_Calc!$I$10:$J$13,2,FALSE),0),
IF(AX31="K",VLOOKUP(L31,Foundation_Calc!$V$116:$X$149,VLOOKUP(AX31,Foundation_Calc!$I$10:$J$13,2,FALSE),0),"")))</f>
        <v/>
      </c>
      <c r="N31" s="468"/>
      <c r="O31" s="468"/>
      <c r="P31" s="468"/>
      <c r="Q31" s="4"/>
      <c r="R31" s="6"/>
      <c r="S31" s="6"/>
      <c r="T31" s="4"/>
      <c r="U31" s="4"/>
      <c r="V31" s="4"/>
      <c r="W31" s="9"/>
      <c r="X31" s="9"/>
      <c r="Y31" s="9"/>
      <c r="Z31" s="9"/>
      <c r="AA31" s="9"/>
      <c r="AB31" s="9"/>
      <c r="AC31" s="468" t="str">
        <f t="shared" si="1"/>
        <v/>
      </c>
      <c r="AD31" s="468"/>
      <c r="AE31" s="468"/>
      <c r="AF31" s="4"/>
      <c r="AG31" s="88"/>
      <c r="AH31" s="4"/>
      <c r="AI31" s="4"/>
      <c r="AJ31" s="468"/>
      <c r="AK31" s="468"/>
      <c r="AL31" s="468"/>
      <c r="AM31" s="468"/>
      <c r="AN31" s="10"/>
      <c r="AO31" s="9"/>
      <c r="AP31" s="9"/>
      <c r="AQ31" s="9">
        <f>+FL_2($T$32,$T$30,$G$31,1200,9.28, 1*$F$32)</f>
        <v>-0.36839079999999996</v>
      </c>
      <c r="AR31" s="9"/>
      <c r="AS31" s="9"/>
      <c r="AT31" s="9"/>
      <c r="AU31" s="447"/>
      <c r="AV31" s="447"/>
      <c r="AW31" s="468" t="str">
        <f>IF(C31&gt;0,VLOOKUP(C31,Foundation_Calc!$A$2:$C$13,3,1),
IF(J31&gt;0,VLOOKUP(J31,Foundation_Calc!$A$2:$C$13,3,1),""))</f>
        <v/>
      </c>
      <c r="AX31" s="468" t="str">
        <f>IF(C31&gt;0,VLOOKUP(C31,Foundation_Calc!$E$2:$G$13,3,1),
IF(J31&gt;0,VLOOKUP(J31,Foundation_Calc!$E$2:$G$13,3,1),""))</f>
        <v/>
      </c>
      <c r="AY31" s="10" t="str">
        <f>IF(L31="","",
IF(AX31="PT",VLOOKUP(L31,Foundation_Calc!$K$79:$R$112,VLOOKUP(AW31,Foundation_Calc!$I$2:$J$8,2,FALSE),0),
IF(AX31="K",VLOOKUP(L31,Foundation_Calc!$K$116:$R$149,VLOOKUP(AW31,Foundation_Calc!$I$2:$J$8,2,FALSE),0),"")))</f>
        <v/>
      </c>
      <c r="AZ31" s="10" t="str">
        <f>IF(K31="","",
IF(AX31="PT",VLOOKUP(K31,Foundation_Calc!$K$79:$R$112,VLOOKUP(AW31,Foundation_Calc!$I$2:$J$8,2,FALSE),0),
IF(AX31="K",VLOOKUP(K31,Foundation_Calc!$K$116:$R$149,VLOOKUP(AW31,Foundation_Calc!$I$2:$J$8,2,FALSE),0),"")))</f>
        <v/>
      </c>
      <c r="BA31" s="553" t="str">
        <f t="shared" si="2"/>
        <v/>
      </c>
      <c r="BB31" s="553" t="str">
        <f t="shared" si="2"/>
        <v/>
      </c>
      <c r="BC31" s="553" t="str">
        <f t="shared" si="3"/>
        <v/>
      </c>
      <c r="BD31" s="572" t="str">
        <f>IF(AND(L31="",H31=""),"",
IF(H31="",Pole_Calc!A$9,
IF(H31="MP",Pole_Calc!A$10,
IF(H31="AnMP",Pole_Calc!A$11,
IF(H31="A",Pole_Calc!A$12,
IF(H31="S/A",Pole_Calc!A$13,
IF(H31="A/S",Pole_Calc!A$14,"Poner a mano")))))))</f>
        <v/>
      </c>
      <c r="BE31" s="448" t="s">
        <v>1726</v>
      </c>
      <c r="BF31" s="305"/>
      <c r="BG31" s="305"/>
      <c r="BH31" s="306"/>
      <c r="BI31" s="305"/>
    </row>
    <row r="32" spans="1:61" ht="16.2" customHeight="1">
      <c r="A32" s="573"/>
      <c r="B32" s="638" t="s">
        <v>1871</v>
      </c>
      <c r="C32" s="3">
        <f>+$C$30+$G$31</f>
        <v>507.85</v>
      </c>
      <c r="D32" s="88"/>
      <c r="E32" s="4"/>
      <c r="F32" s="4">
        <v>0</v>
      </c>
      <c r="G32" s="6"/>
      <c r="H32" s="468"/>
      <c r="I32" s="468"/>
      <c r="J32" s="3"/>
      <c r="K32" s="468"/>
      <c r="L32" s="468" t="s">
        <v>37</v>
      </c>
      <c r="M32" s="468" t="str">
        <f>IF(L32="","",
IF(AX32="PT",VLOOKUP(L32,Foundation_Calc!$V$79:$X$112,VLOOKUP(AX32,Foundation_Calc!$I$10:$J$13,2,FALSE),0),
IF(AX32="K",VLOOKUP(L32,Foundation_Calc!$V$116:$X$149,VLOOKUP(AX32,Foundation_Calc!$I$10:$J$13,2,FALSE),0),"")))</f>
        <v>C3R</v>
      </c>
      <c r="N32" s="468" t="s">
        <v>32</v>
      </c>
      <c r="O32" s="468"/>
      <c r="P32" s="468"/>
      <c r="Q32" s="4"/>
      <c r="R32" s="6"/>
      <c r="S32" s="6"/>
      <c r="T32" s="4">
        <v>-35</v>
      </c>
      <c r="U32" s="4"/>
      <c r="V32" s="4"/>
      <c r="W32" s="9">
        <v>1.4</v>
      </c>
      <c r="X32" s="9"/>
      <c r="Y32" s="9"/>
      <c r="Z32" s="9"/>
      <c r="AA32" s="9"/>
      <c r="AB32" s="9"/>
      <c r="AC32" s="468" t="str">
        <f t="shared" si="1"/>
        <v>PHQ</v>
      </c>
      <c r="AD32" s="468"/>
      <c r="AE32" s="468"/>
      <c r="AF32" s="4"/>
      <c r="AG32" s="88"/>
      <c r="AH32" s="4"/>
      <c r="AI32" s="4"/>
      <c r="AJ32" s="468"/>
      <c r="AK32" s="468"/>
      <c r="AL32" s="468"/>
      <c r="AM32" s="468" t="s">
        <v>486</v>
      </c>
      <c r="AN32" s="10">
        <v>5.5</v>
      </c>
      <c r="AO32" s="9"/>
      <c r="AP32" s="9"/>
      <c r="AQ32" s="9"/>
      <c r="AR32" s="9"/>
      <c r="AS32" s="9"/>
      <c r="AT32" s="9">
        <f>+ab($T$32,$T$30,$T$34,$G$31,$G$33, 1*$F$32,1200)</f>
        <v>-7.0806447505394168</v>
      </c>
      <c r="AU32" s="447"/>
      <c r="AV32" s="447"/>
      <c r="AW32" s="468" t="str">
        <f>IF(C32&gt;0,VLOOKUP(C32,Foundation_Calc!$A$2:$C$13,3,1),
IF(J32&gt;0,VLOOKUP(J32,Foundation_Calc!$A$2:$C$13,3,1),""))</f>
        <v>MultiSoil</v>
      </c>
      <c r="AX32" s="468" t="str">
        <f>IF(C32&gt;0,VLOOKUP(C32,Foundation_Calc!$E$2:$G$13,3,1),
IF(J32&gt;0,VLOOKUP(J32,Foundation_Calc!$E$2:$G$13,3,1),""))</f>
        <v>PT</v>
      </c>
      <c r="AY32" s="10">
        <f>IF(L32="","",
IF(AX32="PT",VLOOKUP(L32,Foundation_Calc!$K$79:$R$112,VLOOKUP(AW32,Foundation_Calc!$I$2:$J$8,2,FALSE),0),
IF(AX32="K",VLOOKUP(L32,Foundation_Calc!$K$116:$R$149,VLOOKUP(AW32,Foundation_Calc!$I$2:$J$8,2,FALSE),0),"")))</f>
        <v>3.5</v>
      </c>
      <c r="AZ32" s="10" t="str">
        <f>IF(K32="","",
IF(AX32="PT",VLOOKUP(K32,Foundation_Calc!$K$79:$R$112,VLOOKUP(AW32,Foundation_Calc!$I$2:$J$8,2,FALSE),0),
IF(AX32="K",VLOOKUP(K32,Foundation_Calc!$K$116:$R$149,VLOOKUP(AW32,Foundation_Calc!$I$2:$J$8,2,FALSE),0),"")))</f>
        <v/>
      </c>
      <c r="BA32" s="553" t="str">
        <f t="shared" si="2"/>
        <v>ü</v>
      </c>
      <c r="BB32" s="553" t="str">
        <f t="shared" si="2"/>
        <v/>
      </c>
      <c r="BC32" s="553" t="str">
        <f t="shared" si="3"/>
        <v/>
      </c>
      <c r="BD32" s="572" t="str">
        <f>IF(AND(L32="",H32=""),"",
IF(H32="",Pole_Calc!A$9,
IF(H32="MP",Pole_Calc!A$10,
IF(H32="AnMP",Pole_Calc!A$11,
IF(H32="A",Pole_Calc!A$12,
IF(H32="S/A",Pole_Calc!A$13,
IF(H32="A/S",Pole_Calc!A$14,"Poner a mano")))))))</f>
        <v>App.7-V11H-P9.5.1.1</v>
      </c>
      <c r="BE32" s="448" t="s">
        <v>1726</v>
      </c>
      <c r="BF32" s="306"/>
      <c r="BG32" s="306"/>
      <c r="BH32" s="306"/>
      <c r="BI32" s="306"/>
    </row>
    <row r="33" spans="1:61" ht="16.2" customHeight="1">
      <c r="A33" s="573"/>
      <c r="B33" s="469"/>
      <c r="C33" s="3"/>
      <c r="D33" s="88"/>
      <c r="E33" s="4"/>
      <c r="F33" s="4"/>
      <c r="G33" s="6">
        <v>54</v>
      </c>
      <c r="H33" s="468"/>
      <c r="I33" s="468"/>
      <c r="J33" s="3">
        <f>C34-7.5</f>
        <v>554.35</v>
      </c>
      <c r="K33" s="468" t="s">
        <v>1095</v>
      </c>
      <c r="L33" s="468"/>
      <c r="M33" s="468" t="str">
        <f>IF(L33="","",
IF(AX33="PT",VLOOKUP(L33,Foundation_Calc!$V$79:$X$112,VLOOKUP(AX33,Foundation_Calc!$I$10:$J$13,2,FALSE),0),
IF(AX33="K",VLOOKUP(L33,Foundation_Calc!$V$116:$X$149,VLOOKUP(AX33,Foundation_Calc!$I$10:$J$13,2,FALSE),0),"")))</f>
        <v/>
      </c>
      <c r="N33" s="468"/>
      <c r="O33" s="468"/>
      <c r="P33" s="468"/>
      <c r="Q33" s="4"/>
      <c r="R33" s="6"/>
      <c r="S33" s="6"/>
      <c r="T33" s="4"/>
      <c r="U33" s="4"/>
      <c r="V33" s="4"/>
      <c r="W33" s="9"/>
      <c r="X33" s="9"/>
      <c r="Y33" s="9"/>
      <c r="Z33" s="9"/>
      <c r="AA33" s="9"/>
      <c r="AB33" s="9"/>
      <c r="AC33" s="468" t="str">
        <f t="shared" si="1"/>
        <v/>
      </c>
      <c r="AD33" s="468"/>
      <c r="AE33" s="468"/>
      <c r="AF33" s="4"/>
      <c r="AG33" s="88"/>
      <c r="AH33" s="4"/>
      <c r="AI33" s="4"/>
      <c r="AJ33" s="468"/>
      <c r="AK33" s="468"/>
      <c r="AL33" s="468"/>
      <c r="AM33" s="468"/>
      <c r="AN33" s="10"/>
      <c r="AO33" s="9"/>
      <c r="AP33" s="9"/>
      <c r="AQ33" s="9">
        <f>+FL_2($T$34,$T$32,$G$33,1200,9.28, 1*$F$34)</f>
        <v>-0.39052552059259249</v>
      </c>
      <c r="AR33" s="9"/>
      <c r="AS33" s="9"/>
      <c r="AT33" s="9"/>
      <c r="AU33" s="447"/>
      <c r="AV33" s="447"/>
      <c r="AW33" s="468" t="str">
        <f>IF(C33&gt;0,VLOOKUP(C33,Foundation_Calc!$A$2:$C$13,3,1),
IF(J33&gt;0,VLOOKUP(J33,Foundation_Calc!$A$2:$C$13,3,1),""))</f>
        <v>MultiSoil</v>
      </c>
      <c r="AX33" s="468" t="str">
        <f>IF(C33&gt;0,VLOOKUP(C33,Foundation_Calc!$E$2:$G$13,3,1),
IF(J33&gt;0,VLOOKUP(J33,Foundation_Calc!$E$2:$G$13,3,1),""))</f>
        <v>PT</v>
      </c>
      <c r="AY33" s="10" t="str">
        <f>IF(L33="","",
IF(AX33="PT",VLOOKUP(L33,Foundation_Calc!$K$79:$R$112,VLOOKUP(AW33,Foundation_Calc!$I$2:$J$8,2,FALSE),0),
IF(AX33="K",VLOOKUP(L33,Foundation_Calc!$K$116:$R$149,VLOOKUP(AW33,Foundation_Calc!$I$2:$J$8,2,FALSE),0),"")))</f>
        <v/>
      </c>
      <c r="AZ33" s="10">
        <f>IF(K33="","",
IF(AX33="PT",VLOOKUP(K33,Foundation_Calc!$K$79:$R$112,VLOOKUP(AW33,Foundation_Calc!$I$2:$J$8,2,FALSE),0),
IF(AX33="K",VLOOKUP(K33,Foundation_Calc!$K$116:$R$149,VLOOKUP(AW33,Foundation_Calc!$I$2:$J$8,2,FALSE),0),"")))</f>
        <v>3.9</v>
      </c>
      <c r="BA33" s="553" t="str">
        <f t="shared" si="2"/>
        <v/>
      </c>
      <c r="BB33" s="553" t="str">
        <f t="shared" si="2"/>
        <v>ü</v>
      </c>
      <c r="BC33" s="553" t="str">
        <f t="shared" si="3"/>
        <v/>
      </c>
      <c r="BD33" s="572" t="str">
        <f>IF(AND(L33="",H33=""),"",
IF(H33="",Pole_Calc!A$9,
IF(H33="MP",Pole_Calc!A$10,
IF(H33="AnMP",Pole_Calc!A$11,
IF(H33="A",Pole_Calc!A$12,
IF(H33="S/A",Pole_Calc!A$13,
IF(H33="A/S",Pole_Calc!A$14,"Poner a mano")))))))</f>
        <v/>
      </c>
      <c r="BE33" s="448" t="s">
        <v>1726</v>
      </c>
      <c r="BF33" s="305"/>
      <c r="BG33" s="305"/>
      <c r="BH33" s="306"/>
      <c r="BI33" s="305"/>
    </row>
    <row r="34" spans="1:61" ht="16.2" customHeight="1">
      <c r="A34" s="573"/>
      <c r="B34" s="638" t="s">
        <v>1872</v>
      </c>
      <c r="C34" s="3">
        <f>+$C$32+$G$33</f>
        <v>561.85</v>
      </c>
      <c r="D34" s="88"/>
      <c r="E34" s="4"/>
      <c r="F34" s="4">
        <v>0</v>
      </c>
      <c r="G34" s="6"/>
      <c r="H34" s="468" t="s">
        <v>26</v>
      </c>
      <c r="I34" s="468" t="s">
        <v>182</v>
      </c>
      <c r="J34" s="3"/>
      <c r="K34" s="468"/>
      <c r="L34" s="468" t="s">
        <v>452</v>
      </c>
      <c r="M34" s="468" t="str">
        <f>IF(L34="","",
IF(AX34="PT",VLOOKUP(L34,Foundation_Calc!$V$79:$X$112,VLOOKUP(AX34,Foundation_Calc!$I$10:$J$13,2,FALSE),0),
IF(AX34="K",VLOOKUP(L34,Foundation_Calc!$V$116:$X$149,VLOOKUP(AX34,Foundation_Calc!$I$10:$J$13,2,FALSE),0),"")))</f>
        <v>C4R</v>
      </c>
      <c r="N34" s="468" t="s">
        <v>33</v>
      </c>
      <c r="O34" s="468"/>
      <c r="P34" s="468"/>
      <c r="Q34" s="4"/>
      <c r="R34" s="6"/>
      <c r="S34" s="6"/>
      <c r="T34" s="4">
        <v>35</v>
      </c>
      <c r="U34" s="4"/>
      <c r="V34" s="4"/>
      <c r="W34" s="9">
        <v>1.4</v>
      </c>
      <c r="X34" s="9"/>
      <c r="Y34" s="9"/>
      <c r="Z34" s="9"/>
      <c r="AA34" s="9"/>
      <c r="AB34" s="9"/>
      <c r="AC34" s="468" t="str">
        <f t="shared" si="1"/>
        <v>PHQ</v>
      </c>
      <c r="AD34" s="468"/>
      <c r="AE34" s="468"/>
      <c r="AF34" s="4"/>
      <c r="AG34" s="88"/>
      <c r="AH34" s="4"/>
      <c r="AI34" s="4"/>
      <c r="AJ34" s="468"/>
      <c r="AK34" s="468"/>
      <c r="AL34" s="468"/>
      <c r="AM34" s="468" t="s">
        <v>486</v>
      </c>
      <c r="AN34" s="10">
        <v>5.5</v>
      </c>
      <c r="AO34" s="9"/>
      <c r="AP34" s="9"/>
      <c r="AQ34" s="9"/>
      <c r="AR34" s="9"/>
      <c r="AS34" s="9"/>
      <c r="AT34" s="9">
        <f>+ab($T$34,$T$32,$U$36,$G$33,$G$35, 1*$F$34,1200)</f>
        <v>7.0806177167506643</v>
      </c>
      <c r="AU34" s="447"/>
      <c r="AV34" s="447"/>
      <c r="AW34" s="468" t="str">
        <f>IF(C34&gt;0,VLOOKUP(C34,Foundation_Calc!$A$2:$C$13,3,1),
IF(J34&gt;0,VLOOKUP(J34,Foundation_Calc!$A$2:$C$13,3,1),""))</f>
        <v>MultiSoil</v>
      </c>
      <c r="AX34" s="468" t="str">
        <f>IF(C34&gt;0,VLOOKUP(C34,Foundation_Calc!$E$2:$G$13,3,1),
IF(J34&gt;0,VLOOKUP(J34,Foundation_Calc!$E$2:$G$13,3,1),""))</f>
        <v>PT</v>
      </c>
      <c r="AY34" s="10">
        <f>IF(L34="","",
IF(AX34="PT",VLOOKUP(L34,Foundation_Calc!$K$79:$R$112,VLOOKUP(AW34,Foundation_Calc!$I$2:$J$8,2,FALSE),0),
IF(AX34="K",VLOOKUP(L34,Foundation_Calc!$K$116:$R$149,VLOOKUP(AW34,Foundation_Calc!$I$2:$J$8,2,FALSE),0),"")))</f>
        <v>3.5</v>
      </c>
      <c r="AZ34" s="10" t="str">
        <f>IF(K34="","",
IF(AX34="PT",VLOOKUP(K34,Foundation_Calc!$K$79:$R$112,VLOOKUP(AW34,Foundation_Calc!$I$2:$J$8,2,FALSE),0),
IF(AX34="K",VLOOKUP(K34,Foundation_Calc!$K$116:$R$149,VLOOKUP(AW34,Foundation_Calc!$I$2:$J$8,2,FALSE),0),"")))</f>
        <v/>
      </c>
      <c r="BA34" s="553" t="str">
        <f t="shared" si="2"/>
        <v>ü</v>
      </c>
      <c r="BB34" s="553" t="str">
        <f t="shared" si="2"/>
        <v/>
      </c>
      <c r="BC34" s="553" t="str">
        <f t="shared" si="3"/>
        <v/>
      </c>
      <c r="BD34" s="572" t="str">
        <f>IF(AND(L34="",H34=""),"",
IF(H34="",Pole_Calc!A$9,
IF(H34="MP",Pole_Calc!A$10,
IF(H34="AnMP",Pole_Calc!A$11,
IF(H34="A",Pole_Calc!A$12,
IF(H34="S/A",Pole_Calc!A$13,
IF(H34="A/S",Pole_Calc!A$14,"Poner a mano")))))))</f>
        <v>App.7-V11H-P9.5.1.6</v>
      </c>
      <c r="BE34" s="448" t="s">
        <v>1726</v>
      </c>
      <c r="BF34" s="306"/>
      <c r="BG34" s="306"/>
      <c r="BH34" s="306"/>
      <c r="BI34" s="306"/>
    </row>
    <row r="35" spans="1:61" ht="16.2" customHeight="1">
      <c r="A35" s="573"/>
      <c r="B35" s="469"/>
      <c r="C35" s="3"/>
      <c r="D35" s="88"/>
      <c r="E35" s="4"/>
      <c r="F35" s="4"/>
      <c r="G35" s="6">
        <v>50</v>
      </c>
      <c r="H35" s="468"/>
      <c r="I35" s="468"/>
      <c r="J35" s="3"/>
      <c r="K35" s="468"/>
      <c r="L35" s="468"/>
      <c r="M35" s="468" t="str">
        <f>IF(L35="","",
IF(AX35="PT",VLOOKUP(L35,Foundation_Calc!$V$79:$X$112,VLOOKUP(AX35,Foundation_Calc!$I$10:$J$13,2,FALSE),0),
IF(AX35="K",VLOOKUP(L35,Foundation_Calc!$V$116:$X$149,VLOOKUP(AX35,Foundation_Calc!$I$10:$J$13,2,FALSE),0),"")))</f>
        <v/>
      </c>
      <c r="N35" s="468"/>
      <c r="O35" s="468"/>
      <c r="P35" s="468"/>
      <c r="Q35" s="4"/>
      <c r="R35" s="6"/>
      <c r="S35" s="6"/>
      <c r="T35" s="4"/>
      <c r="U35" s="4"/>
      <c r="V35" s="4"/>
      <c r="W35" s="9"/>
      <c r="X35" s="9"/>
      <c r="Y35" s="9"/>
      <c r="Z35" s="9"/>
      <c r="AA35" s="9"/>
      <c r="AB35" s="9"/>
      <c r="AC35" s="468" t="str">
        <f t="shared" si="1"/>
        <v/>
      </c>
      <c r="AD35" s="468"/>
      <c r="AE35" s="468"/>
      <c r="AF35" s="4"/>
      <c r="AG35" s="88"/>
      <c r="AH35" s="4"/>
      <c r="AI35" s="4"/>
      <c r="AJ35" s="468"/>
      <c r="AK35" s="468"/>
      <c r="AL35" s="468"/>
      <c r="AM35" s="468"/>
      <c r="AN35" s="10"/>
      <c r="AO35" s="9"/>
      <c r="AP35" s="9"/>
      <c r="AQ35" s="9">
        <f>+FL_2($U$36,$T$34,$G$35,1200,9.28, 1*$F$36)</f>
        <v>-0.36839079999999996</v>
      </c>
      <c r="AR35" s="9"/>
      <c r="AS35" s="9"/>
      <c r="AT35" s="9"/>
      <c r="AU35" s="447"/>
      <c r="AV35" s="447"/>
      <c r="AW35" s="468" t="str">
        <f>IF(C35&gt;0,VLOOKUP(C35,Foundation_Calc!$A$2:$C$13,3,1),
IF(J35&gt;0,VLOOKUP(J35,Foundation_Calc!$A$2:$C$13,3,1),""))</f>
        <v/>
      </c>
      <c r="AX35" s="468" t="str">
        <f>IF(C35&gt;0,VLOOKUP(C35,Foundation_Calc!$E$2:$G$13,3,1),
IF(J35&gt;0,VLOOKUP(J35,Foundation_Calc!$E$2:$G$13,3,1),""))</f>
        <v/>
      </c>
      <c r="AY35" s="10" t="str">
        <f>IF(L35="","",
IF(AX35="PT",VLOOKUP(L35,Foundation_Calc!$K$79:$R$112,VLOOKUP(AW35,Foundation_Calc!$I$2:$J$8,2,FALSE),0),
IF(AX35="K",VLOOKUP(L35,Foundation_Calc!$K$116:$R$149,VLOOKUP(AW35,Foundation_Calc!$I$2:$J$8,2,FALSE),0),"")))</f>
        <v/>
      </c>
      <c r="AZ35" s="10" t="str">
        <f>IF(K35="","",
IF(AX35="PT",VLOOKUP(K35,Foundation_Calc!$K$79:$R$112,VLOOKUP(AW35,Foundation_Calc!$I$2:$J$8,2,FALSE),0),
IF(AX35="K",VLOOKUP(K35,Foundation_Calc!$K$116:$R$149,VLOOKUP(AW35,Foundation_Calc!$I$2:$J$8,2,FALSE),0),"")))</f>
        <v/>
      </c>
      <c r="BA35" s="553" t="str">
        <f t="shared" si="2"/>
        <v/>
      </c>
      <c r="BB35" s="553" t="str">
        <f t="shared" si="2"/>
        <v/>
      </c>
      <c r="BC35" s="553" t="str">
        <f t="shared" si="3"/>
        <v/>
      </c>
      <c r="BD35" s="572" t="str">
        <f>IF(AND(L35="",H35=""),"",
IF(H35="",Pole_Calc!A$9,
IF(H35="MP",Pole_Calc!A$10,
IF(H35="AnMP",Pole_Calc!A$11,
IF(H35="A",Pole_Calc!A$12,
IF(H35="S/A",Pole_Calc!A$13,
IF(H35="A/S",Pole_Calc!A$14,"Poner a mano")))))))</f>
        <v/>
      </c>
      <c r="BE35" s="448" t="s">
        <v>1726</v>
      </c>
      <c r="BF35" s="305"/>
      <c r="BG35" s="305"/>
      <c r="BH35" s="306"/>
      <c r="BI35" s="305"/>
    </row>
    <row r="36" spans="1:61" ht="16.2" customHeight="1">
      <c r="A36" s="573"/>
      <c r="B36" s="638" t="s">
        <v>1873</v>
      </c>
      <c r="C36" s="3">
        <f>+$C$34+$G$35</f>
        <v>611.85</v>
      </c>
      <c r="D36" s="88"/>
      <c r="E36" s="4"/>
      <c r="F36" s="4">
        <v>0</v>
      </c>
      <c r="G36" s="6"/>
      <c r="H36" s="468" t="s">
        <v>179</v>
      </c>
      <c r="I36" s="468" t="s">
        <v>482</v>
      </c>
      <c r="J36" s="3"/>
      <c r="K36" s="468"/>
      <c r="L36" s="468" t="s">
        <v>448</v>
      </c>
      <c r="M36" s="468" t="str">
        <f>IF(L36="","",
IF(AX36="PT",VLOOKUP(L36,Foundation_Calc!$V$79:$X$112,VLOOKUP(AX36,Foundation_Calc!$I$10:$J$13,2,FALSE),0),
IF(AX36="K",VLOOKUP(L36,Foundation_Calc!$V$116:$X$149,VLOOKUP(AX36,Foundation_Calc!$I$10:$J$13,2,FALSE),0),"")))</f>
        <v>2C3R</v>
      </c>
      <c r="N36" s="468" t="s">
        <v>28</v>
      </c>
      <c r="O36" s="468" t="s">
        <v>32</v>
      </c>
      <c r="P36" s="468"/>
      <c r="Q36" s="4"/>
      <c r="R36" s="6"/>
      <c r="S36" s="6"/>
      <c r="T36" s="4">
        <v>-15</v>
      </c>
      <c r="U36" s="4">
        <v>-35</v>
      </c>
      <c r="V36" s="4"/>
      <c r="W36" s="9">
        <v>1.4</v>
      </c>
      <c r="X36" s="9">
        <v>2.2999999999999998</v>
      </c>
      <c r="Y36" s="9"/>
      <c r="Z36" s="9">
        <v>0.55000000000000004</v>
      </c>
      <c r="AA36" s="9"/>
      <c r="AB36" s="9"/>
      <c r="AC36" s="468"/>
      <c r="AD36" s="468"/>
      <c r="AE36" s="468"/>
      <c r="AF36" s="4"/>
      <c r="AG36" s="88"/>
      <c r="AH36" s="4"/>
      <c r="AI36" s="4"/>
      <c r="AJ36" s="468"/>
      <c r="AK36" s="468"/>
      <c r="AL36" s="468"/>
      <c r="AM36" s="468" t="s">
        <v>486</v>
      </c>
      <c r="AN36" s="10">
        <v>5.5</v>
      </c>
      <c r="AO36" s="9"/>
      <c r="AP36" s="9"/>
      <c r="AQ36" s="9"/>
      <c r="AR36" s="9"/>
      <c r="AS36" s="9"/>
      <c r="AT36" s="9">
        <f>+ab($U$36,$T$34,$U$38,$G$35,$G$37, 1*$F$36,1200)</f>
        <v>-10.829020989313351</v>
      </c>
      <c r="AU36" s="447"/>
      <c r="AV36" s="447"/>
      <c r="AW36" s="468" t="str">
        <f>IF(C36&gt;0,VLOOKUP(C36,Foundation_Calc!$A$2:$C$13,3,1),
IF(J36&gt;0,VLOOKUP(J36,Foundation_Calc!$A$2:$C$13,3,1),""))</f>
        <v>MultiSoil</v>
      </c>
      <c r="AX36" s="468" t="str">
        <f>IF(C36&gt;0,VLOOKUP(C36,Foundation_Calc!$E$2:$G$13,3,1),
IF(J36&gt;0,VLOOKUP(J36,Foundation_Calc!$E$2:$G$13,3,1),""))</f>
        <v>PT</v>
      </c>
      <c r="AY36" s="10">
        <f>IF(L36="","",
IF(AX36="PT",VLOOKUP(L36,Foundation_Calc!$K$79:$R$112,VLOOKUP(AW36,Foundation_Calc!$I$2:$J$8,2,FALSE),0),
IF(AX36="K",VLOOKUP(L36,Foundation_Calc!$K$116:$R$149,VLOOKUP(AW36,Foundation_Calc!$I$2:$J$8,2,FALSE),0),"")))</f>
        <v>3.7</v>
      </c>
      <c r="AZ36" s="10" t="str">
        <f>IF(K36="","",
IF(AX36="PT",VLOOKUP(K36,Foundation_Calc!$K$79:$R$112,VLOOKUP(AW36,Foundation_Calc!$I$2:$J$8,2,FALSE),0),
IF(AX36="K",VLOOKUP(K36,Foundation_Calc!$K$116:$R$149,VLOOKUP(AW36,Foundation_Calc!$I$2:$J$8,2,FALSE),0),"")))</f>
        <v/>
      </c>
      <c r="BA36" s="553" t="str">
        <f t="shared" si="2"/>
        <v>ü</v>
      </c>
      <c r="BB36" s="553" t="str">
        <f t="shared" si="2"/>
        <v/>
      </c>
      <c r="BC36" s="553" t="str">
        <f t="shared" si="3"/>
        <v/>
      </c>
      <c r="BD36" s="572" t="str">
        <f>IF(AND(L36="",H36=""),"",
IF(H36="",Pole_Calc!A$9,
IF(H36="MP",Pole_Calc!A$10,
IF(H36="AnMP",Pole_Calc!A$11,
IF(H36="A",Pole_Calc!A$12,
IF(H36="S/A",Pole_Calc!A$13,
IF(H36="A/S",Pole_Calc!A$14,"Poner a mano")))))))</f>
        <v>App.7-V11H-P9.5.1.5</v>
      </c>
      <c r="BE36" s="448" t="s">
        <v>1726</v>
      </c>
      <c r="BF36" s="306"/>
      <c r="BG36" s="306"/>
      <c r="BH36" s="306"/>
      <c r="BI36" s="306"/>
    </row>
    <row r="37" spans="1:61" ht="16.2" customHeight="1">
      <c r="A37" s="573"/>
      <c r="B37" s="469"/>
      <c r="C37" s="3"/>
      <c r="D37" s="88"/>
      <c r="E37" s="4"/>
      <c r="F37" s="4"/>
      <c r="G37" s="6">
        <v>57</v>
      </c>
      <c r="H37" s="468"/>
      <c r="I37" s="468"/>
      <c r="J37" s="3">
        <f>C36+7.5</f>
        <v>619.35</v>
      </c>
      <c r="K37" s="468" t="s">
        <v>1096</v>
      </c>
      <c r="L37" s="468"/>
      <c r="M37" s="468" t="str">
        <f>IF(L37="","",
IF(AX37="PT",VLOOKUP(L37,Foundation_Calc!$V$79:$X$112,VLOOKUP(AX37,Foundation_Calc!$I$10:$J$13,2,FALSE),0),
IF(AX37="K",VLOOKUP(L37,Foundation_Calc!$V$116:$X$149,VLOOKUP(AX37,Foundation_Calc!$I$10:$J$13,2,FALSE),0),"")))</f>
        <v/>
      </c>
      <c r="N37" s="468"/>
      <c r="O37" s="468"/>
      <c r="P37" s="468"/>
      <c r="Q37" s="4"/>
      <c r="R37" s="6"/>
      <c r="S37" s="6"/>
      <c r="T37" s="4"/>
      <c r="U37" s="4"/>
      <c r="V37" s="4"/>
      <c r="W37" s="9"/>
      <c r="X37" s="9"/>
      <c r="Y37" s="9"/>
      <c r="Z37" s="9"/>
      <c r="AA37" s="9"/>
      <c r="AB37" s="9"/>
      <c r="AC37" s="468" t="str">
        <f t="shared" si="1"/>
        <v/>
      </c>
      <c r="AD37" s="468"/>
      <c r="AE37" s="468"/>
      <c r="AF37" s="4"/>
      <c r="AG37" s="88"/>
      <c r="AH37" s="4"/>
      <c r="AI37" s="4"/>
      <c r="AJ37" s="468"/>
      <c r="AK37" s="468"/>
      <c r="AL37" s="468"/>
      <c r="AM37" s="468"/>
      <c r="AN37" s="10"/>
      <c r="AO37" s="9"/>
      <c r="AP37" s="9"/>
      <c r="AQ37" s="9">
        <f>+FL_2(-$T$38,$U$36,$G$37,1200,9.28,-1*$F$38)</f>
        <v>-0.41158010919298232</v>
      </c>
      <c r="AR37" s="9"/>
      <c r="AS37" s="9"/>
      <c r="AT37" s="9"/>
      <c r="AU37" s="447"/>
      <c r="AV37" s="447"/>
      <c r="AW37" s="468" t="str">
        <f>IF(C37&gt;0,VLOOKUP(C37,Foundation_Calc!$A$2:$C$13,3,1),
IF(J37&gt;0,VLOOKUP(J37,Foundation_Calc!$A$2:$C$13,3,1),""))</f>
        <v>MultiSoil</v>
      </c>
      <c r="AX37" s="468" t="str">
        <f>IF(C37&gt;0,VLOOKUP(C37,Foundation_Calc!$E$2:$G$13,3,1),
IF(J37&gt;0,VLOOKUP(J37,Foundation_Calc!$E$2:$G$13,3,1),""))</f>
        <v>PT</v>
      </c>
      <c r="AY37" s="10" t="str">
        <f>IF(L37="","",
IF(AX37="PT",VLOOKUP(L37,Foundation_Calc!$K$79:$R$112,VLOOKUP(AW37,Foundation_Calc!$I$2:$J$8,2,FALSE),0),
IF(AX37="K",VLOOKUP(L37,Foundation_Calc!$K$116:$R$149,VLOOKUP(AW37,Foundation_Calc!$I$2:$J$8,2,FALSE),0),"")))</f>
        <v/>
      </c>
      <c r="AZ37" s="10">
        <f>IF(K37="","",
IF(AX37="PT",VLOOKUP(K37,Foundation_Calc!$K$79:$R$112,VLOOKUP(AW37,Foundation_Calc!$I$2:$J$8,2,FALSE),0),
IF(AX37="K",VLOOKUP(K37,Foundation_Calc!$K$116:$R$149,VLOOKUP(AW37,Foundation_Calc!$I$2:$J$8,2,FALSE),0),"")))</f>
        <v>2.8</v>
      </c>
      <c r="BA37" s="553" t="str">
        <f t="shared" si="2"/>
        <v/>
      </c>
      <c r="BB37" s="553" t="str">
        <f t="shared" si="2"/>
        <v>ü</v>
      </c>
      <c r="BC37" s="553" t="str">
        <f t="shared" si="3"/>
        <v/>
      </c>
      <c r="BD37" s="572" t="str">
        <f>IF(AND(L37="",H37=""),"",
IF(H37="",Pole_Calc!A$9,
IF(H37="MP",Pole_Calc!A$10,
IF(H37="AnMP",Pole_Calc!A$11,
IF(H37="A",Pole_Calc!A$12,
IF(H37="S/A",Pole_Calc!A$13,
IF(H37="A/S",Pole_Calc!A$14,"Poner a mano")))))))</f>
        <v/>
      </c>
      <c r="BE37" s="448" t="s">
        <v>1726</v>
      </c>
      <c r="BF37" s="305"/>
      <c r="BG37" s="305"/>
      <c r="BH37" s="306"/>
      <c r="BI37" s="305"/>
    </row>
    <row r="38" spans="1:61" ht="16.2" customHeight="1">
      <c r="A38" s="573"/>
      <c r="B38" s="638" t="s">
        <v>1874</v>
      </c>
      <c r="C38" s="3">
        <f>+$C$36+$G$37</f>
        <v>668.85</v>
      </c>
      <c r="D38" s="88"/>
      <c r="E38" s="4"/>
      <c r="F38" s="4">
        <v>0</v>
      </c>
      <c r="G38" s="6"/>
      <c r="H38" s="468" t="s">
        <v>179</v>
      </c>
      <c r="I38" s="468" t="s">
        <v>482</v>
      </c>
      <c r="J38" s="3"/>
      <c r="K38" s="468"/>
      <c r="L38" s="468" t="s">
        <v>38</v>
      </c>
      <c r="M38" s="468" t="s">
        <v>1625</v>
      </c>
      <c r="N38" s="468" t="s">
        <v>32</v>
      </c>
      <c r="O38" s="468" t="s">
        <v>28</v>
      </c>
      <c r="P38" s="468"/>
      <c r="Q38" s="4"/>
      <c r="R38" s="6"/>
      <c r="S38" s="6"/>
      <c r="T38" s="4">
        <v>-35</v>
      </c>
      <c r="U38" s="4">
        <v>-15</v>
      </c>
      <c r="V38" s="4"/>
      <c r="W38" s="9">
        <v>1.4</v>
      </c>
      <c r="X38" s="9">
        <v>2.2999999999999998</v>
      </c>
      <c r="Y38" s="9"/>
      <c r="Z38" s="9"/>
      <c r="AA38" s="9">
        <v>0.55000000000000004</v>
      </c>
      <c r="AB38" s="9"/>
      <c r="AC38" s="468" t="str">
        <f t="shared" si="1"/>
        <v>PH</v>
      </c>
      <c r="AD38" s="468"/>
      <c r="AE38" s="468"/>
      <c r="AF38" s="4"/>
      <c r="AG38" s="88"/>
      <c r="AH38" s="4"/>
      <c r="AI38" s="4"/>
      <c r="AJ38" s="468"/>
      <c r="AK38" s="468"/>
      <c r="AL38" s="468"/>
      <c r="AM38" s="468" t="s">
        <v>486</v>
      </c>
      <c r="AN38" s="10">
        <v>5.5</v>
      </c>
      <c r="AO38" s="9"/>
      <c r="AP38" s="9"/>
      <c r="AQ38" s="9"/>
      <c r="AR38" s="9"/>
      <c r="AS38" s="9"/>
      <c r="AT38" s="9">
        <f>+ab($T$38,$T$36,$T$40,$G$37,$G$39,-1*$F$38,1200)</f>
        <v>-11.97574489986072</v>
      </c>
      <c r="AU38" s="447"/>
      <c r="AV38" s="447"/>
      <c r="AW38" s="468" t="s">
        <v>2556</v>
      </c>
      <c r="AX38" s="468"/>
      <c r="AY38" s="10"/>
      <c r="AZ38" s="10" t="str">
        <f>IF(K38="","",
IF(AX38="PT",VLOOKUP(K38,Foundation_Calc!$K$79:$R$112,VLOOKUP(AW38,Foundation_Calc!$I$2:$J$8,2,FALSE),0),
IF(AX38="K",VLOOKUP(K38,Foundation_Calc!$K$116:$R$149,VLOOKUP(AW38,Foundation_Calc!$I$2:$J$8,2,FALSE),0),"")))</f>
        <v/>
      </c>
      <c r="BA38" s="553" t="str">
        <f t="shared" si="2"/>
        <v/>
      </c>
      <c r="BB38" s="553" t="str">
        <f t="shared" si="2"/>
        <v/>
      </c>
      <c r="BC38" s="553" t="str">
        <f t="shared" si="3"/>
        <v>ü</v>
      </c>
      <c r="BD38" s="572" t="str">
        <f>IF(AND(L38="",H38=""),"",
IF(H38="",Pole_Calc!A$9,
IF(H38="MP",Pole_Calc!A$10,
IF(H38="AnMP",Pole_Calc!A$11,
IF(H38="A",Pole_Calc!A$12,
IF(H38="S/A",Pole_Calc!A$13,
IF(H38="A/S",Pole_Calc!A$14,"Poner a mano")))))))</f>
        <v>App.7-V11H-P9.5.1.5</v>
      </c>
      <c r="BE38" s="448" t="s">
        <v>1726</v>
      </c>
      <c r="BF38" s="306"/>
      <c r="BG38" s="306"/>
      <c r="BH38" s="306"/>
      <c r="BI38" s="306"/>
    </row>
    <row r="39" spans="1:61" ht="16.2" customHeight="1">
      <c r="A39" s="573"/>
      <c r="B39" s="469"/>
      <c r="C39" s="3"/>
      <c r="D39" s="88"/>
      <c r="E39" s="4"/>
      <c r="F39" s="4"/>
      <c r="G39" s="6">
        <v>57</v>
      </c>
      <c r="H39" s="468"/>
      <c r="I39" s="4">
        <f>SUM(G19:G39)</f>
        <v>568.29999999999995</v>
      </c>
      <c r="J39" s="3"/>
      <c r="K39" s="468"/>
      <c r="L39" s="468"/>
      <c r="M39" s="468" t="str">
        <f>IF(L39="","",
IF(AX39="PT",VLOOKUP(L39,Foundation_Calc!$V$79:$X$112,VLOOKUP(AX39,Foundation_Calc!$I$10:$J$13,2,FALSE),0),
IF(AX39="K",VLOOKUP(L39,Foundation_Calc!$V$116:$X$149,VLOOKUP(AX39,Foundation_Calc!$I$10:$J$13,2,FALSE),0),"")))</f>
        <v/>
      </c>
      <c r="N39" s="468"/>
      <c r="O39" s="468"/>
      <c r="P39" s="468"/>
      <c r="Q39" s="4"/>
      <c r="R39" s="6"/>
      <c r="S39" s="6"/>
      <c r="T39" s="4"/>
      <c r="U39" s="4"/>
      <c r="V39" s="4"/>
      <c r="W39" s="9"/>
      <c r="X39" s="9"/>
      <c r="Y39" s="9"/>
      <c r="Z39" s="9"/>
      <c r="AA39" s="9"/>
      <c r="AB39" s="9"/>
      <c r="AC39" s="468" t="str">
        <f t="shared" si="1"/>
        <v/>
      </c>
      <c r="AD39" s="468"/>
      <c r="AE39" s="468"/>
      <c r="AF39" s="4"/>
      <c r="AG39" s="88"/>
      <c r="AH39" s="4"/>
      <c r="AI39" s="4"/>
      <c r="AJ39" s="468"/>
      <c r="AK39" s="468"/>
      <c r="AL39" s="468"/>
      <c r="AM39" s="468"/>
      <c r="AN39" s="10"/>
      <c r="AO39" s="9"/>
      <c r="AP39" s="9"/>
      <c r="AQ39" s="9">
        <f>+FL_2($T$40,$T$38,$G$39,1200,9.28,-1*$F$40)</f>
        <v>-0.41158010919298232</v>
      </c>
      <c r="AR39" s="9"/>
      <c r="AS39" s="9"/>
      <c r="AT39" s="9"/>
      <c r="AU39" s="447"/>
      <c r="AV39" s="447"/>
      <c r="AW39" s="468" t="s">
        <v>2556</v>
      </c>
      <c r="AX39" s="468"/>
      <c r="AY39" s="10" t="str">
        <f>IF(L39="","",
IF(AX39="PT",VLOOKUP(L39,Foundation_Calc!$K$79:$R$112,VLOOKUP(AW39,Foundation_Calc!$I$2:$J$8,2,FALSE),0),
IF(AX39="K",VLOOKUP(L39,Foundation_Calc!$K$116:$R$149,VLOOKUP(AW39,Foundation_Calc!$I$2:$J$8,2,FALSE),0),"")))</f>
        <v/>
      </c>
      <c r="AZ39" s="10" t="str">
        <f>IF(K39="","",
IF(AX39="PT",VLOOKUP(K39,Foundation_Calc!$K$79:$R$112,VLOOKUP(AW39,Foundation_Calc!$I$2:$J$8,2,FALSE),0),
IF(AX39="K",VLOOKUP(K39,Foundation_Calc!$K$116:$R$149,VLOOKUP(AW39,Foundation_Calc!$I$2:$J$8,2,FALSE),0),"")))</f>
        <v/>
      </c>
      <c r="BA39" s="553" t="str">
        <f t="shared" si="2"/>
        <v/>
      </c>
      <c r="BB39" s="553" t="str">
        <f t="shared" si="2"/>
        <v/>
      </c>
      <c r="BC39" s="553" t="s">
        <v>2464</v>
      </c>
      <c r="BD39" s="572" t="str">
        <f>IF(AND(L39="",H39=""),"",
IF(H39="",Pole_Calc!A$9,
IF(H39="MP",Pole_Calc!A$10,
IF(H39="AnMP",Pole_Calc!A$11,
IF(H39="A",Pole_Calc!A$12,
IF(H39="S/A",Pole_Calc!A$13,
IF(H39="A/S",Pole_Calc!A$14,"Poner a mano")))))))</f>
        <v/>
      </c>
      <c r="BE39" s="448" t="s">
        <v>1726</v>
      </c>
      <c r="BF39" s="305"/>
      <c r="BG39" s="305"/>
      <c r="BH39" s="306"/>
      <c r="BI39" s="305"/>
    </row>
    <row r="40" spans="1:61" ht="16.2" customHeight="1">
      <c r="A40" s="573"/>
      <c r="B40" s="638" t="s">
        <v>1875</v>
      </c>
      <c r="C40" s="3">
        <f>+$C$38+$G$39</f>
        <v>725.85</v>
      </c>
      <c r="D40" s="88"/>
      <c r="E40" s="4"/>
      <c r="F40" s="4">
        <v>0</v>
      </c>
      <c r="G40" s="6"/>
      <c r="H40" s="468" t="s">
        <v>26</v>
      </c>
      <c r="I40" s="468" t="s">
        <v>183</v>
      </c>
      <c r="J40" s="3"/>
      <c r="K40" s="468"/>
      <c r="L40" s="468" t="s">
        <v>449</v>
      </c>
      <c r="M40" s="468" t="s">
        <v>1625</v>
      </c>
      <c r="N40" s="468" t="s">
        <v>33</v>
      </c>
      <c r="O40" s="468"/>
      <c r="P40" s="468"/>
      <c r="Q40" s="4"/>
      <c r="R40" s="6"/>
      <c r="S40" s="6"/>
      <c r="T40" s="4">
        <v>35</v>
      </c>
      <c r="U40" s="4"/>
      <c r="V40" s="4"/>
      <c r="W40" s="9">
        <v>1.4</v>
      </c>
      <c r="X40" s="9"/>
      <c r="Y40" s="9"/>
      <c r="Z40" s="9"/>
      <c r="AA40" s="9"/>
      <c r="AB40" s="9"/>
      <c r="AC40" s="468" t="str">
        <f t="shared" si="1"/>
        <v>PH</v>
      </c>
      <c r="AD40" s="468"/>
      <c r="AE40" s="468"/>
      <c r="AF40" s="4"/>
      <c r="AG40" s="88"/>
      <c r="AH40" s="4"/>
      <c r="AI40" s="4"/>
      <c r="AJ40" s="468"/>
      <c r="AK40" s="468"/>
      <c r="AL40" s="468"/>
      <c r="AM40" s="468" t="s">
        <v>486</v>
      </c>
      <c r="AN40" s="10">
        <v>5.5</v>
      </c>
      <c r="AO40" s="9"/>
      <c r="AP40" s="9"/>
      <c r="AQ40" s="9"/>
      <c r="AR40" s="9"/>
      <c r="AS40" s="9"/>
      <c r="AT40" s="9">
        <f>+ab($T$40,$T$38,-$T$42,$G$39,$G$41,-1*$F$40,1200)</f>
        <v>15.254511624565945</v>
      </c>
      <c r="AU40" s="447"/>
      <c r="AV40" s="447"/>
      <c r="AW40" s="468" t="s">
        <v>2556</v>
      </c>
      <c r="AX40" s="468"/>
      <c r="AY40" s="10"/>
      <c r="AZ40" s="10" t="str">
        <f>IF(K40="","",
IF(AX40="PT",VLOOKUP(K40,Foundation_Calc!$K$79:$R$112,VLOOKUP(AW40,Foundation_Calc!$I$2:$J$8,2,FALSE),0),
IF(AX40="K",VLOOKUP(K40,Foundation_Calc!$K$116:$R$149,VLOOKUP(AW40,Foundation_Calc!$I$2:$J$8,2,FALSE),0),"")))</f>
        <v/>
      </c>
      <c r="BA40" s="553" t="str">
        <f t="shared" si="2"/>
        <v/>
      </c>
      <c r="BB40" s="553" t="str">
        <f t="shared" si="2"/>
        <v/>
      </c>
      <c r="BC40" s="553" t="str">
        <f t="shared" si="3"/>
        <v>ü</v>
      </c>
      <c r="BD40" s="572" t="str">
        <f>Pole_Calc!A$167</f>
        <v>App.7-V11H-P9.5.15.2</v>
      </c>
      <c r="BE40" s="448" t="s">
        <v>1726</v>
      </c>
      <c r="BF40" s="306"/>
      <c r="BG40" s="306"/>
      <c r="BH40" s="306"/>
      <c r="BI40" s="306"/>
    </row>
    <row r="41" spans="1:61" ht="16.2" customHeight="1">
      <c r="A41" s="573"/>
      <c r="B41" s="469"/>
      <c r="C41" s="3"/>
      <c r="D41" s="88"/>
      <c r="E41" s="4"/>
      <c r="F41" s="4"/>
      <c r="G41" s="6">
        <v>60</v>
      </c>
      <c r="H41" s="468"/>
      <c r="I41" s="468"/>
      <c r="J41" s="3"/>
      <c r="K41" s="468"/>
      <c r="L41" s="468"/>
      <c r="M41" s="468" t="str">
        <f>IF(L41="","",
IF(AX41="PT",VLOOKUP(L41,Foundation_Calc!$V$79:$X$112,VLOOKUP(AX41,Foundation_Calc!$I$10:$J$13,2,FALSE),0),
IF(AX41="K",VLOOKUP(L41,Foundation_Calc!$V$116:$X$149,VLOOKUP(AX41,Foundation_Calc!$I$10:$J$13,2,FALSE),0),"")))</f>
        <v/>
      </c>
      <c r="N41" s="468"/>
      <c r="O41" s="468"/>
      <c r="P41" s="468"/>
      <c r="Q41" s="4"/>
      <c r="R41" s="6"/>
      <c r="S41" s="6"/>
      <c r="T41" s="4"/>
      <c r="U41" s="4"/>
      <c r="V41" s="4"/>
      <c r="W41" s="9"/>
      <c r="X41" s="9"/>
      <c r="Y41" s="9"/>
      <c r="Z41" s="9"/>
      <c r="AA41" s="9"/>
      <c r="AB41" s="9"/>
      <c r="AC41" s="468" t="str">
        <f t="shared" si="1"/>
        <v/>
      </c>
      <c r="AD41" s="468"/>
      <c r="AE41" s="468"/>
      <c r="AF41" s="4"/>
      <c r="AG41" s="88"/>
      <c r="AH41" s="4"/>
      <c r="AI41" s="4"/>
      <c r="AJ41" s="468"/>
      <c r="AK41" s="468"/>
      <c r="AL41" s="468"/>
      <c r="AM41" s="468"/>
      <c r="AN41" s="10"/>
      <c r="AO41" s="9"/>
      <c r="AP41" s="9"/>
      <c r="AQ41" s="9">
        <f>+FL_2(-$T$42,$T$40,$G$41,1200,9.28,-1*$F$42)</f>
        <v>2.0000000000000018E-3</v>
      </c>
      <c r="AR41" s="9"/>
      <c r="AS41" s="9"/>
      <c r="AT41" s="9"/>
      <c r="AU41" s="447"/>
      <c r="AV41" s="447"/>
      <c r="AW41" s="468" t="str">
        <f>IF(C41&gt;0,VLOOKUP(C41,Foundation_Calc!$A$2:$C$13,3,1),
IF(J41&gt;0,VLOOKUP(J41,Foundation_Calc!$A$2:$C$13,3,1),""))</f>
        <v/>
      </c>
      <c r="AX41" s="468" t="str">
        <f>IF(C41&gt;0,VLOOKUP(C41,Foundation_Calc!$E$2:$G$13,3,1),
IF(J41&gt;0,VLOOKUP(J41,Foundation_Calc!$E$2:$G$13,3,1),""))</f>
        <v/>
      </c>
      <c r="AY41" s="10" t="str">
        <f>IF(L41="","",
IF(AX41="PT",VLOOKUP(L41,Foundation_Calc!$K$79:$R$112,VLOOKUP(AW41,Foundation_Calc!$I$2:$J$8,2,FALSE),0),
IF(AX41="K",VLOOKUP(L41,Foundation_Calc!$K$116:$R$149,VLOOKUP(AW41,Foundation_Calc!$I$2:$J$8,2,FALSE),0),"")))</f>
        <v/>
      </c>
      <c r="AZ41" s="10" t="str">
        <f>IF(K41="","",
IF(AX41="PT",VLOOKUP(K41,Foundation_Calc!$K$79:$R$112,VLOOKUP(AW41,Foundation_Calc!$I$2:$J$8,2,FALSE),0),
IF(AX41="K",VLOOKUP(K41,Foundation_Calc!$K$116:$R$149,VLOOKUP(AW41,Foundation_Calc!$I$2:$J$8,2,FALSE),0),"")))</f>
        <v/>
      </c>
      <c r="BA41" s="553" t="str">
        <f t="shared" si="2"/>
        <v/>
      </c>
      <c r="BB41" s="553" t="str">
        <f t="shared" si="2"/>
        <v/>
      </c>
      <c r="BC41" s="553" t="str">
        <f t="shared" si="3"/>
        <v/>
      </c>
      <c r="BD41" s="572" t="str">
        <f>IF(AND(L41="",H41=""),"",
IF(H41="",Pole_Calc!A$9,
IF(H41="MP",Pole_Calc!A$10,
IF(H41="AnMP",Pole_Calc!A$11,
IF(H41="A",Pole_Calc!A$12,
IF(H41="S/A",Pole_Calc!A$13,
IF(H41="A/S",Pole_Calc!A$14,"Poner a mano")))))))</f>
        <v/>
      </c>
      <c r="BE41" s="448" t="s">
        <v>1726</v>
      </c>
      <c r="BF41" s="305"/>
      <c r="BG41" s="305"/>
      <c r="BH41" s="306"/>
      <c r="BI41" s="305"/>
    </row>
    <row r="42" spans="1:61" ht="16.2" customHeight="1">
      <c r="A42" s="573"/>
      <c r="B42" s="469" t="s">
        <v>1876</v>
      </c>
      <c r="C42" s="3">
        <f>+$C$40+$G$41</f>
        <v>785.85</v>
      </c>
      <c r="D42" s="88"/>
      <c r="E42" s="4"/>
      <c r="F42" s="4">
        <v>0</v>
      </c>
      <c r="G42" s="6"/>
      <c r="H42" s="468"/>
      <c r="I42" s="468"/>
      <c r="J42" s="3"/>
      <c r="K42" s="468"/>
      <c r="L42" s="468" t="s">
        <v>38</v>
      </c>
      <c r="M42" s="468" t="s">
        <v>1625</v>
      </c>
      <c r="N42" s="468" t="s">
        <v>32</v>
      </c>
      <c r="O42" s="468"/>
      <c r="P42" s="468"/>
      <c r="Q42" s="4"/>
      <c r="R42" s="6"/>
      <c r="S42" s="6"/>
      <c r="T42" s="4">
        <v>-35</v>
      </c>
      <c r="U42" s="4"/>
      <c r="V42" s="4"/>
      <c r="W42" s="9">
        <v>1.4</v>
      </c>
      <c r="X42" s="9"/>
      <c r="Y42" s="9"/>
      <c r="Z42" s="9"/>
      <c r="AA42" s="9"/>
      <c r="AB42" s="9"/>
      <c r="AC42" s="468" t="str">
        <f t="shared" si="1"/>
        <v>PHQ</v>
      </c>
      <c r="AD42" s="468"/>
      <c r="AE42" s="468"/>
      <c r="AF42" s="4"/>
      <c r="AG42" s="88"/>
      <c r="AH42" s="4"/>
      <c r="AI42" s="4"/>
      <c r="AJ42" s="468"/>
      <c r="AK42" s="468"/>
      <c r="AL42" s="468"/>
      <c r="AM42" s="468" t="s">
        <v>486</v>
      </c>
      <c r="AN42" s="10">
        <v>5.5</v>
      </c>
      <c r="AO42" s="9"/>
      <c r="AP42" s="9"/>
      <c r="AQ42" s="9"/>
      <c r="AR42" s="9"/>
      <c r="AS42" s="9"/>
      <c r="AT42" s="9">
        <f>+ab($T$42,$T$40,$T$44,$G$41,$G$43,-1*$F$42,1200)</f>
        <v>-7.450358158204363</v>
      </c>
      <c r="AU42" s="447"/>
      <c r="AV42" s="447"/>
      <c r="AW42" s="468" t="s">
        <v>2556</v>
      </c>
      <c r="AX42" s="468"/>
      <c r="AY42" s="10"/>
      <c r="AZ42" s="10" t="str">
        <f>IF(K42="","",
IF(AX42="PT",VLOOKUP(K42,Foundation_Calc!$K$4:$R$37,VLOOKUP(AW42,Foundation_Calc!$I$2:$J$8,2,FALSE),0),
IF(AX42="K",VLOOKUP(K42,Foundation_Calc!$K$41:$R$74,VLOOKUP(AW42,Foundation_Calc!$I$2:$J$8,2,FALSE),0),"")))</f>
        <v/>
      </c>
      <c r="BA42" s="553" t="str">
        <f t="shared" si="2"/>
        <v/>
      </c>
      <c r="BB42" s="553" t="str">
        <f t="shared" si="2"/>
        <v/>
      </c>
      <c r="BC42" s="553" t="str">
        <f t="shared" si="3"/>
        <v>ü</v>
      </c>
      <c r="BD42" s="572" t="str">
        <f>IF(AND(L42="",H42=""),"",
IF(H42="",Pole_Calc!A$9,
IF(H42="MP",Pole_Calc!A$10,
IF(H42="AnMP",Pole_Calc!A$11,
IF(H42="A",Pole_Calc!A$12,
IF(H42="S/A",Pole_Calc!A$13,
IF(H42="A/S",Pole_Calc!A$14,"Poner a mano")))))))</f>
        <v>App.7-V11H-P9.5.1.1</v>
      </c>
      <c r="BE42" s="448" t="s">
        <v>1726</v>
      </c>
      <c r="BF42" s="306"/>
      <c r="BG42" s="306"/>
      <c r="BH42" s="306"/>
      <c r="BI42" s="306"/>
    </row>
    <row r="43" spans="1:61" ht="16.2" customHeight="1">
      <c r="A43" s="573"/>
      <c r="B43" s="469"/>
      <c r="C43" s="3"/>
      <c r="D43" s="88"/>
      <c r="E43" s="4"/>
      <c r="F43" s="4"/>
      <c r="G43" s="6">
        <v>50.2</v>
      </c>
      <c r="H43" s="468"/>
      <c r="I43" s="468"/>
      <c r="J43" s="3"/>
      <c r="K43" s="468"/>
      <c r="L43" s="468"/>
      <c r="M43" s="468" t="str">
        <f>IF(L43="","",
IF(AX43="PT",VLOOKUP(L43,Foundation_Calc!$V$79:$X$112,VLOOKUP(AX43,Foundation_Calc!$I$10:$J$13,2,FALSE),0),
IF(AX43="K",VLOOKUP(L43,Foundation_Calc!$V$116:$X$149,VLOOKUP(AX43,Foundation_Calc!$I$10:$J$13,2,FALSE),0),"")))</f>
        <v/>
      </c>
      <c r="N43" s="468"/>
      <c r="O43" s="468"/>
      <c r="P43" s="468"/>
      <c r="Q43" s="4"/>
      <c r="R43" s="6"/>
      <c r="S43" s="6"/>
      <c r="T43" s="4"/>
      <c r="U43" s="4"/>
      <c r="V43" s="4"/>
      <c r="W43" s="9"/>
      <c r="X43" s="9"/>
      <c r="Y43" s="9"/>
      <c r="Z43" s="9"/>
      <c r="AA43" s="9"/>
      <c r="AB43" s="9"/>
      <c r="AC43" s="468" t="str">
        <f t="shared" si="1"/>
        <v/>
      </c>
      <c r="AD43" s="468"/>
      <c r="AE43" s="468"/>
      <c r="AF43" s="4"/>
      <c r="AG43" s="88"/>
      <c r="AH43" s="4"/>
      <c r="AI43" s="4"/>
      <c r="AJ43" s="468"/>
      <c r="AK43" s="468"/>
      <c r="AL43" s="468"/>
      <c r="AM43" s="468"/>
      <c r="AN43" s="10"/>
      <c r="AO43" s="9"/>
      <c r="AP43" s="9"/>
      <c r="AQ43" s="9">
        <f>+FL_1($T$44,$T$42,$G$43,1200,9.28,-1*$F$44)</f>
        <v>0.36932026129614876</v>
      </c>
      <c r="AR43" s="9"/>
      <c r="AS43" s="9"/>
      <c r="AT43" s="9"/>
      <c r="AU43" s="447"/>
      <c r="AV43" s="447"/>
      <c r="AW43" s="468" t="str">
        <f>IF(C43&gt;0,VLOOKUP(C43,Foundation_Calc!$A$2:$C$13,3,1),
IF(J43&gt;0,VLOOKUP(J43,Foundation_Calc!$A$2:$C$13,3,1),""))</f>
        <v/>
      </c>
      <c r="AX43" s="468" t="str">
        <f>IF(C43&gt;0,VLOOKUP(C43,Foundation_Calc!$E$2:$G$13,3,1),
IF(J43&gt;0,VLOOKUP(J43,Foundation_Calc!$E$2:$G$13,3,1),""))</f>
        <v/>
      </c>
      <c r="AY43" s="10" t="str">
        <f>IF(L43="","",
IF(AX43="PT",VLOOKUP(L43,Foundation_Calc!$K$79:$R$112,VLOOKUP(AW43,Foundation_Calc!$I$2:$J$8,2,FALSE),0),
IF(AX43="K",VLOOKUP(L43,Foundation_Calc!$K$116:$R$149,VLOOKUP(AW43,Foundation_Calc!$I$2:$J$8,2,FALSE),0),"")))</f>
        <v/>
      </c>
      <c r="AZ43" s="10" t="str">
        <f>IF(K43="","",
IF(AX43="PT",VLOOKUP(K43,Foundation_Calc!$K$79:$R$112,VLOOKUP(AW43,Foundation_Calc!$I$2:$J$8,2,FALSE),0),
IF(AX43="K",VLOOKUP(K43,Foundation_Calc!$K$116:$R$149,VLOOKUP(AW43,Foundation_Calc!$I$2:$J$8,2,FALSE),0),"")))</f>
        <v/>
      </c>
      <c r="BA43" s="553" t="str">
        <f t="shared" si="2"/>
        <v/>
      </c>
      <c r="BB43" s="553" t="str">
        <f t="shared" si="2"/>
        <v/>
      </c>
      <c r="BC43" s="553" t="str">
        <f t="shared" si="3"/>
        <v/>
      </c>
      <c r="BD43" s="572" t="str">
        <f>IF(AND(L43="",H43=""),"",
IF(H43="",Pole_Calc!A$9,
IF(H43="MP",Pole_Calc!A$10,
IF(H43="AnMP",Pole_Calc!A$11,
IF(H43="A",Pole_Calc!A$12,
IF(H43="S/A",Pole_Calc!A$13,
IF(H43="A/S",Pole_Calc!A$14,"Poner a mano")))))))</f>
        <v/>
      </c>
      <c r="BE43" s="448" t="s">
        <v>1726</v>
      </c>
      <c r="BF43" s="305"/>
      <c r="BG43" s="305"/>
      <c r="BH43" s="306"/>
      <c r="BI43" s="305"/>
    </row>
    <row r="44" spans="1:61" ht="16.2" customHeight="1">
      <c r="A44" s="573"/>
      <c r="B44" s="469" t="s">
        <v>1877</v>
      </c>
      <c r="C44" s="3">
        <f>+$C$42+$G$43</f>
        <v>836.05000000000007</v>
      </c>
      <c r="D44" s="88"/>
      <c r="E44" s="4"/>
      <c r="F44" s="4">
        <v>0</v>
      </c>
      <c r="G44" s="6"/>
      <c r="H44" s="468"/>
      <c r="I44" s="468"/>
      <c r="J44" s="3"/>
      <c r="K44" s="468"/>
      <c r="L44" s="468" t="s">
        <v>37</v>
      </c>
      <c r="M44" s="468" t="s">
        <v>1625</v>
      </c>
      <c r="N44" s="468" t="s">
        <v>33</v>
      </c>
      <c r="O44" s="468"/>
      <c r="P44" s="468"/>
      <c r="Q44" s="4"/>
      <c r="R44" s="6"/>
      <c r="S44" s="6"/>
      <c r="T44" s="4">
        <v>35</v>
      </c>
      <c r="U44" s="4"/>
      <c r="V44" s="4"/>
      <c r="W44" s="9">
        <v>1.4</v>
      </c>
      <c r="X44" s="9"/>
      <c r="Y44" s="9"/>
      <c r="Z44" s="9"/>
      <c r="AA44" s="9"/>
      <c r="AB44" s="9"/>
      <c r="AC44" s="468" t="str">
        <f t="shared" si="1"/>
        <v>PHQ</v>
      </c>
      <c r="AD44" s="468"/>
      <c r="AE44" s="468"/>
      <c r="AF44" s="4"/>
      <c r="AG44" s="88"/>
      <c r="AH44" s="4"/>
      <c r="AI44" s="4"/>
      <c r="AJ44" s="468"/>
      <c r="AK44" s="468"/>
      <c r="AL44" s="468"/>
      <c r="AM44" s="468" t="s">
        <v>486</v>
      </c>
      <c r="AN44" s="10">
        <v>5.5</v>
      </c>
      <c r="AO44" s="9"/>
      <c r="AP44" s="9"/>
      <c r="AQ44" s="9"/>
      <c r="AR44" s="9"/>
      <c r="AS44" s="9"/>
      <c r="AT44" s="9">
        <f>+ab($T$44,$T$42,$T$46,$G$43,$G$45,-1*$F$44,1200)</f>
        <v>7.0854927724319499</v>
      </c>
      <c r="AU44" s="447"/>
      <c r="AV44" s="447"/>
      <c r="AW44" s="468" t="s">
        <v>2556</v>
      </c>
      <c r="AX44" s="468"/>
      <c r="AY44" s="10"/>
      <c r="AZ44" s="10" t="str">
        <f>IF(K44="","",
IF(AX44="PT",VLOOKUP(K44,Foundation_Calc!$K$79:$R$112,VLOOKUP(AW44,Foundation_Calc!$I$2:$J$8,2,FALSE),0),
IF(AX44="K",VLOOKUP(K44,Foundation_Calc!$K$116:$R$149,VLOOKUP(AW44,Foundation_Calc!$I$2:$J$8,2,FALSE),0),"")))</f>
        <v/>
      </c>
      <c r="BA44" s="553" t="str">
        <f t="shared" si="2"/>
        <v/>
      </c>
      <c r="BB44" s="553" t="str">
        <f t="shared" si="2"/>
        <v/>
      </c>
      <c r="BC44" s="553" t="str">
        <f t="shared" si="3"/>
        <v>ü</v>
      </c>
      <c r="BD44" s="572" t="str">
        <f>IF(AND(L44="",H44=""),"",
IF(H44="",Pole_Calc!A$9,
IF(H44="MP",Pole_Calc!A$10,
IF(H44="AnMP",Pole_Calc!A$11,
IF(H44="A",Pole_Calc!A$12,
IF(H44="S/A",Pole_Calc!A$13,
IF(H44="A/S",Pole_Calc!A$14,"Poner a mano")))))))</f>
        <v>App.7-V11H-P9.5.1.1</v>
      </c>
      <c r="BE44" s="448" t="s">
        <v>1726</v>
      </c>
      <c r="BF44" s="306"/>
      <c r="BG44" s="306"/>
      <c r="BH44" s="306"/>
      <c r="BI44" s="306"/>
    </row>
    <row r="45" spans="1:61" ht="16.2" customHeight="1">
      <c r="A45" s="573"/>
      <c r="B45" s="469"/>
      <c r="C45" s="3"/>
      <c r="D45" s="88"/>
      <c r="E45" s="4"/>
      <c r="F45" s="4"/>
      <c r="G45" s="6">
        <v>50</v>
      </c>
      <c r="H45" s="468"/>
      <c r="I45" s="468"/>
      <c r="J45" s="3"/>
      <c r="K45" s="468"/>
      <c r="L45" s="468"/>
      <c r="M45" s="468" t="str">
        <f>IF(L45="","",
IF(AX45="PT",VLOOKUP(L45,Foundation_Calc!$V$79:$X$112,VLOOKUP(AX45,Foundation_Calc!$I$10:$J$13,2,FALSE),0),
IF(AX45="K",VLOOKUP(L45,Foundation_Calc!$V$116:$X$149,VLOOKUP(AX45,Foundation_Calc!$I$10:$J$13,2,FALSE),0),"")))</f>
        <v/>
      </c>
      <c r="N45" s="468"/>
      <c r="O45" s="468"/>
      <c r="P45" s="468"/>
      <c r="Q45" s="4"/>
      <c r="R45" s="6"/>
      <c r="S45" s="6"/>
      <c r="T45" s="4"/>
      <c r="U45" s="4"/>
      <c r="V45" s="4"/>
      <c r="W45" s="9"/>
      <c r="X45" s="9"/>
      <c r="Y45" s="9"/>
      <c r="Z45" s="9"/>
      <c r="AA45" s="9"/>
      <c r="AB45" s="9"/>
      <c r="AC45" s="468" t="str">
        <f t="shared" si="1"/>
        <v/>
      </c>
      <c r="AD45" s="468"/>
      <c r="AE45" s="468"/>
      <c r="AF45" s="4"/>
      <c r="AG45" s="88"/>
      <c r="AH45" s="4"/>
      <c r="AI45" s="4"/>
      <c r="AJ45" s="468"/>
      <c r="AK45" s="468"/>
      <c r="AL45" s="468"/>
      <c r="AM45" s="468"/>
      <c r="AN45" s="10"/>
      <c r="AO45" s="9"/>
      <c r="AP45" s="9"/>
      <c r="AQ45" s="9">
        <f>+FL_1($T$46,$T$44,$G$45,1200,9.28,-1*$F$46)</f>
        <v>0.37593390799999998</v>
      </c>
      <c r="AR45" s="9"/>
      <c r="AS45" s="9"/>
      <c r="AT45" s="9"/>
      <c r="AU45" s="447"/>
      <c r="AV45" s="447"/>
      <c r="AW45" s="468" t="str">
        <f>IF(C45&gt;0,VLOOKUP(C45,Foundation_Calc!$A$2:$C$13,3,1),
IF(J45&gt;0,VLOOKUP(J45,Foundation_Calc!$A$2:$C$13,3,1),""))</f>
        <v/>
      </c>
      <c r="AX45" s="468" t="str">
        <f>IF(C45&gt;0,VLOOKUP(C45,Foundation_Calc!$E$2:$G$13,3,1),
IF(J45&gt;0,VLOOKUP(J45,Foundation_Calc!$E$2:$G$13,3,1),""))</f>
        <v/>
      </c>
      <c r="AY45" s="10" t="str">
        <f>IF(L45="","",
IF(AX45="PT",VLOOKUP(L45,Foundation_Calc!$K$79:$R$112,VLOOKUP(AW45,Foundation_Calc!$I$2:$J$8,2,FALSE),0),
IF(AX45="K",VLOOKUP(L45,Foundation_Calc!$K$116:$R$149,VLOOKUP(AW45,Foundation_Calc!$I$2:$J$8,2,FALSE),0),"")))</f>
        <v/>
      </c>
      <c r="AZ45" s="10" t="str">
        <f>IF(K45="","",
IF(AX45="PT",VLOOKUP(K45,Foundation_Calc!$K$79:$R$112,VLOOKUP(AW45,Foundation_Calc!$I$2:$J$8,2,FALSE),0),
IF(AX45="K",VLOOKUP(K45,Foundation_Calc!$K$116:$R$149,VLOOKUP(AW45,Foundation_Calc!$I$2:$J$8,2,FALSE),0),"")))</f>
        <v/>
      </c>
      <c r="BA45" s="553" t="str">
        <f t="shared" si="2"/>
        <v/>
      </c>
      <c r="BB45" s="553" t="str">
        <f t="shared" si="2"/>
        <v/>
      </c>
      <c r="BC45" s="553" t="str">
        <f t="shared" si="3"/>
        <v/>
      </c>
      <c r="BD45" s="572" t="str">
        <f>IF(AND(L45="",H45=""),"",
IF(H45="",Pole_Calc!A$9,
IF(H45="MP",Pole_Calc!A$10,
IF(H45="AnMP",Pole_Calc!A$11,
IF(H45="A",Pole_Calc!A$12,
IF(H45="S/A",Pole_Calc!A$13,
IF(H45="A/S",Pole_Calc!A$14,"Poner a mano")))))))</f>
        <v/>
      </c>
      <c r="BE45" s="448" t="s">
        <v>1726</v>
      </c>
      <c r="BF45" s="305"/>
      <c r="BG45" s="305"/>
      <c r="BH45" s="306"/>
      <c r="BI45" s="305"/>
    </row>
    <row r="46" spans="1:61" ht="16.2" customHeight="1">
      <c r="A46" s="573"/>
      <c r="B46" s="469" t="s">
        <v>1878</v>
      </c>
      <c r="C46" s="3">
        <f>+$C$44+$G$45</f>
        <v>886.05000000000007</v>
      </c>
      <c r="D46" s="88"/>
      <c r="E46" s="4"/>
      <c r="F46" s="4">
        <v>0</v>
      </c>
      <c r="G46" s="6"/>
      <c r="H46" s="468"/>
      <c r="I46" s="468"/>
      <c r="J46" s="3"/>
      <c r="K46" s="468"/>
      <c r="L46" s="468" t="s">
        <v>37</v>
      </c>
      <c r="M46" s="468" t="str">
        <f>IF(L46="","",
IF(AX46="PT",VLOOKUP(L46,Foundation_Calc!$V$79:$X$112,VLOOKUP(AX46,Foundation_Calc!$I$10:$J$13,2,FALSE),0),
IF(AX46="K",VLOOKUP(L46,Foundation_Calc!$V$116:$X$149,VLOOKUP(AX46,Foundation_Calc!$I$10:$J$13,2,FALSE),0),"")))</f>
        <v>C3R</v>
      </c>
      <c r="N46" s="468" t="s">
        <v>32</v>
      </c>
      <c r="O46" s="468"/>
      <c r="P46" s="468"/>
      <c r="Q46" s="4"/>
      <c r="R46" s="6"/>
      <c r="S46" s="6"/>
      <c r="T46" s="4">
        <v>-30</v>
      </c>
      <c r="U46" s="4"/>
      <c r="V46" s="4"/>
      <c r="W46" s="9">
        <v>1.4</v>
      </c>
      <c r="X46" s="9"/>
      <c r="Y46" s="9"/>
      <c r="Z46" s="9"/>
      <c r="AA46" s="9"/>
      <c r="AB46" s="9"/>
      <c r="AC46" s="468" t="str">
        <f t="shared" si="1"/>
        <v>PH</v>
      </c>
      <c r="AD46" s="468"/>
      <c r="AE46" s="468"/>
      <c r="AF46" s="4"/>
      <c r="AG46" s="88"/>
      <c r="AH46" s="4"/>
      <c r="AI46" s="4"/>
      <c r="AJ46" s="468"/>
      <c r="AK46" s="468"/>
      <c r="AL46" s="468"/>
      <c r="AM46" s="468" t="s">
        <v>486</v>
      </c>
      <c r="AN46" s="10">
        <v>5.5</v>
      </c>
      <c r="AO46" s="9"/>
      <c r="AP46" s="9"/>
      <c r="AQ46" s="9"/>
      <c r="AR46" s="9"/>
      <c r="AS46" s="9"/>
      <c r="AT46" s="9">
        <f>+ab($T$46,$T$44,$T$48,$G$45,$G$47,-1*$F$46,1200)</f>
        <v>-8.1543696600760782</v>
      </c>
      <c r="AU46" s="447"/>
      <c r="AV46" s="447"/>
      <c r="AW46" s="468" t="str">
        <f>IF(C46&gt;0,VLOOKUP(C46,Foundation_Calc!$A$2:$C$13,3,1),
IF(J46&gt;0,VLOOKUP(J46,Foundation_Calc!$A$2:$C$13,3,1),""))</f>
        <v>MultiSoil</v>
      </c>
      <c r="AX46" s="468" t="str">
        <f>IF(C46&gt;0,VLOOKUP(C46,Foundation_Calc!$E$2:$G$13,3,1),
IF(J46&gt;0,VLOOKUP(J46,Foundation_Calc!$E$2:$G$13,3,1),""))</f>
        <v>PT</v>
      </c>
      <c r="AY46" s="10">
        <f>IF(L46="","",
IF(AX46="PT",VLOOKUP(L46,Foundation_Calc!$K$79:$R$112,VLOOKUP(AW46,Foundation_Calc!$I$2:$J$8,2,FALSE),0),
IF(AX46="K",VLOOKUP(L46,Foundation_Calc!$K$116:$R$149,VLOOKUP(AW46,Foundation_Calc!$I$2:$J$8,2,FALSE),0),"")))</f>
        <v>3.5</v>
      </c>
      <c r="AZ46" s="10" t="str">
        <f>IF(K46="","",
IF(AX46="PT",VLOOKUP(K46,Foundation_Calc!$K$79:$R$112,VLOOKUP(AW46,Foundation_Calc!$I$2:$J$8,2,FALSE),0),
IF(AX46="K",VLOOKUP(K46,Foundation_Calc!$K$116:$R$149,VLOOKUP(AW46,Foundation_Calc!$I$2:$J$8,2,FALSE),0),"")))</f>
        <v/>
      </c>
      <c r="BA46" s="553" t="str">
        <f t="shared" si="2"/>
        <v>ü</v>
      </c>
      <c r="BB46" s="553" t="str">
        <f t="shared" si="2"/>
        <v/>
      </c>
      <c r="BC46" s="553" t="str">
        <f t="shared" si="3"/>
        <v/>
      </c>
      <c r="BD46" s="572" t="str">
        <f>IF(AND(L46="",H46=""),"",
IF(H46="",Pole_Calc!A$9,
IF(H46="MP",Pole_Calc!A$10,
IF(H46="AnMP",Pole_Calc!A$11,
IF(H46="A",Pole_Calc!A$12,
IF(H46="S/A",Pole_Calc!A$13,
IF(H46="A/S",Pole_Calc!A$14,"Poner a mano")))))))</f>
        <v>App.7-V11H-P9.5.1.1</v>
      </c>
      <c r="BE46" s="448" t="s">
        <v>1726</v>
      </c>
      <c r="BF46" s="306"/>
      <c r="BG46" s="306"/>
      <c r="BH46" s="306"/>
      <c r="BI46" s="306"/>
    </row>
    <row r="47" spans="1:61" ht="16.2" customHeight="1">
      <c r="A47" s="573"/>
      <c r="B47" s="469"/>
      <c r="C47" s="3"/>
      <c r="D47" s="88"/>
      <c r="E47" s="4"/>
      <c r="F47" s="4"/>
      <c r="G47" s="6">
        <v>48.2</v>
      </c>
      <c r="H47" s="468"/>
      <c r="I47" s="468"/>
      <c r="J47" s="3"/>
      <c r="K47" s="468"/>
      <c r="L47" s="468"/>
      <c r="M47" s="468" t="str">
        <f>IF(L47="","",
IF(AX47="PT",VLOOKUP(L47,Foundation_Calc!$V$79:$X$112,VLOOKUP(AX47,Foundation_Calc!$I$10:$J$13,2,FALSE),0),
IF(AX47="K",VLOOKUP(L47,Foundation_Calc!$V$116:$X$149,VLOOKUP(AX47,Foundation_Calc!$I$10:$J$13,2,FALSE),0),"")))</f>
        <v/>
      </c>
      <c r="N47" s="468"/>
      <c r="O47" s="468"/>
      <c r="P47" s="468"/>
      <c r="Q47" s="4"/>
      <c r="R47" s="6"/>
      <c r="S47" s="6"/>
      <c r="T47" s="4"/>
      <c r="U47" s="4"/>
      <c r="V47" s="4"/>
      <c r="W47" s="9"/>
      <c r="X47" s="9"/>
      <c r="Y47" s="9"/>
      <c r="Z47" s="9"/>
      <c r="AA47" s="9"/>
      <c r="AB47" s="9"/>
      <c r="AC47" s="468" t="str">
        <f t="shared" si="1"/>
        <v/>
      </c>
      <c r="AD47" s="468"/>
      <c r="AE47" s="468"/>
      <c r="AF47" s="4"/>
      <c r="AG47" s="88"/>
      <c r="AH47" s="4"/>
      <c r="AI47" s="4"/>
      <c r="AJ47" s="468"/>
      <c r="AK47" s="468"/>
      <c r="AL47" s="468"/>
      <c r="AM47" s="468"/>
      <c r="AN47" s="10"/>
      <c r="AO47" s="9"/>
      <c r="AP47" s="9"/>
      <c r="AQ47" s="9">
        <f>+FL_2($T$48,$T$46,$G$47,1200,9.28,-1*$F$48)</f>
        <v>-0.344154218484094</v>
      </c>
      <c r="AR47" s="9"/>
      <c r="AS47" s="9"/>
      <c r="AT47" s="9"/>
      <c r="AU47" s="447"/>
      <c r="AV47" s="447"/>
      <c r="AW47" s="468" t="str">
        <f>IF(C47&gt;0,VLOOKUP(C47,Foundation_Calc!$A$2:$C$13,3,1),
IF(J47&gt;0,VLOOKUP(J47,Foundation_Calc!$A$2:$C$13,3,1),""))</f>
        <v/>
      </c>
      <c r="AX47" s="468" t="str">
        <f>IF(C47&gt;0,VLOOKUP(C47,Foundation_Calc!$E$2:$G$13,3,1),
IF(J47&gt;0,VLOOKUP(J47,Foundation_Calc!$E$2:$G$13,3,1),""))</f>
        <v/>
      </c>
      <c r="AY47" s="10" t="str">
        <f>IF(L47="","",
IF(AX47="PT",VLOOKUP(L47,Foundation_Calc!$K$79:$R$112,VLOOKUP(AW47,Foundation_Calc!$I$2:$J$8,2,FALSE),0),
IF(AX47="K",VLOOKUP(L47,Foundation_Calc!$K$116:$R$149,VLOOKUP(AW47,Foundation_Calc!$I$2:$J$8,2,FALSE),0),"")))</f>
        <v/>
      </c>
      <c r="AZ47" s="10" t="str">
        <f>IF(K47="","",
IF(AX47="PT",VLOOKUP(K47,Foundation_Calc!$K$79:$R$112,VLOOKUP(AW47,Foundation_Calc!$I$2:$J$8,2,FALSE),0),
IF(AX47="K",VLOOKUP(K47,Foundation_Calc!$K$116:$R$149,VLOOKUP(AW47,Foundation_Calc!$I$2:$J$8,2,FALSE),0),"")))</f>
        <v/>
      </c>
      <c r="BA47" s="553" t="str">
        <f t="shared" si="2"/>
        <v/>
      </c>
      <c r="BB47" s="553" t="str">
        <f t="shared" si="2"/>
        <v/>
      </c>
      <c r="BC47" s="553" t="str">
        <f t="shared" si="3"/>
        <v/>
      </c>
      <c r="BD47" s="572" t="str">
        <f>IF(AND(L47="",H47=""),"",
IF(H47="",Pole_Calc!A$9,
IF(H47="MP",Pole_Calc!A$10,
IF(H47="AnMP",Pole_Calc!A$11,
IF(H47="A",Pole_Calc!A$12,
IF(H47="S/A",Pole_Calc!A$13,
IF(H47="A/S",Pole_Calc!A$14,"Poner a mano")))))))</f>
        <v/>
      </c>
      <c r="BE47" s="448" t="s">
        <v>1726</v>
      </c>
      <c r="BF47" s="305"/>
      <c r="BG47" s="305"/>
      <c r="BH47" s="306"/>
      <c r="BI47" s="305"/>
    </row>
    <row r="48" spans="1:61" ht="16.2" customHeight="1">
      <c r="A48" s="573"/>
      <c r="B48" s="469" t="s">
        <v>1879</v>
      </c>
      <c r="C48" s="3">
        <f>+$C$46+$G$47</f>
        <v>934.25000000000011</v>
      </c>
      <c r="D48" s="88"/>
      <c r="E48" s="4"/>
      <c r="F48" s="4">
        <v>0</v>
      </c>
      <c r="G48" s="6"/>
      <c r="H48" s="468"/>
      <c r="I48" s="468" t="s">
        <v>482</v>
      </c>
      <c r="J48" s="3"/>
      <c r="K48" s="468"/>
      <c r="L48" s="468" t="s">
        <v>37</v>
      </c>
      <c r="M48" s="468" t="str">
        <f>IF(L48="","",
IF(AX48="PT",VLOOKUP(L48,Foundation_Calc!$V$79:$X$112,VLOOKUP(AX48,Foundation_Calc!$I$10:$J$13,2,FALSE),0),
IF(AX48="K",VLOOKUP(L48,Foundation_Calc!$V$116:$X$149,VLOOKUP(AX48,Foundation_Calc!$I$10:$J$13,2,FALSE),0),"")))</f>
        <v>C3R</v>
      </c>
      <c r="N48" s="468" t="s">
        <v>33</v>
      </c>
      <c r="O48" s="468"/>
      <c r="P48" s="468"/>
      <c r="Q48" s="4"/>
      <c r="R48" s="6"/>
      <c r="S48" s="6"/>
      <c r="T48" s="4">
        <v>20</v>
      </c>
      <c r="U48" s="4"/>
      <c r="V48" s="4"/>
      <c r="W48" s="9">
        <v>1.4</v>
      </c>
      <c r="X48" s="9"/>
      <c r="Y48" s="9"/>
      <c r="Z48" s="9"/>
      <c r="AA48" s="9"/>
      <c r="AB48" s="9"/>
      <c r="AC48" s="468" t="str">
        <f t="shared" si="1"/>
        <v>PH</v>
      </c>
      <c r="AD48" s="468"/>
      <c r="AE48" s="468"/>
      <c r="AF48" s="4"/>
      <c r="AG48" s="88"/>
      <c r="AH48" s="4"/>
      <c r="AI48" s="4"/>
      <c r="AJ48" s="468"/>
      <c r="AK48" s="468"/>
      <c r="AL48" s="468"/>
      <c r="AM48" s="468" t="s">
        <v>486</v>
      </c>
      <c r="AN48" s="10">
        <v>5.5</v>
      </c>
      <c r="AO48" s="9"/>
      <c r="AP48" s="9"/>
      <c r="AQ48" s="9"/>
      <c r="AR48" s="9"/>
      <c r="AS48" s="9"/>
      <c r="AT48" s="9">
        <f>+ab($T$48,$T$46,$T$50,$G$47,$G$49,-1*$F$48,1200)</f>
        <v>17.893060732591216</v>
      </c>
      <c r="AU48" s="447"/>
      <c r="AV48" s="447"/>
      <c r="AW48" s="468" t="str">
        <f>IF(C48&gt;0,VLOOKUP(C48,Foundation_Calc!$A$2:$C$13,3,1),
IF(J48&gt;0,VLOOKUP(J48,Foundation_Calc!$A$2:$C$13,3,1),""))</f>
        <v>MultiSoil</v>
      </c>
      <c r="AX48" s="468" t="str">
        <f>IF(C48&gt;0,VLOOKUP(C48,Foundation_Calc!$E$2:$G$13,3,1),
IF(J48&gt;0,VLOOKUP(J48,Foundation_Calc!$E$2:$G$13,3,1),""))</f>
        <v>PT</v>
      </c>
      <c r="AY48" s="10">
        <f>IF(L48="","",
IF(AX48="PT",VLOOKUP(L48,Foundation_Calc!$K$79:$R$112,VLOOKUP(AW48,Foundation_Calc!$I$2:$J$8,2,FALSE),0),
IF(AX48="K",VLOOKUP(L48,Foundation_Calc!$K$116:$R$149,VLOOKUP(AW48,Foundation_Calc!$I$2:$J$8,2,FALSE),0),"")))</f>
        <v>3.5</v>
      </c>
      <c r="AZ48" s="10" t="str">
        <f>IF(K48="","",
IF(AX48="PT",VLOOKUP(K48,Foundation_Calc!$K$79:$R$112,VLOOKUP(AW48,Foundation_Calc!$I$2:$J$8,2,FALSE),0),
IF(AX48="K",VLOOKUP(K48,Foundation_Calc!$K$116:$R$149,VLOOKUP(AW48,Foundation_Calc!$I$2:$J$8,2,FALSE),0),"")))</f>
        <v/>
      </c>
      <c r="BA48" s="553" t="str">
        <f t="shared" si="2"/>
        <v>ü</v>
      </c>
      <c r="BB48" s="553" t="str">
        <f t="shared" si="2"/>
        <v/>
      </c>
      <c r="BC48" s="553" t="str">
        <f t="shared" si="3"/>
        <v/>
      </c>
      <c r="BD48" s="572" t="str">
        <f>IF(AND(L48="",H48=""),"",
IF(H48="",Pole_Calc!A$9,
IF(H48="MP",Pole_Calc!A$10,
IF(H48="AnMP",Pole_Calc!A$11,
IF(H48="A",Pole_Calc!A$12,
IF(H48="S/A",Pole_Calc!A$13,
IF(H48="A/S",Pole_Calc!A$14,"Poner a mano")))))))</f>
        <v>App.7-V11H-P9.5.1.1</v>
      </c>
      <c r="BE48" s="448" t="s">
        <v>1726</v>
      </c>
      <c r="BF48" s="306"/>
      <c r="BG48" s="306"/>
      <c r="BH48" s="306"/>
      <c r="BI48" s="306"/>
    </row>
    <row r="49" spans="1:61" ht="16.2" customHeight="1">
      <c r="A49" s="573"/>
      <c r="B49" s="469"/>
      <c r="C49" s="3"/>
      <c r="D49" s="88"/>
      <c r="E49" s="4"/>
      <c r="F49" s="4"/>
      <c r="G49" s="6">
        <v>42</v>
      </c>
      <c r="H49" s="468"/>
      <c r="I49" s="468"/>
      <c r="J49" s="3"/>
      <c r="K49" s="468"/>
      <c r="L49" s="468"/>
      <c r="M49" s="468" t="str">
        <f>IF(L49="","",
IF(AX49="PT",VLOOKUP(L49,Foundation_Calc!$V$79:$X$112,VLOOKUP(AX49,Foundation_Calc!$I$10:$J$13,2,FALSE),0),
IF(AX49="K",VLOOKUP(L49,Foundation_Calc!$V$116:$X$149,VLOOKUP(AX49,Foundation_Calc!$I$10:$J$13,2,FALSE),0),"")))</f>
        <v/>
      </c>
      <c r="N49" s="468"/>
      <c r="O49" s="468"/>
      <c r="P49" s="468"/>
      <c r="Q49" s="4"/>
      <c r="R49" s="6"/>
      <c r="S49" s="6"/>
      <c r="T49" s="4"/>
      <c r="U49" s="4"/>
      <c r="V49" s="4"/>
      <c r="W49" s="9"/>
      <c r="X49" s="9"/>
      <c r="Y49" s="9"/>
      <c r="Z49" s="9"/>
      <c r="AA49" s="9"/>
      <c r="AB49" s="9"/>
      <c r="AC49" s="468" t="str">
        <f t="shared" si="1"/>
        <v/>
      </c>
      <c r="AD49" s="468"/>
      <c r="AE49" s="468"/>
      <c r="AF49" s="4"/>
      <c r="AG49" s="88"/>
      <c r="AH49" s="4"/>
      <c r="AI49" s="4"/>
      <c r="AJ49" s="468"/>
      <c r="AK49" s="468"/>
      <c r="AL49" s="468"/>
      <c r="AM49" s="468"/>
      <c r="AN49" s="10"/>
      <c r="AO49" s="9"/>
      <c r="AP49" s="9"/>
      <c r="AQ49" s="9">
        <f>+FL_1($T$50,$T$48,$G$49,1200,9.28, 1*$F$50)</f>
        <v>0.43184496401914979</v>
      </c>
      <c r="AR49" s="9"/>
      <c r="AS49" s="9"/>
      <c r="AT49" s="9"/>
      <c r="AU49" s="447"/>
      <c r="AV49" s="447"/>
      <c r="AW49" s="468" t="str">
        <f>IF(C49&gt;0,VLOOKUP(C49,Foundation_Calc!$A$2:$C$13,3,1),
IF(J49&gt;0,VLOOKUP(J49,Foundation_Calc!$A$2:$C$13,3,1),""))</f>
        <v/>
      </c>
      <c r="AX49" s="468" t="str">
        <f>IF(C49&gt;0,VLOOKUP(C49,Foundation_Calc!$E$2:$G$13,3,1),
IF(J49&gt;0,VLOOKUP(J49,Foundation_Calc!$E$2:$G$13,3,1),""))</f>
        <v/>
      </c>
      <c r="AY49" s="10" t="str">
        <f>IF(L49="","",
IF(AX49="PT",VLOOKUP(L49,Foundation_Calc!$K$79:$R$112,VLOOKUP(AW49,Foundation_Calc!$I$2:$J$8,2,FALSE),0),
IF(AX49="K",VLOOKUP(L49,Foundation_Calc!$K$116:$R$149,VLOOKUP(AW49,Foundation_Calc!$I$2:$J$8,2,FALSE),0),"")))</f>
        <v/>
      </c>
      <c r="AZ49" s="10" t="str">
        <f>IF(K49="","",
IF(AX49="PT",VLOOKUP(K49,Foundation_Calc!$K$79:$R$112,VLOOKUP(AW49,Foundation_Calc!$I$2:$J$8,2,FALSE),0),
IF(AX49="K",VLOOKUP(K49,Foundation_Calc!$K$116:$R$149,VLOOKUP(AW49,Foundation_Calc!$I$2:$J$8,2,FALSE),0),"")))</f>
        <v/>
      </c>
      <c r="BA49" s="553" t="str">
        <f t="shared" si="2"/>
        <v/>
      </c>
      <c r="BB49" s="553" t="str">
        <f t="shared" si="2"/>
        <v/>
      </c>
      <c r="BC49" s="553" t="str">
        <f t="shared" si="3"/>
        <v/>
      </c>
      <c r="BD49" s="572" t="str">
        <f>IF(AND(L49="",H49=""),"",
IF(H49="",Pole_Calc!A$9,
IF(H49="MP",Pole_Calc!A$10,
IF(H49="AnMP",Pole_Calc!A$11,
IF(H49="A",Pole_Calc!A$12,
IF(H49="S/A",Pole_Calc!A$13,
IF(H49="A/S",Pole_Calc!A$14,"Poner a mano")))))))</f>
        <v/>
      </c>
      <c r="BE49" s="448" t="s">
        <v>1726</v>
      </c>
      <c r="BF49" s="305"/>
      <c r="BG49" s="305"/>
      <c r="BH49" s="306"/>
      <c r="BI49" s="305"/>
    </row>
    <row r="50" spans="1:61" ht="16.2" customHeight="1">
      <c r="A50" s="573" t="s">
        <v>1497</v>
      </c>
      <c r="B50" s="469" t="s">
        <v>1880</v>
      </c>
      <c r="C50" s="3">
        <f>+$C$48+$G$49</f>
        <v>976.25000000000011</v>
      </c>
      <c r="D50" s="88"/>
      <c r="E50" s="4"/>
      <c r="F50" s="4">
        <v>-3595.63</v>
      </c>
      <c r="G50" s="6"/>
      <c r="H50" s="468"/>
      <c r="I50" s="468" t="s">
        <v>482</v>
      </c>
      <c r="J50" s="3"/>
      <c r="K50" s="468"/>
      <c r="L50" s="468" t="s">
        <v>449</v>
      </c>
      <c r="M50" s="468" t="s">
        <v>1625</v>
      </c>
      <c r="N50" s="648" t="s">
        <v>33</v>
      </c>
      <c r="O50" s="468"/>
      <c r="P50" s="468"/>
      <c r="Q50" s="4"/>
      <c r="R50" s="6"/>
      <c r="S50" s="6"/>
      <c r="T50" s="4">
        <v>20</v>
      </c>
      <c r="U50" s="4"/>
      <c r="V50" s="4"/>
      <c r="W50" s="9">
        <v>1.4</v>
      </c>
      <c r="X50" s="9"/>
      <c r="Y50" s="9"/>
      <c r="Z50" s="9"/>
      <c r="AA50" s="9"/>
      <c r="AB50" s="9"/>
      <c r="AC50" s="468" t="str">
        <f t="shared" si="1"/>
        <v>PH</v>
      </c>
      <c r="AD50" s="468"/>
      <c r="AE50" s="468"/>
      <c r="AF50" s="4"/>
      <c r="AG50" s="88"/>
      <c r="AH50" s="4"/>
      <c r="AI50" s="4"/>
      <c r="AJ50" s="468"/>
      <c r="AK50" s="468"/>
      <c r="AL50" s="468"/>
      <c r="AM50" s="468" t="s">
        <v>486</v>
      </c>
      <c r="AN50" s="10">
        <v>5.5</v>
      </c>
      <c r="AO50" s="9"/>
      <c r="AP50" s="9"/>
      <c r="AQ50" s="9"/>
      <c r="AR50" s="9"/>
      <c r="AS50" s="9"/>
      <c r="AT50" s="9">
        <f>+ab($T$50,$T$48,$T$52,$G$49,$G$51, 1*$F$50,1200)</f>
        <v>26.715708112808741</v>
      </c>
      <c r="AU50" s="447"/>
      <c r="AV50" s="447"/>
      <c r="AW50" s="468" t="s">
        <v>2558</v>
      </c>
      <c r="AX50" s="468" t="s">
        <v>199</v>
      </c>
      <c r="AY50" s="10" t="str">
        <f>IF(L50="","",
IF(AX50="PT",VLOOKUP(L50,Foundation_Calc!$K$79:$R$112,VLOOKUP(AW50,Foundation_Calc!$I$2:$J$8,2,FALSE),0),
IF(AX50="K",VLOOKUP(L50,Foundation_Calc!$K$116:$R$149,VLOOKUP(AW50,Foundation_Calc!$I$2:$J$8,2,FALSE),0),"")))</f>
        <v/>
      </c>
      <c r="AZ50" s="10" t="str">
        <f>IF(K50="","",
IF(AX50="PT",VLOOKUP(K50,Foundation_Calc!$K$79:$R$112,VLOOKUP(AW50,Foundation_Calc!$I$2:$J$8,2,FALSE),0),
IF(AX50="K",VLOOKUP(K50,Foundation_Calc!$K$116:$R$149,VLOOKUP(AW50,Foundation_Calc!$I$2:$J$8,2,FALSE),0),"")))</f>
        <v/>
      </c>
      <c r="BA50" s="553" t="str">
        <f t="shared" si="2"/>
        <v/>
      </c>
      <c r="BB50" s="553" t="str">
        <f t="shared" si="2"/>
        <v/>
      </c>
      <c r="BC50" s="553" t="str">
        <f t="shared" si="3"/>
        <v>ü</v>
      </c>
      <c r="BD50" s="572" t="str">
        <f>IF(AND(L50="",H50=""),"",
IF(H50="",Pole_Calc!A$9,
IF(H50="MP",Pole_Calc!A$10,
IF(H50="AnMP",Pole_Calc!A$11,
IF(H50="A",Pole_Calc!A$12,
IF(H50="S/A",Pole_Calc!A$13,
IF(H50="A/S",Pole_Calc!A$14,"Poner a mano")))))))</f>
        <v>App.7-V11H-P9.5.1.1</v>
      </c>
      <c r="BE50" s="448" t="s">
        <v>1726</v>
      </c>
      <c r="BF50" s="306"/>
      <c r="BG50" s="306"/>
      <c r="BH50" s="306"/>
      <c r="BI50" s="306"/>
    </row>
    <row r="51" spans="1:61" ht="16.2" customHeight="1">
      <c r="A51" s="574" t="s">
        <v>1497</v>
      </c>
      <c r="B51" s="469"/>
      <c r="C51" s="3"/>
      <c r="D51" s="88"/>
      <c r="E51" s="4"/>
      <c r="F51" s="4"/>
      <c r="G51" s="6">
        <v>30</v>
      </c>
      <c r="H51" s="468"/>
      <c r="I51" s="4"/>
      <c r="J51" s="3"/>
      <c r="K51" s="468"/>
      <c r="L51" s="468"/>
      <c r="M51" s="468" t="str">
        <f>IF(L51="","",
IF(AX51="PT",VLOOKUP(L51,Foundation_Calc!$V$79:$X$112,VLOOKUP(AX51,Foundation_Calc!$I$10:$J$13,2,FALSE),0),
IF(AX51="K",VLOOKUP(L51,Foundation_Calc!$V$116:$X$149,VLOOKUP(AX51,Foundation_Calc!$I$10:$J$13,2,FALSE),0),"")))</f>
        <v/>
      </c>
      <c r="N51" s="468"/>
      <c r="O51" s="468"/>
      <c r="P51" s="468"/>
      <c r="Q51" s="4"/>
      <c r="R51" s="6"/>
      <c r="S51" s="6"/>
      <c r="T51" s="4"/>
      <c r="U51" s="4"/>
      <c r="V51" s="4"/>
      <c r="W51" s="9"/>
      <c r="X51" s="9"/>
      <c r="Y51" s="9"/>
      <c r="Z51" s="9"/>
      <c r="AA51" s="9"/>
      <c r="AB51" s="9"/>
      <c r="AC51" s="468" t="str">
        <f t="shared" si="1"/>
        <v/>
      </c>
      <c r="AD51" s="468"/>
      <c r="AE51" s="468"/>
      <c r="AF51" s="4"/>
      <c r="AG51" s="88"/>
      <c r="AH51" s="4"/>
      <c r="AI51" s="4"/>
      <c r="AJ51" s="468"/>
      <c r="AK51" s="468"/>
      <c r="AL51" s="468"/>
      <c r="AM51" s="468"/>
      <c r="AN51" s="10"/>
      <c r="AO51" s="9"/>
      <c r="AP51" s="9"/>
      <c r="AQ51" s="9">
        <f>+FL_2($T$52,$T$50,$G$51,1200,9.28, 1*$F$52)</f>
        <v>-0.3</v>
      </c>
      <c r="AR51" s="9"/>
      <c r="AS51" s="9"/>
      <c r="AT51" s="9"/>
      <c r="AU51" s="447"/>
      <c r="AV51" s="447"/>
      <c r="AW51" s="468"/>
      <c r="AX51" s="468"/>
      <c r="AY51" s="10" t="str">
        <f>IF(L51="","",
IF(AX51="PT",VLOOKUP(L51,Foundation_Calc!$K$79:$R$112,VLOOKUP(AW51,Foundation_Calc!$I$2:$J$8,2,FALSE),0),
IF(AX51="K",VLOOKUP(L51,Foundation_Calc!$K$116:$R$149,VLOOKUP(AW51,Foundation_Calc!$I$2:$J$8,2,FALSE),0),"")))</f>
        <v/>
      </c>
      <c r="AZ51" s="10" t="str">
        <f>IF(K51="","",
IF(AX51="PT",VLOOKUP(K51,Foundation_Calc!$K$79:$R$112,VLOOKUP(AW51,Foundation_Calc!$I$2:$J$8,2,FALSE),0),
IF(AX51="K",VLOOKUP(K51,Foundation_Calc!$K$116:$R$149,VLOOKUP(AW51,Foundation_Calc!$I$2:$J$8,2,FALSE),0),"")))</f>
        <v/>
      </c>
      <c r="BA51" s="553" t="str">
        <f t="shared" si="2"/>
        <v/>
      </c>
      <c r="BB51" s="553" t="str">
        <f t="shared" si="2"/>
        <v/>
      </c>
      <c r="BC51" s="553" t="str">
        <f t="shared" si="3"/>
        <v/>
      </c>
      <c r="BD51" s="572" t="str">
        <f>IF(AND(L51="",H51=""),"",
IF(H51="",Pole_Calc!A$9,
IF(H51="MP",Pole_Calc!A$10,
IF(H51="AnMP",Pole_Calc!A$11,
IF(H51="A",Pole_Calc!A$12,
IF(H51="S/A",Pole_Calc!A$13,
IF(H51="A/S",Pole_Calc!A$14,"Poner a mano")))))))</f>
        <v/>
      </c>
      <c r="BE51" s="448" t="s">
        <v>1726</v>
      </c>
      <c r="BF51" s="305"/>
      <c r="BG51" s="305"/>
      <c r="BH51" s="306"/>
      <c r="BI51" s="305"/>
    </row>
    <row r="52" spans="1:61" ht="16.2" customHeight="1">
      <c r="A52" s="574" t="s">
        <v>1497</v>
      </c>
      <c r="B52" s="469" t="s">
        <v>1881</v>
      </c>
      <c r="C52" s="3">
        <f>+$C$50+$G$51</f>
        <v>1006.2500000000001</v>
      </c>
      <c r="D52" s="88"/>
      <c r="E52" s="4"/>
      <c r="F52" s="4">
        <v>-656.22</v>
      </c>
      <c r="G52" s="6"/>
      <c r="H52" s="468"/>
      <c r="I52" s="468"/>
      <c r="J52" s="3"/>
      <c r="K52" s="468"/>
      <c r="L52" s="468" t="s">
        <v>38</v>
      </c>
      <c r="M52" s="468" t="s">
        <v>1625</v>
      </c>
      <c r="N52" s="468" t="s">
        <v>32</v>
      </c>
      <c r="O52" s="468"/>
      <c r="P52" s="468"/>
      <c r="Q52" s="4"/>
      <c r="R52" s="6"/>
      <c r="S52" s="6"/>
      <c r="T52" s="4">
        <v>-30</v>
      </c>
      <c r="U52" s="4"/>
      <c r="V52" s="4"/>
      <c r="W52" s="9">
        <v>1.4</v>
      </c>
      <c r="X52" s="9"/>
      <c r="Y52" s="9"/>
      <c r="Z52" s="9"/>
      <c r="AA52" s="9"/>
      <c r="AB52" s="9"/>
      <c r="AC52" s="468" t="str">
        <f t="shared" si="1"/>
        <v>PHC</v>
      </c>
      <c r="AD52" s="468"/>
      <c r="AE52" s="468"/>
      <c r="AF52" s="4"/>
      <c r="AG52" s="88"/>
      <c r="AH52" s="4"/>
      <c r="AI52" s="4"/>
      <c r="AJ52" s="468"/>
      <c r="AK52" s="468"/>
      <c r="AL52" s="468"/>
      <c r="AM52" s="468" t="s">
        <v>486</v>
      </c>
      <c r="AN52" s="10">
        <v>5.5</v>
      </c>
      <c r="AO52" s="9"/>
      <c r="AP52" s="9"/>
      <c r="AQ52" s="9"/>
      <c r="AR52" s="9"/>
      <c r="AS52" s="9"/>
      <c r="AT52" s="9">
        <f>+ab($T$52,$T$50,$T$54,$G$51,$G$53, 1*$F$52,1200)</f>
        <v>-2.9542393964276346</v>
      </c>
      <c r="AU52" s="447"/>
      <c r="AV52" s="447"/>
      <c r="AW52" s="468" t="s">
        <v>2557</v>
      </c>
      <c r="AX52" s="468" t="s">
        <v>199</v>
      </c>
      <c r="AY52" s="10" t="str">
        <f>IF(L52="","",
IF(AX52="PT",VLOOKUP(L52,Foundation_Calc!$K$79:$R$112,VLOOKUP(AW52,Foundation_Calc!$I$2:$J$8,2,FALSE),0),
IF(AX52="K",VLOOKUP(L52,Foundation_Calc!$K$116:$R$149,VLOOKUP(AW52,Foundation_Calc!$I$2:$J$8,2,FALSE),0),"")))</f>
        <v/>
      </c>
      <c r="AZ52" s="10" t="str">
        <f>IF(K52="","",
IF(AX52="PT",VLOOKUP(K52,Foundation_Calc!$K$79:$R$112,VLOOKUP(AW52,Foundation_Calc!$I$2:$J$8,2,FALSE),0),
IF(AX52="K",VLOOKUP(K52,Foundation_Calc!$K$116:$R$149,VLOOKUP(AW52,Foundation_Calc!$I$2:$J$8,2,FALSE),0),"")))</f>
        <v/>
      </c>
      <c r="BA52" s="553" t="str">
        <f t="shared" si="2"/>
        <v/>
      </c>
      <c r="BB52" s="553" t="str">
        <f t="shared" si="2"/>
        <v/>
      </c>
      <c r="BC52" s="553" t="str">
        <f t="shared" si="3"/>
        <v>ü</v>
      </c>
      <c r="BD52" s="572" t="str">
        <f>IF(AND(L52="",H52=""),"",
IF(H52="",Pole_Calc!A$9,
IF(H52="MP",Pole_Calc!A$10,
IF(H52="AnMP",Pole_Calc!A$11,
IF(H52="A",Pole_Calc!A$12,
IF(H52="S/A",Pole_Calc!A$13,
IF(H52="A/S",Pole_Calc!A$14,"Poner a mano")))))))</f>
        <v>App.7-V11H-P9.5.1.1</v>
      </c>
      <c r="BE52" s="448" t="s">
        <v>1726</v>
      </c>
      <c r="BF52" s="306"/>
      <c r="BG52" s="306"/>
      <c r="BH52" s="306"/>
      <c r="BI52" s="306"/>
    </row>
    <row r="53" spans="1:61" ht="16.2" customHeight="1">
      <c r="A53" s="574" t="s">
        <v>1497</v>
      </c>
      <c r="B53" s="469"/>
      <c r="C53" s="3"/>
      <c r="D53" s="88"/>
      <c r="E53" s="4"/>
      <c r="F53" s="4"/>
      <c r="G53" s="6">
        <v>33.299999999999997</v>
      </c>
      <c r="H53" s="468"/>
      <c r="I53" s="4"/>
      <c r="J53" s="3"/>
      <c r="K53" s="468"/>
      <c r="L53" s="468"/>
      <c r="M53" s="468" t="s">
        <v>195</v>
      </c>
      <c r="N53" s="468"/>
      <c r="O53" s="468"/>
      <c r="P53" s="468"/>
      <c r="Q53" s="4"/>
      <c r="R53" s="6"/>
      <c r="S53" s="6"/>
      <c r="T53" s="4"/>
      <c r="U53" s="4"/>
      <c r="V53" s="4"/>
      <c r="W53" s="9"/>
      <c r="X53" s="9"/>
      <c r="Y53" s="9"/>
      <c r="Z53" s="9"/>
      <c r="AA53" s="9"/>
      <c r="AB53" s="9"/>
      <c r="AC53" s="468" t="str">
        <f t="shared" si="1"/>
        <v/>
      </c>
      <c r="AD53" s="468"/>
      <c r="AE53" s="468"/>
      <c r="AF53" s="4"/>
      <c r="AG53" s="88"/>
      <c r="AH53" s="4"/>
      <c r="AI53" s="4"/>
      <c r="AJ53" s="468"/>
      <c r="AK53" s="468"/>
      <c r="AL53" s="468"/>
      <c r="AM53" s="468"/>
      <c r="AN53" s="10"/>
      <c r="AO53" s="9"/>
      <c r="AP53" s="9"/>
      <c r="AQ53" s="9">
        <f>+FL_2($T$54,$T$52,$G$53,1200,9.28, 1*$F$54)</f>
        <v>-0.3</v>
      </c>
      <c r="AR53" s="9"/>
      <c r="AS53" s="9"/>
      <c r="AT53" s="9"/>
      <c r="AU53" s="447"/>
      <c r="AV53" s="447"/>
      <c r="AW53" s="468"/>
      <c r="AX53" s="468"/>
      <c r="AY53" s="10" t="str">
        <f>IF(L53="","",
IF(AX53="PT",VLOOKUP(L53,Foundation_Calc!$K$79:$R$112,VLOOKUP(AW53,Foundation_Calc!$I$2:$J$8,2,FALSE),0),
IF(AX53="K",VLOOKUP(L53,Foundation_Calc!$K$116:$R$149,VLOOKUP(AW53,Foundation_Calc!$I$2:$J$8,2,FALSE),0),"")))</f>
        <v/>
      </c>
      <c r="AZ53" s="10" t="str">
        <f>IF(K53="","",
IF(AX53="PT",VLOOKUP(K53,Foundation_Calc!$K$79:$R$112,VLOOKUP(AW53,Foundation_Calc!$I$2:$J$8,2,FALSE),0),
IF(AX53="K",VLOOKUP(K53,Foundation_Calc!$K$116:$R$149,VLOOKUP(AW53,Foundation_Calc!$I$2:$J$8,2,FALSE),0),"")))</f>
        <v/>
      </c>
      <c r="BA53" s="553" t="str">
        <f t="shared" si="2"/>
        <v/>
      </c>
      <c r="BB53" s="553" t="str">
        <f t="shared" si="2"/>
        <v/>
      </c>
      <c r="BC53" s="553" t="str">
        <f t="shared" si="3"/>
        <v/>
      </c>
      <c r="BD53" s="572" t="str">
        <f>IF(AND(L53="",H53=""),"",
IF(H53="",Pole_Calc!A$9,
IF(H53="MP",Pole_Calc!A$10,
IF(H53="AnMP",Pole_Calc!A$11,
IF(H53="A",Pole_Calc!A$12,
IF(H53="S/A",Pole_Calc!A$13,
IF(H53="A/S",Pole_Calc!A$14,"Poner a mano")))))))</f>
        <v/>
      </c>
      <c r="BE53" s="448" t="s">
        <v>1726</v>
      </c>
      <c r="BF53" s="305"/>
      <c r="BG53" s="305"/>
      <c r="BH53" s="306"/>
      <c r="BI53" s="305"/>
    </row>
    <row r="54" spans="1:61" ht="16.2" customHeight="1">
      <c r="A54" s="574" t="s">
        <v>1497</v>
      </c>
      <c r="B54" s="469" t="s">
        <v>1882</v>
      </c>
      <c r="C54" s="3">
        <f>+$C$52+$G$53</f>
        <v>1039.5500000000002</v>
      </c>
      <c r="D54" s="88"/>
      <c r="E54" s="4"/>
      <c r="F54" s="4">
        <v>-656.22</v>
      </c>
      <c r="G54" s="6"/>
      <c r="H54" s="468"/>
      <c r="I54" s="468"/>
      <c r="J54" s="3"/>
      <c r="K54" s="468"/>
      <c r="L54" s="468" t="s">
        <v>449</v>
      </c>
      <c r="M54" s="468" t="s">
        <v>1625</v>
      </c>
      <c r="N54" s="468" t="s">
        <v>32</v>
      </c>
      <c r="O54" s="468"/>
      <c r="P54" s="468"/>
      <c r="Q54" s="4"/>
      <c r="R54" s="6"/>
      <c r="S54" s="6"/>
      <c r="T54" s="4">
        <v>-30</v>
      </c>
      <c r="U54" s="4"/>
      <c r="V54" s="4"/>
      <c r="W54" s="9">
        <v>1.4</v>
      </c>
      <c r="X54" s="9"/>
      <c r="Y54" s="9"/>
      <c r="Z54" s="9"/>
      <c r="AA54" s="9"/>
      <c r="AB54" s="9"/>
      <c r="AC54" s="468" t="str">
        <f t="shared" si="1"/>
        <v>PHC</v>
      </c>
      <c r="AD54" s="468"/>
      <c r="AE54" s="468"/>
      <c r="AF54" s="4"/>
      <c r="AG54" s="88"/>
      <c r="AH54" s="4"/>
      <c r="AI54" s="4"/>
      <c r="AJ54" s="468"/>
      <c r="AK54" s="468"/>
      <c r="AL54" s="468"/>
      <c r="AM54" s="468" t="s">
        <v>486</v>
      </c>
      <c r="AN54" s="10">
        <v>5.5</v>
      </c>
      <c r="AO54" s="9"/>
      <c r="AP54" s="9"/>
      <c r="AQ54" s="9"/>
      <c r="AR54" s="9"/>
      <c r="AS54" s="9"/>
      <c r="AT54" s="9">
        <f>+ab($T$54,$T$52,$T$56,$G$53,$G$55, 1*$F$54,1200)</f>
        <v>-3.9722587187727507</v>
      </c>
      <c r="AU54" s="447"/>
      <c r="AV54" s="447"/>
      <c r="AW54" s="468" t="s">
        <v>2558</v>
      </c>
      <c r="AX54" s="468" t="s">
        <v>199</v>
      </c>
      <c r="AY54" s="10" t="str">
        <f>IF(L54="","",
IF(AX54="PT",VLOOKUP(L54,Foundation_Calc!$K$79:$R$112,VLOOKUP(AW54,Foundation_Calc!$I$2:$J$8,2,FALSE),0),
IF(AX54="K",VLOOKUP(L54,Foundation_Calc!$K$116:$R$149,VLOOKUP(AW54,Foundation_Calc!$I$2:$J$8,2,FALSE),0),"")))</f>
        <v/>
      </c>
      <c r="AZ54" s="10" t="str">
        <f>IF(K54="","",
IF(AX54="PT",VLOOKUP(K54,Foundation_Calc!$K$79:$R$112,VLOOKUP(AW54,Foundation_Calc!$I$2:$J$8,2,FALSE),0),
IF(AX54="K",VLOOKUP(K54,Foundation_Calc!$K$116:$R$149,VLOOKUP(AW54,Foundation_Calc!$I$2:$J$8,2,FALSE),0),"")))</f>
        <v/>
      </c>
      <c r="BA54" s="553" t="str">
        <f t="shared" si="2"/>
        <v/>
      </c>
      <c r="BB54" s="553" t="str">
        <f t="shared" si="2"/>
        <v/>
      </c>
      <c r="BC54" s="553" t="str">
        <f t="shared" si="3"/>
        <v>ü</v>
      </c>
      <c r="BD54" s="572" t="str">
        <f>IF(AND(L54="",H54=""),"",
IF(H54="",Pole_Calc!A$9,
IF(H54="MP",Pole_Calc!A$10,
IF(H54="AnMP",Pole_Calc!A$11,
IF(H54="A",Pole_Calc!A$12,
IF(H54="S/A",Pole_Calc!A$13,
IF(H54="A/S",Pole_Calc!A$14,"Poner a mano")))))))</f>
        <v>App.7-V11H-P9.5.1.1</v>
      </c>
      <c r="BE54" s="448" t="s">
        <v>1726</v>
      </c>
      <c r="BF54" s="306"/>
      <c r="BG54" s="306"/>
      <c r="BH54" s="306"/>
      <c r="BI54" s="306"/>
    </row>
    <row r="55" spans="1:61" ht="16.2" customHeight="1">
      <c r="A55" s="574" t="s">
        <v>1497</v>
      </c>
      <c r="B55" s="469"/>
      <c r="C55" s="3"/>
      <c r="D55" s="88"/>
      <c r="E55" s="4"/>
      <c r="F55" s="4"/>
      <c r="G55" s="6">
        <v>30</v>
      </c>
      <c r="H55" s="468"/>
      <c r="I55" s="468"/>
      <c r="J55" s="3"/>
      <c r="K55" s="468"/>
      <c r="L55" s="468"/>
      <c r="M55" s="468" t="s">
        <v>195</v>
      </c>
      <c r="N55" s="468"/>
      <c r="O55" s="468"/>
      <c r="P55" s="468"/>
      <c r="Q55" s="4"/>
      <c r="R55" s="6"/>
      <c r="S55" s="6"/>
      <c r="T55" s="4"/>
      <c r="U55" s="4"/>
      <c r="V55" s="4"/>
      <c r="W55" s="9"/>
      <c r="X55" s="9"/>
      <c r="Y55" s="9"/>
      <c r="Z55" s="9"/>
      <c r="AA55" s="9"/>
      <c r="AB55" s="9"/>
      <c r="AC55" s="468" t="str">
        <f t="shared" si="1"/>
        <v/>
      </c>
      <c r="AD55" s="468"/>
      <c r="AE55" s="468"/>
      <c r="AF55" s="4"/>
      <c r="AG55" s="88"/>
      <c r="AH55" s="4"/>
      <c r="AI55" s="4"/>
      <c r="AJ55" s="468"/>
      <c r="AK55" s="468"/>
      <c r="AL55" s="468"/>
      <c r="AM55" s="468"/>
      <c r="AN55" s="10"/>
      <c r="AO55" s="9"/>
      <c r="AP55" s="9"/>
      <c r="AQ55" s="9">
        <f>+FL_2($T$56,$T$54,$G$55,1200,9.28, 1*$F$56)</f>
        <v>-0.30000000000003496</v>
      </c>
      <c r="AR55" s="9"/>
      <c r="AS55" s="9"/>
      <c r="AT55" s="9"/>
      <c r="AU55" s="447"/>
      <c r="AV55" s="447"/>
      <c r="AW55" s="468"/>
      <c r="AX55" s="468"/>
      <c r="AY55" s="10" t="str">
        <f>IF(L55="","",
IF(AX55="PT",VLOOKUP(L55,Foundation_Calc!$K$79:$R$112,VLOOKUP(AW55,Foundation_Calc!$I$2:$J$8,2,FALSE),0),
IF(AX55="K",VLOOKUP(L55,Foundation_Calc!$K$116:$R$149,VLOOKUP(AW55,Foundation_Calc!$I$2:$J$8,2,FALSE),0),"")))</f>
        <v/>
      </c>
      <c r="AZ55" s="10" t="str">
        <f>IF(K55="","",
IF(AX55="PT",VLOOKUP(K55,Foundation_Calc!$K$79:$R$112,VLOOKUP(AW55,Foundation_Calc!$I$2:$J$8,2,FALSE),0),
IF(AX55="K",VLOOKUP(K55,Foundation_Calc!$K$116:$R$149,VLOOKUP(AW55,Foundation_Calc!$I$2:$J$8,2,FALSE),0),"")))</f>
        <v/>
      </c>
      <c r="BA55" s="553" t="str">
        <f t="shared" si="2"/>
        <v/>
      </c>
      <c r="BB55" s="553" t="str">
        <f t="shared" si="2"/>
        <v/>
      </c>
      <c r="BC55" s="553" t="str">
        <f t="shared" si="3"/>
        <v/>
      </c>
      <c r="BD55" s="572" t="str">
        <f>IF(AND(L55="",H55=""),"",
IF(H55="",Pole_Calc!A$9,
IF(H55="MP",Pole_Calc!A$10,
IF(H55="AnMP",Pole_Calc!A$11,
IF(H55="A",Pole_Calc!A$12,
IF(H55="S/A",Pole_Calc!A$13,
IF(H55="A/S",Pole_Calc!A$14,"Poner a mano")))))))</f>
        <v/>
      </c>
      <c r="BE55" s="448" t="s">
        <v>1726</v>
      </c>
      <c r="BF55" s="305"/>
      <c r="BG55" s="305"/>
      <c r="BH55" s="306"/>
      <c r="BI55" s="305"/>
    </row>
    <row r="56" spans="1:61" ht="16.2" customHeight="1">
      <c r="A56" s="574" t="s">
        <v>1497</v>
      </c>
      <c r="B56" s="469" t="s">
        <v>1883</v>
      </c>
      <c r="C56" s="3">
        <f>+$C$54+$G$55</f>
        <v>1069.5500000000002</v>
      </c>
      <c r="D56" s="88"/>
      <c r="E56" s="4"/>
      <c r="F56" s="4">
        <v>-393.06</v>
      </c>
      <c r="G56" s="6"/>
      <c r="H56" s="468"/>
      <c r="I56" s="468"/>
      <c r="J56" s="3"/>
      <c r="K56" s="468"/>
      <c r="L56" s="468" t="s">
        <v>38</v>
      </c>
      <c r="M56" s="468" t="s">
        <v>1625</v>
      </c>
      <c r="N56" s="468" t="s">
        <v>32</v>
      </c>
      <c r="O56" s="468"/>
      <c r="P56" s="468"/>
      <c r="Q56" s="4"/>
      <c r="R56" s="6"/>
      <c r="S56" s="6"/>
      <c r="T56" s="4">
        <v>-30</v>
      </c>
      <c r="U56" s="4"/>
      <c r="V56" s="4"/>
      <c r="W56" s="9">
        <v>1.4</v>
      </c>
      <c r="X56" s="9"/>
      <c r="Y56" s="9"/>
      <c r="Z56" s="9"/>
      <c r="AA56" s="9"/>
      <c r="AB56" s="9"/>
      <c r="AC56" s="468" t="str">
        <f t="shared" si="1"/>
        <v>PHC</v>
      </c>
      <c r="AD56" s="468"/>
      <c r="AE56" s="468"/>
      <c r="AF56" s="4"/>
      <c r="AG56" s="88"/>
      <c r="AH56" s="4"/>
      <c r="AI56" s="4"/>
      <c r="AJ56" s="468"/>
      <c r="AK56" s="468"/>
      <c r="AL56" s="468"/>
      <c r="AM56" s="468" t="s">
        <v>486</v>
      </c>
      <c r="AN56" s="10">
        <v>5.5</v>
      </c>
      <c r="AO56" s="9"/>
      <c r="AP56" s="9"/>
      <c r="AQ56" s="9"/>
      <c r="AR56" s="9"/>
      <c r="AS56" s="9"/>
      <c r="AT56" s="9">
        <f>+ab($T$56,$T$54,$T$58,$G$55,$G$57, 1*$F$56,1200)</f>
        <v>-2.5125658714295729</v>
      </c>
      <c r="AU56" s="447"/>
      <c r="AV56" s="447"/>
      <c r="AW56" s="468" t="s">
        <v>2557</v>
      </c>
      <c r="AX56" s="468" t="s">
        <v>199</v>
      </c>
      <c r="AY56" s="10" t="str">
        <f>IF(L56="","",
IF(AX56="PT",VLOOKUP(L56,Foundation_Calc!$K$79:$R$112,VLOOKUP(AW56,Foundation_Calc!$I$2:$J$8,2,FALSE),0),
IF(AX56="K",VLOOKUP(L56,Foundation_Calc!$K$116:$R$149,VLOOKUP(AW56,Foundation_Calc!$I$2:$J$8,2,FALSE),0),"")))</f>
        <v/>
      </c>
      <c r="AZ56" s="10" t="str">
        <f>IF(K56="","",
IF(AX56="PT",VLOOKUP(K56,Foundation_Calc!$K$79:$R$112,VLOOKUP(AW56,Foundation_Calc!$I$2:$J$8,2,FALSE),0),
IF(AX56="K",VLOOKUP(K56,Foundation_Calc!$K$116:$R$149,VLOOKUP(AW56,Foundation_Calc!$I$2:$J$8,2,FALSE),0),"")))</f>
        <v/>
      </c>
      <c r="BA56" s="553" t="str">
        <f t="shared" si="2"/>
        <v/>
      </c>
      <c r="BB56" s="553" t="str">
        <f t="shared" si="2"/>
        <v/>
      </c>
      <c r="BC56" s="553" t="str">
        <f t="shared" si="3"/>
        <v>ü</v>
      </c>
      <c r="BD56" s="572" t="str">
        <f>IF(AND(L56="",H56=""),"",
IF(H56="",Pole_Calc!A$9,
IF(H56="MP",Pole_Calc!A$10,
IF(H56="AnMP",Pole_Calc!A$11,
IF(H56="A",Pole_Calc!A$12,
IF(H56="S/A",Pole_Calc!A$13,
IF(H56="A/S",Pole_Calc!A$14,"Poner a mano")))))))</f>
        <v>App.7-V11H-P9.5.1.1</v>
      </c>
      <c r="BE56" s="448" t="s">
        <v>1726</v>
      </c>
      <c r="BF56" s="306"/>
      <c r="BG56" s="306"/>
      <c r="BH56" s="306"/>
      <c r="BI56" s="306"/>
    </row>
    <row r="57" spans="1:61" ht="16.2" customHeight="1">
      <c r="A57" s="574" t="s">
        <v>1497</v>
      </c>
      <c r="B57" s="469"/>
      <c r="C57" s="3"/>
      <c r="D57" s="88"/>
      <c r="E57" s="4"/>
      <c r="F57" s="4"/>
      <c r="G57" s="6">
        <v>30</v>
      </c>
      <c r="H57" s="468"/>
      <c r="I57" s="468"/>
      <c r="J57" s="3"/>
      <c r="K57" s="468"/>
      <c r="L57" s="468"/>
      <c r="M57" s="468" t="s">
        <v>195</v>
      </c>
      <c r="N57" s="468"/>
      <c r="O57" s="468"/>
      <c r="P57" s="468"/>
      <c r="Q57" s="4"/>
      <c r="R57" s="6"/>
      <c r="S57" s="6"/>
      <c r="T57" s="4"/>
      <c r="U57" s="4"/>
      <c r="V57" s="4"/>
      <c r="W57" s="9"/>
      <c r="X57" s="9"/>
      <c r="Y57" s="9"/>
      <c r="Z57" s="9"/>
      <c r="AA57" s="9"/>
      <c r="AB57" s="9"/>
      <c r="AC57" s="468" t="str">
        <f t="shared" si="1"/>
        <v/>
      </c>
      <c r="AD57" s="468"/>
      <c r="AE57" s="468"/>
      <c r="AF57" s="4"/>
      <c r="AG57" s="88"/>
      <c r="AH57" s="4"/>
      <c r="AI57" s="4"/>
      <c r="AJ57" s="468"/>
      <c r="AK57" s="468"/>
      <c r="AL57" s="468"/>
      <c r="AM57" s="468"/>
      <c r="AN57" s="10"/>
      <c r="AO57" s="9"/>
      <c r="AP57" s="9"/>
      <c r="AQ57" s="9">
        <f>+FL_2($T$58,$T$56,$G$57,1200,9.28, 1*$F$58)</f>
        <v>-0.30000000000003496</v>
      </c>
      <c r="AR57" s="9"/>
      <c r="AS57" s="9"/>
      <c r="AT57" s="9"/>
      <c r="AU57" s="447"/>
      <c r="AV57" s="447"/>
      <c r="AW57" s="468"/>
      <c r="AX57" s="468"/>
      <c r="AY57" s="10" t="str">
        <f>IF(L57="","",
IF(AX57="PT",VLOOKUP(L57,Foundation_Calc!$K$79:$R$112,VLOOKUP(AW57,Foundation_Calc!$I$2:$J$8,2,FALSE),0),
IF(AX57="K",VLOOKUP(L57,Foundation_Calc!$K$116:$R$149,VLOOKUP(AW57,Foundation_Calc!$I$2:$J$8,2,FALSE),0),"")))</f>
        <v/>
      </c>
      <c r="AZ57" s="10" t="str">
        <f>IF(K57="","",
IF(AX57="PT",VLOOKUP(K57,Foundation_Calc!$K$79:$R$112,VLOOKUP(AW57,Foundation_Calc!$I$2:$J$8,2,FALSE),0),
IF(AX57="K",VLOOKUP(K57,Foundation_Calc!$K$116:$R$149,VLOOKUP(AW57,Foundation_Calc!$I$2:$J$8,2,FALSE),0),"")))</f>
        <v/>
      </c>
      <c r="BA57" s="553" t="str">
        <f t="shared" si="2"/>
        <v/>
      </c>
      <c r="BB57" s="553" t="str">
        <f t="shared" si="2"/>
        <v/>
      </c>
      <c r="BC57" s="553" t="str">
        <f t="shared" si="3"/>
        <v/>
      </c>
      <c r="BD57" s="572" t="str">
        <f>IF(AND(L57="",H57=""),"",
IF(H57="",Pole_Calc!A$9,
IF(H57="MP",Pole_Calc!A$10,
IF(H57="AnMP",Pole_Calc!A$11,
IF(H57="A",Pole_Calc!A$12,
IF(H57="S/A",Pole_Calc!A$13,
IF(H57="A/S",Pole_Calc!A$14,"Poner a mano")))))))</f>
        <v/>
      </c>
      <c r="BE57" s="448" t="s">
        <v>1726</v>
      </c>
      <c r="BF57" s="305"/>
      <c r="BG57" s="305"/>
      <c r="BH57" s="306"/>
      <c r="BI57" s="305"/>
    </row>
    <row r="58" spans="1:61" ht="16.2" customHeight="1">
      <c r="A58" s="574" t="s">
        <v>1497</v>
      </c>
      <c r="B58" s="469" t="s">
        <v>1884</v>
      </c>
      <c r="C58" s="3">
        <f>+$C$56+$G$57</f>
        <v>1099.5500000000002</v>
      </c>
      <c r="D58" s="88"/>
      <c r="E58" s="4"/>
      <c r="F58" s="4">
        <v>-400</v>
      </c>
      <c r="G58" s="6"/>
      <c r="H58" s="468"/>
      <c r="I58" s="468"/>
      <c r="J58" s="3"/>
      <c r="K58" s="468"/>
      <c r="L58" s="468" t="s">
        <v>38</v>
      </c>
      <c r="M58" s="468" t="s">
        <v>1625</v>
      </c>
      <c r="N58" s="468" t="s">
        <v>32</v>
      </c>
      <c r="O58" s="468"/>
      <c r="P58" s="468"/>
      <c r="Q58" s="4"/>
      <c r="R58" s="6"/>
      <c r="S58" s="6"/>
      <c r="T58" s="4">
        <v>-30</v>
      </c>
      <c r="U58" s="4"/>
      <c r="V58" s="4"/>
      <c r="W58" s="9">
        <v>1.4</v>
      </c>
      <c r="X58" s="9"/>
      <c r="Y58" s="9"/>
      <c r="Z58" s="9"/>
      <c r="AA58" s="9"/>
      <c r="AB58" s="9"/>
      <c r="AC58" s="468" t="str">
        <f t="shared" si="1"/>
        <v>PHC</v>
      </c>
      <c r="AD58" s="468"/>
      <c r="AE58" s="468"/>
      <c r="AF58" s="4"/>
      <c r="AG58" s="88"/>
      <c r="AH58" s="4"/>
      <c r="AI58" s="4"/>
      <c r="AJ58" s="468"/>
      <c r="AK58" s="468"/>
      <c r="AL58" s="468"/>
      <c r="AM58" s="468" t="s">
        <v>486</v>
      </c>
      <c r="AN58" s="10">
        <v>5.5</v>
      </c>
      <c r="AO58" s="9"/>
      <c r="AP58" s="9"/>
      <c r="AQ58" s="9"/>
      <c r="AR58" s="9"/>
      <c r="AS58" s="9"/>
      <c r="AT58" s="9">
        <f>+ab($T$58,$T$56,$T$60,$G$57,$G$59, 1*$F$58,1200)</f>
        <v>-2.5568702174040849</v>
      </c>
      <c r="AU58" s="447"/>
      <c r="AV58" s="447"/>
      <c r="AW58" s="468" t="s">
        <v>2557</v>
      </c>
      <c r="AX58" s="468" t="s">
        <v>199</v>
      </c>
      <c r="AY58" s="10" t="str">
        <f>IF(L58="","",
IF(AX58="PT",VLOOKUP(L58,Foundation_Calc!$K$79:$R$112,VLOOKUP(AW58,Foundation_Calc!$I$2:$J$8,2,FALSE),0),
IF(AX58="K",VLOOKUP(L58,Foundation_Calc!$K$116:$R$149,VLOOKUP(AW58,Foundation_Calc!$I$2:$J$8,2,FALSE),0),"")))</f>
        <v/>
      </c>
      <c r="AZ58" s="10" t="str">
        <f>IF(K58="","",
IF(AX58="PT",VLOOKUP(K58,Foundation_Calc!$K$79:$R$112,VLOOKUP(AW58,Foundation_Calc!$I$2:$J$8,2,FALSE),0),
IF(AX58="K",VLOOKUP(K58,Foundation_Calc!$K$116:$R$149,VLOOKUP(AW58,Foundation_Calc!$I$2:$J$8,2,FALSE),0),"")))</f>
        <v/>
      </c>
      <c r="BA58" s="553" t="str">
        <f t="shared" si="2"/>
        <v/>
      </c>
      <c r="BB58" s="553" t="str">
        <f t="shared" si="2"/>
        <v/>
      </c>
      <c r="BC58" s="553" t="str">
        <f t="shared" si="3"/>
        <v>ü</v>
      </c>
      <c r="BD58" s="572" t="str">
        <f>IF(AND(L58="",H58=""),"",
IF(H58="",Pole_Calc!A$9,
IF(H58="MP",Pole_Calc!A$10,
IF(H58="AnMP",Pole_Calc!A$11,
IF(H58="A",Pole_Calc!A$12,
IF(H58="S/A",Pole_Calc!A$13,
IF(H58="A/S",Pole_Calc!A$14,"Poner a mano")))))))</f>
        <v>App.7-V11H-P9.5.1.1</v>
      </c>
      <c r="BE58" s="448" t="s">
        <v>1726</v>
      </c>
      <c r="BF58" s="306"/>
      <c r="BG58" s="306"/>
      <c r="BH58" s="306"/>
      <c r="BI58" s="306"/>
    </row>
    <row r="59" spans="1:61" ht="16.2" customHeight="1">
      <c r="A59" s="574" t="s">
        <v>1497</v>
      </c>
      <c r="B59" s="469"/>
      <c r="C59" s="3"/>
      <c r="D59" s="88"/>
      <c r="E59" s="4"/>
      <c r="F59" s="4"/>
      <c r="G59" s="6">
        <v>30</v>
      </c>
      <c r="H59" s="468"/>
      <c r="I59" s="468"/>
      <c r="J59" s="3">
        <f>C60-7.5</f>
        <v>1122.0500000000002</v>
      </c>
      <c r="K59" s="468" t="s">
        <v>2576</v>
      </c>
      <c r="L59" s="468"/>
      <c r="M59" s="468" t="s">
        <v>195</v>
      </c>
      <c r="N59" s="468"/>
      <c r="O59" s="468"/>
      <c r="P59" s="468"/>
      <c r="Q59" s="4"/>
      <c r="R59" s="6"/>
      <c r="S59" s="6"/>
      <c r="T59" s="4"/>
      <c r="U59" s="4"/>
      <c r="V59" s="4"/>
      <c r="W59" s="9"/>
      <c r="X59" s="9"/>
      <c r="Y59" s="9"/>
      <c r="Z59" s="9"/>
      <c r="AA59" s="9"/>
      <c r="AB59" s="9"/>
      <c r="AC59" s="468" t="str">
        <f t="shared" si="1"/>
        <v/>
      </c>
      <c r="AD59" s="468"/>
      <c r="AE59" s="468"/>
      <c r="AF59" s="4"/>
      <c r="AG59" s="88"/>
      <c r="AH59" s="4"/>
      <c r="AI59" s="4"/>
      <c r="AJ59" s="468"/>
      <c r="AK59" s="468"/>
      <c r="AL59" s="468"/>
      <c r="AM59" s="468"/>
      <c r="AN59" s="10"/>
      <c r="AO59" s="9"/>
      <c r="AP59" s="9"/>
      <c r="AQ59" s="9">
        <f>+FL_2($T$60,$T$58,$G$59,1200,9.28, 1*$F$60)</f>
        <v>-0.30000000000003496</v>
      </c>
      <c r="AR59" s="9"/>
      <c r="AS59" s="9"/>
      <c r="AT59" s="9"/>
      <c r="AU59" s="447"/>
      <c r="AV59" s="447"/>
      <c r="AW59" s="468"/>
      <c r="AX59" s="468"/>
      <c r="AY59" s="10" t="str">
        <f>IF(L59="","",
IF(AX59="PT",VLOOKUP(L59,Foundation_Calc!$K$79:$R$112,VLOOKUP(AW59,Foundation_Calc!$I$2:$J$8,2,FALSE),0),
IF(AX59="K",VLOOKUP(L59,Foundation_Calc!$K$116:$R$149,VLOOKUP(AW59,Foundation_Calc!$I$2:$J$8,2,FALSE),0),"")))</f>
        <v/>
      </c>
      <c r="AZ59" s="10" t="str">
        <f>IF(K59="","",
IF(AX59="PT",VLOOKUP(K59,Foundation_Calc!$K$79:$R$112,VLOOKUP(AW59,Foundation_Calc!$I$2:$J$8,2,FALSE),0),
IF(AX59="K",VLOOKUP(K59,Foundation_Calc!$K$116:$R$149,VLOOKUP(AW59,Foundation_Calc!$I$2:$J$8,2,FALSE),0),"")))</f>
        <v/>
      </c>
      <c r="BA59" s="553" t="str">
        <f t="shared" si="2"/>
        <v/>
      </c>
      <c r="BB59" s="553" t="str">
        <f t="shared" si="2"/>
        <v/>
      </c>
      <c r="BC59" s="553" t="str">
        <f t="shared" si="3"/>
        <v/>
      </c>
      <c r="BD59" s="572" t="str">
        <f>IF(AND(L59="",H59=""),"",
IF(H59="",Pole_Calc!A$9,
IF(H59="MP",Pole_Calc!A$10,
IF(H59="AnMP",Pole_Calc!A$11,
IF(H59="A",Pole_Calc!A$12,
IF(H59="S/A",Pole_Calc!A$13,
IF(H59="A/S",Pole_Calc!A$14,"Poner a mano")))))))</f>
        <v/>
      </c>
      <c r="BE59" s="448" t="s">
        <v>1726</v>
      </c>
      <c r="BF59" s="305"/>
      <c r="BG59" s="305"/>
      <c r="BH59" s="306"/>
      <c r="BI59" s="305"/>
    </row>
    <row r="60" spans="1:61" ht="16.2" customHeight="1">
      <c r="A60" s="574" t="s">
        <v>1497</v>
      </c>
      <c r="B60" s="469" t="s">
        <v>1885</v>
      </c>
      <c r="C60" s="3">
        <f>+$C$58+$G$59</f>
        <v>1129.5500000000002</v>
      </c>
      <c r="D60" s="88"/>
      <c r="E60" s="4"/>
      <c r="F60" s="4">
        <v>-400</v>
      </c>
      <c r="G60" s="6"/>
      <c r="H60" s="468" t="s">
        <v>365</v>
      </c>
      <c r="I60" s="468"/>
      <c r="J60" s="3"/>
      <c r="K60" s="468"/>
      <c r="L60" s="468" t="s">
        <v>38</v>
      </c>
      <c r="M60" s="468" t="s">
        <v>1625</v>
      </c>
      <c r="N60" s="468" t="s">
        <v>32</v>
      </c>
      <c r="O60" s="468"/>
      <c r="P60" s="468"/>
      <c r="Q60" s="4"/>
      <c r="R60" s="6"/>
      <c r="S60" s="6"/>
      <c r="T60" s="4">
        <v>-30</v>
      </c>
      <c r="U60" s="4"/>
      <c r="V60" s="4"/>
      <c r="W60" s="9">
        <v>1.4</v>
      </c>
      <c r="X60" s="9"/>
      <c r="Y60" s="9"/>
      <c r="Z60" s="9"/>
      <c r="AA60" s="9"/>
      <c r="AB60" s="9"/>
      <c r="AC60" s="468" t="str">
        <f t="shared" si="1"/>
        <v>PHC</v>
      </c>
      <c r="AD60" s="468"/>
      <c r="AE60" s="468"/>
      <c r="AF60" s="4"/>
      <c r="AG60" s="88"/>
      <c r="AH60" s="4"/>
      <c r="AI60" s="4"/>
      <c r="AJ60" s="468"/>
      <c r="AK60" s="468"/>
      <c r="AL60" s="468"/>
      <c r="AM60" s="468" t="s">
        <v>486</v>
      </c>
      <c r="AN60" s="10">
        <v>5.5</v>
      </c>
      <c r="AO60" s="9"/>
      <c r="AP60" s="9"/>
      <c r="AQ60" s="9"/>
      <c r="AR60" s="9"/>
      <c r="AS60" s="9"/>
      <c r="AT60" s="9">
        <f>+ab($T$60,$T$58,$T$62,$G$59,$G$61, 1*$F$60,1200)</f>
        <v>-2.5568702174040849</v>
      </c>
      <c r="AU60" s="447"/>
      <c r="AV60" s="447"/>
      <c r="AW60" s="468" t="s">
        <v>2557</v>
      </c>
      <c r="AX60" s="468" t="s">
        <v>199</v>
      </c>
      <c r="AY60" s="10" t="str">
        <f>IF(L60="","",
IF(AX60="PT",VLOOKUP(L60,Foundation_Calc!$K$79:$R$112,VLOOKUP(AW60,Foundation_Calc!$I$2:$J$8,2,FALSE),0),
IF(AX60="K",VLOOKUP(L60,Foundation_Calc!$K$116:$R$149,VLOOKUP(AW60,Foundation_Calc!$I$2:$J$8,2,FALSE),0),"")))</f>
        <v/>
      </c>
      <c r="AZ60" s="10" t="str">
        <f>IF(K60="","",
IF(AX60="PT",VLOOKUP(K60,Foundation_Calc!$K$79:$R$112,VLOOKUP(AW60,Foundation_Calc!$I$2:$J$8,2,FALSE),0),
IF(AX60="K",VLOOKUP(K60,Foundation_Calc!$K$116:$R$149,VLOOKUP(AW60,Foundation_Calc!$I$2:$J$8,2,FALSE),0),"")))</f>
        <v/>
      </c>
      <c r="BA60" s="553" t="str">
        <f t="shared" si="2"/>
        <v/>
      </c>
      <c r="BB60" s="553" t="str">
        <f t="shared" si="2"/>
        <v/>
      </c>
      <c r="BC60" s="553" t="str">
        <f t="shared" si="3"/>
        <v>ü</v>
      </c>
      <c r="BD60" s="572" t="str">
        <f>IF(AND(L60="",H60=""),"",
IF(H60="",Pole_Calc!A$9,
IF(H60="MP",Pole_Calc!A$10,
IF(H60="AnMP",Pole_Calc!A$11,
IF(H60="A",Pole_Calc!A$12,
IF(H60="S/A",Pole_Calc!A$13,
IF(H60="A/S",Pole_Calc!A$14,"Poner a mano")))))))</f>
        <v>App.7-V11H-P9.5.1.3</v>
      </c>
      <c r="BE60" s="448" t="s">
        <v>1726</v>
      </c>
      <c r="BF60" s="306"/>
      <c r="BG60" s="306"/>
      <c r="BH60" s="306"/>
      <c r="BI60" s="306"/>
    </row>
    <row r="61" spans="1:61" ht="16.2" customHeight="1">
      <c r="A61" s="574" t="s">
        <v>1497</v>
      </c>
      <c r="B61" s="469"/>
      <c r="C61" s="3"/>
      <c r="D61" s="88"/>
      <c r="E61" s="4"/>
      <c r="F61" s="4"/>
      <c r="G61" s="6">
        <v>30</v>
      </c>
      <c r="H61" s="468"/>
      <c r="I61" s="4">
        <f>SUM(G35:G61)</f>
        <v>597.70000000000005</v>
      </c>
      <c r="J61" s="3"/>
      <c r="K61" s="468"/>
      <c r="L61" s="468"/>
      <c r="M61" s="468" t="s">
        <v>195</v>
      </c>
      <c r="N61" s="468"/>
      <c r="O61" s="468"/>
      <c r="P61" s="468"/>
      <c r="Q61" s="4"/>
      <c r="R61" s="6"/>
      <c r="S61" s="6"/>
      <c r="T61" s="4"/>
      <c r="U61" s="4"/>
      <c r="V61" s="4"/>
      <c r="W61" s="9"/>
      <c r="X61" s="9"/>
      <c r="Y61" s="9"/>
      <c r="Z61" s="9"/>
      <c r="AA61" s="9"/>
      <c r="AB61" s="9"/>
      <c r="AC61" s="468" t="str">
        <f t="shared" si="1"/>
        <v/>
      </c>
      <c r="AD61" s="468"/>
      <c r="AE61" s="468"/>
      <c r="AF61" s="4"/>
      <c r="AG61" s="88"/>
      <c r="AH61" s="4"/>
      <c r="AI61" s="4"/>
      <c r="AJ61" s="468"/>
      <c r="AK61" s="468"/>
      <c r="AL61" s="468"/>
      <c r="AM61" s="468"/>
      <c r="AN61" s="10"/>
      <c r="AO61" s="9"/>
      <c r="AP61" s="9"/>
      <c r="AQ61" s="9">
        <f>+FL_2($T$62,$T$60,$G$61,1200,9.28, 1*$F$62)</f>
        <v>-0.30000000000003496</v>
      </c>
      <c r="AR61" s="9"/>
      <c r="AS61" s="9"/>
      <c r="AT61" s="9"/>
      <c r="AU61" s="447"/>
      <c r="AV61" s="447"/>
      <c r="AW61" s="468"/>
      <c r="AX61" s="468"/>
      <c r="AY61" s="10" t="str">
        <f>IF(L61="","",
IF(AX61="PT",VLOOKUP(L61,Foundation_Calc!$K$79:$R$112,VLOOKUP(AW61,Foundation_Calc!$I$2:$J$8,2,FALSE),0),
IF(AX61="K",VLOOKUP(L61,Foundation_Calc!$K$116:$R$149,VLOOKUP(AW61,Foundation_Calc!$I$2:$J$8,2,FALSE),0),"")))</f>
        <v/>
      </c>
      <c r="AZ61" s="10" t="str">
        <f>IF(K61="","",
IF(AX61="PT",VLOOKUP(K61,Foundation_Calc!$K$79:$R$112,VLOOKUP(AW61,Foundation_Calc!$I$2:$J$8,2,FALSE),0),
IF(AX61="K",VLOOKUP(K61,Foundation_Calc!$K$116:$R$149,VLOOKUP(AW61,Foundation_Calc!$I$2:$J$8,2,FALSE),0),"")))</f>
        <v/>
      </c>
      <c r="BA61" s="553" t="str">
        <f t="shared" si="2"/>
        <v/>
      </c>
      <c r="BB61" s="553" t="str">
        <f t="shared" si="2"/>
        <v/>
      </c>
      <c r="BC61" s="553" t="str">
        <f t="shared" si="3"/>
        <v/>
      </c>
      <c r="BD61" s="572" t="str">
        <f>IF(AND(L61="",H61=""),"",
IF(H61="",Pole_Calc!A$9,
IF(H61="MP",Pole_Calc!A$10,
IF(H61="AnMP",Pole_Calc!A$11,
IF(H61="A",Pole_Calc!A$12,
IF(H61="S/A",Pole_Calc!A$13,
IF(H61="A/S",Pole_Calc!A$14,"Poner a mano")))))))</f>
        <v/>
      </c>
      <c r="BE61" s="448" t="s">
        <v>1726</v>
      </c>
      <c r="BF61" s="305"/>
      <c r="BG61" s="305"/>
      <c r="BH61" s="306"/>
      <c r="BI61" s="305"/>
    </row>
    <row r="62" spans="1:61" ht="16.2" customHeight="1">
      <c r="A62" s="574" t="s">
        <v>1497</v>
      </c>
      <c r="B62" s="469" t="s">
        <v>1886</v>
      </c>
      <c r="C62" s="3">
        <f>+$C$60+$G$61</f>
        <v>1159.5500000000002</v>
      </c>
      <c r="D62" s="88"/>
      <c r="E62" s="4"/>
      <c r="F62" s="4">
        <v>-400</v>
      </c>
      <c r="G62" s="6"/>
      <c r="H62" s="468" t="s">
        <v>366</v>
      </c>
      <c r="I62" s="468"/>
      <c r="J62" s="3"/>
      <c r="K62" s="468"/>
      <c r="L62" s="468" t="s">
        <v>38</v>
      </c>
      <c r="M62" s="468" t="s">
        <v>1625</v>
      </c>
      <c r="N62" s="468" t="s">
        <v>32</v>
      </c>
      <c r="O62" s="468"/>
      <c r="P62" s="468"/>
      <c r="Q62" s="4"/>
      <c r="R62" s="6"/>
      <c r="S62" s="6"/>
      <c r="T62" s="4">
        <v>-30</v>
      </c>
      <c r="U62" s="4"/>
      <c r="V62" s="4"/>
      <c r="W62" s="9">
        <v>1.4</v>
      </c>
      <c r="X62" s="9"/>
      <c r="Y62" s="9"/>
      <c r="Z62" s="9"/>
      <c r="AA62" s="9"/>
      <c r="AB62" s="9"/>
      <c r="AC62" s="468" t="str">
        <f t="shared" si="1"/>
        <v>PHC</v>
      </c>
      <c r="AD62" s="468"/>
      <c r="AE62" s="468"/>
      <c r="AF62" s="4"/>
      <c r="AG62" s="88"/>
      <c r="AH62" s="4"/>
      <c r="AI62" s="4"/>
      <c r="AJ62" s="468"/>
      <c r="AK62" s="468"/>
      <c r="AL62" s="468"/>
      <c r="AM62" s="468" t="s">
        <v>486</v>
      </c>
      <c r="AN62" s="10">
        <v>5.5</v>
      </c>
      <c r="AO62" s="9"/>
      <c r="AP62" s="9"/>
      <c r="AQ62" s="9"/>
      <c r="AR62" s="9"/>
      <c r="AS62" s="9"/>
      <c r="AT62" s="9">
        <f>+ab($T$62,$T$60,$T$64,$G$61,$G$63, 1*$F$62,1200)</f>
        <v>-2.5568702174040849</v>
      </c>
      <c r="AU62" s="447"/>
      <c r="AV62" s="447"/>
      <c r="AW62" s="468" t="s">
        <v>2557</v>
      </c>
      <c r="AX62" s="468" t="s">
        <v>199</v>
      </c>
      <c r="AY62" s="10" t="str">
        <f>IF(L62="","",
IF(AX62="PT",VLOOKUP(L62,Foundation_Calc!$K$79:$R$112,VLOOKUP(AW62,Foundation_Calc!$I$2:$J$8,2,FALSE),0),
IF(AX62="K",VLOOKUP(L62,Foundation_Calc!$K$116:$R$149,VLOOKUP(AW62,Foundation_Calc!$I$2:$J$8,2,FALSE),0),"")))</f>
        <v/>
      </c>
      <c r="AZ62" s="10" t="str">
        <f>IF(K62="","",
IF(AX62="PT",VLOOKUP(K62,Foundation_Calc!$K$79:$R$112,VLOOKUP(AW62,Foundation_Calc!$I$2:$J$8,2,FALSE),0),
IF(AX62="K",VLOOKUP(K62,Foundation_Calc!$K$116:$R$149,VLOOKUP(AW62,Foundation_Calc!$I$2:$J$8,2,FALSE),0),"")))</f>
        <v/>
      </c>
      <c r="BA62" s="553" t="str">
        <f t="shared" si="2"/>
        <v/>
      </c>
      <c r="BB62" s="553" t="str">
        <f t="shared" si="2"/>
        <v/>
      </c>
      <c r="BC62" s="553" t="str">
        <f t="shared" si="3"/>
        <v>ü</v>
      </c>
      <c r="BD62" s="572" t="str">
        <f>IF(AND(L62="",H62=""),"",
IF(H62="",Pole_Calc!A$9,
IF(H62="MP",Pole_Calc!A$10,
IF(H62="AnMP",Pole_Calc!A$11,
IF(H62="A",Pole_Calc!A$12,
IF(H62="S/A",Pole_Calc!A$13,
IF(H62="A/S",Pole_Calc!A$14,"Poner a mano")))))))</f>
        <v>App.7-V11H-P9.5.1.2</v>
      </c>
      <c r="BE62" s="448" t="s">
        <v>1726</v>
      </c>
      <c r="BF62" s="306"/>
      <c r="BG62" s="306"/>
      <c r="BH62" s="306"/>
      <c r="BI62" s="306"/>
    </row>
    <row r="63" spans="1:61" ht="16.2" customHeight="1">
      <c r="A63" s="574" t="s">
        <v>1497</v>
      </c>
      <c r="B63" s="469"/>
      <c r="C63" s="3"/>
      <c r="D63" s="88"/>
      <c r="E63" s="4"/>
      <c r="F63" s="4"/>
      <c r="G63" s="6">
        <v>30</v>
      </c>
      <c r="H63" s="468"/>
      <c r="I63" s="4">
        <f>SUM(G63:G91)</f>
        <v>663.8</v>
      </c>
      <c r="J63" s="3"/>
      <c r="K63" s="468"/>
      <c r="L63" s="468"/>
      <c r="M63" s="468" t="s">
        <v>195</v>
      </c>
      <c r="N63" s="468"/>
      <c r="O63" s="468"/>
      <c r="P63" s="468"/>
      <c r="Q63" s="4"/>
      <c r="R63" s="6"/>
      <c r="S63" s="6"/>
      <c r="T63" s="4"/>
      <c r="U63" s="4"/>
      <c r="V63" s="4"/>
      <c r="W63" s="9"/>
      <c r="X63" s="9"/>
      <c r="Y63" s="9"/>
      <c r="Z63" s="9"/>
      <c r="AA63" s="9"/>
      <c r="AB63" s="9"/>
      <c r="AC63" s="468" t="str">
        <f t="shared" si="1"/>
        <v/>
      </c>
      <c r="AD63" s="468"/>
      <c r="AE63" s="468"/>
      <c r="AF63" s="4"/>
      <c r="AG63" s="88"/>
      <c r="AH63" s="4"/>
      <c r="AI63" s="4"/>
      <c r="AJ63" s="468"/>
      <c r="AK63" s="468"/>
      <c r="AL63" s="468"/>
      <c r="AM63" s="468"/>
      <c r="AN63" s="10"/>
      <c r="AO63" s="9"/>
      <c r="AP63" s="9"/>
      <c r="AQ63" s="9">
        <f>+FL_2($T$64,$T$62,$G$63,1200,9.28, 1*$F$64)</f>
        <v>-0.30000000000003496</v>
      </c>
      <c r="AR63" s="9"/>
      <c r="AS63" s="9"/>
      <c r="AT63" s="9"/>
      <c r="AU63" s="447"/>
      <c r="AV63" s="447"/>
      <c r="AW63" s="468"/>
      <c r="AX63" s="468"/>
      <c r="AY63" s="10" t="str">
        <f>IF(L63="","",
IF(AX63="PT",VLOOKUP(L63,Foundation_Calc!$K$79:$R$112,VLOOKUP(AW63,Foundation_Calc!$I$2:$J$8,2,FALSE),0),
IF(AX63="K",VLOOKUP(L63,Foundation_Calc!$K$116:$R$149,VLOOKUP(AW63,Foundation_Calc!$I$2:$J$8,2,FALSE),0),"")))</f>
        <v/>
      </c>
      <c r="AZ63" s="10" t="str">
        <f>IF(K63="","",
IF(AX63="PT",VLOOKUP(K63,Foundation_Calc!$K$79:$R$112,VLOOKUP(AW63,Foundation_Calc!$I$2:$J$8,2,FALSE),0),
IF(AX63="K",VLOOKUP(K63,Foundation_Calc!$K$116:$R$149,VLOOKUP(AW63,Foundation_Calc!$I$2:$J$8,2,FALSE),0),"")))</f>
        <v/>
      </c>
      <c r="BA63" s="553" t="str">
        <f t="shared" si="2"/>
        <v/>
      </c>
      <c r="BB63" s="553" t="str">
        <f t="shared" si="2"/>
        <v/>
      </c>
      <c r="BC63" s="553" t="str">
        <f t="shared" si="3"/>
        <v/>
      </c>
      <c r="BD63" s="572" t="str">
        <f>IF(AND(L63="",H63=""),"",
IF(H63="",Pole_Calc!A$9,
IF(H63="MP",Pole_Calc!A$10,
IF(H63="AnMP",Pole_Calc!A$11,
IF(H63="A",Pole_Calc!A$12,
IF(H63="S/A",Pole_Calc!A$13,
IF(H63="A/S",Pole_Calc!A$14,"Poner a mano")))))))</f>
        <v/>
      </c>
      <c r="BE63" s="448" t="s">
        <v>1726</v>
      </c>
      <c r="BF63" s="305"/>
      <c r="BG63" s="305"/>
      <c r="BH63" s="306"/>
      <c r="BI63" s="305"/>
    </row>
    <row r="64" spans="1:61" ht="16.2" customHeight="1">
      <c r="A64" s="574" t="s">
        <v>1497</v>
      </c>
      <c r="B64" s="469" t="s">
        <v>1887</v>
      </c>
      <c r="C64" s="3">
        <f>+$C$62+$G$63</f>
        <v>1189.5500000000002</v>
      </c>
      <c r="D64" s="88"/>
      <c r="E64" s="4"/>
      <c r="F64" s="4">
        <v>-455.69</v>
      </c>
      <c r="G64" s="6"/>
      <c r="H64" s="468" t="s">
        <v>365</v>
      </c>
      <c r="I64" s="468"/>
      <c r="J64" s="3"/>
      <c r="K64" s="468"/>
      <c r="L64" s="468" t="s">
        <v>38</v>
      </c>
      <c r="M64" s="468" t="s">
        <v>1625</v>
      </c>
      <c r="N64" s="468" t="s">
        <v>32</v>
      </c>
      <c r="O64" s="468"/>
      <c r="P64" s="468"/>
      <c r="Q64" s="4"/>
      <c r="R64" s="6"/>
      <c r="S64" s="6"/>
      <c r="T64" s="4">
        <v>-30</v>
      </c>
      <c r="U64" s="4"/>
      <c r="V64" s="4"/>
      <c r="W64" s="9">
        <v>1.4</v>
      </c>
      <c r="X64" s="9"/>
      <c r="Y64" s="9"/>
      <c r="Z64" s="9"/>
      <c r="AA64" s="9"/>
      <c r="AB64" s="9"/>
      <c r="AC64" s="468" t="str">
        <f t="shared" si="1"/>
        <v>PHC</v>
      </c>
      <c r="AD64" s="468"/>
      <c r="AE64" s="468"/>
      <c r="AF64" s="4"/>
      <c r="AG64" s="88"/>
      <c r="AH64" s="4"/>
      <c r="AI64" s="4"/>
      <c r="AJ64" s="468"/>
      <c r="AK64" s="468"/>
      <c r="AL64" s="468"/>
      <c r="AM64" s="468" t="s">
        <v>486</v>
      </c>
      <c r="AN64" s="10">
        <v>5.5</v>
      </c>
      <c r="AO64" s="9"/>
      <c r="AP64" s="9"/>
      <c r="AQ64" s="9"/>
      <c r="AR64" s="9"/>
      <c r="AS64" s="9"/>
      <c r="AT64" s="9">
        <f>+ab($T$64,$T$62,$T$66,$G$63,$G$65, 1*$F$64,1200)</f>
        <v>-2.9565462797926476</v>
      </c>
      <c r="AU64" s="447"/>
      <c r="AV64" s="447"/>
      <c r="AW64" s="468" t="s">
        <v>2557</v>
      </c>
      <c r="AX64" s="468" t="s">
        <v>199</v>
      </c>
      <c r="AY64" s="10" t="str">
        <f>IF(L64="","",
IF(AX64="PT",VLOOKUP(L64,Foundation_Calc!$K$79:$R$112,VLOOKUP(AW64,Foundation_Calc!$I$2:$J$8,2,FALSE),0),
IF(AX64="K",VLOOKUP(L64,Foundation_Calc!$K$116:$R$149,VLOOKUP(AW64,Foundation_Calc!$I$2:$J$8,2,FALSE),0),"")))</f>
        <v/>
      </c>
      <c r="AZ64" s="10" t="str">
        <f>IF(K64="","",
IF(AX64="PT",VLOOKUP(K64,Foundation_Calc!$K$79:$R$112,VLOOKUP(AW64,Foundation_Calc!$I$2:$J$8,2,FALSE),0),
IF(AX64="K",VLOOKUP(K64,Foundation_Calc!$K$116:$R$149,VLOOKUP(AW64,Foundation_Calc!$I$2:$J$8,2,FALSE),0),"")))</f>
        <v/>
      </c>
      <c r="BA64" s="553" t="str">
        <f t="shared" si="2"/>
        <v/>
      </c>
      <c r="BB64" s="553" t="str">
        <f t="shared" si="2"/>
        <v/>
      </c>
      <c r="BC64" s="553" t="str">
        <f t="shared" si="3"/>
        <v>ü</v>
      </c>
      <c r="BD64" s="572" t="str">
        <f>IF(AND(L64="",H64=""),"",
IF(H64="",Pole_Calc!A$9,
IF(H64="MP",Pole_Calc!A$10,
IF(H64="AnMP",Pole_Calc!A$11,
IF(H64="A",Pole_Calc!A$12,
IF(H64="S/A",Pole_Calc!A$13,
IF(H64="A/S",Pole_Calc!A$14,"Poner a mano")))))))</f>
        <v>App.7-V11H-P9.5.1.3</v>
      </c>
      <c r="BE64" s="448" t="s">
        <v>1726</v>
      </c>
      <c r="BF64" s="306"/>
      <c r="BG64" s="306"/>
      <c r="BH64" s="306"/>
      <c r="BI64" s="306"/>
    </row>
    <row r="65" spans="1:61" ht="16.2" customHeight="1">
      <c r="A65" s="574" t="s">
        <v>1497</v>
      </c>
      <c r="B65" s="469"/>
      <c r="C65" s="3"/>
      <c r="D65" s="88"/>
      <c r="E65" s="4"/>
      <c r="F65" s="4"/>
      <c r="G65" s="6">
        <v>29.1</v>
      </c>
      <c r="H65" s="468"/>
      <c r="I65" s="468"/>
      <c r="J65" s="3">
        <f>C64+7.5</f>
        <v>1197.0500000000002</v>
      </c>
      <c r="K65" s="468" t="s">
        <v>2576</v>
      </c>
      <c r="L65" s="468"/>
      <c r="M65" s="468" t="s">
        <v>195</v>
      </c>
      <c r="N65" s="468"/>
      <c r="O65" s="468"/>
      <c r="P65" s="468"/>
      <c r="Q65" s="4"/>
      <c r="R65" s="6"/>
      <c r="S65" s="6"/>
      <c r="T65" s="4"/>
      <c r="U65" s="4"/>
      <c r="V65" s="4"/>
      <c r="W65" s="9"/>
      <c r="X65" s="9"/>
      <c r="Y65" s="9"/>
      <c r="Z65" s="9"/>
      <c r="AA65" s="9"/>
      <c r="AB65" s="9"/>
      <c r="AC65" s="468" t="str">
        <f t="shared" si="1"/>
        <v/>
      </c>
      <c r="AD65" s="468"/>
      <c r="AE65" s="468"/>
      <c r="AF65" s="4"/>
      <c r="AG65" s="88"/>
      <c r="AH65" s="4"/>
      <c r="AI65" s="4"/>
      <c r="AJ65" s="468"/>
      <c r="AK65" s="468"/>
      <c r="AL65" s="468"/>
      <c r="AM65" s="468"/>
      <c r="AN65" s="10"/>
      <c r="AO65" s="9"/>
      <c r="AP65" s="9"/>
      <c r="AQ65" s="9">
        <f>+FL_2($T$66,$T$64,$G$65,1200,9.28, 1*$F$66)</f>
        <v>-0.3</v>
      </c>
      <c r="AR65" s="9"/>
      <c r="AS65" s="9"/>
      <c r="AT65" s="9"/>
      <c r="AU65" s="447"/>
      <c r="AV65" s="447"/>
      <c r="AW65" s="468"/>
      <c r="AX65" s="468"/>
      <c r="AY65" s="10" t="str">
        <f>IF(L65="","",
IF(AX65="PT",VLOOKUP(L65,Foundation_Calc!$K$79:$R$112,VLOOKUP(AW65,Foundation_Calc!$I$2:$J$8,2,FALSE),0),
IF(AX65="K",VLOOKUP(L65,Foundation_Calc!$K$116:$R$149,VLOOKUP(AW65,Foundation_Calc!$I$2:$J$8,2,FALSE),0),"")))</f>
        <v/>
      </c>
      <c r="AZ65" s="10" t="str">
        <f>IF(K65="","",
IF(AX65="PT",VLOOKUP(K65,Foundation_Calc!$K$79:$R$112,VLOOKUP(AW65,Foundation_Calc!$I$2:$J$8,2,FALSE),0),
IF(AX65="K",VLOOKUP(K65,Foundation_Calc!$K$116:$R$149,VLOOKUP(AW65,Foundation_Calc!$I$2:$J$8,2,FALSE),0),"")))</f>
        <v/>
      </c>
      <c r="BA65" s="553" t="str">
        <f t="shared" si="2"/>
        <v/>
      </c>
      <c r="BB65" s="553" t="str">
        <f t="shared" si="2"/>
        <v/>
      </c>
      <c r="BC65" s="553" t="str">
        <f t="shared" si="3"/>
        <v/>
      </c>
      <c r="BD65" s="572" t="str">
        <f>IF(AND(L65="",H65=""),"",
IF(H65="",Pole_Calc!A$9,
IF(H65="MP",Pole_Calc!A$10,
IF(H65="AnMP",Pole_Calc!A$11,
IF(H65="A",Pole_Calc!A$12,
IF(H65="S/A",Pole_Calc!A$13,
IF(H65="A/S",Pole_Calc!A$14,"Poner a mano")))))))</f>
        <v/>
      </c>
      <c r="BE65" s="448" t="s">
        <v>1726</v>
      </c>
      <c r="BF65" s="305"/>
      <c r="BG65" s="305"/>
      <c r="BH65" s="306"/>
      <c r="BI65" s="305"/>
    </row>
    <row r="66" spans="1:61" ht="16.2" customHeight="1">
      <c r="A66" s="574" t="s">
        <v>1497</v>
      </c>
      <c r="B66" s="469" t="s">
        <v>1888</v>
      </c>
      <c r="C66" s="3">
        <f>+$C$64+$G$65</f>
        <v>1218.6500000000001</v>
      </c>
      <c r="D66" s="88"/>
      <c r="E66" s="4"/>
      <c r="F66" s="4">
        <v>-1207.24</v>
      </c>
      <c r="G66" s="6"/>
      <c r="H66" s="468"/>
      <c r="I66" s="468"/>
      <c r="J66" s="3"/>
      <c r="K66" s="468"/>
      <c r="L66" s="468" t="s">
        <v>38</v>
      </c>
      <c r="M66" s="468" t="s">
        <v>1625</v>
      </c>
      <c r="N66" s="468" t="s">
        <v>32</v>
      </c>
      <c r="O66" s="468"/>
      <c r="P66" s="468"/>
      <c r="Q66" s="4"/>
      <c r="R66" s="6"/>
      <c r="S66" s="6"/>
      <c r="T66" s="4">
        <v>-30</v>
      </c>
      <c r="U66" s="4"/>
      <c r="V66" s="4"/>
      <c r="W66" s="9">
        <v>1.4</v>
      </c>
      <c r="X66" s="9"/>
      <c r="Y66" s="9"/>
      <c r="Z66" s="9"/>
      <c r="AA66" s="9"/>
      <c r="AB66" s="9"/>
      <c r="AC66" s="468" t="str">
        <f t="shared" si="1"/>
        <v>PHQ</v>
      </c>
      <c r="AD66" s="468"/>
      <c r="AE66" s="468"/>
      <c r="AF66" s="4"/>
      <c r="AG66" s="88"/>
      <c r="AH66" s="4"/>
      <c r="AI66" s="4"/>
      <c r="AJ66" s="468"/>
      <c r="AK66" s="468"/>
      <c r="AL66" s="468"/>
      <c r="AM66" s="468" t="s">
        <v>486</v>
      </c>
      <c r="AN66" s="10">
        <v>5.5</v>
      </c>
      <c r="AO66" s="9"/>
      <c r="AP66" s="9"/>
      <c r="AQ66" s="9"/>
      <c r="AR66" s="9"/>
      <c r="AS66" s="9"/>
      <c r="AT66" s="9">
        <f>+ab($T$66,$T$64,$T$68,$G$65,$G$67, 1*$F$66,1200)</f>
        <v>-6.7132291689707966</v>
      </c>
      <c r="AU66" s="447"/>
      <c r="AV66" s="447"/>
      <c r="AW66" s="468" t="s">
        <v>2557</v>
      </c>
      <c r="AX66" s="468" t="s">
        <v>199</v>
      </c>
      <c r="AY66" s="10" t="str">
        <f>IF(L66="","",
IF(AX66="PT",VLOOKUP(L66,Foundation_Calc!$K$79:$R$112,VLOOKUP(AW66,Foundation_Calc!$I$2:$J$8,2,FALSE),0),
IF(AX66="K",VLOOKUP(L66,Foundation_Calc!$K$116:$R$149,VLOOKUP(AW66,Foundation_Calc!$I$2:$J$8,2,FALSE),0),"")))</f>
        <v/>
      </c>
      <c r="AZ66" s="10" t="str">
        <f>IF(K66="","",
IF(AX66="PT",VLOOKUP(K66,Foundation_Calc!$K$79:$R$112,VLOOKUP(AW66,Foundation_Calc!$I$2:$J$8,2,FALSE),0),
IF(AX66="K",VLOOKUP(K66,Foundation_Calc!$K$116:$R$149,VLOOKUP(AW66,Foundation_Calc!$I$2:$J$8,2,FALSE),0),"")))</f>
        <v/>
      </c>
      <c r="BA66" s="553" t="str">
        <f t="shared" si="2"/>
        <v/>
      </c>
      <c r="BB66" s="553" t="str">
        <f t="shared" si="2"/>
        <v/>
      </c>
      <c r="BC66" s="553" t="str">
        <f t="shared" si="3"/>
        <v>ü</v>
      </c>
      <c r="BD66" s="572" t="str">
        <f>IF(AND(L66="",H66=""),"",
IF(H66="",Pole_Calc!A$9,
IF(H66="MP",Pole_Calc!A$10,
IF(H66="AnMP",Pole_Calc!A$11,
IF(H66="A",Pole_Calc!A$12,
IF(H66="S/A",Pole_Calc!A$13,
IF(H66="A/S",Pole_Calc!A$14,"Poner a mano")))))))</f>
        <v>App.7-V11H-P9.5.1.1</v>
      </c>
      <c r="BE66" s="448" t="s">
        <v>1726</v>
      </c>
      <c r="BF66" s="306"/>
      <c r="BG66" s="306"/>
      <c r="BH66" s="306"/>
      <c r="BI66" s="306"/>
    </row>
    <row r="67" spans="1:61" ht="16.2" customHeight="1">
      <c r="A67" s="574" t="s">
        <v>1497</v>
      </c>
      <c r="B67" s="469"/>
      <c r="C67" s="3"/>
      <c r="D67" s="88"/>
      <c r="E67" s="4"/>
      <c r="F67" s="4"/>
      <c r="G67" s="6">
        <v>39.6</v>
      </c>
      <c r="H67" s="468"/>
      <c r="I67" s="468"/>
      <c r="J67" s="3"/>
      <c r="K67" s="468"/>
      <c r="L67" s="468"/>
      <c r="M67" s="468" t="s">
        <v>195</v>
      </c>
      <c r="N67" s="468"/>
      <c r="O67" s="468"/>
      <c r="P67" s="468"/>
      <c r="Q67" s="4"/>
      <c r="R67" s="6"/>
      <c r="S67" s="6"/>
      <c r="T67" s="4"/>
      <c r="U67" s="4"/>
      <c r="V67" s="4"/>
      <c r="W67" s="9"/>
      <c r="X67" s="9"/>
      <c r="Y67" s="9"/>
      <c r="Z67" s="9"/>
      <c r="AA67" s="9"/>
      <c r="AB67" s="9"/>
      <c r="AC67" s="468" t="str">
        <f t="shared" si="1"/>
        <v/>
      </c>
      <c r="AD67" s="468"/>
      <c r="AE67" s="468"/>
      <c r="AF67" s="4"/>
      <c r="AG67" s="88"/>
      <c r="AH67" s="4"/>
      <c r="AI67" s="4"/>
      <c r="AJ67" s="468"/>
      <c r="AK67" s="468"/>
      <c r="AL67" s="468"/>
      <c r="AM67" s="468"/>
      <c r="AN67" s="10"/>
      <c r="AO67" s="9"/>
      <c r="AP67" s="9"/>
      <c r="AQ67" s="9">
        <f>+FL_2($T$68,$T$66,$G$67,1200,9.28, 1*$F$68)</f>
        <v>-0.3</v>
      </c>
      <c r="AR67" s="9"/>
      <c r="AS67" s="9"/>
      <c r="AT67" s="9"/>
      <c r="AU67" s="447"/>
      <c r="AV67" s="447"/>
      <c r="AW67" s="468"/>
      <c r="AX67" s="468"/>
      <c r="AY67" s="10" t="str">
        <f>IF(L67="","",
IF(AX67="PT",VLOOKUP(L67,Foundation_Calc!$K$79:$R$112,VLOOKUP(AW67,Foundation_Calc!$I$2:$J$8,2,FALSE),0),
IF(AX67="K",VLOOKUP(L67,Foundation_Calc!$K$116:$R$149,VLOOKUP(AW67,Foundation_Calc!$I$2:$J$8,2,FALSE),0),"")))</f>
        <v/>
      </c>
      <c r="AZ67" s="10" t="str">
        <f>IF(K67="","",
IF(AX67="PT",VLOOKUP(K67,Foundation_Calc!$K$79:$R$112,VLOOKUP(AW67,Foundation_Calc!$I$2:$J$8,2,FALSE),0),
IF(AX67="K",VLOOKUP(K67,Foundation_Calc!$K$116:$R$149,VLOOKUP(AW67,Foundation_Calc!$I$2:$J$8,2,FALSE),0),"")))</f>
        <v/>
      </c>
      <c r="BA67" s="553" t="str">
        <f t="shared" si="2"/>
        <v/>
      </c>
      <c r="BB67" s="553" t="str">
        <f t="shared" si="2"/>
        <v/>
      </c>
      <c r="BC67" s="553" t="str">
        <f t="shared" si="3"/>
        <v/>
      </c>
      <c r="BD67" s="572" t="str">
        <f>IF(AND(L67="",H67=""),"",
IF(H67="",Pole_Calc!A$9,
IF(H67="MP",Pole_Calc!A$10,
IF(H67="AnMP",Pole_Calc!A$11,
IF(H67="A",Pole_Calc!A$12,
IF(H67="S/A",Pole_Calc!A$13,
IF(H67="A/S",Pole_Calc!A$14,"Poner a mano")))))))</f>
        <v/>
      </c>
      <c r="BE67" s="448" t="s">
        <v>1726</v>
      </c>
      <c r="BF67" s="305"/>
      <c r="BG67" s="305"/>
      <c r="BH67" s="306"/>
      <c r="BI67" s="305"/>
    </row>
    <row r="68" spans="1:61" ht="16.2" customHeight="1">
      <c r="A68" s="574" t="s">
        <v>1497</v>
      </c>
      <c r="B68" s="469" t="s">
        <v>1889</v>
      </c>
      <c r="C68" s="3">
        <f>+$C$66+$G$67</f>
        <v>1258.25</v>
      </c>
      <c r="D68" s="88"/>
      <c r="E68" s="4"/>
      <c r="F68" s="4">
        <v>-1207.24</v>
      </c>
      <c r="G68" s="6"/>
      <c r="H68" s="468"/>
      <c r="I68" s="468"/>
      <c r="J68" s="3"/>
      <c r="K68" s="468"/>
      <c r="L68" s="468" t="s">
        <v>449</v>
      </c>
      <c r="M68" s="468" t="s">
        <v>1625</v>
      </c>
      <c r="N68" s="468" t="s">
        <v>32</v>
      </c>
      <c r="O68" s="468"/>
      <c r="P68" s="468"/>
      <c r="Q68" s="4"/>
      <c r="R68" s="6"/>
      <c r="S68" s="6"/>
      <c r="T68" s="4">
        <v>-30</v>
      </c>
      <c r="U68" s="4"/>
      <c r="V68" s="4"/>
      <c r="W68" s="9">
        <v>1.4</v>
      </c>
      <c r="X68" s="9"/>
      <c r="Y68" s="9"/>
      <c r="Z68" s="9"/>
      <c r="AA68" s="9"/>
      <c r="AB68" s="9"/>
      <c r="AC68" s="468" t="str">
        <f t="shared" si="1"/>
        <v>PHC</v>
      </c>
      <c r="AD68" s="468"/>
      <c r="AE68" s="468"/>
      <c r="AF68" s="4"/>
      <c r="AG68" s="88"/>
      <c r="AH68" s="4"/>
      <c r="AI68" s="4"/>
      <c r="AJ68" s="468"/>
      <c r="AK68" s="468"/>
      <c r="AL68" s="468"/>
      <c r="AM68" s="468" t="s">
        <v>486</v>
      </c>
      <c r="AN68" s="10">
        <v>5.5</v>
      </c>
      <c r="AO68" s="9"/>
      <c r="AP68" s="9"/>
      <c r="AQ68" s="9"/>
      <c r="AR68" s="9"/>
      <c r="AS68" s="9"/>
      <c r="AT68" s="9">
        <f>+ab($T$68,$T$66,$T$70,$G$67,$G$69, 1*$F$68,1200)</f>
        <v>-3.9939689660088282</v>
      </c>
      <c r="AU68" s="447"/>
      <c r="AV68" s="447"/>
      <c r="AW68" s="468" t="s">
        <v>2558</v>
      </c>
      <c r="AX68" s="468" t="s">
        <v>199</v>
      </c>
      <c r="AY68" s="10" t="str">
        <f>IF(L68="","",
IF(AX68="PT",VLOOKUP(L68,Foundation_Calc!$K$79:$R$112,VLOOKUP(AW68,Foundation_Calc!$I$2:$J$8,2,FALSE),0),
IF(AX68="K",VLOOKUP(L68,Foundation_Calc!$K$116:$R$149,VLOOKUP(AW68,Foundation_Calc!$I$2:$J$8,2,FALSE),0),"")))</f>
        <v/>
      </c>
      <c r="AZ68" s="10" t="str">
        <f>IF(K68="","",
IF(AX68="PT",VLOOKUP(K68,Foundation_Calc!$K$79:$R$112,VLOOKUP(AW68,Foundation_Calc!$I$2:$J$8,2,FALSE),0),
IF(AX68="K",VLOOKUP(K68,Foundation_Calc!$K$116:$R$149,VLOOKUP(AW68,Foundation_Calc!$I$2:$J$8,2,FALSE),0),"")))</f>
        <v/>
      </c>
      <c r="BA68" s="553" t="str">
        <f t="shared" si="2"/>
        <v/>
      </c>
      <c r="BB68" s="553" t="str">
        <f t="shared" si="2"/>
        <v/>
      </c>
      <c r="BC68" s="553" t="str">
        <f t="shared" si="3"/>
        <v>ü</v>
      </c>
      <c r="BD68" s="572" t="str">
        <f>IF(AND(L68="",H68=""),"",
IF(H68="",Pole_Calc!A$9,
IF(H68="MP",Pole_Calc!A$10,
IF(H68="AnMP",Pole_Calc!A$11,
IF(H68="A",Pole_Calc!A$12,
IF(H68="S/A",Pole_Calc!A$13,
IF(H68="A/S",Pole_Calc!A$14,"Poner a mano")))))))</f>
        <v>App.7-V11H-P9.5.1.1</v>
      </c>
      <c r="BE68" s="448" t="s">
        <v>1726</v>
      </c>
      <c r="BF68" s="306"/>
      <c r="BG68" s="306"/>
      <c r="BH68" s="306"/>
      <c r="BI68" s="306"/>
    </row>
    <row r="69" spans="1:61" ht="16.2" customHeight="1">
      <c r="A69" s="574" t="s">
        <v>1497</v>
      </c>
      <c r="B69" s="469"/>
      <c r="C69" s="3"/>
      <c r="D69" s="88"/>
      <c r="E69" s="4"/>
      <c r="F69" s="4"/>
      <c r="G69" s="6">
        <v>40</v>
      </c>
      <c r="H69" s="468"/>
      <c r="I69" s="468"/>
      <c r="J69" s="3"/>
      <c r="K69" s="468"/>
      <c r="L69" s="468"/>
      <c r="M69" s="468" t="s">
        <v>195</v>
      </c>
      <c r="N69" s="468"/>
      <c r="O69" s="468"/>
      <c r="P69" s="468"/>
      <c r="Q69" s="4"/>
      <c r="R69" s="6"/>
      <c r="S69" s="6"/>
      <c r="T69" s="4"/>
      <c r="U69" s="4"/>
      <c r="V69" s="4"/>
      <c r="W69" s="9"/>
      <c r="X69" s="9"/>
      <c r="Y69" s="9"/>
      <c r="Z69" s="9"/>
      <c r="AA69" s="9"/>
      <c r="AB69" s="9"/>
      <c r="AC69" s="468" t="str">
        <f t="shared" si="1"/>
        <v/>
      </c>
      <c r="AD69" s="468"/>
      <c r="AE69" s="468"/>
      <c r="AF69" s="4"/>
      <c r="AG69" s="88"/>
      <c r="AH69" s="4"/>
      <c r="AI69" s="4"/>
      <c r="AJ69" s="468"/>
      <c r="AK69" s="468"/>
      <c r="AL69" s="468"/>
      <c r="AM69" s="468"/>
      <c r="AN69" s="10"/>
      <c r="AO69" s="9"/>
      <c r="AP69" s="9"/>
      <c r="AQ69" s="9">
        <f>+FL_2($T$70,$T$68,$G$69,1200,9.28, 1*$F$70)</f>
        <v>-0.2999999999999996</v>
      </c>
      <c r="AR69" s="9"/>
      <c r="AS69" s="9"/>
      <c r="AT69" s="9"/>
      <c r="AU69" s="447"/>
      <c r="AV69" s="447"/>
      <c r="AW69" s="468"/>
      <c r="AX69" s="468"/>
      <c r="AY69" s="10" t="str">
        <f>IF(L69="","",
IF(AX69="PT",VLOOKUP(L69,Foundation_Calc!$K$79:$R$112,VLOOKUP(AW69,Foundation_Calc!$I$2:$J$8,2,FALSE),0),
IF(AX69="K",VLOOKUP(L69,Foundation_Calc!$K$116:$R$149,VLOOKUP(AW69,Foundation_Calc!$I$2:$J$8,2,FALSE),0),"")))</f>
        <v/>
      </c>
      <c r="AZ69" s="10" t="str">
        <f>IF(K69="","",
IF(AX69="PT",VLOOKUP(K69,Foundation_Calc!$K$79:$R$112,VLOOKUP(AW69,Foundation_Calc!$I$2:$J$8,2,FALSE),0),
IF(AX69="K",VLOOKUP(K69,Foundation_Calc!$K$116:$R$149,VLOOKUP(AW69,Foundation_Calc!$I$2:$J$8,2,FALSE),0),"")))</f>
        <v/>
      </c>
      <c r="BA69" s="553" t="str">
        <f t="shared" si="2"/>
        <v/>
      </c>
      <c r="BB69" s="553" t="str">
        <f t="shared" si="2"/>
        <v/>
      </c>
      <c r="BC69" s="553" t="str">
        <f t="shared" si="3"/>
        <v/>
      </c>
      <c r="BD69" s="572" t="str">
        <f>IF(AND(L69="",H69=""),"",
IF(H69="",Pole_Calc!A$9,
IF(H69="MP",Pole_Calc!A$10,
IF(H69="AnMP",Pole_Calc!A$11,
IF(H69="A",Pole_Calc!A$12,
IF(H69="S/A",Pole_Calc!A$13,
IF(H69="A/S",Pole_Calc!A$14,"Poner a mano")))))))</f>
        <v/>
      </c>
      <c r="BE69" s="448" t="s">
        <v>1726</v>
      </c>
      <c r="BF69" s="305"/>
      <c r="BG69" s="305"/>
      <c r="BH69" s="306"/>
      <c r="BI69" s="305"/>
    </row>
    <row r="70" spans="1:61" ht="16.2" customHeight="1">
      <c r="A70" s="574" t="s">
        <v>1497</v>
      </c>
      <c r="B70" s="469" t="s">
        <v>1890</v>
      </c>
      <c r="C70" s="3">
        <f>+$C$68+$G$69</f>
        <v>1298.25</v>
      </c>
      <c r="D70" s="88"/>
      <c r="E70" s="4"/>
      <c r="F70" s="4">
        <v>-5500</v>
      </c>
      <c r="G70" s="6"/>
      <c r="H70" s="468"/>
      <c r="I70" s="468"/>
      <c r="J70" s="3"/>
      <c r="K70" s="468"/>
      <c r="L70" s="468" t="s">
        <v>448</v>
      </c>
      <c r="M70" s="468" t="s">
        <v>1625</v>
      </c>
      <c r="N70" s="468" t="s">
        <v>33</v>
      </c>
      <c r="O70" s="468"/>
      <c r="P70" s="468"/>
      <c r="Q70" s="4"/>
      <c r="R70" s="6"/>
      <c r="S70" s="6"/>
      <c r="T70" s="4">
        <v>30</v>
      </c>
      <c r="U70" s="4"/>
      <c r="V70" s="4"/>
      <c r="W70" s="9">
        <v>1.4</v>
      </c>
      <c r="X70" s="9"/>
      <c r="Y70" s="9"/>
      <c r="Z70" s="9"/>
      <c r="AA70" s="9"/>
      <c r="AB70" s="9"/>
      <c r="AC70" s="468" t="str">
        <f t="shared" ref="AC70:AC76" si="4">IF(OR(AT70&gt;8,AT70&lt;-8),"PH",
IF(OR(AT70&gt;5,AT70&lt;-5),"PHQ",
IF(OR(AT70&gt;1,AT70&lt;-1),
"PHC","")))</f>
        <v>PH</v>
      </c>
      <c r="AD70" s="468"/>
      <c r="AE70" s="468"/>
      <c r="AF70" s="4"/>
      <c r="AG70" s="88"/>
      <c r="AH70" s="4"/>
      <c r="AI70" s="4"/>
      <c r="AJ70" s="468"/>
      <c r="AK70" s="468"/>
      <c r="AL70" s="468"/>
      <c r="AM70" s="468" t="s">
        <v>486</v>
      </c>
      <c r="AN70" s="10">
        <v>5.5</v>
      </c>
      <c r="AO70" s="9"/>
      <c r="AP70" s="9"/>
      <c r="AQ70" s="9"/>
      <c r="AR70" s="9"/>
      <c r="AS70" s="9"/>
      <c r="AT70" s="9">
        <f>+ab($T$70,$T$68,$T$72,$G$69,$G$71, 1*$F$70,1200)</f>
        <v>8.3829435690853504</v>
      </c>
      <c r="AU70" s="447"/>
      <c r="AV70" s="447"/>
      <c r="AW70" s="468" t="s">
        <v>2559</v>
      </c>
      <c r="AX70" s="468" t="s">
        <v>199</v>
      </c>
      <c r="AY70" s="10" t="str">
        <f>IF(L70="","",
IF(AX70="PT",VLOOKUP(L70,Foundation_Calc!$K$79:$R$112,VLOOKUP(AW70,Foundation_Calc!$I$2:$J$8,2,FALSE),0),
IF(AX70="K",VLOOKUP(L70,Foundation_Calc!$K$116:$R$149,VLOOKUP(AW70,Foundation_Calc!$I$2:$J$8,2,FALSE),0),"")))</f>
        <v/>
      </c>
      <c r="AZ70" s="10" t="str">
        <f>IF(K70="","",
IF(AX70="PT",VLOOKUP(K70,Foundation_Calc!$K$79:$R$112,VLOOKUP(AW70,Foundation_Calc!$I$2:$J$8,2,FALSE),0),
IF(AX70="K",VLOOKUP(K70,Foundation_Calc!$K$116:$R$149,VLOOKUP(AW70,Foundation_Calc!$I$2:$J$8,2,FALSE),0),"")))</f>
        <v/>
      </c>
      <c r="BA70" s="553" t="str">
        <f t="shared" ref="BA70:BB137" si="5">IF(AY70="","",IF(AY70&gt;0,"ü",""))</f>
        <v/>
      </c>
      <c r="BB70" s="553" t="str">
        <f t="shared" si="5"/>
        <v/>
      </c>
      <c r="BC70" s="553" t="str">
        <f t="shared" si="3"/>
        <v>ü</v>
      </c>
      <c r="BD70" s="572" t="str">
        <f>IF(AND(L70="",H70=""),"",
IF(H70="",Pole_Calc!A$9,
IF(H70="MP",Pole_Calc!A$10,
IF(H70="AnMP",Pole_Calc!A$11,
IF(H70="A",Pole_Calc!A$12,
IF(H70="S/A",Pole_Calc!A$13,
IF(H70="A/S",Pole_Calc!A$14,"Poner a mano")))))))</f>
        <v>App.7-V11H-P9.5.1.1</v>
      </c>
      <c r="BE70" s="448" t="s">
        <v>1726</v>
      </c>
      <c r="BF70" s="306"/>
      <c r="BG70" s="306"/>
      <c r="BH70" s="306"/>
      <c r="BI70" s="306"/>
    </row>
    <row r="71" spans="1:61" ht="16.2" customHeight="1">
      <c r="A71" s="574" t="s">
        <v>1497</v>
      </c>
      <c r="B71" s="469"/>
      <c r="C71" s="3"/>
      <c r="D71" s="88"/>
      <c r="E71" s="4"/>
      <c r="F71" s="4"/>
      <c r="G71" s="6">
        <v>40</v>
      </c>
      <c r="H71" s="468"/>
      <c r="I71" s="468"/>
      <c r="J71" s="3"/>
      <c r="K71" s="468"/>
      <c r="L71" s="468"/>
      <c r="M71" s="468" t="s">
        <v>195</v>
      </c>
      <c r="N71" s="468"/>
      <c r="O71" s="468"/>
      <c r="P71" s="468"/>
      <c r="Q71" s="4"/>
      <c r="R71" s="6"/>
      <c r="S71" s="6"/>
      <c r="T71" s="4"/>
      <c r="U71" s="4"/>
      <c r="V71" s="4"/>
      <c r="W71" s="9"/>
      <c r="X71" s="9"/>
      <c r="Y71" s="9"/>
      <c r="Z71" s="9"/>
      <c r="AA71" s="9"/>
      <c r="AB71" s="9"/>
      <c r="AC71" s="468" t="str">
        <f t="shared" si="4"/>
        <v/>
      </c>
      <c r="AD71" s="468"/>
      <c r="AE71" s="468"/>
      <c r="AF71" s="4"/>
      <c r="AG71" s="88"/>
      <c r="AH71" s="4"/>
      <c r="AI71" s="4"/>
      <c r="AJ71" s="468"/>
      <c r="AK71" s="468"/>
      <c r="AL71" s="468"/>
      <c r="AM71" s="468"/>
      <c r="AN71" s="10"/>
      <c r="AO71" s="9"/>
      <c r="AP71" s="9"/>
      <c r="AQ71" s="9">
        <f>+FL_1($T$72,$T$70,$G$71,1200,9.28, 1*$F$72)</f>
        <v>0.34301851831535501</v>
      </c>
      <c r="AR71" s="9"/>
      <c r="AS71" s="9"/>
      <c r="AT71" s="9"/>
      <c r="AU71" s="447"/>
      <c r="AV71" s="447"/>
      <c r="AW71" s="468"/>
      <c r="AX71" s="468"/>
      <c r="AY71" s="10" t="str">
        <f>IF(L71="","",
IF(AX71="PT",VLOOKUP(L71,Foundation_Calc!$K$79:$R$112,VLOOKUP(AW71,Foundation_Calc!$I$2:$J$8,2,FALSE),0),
IF(AX71="K",VLOOKUP(L71,Foundation_Calc!$K$116:$R$149,VLOOKUP(AW71,Foundation_Calc!$I$2:$J$8,2,FALSE),0),"")))</f>
        <v/>
      </c>
      <c r="AZ71" s="10" t="str">
        <f>IF(K71="","",
IF(AX71="PT",VLOOKUP(K71,Foundation_Calc!$K$79:$R$112,VLOOKUP(AW71,Foundation_Calc!$I$2:$J$8,2,FALSE),0),
IF(AX71="K",VLOOKUP(K71,Foundation_Calc!$K$116:$R$149,VLOOKUP(AW71,Foundation_Calc!$I$2:$J$8,2,FALSE),0),"")))</f>
        <v/>
      </c>
      <c r="BA71" s="553" t="str">
        <f t="shared" si="5"/>
        <v/>
      </c>
      <c r="BB71" s="553" t="str">
        <f t="shared" si="5"/>
        <v/>
      </c>
      <c r="BC71" s="553" t="str">
        <f t="shared" ref="BC71:BC138" si="6">IF(M71="","",IF(M71="U.S.","ü",IF(M71="U.S. N.D.","ü","")))</f>
        <v/>
      </c>
      <c r="BD71" s="572" t="str">
        <f>IF(AND(L71="",H71=""),"",
IF(H71="",Pole_Calc!A$9,
IF(H71="MP",Pole_Calc!A$10,
IF(H71="AnMP",Pole_Calc!A$11,
IF(H71="A",Pole_Calc!A$12,
IF(H71="S/A",Pole_Calc!A$13,
IF(H71="A/S",Pole_Calc!A$14,"Poner a mano")))))))</f>
        <v/>
      </c>
      <c r="BE71" s="448" t="s">
        <v>1726</v>
      </c>
      <c r="BF71" s="305"/>
      <c r="BG71" s="305"/>
      <c r="BH71" s="306"/>
      <c r="BI71" s="305"/>
    </row>
    <row r="72" spans="1:61" ht="16.2" customHeight="1">
      <c r="A72" s="574" t="s">
        <v>1497</v>
      </c>
      <c r="B72" s="469" t="s">
        <v>1891</v>
      </c>
      <c r="C72" s="3">
        <f>+$C$70+$G$71</f>
        <v>1338.25</v>
      </c>
      <c r="D72" s="88"/>
      <c r="E72" s="4"/>
      <c r="F72" s="4">
        <v>-2000</v>
      </c>
      <c r="G72" s="6"/>
      <c r="H72" s="468"/>
      <c r="I72" s="468"/>
      <c r="J72" s="3"/>
      <c r="K72" s="468"/>
      <c r="L72" s="468" t="s">
        <v>40</v>
      </c>
      <c r="M72" s="468" t="s">
        <v>1625</v>
      </c>
      <c r="N72" s="468" t="s">
        <v>32</v>
      </c>
      <c r="O72" s="468"/>
      <c r="P72" s="468"/>
      <c r="Q72" s="4"/>
      <c r="R72" s="6"/>
      <c r="S72" s="6"/>
      <c r="T72" s="4">
        <v>-30</v>
      </c>
      <c r="U72" s="4"/>
      <c r="V72" s="4"/>
      <c r="W72" s="9">
        <v>1.4</v>
      </c>
      <c r="X72" s="9"/>
      <c r="Y72" s="9"/>
      <c r="Z72" s="9"/>
      <c r="AA72" s="9"/>
      <c r="AB72" s="9"/>
      <c r="AC72" s="468" t="str">
        <f t="shared" si="4"/>
        <v>PHQ</v>
      </c>
      <c r="AD72" s="468"/>
      <c r="AE72" s="468"/>
      <c r="AF72" s="4"/>
      <c r="AG72" s="88"/>
      <c r="AH72" s="4"/>
      <c r="AI72" s="4"/>
      <c r="AJ72" s="468"/>
      <c r="AK72" s="468"/>
      <c r="AL72" s="468"/>
      <c r="AM72" s="468" t="s">
        <v>486</v>
      </c>
      <c r="AN72" s="10">
        <v>5.5</v>
      </c>
      <c r="AO72" s="9"/>
      <c r="AP72" s="9"/>
      <c r="AQ72" s="9"/>
      <c r="AR72" s="9"/>
      <c r="AS72" s="9"/>
      <c r="AT72" s="9">
        <f>+ab($T$72,$T$70,$T$74,$G$71,$G$73, 1*$F$72,1200)</f>
        <v>-5.4660046855669275</v>
      </c>
      <c r="AU72" s="447"/>
      <c r="AV72" s="447"/>
      <c r="AW72" s="468" t="s">
        <v>2560</v>
      </c>
      <c r="AX72" s="468" t="s">
        <v>199</v>
      </c>
      <c r="AY72" s="10" t="str">
        <f>IF(L72="","",
IF(AX72="PT",VLOOKUP(L72,Foundation_Calc!$K$79:$R$112,VLOOKUP(AW72,Foundation_Calc!$I$2:$J$8,2,FALSE),0),
IF(AX72="K",VLOOKUP(L72,Foundation_Calc!$K$116:$R$149,VLOOKUP(AW72,Foundation_Calc!$I$2:$J$8,2,FALSE),0),"")))</f>
        <v/>
      </c>
      <c r="AZ72" s="10" t="str">
        <f>IF(K72="","",
IF(AX72="PT",VLOOKUP(K72,Foundation_Calc!$K$79:$R$112,VLOOKUP(AW72,Foundation_Calc!$I$2:$J$8,2,FALSE),0),
IF(AX72="K",VLOOKUP(K72,Foundation_Calc!$K$116:$R$149,VLOOKUP(AW72,Foundation_Calc!$I$2:$J$8,2,FALSE),0),"")))</f>
        <v/>
      </c>
      <c r="BA72" s="553" t="str">
        <f t="shared" si="5"/>
        <v/>
      </c>
      <c r="BB72" s="553" t="str">
        <f t="shared" si="5"/>
        <v/>
      </c>
      <c r="BC72" s="553" t="str">
        <f t="shared" si="6"/>
        <v>ü</v>
      </c>
      <c r="BD72" s="572" t="str">
        <f>IF(AND(L72="",H72=""),"",
IF(H72="",Pole_Calc!A$9,
IF(H72="MP",Pole_Calc!A$10,
IF(H72="AnMP",Pole_Calc!A$11,
IF(H72="A",Pole_Calc!A$12,
IF(H72="S/A",Pole_Calc!A$13,
IF(H72="A/S",Pole_Calc!A$14,"Poner a mano")))))))</f>
        <v>App.7-V11H-P9.5.1.1</v>
      </c>
      <c r="BE72" s="448" t="s">
        <v>1726</v>
      </c>
      <c r="BF72" s="306"/>
      <c r="BG72" s="306"/>
      <c r="BH72" s="306"/>
      <c r="BI72" s="306"/>
    </row>
    <row r="73" spans="1:61" ht="16.2" customHeight="1">
      <c r="A73" s="574" t="s">
        <v>1497</v>
      </c>
      <c r="B73" s="469"/>
      <c r="C73" s="3"/>
      <c r="D73" s="88"/>
      <c r="E73" s="4"/>
      <c r="F73" s="4"/>
      <c r="G73" s="6">
        <v>40</v>
      </c>
      <c r="H73" s="468"/>
      <c r="I73" s="468"/>
      <c r="J73" s="3"/>
      <c r="K73" s="468"/>
      <c r="L73" s="468"/>
      <c r="M73" s="468" t="s">
        <v>195</v>
      </c>
      <c r="N73" s="468"/>
      <c r="O73" s="468"/>
      <c r="P73" s="468"/>
      <c r="Q73" s="4"/>
      <c r="R73" s="6"/>
      <c r="S73" s="6"/>
      <c r="T73" s="4"/>
      <c r="U73" s="4"/>
      <c r="V73" s="4"/>
      <c r="W73" s="9"/>
      <c r="X73" s="9"/>
      <c r="Y73" s="9"/>
      <c r="Z73" s="9"/>
      <c r="AA73" s="9"/>
      <c r="AB73" s="9"/>
      <c r="AC73" s="468" t="str">
        <f t="shared" si="4"/>
        <v/>
      </c>
      <c r="AD73" s="468"/>
      <c r="AE73" s="468"/>
      <c r="AF73" s="4"/>
      <c r="AG73" s="88"/>
      <c r="AH73" s="4"/>
      <c r="AI73" s="4"/>
      <c r="AJ73" s="468"/>
      <c r="AK73" s="468"/>
      <c r="AL73" s="468"/>
      <c r="AM73" s="468"/>
      <c r="AN73" s="10"/>
      <c r="AO73" s="9"/>
      <c r="AP73" s="9"/>
      <c r="AQ73" s="9">
        <f>+FL_1($T$74,$T$72,$G$73,1200,9.28, 1*$F$74)</f>
        <v>-4.5330833208431925E-2</v>
      </c>
      <c r="AR73" s="9"/>
      <c r="AS73" s="9"/>
      <c r="AT73" s="9"/>
      <c r="AU73" s="447"/>
      <c r="AV73" s="447"/>
      <c r="AW73" s="468"/>
      <c r="AX73" s="468"/>
      <c r="AY73" s="10" t="str">
        <f>IF(L73="","",
IF(AX73="PT",VLOOKUP(L73,Foundation_Calc!$K$79:$R$112,VLOOKUP(AW73,Foundation_Calc!$I$2:$J$8,2,FALSE),0),
IF(AX73="K",VLOOKUP(L73,Foundation_Calc!$K$116:$R$149,VLOOKUP(AW73,Foundation_Calc!$I$2:$J$8,2,FALSE),0),"")))</f>
        <v/>
      </c>
      <c r="AZ73" s="10" t="str">
        <f>IF(K73="","",
IF(AX73="PT",VLOOKUP(K73,Foundation_Calc!$K$79:$R$112,VLOOKUP(AW73,Foundation_Calc!$I$2:$J$8,2,FALSE),0),
IF(AX73="K",VLOOKUP(K73,Foundation_Calc!$K$116:$R$149,VLOOKUP(AW73,Foundation_Calc!$I$2:$J$8,2,FALSE),0),"")))</f>
        <v/>
      </c>
      <c r="BA73" s="553" t="str">
        <f t="shared" si="5"/>
        <v/>
      </c>
      <c r="BB73" s="553" t="str">
        <f t="shared" si="5"/>
        <v/>
      </c>
      <c r="BC73" s="553" t="str">
        <f t="shared" si="6"/>
        <v/>
      </c>
      <c r="BD73" s="572" t="str">
        <f>IF(AND(L73="",H73=""),"",
IF(H73="",Pole_Calc!A$9,
IF(H73="MP",Pole_Calc!A$10,
IF(H73="AnMP",Pole_Calc!A$11,
IF(H73="A",Pole_Calc!A$12,
IF(H73="S/A",Pole_Calc!A$13,
IF(H73="A/S",Pole_Calc!A$14,"Poner a mano")))))))</f>
        <v/>
      </c>
      <c r="BE73" s="448" t="s">
        <v>1726</v>
      </c>
      <c r="BF73" s="305"/>
      <c r="BG73" s="305"/>
      <c r="BH73" s="306"/>
      <c r="BI73" s="305"/>
    </row>
    <row r="74" spans="1:61" ht="16.2" customHeight="1">
      <c r="A74" s="574" t="s">
        <v>1497</v>
      </c>
      <c r="B74" s="469" t="s">
        <v>1892</v>
      </c>
      <c r="C74" s="3">
        <f>+$C$72+$G$73</f>
        <v>1378.25</v>
      </c>
      <c r="D74" s="88"/>
      <c r="E74" s="4"/>
      <c r="F74" s="4">
        <v>-2000</v>
      </c>
      <c r="G74" s="6"/>
      <c r="H74" s="468"/>
      <c r="I74" s="468"/>
      <c r="J74" s="3"/>
      <c r="K74" s="468"/>
      <c r="L74" s="468" t="s">
        <v>40</v>
      </c>
      <c r="M74" s="468" t="s">
        <v>1625</v>
      </c>
      <c r="N74" s="468" t="s">
        <v>32</v>
      </c>
      <c r="O74" s="468"/>
      <c r="P74" s="468"/>
      <c r="Q74" s="4"/>
      <c r="R74" s="6"/>
      <c r="S74" s="6"/>
      <c r="T74" s="4">
        <v>-30</v>
      </c>
      <c r="U74" s="4"/>
      <c r="V74" s="4"/>
      <c r="W74" s="9">
        <v>1.4</v>
      </c>
      <c r="X74" s="9"/>
      <c r="Y74" s="9"/>
      <c r="Z74" s="9"/>
      <c r="AA74" s="9"/>
      <c r="AB74" s="9"/>
      <c r="AC74" s="468" t="str">
        <f t="shared" si="4"/>
        <v>PH</v>
      </c>
      <c r="AD74" s="468"/>
      <c r="AE74" s="468"/>
      <c r="AF74" s="4"/>
      <c r="AG74" s="88"/>
      <c r="AH74" s="4"/>
      <c r="AI74" s="4"/>
      <c r="AJ74" s="468"/>
      <c r="AK74" s="468"/>
      <c r="AL74" s="468"/>
      <c r="AM74" s="468" t="s">
        <v>486</v>
      </c>
      <c r="AN74" s="10">
        <v>5.5</v>
      </c>
      <c r="AO74" s="9"/>
      <c r="AP74" s="9"/>
      <c r="AQ74" s="9"/>
      <c r="AR74" s="9"/>
      <c r="AS74" s="9"/>
      <c r="AT74" s="9">
        <f>+ab($T$74,$T$72,$T$76,$G$73,$G$75, 1*$F$74,1200)</f>
        <v>-8.9462125747312502</v>
      </c>
      <c r="AU74" s="447"/>
      <c r="AV74" s="447"/>
      <c r="AW74" s="468" t="s">
        <v>2560</v>
      </c>
      <c r="AX74" s="468" t="s">
        <v>199</v>
      </c>
      <c r="AY74" s="10" t="str">
        <f>IF(L74="","",
IF(AX74="PT",VLOOKUP(L74,Foundation_Calc!$K$79:$R$112,VLOOKUP(AW74,Foundation_Calc!$I$2:$J$8,2,FALSE),0),
IF(AX74="K",VLOOKUP(L74,Foundation_Calc!$K$116:$R$149,VLOOKUP(AW74,Foundation_Calc!$I$2:$J$8,2,FALSE),0),"")))</f>
        <v/>
      </c>
      <c r="AZ74" s="10" t="str">
        <f>IF(K74="","",
IF(AX74="PT",VLOOKUP(K74,Foundation_Calc!$K$79:$R$112,VLOOKUP(AW74,Foundation_Calc!$I$2:$J$8,2,FALSE),0),
IF(AX74="K",VLOOKUP(K74,Foundation_Calc!$K$116:$R$149,VLOOKUP(AW74,Foundation_Calc!$I$2:$J$8,2,FALSE),0),"")))</f>
        <v/>
      </c>
      <c r="BA74" s="553" t="str">
        <f t="shared" si="5"/>
        <v/>
      </c>
      <c r="BB74" s="553" t="str">
        <f t="shared" si="5"/>
        <v/>
      </c>
      <c r="BC74" s="553" t="str">
        <f t="shared" si="6"/>
        <v>ü</v>
      </c>
      <c r="BD74" s="572" t="str">
        <f>IF(AND(L74="",H74=""),"",
IF(H74="",Pole_Calc!A$9,
IF(H74="MP",Pole_Calc!A$10,
IF(H74="AnMP",Pole_Calc!A$11,
IF(H74="A",Pole_Calc!A$12,
IF(H74="S/A",Pole_Calc!A$13,
IF(H74="A/S",Pole_Calc!A$14,"Poner a mano")))))))</f>
        <v>App.7-V11H-P9.5.1.1</v>
      </c>
      <c r="BE74" s="448" t="s">
        <v>1726</v>
      </c>
      <c r="BF74" s="306"/>
      <c r="BG74" s="306"/>
      <c r="BH74" s="306"/>
      <c r="BI74" s="306"/>
    </row>
    <row r="75" spans="1:61" ht="16.2" customHeight="1">
      <c r="A75" s="574" t="s">
        <v>1497</v>
      </c>
      <c r="B75" s="469"/>
      <c r="C75" s="3"/>
      <c r="D75" s="88"/>
      <c r="E75" s="4"/>
      <c r="F75" s="4"/>
      <c r="G75" s="6">
        <v>45.1</v>
      </c>
      <c r="H75" s="468"/>
      <c r="I75" s="468"/>
      <c r="J75" s="3"/>
      <c r="K75" s="468"/>
      <c r="L75" s="468"/>
      <c r="M75" s="468" t="s">
        <v>195</v>
      </c>
      <c r="N75" s="468"/>
      <c r="O75" s="468"/>
      <c r="P75" s="468"/>
      <c r="Q75" s="4"/>
      <c r="R75" s="6"/>
      <c r="S75" s="6"/>
      <c r="T75" s="4"/>
      <c r="U75" s="4"/>
      <c r="V75" s="4"/>
      <c r="W75" s="9"/>
      <c r="X75" s="9"/>
      <c r="Y75" s="9"/>
      <c r="Z75" s="9"/>
      <c r="AA75" s="9"/>
      <c r="AB75" s="9"/>
      <c r="AC75" s="468" t="str">
        <f t="shared" si="4"/>
        <v/>
      </c>
      <c r="AD75" s="468"/>
      <c r="AE75" s="468"/>
      <c r="AF75" s="4"/>
      <c r="AG75" s="88"/>
      <c r="AH75" s="4"/>
      <c r="AI75" s="4"/>
      <c r="AJ75" s="468"/>
      <c r="AK75" s="468"/>
      <c r="AL75" s="468"/>
      <c r="AM75" s="468"/>
      <c r="AN75" s="10"/>
      <c r="AO75" s="9"/>
      <c r="AP75" s="9"/>
      <c r="AQ75" s="9">
        <f>+FL_2($T$76,$T$74,$G$75,1200,9.28, 1*$F$76)</f>
        <v>-0.36949130117873874</v>
      </c>
      <c r="AR75" s="9"/>
      <c r="AS75" s="9"/>
      <c r="AT75" s="9"/>
      <c r="AU75" s="447"/>
      <c r="AV75" s="447"/>
      <c r="AW75" s="468"/>
      <c r="AX75" s="468"/>
      <c r="AY75" s="10" t="str">
        <f>IF(L75="","",
IF(AX75="PT",VLOOKUP(L75,Foundation_Calc!$K$79:$R$112,VLOOKUP(AW75,Foundation_Calc!$I$2:$J$8,2,FALSE),0),
IF(AX75="K",VLOOKUP(L75,Foundation_Calc!$K$116:$R$149,VLOOKUP(AW75,Foundation_Calc!$I$2:$J$8,2,FALSE),0),"")))</f>
        <v/>
      </c>
      <c r="AZ75" s="10" t="str">
        <f>IF(K75="","",
IF(AX75="PT",VLOOKUP(K75,Foundation_Calc!$K$79:$R$112,VLOOKUP(AW75,Foundation_Calc!$I$2:$J$8,2,FALSE),0),
IF(AX75="K",VLOOKUP(K75,Foundation_Calc!$K$116:$R$149,VLOOKUP(AW75,Foundation_Calc!$I$2:$J$8,2,FALSE),0),"")))</f>
        <v/>
      </c>
      <c r="BA75" s="553" t="str">
        <f t="shared" si="5"/>
        <v/>
      </c>
      <c r="BB75" s="553" t="str">
        <f t="shared" si="5"/>
        <v/>
      </c>
      <c r="BC75" s="553" t="str">
        <f t="shared" si="6"/>
        <v/>
      </c>
      <c r="BD75" s="572" t="str">
        <f>IF(AND(L75="",H75=""),"",
IF(H75="",Pole_Calc!A$9,
IF(H75="MP",Pole_Calc!A$10,
IF(H75="AnMP",Pole_Calc!A$11,
IF(H75="A",Pole_Calc!A$12,
IF(H75="S/A",Pole_Calc!A$13,
IF(H75="A/S",Pole_Calc!A$14,"Poner a mano")))))))</f>
        <v/>
      </c>
      <c r="BE75" s="448" t="s">
        <v>1726</v>
      </c>
      <c r="BF75" s="305"/>
      <c r="BG75" s="305"/>
      <c r="BH75" s="306"/>
      <c r="BI75" s="305"/>
    </row>
    <row r="76" spans="1:61" ht="16.2" customHeight="1">
      <c r="A76" s="574" t="s">
        <v>1497</v>
      </c>
      <c r="B76" s="469" t="s">
        <v>1893</v>
      </c>
      <c r="C76" s="3">
        <f>+$C$74+$G$75</f>
        <v>1423.35</v>
      </c>
      <c r="D76" s="88"/>
      <c r="E76" s="4"/>
      <c r="F76" s="4">
        <v>-2000</v>
      </c>
      <c r="G76" s="6"/>
      <c r="H76" s="468"/>
      <c r="I76" s="468"/>
      <c r="J76" s="3"/>
      <c r="K76" s="468"/>
      <c r="L76" s="468" t="s">
        <v>448</v>
      </c>
      <c r="M76" s="468" t="s">
        <v>1625</v>
      </c>
      <c r="N76" s="468" t="s">
        <v>32</v>
      </c>
      <c r="O76" s="468"/>
      <c r="P76" s="468"/>
      <c r="Q76" s="4"/>
      <c r="R76" s="6"/>
      <c r="S76" s="6"/>
      <c r="T76" s="4">
        <v>-30</v>
      </c>
      <c r="U76" s="4"/>
      <c r="V76" s="4"/>
      <c r="W76" s="9">
        <v>1.4</v>
      </c>
      <c r="X76" s="9"/>
      <c r="Y76" s="9"/>
      <c r="Z76" s="9"/>
      <c r="AA76" s="9"/>
      <c r="AB76" s="9"/>
      <c r="AC76" s="468" t="str">
        <f t="shared" si="4"/>
        <v>PH</v>
      </c>
      <c r="AD76" s="468"/>
      <c r="AE76" s="468"/>
      <c r="AF76" s="4"/>
      <c r="AG76" s="88"/>
      <c r="AH76" s="4"/>
      <c r="AI76" s="4"/>
      <c r="AJ76" s="468"/>
      <c r="AK76" s="468"/>
      <c r="AL76" s="468"/>
      <c r="AM76" s="468" t="s">
        <v>486</v>
      </c>
      <c r="AN76" s="10">
        <v>5.5</v>
      </c>
      <c r="AO76" s="9"/>
      <c r="AP76" s="9"/>
      <c r="AQ76" s="9"/>
      <c r="AR76" s="9"/>
      <c r="AS76" s="9"/>
      <c r="AT76" s="9">
        <f>+ab($T$76,$T$74,$T$78,$G$75,$G$77, 1*$F$76,1200)</f>
        <v>-8.5317914752346393</v>
      </c>
      <c r="AU76" s="447"/>
      <c r="AV76" s="447"/>
      <c r="AW76" s="468" t="s">
        <v>2559</v>
      </c>
      <c r="AX76" s="468" t="s">
        <v>199</v>
      </c>
      <c r="AY76" s="10" t="str">
        <f>IF(L76="","",
IF(AX76="PT",VLOOKUP(L76,Foundation_Calc!$K$79:$R$112,VLOOKUP(AW76,Foundation_Calc!$I$2:$J$8,2,FALSE),0),
IF(AX76="K",VLOOKUP(L76,Foundation_Calc!$K$116:$R$149,VLOOKUP(AW76,Foundation_Calc!$I$2:$J$8,2,FALSE),0),"")))</f>
        <v/>
      </c>
      <c r="AZ76" s="10" t="str">
        <f>IF(K76="","",
IF(AX76="PT",VLOOKUP(K76,Foundation_Calc!$K$79:$R$112,VLOOKUP(AW76,Foundation_Calc!$I$2:$J$8,2,FALSE),0),
IF(AX76="K",VLOOKUP(K76,Foundation_Calc!$K$116:$R$149,VLOOKUP(AW76,Foundation_Calc!$I$2:$J$8,2,FALSE),0),"")))</f>
        <v/>
      </c>
      <c r="BA76" s="553" t="str">
        <f t="shared" si="5"/>
        <v/>
      </c>
      <c r="BB76" s="553" t="str">
        <f t="shared" si="5"/>
        <v/>
      </c>
      <c r="BC76" s="553" t="str">
        <f t="shared" si="6"/>
        <v>ü</v>
      </c>
      <c r="BD76" s="572" t="str">
        <f>IF(AND(L76="",H76=""),"",
IF(H76="",Pole_Calc!A$9,
IF(H76="MP",Pole_Calc!A$10,
IF(H76="AnMP",Pole_Calc!A$11,
IF(H76="A",Pole_Calc!A$12,
IF(H76="S/A",Pole_Calc!A$13,
IF(H76="A/S",Pole_Calc!A$14,"Poner a mano")))))))</f>
        <v>App.7-V11H-P9.5.1.1</v>
      </c>
      <c r="BE76" s="448" t="s">
        <v>1726</v>
      </c>
      <c r="BF76" s="306"/>
      <c r="BG76" s="306"/>
      <c r="BH76" s="306"/>
      <c r="BI76" s="306"/>
    </row>
    <row r="77" spans="1:61" ht="16.2" customHeight="1">
      <c r="A77" s="574" t="s">
        <v>1497</v>
      </c>
      <c r="B77" s="469"/>
      <c r="C77" s="3"/>
      <c r="D77" s="88"/>
      <c r="E77" s="4"/>
      <c r="F77" s="4"/>
      <c r="G77" s="6">
        <v>44.2</v>
      </c>
      <c r="H77" s="468"/>
      <c r="I77" s="468"/>
      <c r="J77" s="3"/>
      <c r="K77" s="468"/>
      <c r="L77" s="468"/>
      <c r="M77" s="468" t="s">
        <v>195</v>
      </c>
      <c r="N77" s="468"/>
      <c r="O77" s="468"/>
      <c r="P77" s="468"/>
      <c r="Q77" s="4"/>
      <c r="R77" s="6"/>
      <c r="S77" s="6"/>
      <c r="T77" s="4"/>
      <c r="U77" s="4"/>
      <c r="V77" s="4"/>
      <c r="W77" s="9"/>
      <c r="X77" s="9"/>
      <c r="Y77" s="9"/>
      <c r="Z77" s="9"/>
      <c r="AA77" s="9"/>
      <c r="AB77" s="9"/>
      <c r="AC77" s="468" t="str">
        <f t="shared" ref="AC77:AC137" si="7">IF(OR(AT77&gt;8,AT77&lt;-8),"PH",
IF(OR(AT77&gt;5,AT77&lt;-5),"PHQ",
IF(OR(AT77&gt;1,AT77&lt;-1),
"PHC","")))</f>
        <v/>
      </c>
      <c r="AD77" s="468"/>
      <c r="AE77" s="468"/>
      <c r="AF77" s="4"/>
      <c r="AG77" s="88"/>
      <c r="AH77" s="4"/>
      <c r="AI77" s="4"/>
      <c r="AJ77" s="468"/>
      <c r="AK77" s="468"/>
      <c r="AL77" s="468"/>
      <c r="AM77" s="468"/>
      <c r="AN77" s="10"/>
      <c r="AO77" s="9"/>
      <c r="AP77" s="9"/>
      <c r="AQ77" s="9">
        <f>+FL_2($T$78,$T$76,$G$77,1200,9.28, 1*$F$78)</f>
        <v>-0.36674563918382119</v>
      </c>
      <c r="AR77" s="9"/>
      <c r="AS77" s="9"/>
      <c r="AT77" s="9"/>
      <c r="AU77" s="447"/>
      <c r="AV77" s="447"/>
      <c r="AW77" s="468"/>
      <c r="AX77" s="468"/>
      <c r="AY77" s="10" t="str">
        <f>IF(L77="","",
IF(AX77="PT",VLOOKUP(L77,Foundation_Calc!$K$79:$R$112,VLOOKUP(AW77,Foundation_Calc!$I$2:$J$8,2,FALSE),0),
IF(AX77="K",VLOOKUP(L77,Foundation_Calc!$K$116:$R$149,VLOOKUP(AW77,Foundation_Calc!$I$2:$J$8,2,FALSE),0),"")))</f>
        <v/>
      </c>
      <c r="AZ77" s="10" t="str">
        <f>IF(K77="","",
IF(AX77="PT",VLOOKUP(K77,Foundation_Calc!$K$79:$R$112,VLOOKUP(AW77,Foundation_Calc!$I$2:$J$8,2,FALSE),0),
IF(AX77="K",VLOOKUP(K77,Foundation_Calc!$K$116:$R$149,VLOOKUP(AW77,Foundation_Calc!$I$2:$J$8,2,FALSE),0),"")))</f>
        <v/>
      </c>
      <c r="BA77" s="553" t="str">
        <f t="shared" si="5"/>
        <v/>
      </c>
      <c r="BB77" s="553" t="str">
        <f t="shared" si="5"/>
        <v/>
      </c>
      <c r="BC77" s="553" t="str">
        <f t="shared" si="6"/>
        <v/>
      </c>
      <c r="BD77" s="572" t="str">
        <f>IF(AND(L77="",H77=""),"",
IF(H77="",Pole_Calc!A$9,
IF(H77="MP",Pole_Calc!A$10,
IF(H77="AnMP",Pole_Calc!A$11,
IF(H77="A",Pole_Calc!A$12,
IF(H77="S/A",Pole_Calc!A$13,
IF(H77="A/S",Pole_Calc!A$14,"Poner a mano")))))))</f>
        <v/>
      </c>
      <c r="BE77" s="448" t="s">
        <v>1726</v>
      </c>
      <c r="BF77" s="305"/>
      <c r="BG77" s="305"/>
      <c r="BH77" s="306"/>
      <c r="BI77" s="305"/>
    </row>
    <row r="78" spans="1:61" ht="16.2" customHeight="1">
      <c r="A78" s="574" t="s">
        <v>1497</v>
      </c>
      <c r="B78" s="469" t="s">
        <v>1894</v>
      </c>
      <c r="C78" s="3">
        <f>+$C$76+$G$77</f>
        <v>1467.55</v>
      </c>
      <c r="D78" s="88"/>
      <c r="E78" s="4"/>
      <c r="F78" s="4">
        <v>-2000</v>
      </c>
      <c r="G78" s="6"/>
      <c r="H78" s="468"/>
      <c r="I78" s="468"/>
      <c r="J78" s="3"/>
      <c r="K78" s="468"/>
      <c r="L78" s="468" t="s">
        <v>449</v>
      </c>
      <c r="M78" s="468" t="s">
        <v>1625</v>
      </c>
      <c r="N78" s="468" t="s">
        <v>32</v>
      </c>
      <c r="O78" s="468"/>
      <c r="P78" s="468"/>
      <c r="Q78" s="4"/>
      <c r="R78" s="6"/>
      <c r="S78" s="6"/>
      <c r="T78" s="4">
        <v>-30</v>
      </c>
      <c r="U78" s="4"/>
      <c r="V78" s="4"/>
      <c r="W78" s="9">
        <v>1.4</v>
      </c>
      <c r="X78" s="9"/>
      <c r="Y78" s="9"/>
      <c r="Z78" s="9"/>
      <c r="AA78" s="9"/>
      <c r="AB78" s="9"/>
      <c r="AC78" s="468" t="str">
        <f t="shared" si="7"/>
        <v>PH</v>
      </c>
      <c r="AD78" s="468"/>
      <c r="AE78" s="468"/>
      <c r="AF78" s="4"/>
      <c r="AG78" s="88"/>
      <c r="AH78" s="4"/>
      <c r="AI78" s="4"/>
      <c r="AJ78" s="468"/>
      <c r="AK78" s="468"/>
      <c r="AL78" s="468"/>
      <c r="AM78" s="468" t="s">
        <v>486</v>
      </c>
      <c r="AN78" s="10">
        <v>5.5</v>
      </c>
      <c r="AO78" s="9"/>
      <c r="AP78" s="9"/>
      <c r="AQ78" s="9"/>
      <c r="AR78" s="9"/>
      <c r="AS78" s="9"/>
      <c r="AT78" s="9">
        <f>+ab($T$78,$T$76,$T$80,$G$77,$G$79, 1*$F$78,1200)</f>
        <v>-8.4571378251249758</v>
      </c>
      <c r="AU78" s="447"/>
      <c r="AV78" s="447"/>
      <c r="AW78" s="468" t="s">
        <v>2558</v>
      </c>
      <c r="AX78" s="468" t="s">
        <v>199</v>
      </c>
      <c r="AY78" s="10" t="str">
        <f>IF(L78="","",
IF(AX78="PT",VLOOKUP(L78,Foundation_Calc!$K$79:$R$112,VLOOKUP(AW78,Foundation_Calc!$I$2:$J$8,2,FALSE),0),
IF(AX78="K",VLOOKUP(L78,Foundation_Calc!$K$116:$R$149,VLOOKUP(AW78,Foundation_Calc!$I$2:$J$8,2,FALSE),0),"")))</f>
        <v/>
      </c>
      <c r="AZ78" s="10" t="str">
        <f>IF(K78="","",
IF(AX78="PT",VLOOKUP(K78,Foundation_Calc!$K$79:$R$112,VLOOKUP(AW78,Foundation_Calc!$I$2:$J$8,2,FALSE),0),
IF(AX78="K",VLOOKUP(K78,Foundation_Calc!$K$116:$R$149,VLOOKUP(AW78,Foundation_Calc!$I$2:$J$8,2,FALSE),0),"")))</f>
        <v/>
      </c>
      <c r="BA78" s="553" t="str">
        <f t="shared" si="5"/>
        <v/>
      </c>
      <c r="BB78" s="553" t="str">
        <f t="shared" si="5"/>
        <v/>
      </c>
      <c r="BC78" s="553" t="str">
        <f t="shared" si="6"/>
        <v>ü</v>
      </c>
      <c r="BD78" s="572" t="str">
        <f>IF(AND(L78="",H78=""),"",
IF(H78="",Pole_Calc!A$9,
IF(H78="MP",Pole_Calc!A$10,
IF(H78="AnMP",Pole_Calc!A$11,
IF(H78="A",Pole_Calc!A$12,
IF(H78="S/A",Pole_Calc!A$13,
IF(H78="A/S",Pole_Calc!A$14,"Poner a mano")))))))</f>
        <v>App.7-V11H-P9.5.1.1</v>
      </c>
      <c r="BE78" s="448" t="s">
        <v>1726</v>
      </c>
      <c r="BF78" s="306"/>
      <c r="BG78" s="306"/>
      <c r="BH78" s="306"/>
      <c r="BI78" s="306"/>
    </row>
    <row r="79" spans="1:61" ht="16.2" customHeight="1">
      <c r="A79" s="574" t="s">
        <v>1497</v>
      </c>
      <c r="B79" s="469"/>
      <c r="C79" s="3"/>
      <c r="D79" s="88"/>
      <c r="E79" s="4"/>
      <c r="F79" s="4"/>
      <c r="G79" s="6">
        <v>45.9</v>
      </c>
      <c r="H79" s="468"/>
      <c r="I79" s="468"/>
      <c r="J79" s="3"/>
      <c r="K79" s="468"/>
      <c r="L79" s="468"/>
      <c r="M79" s="468" t="s">
        <v>195</v>
      </c>
      <c r="N79" s="468"/>
      <c r="O79" s="468"/>
      <c r="P79" s="468"/>
      <c r="Q79" s="4"/>
      <c r="R79" s="6"/>
      <c r="S79" s="6"/>
      <c r="T79" s="4"/>
      <c r="U79" s="4"/>
      <c r="V79" s="4"/>
      <c r="W79" s="9"/>
      <c r="X79" s="9"/>
      <c r="Y79" s="9"/>
      <c r="Z79" s="9"/>
      <c r="AA79" s="9"/>
      <c r="AB79" s="9"/>
      <c r="AC79" s="468" t="str">
        <f t="shared" si="7"/>
        <v/>
      </c>
      <c r="AD79" s="468"/>
      <c r="AE79" s="468"/>
      <c r="AF79" s="4"/>
      <c r="AG79" s="88"/>
      <c r="AH79" s="4"/>
      <c r="AI79" s="4"/>
      <c r="AJ79" s="468"/>
      <c r="AK79" s="468"/>
      <c r="AL79" s="468"/>
      <c r="AM79" s="468"/>
      <c r="AN79" s="10"/>
      <c r="AO79" s="9"/>
      <c r="AP79" s="9"/>
      <c r="AQ79" s="9">
        <f>+FL_2($T$80,$T$78,$G$79,1200,9.28, 1*$F$80)</f>
        <v>-0.37197834009693265</v>
      </c>
      <c r="AR79" s="9"/>
      <c r="AS79" s="9"/>
      <c r="AT79" s="9"/>
      <c r="AU79" s="447"/>
      <c r="AV79" s="447"/>
      <c r="AW79" s="468"/>
      <c r="AX79" s="468"/>
      <c r="AY79" s="10" t="str">
        <f>IF(L79="","",
IF(AX79="PT",VLOOKUP(L79,Foundation_Calc!$K$79:$R$112,VLOOKUP(AW79,Foundation_Calc!$I$2:$J$8,2,FALSE),0),
IF(AX79="K",VLOOKUP(L79,Foundation_Calc!$K$116:$R$149,VLOOKUP(AW79,Foundation_Calc!$I$2:$J$8,2,FALSE),0),"")))</f>
        <v/>
      </c>
      <c r="AZ79" s="10" t="str">
        <f>IF(K79="","",
IF(AX79="PT",VLOOKUP(K79,Foundation_Calc!$K$79:$R$112,VLOOKUP(AW79,Foundation_Calc!$I$2:$J$8,2,FALSE),0),
IF(AX79="K",VLOOKUP(K79,Foundation_Calc!$K$116:$R$149,VLOOKUP(AW79,Foundation_Calc!$I$2:$J$8,2,FALSE),0),"")))</f>
        <v/>
      </c>
      <c r="BA79" s="553" t="str">
        <f t="shared" si="5"/>
        <v/>
      </c>
      <c r="BB79" s="553" t="str">
        <f t="shared" si="5"/>
        <v/>
      </c>
      <c r="BC79" s="553" t="str">
        <f t="shared" si="6"/>
        <v/>
      </c>
      <c r="BD79" s="572" t="str">
        <f>IF(AND(L79="",H79=""),"",
IF(H79="",Pole_Calc!A$9,
IF(H79="MP",Pole_Calc!A$10,
IF(H79="AnMP",Pole_Calc!A$11,
IF(H79="A",Pole_Calc!A$12,
IF(H79="S/A",Pole_Calc!A$13,
IF(H79="A/S",Pole_Calc!A$14,"Poner a mano")))))))</f>
        <v/>
      </c>
      <c r="BE79" s="448" t="s">
        <v>1726</v>
      </c>
      <c r="BF79" s="305"/>
      <c r="BG79" s="305"/>
      <c r="BH79" s="306"/>
      <c r="BI79" s="305"/>
    </row>
    <row r="80" spans="1:61" ht="16.2" customHeight="1">
      <c r="A80" s="574" t="s">
        <v>1497</v>
      </c>
      <c r="B80" s="469" t="s">
        <v>1895</v>
      </c>
      <c r="C80" s="3">
        <f>+$C$78+$G$79</f>
        <v>1513.45</v>
      </c>
      <c r="D80" s="88"/>
      <c r="E80" s="4"/>
      <c r="F80" s="4">
        <v>-2000</v>
      </c>
      <c r="G80" s="6"/>
      <c r="H80" s="468"/>
      <c r="I80" s="468"/>
      <c r="J80" s="3"/>
      <c r="K80" s="468"/>
      <c r="L80" s="468" t="s">
        <v>38</v>
      </c>
      <c r="M80" s="468" t="s">
        <v>1625</v>
      </c>
      <c r="N80" s="468" t="s">
        <v>32</v>
      </c>
      <c r="O80" s="468"/>
      <c r="P80" s="468"/>
      <c r="Q80" s="4"/>
      <c r="R80" s="6"/>
      <c r="S80" s="6"/>
      <c r="T80" s="4">
        <v>-30</v>
      </c>
      <c r="U80" s="4"/>
      <c r="V80" s="4"/>
      <c r="W80" s="9">
        <v>1.4</v>
      </c>
      <c r="X80" s="9"/>
      <c r="Y80" s="9"/>
      <c r="Z80" s="9"/>
      <c r="AA80" s="9"/>
      <c r="AB80" s="9"/>
      <c r="AC80" s="468" t="str">
        <f t="shared" si="7"/>
        <v>PH</v>
      </c>
      <c r="AD80" s="468"/>
      <c r="AE80" s="468"/>
      <c r="AF80" s="4"/>
      <c r="AG80" s="88"/>
      <c r="AH80" s="4"/>
      <c r="AI80" s="4"/>
      <c r="AJ80" s="468"/>
      <c r="AK80" s="468"/>
      <c r="AL80" s="468"/>
      <c r="AM80" s="468" t="s">
        <v>486</v>
      </c>
      <c r="AN80" s="10">
        <v>5.5</v>
      </c>
      <c r="AO80" s="9"/>
      <c r="AP80" s="9"/>
      <c r="AQ80" s="9"/>
      <c r="AR80" s="9"/>
      <c r="AS80" s="9"/>
      <c r="AT80" s="9">
        <f>+ab($T$80,$T$78,$T$82,$G$79,$G$81, 1*$F$80,1200)</f>
        <v>-8.3928718143535761</v>
      </c>
      <c r="AU80" s="447"/>
      <c r="AV80" s="447"/>
      <c r="AW80" s="468" t="s">
        <v>2557</v>
      </c>
      <c r="AX80" s="468" t="s">
        <v>199</v>
      </c>
      <c r="AY80" s="10" t="str">
        <f>IF(L80="","",
IF(AX80="PT",VLOOKUP(L80,Foundation_Calc!$K$79:$R$112,VLOOKUP(AW80,Foundation_Calc!$I$2:$J$8,2,FALSE),0),
IF(AX80="K",VLOOKUP(L80,Foundation_Calc!$K$116:$R$149,VLOOKUP(AW80,Foundation_Calc!$I$2:$J$8,2,FALSE),0),"")))</f>
        <v/>
      </c>
      <c r="AZ80" s="10" t="str">
        <f>IF(K80="","",
IF(AX80="PT",VLOOKUP(K80,Foundation_Calc!$K$79:$R$112,VLOOKUP(AW80,Foundation_Calc!$I$2:$J$8,2,FALSE),0),
IF(AX80="K",VLOOKUP(K80,Foundation_Calc!$K$116:$R$149,VLOOKUP(AW80,Foundation_Calc!$I$2:$J$8,2,FALSE),0),"")))</f>
        <v/>
      </c>
      <c r="BA80" s="553" t="str">
        <f t="shared" si="5"/>
        <v/>
      </c>
      <c r="BB80" s="553" t="str">
        <f t="shared" si="5"/>
        <v/>
      </c>
      <c r="BC80" s="553" t="str">
        <f t="shared" si="6"/>
        <v>ü</v>
      </c>
      <c r="BD80" s="572" t="str">
        <f>IF(AND(L80="",H80=""),"",
IF(H80="",Pole_Calc!A$9,
IF(H80="MP",Pole_Calc!A$10,
IF(H80="AnMP",Pole_Calc!A$11,
IF(H80="A",Pole_Calc!A$12,
IF(H80="S/A",Pole_Calc!A$13,
IF(H80="A/S",Pole_Calc!A$14,"Poner a mano")))))))</f>
        <v>App.7-V11H-P9.5.1.1</v>
      </c>
      <c r="BE80" s="448" t="s">
        <v>1726</v>
      </c>
      <c r="BF80" s="306"/>
      <c r="BG80" s="306"/>
      <c r="BH80" s="306"/>
      <c r="BI80" s="306"/>
    </row>
    <row r="81" spans="1:61" ht="16.2" customHeight="1">
      <c r="A81" s="574" t="s">
        <v>1497</v>
      </c>
      <c r="B81" s="469"/>
      <c r="C81" s="3"/>
      <c r="D81" s="88"/>
      <c r="E81" s="4"/>
      <c r="F81" s="4"/>
      <c r="G81" s="6">
        <v>44.9</v>
      </c>
      <c r="H81" s="468"/>
      <c r="I81" s="468"/>
      <c r="J81" s="3"/>
      <c r="K81" s="468"/>
      <c r="L81" s="468"/>
      <c r="M81" s="468" t="s">
        <v>195</v>
      </c>
      <c r="N81" s="468"/>
      <c r="O81" s="468"/>
      <c r="P81" s="468"/>
      <c r="Q81" s="4"/>
      <c r="R81" s="6"/>
      <c r="S81" s="6"/>
      <c r="T81" s="4"/>
      <c r="U81" s="4"/>
      <c r="V81" s="4"/>
      <c r="W81" s="9"/>
      <c r="X81" s="9"/>
      <c r="Y81" s="9"/>
      <c r="Z81" s="9"/>
      <c r="AA81" s="9"/>
      <c r="AB81" s="9"/>
      <c r="AC81" s="468" t="str">
        <f t="shared" si="7"/>
        <v/>
      </c>
      <c r="AD81" s="468"/>
      <c r="AE81" s="468"/>
      <c r="AF81" s="4"/>
      <c r="AG81" s="88"/>
      <c r="AH81" s="4"/>
      <c r="AI81" s="4"/>
      <c r="AJ81" s="468"/>
      <c r="AK81" s="468"/>
      <c r="AL81" s="468"/>
      <c r="AM81" s="468"/>
      <c r="AN81" s="10"/>
      <c r="AO81" s="9"/>
      <c r="AP81" s="9"/>
      <c r="AQ81" s="9">
        <f>+FL_2($T$82,$T$80,$G$81,1200,9.28, 1*$F$82)</f>
        <v>-0.36887637237716903</v>
      </c>
      <c r="AR81" s="9"/>
      <c r="AS81" s="9"/>
      <c r="AT81" s="9"/>
      <c r="AU81" s="447"/>
      <c r="AV81" s="447"/>
      <c r="AW81" s="468"/>
      <c r="AX81" s="468"/>
      <c r="AY81" s="10" t="str">
        <f>IF(L81="","",
IF(AX81="PT",VLOOKUP(L81,Foundation_Calc!$K$79:$R$112,VLOOKUP(AW81,Foundation_Calc!$I$2:$J$8,2,FALSE),0),
IF(AX81="K",VLOOKUP(L81,Foundation_Calc!$K$116:$R$149,VLOOKUP(AW81,Foundation_Calc!$I$2:$J$8,2,FALSE),0),"")))</f>
        <v/>
      </c>
      <c r="AZ81" s="10" t="str">
        <f>IF(K81="","",
IF(AX81="PT",VLOOKUP(K81,Foundation_Calc!$K$79:$R$112,VLOOKUP(AW81,Foundation_Calc!$I$2:$J$8,2,FALSE),0),
IF(AX81="K",VLOOKUP(K81,Foundation_Calc!$K$116:$R$149,VLOOKUP(AW81,Foundation_Calc!$I$2:$J$8,2,FALSE),0),"")))</f>
        <v/>
      </c>
      <c r="BA81" s="553" t="str">
        <f t="shared" si="5"/>
        <v/>
      </c>
      <c r="BB81" s="553" t="str">
        <f t="shared" si="5"/>
        <v/>
      </c>
      <c r="BC81" s="553" t="str">
        <f t="shared" si="6"/>
        <v/>
      </c>
      <c r="BD81" s="572" t="str">
        <f>IF(AND(L81="",H81=""),"",
IF(H81="",Pole_Calc!A$9,
IF(H81="MP",Pole_Calc!A$10,
IF(H81="AnMP",Pole_Calc!A$11,
IF(H81="A",Pole_Calc!A$12,
IF(H81="S/A",Pole_Calc!A$13,
IF(H81="A/S",Pole_Calc!A$14,"Poner a mano")))))))</f>
        <v/>
      </c>
      <c r="BE81" s="448" t="s">
        <v>1726</v>
      </c>
      <c r="BF81" s="305"/>
      <c r="BG81" s="305"/>
      <c r="BH81" s="306"/>
      <c r="BI81" s="305"/>
    </row>
    <row r="82" spans="1:61" ht="16.2" customHeight="1">
      <c r="A82" s="574" t="s">
        <v>1497</v>
      </c>
      <c r="B82" s="469" t="s">
        <v>1896</v>
      </c>
      <c r="C82" s="3">
        <f>+$C$80+$G$81</f>
        <v>1558.3500000000001</v>
      </c>
      <c r="D82" s="88"/>
      <c r="E82" s="4"/>
      <c r="F82" s="4">
        <v>-2000</v>
      </c>
      <c r="G82" s="6"/>
      <c r="H82" s="468"/>
      <c r="I82" s="468"/>
      <c r="J82" s="3"/>
      <c r="K82" s="468"/>
      <c r="L82" s="468" t="s">
        <v>38</v>
      </c>
      <c r="M82" s="468" t="s">
        <v>1625</v>
      </c>
      <c r="N82" s="468" t="s">
        <v>32</v>
      </c>
      <c r="O82" s="468"/>
      <c r="P82" s="468"/>
      <c r="Q82" s="4"/>
      <c r="R82" s="6"/>
      <c r="S82" s="6"/>
      <c r="T82" s="4">
        <v>-30</v>
      </c>
      <c r="U82" s="4"/>
      <c r="V82" s="4"/>
      <c r="W82" s="9">
        <v>1.4</v>
      </c>
      <c r="X82" s="9"/>
      <c r="Y82" s="9"/>
      <c r="Z82" s="9"/>
      <c r="AA82" s="9"/>
      <c r="AB82" s="9"/>
      <c r="AC82" s="468" t="str">
        <f t="shared" si="7"/>
        <v>PH</v>
      </c>
      <c r="AD82" s="468"/>
      <c r="AE82" s="468"/>
      <c r="AF82" s="4"/>
      <c r="AG82" s="88"/>
      <c r="AH82" s="4"/>
      <c r="AI82" s="4"/>
      <c r="AJ82" s="468"/>
      <c r="AK82" s="468"/>
      <c r="AL82" s="468"/>
      <c r="AM82" s="468" t="s">
        <v>486</v>
      </c>
      <c r="AN82" s="10">
        <v>5.5</v>
      </c>
      <c r="AO82" s="9"/>
      <c r="AP82" s="9"/>
      <c r="AQ82" s="9"/>
      <c r="AR82" s="9"/>
      <c r="AS82" s="9"/>
      <c r="AT82" s="9">
        <f>+ab($T$82,$T$80,$T$84,$G$81,$G$83, 1*$F$82,1200)</f>
        <v>-8.4571378251249758</v>
      </c>
      <c r="AU82" s="447"/>
      <c r="AV82" s="447"/>
      <c r="AW82" s="468" t="s">
        <v>2557</v>
      </c>
      <c r="AX82" s="468" t="s">
        <v>199</v>
      </c>
      <c r="AY82" s="10" t="str">
        <f>IF(L82="","",
IF(AX82="PT",VLOOKUP(L82,Foundation_Calc!$K$79:$R$112,VLOOKUP(AW82,Foundation_Calc!$I$2:$J$8,2,FALSE),0),
IF(AX82="K",VLOOKUP(L82,Foundation_Calc!$K$116:$R$149,VLOOKUP(AW82,Foundation_Calc!$I$2:$J$8,2,FALSE),0),"")))</f>
        <v/>
      </c>
      <c r="AZ82" s="10" t="str">
        <f>IF(K82="","",
IF(AX82="PT",VLOOKUP(K82,Foundation_Calc!$K$79:$R$112,VLOOKUP(AW82,Foundation_Calc!$I$2:$J$8,2,FALSE),0),
IF(AX82="K",VLOOKUP(K82,Foundation_Calc!$K$116:$R$149,VLOOKUP(AW82,Foundation_Calc!$I$2:$J$8,2,FALSE),0),"")))</f>
        <v/>
      </c>
      <c r="BA82" s="553" t="str">
        <f t="shared" si="5"/>
        <v/>
      </c>
      <c r="BB82" s="553" t="str">
        <f t="shared" si="5"/>
        <v/>
      </c>
      <c r="BC82" s="553" t="str">
        <f t="shared" si="6"/>
        <v>ü</v>
      </c>
      <c r="BD82" s="572" t="str">
        <f>IF(AND(L82="",H82=""),"",
IF(H82="",Pole_Calc!A$9,
IF(H82="MP",Pole_Calc!A$10,
IF(H82="AnMP",Pole_Calc!A$11,
IF(H82="A",Pole_Calc!A$12,
IF(H82="S/A",Pole_Calc!A$13,
IF(H82="A/S",Pole_Calc!A$14,"Poner a mano")))))))</f>
        <v>App.7-V11H-P9.5.1.1</v>
      </c>
      <c r="BE82" s="448" t="s">
        <v>1726</v>
      </c>
      <c r="BF82" s="306"/>
      <c r="BG82" s="306"/>
      <c r="BH82" s="306"/>
      <c r="BI82" s="306"/>
    </row>
    <row r="83" spans="1:61" ht="16.2" customHeight="1">
      <c r="A83" s="574" t="s">
        <v>1497</v>
      </c>
      <c r="B83" s="469"/>
      <c r="C83" s="3"/>
      <c r="D83" s="88"/>
      <c r="E83" s="4"/>
      <c r="F83" s="4"/>
      <c r="G83" s="6">
        <v>45.2</v>
      </c>
      <c r="H83" s="468"/>
      <c r="I83" s="468"/>
      <c r="J83" s="3"/>
      <c r="K83" s="468"/>
      <c r="L83" s="468"/>
      <c r="M83" s="468" t="s">
        <v>195</v>
      </c>
      <c r="N83" s="468"/>
      <c r="O83" s="468"/>
      <c r="P83" s="468"/>
      <c r="Q83" s="4"/>
      <c r="R83" s="6"/>
      <c r="S83" s="6"/>
      <c r="T83" s="4"/>
      <c r="U83" s="4"/>
      <c r="V83" s="4"/>
      <c r="W83" s="9"/>
      <c r="X83" s="9"/>
      <c r="Y83" s="9"/>
      <c r="Z83" s="9"/>
      <c r="AA83" s="9"/>
      <c r="AB83" s="9"/>
      <c r="AC83" s="468" t="str">
        <f t="shared" si="7"/>
        <v/>
      </c>
      <c r="AD83" s="468"/>
      <c r="AE83" s="468"/>
      <c r="AF83" s="4"/>
      <c r="AG83" s="88"/>
      <c r="AH83" s="4"/>
      <c r="AI83" s="4"/>
      <c r="AJ83" s="468"/>
      <c r="AK83" s="468"/>
      <c r="AL83" s="468"/>
      <c r="AM83" s="468"/>
      <c r="AN83" s="10"/>
      <c r="AO83" s="9"/>
      <c r="AP83" s="9"/>
      <c r="AQ83" s="9">
        <f>+FL_2($T$84,$T$82,$G$83,1200,9.28, 1*$F$84)</f>
        <v>-0.36979979022248061</v>
      </c>
      <c r="AR83" s="9"/>
      <c r="AS83" s="9"/>
      <c r="AT83" s="9"/>
      <c r="AU83" s="447"/>
      <c r="AV83" s="447"/>
      <c r="AW83" s="468"/>
      <c r="AX83" s="468"/>
      <c r="AY83" s="10" t="str">
        <f>IF(L83="","",
IF(AX83="PT",VLOOKUP(L83,Foundation_Calc!$K$79:$R$112,VLOOKUP(AW83,Foundation_Calc!$I$2:$J$8,2,FALSE),0),
IF(AX83="K",VLOOKUP(L83,Foundation_Calc!$K$116:$R$149,VLOOKUP(AW83,Foundation_Calc!$I$2:$J$8,2,FALSE),0),"")))</f>
        <v/>
      </c>
      <c r="AZ83" s="10" t="str">
        <f>IF(K83="","",
IF(AX83="PT",VLOOKUP(K83,Foundation_Calc!$K$79:$R$112,VLOOKUP(AW83,Foundation_Calc!$I$2:$J$8,2,FALSE),0),
IF(AX83="K",VLOOKUP(K83,Foundation_Calc!$K$116:$R$149,VLOOKUP(AW83,Foundation_Calc!$I$2:$J$8,2,FALSE),0),"")))</f>
        <v/>
      </c>
      <c r="BA83" s="553" t="str">
        <f t="shared" si="5"/>
        <v/>
      </c>
      <c r="BB83" s="553" t="str">
        <f t="shared" si="5"/>
        <v/>
      </c>
      <c r="BC83" s="553" t="str">
        <f t="shared" si="6"/>
        <v/>
      </c>
      <c r="BD83" s="572" t="str">
        <f>IF(AND(L83="",H83=""),"",
IF(H83="",Pole_Calc!A$9,
IF(H83="MP",Pole_Calc!A$10,
IF(H83="AnMP",Pole_Calc!A$11,
IF(H83="A",Pole_Calc!A$12,
IF(H83="S/A",Pole_Calc!A$13,
IF(H83="A/S",Pole_Calc!A$14,"Poner a mano")))))))</f>
        <v/>
      </c>
      <c r="BE83" s="448" t="s">
        <v>1726</v>
      </c>
      <c r="BF83" s="305"/>
      <c r="BG83" s="305"/>
      <c r="BH83" s="306"/>
      <c r="BI83" s="305"/>
    </row>
    <row r="84" spans="1:61" ht="16.2" customHeight="1">
      <c r="A84" s="573" t="s">
        <v>1497</v>
      </c>
      <c r="B84" s="469" t="s">
        <v>1897</v>
      </c>
      <c r="C84" s="3">
        <f>+$C$82+$G$83</f>
        <v>1603.5500000000002</v>
      </c>
      <c r="D84" s="88"/>
      <c r="E84" s="4"/>
      <c r="F84" s="4">
        <v>-2000</v>
      </c>
      <c r="G84" s="6"/>
      <c r="H84" s="468"/>
      <c r="I84" s="468"/>
      <c r="J84" s="3"/>
      <c r="K84" s="468"/>
      <c r="L84" s="468" t="s">
        <v>38</v>
      </c>
      <c r="M84" s="468" t="s">
        <v>1625</v>
      </c>
      <c r="N84" s="468" t="s">
        <v>32</v>
      </c>
      <c r="O84" s="468"/>
      <c r="P84" s="468"/>
      <c r="Q84" s="4"/>
      <c r="R84" s="6"/>
      <c r="S84" s="6"/>
      <c r="T84" s="4">
        <v>-30</v>
      </c>
      <c r="U84" s="4"/>
      <c r="V84" s="4"/>
      <c r="W84" s="9">
        <v>1.4</v>
      </c>
      <c r="X84" s="9"/>
      <c r="Y84" s="9"/>
      <c r="Z84" s="9"/>
      <c r="AA84" s="9"/>
      <c r="AB84" s="9"/>
      <c r="AC84" s="468" t="str">
        <f t="shared" si="7"/>
        <v>PHQ</v>
      </c>
      <c r="AD84" s="468"/>
      <c r="AE84" s="468"/>
      <c r="AF84" s="4"/>
      <c r="AG84" s="88"/>
      <c r="AH84" s="4"/>
      <c r="AI84" s="4"/>
      <c r="AJ84" s="468"/>
      <c r="AK84" s="468"/>
      <c r="AL84" s="468"/>
      <c r="AM84" s="468" t="s">
        <v>486</v>
      </c>
      <c r="AN84" s="10">
        <v>5.5</v>
      </c>
      <c r="AO84" s="9"/>
      <c r="AP84" s="9"/>
      <c r="AQ84" s="9"/>
      <c r="AR84" s="9"/>
      <c r="AS84" s="9"/>
      <c r="AT84" s="9">
        <f>+ab($T$84,$T$82,$T$86,$G$83,$G$85, 1*$F$84,1200)</f>
        <v>-7.7684458158736449</v>
      </c>
      <c r="AU84" s="447"/>
      <c r="AV84" s="447"/>
      <c r="AW84" s="468" t="s">
        <v>2557</v>
      </c>
      <c r="AX84" s="468" t="s">
        <v>199</v>
      </c>
      <c r="AY84" s="10" t="str">
        <f>IF(L84="","",
IF(AX84="PT",VLOOKUP(L84,Foundation_Calc!$K$79:$R$112,VLOOKUP(AW84,Foundation_Calc!$I$2:$J$8,2,FALSE),0),
IF(AX84="K",VLOOKUP(L84,Foundation_Calc!$K$116:$R$149,VLOOKUP(AW84,Foundation_Calc!$I$2:$J$8,2,FALSE),0),"")))</f>
        <v/>
      </c>
      <c r="AZ84" s="10" t="str">
        <f>IF(K84="","",
IF(AX84="PT",VLOOKUP(K84,Foundation_Calc!$K$79:$R$112,VLOOKUP(AW84,Foundation_Calc!$I$2:$J$8,2,FALSE),0),
IF(AX84="K",VLOOKUP(K84,Foundation_Calc!$K$116:$R$149,VLOOKUP(AW84,Foundation_Calc!$I$2:$J$8,2,FALSE),0),"")))</f>
        <v/>
      </c>
      <c r="BA84" s="553" t="str">
        <f t="shared" si="5"/>
        <v/>
      </c>
      <c r="BB84" s="553" t="str">
        <f t="shared" si="5"/>
        <v/>
      </c>
      <c r="BC84" s="553" t="str">
        <f t="shared" si="6"/>
        <v>ü</v>
      </c>
      <c r="BD84" s="572" t="str">
        <f>IF(AND(L84="",H84=""),"",
IF(H84="",Pole_Calc!A$9,
IF(H84="MP",Pole_Calc!A$10,
IF(H84="AnMP",Pole_Calc!A$11,
IF(H84="A",Pole_Calc!A$12,
IF(H84="S/A",Pole_Calc!A$13,
IF(H84="A/S",Pole_Calc!A$14,"Poner a mano")))))))</f>
        <v>App.7-V11H-P9.5.1.1</v>
      </c>
      <c r="BE84" s="448" t="s">
        <v>1726</v>
      </c>
      <c r="BF84" s="306"/>
      <c r="BG84" s="306"/>
      <c r="BH84" s="306"/>
      <c r="BI84" s="306"/>
    </row>
    <row r="85" spans="1:61" ht="16.2" customHeight="1">
      <c r="A85" s="573"/>
      <c r="B85" s="469"/>
      <c r="C85" s="3"/>
      <c r="D85" s="88"/>
      <c r="E85" s="4"/>
      <c r="F85" s="4"/>
      <c r="G85" s="6">
        <v>53</v>
      </c>
      <c r="H85" s="468"/>
      <c r="I85" s="468"/>
      <c r="J85" s="3">
        <f>C86-7.5</f>
        <v>1649.0500000000002</v>
      </c>
      <c r="K85" s="468" t="s">
        <v>1095</v>
      </c>
      <c r="L85" s="468"/>
      <c r="M85" s="468" t="str">
        <f>IF(L85="","",
IF(AX85="PT",VLOOKUP(L85,Foundation_Calc!$V$79:$X$112,VLOOKUP(AX85,Foundation_Calc!$I$10:$J$13,2,FALSE),0),
IF(AX85="K",VLOOKUP(L85,Foundation_Calc!$V$116:$X$149,VLOOKUP(AX85,Foundation_Calc!$I$10:$J$13,2,FALSE),0),"")))</f>
        <v/>
      </c>
      <c r="N85" s="468"/>
      <c r="O85" s="468"/>
      <c r="P85" s="468"/>
      <c r="Q85" s="4"/>
      <c r="R85" s="6"/>
      <c r="S85" s="6"/>
      <c r="T85" s="4"/>
      <c r="U85" s="4"/>
      <c r="V85" s="4"/>
      <c r="W85" s="9"/>
      <c r="X85" s="9"/>
      <c r="Y85" s="9"/>
      <c r="Z85" s="9"/>
      <c r="AA85" s="9"/>
      <c r="AB85" s="9"/>
      <c r="AC85" s="468" t="str">
        <f t="shared" si="7"/>
        <v/>
      </c>
      <c r="AD85" s="468"/>
      <c r="AE85" s="468"/>
      <c r="AF85" s="4"/>
      <c r="AG85" s="88"/>
      <c r="AH85" s="4"/>
      <c r="AI85" s="4"/>
      <c r="AJ85" s="468"/>
      <c r="AK85" s="468"/>
      <c r="AL85" s="468"/>
      <c r="AM85" s="468"/>
      <c r="AN85" s="10"/>
      <c r="AO85" s="9"/>
      <c r="AP85" s="9"/>
      <c r="AQ85" s="9">
        <f>+FL_2($T$86,$T$84,$G$85,1200,9.28, 1*$F$86)</f>
        <v>-0.3959664604422739</v>
      </c>
      <c r="AR85" s="9"/>
      <c r="AS85" s="9"/>
      <c r="AT85" s="9"/>
      <c r="AU85" s="447"/>
      <c r="AV85" s="447"/>
      <c r="AW85" s="468"/>
      <c r="AX85" s="468"/>
      <c r="AY85" s="10"/>
      <c r="AZ85" s="10"/>
      <c r="BA85" s="553" t="str">
        <f t="shared" si="5"/>
        <v/>
      </c>
      <c r="BB85" s="553" t="str">
        <f t="shared" si="5"/>
        <v/>
      </c>
      <c r="BC85" s="553" t="str">
        <f t="shared" si="6"/>
        <v/>
      </c>
      <c r="BD85" s="572" t="str">
        <f>IF(AND(L85="",H85=""),"",
IF(H85="",Pole_Calc!A$9,
IF(H85="MP",Pole_Calc!A$10,
IF(H85="AnMP",Pole_Calc!A$11,
IF(H85="A",Pole_Calc!A$12,
IF(H85="S/A",Pole_Calc!A$13,
IF(H85="A/S",Pole_Calc!A$14,"Poner a mano")))))))</f>
        <v/>
      </c>
      <c r="BE85" s="448" t="s">
        <v>1726</v>
      </c>
      <c r="BF85" s="305"/>
      <c r="BG85" s="305"/>
      <c r="BH85" s="306"/>
      <c r="BI85" s="305"/>
    </row>
    <row r="86" spans="1:61" ht="16.2" customHeight="1">
      <c r="A86" s="573"/>
      <c r="B86" s="638" t="s">
        <v>1898</v>
      </c>
      <c r="C86" s="3">
        <f>+$C$84+$G$85</f>
        <v>1656.5500000000002</v>
      </c>
      <c r="D86" s="88"/>
      <c r="E86" s="4"/>
      <c r="F86" s="4">
        <v>-2000</v>
      </c>
      <c r="G86" s="6"/>
      <c r="H86" s="468" t="s">
        <v>26</v>
      </c>
      <c r="I86" s="4" t="s">
        <v>182</v>
      </c>
      <c r="J86" s="3"/>
      <c r="K86" s="468"/>
      <c r="L86" s="468" t="s">
        <v>38</v>
      </c>
      <c r="M86" s="468" t="s">
        <v>1625</v>
      </c>
      <c r="N86" s="468" t="s">
        <v>32</v>
      </c>
      <c r="O86" s="468"/>
      <c r="P86" s="468"/>
      <c r="Q86" s="4"/>
      <c r="R86" s="6"/>
      <c r="S86" s="6"/>
      <c r="T86" s="4">
        <v>-30</v>
      </c>
      <c r="U86" s="4"/>
      <c r="V86" s="4"/>
      <c r="W86" s="9">
        <v>1.4</v>
      </c>
      <c r="X86" s="9"/>
      <c r="Y86" s="9"/>
      <c r="Z86" s="9"/>
      <c r="AA86" s="9"/>
      <c r="AB86" s="9"/>
      <c r="AC86" s="468" t="str">
        <f t="shared" si="7"/>
        <v>PHQ</v>
      </c>
      <c r="AD86" s="468"/>
      <c r="AE86" s="468"/>
      <c r="AF86" s="4"/>
      <c r="AG86" s="88"/>
      <c r="AH86" s="4"/>
      <c r="AI86" s="4"/>
      <c r="AJ86" s="468"/>
      <c r="AK86" s="468"/>
      <c r="AL86" s="468"/>
      <c r="AM86" s="468" t="s">
        <v>486</v>
      </c>
      <c r="AN86" s="10">
        <v>5.5</v>
      </c>
      <c r="AO86" s="9"/>
      <c r="AP86" s="9"/>
      <c r="AQ86" s="9"/>
      <c r="AR86" s="9"/>
      <c r="AS86" s="9"/>
      <c r="AT86" s="9">
        <f>+ab($T$86,$T$84,$U$88,$G$85,$G$87, 1*$F$86,1200)</f>
        <v>-6.9562435879913878</v>
      </c>
      <c r="AU86" s="447"/>
      <c r="AV86" s="447"/>
      <c r="AW86" s="468" t="s">
        <v>2574</v>
      </c>
      <c r="AX86" s="468" t="s">
        <v>199</v>
      </c>
      <c r="AY86" s="10"/>
      <c r="AZ86" s="10"/>
      <c r="BA86" s="553" t="str">
        <f t="shared" si="5"/>
        <v/>
      </c>
      <c r="BB86" s="553" t="str">
        <f t="shared" si="5"/>
        <v/>
      </c>
      <c r="BC86" s="553" t="str">
        <f t="shared" si="6"/>
        <v>ü</v>
      </c>
      <c r="BD86" s="572" t="str">
        <f>IF(AND(L86="",H86=""),"",
IF(H86="",Pole_Calc!A$9,
IF(H86="MP",Pole_Calc!A$10,
IF(H86="AnMP",Pole_Calc!A$11,
IF(H86="A",Pole_Calc!A$12,
IF(H86="S/A",Pole_Calc!A$13,
IF(H86="A/S",Pole_Calc!A$14,"Poner a mano")))))))</f>
        <v>App.7-V11H-P9.5.1.6</v>
      </c>
      <c r="BE86" s="448" t="s">
        <v>1726</v>
      </c>
      <c r="BF86" s="306"/>
      <c r="BG86" s="306"/>
      <c r="BH86" s="306"/>
      <c r="BI86" s="306"/>
    </row>
    <row r="87" spans="1:61" ht="16.2" customHeight="1">
      <c r="A87" s="573"/>
      <c r="B87" s="469"/>
      <c r="C87" s="3"/>
      <c r="D87" s="88"/>
      <c r="E87" s="4"/>
      <c r="F87" s="4"/>
      <c r="G87" s="6">
        <v>56.8</v>
      </c>
      <c r="H87" s="468"/>
      <c r="I87" s="468" t="s">
        <v>482</v>
      </c>
      <c r="J87" s="3">
        <f>C88-7.5</f>
        <v>1705.8500000000001</v>
      </c>
      <c r="K87" s="468" t="s">
        <v>1096</v>
      </c>
      <c r="L87" s="468"/>
      <c r="M87" s="468" t="str">
        <f>IF(L87="","",
IF(AX87="PT",VLOOKUP(L87,Foundation_Calc!$V$79:$X$112,VLOOKUP(AX87,Foundation_Calc!$I$10:$J$13,2,FALSE),0),
IF(AX87="K",VLOOKUP(L87,Foundation_Calc!$V$116:$X$149,VLOOKUP(AX87,Foundation_Calc!$I$10:$J$13,2,FALSE),0),"")))</f>
        <v/>
      </c>
      <c r="N87" s="468"/>
      <c r="O87" s="468"/>
      <c r="P87" s="468"/>
      <c r="Q87" s="4"/>
      <c r="R87" s="6"/>
      <c r="S87" s="6"/>
      <c r="T87" s="4"/>
      <c r="U87" s="4"/>
      <c r="V87" s="4"/>
      <c r="W87" s="9"/>
      <c r="X87" s="9"/>
      <c r="Y87" s="9"/>
      <c r="Z87" s="9"/>
      <c r="AA87" s="9"/>
      <c r="AB87" s="9"/>
      <c r="AC87" s="468" t="str">
        <f t="shared" si="7"/>
        <v/>
      </c>
      <c r="AD87" s="468"/>
      <c r="AE87" s="468"/>
      <c r="AF87" s="4"/>
      <c r="AG87" s="88"/>
      <c r="AH87" s="4"/>
      <c r="AI87" s="4"/>
      <c r="AJ87" s="468"/>
      <c r="AK87" s="468"/>
      <c r="AL87" s="468"/>
      <c r="AM87" s="468"/>
      <c r="AN87" s="10"/>
      <c r="AO87" s="9"/>
      <c r="AP87" s="9"/>
      <c r="AQ87" s="9">
        <f>+FL_2($U$88,$T$86,$G$87,1200,9.28, 1*$F$88)</f>
        <v>-0.41021970096926519</v>
      </c>
      <c r="AR87" s="9"/>
      <c r="AS87" s="9"/>
      <c r="AT87" s="9"/>
      <c r="AU87" s="447"/>
      <c r="AV87" s="447"/>
      <c r="AW87" s="468"/>
      <c r="AX87" s="468"/>
      <c r="AY87" s="10"/>
      <c r="AZ87" s="10"/>
      <c r="BA87" s="553" t="str">
        <f t="shared" si="5"/>
        <v/>
      </c>
      <c r="BB87" s="553" t="str">
        <f t="shared" si="5"/>
        <v/>
      </c>
      <c r="BC87" s="553" t="str">
        <f t="shared" si="6"/>
        <v/>
      </c>
      <c r="BD87" s="572" t="str">
        <f>IF(AND(L87="",H87=""),"",
IF(H87="",Pole_Calc!A$9,
IF(H87="MP",Pole_Calc!A$10,
IF(H87="AnMP",Pole_Calc!A$11,
IF(H87="A",Pole_Calc!A$12,
IF(H87="S/A",Pole_Calc!A$13,
IF(H87="A/S",Pole_Calc!A$14,"Poner a mano")))))))</f>
        <v/>
      </c>
      <c r="BE87" s="448" t="s">
        <v>1726</v>
      </c>
      <c r="BF87" s="305"/>
      <c r="BG87" s="305"/>
      <c r="BH87" s="306"/>
      <c r="BI87" s="305"/>
    </row>
    <row r="88" spans="1:61" ht="16.2" customHeight="1">
      <c r="A88" s="573"/>
      <c r="B88" s="638" t="s">
        <v>1899</v>
      </c>
      <c r="C88" s="3">
        <f>+$C$86+$G$87</f>
        <v>1713.3500000000001</v>
      </c>
      <c r="D88" s="88"/>
      <c r="E88" s="4"/>
      <c r="F88" s="4">
        <v>-2000</v>
      </c>
      <c r="G88" s="6"/>
      <c r="H88" s="468" t="s">
        <v>179</v>
      </c>
      <c r="I88" s="4">
        <f>SUM(G87:G107)</f>
        <v>584.5</v>
      </c>
      <c r="J88" s="3"/>
      <c r="K88" s="468"/>
      <c r="L88" s="468" t="s">
        <v>38</v>
      </c>
      <c r="M88" s="468" t="s">
        <v>1625</v>
      </c>
      <c r="N88" s="468" t="s">
        <v>28</v>
      </c>
      <c r="O88" s="468" t="s">
        <v>32</v>
      </c>
      <c r="P88" s="468"/>
      <c r="Q88" s="4"/>
      <c r="R88" s="6"/>
      <c r="S88" s="6"/>
      <c r="T88" s="4">
        <v>-10</v>
      </c>
      <c r="U88" s="4">
        <v>-30</v>
      </c>
      <c r="V88" s="4"/>
      <c r="W88" s="9">
        <v>1.4</v>
      </c>
      <c r="X88" s="9">
        <v>2.2999999999999998</v>
      </c>
      <c r="Y88" s="9"/>
      <c r="Z88" s="9">
        <v>0.5</v>
      </c>
      <c r="AA88" s="9"/>
      <c r="AB88" s="9"/>
      <c r="AC88" s="468"/>
      <c r="AD88" s="468"/>
      <c r="AE88" s="468"/>
      <c r="AF88" s="4"/>
      <c r="AG88" s="88"/>
      <c r="AH88" s="4"/>
      <c r="AI88" s="4"/>
      <c r="AJ88" s="468"/>
      <c r="AK88" s="468"/>
      <c r="AL88" s="468"/>
      <c r="AM88" s="468" t="s">
        <v>486</v>
      </c>
      <c r="AN88" s="10">
        <v>5.5</v>
      </c>
      <c r="AO88" s="9"/>
      <c r="AP88" s="9"/>
      <c r="AQ88" s="9"/>
      <c r="AR88" s="9"/>
      <c r="AS88" s="9"/>
      <c r="AT88" s="9">
        <f>+ab($U$88,$T$86,$U$90,$G$87,$G$89, 1*$F$88,1200)</f>
        <v>-6.8329898489472036</v>
      </c>
      <c r="AU88" s="447"/>
      <c r="AV88" s="447"/>
      <c r="AW88" s="468" t="s">
        <v>2574</v>
      </c>
      <c r="AX88" s="468" t="s">
        <v>199</v>
      </c>
      <c r="AY88" s="10"/>
      <c r="AZ88" s="10"/>
      <c r="BA88" s="553" t="str">
        <f t="shared" si="5"/>
        <v/>
      </c>
      <c r="BB88" s="553" t="str">
        <f t="shared" si="5"/>
        <v/>
      </c>
      <c r="BC88" s="553" t="str">
        <f t="shared" si="6"/>
        <v>ü</v>
      </c>
      <c r="BD88" s="572" t="str">
        <f>IF(AND(L88="",H88=""),"",
IF(H88="",Pole_Calc!A$9,
IF(H88="MP",Pole_Calc!A$10,
IF(H88="AnMP",Pole_Calc!A$11,
IF(H88="A",Pole_Calc!A$12,
IF(H88="S/A",Pole_Calc!A$13,
IF(H88="A/S",Pole_Calc!A$14,"Poner a mano")))))))</f>
        <v>App.7-V11H-P9.5.1.5</v>
      </c>
      <c r="BE88" s="448" t="s">
        <v>1726</v>
      </c>
      <c r="BF88" s="306"/>
      <c r="BG88" s="306"/>
      <c r="BH88" s="306"/>
      <c r="BI88" s="306"/>
    </row>
    <row r="89" spans="1:61" ht="16.2" customHeight="1">
      <c r="A89" s="573"/>
      <c r="B89" s="469"/>
      <c r="C89" s="3"/>
      <c r="D89" s="88"/>
      <c r="E89" s="4"/>
      <c r="F89" s="4"/>
      <c r="G89" s="6">
        <v>55</v>
      </c>
      <c r="H89" s="468"/>
      <c r="I89" s="468" t="s">
        <v>482</v>
      </c>
      <c r="J89" s="3">
        <f>C88+7.5</f>
        <v>1720.8500000000001</v>
      </c>
      <c r="K89" s="468" t="s">
        <v>1096</v>
      </c>
      <c r="L89" s="468"/>
      <c r="M89" s="468" t="str">
        <f>IF(L89="","",
IF(AX89="PT",VLOOKUP(L89,Foundation_Calc!$V$79:$X$112,VLOOKUP(AX89,Foundation_Calc!$I$10:$J$13,2,FALSE),0),
IF(AX89="K",VLOOKUP(L89,Foundation_Calc!$V$116:$X$149,VLOOKUP(AX89,Foundation_Calc!$I$10:$J$13,2,FALSE),0),"")))</f>
        <v/>
      </c>
      <c r="N89" s="468"/>
      <c r="O89" s="468"/>
      <c r="P89" s="468"/>
      <c r="Q89" s="4"/>
      <c r="R89" s="6"/>
      <c r="S89" s="6"/>
      <c r="T89" s="4"/>
      <c r="U89" s="4"/>
      <c r="V89" s="4"/>
      <c r="W89" s="9"/>
      <c r="X89" s="9"/>
      <c r="Y89" s="9"/>
      <c r="Z89" s="9"/>
      <c r="AA89" s="9"/>
      <c r="AB89" s="9"/>
      <c r="AC89" s="468" t="str">
        <f t="shared" si="7"/>
        <v/>
      </c>
      <c r="AD89" s="468"/>
      <c r="AE89" s="468"/>
      <c r="AF89" s="4"/>
      <c r="AG89" s="88"/>
      <c r="AH89" s="4"/>
      <c r="AI89" s="4"/>
      <c r="AJ89" s="468"/>
      <c r="AK89" s="468"/>
      <c r="AL89" s="468"/>
      <c r="AM89" s="468"/>
      <c r="AN89" s="10"/>
      <c r="AO89" s="9"/>
      <c r="AP89" s="9"/>
      <c r="AQ89" s="9">
        <f>+FL_2($T$90,$T$88,$G$89,1200,9.28, 1*$F$90)</f>
        <v>-0.2033452296646816</v>
      </c>
      <c r="AR89" s="9"/>
      <c r="AS89" s="9"/>
      <c r="AT89" s="9"/>
      <c r="AU89" s="447"/>
      <c r="AV89" s="447"/>
      <c r="AW89" s="468"/>
      <c r="AX89" s="468"/>
      <c r="AY89" s="10"/>
      <c r="AZ89" s="10"/>
      <c r="BA89" s="553" t="str">
        <f t="shared" si="5"/>
        <v/>
      </c>
      <c r="BB89" s="553" t="str">
        <f t="shared" si="5"/>
        <v/>
      </c>
      <c r="BC89" s="553" t="str">
        <f t="shared" si="6"/>
        <v/>
      </c>
      <c r="BD89" s="572" t="str">
        <f>IF(AND(L89="",H89=""),"",
IF(H89="",Pole_Calc!A$9,
IF(H89="MP",Pole_Calc!A$10,
IF(H89="AnMP",Pole_Calc!A$11,
IF(H89="A",Pole_Calc!A$12,
IF(H89="S/A",Pole_Calc!A$13,
IF(H89="A/S",Pole_Calc!A$14,"Poner a mano")))))))</f>
        <v/>
      </c>
      <c r="BE89" s="448" t="s">
        <v>1726</v>
      </c>
      <c r="BF89" s="305"/>
      <c r="BG89" s="305"/>
      <c r="BH89" s="306"/>
      <c r="BI89" s="305"/>
    </row>
    <row r="90" spans="1:61" ht="16.2" customHeight="1">
      <c r="A90" s="573"/>
      <c r="B90" s="638" t="s">
        <v>1900</v>
      </c>
      <c r="C90" s="3">
        <f>+$C$88+$G$89</f>
        <v>1768.3500000000001</v>
      </c>
      <c r="D90" s="88"/>
      <c r="E90" s="4"/>
      <c r="F90" s="4">
        <v>-2000</v>
      </c>
      <c r="G90" s="6"/>
      <c r="H90" s="468" t="s">
        <v>179</v>
      </c>
      <c r="I90" s="4"/>
      <c r="J90" s="3"/>
      <c r="K90" s="468"/>
      <c r="L90" s="468" t="s">
        <v>38</v>
      </c>
      <c r="M90" s="468" t="s">
        <v>1625</v>
      </c>
      <c r="N90" s="468" t="s">
        <v>32</v>
      </c>
      <c r="O90" s="468" t="s">
        <v>28</v>
      </c>
      <c r="P90" s="468"/>
      <c r="Q90" s="4"/>
      <c r="R90" s="6"/>
      <c r="S90" s="6"/>
      <c r="T90" s="4">
        <v>-10</v>
      </c>
      <c r="U90" s="4">
        <v>-30</v>
      </c>
      <c r="V90" s="4"/>
      <c r="W90" s="9">
        <v>1.4</v>
      </c>
      <c r="X90" s="9">
        <v>2.2999999999999998</v>
      </c>
      <c r="Y90" s="9"/>
      <c r="Z90" s="9"/>
      <c r="AA90" s="9">
        <v>0.5</v>
      </c>
      <c r="AB90" s="9"/>
      <c r="AC90" s="468" t="str">
        <f t="shared" si="7"/>
        <v>PHQ</v>
      </c>
      <c r="AD90" s="468"/>
      <c r="AE90" s="468"/>
      <c r="AF90" s="4"/>
      <c r="AG90" s="88"/>
      <c r="AH90" s="4"/>
      <c r="AI90" s="4"/>
      <c r="AJ90" s="468"/>
      <c r="AK90" s="468"/>
      <c r="AL90" s="468"/>
      <c r="AM90" s="468" t="s">
        <v>486</v>
      </c>
      <c r="AN90" s="10">
        <v>5.5</v>
      </c>
      <c r="AO90" s="9"/>
      <c r="AP90" s="9"/>
      <c r="AQ90" s="9"/>
      <c r="AR90" s="9"/>
      <c r="AS90" s="9"/>
      <c r="AT90" s="9">
        <f>+ab($T$90,$T$88,$T$92,$G$89,$G$91, 1*$F$90,1200)</f>
        <v>-7.9890358238033476</v>
      </c>
      <c r="AU90" s="447"/>
      <c r="AV90" s="447"/>
      <c r="AW90" s="468" t="s">
        <v>2574</v>
      </c>
      <c r="AX90" s="468" t="s">
        <v>199</v>
      </c>
      <c r="AY90" s="10"/>
      <c r="AZ90" s="10"/>
      <c r="BA90" s="553" t="str">
        <f t="shared" si="5"/>
        <v/>
      </c>
      <c r="BB90" s="553" t="str">
        <f t="shared" si="5"/>
        <v/>
      </c>
      <c r="BC90" s="553" t="str">
        <f t="shared" si="6"/>
        <v>ü</v>
      </c>
      <c r="BD90" s="572" t="str">
        <f>IF(AND(L90="",H90=""),"",
IF(H90="",Pole_Calc!A$9,
IF(H90="MP",Pole_Calc!A$10,
IF(H90="AnMP",Pole_Calc!A$11,
IF(H90="A",Pole_Calc!A$12,
IF(H90="S/A",Pole_Calc!A$13,
IF(H90="A/S",Pole_Calc!A$14,"Poner a mano")))))))</f>
        <v>App.7-V11H-P9.5.1.5</v>
      </c>
      <c r="BE90" s="448" t="s">
        <v>1726</v>
      </c>
      <c r="BF90" s="306"/>
      <c r="BG90" s="306"/>
      <c r="BH90" s="306"/>
      <c r="BI90" s="306"/>
    </row>
    <row r="91" spans="1:61" ht="16.2" customHeight="1">
      <c r="A91" s="573"/>
      <c r="B91" s="469"/>
      <c r="C91" s="3"/>
      <c r="D91" s="88"/>
      <c r="E91" s="4"/>
      <c r="F91" s="4"/>
      <c r="G91" s="6">
        <v>55</v>
      </c>
      <c r="H91" s="468"/>
      <c r="I91" s="468"/>
      <c r="J91" s="3"/>
      <c r="K91" s="468"/>
      <c r="L91" s="468"/>
      <c r="M91" s="468" t="str">
        <f>IF(L91="","",
IF(AX91="PT",VLOOKUP(L91,Foundation_Calc!$V$79:$X$112,VLOOKUP(AX91,Foundation_Calc!$I$10:$J$13,2,FALSE),0),
IF(AX91="K",VLOOKUP(L91,Foundation_Calc!$V$116:$X$149,VLOOKUP(AX91,Foundation_Calc!$I$10:$J$13,2,FALSE),0),"")))</f>
        <v/>
      </c>
      <c r="N91" s="468"/>
      <c r="O91" s="468"/>
      <c r="P91" s="468"/>
      <c r="Q91" s="4"/>
      <c r="R91" s="6"/>
      <c r="S91" s="6"/>
      <c r="T91" s="4"/>
      <c r="U91" s="4"/>
      <c r="V91" s="4"/>
      <c r="W91" s="9"/>
      <c r="X91" s="9"/>
      <c r="Y91" s="9"/>
      <c r="Z91" s="9"/>
      <c r="AA91" s="9"/>
      <c r="AB91" s="9"/>
      <c r="AC91" s="468" t="str">
        <f t="shared" si="7"/>
        <v/>
      </c>
      <c r="AD91" s="468"/>
      <c r="AE91" s="468"/>
      <c r="AF91" s="4"/>
      <c r="AG91" s="88"/>
      <c r="AH91" s="4"/>
      <c r="AI91" s="4"/>
      <c r="AJ91" s="468"/>
      <c r="AK91" s="468"/>
      <c r="AL91" s="468"/>
      <c r="AM91" s="468"/>
      <c r="AN91" s="10"/>
      <c r="AO91" s="9"/>
      <c r="AP91" s="9"/>
      <c r="AQ91" s="9">
        <f>+FL_2($T$92,$T$90,$G$91,1200,9.28, 1*$F$92)</f>
        <v>-0.3275375927807806</v>
      </c>
      <c r="AR91" s="9"/>
      <c r="AS91" s="9"/>
      <c r="AT91" s="9"/>
      <c r="AU91" s="447"/>
      <c r="AV91" s="447"/>
      <c r="AW91" s="468"/>
      <c r="AX91" s="468"/>
      <c r="AY91" s="10"/>
      <c r="AZ91" s="10"/>
      <c r="BA91" s="553" t="str">
        <f t="shared" si="5"/>
        <v/>
      </c>
      <c r="BB91" s="553" t="str">
        <f t="shared" si="5"/>
        <v/>
      </c>
      <c r="BC91" s="553" t="str">
        <f t="shared" si="6"/>
        <v/>
      </c>
      <c r="BD91" s="572" t="str">
        <f>IF(AND(L91="",H91=""),"",
IF(H91="",Pole_Calc!A$9,
IF(H91="MP",Pole_Calc!A$10,
IF(H91="AnMP",Pole_Calc!A$11,
IF(H91="A",Pole_Calc!A$12,
IF(H91="S/A",Pole_Calc!A$13,
IF(H91="A/S",Pole_Calc!A$14,"Poner a mano")))))))</f>
        <v/>
      </c>
      <c r="BE91" s="448" t="s">
        <v>1726</v>
      </c>
      <c r="BF91" s="305"/>
      <c r="BG91" s="305"/>
      <c r="BH91" s="306"/>
      <c r="BI91" s="305"/>
    </row>
    <row r="92" spans="1:61" ht="16.2" customHeight="1">
      <c r="A92" s="573"/>
      <c r="B92" s="638" t="s">
        <v>1901</v>
      </c>
      <c r="C92" s="3">
        <f>+$C$90+$G$91</f>
        <v>1823.3500000000001</v>
      </c>
      <c r="D92" s="88"/>
      <c r="E92" s="4"/>
      <c r="F92" s="4">
        <v>-2000</v>
      </c>
      <c r="G92" s="6"/>
      <c r="H92" s="468" t="s">
        <v>26</v>
      </c>
      <c r="I92" s="468" t="s">
        <v>182</v>
      </c>
      <c r="J92" s="3"/>
      <c r="K92" s="468"/>
      <c r="L92" s="468" t="s">
        <v>38</v>
      </c>
      <c r="M92" s="468" t="s">
        <v>1625</v>
      </c>
      <c r="N92" s="468" t="s">
        <v>32</v>
      </c>
      <c r="O92" s="468"/>
      <c r="P92" s="468"/>
      <c r="Q92" s="4"/>
      <c r="R92" s="6"/>
      <c r="S92" s="6"/>
      <c r="T92" s="4">
        <v>-30</v>
      </c>
      <c r="U92" s="4"/>
      <c r="V92" s="4"/>
      <c r="W92" s="9">
        <v>1.4</v>
      </c>
      <c r="X92" s="9"/>
      <c r="Y92" s="9"/>
      <c r="Z92" s="9"/>
      <c r="AA92" s="9"/>
      <c r="AB92" s="9"/>
      <c r="AC92" s="468" t="str">
        <f t="shared" si="7"/>
        <v>PHQ</v>
      </c>
      <c r="AD92" s="468"/>
      <c r="AE92" s="468"/>
      <c r="AF92" s="4"/>
      <c r="AG92" s="88"/>
      <c r="AH92" s="4"/>
      <c r="AI92" s="4"/>
      <c r="AJ92" s="468"/>
      <c r="AK92" s="468"/>
      <c r="AL92" s="468"/>
      <c r="AM92" s="468" t="s">
        <v>486</v>
      </c>
      <c r="AN92" s="10">
        <v>5.5</v>
      </c>
      <c r="AO92" s="9"/>
      <c r="AP92" s="9"/>
      <c r="AQ92" s="9"/>
      <c r="AR92" s="9"/>
      <c r="AS92" s="9"/>
      <c r="AT92" s="9">
        <f>+ab($T$92,$T$90,$T$94,$G$91,$G$93, 1*$F$92,1200)</f>
        <v>-6.1393710080652539</v>
      </c>
      <c r="AU92" s="447"/>
      <c r="AV92" s="447"/>
      <c r="AW92" s="468" t="s">
        <v>2574</v>
      </c>
      <c r="AX92" s="468" t="s">
        <v>199</v>
      </c>
      <c r="AY92" s="10"/>
      <c r="AZ92" s="10"/>
      <c r="BA92" s="553" t="str">
        <f t="shared" si="5"/>
        <v/>
      </c>
      <c r="BB92" s="553" t="str">
        <f t="shared" si="5"/>
        <v/>
      </c>
      <c r="BC92" s="553" t="str">
        <f t="shared" si="6"/>
        <v>ü</v>
      </c>
      <c r="BD92" s="572" t="str">
        <f>IF(AND(L92="",H92=""),"",
IF(H92="",Pole_Calc!A$9,
IF(H92="MP",Pole_Calc!A$10,
IF(H92="AnMP",Pole_Calc!A$11,
IF(H92="A",Pole_Calc!A$12,
IF(H92="S/A",Pole_Calc!A$13,
IF(H92="A/S",Pole_Calc!A$14,"Poner a mano")))))))</f>
        <v>App.7-V11H-P9.5.1.6</v>
      </c>
      <c r="BE92" s="448" t="s">
        <v>1726</v>
      </c>
      <c r="BF92" s="306"/>
      <c r="BG92" s="306"/>
      <c r="BH92" s="306"/>
      <c r="BI92" s="306"/>
    </row>
    <row r="93" spans="1:61" ht="16.2" customHeight="1">
      <c r="A93" s="573"/>
      <c r="B93" s="469"/>
      <c r="C93" s="3"/>
      <c r="D93" s="88"/>
      <c r="E93" s="4"/>
      <c r="F93" s="4"/>
      <c r="G93" s="6">
        <v>55</v>
      </c>
      <c r="H93" s="468"/>
      <c r="I93" s="468"/>
      <c r="J93" s="3">
        <f>C92+7.5</f>
        <v>1830.8500000000001</v>
      </c>
      <c r="K93" s="468" t="s">
        <v>1095</v>
      </c>
      <c r="L93" s="468"/>
      <c r="M93" s="468" t="str">
        <f>IF(L93="","",
IF(AX93="PT",VLOOKUP(L93,Foundation_Calc!$V$79:$X$112,VLOOKUP(AX93,Foundation_Calc!$I$10:$J$13,2,FALSE),0),
IF(AX93="K",VLOOKUP(L93,Foundation_Calc!$V$116:$X$149,VLOOKUP(AX93,Foundation_Calc!$I$10:$J$13,2,FALSE),0),"")))</f>
        <v/>
      </c>
      <c r="N93" s="468"/>
      <c r="O93" s="468"/>
      <c r="P93" s="468"/>
      <c r="Q93" s="4"/>
      <c r="R93" s="6"/>
      <c r="S93" s="6"/>
      <c r="T93" s="4"/>
      <c r="U93" s="4"/>
      <c r="V93" s="4"/>
      <c r="W93" s="9"/>
      <c r="X93" s="9"/>
      <c r="Y93" s="9"/>
      <c r="Z93" s="9"/>
      <c r="AA93" s="9"/>
      <c r="AB93" s="9"/>
      <c r="AC93" s="468" t="str">
        <f t="shared" si="7"/>
        <v/>
      </c>
      <c r="AD93" s="468"/>
      <c r="AE93" s="468"/>
      <c r="AF93" s="4"/>
      <c r="AG93" s="88"/>
      <c r="AH93" s="4"/>
      <c r="AI93" s="4"/>
      <c r="AJ93" s="468"/>
      <c r="AK93" s="468"/>
      <c r="AL93" s="468"/>
      <c r="AM93" s="468"/>
      <c r="AN93" s="10"/>
      <c r="AO93" s="9"/>
      <c r="AP93" s="9"/>
      <c r="AQ93" s="9">
        <f>+FL_2($T$94,$T$92,$G$93,1200,9.28, 1*$F$94)</f>
        <v>-0.40334522966468156</v>
      </c>
      <c r="AR93" s="9"/>
      <c r="AS93" s="9"/>
      <c r="AT93" s="9"/>
      <c r="AU93" s="447"/>
      <c r="AV93" s="447"/>
      <c r="AW93" s="468"/>
      <c r="AX93" s="468"/>
      <c r="AY93" s="10"/>
      <c r="AZ93" s="10"/>
      <c r="BA93" s="553" t="str">
        <f t="shared" si="5"/>
        <v/>
      </c>
      <c r="BB93" s="553" t="str">
        <f t="shared" si="5"/>
        <v/>
      </c>
      <c r="BC93" s="553" t="str">
        <f t="shared" si="6"/>
        <v/>
      </c>
      <c r="BD93" s="572" t="str">
        <f>IF(AND(L93="",H93=""),"",
IF(H93="",Pole_Calc!A$9,
IF(H93="MP",Pole_Calc!A$10,
IF(H93="AnMP",Pole_Calc!A$11,
IF(H93="A",Pole_Calc!A$12,
IF(H93="S/A",Pole_Calc!A$13,
IF(H93="A/S",Pole_Calc!A$14,"Poner a mano")))))))</f>
        <v/>
      </c>
      <c r="BE93" s="448" t="s">
        <v>1726</v>
      </c>
      <c r="BF93" s="305"/>
      <c r="BG93" s="305"/>
      <c r="BH93" s="306"/>
      <c r="BI93" s="305"/>
    </row>
    <row r="94" spans="1:61" ht="16.2" customHeight="1">
      <c r="A94" s="573"/>
      <c r="B94" s="638" t="s">
        <v>1902</v>
      </c>
      <c r="C94" s="3">
        <f>+$C$92+$G$93</f>
        <v>1878.3500000000001</v>
      </c>
      <c r="D94" s="88"/>
      <c r="E94" s="4"/>
      <c r="F94" s="4">
        <v>-2000</v>
      </c>
      <c r="G94" s="6"/>
      <c r="H94" s="468"/>
      <c r="I94" s="468"/>
      <c r="J94" s="3"/>
      <c r="K94" s="468"/>
      <c r="L94" s="468" t="s">
        <v>38</v>
      </c>
      <c r="M94" s="468" t="s">
        <v>1625</v>
      </c>
      <c r="N94" s="468" t="s">
        <v>32</v>
      </c>
      <c r="O94" s="468"/>
      <c r="P94" s="468"/>
      <c r="Q94" s="4"/>
      <c r="R94" s="6"/>
      <c r="S94" s="6"/>
      <c r="T94" s="4">
        <v>-30</v>
      </c>
      <c r="U94" s="4"/>
      <c r="V94" s="4"/>
      <c r="W94" s="9">
        <v>1.4</v>
      </c>
      <c r="X94" s="9"/>
      <c r="Y94" s="9"/>
      <c r="Z94" s="9"/>
      <c r="AA94" s="9"/>
      <c r="AB94" s="9"/>
      <c r="AC94" s="468" t="str">
        <f t="shared" si="7"/>
        <v>PHQ</v>
      </c>
      <c r="AD94" s="468"/>
      <c r="AE94" s="468"/>
      <c r="AF94" s="4"/>
      <c r="AG94" s="88"/>
      <c r="AH94" s="4"/>
      <c r="AI94" s="4"/>
      <c r="AJ94" s="468"/>
      <c r="AK94" s="468"/>
      <c r="AL94" s="468"/>
      <c r="AM94" s="468" t="s">
        <v>486</v>
      </c>
      <c r="AN94" s="10">
        <v>5.5</v>
      </c>
      <c r="AO94" s="9"/>
      <c r="AP94" s="9"/>
      <c r="AQ94" s="9"/>
      <c r="AR94" s="9"/>
      <c r="AS94" s="9"/>
      <c r="AT94" s="9">
        <f>+ab($T$94,$T$92,$T$96,$G$93,$G$95, 1*$F$94,1200)</f>
        <v>-6.9437194600928631</v>
      </c>
      <c r="AU94" s="447"/>
      <c r="AV94" s="447"/>
      <c r="AW94" s="468" t="s">
        <v>2574</v>
      </c>
      <c r="AX94" s="468" t="s">
        <v>199</v>
      </c>
      <c r="AY94" s="10"/>
      <c r="AZ94" s="10"/>
      <c r="BA94" s="553" t="str">
        <f t="shared" si="5"/>
        <v/>
      </c>
      <c r="BB94" s="553" t="str">
        <f t="shared" si="5"/>
        <v/>
      </c>
      <c r="BC94" s="553" t="str">
        <f t="shared" si="6"/>
        <v>ü</v>
      </c>
      <c r="BD94" s="572" t="str">
        <f>IF(AND(L94="",H94=""),"",
IF(H94="",Pole_Calc!A$9,
IF(H94="MP",Pole_Calc!A$10,
IF(H94="AnMP",Pole_Calc!A$11,
IF(H94="A",Pole_Calc!A$12,
IF(H94="S/A",Pole_Calc!A$13,
IF(H94="A/S",Pole_Calc!A$14,"Poner a mano")))))))</f>
        <v>App.7-V11H-P9.5.1.1</v>
      </c>
      <c r="BE94" s="448" t="s">
        <v>1726</v>
      </c>
      <c r="BF94" s="306"/>
      <c r="BG94" s="306"/>
      <c r="BH94" s="306"/>
      <c r="BI94" s="306"/>
    </row>
    <row r="95" spans="1:61" ht="16.2" customHeight="1">
      <c r="A95" s="573"/>
      <c r="B95" s="469"/>
      <c r="C95" s="3"/>
      <c r="D95" s="88"/>
      <c r="E95" s="4"/>
      <c r="F95" s="4"/>
      <c r="G95" s="6">
        <v>55</v>
      </c>
      <c r="H95" s="468"/>
      <c r="I95" s="468"/>
      <c r="J95" s="3"/>
      <c r="K95" s="468"/>
      <c r="L95" s="468"/>
      <c r="M95" s="468" t="str">
        <f>IF(L95="","",
IF(AX95="PT",VLOOKUP(L95,Foundation_Calc!$V$79:$X$112,VLOOKUP(AX95,Foundation_Calc!$I$10:$J$13,2,FALSE),0),
IF(AX95="K",VLOOKUP(L95,Foundation_Calc!$V$116:$X$149,VLOOKUP(AX95,Foundation_Calc!$I$10:$J$13,2,FALSE),0),"")))</f>
        <v/>
      </c>
      <c r="N95" s="468"/>
      <c r="O95" s="468"/>
      <c r="P95" s="468"/>
      <c r="Q95" s="4"/>
      <c r="R95" s="6"/>
      <c r="S95" s="6"/>
      <c r="T95" s="4"/>
      <c r="U95" s="4"/>
      <c r="V95" s="4"/>
      <c r="W95" s="9"/>
      <c r="X95" s="9"/>
      <c r="Y95" s="9"/>
      <c r="Z95" s="9"/>
      <c r="AA95" s="9"/>
      <c r="AB95" s="9"/>
      <c r="AC95" s="468" t="str">
        <f t="shared" si="7"/>
        <v/>
      </c>
      <c r="AD95" s="468"/>
      <c r="AE95" s="468"/>
      <c r="AF95" s="4"/>
      <c r="AG95" s="88"/>
      <c r="AH95" s="4"/>
      <c r="AI95" s="4"/>
      <c r="AJ95" s="468"/>
      <c r="AK95" s="468"/>
      <c r="AL95" s="468"/>
      <c r="AM95" s="468"/>
      <c r="AN95" s="10"/>
      <c r="AO95" s="9"/>
      <c r="AP95" s="9"/>
      <c r="AQ95" s="9">
        <f>+FL_2($T$96,$T$94,$G$95,1200,9.28, 1*$F$96)</f>
        <v>-0.40334522966468156</v>
      </c>
      <c r="AR95" s="9"/>
      <c r="AS95" s="9"/>
      <c r="AT95" s="9"/>
      <c r="AU95" s="447"/>
      <c r="AV95" s="447"/>
      <c r="AW95" s="468"/>
      <c r="AX95" s="468"/>
      <c r="AY95" s="10"/>
      <c r="AZ95" s="10"/>
      <c r="BA95" s="553" t="str">
        <f t="shared" si="5"/>
        <v/>
      </c>
      <c r="BB95" s="553" t="str">
        <f t="shared" si="5"/>
        <v/>
      </c>
      <c r="BC95" s="553" t="str">
        <f t="shared" si="6"/>
        <v/>
      </c>
      <c r="BD95" s="572" t="str">
        <f>IF(AND(L95="",H95=""),"",
IF(H95="",Pole_Calc!A$9,
IF(H95="MP",Pole_Calc!A$10,
IF(H95="AnMP",Pole_Calc!A$11,
IF(H95="A",Pole_Calc!A$12,
IF(H95="S/A",Pole_Calc!A$13,
IF(H95="A/S",Pole_Calc!A$14,"Poner a mano")))))))</f>
        <v/>
      </c>
      <c r="BE95" s="448" t="s">
        <v>1726</v>
      </c>
      <c r="BF95" s="305"/>
      <c r="BG95" s="305"/>
      <c r="BH95" s="306"/>
      <c r="BI95" s="305"/>
    </row>
    <row r="96" spans="1:61" ht="16.2" customHeight="1">
      <c r="A96" s="573"/>
      <c r="B96" s="638" t="s">
        <v>1903</v>
      </c>
      <c r="C96" s="3">
        <f>+$C$94+$G$95</f>
        <v>1933.3500000000001</v>
      </c>
      <c r="D96" s="88"/>
      <c r="E96" s="4"/>
      <c r="F96" s="4">
        <v>-2000</v>
      </c>
      <c r="G96" s="6"/>
      <c r="H96" s="468"/>
      <c r="I96" s="468"/>
      <c r="J96" s="3"/>
      <c r="K96" s="468"/>
      <c r="L96" s="468" t="s">
        <v>38</v>
      </c>
      <c r="M96" s="468" t="s">
        <v>1625</v>
      </c>
      <c r="N96" s="468" t="s">
        <v>32</v>
      </c>
      <c r="O96" s="468"/>
      <c r="P96" s="468"/>
      <c r="Q96" s="4"/>
      <c r="R96" s="6"/>
      <c r="S96" s="6"/>
      <c r="T96" s="4">
        <v>-30</v>
      </c>
      <c r="U96" s="4"/>
      <c r="V96" s="4"/>
      <c r="W96" s="9">
        <v>1.4</v>
      </c>
      <c r="X96" s="9"/>
      <c r="Y96" s="9"/>
      <c r="Z96" s="9"/>
      <c r="AA96" s="9"/>
      <c r="AB96" s="9"/>
      <c r="AC96" s="468" t="str">
        <f t="shared" si="7"/>
        <v>PHQ</v>
      </c>
      <c r="AD96" s="468"/>
      <c r="AE96" s="468"/>
      <c r="AF96" s="4"/>
      <c r="AG96" s="88"/>
      <c r="AH96" s="4"/>
      <c r="AI96" s="4"/>
      <c r="AJ96" s="468"/>
      <c r="AK96" s="468"/>
      <c r="AL96" s="468"/>
      <c r="AM96" s="468" t="s">
        <v>486</v>
      </c>
      <c r="AN96" s="10">
        <v>5.5</v>
      </c>
      <c r="AO96" s="9"/>
      <c r="AP96" s="9"/>
      <c r="AQ96" s="9"/>
      <c r="AR96" s="9"/>
      <c r="AS96" s="9"/>
      <c r="AT96" s="9">
        <f>+ab($T$96,$T$94,$T$98,$G$95,$G$97, 1*$F$96,1200)</f>
        <v>-6.5649488054148843</v>
      </c>
      <c r="AU96" s="447"/>
      <c r="AV96" s="447"/>
      <c r="AW96" s="468" t="s">
        <v>2574</v>
      </c>
      <c r="AX96" s="468" t="s">
        <v>199</v>
      </c>
      <c r="AY96" s="10"/>
      <c r="AZ96" s="10"/>
      <c r="BA96" s="553" t="str">
        <f t="shared" si="5"/>
        <v/>
      </c>
      <c r="BB96" s="553" t="str">
        <f t="shared" si="5"/>
        <v/>
      </c>
      <c r="BC96" s="553" t="str">
        <f t="shared" si="6"/>
        <v>ü</v>
      </c>
      <c r="BD96" s="572" t="str">
        <f>IF(AND(L96="",H96=""),"",
IF(H96="",Pole_Calc!A$9,
IF(H96="MP",Pole_Calc!A$10,
IF(H96="AnMP",Pole_Calc!A$11,
IF(H96="A",Pole_Calc!A$12,
IF(H96="S/A",Pole_Calc!A$13,
IF(H96="A/S",Pole_Calc!A$14,"Poner a mano")))))))</f>
        <v>App.7-V11H-P9.5.1.1</v>
      </c>
      <c r="BE96" s="448" t="s">
        <v>1726</v>
      </c>
      <c r="BF96" s="306"/>
      <c r="BG96" s="306"/>
      <c r="BH96" s="306"/>
      <c r="BI96" s="306"/>
    </row>
    <row r="97" spans="1:61" ht="16.2" customHeight="1">
      <c r="A97" s="573"/>
      <c r="B97" s="469"/>
      <c r="C97" s="3"/>
      <c r="D97" s="88"/>
      <c r="E97" s="4"/>
      <c r="F97" s="4"/>
      <c r="G97" s="6">
        <v>54</v>
      </c>
      <c r="H97" s="468"/>
      <c r="I97" s="468"/>
      <c r="J97" s="3"/>
      <c r="K97" s="468"/>
      <c r="L97" s="468"/>
      <c r="M97" s="468" t="str">
        <f>IF(L97="","",
IF(AX97="PT",VLOOKUP(L97,Foundation_Calc!$V$79:$X$112,VLOOKUP(AX97,Foundation_Calc!$I$10:$J$13,2,FALSE),0),
IF(AX97="K",VLOOKUP(L97,Foundation_Calc!$V$116:$X$149,VLOOKUP(AX97,Foundation_Calc!$I$10:$J$13,2,FALSE),0),"")))</f>
        <v/>
      </c>
      <c r="N97" s="468"/>
      <c r="O97" s="468"/>
      <c r="P97" s="468"/>
      <c r="Q97" s="4"/>
      <c r="R97" s="6"/>
      <c r="S97" s="6"/>
      <c r="T97" s="4"/>
      <c r="U97" s="4"/>
      <c r="V97" s="4"/>
      <c r="W97" s="9"/>
      <c r="X97" s="9"/>
      <c r="Y97" s="9"/>
      <c r="Z97" s="9"/>
      <c r="AA97" s="9"/>
      <c r="AB97" s="9"/>
      <c r="AC97" s="468" t="str">
        <f t="shared" si="7"/>
        <v/>
      </c>
      <c r="AD97" s="468"/>
      <c r="AE97" s="468"/>
      <c r="AF97" s="4"/>
      <c r="AG97" s="88"/>
      <c r="AH97" s="4"/>
      <c r="AI97" s="4"/>
      <c r="AJ97" s="468"/>
      <c r="AK97" s="468"/>
      <c r="AL97" s="468"/>
      <c r="AM97" s="468"/>
      <c r="AN97" s="10"/>
      <c r="AO97" s="9"/>
      <c r="AP97" s="9"/>
      <c r="AQ97" s="9">
        <f>+FL_2($T$98,$T$96,$G$97,1200,9.28, 1*$F$98)</f>
        <v>-0.45994777588345137</v>
      </c>
      <c r="AR97" s="9"/>
      <c r="AS97" s="9"/>
      <c r="AT97" s="9"/>
      <c r="AU97" s="447"/>
      <c r="AV97" s="447"/>
      <c r="AW97" s="468"/>
      <c r="AX97" s="468"/>
      <c r="AY97" s="10"/>
      <c r="AZ97" s="10"/>
      <c r="BA97" s="553" t="str">
        <f t="shared" si="5"/>
        <v/>
      </c>
      <c r="BB97" s="553" t="str">
        <f t="shared" si="5"/>
        <v/>
      </c>
      <c r="BC97" s="553" t="str">
        <f t="shared" si="6"/>
        <v/>
      </c>
      <c r="BD97" s="572" t="str">
        <f>IF(AND(L97="",H97=""),"",
IF(H97="",Pole_Calc!A$9,
IF(H97="MP",Pole_Calc!A$10,
IF(H97="AnMP",Pole_Calc!A$11,
IF(H97="A",Pole_Calc!A$12,
IF(H97="S/A",Pole_Calc!A$13,
IF(H97="A/S",Pole_Calc!A$14,"Poner a mano")))))))</f>
        <v/>
      </c>
      <c r="BE97" s="448" t="s">
        <v>1726</v>
      </c>
      <c r="BF97" s="305"/>
      <c r="BG97" s="305"/>
      <c r="BH97" s="306"/>
      <c r="BI97" s="305"/>
    </row>
    <row r="98" spans="1:61" ht="16.2" customHeight="1">
      <c r="A98" s="573"/>
      <c r="B98" s="638" t="s">
        <v>1904</v>
      </c>
      <c r="C98" s="3">
        <f>+$C$96+$G$97</f>
        <v>1987.3500000000001</v>
      </c>
      <c r="D98" s="88"/>
      <c r="E98" s="4"/>
      <c r="F98" s="4">
        <v>-4863.1099999999997</v>
      </c>
      <c r="G98" s="6"/>
      <c r="H98" s="468"/>
      <c r="I98" s="468"/>
      <c r="J98" s="3"/>
      <c r="K98" s="468"/>
      <c r="L98" s="468" t="s">
        <v>38</v>
      </c>
      <c r="M98" s="468" t="s">
        <v>1625</v>
      </c>
      <c r="N98" s="468" t="s">
        <v>32</v>
      </c>
      <c r="O98" s="468"/>
      <c r="P98" s="468"/>
      <c r="Q98" s="4"/>
      <c r="R98" s="6"/>
      <c r="S98" s="6"/>
      <c r="T98" s="4">
        <v>-20</v>
      </c>
      <c r="U98" s="4"/>
      <c r="V98" s="4"/>
      <c r="W98" s="9">
        <v>1.4</v>
      </c>
      <c r="X98" s="9"/>
      <c r="Y98" s="9"/>
      <c r="Z98" s="9"/>
      <c r="AA98" s="9"/>
      <c r="AB98" s="9"/>
      <c r="AC98" s="468" t="str">
        <f t="shared" si="7"/>
        <v>PH</v>
      </c>
      <c r="AD98" s="468"/>
      <c r="AE98" s="468"/>
      <c r="AF98" s="4"/>
      <c r="AG98" s="88"/>
      <c r="AH98" s="4"/>
      <c r="AI98" s="4"/>
      <c r="AJ98" s="468"/>
      <c r="AK98" s="468"/>
      <c r="AL98" s="468"/>
      <c r="AM98" s="468" t="s">
        <v>486</v>
      </c>
      <c r="AN98" s="10">
        <v>5.5</v>
      </c>
      <c r="AO98" s="9"/>
      <c r="AP98" s="9"/>
      <c r="AQ98" s="9"/>
      <c r="AR98" s="9"/>
      <c r="AS98" s="9"/>
      <c r="AT98" s="9">
        <f>+ab($T$98,$T$96,$T$100,$G$97,$G$99, 1*$F$98,1200)</f>
        <v>-10.079614511418979</v>
      </c>
      <c r="AU98" s="447"/>
      <c r="AV98" s="447"/>
      <c r="AW98" s="468" t="s">
        <v>2574</v>
      </c>
      <c r="AX98" s="468" t="s">
        <v>199</v>
      </c>
      <c r="AY98" s="10"/>
      <c r="AZ98" s="10"/>
      <c r="BA98" s="553" t="str">
        <f t="shared" si="5"/>
        <v/>
      </c>
      <c r="BB98" s="553" t="str">
        <f t="shared" si="5"/>
        <v/>
      </c>
      <c r="BC98" s="553" t="str">
        <f t="shared" si="6"/>
        <v>ü</v>
      </c>
      <c r="BD98" s="572" t="str">
        <f>IF(AND(L98="",H98=""),"",
IF(H98="",Pole_Calc!A$9,
IF(H98="MP",Pole_Calc!A$10,
IF(H98="AnMP",Pole_Calc!A$11,
IF(H98="A",Pole_Calc!A$12,
IF(H98="S/A",Pole_Calc!A$13,
IF(H98="A/S",Pole_Calc!A$14,"Poner a mano")))))))</f>
        <v>App.7-V11H-P9.5.1.1</v>
      </c>
      <c r="BE98" s="448" t="s">
        <v>1726</v>
      </c>
      <c r="BF98" s="306"/>
      <c r="BG98" s="306"/>
      <c r="BH98" s="306"/>
      <c r="BI98" s="306"/>
    </row>
    <row r="99" spans="1:61" ht="16.2" customHeight="1">
      <c r="A99" s="573"/>
      <c r="B99" s="469"/>
      <c r="C99" s="3"/>
      <c r="D99" s="88"/>
      <c r="E99" s="4"/>
      <c r="F99" s="4"/>
      <c r="G99" s="6">
        <v>50</v>
      </c>
      <c r="H99" s="468"/>
      <c r="I99" s="468"/>
      <c r="J99" s="3"/>
      <c r="K99" s="468"/>
      <c r="L99" s="468"/>
      <c r="M99" s="468" t="str">
        <f>IF(L99="","",
IF(AX99="PT",VLOOKUP(L99,Foundation_Calc!$V$79:$X$112,VLOOKUP(AX99,Foundation_Calc!$I$10:$J$13,2,FALSE),0),
IF(AX99="K",VLOOKUP(L99,Foundation_Calc!$V$116:$X$149,VLOOKUP(AX99,Foundation_Calc!$I$10:$J$13,2,FALSE),0),"")))</f>
        <v/>
      </c>
      <c r="N99" s="468"/>
      <c r="O99" s="468"/>
      <c r="P99" s="468"/>
      <c r="Q99" s="4"/>
      <c r="R99" s="6"/>
      <c r="S99" s="6"/>
      <c r="T99" s="4"/>
      <c r="U99" s="4"/>
      <c r="V99" s="4"/>
      <c r="W99" s="9"/>
      <c r="X99" s="9"/>
      <c r="Y99" s="9"/>
      <c r="Z99" s="9"/>
      <c r="AA99" s="9"/>
      <c r="AB99" s="9"/>
      <c r="AC99" s="468" t="str">
        <f t="shared" si="7"/>
        <v/>
      </c>
      <c r="AD99" s="468"/>
      <c r="AE99" s="468"/>
      <c r="AF99" s="4"/>
      <c r="AG99" s="88"/>
      <c r="AH99" s="4"/>
      <c r="AI99" s="4"/>
      <c r="AJ99" s="468"/>
      <c r="AK99" s="468"/>
      <c r="AL99" s="468"/>
      <c r="AM99" s="468"/>
      <c r="AN99" s="10"/>
      <c r="AO99" s="9"/>
      <c r="AP99" s="9"/>
      <c r="AQ99" s="9">
        <f>+FL_1($T$100,$T$98,$G$99,1200,9.28, 1*$F$100)</f>
        <v>0.35632183866666667</v>
      </c>
      <c r="AR99" s="9"/>
      <c r="AS99" s="9"/>
      <c r="AT99" s="9"/>
      <c r="AU99" s="447"/>
      <c r="AV99" s="447"/>
      <c r="AW99" s="468"/>
      <c r="AX99" s="468"/>
      <c r="AY99" s="10"/>
      <c r="AZ99" s="10"/>
      <c r="BA99" s="553" t="str">
        <f t="shared" si="5"/>
        <v/>
      </c>
      <c r="BB99" s="553" t="str">
        <f t="shared" si="5"/>
        <v/>
      </c>
      <c r="BC99" s="553" t="str">
        <f t="shared" si="6"/>
        <v/>
      </c>
      <c r="BD99" s="572" t="str">
        <f>IF(AND(L99="",H99=""),"",
IF(H99="",Pole_Calc!A$9,
IF(H99="MP",Pole_Calc!A$10,
IF(H99="AnMP",Pole_Calc!A$11,
IF(H99="A",Pole_Calc!A$12,
IF(H99="S/A",Pole_Calc!A$13,
IF(H99="A/S",Pole_Calc!A$14,"Poner a mano")))))))</f>
        <v/>
      </c>
      <c r="BE99" s="448" t="s">
        <v>1726</v>
      </c>
      <c r="BF99" s="305"/>
      <c r="BG99" s="305"/>
      <c r="BH99" s="306"/>
      <c r="BI99" s="305"/>
    </row>
    <row r="100" spans="1:61" ht="16.2" customHeight="1">
      <c r="A100" s="573"/>
      <c r="B100" s="638" t="s">
        <v>1905</v>
      </c>
      <c r="C100" s="3">
        <f>+$C$98+$G$99</f>
        <v>2037.3500000000001</v>
      </c>
      <c r="D100" s="88"/>
      <c r="E100" s="4"/>
      <c r="F100" s="4">
        <v>0</v>
      </c>
      <c r="G100" s="6"/>
      <c r="H100" s="468"/>
      <c r="I100" s="468"/>
      <c r="J100" s="3"/>
      <c r="K100" s="468"/>
      <c r="L100" s="468" t="s">
        <v>37</v>
      </c>
      <c r="M100" s="468" t="s">
        <v>1625</v>
      </c>
      <c r="N100" s="468" t="s">
        <v>33</v>
      </c>
      <c r="O100" s="468"/>
      <c r="P100" s="468"/>
      <c r="Q100" s="4"/>
      <c r="R100" s="6"/>
      <c r="S100" s="6"/>
      <c r="T100" s="4">
        <v>30</v>
      </c>
      <c r="U100" s="4"/>
      <c r="V100" s="4"/>
      <c r="W100" s="9">
        <v>1.4</v>
      </c>
      <c r="X100" s="9"/>
      <c r="Y100" s="9"/>
      <c r="Z100" s="9"/>
      <c r="AA100" s="9"/>
      <c r="AB100" s="9"/>
      <c r="AC100" s="468" t="str">
        <f t="shared" si="7"/>
        <v>PH</v>
      </c>
      <c r="AD100" s="468"/>
      <c r="AE100" s="468"/>
      <c r="AF100" s="4"/>
      <c r="AG100" s="88"/>
      <c r="AH100" s="4"/>
      <c r="AI100" s="4"/>
      <c r="AJ100" s="468"/>
      <c r="AK100" s="468"/>
      <c r="AL100" s="468"/>
      <c r="AM100" s="468" t="s">
        <v>486</v>
      </c>
      <c r="AN100" s="10">
        <v>5.5</v>
      </c>
      <c r="AO100" s="9"/>
      <c r="AP100" s="9"/>
      <c r="AQ100" s="9"/>
      <c r="AR100" s="9"/>
      <c r="AS100" s="9"/>
      <c r="AT100" s="9">
        <f>+ab($T$100,$T$98,$T$102,$G$99,$G$101, 1*$F$100,1200)</f>
        <v>9.0614126315851067</v>
      </c>
      <c r="AU100" s="447"/>
      <c r="AV100" s="447"/>
      <c r="AW100" s="468" t="s">
        <v>2574</v>
      </c>
      <c r="AX100" s="468" t="s">
        <v>199</v>
      </c>
      <c r="AY100" s="10"/>
      <c r="AZ100" s="10"/>
      <c r="BA100" s="553" t="str">
        <f t="shared" si="5"/>
        <v/>
      </c>
      <c r="BB100" s="553" t="str">
        <f t="shared" si="5"/>
        <v/>
      </c>
      <c r="BC100" s="553" t="str">
        <f t="shared" si="6"/>
        <v>ü</v>
      </c>
      <c r="BD100" s="572" t="str">
        <f>IF(AND(L100="",H100=""),"",
IF(H100="",Pole_Calc!A$9,
IF(H100="MP",Pole_Calc!A$10,
IF(H100="AnMP",Pole_Calc!A$11,
IF(H100="A",Pole_Calc!A$12,
IF(H100="S/A",Pole_Calc!A$13,
IF(H100="A/S",Pole_Calc!A$14,"Poner a mano")))))))</f>
        <v>App.7-V11H-P9.5.1.1</v>
      </c>
      <c r="BE100" s="448" t="s">
        <v>1726</v>
      </c>
      <c r="BF100" s="306"/>
      <c r="BG100" s="306"/>
      <c r="BH100" s="306"/>
      <c r="BI100" s="306"/>
    </row>
    <row r="101" spans="1:61" ht="16.2" customHeight="1">
      <c r="A101" s="573"/>
      <c r="B101" s="469"/>
      <c r="C101" s="3"/>
      <c r="D101" s="88"/>
      <c r="E101" s="4"/>
      <c r="F101" s="4"/>
      <c r="G101" s="6">
        <v>50</v>
      </c>
      <c r="H101" s="468"/>
      <c r="I101" s="468"/>
      <c r="J101" s="3">
        <f>C102-7.5</f>
        <v>2079.8500000000004</v>
      </c>
      <c r="K101" s="468" t="s">
        <v>1095</v>
      </c>
      <c r="L101" s="468"/>
      <c r="M101" s="468" t="str">
        <f>IF(L101="","",
IF(AX101="PT",VLOOKUP(L101,Foundation_Calc!$V$79:$X$112,VLOOKUP(AX101,Foundation_Calc!$I$10:$J$13,2,FALSE),0),
IF(AX101="K",VLOOKUP(L101,Foundation_Calc!$V$116:$X$149,VLOOKUP(AX101,Foundation_Calc!$I$10:$J$13,2,FALSE),0),"")))</f>
        <v/>
      </c>
      <c r="N101" s="468"/>
      <c r="O101" s="468"/>
      <c r="P101" s="468"/>
      <c r="Q101" s="4"/>
      <c r="R101" s="6"/>
      <c r="S101" s="6"/>
      <c r="T101" s="4"/>
      <c r="U101" s="4"/>
      <c r="V101" s="4"/>
      <c r="W101" s="9"/>
      <c r="X101" s="9"/>
      <c r="Y101" s="9"/>
      <c r="Z101" s="9"/>
      <c r="AA101" s="9"/>
      <c r="AB101" s="9"/>
      <c r="AC101" s="468" t="str">
        <f t="shared" si="7"/>
        <v/>
      </c>
      <c r="AD101" s="468"/>
      <c r="AE101" s="468"/>
      <c r="AF101" s="4"/>
      <c r="AG101" s="88"/>
      <c r="AH101" s="4"/>
      <c r="AI101" s="4"/>
      <c r="AJ101" s="468"/>
      <c r="AK101" s="468"/>
      <c r="AL101" s="468"/>
      <c r="AM101" s="468"/>
      <c r="AN101" s="10"/>
      <c r="AO101" s="9"/>
      <c r="AP101" s="9"/>
      <c r="AQ101" s="9">
        <f>+FL_1($T$102,$T$100,$G$101,1200,9.28, 1*$F$102)</f>
        <v>0.34489941866666668</v>
      </c>
      <c r="AR101" s="9"/>
      <c r="AS101" s="9"/>
      <c r="AT101" s="9"/>
      <c r="AU101" s="447"/>
      <c r="AV101" s="447"/>
      <c r="AW101" s="468"/>
      <c r="AX101" s="468"/>
      <c r="AY101" s="10"/>
      <c r="AZ101" s="10"/>
      <c r="BA101" s="553" t="str">
        <f t="shared" si="5"/>
        <v/>
      </c>
      <c r="BB101" s="553" t="str">
        <f t="shared" si="5"/>
        <v/>
      </c>
      <c r="BC101" s="553" t="str">
        <f t="shared" si="6"/>
        <v/>
      </c>
      <c r="BD101" s="572" t="str">
        <f>IF(AND(L101="",H101=""),"",
IF(H101="",Pole_Calc!A$9,
IF(H101="MP",Pole_Calc!A$10,
IF(H101="AnMP",Pole_Calc!A$11,
IF(H101="A",Pole_Calc!A$12,
IF(H101="S/A",Pole_Calc!A$13,
IF(H101="A/S",Pole_Calc!A$14,"Poner a mano")))))))</f>
        <v/>
      </c>
      <c r="BE101" s="448" t="s">
        <v>1726</v>
      </c>
      <c r="BF101" s="305"/>
      <c r="BG101" s="305"/>
      <c r="BH101" s="306"/>
      <c r="BI101" s="305"/>
    </row>
    <row r="102" spans="1:61" ht="16.2" customHeight="1">
      <c r="A102" s="573"/>
      <c r="B102" s="638" t="s">
        <v>1906</v>
      </c>
      <c r="C102" s="3">
        <f>+$C$100+$G$101</f>
        <v>2087.3500000000004</v>
      </c>
      <c r="D102" s="88"/>
      <c r="E102" s="4"/>
      <c r="F102" s="4">
        <v>0</v>
      </c>
      <c r="G102" s="6"/>
      <c r="H102" s="468" t="s">
        <v>26</v>
      </c>
      <c r="I102" s="468" t="s">
        <v>182</v>
      </c>
      <c r="J102" s="3"/>
      <c r="K102" s="468"/>
      <c r="L102" s="468" t="s">
        <v>452</v>
      </c>
      <c r="M102" s="468" t="s">
        <v>1625</v>
      </c>
      <c r="N102" s="468" t="s">
        <v>32</v>
      </c>
      <c r="O102" s="468"/>
      <c r="P102" s="468"/>
      <c r="Q102" s="4"/>
      <c r="R102" s="6"/>
      <c r="S102" s="6"/>
      <c r="T102" s="4">
        <v>-25</v>
      </c>
      <c r="U102" s="4"/>
      <c r="V102" s="4"/>
      <c r="W102" s="9">
        <v>1.4</v>
      </c>
      <c r="X102" s="9"/>
      <c r="Y102" s="9"/>
      <c r="Z102" s="9"/>
      <c r="AA102" s="9"/>
      <c r="AB102" s="9"/>
      <c r="AC102" s="468" t="str">
        <f t="shared" si="7"/>
        <v>PH</v>
      </c>
      <c r="AD102" s="468"/>
      <c r="AE102" s="468"/>
      <c r="AF102" s="4"/>
      <c r="AG102" s="88"/>
      <c r="AH102" s="4"/>
      <c r="AI102" s="4"/>
      <c r="AJ102" s="468"/>
      <c r="AK102" s="468"/>
      <c r="AL102" s="468"/>
      <c r="AM102" s="468" t="s">
        <v>486</v>
      </c>
      <c r="AN102" s="10">
        <v>5.5</v>
      </c>
      <c r="AO102" s="9"/>
      <c r="AP102" s="9"/>
      <c r="AQ102" s="9"/>
      <c r="AR102" s="9"/>
      <c r="AS102" s="9"/>
      <c r="AT102" s="9">
        <f>+ab($T$102,$T$100,$U$104,$G$101,$G$103, 1*$F$102,1200)</f>
        <v>-10.917369645313787</v>
      </c>
      <c r="AU102" s="447"/>
      <c r="AV102" s="447"/>
      <c r="AW102" s="468" t="s">
        <v>2574</v>
      </c>
      <c r="AX102" s="468" t="s">
        <v>199</v>
      </c>
      <c r="AY102" s="10"/>
      <c r="AZ102" s="10"/>
      <c r="BA102" s="553" t="str">
        <f t="shared" si="5"/>
        <v/>
      </c>
      <c r="BB102" s="553" t="str">
        <f t="shared" si="5"/>
        <v/>
      </c>
      <c r="BC102" s="553" t="str">
        <f t="shared" si="6"/>
        <v>ü</v>
      </c>
      <c r="BD102" s="572" t="str">
        <f>IF(AND(L102="",H102=""),"",
IF(H102="",Pole_Calc!A$9,
IF(H102="MP",Pole_Calc!A$10,
IF(H102="AnMP",Pole_Calc!A$11,
IF(H102="A",Pole_Calc!A$12,
IF(H102="S/A",Pole_Calc!A$13,
IF(H102="A/S",Pole_Calc!A$14,"Poner a mano")))))))</f>
        <v>App.7-V11H-P9.5.1.6</v>
      </c>
      <c r="BE102" s="448" t="s">
        <v>1726</v>
      </c>
      <c r="BF102" s="306"/>
      <c r="BG102" s="306"/>
      <c r="BH102" s="306"/>
      <c r="BI102" s="306"/>
    </row>
    <row r="103" spans="1:61" ht="16.2" customHeight="1" thickBot="1">
      <c r="A103" s="575"/>
      <c r="B103" s="518"/>
      <c r="C103" s="519"/>
      <c r="D103" s="520"/>
      <c r="E103" s="521"/>
      <c r="F103" s="521"/>
      <c r="G103" s="522">
        <v>55</v>
      </c>
      <c r="H103" s="523"/>
      <c r="I103" s="523"/>
      <c r="J103" s="519"/>
      <c r="K103" s="523"/>
      <c r="L103" s="523"/>
      <c r="M103" s="523" t="str">
        <f>IF(L103="","",
IF(AX103="PT",VLOOKUP(L103,Foundation_Calc!$V$79:$X$112,VLOOKUP(AX103,Foundation_Calc!$I$10:$J$13,2,FALSE),0),
IF(AX103="K",VLOOKUP(L103,Foundation_Calc!$V$116:$X$149,VLOOKUP(AX103,Foundation_Calc!$I$10:$J$13,2,FALSE),0),"")))</f>
        <v/>
      </c>
      <c r="N103" s="523"/>
      <c r="O103" s="523"/>
      <c r="P103" s="523"/>
      <c r="Q103" s="521"/>
      <c r="R103" s="522"/>
      <c r="S103" s="522"/>
      <c r="T103" s="521"/>
      <c r="U103" s="521"/>
      <c r="V103" s="521"/>
      <c r="W103" s="524"/>
      <c r="X103" s="524"/>
      <c r="Y103" s="524"/>
      <c r="Z103" s="524"/>
      <c r="AA103" s="524"/>
      <c r="AB103" s="524"/>
      <c r="AC103" s="523" t="str">
        <f t="shared" si="7"/>
        <v/>
      </c>
      <c r="AD103" s="523"/>
      <c r="AE103" s="523"/>
      <c r="AF103" s="521"/>
      <c r="AG103" s="520"/>
      <c r="AH103" s="521"/>
      <c r="AI103" s="521"/>
      <c r="AJ103" s="523"/>
      <c r="AK103" s="523"/>
      <c r="AL103" s="523"/>
      <c r="AM103" s="523"/>
      <c r="AN103" s="525"/>
      <c r="AO103" s="524"/>
      <c r="AP103" s="524"/>
      <c r="AQ103" s="524">
        <f>+FL_2($U$104,$T$102,$G$103,1200,9.28, 1*$F$104)</f>
        <v>-0.39359933927272722</v>
      </c>
      <c r="AR103" s="524"/>
      <c r="AS103" s="524"/>
      <c r="AT103" s="524"/>
      <c r="AU103" s="526"/>
      <c r="AV103" s="526"/>
      <c r="AW103" s="523"/>
      <c r="AX103" s="523"/>
      <c r="AY103" s="525"/>
      <c r="AZ103" s="525"/>
      <c r="BA103" s="554" t="str">
        <f t="shared" si="5"/>
        <v/>
      </c>
      <c r="BB103" s="554" t="str">
        <f t="shared" si="5"/>
        <v/>
      </c>
      <c r="BC103" s="554" t="str">
        <f t="shared" si="6"/>
        <v/>
      </c>
      <c r="BD103" s="576" t="str">
        <f>IF(AND(L103="",H103=""),"",
IF(H103="",Pole_Calc!A$9,
IF(H103="MP",Pole_Calc!A$10,
IF(H103="AnMP",Pole_Calc!A$11,
IF(H103="A",Pole_Calc!A$12,
IF(H103="S/A",Pole_Calc!A$13,
IF(H103="A/S",Pole_Calc!A$14,"Poner a mano")))))))</f>
        <v/>
      </c>
      <c r="BE103" s="448" t="s">
        <v>1726</v>
      </c>
      <c r="BF103" s="305"/>
      <c r="BG103" s="305"/>
      <c r="BH103" s="306"/>
      <c r="BI103" s="305"/>
    </row>
    <row r="104" spans="1:61" ht="16.2" customHeight="1" thickTop="1">
      <c r="A104" s="577"/>
      <c r="B104" s="674" t="s">
        <v>1907</v>
      </c>
      <c r="C104" s="606">
        <f>+$C$102+$G$103</f>
        <v>2142.3500000000004</v>
      </c>
      <c r="D104" s="607"/>
      <c r="E104" s="608"/>
      <c r="F104" s="608">
        <v>0</v>
      </c>
      <c r="G104" s="609"/>
      <c r="H104" s="610" t="s">
        <v>179</v>
      </c>
      <c r="I104" s="610"/>
      <c r="J104" s="606"/>
      <c r="K104" s="610"/>
      <c r="L104" s="610" t="s">
        <v>38</v>
      </c>
      <c r="M104" s="610" t="s">
        <v>1625</v>
      </c>
      <c r="N104" s="610" t="s">
        <v>28</v>
      </c>
      <c r="O104" s="610" t="s">
        <v>33</v>
      </c>
      <c r="P104" s="610"/>
      <c r="Q104" s="608"/>
      <c r="R104" s="609"/>
      <c r="S104" s="609"/>
      <c r="T104" s="608">
        <v>55</v>
      </c>
      <c r="U104" s="608">
        <v>10</v>
      </c>
      <c r="V104" s="608"/>
      <c r="W104" s="611">
        <v>1.4</v>
      </c>
      <c r="X104" s="611">
        <v>2.2999999999999998</v>
      </c>
      <c r="Y104" s="611"/>
      <c r="Z104" s="611">
        <v>0.45</v>
      </c>
      <c r="AA104" s="611"/>
      <c r="AB104" s="611"/>
      <c r="AC104" s="610"/>
      <c r="AD104" s="610"/>
      <c r="AE104" s="610"/>
      <c r="AF104" s="608"/>
      <c r="AG104" s="607"/>
      <c r="AH104" s="608"/>
      <c r="AI104" s="608"/>
      <c r="AJ104" s="610"/>
      <c r="AK104" s="610"/>
      <c r="AL104" s="610"/>
      <c r="AM104" s="610" t="s">
        <v>486</v>
      </c>
      <c r="AN104" s="612">
        <v>5.5</v>
      </c>
      <c r="AO104" s="611"/>
      <c r="AP104" s="611"/>
      <c r="AQ104" s="611"/>
      <c r="AR104" s="611"/>
      <c r="AS104" s="611"/>
      <c r="AT104" s="611">
        <f>+ab($U$104,$T$102,$U$106,$G$103,$G$105, 1*$F$104,1200)</f>
        <v>10.315611910966185</v>
      </c>
      <c r="AU104" s="613"/>
      <c r="AV104" s="613"/>
      <c r="AW104" s="610" t="s">
        <v>2574</v>
      </c>
      <c r="AX104" s="610" t="s">
        <v>199</v>
      </c>
      <c r="AY104" s="612" t="str">
        <f>IF(L104="","",
IF(AX104="PT",VLOOKUP(L104,Foundation_Calc!$K$79:$R$112,VLOOKUP(AW104,Foundation_Calc!$I$2:$J$8,2,FALSE),0),
IF(AX104="K",VLOOKUP(L104,Foundation_Calc!$K$116:$R$149,VLOOKUP(AW104,Foundation_Calc!$I$2:$J$8,2,FALSE),0),"")))</f>
        <v/>
      </c>
      <c r="AZ104" s="612" t="str">
        <f>IF(K104="","",
IF(AX104="PT",VLOOKUP(K104,Foundation_Calc!$K$79:$R$112,VLOOKUP(AW104,Foundation_Calc!$I$2:$J$8,2,FALSE),0),
IF(AX104="K",VLOOKUP(K104,Foundation_Calc!$K$116:$R$149,VLOOKUP(AW104,Foundation_Calc!$I$2:$J$8,2,FALSE),0),"")))</f>
        <v/>
      </c>
      <c r="BA104" s="639" t="str">
        <f t="shared" si="5"/>
        <v/>
      </c>
      <c r="BB104" s="639" t="str">
        <f t="shared" si="5"/>
        <v/>
      </c>
      <c r="BC104" s="639" t="str">
        <f t="shared" si="6"/>
        <v>ü</v>
      </c>
      <c r="BD104" s="578" t="str">
        <f>IF(AND(L104="",H104=""),"",
IF(H104="",Pole_Calc!A$9,
IF(H104="MP",Pole_Calc!A$10,
IF(H104="AnMP",Pole_Calc!A$11,
IF(H104="A",Pole_Calc!A$12,
IF(H104="S/A",Pole_Calc!A$13,
IF(H104="A/S",Pole_Calc!A$14,"Poner a mano")))))))</f>
        <v>App.7-V11H-P9.5.1.5</v>
      </c>
      <c r="BE104" s="448" t="s">
        <v>1726</v>
      </c>
      <c r="BF104" s="306"/>
      <c r="BG104" s="306"/>
      <c r="BH104" s="306"/>
      <c r="BI104" s="306"/>
    </row>
    <row r="105" spans="1:61" ht="16.2" customHeight="1">
      <c r="A105" s="573"/>
      <c r="B105" s="469"/>
      <c r="C105" s="3"/>
      <c r="D105" s="88"/>
      <c r="E105" s="4"/>
      <c r="F105" s="4"/>
      <c r="G105" s="6">
        <v>54</v>
      </c>
      <c r="H105" s="468"/>
      <c r="I105" s="468"/>
      <c r="J105" s="3"/>
      <c r="K105" s="468"/>
      <c r="L105" s="468"/>
      <c r="M105" s="468" t="str">
        <f>IF(L105="","",
IF(AX105="PT",VLOOKUP(L105,Foundation_Calc!$V$4:$X$37,VLOOKUP(AX105,Foundation_Calc!$I$10:$J$13,2,FALSE),0),
IF(AX105="K",VLOOKUP(L105,Foundation_Calc!$V$41:$X$74,VLOOKUP(AX105,Foundation_Calc!$I$10:$J$13,2,FALSE),0),"")))</f>
        <v/>
      </c>
      <c r="N105" s="468"/>
      <c r="O105" s="468"/>
      <c r="P105" s="468"/>
      <c r="Q105" s="4"/>
      <c r="R105" s="6"/>
      <c r="S105" s="6"/>
      <c r="T105" s="4"/>
      <c r="U105" s="4"/>
      <c r="V105" s="4"/>
      <c r="W105" s="9"/>
      <c r="X105" s="9"/>
      <c r="Y105" s="9"/>
      <c r="Z105" s="9"/>
      <c r="AA105" s="9"/>
      <c r="AB105" s="9"/>
      <c r="AC105" s="468" t="str">
        <f t="shared" si="7"/>
        <v/>
      </c>
      <c r="AD105" s="468"/>
      <c r="AE105" s="468"/>
      <c r="AF105" s="4"/>
      <c r="AG105" s="88"/>
      <c r="AH105" s="4"/>
      <c r="AI105" s="4"/>
      <c r="AJ105" s="468"/>
      <c r="AK105" s="468"/>
      <c r="AL105" s="468"/>
      <c r="AM105" s="468"/>
      <c r="AN105" s="10"/>
      <c r="AO105" s="9"/>
      <c r="AP105" s="9"/>
      <c r="AQ105" s="9">
        <f>+FL_1($T$106,$U$104,$G$105,1200,9.28, 1*$F$106)</f>
        <v>0.2907490220740741</v>
      </c>
      <c r="AR105" s="9"/>
      <c r="AS105" s="9"/>
      <c r="AT105" s="9"/>
      <c r="AU105" s="447"/>
      <c r="AV105" s="447"/>
      <c r="AW105" s="468" t="str">
        <f>IF(C105&gt;0,VLOOKUP(C105,Foundation_Calc!$A$2:$C$13,3,1),
IF(J105&gt;0,VLOOKUP(J105,Foundation_Calc!$A$2:$C$13,3,1),""))</f>
        <v/>
      </c>
      <c r="AX105" s="468" t="str">
        <f>IF(C105&gt;0,VLOOKUP(C105,Foundation_Calc!$E$2:$G$13,3,1),
IF(J105&gt;0,VLOOKUP(J105,Foundation_Calc!$E$2:$G$13,3,1),""))</f>
        <v/>
      </c>
      <c r="AY105" s="10" t="str">
        <f>IF(L105="","",
IF(AX105="PT",VLOOKUP(L105,Foundation_Calc!$K$4:$R$37,VLOOKUP(AW105,Foundation_Calc!$I$2:$J$8,2,FALSE),0),
IF(AX105="K",VLOOKUP(L105,Foundation_Calc!$K$41:$R$74,VLOOKUP(AW105,Foundation_Calc!$I$2:$J$8,2,FALSE),0),"")))</f>
        <v/>
      </c>
      <c r="AZ105" s="10" t="str">
        <f>IF(K105="","",
IF(AX105="PT",VLOOKUP(K105,Foundation_Calc!$K$4:$R$37,VLOOKUP(AW105,Foundation_Calc!$I$2:$J$8,2,FALSE),0),
IF(AX105="K",VLOOKUP(K105,Foundation_Calc!$K$41:$R$74,VLOOKUP(AW105,Foundation_Calc!$I$2:$J$8,2,FALSE),0),"")))</f>
        <v/>
      </c>
      <c r="BA105" s="553" t="str">
        <f t="shared" si="5"/>
        <v/>
      </c>
      <c r="BB105" s="553" t="str">
        <f t="shared" si="5"/>
        <v/>
      </c>
      <c r="BC105" s="553" t="str">
        <f t="shared" si="6"/>
        <v/>
      </c>
      <c r="BD105" s="572" t="str">
        <f>IF(AND(L105="",H105=""),"",
IF(H105="",Pole_Calc!A$9,
IF(H105="MP",Pole_Calc!A$10,
IF(H105="AnMP",Pole_Calc!A$11,
IF(H105="A",Pole_Calc!A$12,
IF(H105="S/A",Pole_Calc!A$13,
IF(H105="A/S",Pole_Calc!A$14,"Poner a mano")))))))</f>
        <v/>
      </c>
      <c r="BE105" s="448" t="s">
        <v>1726</v>
      </c>
      <c r="BF105" s="305"/>
      <c r="BG105" s="305"/>
      <c r="BH105" s="306"/>
      <c r="BI105" s="305"/>
    </row>
    <row r="106" spans="1:61" ht="16.2" customHeight="1">
      <c r="A106" s="573" t="s">
        <v>2373</v>
      </c>
      <c r="B106" s="638" t="s">
        <v>1908</v>
      </c>
      <c r="C106" s="3">
        <f>+$C$104+$G$105</f>
        <v>2196.3500000000004</v>
      </c>
      <c r="D106" s="88"/>
      <c r="E106" s="4"/>
      <c r="F106" s="4">
        <v>0</v>
      </c>
      <c r="G106" s="6"/>
      <c r="H106" s="468" t="s">
        <v>179</v>
      </c>
      <c r="I106" s="468" t="s">
        <v>653</v>
      </c>
      <c r="J106" s="3"/>
      <c r="K106" s="468"/>
      <c r="L106" s="468" t="s">
        <v>787</v>
      </c>
      <c r="M106" s="468" t="str">
        <f>IF(L106="","",
IF(AX106="PT",VLOOKUP(L106,Foundation_Calc!$V$79:$X$112,VLOOKUP(AX106,Foundation_Calc!$I$10:$J$13,2,FALSE),0),
IF(AX106="K",VLOOKUP(L106,Foundation_Calc!$V$116:$X$149,VLOOKUP(AX106,Foundation_Calc!$I$10:$J$13,2,FALSE),0),"")))</f>
        <v>2C3R</v>
      </c>
      <c r="N106" s="468" t="s">
        <v>32</v>
      </c>
      <c r="O106" s="468" t="s">
        <v>28</v>
      </c>
      <c r="P106" s="468"/>
      <c r="Q106" s="4"/>
      <c r="R106" s="6"/>
      <c r="S106" s="6"/>
      <c r="T106" s="4">
        <v>-10</v>
      </c>
      <c r="U106" s="4">
        <v>-55</v>
      </c>
      <c r="V106" s="4"/>
      <c r="W106" s="9">
        <v>1.4</v>
      </c>
      <c r="X106" s="9">
        <v>2.2999999999999998</v>
      </c>
      <c r="Y106" s="9"/>
      <c r="Z106" s="9"/>
      <c r="AA106" s="9">
        <v>0.45</v>
      </c>
      <c r="AB106" s="9"/>
      <c r="AC106" s="468" t="str">
        <f t="shared" si="7"/>
        <v>PH</v>
      </c>
      <c r="AD106" s="468"/>
      <c r="AE106" s="468"/>
      <c r="AF106" s="4"/>
      <c r="AG106" s="88"/>
      <c r="AH106" s="4"/>
      <c r="AI106" s="4"/>
      <c r="AJ106" s="468" t="s">
        <v>1162</v>
      </c>
      <c r="AK106" s="468"/>
      <c r="AL106" s="468"/>
      <c r="AM106" s="468" t="s">
        <v>486</v>
      </c>
      <c r="AN106" s="10">
        <v>5.5</v>
      </c>
      <c r="AO106" s="9"/>
      <c r="AP106" s="9"/>
      <c r="AQ106" s="9"/>
      <c r="AR106" s="9"/>
      <c r="AS106" s="9"/>
      <c r="AT106" s="9">
        <f>+ab($T$106,$T$104,$T$108,$G$105,$G$107, 1*$F$106,1200)</f>
        <v>-9.5689118898584518</v>
      </c>
      <c r="AU106" s="447"/>
      <c r="AV106" s="447"/>
      <c r="AW106" s="468" t="str">
        <f>IF(C106&gt;0,VLOOKUP(C106,Foundation_Calc!$A$2:$C$13,3,1),
IF(J106&gt;0,VLOOKUP(J106,Foundation_Calc!$A$2:$C$13,3,1),""))</f>
        <v>MultiSoil</v>
      </c>
      <c r="AX106" s="468" t="str">
        <f>IF(C106&gt;0,VLOOKUP(C106,Foundation_Calc!$E$2:$G$13,3,1),
IF(J106&gt;0,VLOOKUP(J106,Foundation_Calc!$E$2:$G$13,3,1),""))</f>
        <v>PT</v>
      </c>
      <c r="AY106" s="10">
        <f>IF(L106="","",
IF(AX106="PT",VLOOKUP(L106,Foundation_Calc!$K$79:$R$112,VLOOKUP(AW106,Foundation_Calc!$I$2:$J$8,2,FALSE),0),
IF(AX106="K",VLOOKUP(L106,Foundation_Calc!$K$116:$R$149,VLOOKUP(AW106,Foundation_Calc!$I$2:$J$8,2,FALSE),0),"")))</f>
        <v>4</v>
      </c>
      <c r="AZ106" s="10" t="str">
        <f>IF(K106="","",
IF(AX106="PT",VLOOKUP(K106,Foundation_Calc!$K$79:$R$112,VLOOKUP(AW106,Foundation_Calc!$I$2:$J$8,2,FALSE),0),
IF(AX106="K",VLOOKUP(K106,Foundation_Calc!$K$116:$R$149,VLOOKUP(AW106,Foundation_Calc!$I$2:$J$8,2,FALSE),0),"")))</f>
        <v/>
      </c>
      <c r="BA106" s="553" t="str">
        <f t="shared" si="5"/>
        <v>ü</v>
      </c>
      <c r="BB106" s="553" t="str">
        <f t="shared" si="5"/>
        <v/>
      </c>
      <c r="BC106" s="553" t="str">
        <f t="shared" si="6"/>
        <v/>
      </c>
      <c r="BD106" s="572" t="str">
        <f>IF(AND(L106="",H106=""),"",
IF(H106="",Pole_Calc!A$9,
IF(H106="MP",Pole_Calc!A$10,
IF(H106="AnMP",Pole_Calc!A$11,
IF(H106="A",Pole_Calc!A$12,
IF(H106="S/A",Pole_Calc!A$13,
IF(H106="A/S",Pole_Calc!A$14,"Poner a mano")))))))</f>
        <v>App.7-V11H-P9.5.1.5</v>
      </c>
      <c r="BE106" s="448" t="s">
        <v>1726</v>
      </c>
      <c r="BF106" s="306"/>
      <c r="BG106" s="306"/>
      <c r="BH106" s="306"/>
      <c r="BI106" s="306"/>
    </row>
    <row r="107" spans="1:61" ht="16.2" customHeight="1">
      <c r="A107" s="573" t="s">
        <v>2555</v>
      </c>
      <c r="B107" s="469"/>
      <c r="C107" s="3"/>
      <c r="D107" s="88"/>
      <c r="E107" s="4"/>
      <c r="F107" s="4"/>
      <c r="G107" s="6">
        <v>44.7</v>
      </c>
      <c r="H107" s="468"/>
      <c r="I107" s="677" t="s">
        <v>482</v>
      </c>
      <c r="J107" s="3"/>
      <c r="K107" s="468"/>
      <c r="L107" s="468"/>
      <c r="M107" s="468" t="str">
        <f>IF(L107="","",
IF(AX107="PT",VLOOKUP(L107,Foundation_Calc!$V$4:$X$37,VLOOKUP(AX107,Foundation_Calc!$I$10:$J$13,2,FALSE),0),
IF(AX107="K",VLOOKUP(L107,Foundation_Calc!$V$41:$X$74,VLOOKUP(AX107,Foundation_Calc!$I$10:$J$13,2,FALSE),0),"")))</f>
        <v/>
      </c>
      <c r="N107" s="468"/>
      <c r="O107" s="468"/>
      <c r="P107" s="468"/>
      <c r="Q107" s="4"/>
      <c r="R107" s="6"/>
      <c r="S107" s="6"/>
      <c r="T107" s="4"/>
      <c r="U107" s="4"/>
      <c r="V107" s="4"/>
      <c r="W107" s="9"/>
      <c r="X107" s="9"/>
      <c r="Y107" s="9"/>
      <c r="Z107" s="9"/>
      <c r="AA107" s="9"/>
      <c r="AB107" s="9"/>
      <c r="AC107" s="468" t="str">
        <f t="shared" si="7"/>
        <v/>
      </c>
      <c r="AD107" s="468"/>
      <c r="AE107" s="468"/>
      <c r="AF107" s="4"/>
      <c r="AG107" s="88"/>
      <c r="AH107" s="4"/>
      <c r="AI107" s="4"/>
      <c r="AJ107" s="468"/>
      <c r="AK107" s="468"/>
      <c r="AL107" s="468"/>
      <c r="AM107" s="468"/>
      <c r="AN107" s="10"/>
      <c r="AO107" s="9"/>
      <c r="AP107" s="9"/>
      <c r="AQ107" s="9">
        <f>+FL_1($T$108,$T$106,$G$107,1200,9.28, 1*$F$108)</f>
        <v>0.30778783893512307</v>
      </c>
      <c r="AR107" s="9"/>
      <c r="AS107" s="9"/>
      <c r="AT107" s="9"/>
      <c r="AU107" s="447"/>
      <c r="AV107" s="447"/>
      <c r="AW107" s="468" t="str">
        <f>IF(C107&gt;0,VLOOKUP(C107,Foundation_Calc!$A$2:$C$13,3,1),
IF(J107&gt;0,VLOOKUP(J107,Foundation_Calc!$A$2:$C$13,3,1),""))</f>
        <v/>
      </c>
      <c r="AX107" s="468" t="str">
        <f>IF(C107&gt;0,VLOOKUP(C107,Foundation_Calc!$E$2:$G$13,3,1),
IF(J107&gt;0,VLOOKUP(J107,Foundation_Calc!$E$2:$G$13,3,1),""))</f>
        <v/>
      </c>
      <c r="AY107" s="10" t="str">
        <f>IF(L107="","",
IF(AX107="PT",VLOOKUP(L107,Foundation_Calc!$K$79:$R$112,VLOOKUP(AW107,Foundation_Calc!$I$2:$J$8,2,FALSE),0),
IF(AX107="K",VLOOKUP(L107,Foundation_Calc!$K$116:$R$149,VLOOKUP(AW107,Foundation_Calc!$I$2:$J$8,2,FALSE),0),"")))</f>
        <v/>
      </c>
      <c r="AZ107" s="10" t="str">
        <f>IF(K107="","",
IF(AX107="PT",VLOOKUP(K107,Foundation_Calc!$K$79:$R$112,VLOOKUP(AW107,Foundation_Calc!$I$2:$J$8,2,FALSE),0),
IF(AX107="K",VLOOKUP(K107,Foundation_Calc!$K$116:$R$149,VLOOKUP(AW107,Foundation_Calc!$I$2:$J$8,2,FALSE),0),"")))</f>
        <v/>
      </c>
      <c r="BA107" s="553" t="str">
        <f t="shared" si="5"/>
        <v/>
      </c>
      <c r="BB107" s="553" t="str">
        <f t="shared" si="5"/>
        <v/>
      </c>
      <c r="BC107" s="553" t="str">
        <f t="shared" si="6"/>
        <v/>
      </c>
      <c r="BD107" s="572" t="str">
        <f>IF(AND(L107="",H107=""),"",
IF(H107="",Pole_Calc!A$9,
IF(H107="MP",Pole_Calc!A$10,
IF(H107="AnMP",Pole_Calc!A$11,
IF(H107="A",Pole_Calc!A$12,
IF(H107="S/A",Pole_Calc!A$13,
IF(H107="A/S",Pole_Calc!A$14,"Poner a mano")))))))</f>
        <v/>
      </c>
      <c r="BE107" s="448" t="s">
        <v>1726</v>
      </c>
      <c r="BF107" s="305"/>
      <c r="BG107" s="305"/>
      <c r="BH107" s="306"/>
      <c r="BI107" s="305"/>
    </row>
    <row r="108" spans="1:61" ht="16.2" customHeight="1">
      <c r="A108" s="573"/>
      <c r="B108" s="638" t="s">
        <v>1909</v>
      </c>
      <c r="C108" s="3">
        <f>+$C$106+$G$107</f>
        <v>2241.0500000000002</v>
      </c>
      <c r="D108" s="88"/>
      <c r="E108" s="4"/>
      <c r="F108" s="4">
        <v>0</v>
      </c>
      <c r="G108" s="6"/>
      <c r="H108" s="468" t="s">
        <v>26</v>
      </c>
      <c r="I108" s="468" t="s">
        <v>183</v>
      </c>
      <c r="J108" s="3">
        <f>C108+7.5</f>
        <v>2248.5500000000002</v>
      </c>
      <c r="K108" s="468" t="s">
        <v>1095</v>
      </c>
      <c r="L108" s="468" t="s">
        <v>452</v>
      </c>
      <c r="M108" s="468" t="str">
        <f>IF(L108="","",
IF(AX108="PT",VLOOKUP(L108,Foundation_Calc!$V$79:$X$112,VLOOKUP(AX108,Foundation_Calc!$I$10:$J$13,2,FALSE),0),
IF(AX108="K",VLOOKUP(L108,Foundation_Calc!$V$116:$X$149,VLOOKUP(AX108,Foundation_Calc!$I$10:$J$13,2,FALSE),0),"")))</f>
        <v>C4R</v>
      </c>
      <c r="N108" s="468" t="s">
        <v>33</v>
      </c>
      <c r="O108" s="468"/>
      <c r="P108" s="468"/>
      <c r="Q108" s="4"/>
      <c r="R108" s="6"/>
      <c r="S108" s="6"/>
      <c r="T108" s="4">
        <v>25</v>
      </c>
      <c r="U108" s="4"/>
      <c r="V108" s="4"/>
      <c r="W108" s="9">
        <v>1.4</v>
      </c>
      <c r="X108" s="9"/>
      <c r="Y108" s="9"/>
      <c r="Z108" s="9"/>
      <c r="AA108" s="9"/>
      <c r="AB108" s="9"/>
      <c r="AC108" s="468" t="str">
        <f t="shared" si="7"/>
        <v>PH</v>
      </c>
      <c r="AD108" s="468"/>
      <c r="AE108" s="468"/>
      <c r="AF108" s="4"/>
      <c r="AG108" s="88"/>
      <c r="AH108" s="4"/>
      <c r="AI108" s="4"/>
      <c r="AJ108" s="468"/>
      <c r="AK108" s="468"/>
      <c r="AL108" s="468"/>
      <c r="AM108" s="468" t="s">
        <v>486</v>
      </c>
      <c r="AN108" s="10">
        <v>5.5</v>
      </c>
      <c r="AO108" s="9"/>
      <c r="AP108" s="9"/>
      <c r="AQ108" s="9"/>
      <c r="AR108" s="9"/>
      <c r="AS108" s="9"/>
      <c r="AT108" s="9">
        <f>+ab($T$108,$T$106,$T$110,$G$107,$G$109, 1*$F$108,1200)</f>
        <v>8.0501268686534466</v>
      </c>
      <c r="AU108" s="447"/>
      <c r="AV108" s="447"/>
      <c r="AW108" s="468" t="str">
        <f>IF(C108&gt;0,VLOOKUP(C108,Foundation_Calc!$A$2:$C$13,3,1),
IF(J108&gt;0,VLOOKUP(J108,Foundation_Calc!$A$2:$C$13,3,1),""))</f>
        <v>MultiSoil</v>
      </c>
      <c r="AX108" s="468" t="str">
        <f>IF(C108&gt;0,VLOOKUP(C108,Foundation_Calc!$E$2:$G$13,3,1),
IF(J108&gt;0,VLOOKUP(J108,Foundation_Calc!$E$2:$G$13,3,1),""))</f>
        <v>PT</v>
      </c>
      <c r="AY108" s="10">
        <f>IF(L108="","",
IF(AX108="PT",VLOOKUP(L108,Foundation_Calc!$K$79:$R$112,VLOOKUP(AW108,Foundation_Calc!$I$2:$J$8,2,FALSE),0),
IF(AX108="K",VLOOKUP(L108,Foundation_Calc!$K$116:$R$149,VLOOKUP(AW108,Foundation_Calc!$I$2:$J$8,2,FALSE),0),"")))</f>
        <v>3.5</v>
      </c>
      <c r="AZ108" s="10">
        <f>IF(K108="","",
IF(AX108="PT",VLOOKUP(K108,Foundation_Calc!$K$79:$R$112,VLOOKUP(AW108,Foundation_Calc!$I$2:$J$8,2,FALSE),0),
IF(AX108="K",VLOOKUP(K108,Foundation_Calc!$K$116:$R$149,VLOOKUP(AW108,Foundation_Calc!$I$2:$J$8,2,FALSE),0),"")))</f>
        <v>3.9</v>
      </c>
      <c r="BA108" s="553" t="str">
        <f t="shared" si="5"/>
        <v>ü</v>
      </c>
      <c r="BB108" s="553" t="str">
        <f t="shared" si="5"/>
        <v>ü</v>
      </c>
      <c r="BC108" s="553" t="str">
        <f t="shared" si="6"/>
        <v/>
      </c>
      <c r="BD108" s="572" t="str">
        <f>IF(AND(L108="",H108=""),"",
IF(H108="",Pole_Calc!A$9,
IF(H108="MP",Pole_Calc!A$10,
IF(H108="AnMP",Pole_Calc!A$11,
IF(H108="A",Pole_Calc!A$12,
IF(H108="S/A",Pole_Calc!A$13,
IF(H108="A/S",Pole_Calc!A$14,"Poner a mano")))))))</f>
        <v>App.7-V11H-P9.5.1.6</v>
      </c>
      <c r="BE108" s="448" t="s">
        <v>1726</v>
      </c>
      <c r="BF108" s="306"/>
      <c r="BG108" s="306"/>
      <c r="BH108" s="306"/>
      <c r="BI108" s="306"/>
    </row>
    <row r="109" spans="1:61" ht="16.2" customHeight="1">
      <c r="A109" s="573"/>
      <c r="B109" s="469"/>
      <c r="C109" s="3"/>
      <c r="D109" s="88"/>
      <c r="E109" s="4"/>
      <c r="F109" s="4"/>
      <c r="G109" s="6">
        <v>34.700000000000003</v>
      </c>
      <c r="H109" s="468"/>
      <c r="I109" s="468"/>
      <c r="J109" s="3">
        <f>C108+9.5</f>
        <v>2250.5500000000002</v>
      </c>
      <c r="K109" s="468" t="s">
        <v>1096</v>
      </c>
      <c r="L109" s="468"/>
      <c r="M109" s="468" t="str">
        <f>IF(L109="","",
IF(AX109="PT",VLOOKUP(L109,Foundation_Calc!$V$79:$X$112,VLOOKUP(AX109,Foundation_Calc!$I$10:$J$13,2,FALSE),0),
IF(AX109="K",VLOOKUP(L109,Foundation_Calc!$V$116:$X$149,VLOOKUP(AX109,Foundation_Calc!$I$10:$J$13,2,FALSE),0),"")))</f>
        <v/>
      </c>
      <c r="N109" s="468"/>
      <c r="O109" s="468"/>
      <c r="P109" s="468"/>
      <c r="Q109" s="4"/>
      <c r="R109" s="6"/>
      <c r="S109" s="6"/>
      <c r="T109" s="4"/>
      <c r="U109" s="4"/>
      <c r="V109" s="4"/>
      <c r="W109" s="9"/>
      <c r="X109" s="9"/>
      <c r="Y109" s="9"/>
      <c r="Z109" s="9"/>
      <c r="AA109" s="9"/>
      <c r="AB109" s="9"/>
      <c r="AC109" s="468" t="str">
        <f t="shared" si="7"/>
        <v/>
      </c>
      <c r="AD109" s="468"/>
      <c r="AE109" s="468"/>
      <c r="AF109" s="4"/>
      <c r="AG109" s="88"/>
      <c r="AH109" s="4"/>
      <c r="AI109" s="4"/>
      <c r="AJ109" s="468"/>
      <c r="AK109" s="468"/>
      <c r="AL109" s="468"/>
      <c r="AM109" s="468"/>
      <c r="AN109" s="10"/>
      <c r="AO109" s="9"/>
      <c r="AP109" s="9"/>
      <c r="AQ109" s="9">
        <f>+FL_2($T$110,$T$108,$G$109,1200,9.28, 1*$F$110)</f>
        <v>-0.3</v>
      </c>
      <c r="AR109" s="9"/>
      <c r="AS109" s="9"/>
      <c r="AT109" s="9"/>
      <c r="AU109" s="447"/>
      <c r="AV109" s="447"/>
      <c r="AW109" s="468" t="str">
        <f>IF(C109&gt;0,VLOOKUP(C109,Foundation_Calc!$A$2:$C$13,3,1),
IF(J109&gt;0,VLOOKUP(J109,Foundation_Calc!$A$2:$C$13,3,1),""))</f>
        <v>MultiSoil</v>
      </c>
      <c r="AX109" s="468" t="str">
        <f>IF(C109&gt;0,VLOOKUP(C109,Foundation_Calc!$E$2:$G$13,3,1),
IF(J109&gt;0,VLOOKUP(J109,Foundation_Calc!$E$2:$G$13,3,1),""))</f>
        <v>PT</v>
      </c>
      <c r="AY109" s="10" t="str">
        <f>IF(L109="","",
IF(AX109="PT",VLOOKUP(L109,Foundation_Calc!$K$79:$R$112,VLOOKUP(AW109,Foundation_Calc!$I$2:$J$8,2,FALSE),0),
IF(AX109="K",VLOOKUP(L109,Foundation_Calc!$K$116:$R$149,VLOOKUP(AW109,Foundation_Calc!$I$2:$J$8,2,FALSE),0),"")))</f>
        <v/>
      </c>
      <c r="AZ109" s="10">
        <f>IF(K109="","",
IF(AX109="PT",VLOOKUP(K109,Foundation_Calc!$K$79:$R$112,VLOOKUP(AW109,Foundation_Calc!$I$2:$J$8,2,FALSE),0),
IF(AX109="K",VLOOKUP(K109,Foundation_Calc!$K$116:$R$149,VLOOKUP(AW109,Foundation_Calc!$I$2:$J$8,2,FALSE),0),"")))</f>
        <v>2.8</v>
      </c>
      <c r="BA109" s="553" t="str">
        <f t="shared" si="5"/>
        <v/>
      </c>
      <c r="BB109" s="553" t="str">
        <f t="shared" si="5"/>
        <v>ü</v>
      </c>
      <c r="BC109" s="553" t="str">
        <f t="shared" si="6"/>
        <v/>
      </c>
      <c r="BD109" s="572" t="str">
        <f>IF(AND(L109="",H109=""),"",
IF(H109="",Pole_Calc!A$9,
IF(H109="MP",Pole_Calc!A$10,
IF(H109="AnMP",Pole_Calc!A$11,
IF(H109="A",Pole_Calc!A$12,
IF(H109="S/A",Pole_Calc!A$13,
IF(H109="A/S",Pole_Calc!A$14,"Poner a mano")))))))</f>
        <v/>
      </c>
      <c r="BE109" s="448" t="s">
        <v>1726</v>
      </c>
      <c r="BF109" s="305"/>
      <c r="BG109" s="305"/>
      <c r="BH109" s="306"/>
      <c r="BI109" s="305"/>
    </row>
    <row r="110" spans="1:61" ht="16.2" customHeight="1">
      <c r="A110" s="573"/>
      <c r="B110" s="638" t="s">
        <v>1910</v>
      </c>
      <c r="C110" s="3">
        <f>+$C$108+$G$109</f>
        <v>2275.75</v>
      </c>
      <c r="D110" s="88"/>
      <c r="E110" s="4"/>
      <c r="F110" s="4">
        <v>0</v>
      </c>
      <c r="G110" s="6"/>
      <c r="H110" s="468"/>
      <c r="I110" s="468"/>
      <c r="J110" s="3"/>
      <c r="K110" s="468"/>
      <c r="L110" s="468" t="s">
        <v>37</v>
      </c>
      <c r="M110" s="468" t="str">
        <f>IF(L110="","",
IF(AX110="PT",VLOOKUP(L110,Foundation_Calc!$V$79:$X$112,VLOOKUP(AX110,Foundation_Calc!$I$10:$J$13,2,FALSE),0),
IF(AX110="K",VLOOKUP(L110,Foundation_Calc!$V$116:$X$149,VLOOKUP(AX110,Foundation_Calc!$I$10:$J$13,2,FALSE),0),"")))</f>
        <v>C3R</v>
      </c>
      <c r="N110" s="468" t="s">
        <v>32</v>
      </c>
      <c r="O110" s="468"/>
      <c r="P110" s="468"/>
      <c r="Q110" s="4"/>
      <c r="R110" s="6"/>
      <c r="S110" s="6"/>
      <c r="T110" s="4">
        <v>-30</v>
      </c>
      <c r="U110" s="4"/>
      <c r="V110" s="4"/>
      <c r="W110" s="9">
        <v>1.4</v>
      </c>
      <c r="X110" s="9"/>
      <c r="Y110" s="9"/>
      <c r="Z110" s="9"/>
      <c r="AA110" s="9"/>
      <c r="AB110" s="9"/>
      <c r="AC110" s="468" t="str">
        <f t="shared" si="7"/>
        <v>PHQ</v>
      </c>
      <c r="AD110" s="468"/>
      <c r="AE110" s="468"/>
      <c r="AF110" s="4"/>
      <c r="AG110" s="88"/>
      <c r="AH110" s="4"/>
      <c r="AI110" s="4"/>
      <c r="AJ110" s="468"/>
      <c r="AK110" s="468"/>
      <c r="AL110" s="468"/>
      <c r="AM110" s="468" t="s">
        <v>486</v>
      </c>
      <c r="AN110" s="10">
        <v>5.5</v>
      </c>
      <c r="AO110" s="9"/>
      <c r="AP110" s="9"/>
      <c r="AQ110" s="9"/>
      <c r="AR110" s="9"/>
      <c r="AS110" s="9"/>
      <c r="AT110" s="9">
        <f>+ab($T$110,$T$108,$T$112,$G$109,$G$111, 1*$F$110,1200)</f>
        <v>-5.2634681242071615</v>
      </c>
      <c r="AU110" s="447"/>
      <c r="AV110" s="447"/>
      <c r="AW110" s="468" t="str">
        <f>IF(C110&gt;0,VLOOKUP(C110,Foundation_Calc!$A$2:$C$13,3,1),
IF(J110&gt;0,VLOOKUP(J110,Foundation_Calc!$A$2:$C$13,3,1),""))</f>
        <v>MultiSoil</v>
      </c>
      <c r="AX110" s="468" t="str">
        <f>IF(C110&gt;0,VLOOKUP(C110,Foundation_Calc!$E$2:$G$13,3,1),
IF(J110&gt;0,VLOOKUP(J110,Foundation_Calc!$E$2:$G$13,3,1),""))</f>
        <v>PT</v>
      </c>
      <c r="AY110" s="10">
        <f>IF(L110="","",
IF(AX110="PT",VLOOKUP(L110,Foundation_Calc!$K$79:$R$112,VLOOKUP(AW110,Foundation_Calc!$I$2:$J$8,2,FALSE),0),
IF(AX110="K",VLOOKUP(L110,Foundation_Calc!$K$116:$R$149,VLOOKUP(AW110,Foundation_Calc!$I$2:$J$8,2,FALSE),0),"")))</f>
        <v>3.5</v>
      </c>
      <c r="AZ110" s="10" t="str">
        <f>IF(K110="","",
IF(AX110="PT",VLOOKUP(K110,Foundation_Calc!$K$79:$R$112,VLOOKUP(AW110,Foundation_Calc!$I$2:$J$8,2,FALSE),0),
IF(AX110="K",VLOOKUP(K110,Foundation_Calc!$K$116:$R$149,VLOOKUP(AW110,Foundation_Calc!$I$2:$J$8,2,FALSE),0),"")))</f>
        <v/>
      </c>
      <c r="BA110" s="553" t="str">
        <f t="shared" ref="BA110:BA115" si="8">IF(AY110="","",IF(AY110&gt;0,"ü",""))</f>
        <v>ü</v>
      </c>
      <c r="BB110" s="553" t="str">
        <f t="shared" ref="BB110:BB115" si="9">IF(AZ110="","",IF(AZ110&gt;0,"ü",""))</f>
        <v/>
      </c>
      <c r="BC110" s="553" t="str">
        <f t="shared" ref="BC110:BC115" si="10">IF(M110="","",IF(M110="U.S.","ü",IF(M110="U.S. N.D.","ü","")))</f>
        <v/>
      </c>
      <c r="BD110" s="572" t="str">
        <f>IF(AND(L110="",H110=""),"",
IF(H110="",Pole_Calc!A$9,
IF(H110="MP",Pole_Calc!A$10,
IF(H110="AnMP",Pole_Calc!A$11,
IF(H110="A",Pole_Calc!A$12,
IF(H110="S/A",Pole_Calc!A$13,
IF(H110="A/S",Pole_Calc!A$14,"Poner a mano")))))))</f>
        <v>App.7-V11H-P9.5.1.1</v>
      </c>
      <c r="BE110" s="448" t="s">
        <v>1726</v>
      </c>
      <c r="BF110" s="306"/>
      <c r="BG110" s="306"/>
      <c r="BH110" s="306"/>
      <c r="BI110" s="306"/>
    </row>
    <row r="111" spans="1:61" ht="16.2" customHeight="1">
      <c r="A111" s="573"/>
      <c r="B111" s="469"/>
      <c r="C111" s="3"/>
      <c r="D111" s="88"/>
      <c r="E111" s="4"/>
      <c r="F111" s="4"/>
      <c r="G111" s="6">
        <v>31.7</v>
      </c>
      <c r="H111" s="468"/>
      <c r="I111" s="468"/>
      <c r="J111" s="3"/>
      <c r="K111" s="468"/>
      <c r="L111" s="468"/>
      <c r="M111" s="468" t="str">
        <f>IF(L111="","",
IF(AX111="PT",VLOOKUP(L111,Foundation_Calc!$V$79:$X$112,VLOOKUP(AX111,Foundation_Calc!$I$10:$J$13,2,FALSE),0),
IF(AX111="K",VLOOKUP(L111,Foundation_Calc!$V$116:$X$149,VLOOKUP(AX111,Foundation_Calc!$I$10:$J$13,2,FALSE),0),"")))</f>
        <v/>
      </c>
      <c r="N111" s="468"/>
      <c r="O111" s="468"/>
      <c r="P111" s="468"/>
      <c r="Q111" s="4"/>
      <c r="R111" s="6"/>
      <c r="S111" s="6"/>
      <c r="T111" s="4"/>
      <c r="U111" s="4"/>
      <c r="V111" s="4"/>
      <c r="W111" s="9"/>
      <c r="X111" s="9"/>
      <c r="Y111" s="9"/>
      <c r="Z111" s="9"/>
      <c r="AA111" s="9"/>
      <c r="AB111" s="9"/>
      <c r="AC111" s="468" t="str">
        <f t="shared" si="7"/>
        <v/>
      </c>
      <c r="AD111" s="468"/>
      <c r="AE111" s="468"/>
      <c r="AF111" s="4"/>
      <c r="AG111" s="88"/>
      <c r="AH111" s="4"/>
      <c r="AI111" s="4"/>
      <c r="AJ111" s="468"/>
      <c r="AK111" s="468"/>
      <c r="AL111" s="468"/>
      <c r="AM111" s="468"/>
      <c r="AN111" s="10"/>
      <c r="AO111" s="9"/>
      <c r="AP111" s="9"/>
      <c r="AQ111" s="9">
        <f>+FL_1($T$112,$T$110,$G$111,1200,9.28, 1*$F$112)</f>
        <v>0.35</v>
      </c>
      <c r="AR111" s="9"/>
      <c r="AS111" s="9"/>
      <c r="AT111" s="9"/>
      <c r="AU111" s="447"/>
      <c r="AV111" s="447"/>
      <c r="AW111" s="468" t="str">
        <f>IF(C111&gt;0,VLOOKUP(C111,Foundation_Calc!$A$2:$C$13,3,1),
IF(J111&gt;0,VLOOKUP(J111,Foundation_Calc!$A$2:$C$13,3,1),""))</f>
        <v/>
      </c>
      <c r="AX111" s="468" t="str">
        <f>IF(C111&gt;0,VLOOKUP(C111,Foundation_Calc!$E$2:$G$13,3,1),
IF(J111&gt;0,VLOOKUP(J111,Foundation_Calc!$E$2:$G$13,3,1),""))</f>
        <v/>
      </c>
      <c r="AY111" s="10" t="str">
        <f>IF(L111="","",
IF(AX111="PT",VLOOKUP(L111,Foundation_Calc!$K$79:$R$112,VLOOKUP(AW111,Foundation_Calc!$I$2:$J$8,2,FALSE),0),
IF(AX111="K",VLOOKUP(L111,Foundation_Calc!$K$116:$R$149,VLOOKUP(AW111,Foundation_Calc!$I$2:$J$8,2,FALSE),0),"")))</f>
        <v/>
      </c>
      <c r="AZ111" s="10" t="str">
        <f>IF(K111="","",
IF(AX111="PT",VLOOKUP(K111,Foundation_Calc!$K$79:$R$112,VLOOKUP(AW111,Foundation_Calc!$I$2:$J$8,2,FALSE),0),
IF(AX111="K",VLOOKUP(K111,Foundation_Calc!$K$116:$R$149,VLOOKUP(AW111,Foundation_Calc!$I$2:$J$8,2,FALSE),0),"")))</f>
        <v/>
      </c>
      <c r="BA111" s="553" t="str">
        <f t="shared" si="8"/>
        <v/>
      </c>
      <c r="BB111" s="553" t="str">
        <f t="shared" si="9"/>
        <v/>
      </c>
      <c r="BC111" s="553" t="str">
        <f t="shared" si="10"/>
        <v/>
      </c>
      <c r="BD111" s="572" t="str">
        <f>IF(AND(L111="",H111=""),"",
IF(H111="",Pole_Calc!A$9,
IF(H111="MP",Pole_Calc!A$10,
IF(H111="AnMP",Pole_Calc!A$11,
IF(H111="A",Pole_Calc!A$12,
IF(H111="S/A",Pole_Calc!A$13,
IF(H111="A/S",Pole_Calc!A$14,"Poner a mano")))))))</f>
        <v/>
      </c>
      <c r="BE111" s="448" t="s">
        <v>1726</v>
      </c>
      <c r="BF111" s="305"/>
      <c r="BG111" s="305"/>
      <c r="BH111" s="306"/>
      <c r="BI111" s="305"/>
    </row>
    <row r="112" spans="1:61" ht="16.2" customHeight="1">
      <c r="A112" s="573"/>
      <c r="B112" s="638" t="s">
        <v>2546</v>
      </c>
      <c r="C112" s="3">
        <f>C110+G111</f>
        <v>2307.4499999999998</v>
      </c>
      <c r="D112" s="88"/>
      <c r="E112" s="4"/>
      <c r="F112" s="4">
        <v>0</v>
      </c>
      <c r="G112" s="6"/>
      <c r="H112" s="468"/>
      <c r="I112" s="468"/>
      <c r="J112" s="3"/>
      <c r="K112" s="468"/>
      <c r="L112" s="468" t="s">
        <v>37</v>
      </c>
      <c r="M112" s="468" t="str">
        <f>IF(L112="","",
IF(AX112="PT",VLOOKUP(L112,Foundation_Calc!$V$79:$X$112,VLOOKUP(AX112,Foundation_Calc!$I$10:$J$13,2,FALSE),0),
IF(AX112="K",VLOOKUP(L112,Foundation_Calc!$V$116:$X$149,VLOOKUP(AX112,Foundation_Calc!$I$10:$J$13,2,FALSE),0),"")))</f>
        <v>C3R</v>
      </c>
      <c r="N112" s="468" t="s">
        <v>33</v>
      </c>
      <c r="O112" s="468"/>
      <c r="P112" s="468"/>
      <c r="Q112" s="4"/>
      <c r="R112" s="6"/>
      <c r="S112" s="6"/>
      <c r="T112" s="4">
        <v>35</v>
      </c>
      <c r="U112" s="4"/>
      <c r="V112" s="4"/>
      <c r="W112" s="9">
        <v>1.4</v>
      </c>
      <c r="X112" s="9"/>
      <c r="Y112" s="9"/>
      <c r="Z112" s="9"/>
      <c r="AA112" s="9"/>
      <c r="AB112" s="9"/>
      <c r="AC112" s="468" t="str">
        <f t="shared" si="7"/>
        <v>PHC</v>
      </c>
      <c r="AD112" s="468"/>
      <c r="AE112" s="468"/>
      <c r="AF112" s="4"/>
      <c r="AG112" s="88"/>
      <c r="AH112" s="4"/>
      <c r="AI112" s="4"/>
      <c r="AJ112" s="468"/>
      <c r="AK112" s="468"/>
      <c r="AL112" s="468"/>
      <c r="AM112" s="468" t="s">
        <v>486</v>
      </c>
      <c r="AN112" s="10">
        <v>5.5</v>
      </c>
      <c r="AO112" s="9"/>
      <c r="AP112" s="9"/>
      <c r="AQ112" s="9"/>
      <c r="AR112" s="9"/>
      <c r="AS112" s="9"/>
      <c r="AT112" s="9">
        <f>+ab($T$112,$T$110,$T$114,$G$111,$G$113, 1*$F$112,1200)</f>
        <v>4.5112711095607549</v>
      </c>
      <c r="AU112" s="447"/>
      <c r="AV112" s="447"/>
      <c r="AW112" s="468" t="str">
        <f>IF(C112&gt;0,VLOOKUP(C112,Foundation_Calc!$A$2:$C$13,3,1),
IF(J112&gt;0,VLOOKUP(J112,Foundation_Calc!$A$2:$C$13,3,1),""))</f>
        <v>MultiSoil</v>
      </c>
      <c r="AX112" s="468" t="str">
        <f>IF(C112&gt;0,VLOOKUP(C112,Foundation_Calc!$E$2:$G$13,3,1),
IF(J112&gt;0,VLOOKUP(J112,Foundation_Calc!$E$2:$G$13,3,1),""))</f>
        <v>PT</v>
      </c>
      <c r="AY112" s="10">
        <f>IF(L112="","",
IF(AX112="PT",VLOOKUP(L112,Foundation_Calc!$K$79:$R$112,VLOOKUP(AW112,Foundation_Calc!$I$2:$J$8,2,FALSE),0),
IF(AX112="K",VLOOKUP(L112,Foundation_Calc!$K$116:$R$149,VLOOKUP(AW112,Foundation_Calc!$I$2:$J$8,2,FALSE),0),"")))</f>
        <v>3.5</v>
      </c>
      <c r="AZ112" s="10" t="str">
        <f>IF(K112="","",
IF(AX112="PT",VLOOKUP(K112,Foundation_Calc!$K$79:$R$112,VLOOKUP(AW112,Foundation_Calc!$I$2:$J$8,2,FALSE),0),
IF(AX112="K",VLOOKUP(K112,Foundation_Calc!$K$116:$R$149,VLOOKUP(AW112,Foundation_Calc!$I$2:$J$8,2,FALSE),0),"")))</f>
        <v/>
      </c>
      <c r="BA112" s="553" t="str">
        <f t="shared" si="8"/>
        <v>ü</v>
      </c>
      <c r="BB112" s="553" t="str">
        <f t="shared" si="9"/>
        <v/>
      </c>
      <c r="BC112" s="553" t="str">
        <f t="shared" si="10"/>
        <v/>
      </c>
      <c r="BD112" s="572" t="str">
        <f>IF(AND(L112="",H112=""),"",
IF(H112="",Pole_Calc!A$9,
IF(H112="MP",Pole_Calc!A$10,
IF(H112="AnMP",Pole_Calc!A$11,
IF(H112="A",Pole_Calc!A$12,
IF(H112="S/A",Pole_Calc!A$13,
IF(H112="A/S",Pole_Calc!A$14,"Poner a mano")))))))</f>
        <v>App.7-V11H-P9.5.1.1</v>
      </c>
      <c r="BE112" s="448" t="s">
        <v>1726</v>
      </c>
      <c r="BF112" s="306"/>
      <c r="BG112" s="306"/>
      <c r="BH112" s="306"/>
      <c r="BI112" s="306"/>
    </row>
    <row r="113" spans="1:61" ht="16.2" customHeight="1">
      <c r="A113" s="573"/>
      <c r="B113" s="469"/>
      <c r="C113" s="3"/>
      <c r="D113" s="88"/>
      <c r="E113" s="4"/>
      <c r="F113" s="4"/>
      <c r="G113" s="6">
        <v>31.9</v>
      </c>
      <c r="H113" s="468"/>
      <c r="I113" s="468"/>
      <c r="J113" s="3"/>
      <c r="K113" s="468"/>
      <c r="L113" s="468"/>
      <c r="M113" s="468" t="str">
        <f>IF(L113="","",
IF(AX113="PT",VLOOKUP(L113,Foundation_Calc!$V$79:$X$112,VLOOKUP(AX113,Foundation_Calc!$I$10:$J$13,2,FALSE),0),
IF(AX113="K",VLOOKUP(L113,Foundation_Calc!$V$116:$X$149,VLOOKUP(AX113,Foundation_Calc!$I$10:$J$13,2,FALSE),0),"")))</f>
        <v/>
      </c>
      <c r="N113" s="468"/>
      <c r="O113" s="468"/>
      <c r="P113" s="468"/>
      <c r="Q113" s="4"/>
      <c r="R113" s="6"/>
      <c r="S113" s="6"/>
      <c r="T113" s="4"/>
      <c r="U113" s="4"/>
      <c r="V113" s="4"/>
      <c r="W113" s="9"/>
      <c r="X113" s="9"/>
      <c r="Y113" s="9"/>
      <c r="Z113" s="9"/>
      <c r="AA113" s="9"/>
      <c r="AB113" s="9"/>
      <c r="AC113" s="468"/>
      <c r="AD113" s="468"/>
      <c r="AE113" s="468"/>
      <c r="AF113" s="4"/>
      <c r="AG113" s="88"/>
      <c r="AH113" s="4"/>
      <c r="AI113" s="4"/>
      <c r="AJ113" s="468"/>
      <c r="AK113" s="468"/>
      <c r="AL113" s="468"/>
      <c r="AM113" s="468"/>
      <c r="AN113" s="10"/>
      <c r="AO113" s="9"/>
      <c r="AP113" s="9"/>
      <c r="AQ113" s="9">
        <f>+FL_1($T$114,$T$112,$G$113,1200,9.28, 1*$F$114)</f>
        <v>0.35000000000002102</v>
      </c>
      <c r="AR113" s="9"/>
      <c r="AS113" s="9"/>
      <c r="AT113" s="9"/>
      <c r="AU113" s="447"/>
      <c r="AV113" s="447"/>
      <c r="AW113" s="468" t="str">
        <f>IF(C113&gt;0,VLOOKUP(C113,Foundation_Calc!$A$2:$C$13,3,1),
IF(J113&gt;0,VLOOKUP(J113,Foundation_Calc!$A$2:$C$13,3,1),""))</f>
        <v/>
      </c>
      <c r="AX113" s="468" t="str">
        <f>IF(C113&gt;0,VLOOKUP(C113,Foundation_Calc!$E$2:$G$13,3,1),
IF(J113&gt;0,VLOOKUP(J113,Foundation_Calc!$E$2:$G$13,3,1),""))</f>
        <v/>
      </c>
      <c r="AY113" s="10" t="str">
        <f>IF(L113="","",
IF(AX113="PT",VLOOKUP(L113,Foundation_Calc!$K$79:$R$112,VLOOKUP(AW113,Foundation_Calc!$I$2:$J$8,2,FALSE),0),
IF(AX113="K",VLOOKUP(L113,Foundation_Calc!$K$116:$R$149,VLOOKUP(AW113,Foundation_Calc!$I$2:$J$8,2,FALSE),0),"")))</f>
        <v/>
      </c>
      <c r="AZ113" s="10" t="str">
        <f>IF(K113="","",
IF(AX113="PT",VLOOKUP(K113,Foundation_Calc!$K$79:$R$112,VLOOKUP(AW113,Foundation_Calc!$I$2:$J$8,2,FALSE),0),
IF(AX113="K",VLOOKUP(K113,Foundation_Calc!$K$116:$R$149,VLOOKUP(AW113,Foundation_Calc!$I$2:$J$8,2,FALSE),0),"")))</f>
        <v/>
      </c>
      <c r="BA113" s="553" t="str">
        <f t="shared" si="8"/>
        <v/>
      </c>
      <c r="BB113" s="553" t="str">
        <f t="shared" si="9"/>
        <v/>
      </c>
      <c r="BC113" s="553" t="str">
        <f t="shared" si="10"/>
        <v/>
      </c>
      <c r="BD113" s="572" t="str">
        <f>IF(AND(L113="",H113=""),"",
IF(H113="",Pole_Calc!A$9,
IF(H113="MP",Pole_Calc!A$10,
IF(H113="AnMP",Pole_Calc!A$11,
IF(H113="A",Pole_Calc!A$12,
IF(H113="S/A",Pole_Calc!A$13,
IF(H113="A/S",Pole_Calc!A$14,"Poner a mano")))))))</f>
        <v/>
      </c>
      <c r="BE113" s="448" t="s">
        <v>1726</v>
      </c>
      <c r="BF113" s="305"/>
      <c r="BG113" s="305"/>
      <c r="BH113" s="306"/>
      <c r="BI113" s="305"/>
    </row>
    <row r="114" spans="1:61" ht="16.2" customHeight="1">
      <c r="A114" s="573"/>
      <c r="B114" s="638" t="s">
        <v>1911</v>
      </c>
      <c r="C114" s="3">
        <f>+$C$112+$G$113</f>
        <v>2339.35</v>
      </c>
      <c r="D114" s="88"/>
      <c r="E114" s="4"/>
      <c r="F114" s="4">
        <v>0</v>
      </c>
      <c r="G114" s="6"/>
      <c r="H114" s="468"/>
      <c r="I114" s="468"/>
      <c r="J114" s="3"/>
      <c r="K114" s="468"/>
      <c r="L114" s="468" t="s">
        <v>37</v>
      </c>
      <c r="M114" s="468" t="str">
        <f>IF(L114="","",
IF(AX114="PT",VLOOKUP(L114,Foundation_Calc!$V$79:$X$112,VLOOKUP(AX114,Foundation_Calc!$I$10:$J$13,2,FALSE),0),
IF(AX114="K",VLOOKUP(L114,Foundation_Calc!$V$116:$X$149,VLOOKUP(AX114,Foundation_Calc!$I$10:$J$13,2,FALSE),0),"")))</f>
        <v>C3R</v>
      </c>
      <c r="N114" s="468" t="s">
        <v>32</v>
      </c>
      <c r="O114" s="669"/>
      <c r="P114" s="468"/>
      <c r="Q114" s="4"/>
      <c r="R114" s="6"/>
      <c r="S114" s="6"/>
      <c r="T114" s="4">
        <v>-35</v>
      </c>
      <c r="U114" s="4"/>
      <c r="V114" s="4"/>
      <c r="W114" s="9">
        <v>1.4</v>
      </c>
      <c r="X114" s="9"/>
      <c r="Y114" s="9"/>
      <c r="Z114" s="9"/>
      <c r="AA114" s="9"/>
      <c r="AB114" s="9"/>
      <c r="AC114" s="468" t="str">
        <f t="shared" si="7"/>
        <v>PHC</v>
      </c>
      <c r="AD114" s="468"/>
      <c r="AE114" s="468"/>
      <c r="AF114" s="4"/>
      <c r="AG114" s="88"/>
      <c r="AH114" s="4"/>
      <c r="AI114" s="4"/>
      <c r="AJ114" s="468"/>
      <c r="AK114" s="468"/>
      <c r="AL114" s="468"/>
      <c r="AM114" s="468" t="s">
        <v>486</v>
      </c>
      <c r="AN114" s="10">
        <v>5.5</v>
      </c>
      <c r="AO114" s="9"/>
      <c r="AP114" s="9"/>
      <c r="AQ114" s="9"/>
      <c r="AR114" s="9"/>
      <c r="AS114" s="9"/>
      <c r="AT114" s="9">
        <f>+ab($T$114,$T$112,$T$116,$G$113,$G$115, 1*$F$114,1200)</f>
        <v>-4.2806160247219323</v>
      </c>
      <c r="AU114" s="447"/>
      <c r="AV114" s="447"/>
      <c r="AW114" s="468" t="str">
        <f>IF(C114&gt;0,VLOOKUP(C114,Foundation_Calc!$A$2:$C$13,3,1),
IF(J114&gt;0,VLOOKUP(J114,Foundation_Calc!$A$2:$C$13,3,1),""))</f>
        <v>MultiSoil</v>
      </c>
      <c r="AX114" s="468" t="str">
        <f>IF(C114&gt;0,VLOOKUP(C114,Foundation_Calc!$E$2:$G$13,3,1),
IF(J114&gt;0,VLOOKUP(J114,Foundation_Calc!$E$2:$G$13,3,1),""))</f>
        <v>PT</v>
      </c>
      <c r="AY114" s="10">
        <f>IF(L114="","",
IF(AX114="PT",VLOOKUP(L114,Foundation_Calc!$K$79:$R$112,VLOOKUP(AW114,Foundation_Calc!$I$2:$J$8,2,FALSE),0),
IF(AX114="K",VLOOKUP(L114,Foundation_Calc!$K$116:$R$149,VLOOKUP(AW114,Foundation_Calc!$I$2:$J$8,2,FALSE),0),"")))</f>
        <v>3.5</v>
      </c>
      <c r="AZ114" s="10" t="str">
        <f>IF(K114="","",
IF(AX114="PT",VLOOKUP(K114,Foundation_Calc!$K$79:$R$112,VLOOKUP(AW114,Foundation_Calc!$I$2:$J$8,2,FALSE),0),
IF(AX114="K",VLOOKUP(K114,Foundation_Calc!$K$116:$R$149,VLOOKUP(AW114,Foundation_Calc!$I$2:$J$8,2,FALSE),0),"")))</f>
        <v/>
      </c>
      <c r="BA114" s="553" t="str">
        <f t="shared" si="8"/>
        <v>ü</v>
      </c>
      <c r="BB114" s="553" t="str">
        <f t="shared" si="9"/>
        <v/>
      </c>
      <c r="BC114" s="553" t="str">
        <f t="shared" si="10"/>
        <v/>
      </c>
      <c r="BD114" s="572" t="str">
        <f>IF(AND(L114="",H114=""),"",
IF(H114="",Pole_Calc!A$9,
IF(H114="MP",Pole_Calc!A$10,
IF(H114="AnMP",Pole_Calc!A$11,
IF(H114="A",Pole_Calc!A$12,
IF(H114="S/A",Pole_Calc!A$13,
IF(H114="A/S",Pole_Calc!A$14,"Poner a mano")))))))</f>
        <v>App.7-V11H-P9.5.1.1</v>
      </c>
      <c r="BE114" s="448" t="s">
        <v>1726</v>
      </c>
      <c r="BF114" s="306"/>
      <c r="BG114" s="306"/>
      <c r="BH114" s="306"/>
      <c r="BI114" s="306"/>
    </row>
    <row r="115" spans="1:61" ht="16.2" customHeight="1">
      <c r="A115" s="573"/>
      <c r="B115" s="469"/>
      <c r="C115" s="3"/>
      <c r="D115" s="88"/>
      <c r="E115" s="4"/>
      <c r="F115" s="4"/>
      <c r="G115" s="6">
        <v>30.7</v>
      </c>
      <c r="H115" s="468"/>
      <c r="I115" s="468"/>
      <c r="J115" s="3"/>
      <c r="K115" s="468"/>
      <c r="L115" s="468"/>
      <c r="M115" s="468" t="str">
        <f>IF(L115="","",
IF(AX115="PT",VLOOKUP(L115,Foundation_Calc!$V$79:$X$112,VLOOKUP(AX115,Foundation_Calc!$I$10:$J$13,2,FALSE),0),
IF(AX115="K",VLOOKUP(L115,Foundation_Calc!$V$116:$X$149,VLOOKUP(AX115,Foundation_Calc!$I$10:$J$13,2,FALSE),0),"")))</f>
        <v/>
      </c>
      <c r="N115" s="468"/>
      <c r="O115" s="468"/>
      <c r="P115" s="468"/>
      <c r="Q115" s="4"/>
      <c r="R115" s="6"/>
      <c r="S115" s="6"/>
      <c r="T115" s="4"/>
      <c r="U115" s="4"/>
      <c r="V115" s="4"/>
      <c r="W115" s="9"/>
      <c r="X115" s="9"/>
      <c r="Y115" s="9"/>
      <c r="Z115" s="9"/>
      <c r="AA115" s="9"/>
      <c r="AB115" s="9"/>
      <c r="AC115" s="468"/>
      <c r="AD115" s="468"/>
      <c r="AE115" s="468"/>
      <c r="AF115" s="4"/>
      <c r="AG115" s="88"/>
      <c r="AH115" s="4"/>
      <c r="AI115" s="4"/>
      <c r="AJ115" s="468"/>
      <c r="AK115" s="468"/>
      <c r="AL115" s="468"/>
      <c r="AM115" s="468"/>
      <c r="AN115" s="10"/>
      <c r="AO115" s="9"/>
      <c r="AP115" s="9"/>
      <c r="AQ115" s="9">
        <f>+FL_1($T$116,$T$114,$G$115,1200,9.28, 1*$F$116)</f>
        <v>0.35</v>
      </c>
      <c r="AR115" s="9"/>
      <c r="AS115" s="9"/>
      <c r="AT115" s="9"/>
      <c r="AU115" s="447"/>
      <c r="AV115" s="447"/>
      <c r="AW115" s="468" t="str">
        <f>IF(C115&gt;0,VLOOKUP(C115,Foundation_Calc!$A$2:$C$13,3,1),
IF(J115&gt;0,VLOOKUP(J115,Foundation_Calc!$A$2:$C$13,3,1),""))</f>
        <v/>
      </c>
      <c r="AX115" s="468" t="str">
        <f>IF(C115&gt;0,VLOOKUP(C115,Foundation_Calc!$E$2:$G$13,3,1),
IF(J115&gt;0,VLOOKUP(J115,Foundation_Calc!$E$2:$G$13,3,1),""))</f>
        <v/>
      </c>
      <c r="AY115" s="10" t="str">
        <f>IF(L115="","",
IF(AX115="PT",VLOOKUP(L115,Foundation_Calc!$K$79:$R$112,VLOOKUP(AW115,Foundation_Calc!$I$2:$J$8,2,FALSE),0),
IF(AX115="K",VLOOKUP(L115,Foundation_Calc!$K$116:$R$149,VLOOKUP(AW115,Foundation_Calc!$I$2:$J$8,2,FALSE),0),"")))</f>
        <v/>
      </c>
      <c r="AZ115" s="10" t="str">
        <f>IF(K115="","",
IF(AX115="PT",VLOOKUP(K115,Foundation_Calc!$K$79:$R$112,VLOOKUP(AW115,Foundation_Calc!$I$2:$J$8,2,FALSE),0),
IF(AX115="K",VLOOKUP(K115,Foundation_Calc!$K$116:$R$149,VLOOKUP(AW115,Foundation_Calc!$I$2:$J$8,2,FALSE),0),"")))</f>
        <v/>
      </c>
      <c r="BA115" s="553" t="str">
        <f t="shared" si="8"/>
        <v/>
      </c>
      <c r="BB115" s="553" t="str">
        <f t="shared" si="9"/>
        <v/>
      </c>
      <c r="BC115" s="553" t="str">
        <f t="shared" si="10"/>
        <v/>
      </c>
      <c r="BD115" s="572" t="str">
        <f>IF(AND(L115="",H115=""),"",
IF(H115="",Pole_Calc!A$9,
IF(H115="MP",Pole_Calc!A$10,
IF(H115="AnMP",Pole_Calc!A$11,
IF(H115="A",Pole_Calc!A$12,
IF(H115="S/A",Pole_Calc!A$13,
IF(H115="A/S",Pole_Calc!A$14,"Poner a mano")))))))</f>
        <v/>
      </c>
      <c r="BE115" s="448" t="s">
        <v>1726</v>
      </c>
      <c r="BF115" s="305"/>
      <c r="BG115" s="305"/>
      <c r="BH115" s="306"/>
      <c r="BI115" s="305"/>
    </row>
    <row r="116" spans="1:61" ht="16.2" customHeight="1">
      <c r="A116" s="573"/>
      <c r="B116" s="638" t="s">
        <v>2547</v>
      </c>
      <c r="C116" s="3">
        <f>C114+G115</f>
        <v>2370.0499999999997</v>
      </c>
      <c r="D116" s="88"/>
      <c r="E116" s="4"/>
      <c r="F116" s="4">
        <v>0</v>
      </c>
      <c r="G116" s="6"/>
      <c r="H116" s="468"/>
      <c r="I116" s="468"/>
      <c r="J116" s="3"/>
      <c r="K116" s="468"/>
      <c r="L116" s="468" t="s">
        <v>448</v>
      </c>
      <c r="M116" s="468" t="str">
        <f>IF(L116="","",
IF(AX116="PT",VLOOKUP(L116,Foundation_Calc!$V$79:$X$112,VLOOKUP(AX116,Foundation_Calc!$I$10:$J$13,2,FALSE),0),
IF(AX116="K",VLOOKUP(L116,Foundation_Calc!$V$116:$X$149,VLOOKUP(AX116,Foundation_Calc!$I$10:$J$13,2,FALSE),0),"")))</f>
        <v>2C3R</v>
      </c>
      <c r="N116" s="468" t="s">
        <v>33</v>
      </c>
      <c r="O116" s="669"/>
      <c r="P116" s="468"/>
      <c r="Q116" s="4"/>
      <c r="R116" s="6"/>
      <c r="S116" s="6"/>
      <c r="T116" s="4">
        <v>35</v>
      </c>
      <c r="U116" s="4"/>
      <c r="V116" s="4"/>
      <c r="W116" s="9">
        <v>1.4</v>
      </c>
      <c r="X116" s="9"/>
      <c r="Y116" s="9"/>
      <c r="Z116" s="9"/>
      <c r="AA116" s="9"/>
      <c r="AB116" s="9"/>
      <c r="AC116" s="468" t="str">
        <f t="shared" si="7"/>
        <v>PHC</v>
      </c>
      <c r="AD116" s="468"/>
      <c r="AE116" s="468"/>
      <c r="AF116" s="4"/>
      <c r="AG116" s="88"/>
      <c r="AH116" s="4"/>
      <c r="AI116" s="4"/>
      <c r="AJ116" s="468"/>
      <c r="AK116" s="468"/>
      <c r="AL116" s="468"/>
      <c r="AM116" s="468" t="s">
        <v>486</v>
      </c>
      <c r="AN116" s="10">
        <v>5.5</v>
      </c>
      <c r="AO116" s="9"/>
      <c r="AP116" s="9"/>
      <c r="AQ116" s="9"/>
      <c r="AR116" s="9"/>
      <c r="AS116" s="9"/>
      <c r="AT116" s="9">
        <f>+ab($T$116,$T$114,$T$118,$G$115,$G$117, 1*$F$116,1200)</f>
        <v>4.6984558757763057</v>
      </c>
      <c r="AU116" s="447"/>
      <c r="AV116" s="447"/>
      <c r="AW116" s="468" t="str">
        <f>IF(C116&gt;0,VLOOKUP(C116,Foundation_Calc!$A$2:$C$13,3,1),
IF(J116&gt;0,VLOOKUP(J116,Foundation_Calc!$A$2:$C$13,3,1),""))</f>
        <v>MultiSoil</v>
      </c>
      <c r="AX116" s="468" t="str">
        <f>IF(C116&gt;0,VLOOKUP(C116,Foundation_Calc!$E$2:$G$13,3,1),
IF(J116&gt;0,VLOOKUP(J116,Foundation_Calc!$E$2:$G$13,3,1),""))</f>
        <v>PT</v>
      </c>
      <c r="AY116" s="10">
        <f>IF(L116="","",
IF(AX116="PT",VLOOKUP(L116,Foundation_Calc!$K$79:$R$112,VLOOKUP(AW116,Foundation_Calc!$I$2:$J$8,2,FALSE),0),
IF(AX116="K",VLOOKUP(L116,Foundation_Calc!$K$116:$R$149,VLOOKUP(AW116,Foundation_Calc!$I$2:$J$8,2,FALSE),0),"")))</f>
        <v>3.7</v>
      </c>
      <c r="AZ116" s="10" t="str">
        <f>IF(K116="","",
IF(AX116="PT",VLOOKUP(K116,Foundation_Calc!$K$79:$R$112,VLOOKUP(AW116,Foundation_Calc!$I$2:$J$8,2,FALSE),0),
IF(AX116="K",VLOOKUP(K116,Foundation_Calc!$K$116:$R$149,VLOOKUP(AW116,Foundation_Calc!$I$2:$J$8,2,FALSE),0),"")))</f>
        <v/>
      </c>
      <c r="BA116" s="553" t="str">
        <f t="shared" ref="BA116" si="11">IF(AY116="","",IF(AY116&gt;0,"ü",""))</f>
        <v>ü</v>
      </c>
      <c r="BB116" s="553" t="str">
        <f t="shared" ref="BB116" si="12">IF(AZ116="","",IF(AZ116&gt;0,"ü",""))</f>
        <v/>
      </c>
      <c r="BC116" s="553" t="str">
        <f t="shared" ref="BC116" si="13">IF(M116="","",IF(M116="U.S.","ü",IF(M116="U.S. N.D.","ü","")))</f>
        <v/>
      </c>
      <c r="BD116" s="572" t="str">
        <f>IF(AND(L116="",H116=""),"",
IF(H116="",Pole_Calc!A$9,
IF(H116="MP",Pole_Calc!A$10,
IF(H116="AnMP",Pole_Calc!A$11,
IF(H116="A",Pole_Calc!A$12,
IF(H116="S/A",Pole_Calc!A$13,
IF(H116="A/S",Pole_Calc!A$14,"Poner a mano")))))))</f>
        <v>App.7-V11H-P9.5.1.1</v>
      </c>
      <c r="BE116" s="448" t="s">
        <v>1726</v>
      </c>
      <c r="BF116" s="306"/>
      <c r="BG116" s="306"/>
      <c r="BH116" s="306"/>
      <c r="BI116" s="306"/>
    </row>
    <row r="117" spans="1:61" ht="16.2" customHeight="1">
      <c r="A117" s="573" t="s">
        <v>1497</v>
      </c>
      <c r="B117" s="469"/>
      <c r="C117" s="3"/>
      <c r="D117" s="88"/>
      <c r="E117" s="4"/>
      <c r="F117" s="4"/>
      <c r="G117" s="6">
        <v>39</v>
      </c>
      <c r="H117" s="468"/>
      <c r="I117" s="468"/>
      <c r="J117" s="3"/>
      <c r="K117" s="468"/>
      <c r="L117" s="468"/>
      <c r="M117" s="468" t="str">
        <f>IF(L117="","",
IF(AX117="PT",VLOOKUP(L117,Foundation_Calc!$V$4:$X$37,VLOOKUP(AX117,Foundation_Calc!$I$10:$J$13,2,FALSE),0),
IF(AX117="K",VLOOKUP(L117,Foundation_Calc!$V$41:$X$74,VLOOKUP(AX117,Foundation_Calc!$I$10:$J$13,2,FALSE),0),"")))</f>
        <v/>
      </c>
      <c r="N117" s="468"/>
      <c r="O117" s="468"/>
      <c r="P117" s="468"/>
      <c r="Q117" s="4"/>
      <c r="R117" s="6"/>
      <c r="S117" s="6"/>
      <c r="T117" s="4"/>
      <c r="U117" s="4"/>
      <c r="V117" s="4"/>
      <c r="W117" s="9"/>
      <c r="X117" s="9"/>
      <c r="Y117" s="9"/>
      <c r="Z117" s="9"/>
      <c r="AA117" s="9"/>
      <c r="AB117" s="9"/>
      <c r="AC117" s="468" t="str">
        <f t="shared" si="7"/>
        <v/>
      </c>
      <c r="AD117" s="468"/>
      <c r="AE117" s="468"/>
      <c r="AF117" s="4"/>
      <c r="AG117" s="88"/>
      <c r="AH117" s="4"/>
      <c r="AI117" s="4"/>
      <c r="AJ117" s="468"/>
      <c r="AK117" s="468"/>
      <c r="AL117" s="468"/>
      <c r="AM117" s="468"/>
      <c r="AN117" s="10"/>
      <c r="AO117" s="9"/>
      <c r="AP117" s="9"/>
      <c r="AQ117" s="9">
        <f>+FL_1($T$118,$T$116,$G$117,1200,9.28, 1*$F$118)</f>
        <v>0.35000000000000225</v>
      </c>
      <c r="AR117" s="9"/>
      <c r="AS117" s="9"/>
      <c r="AT117" s="9"/>
      <c r="AU117" s="447"/>
      <c r="AV117" s="447"/>
      <c r="AW117" s="468"/>
      <c r="AX117" s="468"/>
      <c r="AY117" s="10" t="str">
        <f>IF(L117="","",
IF(AX117="PT",VLOOKUP(L117,Foundation_Calc!$K$4:$R$37,VLOOKUP(AW117,Foundation_Calc!$I$2:$J$8,2,FALSE),0),
IF(AX117="K",VLOOKUP(L117,Foundation_Calc!$K$41:$R$74,VLOOKUP(AW117,Foundation_Calc!$I$2:$J$8,2,FALSE),0),"")))</f>
        <v/>
      </c>
      <c r="AZ117" s="10" t="str">
        <f>IF(K117="","",
IF(AX117="PT",VLOOKUP(K117,Foundation_Calc!$K$4:$R$37,VLOOKUP(AW117,Foundation_Calc!$I$2:$J$8,2,FALSE),0),
IF(AX117="K",VLOOKUP(K117,Foundation_Calc!$K$41:$R$74,VLOOKUP(AW117,Foundation_Calc!$I$2:$J$8,2,FALSE),0),"")))</f>
        <v/>
      </c>
      <c r="BA117" s="553" t="str">
        <f t="shared" si="5"/>
        <v/>
      </c>
      <c r="BB117" s="553" t="str">
        <f t="shared" si="5"/>
        <v/>
      </c>
      <c r="BC117" s="553" t="str">
        <f t="shared" si="6"/>
        <v/>
      </c>
      <c r="BD117" s="572" t="str">
        <f>IF(AND(L117="",H117=""),"",
IF(H117="",Pole_Calc!A$9,
IF(H117="MP",Pole_Calc!A$10,
IF(H117="AnMP",Pole_Calc!A$11,
IF(H117="A",Pole_Calc!A$12,
IF(H117="S/A",Pole_Calc!A$13,
IF(H117="A/S",Pole_Calc!A$14,"Poner a mano")))))))</f>
        <v/>
      </c>
      <c r="BE117" s="448" t="s">
        <v>1726</v>
      </c>
      <c r="BF117" s="305"/>
      <c r="BG117" s="305"/>
      <c r="BH117" s="306"/>
      <c r="BI117" s="305"/>
    </row>
    <row r="118" spans="1:61" ht="16.2" customHeight="1">
      <c r="A118" s="574" t="s">
        <v>1497</v>
      </c>
      <c r="B118" s="469" t="s">
        <v>1912</v>
      </c>
      <c r="C118" s="3">
        <f>+$C$116+$G$117</f>
        <v>2409.0499999999997</v>
      </c>
      <c r="D118" s="88"/>
      <c r="E118" s="4"/>
      <c r="F118" s="4">
        <v>0</v>
      </c>
      <c r="G118" s="6"/>
      <c r="H118" s="468"/>
      <c r="I118" s="468"/>
      <c r="J118" s="3"/>
      <c r="K118" s="468"/>
      <c r="L118" s="468" t="s">
        <v>38</v>
      </c>
      <c r="M118" s="468" t="s">
        <v>1625</v>
      </c>
      <c r="N118" s="468" t="s">
        <v>32</v>
      </c>
      <c r="O118" s="669"/>
      <c r="P118" s="468"/>
      <c r="Q118" s="4"/>
      <c r="R118" s="6"/>
      <c r="S118" s="6"/>
      <c r="T118" s="4">
        <v>-35</v>
      </c>
      <c r="U118" s="4"/>
      <c r="V118" s="4"/>
      <c r="W118" s="9">
        <v>1.4</v>
      </c>
      <c r="X118" s="9"/>
      <c r="Y118" s="9"/>
      <c r="Z118" s="9"/>
      <c r="AA118" s="9"/>
      <c r="AB118" s="9"/>
      <c r="AC118" s="468" t="str">
        <f t="shared" si="7"/>
        <v>PHQ</v>
      </c>
      <c r="AD118" s="468"/>
      <c r="AE118" s="468"/>
      <c r="AF118" s="4"/>
      <c r="AG118" s="88"/>
      <c r="AH118" s="4"/>
      <c r="AI118" s="4"/>
      <c r="AJ118" s="468"/>
      <c r="AK118" s="468"/>
      <c r="AL118" s="468"/>
      <c r="AM118" s="468" t="s">
        <v>486</v>
      </c>
      <c r="AN118" s="10">
        <v>5.5</v>
      </c>
      <c r="AO118" s="9"/>
      <c r="AP118" s="9"/>
      <c r="AQ118" s="9"/>
      <c r="AR118" s="9"/>
      <c r="AS118" s="9"/>
      <c r="AT118" s="9">
        <f>+ab($T$118,$T$116,$T$120,$G$117,$G$119, 1*$F$118,1200)</f>
        <v>-6.3730568414244679</v>
      </c>
      <c r="AU118" s="447"/>
      <c r="AV118" s="447"/>
      <c r="AW118" s="468" t="s">
        <v>2557</v>
      </c>
      <c r="AX118" s="468" t="s">
        <v>199</v>
      </c>
      <c r="AY118" s="10" t="str">
        <f>IF(L118="","",
IF(AX118="PT",VLOOKUP(L118,Foundation_Calc!$K$4:$R$37,VLOOKUP(AW118,Foundation_Calc!$I$2:$J$8,2,FALSE),0),
IF(AX118="K",VLOOKUP(L118,Foundation_Calc!$K$41:$R$74,VLOOKUP(AW118,Foundation_Calc!$I$2:$J$8,2,FALSE),0),"")))</f>
        <v/>
      </c>
      <c r="AZ118" s="10" t="str">
        <f>IF(K118="","",
IF(AX118="PT",VLOOKUP(K118,Foundation_Calc!$K$4:$R$37,VLOOKUP(AW118,Foundation_Calc!$I$2:$J$8,2,FALSE),0),
IF(AX118="K",VLOOKUP(K118,Foundation_Calc!$K$41:$R$74,VLOOKUP(AW118,Foundation_Calc!$I$2:$J$8,2,FALSE),0),"")))</f>
        <v/>
      </c>
      <c r="BA118" s="553" t="str">
        <f t="shared" si="5"/>
        <v/>
      </c>
      <c r="BB118" s="553" t="str">
        <f t="shared" si="5"/>
        <v/>
      </c>
      <c r="BC118" s="553" t="str">
        <f t="shared" si="6"/>
        <v>ü</v>
      </c>
      <c r="BD118" s="572" t="str">
        <f>IF(AND(L118="",H118=""),"",
IF(H118="",Pole_Calc!A$9,
IF(H118="MP",Pole_Calc!A$10,
IF(H118="AnMP",Pole_Calc!A$11,
IF(H118="A",Pole_Calc!A$12,
IF(H118="S/A",Pole_Calc!A$13,
IF(H118="A/S",Pole_Calc!A$14,"Poner a mano")))))))</f>
        <v>App.7-V11H-P9.5.1.1</v>
      </c>
      <c r="BE118" s="448" t="s">
        <v>1726</v>
      </c>
      <c r="BF118" s="306"/>
      <c r="BG118" s="306"/>
      <c r="BH118" s="306"/>
      <c r="BI118" s="306"/>
    </row>
    <row r="119" spans="1:61" ht="16.2" customHeight="1">
      <c r="A119" s="574" t="s">
        <v>1497</v>
      </c>
      <c r="B119" s="469"/>
      <c r="C119" s="3"/>
      <c r="D119" s="88"/>
      <c r="E119" s="4"/>
      <c r="F119" s="4"/>
      <c r="G119" s="6">
        <v>54</v>
      </c>
      <c r="H119" s="468"/>
      <c r="I119" s="468"/>
      <c r="J119" s="3"/>
      <c r="K119" s="468"/>
      <c r="L119" s="468"/>
      <c r="M119" s="468" t="str">
        <f>IF(L119="","",
IF(AX119="PT",VLOOKUP(L119,Foundation_Calc!$V$4:$X$37,VLOOKUP(AX119,Foundation_Calc!$I$10:$J$13,2,FALSE),0),
IF(AX119="K",VLOOKUP(L119,Foundation_Calc!$V$41:$X$74,VLOOKUP(AX119,Foundation_Calc!$I$10:$J$13,2,FALSE),0),"")))</f>
        <v/>
      </c>
      <c r="N119" s="468"/>
      <c r="O119" s="468"/>
      <c r="P119" s="468"/>
      <c r="Q119" s="4"/>
      <c r="R119" s="6"/>
      <c r="S119" s="6"/>
      <c r="T119" s="4"/>
      <c r="U119" s="4"/>
      <c r="V119" s="4"/>
      <c r="W119" s="9"/>
      <c r="X119" s="9"/>
      <c r="Y119" s="9"/>
      <c r="Z119" s="9"/>
      <c r="AA119" s="9"/>
      <c r="AB119" s="9"/>
      <c r="AC119" s="468" t="str">
        <f t="shared" si="7"/>
        <v/>
      </c>
      <c r="AD119" s="468"/>
      <c r="AE119" s="468"/>
      <c r="AF119" s="4"/>
      <c r="AG119" s="88"/>
      <c r="AH119" s="4"/>
      <c r="AI119" s="4"/>
      <c r="AJ119" s="468"/>
      <c r="AK119" s="468"/>
      <c r="AL119" s="468"/>
      <c r="AM119" s="468"/>
      <c r="AN119" s="10"/>
      <c r="AO119" s="9"/>
      <c r="AP119" s="9"/>
      <c r="AQ119" s="9">
        <f>+FL_2($T$120,$T$118,$G$119,1200,9.28, 1*$F$120)</f>
        <v>-0.40055903866666653</v>
      </c>
      <c r="AR119" s="9"/>
      <c r="AS119" s="9"/>
      <c r="AT119" s="9"/>
      <c r="AU119" s="447"/>
      <c r="AV119" s="447"/>
      <c r="AW119" s="468"/>
      <c r="AX119" s="468"/>
      <c r="AY119" s="10" t="str">
        <f>IF(L119="","",
IF(AX119="PT",VLOOKUP(L119,Foundation_Calc!$K$4:$R$37,VLOOKUP(AW119,Foundation_Calc!$I$2:$J$8,2,FALSE),0),
IF(AX119="K",VLOOKUP(L119,Foundation_Calc!$K$41:$R$74,VLOOKUP(AW119,Foundation_Calc!$I$2:$J$8,2,FALSE),0),"")))</f>
        <v/>
      </c>
      <c r="AZ119" s="10" t="str">
        <f>IF(K119="","",
IF(AX119="PT",VLOOKUP(K119,Foundation_Calc!$K$4:$R$37,VLOOKUP(AW119,Foundation_Calc!$I$2:$J$8,2,FALSE),0),
IF(AX119="K",VLOOKUP(K119,Foundation_Calc!$K$41:$R$74,VLOOKUP(AW119,Foundation_Calc!$I$2:$J$8,2,FALSE),0),"")))</f>
        <v/>
      </c>
      <c r="BA119" s="553" t="str">
        <f t="shared" si="5"/>
        <v/>
      </c>
      <c r="BB119" s="553" t="str">
        <f t="shared" si="5"/>
        <v/>
      </c>
      <c r="BC119" s="553" t="str">
        <f t="shared" si="6"/>
        <v/>
      </c>
      <c r="BD119" s="572" t="str">
        <f>IF(AND(L119="",H119=""),"",
IF(H119="",Pole_Calc!A$9,
IF(H119="MP",Pole_Calc!A$10,
IF(H119="AnMP",Pole_Calc!A$11,
IF(H119="A",Pole_Calc!A$12,
IF(H119="S/A",Pole_Calc!A$13,
IF(H119="A/S",Pole_Calc!A$14,"Poner a mano")))))))</f>
        <v/>
      </c>
      <c r="BE119" s="448" t="s">
        <v>1726</v>
      </c>
      <c r="BF119" s="305"/>
      <c r="BG119" s="305"/>
      <c r="BH119" s="306"/>
      <c r="BI119" s="305"/>
    </row>
    <row r="120" spans="1:61" ht="16.2" customHeight="1">
      <c r="A120" s="574" t="s">
        <v>1497</v>
      </c>
      <c r="B120" s="469" t="s">
        <v>1913</v>
      </c>
      <c r="C120" s="3">
        <f>+$C$118+$G$119</f>
        <v>2463.0499999999997</v>
      </c>
      <c r="D120" s="88"/>
      <c r="E120" s="4"/>
      <c r="F120" s="4">
        <v>0</v>
      </c>
      <c r="G120" s="6"/>
      <c r="H120" s="468"/>
      <c r="I120" s="468"/>
      <c r="J120" s="3"/>
      <c r="K120" s="468"/>
      <c r="L120" s="468" t="s">
        <v>448</v>
      </c>
      <c r="M120" s="468" t="s">
        <v>1625</v>
      </c>
      <c r="N120" s="468" t="s">
        <v>33</v>
      </c>
      <c r="O120" s="669"/>
      <c r="P120" s="468"/>
      <c r="Q120" s="4"/>
      <c r="R120" s="6"/>
      <c r="S120" s="6"/>
      <c r="T120" s="4">
        <v>30</v>
      </c>
      <c r="U120" s="4"/>
      <c r="V120" s="4"/>
      <c r="W120" s="9">
        <v>1.4</v>
      </c>
      <c r="X120" s="9"/>
      <c r="Y120" s="9"/>
      <c r="Z120" s="9"/>
      <c r="AA120" s="9"/>
      <c r="AB120" s="9"/>
      <c r="AC120" s="468" t="str">
        <f t="shared" si="7"/>
        <v>PH</v>
      </c>
      <c r="AD120" s="468"/>
      <c r="AE120" s="468"/>
      <c r="AF120" s="4"/>
      <c r="AG120" s="88"/>
      <c r="AH120" s="4"/>
      <c r="AI120" s="4"/>
      <c r="AJ120" s="468"/>
      <c r="AK120" s="468"/>
      <c r="AL120" s="468"/>
      <c r="AM120" s="468" t="s">
        <v>486</v>
      </c>
      <c r="AN120" s="10">
        <v>5.5</v>
      </c>
      <c r="AO120" s="9"/>
      <c r="AP120" s="9"/>
      <c r="AQ120" s="9"/>
      <c r="AR120" s="9"/>
      <c r="AS120" s="9"/>
      <c r="AT120" s="9">
        <f>+ab($T$120,$T$118,$T$122,$G$119,$G$121, 1*$F$120,1200)</f>
        <v>9.0457226338202901</v>
      </c>
      <c r="AU120" s="447"/>
      <c r="AV120" s="447"/>
      <c r="AW120" s="468" t="s">
        <v>2559</v>
      </c>
      <c r="AX120" s="468" t="s">
        <v>199</v>
      </c>
      <c r="AY120" s="10" t="str">
        <f>IF(L120="","",
IF(AX120="PT",VLOOKUP(L120,Foundation_Calc!$K$4:$R$37,VLOOKUP(AW120,Foundation_Calc!$I$2:$J$8,2,FALSE),0),
IF(AX120="K",VLOOKUP(L120,Foundation_Calc!$K$41:$R$74,VLOOKUP(AW120,Foundation_Calc!$I$2:$J$8,2,FALSE),0),"")))</f>
        <v/>
      </c>
      <c r="AZ120" s="10" t="str">
        <f>IF(K120="","",
IF(AX120="PT",VLOOKUP(K120,Foundation_Calc!$K$4:$R$37,VLOOKUP(AW120,Foundation_Calc!$I$2:$J$8,2,FALSE),0),
IF(AX120="K",VLOOKUP(K120,Foundation_Calc!$K$41:$R$74,VLOOKUP(AW120,Foundation_Calc!$I$2:$J$8,2,FALSE),0),"")))</f>
        <v/>
      </c>
      <c r="BA120" s="553" t="str">
        <f t="shared" si="5"/>
        <v/>
      </c>
      <c r="BB120" s="553" t="str">
        <f t="shared" si="5"/>
        <v/>
      </c>
      <c r="BC120" s="553" t="str">
        <f t="shared" si="6"/>
        <v>ü</v>
      </c>
      <c r="BD120" s="572" t="str">
        <f>IF(AND(L120="",H120=""),"",
IF(H120="",Pole_Calc!A$9,
IF(H120="MP",Pole_Calc!A$10,
IF(H120="AnMP",Pole_Calc!A$11,
IF(H120="A",Pole_Calc!A$12,
IF(H120="S/A",Pole_Calc!A$13,
IF(H120="A/S",Pole_Calc!A$14,"Poner a mano")))))))</f>
        <v>App.7-V11H-P9.5.1.1</v>
      </c>
      <c r="BE120" s="448" t="s">
        <v>1726</v>
      </c>
      <c r="BF120" s="306"/>
      <c r="BG120" s="306"/>
      <c r="BH120" s="306"/>
      <c r="BI120" s="306"/>
    </row>
    <row r="121" spans="1:61" ht="16.2" customHeight="1">
      <c r="A121" s="573" t="s">
        <v>1497</v>
      </c>
      <c r="B121" s="469"/>
      <c r="C121" s="3"/>
      <c r="D121" s="88"/>
      <c r="E121" s="4"/>
      <c r="F121" s="4"/>
      <c r="G121" s="6">
        <v>50</v>
      </c>
      <c r="H121" s="677" t="s">
        <v>388</v>
      </c>
      <c r="I121" s="677" t="s">
        <v>2548</v>
      </c>
      <c r="J121" s="3"/>
      <c r="K121" s="468"/>
      <c r="L121" s="468"/>
      <c r="M121" s="468" t="str">
        <f>IF(L121="","",
IF(AX121="PT",VLOOKUP(L121,Foundation_Calc!$V$4:$X$37,VLOOKUP(AX121,Foundation_Calc!$I$10:$J$13,2,FALSE),0),
IF(AX121="K",VLOOKUP(L121,Foundation_Calc!$V$41:$X$74,VLOOKUP(AX121,Foundation_Calc!$I$10:$J$13,2,FALSE),0),"")))</f>
        <v/>
      </c>
      <c r="N121" s="468"/>
      <c r="O121" s="468"/>
      <c r="P121" s="468"/>
      <c r="Q121" s="4"/>
      <c r="R121" s="6"/>
      <c r="S121" s="6"/>
      <c r="T121" s="4"/>
      <c r="U121" s="4"/>
      <c r="V121" s="4"/>
      <c r="W121" s="9"/>
      <c r="X121" s="9"/>
      <c r="Y121" s="9"/>
      <c r="Z121" s="9"/>
      <c r="AA121" s="9"/>
      <c r="AB121" s="9"/>
      <c r="AC121" s="468" t="str">
        <f t="shared" si="7"/>
        <v/>
      </c>
      <c r="AD121" s="468"/>
      <c r="AE121" s="468"/>
      <c r="AF121" s="4"/>
      <c r="AG121" s="88"/>
      <c r="AH121" s="4"/>
      <c r="AI121" s="4"/>
      <c r="AJ121" s="468"/>
      <c r="AK121" s="468"/>
      <c r="AL121" s="468"/>
      <c r="AM121" s="468"/>
      <c r="AN121" s="10"/>
      <c r="AO121" s="9"/>
      <c r="AP121" s="9"/>
      <c r="AQ121" s="9">
        <f>+FL_1($T$122,$T$120,$G$121,1200,9.28, 1*$F$122)</f>
        <v>0.36903735466666671</v>
      </c>
      <c r="AR121" s="9"/>
      <c r="AS121" s="9"/>
      <c r="AT121" s="9"/>
      <c r="AU121" s="447"/>
      <c r="AV121" s="447"/>
      <c r="AW121" s="468"/>
      <c r="AX121" s="468"/>
      <c r="AY121" s="10" t="str">
        <f>IF(L121="","",
IF(AX121="PT",VLOOKUP(L121,Foundation_Calc!$K$4:$R$37,VLOOKUP(AW121,Foundation_Calc!$I$2:$J$8,2,FALSE),0),
IF(AX121="K",VLOOKUP(L121,Foundation_Calc!$K$41:$R$74,VLOOKUP(AW121,Foundation_Calc!$I$2:$J$8,2,FALSE),0),"")))</f>
        <v/>
      </c>
      <c r="AZ121" s="10" t="str">
        <f>IF(K121="","",
IF(AX121="PT",VLOOKUP(K121,Foundation_Calc!$K$4:$R$37,VLOOKUP(AW121,Foundation_Calc!$I$2:$J$8,2,FALSE),0),
IF(AX121="K",VLOOKUP(K121,Foundation_Calc!$K$41:$R$74,VLOOKUP(AW121,Foundation_Calc!$I$2:$J$8,2,FALSE),0),"")))</f>
        <v/>
      </c>
      <c r="BA121" s="553" t="str">
        <f t="shared" si="5"/>
        <v/>
      </c>
      <c r="BB121" s="553" t="str">
        <f t="shared" si="5"/>
        <v/>
      </c>
      <c r="BC121" s="553" t="str">
        <f t="shared" si="6"/>
        <v/>
      </c>
      <c r="BD121" s="572"/>
      <c r="BE121" s="448" t="s">
        <v>1726</v>
      </c>
      <c r="BF121" s="305"/>
      <c r="BG121" s="305"/>
      <c r="BH121" s="306"/>
      <c r="BI121" s="305"/>
    </row>
    <row r="122" spans="1:61" ht="16.2" customHeight="1">
      <c r="A122" s="573"/>
      <c r="B122" s="469" t="s">
        <v>1914</v>
      </c>
      <c r="C122" s="3">
        <f>+$C$120+$G$121</f>
        <v>2513.0499999999997</v>
      </c>
      <c r="D122" s="88"/>
      <c r="E122" s="4"/>
      <c r="F122" s="4">
        <v>0</v>
      </c>
      <c r="G122" s="6"/>
      <c r="H122" s="468" t="s">
        <v>388</v>
      </c>
      <c r="I122" s="468" t="s">
        <v>182</v>
      </c>
      <c r="J122" s="3"/>
      <c r="K122" s="468"/>
      <c r="L122" s="468" t="s">
        <v>449</v>
      </c>
      <c r="M122" s="468" t="str">
        <f>IF(L122="","",
IF(AX122="PT",VLOOKUP(L122,Foundation_Calc!$V$79:$X$112,VLOOKUP(AX122,Foundation_Calc!$I$10:$J$13,2,FALSE),0),
IF(AX122="K",VLOOKUP(L122,Foundation_Calc!$V$116:$X$149,VLOOKUP(AX122,Foundation_Calc!$I$10:$J$13,2,FALSE),0),"")))</f>
        <v>2C4R</v>
      </c>
      <c r="N122" s="468" t="s">
        <v>32</v>
      </c>
      <c r="O122" s="468"/>
      <c r="P122" s="468"/>
      <c r="Q122" s="4"/>
      <c r="R122" s="6"/>
      <c r="S122" s="6"/>
      <c r="T122" s="4">
        <v>-15</v>
      </c>
      <c r="U122" s="4"/>
      <c r="V122" s="4"/>
      <c r="W122" s="9">
        <v>1.4</v>
      </c>
      <c r="X122" s="9"/>
      <c r="Y122" s="9"/>
      <c r="Z122" s="9"/>
      <c r="AA122" s="9"/>
      <c r="AB122" s="9"/>
      <c r="AC122" s="468" t="str">
        <f t="shared" si="7"/>
        <v>PH</v>
      </c>
      <c r="AD122" s="468"/>
      <c r="AE122" s="468"/>
      <c r="AF122" s="4"/>
      <c r="AG122" s="88"/>
      <c r="AH122" s="4"/>
      <c r="AI122" s="4"/>
      <c r="AJ122" s="468"/>
      <c r="AK122" s="468"/>
      <c r="AL122" s="468"/>
      <c r="AM122" s="468" t="s">
        <v>486</v>
      </c>
      <c r="AN122" s="10">
        <v>5.5</v>
      </c>
      <c r="AO122" s="9"/>
      <c r="AP122" s="9"/>
      <c r="AQ122" s="9"/>
      <c r="AR122" s="9"/>
      <c r="AS122" s="9"/>
      <c r="AT122" s="9">
        <f>+ab($T$122,$T$120,$U$124,$G$121,$G$123, 1*$F$122,1200)</f>
        <v>-23.20495339299088</v>
      </c>
      <c r="AU122" s="447"/>
      <c r="AV122" s="447"/>
      <c r="AW122" s="468" t="str">
        <f>IF(C122&gt;0,VLOOKUP(C122,Foundation_Calc!$A$2:$C$13,3,1),
IF(J122&gt;0,VLOOKUP(J122,Foundation_Calc!$A$2:$C$13,3,1),""))</f>
        <v>MultiSoil</v>
      </c>
      <c r="AX122" s="468" t="str">
        <f>IF(C122&gt;0,VLOOKUP(C122,Foundation_Calc!$E$2:$G$13,3,1),
IF(J122&gt;0,VLOOKUP(J122,Foundation_Calc!$E$2:$G$13,3,1),""))</f>
        <v>PT</v>
      </c>
      <c r="AY122" s="10">
        <f>IF(L122="","",
IF(AX122="PT",VLOOKUP(L122,Foundation_Calc!$K$79:$R$112,VLOOKUP(AW122,Foundation_Calc!$I$2:$J$8,2,FALSE),0),
IF(AX122="K",VLOOKUP(L122,Foundation_Calc!$K$116:$R$149,VLOOKUP(AW122,Foundation_Calc!$I$2:$J$8,2,FALSE),0),"")))</f>
        <v>4</v>
      </c>
      <c r="AZ122" s="10" t="str">
        <f>IF(K122="","",
IF(AX122="PT",VLOOKUP(K122,Foundation_Calc!$K$79:$R$112,VLOOKUP(AW122,Foundation_Calc!$I$2:$J$8,2,FALSE),0),
IF(AX122="K",VLOOKUP(K122,Foundation_Calc!$K$116:$R$149,VLOOKUP(AW122,Foundation_Calc!$I$2:$J$8,2,FALSE),0),"")))</f>
        <v/>
      </c>
      <c r="BA122" s="553" t="str">
        <f t="shared" si="5"/>
        <v>ü</v>
      </c>
      <c r="BB122" s="553" t="str">
        <f t="shared" si="5"/>
        <v/>
      </c>
      <c r="BC122" s="553" t="str">
        <f t="shared" si="6"/>
        <v/>
      </c>
      <c r="BD122" s="572" t="str">
        <f>Pole_Calc!A$175</f>
        <v>App.7-V11H-P9.5.16.2</v>
      </c>
      <c r="BE122" s="448" t="s">
        <v>1726</v>
      </c>
      <c r="BF122" s="306"/>
      <c r="BG122" s="306"/>
      <c r="BH122" s="306"/>
      <c r="BI122" s="306"/>
    </row>
    <row r="123" spans="1:61" ht="16.2" customHeight="1">
      <c r="A123" s="573"/>
      <c r="B123" s="469"/>
      <c r="C123" s="3"/>
      <c r="D123" s="88"/>
      <c r="E123" s="4"/>
      <c r="F123" s="4"/>
      <c r="G123" s="6">
        <v>42.1</v>
      </c>
      <c r="H123" s="468"/>
      <c r="I123" s="4">
        <f>SUM(G123:G131)</f>
        <v>240.6</v>
      </c>
      <c r="J123" s="3"/>
      <c r="K123" s="468"/>
      <c r="L123" s="468"/>
      <c r="M123" s="468" t="str">
        <f>IF(L123="","",
IF(AX123="PT",VLOOKUP(L123,Foundation_Calc!$V$79:$X$112,VLOOKUP(AX123,Foundation_Calc!$I$10:$J$13,2,FALSE),0),
IF(AX123="K",VLOOKUP(L123,Foundation_Calc!$V$116:$X$149,VLOOKUP(AX123,Foundation_Calc!$I$10:$J$13,2,FALSE),0),"")))</f>
        <v/>
      </c>
      <c r="N123" s="468"/>
      <c r="O123" s="468"/>
      <c r="P123" s="468"/>
      <c r="Q123" s="4"/>
      <c r="R123" s="6"/>
      <c r="S123" s="6"/>
      <c r="T123" s="4"/>
      <c r="U123" s="4"/>
      <c r="V123" s="4"/>
      <c r="W123" s="9"/>
      <c r="X123" s="9"/>
      <c r="Y123" s="9"/>
      <c r="Z123" s="9"/>
      <c r="AA123" s="9"/>
      <c r="AB123" s="9"/>
      <c r="AC123" s="468" t="str">
        <f t="shared" si="7"/>
        <v/>
      </c>
      <c r="AD123" s="468"/>
      <c r="AE123" s="468"/>
      <c r="AF123" s="4"/>
      <c r="AG123" s="88"/>
      <c r="AH123" s="4"/>
      <c r="AI123" s="4"/>
      <c r="AJ123" s="468"/>
      <c r="AK123" s="468"/>
      <c r="AL123" s="468"/>
      <c r="AM123" s="468"/>
      <c r="AN123" s="10"/>
      <c r="AO123" s="9"/>
      <c r="AP123" s="9"/>
      <c r="AQ123" s="9">
        <f>+FL_2($U$124,$T$122,$G$123,1200,9.28, 1*$F$124)</f>
        <v>-0.34724492662232781</v>
      </c>
      <c r="AR123" s="9"/>
      <c r="AS123" s="9"/>
      <c r="AT123" s="9"/>
      <c r="AU123" s="447"/>
      <c r="AV123" s="447"/>
      <c r="AW123" s="468" t="str">
        <f>IF(C123&gt;0,VLOOKUP(C123,Foundation_Calc!$A$2:$C$13,3,1),
IF(J123&gt;0,VLOOKUP(J123,Foundation_Calc!$A$2:$C$13,3,1),""))</f>
        <v/>
      </c>
      <c r="AX123" s="468" t="str">
        <f>IF(C123&gt;0,VLOOKUP(C123,Foundation_Calc!$E$2:$G$13,3,1),
IF(J123&gt;0,VLOOKUP(J123,Foundation_Calc!$E$2:$G$13,3,1),""))</f>
        <v/>
      </c>
      <c r="AY123" s="10" t="str">
        <f>IF(L123="","",
IF(AX123="PT",VLOOKUP(L123,Foundation_Calc!$K$79:$R$112,VLOOKUP(AW123,Foundation_Calc!$I$2:$J$8,2,FALSE),0),
IF(AX123="K",VLOOKUP(L123,Foundation_Calc!$K$116:$R$149,VLOOKUP(AW123,Foundation_Calc!$I$2:$J$8,2,FALSE),0),"")))</f>
        <v/>
      </c>
      <c r="AZ123" s="10" t="str">
        <f>IF(K123="","",
IF(AX123="PT",VLOOKUP(K123,Foundation_Calc!$K$79:$R$112,VLOOKUP(AW123,Foundation_Calc!$I$2:$J$8,2,FALSE),0),
IF(AX123="K",VLOOKUP(K123,Foundation_Calc!$K$116:$R$149,VLOOKUP(AW123,Foundation_Calc!$I$2:$J$8,2,FALSE),0),"")))</f>
        <v/>
      </c>
      <c r="BA123" s="553" t="str">
        <f t="shared" si="5"/>
        <v/>
      </c>
      <c r="BB123" s="553" t="str">
        <f t="shared" si="5"/>
        <v/>
      </c>
      <c r="BC123" s="553" t="str">
        <f t="shared" si="6"/>
        <v/>
      </c>
      <c r="BD123" s="572" t="str">
        <f>IF(AND(L123="",H123=""),"",
IF(H123="",Pole_Calc!A$9,
IF(H123="MP",Pole_Calc!A$10,
IF(H123="AnMP",Pole_Calc!A$11,
IF(H123="A",Pole_Calc!A$12,
IF(H123="S/A",Pole_Calc!A$13,
IF(H123="A/S",Pole_Calc!A$14,"Poner a mano")))))))</f>
        <v/>
      </c>
      <c r="BE123" s="448" t="s">
        <v>1726</v>
      </c>
      <c r="BF123" s="305"/>
      <c r="BG123" s="305"/>
      <c r="BH123" s="306"/>
      <c r="BI123" s="305"/>
    </row>
    <row r="124" spans="1:61" ht="16.2" customHeight="1">
      <c r="A124" s="573"/>
      <c r="B124" s="469" t="s">
        <v>1915</v>
      </c>
      <c r="C124" s="3">
        <f>+$C$122+$G$123</f>
        <v>2555.1499999999996</v>
      </c>
      <c r="D124" s="88"/>
      <c r="E124" s="4"/>
      <c r="F124" s="4">
        <v>0</v>
      </c>
      <c r="G124" s="6"/>
      <c r="H124" s="468" t="s">
        <v>179</v>
      </c>
      <c r="I124" s="468"/>
      <c r="J124" s="3"/>
      <c r="K124" s="468"/>
      <c r="L124" s="468" t="s">
        <v>448</v>
      </c>
      <c r="M124" s="468" t="str">
        <f>IF(L124="","",
IF(AX124="PT",VLOOKUP(L124,Foundation_Calc!$V$79:$X$112,VLOOKUP(AX124,Foundation_Calc!$I$10:$J$13,2,FALSE),0),
IF(AX124="K",VLOOKUP(L124,Foundation_Calc!$V$116:$X$149,VLOOKUP(AX124,Foundation_Calc!$I$10:$J$13,2,FALSE),0),"")))</f>
        <v>2C3R</v>
      </c>
      <c r="N124" s="669" t="s">
        <v>28</v>
      </c>
      <c r="O124" s="468" t="s">
        <v>32</v>
      </c>
      <c r="P124" s="468"/>
      <c r="Q124" s="4"/>
      <c r="R124" s="6"/>
      <c r="S124" s="6"/>
      <c r="T124" s="4">
        <v>-55</v>
      </c>
      <c r="U124" s="4">
        <v>-20</v>
      </c>
      <c r="V124" s="4"/>
      <c r="W124" s="9">
        <v>2</v>
      </c>
      <c r="X124" s="9">
        <v>1.4</v>
      </c>
      <c r="Y124" s="9"/>
      <c r="Z124" s="9">
        <v>0.4</v>
      </c>
      <c r="AA124" s="9"/>
      <c r="AB124" s="9"/>
      <c r="AC124" s="468"/>
      <c r="AD124" s="468" t="s">
        <v>645</v>
      </c>
      <c r="AE124" s="468"/>
      <c r="AF124" s="4"/>
      <c r="AG124" s="88"/>
      <c r="AH124" s="4"/>
      <c r="AI124" s="4"/>
      <c r="AJ124" s="468"/>
      <c r="AK124" s="468"/>
      <c r="AL124" s="468"/>
      <c r="AM124" s="468" t="s">
        <v>486</v>
      </c>
      <c r="AN124" s="10">
        <v>5.5</v>
      </c>
      <c r="AO124" s="9"/>
      <c r="AP124" s="9"/>
      <c r="AQ124" s="9"/>
      <c r="AR124" s="9"/>
      <c r="AS124" s="9"/>
      <c r="AT124" s="9">
        <f>+ab($U$124,$T$122,$U$126,$G$123,$G$125, 1*$F$124,1200)</f>
        <v>-14.565173628582077</v>
      </c>
      <c r="AU124" s="447"/>
      <c r="AV124" s="447"/>
      <c r="AW124" s="468" t="str">
        <f>IF(C124&gt;0,VLOOKUP(C124,Foundation_Calc!$A$2:$C$13,3,1),
IF(J124&gt;0,VLOOKUP(J124,Foundation_Calc!$A$2:$C$13,3,1),""))</f>
        <v>MultiSoil</v>
      </c>
      <c r="AX124" s="468" t="str">
        <f>IF(C124&gt;0,VLOOKUP(C124,Foundation_Calc!$E$2:$G$13,3,1),
IF(J124&gt;0,VLOOKUP(J124,Foundation_Calc!$E$2:$G$13,3,1),""))</f>
        <v>PT</v>
      </c>
      <c r="AY124" s="10">
        <f>IF(L124="","",
IF(AX124="PT",VLOOKUP(L124,Foundation_Calc!$K$79:$R$112,VLOOKUP(AW124,Foundation_Calc!$I$2:$J$8,2,FALSE),0),
IF(AX124="K",VLOOKUP(L124,Foundation_Calc!$K$116:$R$149,VLOOKUP(AW124,Foundation_Calc!$I$2:$J$8,2,FALSE),0),"")))</f>
        <v>3.7</v>
      </c>
      <c r="AZ124" s="10" t="str">
        <f>IF(K124="","",
IF(AX124="PT",VLOOKUP(K124,Foundation_Calc!$K$79:$R$112,VLOOKUP(AW124,Foundation_Calc!$I$2:$J$8,2,FALSE),0),
IF(AX124="K",VLOOKUP(K124,Foundation_Calc!$K$116:$R$149,VLOOKUP(AW124,Foundation_Calc!$I$2:$J$8,2,FALSE),0),"")))</f>
        <v/>
      </c>
      <c r="BA124" s="553" t="str">
        <f t="shared" si="5"/>
        <v>ü</v>
      </c>
      <c r="BB124" s="553" t="str">
        <f t="shared" si="5"/>
        <v/>
      </c>
      <c r="BC124" s="553" t="str">
        <f t="shared" si="6"/>
        <v/>
      </c>
      <c r="BD124" s="572" t="str">
        <f>IF(AND(L124="",H124=""),"",
IF(H124="",Pole_Calc!A$9,
IF(H124="MP",Pole_Calc!A$10,
IF(H124="AnMP",Pole_Calc!A$11,
IF(H124="A",Pole_Calc!A$12,
IF(H124="S/A",Pole_Calc!A$13,
IF(H124="A/S",Pole_Calc!A$14,"Poner a mano")))))))</f>
        <v>App.7-V11H-P9.5.1.5</v>
      </c>
      <c r="BE124" s="448" t="s">
        <v>1726</v>
      </c>
      <c r="BF124" s="306"/>
      <c r="BG124" s="306"/>
      <c r="BH124" s="306"/>
      <c r="BI124" s="306"/>
    </row>
    <row r="125" spans="1:61" ht="16.2" customHeight="1">
      <c r="A125" s="573"/>
      <c r="B125" s="469"/>
      <c r="C125" s="3"/>
      <c r="D125" s="88"/>
      <c r="E125" s="4"/>
      <c r="F125" s="4"/>
      <c r="G125" s="6">
        <v>47</v>
      </c>
      <c r="H125" s="468"/>
      <c r="I125" s="468"/>
      <c r="J125" s="3">
        <f>C126-7.5</f>
        <v>2594.6499999999996</v>
      </c>
      <c r="K125" s="468" t="s">
        <v>1096</v>
      </c>
      <c r="L125" s="468"/>
      <c r="M125" s="468" t="str">
        <f>IF(L125="","",
IF(AX125="PT",VLOOKUP(L125,Foundation_Calc!$V$79:$X$112,VLOOKUP(AX125,Foundation_Calc!$I$10:$J$13,2,FALSE),0),
IF(AX125="K",VLOOKUP(L125,Foundation_Calc!$V$116:$X$149,VLOOKUP(AX125,Foundation_Calc!$I$10:$J$13,2,FALSE),0),"")))</f>
        <v/>
      </c>
      <c r="N125" s="468"/>
      <c r="O125" s="468"/>
      <c r="P125" s="468"/>
      <c r="Q125" s="4"/>
      <c r="R125" s="6"/>
      <c r="S125" s="6"/>
      <c r="T125" s="4"/>
      <c r="U125" s="4"/>
      <c r="V125" s="4"/>
      <c r="W125" s="9"/>
      <c r="X125" s="9"/>
      <c r="Y125" s="9"/>
      <c r="Z125" s="9"/>
      <c r="AA125" s="9"/>
      <c r="AB125" s="9"/>
      <c r="AC125" s="468" t="str">
        <f t="shared" si="7"/>
        <v/>
      </c>
      <c r="AD125" s="468"/>
      <c r="AE125" s="468"/>
      <c r="AF125" s="4"/>
      <c r="AG125" s="88"/>
      <c r="AH125" s="4"/>
      <c r="AI125" s="4"/>
      <c r="AJ125" s="468"/>
      <c r="AK125" s="468"/>
      <c r="AL125" s="468"/>
      <c r="AM125" s="468"/>
      <c r="AN125" s="10"/>
      <c r="AO125" s="9"/>
      <c r="AP125" s="9"/>
      <c r="AQ125" s="9">
        <f>+FL_2($U$126,$U$124,$G$125,1200,9.28, 1*$F$126)</f>
        <v>-0.22707532348936177</v>
      </c>
      <c r="AR125" s="9"/>
      <c r="AS125" s="9"/>
      <c r="AT125" s="9"/>
      <c r="AU125" s="447"/>
      <c r="AV125" s="447"/>
      <c r="AW125" s="468" t="str">
        <f>IF(C125&gt;0,VLOOKUP(C125,Foundation_Calc!$A$2:$C$13,3,1),
IF(J125&gt;0,VLOOKUP(J125,Foundation_Calc!$A$2:$C$13,3,1),""))</f>
        <v>MultiSoil</v>
      </c>
      <c r="AX125" s="468" t="str">
        <f>IF(C125&gt;0,VLOOKUP(C125,Foundation_Calc!$E$2:$G$13,3,1),
IF(J125&gt;0,VLOOKUP(J125,Foundation_Calc!$E$2:$G$13,3,1),""))</f>
        <v>PT</v>
      </c>
      <c r="AY125" s="10" t="str">
        <f>IF(L125="","",
IF(AX125="PT",VLOOKUP(L125,Foundation_Calc!$K$79:$R$112,VLOOKUP(AW125,Foundation_Calc!$I$2:$J$8,2,FALSE),0),
IF(AX125="K",VLOOKUP(L125,Foundation_Calc!$K$116:$R$149,VLOOKUP(AW125,Foundation_Calc!$I$2:$J$8,2,FALSE),0),"")))</f>
        <v/>
      </c>
      <c r="AZ125" s="10">
        <f>IF(K125="","",
IF(AX125="PT",VLOOKUP(K125,Foundation_Calc!$K$79:$R$112,VLOOKUP(AW125,Foundation_Calc!$I$2:$J$8,2,FALSE),0),
IF(AX125="K",VLOOKUP(K125,Foundation_Calc!$K$116:$R$149,VLOOKUP(AW125,Foundation_Calc!$I$2:$J$8,2,FALSE),0),"")))</f>
        <v>2.8</v>
      </c>
      <c r="BA125" s="553" t="str">
        <f t="shared" si="5"/>
        <v/>
      </c>
      <c r="BB125" s="553" t="str">
        <f t="shared" si="5"/>
        <v>ü</v>
      </c>
      <c r="BC125" s="553" t="str">
        <f t="shared" si="6"/>
        <v/>
      </c>
      <c r="BD125" s="572" t="str">
        <f>IF(AND(L125="",H125=""),"",
IF(H125="",Pole_Calc!A$9,
IF(H125="MP",Pole_Calc!A$10,
IF(H125="AnMP",Pole_Calc!A$11,
IF(H125="A",Pole_Calc!A$12,
IF(H125="S/A",Pole_Calc!A$13,
IF(H125="A/S",Pole_Calc!A$14,"Poner a mano")))))))</f>
        <v/>
      </c>
      <c r="BE125" s="448" t="s">
        <v>1726</v>
      </c>
      <c r="BF125" s="305"/>
      <c r="BG125" s="305"/>
      <c r="BH125" s="306"/>
      <c r="BI125" s="305"/>
    </row>
    <row r="126" spans="1:61" ht="16.2" customHeight="1">
      <c r="A126" s="573"/>
      <c r="B126" s="469" t="s">
        <v>1916</v>
      </c>
      <c r="C126" s="3">
        <f>+$C$124+$G$125</f>
        <v>2602.1499999999996</v>
      </c>
      <c r="D126" s="88"/>
      <c r="E126" s="4"/>
      <c r="F126" s="4">
        <v>0</v>
      </c>
      <c r="G126" s="6"/>
      <c r="H126" s="468" t="s">
        <v>1739</v>
      </c>
      <c r="I126" s="468"/>
      <c r="J126" s="3"/>
      <c r="K126" s="468"/>
      <c r="L126" s="468" t="s">
        <v>448</v>
      </c>
      <c r="M126" s="468" t="str">
        <f>IF(L126="","",
IF(AX126="PT",VLOOKUP(L126,Foundation_Calc!$V$79:$X$112,VLOOKUP(AX126,Foundation_Calc!$I$10:$J$13,2,FALSE),0),
IF(AX126="K",VLOOKUP(L126,Foundation_Calc!$V$116:$X$149,VLOOKUP(AX126,Foundation_Calc!$I$10:$J$13,2,FALSE),0),"")))</f>
        <v>2C3R</v>
      </c>
      <c r="N126" s="669" t="s">
        <v>32</v>
      </c>
      <c r="O126" s="468" t="s">
        <v>33</v>
      </c>
      <c r="P126" s="468"/>
      <c r="Q126" s="4"/>
      <c r="R126" s="6"/>
      <c r="S126" s="6"/>
      <c r="T126" s="4">
        <v>20</v>
      </c>
      <c r="U126" s="4">
        <v>35</v>
      </c>
      <c r="V126" s="4"/>
      <c r="W126" s="9">
        <v>2</v>
      </c>
      <c r="X126" s="9">
        <v>1.4</v>
      </c>
      <c r="Y126" s="9"/>
      <c r="Z126" s="9"/>
      <c r="AA126" s="9"/>
      <c r="AB126" s="9"/>
      <c r="AC126" s="468" t="s">
        <v>1068</v>
      </c>
      <c r="AD126" s="468" t="s">
        <v>647</v>
      </c>
      <c r="AE126" s="468"/>
      <c r="AF126" s="4"/>
      <c r="AG126" s="88"/>
      <c r="AH126" s="4"/>
      <c r="AI126" s="4"/>
      <c r="AJ126" s="468" t="s">
        <v>364</v>
      </c>
      <c r="AK126" s="468"/>
      <c r="AL126" s="468"/>
      <c r="AM126" s="468" t="s">
        <v>486</v>
      </c>
      <c r="AN126" s="10">
        <v>5.5</v>
      </c>
      <c r="AO126" s="9"/>
      <c r="AP126" s="9"/>
      <c r="AQ126" s="9"/>
      <c r="AR126" s="9"/>
      <c r="AS126" s="9"/>
      <c r="AT126" s="9">
        <f>+ab($U$126,$U$124,$T$128,$G$125,$G$127, 1*$F$126,1200)</f>
        <v>15.97110010249631</v>
      </c>
      <c r="AU126" s="447"/>
      <c r="AV126" s="447"/>
      <c r="AW126" s="468" t="str">
        <f>IF(C126&gt;0,VLOOKUP(C126,Foundation_Calc!$A$2:$C$13,3,1),
IF(J126&gt;0,VLOOKUP(J126,Foundation_Calc!$A$2:$C$13,3,1),""))</f>
        <v>MultiSoil</v>
      </c>
      <c r="AX126" s="468" t="str">
        <f>IF(C126&gt;0,VLOOKUP(C126,Foundation_Calc!$E$2:$G$13,3,1),
IF(J126&gt;0,VLOOKUP(J126,Foundation_Calc!$E$2:$G$13,3,1),""))</f>
        <v>PT</v>
      </c>
      <c r="AY126" s="10">
        <f>IF(L126="","",
IF(AX126="PT",VLOOKUP(L126,Foundation_Calc!$K$79:$R$112,VLOOKUP(AW126,Foundation_Calc!$I$2:$J$8,2,FALSE),0),
IF(AX126="K",VLOOKUP(L126,Foundation_Calc!$K$116:$R$149,VLOOKUP(AW126,Foundation_Calc!$I$2:$J$8,2,FALSE),0),"")))</f>
        <v>3.7</v>
      </c>
      <c r="AZ126" s="10" t="str">
        <f>IF(K126="","",
IF(AX126="PT",VLOOKUP(K126,Foundation_Calc!$K$79:$R$112,VLOOKUP(AW126,Foundation_Calc!$I$2:$J$8,2,FALSE),0),
IF(AX126="K",VLOOKUP(K126,Foundation_Calc!$K$116:$R$149,VLOOKUP(AW126,Foundation_Calc!$I$2:$J$8,2,FALSE),0),"")))</f>
        <v/>
      </c>
      <c r="BA126" s="553" t="str">
        <f t="shared" si="5"/>
        <v>ü</v>
      </c>
      <c r="BB126" s="553" t="str">
        <f t="shared" si="5"/>
        <v/>
      </c>
      <c r="BC126" s="553" t="str">
        <f t="shared" si="6"/>
        <v/>
      </c>
      <c r="BD126" s="572" t="str">
        <f>Pole_Calc!A$13</f>
        <v>App.7-V11H-P9.5.1.5</v>
      </c>
      <c r="BE126" s="448" t="s">
        <v>1726</v>
      </c>
      <c r="BF126" s="306"/>
      <c r="BG126" s="306"/>
      <c r="BH126" s="306"/>
      <c r="BI126" s="306"/>
    </row>
    <row r="127" spans="1:61" ht="16.2" customHeight="1">
      <c r="A127" s="573" t="s">
        <v>2031</v>
      </c>
      <c r="B127" s="469"/>
      <c r="C127" s="3"/>
      <c r="D127" s="88"/>
      <c r="E127" s="4"/>
      <c r="F127" s="4"/>
      <c r="G127" s="6">
        <v>52.5</v>
      </c>
      <c r="H127" s="468"/>
      <c r="I127" s="4"/>
      <c r="J127" s="3"/>
      <c r="K127" s="468"/>
      <c r="L127" s="468"/>
      <c r="M127" s="468" t="str">
        <f>IF(L127="","",
IF(AX127="PT",VLOOKUP(L127,Foundation_Calc!$V$79:$X$112,VLOOKUP(AX127,Foundation_Calc!$I$10:$J$13,2,FALSE),0),
IF(AX127="K",VLOOKUP(L127,Foundation_Calc!$V$116:$X$149,VLOOKUP(AX127,Foundation_Calc!$I$10:$J$13,2,FALSE),0),"")))</f>
        <v/>
      </c>
      <c r="N127" s="468"/>
      <c r="O127" s="468"/>
      <c r="P127" s="468"/>
      <c r="Q127" s="4"/>
      <c r="R127" s="6"/>
      <c r="S127" s="6"/>
      <c r="T127" s="4"/>
      <c r="U127" s="4"/>
      <c r="V127" s="4"/>
      <c r="W127" s="9"/>
      <c r="X127" s="9"/>
      <c r="Y127" s="9"/>
      <c r="Z127" s="9"/>
      <c r="AA127" s="9"/>
      <c r="AB127" s="9"/>
      <c r="AC127" s="468" t="str">
        <f t="shared" si="7"/>
        <v/>
      </c>
      <c r="AD127" s="468"/>
      <c r="AE127" s="468"/>
      <c r="AF127" s="4"/>
      <c r="AG127" s="88"/>
      <c r="AH127" s="4"/>
      <c r="AI127" s="4"/>
      <c r="AJ127" s="468"/>
      <c r="AK127" s="468"/>
      <c r="AL127" s="468"/>
      <c r="AM127" s="468"/>
      <c r="AN127" s="10"/>
      <c r="AO127" s="9"/>
      <c r="AP127" s="9"/>
      <c r="AQ127" s="9">
        <f>+FL_1($T$128,$U$126,$G$127,1200,9.28, 1*$F$128)</f>
        <v>0.61643749999999997</v>
      </c>
      <c r="AR127" s="9"/>
      <c r="AS127" s="9"/>
      <c r="AT127" s="9"/>
      <c r="AU127" s="447"/>
      <c r="AV127" s="447"/>
      <c r="AW127" s="468" t="str">
        <f>IF(C127&gt;0,VLOOKUP(C127,Foundation_Calc!$A$2:$C$13,3,1),
IF(J127&gt;0,VLOOKUP(J127,Foundation_Calc!$A$2:$C$13,3,1),""))</f>
        <v/>
      </c>
      <c r="AX127" s="468" t="str">
        <f>IF(C127&gt;0,VLOOKUP(C127,Foundation_Calc!$E$2:$G$13,3,1),
IF(J127&gt;0,VLOOKUP(J127,Foundation_Calc!$E$2:$G$13,3,1),""))</f>
        <v/>
      </c>
      <c r="AY127" s="10" t="str">
        <f>IF(L127="","",
IF(AX127="PT",VLOOKUP(L127,Foundation_Calc!$K$79:$R$112,VLOOKUP(AW127,Foundation_Calc!$I$2:$J$8,2,FALSE),0),
IF(AX127="K",VLOOKUP(L127,Foundation_Calc!$K$116:$R$149,VLOOKUP(AW127,Foundation_Calc!$I$2:$J$8,2,FALSE),0),"")))</f>
        <v/>
      </c>
      <c r="AZ127" s="10" t="str">
        <f>IF(K127="","",
IF(AX127="PT",VLOOKUP(K127,Foundation_Calc!$K$79:$R$112,VLOOKUP(AW127,Foundation_Calc!$I$2:$J$8,2,FALSE),0),
IF(AX127="K",VLOOKUP(K127,Foundation_Calc!$K$116:$R$149,VLOOKUP(AW127,Foundation_Calc!$I$2:$J$8,2,FALSE),0),"")))</f>
        <v/>
      </c>
      <c r="BA127" s="553" t="str">
        <f t="shared" si="5"/>
        <v/>
      </c>
      <c r="BB127" s="553" t="str">
        <f t="shared" si="5"/>
        <v/>
      </c>
      <c r="BC127" s="553" t="str">
        <f t="shared" si="6"/>
        <v/>
      </c>
      <c r="BD127" s="572" t="str">
        <f>IF(AND(L127="",H127=""),"",
IF(H127="",Pole_Calc!A$9,
IF(H127="MP",Pole_Calc!A$10,
IF(H127="AnMP",Pole_Calc!A$11,
IF(H127="A",Pole_Calc!A$12,
IF(H127="S/A",Pole_Calc!A$13,
IF(H127="A/S",Pole_Calc!A$14,"Poner a mano")))))))</f>
        <v/>
      </c>
      <c r="BE127" s="448" t="s">
        <v>1726</v>
      </c>
      <c r="BF127" s="305"/>
      <c r="BG127" s="305"/>
      <c r="BH127" s="306"/>
      <c r="BI127" s="305"/>
    </row>
    <row r="128" spans="1:61" ht="16.2" customHeight="1">
      <c r="A128" s="573"/>
      <c r="B128" s="469" t="s">
        <v>1917</v>
      </c>
      <c r="C128" s="3">
        <f>+$C$126+$G$127</f>
        <v>2654.6499999999996</v>
      </c>
      <c r="D128" s="88"/>
      <c r="E128" s="4"/>
      <c r="F128" s="4">
        <v>0</v>
      </c>
      <c r="G128" s="6"/>
      <c r="H128" s="468" t="s">
        <v>1739</v>
      </c>
      <c r="I128" s="468"/>
      <c r="J128" s="3"/>
      <c r="K128" s="468"/>
      <c r="L128" s="468" t="s">
        <v>448</v>
      </c>
      <c r="M128" s="468" t="str">
        <f>IF(L128="","",
IF(AX128="PT",VLOOKUP(L128,Foundation_Calc!$V$79:$X$112,VLOOKUP(AX128,Foundation_Calc!$I$10:$J$13,2,FALSE),0),
IF(AX128="K",VLOOKUP(L128,Foundation_Calc!$V$116:$X$149,VLOOKUP(AX128,Foundation_Calc!$I$10:$J$13,2,FALSE),0),"")))</f>
        <v>2C3R</v>
      </c>
      <c r="N128" s="468" t="s">
        <v>33</v>
      </c>
      <c r="O128" s="669" t="s">
        <v>32</v>
      </c>
      <c r="P128" s="468"/>
      <c r="Q128" s="4"/>
      <c r="R128" s="6"/>
      <c r="S128" s="6"/>
      <c r="T128" s="4">
        <v>35</v>
      </c>
      <c r="U128" s="4">
        <v>20</v>
      </c>
      <c r="V128" s="4"/>
      <c r="W128" s="9">
        <v>1.4</v>
      </c>
      <c r="X128" s="9">
        <v>2</v>
      </c>
      <c r="Y128" s="9"/>
      <c r="Z128" s="9"/>
      <c r="AA128" s="9"/>
      <c r="AB128" s="9"/>
      <c r="AC128" s="468" t="s">
        <v>647</v>
      </c>
      <c r="AD128" s="468" t="s">
        <v>1068</v>
      </c>
      <c r="AE128" s="468"/>
      <c r="AF128" s="4"/>
      <c r="AG128" s="88"/>
      <c r="AH128" s="4"/>
      <c r="AI128" s="4"/>
      <c r="AJ128" s="468" t="s">
        <v>364</v>
      </c>
      <c r="AK128" s="468"/>
      <c r="AL128" s="468"/>
      <c r="AM128" s="468" t="s">
        <v>486</v>
      </c>
      <c r="AN128" s="10">
        <v>5.5</v>
      </c>
      <c r="AO128" s="9"/>
      <c r="AP128" s="9"/>
      <c r="AQ128" s="9"/>
      <c r="AR128" s="9"/>
      <c r="AS128" s="9"/>
      <c r="AT128" s="9">
        <f>+ab($T$128,$U$126,$T$130,$G$127,$G$129, 1*$F$128,1200)</f>
        <v>16.933789596524225</v>
      </c>
      <c r="AU128" s="447"/>
      <c r="AV128" s="447"/>
      <c r="AW128" s="468" t="str">
        <f>IF(C128&gt;0,VLOOKUP(C128,Foundation_Calc!$A$2:$C$13,3,1),
IF(J128&gt;0,VLOOKUP(J128,Foundation_Calc!$A$2:$C$13,3,1),""))</f>
        <v>MultiSoil</v>
      </c>
      <c r="AX128" s="468" t="str">
        <f>IF(C128&gt;0,VLOOKUP(C128,Foundation_Calc!$E$2:$G$13,3,1),
IF(J128&gt;0,VLOOKUP(J128,Foundation_Calc!$E$2:$G$13,3,1),""))</f>
        <v>PT</v>
      </c>
      <c r="AY128" s="10">
        <f>IF(L128="","",
IF(AX128="PT",VLOOKUP(L128,Foundation_Calc!$K$79:$R$112,VLOOKUP(AW128,Foundation_Calc!$I$2:$J$8,2,FALSE),0),
IF(AX128="K",VLOOKUP(L128,Foundation_Calc!$K$116:$R$149,VLOOKUP(AW128,Foundation_Calc!$I$2:$J$8,2,FALSE),0),"")))</f>
        <v>3.7</v>
      </c>
      <c r="AZ128" s="10" t="str">
        <f>IF(K128="","",
IF(AX128="PT",VLOOKUP(K128,Foundation_Calc!$K$79:$R$112,VLOOKUP(AW128,Foundation_Calc!$I$2:$J$8,2,FALSE),0),
IF(AX128="K",VLOOKUP(K128,Foundation_Calc!$K$116:$R$149,VLOOKUP(AW128,Foundation_Calc!$I$2:$J$8,2,FALSE),0),"")))</f>
        <v/>
      </c>
      <c r="BA128" s="553" t="str">
        <f t="shared" si="5"/>
        <v>ü</v>
      </c>
      <c r="BB128" s="553" t="str">
        <f t="shared" si="5"/>
        <v/>
      </c>
      <c r="BC128" s="553" t="str">
        <f t="shared" si="6"/>
        <v/>
      </c>
      <c r="BD128" s="572" t="str">
        <f>Pole_Calc!A$13</f>
        <v>App.7-V11H-P9.5.1.5</v>
      </c>
      <c r="BE128" s="448" t="s">
        <v>1726</v>
      </c>
      <c r="BF128" s="306"/>
      <c r="BG128" s="306"/>
      <c r="BH128" s="306"/>
      <c r="BI128" s="306"/>
    </row>
    <row r="129" spans="1:61" ht="16.2" customHeight="1">
      <c r="A129" s="573"/>
      <c r="B129" s="469"/>
      <c r="C129" s="3"/>
      <c r="D129" s="88"/>
      <c r="E129" s="4"/>
      <c r="F129" s="4"/>
      <c r="G129" s="6">
        <v>50</v>
      </c>
      <c r="H129" s="468"/>
      <c r="I129" s="502"/>
      <c r="J129" s="3"/>
      <c r="K129" s="468"/>
      <c r="L129" s="468"/>
      <c r="M129" s="468" t="str">
        <f>IF(L129="","",
IF(AX129="PT",VLOOKUP(L129,Foundation_Calc!$V$79:$X$112,VLOOKUP(AX129,Foundation_Calc!$I$10:$J$13,2,FALSE),0),
IF(AX129="K",VLOOKUP(L129,Foundation_Calc!$V$116:$X$149,VLOOKUP(AX129,Foundation_Calc!$I$10:$J$13,2,FALSE),0),"")))</f>
        <v/>
      </c>
      <c r="N129" s="468"/>
      <c r="O129" s="468"/>
      <c r="P129" s="468"/>
      <c r="Q129" s="4"/>
      <c r="R129" s="6"/>
      <c r="S129" s="6"/>
      <c r="T129" s="4"/>
      <c r="U129" s="4"/>
      <c r="V129" s="4"/>
      <c r="W129" s="9"/>
      <c r="X129" s="9"/>
      <c r="Y129" s="9"/>
      <c r="Z129" s="9"/>
      <c r="AA129" s="9"/>
      <c r="AB129" s="9"/>
      <c r="AC129" s="468" t="str">
        <f t="shared" si="7"/>
        <v/>
      </c>
      <c r="AD129" s="468"/>
      <c r="AE129" s="468"/>
      <c r="AF129" s="4"/>
      <c r="AG129" s="88"/>
      <c r="AH129" s="4"/>
      <c r="AI129" s="4"/>
      <c r="AJ129" s="468"/>
      <c r="AK129" s="468"/>
      <c r="AL129" s="468"/>
      <c r="AM129" s="468"/>
      <c r="AN129" s="10"/>
      <c r="AO129" s="9"/>
      <c r="AP129" s="9"/>
      <c r="AQ129" s="9">
        <f>+FL_1($T$130,$T$128,$G$129,1200,9.28, 1*$F$130)</f>
        <v>0.39489941866666667</v>
      </c>
      <c r="AR129" s="9"/>
      <c r="AS129" s="9"/>
      <c r="AT129" s="9"/>
      <c r="AU129" s="447"/>
      <c r="AV129" s="447"/>
      <c r="AW129" s="468" t="str">
        <f>IF(C129&gt;0,VLOOKUP(C129,Foundation_Calc!$A$2:$C$13,3,1),
IF(J129&gt;0,VLOOKUP(J129,Foundation_Calc!$A$2:$C$13,3,1),""))</f>
        <v/>
      </c>
      <c r="AX129" s="468" t="str">
        <f>IF(C129&gt;0,VLOOKUP(C129,Foundation_Calc!$E$2:$G$13,3,1),
IF(J129&gt;0,VLOOKUP(J129,Foundation_Calc!$E$2:$G$13,3,1),""))</f>
        <v/>
      </c>
      <c r="AY129" s="10" t="str">
        <f>IF(L129="","",
IF(AX129="PT",VLOOKUP(L129,Foundation_Calc!$K$79:$R$112,VLOOKUP(AW129,Foundation_Calc!$I$2:$J$8,2,FALSE),0),
IF(AX129="K",VLOOKUP(L129,Foundation_Calc!$K$116:$R$149,VLOOKUP(AW129,Foundation_Calc!$I$2:$J$8,2,FALSE),0),"")))</f>
        <v/>
      </c>
      <c r="AZ129" s="10" t="str">
        <f>IF(K129="","",
IF(AX129="PT",VLOOKUP(K129,Foundation_Calc!$K$79:$R$112,VLOOKUP(AW129,Foundation_Calc!$I$2:$J$8,2,FALSE),0),
IF(AX129="K",VLOOKUP(K129,Foundation_Calc!$K$116:$R$149,VLOOKUP(AW129,Foundation_Calc!$I$2:$J$8,2,FALSE),0),"")))</f>
        <v/>
      </c>
      <c r="BA129" s="553" t="str">
        <f t="shared" si="5"/>
        <v/>
      </c>
      <c r="BB129" s="553" t="str">
        <f t="shared" si="5"/>
        <v/>
      </c>
      <c r="BC129" s="553" t="str">
        <f t="shared" si="6"/>
        <v/>
      </c>
      <c r="BD129" s="572" t="str">
        <f>IF(AND(L129="",H129=""),"",
IF(H129="",Pole_Calc!A$9,
IF(H129="MP",Pole_Calc!A$10,
IF(H129="AnMP",Pole_Calc!A$11,
IF(H129="A",Pole_Calc!A$12,
IF(H129="S/A",Pole_Calc!A$13,
IF(H129="A/S",Pole_Calc!A$14,"Poner a mano")))))))</f>
        <v/>
      </c>
      <c r="BE129" s="448" t="s">
        <v>1726</v>
      </c>
      <c r="BF129" s="305"/>
      <c r="BG129" s="305"/>
      <c r="BH129" s="306"/>
      <c r="BI129" s="305"/>
    </row>
    <row r="130" spans="1:61" ht="16.2" customHeight="1">
      <c r="A130" s="573"/>
      <c r="B130" s="469" t="s">
        <v>1918</v>
      </c>
      <c r="C130" s="3">
        <f>+$C$128+$G$129</f>
        <v>2704.6499999999996</v>
      </c>
      <c r="D130" s="88"/>
      <c r="E130" s="4"/>
      <c r="F130" s="4">
        <v>0</v>
      </c>
      <c r="G130" s="6"/>
      <c r="H130" s="468" t="s">
        <v>179</v>
      </c>
      <c r="I130" s="468"/>
      <c r="J130" s="3"/>
      <c r="K130" s="468"/>
      <c r="L130" s="468" t="s">
        <v>448</v>
      </c>
      <c r="M130" s="468" t="str">
        <f>IF(L130="","",
IF(AX130="PT",VLOOKUP(L130,Foundation_Calc!$V$79:$X$112,VLOOKUP(AX130,Foundation_Calc!$I$10:$J$13,2,FALSE),0),
IF(AX130="K",VLOOKUP(L130,Foundation_Calc!$V$116:$X$149,VLOOKUP(AX130,Foundation_Calc!$I$10:$J$13,2,FALSE),0),"")))</f>
        <v>2C3R</v>
      </c>
      <c r="N130" s="468" t="s">
        <v>32</v>
      </c>
      <c r="O130" s="669" t="s">
        <v>28</v>
      </c>
      <c r="P130" s="468"/>
      <c r="Q130" s="4"/>
      <c r="R130" s="6"/>
      <c r="S130" s="6"/>
      <c r="T130" s="4">
        <v>-20</v>
      </c>
      <c r="U130" s="4">
        <v>-55</v>
      </c>
      <c r="V130" s="4"/>
      <c r="W130" s="9">
        <v>1.4</v>
      </c>
      <c r="X130" s="9">
        <v>2</v>
      </c>
      <c r="Y130" s="9"/>
      <c r="Z130" s="9"/>
      <c r="AA130" s="9">
        <v>0.45</v>
      </c>
      <c r="AB130" s="9"/>
      <c r="AC130" s="468" t="s">
        <v>645</v>
      </c>
      <c r="AD130" s="468"/>
      <c r="AE130" s="468"/>
      <c r="AF130" s="4"/>
      <c r="AG130" s="88"/>
      <c r="AH130" s="4"/>
      <c r="AI130" s="4"/>
      <c r="AJ130" s="468"/>
      <c r="AK130" s="468"/>
      <c r="AL130" s="468"/>
      <c r="AM130" s="468" t="s">
        <v>486</v>
      </c>
      <c r="AN130" s="10">
        <v>5.5</v>
      </c>
      <c r="AO130" s="9"/>
      <c r="AP130" s="9"/>
      <c r="AQ130" s="9"/>
      <c r="AR130" s="9"/>
      <c r="AS130" s="9"/>
      <c r="AT130" s="9">
        <f>+ab($T$130,$T$128,$T$132,$G$129,$G$131, 1*$F$130,1200)</f>
        <v>-15.569104251407035</v>
      </c>
      <c r="AU130" s="447"/>
      <c r="AV130" s="447"/>
      <c r="AW130" s="468" t="str">
        <f>IF(C130&gt;0,VLOOKUP(C130,Foundation_Calc!$A$2:$C$13,3,1),
IF(J130&gt;0,VLOOKUP(J130,Foundation_Calc!$A$2:$C$13,3,1),""))</f>
        <v>MultiSoil</v>
      </c>
      <c r="AX130" s="468" t="str">
        <f>IF(C130&gt;0,VLOOKUP(C130,Foundation_Calc!$E$2:$G$13,3,1),
IF(J130&gt;0,VLOOKUP(J130,Foundation_Calc!$E$2:$G$13,3,1),""))</f>
        <v>PT</v>
      </c>
      <c r="AY130" s="10">
        <f>IF(L130="","",
IF(AX130="PT",VLOOKUP(L130,Foundation_Calc!$K$79:$R$112,VLOOKUP(AW130,Foundation_Calc!$I$2:$J$8,2,FALSE),0),
IF(AX130="K",VLOOKUP(L130,Foundation_Calc!$K$116:$R$149,VLOOKUP(AW130,Foundation_Calc!$I$2:$J$8,2,FALSE),0),"")))</f>
        <v>3.7</v>
      </c>
      <c r="AZ130" s="10" t="str">
        <f>IF(K130="","",
IF(AX130="PT",VLOOKUP(K130,Foundation_Calc!$K$79:$R$112,VLOOKUP(AW130,Foundation_Calc!$I$2:$J$8,2,FALSE),0),
IF(AX130="K",VLOOKUP(K130,Foundation_Calc!$K$116:$R$149,VLOOKUP(AW130,Foundation_Calc!$I$2:$J$8,2,FALSE),0),"")))</f>
        <v/>
      </c>
      <c r="BA130" s="553" t="str">
        <f t="shared" si="5"/>
        <v>ü</v>
      </c>
      <c r="BB130" s="553" t="str">
        <f t="shared" si="5"/>
        <v/>
      </c>
      <c r="BC130" s="553" t="str">
        <f t="shared" si="6"/>
        <v/>
      </c>
      <c r="BD130" s="572" t="str">
        <f>IF(AND(L130="",H130=""),"",
IF(H130="",Pole_Calc!A$9,
IF(H130="MP",Pole_Calc!A$10,
IF(H130="AnMP",Pole_Calc!A$11,
IF(H130="A",Pole_Calc!A$12,
IF(H130="S/A",Pole_Calc!A$13,
IF(H130="A/S",Pole_Calc!A$14,"Poner a mano")))))))</f>
        <v>App.7-V11H-P9.5.1.5</v>
      </c>
      <c r="BE130" s="448" t="s">
        <v>1726</v>
      </c>
      <c r="BF130" s="306"/>
      <c r="BG130" s="306"/>
      <c r="BH130" s="306"/>
      <c r="BI130" s="306"/>
    </row>
    <row r="131" spans="1:61" ht="16.2" customHeight="1">
      <c r="A131" s="573"/>
      <c r="B131" s="469"/>
      <c r="C131" s="3"/>
      <c r="D131" s="88"/>
      <c r="E131" s="4"/>
      <c r="F131" s="4"/>
      <c r="G131" s="6">
        <v>49</v>
      </c>
      <c r="H131" s="468"/>
      <c r="I131" s="4"/>
      <c r="J131" s="3"/>
      <c r="K131" s="468"/>
      <c r="L131" s="468"/>
      <c r="M131" s="468" t="str">
        <f>IF(L131="","",
IF(AX131="PT",VLOOKUP(L131,Foundation_Calc!$V$79:$X$112,VLOOKUP(AX131,Foundation_Calc!$I$10:$J$13,2,FALSE),0),
IF(AX131="K",VLOOKUP(L131,Foundation_Calc!$V$116:$X$149,VLOOKUP(AX131,Foundation_Calc!$I$10:$J$13,2,FALSE),0),"")))</f>
        <v/>
      </c>
      <c r="N131" s="468"/>
      <c r="O131" s="468"/>
      <c r="P131" s="468"/>
      <c r="Q131" s="4"/>
      <c r="R131" s="6"/>
      <c r="S131" s="6"/>
      <c r="T131" s="4"/>
      <c r="U131" s="4"/>
      <c r="V131" s="4"/>
      <c r="W131" s="9"/>
      <c r="X131" s="9"/>
      <c r="Y131" s="9"/>
      <c r="Z131" s="9"/>
      <c r="AA131" s="9"/>
      <c r="AB131" s="9"/>
      <c r="AC131" s="468" t="str">
        <f t="shared" si="7"/>
        <v/>
      </c>
      <c r="AD131" s="468"/>
      <c r="AE131" s="468"/>
      <c r="AF131" s="4"/>
      <c r="AG131" s="88"/>
      <c r="AH131" s="4"/>
      <c r="AI131" s="4"/>
      <c r="AJ131" s="468"/>
      <c r="AK131" s="468"/>
      <c r="AL131" s="468"/>
      <c r="AM131" s="468"/>
      <c r="AN131" s="10"/>
      <c r="AO131" s="9"/>
      <c r="AP131" s="9"/>
      <c r="AQ131" s="9">
        <f>+FL_2($T$132,$T$130,$G$131,1200,9.28, 1*$F$132)</f>
        <v>-0.40776987744217685</v>
      </c>
      <c r="AR131" s="9"/>
      <c r="AS131" s="9"/>
      <c r="AT131" s="9"/>
      <c r="AU131" s="447"/>
      <c r="AV131" s="447"/>
      <c r="AW131" s="468" t="str">
        <f>IF(C131&gt;0,VLOOKUP(C131,Foundation_Calc!$A$2:$C$13,3,1),
IF(J131&gt;0,VLOOKUP(J131,Foundation_Calc!$A$2:$C$13,3,1),""))</f>
        <v/>
      </c>
      <c r="AX131" s="468" t="str">
        <f>IF(C131&gt;0,VLOOKUP(C131,Foundation_Calc!$E$2:$G$13,3,1),
IF(J131&gt;0,VLOOKUP(J131,Foundation_Calc!$E$2:$G$13,3,1),""))</f>
        <v/>
      </c>
      <c r="AY131" s="10" t="str">
        <f>IF(L131="","",
IF(AX131="PT",VLOOKUP(L131,Foundation_Calc!$K$79:$R$112,VLOOKUP(AW131,Foundation_Calc!$I$2:$J$8,2,FALSE),0),
IF(AX131="K",VLOOKUP(L131,Foundation_Calc!$K$116:$R$149,VLOOKUP(AW131,Foundation_Calc!$I$2:$J$8,2,FALSE),0),"")))</f>
        <v/>
      </c>
      <c r="AZ131" s="10" t="str">
        <f>IF(K131="","",
IF(AX131="PT",VLOOKUP(K131,Foundation_Calc!$K$79:$R$112,VLOOKUP(AW131,Foundation_Calc!$I$2:$J$8,2,FALSE),0),
IF(AX131="K",VLOOKUP(K131,Foundation_Calc!$K$116:$R$149,VLOOKUP(AW131,Foundation_Calc!$I$2:$J$8,2,FALSE),0),"")))</f>
        <v/>
      </c>
      <c r="BA131" s="553" t="str">
        <f t="shared" si="5"/>
        <v/>
      </c>
      <c r="BB131" s="553" t="str">
        <f t="shared" si="5"/>
        <v/>
      </c>
      <c r="BC131" s="553" t="str">
        <f t="shared" si="6"/>
        <v/>
      </c>
      <c r="BD131" s="572" t="str">
        <f>IF(AND(L131="",H131=""),"",
IF(H131="",Pole_Calc!A$9,
IF(H131="MP",Pole_Calc!A$10,
IF(H131="AnMP",Pole_Calc!A$11,
IF(H131="A",Pole_Calc!A$12,
IF(H131="S/A",Pole_Calc!A$13,
IF(H131="A/S",Pole_Calc!A$14,"Poner a mano")))))))</f>
        <v/>
      </c>
      <c r="BE131" s="448" t="s">
        <v>1726</v>
      </c>
      <c r="BF131" s="305"/>
      <c r="BG131" s="305"/>
      <c r="BH131" s="306"/>
      <c r="BI131" s="305"/>
    </row>
    <row r="132" spans="1:61" ht="16.2" customHeight="1">
      <c r="A132" s="573"/>
      <c r="B132" s="469" t="s">
        <v>1919</v>
      </c>
      <c r="C132" s="3">
        <f>+$C$130+$G$131</f>
        <v>2753.6499999999996</v>
      </c>
      <c r="D132" s="88"/>
      <c r="E132" s="4"/>
      <c r="F132" s="4">
        <v>0</v>
      </c>
      <c r="G132" s="6"/>
      <c r="H132" s="468" t="s">
        <v>2471</v>
      </c>
      <c r="I132" s="468" t="s">
        <v>183</v>
      </c>
      <c r="J132" s="3"/>
      <c r="K132" s="468"/>
      <c r="L132" s="468" t="s">
        <v>449</v>
      </c>
      <c r="M132" s="468" t="str">
        <f>IF(L132="","",
IF(AX132="PT",VLOOKUP(L132,Foundation_Calc!$V$79:$X$112,VLOOKUP(AX132,Foundation_Calc!$I$10:$J$13,2,FALSE),0),
IF(AX132="K",VLOOKUP(L132,Foundation_Calc!$V$116:$X$149,VLOOKUP(AX132,Foundation_Calc!$I$10:$J$13,2,FALSE),0),"")))</f>
        <v>2C4R</v>
      </c>
      <c r="N132" s="468" t="s">
        <v>32</v>
      </c>
      <c r="O132" s="468"/>
      <c r="P132" s="468"/>
      <c r="Q132" s="4"/>
      <c r="R132" s="6"/>
      <c r="S132" s="6"/>
      <c r="T132" s="4">
        <v>-15</v>
      </c>
      <c r="U132" s="4"/>
      <c r="V132" s="4"/>
      <c r="W132" s="9">
        <v>1.4</v>
      </c>
      <c r="X132" s="9"/>
      <c r="Y132" s="9"/>
      <c r="Z132" s="9"/>
      <c r="AA132" s="9"/>
      <c r="AB132" s="9"/>
      <c r="AC132" s="468" t="str">
        <f t="shared" si="7"/>
        <v>PH</v>
      </c>
      <c r="AD132" s="468"/>
      <c r="AE132" s="468"/>
      <c r="AF132" s="4"/>
      <c r="AG132" s="88"/>
      <c r="AH132" s="4"/>
      <c r="AI132" s="4"/>
      <c r="AJ132" s="468"/>
      <c r="AK132" s="468"/>
      <c r="AL132" s="468"/>
      <c r="AM132" s="468" t="s">
        <v>486</v>
      </c>
      <c r="AN132" s="10">
        <v>5.5</v>
      </c>
      <c r="AO132" s="9"/>
      <c r="AP132" s="9"/>
      <c r="AQ132" s="9"/>
      <c r="AR132" s="9"/>
      <c r="AS132" s="9"/>
      <c r="AT132" s="9">
        <f>+ab($T$132,$T$130,$T$134,$G$131,$G$133, 1*$F$132,1200)</f>
        <v>-27.584606491198098</v>
      </c>
      <c r="AU132" s="447"/>
      <c r="AV132" s="447"/>
      <c r="AW132" s="468" t="str">
        <f>IF(C132&gt;0,VLOOKUP(C132,Foundation_Calc!$A$2:$C$13,3,1),
IF(J132&gt;0,VLOOKUP(J132,Foundation_Calc!$A$2:$C$13,3,1),""))</f>
        <v>MultiSoil</v>
      </c>
      <c r="AX132" s="468" t="str">
        <f>IF(C132&gt;0,VLOOKUP(C132,Foundation_Calc!$E$2:$G$13,3,1),
IF(J132&gt;0,VLOOKUP(J132,Foundation_Calc!$E$2:$G$13,3,1),""))</f>
        <v>PT</v>
      </c>
      <c r="AY132" s="10">
        <f>IF(L132="","",
IF(AX132="PT",VLOOKUP(L132,Foundation_Calc!$K$79:$R$112,VLOOKUP(AW132,Foundation_Calc!$I$2:$J$8,2,FALSE),0),
IF(AX132="K",VLOOKUP(L132,Foundation_Calc!$K$116:$R$149,VLOOKUP(AW132,Foundation_Calc!$I$2:$J$8,2,FALSE),0),"")))</f>
        <v>4</v>
      </c>
      <c r="AZ132" s="10" t="str">
        <f>IF(K132="","",
IF(AX132="PT",VLOOKUP(K132,Foundation_Calc!$K$79:$R$112,VLOOKUP(AW132,Foundation_Calc!$I$2:$J$8,2,FALSE),0),
IF(AX132="K",VLOOKUP(K132,Foundation_Calc!$K$116:$R$149,VLOOKUP(AW132,Foundation_Calc!$I$2:$J$8,2,FALSE),0),"")))</f>
        <v/>
      </c>
      <c r="BA132" s="553" t="str">
        <f t="shared" si="5"/>
        <v>ü</v>
      </c>
      <c r="BB132" s="553" t="str">
        <f t="shared" si="5"/>
        <v/>
      </c>
      <c r="BC132" s="553" t="str">
        <f t="shared" si="6"/>
        <v/>
      </c>
      <c r="BD132" s="572" t="str">
        <f>Pole_Calc!A$167</f>
        <v>App.7-V11H-P9.5.15.2</v>
      </c>
      <c r="BE132" s="448" t="s">
        <v>1726</v>
      </c>
      <c r="BF132" s="306"/>
      <c r="BG132" s="306"/>
      <c r="BH132" s="306"/>
      <c r="BI132" s="306"/>
    </row>
    <row r="133" spans="1:61" ht="16.2" customHeight="1">
      <c r="A133" s="573" t="s">
        <v>2452</v>
      </c>
      <c r="B133" s="469"/>
      <c r="C133" s="3"/>
      <c r="D133" s="88"/>
      <c r="E133" s="4"/>
      <c r="F133" s="4"/>
      <c r="G133" s="6">
        <v>47.1</v>
      </c>
      <c r="H133" s="468"/>
      <c r="I133" s="4">
        <f>SUM(G103:G133)-13</f>
        <v>700.4</v>
      </c>
      <c r="J133" s="3"/>
      <c r="K133" s="468"/>
      <c r="L133" s="468"/>
      <c r="M133" s="468" t="str">
        <f>IF(L133="","",
IF(AX133="PT",VLOOKUP(L133,Foundation_Calc!$V$79:$X$112,VLOOKUP(AX133,Foundation_Calc!$I$10:$J$13,2,FALSE),0),
IF(AX133="K",VLOOKUP(L133,Foundation_Calc!$V$116:$X$149,VLOOKUP(AX133,Foundation_Calc!$I$10:$J$13,2,FALSE),0),"")))</f>
        <v/>
      </c>
      <c r="N133" s="468"/>
      <c r="O133" s="468"/>
      <c r="P133" s="468"/>
      <c r="Q133" s="4"/>
      <c r="R133" s="6"/>
      <c r="S133" s="6"/>
      <c r="T133" s="4"/>
      <c r="U133" s="4"/>
      <c r="V133" s="4"/>
      <c r="W133" s="9"/>
      <c r="X133" s="9"/>
      <c r="Y133" s="9"/>
      <c r="Z133" s="9"/>
      <c r="AA133" s="9"/>
      <c r="AB133" s="9"/>
      <c r="AC133" s="468" t="str">
        <f t="shared" si="7"/>
        <v/>
      </c>
      <c r="AD133" s="468"/>
      <c r="AE133" s="468"/>
      <c r="AF133" s="4"/>
      <c r="AG133" s="88"/>
      <c r="AH133" s="4"/>
      <c r="AI133" s="4"/>
      <c r="AJ133" s="468"/>
      <c r="AK133" s="468"/>
      <c r="AL133" s="468"/>
      <c r="AM133" s="468"/>
      <c r="AN133" s="10"/>
      <c r="AO133" s="9"/>
      <c r="AP133" s="9"/>
      <c r="AQ133" s="9">
        <f>+FL_1($T$134,$T$132,$G$133,1200,9.28, 1*$F$134)</f>
        <v>0.27514871092993631</v>
      </c>
      <c r="AR133" s="9"/>
      <c r="AS133" s="9"/>
      <c r="AT133" s="9"/>
      <c r="AU133" s="447"/>
      <c r="AV133" s="447"/>
      <c r="AW133" s="468" t="str">
        <f>IF(C133&gt;0,VLOOKUP(C133,Foundation_Calc!$A$2:$C$13,3,1),
IF(J133&gt;0,VLOOKUP(J133,Foundation_Calc!$A$2:$C$13,3,1),""))</f>
        <v/>
      </c>
      <c r="AX133" s="468" t="str">
        <f>IF(C133&gt;0,VLOOKUP(C133,Foundation_Calc!$E$2:$G$13,3,1),
IF(J133&gt;0,VLOOKUP(J133,Foundation_Calc!$E$2:$G$13,3,1),""))</f>
        <v/>
      </c>
      <c r="AY133" s="10" t="str">
        <f>IF(L133="","",
IF(AX133="PT",VLOOKUP(L133,Foundation_Calc!$K$79:$R$112,VLOOKUP(AW133,Foundation_Calc!$I$2:$J$8,2,FALSE),0),
IF(AX133="K",VLOOKUP(L133,Foundation_Calc!$K$116:$R$149,VLOOKUP(AW133,Foundation_Calc!$I$2:$J$8,2,FALSE),0),"")))</f>
        <v/>
      </c>
      <c r="AZ133" s="10" t="str">
        <f>IF(K133="","",
IF(AX133="PT",VLOOKUP(K133,Foundation_Calc!$K$79:$R$112,VLOOKUP(AW133,Foundation_Calc!$I$2:$J$8,2,FALSE),0),
IF(AX133="K",VLOOKUP(K133,Foundation_Calc!$K$116:$R$149,VLOOKUP(AW133,Foundation_Calc!$I$2:$J$8,2,FALSE),0),"")))</f>
        <v/>
      </c>
      <c r="BA133" s="553" t="str">
        <f t="shared" si="5"/>
        <v/>
      </c>
      <c r="BB133" s="553" t="str">
        <f t="shared" si="5"/>
        <v/>
      </c>
      <c r="BC133" s="553" t="str">
        <f t="shared" si="6"/>
        <v/>
      </c>
      <c r="BD133" s="572" t="str">
        <f>IF(AND(L133="",H133=""),"",
IF(H133="",Pole_Calc!A$9,
IF(H133="MP",Pole_Calc!A$10,
IF(H133="AnMP",Pole_Calc!A$11,
IF(H133="A",Pole_Calc!A$12,
IF(H133="S/A",Pole_Calc!A$13,
IF(H133="A/S",Pole_Calc!A$14,"Poner a mano")))))))</f>
        <v/>
      </c>
      <c r="BE133" s="448" t="s">
        <v>1726</v>
      </c>
      <c r="BF133" s="305"/>
      <c r="BG133" s="305"/>
      <c r="BH133" s="306"/>
      <c r="BI133" s="305"/>
    </row>
    <row r="134" spans="1:61" ht="16.2" customHeight="1">
      <c r="A134" s="579" t="s">
        <v>2452</v>
      </c>
      <c r="B134" s="469" t="s">
        <v>1920</v>
      </c>
      <c r="C134" s="3">
        <f>+$C$132+$G$133</f>
        <v>2800.7499999999995</v>
      </c>
      <c r="D134" s="88"/>
      <c r="E134" s="4"/>
      <c r="F134" s="4">
        <v>0</v>
      </c>
      <c r="G134" s="6"/>
      <c r="H134" s="468" t="s">
        <v>366</v>
      </c>
      <c r="I134" s="468"/>
      <c r="J134" s="3"/>
      <c r="K134" s="468"/>
      <c r="L134" s="468" t="s">
        <v>1290</v>
      </c>
      <c r="M134" s="468" t="s">
        <v>1625</v>
      </c>
      <c r="N134" s="468" t="s">
        <v>343</v>
      </c>
      <c r="O134" s="468"/>
      <c r="P134" s="468"/>
      <c r="Q134" s="4"/>
      <c r="R134" s="6"/>
      <c r="S134" s="6"/>
      <c r="T134" s="4">
        <v>20</v>
      </c>
      <c r="U134" s="4"/>
      <c r="V134" s="4"/>
      <c r="W134" s="9">
        <v>1.4</v>
      </c>
      <c r="X134" s="9"/>
      <c r="Y134" s="9"/>
      <c r="Z134" s="9"/>
      <c r="AA134" s="9"/>
      <c r="AB134" s="9"/>
      <c r="AC134" s="468" t="str">
        <f t="shared" si="7"/>
        <v>PH</v>
      </c>
      <c r="AD134" s="468"/>
      <c r="AE134" s="468"/>
      <c r="AF134" s="4"/>
      <c r="AG134" s="88"/>
      <c r="AH134" s="4"/>
      <c r="AI134" s="4"/>
      <c r="AJ134" s="468"/>
      <c r="AK134" s="468" t="s">
        <v>1563</v>
      </c>
      <c r="AL134" s="468" t="s">
        <v>1115</v>
      </c>
      <c r="AM134" s="468" t="s">
        <v>1620</v>
      </c>
      <c r="AN134" s="10">
        <v>5.5</v>
      </c>
      <c r="AO134" s="9"/>
      <c r="AP134" s="9"/>
      <c r="AQ134" s="9"/>
      <c r="AR134" s="9"/>
      <c r="AS134" s="9"/>
      <c r="AT134" s="9">
        <f>+ab($T$134,$T$132,$T$136,$G$133,$G$135, 1*$F$134,1200)</f>
        <v>24.260994139962193</v>
      </c>
      <c r="AU134" s="447"/>
      <c r="AV134" s="447"/>
      <c r="AW134" s="468"/>
      <c r="AX134" s="468"/>
      <c r="AY134" s="10"/>
      <c r="AZ134" s="10" t="str">
        <f>IF(K134="","",
IF(AX134="PT",VLOOKUP(K134,Foundation_Calc!$K$79:$R$112,VLOOKUP(AW134,Foundation_Calc!$I$2:$J$8,2,FALSE),0),
IF(AX134="K",VLOOKUP(K134,Foundation_Calc!$K$116:$R$149,VLOOKUP(AW134,Foundation_Calc!$I$2:$J$8,2,FALSE),0),"")))</f>
        <v/>
      </c>
      <c r="BA134" s="553" t="str">
        <f t="shared" si="5"/>
        <v/>
      </c>
      <c r="BB134" s="553" t="str">
        <f t="shared" si="5"/>
        <v/>
      </c>
      <c r="BC134" s="553" t="str">
        <f t="shared" si="6"/>
        <v>ü</v>
      </c>
      <c r="BD134" s="572" t="str">
        <f>Pole_Calc!A$251</f>
        <v>App.8-V08H-P10.3</v>
      </c>
      <c r="BE134" s="448" t="s">
        <v>1726</v>
      </c>
      <c r="BF134" s="306"/>
      <c r="BG134" s="306"/>
      <c r="BH134" s="306"/>
      <c r="BI134" s="306"/>
    </row>
    <row r="135" spans="1:61" ht="16.2" customHeight="1">
      <c r="A135" s="573" t="s">
        <v>2448</v>
      </c>
      <c r="B135" s="469"/>
      <c r="C135" s="3"/>
      <c r="D135" s="88"/>
      <c r="E135" s="4"/>
      <c r="F135" s="4"/>
      <c r="G135" s="6">
        <v>50.4</v>
      </c>
      <c r="H135" s="468"/>
      <c r="I135" s="4">
        <f>SUM(G135:G163)</f>
        <v>672.19999999999993</v>
      </c>
      <c r="J135" s="3"/>
      <c r="K135" s="468"/>
      <c r="L135" s="468"/>
      <c r="M135" s="468" t="str">
        <f>IF(L135="","",
IF(AX135="PT",VLOOKUP(L135,Foundation_Calc!$V$79:$X$112,VLOOKUP(AX135,Foundation_Calc!$I$10:$J$13,2,FALSE),0),
IF(AX135="K",VLOOKUP(L135,Foundation_Calc!$V$116:$X$149,VLOOKUP(AX135,Foundation_Calc!$I$10:$J$13,2,FALSE),0),"")))</f>
        <v/>
      </c>
      <c r="N135" s="468"/>
      <c r="O135" s="468"/>
      <c r="P135" s="468"/>
      <c r="Q135" s="4"/>
      <c r="R135" s="6"/>
      <c r="S135" s="6"/>
      <c r="T135" s="4"/>
      <c r="U135" s="4"/>
      <c r="V135" s="4"/>
      <c r="W135" s="9"/>
      <c r="X135" s="9"/>
      <c r="Y135" s="9"/>
      <c r="Z135" s="9"/>
      <c r="AA135" s="9"/>
      <c r="AB135" s="9"/>
      <c r="AC135" s="468" t="str">
        <f t="shared" si="7"/>
        <v/>
      </c>
      <c r="AD135" s="468"/>
      <c r="AE135" s="468"/>
      <c r="AF135" s="4"/>
      <c r="AG135" s="88"/>
      <c r="AH135" s="4"/>
      <c r="AI135" s="4"/>
      <c r="AJ135" s="468"/>
      <c r="AK135" s="468" t="s">
        <v>2374</v>
      </c>
      <c r="AL135" s="468"/>
      <c r="AM135" s="468"/>
      <c r="AN135" s="10"/>
      <c r="AO135" s="9"/>
      <c r="AP135" s="9"/>
      <c r="AQ135" s="9">
        <f>+FL_1($T$136,$T$134,$G$135,1200,9.28, 1*$F$136)</f>
        <v>0.44554879999999997</v>
      </c>
      <c r="AR135" s="9"/>
      <c r="AS135" s="9"/>
      <c r="AT135" s="9"/>
      <c r="AU135" s="447"/>
      <c r="AV135" s="447"/>
      <c r="AW135" s="468" t="str">
        <f>IF(C135&gt;0,VLOOKUP(C135,Foundation_Calc!$A$2:$C$13,3,1),
IF(J135&gt;0,VLOOKUP(J135,Foundation_Calc!$A$2:$C$13,3,1),""))</f>
        <v/>
      </c>
      <c r="AX135" s="468" t="str">
        <f>IF(C135&gt;0,VLOOKUP(C135,Foundation_Calc!$E$2:$G$13,3,1),
IF(J135&gt;0,VLOOKUP(J135,Foundation_Calc!$E$2:$G$13,3,1),""))</f>
        <v/>
      </c>
      <c r="AY135" s="10" t="str">
        <f>IF(L135="","",
IF(AX135="PT",VLOOKUP(L135,Foundation_Calc!$K$79:$R$112,VLOOKUP(AW135,Foundation_Calc!$I$2:$J$8,2,FALSE),0),
IF(AX135="K",VLOOKUP(L135,Foundation_Calc!$K$116:$R$149,VLOOKUP(AW135,Foundation_Calc!$I$2:$J$8,2,FALSE),0),"")))</f>
        <v/>
      </c>
      <c r="AZ135" s="10" t="str">
        <f>IF(K135="","",
IF(AX135="PT",VLOOKUP(K135,Foundation_Calc!$K$79:$R$112,VLOOKUP(AW135,Foundation_Calc!$I$2:$J$8,2,FALSE),0),
IF(AX135="K",VLOOKUP(K135,Foundation_Calc!$K$116:$R$149,VLOOKUP(AW135,Foundation_Calc!$I$2:$J$8,2,FALSE),0),"")))</f>
        <v/>
      </c>
      <c r="BA135" s="553" t="str">
        <f t="shared" si="5"/>
        <v/>
      </c>
      <c r="BB135" s="553" t="str">
        <f t="shared" si="5"/>
        <v/>
      </c>
      <c r="BC135" s="553" t="str">
        <f t="shared" si="6"/>
        <v/>
      </c>
      <c r="BD135" s="572" t="str">
        <f>IF(AND(L135="",H135=""),"",
IF(H135="",Pole_Calc!A$9,
IF(H135="MP",Pole_Calc!A$10,
IF(H135="AnMP",Pole_Calc!A$11,
IF(H135="A",Pole_Calc!A$12,
IF(H135="S/A",Pole_Calc!A$13,
IF(H135="A/S",Pole_Calc!A$14,"Poner a mano")))))))</f>
        <v/>
      </c>
      <c r="BE135" s="448" t="s">
        <v>1726</v>
      </c>
      <c r="BF135" s="305"/>
      <c r="BG135" s="305"/>
      <c r="BH135" s="306"/>
      <c r="BI135" s="305"/>
    </row>
    <row r="136" spans="1:61" ht="16.2" customHeight="1">
      <c r="A136" s="673" t="s">
        <v>2452</v>
      </c>
      <c r="B136" s="469" t="s">
        <v>1921</v>
      </c>
      <c r="C136" s="3">
        <f>+$C$134+$G$135</f>
        <v>2851.1499999999996</v>
      </c>
      <c r="D136" s="88"/>
      <c r="E136" s="4"/>
      <c r="F136" s="4">
        <v>0</v>
      </c>
      <c r="G136" s="6"/>
      <c r="H136" s="468"/>
      <c r="I136" s="468"/>
      <c r="J136" s="3"/>
      <c r="K136" s="468"/>
      <c r="L136" s="468" t="s">
        <v>1192</v>
      </c>
      <c r="M136" s="468" t="s">
        <v>1625</v>
      </c>
      <c r="N136" s="468" t="s">
        <v>343</v>
      </c>
      <c r="O136" s="468"/>
      <c r="P136" s="468"/>
      <c r="Q136" s="4"/>
      <c r="R136" s="6"/>
      <c r="S136" s="6"/>
      <c r="T136" s="4">
        <v>20</v>
      </c>
      <c r="U136" s="4"/>
      <c r="V136" s="4"/>
      <c r="W136" s="9">
        <v>1.4</v>
      </c>
      <c r="X136" s="9"/>
      <c r="Y136" s="9"/>
      <c r="Z136" s="9"/>
      <c r="AA136" s="9"/>
      <c r="AB136" s="9"/>
      <c r="AC136" s="468" t="str">
        <f t="shared" si="7"/>
        <v>PH</v>
      </c>
      <c r="AD136" s="468"/>
      <c r="AE136" s="468"/>
      <c r="AF136" s="4"/>
      <c r="AG136" s="88"/>
      <c r="AH136" s="4"/>
      <c r="AI136" s="4"/>
      <c r="AJ136" s="468"/>
      <c r="AK136" s="468" t="s">
        <v>1563</v>
      </c>
      <c r="AL136" s="468" t="s">
        <v>1115</v>
      </c>
      <c r="AM136" s="468" t="s">
        <v>1620</v>
      </c>
      <c r="AN136" s="10">
        <v>5.5</v>
      </c>
      <c r="AO136" s="9"/>
      <c r="AP136" s="9"/>
      <c r="AQ136" s="9"/>
      <c r="AR136" s="9"/>
      <c r="AS136" s="9"/>
      <c r="AT136" s="9">
        <f>+ab($T$136,$T$134,$T$138,$G$135,$G$137, 1*$F$136,1200)</f>
        <v>89.998962396939987</v>
      </c>
      <c r="AU136" s="447"/>
      <c r="AV136" s="447"/>
      <c r="AW136" s="468"/>
      <c r="AX136" s="468"/>
      <c r="AY136" s="10"/>
      <c r="AZ136" s="10" t="str">
        <f>IF(K136="","",
IF(AX136="PT",VLOOKUP(K136,Foundation_Calc!$K$79:$R$112,VLOOKUP(AW136,Foundation_Calc!$I$2:$J$8,2,FALSE),0),
IF(AX136="K",VLOOKUP(K136,Foundation_Calc!$K$116:$R$149,VLOOKUP(AW136,Foundation_Calc!$I$2:$J$8,2,FALSE),0),"")))</f>
        <v/>
      </c>
      <c r="BA136" s="553" t="str">
        <f t="shared" si="5"/>
        <v/>
      </c>
      <c r="BB136" s="553" t="str">
        <f t="shared" si="5"/>
        <v/>
      </c>
      <c r="BC136" s="553" t="str">
        <f t="shared" si="6"/>
        <v>ü</v>
      </c>
      <c r="BD136" s="572" t="str">
        <f>Pole_Calc!A$251</f>
        <v>App.8-V08H-P10.3</v>
      </c>
      <c r="BE136" s="448" t="s">
        <v>1726</v>
      </c>
      <c r="BF136" s="306"/>
      <c r="BG136" s="306"/>
      <c r="BH136" s="306"/>
      <c r="BI136" s="306"/>
    </row>
    <row r="137" spans="1:61" ht="16.2" customHeight="1">
      <c r="A137" s="580" t="s">
        <v>2452</v>
      </c>
      <c r="B137" s="469"/>
      <c r="C137" s="3"/>
      <c r="D137" s="88"/>
      <c r="E137" s="4"/>
      <c r="F137" s="4"/>
      <c r="G137" s="6">
        <v>46.3</v>
      </c>
      <c r="H137" s="468"/>
      <c r="I137" s="468"/>
      <c r="J137" s="3"/>
      <c r="K137" s="468"/>
      <c r="L137" s="468"/>
      <c r="M137" s="468" t="str">
        <f>IF(L137="","",
IF(AX137="PT",VLOOKUP(L137,Foundation_Calc!$V$79:$X$112,VLOOKUP(AX137,Foundation_Calc!$I$10:$J$13,2,FALSE),0),
IF(AX137="K",VLOOKUP(L137,Foundation_Calc!$V$116:$X$149,VLOOKUP(AX137,Foundation_Calc!$I$10:$J$13,2,FALSE),0),"")))</f>
        <v/>
      </c>
      <c r="N137" s="468"/>
      <c r="O137" s="468"/>
      <c r="P137" s="468"/>
      <c r="Q137" s="4"/>
      <c r="R137" s="6"/>
      <c r="S137" s="6"/>
      <c r="T137" s="4"/>
      <c r="U137" s="4"/>
      <c r="V137" s="4"/>
      <c r="W137" s="9"/>
      <c r="X137" s="9"/>
      <c r="Y137" s="9"/>
      <c r="Z137" s="9"/>
      <c r="AA137" s="9"/>
      <c r="AB137" s="9"/>
      <c r="AC137" s="468" t="str">
        <f t="shared" si="7"/>
        <v/>
      </c>
      <c r="AD137" s="468"/>
      <c r="AE137" s="468"/>
      <c r="AF137" s="4"/>
      <c r="AG137" s="88"/>
      <c r="AH137" s="4"/>
      <c r="AI137" s="4"/>
      <c r="AJ137" s="468"/>
      <c r="AK137" s="468"/>
      <c r="AL137" s="468"/>
      <c r="AM137" s="468"/>
      <c r="AN137" s="10"/>
      <c r="AO137" s="9"/>
      <c r="AP137" s="9"/>
      <c r="AQ137" s="9">
        <f>+FL_2($T$138,$T$136,$G$137,1200,9.28, 1*$F$138)</f>
        <v>-7.2233666666666162E-3</v>
      </c>
      <c r="AR137" s="9"/>
      <c r="AS137" s="9"/>
      <c r="AT137" s="9"/>
      <c r="AU137" s="447"/>
      <c r="AV137" s="447"/>
      <c r="AW137" s="468" t="str">
        <f>IF(C137&gt;0,VLOOKUP(C137,Foundation_Calc!$A$2:$C$13,3,1),
IF(J137&gt;0,VLOOKUP(J137,Foundation_Calc!$A$2:$C$13,3,1),""))</f>
        <v/>
      </c>
      <c r="AX137" s="468" t="str">
        <f>IF(C137&gt;0,VLOOKUP(C137,Foundation_Calc!$E$2:$G$13,3,1),
IF(J137&gt;0,VLOOKUP(J137,Foundation_Calc!$E$2:$G$13,3,1),""))</f>
        <v/>
      </c>
      <c r="AY137" s="10" t="str">
        <f>IF(L137="","",
IF(AX137="PT",VLOOKUP(L137,Foundation_Calc!$K$79:$R$112,VLOOKUP(AW137,Foundation_Calc!$I$2:$J$8,2,FALSE),0),
IF(AX137="K",VLOOKUP(L137,Foundation_Calc!$K$116:$R$149,VLOOKUP(AW137,Foundation_Calc!$I$2:$J$8,2,FALSE),0),"")))</f>
        <v/>
      </c>
      <c r="AZ137" s="10" t="str">
        <f>IF(K137="","",
IF(AX137="PT",VLOOKUP(K137,Foundation_Calc!$K$79:$R$112,VLOOKUP(AW137,Foundation_Calc!$I$2:$J$8,2,FALSE),0),
IF(AX137="K",VLOOKUP(K137,Foundation_Calc!$K$116:$R$149,VLOOKUP(AW137,Foundation_Calc!$I$2:$J$8,2,FALSE),0),"")))</f>
        <v/>
      </c>
      <c r="BA137" s="553" t="str">
        <f t="shared" si="5"/>
        <v/>
      </c>
      <c r="BB137" s="553" t="str">
        <f t="shared" si="5"/>
        <v/>
      </c>
      <c r="BC137" s="553" t="str">
        <f t="shared" si="6"/>
        <v/>
      </c>
      <c r="BD137" s="572" t="str">
        <f>IF(AND(L137="",H137=""),"",
IF(H137="",Pole_Calc!A$9,
IF(H137="MP",Pole_Calc!A$10,
IF(H137="AnMP",Pole_Calc!A$11,
IF(H137="A",Pole_Calc!A$12,
IF(H137="S/A",Pole_Calc!A$13,
IF(H137="A/S",Pole_Calc!A$14,"Poner a mano")))))))</f>
        <v/>
      </c>
      <c r="BE137" s="448" t="s">
        <v>1726</v>
      </c>
      <c r="BF137" s="305"/>
      <c r="BG137" s="305"/>
      <c r="BH137" s="306"/>
      <c r="BI137" s="305"/>
    </row>
    <row r="138" spans="1:61" ht="16.2" customHeight="1">
      <c r="A138" s="581" t="s">
        <v>2456</v>
      </c>
      <c r="B138" s="527" t="s">
        <v>1922</v>
      </c>
      <c r="C138" s="528">
        <f>+$C$136+$G$137</f>
        <v>2897.45</v>
      </c>
      <c r="D138" s="529"/>
      <c r="E138" s="530"/>
      <c r="F138" s="530">
        <v>0</v>
      </c>
      <c r="G138" s="531"/>
      <c r="H138" s="532" t="s">
        <v>2468</v>
      </c>
      <c r="I138" s="532"/>
      <c r="J138" s="528"/>
      <c r="K138" s="532"/>
      <c r="L138" s="532" t="s">
        <v>1290</v>
      </c>
      <c r="M138" s="532" t="str">
        <f>IF(L138="","",
IF(AX138="PT",VLOOKUP(L138,Foundation_Calc!$V$79:$X$112,VLOOKUP(AX138,Foundation_Calc!$I$10:$J$13,2,FALSE),0),
IF(AX138="K",VLOOKUP(L138,Foundation_Calc!$V$116:$X$149,VLOOKUP(AX138,Foundation_Calc!$I$10:$J$13,2,FALSE),0),"")))</f>
        <v>C12R</v>
      </c>
      <c r="N138" s="532" t="s">
        <v>343</v>
      </c>
      <c r="O138" s="532"/>
      <c r="P138" s="532"/>
      <c r="Q138" s="530"/>
      <c r="R138" s="531"/>
      <c r="S138" s="531"/>
      <c r="T138" s="530">
        <v>20</v>
      </c>
      <c r="U138" s="530"/>
      <c r="V138" s="530"/>
      <c r="W138" s="533">
        <v>1.4</v>
      </c>
      <c r="X138" s="533"/>
      <c r="Y138" s="533"/>
      <c r="Z138" s="533"/>
      <c r="AA138" s="533"/>
      <c r="AB138" s="533"/>
      <c r="AC138" s="532" t="str">
        <f t="shared" ref="AC138:AC201" si="14">IF(OR(AT138&gt;8,AT138&lt;-8),"PH",
IF(OR(AT138&gt;5,AT138&lt;-5),"PHQ",
IF(OR(AT138&gt;1,AT138&lt;-1),
"PHC","")))</f>
        <v>PH</v>
      </c>
      <c r="AD138" s="532"/>
      <c r="AE138" s="532"/>
      <c r="AF138" s="530"/>
      <c r="AG138" s="529"/>
      <c r="AH138" s="530"/>
      <c r="AI138" s="530"/>
      <c r="AJ138" s="532"/>
      <c r="AK138" s="532" t="s">
        <v>1563</v>
      </c>
      <c r="AL138" s="532" t="s">
        <v>1115</v>
      </c>
      <c r="AM138" s="532" t="s">
        <v>1620</v>
      </c>
      <c r="AN138" s="534">
        <v>5.5</v>
      </c>
      <c r="AO138" s="533"/>
      <c r="AP138" s="533"/>
      <c r="AQ138" s="533"/>
      <c r="AR138" s="533"/>
      <c r="AS138" s="533"/>
      <c r="AT138" s="533">
        <f>+ab($T$138,$T$136,$T$140,$G$137,$G$139, 1*$F$138,1200)</f>
        <v>27.321022964066842</v>
      </c>
      <c r="AU138" s="535"/>
      <c r="AV138" s="535"/>
      <c r="AW138" s="532" t="str">
        <f>IF(C138&gt;0,VLOOKUP(C138,Foundation_Calc!$A$2:$C$13,3,1),
IF(J138&gt;0,VLOOKUP(J138,Foundation_Calc!$A$2:$C$13,3,1),""))</f>
        <v>MultiSoil</v>
      </c>
      <c r="AX138" s="532" t="str">
        <f>IF(C138&gt;0,VLOOKUP(C138,Foundation_Calc!$E$2:$G$13,3,1),
IF(J138&gt;0,VLOOKUP(J138,Foundation_Calc!$E$2:$G$13,3,1),""))</f>
        <v>PT</v>
      </c>
      <c r="AY138" s="534">
        <f>IF(L138="","",
IF(AX138="PT",VLOOKUP(L138,Foundation_Calc!$K$79:$R$112,VLOOKUP(AW138,Foundation_Calc!$I$2:$J$8,2,FALSE),0),
IF(AX138="K",VLOOKUP(L138,Foundation_Calc!$K$116:$R$149,VLOOKUP(AW138,Foundation_Calc!$I$2:$J$8,2,FALSE),0),"")))</f>
        <v>6.2</v>
      </c>
      <c r="AZ138" s="534" t="str">
        <f>IF(K138="","",
IF(AX138="PT",VLOOKUP(K138,Foundation_Calc!$K$79:$R$112,VLOOKUP(AW138,Foundation_Calc!$I$2:$J$8,2,FALSE),0),
IF(AX138="K",VLOOKUP(K138,Foundation_Calc!$K$116:$R$149,VLOOKUP(AW138,Foundation_Calc!$I$2:$J$8,2,FALSE),0),"")))</f>
        <v/>
      </c>
      <c r="BA138" s="555" t="str">
        <f t="shared" ref="BA138:BB205" si="15">IF(AY138="","",IF(AY138&gt;0,"ü",""))</f>
        <v>ü</v>
      </c>
      <c r="BB138" s="555" t="str">
        <f t="shared" si="15"/>
        <v/>
      </c>
      <c r="BC138" s="555" t="str">
        <f t="shared" si="6"/>
        <v/>
      </c>
      <c r="BD138" s="572" t="str">
        <f>Pole_Calc!A$251</f>
        <v>App.8-V08H-P10.3</v>
      </c>
      <c r="BE138" s="448" t="s">
        <v>1726</v>
      </c>
      <c r="BF138" s="306"/>
      <c r="BG138" s="306"/>
      <c r="BH138" s="306"/>
      <c r="BI138" s="306"/>
    </row>
    <row r="139" spans="1:61" ht="16.2" customHeight="1">
      <c r="A139" s="573" t="s">
        <v>2454</v>
      </c>
      <c r="B139" s="469"/>
      <c r="C139" s="3"/>
      <c r="D139" s="88"/>
      <c r="E139" s="4"/>
      <c r="F139" s="4"/>
      <c r="G139" s="6">
        <v>61.7</v>
      </c>
      <c r="H139" s="468"/>
      <c r="I139" s="468"/>
      <c r="J139" s="3"/>
      <c r="K139" s="468"/>
      <c r="L139" s="468"/>
      <c r="M139" s="468" t="str">
        <f>IF(L139="","",
IF(AX139="PT",VLOOKUP(L139,Foundation_Calc!$V$79:$X$112,VLOOKUP(AX139,Foundation_Calc!$I$10:$J$13,2,FALSE),0),
IF(AX139="K",VLOOKUP(L139,Foundation_Calc!$V$116:$X$149,VLOOKUP(AX139,Foundation_Calc!$I$10:$J$13,2,FALSE),0),"")))</f>
        <v/>
      </c>
      <c r="N139" s="468"/>
      <c r="O139" s="468"/>
      <c r="P139" s="468"/>
      <c r="Q139" s="4"/>
      <c r="R139" s="6"/>
      <c r="S139" s="6"/>
      <c r="T139" s="4"/>
      <c r="U139" s="4"/>
      <c r="V139" s="4"/>
      <c r="W139" s="9"/>
      <c r="X139" s="9"/>
      <c r="Y139" s="9"/>
      <c r="Z139" s="9"/>
      <c r="AA139" s="9"/>
      <c r="AB139" s="9"/>
      <c r="AC139" s="468" t="str">
        <f t="shared" si="14"/>
        <v/>
      </c>
      <c r="AD139" s="468"/>
      <c r="AE139" s="468"/>
      <c r="AF139" s="4"/>
      <c r="AG139" s="88"/>
      <c r="AH139" s="4"/>
      <c r="AI139" s="4"/>
      <c r="AJ139" s="468"/>
      <c r="AK139" s="468"/>
      <c r="AL139" s="468"/>
      <c r="AM139" s="468"/>
      <c r="AN139" s="10"/>
      <c r="AO139" s="9"/>
      <c r="AP139" s="9"/>
      <c r="AQ139" s="9">
        <f>+FL_1($T$140,$T$138,$G$139,1200,9.28, 1*$F$140)</f>
        <v>0.39517332259967586</v>
      </c>
      <c r="AR139" s="9"/>
      <c r="AS139" s="9"/>
      <c r="AT139" s="9"/>
      <c r="AU139" s="447"/>
      <c r="AV139" s="447"/>
      <c r="AW139" s="468" t="str">
        <f>IF(C139&gt;0,VLOOKUP(C139,Foundation_Calc!$A$2:$C$13,3,1),
IF(J139&gt;0,VLOOKUP(J139,Foundation_Calc!$A$2:$C$13,3,1),""))</f>
        <v/>
      </c>
      <c r="AX139" s="468" t="str">
        <f>IF(C139&gt;0,VLOOKUP(C139,Foundation_Calc!$E$2:$G$13,3,1),
IF(J139&gt;0,VLOOKUP(J139,Foundation_Calc!$E$2:$G$13,3,1),""))</f>
        <v/>
      </c>
      <c r="AY139" s="10" t="str">
        <f>IF(L139="","",
IF(AX139="PT",VLOOKUP(L139,Foundation_Calc!$K$79:$R$112,VLOOKUP(AW139,Foundation_Calc!$I$2:$J$8,2,FALSE),0),
IF(AX139="K",VLOOKUP(L139,Foundation_Calc!$K$116:$R$149,VLOOKUP(AW139,Foundation_Calc!$I$2:$J$8,2,FALSE),0),"")))</f>
        <v/>
      </c>
      <c r="AZ139" s="10" t="str">
        <f>IF(K139="","",
IF(AX139="PT",VLOOKUP(K139,Foundation_Calc!$K$79:$R$112,VLOOKUP(AW139,Foundation_Calc!$I$2:$J$8,2,FALSE),0),
IF(AX139="K",VLOOKUP(K139,Foundation_Calc!$K$116:$R$149,VLOOKUP(AW139,Foundation_Calc!$I$2:$J$8,2,FALSE),0),"")))</f>
        <v/>
      </c>
      <c r="BA139" s="553" t="str">
        <f t="shared" si="15"/>
        <v/>
      </c>
      <c r="BB139" s="553" t="str">
        <f t="shared" si="15"/>
        <v/>
      </c>
      <c r="BC139" s="553" t="str">
        <f t="shared" ref="BC139:BC202" si="16">IF(M139="","",IF(M139="U.S.","ü",IF(M139="U.S. N.D.","ü","")))</f>
        <v/>
      </c>
      <c r="BD139" s="572"/>
      <c r="BE139" s="448" t="s">
        <v>1726</v>
      </c>
      <c r="BF139" s="305"/>
      <c r="BG139" s="305"/>
      <c r="BH139" s="306"/>
      <c r="BI139" s="305"/>
    </row>
    <row r="140" spans="1:61" ht="16.2" customHeight="1">
      <c r="A140" s="573" t="s">
        <v>2448</v>
      </c>
      <c r="B140" s="469" t="s">
        <v>1923</v>
      </c>
      <c r="C140" s="3">
        <f>+$C$138+$G$139</f>
        <v>2959.1499999999996</v>
      </c>
      <c r="D140" s="88"/>
      <c r="E140" s="4"/>
      <c r="F140" s="4">
        <v>0</v>
      </c>
      <c r="G140" s="6"/>
      <c r="H140" s="468"/>
      <c r="I140" s="468"/>
      <c r="J140" s="3"/>
      <c r="K140" s="468"/>
      <c r="L140" s="468" t="s">
        <v>1192</v>
      </c>
      <c r="M140" s="468" t="str">
        <f>IF(L140="","",
IF(AX140="PT",VLOOKUP(L140,Foundation_Calc!$V$79:$X$112,VLOOKUP(AX140,Foundation_Calc!$I$10:$J$13,2,FALSE),0),
IF(AX140="K",VLOOKUP(L140,Foundation_Calc!$V$116:$X$149,VLOOKUP(AX140,Foundation_Calc!$I$10:$J$13,2,FALSE),0),"")))</f>
        <v>C11R</v>
      </c>
      <c r="N140" s="468" t="s">
        <v>342</v>
      </c>
      <c r="O140" s="468"/>
      <c r="P140" s="468"/>
      <c r="Q140" s="4"/>
      <c r="R140" s="6"/>
      <c r="S140" s="6"/>
      <c r="T140" s="4">
        <v>-20</v>
      </c>
      <c r="U140" s="4"/>
      <c r="V140" s="4"/>
      <c r="W140" s="9">
        <v>1.4</v>
      </c>
      <c r="X140" s="9"/>
      <c r="Y140" s="9"/>
      <c r="Z140" s="9"/>
      <c r="AA140" s="9"/>
      <c r="AB140" s="9"/>
      <c r="AC140" s="468" t="str">
        <f t="shared" si="14"/>
        <v>PH</v>
      </c>
      <c r="AD140" s="468"/>
      <c r="AE140" s="468"/>
      <c r="AF140" s="4"/>
      <c r="AG140" s="88"/>
      <c r="AH140" s="4"/>
      <c r="AI140" s="4"/>
      <c r="AJ140" s="468"/>
      <c r="AK140" s="468" t="s">
        <v>1563</v>
      </c>
      <c r="AL140" s="468" t="s">
        <v>1115</v>
      </c>
      <c r="AM140" s="468" t="s">
        <v>1620</v>
      </c>
      <c r="AN140" s="10">
        <v>5.5</v>
      </c>
      <c r="AO140" s="9"/>
      <c r="AP140" s="9"/>
      <c r="AQ140" s="9"/>
      <c r="AR140" s="9"/>
      <c r="AS140" s="9"/>
      <c r="AT140" s="9">
        <f>+ab($T$140,$T$138,$T$142,$G$139,$G$141, 1*$F$140,1200)</f>
        <v>-13.266587719591806</v>
      </c>
      <c r="AU140" s="447"/>
      <c r="AV140" s="447"/>
      <c r="AW140" s="468" t="str">
        <f>IF(C140&gt;0,VLOOKUP(C140,Foundation_Calc!$A$2:$C$13,3,1),
IF(J140&gt;0,VLOOKUP(J140,Foundation_Calc!$A$2:$C$13,3,1),""))</f>
        <v>MultiSoil</v>
      </c>
      <c r="AX140" s="468" t="str">
        <f>IF(C140&gt;0,VLOOKUP(C140,Foundation_Calc!$E$2:$G$13,3,1),
IF(J140&gt;0,VLOOKUP(J140,Foundation_Calc!$E$2:$G$13,3,1),""))</f>
        <v>PT</v>
      </c>
      <c r="AY140" s="10" t="str">
        <f>IF(L140="","",
IF(AX140="PT",VLOOKUP(L140,Foundation_Calc!$K$79:$R$112,VLOOKUP(AW140,Foundation_Calc!$I$2:$J$8,2,FALSE),0),
IF(AX140="K",VLOOKUP(L140,Foundation_Calc!$K$116:$R$149,VLOOKUP(AW140,Foundation_Calc!$I$2:$J$8,2,FALSE),0),"")))</f>
        <v>N.D.</v>
      </c>
      <c r="AZ140" s="10" t="str">
        <f>IF(K140="","",
IF(AX140="PT",VLOOKUP(K140,Foundation_Calc!$K$79:$R$112,VLOOKUP(AW140,Foundation_Calc!$I$2:$J$8,2,FALSE),0),
IF(AX140="K",VLOOKUP(K140,Foundation_Calc!$K$116:$R$149,VLOOKUP(AW140,Foundation_Calc!$I$2:$J$8,2,FALSE),0),"")))</f>
        <v/>
      </c>
      <c r="BA140" s="553" t="str">
        <f t="shared" si="15"/>
        <v>ü</v>
      </c>
      <c r="BB140" s="553" t="str">
        <f t="shared" si="15"/>
        <v/>
      </c>
      <c r="BC140" s="553" t="str">
        <f t="shared" si="16"/>
        <v/>
      </c>
      <c r="BD140" s="572" t="str">
        <f>Pole_Calc!A$251</f>
        <v>App.8-V08H-P10.3</v>
      </c>
      <c r="BE140" s="448" t="s">
        <v>1726</v>
      </c>
      <c r="BF140" s="306"/>
      <c r="BG140" s="306"/>
      <c r="BH140" s="306"/>
      <c r="BI140" s="306"/>
    </row>
    <row r="141" spans="1:61" ht="16.2" customHeight="1">
      <c r="A141" s="573" t="s">
        <v>2455</v>
      </c>
      <c r="B141" s="469"/>
      <c r="C141" s="3"/>
      <c r="D141" s="88"/>
      <c r="E141" s="4"/>
      <c r="F141" s="4"/>
      <c r="G141" s="6">
        <v>51.8</v>
      </c>
      <c r="H141" s="468"/>
      <c r="I141" s="468"/>
      <c r="J141" s="3"/>
      <c r="K141" s="468"/>
      <c r="L141" s="468"/>
      <c r="M141" s="468" t="str">
        <f>IF(L141="","",
IF(AX141="PT",VLOOKUP(L141,Foundation_Calc!$V$79:$X$112,VLOOKUP(AX141,Foundation_Calc!$I$10:$J$13,2,FALSE),0),
IF(AX141="K",VLOOKUP(L141,Foundation_Calc!$V$116:$X$149,VLOOKUP(AX141,Foundation_Calc!$I$10:$J$13,2,FALSE),0),"")))</f>
        <v/>
      </c>
      <c r="N141" s="468"/>
      <c r="O141" s="468"/>
      <c r="P141" s="468"/>
      <c r="Q141" s="4"/>
      <c r="R141" s="6"/>
      <c r="S141" s="6"/>
      <c r="T141" s="4"/>
      <c r="U141" s="4"/>
      <c r="V141" s="4"/>
      <c r="W141" s="9"/>
      <c r="X141" s="9"/>
      <c r="Y141" s="9"/>
      <c r="Z141" s="9"/>
      <c r="AA141" s="9"/>
      <c r="AB141" s="9"/>
      <c r="AC141" s="468" t="str">
        <f t="shared" si="14"/>
        <v/>
      </c>
      <c r="AD141" s="468"/>
      <c r="AE141" s="468"/>
      <c r="AF141" s="4"/>
      <c r="AG141" s="88"/>
      <c r="AH141" s="4"/>
      <c r="AI141" s="4"/>
      <c r="AJ141" s="468"/>
      <c r="AK141" s="468"/>
      <c r="AL141" s="468"/>
      <c r="AM141" s="468"/>
      <c r="AN141" s="10"/>
      <c r="AO141" s="9"/>
      <c r="AP141" s="9"/>
      <c r="AQ141" s="9">
        <f>+FL_2($T$142,$T$140,$G$141,1200,9.28, 1*$F$142)</f>
        <v>-0.29793335180952368</v>
      </c>
      <c r="AR141" s="9"/>
      <c r="AS141" s="9"/>
      <c r="AT141" s="9"/>
      <c r="AU141" s="447"/>
      <c r="AV141" s="447"/>
      <c r="AW141" s="468" t="str">
        <f>IF(C141&gt;0,VLOOKUP(C141,Foundation_Calc!$A$2:$C$13,3,1),
IF(J141&gt;0,VLOOKUP(J141,Foundation_Calc!$A$2:$C$13,3,1),""))</f>
        <v/>
      </c>
      <c r="AX141" s="468" t="str">
        <f>IF(C141&gt;0,VLOOKUP(C141,Foundation_Calc!$E$2:$G$13,3,1),
IF(J141&gt;0,VLOOKUP(J141,Foundation_Calc!$E$2:$G$13,3,1),""))</f>
        <v/>
      </c>
      <c r="AY141" s="10" t="str">
        <f>IF(L141="","",
IF(AX141="PT",VLOOKUP(L141,Foundation_Calc!$K$79:$R$112,VLOOKUP(AW141,Foundation_Calc!$I$2:$J$8,2,FALSE),0),
IF(AX141="K",VLOOKUP(L141,Foundation_Calc!$K$116:$R$149,VLOOKUP(AW141,Foundation_Calc!$I$2:$J$8,2,FALSE),0),"")))</f>
        <v/>
      </c>
      <c r="AZ141" s="10" t="str">
        <f>IF(K141="","",
IF(AX141="PT",VLOOKUP(K141,Foundation_Calc!$K$79:$R$112,VLOOKUP(AW141,Foundation_Calc!$I$2:$J$8,2,FALSE),0),
IF(AX141="K",VLOOKUP(K141,Foundation_Calc!$K$116:$R$149,VLOOKUP(AW141,Foundation_Calc!$I$2:$J$8,2,FALSE),0),"")))</f>
        <v/>
      </c>
      <c r="BA141" s="553" t="str">
        <f t="shared" si="15"/>
        <v/>
      </c>
      <c r="BB141" s="553" t="str">
        <f t="shared" si="15"/>
        <v/>
      </c>
      <c r="BC141" s="553" t="str">
        <f t="shared" si="16"/>
        <v/>
      </c>
      <c r="BD141" s="572" t="str">
        <f>IF(AND(L141="",H141=""),"",
IF(H141="",Pole_Calc!A$9,
IF(H141="MP",Pole_Calc!A$10,
IF(H141="AnMP",Pole_Calc!A$11,
IF(H141="A",Pole_Calc!A$12,
IF(H141="S/A",Pole_Calc!A$13,
IF(H141="A/S",Pole_Calc!A$14,"Poner a mano")))))))</f>
        <v/>
      </c>
      <c r="BE141" s="448" t="s">
        <v>1726</v>
      </c>
      <c r="BF141" s="305"/>
      <c r="BG141" s="305"/>
      <c r="BH141" s="306"/>
      <c r="BI141" s="305"/>
    </row>
    <row r="142" spans="1:61" ht="16.2" customHeight="1">
      <c r="A142" s="579" t="s">
        <v>2452</v>
      </c>
      <c r="B142" s="469" t="s">
        <v>1924</v>
      </c>
      <c r="C142" s="3">
        <f>+$C$140+$G$141</f>
        <v>3010.95</v>
      </c>
      <c r="D142" s="88"/>
      <c r="E142" s="4"/>
      <c r="F142" s="4">
        <v>0</v>
      </c>
      <c r="G142" s="6"/>
      <c r="H142" s="468"/>
      <c r="I142" s="468"/>
      <c r="J142" s="3"/>
      <c r="K142" s="468"/>
      <c r="L142" s="468" t="s">
        <v>199</v>
      </c>
      <c r="M142" s="468" t="str">
        <f>IF(L142="","",
IF(AX142="PT",VLOOKUP(L142,Foundation_Calc!$V$79:$X$112,VLOOKUP(AX142,Foundation_Calc!$I$10:$J$13,2,FALSE),0),
IF(AX142="K",VLOOKUP(L142,Foundation_Calc!$V$116:$X$149,VLOOKUP(AX142,Foundation_Calc!$I$10:$J$13,2,FALSE),0),"")))</f>
        <v/>
      </c>
      <c r="N142" s="468" t="s">
        <v>343</v>
      </c>
      <c r="O142" s="468"/>
      <c r="P142" s="468"/>
      <c r="Q142" s="4"/>
      <c r="R142" s="6"/>
      <c r="S142" s="6"/>
      <c r="T142" s="4">
        <v>20</v>
      </c>
      <c r="U142" s="4"/>
      <c r="V142" s="4"/>
      <c r="W142" s="9">
        <v>1.4</v>
      </c>
      <c r="X142" s="9"/>
      <c r="Y142" s="9"/>
      <c r="Z142" s="9"/>
      <c r="AA142" s="9"/>
      <c r="AB142" s="9"/>
      <c r="AC142" s="468" t="str">
        <f t="shared" si="14"/>
        <v>PH</v>
      </c>
      <c r="AD142" s="468"/>
      <c r="AE142" s="468"/>
      <c r="AF142" s="4"/>
      <c r="AG142" s="88"/>
      <c r="AH142" s="4"/>
      <c r="AI142" s="4"/>
      <c r="AJ142" s="468"/>
      <c r="AK142" s="468" t="s">
        <v>27</v>
      </c>
      <c r="AL142" s="468"/>
      <c r="AM142" s="468" t="s">
        <v>1620</v>
      </c>
      <c r="AN142" s="10">
        <v>5.5</v>
      </c>
      <c r="AO142" s="9"/>
      <c r="AP142" s="9"/>
      <c r="AQ142" s="9"/>
      <c r="AR142" s="9"/>
      <c r="AS142" s="9"/>
      <c r="AT142" s="9">
        <f>+ab($T$142,$T$140,$T$144,$G$141,$G$143, 1*$F$142,1200)</f>
        <v>10.243626662136137</v>
      </c>
      <c r="AU142" s="447"/>
      <c r="AV142" s="447"/>
      <c r="AW142" s="468"/>
      <c r="AX142" s="468"/>
      <c r="AY142" s="10"/>
      <c r="AZ142" s="10"/>
      <c r="BA142" s="553" t="str">
        <f t="shared" si="15"/>
        <v/>
      </c>
      <c r="BB142" s="553" t="str">
        <f t="shared" si="15"/>
        <v/>
      </c>
      <c r="BC142" s="553" t="str">
        <f t="shared" si="16"/>
        <v/>
      </c>
      <c r="BD142" s="572"/>
      <c r="BE142" s="448" t="s">
        <v>1726</v>
      </c>
      <c r="BF142" s="306"/>
      <c r="BG142" s="306"/>
      <c r="BH142" s="306"/>
      <c r="BI142" s="306"/>
    </row>
    <row r="143" spans="1:61" ht="16.2" customHeight="1">
      <c r="A143" s="579" t="s">
        <v>2452</v>
      </c>
      <c r="B143" s="469"/>
      <c r="C143" s="3"/>
      <c r="D143" s="88"/>
      <c r="E143" s="4"/>
      <c r="F143" s="4"/>
      <c r="G143" s="6">
        <v>37</v>
      </c>
      <c r="H143" s="468"/>
      <c r="I143" s="468"/>
      <c r="J143" s="3"/>
      <c r="K143" s="468"/>
      <c r="L143" s="468"/>
      <c r="M143" s="468" t="str">
        <f>IF(L143="","",
IF(AX143="PT",VLOOKUP(L143,Foundation_Calc!$V$79:$X$112,VLOOKUP(AX143,Foundation_Calc!$I$10:$J$13,2,FALSE),0),
IF(AX143="K",VLOOKUP(L143,Foundation_Calc!$V$116:$X$149,VLOOKUP(AX143,Foundation_Calc!$I$10:$J$13,2,FALSE),0),"")))</f>
        <v/>
      </c>
      <c r="N143" s="468"/>
      <c r="O143" s="468"/>
      <c r="P143" s="468"/>
      <c r="Q143" s="4"/>
      <c r="R143" s="6"/>
      <c r="S143" s="6"/>
      <c r="T143" s="4"/>
      <c r="U143" s="4"/>
      <c r="V143" s="4"/>
      <c r="W143" s="9"/>
      <c r="X143" s="9"/>
      <c r="Y143" s="9"/>
      <c r="Z143" s="9"/>
      <c r="AA143" s="9"/>
      <c r="AB143" s="9"/>
      <c r="AC143" s="468" t="str">
        <f t="shared" si="14"/>
        <v/>
      </c>
      <c r="AD143" s="468"/>
      <c r="AE143" s="468"/>
      <c r="AF143" s="4"/>
      <c r="AG143" s="88"/>
      <c r="AH143" s="4"/>
      <c r="AI143" s="4"/>
      <c r="AJ143" s="468"/>
      <c r="AK143" s="468"/>
      <c r="AL143" s="468"/>
      <c r="AM143" s="468"/>
      <c r="AN143" s="10"/>
      <c r="AO143" s="9"/>
      <c r="AP143" s="9"/>
      <c r="AQ143" s="9">
        <f>+FL_1($T$144,$T$142,$G$143,1200,9.28, 1*$F$144)</f>
        <v>0.20790151380180172</v>
      </c>
      <c r="AR143" s="9"/>
      <c r="AS143" s="9"/>
      <c r="AT143" s="9"/>
      <c r="AU143" s="447"/>
      <c r="AV143" s="447"/>
      <c r="AW143" s="468"/>
      <c r="AX143" s="468"/>
      <c r="AY143" s="10"/>
      <c r="AZ143" s="10"/>
      <c r="BA143" s="553"/>
      <c r="BB143" s="553"/>
      <c r="BC143" s="553" t="str">
        <f t="shared" si="16"/>
        <v/>
      </c>
      <c r="BD143" s="572" t="str">
        <f>IF(AND(L143="",H143=""),"",
IF(H143="",Pole_Calc!A$9,
IF(H143="MP",Pole_Calc!A$10,
IF(H143="AnMP",Pole_Calc!A$11,
IF(H143="A",Pole_Calc!A$12,
IF(H143="S/A",Pole_Calc!A$13,
IF(H143="A/S",Pole_Calc!A$14,"Poner a mano")))))))</f>
        <v/>
      </c>
      <c r="BE143" s="448" t="s">
        <v>1726</v>
      </c>
      <c r="BF143" s="305"/>
      <c r="BG143" s="305"/>
      <c r="BH143" s="306"/>
      <c r="BI143" s="305"/>
    </row>
    <row r="144" spans="1:61" ht="16.2" customHeight="1">
      <c r="A144" s="573" t="s">
        <v>2452</v>
      </c>
      <c r="B144" s="469" t="s">
        <v>1925</v>
      </c>
      <c r="C144" s="3">
        <f>+$C$142+$G$143</f>
        <v>3047.95</v>
      </c>
      <c r="D144" s="88"/>
      <c r="E144" s="4"/>
      <c r="F144" s="4">
        <v>0</v>
      </c>
      <c r="G144" s="6"/>
      <c r="H144" s="468"/>
      <c r="I144" s="468"/>
      <c r="J144" s="3"/>
      <c r="K144" s="468"/>
      <c r="L144" s="468" t="s">
        <v>199</v>
      </c>
      <c r="M144" s="468" t="str">
        <f>IF(L144="","",
IF(AX144="PT",VLOOKUP(L144,Foundation_Calc!$V$79:$X$112,VLOOKUP(AX144,Foundation_Calc!$I$10:$J$13,2,FALSE),0),
IF(AX144="K",VLOOKUP(L144,Foundation_Calc!$V$116:$X$149,VLOOKUP(AX144,Foundation_Calc!$I$10:$J$13,2,FALSE),0),"")))</f>
        <v/>
      </c>
      <c r="N144" s="468" t="s">
        <v>342</v>
      </c>
      <c r="O144" s="468"/>
      <c r="P144" s="468"/>
      <c r="Q144" s="4"/>
      <c r="R144" s="6"/>
      <c r="S144" s="6"/>
      <c r="T144" s="4">
        <v>-20</v>
      </c>
      <c r="U144" s="4"/>
      <c r="V144" s="4"/>
      <c r="W144" s="9">
        <v>1.4</v>
      </c>
      <c r="X144" s="9"/>
      <c r="Y144" s="9"/>
      <c r="Z144" s="9"/>
      <c r="AA144" s="9"/>
      <c r="AB144" s="9"/>
      <c r="AC144" s="468" t="str">
        <f t="shared" si="14"/>
        <v>PHQ</v>
      </c>
      <c r="AD144" s="468"/>
      <c r="AE144" s="468"/>
      <c r="AF144" s="4"/>
      <c r="AG144" s="88"/>
      <c r="AH144" s="4"/>
      <c r="AI144" s="4"/>
      <c r="AJ144" s="468"/>
      <c r="AK144" s="468" t="s">
        <v>27</v>
      </c>
      <c r="AL144" s="468"/>
      <c r="AM144" s="468" t="s">
        <v>1620</v>
      </c>
      <c r="AN144" s="10">
        <v>5.5</v>
      </c>
      <c r="AO144" s="9"/>
      <c r="AP144" s="9"/>
      <c r="AQ144" s="9"/>
      <c r="AR144" s="9"/>
      <c r="AS144" s="9"/>
      <c r="AT144" s="9">
        <f>+ab($T$144,$T$142,$T$146,$G$143,$G$145, 1*$F$144,1200)</f>
        <v>-6.9354318465833877</v>
      </c>
      <c r="AU144" s="447"/>
      <c r="AV144" s="447"/>
      <c r="AW144" s="468"/>
      <c r="AX144" s="468"/>
      <c r="AY144" s="10"/>
      <c r="AZ144" s="10"/>
      <c r="BA144" s="553" t="str">
        <f t="shared" ref="BA144:BB144" si="17">IF(AY144="","",IF(AY144&gt;0,"ü",""))</f>
        <v/>
      </c>
      <c r="BB144" s="553" t="str">
        <f t="shared" si="17"/>
        <v/>
      </c>
      <c r="BC144" s="553" t="str">
        <f t="shared" si="16"/>
        <v/>
      </c>
      <c r="BD144" s="572"/>
      <c r="BE144" s="448" t="s">
        <v>1726</v>
      </c>
      <c r="BF144" s="306"/>
      <c r="BG144" s="306"/>
      <c r="BH144" s="306"/>
      <c r="BI144" s="306"/>
    </row>
    <row r="145" spans="1:61" ht="16.2" customHeight="1">
      <c r="A145" s="573"/>
      <c r="B145" s="469"/>
      <c r="C145" s="3"/>
      <c r="D145" s="88"/>
      <c r="E145" s="4"/>
      <c r="F145" s="4"/>
      <c r="G145" s="6">
        <v>29.9</v>
      </c>
      <c r="H145" s="468"/>
      <c r="I145" s="468" t="s">
        <v>482</v>
      </c>
      <c r="J145" s="3">
        <f>C146-7.5</f>
        <v>3070.35</v>
      </c>
      <c r="K145" s="468" t="s">
        <v>1095</v>
      </c>
      <c r="L145" s="468"/>
      <c r="M145" s="468" t="str">
        <f>IF(L145="","",
IF(AX145="PT",VLOOKUP(L145,Foundation_Calc!$V$79:$X$112,VLOOKUP(AX145,Foundation_Calc!$I$10:$J$13,2,FALSE),0),
IF(AX145="K",VLOOKUP(L145,Foundation_Calc!$V$116:$X$149,VLOOKUP(AX145,Foundation_Calc!$I$10:$J$13,2,FALSE),0),"")))</f>
        <v/>
      </c>
      <c r="N145" s="468"/>
      <c r="O145" s="468"/>
      <c r="P145" s="468"/>
      <c r="Q145" s="4"/>
      <c r="R145" s="6"/>
      <c r="S145" s="6"/>
      <c r="T145" s="4"/>
      <c r="U145" s="4"/>
      <c r="V145" s="4"/>
      <c r="W145" s="9"/>
      <c r="X145" s="9"/>
      <c r="Y145" s="9"/>
      <c r="Z145" s="9"/>
      <c r="AA145" s="9"/>
      <c r="AB145" s="9"/>
      <c r="AC145" s="468" t="str">
        <f t="shared" si="14"/>
        <v/>
      </c>
      <c r="AD145" s="468"/>
      <c r="AE145" s="468"/>
      <c r="AF145" s="4"/>
      <c r="AG145" s="88"/>
      <c r="AH145" s="4"/>
      <c r="AI145" s="4"/>
      <c r="AJ145" s="468"/>
      <c r="AK145" s="468"/>
      <c r="AL145" s="468"/>
      <c r="AM145" s="468"/>
      <c r="AN145" s="10"/>
      <c r="AO145" s="9"/>
      <c r="AP145" s="9"/>
      <c r="AQ145" s="9">
        <f>+FL_1($T$146,$T$144,$G$145,1200,9.28, 1*$F$146)</f>
        <v>0.3</v>
      </c>
      <c r="AR145" s="9"/>
      <c r="AS145" s="9"/>
      <c r="AT145" s="9"/>
      <c r="AU145" s="447"/>
      <c r="AV145" s="447"/>
      <c r="AW145" s="468" t="str">
        <f>IF(C145&gt;0,VLOOKUP(C145,Foundation_Calc!$A$2:$C$13,3,1),
IF(J145&gt;0,VLOOKUP(J145,Foundation_Calc!$A$2:$C$13,3,1),""))</f>
        <v>MultiSoil</v>
      </c>
      <c r="AX145" s="468" t="str">
        <f>IF(C145&gt;0,VLOOKUP(C145,Foundation_Calc!$E$2:$G$13,3,1),
IF(J145&gt;0,VLOOKUP(J145,Foundation_Calc!$E$2:$G$13,3,1),""))</f>
        <v>PT</v>
      </c>
      <c r="AY145" s="10" t="str">
        <f>IF(L145="","",
IF(AX145="PT",VLOOKUP(L145,Foundation_Calc!$K$79:$R$112,VLOOKUP(AW145,Foundation_Calc!$I$2:$J$8,2,FALSE),0),
IF(AX145="K",VLOOKUP(L145,Foundation_Calc!$K$116:$R$149,VLOOKUP(AW145,Foundation_Calc!$I$2:$J$8,2,FALSE),0),"")))</f>
        <v/>
      </c>
      <c r="AZ145" s="10">
        <f>IF(K145="","",
IF(AX145="PT",VLOOKUP(K145,Foundation_Calc!$K$79:$R$112,VLOOKUP(AW145,Foundation_Calc!$I$2:$J$8,2,FALSE),0),
IF(AX145="K",VLOOKUP(K145,Foundation_Calc!$K$116:$R$149,VLOOKUP(AW145,Foundation_Calc!$I$2:$J$8,2,FALSE),0),"")))</f>
        <v>3.9</v>
      </c>
      <c r="BA145" s="553" t="str">
        <f t="shared" si="15"/>
        <v/>
      </c>
      <c r="BB145" s="553" t="str">
        <f t="shared" si="15"/>
        <v>ü</v>
      </c>
      <c r="BC145" s="553" t="str">
        <f t="shared" si="16"/>
        <v/>
      </c>
      <c r="BD145" s="572" t="str">
        <f>IF(AND(L145="",H145=""),"",
IF(H145="",Pole_Calc!A$9,
IF(H145="MP",Pole_Calc!A$10,
IF(H145="AnMP",Pole_Calc!A$11,
IF(H145="A",Pole_Calc!A$12,
IF(H145="S/A",Pole_Calc!A$13,
IF(H145="A/S",Pole_Calc!A$14,"Poner a mano")))))))</f>
        <v/>
      </c>
      <c r="BE145" s="448" t="s">
        <v>1726</v>
      </c>
      <c r="BF145" s="305"/>
      <c r="BG145" s="305"/>
      <c r="BH145" s="306"/>
      <c r="BI145" s="305"/>
    </row>
    <row r="146" spans="1:61" ht="16.2" customHeight="1">
      <c r="A146" s="573"/>
      <c r="B146" s="469" t="s">
        <v>1926</v>
      </c>
      <c r="C146" s="3">
        <f>+$C$144+$G$145</f>
        <v>3077.85</v>
      </c>
      <c r="D146" s="88"/>
      <c r="E146" s="4"/>
      <c r="F146" s="4">
        <v>0</v>
      </c>
      <c r="G146" s="6"/>
      <c r="H146" s="468" t="s">
        <v>388</v>
      </c>
      <c r="I146" s="468" t="s">
        <v>183</v>
      </c>
      <c r="J146" s="3">
        <f>C146+7.5</f>
        <v>3085.35</v>
      </c>
      <c r="K146" s="468" t="s">
        <v>1096</v>
      </c>
      <c r="L146" s="468" t="s">
        <v>323</v>
      </c>
      <c r="M146" s="468" t="str">
        <f>IF(L146="","",
IF(AX146="PT",VLOOKUP(L146,Foundation_Calc!$V$79:$X$112,VLOOKUP(AX146,Foundation_Calc!$I$10:$J$13,2,FALSE),0),
IF(AX146="K",VLOOKUP(L146,Foundation_Calc!$V$116:$X$149,VLOOKUP(AX146,Foundation_Calc!$I$10:$J$13,2,FALSE),0),"")))</f>
        <v>C5R</v>
      </c>
      <c r="N146" s="468" t="s">
        <v>33</v>
      </c>
      <c r="O146" s="468"/>
      <c r="P146" s="468"/>
      <c r="Q146" s="4"/>
      <c r="R146" s="6"/>
      <c r="S146" s="6"/>
      <c r="T146" s="4">
        <v>30</v>
      </c>
      <c r="U146" s="4"/>
      <c r="V146" s="4"/>
      <c r="W146" s="9">
        <v>1.4</v>
      </c>
      <c r="X146" s="9"/>
      <c r="Y146" s="9"/>
      <c r="Z146" s="9"/>
      <c r="AA146" s="9"/>
      <c r="AB146" s="9"/>
      <c r="AC146" s="468" t="str">
        <f t="shared" si="14"/>
        <v>PHC</v>
      </c>
      <c r="AD146" s="468"/>
      <c r="AE146" s="468"/>
      <c r="AF146" s="4"/>
      <c r="AG146" s="88"/>
      <c r="AH146" s="4"/>
      <c r="AI146" s="4"/>
      <c r="AJ146" s="468"/>
      <c r="AK146" s="468"/>
      <c r="AL146" s="468" t="s">
        <v>1111</v>
      </c>
      <c r="AM146" s="468" t="s">
        <v>486</v>
      </c>
      <c r="AN146" s="10">
        <v>5.5</v>
      </c>
      <c r="AO146" s="9"/>
      <c r="AP146" s="9"/>
      <c r="AQ146" s="9"/>
      <c r="AR146" s="9"/>
      <c r="AS146" s="9"/>
      <c r="AT146" s="9">
        <f>+ab($T$146,$T$144,-$T$148,$G$145,$G$147, 1*$F$146,1200)</f>
        <v>4.2511845329071898</v>
      </c>
      <c r="AU146" s="447"/>
      <c r="AV146" s="447"/>
      <c r="AW146" s="468" t="str">
        <f>IF(C146&gt;0,VLOOKUP(C146,Foundation_Calc!$A$2:$C$13,3,1),
IF(J146&gt;0,VLOOKUP(J146,Foundation_Calc!$A$2:$C$13,3,1),""))</f>
        <v>MultiSoil</v>
      </c>
      <c r="AX146" s="468" t="str">
        <f>IF(C146&gt;0,VLOOKUP(C146,Foundation_Calc!$E$2:$G$13,3,1),
IF(J146&gt;0,VLOOKUP(J146,Foundation_Calc!$E$2:$G$13,3,1),""))</f>
        <v>PT</v>
      </c>
      <c r="AY146" s="10">
        <f>IF(L146="","",
IF(AX146="PT",VLOOKUP(L146,Foundation_Calc!$K$79:$R$112,VLOOKUP(AW146,Foundation_Calc!$I$2:$J$8,2,FALSE),0),
IF(AX146="K",VLOOKUP(L146,Foundation_Calc!$K$116:$R$149,VLOOKUP(AW146,Foundation_Calc!$I$2:$J$8,2,FALSE),0),"")))</f>
        <v>3.5</v>
      </c>
      <c r="AZ146" s="10">
        <f>IF(K146="","",
IF(AX146="PT",VLOOKUP(K146,Foundation_Calc!$K$79:$R$112,VLOOKUP(AW146,Foundation_Calc!$I$2:$J$8,2,FALSE),0),
IF(AX146="K",VLOOKUP(K146,Foundation_Calc!$K$116:$R$149,VLOOKUP(AW146,Foundation_Calc!$I$2:$J$8,2,FALSE),0),"")))</f>
        <v>2.8</v>
      </c>
      <c r="BA146" s="553" t="str">
        <f t="shared" si="15"/>
        <v>ü</v>
      </c>
      <c r="BB146" s="553" t="str">
        <f t="shared" si="15"/>
        <v>ü</v>
      </c>
      <c r="BC146" s="553" t="str">
        <f t="shared" si="16"/>
        <v/>
      </c>
      <c r="BD146" s="572" t="str">
        <f>Pole_Calc!A$251</f>
        <v>App.8-V08H-P10.3</v>
      </c>
      <c r="BE146" s="448" t="s">
        <v>1726</v>
      </c>
      <c r="BF146" s="306"/>
      <c r="BG146" s="306"/>
      <c r="BH146" s="306"/>
      <c r="BI146" s="306"/>
    </row>
    <row r="147" spans="1:61" ht="16.2" customHeight="1">
      <c r="A147" s="573"/>
      <c r="B147" s="469"/>
      <c r="C147" s="3"/>
      <c r="D147" s="88"/>
      <c r="E147" s="4"/>
      <c r="F147" s="4"/>
      <c r="G147" s="6">
        <v>30</v>
      </c>
      <c r="H147" s="468"/>
      <c r="I147" s="4">
        <f>SUM(G147:G157)</f>
        <v>239.1</v>
      </c>
      <c r="J147" s="3"/>
      <c r="K147" s="468"/>
      <c r="L147" s="468"/>
      <c r="M147" s="468" t="str">
        <f>IF(L147="","",
IF(AX147="PT",VLOOKUP(L147,Foundation_Calc!$V$79:$X$112,VLOOKUP(AX147,Foundation_Calc!$I$10:$J$13,2,FALSE),0),
IF(AX147="K",VLOOKUP(L147,Foundation_Calc!$V$116:$X$149,VLOOKUP(AX147,Foundation_Calc!$I$10:$J$13,2,FALSE),0),"")))</f>
        <v/>
      </c>
      <c r="N147" s="468"/>
      <c r="O147" s="468"/>
      <c r="P147" s="468"/>
      <c r="Q147" s="4"/>
      <c r="R147" s="6"/>
      <c r="S147" s="6"/>
      <c r="T147" s="4"/>
      <c r="U147" s="4"/>
      <c r="V147" s="4"/>
      <c r="W147" s="9"/>
      <c r="X147" s="9"/>
      <c r="Y147" s="9"/>
      <c r="Z147" s="9"/>
      <c r="AA147" s="9"/>
      <c r="AB147" s="9"/>
      <c r="AC147" s="468" t="str">
        <f t="shared" si="14"/>
        <v/>
      </c>
      <c r="AD147" s="468"/>
      <c r="AE147" s="468"/>
      <c r="AF147" s="4"/>
      <c r="AG147" s="88"/>
      <c r="AH147" s="4"/>
      <c r="AI147" s="4"/>
      <c r="AJ147" s="468"/>
      <c r="AK147" s="468"/>
      <c r="AL147" s="468"/>
      <c r="AM147" s="468"/>
      <c r="AN147" s="10"/>
      <c r="AO147" s="9"/>
      <c r="AP147" s="9"/>
      <c r="AQ147" s="9">
        <f>+FL_1(-$U$148,$T$146,$G$147,1200,9.28, 1*$F$148)</f>
        <v>0.34418390799999998</v>
      </c>
      <c r="AR147" s="9"/>
      <c r="AS147" s="9"/>
      <c r="AT147" s="9"/>
      <c r="AU147" s="447"/>
      <c r="AV147" s="447"/>
      <c r="AW147" s="468" t="str">
        <f>IF(C147&gt;0,VLOOKUP(C147,Foundation_Calc!$A$2:$C$13,3,1),
IF(J147&gt;0,VLOOKUP(J147,Foundation_Calc!$A$2:$C$13,3,1),""))</f>
        <v/>
      </c>
      <c r="AX147" s="468" t="str">
        <f>IF(C147&gt;0,VLOOKUP(C147,Foundation_Calc!$E$2:$G$13,3,1),
IF(J147&gt;0,VLOOKUP(J147,Foundation_Calc!$E$2:$G$13,3,1),""))</f>
        <v/>
      </c>
      <c r="AY147" s="10" t="str">
        <f>IF(L147="","",
IF(AX147="PT",VLOOKUP(L147,Foundation_Calc!$K$79:$R$112,VLOOKUP(AW147,Foundation_Calc!$I$2:$J$8,2,FALSE),0),
IF(AX147="K",VLOOKUP(L147,Foundation_Calc!$K$116:$R$149,VLOOKUP(AW147,Foundation_Calc!$I$2:$J$8,2,FALSE),0),"")))</f>
        <v/>
      </c>
      <c r="AZ147" s="10" t="str">
        <f>IF(K147="","",
IF(AX147="PT",VLOOKUP(K147,Foundation_Calc!$K$79:$R$112,VLOOKUP(AW147,Foundation_Calc!$I$2:$J$8,2,FALSE),0),
IF(AX147="K",VLOOKUP(K147,Foundation_Calc!$K$116:$R$149,VLOOKUP(AW147,Foundation_Calc!$I$2:$J$8,2,FALSE),0),"")))</f>
        <v/>
      </c>
      <c r="BA147" s="553"/>
      <c r="BB147" s="553"/>
      <c r="BC147" s="553" t="str">
        <f t="shared" si="16"/>
        <v/>
      </c>
      <c r="BD147" s="572" t="str">
        <f>IF(AND(L147="",H147=""),"",
IF(H147="",Pole_Calc!A$9,
IF(H147="MP",Pole_Calc!A$10,
IF(H147="AnMP",Pole_Calc!A$11,
IF(H147="A",Pole_Calc!A$12,
IF(H147="S/A",Pole_Calc!A$13,
IF(H147="A/S",Pole_Calc!A$14,"Poner a mano")))))))</f>
        <v/>
      </c>
      <c r="BE147" s="448" t="s">
        <v>1726</v>
      </c>
      <c r="BF147" s="305"/>
      <c r="BG147" s="305"/>
      <c r="BH147" s="306"/>
      <c r="BI147" s="305"/>
    </row>
    <row r="148" spans="1:61" ht="16.2" customHeight="1">
      <c r="A148" s="573"/>
      <c r="B148" s="469" t="s">
        <v>1927</v>
      </c>
      <c r="C148" s="3">
        <f>+$C$146+$G$147</f>
        <v>3107.85</v>
      </c>
      <c r="D148" s="88"/>
      <c r="E148" s="4"/>
      <c r="F148" s="4">
        <v>0</v>
      </c>
      <c r="G148" s="6"/>
      <c r="H148" s="468" t="s">
        <v>179</v>
      </c>
      <c r="I148" s="468"/>
      <c r="J148" s="3"/>
      <c r="K148" s="468"/>
      <c r="L148" s="468" t="s">
        <v>199</v>
      </c>
      <c r="M148" s="468"/>
      <c r="N148" s="672" t="s">
        <v>344</v>
      </c>
      <c r="O148" s="648" t="s">
        <v>342</v>
      </c>
      <c r="P148" s="468"/>
      <c r="Q148" s="4"/>
      <c r="R148" s="6"/>
      <c r="S148" s="6"/>
      <c r="T148" s="4">
        <v>55</v>
      </c>
      <c r="U148" s="4">
        <v>-20</v>
      </c>
      <c r="V148" s="4"/>
      <c r="W148" s="9">
        <v>1.4</v>
      </c>
      <c r="X148" s="9">
        <v>1.8</v>
      </c>
      <c r="Y148" s="9"/>
      <c r="Z148" s="9">
        <v>0.45</v>
      </c>
      <c r="AA148" s="9"/>
      <c r="AB148" s="9"/>
      <c r="AC148" s="468"/>
      <c r="AD148" s="468" t="s">
        <v>645</v>
      </c>
      <c r="AE148" s="468"/>
      <c r="AF148" s="4"/>
      <c r="AG148" s="88"/>
      <c r="AH148" s="4"/>
      <c r="AI148" s="4"/>
      <c r="AJ148" s="468"/>
      <c r="AK148" s="468" t="s">
        <v>36</v>
      </c>
      <c r="AL148" s="468"/>
      <c r="AM148" s="468"/>
      <c r="AN148" s="10">
        <v>5.5</v>
      </c>
      <c r="AO148" s="9"/>
      <c r="AP148" s="9"/>
      <c r="AQ148" s="9"/>
      <c r="AR148" s="9"/>
      <c r="AS148" s="9"/>
      <c r="AT148" s="9">
        <f>+ab(-$U$148,$T$146,$U$150,$G$147,$G$149, 1*$F$148,1200)</f>
        <v>12.487194752855833</v>
      </c>
      <c r="AU148" s="447"/>
      <c r="AV148" s="447"/>
      <c r="AW148" s="468"/>
      <c r="AX148" s="468"/>
      <c r="AY148" s="10" t="str">
        <f>IF(L148="","",
IF(AX148="PT",VLOOKUP(L148,Foundation_Calc!$K$79:$R$112,VLOOKUP(AW148,Foundation_Calc!$I$2:$J$8,2,FALSE),0),
IF(AX148="K",VLOOKUP(L148,Foundation_Calc!$K$116:$R$149,VLOOKUP(AW148,Foundation_Calc!$I$2:$J$8,2,FALSE),0),"")))</f>
        <v/>
      </c>
      <c r="AZ148" s="10" t="str">
        <f>IF(K148="","",
IF(AX148="PT",VLOOKUP(K148,Foundation_Calc!$K$79:$R$112,VLOOKUP(AW148,Foundation_Calc!$I$2:$J$8,2,FALSE),0),
IF(AX148="K",VLOOKUP(K148,Foundation_Calc!$K$116:$R$149,VLOOKUP(AW148,Foundation_Calc!$I$2:$J$8,2,FALSE),0),"")))</f>
        <v/>
      </c>
      <c r="BA148" s="553"/>
      <c r="BB148" s="553"/>
      <c r="BC148" s="553" t="str">
        <f t="shared" si="16"/>
        <v/>
      </c>
      <c r="BD148" s="572"/>
      <c r="BE148" s="448" t="s">
        <v>1726</v>
      </c>
      <c r="BF148" s="306"/>
      <c r="BG148" s="306"/>
      <c r="BH148" s="306"/>
      <c r="BI148" s="306"/>
    </row>
    <row r="149" spans="1:61" ht="16.2" customHeight="1">
      <c r="A149" s="573"/>
      <c r="B149" s="469"/>
      <c r="C149" s="3"/>
      <c r="D149" s="88"/>
      <c r="E149" s="4"/>
      <c r="F149" s="4"/>
      <c r="G149" s="6">
        <v>29.8</v>
      </c>
      <c r="H149" s="468"/>
      <c r="I149" s="468" t="s">
        <v>482</v>
      </c>
      <c r="J149" s="3"/>
      <c r="K149" s="468"/>
      <c r="L149" s="468"/>
      <c r="M149" s="468" t="str">
        <f>IF(L149="","",
IF(AX149="PT",VLOOKUP(L149,Foundation_Calc!$V$79:$X$112,VLOOKUP(AX149,Foundation_Calc!$I$10:$J$13,2,FALSE),0),
IF(AX149="K",VLOOKUP(L149,Foundation_Calc!$V$116:$X$149,VLOOKUP(AX149,Foundation_Calc!$I$10:$J$13,2,FALSE),0),"")))</f>
        <v/>
      </c>
      <c r="N149" s="468"/>
      <c r="O149" s="468"/>
      <c r="P149" s="468"/>
      <c r="Q149" s="4"/>
      <c r="R149" s="6"/>
      <c r="S149" s="6"/>
      <c r="T149" s="4"/>
      <c r="U149" s="4"/>
      <c r="V149" s="4"/>
      <c r="W149" s="9"/>
      <c r="X149" s="9"/>
      <c r="Y149" s="9"/>
      <c r="Z149" s="9"/>
      <c r="AA149" s="9"/>
      <c r="AB149" s="9"/>
      <c r="AC149" s="468" t="str">
        <f t="shared" si="14"/>
        <v/>
      </c>
      <c r="AD149" s="468"/>
      <c r="AE149" s="468"/>
      <c r="AF149" s="4"/>
      <c r="AG149" s="88"/>
      <c r="AH149" s="4"/>
      <c r="AI149" s="4"/>
      <c r="AJ149" s="468"/>
      <c r="AK149" s="468"/>
      <c r="AL149" s="468"/>
      <c r="AM149" s="468"/>
      <c r="AN149" s="10"/>
      <c r="AO149" s="9"/>
      <c r="AP149" s="9"/>
      <c r="AQ149" s="9">
        <f>+FL_1($U$150,-$U$148,$G$149,1200,9.28, 1*$F$150)</f>
        <v>0.20000000000001292</v>
      </c>
      <c r="AR149" s="9"/>
      <c r="AS149" s="9"/>
      <c r="AT149" s="9"/>
      <c r="AU149" s="447"/>
      <c r="AV149" s="447"/>
      <c r="AW149" s="468" t="str">
        <f>IF(C149&gt;0,VLOOKUP(C149,Foundation_Calc!$A$2:$C$13,3,1),
IF(J149&gt;0,VLOOKUP(J149,Foundation_Calc!$A$2:$C$13,3,1),""))</f>
        <v/>
      </c>
      <c r="AX149" s="468" t="str">
        <f>IF(C149&gt;0,VLOOKUP(C149,Foundation_Calc!$E$2:$G$13,3,1),
IF(J149&gt;0,VLOOKUP(J149,Foundation_Calc!$E$2:$G$13,3,1),""))</f>
        <v/>
      </c>
      <c r="AY149" s="10" t="str">
        <f>IF(L149="","",
IF(AX149="PT",VLOOKUP(L149,Foundation_Calc!$K$79:$R$112,VLOOKUP(AW149,Foundation_Calc!$I$2:$J$8,2,FALSE),0),
IF(AX149="K",VLOOKUP(L149,Foundation_Calc!$K$116:$R$149,VLOOKUP(AW149,Foundation_Calc!$I$2:$J$8,2,FALSE),0),"")))</f>
        <v/>
      </c>
      <c r="AZ149" s="10" t="str">
        <f>IF(K149="","",
IF(AX149="PT",VLOOKUP(K149,Foundation_Calc!$K$79:$R$112,VLOOKUP(AW149,Foundation_Calc!$I$2:$J$8,2,FALSE),0),
IF(AX149="K",VLOOKUP(K149,Foundation_Calc!$K$116:$R$149,VLOOKUP(AW149,Foundation_Calc!$I$2:$J$8,2,FALSE),0),"")))</f>
        <v/>
      </c>
      <c r="BA149" s="553" t="str">
        <f t="shared" si="15"/>
        <v/>
      </c>
      <c r="BB149" s="553" t="str">
        <f t="shared" si="15"/>
        <v/>
      </c>
      <c r="BC149" s="553" t="str">
        <f t="shared" si="16"/>
        <v/>
      </c>
      <c r="BD149" s="572" t="str">
        <f>IF(AND(L149="",H149=""),"",
IF(H149="",Pole_Calc!A$9,
IF(H149="MP",Pole_Calc!A$10,
IF(H149="AnMP",Pole_Calc!A$11,
IF(H149="A",Pole_Calc!A$12,
IF(H149="S/A",Pole_Calc!A$13,
IF(H149="A/S",Pole_Calc!A$14,"Poner a mano")))))))</f>
        <v/>
      </c>
      <c r="BE149" s="448" t="s">
        <v>1726</v>
      </c>
      <c r="BF149" s="305"/>
      <c r="BG149" s="305"/>
      <c r="BH149" s="306"/>
      <c r="BI149" s="305"/>
    </row>
    <row r="150" spans="1:61" ht="16.2" customHeight="1">
      <c r="A150" s="573"/>
      <c r="B150" s="469" t="s">
        <v>1928</v>
      </c>
      <c r="C150" s="3">
        <f>+$C$148+$G$149</f>
        <v>3137.65</v>
      </c>
      <c r="D150" s="88"/>
      <c r="E150" s="4"/>
      <c r="F150" s="4">
        <v>0</v>
      </c>
      <c r="G150" s="6"/>
      <c r="H150" s="468" t="s">
        <v>1862</v>
      </c>
      <c r="I150" s="468" t="s">
        <v>182</v>
      </c>
      <c r="J150" s="3"/>
      <c r="K150" s="468"/>
      <c r="L150" s="468" t="s">
        <v>449</v>
      </c>
      <c r="M150" s="468" t="str">
        <f>IF(L150="","",
IF(AX150="PT",VLOOKUP(L150,Foundation_Calc!$V$79:$X$112,VLOOKUP(AX150,Foundation_Calc!$I$10:$J$13,2,FALSE),0),
IF(AX150="K",VLOOKUP(L150,Foundation_Calc!$V$116:$X$149,VLOOKUP(AX150,Foundation_Calc!$I$10:$J$13,2,FALSE),0),"")))</f>
        <v>2C4R</v>
      </c>
      <c r="N150" s="669" t="s">
        <v>28</v>
      </c>
      <c r="O150" s="468" t="s">
        <v>32</v>
      </c>
      <c r="P150" s="669" t="s">
        <v>33</v>
      </c>
      <c r="Q150" s="4"/>
      <c r="R150" s="6"/>
      <c r="S150" s="6"/>
      <c r="T150" s="4">
        <v>-55</v>
      </c>
      <c r="U150" s="4">
        <v>-35</v>
      </c>
      <c r="V150" s="4">
        <v>-20</v>
      </c>
      <c r="W150" s="9">
        <v>2</v>
      </c>
      <c r="X150" s="9">
        <v>1.8</v>
      </c>
      <c r="Y150" s="9">
        <v>1.4</v>
      </c>
      <c r="Z150" s="9">
        <v>0.3</v>
      </c>
      <c r="AA150" s="9"/>
      <c r="AB150" s="9"/>
      <c r="AC150" s="468"/>
      <c r="AD150" s="468" t="s">
        <v>647</v>
      </c>
      <c r="AE150" s="468" t="s">
        <v>1068</v>
      </c>
      <c r="AF150" s="4"/>
      <c r="AG150" s="88"/>
      <c r="AH150" s="4"/>
      <c r="AI150" s="4"/>
      <c r="AJ150" s="468"/>
      <c r="AK150" s="468"/>
      <c r="AL150" s="468"/>
      <c r="AM150" s="468" t="s">
        <v>486</v>
      </c>
      <c r="AN150" s="10">
        <v>5.5</v>
      </c>
      <c r="AO150" s="9"/>
      <c r="AP150" s="9"/>
      <c r="AQ150" s="9"/>
      <c r="AR150" s="9"/>
      <c r="AS150" s="9"/>
      <c r="AT150" s="9">
        <f>+ab($U$150,-$U$148,$U$152,$G$149,$G$151, 1*$F$150,1200)</f>
        <v>-5.2162886349930346</v>
      </c>
      <c r="AU150" s="447"/>
      <c r="AV150" s="447"/>
      <c r="AW150" s="468" t="str">
        <f>IF(C150&gt;0,VLOOKUP(C150,Foundation_Calc!$A$2:$C$13,3,1),
IF(J150&gt;0,VLOOKUP(J150,Foundation_Calc!$A$2:$C$13,3,1),""))</f>
        <v>MultiSoil</v>
      </c>
      <c r="AX150" s="468" t="str">
        <f>IF(C150&gt;0,VLOOKUP(C150,Foundation_Calc!$E$2:$G$13,3,1),
IF(J150&gt;0,VLOOKUP(J150,Foundation_Calc!$E$2:$G$13,3,1),""))</f>
        <v>PT</v>
      </c>
      <c r="AY150" s="10">
        <f>IF(L150="","",
IF(AX150="PT",VLOOKUP(L150,Foundation_Calc!$K$79:$R$112,VLOOKUP(AW150,Foundation_Calc!$I$2:$J$8,2,FALSE),0),
IF(AX150="K",VLOOKUP(L150,Foundation_Calc!$K$116:$R$149,VLOOKUP(AW150,Foundation_Calc!$I$2:$J$8,2,FALSE),0),"")))</f>
        <v>4</v>
      </c>
      <c r="AZ150" s="10" t="str">
        <f>IF(K150="","",
IF(AX150="PT",VLOOKUP(K150,Foundation_Calc!$K$79:$R$112,VLOOKUP(AW150,Foundation_Calc!$I$2:$J$8,2,FALSE),0),
IF(AX150="K",VLOOKUP(K150,Foundation_Calc!$K$116:$R$149,VLOOKUP(AW150,Foundation_Calc!$I$2:$J$8,2,FALSE),0),"")))</f>
        <v/>
      </c>
      <c r="BA150" s="553" t="str">
        <f t="shared" si="15"/>
        <v>ü</v>
      </c>
      <c r="BB150" s="553" t="str">
        <f t="shared" si="15"/>
        <v/>
      </c>
      <c r="BC150" s="553" t="str">
        <f t="shared" si="16"/>
        <v/>
      </c>
      <c r="BD150" s="572" t="str">
        <f>Pole_Calc!A$13</f>
        <v>App.7-V11H-P9.5.1.5</v>
      </c>
      <c r="BE150" s="448" t="s">
        <v>1726</v>
      </c>
      <c r="BF150" s="306"/>
      <c r="BG150" s="306"/>
      <c r="BH150" s="306"/>
      <c r="BI150" s="306"/>
    </row>
    <row r="151" spans="1:61" ht="16.2" customHeight="1">
      <c r="A151" s="573"/>
      <c r="B151" s="469"/>
      <c r="C151" s="3"/>
      <c r="D151" s="88"/>
      <c r="E151" s="4"/>
      <c r="F151" s="4"/>
      <c r="G151" s="6">
        <v>38.4</v>
      </c>
      <c r="H151" s="468"/>
      <c r="I151" s="468"/>
      <c r="J151" s="3">
        <f>C150+7.5</f>
        <v>3145.15</v>
      </c>
      <c r="K151" s="468" t="s">
        <v>1095</v>
      </c>
      <c r="L151" s="468"/>
      <c r="M151" s="468" t="str">
        <f>IF(L151="","",
IF(AX151="PT",VLOOKUP(L151,Foundation_Calc!$V$79:$X$112,VLOOKUP(AX151,Foundation_Calc!$I$10:$J$13,2,FALSE),0),
IF(AX151="K",VLOOKUP(L151,Foundation_Calc!$V$116:$X$149,VLOOKUP(AX151,Foundation_Calc!$I$10:$J$13,2,FALSE),0),"")))</f>
        <v/>
      </c>
      <c r="N151" s="468"/>
      <c r="O151" s="468"/>
      <c r="P151" s="468"/>
      <c r="Q151" s="4"/>
      <c r="R151" s="6"/>
      <c r="S151" s="6"/>
      <c r="T151" s="4"/>
      <c r="U151" s="4"/>
      <c r="V151" s="4"/>
      <c r="W151" s="9"/>
      <c r="X151" s="9"/>
      <c r="Y151" s="9"/>
      <c r="Z151" s="9"/>
      <c r="AA151" s="9"/>
      <c r="AB151" s="9"/>
      <c r="AC151" s="468" t="str">
        <f t="shared" si="14"/>
        <v/>
      </c>
      <c r="AD151" s="468"/>
      <c r="AE151" s="468"/>
      <c r="AF151" s="4"/>
      <c r="AG151" s="88"/>
      <c r="AH151" s="4"/>
      <c r="AI151" s="4"/>
      <c r="AJ151" s="468"/>
      <c r="AK151" s="468"/>
      <c r="AL151" s="468"/>
      <c r="AM151" s="468"/>
      <c r="AN151" s="10"/>
      <c r="AO151" s="9"/>
      <c r="AP151" s="9"/>
      <c r="AQ151" s="9">
        <f>+FL_2($U$152,$U$150,$G$151,1200,9.28, 1*$F$152)</f>
        <v>-0.35000000000000309</v>
      </c>
      <c r="AR151" s="9"/>
      <c r="AS151" s="9"/>
      <c r="AT151" s="9"/>
      <c r="AU151" s="447"/>
      <c r="AV151" s="447"/>
      <c r="AW151" s="468" t="str">
        <f>IF(C151&gt;0,VLOOKUP(C151,Foundation_Calc!$A$2:$C$13,3,1),
IF(J151&gt;0,VLOOKUP(J151,Foundation_Calc!$A$2:$C$13,3,1),""))</f>
        <v>MultiSoil</v>
      </c>
      <c r="AX151" s="468" t="str">
        <f>IF(C151&gt;0,VLOOKUP(C151,Foundation_Calc!$E$2:$G$13,3,1),
IF(J151&gt;0,VLOOKUP(J151,Foundation_Calc!$E$2:$G$13,3,1),""))</f>
        <v>PT</v>
      </c>
      <c r="AY151" s="10" t="str">
        <f>IF(L151="","",
IF(AX151="PT",VLOOKUP(L151,Foundation_Calc!$K$79:$R$112,VLOOKUP(AW151,Foundation_Calc!$I$2:$J$8,2,FALSE),0),
IF(AX151="K",VLOOKUP(L151,Foundation_Calc!$K$116:$R$149,VLOOKUP(AW151,Foundation_Calc!$I$2:$J$8,2,FALSE),0),"")))</f>
        <v/>
      </c>
      <c r="AZ151" s="10">
        <f>IF(K151="","",
IF(AX151="PT",VLOOKUP(K151,Foundation_Calc!$K$79:$R$112,VLOOKUP(AW151,Foundation_Calc!$I$2:$J$8,2,FALSE),0),
IF(AX151="K",VLOOKUP(K151,Foundation_Calc!$K$116:$R$149,VLOOKUP(AW151,Foundation_Calc!$I$2:$J$8,2,FALSE),0),"")))</f>
        <v>3.9</v>
      </c>
      <c r="BA151" s="553" t="str">
        <f t="shared" si="15"/>
        <v/>
      </c>
      <c r="BB151" s="553" t="str">
        <f t="shared" si="15"/>
        <v>ü</v>
      </c>
      <c r="BC151" s="553" t="str">
        <f t="shared" si="16"/>
        <v/>
      </c>
      <c r="BD151" s="572" t="str">
        <f>IF(AND(L151="",H151=""),"",
IF(H151="",Pole_Calc!A$9,
IF(H151="MP",Pole_Calc!A$10,
IF(H151="AnMP",Pole_Calc!A$11,
IF(H151="A",Pole_Calc!A$12,
IF(H151="S/A",Pole_Calc!A$13,
IF(H151="A/S",Pole_Calc!A$14,"Poner a mano")))))))</f>
        <v/>
      </c>
      <c r="BE151" s="448" t="s">
        <v>1726</v>
      </c>
      <c r="BF151" s="305"/>
      <c r="BG151" s="305"/>
      <c r="BH151" s="306"/>
      <c r="BI151" s="305"/>
    </row>
    <row r="152" spans="1:61" ht="16.2" customHeight="1">
      <c r="A152" s="573"/>
      <c r="B152" s="469" t="s">
        <v>1929</v>
      </c>
      <c r="C152" s="3">
        <f>+$C$150+$G$151</f>
        <v>3176.05</v>
      </c>
      <c r="D152" s="88"/>
      <c r="E152" s="4"/>
      <c r="F152" s="4">
        <v>0</v>
      </c>
      <c r="G152" s="6"/>
      <c r="H152" s="468" t="s">
        <v>1861</v>
      </c>
      <c r="I152" s="468"/>
      <c r="J152" s="3"/>
      <c r="K152" s="468"/>
      <c r="L152" s="468" t="s">
        <v>199</v>
      </c>
      <c r="M152" s="468"/>
      <c r="N152" s="669" t="s">
        <v>342</v>
      </c>
      <c r="O152" s="468" t="s">
        <v>343</v>
      </c>
      <c r="P152" s="669" t="s">
        <v>344</v>
      </c>
      <c r="Q152" s="4"/>
      <c r="R152" s="6"/>
      <c r="S152" s="6"/>
      <c r="T152" s="4">
        <v>20</v>
      </c>
      <c r="U152" s="4">
        <v>35</v>
      </c>
      <c r="V152" s="4">
        <v>55</v>
      </c>
      <c r="W152" s="9">
        <v>2</v>
      </c>
      <c r="X152" s="9">
        <v>1.8</v>
      </c>
      <c r="Y152" s="9">
        <v>1.4</v>
      </c>
      <c r="Z152" s="9"/>
      <c r="AA152" s="9"/>
      <c r="AB152" s="9">
        <v>0.3</v>
      </c>
      <c r="AC152" s="468" t="s">
        <v>1068</v>
      </c>
      <c r="AD152" s="468" t="s">
        <v>647</v>
      </c>
      <c r="AE152" s="468"/>
      <c r="AF152" s="4"/>
      <c r="AG152" s="88"/>
      <c r="AH152" s="4"/>
      <c r="AI152" s="4"/>
      <c r="AJ152" s="468" t="s">
        <v>364</v>
      </c>
      <c r="AK152" s="468" t="s">
        <v>1132</v>
      </c>
      <c r="AL152" s="468"/>
      <c r="AM152" s="468"/>
      <c r="AN152" s="10">
        <v>5.5</v>
      </c>
      <c r="AO152" s="9"/>
      <c r="AP152" s="9"/>
      <c r="AQ152" s="9"/>
      <c r="AR152" s="9"/>
      <c r="AS152" s="9"/>
      <c r="AT152" s="9">
        <f>+ab($U$152,$U$150,$T$154,$G$151,$G$153, 1*$F$152,1200)</f>
        <v>5.7405895818504318</v>
      </c>
      <c r="AU152" s="447"/>
      <c r="AV152" s="447"/>
      <c r="AW152" s="468"/>
      <c r="AX152" s="468"/>
      <c r="AY152" s="10" t="str">
        <f>IF(L152="","",
IF(AX152="PT",VLOOKUP(L152,Foundation_Calc!$K$79:$R$112,VLOOKUP(AW152,Foundation_Calc!$I$2:$J$8,2,FALSE),0),
IF(AX152="K",VLOOKUP(L152,Foundation_Calc!$K$116:$R$149,VLOOKUP(AW152,Foundation_Calc!$I$2:$J$8,2,FALSE),0),"")))</f>
        <v/>
      </c>
      <c r="AZ152" s="10" t="str">
        <f>IF(K152="","",
IF(AX152="PT",VLOOKUP(K152,Foundation_Calc!$K$79:$R$112,VLOOKUP(AW152,Foundation_Calc!$I$2:$J$8,2,FALSE),0),
IF(AX152="K",VLOOKUP(K152,Foundation_Calc!$K$116:$R$149,VLOOKUP(AW152,Foundation_Calc!$I$2:$J$8,2,FALSE),0),"")))</f>
        <v/>
      </c>
      <c r="BA152" s="553" t="str">
        <f t="shared" si="15"/>
        <v/>
      </c>
      <c r="BB152" s="553" t="str">
        <f t="shared" si="15"/>
        <v/>
      </c>
      <c r="BC152" s="553" t="str">
        <f t="shared" si="16"/>
        <v/>
      </c>
      <c r="BD152" s="572"/>
      <c r="BE152" s="448" t="s">
        <v>1726</v>
      </c>
      <c r="BF152" s="306"/>
      <c r="BG152" s="306"/>
      <c r="BH152" s="306"/>
      <c r="BI152" s="306"/>
    </row>
    <row r="153" spans="1:61" ht="16.2" customHeight="1">
      <c r="A153" s="573"/>
      <c r="B153" s="469"/>
      <c r="C153" s="3"/>
      <c r="D153" s="88"/>
      <c r="E153" s="4"/>
      <c r="F153" s="4"/>
      <c r="G153" s="6">
        <v>46.4</v>
      </c>
      <c r="H153" s="468"/>
      <c r="I153" s="468"/>
      <c r="J153" s="3">
        <f>C154-7.5</f>
        <v>3214.9500000000003</v>
      </c>
      <c r="K153" s="468" t="s">
        <v>1096</v>
      </c>
      <c r="L153" s="468"/>
      <c r="M153" s="468" t="str">
        <f>IF(L153="","",
IF(AX153="PT",VLOOKUP(L153,Foundation_Calc!$V$79:$X$112,VLOOKUP(AX153,Foundation_Calc!$I$10:$J$13,2,FALSE),0),
IF(AX153="K",VLOOKUP(L153,Foundation_Calc!$V$116:$X$149,VLOOKUP(AX153,Foundation_Calc!$I$10:$J$13,2,FALSE),0),"")))</f>
        <v/>
      </c>
      <c r="N153" s="468"/>
      <c r="O153" s="468"/>
      <c r="P153" s="468"/>
      <c r="Q153" s="4"/>
      <c r="R153" s="6"/>
      <c r="S153" s="6"/>
      <c r="T153" s="4"/>
      <c r="U153" s="4"/>
      <c r="V153" s="4"/>
      <c r="W153" s="9"/>
      <c r="X153" s="9"/>
      <c r="Y153" s="9"/>
      <c r="Z153" s="9"/>
      <c r="AA153" s="9"/>
      <c r="AB153" s="9"/>
      <c r="AC153" s="468" t="str">
        <f t="shared" si="14"/>
        <v/>
      </c>
      <c r="AD153" s="468"/>
      <c r="AE153" s="468"/>
      <c r="AF153" s="4"/>
      <c r="AG153" s="88"/>
      <c r="AH153" s="4"/>
      <c r="AI153" s="4"/>
      <c r="AJ153" s="468"/>
      <c r="AK153" s="468"/>
      <c r="AL153" s="468"/>
      <c r="AM153" s="468"/>
      <c r="AN153" s="10"/>
      <c r="AO153" s="9"/>
      <c r="AP153" s="9"/>
      <c r="AQ153" s="9">
        <f>+FL_2($T$154,$U$152,$G$153,1200,9.28, 1*$F$154)</f>
        <v>-0.35527052455172409</v>
      </c>
      <c r="AR153" s="9"/>
      <c r="AS153" s="9"/>
      <c r="AT153" s="9"/>
      <c r="AU153" s="447"/>
      <c r="AV153" s="447"/>
      <c r="AW153" s="468" t="str">
        <f>IF(C153&gt;0,VLOOKUP(C153,Foundation_Calc!$A$2:$C$13,3,1),
IF(J153&gt;0,VLOOKUP(J153,Foundation_Calc!$A$2:$C$13,3,1),""))</f>
        <v>MultiSoil</v>
      </c>
      <c r="AX153" s="468" t="str">
        <f>IF(C153&gt;0,VLOOKUP(C153,Foundation_Calc!$E$2:$G$13,3,1),
IF(J153&gt;0,VLOOKUP(J153,Foundation_Calc!$E$2:$G$13,3,1),""))</f>
        <v>PT</v>
      </c>
      <c r="AY153" s="10" t="str">
        <f>IF(L153="","",
IF(AX153="PT",VLOOKUP(L153,Foundation_Calc!$K$79:$R$112,VLOOKUP(AW153,Foundation_Calc!$I$2:$J$8,2,FALSE),0),
IF(AX153="K",VLOOKUP(L153,Foundation_Calc!$K$116:$R$149,VLOOKUP(AW153,Foundation_Calc!$I$2:$J$8,2,FALSE),0),"")))</f>
        <v/>
      </c>
      <c r="AZ153" s="10">
        <f>IF(K153="","",
IF(AX153="PT",VLOOKUP(K153,Foundation_Calc!$K$79:$R$112,VLOOKUP(AW153,Foundation_Calc!$I$2:$J$8,2,FALSE),0),
IF(AX153="K",VLOOKUP(K153,Foundation_Calc!$K$116:$R$149,VLOOKUP(AW153,Foundation_Calc!$I$2:$J$8,2,FALSE),0),"")))</f>
        <v>2.8</v>
      </c>
      <c r="BA153" s="553" t="str">
        <f t="shared" si="15"/>
        <v/>
      </c>
      <c r="BB153" s="553" t="str">
        <f t="shared" si="15"/>
        <v>ü</v>
      </c>
      <c r="BC153" s="553" t="str">
        <f t="shared" si="16"/>
        <v/>
      </c>
      <c r="BD153" s="572" t="str">
        <f>IF(AND(L153="",H153=""),"",
IF(H153="",Pole_Calc!A$9,
IF(H153="MP",Pole_Calc!A$10,
IF(H153="AnMP",Pole_Calc!A$11,
IF(H153="A",Pole_Calc!A$12,
IF(H153="S/A",Pole_Calc!A$13,
IF(H153="A/S",Pole_Calc!A$14,"Poner a mano")))))))</f>
        <v/>
      </c>
      <c r="BE153" s="448" t="s">
        <v>1726</v>
      </c>
      <c r="BF153" s="305"/>
      <c r="BG153" s="305"/>
      <c r="BH153" s="306"/>
      <c r="BI153" s="305"/>
    </row>
    <row r="154" spans="1:61" ht="16.2" customHeight="1">
      <c r="A154" s="573"/>
      <c r="B154" s="469" t="s">
        <v>1930</v>
      </c>
      <c r="C154" s="3">
        <f>+$C$152+$G$153</f>
        <v>3222.4500000000003</v>
      </c>
      <c r="D154" s="88"/>
      <c r="E154" s="4"/>
      <c r="F154" s="4">
        <v>0</v>
      </c>
      <c r="G154" s="6"/>
      <c r="H154" s="468" t="s">
        <v>1861</v>
      </c>
      <c r="I154" s="468" t="s">
        <v>482</v>
      </c>
      <c r="J154" s="3"/>
      <c r="K154" s="468"/>
      <c r="L154" s="468" t="s">
        <v>449</v>
      </c>
      <c r="M154" s="468" t="str">
        <f>IF(L154="","",
IF(AX154="PT",VLOOKUP(L154,Foundation_Calc!$V$79:$X$112,VLOOKUP(AX154,Foundation_Calc!$I$10:$J$13,2,FALSE),0),
IF(AX154="K",VLOOKUP(L154,Foundation_Calc!$V$116:$X$149,VLOOKUP(AX154,Foundation_Calc!$I$10:$J$13,2,FALSE),0),"")))</f>
        <v>2C4R</v>
      </c>
      <c r="N154" s="468" t="s">
        <v>32</v>
      </c>
      <c r="O154" s="669" t="s">
        <v>33</v>
      </c>
      <c r="P154" s="669" t="s">
        <v>28</v>
      </c>
      <c r="Q154" s="4"/>
      <c r="R154" s="6"/>
      <c r="S154" s="6"/>
      <c r="T154" s="4">
        <v>-35</v>
      </c>
      <c r="U154" s="4">
        <v>-20</v>
      </c>
      <c r="V154" s="4">
        <v>55</v>
      </c>
      <c r="W154" s="9">
        <v>2</v>
      </c>
      <c r="X154" s="9">
        <v>1.8</v>
      </c>
      <c r="Y154" s="9">
        <v>1.4</v>
      </c>
      <c r="Z154" s="9"/>
      <c r="AA154" s="9"/>
      <c r="AB154" s="9">
        <v>0.45</v>
      </c>
      <c r="AC154" s="468" t="s">
        <v>647</v>
      </c>
      <c r="AD154" s="468" t="s">
        <v>1068</v>
      </c>
      <c r="AE154" s="468"/>
      <c r="AF154" s="4"/>
      <c r="AG154" s="88"/>
      <c r="AH154" s="4"/>
      <c r="AI154" s="4"/>
      <c r="AJ154" s="468"/>
      <c r="AK154" s="468"/>
      <c r="AL154" s="468"/>
      <c r="AM154" s="468" t="s">
        <v>486</v>
      </c>
      <c r="AN154" s="10">
        <v>5.5</v>
      </c>
      <c r="AO154" s="9"/>
      <c r="AP154" s="9"/>
      <c r="AQ154" s="9"/>
      <c r="AR154" s="9"/>
      <c r="AS154" s="9"/>
      <c r="AT154" s="9">
        <f>+ab($T$154,$U$152,$T$156,$G$153,$G$155, 1*$F$154,1200)</f>
        <v>-6.957319748477663</v>
      </c>
      <c r="AU154" s="447"/>
      <c r="AV154" s="447"/>
      <c r="AW154" s="468" t="str">
        <f>IF(C154&gt;0,VLOOKUP(C154,Foundation_Calc!$A$2:$C$13,3,1),
IF(J154&gt;0,VLOOKUP(J154,Foundation_Calc!$A$2:$C$13,3,1),""))</f>
        <v>MultiSoil</v>
      </c>
      <c r="AX154" s="468" t="str">
        <f>IF(C154&gt;0,VLOOKUP(C154,Foundation_Calc!$E$2:$G$13,3,1),
IF(J154&gt;0,VLOOKUP(J154,Foundation_Calc!$E$2:$G$13,3,1),""))</f>
        <v>PT</v>
      </c>
      <c r="AY154" s="10">
        <f>IF(L154="","",
IF(AX154="PT",VLOOKUP(L154,Foundation_Calc!$K$79:$R$112,VLOOKUP(AW154,Foundation_Calc!$I$2:$J$8,2,FALSE),0),
IF(AX154="K",VLOOKUP(L154,Foundation_Calc!$K$116:$R$149,VLOOKUP(AW154,Foundation_Calc!$I$2:$J$8,2,FALSE),0),"")))</f>
        <v>4</v>
      </c>
      <c r="AZ154" s="10" t="str">
        <f>IF(K154="","",
IF(AX154="PT",VLOOKUP(K154,Foundation_Calc!$K$79:$R$112,VLOOKUP(AW154,Foundation_Calc!$I$2:$J$8,2,FALSE),0),
IF(AX154="K",VLOOKUP(K154,Foundation_Calc!$K$116:$R$149,VLOOKUP(AW154,Foundation_Calc!$I$2:$J$8,2,FALSE),0),"")))</f>
        <v/>
      </c>
      <c r="BA154" s="553" t="str">
        <f t="shared" si="15"/>
        <v>ü</v>
      </c>
      <c r="BB154" s="553" t="str">
        <f t="shared" si="15"/>
        <v/>
      </c>
      <c r="BC154" s="553" t="str">
        <f t="shared" si="16"/>
        <v/>
      </c>
      <c r="BD154" s="572" t="str">
        <f>Pole_Calc!A$13</f>
        <v>App.7-V11H-P9.5.1.5</v>
      </c>
      <c r="BE154" s="448" t="s">
        <v>1726</v>
      </c>
      <c r="BF154" s="306"/>
      <c r="BG154" s="306"/>
      <c r="BH154" s="306"/>
      <c r="BI154" s="306"/>
    </row>
    <row r="155" spans="1:61" ht="16.2" customHeight="1">
      <c r="A155" s="573"/>
      <c r="B155" s="469"/>
      <c r="C155" s="3"/>
      <c r="D155" s="88"/>
      <c r="E155" s="4"/>
      <c r="F155" s="4"/>
      <c r="G155" s="6">
        <v>44.5</v>
      </c>
      <c r="H155" s="468"/>
      <c r="I155" s="468"/>
      <c r="J155" s="3"/>
      <c r="K155" s="468"/>
      <c r="L155" s="468"/>
      <c r="M155" s="468" t="str">
        <f>IF(L155="","",
IF(AX155="PT",VLOOKUP(L155,Foundation_Calc!$V$79:$X$112,VLOOKUP(AX155,Foundation_Calc!$I$10:$J$13,2,FALSE),0),
IF(AX155="K",VLOOKUP(L155,Foundation_Calc!$V$116:$X$149,VLOOKUP(AX155,Foundation_Calc!$I$10:$J$13,2,FALSE),0),"")))</f>
        <v/>
      </c>
      <c r="N155" s="468"/>
      <c r="O155" s="468"/>
      <c r="P155" s="468"/>
      <c r="Q155" s="4"/>
      <c r="R155" s="6"/>
      <c r="S155" s="6"/>
      <c r="T155" s="4"/>
      <c r="U155" s="4"/>
      <c r="V155" s="4"/>
      <c r="W155" s="9"/>
      <c r="X155" s="9"/>
      <c r="Y155" s="9"/>
      <c r="Z155" s="9"/>
      <c r="AA155" s="9"/>
      <c r="AB155" s="9"/>
      <c r="AC155" s="468" t="str">
        <f t="shared" si="14"/>
        <v/>
      </c>
      <c r="AD155" s="468"/>
      <c r="AE155" s="468"/>
      <c r="AF155" s="4"/>
      <c r="AG155" s="88"/>
      <c r="AH155" s="4"/>
      <c r="AI155" s="4"/>
      <c r="AJ155" s="468"/>
      <c r="AK155" s="468"/>
      <c r="AL155" s="468"/>
      <c r="AM155" s="468"/>
      <c r="AN155" s="10"/>
      <c r="AO155" s="9"/>
      <c r="AP155" s="9"/>
      <c r="AQ155" s="9">
        <f>+FL_2($T$156,$T$154,$G$155,1200,9.28, 1*$F$156)</f>
        <v>-0.36519042997752815</v>
      </c>
      <c r="AR155" s="9"/>
      <c r="AS155" s="9"/>
      <c r="AT155" s="9"/>
      <c r="AU155" s="447"/>
      <c r="AV155" s="447"/>
      <c r="AW155" s="468" t="str">
        <f>IF(C155&gt;0,VLOOKUP(C155,Foundation_Calc!$A$2:$C$13,3,1),
IF(J155&gt;0,VLOOKUP(J155,Foundation_Calc!$A$2:$C$13,3,1),""))</f>
        <v/>
      </c>
      <c r="AX155" s="468" t="str">
        <f>IF(C155&gt;0,VLOOKUP(C155,Foundation_Calc!$E$2:$G$13,3,1),
IF(J155&gt;0,VLOOKUP(J155,Foundation_Calc!$E$2:$G$13,3,1),""))</f>
        <v/>
      </c>
      <c r="AY155" s="10" t="str">
        <f>IF(L155="","",
IF(AX155="PT",VLOOKUP(L155,Foundation_Calc!$K$79:$R$112,VLOOKUP(AW155,Foundation_Calc!$I$2:$J$8,2,FALSE),0),
IF(AX155="K",VLOOKUP(L155,Foundation_Calc!$K$116:$R$149,VLOOKUP(AW155,Foundation_Calc!$I$2:$J$8,2,FALSE),0),"")))</f>
        <v/>
      </c>
      <c r="AZ155" s="10" t="str">
        <f>IF(K155="","",
IF(AX155="PT",VLOOKUP(K155,Foundation_Calc!$K$79:$R$112,VLOOKUP(AW155,Foundation_Calc!$I$2:$J$8,2,FALSE),0),
IF(AX155="K",VLOOKUP(K155,Foundation_Calc!$K$116:$R$149,VLOOKUP(AW155,Foundation_Calc!$I$2:$J$8,2,FALSE),0),"")))</f>
        <v/>
      </c>
      <c r="BA155" s="553" t="str">
        <f t="shared" si="15"/>
        <v/>
      </c>
      <c r="BB155" s="553" t="str">
        <f t="shared" si="15"/>
        <v/>
      </c>
      <c r="BC155" s="553" t="str">
        <f t="shared" si="16"/>
        <v/>
      </c>
      <c r="BD155" s="572" t="str">
        <f>IF(AND(L155="",H155=""),"",
IF(H155="",Pole_Calc!A$9,
IF(H155="MP",Pole_Calc!A$10,
IF(H155="AnMP",Pole_Calc!A$11,
IF(H155="A",Pole_Calc!A$12,
IF(H155="S/A",Pole_Calc!A$13,
IF(H155="A/S",Pole_Calc!A$14,"Poner a mano")))))))</f>
        <v/>
      </c>
      <c r="BE155" s="448" t="s">
        <v>1726</v>
      </c>
      <c r="BF155" s="305"/>
      <c r="BG155" s="305"/>
      <c r="BH155" s="306"/>
      <c r="BI155" s="305"/>
    </row>
    <row r="156" spans="1:61" ht="16.2" customHeight="1">
      <c r="A156" s="573"/>
      <c r="B156" s="469" t="s">
        <v>1931</v>
      </c>
      <c r="C156" s="3">
        <f>+$C$154+$G$155</f>
        <v>3266.9500000000003</v>
      </c>
      <c r="D156" s="88"/>
      <c r="E156" s="4"/>
      <c r="F156" s="4">
        <v>0</v>
      </c>
      <c r="G156" s="6"/>
      <c r="H156" s="468" t="s">
        <v>1746</v>
      </c>
      <c r="I156" s="468" t="s">
        <v>182</v>
      </c>
      <c r="J156" s="3"/>
      <c r="K156" s="468"/>
      <c r="L156" s="468" t="s">
        <v>448</v>
      </c>
      <c r="M156" s="468" t="str">
        <f>IF(L156="","",
IF(AX156="PT",VLOOKUP(L156,Foundation_Calc!$V$79:$X$112,VLOOKUP(AX156,Foundation_Calc!$I$10:$J$13,2,FALSE),0),
IF(AX156="K",VLOOKUP(L156,Foundation_Calc!$V$116:$X$149,VLOOKUP(AX156,Foundation_Calc!$I$10:$J$13,2,FALSE),0),"")))</f>
        <v>2C3R</v>
      </c>
      <c r="N156" s="468" t="s">
        <v>33</v>
      </c>
      <c r="O156" s="647" t="s">
        <v>28</v>
      </c>
      <c r="P156" s="468"/>
      <c r="Q156" s="4"/>
      <c r="R156" s="6"/>
      <c r="S156" s="6"/>
      <c r="T156" s="4">
        <v>20</v>
      </c>
      <c r="U156" s="4">
        <v>55</v>
      </c>
      <c r="V156" s="4"/>
      <c r="W156" s="9">
        <v>2</v>
      </c>
      <c r="X156" s="9">
        <v>1.4</v>
      </c>
      <c r="Y156" s="9"/>
      <c r="Z156" s="9"/>
      <c r="AA156" s="9"/>
      <c r="AB156" s="9">
        <v>0.4</v>
      </c>
      <c r="AC156" s="468" t="str">
        <f t="shared" si="14"/>
        <v>PH</v>
      </c>
      <c r="AD156" s="468"/>
      <c r="AE156" s="468"/>
      <c r="AF156" s="4"/>
      <c r="AG156" s="88"/>
      <c r="AH156" s="4"/>
      <c r="AI156" s="4"/>
      <c r="AJ156" s="468"/>
      <c r="AK156" s="468"/>
      <c r="AL156" s="468"/>
      <c r="AM156" s="468" t="s">
        <v>486</v>
      </c>
      <c r="AN156" s="10">
        <v>5.5</v>
      </c>
      <c r="AO156" s="9"/>
      <c r="AP156" s="9"/>
      <c r="AQ156" s="9"/>
      <c r="AR156" s="9"/>
      <c r="AS156" s="9"/>
      <c r="AT156" s="9">
        <f>+ab($T$156,$T$154,$T$158,$G$155,$G$157, 1*$F$156,1200)</f>
        <v>8.1591211123973988</v>
      </c>
      <c r="AU156" s="447"/>
      <c r="AV156" s="447"/>
      <c r="AW156" s="468" t="str">
        <f>IF(C156&gt;0,VLOOKUP(C156,Foundation_Calc!$A$2:$C$13,3,1),
IF(J156&gt;0,VLOOKUP(J156,Foundation_Calc!$A$2:$C$13,3,1),""))</f>
        <v>MultiSoil</v>
      </c>
      <c r="AX156" s="468" t="str">
        <f>IF(C156&gt;0,VLOOKUP(C156,Foundation_Calc!$E$2:$G$13,3,1),
IF(J156&gt;0,VLOOKUP(J156,Foundation_Calc!$E$2:$G$13,3,1),""))</f>
        <v>PT</v>
      </c>
      <c r="AY156" s="10">
        <f>IF(L156="","",
IF(AX156="PT",VLOOKUP(L156,Foundation_Calc!$K$79:$R$112,VLOOKUP(AW156,Foundation_Calc!$I$2:$J$8,2,FALSE),0),
IF(AX156="K",VLOOKUP(L156,Foundation_Calc!$K$116:$R$149,VLOOKUP(AW156,Foundation_Calc!$I$2:$J$8,2,FALSE),0),"")))</f>
        <v>3.7</v>
      </c>
      <c r="AZ156" s="10" t="str">
        <f>IF(K156="","",
IF(AX156="PT",VLOOKUP(K156,Foundation_Calc!$K$79:$R$112,VLOOKUP(AW156,Foundation_Calc!$I$2:$J$8,2,FALSE),0),
IF(AX156="K",VLOOKUP(K156,Foundation_Calc!$K$116:$R$149,VLOOKUP(AW156,Foundation_Calc!$I$2:$J$8,2,FALSE),0),"")))</f>
        <v/>
      </c>
      <c r="BA156" s="553" t="str">
        <f t="shared" si="15"/>
        <v>ü</v>
      </c>
      <c r="BB156" s="553" t="str">
        <f t="shared" si="15"/>
        <v/>
      </c>
      <c r="BC156" s="553" t="str">
        <f t="shared" si="16"/>
        <v/>
      </c>
      <c r="BD156" s="572" t="str">
        <f>Pole_Calc!A$16</f>
        <v>App.7-V11H-P9.5.1.8</v>
      </c>
      <c r="BE156" s="448" t="s">
        <v>1726</v>
      </c>
      <c r="BF156" s="306"/>
      <c r="BG156" s="306"/>
      <c r="BH156" s="306"/>
      <c r="BI156" s="306"/>
    </row>
    <row r="157" spans="1:61" ht="16.2" customHeight="1">
      <c r="A157" s="573"/>
      <c r="B157" s="469"/>
      <c r="C157" s="3"/>
      <c r="D157" s="88"/>
      <c r="E157" s="4"/>
      <c r="F157" s="4"/>
      <c r="G157" s="6">
        <v>50</v>
      </c>
      <c r="H157" s="468"/>
      <c r="I157" s="468"/>
      <c r="J157" s="3">
        <f>C156+7.5</f>
        <v>3274.4500000000003</v>
      </c>
      <c r="K157" s="468" t="s">
        <v>1095</v>
      </c>
      <c r="L157" s="468"/>
      <c r="M157" s="468" t="str">
        <f>IF(L157="","",
IF(AX157="PT",VLOOKUP(L157,Foundation_Calc!$V$79:$X$112,VLOOKUP(AX157,Foundation_Calc!$I$10:$J$13,2,FALSE),0),
IF(AX157="K",VLOOKUP(L157,Foundation_Calc!$V$116:$X$149,VLOOKUP(AX157,Foundation_Calc!$I$10:$J$13,2,FALSE),0),"")))</f>
        <v/>
      </c>
      <c r="N157" s="468"/>
      <c r="O157" s="468"/>
      <c r="P157" s="468"/>
      <c r="Q157" s="4"/>
      <c r="R157" s="6"/>
      <c r="S157" s="6"/>
      <c r="T157" s="4"/>
      <c r="U157" s="4"/>
      <c r="V157" s="4"/>
      <c r="W157" s="9"/>
      <c r="X157" s="9"/>
      <c r="Y157" s="9"/>
      <c r="Z157" s="9"/>
      <c r="AA157" s="9"/>
      <c r="AB157" s="9"/>
      <c r="AC157" s="468" t="str">
        <f t="shared" si="14"/>
        <v/>
      </c>
      <c r="AD157" s="468"/>
      <c r="AE157" s="468"/>
      <c r="AF157" s="4"/>
      <c r="AG157" s="88"/>
      <c r="AH157" s="4"/>
      <c r="AI157" s="4"/>
      <c r="AJ157" s="468"/>
      <c r="AK157" s="468"/>
      <c r="AL157" s="468"/>
      <c r="AM157" s="468"/>
      <c r="AN157" s="10"/>
      <c r="AO157" s="9"/>
      <c r="AP157" s="9"/>
      <c r="AQ157" s="9">
        <f>+FL_2($T$158,$T$156,$G$157,1200,9.28, 1*$F$158)</f>
        <v>-0.39489941866666661</v>
      </c>
      <c r="AR157" s="9"/>
      <c r="AS157" s="9"/>
      <c r="AT157" s="9"/>
      <c r="AU157" s="447"/>
      <c r="AV157" s="447"/>
      <c r="AW157" s="468" t="str">
        <f>IF(C157&gt;0,VLOOKUP(C157,Foundation_Calc!$A$2:$C$13,3,1),
IF(J157&gt;0,VLOOKUP(J157,Foundation_Calc!$A$2:$C$13,3,1),""))</f>
        <v>MultiSoil</v>
      </c>
      <c r="AX157" s="468" t="str">
        <f>IF(C157&gt;0,VLOOKUP(C157,Foundation_Calc!$E$2:$G$13,3,1),
IF(J157&gt;0,VLOOKUP(J157,Foundation_Calc!$E$2:$G$13,3,1),""))</f>
        <v>PT</v>
      </c>
      <c r="AY157" s="10" t="str">
        <f>IF(L157="","",
IF(AX157="PT",VLOOKUP(L157,Foundation_Calc!$K$79:$R$112,VLOOKUP(AW157,Foundation_Calc!$I$2:$J$8,2,FALSE),0),
IF(AX157="K",VLOOKUP(L157,Foundation_Calc!$K$116:$R$149,VLOOKUP(AW157,Foundation_Calc!$I$2:$J$8,2,FALSE),0),"")))</f>
        <v/>
      </c>
      <c r="AZ157" s="10">
        <f>IF(K157="","",
IF(AX157="PT",VLOOKUP(K157,Foundation_Calc!$K$79:$R$112,VLOOKUP(AW157,Foundation_Calc!$I$2:$J$8,2,FALSE),0),
IF(AX157="K",VLOOKUP(K157,Foundation_Calc!$K$116:$R$149,VLOOKUP(AW157,Foundation_Calc!$I$2:$J$8,2,FALSE),0),"")))</f>
        <v>3.9</v>
      </c>
      <c r="BA157" s="553" t="str">
        <f t="shared" si="15"/>
        <v/>
      </c>
      <c r="BB157" s="553" t="str">
        <f t="shared" si="15"/>
        <v>ü</v>
      </c>
      <c r="BC157" s="553" t="str">
        <f t="shared" si="16"/>
        <v/>
      </c>
      <c r="BD157" s="572" t="str">
        <f>IF(AND(L157="",H157=""),"",
IF(H157="",Pole_Calc!A$9,
IF(H157="MP",Pole_Calc!A$10,
IF(H157="AnMP",Pole_Calc!A$11,
IF(H157="A",Pole_Calc!A$12,
IF(H157="S/A",Pole_Calc!A$13,
IF(H157="A/S",Pole_Calc!A$14,"Poner a mano")))))))</f>
        <v/>
      </c>
      <c r="BE157" s="448" t="s">
        <v>1726</v>
      </c>
      <c r="BF157" s="305"/>
      <c r="BG157" s="305"/>
      <c r="BH157" s="306"/>
      <c r="BI157" s="305"/>
    </row>
    <row r="158" spans="1:61" ht="26.4">
      <c r="A158" s="573"/>
      <c r="B158" s="469" t="s">
        <v>1932</v>
      </c>
      <c r="C158" s="3">
        <f>+$C$156+$G$157</f>
        <v>3316.9500000000003</v>
      </c>
      <c r="D158" s="88"/>
      <c r="E158" s="4"/>
      <c r="F158" s="4">
        <v>0</v>
      </c>
      <c r="G158" s="6"/>
      <c r="H158" s="468" t="s">
        <v>1740</v>
      </c>
      <c r="I158" s="467" t="s">
        <v>2378</v>
      </c>
      <c r="J158" s="3"/>
      <c r="K158" s="468"/>
      <c r="L158" s="468" t="s">
        <v>449</v>
      </c>
      <c r="M158" s="468" t="str">
        <f>IF(L158="","",
IF(AX158="PT",VLOOKUP(L158,Foundation_Calc!$V$79:$X$112,VLOOKUP(AX158,Foundation_Calc!$I$10:$J$13,2,FALSE),0),
IF(AX158="K",VLOOKUP(L158,Foundation_Calc!$V$116:$X$149,VLOOKUP(AX158,Foundation_Calc!$I$10:$J$13,2,FALSE),0),"")))</f>
        <v>2C4R</v>
      </c>
      <c r="N158" s="468" t="s">
        <v>32</v>
      </c>
      <c r="O158" s="468"/>
      <c r="P158" s="468"/>
      <c r="Q158" s="4"/>
      <c r="R158" s="6"/>
      <c r="S158" s="6"/>
      <c r="T158" s="4">
        <v>-35</v>
      </c>
      <c r="U158" s="4"/>
      <c r="V158" s="4"/>
      <c r="W158" s="9">
        <v>1.4</v>
      </c>
      <c r="X158" s="9"/>
      <c r="Y158" s="9"/>
      <c r="Z158" s="9"/>
      <c r="AA158" s="9"/>
      <c r="AB158" s="9"/>
      <c r="AC158" s="468" t="str">
        <f t="shared" si="14"/>
        <v>PH</v>
      </c>
      <c r="AD158" s="468"/>
      <c r="AE158" s="468"/>
      <c r="AF158" s="4"/>
      <c r="AG158" s="88"/>
      <c r="AH158" s="4"/>
      <c r="AI158" s="4"/>
      <c r="AJ158" s="468"/>
      <c r="AK158" s="468"/>
      <c r="AL158" s="468"/>
      <c r="AM158" s="468" t="s">
        <v>486</v>
      </c>
      <c r="AN158" s="10">
        <v>5.5</v>
      </c>
      <c r="AO158" s="9"/>
      <c r="AP158" s="9"/>
      <c r="AQ158" s="9"/>
      <c r="AR158" s="9"/>
      <c r="AS158" s="9"/>
      <c r="AT158" s="9">
        <f>+ab($T$158,$T$156,$U$160,$G$157,$G$159, 1*$F$158,1200)</f>
        <v>-12.586438809034499</v>
      </c>
      <c r="AU158" s="447"/>
      <c r="AV158" s="447"/>
      <c r="AW158" s="468" t="str">
        <f>IF(C158&gt;0,VLOOKUP(C158,Foundation_Calc!$A$2:$C$13,3,1),
IF(J158&gt;0,VLOOKUP(J158,Foundation_Calc!$A$2:$C$13,3,1),""))</f>
        <v>MultiSoil</v>
      </c>
      <c r="AX158" s="468" t="str">
        <f>IF(C158&gt;0,VLOOKUP(C158,Foundation_Calc!$E$2:$G$13,3,1),
IF(J158&gt;0,VLOOKUP(J158,Foundation_Calc!$E$2:$G$13,3,1),""))</f>
        <v>PT</v>
      </c>
      <c r="AY158" s="10">
        <f>IF(L158="","",
IF(AX158="PT",VLOOKUP(L158,Foundation_Calc!$K$79:$R$112,VLOOKUP(AW158,Foundation_Calc!$I$2:$J$8,2,FALSE),0),
IF(AX158="K",VLOOKUP(L158,Foundation_Calc!$K$116:$R$149,VLOOKUP(AW158,Foundation_Calc!$I$2:$J$8,2,FALSE),0),"")))</f>
        <v>4</v>
      </c>
      <c r="AZ158" s="10" t="str">
        <f>IF(K158="","",
IF(AX158="PT",VLOOKUP(K158,Foundation_Calc!$K$79:$R$112,VLOOKUP(AW158,Foundation_Calc!$I$2:$J$8,2,FALSE),0),
IF(AX158="K",VLOOKUP(K158,Foundation_Calc!$K$116:$R$149,VLOOKUP(AW158,Foundation_Calc!$I$2:$J$8,2,FALSE),0),"")))</f>
        <v/>
      </c>
      <c r="BA158" s="553" t="str">
        <f t="shared" si="15"/>
        <v>ü</v>
      </c>
      <c r="BB158" s="553" t="str">
        <f t="shared" si="15"/>
        <v/>
      </c>
      <c r="BC158" s="553" t="str">
        <f t="shared" si="16"/>
        <v/>
      </c>
      <c r="BD158" s="572" t="str">
        <f>Pole_Calc!A$167</f>
        <v>App.7-V11H-P9.5.15.2</v>
      </c>
      <c r="BE158" s="448" t="s">
        <v>1726</v>
      </c>
      <c r="BF158" s="306"/>
      <c r="BG158" s="306"/>
      <c r="BH158" s="306"/>
      <c r="BI158" s="306"/>
    </row>
    <row r="159" spans="1:61" ht="16.2" customHeight="1">
      <c r="A159" s="573"/>
      <c r="B159" s="469"/>
      <c r="C159" s="3"/>
      <c r="D159" s="88"/>
      <c r="E159" s="4"/>
      <c r="F159" s="4"/>
      <c r="G159" s="6">
        <v>50</v>
      </c>
      <c r="H159" s="468"/>
      <c r="I159" s="468"/>
      <c r="J159" s="3"/>
      <c r="K159" s="468"/>
      <c r="L159" s="468"/>
      <c r="M159" s="468" t="str">
        <f>IF(L159="","",
IF(AX159="PT",VLOOKUP(L159,Foundation_Calc!$V$79:$X$112,VLOOKUP(AX159,Foundation_Calc!$I$10:$J$13,2,FALSE),0),
IF(AX159="K",VLOOKUP(L159,Foundation_Calc!$V$116:$X$149,VLOOKUP(AX159,Foundation_Calc!$I$10:$J$13,2,FALSE),0),"")))</f>
        <v/>
      </c>
      <c r="N159" s="468"/>
      <c r="O159" s="468"/>
      <c r="P159" s="468"/>
      <c r="Q159" s="4"/>
      <c r="R159" s="6"/>
      <c r="S159" s="6"/>
      <c r="T159" s="4"/>
      <c r="U159" s="4"/>
      <c r="V159" s="4"/>
      <c r="W159" s="9"/>
      <c r="X159" s="9"/>
      <c r="Y159" s="9"/>
      <c r="Z159" s="9"/>
      <c r="AA159" s="9"/>
      <c r="AB159" s="9"/>
      <c r="AC159" s="468" t="str">
        <f t="shared" si="14"/>
        <v/>
      </c>
      <c r="AD159" s="468"/>
      <c r="AE159" s="468"/>
      <c r="AF159" s="4"/>
      <c r="AG159" s="88"/>
      <c r="AH159" s="4"/>
      <c r="AI159" s="4"/>
      <c r="AJ159" s="468"/>
      <c r="AK159" s="468"/>
      <c r="AL159" s="468"/>
      <c r="AM159" s="468"/>
      <c r="AN159" s="10"/>
      <c r="AO159" s="9"/>
      <c r="AP159" s="9"/>
      <c r="AQ159" s="9">
        <f>+FL_2($U$160,$T$158,$G$159,1200,9.28, 1*$F$160)</f>
        <v>-0.4205004946515411</v>
      </c>
      <c r="AR159" s="9"/>
      <c r="AS159" s="9"/>
      <c r="AT159" s="9"/>
      <c r="AU159" s="447"/>
      <c r="AV159" s="447"/>
      <c r="AW159" s="468" t="str">
        <f>IF(C159&gt;0,VLOOKUP(C159,Foundation_Calc!$A$2:$C$13,3,1),
IF(J159&gt;0,VLOOKUP(J159,Foundation_Calc!$A$2:$C$13,3,1),""))</f>
        <v/>
      </c>
      <c r="AX159" s="468" t="str">
        <f>IF(C159&gt;0,VLOOKUP(C159,Foundation_Calc!$E$2:$G$13,3,1),
IF(J159&gt;0,VLOOKUP(J159,Foundation_Calc!$E$2:$G$13,3,1),""))</f>
        <v/>
      </c>
      <c r="AY159" s="10" t="str">
        <f>IF(L159="","",
IF(AX159="PT",VLOOKUP(L159,Foundation_Calc!$K$79:$R$112,VLOOKUP(AW159,Foundation_Calc!$I$2:$J$8,2,FALSE),0),
IF(AX159="K",VLOOKUP(L159,Foundation_Calc!$K$116:$R$149,VLOOKUP(AW159,Foundation_Calc!$I$2:$J$8,2,FALSE),0),"")))</f>
        <v/>
      </c>
      <c r="AZ159" s="10" t="str">
        <f>IF(K159="","",
IF(AX159="PT",VLOOKUP(K159,Foundation_Calc!$K$79:$R$112,VLOOKUP(AW159,Foundation_Calc!$I$2:$J$8,2,FALSE),0),
IF(AX159="K",VLOOKUP(K159,Foundation_Calc!$K$116:$R$149,VLOOKUP(AW159,Foundation_Calc!$I$2:$J$8,2,FALSE),0),"")))</f>
        <v/>
      </c>
      <c r="BA159" s="553" t="str">
        <f t="shared" si="15"/>
        <v/>
      </c>
      <c r="BB159" s="553" t="str">
        <f t="shared" si="15"/>
        <v/>
      </c>
      <c r="BC159" s="553" t="str">
        <f t="shared" si="16"/>
        <v/>
      </c>
      <c r="BD159" s="572" t="str">
        <f>IF(AND(L159="",H159=""),"",
IF(H159="",Pole_Calc!A$9,
IF(H159="MP",Pole_Calc!A$10,
IF(H159="AnMP",Pole_Calc!A$11,
IF(H159="A",Pole_Calc!A$12,
IF(H159="S/A",Pole_Calc!A$13,
IF(H159="A/S",Pole_Calc!A$14,"Poner a mano")))))))</f>
        <v/>
      </c>
      <c r="BE159" s="448" t="s">
        <v>1726</v>
      </c>
      <c r="BF159" s="305"/>
      <c r="BG159" s="305"/>
      <c r="BH159" s="306"/>
      <c r="BI159" s="305"/>
    </row>
    <row r="160" spans="1:61" ht="16.2" customHeight="1">
      <c r="A160" s="573" t="s">
        <v>2379</v>
      </c>
      <c r="B160" s="469" t="s">
        <v>1933</v>
      </c>
      <c r="C160" s="3">
        <f>+$C$158+$G$159</f>
        <v>3366.9500000000003</v>
      </c>
      <c r="D160" s="88"/>
      <c r="E160" s="4"/>
      <c r="F160" s="4">
        <v>-3576.84</v>
      </c>
      <c r="G160" s="6"/>
      <c r="H160" s="468" t="s">
        <v>179</v>
      </c>
      <c r="I160" s="468" t="s">
        <v>653</v>
      </c>
      <c r="J160" s="3"/>
      <c r="K160" s="468"/>
      <c r="L160" s="468" t="s">
        <v>448</v>
      </c>
      <c r="M160" s="468" t="str">
        <f>IF(L160="","",
IF(AX160="PT",VLOOKUP(L160,Foundation_Calc!$V$79:$X$112,VLOOKUP(AX160,Foundation_Calc!$I$10:$J$13,2,FALSE),0),
IF(AX160="K",VLOOKUP(L160,Foundation_Calc!$V$116:$X$149,VLOOKUP(AX160,Foundation_Calc!$I$10:$J$13,2,FALSE),0),"")))</f>
        <v>2C3R</v>
      </c>
      <c r="N160" s="468" t="s">
        <v>28</v>
      </c>
      <c r="O160" s="468" t="s">
        <v>33</v>
      </c>
      <c r="P160" s="468"/>
      <c r="Q160" s="4"/>
      <c r="R160" s="6"/>
      <c r="S160" s="6"/>
      <c r="T160" s="4">
        <v>30</v>
      </c>
      <c r="U160" s="4">
        <v>-15</v>
      </c>
      <c r="V160" s="4"/>
      <c r="W160" s="9">
        <v>1.4</v>
      </c>
      <c r="X160" s="9">
        <v>2.2999999999999998</v>
      </c>
      <c r="Y160" s="9"/>
      <c r="Z160" s="9">
        <v>0.5</v>
      </c>
      <c r="AA160" s="9"/>
      <c r="AB160" s="9"/>
      <c r="AC160" s="468"/>
      <c r="AD160" s="468"/>
      <c r="AE160" s="468"/>
      <c r="AF160" s="4"/>
      <c r="AG160" s="88"/>
      <c r="AH160" s="4"/>
      <c r="AI160" s="4"/>
      <c r="AJ160" s="468" t="s">
        <v>1162</v>
      </c>
      <c r="AK160" s="468"/>
      <c r="AL160" s="468"/>
      <c r="AM160" s="468" t="s">
        <v>486</v>
      </c>
      <c r="AN160" s="10">
        <v>5.5</v>
      </c>
      <c r="AO160" s="9"/>
      <c r="AP160" s="9"/>
      <c r="AQ160" s="9"/>
      <c r="AR160" s="9"/>
      <c r="AS160" s="9"/>
      <c r="AT160" s="9">
        <f>+ab($U$160,$T$158,$U$162,$G$159,$G$161, 1*$F$160,1200)</f>
        <v>-26.819509937357545</v>
      </c>
      <c r="AU160" s="447"/>
      <c r="AV160" s="447"/>
      <c r="AW160" s="468" t="str">
        <f>IF(C160&gt;0,VLOOKUP(C160,Foundation_Calc!$A$2:$C$13,3,1),
IF(J160&gt;0,VLOOKUP(J160,Foundation_Calc!$A$2:$C$13,3,1),""))</f>
        <v>MultiSoil</v>
      </c>
      <c r="AX160" s="468" t="str">
        <f>IF(C160&gt;0,VLOOKUP(C160,Foundation_Calc!$E$2:$G$13,3,1),
IF(J160&gt;0,VLOOKUP(J160,Foundation_Calc!$E$2:$G$13,3,1),""))</f>
        <v>PT</v>
      </c>
      <c r="AY160" s="10">
        <f>IF(L160="","",
IF(AX160="PT",VLOOKUP(L160,Foundation_Calc!$K$79:$R$112,VLOOKUP(AW160,Foundation_Calc!$I$2:$J$8,2,FALSE),0),
IF(AX160="K",VLOOKUP(L160,Foundation_Calc!$K$116:$R$149,VLOOKUP(AW160,Foundation_Calc!$I$2:$J$8,2,FALSE),0),"")))</f>
        <v>3.7</v>
      </c>
      <c r="AZ160" s="10" t="str">
        <f>IF(K160="","",
IF(AX160="PT",VLOOKUP(K160,Foundation_Calc!$K$79:$R$112,VLOOKUP(AW160,Foundation_Calc!$I$2:$J$8,2,FALSE),0),
IF(AX160="K",VLOOKUP(K160,Foundation_Calc!$K$116:$R$149,VLOOKUP(AW160,Foundation_Calc!$I$2:$J$8,2,FALSE),0),"")))</f>
        <v/>
      </c>
      <c r="BA160" s="553" t="str">
        <f t="shared" si="15"/>
        <v>ü</v>
      </c>
      <c r="BB160" s="553" t="str">
        <f t="shared" si="15"/>
        <v/>
      </c>
      <c r="BC160" s="553" t="str">
        <f t="shared" si="16"/>
        <v/>
      </c>
      <c r="BD160" s="572" t="str">
        <f>IF(AND(L160="",H160=""),"",
IF(H160="",Pole_Calc!A$9,
IF(H160="MP",Pole_Calc!A$10,
IF(H160="AnMP",Pole_Calc!A$11,
IF(H160="A",Pole_Calc!A$12,
IF(H160="S/A",Pole_Calc!A$13,
IF(H160="A/S",Pole_Calc!A$14,"Poner a mano")))))))</f>
        <v>App.7-V11H-P9.5.1.5</v>
      </c>
      <c r="BE160" s="448" t="s">
        <v>1726</v>
      </c>
      <c r="BF160" s="306"/>
      <c r="BG160" s="306"/>
      <c r="BH160" s="306"/>
      <c r="BI160" s="306"/>
    </row>
    <row r="161" spans="1:61" ht="16.2" customHeight="1">
      <c r="A161" s="573"/>
      <c r="B161" s="469"/>
      <c r="C161" s="3"/>
      <c r="D161" s="88"/>
      <c r="E161" s="4"/>
      <c r="F161" s="4"/>
      <c r="G161" s="6">
        <v>53</v>
      </c>
      <c r="H161" s="468"/>
      <c r="I161" s="468"/>
      <c r="J161" s="3"/>
      <c r="K161" s="468"/>
      <c r="L161" s="468"/>
      <c r="M161" s="468" t="str">
        <f>IF(L161="","",
IF(AX161="PT",VLOOKUP(L161,Foundation_Calc!$V$79:$X$112,VLOOKUP(AX161,Foundation_Calc!$I$10:$J$13,2,FALSE),0),
IF(AX161="K",VLOOKUP(L161,Foundation_Calc!$V$116:$X$149,VLOOKUP(AX161,Foundation_Calc!$I$10:$J$13,2,FALSE),0),"")))</f>
        <v/>
      </c>
      <c r="N161" s="468"/>
      <c r="O161" s="468"/>
      <c r="P161" s="468"/>
      <c r="Q161" s="4"/>
      <c r="R161" s="6"/>
      <c r="S161" s="6"/>
      <c r="T161" s="4"/>
      <c r="U161" s="4"/>
      <c r="V161" s="4"/>
      <c r="W161" s="9"/>
      <c r="X161" s="9"/>
      <c r="Y161" s="9"/>
      <c r="Z161" s="9"/>
      <c r="AA161" s="9"/>
      <c r="AB161" s="9"/>
      <c r="AC161" s="468" t="str">
        <f t="shared" si="14"/>
        <v/>
      </c>
      <c r="AD161" s="468"/>
      <c r="AE161" s="468"/>
      <c r="AF161" s="4"/>
      <c r="AG161" s="88"/>
      <c r="AH161" s="4"/>
      <c r="AI161" s="4"/>
      <c r="AJ161" s="468"/>
      <c r="AK161" s="468"/>
      <c r="AL161" s="468"/>
      <c r="AM161" s="468"/>
      <c r="AN161" s="10"/>
      <c r="AO161" s="9"/>
      <c r="AP161" s="9"/>
      <c r="AQ161" s="9">
        <f>+FL_1($T$162,$U$160,$G$161,1200,9.28, 1*$F$162)</f>
        <v>0.41520479132965904</v>
      </c>
      <c r="AR161" s="9"/>
      <c r="AS161" s="9"/>
      <c r="AT161" s="9"/>
      <c r="AU161" s="447"/>
      <c r="AV161" s="447"/>
      <c r="AW161" s="468" t="str">
        <f>IF(C161&gt;0,VLOOKUP(C161,Foundation_Calc!$A$2:$C$13,3,1),
IF(J161&gt;0,VLOOKUP(J161,Foundation_Calc!$A$2:$C$13,3,1),""))</f>
        <v/>
      </c>
      <c r="AX161" s="468" t="str">
        <f>IF(C161&gt;0,VLOOKUP(C161,Foundation_Calc!$E$2:$G$13,3,1),
IF(J161&gt;0,VLOOKUP(J161,Foundation_Calc!$E$2:$G$13,3,1),""))</f>
        <v/>
      </c>
      <c r="AY161" s="10" t="str">
        <f>IF(L161="","",
IF(AX161="PT",VLOOKUP(L161,Foundation_Calc!$K$79:$R$112,VLOOKUP(AW161,Foundation_Calc!$I$2:$J$8,2,FALSE),0),
IF(AX161="K",VLOOKUP(L161,Foundation_Calc!$K$116:$R$149,VLOOKUP(AW161,Foundation_Calc!$I$2:$J$8,2,FALSE),0),"")))</f>
        <v/>
      </c>
      <c r="AZ161" s="10" t="str">
        <f>IF(K161="","",
IF(AX161="PT",VLOOKUP(K161,Foundation_Calc!$K$79:$R$112,VLOOKUP(AW161,Foundation_Calc!$I$2:$J$8,2,FALSE),0),
IF(AX161="K",VLOOKUP(K161,Foundation_Calc!$K$116:$R$149,VLOOKUP(AW161,Foundation_Calc!$I$2:$J$8,2,FALSE),0),"")))</f>
        <v/>
      </c>
      <c r="BA161" s="553" t="str">
        <f t="shared" si="15"/>
        <v/>
      </c>
      <c r="BB161" s="553" t="str">
        <f t="shared" si="15"/>
        <v/>
      </c>
      <c r="BC161" s="553" t="str">
        <f t="shared" si="16"/>
        <v/>
      </c>
      <c r="BD161" s="572" t="str">
        <f>IF(AND(L161="",H161=""),"",
IF(H161="",Pole_Calc!A$9,
IF(H161="MP",Pole_Calc!A$10,
IF(H161="AnMP",Pole_Calc!A$11,
IF(H161="A",Pole_Calc!A$12,
IF(H161="S/A",Pole_Calc!A$13,
IF(H161="A/S",Pole_Calc!A$14,"Poner a mano")))))))</f>
        <v/>
      </c>
      <c r="BE161" s="448" t="s">
        <v>1726</v>
      </c>
      <c r="BF161" s="305"/>
      <c r="BG161" s="305"/>
      <c r="BH161" s="306"/>
      <c r="BI161" s="305"/>
    </row>
    <row r="162" spans="1:61" ht="16.2" customHeight="1">
      <c r="A162" s="573"/>
      <c r="B162" s="469" t="s">
        <v>1934</v>
      </c>
      <c r="C162" s="3">
        <f>+$C$160+$G$161</f>
        <v>3419.9500000000003</v>
      </c>
      <c r="D162" s="88"/>
      <c r="E162" s="4"/>
      <c r="F162" s="4">
        <v>-2200</v>
      </c>
      <c r="G162" s="6"/>
      <c r="H162" s="468" t="s">
        <v>179</v>
      </c>
      <c r="I162" s="468"/>
      <c r="J162" s="3"/>
      <c r="K162" s="468"/>
      <c r="L162" s="468" t="s">
        <v>448</v>
      </c>
      <c r="M162" s="468" t="str">
        <f>IF(L162="","",
IF(AX162="PT",VLOOKUP(L162,Foundation_Calc!$V$79:$X$112,VLOOKUP(AX162,Foundation_Calc!$I$10:$J$13,2,FALSE),0),
IF(AX162="K",VLOOKUP(L162,Foundation_Calc!$V$116:$X$149,VLOOKUP(AX162,Foundation_Calc!$I$10:$J$13,2,FALSE),0),"")))</f>
        <v>2C3R</v>
      </c>
      <c r="N162" s="468" t="s">
        <v>32</v>
      </c>
      <c r="O162" s="468" t="s">
        <v>28</v>
      </c>
      <c r="P162" s="468"/>
      <c r="Q162" s="4"/>
      <c r="R162" s="6"/>
      <c r="S162" s="6"/>
      <c r="T162" s="4">
        <v>10</v>
      </c>
      <c r="U162" s="4">
        <v>-35</v>
      </c>
      <c r="V162" s="4"/>
      <c r="W162" s="9">
        <v>1.4</v>
      </c>
      <c r="X162" s="9">
        <v>2.2999999999999998</v>
      </c>
      <c r="Y162" s="9"/>
      <c r="Z162" s="9"/>
      <c r="AA162" s="9">
        <v>0.5</v>
      </c>
      <c r="AB162" s="9"/>
      <c r="AC162" s="468" t="str">
        <f t="shared" si="14"/>
        <v>PH</v>
      </c>
      <c r="AD162" s="468"/>
      <c r="AE162" s="468"/>
      <c r="AF162" s="4"/>
      <c r="AG162" s="88"/>
      <c r="AH162" s="4"/>
      <c r="AI162" s="4"/>
      <c r="AJ162" s="468"/>
      <c r="AK162" s="468"/>
      <c r="AL162" s="468"/>
      <c r="AM162" s="468" t="s">
        <v>486</v>
      </c>
      <c r="AN162" s="10">
        <v>5.5</v>
      </c>
      <c r="AO162" s="9"/>
      <c r="AP162" s="9"/>
      <c r="AQ162" s="9"/>
      <c r="AR162" s="9"/>
      <c r="AS162" s="9"/>
      <c r="AT162" s="9">
        <f>+ab($T$162,$T$160,$T$164,$G$161,$G$163, 1*$F$162,1200)</f>
        <v>-9.360600457366834</v>
      </c>
      <c r="AU162" s="447"/>
      <c r="AV162" s="447"/>
      <c r="AW162" s="468" t="str">
        <f>IF(C162&gt;0,VLOOKUP(C162,Foundation_Calc!$A$2:$C$13,3,1),
IF(J162&gt;0,VLOOKUP(J162,Foundation_Calc!$A$2:$C$13,3,1),""))</f>
        <v>MultiSoil</v>
      </c>
      <c r="AX162" s="468" t="str">
        <f>IF(C162&gt;0,VLOOKUP(C162,Foundation_Calc!$E$2:$G$13,3,1),
IF(J162&gt;0,VLOOKUP(J162,Foundation_Calc!$E$2:$G$13,3,1),""))</f>
        <v>PT</v>
      </c>
      <c r="AY162" s="10">
        <f>IF(L162="","",
IF(AX162="PT",VLOOKUP(L162,Foundation_Calc!$K$79:$R$112,VLOOKUP(AW162,Foundation_Calc!$I$2:$J$8,2,FALSE),0),
IF(AX162="K",VLOOKUP(L162,Foundation_Calc!$K$116:$R$149,VLOOKUP(AW162,Foundation_Calc!$I$2:$J$8,2,FALSE),0),"")))</f>
        <v>3.7</v>
      </c>
      <c r="AZ162" s="10" t="str">
        <f>IF(K162="","",
IF(AX162="PT",VLOOKUP(K162,Foundation_Calc!$K$79:$R$112,VLOOKUP(AW162,Foundation_Calc!$I$2:$J$8,2,FALSE),0),
IF(AX162="K",VLOOKUP(K162,Foundation_Calc!$K$116:$R$149,VLOOKUP(AW162,Foundation_Calc!$I$2:$J$8,2,FALSE),0),"")))</f>
        <v/>
      </c>
      <c r="BA162" s="553" t="str">
        <f t="shared" si="15"/>
        <v>ü</v>
      </c>
      <c r="BB162" s="553" t="str">
        <f t="shared" si="15"/>
        <v/>
      </c>
      <c r="BC162" s="553" t="str">
        <f t="shared" si="16"/>
        <v/>
      </c>
      <c r="BD162" s="572" t="str">
        <f>IF(AND(L162="",H162=""),"",
IF(H162="",Pole_Calc!A$9,
IF(H162="MP",Pole_Calc!A$10,
IF(H162="AnMP",Pole_Calc!A$11,
IF(H162="A",Pole_Calc!A$12,
IF(H162="S/A",Pole_Calc!A$13,
IF(H162="A/S",Pole_Calc!A$14,"Poner a mano")))))))</f>
        <v>App.7-V11H-P9.5.1.5</v>
      </c>
      <c r="BE162" s="448" t="s">
        <v>1726</v>
      </c>
      <c r="BF162" s="306"/>
      <c r="BG162" s="306"/>
      <c r="BH162" s="306"/>
      <c r="BI162" s="306"/>
    </row>
    <row r="163" spans="1:61" ht="16.2" customHeight="1">
      <c r="A163" s="573"/>
      <c r="B163" s="469"/>
      <c r="C163" s="3"/>
      <c r="D163" s="88"/>
      <c r="E163" s="4"/>
      <c r="F163" s="4"/>
      <c r="G163" s="6">
        <v>53</v>
      </c>
      <c r="H163" s="468"/>
      <c r="I163" s="468"/>
      <c r="J163" s="3"/>
      <c r="K163" s="468"/>
      <c r="L163" s="468"/>
      <c r="M163" s="468" t="str">
        <f>IF(L163="","",
IF(AX163="PT",VLOOKUP(L163,Foundation_Calc!$V$79:$X$112,VLOOKUP(AX163,Foundation_Calc!$I$10:$J$13,2,FALSE),0),
IF(AX163="K",VLOOKUP(L163,Foundation_Calc!$V$116:$X$149,VLOOKUP(AX163,Foundation_Calc!$I$10:$J$13,2,FALSE),0),"")))</f>
        <v/>
      </c>
      <c r="N163" s="468"/>
      <c r="O163" s="468"/>
      <c r="P163" s="468"/>
      <c r="Q163" s="4"/>
      <c r="R163" s="6"/>
      <c r="S163" s="6"/>
      <c r="T163" s="4"/>
      <c r="U163" s="4"/>
      <c r="V163" s="4"/>
      <c r="W163" s="9"/>
      <c r="X163" s="9"/>
      <c r="Y163" s="9"/>
      <c r="Z163" s="9"/>
      <c r="AA163" s="9"/>
      <c r="AB163" s="9"/>
      <c r="AC163" s="468" t="str">
        <f t="shared" si="14"/>
        <v/>
      </c>
      <c r="AD163" s="468"/>
      <c r="AE163" s="468"/>
      <c r="AF163" s="4"/>
      <c r="AG163" s="88"/>
      <c r="AH163" s="4"/>
      <c r="AI163" s="4"/>
      <c r="AJ163" s="468"/>
      <c r="AK163" s="468"/>
      <c r="AL163" s="468"/>
      <c r="AM163" s="468"/>
      <c r="AN163" s="10"/>
      <c r="AO163" s="9"/>
      <c r="AP163" s="9"/>
      <c r="AQ163" s="9">
        <f>+FL_1($T$164,$T$162,$G$163,1200,9.28, 1*$F$164)</f>
        <v>0.3543384938365684</v>
      </c>
      <c r="AR163" s="9"/>
      <c r="AS163" s="9"/>
      <c r="AT163" s="9"/>
      <c r="AU163" s="447"/>
      <c r="AV163" s="447"/>
      <c r="AW163" s="468" t="str">
        <f>IF(C163&gt;0,VLOOKUP(C163,Foundation_Calc!$A$2:$C$13,3,1),
IF(J163&gt;0,VLOOKUP(J163,Foundation_Calc!$A$2:$C$13,3,1),""))</f>
        <v/>
      </c>
      <c r="AX163" s="468" t="str">
        <f>IF(C163&gt;0,VLOOKUP(C163,Foundation_Calc!$E$2:$G$13,3,1),
IF(J163&gt;0,VLOOKUP(J163,Foundation_Calc!$E$2:$G$13,3,1),""))</f>
        <v/>
      </c>
      <c r="AY163" s="10" t="str">
        <f>IF(L163="","",
IF(AX163="PT",VLOOKUP(L163,Foundation_Calc!$K$79:$R$112,VLOOKUP(AW163,Foundation_Calc!$I$2:$J$8,2,FALSE),0),
IF(AX163="K",VLOOKUP(L163,Foundation_Calc!$K$116:$R$149,VLOOKUP(AW163,Foundation_Calc!$I$2:$J$8,2,FALSE),0),"")))</f>
        <v/>
      </c>
      <c r="AZ163" s="10" t="str">
        <f>IF(K163="","",
IF(AX163="PT",VLOOKUP(K163,Foundation_Calc!$K$79:$R$112,VLOOKUP(AW163,Foundation_Calc!$I$2:$J$8,2,FALSE),0),
IF(AX163="K",VLOOKUP(K163,Foundation_Calc!$K$116:$R$149,VLOOKUP(AW163,Foundation_Calc!$I$2:$J$8,2,FALSE),0),"")))</f>
        <v/>
      </c>
      <c r="BA163" s="553" t="str">
        <f t="shared" si="15"/>
        <v/>
      </c>
      <c r="BB163" s="553" t="str">
        <f t="shared" si="15"/>
        <v/>
      </c>
      <c r="BC163" s="553" t="str">
        <f t="shared" si="16"/>
        <v/>
      </c>
      <c r="BD163" s="572" t="str">
        <f>IF(AND(L163="",H163=""),"",
IF(H163="",Pole_Calc!A$9,
IF(H163="MP",Pole_Calc!A$10,
IF(H163="AnMP",Pole_Calc!A$11,
IF(H163="A",Pole_Calc!A$12,
IF(H163="S/A",Pole_Calc!A$13,
IF(H163="A/S",Pole_Calc!A$14,"Poner a mano")))))))</f>
        <v/>
      </c>
      <c r="BE163" s="448" t="s">
        <v>1726</v>
      </c>
      <c r="BF163" s="305"/>
      <c r="BG163" s="305"/>
      <c r="BH163" s="306"/>
      <c r="BI163" s="305"/>
    </row>
    <row r="164" spans="1:61" ht="16.2" customHeight="1">
      <c r="A164" s="573"/>
      <c r="B164" s="469" t="s">
        <v>1935</v>
      </c>
      <c r="C164" s="3">
        <f>+$C$162+$G$163</f>
        <v>3472.9500000000003</v>
      </c>
      <c r="D164" s="88"/>
      <c r="E164" s="4"/>
      <c r="F164" s="4">
        <v>-2200</v>
      </c>
      <c r="G164" s="6"/>
      <c r="H164" s="468" t="s">
        <v>26</v>
      </c>
      <c r="I164" s="468" t="s">
        <v>182</v>
      </c>
      <c r="J164" s="3"/>
      <c r="K164" s="468"/>
      <c r="L164" s="468" t="s">
        <v>453</v>
      </c>
      <c r="M164" s="468" t="str">
        <f>IF(L164="","",
IF(AX164="PT",VLOOKUP(L164,Foundation_Calc!$V$79:$X$112,VLOOKUP(AX164,Foundation_Calc!$I$10:$J$13,2,FALSE),0),
IF(AX164="K",VLOOKUP(L164,Foundation_Calc!$V$116:$X$149,VLOOKUP(AX164,Foundation_Calc!$I$10:$J$13,2,FALSE),0),"")))</f>
        <v>C5R</v>
      </c>
      <c r="N164" s="468" t="s">
        <v>32</v>
      </c>
      <c r="O164" s="468"/>
      <c r="P164" s="468"/>
      <c r="Q164" s="4"/>
      <c r="R164" s="6"/>
      <c r="S164" s="6"/>
      <c r="T164" s="4">
        <v>-30</v>
      </c>
      <c r="U164" s="4"/>
      <c r="V164" s="4"/>
      <c r="W164" s="9">
        <v>1.4</v>
      </c>
      <c r="X164" s="9"/>
      <c r="Y164" s="9"/>
      <c r="Z164" s="9"/>
      <c r="AA164" s="9"/>
      <c r="AB164" s="9"/>
      <c r="AC164" s="468" t="str">
        <f t="shared" si="14"/>
        <v>PHQ</v>
      </c>
      <c r="AD164" s="468"/>
      <c r="AE164" s="468"/>
      <c r="AF164" s="4"/>
      <c r="AG164" s="88"/>
      <c r="AH164" s="4"/>
      <c r="AI164" s="4"/>
      <c r="AJ164" s="468"/>
      <c r="AK164" s="468"/>
      <c r="AL164" s="468"/>
      <c r="AM164" s="468" t="s">
        <v>486</v>
      </c>
      <c r="AN164" s="10">
        <v>5.5</v>
      </c>
      <c r="AO164" s="9"/>
      <c r="AP164" s="9"/>
      <c r="AQ164" s="9"/>
      <c r="AR164" s="9"/>
      <c r="AS164" s="9"/>
      <c r="AT164" s="9">
        <f>+ab($T$164,$T$162,$T$166,$G$163,$G$165, 1*$F$164,1200)</f>
        <v>-6.0427392071190447</v>
      </c>
      <c r="AU164" s="447"/>
      <c r="AV164" s="447"/>
      <c r="AW164" s="468" t="str">
        <f>IF(C164&gt;0,VLOOKUP(C164,Foundation_Calc!$A$2:$C$13,3,1),
IF(J164&gt;0,VLOOKUP(J164,Foundation_Calc!$A$2:$C$13,3,1),""))</f>
        <v>MultiSoil</v>
      </c>
      <c r="AX164" s="468" t="str">
        <f>IF(C164&gt;0,VLOOKUP(C164,Foundation_Calc!$E$2:$G$13,3,1),
IF(J164&gt;0,VLOOKUP(J164,Foundation_Calc!$E$2:$G$13,3,1),""))</f>
        <v>PT</v>
      </c>
      <c r="AY164" s="10">
        <f>IF(L164="","",
IF(AX164="PT",VLOOKUP(L164,Foundation_Calc!$K$79:$R$112,VLOOKUP(AW164,Foundation_Calc!$I$2:$J$8,2,FALSE),0),
IF(AX164="K",VLOOKUP(L164,Foundation_Calc!$K$116:$R$149,VLOOKUP(AW164,Foundation_Calc!$I$2:$J$8,2,FALSE),0),"")))</f>
        <v>3.5</v>
      </c>
      <c r="AZ164" s="10" t="str">
        <f>IF(K164="","",
IF(AX164="PT",VLOOKUP(K164,Foundation_Calc!$K$79:$R$112,VLOOKUP(AW164,Foundation_Calc!$I$2:$J$8,2,FALSE),0),
IF(AX164="K",VLOOKUP(K164,Foundation_Calc!$K$116:$R$149,VLOOKUP(AW164,Foundation_Calc!$I$2:$J$8,2,FALSE),0),"")))</f>
        <v/>
      </c>
      <c r="BA164" s="553" t="str">
        <f t="shared" si="15"/>
        <v>ü</v>
      </c>
      <c r="BB164" s="553" t="str">
        <f t="shared" si="15"/>
        <v/>
      </c>
      <c r="BC164" s="553" t="str">
        <f t="shared" si="16"/>
        <v/>
      </c>
      <c r="BD164" s="572" t="str">
        <f>IF(AND(L164="",H164=""),"",
IF(H164="",Pole_Calc!A$9,
IF(H164="MP",Pole_Calc!A$10,
IF(H164="AnMP",Pole_Calc!A$11,
IF(H164="A",Pole_Calc!A$12,
IF(H164="S/A",Pole_Calc!A$13,
IF(H164="A/S",Pole_Calc!A$14,"Poner a mano")))))))</f>
        <v>App.7-V11H-P9.5.1.6</v>
      </c>
      <c r="BE164" s="448" t="s">
        <v>1726</v>
      </c>
      <c r="BF164" s="306"/>
      <c r="BG164" s="306"/>
      <c r="BH164" s="306"/>
      <c r="BI164" s="306"/>
    </row>
    <row r="165" spans="1:61" ht="16.2" customHeight="1">
      <c r="A165" s="573"/>
      <c r="B165" s="469"/>
      <c r="C165" s="3"/>
      <c r="D165" s="88"/>
      <c r="E165" s="4"/>
      <c r="F165" s="4"/>
      <c r="G165" s="6">
        <v>53</v>
      </c>
      <c r="H165" s="468"/>
      <c r="I165" s="468"/>
      <c r="J165" s="3">
        <f>C164+7.5</f>
        <v>3480.4500000000003</v>
      </c>
      <c r="K165" s="468" t="s">
        <v>1095</v>
      </c>
      <c r="L165" s="468"/>
      <c r="M165" s="468" t="str">
        <f>IF(L165="","",
IF(AX165="PT",VLOOKUP(L165,Foundation_Calc!$V$79:$X$112,VLOOKUP(AX165,Foundation_Calc!$I$10:$J$13,2,FALSE),0),
IF(AX165="K",VLOOKUP(L165,Foundation_Calc!$V$116:$X$149,VLOOKUP(AX165,Foundation_Calc!$I$10:$J$13,2,FALSE),0),"")))</f>
        <v/>
      </c>
      <c r="N165" s="468"/>
      <c r="O165" s="468"/>
      <c r="P165" s="468"/>
      <c r="Q165" s="4"/>
      <c r="R165" s="6"/>
      <c r="S165" s="6"/>
      <c r="T165" s="4"/>
      <c r="U165" s="4"/>
      <c r="V165" s="4"/>
      <c r="W165" s="9"/>
      <c r="X165" s="9"/>
      <c r="Y165" s="9"/>
      <c r="Z165" s="9"/>
      <c r="AA165" s="9"/>
      <c r="AB165" s="9"/>
      <c r="AC165" s="468" t="str">
        <f t="shared" si="14"/>
        <v/>
      </c>
      <c r="AD165" s="468"/>
      <c r="AE165" s="468"/>
      <c r="AF165" s="4"/>
      <c r="AG165" s="88"/>
      <c r="AH165" s="4"/>
      <c r="AI165" s="4"/>
      <c r="AJ165" s="468"/>
      <c r="AK165" s="468"/>
      <c r="AL165" s="468"/>
      <c r="AM165" s="468"/>
      <c r="AN165" s="10"/>
      <c r="AO165" s="9"/>
      <c r="AP165" s="9"/>
      <c r="AQ165" s="9">
        <f>+FL_2($T$166,$T$164,$G$165,1200,9.28, 1*$F$166)</f>
        <v>-0.41192860422719213</v>
      </c>
      <c r="AR165" s="9"/>
      <c r="AS165" s="9"/>
      <c r="AT165" s="9"/>
      <c r="AU165" s="447"/>
      <c r="AV165" s="447"/>
      <c r="AW165" s="468" t="str">
        <f>IF(C165&gt;0,VLOOKUP(C165,Foundation_Calc!$A$2:$C$13,3,1),
IF(J165&gt;0,VLOOKUP(J165,Foundation_Calc!$A$2:$C$13,3,1),""))</f>
        <v>MultiSoil</v>
      </c>
      <c r="AX165" s="468" t="str">
        <f>IF(C165&gt;0,VLOOKUP(C165,Foundation_Calc!$E$2:$G$13,3,1),
IF(J165&gt;0,VLOOKUP(J165,Foundation_Calc!$E$2:$G$13,3,1),""))</f>
        <v>PT</v>
      </c>
      <c r="AY165" s="10" t="str">
        <f>IF(L165="","",
IF(AX165="PT",VLOOKUP(L165,Foundation_Calc!$K$79:$R$112,VLOOKUP(AW165,Foundation_Calc!$I$2:$J$8,2,FALSE),0),
IF(AX165="K",VLOOKUP(L165,Foundation_Calc!$K$116:$R$149,VLOOKUP(AW165,Foundation_Calc!$I$2:$J$8,2,FALSE),0),"")))</f>
        <v/>
      </c>
      <c r="AZ165" s="10">
        <f>IF(K165="","",
IF(AX165="PT",VLOOKUP(K165,Foundation_Calc!$K$79:$R$112,VLOOKUP(AW165,Foundation_Calc!$I$2:$J$8,2,FALSE),0),
IF(AX165="K",VLOOKUP(K165,Foundation_Calc!$K$116:$R$149,VLOOKUP(AW165,Foundation_Calc!$I$2:$J$8,2,FALSE),0),"")))</f>
        <v>3.9</v>
      </c>
      <c r="BA165" s="553" t="str">
        <f t="shared" si="15"/>
        <v/>
      </c>
      <c r="BB165" s="553" t="str">
        <f t="shared" si="15"/>
        <v>ü</v>
      </c>
      <c r="BC165" s="553" t="str">
        <f t="shared" si="16"/>
        <v/>
      </c>
      <c r="BD165" s="572" t="str">
        <f>IF(AND(L165="",H165=""),"",
IF(H165="",Pole_Calc!A$9,
IF(H165="MP",Pole_Calc!A$10,
IF(H165="AnMP",Pole_Calc!A$11,
IF(H165="A",Pole_Calc!A$12,
IF(H165="S/A",Pole_Calc!A$13,
IF(H165="A/S",Pole_Calc!A$14,"Poner a mano")))))))</f>
        <v/>
      </c>
      <c r="BE165" s="448" t="s">
        <v>1726</v>
      </c>
      <c r="BF165" s="305"/>
      <c r="BG165" s="305"/>
      <c r="BH165" s="306"/>
      <c r="BI165" s="305"/>
    </row>
    <row r="166" spans="1:61" ht="16.2" customHeight="1">
      <c r="A166" s="573"/>
      <c r="B166" s="469" t="s">
        <v>1936</v>
      </c>
      <c r="C166" s="3">
        <f>+$C$164+$G$165</f>
        <v>3525.9500000000003</v>
      </c>
      <c r="D166" s="88"/>
      <c r="E166" s="4"/>
      <c r="F166" s="4">
        <v>-2200</v>
      </c>
      <c r="G166" s="6"/>
      <c r="H166" s="468"/>
      <c r="I166" s="468"/>
      <c r="J166" s="3"/>
      <c r="K166" s="468"/>
      <c r="L166" s="468" t="s">
        <v>38</v>
      </c>
      <c r="M166" s="468" t="str">
        <f>IF(L166="","",
IF(AX166="PT",VLOOKUP(L166,Foundation_Calc!$V$79:$X$112,VLOOKUP(AX166,Foundation_Calc!$I$10:$J$13,2,FALSE),0),
IF(AX166="K",VLOOKUP(L166,Foundation_Calc!$V$116:$X$149,VLOOKUP(AX166,Foundation_Calc!$I$10:$J$13,2,FALSE),0),"")))</f>
        <v>C4R</v>
      </c>
      <c r="N166" s="468" t="s">
        <v>32</v>
      </c>
      <c r="O166" s="468"/>
      <c r="P166" s="468"/>
      <c r="Q166" s="4"/>
      <c r="R166" s="6"/>
      <c r="S166" s="6"/>
      <c r="T166" s="4">
        <v>-30</v>
      </c>
      <c r="U166" s="4"/>
      <c r="V166" s="4"/>
      <c r="W166" s="9">
        <v>1.4</v>
      </c>
      <c r="X166" s="9"/>
      <c r="Y166" s="9"/>
      <c r="Z166" s="9"/>
      <c r="AA166" s="9"/>
      <c r="AB166" s="9"/>
      <c r="AC166" s="468" t="str">
        <f t="shared" si="14"/>
        <v>PHQ</v>
      </c>
      <c r="AD166" s="468"/>
      <c r="AE166" s="468"/>
      <c r="AF166" s="4"/>
      <c r="AG166" s="88"/>
      <c r="AH166" s="4"/>
      <c r="AI166" s="4"/>
      <c r="AJ166" s="468"/>
      <c r="AK166" s="468"/>
      <c r="AL166" s="468"/>
      <c r="AM166" s="468" t="s">
        <v>486</v>
      </c>
      <c r="AN166" s="10">
        <v>5.5</v>
      </c>
      <c r="AO166" s="9"/>
      <c r="AP166" s="9"/>
      <c r="AQ166" s="9"/>
      <c r="AR166" s="9"/>
      <c r="AS166" s="9"/>
      <c r="AT166" s="9">
        <f>+ab($T$166,$T$164,$T$168,$G$165,$G$167, 1*$F$166,1200)</f>
        <v>-7.914627135450667</v>
      </c>
      <c r="AU166" s="447"/>
      <c r="AV166" s="447"/>
      <c r="AW166" s="468" t="str">
        <f>IF(C166&gt;0,VLOOKUP(C166,Foundation_Calc!$A$2:$C$13,3,1),
IF(J166&gt;0,VLOOKUP(J166,Foundation_Calc!$A$2:$C$13,3,1),""))</f>
        <v>MultiSoil</v>
      </c>
      <c r="AX166" s="468" t="str">
        <f>IF(C166&gt;0,VLOOKUP(C166,Foundation_Calc!$E$2:$G$13,3,1),
IF(J166&gt;0,VLOOKUP(J166,Foundation_Calc!$E$2:$G$13,3,1),""))</f>
        <v>PT</v>
      </c>
      <c r="AY166" s="10">
        <f>IF(L166="","",
IF(AX166="PT",VLOOKUP(L166,Foundation_Calc!$K$79:$R$112,VLOOKUP(AW166,Foundation_Calc!$I$2:$J$8,2,FALSE),0),
IF(AX166="K",VLOOKUP(L166,Foundation_Calc!$K$116:$R$149,VLOOKUP(AW166,Foundation_Calc!$I$2:$J$8,2,FALSE),0),"")))</f>
        <v>3.5</v>
      </c>
      <c r="AZ166" s="10" t="str">
        <f>IF(K166="","",
IF(AX166="PT",VLOOKUP(K166,Foundation_Calc!$K$79:$R$112,VLOOKUP(AW166,Foundation_Calc!$I$2:$J$8,2,FALSE),0),
IF(AX166="K",VLOOKUP(K166,Foundation_Calc!$K$116:$R$149,VLOOKUP(AW166,Foundation_Calc!$I$2:$J$8,2,FALSE),0),"")))</f>
        <v/>
      </c>
      <c r="BA166" s="553" t="str">
        <f t="shared" si="15"/>
        <v>ü</v>
      </c>
      <c r="BB166" s="553" t="str">
        <f t="shared" si="15"/>
        <v/>
      </c>
      <c r="BC166" s="553" t="str">
        <f t="shared" si="16"/>
        <v/>
      </c>
      <c r="BD166" s="572" t="str">
        <f>IF(AND(L166="",H166=""),"",
IF(H166="",Pole_Calc!A$9,
IF(H166="MP",Pole_Calc!A$10,
IF(H166="AnMP",Pole_Calc!A$11,
IF(H166="A",Pole_Calc!A$12,
IF(H166="S/A",Pole_Calc!A$13,
IF(H166="A/S",Pole_Calc!A$14,"Poner a mano")))))))</f>
        <v>App.7-V11H-P9.5.1.1</v>
      </c>
      <c r="BE166" s="448" t="s">
        <v>1726</v>
      </c>
      <c r="BF166" s="306"/>
      <c r="BG166" s="306"/>
      <c r="BH166" s="306"/>
      <c r="BI166" s="306"/>
    </row>
    <row r="167" spans="1:61" ht="16.2" customHeight="1">
      <c r="A167" s="573"/>
      <c r="B167" s="469"/>
      <c r="C167" s="3"/>
      <c r="D167" s="88"/>
      <c r="E167" s="4"/>
      <c r="F167" s="4"/>
      <c r="G167" s="6">
        <v>53</v>
      </c>
      <c r="H167" s="468"/>
      <c r="I167" s="468"/>
      <c r="J167" s="3"/>
      <c r="K167" s="468"/>
      <c r="L167" s="468"/>
      <c r="M167" s="468" t="str">
        <f>IF(L167="","",
IF(AX167="PT",VLOOKUP(L167,Foundation_Calc!$V$79:$X$112,VLOOKUP(AX167,Foundation_Calc!$I$10:$J$13,2,FALSE),0),
IF(AX167="K",VLOOKUP(L167,Foundation_Calc!$V$116:$X$149,VLOOKUP(AX167,Foundation_Calc!$I$10:$J$13,2,FALSE),0),"")))</f>
        <v/>
      </c>
      <c r="N167" s="468"/>
      <c r="O167" s="468"/>
      <c r="P167" s="468"/>
      <c r="Q167" s="4"/>
      <c r="R167" s="6"/>
      <c r="S167" s="6"/>
      <c r="T167" s="4"/>
      <c r="U167" s="4"/>
      <c r="V167" s="4"/>
      <c r="W167" s="9"/>
      <c r="X167" s="9"/>
      <c r="Y167" s="9"/>
      <c r="Z167" s="9"/>
      <c r="AA167" s="9"/>
      <c r="AB167" s="9"/>
      <c r="AC167" s="468" t="str">
        <f t="shared" si="14"/>
        <v/>
      </c>
      <c r="AD167" s="468"/>
      <c r="AE167" s="468"/>
      <c r="AF167" s="4"/>
      <c r="AG167" s="88"/>
      <c r="AH167" s="4"/>
      <c r="AI167" s="4"/>
      <c r="AJ167" s="468"/>
      <c r="AK167" s="468"/>
      <c r="AL167" s="468"/>
      <c r="AM167" s="468"/>
      <c r="AN167" s="10"/>
      <c r="AO167" s="9"/>
      <c r="AP167" s="9"/>
      <c r="AQ167" s="9">
        <f>+FL_2($T$168,$T$166,$G$167,1200,9.28, 1*$F$168)</f>
        <v>-0.41192860422719213</v>
      </c>
      <c r="AR167" s="9"/>
      <c r="AS167" s="9"/>
      <c r="AT167" s="9"/>
      <c r="AU167" s="447"/>
      <c r="AV167" s="447"/>
      <c r="AW167" s="468" t="str">
        <f>IF(C167&gt;0,VLOOKUP(C167,Foundation_Calc!$A$2:$C$13,3,1),
IF(J167&gt;0,VLOOKUP(J167,Foundation_Calc!$A$2:$C$13,3,1),""))</f>
        <v/>
      </c>
      <c r="AX167" s="468" t="str">
        <f>IF(C167&gt;0,VLOOKUP(C167,Foundation_Calc!$E$2:$G$13,3,1),
IF(J167&gt;0,VLOOKUP(J167,Foundation_Calc!$E$2:$G$13,3,1),""))</f>
        <v/>
      </c>
      <c r="AY167" s="10" t="str">
        <f>IF(L167="","",
IF(AX167="PT",VLOOKUP(L167,Foundation_Calc!$K$79:$R$112,VLOOKUP(AW167,Foundation_Calc!$I$2:$J$8,2,FALSE),0),
IF(AX167="K",VLOOKUP(L167,Foundation_Calc!$K$116:$R$149,VLOOKUP(AW167,Foundation_Calc!$I$2:$J$8,2,FALSE),0),"")))</f>
        <v/>
      </c>
      <c r="AZ167" s="10" t="str">
        <f>IF(K167="","",
IF(AX167="PT",VLOOKUP(K167,Foundation_Calc!$K$79:$R$112,VLOOKUP(AW167,Foundation_Calc!$I$2:$J$8,2,FALSE),0),
IF(AX167="K",VLOOKUP(K167,Foundation_Calc!$K$116:$R$149,VLOOKUP(AW167,Foundation_Calc!$I$2:$J$8,2,FALSE),0),"")))</f>
        <v/>
      </c>
      <c r="BA167" s="553" t="str">
        <f t="shared" si="15"/>
        <v/>
      </c>
      <c r="BB167" s="553" t="str">
        <f t="shared" si="15"/>
        <v/>
      </c>
      <c r="BC167" s="553" t="str">
        <f t="shared" si="16"/>
        <v/>
      </c>
      <c r="BD167" s="572" t="str">
        <f>IF(AND(L167="",H167=""),"",
IF(H167="",Pole_Calc!A$9,
IF(H167="MP",Pole_Calc!A$10,
IF(H167="AnMP",Pole_Calc!A$11,
IF(H167="A",Pole_Calc!A$12,
IF(H167="S/A",Pole_Calc!A$13,
IF(H167="A/S",Pole_Calc!A$14,"Poner a mano")))))))</f>
        <v/>
      </c>
      <c r="BE167" s="448" t="s">
        <v>1726</v>
      </c>
      <c r="BF167" s="305"/>
      <c r="BG167" s="305"/>
      <c r="BH167" s="306"/>
      <c r="BI167" s="305"/>
    </row>
    <row r="168" spans="1:61" ht="16.2" customHeight="1">
      <c r="A168" s="573"/>
      <c r="B168" s="469" t="s">
        <v>1937</v>
      </c>
      <c r="C168" s="3">
        <f>+$C$166+$G$167</f>
        <v>3578.9500000000003</v>
      </c>
      <c r="D168" s="88"/>
      <c r="E168" s="4"/>
      <c r="F168" s="4">
        <v>-2200</v>
      </c>
      <c r="G168" s="6"/>
      <c r="H168" s="468"/>
      <c r="I168" s="468"/>
      <c r="J168" s="3"/>
      <c r="K168" s="468"/>
      <c r="L168" s="468" t="s">
        <v>38</v>
      </c>
      <c r="M168" s="468" t="str">
        <f>IF(L168="","",
IF(AX168="PT",VLOOKUP(L168,Foundation_Calc!$V$79:$X$112,VLOOKUP(AX168,Foundation_Calc!$I$10:$J$13,2,FALSE),0),
IF(AX168="K",VLOOKUP(L168,Foundation_Calc!$V$116:$X$149,VLOOKUP(AX168,Foundation_Calc!$I$10:$J$13,2,FALSE),0),"")))</f>
        <v>C4R</v>
      </c>
      <c r="N168" s="468" t="s">
        <v>32</v>
      </c>
      <c r="O168" s="468"/>
      <c r="P168" s="468"/>
      <c r="Q168" s="4"/>
      <c r="R168" s="6"/>
      <c r="S168" s="6"/>
      <c r="T168" s="4">
        <v>-30</v>
      </c>
      <c r="U168" s="4"/>
      <c r="V168" s="4"/>
      <c r="W168" s="9">
        <v>1.4</v>
      </c>
      <c r="X168" s="9"/>
      <c r="Y168" s="9"/>
      <c r="Z168" s="9"/>
      <c r="AA168" s="9"/>
      <c r="AB168" s="9"/>
      <c r="AC168" s="468" t="str">
        <f t="shared" si="14"/>
        <v>PHQ</v>
      </c>
      <c r="AD168" s="468"/>
      <c r="AE168" s="468"/>
      <c r="AF168" s="4"/>
      <c r="AG168" s="88"/>
      <c r="AH168" s="4"/>
      <c r="AI168" s="4"/>
      <c r="AJ168" s="468"/>
      <c r="AK168" s="468"/>
      <c r="AL168" s="468"/>
      <c r="AM168" s="468" t="s">
        <v>486</v>
      </c>
      <c r="AN168" s="10">
        <v>5.5</v>
      </c>
      <c r="AO168" s="9"/>
      <c r="AP168" s="9"/>
      <c r="AQ168" s="9"/>
      <c r="AR168" s="9"/>
      <c r="AS168" s="9"/>
      <c r="AT168" s="9">
        <f>+ab($T$168,$T$166,$T$170,$G$167,$G$169, 1*$F$168,1200)</f>
        <v>-7.914627135450667</v>
      </c>
      <c r="AU168" s="447"/>
      <c r="AV168" s="447"/>
      <c r="AW168" s="468" t="str">
        <f>IF(C168&gt;0,VLOOKUP(C168,Foundation_Calc!$A$2:$C$13,3,1),
IF(J168&gt;0,VLOOKUP(J168,Foundation_Calc!$A$2:$C$13,3,1),""))</f>
        <v>MultiSoil</v>
      </c>
      <c r="AX168" s="468" t="str">
        <f>IF(C168&gt;0,VLOOKUP(C168,Foundation_Calc!$E$2:$G$13,3,1),
IF(J168&gt;0,VLOOKUP(J168,Foundation_Calc!$E$2:$G$13,3,1),""))</f>
        <v>PT</v>
      </c>
      <c r="AY168" s="10">
        <f>IF(L168="","",
IF(AX168="PT",VLOOKUP(L168,Foundation_Calc!$K$79:$R$112,VLOOKUP(AW168,Foundation_Calc!$I$2:$J$8,2,FALSE),0),
IF(AX168="K",VLOOKUP(L168,Foundation_Calc!$K$116:$R$149,VLOOKUP(AW168,Foundation_Calc!$I$2:$J$8,2,FALSE),0),"")))</f>
        <v>3.5</v>
      </c>
      <c r="AZ168" s="10" t="str">
        <f>IF(K168="","",
IF(AX168="PT",VLOOKUP(K168,Foundation_Calc!$K$79:$R$112,VLOOKUP(AW168,Foundation_Calc!$I$2:$J$8,2,FALSE),0),
IF(AX168="K",VLOOKUP(K168,Foundation_Calc!$K$116:$R$149,VLOOKUP(AW168,Foundation_Calc!$I$2:$J$8,2,FALSE),0),"")))</f>
        <v/>
      </c>
      <c r="BA168" s="553" t="str">
        <f t="shared" si="15"/>
        <v>ü</v>
      </c>
      <c r="BB168" s="553" t="str">
        <f t="shared" si="15"/>
        <v/>
      </c>
      <c r="BC168" s="553" t="str">
        <f t="shared" si="16"/>
        <v/>
      </c>
      <c r="BD168" s="572" t="str">
        <f>IF(AND(L168="",H168=""),"",
IF(H168="",Pole_Calc!A$9,
IF(H168="MP",Pole_Calc!A$10,
IF(H168="AnMP",Pole_Calc!A$11,
IF(H168="A",Pole_Calc!A$12,
IF(H168="S/A",Pole_Calc!A$13,
IF(H168="A/S",Pole_Calc!A$14,"Poner a mano")))))))</f>
        <v>App.7-V11H-P9.5.1.1</v>
      </c>
      <c r="BE168" s="448" t="s">
        <v>1726</v>
      </c>
      <c r="BF168" s="306"/>
      <c r="BG168" s="306"/>
      <c r="BH168" s="306"/>
      <c r="BI168" s="306"/>
    </row>
    <row r="169" spans="1:61" ht="16.2" customHeight="1">
      <c r="A169" s="573"/>
      <c r="B169" s="469"/>
      <c r="C169" s="3"/>
      <c r="D169" s="88"/>
      <c r="E169" s="4"/>
      <c r="F169" s="4"/>
      <c r="G169" s="6">
        <v>53</v>
      </c>
      <c r="H169" s="468"/>
      <c r="I169" s="468"/>
      <c r="J169" s="3"/>
      <c r="K169" s="468"/>
      <c r="L169" s="468"/>
      <c r="M169" s="468" t="str">
        <f>IF(L169="","",
IF(AX169="PT",VLOOKUP(L169,Foundation_Calc!$V$79:$X$112,VLOOKUP(AX169,Foundation_Calc!$I$10:$J$13,2,FALSE),0),
IF(AX169="K",VLOOKUP(L169,Foundation_Calc!$V$116:$X$149,VLOOKUP(AX169,Foundation_Calc!$I$10:$J$13,2,FALSE),0),"")))</f>
        <v/>
      </c>
      <c r="N169" s="468"/>
      <c r="O169" s="468"/>
      <c r="P169" s="468"/>
      <c r="Q169" s="4"/>
      <c r="R169" s="6"/>
      <c r="S169" s="6"/>
      <c r="T169" s="4"/>
      <c r="U169" s="4"/>
      <c r="V169" s="4"/>
      <c r="W169" s="9"/>
      <c r="X169" s="9"/>
      <c r="Y169" s="9"/>
      <c r="Z169" s="9"/>
      <c r="AA169" s="9"/>
      <c r="AB169" s="9"/>
      <c r="AC169" s="468" t="str">
        <f t="shared" si="14"/>
        <v/>
      </c>
      <c r="AD169" s="468"/>
      <c r="AE169" s="468"/>
      <c r="AF169" s="4"/>
      <c r="AG169" s="88"/>
      <c r="AH169" s="4"/>
      <c r="AI169" s="4"/>
      <c r="AJ169" s="468"/>
      <c r="AK169" s="468"/>
      <c r="AL169" s="468"/>
      <c r="AM169" s="468"/>
      <c r="AN169" s="10"/>
      <c r="AO169" s="9"/>
      <c r="AP169" s="9"/>
      <c r="AQ169" s="9">
        <f>+FL_2($T$170,$T$168,$G$169,1200,9.28, 1*$F$170)</f>
        <v>-0.41192860422719213</v>
      </c>
      <c r="AR169" s="9"/>
      <c r="AS169" s="9"/>
      <c r="AT169" s="9"/>
      <c r="AU169" s="447"/>
      <c r="AV169" s="447"/>
      <c r="AW169" s="468" t="str">
        <f>IF(C169&gt;0,VLOOKUP(C169,Foundation_Calc!$A$2:$C$13,3,1),
IF(J169&gt;0,VLOOKUP(J169,Foundation_Calc!$A$2:$C$13,3,1),""))</f>
        <v/>
      </c>
      <c r="AX169" s="468" t="str">
        <f>IF(C169&gt;0,VLOOKUP(C169,Foundation_Calc!$E$2:$G$13,3,1),
IF(J169&gt;0,VLOOKUP(J169,Foundation_Calc!$E$2:$G$13,3,1),""))</f>
        <v/>
      </c>
      <c r="AY169" s="10" t="str">
        <f>IF(L169="","",
IF(AX169="PT",VLOOKUP(L169,Foundation_Calc!$K$79:$R$112,VLOOKUP(AW169,Foundation_Calc!$I$2:$J$8,2,FALSE),0),
IF(AX169="K",VLOOKUP(L169,Foundation_Calc!$K$116:$R$149,VLOOKUP(AW169,Foundation_Calc!$I$2:$J$8,2,FALSE),0),"")))</f>
        <v/>
      </c>
      <c r="AZ169" s="10" t="str">
        <f>IF(K169="","",
IF(AX169="PT",VLOOKUP(K169,Foundation_Calc!$K$79:$R$112,VLOOKUP(AW169,Foundation_Calc!$I$2:$J$8,2,FALSE),0),
IF(AX169="K",VLOOKUP(K169,Foundation_Calc!$K$116:$R$149,VLOOKUP(AW169,Foundation_Calc!$I$2:$J$8,2,FALSE),0),"")))</f>
        <v/>
      </c>
      <c r="BA169" s="553" t="str">
        <f t="shared" si="15"/>
        <v/>
      </c>
      <c r="BB169" s="553" t="str">
        <f t="shared" si="15"/>
        <v/>
      </c>
      <c r="BC169" s="553" t="str">
        <f t="shared" si="16"/>
        <v/>
      </c>
      <c r="BD169" s="572" t="str">
        <f>IF(AND(L169="",H169=""),"",
IF(H169="",Pole_Calc!A$9,
IF(H169="MP",Pole_Calc!A$10,
IF(H169="AnMP",Pole_Calc!A$11,
IF(H169="A",Pole_Calc!A$12,
IF(H169="S/A",Pole_Calc!A$13,
IF(H169="A/S",Pole_Calc!A$14,"Poner a mano")))))))</f>
        <v/>
      </c>
      <c r="BE169" s="448" t="s">
        <v>1726</v>
      </c>
      <c r="BF169" s="305"/>
      <c r="BG169" s="305"/>
      <c r="BH169" s="306"/>
      <c r="BI169" s="305"/>
    </row>
    <row r="170" spans="1:61" ht="16.2" customHeight="1">
      <c r="A170" s="573"/>
      <c r="B170" s="469" t="s">
        <v>1938</v>
      </c>
      <c r="C170" s="3">
        <f>+$C$168+$G$169</f>
        <v>3631.9500000000003</v>
      </c>
      <c r="D170" s="88"/>
      <c r="E170" s="4"/>
      <c r="F170" s="4">
        <v>-2200</v>
      </c>
      <c r="G170" s="6"/>
      <c r="H170" s="468"/>
      <c r="I170" s="468"/>
      <c r="J170" s="3"/>
      <c r="K170" s="468"/>
      <c r="L170" s="468" t="s">
        <v>38</v>
      </c>
      <c r="M170" s="468" t="str">
        <f>IF(L170="","",
IF(AX170="PT",VLOOKUP(L170,Foundation_Calc!$V$79:$X$112,VLOOKUP(AX170,Foundation_Calc!$I$10:$J$13,2,FALSE),0),
IF(AX170="K",VLOOKUP(L170,Foundation_Calc!$V$116:$X$149,VLOOKUP(AX170,Foundation_Calc!$I$10:$J$13,2,FALSE),0),"")))</f>
        <v>C4R</v>
      </c>
      <c r="N170" s="468" t="s">
        <v>32</v>
      </c>
      <c r="O170" s="468"/>
      <c r="P170" s="468"/>
      <c r="Q170" s="4"/>
      <c r="R170" s="6"/>
      <c r="S170" s="6"/>
      <c r="T170" s="4">
        <v>-30</v>
      </c>
      <c r="U170" s="4"/>
      <c r="V170" s="4"/>
      <c r="W170" s="9">
        <v>1.4</v>
      </c>
      <c r="X170" s="9"/>
      <c r="Y170" s="9"/>
      <c r="Z170" s="9"/>
      <c r="AA170" s="9"/>
      <c r="AB170" s="9"/>
      <c r="AC170" s="468" t="str">
        <f t="shared" si="14"/>
        <v>PHQ</v>
      </c>
      <c r="AD170" s="468"/>
      <c r="AE170" s="468"/>
      <c r="AF170" s="4"/>
      <c r="AG170" s="88"/>
      <c r="AH170" s="4"/>
      <c r="AI170" s="4"/>
      <c r="AJ170" s="468"/>
      <c r="AK170" s="468"/>
      <c r="AL170" s="468"/>
      <c r="AM170" s="468" t="s">
        <v>486</v>
      </c>
      <c r="AN170" s="10">
        <v>5.5</v>
      </c>
      <c r="AO170" s="9"/>
      <c r="AP170" s="9"/>
      <c r="AQ170" s="9"/>
      <c r="AR170" s="9"/>
      <c r="AS170" s="9"/>
      <c r="AT170" s="9">
        <f>+ab($T$170,$T$168,$T$172,$G$169,$G$171, 1*$F$170,1200)</f>
        <v>-7.914627135450667</v>
      </c>
      <c r="AU170" s="447"/>
      <c r="AV170" s="447"/>
      <c r="AW170" s="468" t="str">
        <f>IF(C170&gt;0,VLOOKUP(C170,Foundation_Calc!$A$2:$C$13,3,1),
IF(J170&gt;0,VLOOKUP(J170,Foundation_Calc!$A$2:$C$13,3,1),""))</f>
        <v>MultiSoil</v>
      </c>
      <c r="AX170" s="468" t="str">
        <f>IF(C170&gt;0,VLOOKUP(C170,Foundation_Calc!$E$2:$G$13,3,1),
IF(J170&gt;0,VLOOKUP(J170,Foundation_Calc!$E$2:$G$13,3,1),""))</f>
        <v>PT</v>
      </c>
      <c r="AY170" s="10">
        <f>IF(L170="","",
IF(AX170="PT",VLOOKUP(L170,Foundation_Calc!$K$79:$R$112,VLOOKUP(AW170,Foundation_Calc!$I$2:$J$8,2,FALSE),0),
IF(AX170="K",VLOOKUP(L170,Foundation_Calc!$K$116:$R$149,VLOOKUP(AW170,Foundation_Calc!$I$2:$J$8,2,FALSE),0),"")))</f>
        <v>3.5</v>
      </c>
      <c r="AZ170" s="10" t="str">
        <f>IF(K170="","",
IF(AX170="PT",VLOOKUP(K170,Foundation_Calc!$K$79:$R$112,VLOOKUP(AW170,Foundation_Calc!$I$2:$J$8,2,FALSE),0),
IF(AX170="K",VLOOKUP(K170,Foundation_Calc!$K$116:$R$149,VLOOKUP(AW170,Foundation_Calc!$I$2:$J$8,2,FALSE),0),"")))</f>
        <v/>
      </c>
      <c r="BA170" s="553" t="str">
        <f t="shared" si="15"/>
        <v>ü</v>
      </c>
      <c r="BB170" s="553" t="str">
        <f t="shared" si="15"/>
        <v/>
      </c>
      <c r="BC170" s="553" t="str">
        <f t="shared" si="16"/>
        <v/>
      </c>
      <c r="BD170" s="572" t="str">
        <f>IF(AND(L170="",H170=""),"",
IF(H170="",Pole_Calc!A$9,
IF(H170="MP",Pole_Calc!A$10,
IF(H170="AnMP",Pole_Calc!A$11,
IF(H170="A",Pole_Calc!A$12,
IF(H170="S/A",Pole_Calc!A$13,
IF(H170="A/S",Pole_Calc!A$14,"Poner a mano")))))))</f>
        <v>App.7-V11H-P9.5.1.1</v>
      </c>
      <c r="BE170" s="448" t="s">
        <v>1726</v>
      </c>
      <c r="BF170" s="306"/>
      <c r="BG170" s="306"/>
      <c r="BH170" s="306"/>
      <c r="BI170" s="306"/>
    </row>
    <row r="171" spans="1:61" ht="16.2" customHeight="1">
      <c r="A171" s="573"/>
      <c r="B171" s="469"/>
      <c r="C171" s="3"/>
      <c r="D171" s="88"/>
      <c r="E171" s="4"/>
      <c r="F171" s="4"/>
      <c r="G171" s="6">
        <v>53</v>
      </c>
      <c r="H171" s="468"/>
      <c r="I171" s="468"/>
      <c r="J171" s="3"/>
      <c r="K171" s="468"/>
      <c r="L171" s="468"/>
      <c r="M171" s="468" t="str">
        <f>IF(L171="","",
IF(AX171="PT",VLOOKUP(L171,Foundation_Calc!$V$79:$X$112,VLOOKUP(AX171,Foundation_Calc!$I$10:$J$13,2,FALSE),0),
IF(AX171="K",VLOOKUP(L171,Foundation_Calc!$V$116:$X$149,VLOOKUP(AX171,Foundation_Calc!$I$10:$J$13,2,FALSE),0),"")))</f>
        <v/>
      </c>
      <c r="N171" s="468"/>
      <c r="O171" s="468"/>
      <c r="P171" s="468"/>
      <c r="Q171" s="4"/>
      <c r="R171" s="6"/>
      <c r="S171" s="6"/>
      <c r="T171" s="4"/>
      <c r="U171" s="4"/>
      <c r="V171" s="4"/>
      <c r="W171" s="9"/>
      <c r="X171" s="9"/>
      <c r="Y171" s="9"/>
      <c r="Z171" s="9"/>
      <c r="AA171" s="9"/>
      <c r="AB171" s="9"/>
      <c r="AC171" s="468" t="str">
        <f t="shared" si="14"/>
        <v/>
      </c>
      <c r="AD171" s="468"/>
      <c r="AE171" s="468"/>
      <c r="AF171" s="4"/>
      <c r="AG171" s="88"/>
      <c r="AH171" s="4"/>
      <c r="AI171" s="4"/>
      <c r="AJ171" s="468"/>
      <c r="AK171" s="468"/>
      <c r="AL171" s="468"/>
      <c r="AM171" s="468"/>
      <c r="AN171" s="10"/>
      <c r="AO171" s="9"/>
      <c r="AP171" s="9"/>
      <c r="AQ171" s="9">
        <f>+FL_2($T$172,$T$170,$G$171,1200,9.28, 1*$F$172)</f>
        <v>-0.41192860422719213</v>
      </c>
      <c r="AR171" s="9"/>
      <c r="AS171" s="9"/>
      <c r="AT171" s="9"/>
      <c r="AU171" s="447"/>
      <c r="AV171" s="447"/>
      <c r="AW171" s="468" t="str">
        <f>IF(C171&gt;0,VLOOKUP(C171,Foundation_Calc!$A$2:$C$13,3,1),
IF(J171&gt;0,VLOOKUP(J171,Foundation_Calc!$A$2:$C$13,3,1),""))</f>
        <v/>
      </c>
      <c r="AX171" s="468" t="str">
        <f>IF(C171&gt;0,VLOOKUP(C171,Foundation_Calc!$E$2:$G$13,3,1),
IF(J171&gt;0,VLOOKUP(J171,Foundation_Calc!$E$2:$G$13,3,1),""))</f>
        <v/>
      </c>
      <c r="AY171" s="10" t="str">
        <f>IF(L171="","",
IF(AX171="PT",VLOOKUP(L171,Foundation_Calc!$K$79:$R$112,VLOOKUP(AW171,Foundation_Calc!$I$2:$J$8,2,FALSE),0),
IF(AX171="K",VLOOKUP(L171,Foundation_Calc!$K$116:$R$149,VLOOKUP(AW171,Foundation_Calc!$I$2:$J$8,2,FALSE),0),"")))</f>
        <v/>
      </c>
      <c r="AZ171" s="10" t="str">
        <f>IF(K171="","",
IF(AX171="PT",VLOOKUP(K171,Foundation_Calc!$K$79:$R$112,VLOOKUP(AW171,Foundation_Calc!$I$2:$J$8,2,FALSE),0),
IF(AX171="K",VLOOKUP(K171,Foundation_Calc!$K$116:$R$149,VLOOKUP(AW171,Foundation_Calc!$I$2:$J$8,2,FALSE),0),"")))</f>
        <v/>
      </c>
      <c r="BA171" s="553" t="str">
        <f t="shared" si="15"/>
        <v/>
      </c>
      <c r="BB171" s="553" t="str">
        <f t="shared" si="15"/>
        <v/>
      </c>
      <c r="BC171" s="553" t="str">
        <f t="shared" si="16"/>
        <v/>
      </c>
      <c r="BD171" s="572" t="str">
        <f>IF(AND(L171="",H171=""),"",
IF(H171="",Pole_Calc!A$9,
IF(H171="MP",Pole_Calc!A$10,
IF(H171="AnMP",Pole_Calc!A$11,
IF(H171="A",Pole_Calc!A$12,
IF(H171="S/A",Pole_Calc!A$13,
IF(H171="A/S",Pole_Calc!A$14,"Poner a mano")))))))</f>
        <v/>
      </c>
      <c r="BE171" s="448" t="s">
        <v>1726</v>
      </c>
      <c r="BF171" s="305"/>
      <c r="BG171" s="305"/>
      <c r="BH171" s="306"/>
      <c r="BI171" s="305"/>
    </row>
    <row r="172" spans="1:61" ht="16.2" customHeight="1">
      <c r="A172" s="573"/>
      <c r="B172" s="469" t="s">
        <v>1939</v>
      </c>
      <c r="C172" s="3">
        <f>+$C$170+$G$171</f>
        <v>3684.9500000000003</v>
      </c>
      <c r="D172" s="88"/>
      <c r="E172" s="4"/>
      <c r="F172" s="4">
        <v>-2200</v>
      </c>
      <c r="G172" s="6"/>
      <c r="H172" s="468"/>
      <c r="I172" s="468"/>
      <c r="J172" s="3"/>
      <c r="K172" s="468"/>
      <c r="L172" s="468" t="s">
        <v>38</v>
      </c>
      <c r="M172" s="468" t="str">
        <f>IF(L172="","",
IF(AX172="PT",VLOOKUP(L172,Foundation_Calc!$V$79:$X$112,VLOOKUP(AX172,Foundation_Calc!$I$10:$J$13,2,FALSE),0),
IF(AX172="K",VLOOKUP(L172,Foundation_Calc!$V$116:$X$149,VLOOKUP(AX172,Foundation_Calc!$I$10:$J$13,2,FALSE),0),"")))</f>
        <v>C4R</v>
      </c>
      <c r="N172" s="468" t="s">
        <v>32</v>
      </c>
      <c r="O172" s="468"/>
      <c r="P172" s="468"/>
      <c r="Q172" s="4"/>
      <c r="R172" s="6"/>
      <c r="S172" s="6"/>
      <c r="T172" s="4">
        <v>-30</v>
      </c>
      <c r="U172" s="4"/>
      <c r="V172" s="4"/>
      <c r="W172" s="9">
        <v>1.4</v>
      </c>
      <c r="X172" s="9"/>
      <c r="Y172" s="9"/>
      <c r="Z172" s="9"/>
      <c r="AA172" s="9"/>
      <c r="AB172" s="9"/>
      <c r="AC172" s="468" t="str">
        <f t="shared" si="14"/>
        <v>PH</v>
      </c>
      <c r="AD172" s="468"/>
      <c r="AE172" s="468"/>
      <c r="AF172" s="4"/>
      <c r="AG172" s="88"/>
      <c r="AH172" s="4"/>
      <c r="AI172" s="4"/>
      <c r="AJ172" s="468"/>
      <c r="AK172" s="468"/>
      <c r="AL172" s="468"/>
      <c r="AM172" s="468" t="s">
        <v>486</v>
      </c>
      <c r="AN172" s="10">
        <v>5.5</v>
      </c>
      <c r="AO172" s="9"/>
      <c r="AP172" s="9"/>
      <c r="AQ172" s="9"/>
      <c r="AR172" s="9"/>
      <c r="AS172" s="9"/>
      <c r="AT172" s="9">
        <f>+ab($T$172,$T$170,$T$174,$G$171,$G$173, 1*$F$172,1200)</f>
        <v>-8.1421020881002821</v>
      </c>
      <c r="AU172" s="447"/>
      <c r="AV172" s="447"/>
      <c r="AW172" s="468" t="str">
        <f>IF(C172&gt;0,VLOOKUP(C172,Foundation_Calc!$A$2:$C$13,3,1),
IF(J172&gt;0,VLOOKUP(J172,Foundation_Calc!$A$2:$C$13,3,1),""))</f>
        <v>MultiSoil</v>
      </c>
      <c r="AX172" s="468" t="str">
        <f>IF(C172&gt;0,VLOOKUP(C172,Foundation_Calc!$E$2:$G$13,3,1),
IF(J172&gt;0,VLOOKUP(J172,Foundation_Calc!$E$2:$G$13,3,1),""))</f>
        <v>PT</v>
      </c>
      <c r="AY172" s="10">
        <f>IF(L172="","",
IF(AX172="PT",VLOOKUP(L172,Foundation_Calc!$K$79:$R$112,VLOOKUP(AW172,Foundation_Calc!$I$2:$J$8,2,FALSE),0),
IF(AX172="K",VLOOKUP(L172,Foundation_Calc!$K$116:$R$149,VLOOKUP(AW172,Foundation_Calc!$I$2:$J$8,2,FALSE),0),"")))</f>
        <v>3.5</v>
      </c>
      <c r="AZ172" s="10" t="str">
        <f>IF(K172="","",
IF(AX172="PT",VLOOKUP(K172,Foundation_Calc!$K$79:$R$112,VLOOKUP(AW172,Foundation_Calc!$I$2:$J$8,2,FALSE),0),
IF(AX172="K",VLOOKUP(K172,Foundation_Calc!$K$116:$R$149,VLOOKUP(AW172,Foundation_Calc!$I$2:$J$8,2,FALSE),0),"")))</f>
        <v/>
      </c>
      <c r="BA172" s="553" t="str">
        <f t="shared" si="15"/>
        <v>ü</v>
      </c>
      <c r="BB172" s="553" t="str">
        <f t="shared" si="15"/>
        <v/>
      </c>
      <c r="BC172" s="553" t="str">
        <f t="shared" si="16"/>
        <v/>
      </c>
      <c r="BD172" s="572" t="str">
        <f>IF(AND(L172="",H172=""),"",
IF(H172="",Pole_Calc!A$9,
IF(H172="MP",Pole_Calc!A$10,
IF(H172="AnMP",Pole_Calc!A$11,
IF(H172="A",Pole_Calc!A$12,
IF(H172="S/A",Pole_Calc!A$13,
IF(H172="A/S",Pole_Calc!A$14,"Poner a mano")))))))</f>
        <v>App.7-V11H-P9.5.1.1</v>
      </c>
      <c r="BE172" s="448" t="s">
        <v>1726</v>
      </c>
      <c r="BF172" s="306"/>
      <c r="BG172" s="306"/>
      <c r="BH172" s="306"/>
      <c r="BI172" s="306"/>
    </row>
    <row r="173" spans="1:61" ht="16.2" customHeight="1">
      <c r="A173" s="573"/>
      <c r="B173" s="469"/>
      <c r="C173" s="3"/>
      <c r="D173" s="88"/>
      <c r="E173" s="4"/>
      <c r="F173" s="4"/>
      <c r="G173" s="6">
        <v>50</v>
      </c>
      <c r="H173" s="468"/>
      <c r="I173" s="468"/>
      <c r="J173" s="3"/>
      <c r="K173" s="468"/>
      <c r="L173" s="468"/>
      <c r="M173" s="468" t="str">
        <f>IF(L173="","",
IF(AX173="PT",VLOOKUP(L173,Foundation_Calc!$V$79:$X$112,VLOOKUP(AX173,Foundation_Calc!$I$10:$J$13,2,FALSE),0),
IF(AX173="K",VLOOKUP(L173,Foundation_Calc!$V$116:$X$149,VLOOKUP(AX173,Foundation_Calc!$I$10:$J$13,2,FALSE),0),"")))</f>
        <v/>
      </c>
      <c r="N173" s="468"/>
      <c r="O173" s="468"/>
      <c r="P173" s="468"/>
      <c r="Q173" s="4"/>
      <c r="R173" s="6"/>
      <c r="S173" s="6"/>
      <c r="T173" s="4"/>
      <c r="U173" s="4"/>
      <c r="V173" s="4"/>
      <c r="W173" s="9"/>
      <c r="X173" s="9"/>
      <c r="Y173" s="9"/>
      <c r="Z173" s="9"/>
      <c r="AA173" s="9"/>
      <c r="AB173" s="9"/>
      <c r="AC173" s="468" t="str">
        <f t="shared" si="14"/>
        <v/>
      </c>
      <c r="AD173" s="468"/>
      <c r="AE173" s="468"/>
      <c r="AF173" s="4"/>
      <c r="AG173" s="88"/>
      <c r="AH173" s="4"/>
      <c r="AI173" s="4"/>
      <c r="AJ173" s="468"/>
      <c r="AK173" s="468"/>
      <c r="AL173" s="468"/>
      <c r="AM173" s="468"/>
      <c r="AN173" s="10"/>
      <c r="AO173" s="9"/>
      <c r="AP173" s="9"/>
      <c r="AQ173" s="9">
        <f>+FL_2($T$174,$T$172,$G$173,1200,9.28, 1*$F$174)</f>
        <v>-0.39961662616330307</v>
      </c>
      <c r="AR173" s="9"/>
      <c r="AS173" s="9"/>
      <c r="AT173" s="9"/>
      <c r="AU173" s="447"/>
      <c r="AV173" s="447"/>
      <c r="AW173" s="468" t="str">
        <f>IF(C173&gt;0,VLOOKUP(C173,Foundation_Calc!$A$2:$C$13,3,1),
IF(J173&gt;0,VLOOKUP(J173,Foundation_Calc!$A$2:$C$13,3,1),""))</f>
        <v/>
      </c>
      <c r="AX173" s="468" t="str">
        <f>IF(C173&gt;0,VLOOKUP(C173,Foundation_Calc!$E$2:$G$13,3,1),
IF(J173&gt;0,VLOOKUP(J173,Foundation_Calc!$E$2:$G$13,3,1),""))</f>
        <v/>
      </c>
      <c r="AY173" s="10" t="str">
        <f>IF(L173="","",
IF(AX173="PT",VLOOKUP(L173,Foundation_Calc!$K$79:$R$112,VLOOKUP(AW173,Foundation_Calc!$I$2:$J$8,2,FALSE),0),
IF(AX173="K",VLOOKUP(L173,Foundation_Calc!$K$116:$R$149,VLOOKUP(AW173,Foundation_Calc!$I$2:$J$8,2,FALSE),0),"")))</f>
        <v/>
      </c>
      <c r="AZ173" s="10" t="str">
        <f>IF(K173="","",
IF(AX173="PT",VLOOKUP(K173,Foundation_Calc!$K$79:$R$112,VLOOKUP(AW173,Foundation_Calc!$I$2:$J$8,2,FALSE),0),
IF(AX173="K",VLOOKUP(K173,Foundation_Calc!$K$116:$R$149,VLOOKUP(AW173,Foundation_Calc!$I$2:$J$8,2,FALSE),0),"")))</f>
        <v/>
      </c>
      <c r="BA173" s="553" t="str">
        <f t="shared" si="15"/>
        <v/>
      </c>
      <c r="BB173" s="553" t="str">
        <f t="shared" si="15"/>
        <v/>
      </c>
      <c r="BC173" s="553" t="str">
        <f t="shared" si="16"/>
        <v/>
      </c>
      <c r="BD173" s="572" t="str">
        <f>IF(AND(L173="",H173=""),"",
IF(H173="",Pole_Calc!A$9,
IF(H173="MP",Pole_Calc!A$10,
IF(H173="AnMP",Pole_Calc!A$11,
IF(H173="A",Pole_Calc!A$12,
IF(H173="S/A",Pole_Calc!A$13,
IF(H173="A/S",Pole_Calc!A$14,"Poner a mano")))))))</f>
        <v/>
      </c>
      <c r="BE173" s="448" t="s">
        <v>1726</v>
      </c>
      <c r="BF173" s="305"/>
      <c r="BG173" s="305"/>
      <c r="BH173" s="306"/>
      <c r="BI173" s="305"/>
    </row>
    <row r="174" spans="1:61" ht="16.2" customHeight="1">
      <c r="A174" s="573"/>
      <c r="B174" s="469" t="s">
        <v>1940</v>
      </c>
      <c r="C174" s="3">
        <f>+$C$172+$G$173</f>
        <v>3734.9500000000003</v>
      </c>
      <c r="D174" s="88"/>
      <c r="E174" s="4"/>
      <c r="F174" s="4">
        <v>-2200</v>
      </c>
      <c r="G174" s="6"/>
      <c r="H174" s="468"/>
      <c r="I174" s="468"/>
      <c r="J174" s="3"/>
      <c r="K174" s="468"/>
      <c r="L174" s="468" t="s">
        <v>38</v>
      </c>
      <c r="M174" s="468" t="str">
        <f>IF(L174="","",
IF(AX174="PT",VLOOKUP(L174,Foundation_Calc!$V$79:$X$112,VLOOKUP(AX174,Foundation_Calc!$I$10:$J$13,2,FALSE),0),
IF(AX174="K",VLOOKUP(L174,Foundation_Calc!$V$116:$X$149,VLOOKUP(AX174,Foundation_Calc!$I$10:$J$13,2,FALSE),0),"")))</f>
        <v>C4R</v>
      </c>
      <c r="N174" s="468" t="s">
        <v>32</v>
      </c>
      <c r="O174" s="468"/>
      <c r="P174" s="468"/>
      <c r="Q174" s="4"/>
      <c r="R174" s="6"/>
      <c r="S174" s="6"/>
      <c r="T174" s="4">
        <v>-30</v>
      </c>
      <c r="U174" s="4"/>
      <c r="V174" s="4"/>
      <c r="W174" s="9">
        <v>1.4</v>
      </c>
      <c r="X174" s="9"/>
      <c r="Y174" s="9"/>
      <c r="Z174" s="9"/>
      <c r="AA174" s="9"/>
      <c r="AB174" s="9"/>
      <c r="AC174" s="468" t="str">
        <f t="shared" si="14"/>
        <v>PH</v>
      </c>
      <c r="AD174" s="468"/>
      <c r="AE174" s="468"/>
      <c r="AF174" s="4"/>
      <c r="AG174" s="88"/>
      <c r="AH174" s="4"/>
      <c r="AI174" s="4"/>
      <c r="AJ174" s="468"/>
      <c r="AK174" s="468"/>
      <c r="AL174" s="468"/>
      <c r="AM174" s="468" t="s">
        <v>486</v>
      </c>
      <c r="AN174" s="10">
        <v>5.5</v>
      </c>
      <c r="AO174" s="9"/>
      <c r="AP174" s="9"/>
      <c r="AQ174" s="9"/>
      <c r="AR174" s="9"/>
      <c r="AS174" s="9"/>
      <c r="AT174" s="9">
        <f>+ab($T$174,$T$172,$T$176,$G$173,$G$175, 1*$F$174,1200)</f>
        <v>-8.817387167538417</v>
      </c>
      <c r="AU174" s="447"/>
      <c r="AV174" s="447"/>
      <c r="AW174" s="468" t="str">
        <f>IF(C174&gt;0,VLOOKUP(C174,Foundation_Calc!$A$2:$C$13,3,1),
IF(J174&gt;0,VLOOKUP(J174,Foundation_Calc!$A$2:$C$13,3,1),""))</f>
        <v>MultiSoil</v>
      </c>
      <c r="AX174" s="468" t="str">
        <f>IF(C174&gt;0,VLOOKUP(C174,Foundation_Calc!$E$2:$G$13,3,1),
IF(J174&gt;0,VLOOKUP(J174,Foundation_Calc!$E$2:$G$13,3,1),""))</f>
        <v>PT</v>
      </c>
      <c r="AY174" s="10">
        <f>IF(L174="","",
IF(AX174="PT",VLOOKUP(L174,Foundation_Calc!$K$79:$R$112,VLOOKUP(AW174,Foundation_Calc!$I$2:$J$8,2,FALSE),0),
IF(AX174="K",VLOOKUP(L174,Foundation_Calc!$K$116:$R$149,VLOOKUP(AW174,Foundation_Calc!$I$2:$J$8,2,FALSE),0),"")))</f>
        <v>3.5</v>
      </c>
      <c r="AZ174" s="10" t="str">
        <f>IF(K174="","",
IF(AX174="PT",VLOOKUP(K174,Foundation_Calc!$K$79:$R$112,VLOOKUP(AW174,Foundation_Calc!$I$2:$J$8,2,FALSE),0),
IF(AX174="K",VLOOKUP(K174,Foundation_Calc!$K$116:$R$149,VLOOKUP(AW174,Foundation_Calc!$I$2:$J$8,2,FALSE),0),"")))</f>
        <v/>
      </c>
      <c r="BA174" s="553" t="str">
        <f t="shared" si="15"/>
        <v>ü</v>
      </c>
      <c r="BB174" s="553" t="str">
        <f t="shared" si="15"/>
        <v/>
      </c>
      <c r="BC174" s="553" t="str">
        <f t="shared" si="16"/>
        <v/>
      </c>
      <c r="BD174" s="572" t="str">
        <f>IF(AND(L174="",H174=""),"",
IF(H174="",Pole_Calc!A$9,
IF(H174="MP",Pole_Calc!A$10,
IF(H174="AnMP",Pole_Calc!A$11,
IF(H174="A",Pole_Calc!A$12,
IF(H174="S/A",Pole_Calc!A$13,
IF(H174="A/S",Pole_Calc!A$14,"Poner a mano")))))))</f>
        <v>App.7-V11H-P9.5.1.1</v>
      </c>
      <c r="BE174" s="448" t="s">
        <v>1726</v>
      </c>
      <c r="BF174" s="306"/>
      <c r="BG174" s="306"/>
      <c r="BH174" s="306"/>
      <c r="BI174" s="306"/>
    </row>
    <row r="175" spans="1:61" ht="16.2" customHeight="1">
      <c r="A175" s="573"/>
      <c r="B175" s="469"/>
      <c r="C175" s="3"/>
      <c r="D175" s="88"/>
      <c r="E175" s="4"/>
      <c r="F175" s="4"/>
      <c r="G175" s="6">
        <v>45</v>
      </c>
      <c r="H175" s="468"/>
      <c r="I175" s="468"/>
      <c r="J175" s="3">
        <f>C176-7.5</f>
        <v>3772.4500000000003</v>
      </c>
      <c r="K175" s="468" t="s">
        <v>1096</v>
      </c>
      <c r="L175" s="468"/>
      <c r="M175" s="468" t="str">
        <f>IF(L175="","",
IF(AX175="PT",VLOOKUP(L175,Foundation_Calc!$V$79:$X$112,VLOOKUP(AX175,Foundation_Calc!$I$10:$J$13,2,FALSE),0),
IF(AX175="K",VLOOKUP(L175,Foundation_Calc!$V$116:$X$149,VLOOKUP(AX175,Foundation_Calc!$I$10:$J$13,2,FALSE),0),"")))</f>
        <v/>
      </c>
      <c r="N175" s="468"/>
      <c r="O175" s="468"/>
      <c r="P175" s="468"/>
      <c r="Q175" s="4"/>
      <c r="R175" s="6"/>
      <c r="S175" s="6"/>
      <c r="T175" s="4"/>
      <c r="U175" s="4"/>
      <c r="V175" s="4"/>
      <c r="W175" s="9"/>
      <c r="X175" s="9"/>
      <c r="Y175" s="9"/>
      <c r="Z175" s="9"/>
      <c r="AA175" s="9"/>
      <c r="AB175" s="9"/>
      <c r="AC175" s="468" t="str">
        <f t="shared" si="14"/>
        <v/>
      </c>
      <c r="AD175" s="468"/>
      <c r="AE175" s="468"/>
      <c r="AF175" s="4"/>
      <c r="AG175" s="88"/>
      <c r="AH175" s="4"/>
      <c r="AI175" s="4"/>
      <c r="AJ175" s="468"/>
      <c r="AK175" s="468"/>
      <c r="AL175" s="468"/>
      <c r="AM175" s="468"/>
      <c r="AN175" s="10"/>
      <c r="AO175" s="9"/>
      <c r="AP175" s="9"/>
      <c r="AQ175" s="9">
        <f>+FL_2($T$176,$T$174,$G$175,1200,9.28, 1*$F$176)</f>
        <v>-0.38069017300808988</v>
      </c>
      <c r="AR175" s="9"/>
      <c r="AS175" s="9"/>
      <c r="AT175" s="9"/>
      <c r="AU175" s="447"/>
      <c r="AV175" s="447"/>
      <c r="AW175" s="468" t="str">
        <f>IF(C175&gt;0,VLOOKUP(C175,Foundation_Calc!$A$2:$C$13,3,1),
IF(J175&gt;0,VLOOKUP(J175,Foundation_Calc!$A$2:$C$13,3,1),""))</f>
        <v>MultiSoil</v>
      </c>
      <c r="AX175" s="468" t="str">
        <f>IF(C175&gt;0,VLOOKUP(C175,Foundation_Calc!$E$2:$G$13,3,1),
IF(J175&gt;0,VLOOKUP(J175,Foundation_Calc!$E$2:$G$13,3,1),""))</f>
        <v>PT</v>
      </c>
      <c r="AY175" s="10" t="str">
        <f>IF(L175="","",
IF(AX175="PT",VLOOKUP(L175,Foundation_Calc!$K$79:$R$112,VLOOKUP(AW175,Foundation_Calc!$I$2:$J$8,2,FALSE),0),
IF(AX175="K",VLOOKUP(L175,Foundation_Calc!$K$116:$R$149,VLOOKUP(AW175,Foundation_Calc!$I$2:$J$8,2,FALSE),0),"")))</f>
        <v/>
      </c>
      <c r="AZ175" s="10">
        <f>IF(K175="","",
IF(AX175="PT",VLOOKUP(K175,Foundation_Calc!$K$79:$R$112,VLOOKUP(AW175,Foundation_Calc!$I$2:$J$8,2,FALSE),0),
IF(AX175="K",VLOOKUP(K175,Foundation_Calc!$K$116:$R$149,VLOOKUP(AW175,Foundation_Calc!$I$2:$J$8,2,FALSE),0),"")))</f>
        <v>2.8</v>
      </c>
      <c r="BA175" s="553" t="str">
        <f t="shared" si="15"/>
        <v/>
      </c>
      <c r="BB175" s="553" t="str">
        <f t="shared" si="15"/>
        <v>ü</v>
      </c>
      <c r="BC175" s="553" t="str">
        <f t="shared" si="16"/>
        <v/>
      </c>
      <c r="BD175" s="572" t="str">
        <f>IF(AND(L175="",H175=""),"",
IF(H175="",Pole_Calc!A$9,
IF(H175="MP",Pole_Calc!A$10,
IF(H175="AnMP",Pole_Calc!A$11,
IF(H175="A",Pole_Calc!A$12,
IF(H175="S/A",Pole_Calc!A$13,
IF(H175="A/S",Pole_Calc!A$14,"Poner a mano")))))))</f>
        <v/>
      </c>
      <c r="BE175" s="448" t="s">
        <v>1726</v>
      </c>
      <c r="BF175" s="305"/>
      <c r="BG175" s="305"/>
      <c r="BH175" s="306"/>
      <c r="BI175" s="305"/>
    </row>
    <row r="176" spans="1:61" ht="16.2" customHeight="1">
      <c r="A176" s="573"/>
      <c r="B176" s="469" t="s">
        <v>1941</v>
      </c>
      <c r="C176" s="3">
        <f>+$C$174+$G$175</f>
        <v>3779.9500000000003</v>
      </c>
      <c r="D176" s="88"/>
      <c r="E176" s="4"/>
      <c r="F176" s="4">
        <v>-2200</v>
      </c>
      <c r="G176" s="6"/>
      <c r="H176" s="468" t="s">
        <v>365</v>
      </c>
      <c r="I176" s="468"/>
      <c r="J176" s="3"/>
      <c r="K176" s="468"/>
      <c r="L176" s="468" t="s">
        <v>38</v>
      </c>
      <c r="M176" s="468" t="str">
        <f>IF(L176="","",
IF(AX176="PT",VLOOKUP(L176,Foundation_Calc!$V$79:$X$112,VLOOKUP(AX176,Foundation_Calc!$I$10:$J$13,2,FALSE),0),
IF(AX176="K",VLOOKUP(L176,Foundation_Calc!$V$116:$X$149,VLOOKUP(AX176,Foundation_Calc!$I$10:$J$13,2,FALSE),0),"")))</f>
        <v>C4R</v>
      </c>
      <c r="N176" s="468" t="s">
        <v>32</v>
      </c>
      <c r="O176" s="468"/>
      <c r="P176" s="468"/>
      <c r="Q176" s="4"/>
      <c r="R176" s="6"/>
      <c r="S176" s="6"/>
      <c r="T176" s="4">
        <v>-30</v>
      </c>
      <c r="U176" s="4"/>
      <c r="V176" s="4"/>
      <c r="W176" s="9">
        <v>1.4</v>
      </c>
      <c r="X176" s="9"/>
      <c r="Y176" s="9"/>
      <c r="Z176" s="9"/>
      <c r="AA176" s="9"/>
      <c r="AB176" s="9"/>
      <c r="AC176" s="468" t="str">
        <f t="shared" si="14"/>
        <v>PH</v>
      </c>
      <c r="AD176" s="468"/>
      <c r="AE176" s="468"/>
      <c r="AF176" s="4"/>
      <c r="AG176" s="88"/>
      <c r="AH176" s="4"/>
      <c r="AI176" s="4"/>
      <c r="AJ176" s="468"/>
      <c r="AK176" s="468"/>
      <c r="AL176" s="468"/>
      <c r="AM176" s="468" t="s">
        <v>486</v>
      </c>
      <c r="AN176" s="10">
        <v>5.5</v>
      </c>
      <c r="AO176" s="9"/>
      <c r="AP176" s="9"/>
      <c r="AQ176" s="9"/>
      <c r="AR176" s="9"/>
      <c r="AS176" s="9"/>
      <c r="AT176" s="9">
        <f>+ab($T$176,$T$174,$T$178,$G$175,$G$177, 1*$F$176,1200)</f>
        <v>-8.817387167538417</v>
      </c>
      <c r="AU176" s="447"/>
      <c r="AV176" s="447"/>
      <c r="AW176" s="468" t="str">
        <f>IF(C176&gt;0,VLOOKUP(C176,Foundation_Calc!$A$2:$C$13,3,1),
IF(J176&gt;0,VLOOKUP(J176,Foundation_Calc!$A$2:$C$13,3,1),""))</f>
        <v>MultiSoil</v>
      </c>
      <c r="AX176" s="468" t="str">
        <f>IF(C176&gt;0,VLOOKUP(C176,Foundation_Calc!$E$2:$G$13,3,1),
IF(J176&gt;0,VLOOKUP(J176,Foundation_Calc!$E$2:$G$13,3,1),""))</f>
        <v>PT</v>
      </c>
      <c r="AY176" s="10">
        <f>IF(L176="","",
IF(AX176="PT",VLOOKUP(L176,Foundation_Calc!$K$79:$R$112,VLOOKUP(AW176,Foundation_Calc!$I$2:$J$8,2,FALSE),0),
IF(AX176="K",VLOOKUP(L176,Foundation_Calc!$K$116:$R$149,VLOOKUP(AW176,Foundation_Calc!$I$2:$J$8,2,FALSE),0),"")))</f>
        <v>3.5</v>
      </c>
      <c r="AZ176" s="10" t="str">
        <f>IF(K176="","",
IF(AX176="PT",VLOOKUP(K176,Foundation_Calc!$K$79:$R$112,VLOOKUP(AW176,Foundation_Calc!$I$2:$J$8,2,FALSE),0),
IF(AX176="K",VLOOKUP(K176,Foundation_Calc!$K$116:$R$149,VLOOKUP(AW176,Foundation_Calc!$I$2:$J$8,2,FALSE),0),"")))</f>
        <v/>
      </c>
      <c r="BA176" s="553" t="str">
        <f t="shared" si="15"/>
        <v>ü</v>
      </c>
      <c r="BB176" s="553" t="str">
        <f t="shared" si="15"/>
        <v/>
      </c>
      <c r="BC176" s="553" t="str">
        <f t="shared" si="16"/>
        <v/>
      </c>
      <c r="BD176" s="572" t="str">
        <f>IF(AND(L176="",H176=""),"",
IF(H176="",Pole_Calc!A$9,
IF(H176="MP",Pole_Calc!A$10,
IF(H176="AnMP",Pole_Calc!A$11,
IF(H176="A",Pole_Calc!A$12,
IF(H176="S/A",Pole_Calc!A$13,
IF(H176="A/S",Pole_Calc!A$14,"Poner a mano")))))))</f>
        <v>App.7-V11H-P9.5.1.3</v>
      </c>
      <c r="BE176" s="448" t="s">
        <v>1726</v>
      </c>
      <c r="BF176" s="306"/>
      <c r="BG176" s="306"/>
      <c r="BH176" s="306"/>
      <c r="BI176" s="306"/>
    </row>
    <row r="177" spans="1:61" ht="16.2" customHeight="1">
      <c r="A177" s="573"/>
      <c r="B177" s="469"/>
      <c r="C177" s="3"/>
      <c r="D177" s="88"/>
      <c r="E177" s="4"/>
      <c r="F177" s="4"/>
      <c r="G177" s="6">
        <v>50</v>
      </c>
      <c r="H177" s="468"/>
      <c r="I177" s="4">
        <f>SUM(G159:G177)</f>
        <v>513</v>
      </c>
      <c r="J177" s="3"/>
      <c r="K177" s="468"/>
      <c r="L177" s="468"/>
      <c r="M177" s="468" t="str">
        <f>IF(L177="","",
IF(AX177="PT",VLOOKUP(L177,Foundation_Calc!$V$79:$X$112,VLOOKUP(AX177,Foundation_Calc!$I$10:$J$13,2,FALSE),0),
IF(AX177="K",VLOOKUP(L177,Foundation_Calc!$V$116:$X$149,VLOOKUP(AX177,Foundation_Calc!$I$10:$J$13,2,FALSE),0),"")))</f>
        <v/>
      </c>
      <c r="N177" s="468"/>
      <c r="O177" s="468"/>
      <c r="P177" s="468"/>
      <c r="Q177" s="4"/>
      <c r="R177" s="6"/>
      <c r="S177" s="6"/>
      <c r="T177" s="4"/>
      <c r="U177" s="4"/>
      <c r="V177" s="4"/>
      <c r="W177" s="9"/>
      <c r="X177" s="9"/>
      <c r="Y177" s="9"/>
      <c r="Z177" s="9"/>
      <c r="AA177" s="9"/>
      <c r="AB177" s="9"/>
      <c r="AC177" s="468" t="str">
        <f t="shared" si="14"/>
        <v/>
      </c>
      <c r="AD177" s="468"/>
      <c r="AE177" s="468"/>
      <c r="AF177" s="4"/>
      <c r="AG177" s="88"/>
      <c r="AH177" s="4"/>
      <c r="AI177" s="4"/>
      <c r="AJ177" s="468"/>
      <c r="AK177" s="468"/>
      <c r="AL177" s="468"/>
      <c r="AM177" s="468"/>
      <c r="AN177" s="10"/>
      <c r="AO177" s="9"/>
      <c r="AP177" s="9"/>
      <c r="AQ177" s="9">
        <f>+FL_2($T$178,$T$176,$G$177,1200,9.28, 1*$F$178)</f>
        <v>-0.39961662616330307</v>
      </c>
      <c r="AR177" s="9"/>
      <c r="AS177" s="9"/>
      <c r="AT177" s="9"/>
      <c r="AU177" s="447"/>
      <c r="AV177" s="447"/>
      <c r="AW177" s="468" t="str">
        <f>IF(C177&gt;0,VLOOKUP(C177,Foundation_Calc!$A$2:$C$13,3,1),
IF(J177&gt;0,VLOOKUP(J177,Foundation_Calc!$A$2:$C$13,3,1),""))</f>
        <v/>
      </c>
      <c r="AX177" s="468" t="str">
        <f>IF(C177&gt;0,VLOOKUP(C177,Foundation_Calc!$E$2:$G$13,3,1),
IF(J177&gt;0,VLOOKUP(J177,Foundation_Calc!$E$2:$G$13,3,1),""))</f>
        <v/>
      </c>
      <c r="AY177" s="10" t="str">
        <f>IF(L177="","",
IF(AX177="PT",VLOOKUP(L177,Foundation_Calc!$K$79:$R$112,VLOOKUP(AW177,Foundation_Calc!$I$2:$J$8,2,FALSE),0),
IF(AX177="K",VLOOKUP(L177,Foundation_Calc!$K$116:$R$149,VLOOKUP(AW177,Foundation_Calc!$I$2:$J$8,2,FALSE),0),"")))</f>
        <v/>
      </c>
      <c r="AZ177" s="10" t="str">
        <f>IF(K177="","",
IF(AX177="PT",VLOOKUP(K177,Foundation_Calc!$K$79:$R$112,VLOOKUP(AW177,Foundation_Calc!$I$2:$J$8,2,FALSE),0),
IF(AX177="K",VLOOKUP(K177,Foundation_Calc!$K$116:$R$149,VLOOKUP(AW177,Foundation_Calc!$I$2:$J$8,2,FALSE),0),"")))</f>
        <v/>
      </c>
      <c r="BA177" s="553" t="str">
        <f t="shared" si="15"/>
        <v/>
      </c>
      <c r="BB177" s="553" t="str">
        <f t="shared" si="15"/>
        <v/>
      </c>
      <c r="BC177" s="553" t="str">
        <f t="shared" si="16"/>
        <v/>
      </c>
      <c r="BD177" s="572" t="str">
        <f>IF(AND(L177="",H177=""),"",
IF(H177="",Pole_Calc!A$9,
IF(H177="MP",Pole_Calc!A$10,
IF(H177="AnMP",Pole_Calc!A$11,
IF(H177="A",Pole_Calc!A$12,
IF(H177="S/A",Pole_Calc!A$13,
IF(H177="A/S",Pole_Calc!A$14,"Poner a mano")))))))</f>
        <v/>
      </c>
      <c r="BE177" s="448" t="s">
        <v>1726</v>
      </c>
      <c r="BF177" s="305"/>
      <c r="BG177" s="305"/>
      <c r="BH177" s="306"/>
      <c r="BI177" s="305"/>
    </row>
    <row r="178" spans="1:61" ht="16.2" customHeight="1">
      <c r="A178" s="573"/>
      <c r="B178" s="469" t="s">
        <v>1942</v>
      </c>
      <c r="C178" s="3">
        <f>+$C$176+$G$177</f>
        <v>3829.9500000000003</v>
      </c>
      <c r="D178" s="88"/>
      <c r="E178" s="4"/>
      <c r="F178" s="4">
        <v>-2200</v>
      </c>
      <c r="G178" s="6"/>
      <c r="H178" s="468" t="s">
        <v>366</v>
      </c>
      <c r="I178" s="468"/>
      <c r="J178" s="3"/>
      <c r="K178" s="468"/>
      <c r="L178" s="468" t="s">
        <v>38</v>
      </c>
      <c r="M178" s="468" t="str">
        <f>IF(L178="","",
IF(AX178="PT",VLOOKUP(L178,Foundation_Calc!$V$79:$X$112,VLOOKUP(AX178,Foundation_Calc!$I$10:$J$13,2,FALSE),0),
IF(AX178="K",VLOOKUP(L178,Foundation_Calc!$V$116:$X$149,VLOOKUP(AX178,Foundation_Calc!$I$10:$J$13,2,FALSE),0),"")))</f>
        <v>C4R</v>
      </c>
      <c r="N178" s="468" t="s">
        <v>32</v>
      </c>
      <c r="O178" s="468"/>
      <c r="P178" s="468"/>
      <c r="Q178" s="4"/>
      <c r="R178" s="6"/>
      <c r="S178" s="6"/>
      <c r="T178" s="4">
        <v>-30</v>
      </c>
      <c r="U178" s="4"/>
      <c r="V178" s="4"/>
      <c r="W178" s="9">
        <v>1.4</v>
      </c>
      <c r="X178" s="9"/>
      <c r="Y178" s="9"/>
      <c r="Z178" s="9"/>
      <c r="AA178" s="9"/>
      <c r="AB178" s="9"/>
      <c r="AC178" s="468" t="str">
        <f t="shared" si="14"/>
        <v>PH</v>
      </c>
      <c r="AD178" s="468"/>
      <c r="AE178" s="468"/>
      <c r="AF178" s="4"/>
      <c r="AG178" s="88"/>
      <c r="AH178" s="4"/>
      <c r="AI178" s="4"/>
      <c r="AJ178" s="468"/>
      <c r="AK178" s="468"/>
      <c r="AL178" s="468"/>
      <c r="AM178" s="468" t="s">
        <v>486</v>
      </c>
      <c r="AN178" s="10">
        <v>5.5</v>
      </c>
      <c r="AO178" s="9"/>
      <c r="AP178" s="9"/>
      <c r="AQ178" s="9"/>
      <c r="AR178" s="9"/>
      <c r="AS178" s="9"/>
      <c r="AT178" s="9">
        <f>+ab($T$178,$T$176,$T$180,$G$177,$G$179, 1*$F$178,1200)</f>
        <v>-8.3011063972100025</v>
      </c>
      <c r="AU178" s="447"/>
      <c r="AV178" s="447"/>
      <c r="AW178" s="468" t="str">
        <f>IF(C178&gt;0,VLOOKUP(C178,Foundation_Calc!$A$2:$C$13,3,1),
IF(J178&gt;0,VLOOKUP(J178,Foundation_Calc!$A$2:$C$13,3,1),""))</f>
        <v>MultiSoil</v>
      </c>
      <c r="AX178" s="468" t="str">
        <f>IF(C178&gt;0,VLOOKUP(C178,Foundation_Calc!$E$2:$G$13,3,1),
IF(J178&gt;0,VLOOKUP(J178,Foundation_Calc!$E$2:$G$13,3,1),""))</f>
        <v>PT</v>
      </c>
      <c r="AY178" s="10">
        <f>IF(L178="","",
IF(AX178="PT",VLOOKUP(L178,Foundation_Calc!$K$79:$R$112,VLOOKUP(AW178,Foundation_Calc!$I$2:$J$8,2,FALSE),0),
IF(AX178="K",VLOOKUP(L178,Foundation_Calc!$K$116:$R$149,VLOOKUP(AW178,Foundation_Calc!$I$2:$J$8,2,FALSE),0),"")))</f>
        <v>3.5</v>
      </c>
      <c r="AZ178" s="10" t="str">
        <f>IF(K178="","",
IF(AX178="PT",VLOOKUP(K178,Foundation_Calc!$K$79:$R$112,VLOOKUP(AW178,Foundation_Calc!$I$2:$J$8,2,FALSE),0),
IF(AX178="K",VLOOKUP(K178,Foundation_Calc!$K$116:$R$149,VLOOKUP(AW178,Foundation_Calc!$I$2:$J$8,2,FALSE),0),"")))</f>
        <v/>
      </c>
      <c r="BA178" s="553" t="str">
        <f t="shared" si="15"/>
        <v>ü</v>
      </c>
      <c r="BB178" s="553" t="str">
        <f t="shared" si="15"/>
        <v/>
      </c>
      <c r="BC178" s="553" t="str">
        <f t="shared" si="16"/>
        <v/>
      </c>
      <c r="BD178" s="572" t="str">
        <f>IF(AND(L178="",H178=""),"",
IF(H178="",Pole_Calc!A$9,
IF(H178="MP",Pole_Calc!A$10,
IF(H178="AnMP",Pole_Calc!A$11,
IF(H178="A",Pole_Calc!A$12,
IF(H178="S/A",Pole_Calc!A$13,
IF(H178="A/S",Pole_Calc!A$14,"Poner a mano")))))))</f>
        <v>App.7-V11H-P9.5.1.2</v>
      </c>
      <c r="BE178" s="448" t="s">
        <v>1726</v>
      </c>
      <c r="BF178" s="306"/>
      <c r="BG178" s="306"/>
      <c r="BH178" s="306"/>
      <c r="BI178" s="306"/>
    </row>
    <row r="179" spans="1:61" ht="16.2" customHeight="1">
      <c r="A179" s="573" t="s">
        <v>2448</v>
      </c>
      <c r="B179" s="469"/>
      <c r="C179" s="3"/>
      <c r="D179" s="88"/>
      <c r="E179" s="4"/>
      <c r="F179" s="4"/>
      <c r="G179" s="6">
        <v>51</v>
      </c>
      <c r="H179" s="468"/>
      <c r="I179" s="4">
        <f>SUM(G179:G197)</f>
        <v>555</v>
      </c>
      <c r="J179" s="3"/>
      <c r="K179" s="468"/>
      <c r="L179" s="468"/>
      <c r="M179" s="468" t="str">
        <f>IF(L179="","",
IF(AX179="PT",VLOOKUP(L179,Foundation_Calc!$V$79:$X$112,VLOOKUP(AX179,Foundation_Calc!$I$10:$J$13,2,FALSE),0),
IF(AX179="K",VLOOKUP(L179,Foundation_Calc!$V$116:$X$149,VLOOKUP(AX179,Foundation_Calc!$I$10:$J$13,2,FALSE),0),"")))</f>
        <v/>
      </c>
      <c r="N179" s="468"/>
      <c r="O179" s="468"/>
      <c r="P179" s="468"/>
      <c r="Q179" s="4"/>
      <c r="R179" s="6"/>
      <c r="S179" s="6"/>
      <c r="T179" s="4"/>
      <c r="U179" s="4"/>
      <c r="V179" s="4"/>
      <c r="W179" s="9"/>
      <c r="X179" s="9"/>
      <c r="Y179" s="9"/>
      <c r="Z179" s="9"/>
      <c r="AA179" s="9"/>
      <c r="AB179" s="9"/>
      <c r="AC179" s="468" t="str">
        <f t="shared" si="14"/>
        <v/>
      </c>
      <c r="AD179" s="468"/>
      <c r="AE179" s="468"/>
      <c r="AF179" s="4"/>
      <c r="AG179" s="88"/>
      <c r="AH179" s="4"/>
      <c r="AI179" s="4"/>
      <c r="AJ179" s="468"/>
      <c r="AK179" s="468"/>
      <c r="AL179" s="468"/>
      <c r="AM179" s="468"/>
      <c r="AN179" s="10"/>
      <c r="AO179" s="9"/>
      <c r="AP179" s="9"/>
      <c r="AQ179" s="9">
        <f>+FL_2($T$180,$T$178,$G$179,1200,9.28, 1*$F$180)</f>
        <v>-0.40364094508960957</v>
      </c>
      <c r="AR179" s="9"/>
      <c r="AS179" s="9"/>
      <c r="AT179" s="9"/>
      <c r="AU179" s="447"/>
      <c r="AV179" s="447"/>
      <c r="AW179" s="468" t="str">
        <f>IF(C179&gt;0,VLOOKUP(C179,Foundation_Calc!$A$2:$C$13,3,1),
IF(J179&gt;0,VLOOKUP(J179,Foundation_Calc!$A$2:$C$13,3,1),""))</f>
        <v/>
      </c>
      <c r="AX179" s="468" t="str">
        <f>IF(C179&gt;0,VLOOKUP(C179,Foundation_Calc!$E$2:$G$13,3,1),
IF(J179&gt;0,VLOOKUP(J179,Foundation_Calc!$E$2:$G$13,3,1),""))</f>
        <v/>
      </c>
      <c r="AY179" s="10" t="str">
        <f>IF(L179="","",
IF(AX179="PT",VLOOKUP(L179,Foundation_Calc!$K$79:$R$112,VLOOKUP(AW179,Foundation_Calc!$I$2:$J$8,2,FALSE),0),
IF(AX179="K",VLOOKUP(L179,Foundation_Calc!$K$116:$R$149,VLOOKUP(AW179,Foundation_Calc!$I$2:$J$8,2,FALSE),0),"")))</f>
        <v/>
      </c>
      <c r="AZ179" s="10" t="str">
        <f>IF(K179="","",
IF(AX179="PT",VLOOKUP(K179,Foundation_Calc!$K$79:$R$112,VLOOKUP(AW179,Foundation_Calc!$I$2:$J$8,2,FALSE),0),
IF(AX179="K",VLOOKUP(K179,Foundation_Calc!$K$116:$R$149,VLOOKUP(AW179,Foundation_Calc!$I$2:$J$8,2,FALSE),0),"")))</f>
        <v/>
      </c>
      <c r="BA179" s="553" t="str">
        <f t="shared" si="15"/>
        <v/>
      </c>
      <c r="BB179" s="553" t="str">
        <f t="shared" si="15"/>
        <v/>
      </c>
      <c r="BC179" s="553" t="str">
        <f t="shared" si="16"/>
        <v/>
      </c>
      <c r="BD179" s="572" t="str">
        <f>IF(AND(L179="",H179=""),"",
IF(H179="",Pole_Calc!A$9,
IF(H179="MP",Pole_Calc!A$10,
IF(H179="AnMP",Pole_Calc!A$11,
IF(H179="A",Pole_Calc!A$12,
IF(H179="S/A",Pole_Calc!A$13,
IF(H179="A/S",Pole_Calc!A$14,"Poner a mano")))))))</f>
        <v/>
      </c>
      <c r="BE179" s="448" t="s">
        <v>1726</v>
      </c>
      <c r="BF179" s="305"/>
      <c r="BG179" s="305"/>
      <c r="BH179" s="306"/>
      <c r="BI179" s="305"/>
    </row>
    <row r="180" spans="1:61" ht="16.2" customHeight="1">
      <c r="A180" s="573"/>
      <c r="B180" s="469" t="s">
        <v>1943</v>
      </c>
      <c r="C180" s="3">
        <f>+$C$178+$G$179</f>
        <v>3880.9500000000003</v>
      </c>
      <c r="D180" s="88"/>
      <c r="E180" s="4"/>
      <c r="F180" s="4">
        <v>-2200</v>
      </c>
      <c r="G180" s="6"/>
      <c r="H180" s="468" t="s">
        <v>365</v>
      </c>
      <c r="I180" s="468"/>
      <c r="J180" s="3"/>
      <c r="K180" s="468"/>
      <c r="L180" s="468" t="s">
        <v>38</v>
      </c>
      <c r="M180" s="468" t="str">
        <f>IF(L180="","",
IF(AX180="PT",VLOOKUP(L180,Foundation_Calc!$V$79:$X$112,VLOOKUP(AX180,Foundation_Calc!$I$10:$J$13,2,FALSE),0),
IF(AX180="K",VLOOKUP(L180,Foundation_Calc!$V$116:$X$149,VLOOKUP(AX180,Foundation_Calc!$I$10:$J$13,2,FALSE),0),"")))</f>
        <v>C4R</v>
      </c>
      <c r="N180" s="468" t="s">
        <v>32</v>
      </c>
      <c r="O180" s="468"/>
      <c r="P180" s="468"/>
      <c r="Q180" s="4"/>
      <c r="R180" s="6"/>
      <c r="S180" s="6"/>
      <c r="T180" s="4">
        <v>-30</v>
      </c>
      <c r="U180" s="4"/>
      <c r="V180" s="4"/>
      <c r="W180" s="9">
        <v>1.4</v>
      </c>
      <c r="X180" s="9"/>
      <c r="Y180" s="9"/>
      <c r="Z180" s="9"/>
      <c r="AA180" s="9"/>
      <c r="AB180" s="9"/>
      <c r="AC180" s="468" t="str">
        <f t="shared" si="14"/>
        <v>PHQ</v>
      </c>
      <c r="AD180" s="468"/>
      <c r="AE180" s="468"/>
      <c r="AF180" s="4"/>
      <c r="AG180" s="88"/>
      <c r="AH180" s="4"/>
      <c r="AI180" s="4"/>
      <c r="AJ180" s="468"/>
      <c r="AK180" s="468"/>
      <c r="AL180" s="468"/>
      <c r="AM180" s="468" t="s">
        <v>486</v>
      </c>
      <c r="AN180" s="10">
        <v>5.5</v>
      </c>
      <c r="AO180" s="9"/>
      <c r="AP180" s="9"/>
      <c r="AQ180" s="9"/>
      <c r="AR180" s="9"/>
      <c r="AS180" s="9"/>
      <c r="AT180" s="9">
        <f>+ab($T$180,$T$178,$T$182,$G$179,$G$181, 1*$F$180,1200)</f>
        <v>-7.8415831332286325</v>
      </c>
      <c r="AU180" s="447"/>
      <c r="AV180" s="447"/>
      <c r="AW180" s="468" t="str">
        <f>IF(C180&gt;0,VLOOKUP(C180,Foundation_Calc!$A$2:$C$13,3,1),
IF(J180&gt;0,VLOOKUP(J180,Foundation_Calc!$A$2:$C$13,3,1),""))</f>
        <v>MultiSoil</v>
      </c>
      <c r="AX180" s="468" t="str">
        <f>IF(C180&gt;0,VLOOKUP(C180,Foundation_Calc!$E$2:$G$13,3,1),
IF(J180&gt;0,VLOOKUP(J180,Foundation_Calc!$E$2:$G$13,3,1),""))</f>
        <v>PT</v>
      </c>
      <c r="AY180" s="10">
        <f>IF(L180="","",
IF(AX180="PT",VLOOKUP(L180,Foundation_Calc!$K$79:$R$112,VLOOKUP(AW180,Foundation_Calc!$I$2:$J$8,2,FALSE),0),
IF(AX180="K",VLOOKUP(L180,Foundation_Calc!$K$116:$R$149,VLOOKUP(AW180,Foundation_Calc!$I$2:$J$8,2,FALSE),0),"")))</f>
        <v>3.5</v>
      </c>
      <c r="AZ180" s="10" t="str">
        <f>IF(K180="","",
IF(AX180="PT",VLOOKUP(K180,Foundation_Calc!$K$79:$R$112,VLOOKUP(AW180,Foundation_Calc!$I$2:$J$8,2,FALSE),0),
IF(AX180="K",VLOOKUP(K180,Foundation_Calc!$K$116:$R$149,VLOOKUP(AW180,Foundation_Calc!$I$2:$J$8,2,FALSE),0),"")))</f>
        <v/>
      </c>
      <c r="BA180" s="553" t="str">
        <f t="shared" si="15"/>
        <v>ü</v>
      </c>
      <c r="BB180" s="553" t="str">
        <f t="shared" si="15"/>
        <v/>
      </c>
      <c r="BC180" s="553" t="str">
        <f t="shared" si="16"/>
        <v/>
      </c>
      <c r="BD180" s="572" t="str">
        <f>IF(AND(L180="",H180=""),"",
IF(H180="",Pole_Calc!A$9,
IF(H180="MP",Pole_Calc!A$10,
IF(H180="AnMP",Pole_Calc!A$11,
IF(H180="A",Pole_Calc!A$12,
IF(H180="S/A",Pole_Calc!A$13,
IF(H180="A/S",Pole_Calc!A$14,"Poner a mano")))))))</f>
        <v>App.7-V11H-P9.5.1.3</v>
      </c>
      <c r="BE180" s="448" t="s">
        <v>1726</v>
      </c>
      <c r="BF180" s="306"/>
      <c r="BG180" s="306"/>
      <c r="BH180" s="306"/>
      <c r="BI180" s="306"/>
    </row>
    <row r="181" spans="1:61" ht="16.2" customHeight="1">
      <c r="A181" s="573" t="s">
        <v>2449</v>
      </c>
      <c r="B181" s="469"/>
      <c r="C181" s="3"/>
      <c r="D181" s="88"/>
      <c r="E181" s="4"/>
      <c r="F181" s="4"/>
      <c r="G181" s="6">
        <v>56</v>
      </c>
      <c r="H181" s="468"/>
      <c r="I181" s="468"/>
      <c r="J181" s="3">
        <f>C180+7.5</f>
        <v>3888.4500000000003</v>
      </c>
      <c r="K181" s="468" t="s">
        <v>1096</v>
      </c>
      <c r="L181" s="468"/>
      <c r="M181" s="468" t="str">
        <f>IF(L181="","",
IF(AX181="PT",VLOOKUP(L181,Foundation_Calc!$V$79:$X$112,VLOOKUP(AX181,Foundation_Calc!$I$10:$J$13,2,FALSE),0),
IF(AX181="K",VLOOKUP(L181,Foundation_Calc!$V$116:$X$149,VLOOKUP(AX181,Foundation_Calc!$I$10:$J$13,2,FALSE),0),"")))</f>
        <v/>
      </c>
      <c r="N181" s="468"/>
      <c r="O181" s="468"/>
      <c r="P181" s="468"/>
      <c r="Q181" s="4"/>
      <c r="R181" s="6"/>
      <c r="S181" s="6"/>
      <c r="T181" s="4"/>
      <c r="U181" s="4"/>
      <c r="V181" s="4"/>
      <c r="W181" s="9"/>
      <c r="X181" s="9"/>
      <c r="Y181" s="9"/>
      <c r="Z181" s="9"/>
      <c r="AA181" s="9"/>
      <c r="AB181" s="9"/>
      <c r="AC181" s="468" t="str">
        <f t="shared" si="14"/>
        <v/>
      </c>
      <c r="AD181" s="468"/>
      <c r="AE181" s="468"/>
      <c r="AF181" s="4"/>
      <c r="AG181" s="88"/>
      <c r="AH181" s="4"/>
      <c r="AI181" s="4"/>
      <c r="AJ181" s="468"/>
      <c r="AK181" s="468"/>
      <c r="AL181" s="468"/>
      <c r="AM181" s="468"/>
      <c r="AN181" s="10"/>
      <c r="AO181" s="9"/>
      <c r="AP181" s="9"/>
      <c r="AQ181" s="9">
        <f>+FL_2($T$182,$T$180,$G$181,1200,9.28, 1*$F$182)</f>
        <v>-0.42495763227301275</v>
      </c>
      <c r="AR181" s="9"/>
      <c r="AS181" s="9"/>
      <c r="AT181" s="9"/>
      <c r="AU181" s="447"/>
      <c r="AV181" s="447"/>
      <c r="AW181" s="468" t="str">
        <f>IF(C181&gt;0,VLOOKUP(C181,Foundation_Calc!$A$2:$C$13,3,1),
IF(J181&gt;0,VLOOKUP(J181,Foundation_Calc!$A$2:$C$13,3,1),""))</f>
        <v>MultiSoil</v>
      </c>
      <c r="AX181" s="468" t="str">
        <f>IF(C181&gt;0,VLOOKUP(C181,Foundation_Calc!$E$2:$G$13,3,1),
IF(J181&gt;0,VLOOKUP(J181,Foundation_Calc!$E$2:$G$13,3,1),""))</f>
        <v>PT</v>
      </c>
      <c r="AY181" s="10" t="str">
        <f>IF(L181="","",
IF(AX181="PT",VLOOKUP(L181,Foundation_Calc!$K$79:$R$112,VLOOKUP(AW181,Foundation_Calc!$I$2:$J$8,2,FALSE),0),
IF(AX181="K",VLOOKUP(L181,Foundation_Calc!$K$116:$R$149,VLOOKUP(AW181,Foundation_Calc!$I$2:$J$8,2,FALSE),0),"")))</f>
        <v/>
      </c>
      <c r="AZ181" s="10">
        <f>IF(K181="","",
IF(AX181="PT",VLOOKUP(K181,Foundation_Calc!$K$79:$R$112,VLOOKUP(AW181,Foundation_Calc!$I$2:$J$8,2,FALSE),0),
IF(AX181="K",VLOOKUP(K181,Foundation_Calc!$K$116:$R$149,VLOOKUP(AW181,Foundation_Calc!$I$2:$J$8,2,FALSE),0),"")))</f>
        <v>2.8</v>
      </c>
      <c r="BA181" s="553" t="str">
        <f t="shared" si="15"/>
        <v/>
      </c>
      <c r="BB181" s="553" t="str">
        <f t="shared" si="15"/>
        <v>ü</v>
      </c>
      <c r="BC181" s="553" t="str">
        <f t="shared" si="16"/>
        <v/>
      </c>
      <c r="BD181" s="572" t="str">
        <f>IF(AND(L181="",H181=""),"",
IF(H181="",Pole_Calc!A$9,
IF(H181="MP",Pole_Calc!A$10,
IF(H181="AnMP",Pole_Calc!A$11,
IF(H181="A",Pole_Calc!A$12,
IF(H181="S/A",Pole_Calc!A$13,
IF(H181="A/S",Pole_Calc!A$14,"Poner a mano")))))))</f>
        <v/>
      </c>
      <c r="BE181" s="448" t="s">
        <v>1726</v>
      </c>
      <c r="BF181" s="305"/>
      <c r="BG181" s="305"/>
      <c r="BH181" s="306"/>
      <c r="BI181" s="305"/>
    </row>
    <row r="182" spans="1:61" ht="16.2" customHeight="1">
      <c r="A182" s="573"/>
      <c r="B182" s="469" t="s">
        <v>1944</v>
      </c>
      <c r="C182" s="3">
        <f>+$C$180+$G$181</f>
        <v>3936.9500000000003</v>
      </c>
      <c r="D182" s="88"/>
      <c r="E182" s="4"/>
      <c r="F182" s="4">
        <v>-2200</v>
      </c>
      <c r="G182" s="6"/>
      <c r="H182" s="468"/>
      <c r="I182" s="468"/>
      <c r="J182" s="3"/>
      <c r="K182" s="468"/>
      <c r="L182" s="468" t="s">
        <v>38</v>
      </c>
      <c r="M182" s="468" t="str">
        <f>IF(L182="","",
IF(AX182="PT",VLOOKUP(L182,Foundation_Calc!$V$79:$X$112,VLOOKUP(AX182,Foundation_Calc!$I$10:$J$13,2,FALSE),0),
IF(AX182="K",VLOOKUP(L182,Foundation_Calc!$V$116:$X$149,VLOOKUP(AX182,Foundation_Calc!$I$10:$J$13,2,FALSE),0),"")))</f>
        <v>C4R</v>
      </c>
      <c r="N182" s="468" t="s">
        <v>32</v>
      </c>
      <c r="O182" s="468"/>
      <c r="P182" s="468"/>
      <c r="Q182" s="4"/>
      <c r="R182" s="6"/>
      <c r="S182" s="6"/>
      <c r="T182" s="4">
        <v>-30</v>
      </c>
      <c r="U182" s="4"/>
      <c r="V182" s="4"/>
      <c r="W182" s="9">
        <v>1.4</v>
      </c>
      <c r="X182" s="9"/>
      <c r="Y182" s="9"/>
      <c r="Z182" s="9"/>
      <c r="AA182" s="9"/>
      <c r="AB182" s="9"/>
      <c r="AC182" s="468" t="str">
        <f t="shared" si="14"/>
        <v>PHQ</v>
      </c>
      <c r="AD182" s="468"/>
      <c r="AE182" s="468"/>
      <c r="AF182" s="4"/>
      <c r="AG182" s="88"/>
      <c r="AH182" s="4"/>
      <c r="AI182" s="4"/>
      <c r="AJ182" s="468"/>
      <c r="AK182" s="468"/>
      <c r="AL182" s="468"/>
      <c r="AM182" s="468" t="s">
        <v>486</v>
      </c>
      <c r="AN182" s="10">
        <v>5.5</v>
      </c>
      <c r="AO182" s="9"/>
      <c r="AP182" s="9"/>
      <c r="AQ182" s="9"/>
      <c r="AR182" s="9"/>
      <c r="AS182" s="9"/>
      <c r="AT182" s="9">
        <f>+ab($T$182,$T$180,$T$184,$G$181,$G$183, 1*$F$182,1200)</f>
        <v>-7.7698668459645912</v>
      </c>
      <c r="AU182" s="447"/>
      <c r="AV182" s="447"/>
      <c r="AW182" s="468" t="str">
        <f>IF(C182&gt;0,VLOOKUP(C182,Foundation_Calc!$A$2:$C$13,3,1),
IF(J182&gt;0,VLOOKUP(J182,Foundation_Calc!$A$2:$C$13,3,1),""))</f>
        <v>MultiSoil</v>
      </c>
      <c r="AX182" s="468" t="str">
        <f>IF(C182&gt;0,VLOOKUP(C182,Foundation_Calc!$E$2:$G$13,3,1),
IF(J182&gt;0,VLOOKUP(J182,Foundation_Calc!$E$2:$G$13,3,1),""))</f>
        <v>PT</v>
      </c>
      <c r="AY182" s="10">
        <f>IF(L182="","",
IF(AX182="PT",VLOOKUP(L182,Foundation_Calc!$K$79:$R$112,VLOOKUP(AW182,Foundation_Calc!$I$2:$J$8,2,FALSE),0),
IF(AX182="K",VLOOKUP(L182,Foundation_Calc!$K$116:$R$149,VLOOKUP(AW182,Foundation_Calc!$I$2:$J$8,2,FALSE),0),"")))</f>
        <v>3.5</v>
      </c>
      <c r="AZ182" s="10" t="str">
        <f>IF(K182="","",
IF(AX182="PT",VLOOKUP(K182,Foundation_Calc!$K$79:$R$112,VLOOKUP(AW182,Foundation_Calc!$I$2:$J$8,2,FALSE),0),
IF(AX182="K",VLOOKUP(K182,Foundation_Calc!$K$116:$R$149,VLOOKUP(AW182,Foundation_Calc!$I$2:$J$8,2,FALSE),0),"")))</f>
        <v/>
      </c>
      <c r="BA182" s="553" t="str">
        <f t="shared" si="15"/>
        <v>ü</v>
      </c>
      <c r="BB182" s="553" t="str">
        <f t="shared" si="15"/>
        <v/>
      </c>
      <c r="BC182" s="553" t="str">
        <f t="shared" si="16"/>
        <v/>
      </c>
      <c r="BD182" s="572" t="str">
        <f>IF(AND(L182="",H182=""),"",
IF(H182="",Pole_Calc!A$9,
IF(H182="MP",Pole_Calc!A$10,
IF(H182="AnMP",Pole_Calc!A$11,
IF(H182="A",Pole_Calc!A$12,
IF(H182="S/A",Pole_Calc!A$13,
IF(H182="A/S",Pole_Calc!A$14,"Poner a mano")))))))</f>
        <v>App.7-V11H-P9.5.1.1</v>
      </c>
      <c r="BE182" s="448" t="s">
        <v>1726</v>
      </c>
      <c r="BF182" s="306"/>
      <c r="BG182" s="306"/>
      <c r="BH182" s="306"/>
      <c r="BI182" s="306"/>
    </row>
    <row r="183" spans="1:61" ht="16.2" customHeight="1">
      <c r="A183" s="573"/>
      <c r="B183" s="469"/>
      <c r="C183" s="3"/>
      <c r="D183" s="88"/>
      <c r="E183" s="4"/>
      <c r="F183" s="4"/>
      <c r="G183" s="6">
        <v>52</v>
      </c>
      <c r="H183" s="468"/>
      <c r="I183" s="468"/>
      <c r="J183" s="3"/>
      <c r="K183" s="468"/>
      <c r="L183" s="468"/>
      <c r="M183" s="468" t="str">
        <f>IF(L183="","",
IF(AX183="PT",VLOOKUP(L183,Foundation_Calc!$V$79:$X$112,VLOOKUP(AX183,Foundation_Calc!$I$10:$J$13,2,FALSE),0),
IF(AX183="K",VLOOKUP(L183,Foundation_Calc!$V$116:$X$149,VLOOKUP(AX183,Foundation_Calc!$I$10:$J$13,2,FALSE),0),"")))</f>
        <v/>
      </c>
      <c r="N183" s="468"/>
      <c r="O183" s="468"/>
      <c r="P183" s="468"/>
      <c r="Q183" s="4"/>
      <c r="R183" s="6"/>
      <c r="S183" s="6"/>
      <c r="T183" s="4"/>
      <c r="U183" s="4"/>
      <c r="V183" s="4"/>
      <c r="W183" s="9"/>
      <c r="X183" s="9"/>
      <c r="Y183" s="9"/>
      <c r="Z183" s="9"/>
      <c r="AA183" s="9"/>
      <c r="AB183" s="9"/>
      <c r="AC183" s="468" t="str">
        <f t="shared" si="14"/>
        <v/>
      </c>
      <c r="AD183" s="468"/>
      <c r="AE183" s="468"/>
      <c r="AF183" s="4"/>
      <c r="AG183" s="88"/>
      <c r="AH183" s="4"/>
      <c r="AI183" s="4"/>
      <c r="AJ183" s="468"/>
      <c r="AK183" s="468"/>
      <c r="AL183" s="468"/>
      <c r="AM183" s="468"/>
      <c r="AN183" s="10"/>
      <c r="AO183" s="9"/>
      <c r="AP183" s="9"/>
      <c r="AQ183" s="9">
        <f>+FL_2($T$184,$T$182,$G$183,1200,9.28, 1*$F$184)</f>
        <v>-0.40774493808013113</v>
      </c>
      <c r="AR183" s="9"/>
      <c r="AS183" s="9"/>
      <c r="AT183" s="9"/>
      <c r="AU183" s="447"/>
      <c r="AV183" s="447"/>
      <c r="AW183" s="468" t="str">
        <f>IF(C183&gt;0,VLOOKUP(C183,Foundation_Calc!$A$2:$C$13,3,1),
IF(J183&gt;0,VLOOKUP(J183,Foundation_Calc!$A$2:$C$13,3,1),""))</f>
        <v/>
      </c>
      <c r="AX183" s="468" t="str">
        <f>IF(C183&gt;0,VLOOKUP(C183,Foundation_Calc!$E$2:$G$13,3,1),
IF(J183&gt;0,VLOOKUP(J183,Foundation_Calc!$E$2:$G$13,3,1),""))</f>
        <v/>
      </c>
      <c r="AY183" s="10" t="str">
        <f>IF(L183="","",
IF(AX183="PT",VLOOKUP(L183,Foundation_Calc!$K$79:$R$112,VLOOKUP(AW183,Foundation_Calc!$I$2:$J$8,2,FALSE),0),
IF(AX183="K",VLOOKUP(L183,Foundation_Calc!$K$116:$R$149,VLOOKUP(AW183,Foundation_Calc!$I$2:$J$8,2,FALSE),0),"")))</f>
        <v/>
      </c>
      <c r="AZ183" s="10" t="str">
        <f>IF(K183="","",
IF(AX183="PT",VLOOKUP(K183,Foundation_Calc!$K$79:$R$112,VLOOKUP(AW183,Foundation_Calc!$I$2:$J$8,2,FALSE),0),
IF(AX183="K",VLOOKUP(K183,Foundation_Calc!$K$116:$R$149,VLOOKUP(AW183,Foundation_Calc!$I$2:$J$8,2,FALSE),0),"")))</f>
        <v/>
      </c>
      <c r="BA183" s="553" t="str">
        <f t="shared" si="15"/>
        <v/>
      </c>
      <c r="BB183" s="553" t="str">
        <f t="shared" si="15"/>
        <v/>
      </c>
      <c r="BC183" s="553" t="str">
        <f t="shared" si="16"/>
        <v/>
      </c>
      <c r="BD183" s="572" t="str">
        <f>IF(AND(L183="",H183=""),"",
IF(H183="",Pole_Calc!A$9,
IF(H183="MP",Pole_Calc!A$10,
IF(H183="AnMP",Pole_Calc!A$11,
IF(H183="A",Pole_Calc!A$12,
IF(H183="S/A",Pole_Calc!A$13,
IF(H183="A/S",Pole_Calc!A$14,"Poner a mano")))))))</f>
        <v/>
      </c>
      <c r="BE183" s="448" t="s">
        <v>1726</v>
      </c>
      <c r="BF183" s="305"/>
      <c r="BG183" s="305"/>
      <c r="BH183" s="306"/>
      <c r="BI183" s="305"/>
    </row>
    <row r="184" spans="1:61" ht="16.2" customHeight="1">
      <c r="A184" s="573"/>
      <c r="B184" s="469" t="s">
        <v>1945</v>
      </c>
      <c r="C184" s="3">
        <f>+$C$182+$G$183</f>
        <v>3988.9500000000003</v>
      </c>
      <c r="D184" s="88"/>
      <c r="E184" s="4"/>
      <c r="F184" s="4">
        <v>-2200</v>
      </c>
      <c r="G184" s="6"/>
      <c r="H184" s="468"/>
      <c r="I184" s="468"/>
      <c r="J184" s="3"/>
      <c r="K184" s="468"/>
      <c r="L184" s="468" t="s">
        <v>38</v>
      </c>
      <c r="M184" s="468" t="str">
        <f>IF(L184="","",
IF(AX184="PT",VLOOKUP(L184,Foundation_Calc!$V$79:$X$112,VLOOKUP(AX184,Foundation_Calc!$I$10:$J$13,2,FALSE),0),
IF(AX184="K",VLOOKUP(L184,Foundation_Calc!$V$116:$X$149,VLOOKUP(AX184,Foundation_Calc!$I$10:$J$13,2,FALSE),0),"")))</f>
        <v>C4R</v>
      </c>
      <c r="N184" s="468" t="s">
        <v>32</v>
      </c>
      <c r="O184" s="468"/>
      <c r="P184" s="468"/>
      <c r="Q184" s="4"/>
      <c r="R184" s="6"/>
      <c r="S184" s="6"/>
      <c r="T184" s="4">
        <v>-30</v>
      </c>
      <c r="U184" s="4"/>
      <c r="V184" s="4"/>
      <c r="W184" s="9">
        <v>1.4</v>
      </c>
      <c r="X184" s="9"/>
      <c r="Y184" s="9"/>
      <c r="Z184" s="9"/>
      <c r="AA184" s="9"/>
      <c r="AB184" s="9"/>
      <c r="AC184" s="468" t="str">
        <f t="shared" si="14"/>
        <v>PHQ</v>
      </c>
      <c r="AD184" s="468"/>
      <c r="AE184" s="468"/>
      <c r="AF184" s="4"/>
      <c r="AG184" s="88"/>
      <c r="AH184" s="4"/>
      <c r="AI184" s="4"/>
      <c r="AJ184" s="468"/>
      <c r="AK184" s="468"/>
      <c r="AL184" s="468"/>
      <c r="AM184" s="468" t="s">
        <v>486</v>
      </c>
      <c r="AN184" s="10">
        <v>5.5</v>
      </c>
      <c r="AO184" s="9"/>
      <c r="AP184" s="9"/>
      <c r="AQ184" s="9"/>
      <c r="AR184" s="9"/>
      <c r="AS184" s="9"/>
      <c r="AT184" s="9">
        <f>+ab($T$184,$T$182,$T$186,$G$183,$G$185, 1*$F$184,1200)</f>
        <v>-7.9890358238033476</v>
      </c>
      <c r="AU184" s="447"/>
      <c r="AV184" s="447"/>
      <c r="AW184" s="468" t="str">
        <f>IF(C184&gt;0,VLOOKUP(C184,Foundation_Calc!$A$2:$C$13,3,1),
IF(J184&gt;0,VLOOKUP(J184,Foundation_Calc!$A$2:$C$13,3,1),""))</f>
        <v>MultiSoil</v>
      </c>
      <c r="AX184" s="468" t="str">
        <f>IF(C184&gt;0,VLOOKUP(C184,Foundation_Calc!$E$2:$G$13,3,1),
IF(J184&gt;0,VLOOKUP(J184,Foundation_Calc!$E$2:$G$13,3,1),""))</f>
        <v>PT</v>
      </c>
      <c r="AY184" s="10">
        <f>IF(L184="","",
IF(AX184="PT",VLOOKUP(L184,Foundation_Calc!$K$79:$R$112,VLOOKUP(AW184,Foundation_Calc!$I$2:$J$8,2,FALSE),0),
IF(AX184="K",VLOOKUP(L184,Foundation_Calc!$K$116:$R$149,VLOOKUP(AW184,Foundation_Calc!$I$2:$J$8,2,FALSE),0),"")))</f>
        <v>3.5</v>
      </c>
      <c r="AZ184" s="10" t="str">
        <f>IF(K184="","",
IF(AX184="PT",VLOOKUP(K184,Foundation_Calc!$K$79:$R$112,VLOOKUP(AW184,Foundation_Calc!$I$2:$J$8,2,FALSE),0),
IF(AX184="K",VLOOKUP(K184,Foundation_Calc!$K$116:$R$149,VLOOKUP(AW184,Foundation_Calc!$I$2:$J$8,2,FALSE),0),"")))</f>
        <v/>
      </c>
      <c r="BA184" s="553" t="str">
        <f t="shared" si="15"/>
        <v>ü</v>
      </c>
      <c r="BB184" s="553" t="str">
        <f t="shared" si="15"/>
        <v/>
      </c>
      <c r="BC184" s="553" t="str">
        <f t="shared" si="16"/>
        <v/>
      </c>
      <c r="BD184" s="572" t="str">
        <f>IF(AND(L184="",H184=""),"",
IF(H184="",Pole_Calc!A$9,
IF(H184="MP",Pole_Calc!A$10,
IF(H184="AnMP",Pole_Calc!A$11,
IF(H184="A",Pole_Calc!A$12,
IF(H184="S/A",Pole_Calc!A$13,
IF(H184="A/S",Pole_Calc!A$14,"Poner a mano")))))))</f>
        <v>App.7-V11H-P9.5.1.1</v>
      </c>
      <c r="BE184" s="448" t="s">
        <v>1726</v>
      </c>
      <c r="BF184" s="306"/>
      <c r="BG184" s="306"/>
      <c r="BH184" s="306"/>
      <c r="BI184" s="306"/>
    </row>
    <row r="185" spans="1:61" ht="16.2" customHeight="1">
      <c r="A185" s="573"/>
      <c r="B185" s="469"/>
      <c r="C185" s="3"/>
      <c r="D185" s="88"/>
      <c r="E185" s="4"/>
      <c r="F185" s="4"/>
      <c r="G185" s="6">
        <v>53</v>
      </c>
      <c r="H185" s="468"/>
      <c r="I185" s="468"/>
      <c r="J185" s="3"/>
      <c r="K185" s="468"/>
      <c r="L185" s="468"/>
      <c r="M185" s="468" t="str">
        <f>IF(L185="","",
IF(AX185="PT",VLOOKUP(L185,Foundation_Calc!$V$79:$X$112,VLOOKUP(AX185,Foundation_Calc!$I$10:$J$13,2,FALSE),0),
IF(AX185="K",VLOOKUP(L185,Foundation_Calc!$V$116:$X$149,VLOOKUP(AX185,Foundation_Calc!$I$10:$J$13,2,FALSE),0),"")))</f>
        <v/>
      </c>
      <c r="N185" s="468"/>
      <c r="O185" s="468"/>
      <c r="P185" s="468"/>
      <c r="Q185" s="4"/>
      <c r="R185" s="6"/>
      <c r="S185" s="6"/>
      <c r="T185" s="4"/>
      <c r="U185" s="4"/>
      <c r="V185" s="4"/>
      <c r="W185" s="9"/>
      <c r="X185" s="9"/>
      <c r="Y185" s="9"/>
      <c r="Z185" s="9"/>
      <c r="AA185" s="9"/>
      <c r="AB185" s="9"/>
      <c r="AC185" s="468" t="str">
        <f t="shared" si="14"/>
        <v/>
      </c>
      <c r="AD185" s="468"/>
      <c r="AE185" s="468"/>
      <c r="AF185" s="4"/>
      <c r="AG185" s="88"/>
      <c r="AH185" s="4"/>
      <c r="AI185" s="4"/>
      <c r="AJ185" s="468"/>
      <c r="AK185" s="468"/>
      <c r="AL185" s="468"/>
      <c r="AM185" s="468"/>
      <c r="AN185" s="10"/>
      <c r="AO185" s="9"/>
      <c r="AP185" s="9"/>
      <c r="AQ185" s="9">
        <f>+FL_2($T$186,$T$184,$G$185,1200,9.28, 1*$F$186)</f>
        <v>-0.41192860422719213</v>
      </c>
      <c r="AR185" s="9"/>
      <c r="AS185" s="9"/>
      <c r="AT185" s="9"/>
      <c r="AU185" s="447"/>
      <c r="AV185" s="447"/>
      <c r="AW185" s="468" t="str">
        <f>IF(C185&gt;0,VLOOKUP(C185,Foundation_Calc!$A$2:$C$13,3,1),
IF(J185&gt;0,VLOOKUP(J185,Foundation_Calc!$A$2:$C$13,3,1),""))</f>
        <v/>
      </c>
      <c r="AX185" s="468" t="str">
        <f>IF(C185&gt;0,VLOOKUP(C185,Foundation_Calc!$E$2:$G$13,3,1),
IF(J185&gt;0,VLOOKUP(J185,Foundation_Calc!$E$2:$G$13,3,1),""))</f>
        <v/>
      </c>
      <c r="AY185" s="10" t="str">
        <f>IF(L185="","",
IF(AX185="PT",VLOOKUP(L185,Foundation_Calc!$K$79:$R$112,VLOOKUP(AW185,Foundation_Calc!$I$2:$J$8,2,FALSE),0),
IF(AX185="K",VLOOKUP(L185,Foundation_Calc!$K$116:$R$149,VLOOKUP(AW185,Foundation_Calc!$I$2:$J$8,2,FALSE),0),"")))</f>
        <v/>
      </c>
      <c r="AZ185" s="10" t="str">
        <f>IF(K185="","",
IF(AX185="PT",VLOOKUP(K185,Foundation_Calc!$K$79:$R$112,VLOOKUP(AW185,Foundation_Calc!$I$2:$J$8,2,FALSE),0),
IF(AX185="K",VLOOKUP(K185,Foundation_Calc!$K$116:$R$149,VLOOKUP(AW185,Foundation_Calc!$I$2:$J$8,2,FALSE),0),"")))</f>
        <v/>
      </c>
      <c r="BA185" s="553" t="str">
        <f t="shared" si="15"/>
        <v/>
      </c>
      <c r="BB185" s="553" t="str">
        <f t="shared" si="15"/>
        <v/>
      </c>
      <c r="BC185" s="553" t="str">
        <f t="shared" si="16"/>
        <v/>
      </c>
      <c r="BD185" s="572" t="str">
        <f>IF(AND(L185="",H185=""),"",
IF(H185="",Pole_Calc!A$9,
IF(H185="MP",Pole_Calc!A$10,
IF(H185="AnMP",Pole_Calc!A$11,
IF(H185="A",Pole_Calc!A$12,
IF(H185="S/A",Pole_Calc!A$13,
IF(H185="A/S",Pole_Calc!A$14,"Poner a mano")))))))</f>
        <v/>
      </c>
      <c r="BE185" s="448" t="s">
        <v>1726</v>
      </c>
      <c r="BF185" s="305"/>
      <c r="BG185" s="305"/>
      <c r="BH185" s="306"/>
      <c r="BI185" s="305"/>
    </row>
    <row r="186" spans="1:61" ht="16.2" customHeight="1">
      <c r="A186" s="573"/>
      <c r="B186" s="469" t="s">
        <v>1946</v>
      </c>
      <c r="C186" s="3">
        <f>+$C$184+$G$185</f>
        <v>4041.9500000000003</v>
      </c>
      <c r="D186" s="88"/>
      <c r="E186" s="4"/>
      <c r="F186" s="4">
        <v>-2200</v>
      </c>
      <c r="G186" s="6"/>
      <c r="H186" s="468"/>
      <c r="I186" s="468"/>
      <c r="J186" s="3"/>
      <c r="K186" s="468"/>
      <c r="L186" s="468" t="s">
        <v>38</v>
      </c>
      <c r="M186" s="468" t="str">
        <f>IF(L186="","",
IF(AX186="PT",VLOOKUP(L186,Foundation_Calc!$V$79:$X$112,VLOOKUP(AX186,Foundation_Calc!$I$10:$J$13,2,FALSE),0),
IF(AX186="K",VLOOKUP(L186,Foundation_Calc!$V$116:$X$149,VLOOKUP(AX186,Foundation_Calc!$I$10:$J$13,2,FALSE),0),"")))</f>
        <v>C4R</v>
      </c>
      <c r="N186" s="468" t="s">
        <v>32</v>
      </c>
      <c r="O186" s="468"/>
      <c r="P186" s="468"/>
      <c r="Q186" s="4"/>
      <c r="R186" s="6"/>
      <c r="S186" s="6"/>
      <c r="T186" s="4">
        <v>-30</v>
      </c>
      <c r="U186" s="4"/>
      <c r="V186" s="4"/>
      <c r="W186" s="9">
        <v>1.4</v>
      </c>
      <c r="X186" s="9"/>
      <c r="Y186" s="9"/>
      <c r="Z186" s="9"/>
      <c r="AA186" s="9"/>
      <c r="AB186" s="9"/>
      <c r="AC186" s="468" t="str">
        <f t="shared" si="14"/>
        <v>PHQ</v>
      </c>
      <c r="AD186" s="468"/>
      <c r="AE186" s="468"/>
      <c r="AF186" s="4"/>
      <c r="AG186" s="88"/>
      <c r="AH186" s="4"/>
      <c r="AI186" s="4"/>
      <c r="AJ186" s="468"/>
      <c r="AK186" s="468"/>
      <c r="AL186" s="468"/>
      <c r="AM186" s="468" t="s">
        <v>486</v>
      </c>
      <c r="AN186" s="10">
        <v>5.5</v>
      </c>
      <c r="AO186" s="9"/>
      <c r="AP186" s="9"/>
      <c r="AQ186" s="9"/>
      <c r="AR186" s="9"/>
      <c r="AS186" s="9"/>
      <c r="AT186" s="9">
        <f>+ab($T$186,$T$184,$T$188,$G$185,$G$187, 1*$F$186,1200)</f>
        <v>-5.2634368430702949</v>
      </c>
      <c r="AU186" s="447"/>
      <c r="AV186" s="447"/>
      <c r="AW186" s="468" t="str">
        <f>IF(C186&gt;0,VLOOKUP(C186,Foundation_Calc!$A$2:$C$13,3,1),
IF(J186&gt;0,VLOOKUP(J186,Foundation_Calc!$A$2:$C$13,3,1),""))</f>
        <v>MultiSoil</v>
      </c>
      <c r="AX186" s="468" t="str">
        <f>IF(C186&gt;0,VLOOKUP(C186,Foundation_Calc!$E$2:$G$13,3,1),
IF(J186&gt;0,VLOOKUP(J186,Foundation_Calc!$E$2:$G$13,3,1),""))</f>
        <v>PT</v>
      </c>
      <c r="AY186" s="10">
        <f>IF(L186="","",
IF(AX186="PT",VLOOKUP(L186,Foundation_Calc!$K$79:$R$112,VLOOKUP(AW186,Foundation_Calc!$I$2:$J$8,2,FALSE),0),
IF(AX186="K",VLOOKUP(L186,Foundation_Calc!$K$116:$R$149,VLOOKUP(AW186,Foundation_Calc!$I$2:$J$8,2,FALSE),0),"")))</f>
        <v>3.5</v>
      </c>
      <c r="AZ186" s="10" t="str">
        <f>IF(K186="","",
IF(AX186="PT",VLOOKUP(K186,Foundation_Calc!$K$79:$R$112,VLOOKUP(AW186,Foundation_Calc!$I$2:$J$8,2,FALSE),0),
IF(AX186="K",VLOOKUP(K186,Foundation_Calc!$K$116:$R$149,VLOOKUP(AW186,Foundation_Calc!$I$2:$J$8,2,FALSE),0),"")))</f>
        <v/>
      </c>
      <c r="BA186" s="553" t="str">
        <f t="shared" si="15"/>
        <v>ü</v>
      </c>
      <c r="BB186" s="553" t="str">
        <f t="shared" si="15"/>
        <v/>
      </c>
      <c r="BC186" s="553" t="str">
        <f t="shared" si="16"/>
        <v/>
      </c>
      <c r="BD186" s="572" t="str">
        <f>IF(AND(L186="",H186=""),"",
IF(H186="",Pole_Calc!A$9,
IF(H186="MP",Pole_Calc!A$10,
IF(H186="AnMP",Pole_Calc!A$11,
IF(H186="A",Pole_Calc!A$12,
IF(H186="S/A",Pole_Calc!A$13,
IF(H186="A/S",Pole_Calc!A$14,"Poner a mano")))))))</f>
        <v>App.7-V11H-P9.5.1.1</v>
      </c>
      <c r="BE186" s="448" t="s">
        <v>1726</v>
      </c>
      <c r="BF186" s="306"/>
      <c r="BG186" s="306"/>
      <c r="BH186" s="306"/>
      <c r="BI186" s="306"/>
    </row>
    <row r="187" spans="1:61" ht="16.2" customHeight="1">
      <c r="A187" s="573"/>
      <c r="B187" s="469"/>
      <c r="C187" s="3"/>
      <c r="D187" s="88"/>
      <c r="E187" s="4"/>
      <c r="F187" s="4"/>
      <c r="G187" s="6">
        <v>53</v>
      </c>
      <c r="H187" s="468"/>
      <c r="I187" s="468"/>
      <c r="J187" s="3"/>
      <c r="K187" s="468"/>
      <c r="L187" s="468"/>
      <c r="M187" s="468" t="str">
        <f>IF(L187="","",
IF(AX187="PT",VLOOKUP(L187,Foundation_Calc!$V$79:$X$112,VLOOKUP(AX187,Foundation_Calc!$I$10:$J$13,2,FALSE),0),
IF(AX187="K",VLOOKUP(L187,Foundation_Calc!$V$116:$X$149,VLOOKUP(AX187,Foundation_Calc!$I$10:$J$13,2,FALSE),0),"")))</f>
        <v/>
      </c>
      <c r="N187" s="468"/>
      <c r="O187" s="468"/>
      <c r="P187" s="468"/>
      <c r="Q187" s="4"/>
      <c r="R187" s="6"/>
      <c r="S187" s="6"/>
      <c r="T187" s="4"/>
      <c r="U187" s="4"/>
      <c r="V187" s="4"/>
      <c r="W187" s="9"/>
      <c r="X187" s="9"/>
      <c r="Y187" s="9"/>
      <c r="Z187" s="9"/>
      <c r="AA187" s="9"/>
      <c r="AB187" s="9"/>
      <c r="AC187" s="468" t="str">
        <f t="shared" si="14"/>
        <v/>
      </c>
      <c r="AD187" s="468"/>
      <c r="AE187" s="468"/>
      <c r="AF187" s="4"/>
      <c r="AG187" s="88"/>
      <c r="AH187" s="4"/>
      <c r="AI187" s="4"/>
      <c r="AJ187" s="468"/>
      <c r="AK187" s="468"/>
      <c r="AL187" s="468"/>
      <c r="AM187" s="468"/>
      <c r="AN187" s="10"/>
      <c r="AO187" s="9"/>
      <c r="AP187" s="9"/>
      <c r="AQ187" s="9">
        <f>+FL_1($T$188,$T$186,$G$187,1200,9.28, 1*$F$188)</f>
        <v>0.39946636809806735</v>
      </c>
      <c r="AR187" s="9"/>
      <c r="AS187" s="9"/>
      <c r="AT187" s="9"/>
      <c r="AU187" s="447"/>
      <c r="AV187" s="447"/>
      <c r="AW187" s="468" t="str">
        <f>IF(C187&gt;0,VLOOKUP(C187,Foundation_Calc!$A$2:$C$13,3,1),
IF(J187&gt;0,VLOOKUP(J187,Foundation_Calc!$A$2:$C$13,3,1),""))</f>
        <v/>
      </c>
      <c r="AX187" s="468" t="str">
        <f>IF(C187&gt;0,VLOOKUP(C187,Foundation_Calc!$E$2:$G$13,3,1),
IF(J187&gt;0,VLOOKUP(J187,Foundation_Calc!$E$2:$G$13,3,1),""))</f>
        <v/>
      </c>
      <c r="AY187" s="10" t="str">
        <f>IF(L187="","",
IF(AX187="PT",VLOOKUP(L187,Foundation_Calc!$K$79:$R$112,VLOOKUP(AW187,Foundation_Calc!$I$2:$J$8,2,FALSE),0),
IF(AX187="K",VLOOKUP(L187,Foundation_Calc!$K$116:$R$149,VLOOKUP(AW187,Foundation_Calc!$I$2:$J$8,2,FALSE),0),"")))</f>
        <v/>
      </c>
      <c r="AZ187" s="10" t="str">
        <f>IF(K187="","",
IF(AX187="PT",VLOOKUP(K187,Foundation_Calc!$K$79:$R$112,VLOOKUP(AW187,Foundation_Calc!$I$2:$J$8,2,FALSE),0),
IF(AX187="K",VLOOKUP(K187,Foundation_Calc!$K$116:$R$149,VLOOKUP(AW187,Foundation_Calc!$I$2:$J$8,2,FALSE),0),"")))</f>
        <v/>
      </c>
      <c r="BA187" s="553" t="str">
        <f t="shared" si="15"/>
        <v/>
      </c>
      <c r="BB187" s="553" t="str">
        <f t="shared" si="15"/>
        <v/>
      </c>
      <c r="BC187" s="553" t="str">
        <f t="shared" si="16"/>
        <v/>
      </c>
      <c r="BD187" s="572" t="str">
        <f>IF(AND(L187="",H187=""),"",
IF(H187="",Pole_Calc!A$9,
IF(H187="MP",Pole_Calc!A$10,
IF(H187="AnMP",Pole_Calc!A$11,
IF(H187="A",Pole_Calc!A$12,
IF(H187="S/A",Pole_Calc!A$13,
IF(H187="A/S",Pole_Calc!A$14,"Poner a mano")))))))</f>
        <v/>
      </c>
      <c r="BE187" s="448" t="s">
        <v>1726</v>
      </c>
      <c r="BF187" s="305"/>
      <c r="BG187" s="305"/>
      <c r="BH187" s="306"/>
      <c r="BI187" s="305"/>
    </row>
    <row r="188" spans="1:61" ht="16.2" customHeight="1">
      <c r="A188" s="573"/>
      <c r="B188" s="469" t="s">
        <v>1947</v>
      </c>
      <c r="C188" s="3">
        <f>+$C$186+$G$187</f>
        <v>4094.9500000000003</v>
      </c>
      <c r="D188" s="88"/>
      <c r="E188" s="4"/>
      <c r="F188" s="4">
        <v>-40350</v>
      </c>
      <c r="G188" s="6"/>
      <c r="H188" s="468"/>
      <c r="I188" s="468"/>
      <c r="J188" s="3"/>
      <c r="K188" s="468"/>
      <c r="L188" s="468" t="s">
        <v>38</v>
      </c>
      <c r="M188" s="468" t="str">
        <f>IF(L188="","",
IF(AX188="PT",VLOOKUP(L188,Foundation_Calc!$V$79:$X$112,VLOOKUP(AX188,Foundation_Calc!$I$10:$J$13,2,FALSE),0),
IF(AX188="K",VLOOKUP(L188,Foundation_Calc!$V$116:$X$149,VLOOKUP(AX188,Foundation_Calc!$I$10:$J$13,2,FALSE),0),"")))</f>
        <v>C4R</v>
      </c>
      <c r="N188" s="468" t="s">
        <v>33</v>
      </c>
      <c r="O188" s="468"/>
      <c r="P188" s="468"/>
      <c r="Q188" s="4"/>
      <c r="R188" s="6"/>
      <c r="S188" s="6"/>
      <c r="T188" s="4">
        <v>35</v>
      </c>
      <c r="U188" s="4"/>
      <c r="V188" s="4"/>
      <c r="W188" s="9">
        <v>1.4</v>
      </c>
      <c r="X188" s="9"/>
      <c r="Y188" s="9"/>
      <c r="Z188" s="9"/>
      <c r="AA188" s="9"/>
      <c r="AB188" s="9"/>
      <c r="AC188" s="468" t="str">
        <f t="shared" si="14"/>
        <v>PH</v>
      </c>
      <c r="AD188" s="468"/>
      <c r="AE188" s="468"/>
      <c r="AF188" s="4"/>
      <c r="AG188" s="88"/>
      <c r="AH188" s="4"/>
      <c r="AI188" s="4"/>
      <c r="AJ188" s="468"/>
      <c r="AK188" s="468"/>
      <c r="AL188" s="468"/>
      <c r="AM188" s="468" t="s">
        <v>486</v>
      </c>
      <c r="AN188" s="10">
        <v>5.5</v>
      </c>
      <c r="AO188" s="9"/>
      <c r="AP188" s="9"/>
      <c r="AQ188" s="9"/>
      <c r="AR188" s="9"/>
      <c r="AS188" s="9"/>
      <c r="AT188" s="9">
        <f>+ab($T$188,$T$186,$T$190,$G$187,$G$189, 1*$F$188,1200)</f>
        <v>8.0592047179339001</v>
      </c>
      <c r="AU188" s="447"/>
      <c r="AV188" s="447"/>
      <c r="AW188" s="468" t="str">
        <f>IF(C188&gt;0,VLOOKUP(C188,Foundation_Calc!$A$2:$C$13,3,1),
IF(J188&gt;0,VLOOKUP(J188,Foundation_Calc!$A$2:$C$13,3,1),""))</f>
        <v>MultiSoil</v>
      </c>
      <c r="AX188" s="468" t="str">
        <f>IF(C188&gt;0,VLOOKUP(C188,Foundation_Calc!$E$2:$G$13,3,1),
IF(J188&gt;0,VLOOKUP(J188,Foundation_Calc!$E$2:$G$13,3,1),""))</f>
        <v>PT</v>
      </c>
      <c r="AY188" s="10">
        <f>IF(L188="","",
IF(AX188="PT",VLOOKUP(L188,Foundation_Calc!$K$79:$R$112,VLOOKUP(AW188,Foundation_Calc!$I$2:$J$8,2,FALSE),0),
IF(AX188="K",VLOOKUP(L188,Foundation_Calc!$K$116:$R$149,VLOOKUP(AW188,Foundation_Calc!$I$2:$J$8,2,FALSE),0),"")))</f>
        <v>3.5</v>
      </c>
      <c r="AZ188" s="10" t="str">
        <f>IF(K188="","",
IF(AX188="PT",VLOOKUP(K188,Foundation_Calc!$K$79:$R$112,VLOOKUP(AW188,Foundation_Calc!$I$2:$J$8,2,FALSE),0),
IF(AX188="K",VLOOKUP(K188,Foundation_Calc!$K$116:$R$149,VLOOKUP(AW188,Foundation_Calc!$I$2:$J$8,2,FALSE),0),"")))</f>
        <v/>
      </c>
      <c r="BA188" s="553" t="str">
        <f t="shared" si="15"/>
        <v>ü</v>
      </c>
      <c r="BB188" s="553" t="str">
        <f t="shared" si="15"/>
        <v/>
      </c>
      <c r="BC188" s="553" t="str">
        <f t="shared" si="16"/>
        <v/>
      </c>
      <c r="BD188" s="572" t="str">
        <f>IF(AND(L188="",H188=""),"",
IF(H188="",Pole_Calc!A$9,
IF(H188="MP",Pole_Calc!A$10,
IF(H188="AnMP",Pole_Calc!A$11,
IF(H188="A",Pole_Calc!A$12,
IF(H188="S/A",Pole_Calc!A$13,
IF(H188="A/S",Pole_Calc!A$14,"Poner a mano")))))))</f>
        <v>App.7-V11H-P9.5.1.1</v>
      </c>
      <c r="BE188" s="448" t="s">
        <v>1726</v>
      </c>
      <c r="BF188" s="306"/>
      <c r="BG188" s="306"/>
      <c r="BH188" s="306"/>
      <c r="BI188" s="306"/>
    </row>
    <row r="189" spans="1:61" ht="16.2" customHeight="1">
      <c r="A189" s="573"/>
      <c r="B189" s="469"/>
      <c r="C189" s="3"/>
      <c r="D189" s="88"/>
      <c r="E189" s="4"/>
      <c r="F189" s="4"/>
      <c r="G189" s="6">
        <v>55</v>
      </c>
      <c r="H189" s="468"/>
      <c r="I189" s="468"/>
      <c r="J189" s="3"/>
      <c r="K189" s="468"/>
      <c r="L189" s="468"/>
      <c r="M189" s="468" t="str">
        <f>IF(L189="","",
IF(AX189="PT",VLOOKUP(L189,Foundation_Calc!$V$79:$X$112,VLOOKUP(AX189,Foundation_Calc!$I$10:$J$13,2,FALSE),0),
IF(AX189="K",VLOOKUP(L189,Foundation_Calc!$V$116:$X$149,VLOOKUP(AX189,Foundation_Calc!$I$10:$J$13,2,FALSE),0),"")))</f>
        <v/>
      </c>
      <c r="N189" s="468"/>
      <c r="O189" s="468"/>
      <c r="P189" s="468"/>
      <c r="Q189" s="4"/>
      <c r="R189" s="6"/>
      <c r="S189" s="6"/>
      <c r="T189" s="4"/>
      <c r="U189" s="4"/>
      <c r="V189" s="4"/>
      <c r="W189" s="9"/>
      <c r="X189" s="9"/>
      <c r="Y189" s="9"/>
      <c r="Z189" s="9"/>
      <c r="AA189" s="9"/>
      <c r="AB189" s="9"/>
      <c r="AC189" s="468" t="str">
        <f t="shared" si="14"/>
        <v/>
      </c>
      <c r="AD189" s="468"/>
      <c r="AE189" s="468"/>
      <c r="AF189" s="4"/>
      <c r="AG189" s="88"/>
      <c r="AH189" s="4"/>
      <c r="AI189" s="4"/>
      <c r="AJ189" s="468"/>
      <c r="AK189" s="468"/>
      <c r="AL189" s="468"/>
      <c r="AM189" s="468"/>
      <c r="AN189" s="10"/>
      <c r="AO189" s="9"/>
      <c r="AP189" s="9"/>
      <c r="AQ189" s="9">
        <f>+FL_1($T$190,$T$188,$G$189,1200,9.28, 1*$F$190)</f>
        <v>0.39714735709090898</v>
      </c>
      <c r="AR189" s="9"/>
      <c r="AS189" s="9"/>
      <c r="AT189" s="9"/>
      <c r="AU189" s="447"/>
      <c r="AV189" s="447"/>
      <c r="AW189" s="468" t="str">
        <f>IF(C189&gt;0,VLOOKUP(C189,Foundation_Calc!$A$2:$C$13,3,1),
IF(J189&gt;0,VLOOKUP(J189,Foundation_Calc!$A$2:$C$13,3,1),""))</f>
        <v/>
      </c>
      <c r="AX189" s="468" t="str">
        <f>IF(C189&gt;0,VLOOKUP(C189,Foundation_Calc!$E$2:$G$13,3,1),
IF(J189&gt;0,VLOOKUP(J189,Foundation_Calc!$E$2:$G$13,3,1),""))</f>
        <v/>
      </c>
      <c r="AY189" s="10" t="str">
        <f>IF(L189="","",
IF(AX189="PT",VLOOKUP(L189,Foundation_Calc!$K$79:$R$112,VLOOKUP(AW189,Foundation_Calc!$I$2:$J$8,2,FALSE),0),
IF(AX189="K",VLOOKUP(L189,Foundation_Calc!$K$116:$R$149,VLOOKUP(AW189,Foundation_Calc!$I$2:$J$8,2,FALSE),0),"")))</f>
        <v/>
      </c>
      <c r="AZ189" s="10" t="str">
        <f>IF(K189="","",
IF(AX189="PT",VLOOKUP(K189,Foundation_Calc!$K$79:$R$112,VLOOKUP(AW189,Foundation_Calc!$I$2:$J$8,2,FALSE),0),
IF(AX189="K",VLOOKUP(K189,Foundation_Calc!$K$116:$R$149,VLOOKUP(AW189,Foundation_Calc!$I$2:$J$8,2,FALSE),0),"")))</f>
        <v/>
      </c>
      <c r="BA189" s="553" t="str">
        <f t="shared" si="15"/>
        <v/>
      </c>
      <c r="BB189" s="553" t="str">
        <f t="shared" si="15"/>
        <v/>
      </c>
      <c r="BC189" s="553" t="str">
        <f t="shared" si="16"/>
        <v/>
      </c>
      <c r="BD189" s="572" t="str">
        <f>IF(AND(L189="",H189=""),"",
IF(H189="",Pole_Calc!A$9,
IF(H189="MP",Pole_Calc!A$10,
IF(H189="AnMP",Pole_Calc!A$11,
IF(H189="A",Pole_Calc!A$12,
IF(H189="S/A",Pole_Calc!A$13,
IF(H189="A/S",Pole_Calc!A$14,"Poner a mano")))))))</f>
        <v/>
      </c>
      <c r="BE189" s="448" t="s">
        <v>1726</v>
      </c>
      <c r="BF189" s="305"/>
      <c r="BG189" s="305"/>
      <c r="BH189" s="306"/>
      <c r="BI189" s="305"/>
    </row>
    <row r="190" spans="1:61" ht="16.2" customHeight="1">
      <c r="A190" s="573"/>
      <c r="B190" s="469" t="s">
        <v>1948</v>
      </c>
      <c r="C190" s="3">
        <f>+$C$188+$G$189</f>
        <v>4149.9500000000007</v>
      </c>
      <c r="D190" s="88"/>
      <c r="E190" s="4"/>
      <c r="F190" s="4">
        <v>0</v>
      </c>
      <c r="G190" s="6"/>
      <c r="H190" s="468"/>
      <c r="I190" s="468"/>
      <c r="J190" s="3"/>
      <c r="K190" s="468"/>
      <c r="L190" s="468" t="s">
        <v>37</v>
      </c>
      <c r="M190" s="468" t="str">
        <f>IF(L190="","",
IF(AX190="PT",VLOOKUP(L190,Foundation_Calc!$V$79:$X$112,VLOOKUP(AX190,Foundation_Calc!$I$10:$J$13,2,FALSE),0),
IF(AX190="K",VLOOKUP(L190,Foundation_Calc!$V$116:$X$149,VLOOKUP(AX190,Foundation_Calc!$I$10:$J$13,2,FALSE),0),"")))</f>
        <v>C3R</v>
      </c>
      <c r="N190" s="468" t="s">
        <v>32</v>
      </c>
      <c r="O190" s="468"/>
      <c r="P190" s="468"/>
      <c r="Q190" s="4"/>
      <c r="R190" s="6"/>
      <c r="S190" s="6"/>
      <c r="T190" s="4">
        <v>-35</v>
      </c>
      <c r="U190" s="4"/>
      <c r="V190" s="4"/>
      <c r="W190" s="9">
        <v>1.4</v>
      </c>
      <c r="X190" s="9"/>
      <c r="Y190" s="9"/>
      <c r="Z190" s="9"/>
      <c r="AA190" s="9"/>
      <c r="AB190" s="9"/>
      <c r="AC190" s="468" t="str">
        <f t="shared" si="14"/>
        <v>PHQ</v>
      </c>
      <c r="AD190" s="468"/>
      <c r="AE190" s="468"/>
      <c r="AF190" s="4"/>
      <c r="AG190" s="88"/>
      <c r="AH190" s="4"/>
      <c r="AI190" s="4"/>
      <c r="AJ190" s="468"/>
      <c r="AK190" s="468"/>
      <c r="AL190" s="468"/>
      <c r="AM190" s="468" t="s">
        <v>486</v>
      </c>
      <c r="AN190" s="10">
        <v>5.5</v>
      </c>
      <c r="AO190" s="9"/>
      <c r="AP190" s="9"/>
      <c r="AQ190" s="9"/>
      <c r="AR190" s="9"/>
      <c r="AS190" s="9"/>
      <c r="AT190" s="9">
        <f>+ab($T$190,$T$188,$T$192,$G$189,$G$191, 1*$F$190,1200)</f>
        <v>-7.8175501667728815</v>
      </c>
      <c r="AU190" s="447"/>
      <c r="AV190" s="447"/>
      <c r="AW190" s="468" t="str">
        <f>IF(C190&gt;0,VLOOKUP(C190,Foundation_Calc!$A$2:$C$13,3,1),
IF(J190&gt;0,VLOOKUP(J190,Foundation_Calc!$A$2:$C$13,3,1),""))</f>
        <v>MultiSoil</v>
      </c>
      <c r="AX190" s="468" t="str">
        <f>IF(C190&gt;0,VLOOKUP(C190,Foundation_Calc!$E$2:$G$13,3,1),
IF(J190&gt;0,VLOOKUP(J190,Foundation_Calc!$E$2:$G$13,3,1),""))</f>
        <v>PT</v>
      </c>
      <c r="AY190" s="10">
        <f>IF(L190="","",
IF(AX190="PT",VLOOKUP(L190,Foundation_Calc!$K$79:$R$112,VLOOKUP(AW190,Foundation_Calc!$I$2:$J$8,2,FALSE),0),
IF(AX190="K",VLOOKUP(L190,Foundation_Calc!$K$116:$R$149,VLOOKUP(AW190,Foundation_Calc!$I$2:$J$8,2,FALSE),0),"")))</f>
        <v>3.5</v>
      </c>
      <c r="AZ190" s="10" t="str">
        <f>IF(K190="","",
IF(AX190="PT",VLOOKUP(K190,Foundation_Calc!$K$79:$R$112,VLOOKUP(AW190,Foundation_Calc!$I$2:$J$8,2,FALSE),0),
IF(AX190="K",VLOOKUP(K190,Foundation_Calc!$K$116:$R$149,VLOOKUP(AW190,Foundation_Calc!$I$2:$J$8,2,FALSE),0),"")))</f>
        <v/>
      </c>
      <c r="BA190" s="553" t="str">
        <f t="shared" si="15"/>
        <v>ü</v>
      </c>
      <c r="BB190" s="553" t="str">
        <f t="shared" si="15"/>
        <v/>
      </c>
      <c r="BC190" s="553" t="str">
        <f t="shared" si="16"/>
        <v/>
      </c>
      <c r="BD190" s="572" t="str">
        <f>IF(AND(L190="",H190=""),"",
IF(H190="",Pole_Calc!A$9,
IF(H190="MP",Pole_Calc!A$10,
IF(H190="AnMP",Pole_Calc!A$11,
IF(H190="A",Pole_Calc!A$12,
IF(H190="S/A",Pole_Calc!A$13,
IF(H190="A/S",Pole_Calc!A$14,"Poner a mano")))))))</f>
        <v>App.7-V11H-P9.5.1.1</v>
      </c>
      <c r="BE190" s="448" t="s">
        <v>1726</v>
      </c>
      <c r="BF190" s="306"/>
      <c r="BG190" s="306"/>
      <c r="BH190" s="306"/>
      <c r="BI190" s="306"/>
    </row>
    <row r="191" spans="1:61" ht="16.2" customHeight="1">
      <c r="A191" s="573"/>
      <c r="B191" s="469"/>
      <c r="C191" s="3"/>
      <c r="D191" s="88"/>
      <c r="E191" s="4"/>
      <c r="F191" s="4"/>
      <c r="G191" s="6">
        <v>60</v>
      </c>
      <c r="H191" s="468"/>
      <c r="I191" s="468"/>
      <c r="J191" s="3">
        <f>C192-7.5</f>
        <v>4202.4500000000007</v>
      </c>
      <c r="K191" s="468" t="s">
        <v>1095</v>
      </c>
      <c r="L191" s="468"/>
      <c r="M191" s="468" t="str">
        <f>IF(L191="","",
IF(AX191="PT",VLOOKUP(L191,Foundation_Calc!$V$79:$X$112,VLOOKUP(AX191,Foundation_Calc!$I$10:$J$13,2,FALSE),0),
IF(AX191="K",VLOOKUP(L191,Foundation_Calc!$V$116:$X$149,VLOOKUP(AX191,Foundation_Calc!$I$10:$J$13,2,FALSE),0),"")))</f>
        <v/>
      </c>
      <c r="N191" s="468"/>
      <c r="O191" s="468"/>
      <c r="P191" s="468"/>
      <c r="Q191" s="4"/>
      <c r="R191" s="6"/>
      <c r="S191" s="6"/>
      <c r="T191" s="4"/>
      <c r="U191" s="4"/>
      <c r="V191" s="4"/>
      <c r="W191" s="9"/>
      <c r="X191" s="9"/>
      <c r="Y191" s="9"/>
      <c r="Z191" s="9"/>
      <c r="AA191" s="9"/>
      <c r="AB191" s="9"/>
      <c r="AC191" s="468" t="str">
        <f t="shared" si="14"/>
        <v/>
      </c>
      <c r="AD191" s="468"/>
      <c r="AE191" s="468"/>
      <c r="AF191" s="4"/>
      <c r="AG191" s="88"/>
      <c r="AH191" s="4"/>
      <c r="AI191" s="4"/>
      <c r="AJ191" s="468"/>
      <c r="AK191" s="468"/>
      <c r="AL191" s="468"/>
      <c r="AM191" s="468"/>
      <c r="AN191" s="10"/>
      <c r="AO191" s="9"/>
      <c r="AP191" s="9"/>
      <c r="AQ191" s="9">
        <f>+FL_1($T$192,$T$190,$G$191,1200,9.28, 1*$F$192)</f>
        <v>0.43600286799999999</v>
      </c>
      <c r="AR191" s="9"/>
      <c r="AS191" s="9"/>
      <c r="AT191" s="9"/>
      <c r="AU191" s="447"/>
      <c r="AV191" s="447"/>
      <c r="AW191" s="468" t="str">
        <f>IF(C191&gt;0,VLOOKUP(C191,Foundation_Calc!$A$2:$C$13,3,1),
IF(J191&gt;0,VLOOKUP(J191,Foundation_Calc!$A$2:$C$13,3,1),""))</f>
        <v>MultiSoil</v>
      </c>
      <c r="AX191" s="468" t="str">
        <f>IF(C191&gt;0,VLOOKUP(C191,Foundation_Calc!$E$2:$G$13,3,1),
IF(J191&gt;0,VLOOKUP(J191,Foundation_Calc!$E$2:$G$13,3,1),""))</f>
        <v>PT</v>
      </c>
      <c r="AY191" s="10" t="str">
        <f>IF(L191="","",
IF(AX191="PT",VLOOKUP(L191,Foundation_Calc!$K$79:$R$112,VLOOKUP(AW191,Foundation_Calc!$I$2:$J$8,2,FALSE),0),
IF(AX191="K",VLOOKUP(L191,Foundation_Calc!$K$116:$R$149,VLOOKUP(AW191,Foundation_Calc!$I$2:$J$8,2,FALSE),0),"")))</f>
        <v/>
      </c>
      <c r="AZ191" s="10">
        <f>IF(K191="","",
IF(AX191="PT",VLOOKUP(K191,Foundation_Calc!$K$79:$R$112,VLOOKUP(AW191,Foundation_Calc!$I$2:$J$8,2,FALSE),0),
IF(AX191="K",VLOOKUP(K191,Foundation_Calc!$K$116:$R$149,VLOOKUP(AW191,Foundation_Calc!$I$2:$J$8,2,FALSE),0),"")))</f>
        <v>3.9</v>
      </c>
      <c r="BA191" s="553" t="str">
        <f t="shared" si="15"/>
        <v/>
      </c>
      <c r="BB191" s="553" t="str">
        <f t="shared" si="15"/>
        <v>ü</v>
      </c>
      <c r="BC191" s="553" t="str">
        <f t="shared" si="16"/>
        <v/>
      </c>
      <c r="BD191" s="572" t="str">
        <f>IF(AND(L191="",H191=""),"",
IF(H191="",Pole_Calc!A$9,
IF(H191="MP",Pole_Calc!A$10,
IF(H191="AnMP",Pole_Calc!A$11,
IF(H191="A",Pole_Calc!A$12,
IF(H191="S/A",Pole_Calc!A$13,
IF(H191="A/S",Pole_Calc!A$14,"Poner a mano")))))))</f>
        <v/>
      </c>
      <c r="BE191" s="448" t="s">
        <v>1726</v>
      </c>
      <c r="BF191" s="305"/>
      <c r="BG191" s="305"/>
      <c r="BH191" s="306"/>
      <c r="BI191" s="305"/>
    </row>
    <row r="192" spans="1:61" ht="16.2" customHeight="1">
      <c r="A192" s="573"/>
      <c r="B192" s="469" t="s">
        <v>1949</v>
      </c>
      <c r="C192" s="3">
        <f>+$C$190+$G$191</f>
        <v>4209.9500000000007</v>
      </c>
      <c r="D192" s="88"/>
      <c r="E192" s="4"/>
      <c r="F192" s="4">
        <v>0</v>
      </c>
      <c r="G192" s="6"/>
      <c r="H192" s="468" t="s">
        <v>26</v>
      </c>
      <c r="I192" s="468" t="s">
        <v>182</v>
      </c>
      <c r="J192" s="3"/>
      <c r="K192" s="468"/>
      <c r="L192" s="468" t="s">
        <v>452</v>
      </c>
      <c r="M192" s="468" t="str">
        <f>IF(L192="","",
IF(AX192="PT",VLOOKUP(L192,Foundation_Calc!$V$79:$X$112,VLOOKUP(AX192,Foundation_Calc!$I$10:$J$13,2,FALSE),0),
IF(AX192="K",VLOOKUP(L192,Foundation_Calc!$V$116:$X$149,VLOOKUP(AX192,Foundation_Calc!$I$10:$J$13,2,FALSE),0),"")))</f>
        <v>C4R</v>
      </c>
      <c r="N192" s="468" t="s">
        <v>33</v>
      </c>
      <c r="O192" s="468"/>
      <c r="P192" s="468"/>
      <c r="Q192" s="4"/>
      <c r="R192" s="6"/>
      <c r="S192" s="6"/>
      <c r="T192" s="4">
        <v>35</v>
      </c>
      <c r="U192" s="4"/>
      <c r="V192" s="4"/>
      <c r="W192" s="9">
        <v>1.4</v>
      </c>
      <c r="X192" s="9"/>
      <c r="Y192" s="9"/>
      <c r="Z192" s="9"/>
      <c r="AA192" s="9"/>
      <c r="AB192" s="9"/>
      <c r="AC192" s="468" t="str">
        <f t="shared" si="14"/>
        <v>PH</v>
      </c>
      <c r="AD192" s="468"/>
      <c r="AE192" s="468"/>
      <c r="AF192" s="4"/>
      <c r="AG192" s="88"/>
      <c r="AH192" s="4"/>
      <c r="AI192" s="4"/>
      <c r="AJ192" s="468"/>
      <c r="AK192" s="468"/>
      <c r="AL192" s="468"/>
      <c r="AM192" s="468" t="s">
        <v>486</v>
      </c>
      <c r="AN192" s="10">
        <v>5.5</v>
      </c>
      <c r="AO192" s="9"/>
      <c r="AP192" s="9"/>
      <c r="AQ192" s="9"/>
      <c r="AR192" s="9"/>
      <c r="AS192" s="9"/>
      <c r="AT192" s="9">
        <f>+ab($T$192,$T$190,$U$194,$G$191,$G$193, 1*$F$192,1200)</f>
        <v>8.1681606014296726</v>
      </c>
      <c r="AU192" s="447"/>
      <c r="AV192" s="447"/>
      <c r="AW192" s="468" t="str">
        <f>IF(C192&gt;0,VLOOKUP(C192,Foundation_Calc!$A$2:$C$13,3,1),
IF(J192&gt;0,VLOOKUP(J192,Foundation_Calc!$A$2:$C$13,3,1),""))</f>
        <v>MultiSoil</v>
      </c>
      <c r="AX192" s="468" t="str">
        <f>IF(C192&gt;0,VLOOKUP(C192,Foundation_Calc!$E$2:$G$13,3,1),
IF(J192&gt;0,VLOOKUP(J192,Foundation_Calc!$E$2:$G$13,3,1),""))</f>
        <v>PT</v>
      </c>
      <c r="AY192" s="10">
        <f>IF(L192="","",
IF(AX192="PT",VLOOKUP(L192,Foundation_Calc!$K$79:$R$112,VLOOKUP(AW192,Foundation_Calc!$I$2:$J$8,2,FALSE),0),
IF(AX192="K",VLOOKUP(L192,Foundation_Calc!$K$116:$R$149,VLOOKUP(AW192,Foundation_Calc!$I$2:$J$8,2,FALSE),0),"")))</f>
        <v>3.5</v>
      </c>
      <c r="AZ192" s="10" t="str">
        <f>IF(K192="","",
IF(AX192="PT",VLOOKUP(K192,Foundation_Calc!$K$79:$R$112,VLOOKUP(AW192,Foundation_Calc!$I$2:$J$8,2,FALSE),0),
IF(AX192="K",VLOOKUP(K192,Foundation_Calc!$K$116:$R$149,VLOOKUP(AW192,Foundation_Calc!$I$2:$J$8,2,FALSE),0),"")))</f>
        <v/>
      </c>
      <c r="BA192" s="553" t="str">
        <f t="shared" si="15"/>
        <v>ü</v>
      </c>
      <c r="BB192" s="553" t="str">
        <f t="shared" si="15"/>
        <v/>
      </c>
      <c r="BC192" s="553" t="str">
        <f t="shared" si="16"/>
        <v/>
      </c>
      <c r="BD192" s="572" t="str">
        <f>IF(AND(L192="",H192=""),"",
IF(H192="",Pole_Calc!A$9,
IF(H192="MP",Pole_Calc!A$10,
IF(H192="AnMP",Pole_Calc!A$11,
IF(H192="A",Pole_Calc!A$12,
IF(H192="S/A",Pole_Calc!A$13,
IF(H192="A/S",Pole_Calc!A$14,"Poner a mano")))))))</f>
        <v>App.7-V11H-P9.5.1.6</v>
      </c>
      <c r="BE192" s="448" t="s">
        <v>1726</v>
      </c>
      <c r="BF192" s="306"/>
      <c r="BG192" s="306"/>
      <c r="BH192" s="306"/>
      <c r="BI192" s="306"/>
    </row>
    <row r="193" spans="1:61" ht="16.2" customHeight="1">
      <c r="A193" s="573"/>
      <c r="B193" s="469"/>
      <c r="C193" s="3"/>
      <c r="D193" s="88"/>
      <c r="E193" s="4"/>
      <c r="F193" s="4"/>
      <c r="G193" s="6">
        <v>60</v>
      </c>
      <c r="H193" s="468"/>
      <c r="I193" s="468"/>
      <c r="J193" s="3"/>
      <c r="K193" s="468"/>
      <c r="L193" s="468"/>
      <c r="M193" s="468" t="str">
        <f>IF(L193="","",
IF(AX193="PT",VLOOKUP(L193,Foundation_Calc!$V$79:$X$112,VLOOKUP(AX193,Foundation_Calc!$I$10:$J$13,2,FALSE),0),
IF(AX193="K",VLOOKUP(L193,Foundation_Calc!$V$116:$X$149,VLOOKUP(AX193,Foundation_Calc!$I$10:$J$13,2,FALSE),0),"")))</f>
        <v/>
      </c>
      <c r="N193" s="468"/>
      <c r="O193" s="468"/>
      <c r="P193" s="468"/>
      <c r="Q193" s="4"/>
      <c r="R193" s="6"/>
      <c r="S193" s="6"/>
      <c r="T193" s="4"/>
      <c r="U193" s="4"/>
      <c r="V193" s="4"/>
      <c r="W193" s="9"/>
      <c r="X193" s="9"/>
      <c r="Y193" s="9"/>
      <c r="Z193" s="9"/>
      <c r="AA193" s="9"/>
      <c r="AB193" s="9"/>
      <c r="AC193" s="468" t="str">
        <f t="shared" si="14"/>
        <v/>
      </c>
      <c r="AD193" s="468"/>
      <c r="AE193" s="468"/>
      <c r="AF193" s="4"/>
      <c r="AG193" s="88"/>
      <c r="AH193" s="4"/>
      <c r="AI193" s="4"/>
      <c r="AJ193" s="468"/>
      <c r="AK193" s="468"/>
      <c r="AL193" s="468"/>
      <c r="AM193" s="468"/>
      <c r="AN193" s="10"/>
      <c r="AO193" s="9"/>
      <c r="AP193" s="9"/>
      <c r="AQ193" s="9">
        <f>+FL_2($U$194,$T$192,$G$193,1200,9.28, 1*$F$194)</f>
        <v>-0.43600286799999999</v>
      </c>
      <c r="AR193" s="9"/>
      <c r="AS193" s="9"/>
      <c r="AT193" s="9"/>
      <c r="AU193" s="447"/>
      <c r="AV193" s="447"/>
      <c r="AW193" s="468" t="str">
        <f>IF(C193&gt;0,VLOOKUP(C193,Foundation_Calc!$A$2:$C$13,3,1),
IF(J193&gt;0,VLOOKUP(J193,Foundation_Calc!$A$2:$C$13,3,1),""))</f>
        <v/>
      </c>
      <c r="AX193" s="468" t="str">
        <f>IF(C193&gt;0,VLOOKUP(C193,Foundation_Calc!$E$2:$G$13,3,1),
IF(J193&gt;0,VLOOKUP(J193,Foundation_Calc!$E$2:$G$13,3,1),""))</f>
        <v/>
      </c>
      <c r="AY193" s="10" t="str">
        <f>IF(L193="","",
IF(AX193="PT",VLOOKUP(L193,Foundation_Calc!$K$79:$R$112,VLOOKUP(AW193,Foundation_Calc!$I$2:$J$8,2,FALSE),0),
IF(AX193="K",VLOOKUP(L193,Foundation_Calc!$K$116:$R$149,VLOOKUP(AW193,Foundation_Calc!$I$2:$J$8,2,FALSE),0),"")))</f>
        <v/>
      </c>
      <c r="AZ193" s="10" t="str">
        <f>IF(K193="","",
IF(AX193="PT",VLOOKUP(K193,Foundation_Calc!$K$79:$R$112,VLOOKUP(AW193,Foundation_Calc!$I$2:$J$8,2,FALSE),0),
IF(AX193="K",VLOOKUP(K193,Foundation_Calc!$K$116:$R$149,VLOOKUP(AW193,Foundation_Calc!$I$2:$J$8,2,FALSE),0),"")))</f>
        <v/>
      </c>
      <c r="BA193" s="553" t="str">
        <f t="shared" si="15"/>
        <v/>
      </c>
      <c r="BB193" s="553" t="str">
        <f t="shared" si="15"/>
        <v/>
      </c>
      <c r="BC193" s="553" t="str">
        <f t="shared" si="16"/>
        <v/>
      </c>
      <c r="BD193" s="572" t="str">
        <f>IF(AND(L193="",H193=""),"",
IF(H193="",Pole_Calc!A$9,
IF(H193="MP",Pole_Calc!A$10,
IF(H193="AnMP",Pole_Calc!A$11,
IF(H193="A",Pole_Calc!A$12,
IF(H193="S/A",Pole_Calc!A$13,
IF(H193="A/S",Pole_Calc!A$14,"Poner a mano")))))))</f>
        <v/>
      </c>
      <c r="BE193" s="448" t="s">
        <v>1726</v>
      </c>
      <c r="BF193" s="305"/>
      <c r="BG193" s="305"/>
      <c r="BH193" s="306"/>
      <c r="BI193" s="305"/>
    </row>
    <row r="194" spans="1:61" ht="16.2" customHeight="1">
      <c r="A194" s="573"/>
      <c r="B194" s="469" t="s">
        <v>1950</v>
      </c>
      <c r="C194" s="3">
        <f>+$C$192+$G$193</f>
        <v>4269.9500000000007</v>
      </c>
      <c r="D194" s="88"/>
      <c r="E194" s="4"/>
      <c r="F194" s="4">
        <v>0</v>
      </c>
      <c r="G194" s="6"/>
      <c r="H194" s="468" t="s">
        <v>179</v>
      </c>
      <c r="I194" s="468"/>
      <c r="J194" s="3"/>
      <c r="K194" s="468"/>
      <c r="L194" s="468" t="s">
        <v>38</v>
      </c>
      <c r="M194" s="468" t="str">
        <f>IF(L194="","",
IF(AX194="PT",VLOOKUP(L194,Foundation_Calc!$V$79:$X$112,VLOOKUP(AX194,Foundation_Calc!$I$10:$J$13,2,FALSE),0),
IF(AX194="K",VLOOKUP(L194,Foundation_Calc!$V$116:$X$149,VLOOKUP(AX194,Foundation_Calc!$I$10:$J$13,2,FALSE),0),"")))</f>
        <v>C4R</v>
      </c>
      <c r="N194" s="468" t="s">
        <v>28</v>
      </c>
      <c r="O194" s="468" t="s">
        <v>32</v>
      </c>
      <c r="P194" s="468"/>
      <c r="Q194" s="4"/>
      <c r="R194" s="6"/>
      <c r="S194" s="6"/>
      <c r="T194" s="4">
        <v>-15</v>
      </c>
      <c r="U194" s="4">
        <v>-35</v>
      </c>
      <c r="V194" s="4"/>
      <c r="W194" s="9">
        <v>1.4</v>
      </c>
      <c r="X194" s="9">
        <v>2.2999999999999998</v>
      </c>
      <c r="Y194" s="9"/>
      <c r="Z194" s="9">
        <v>0.6</v>
      </c>
      <c r="AA194" s="9"/>
      <c r="AB194" s="9"/>
      <c r="AC194" s="468"/>
      <c r="AD194" s="468"/>
      <c r="AE194" s="468"/>
      <c r="AF194" s="4"/>
      <c r="AG194" s="88"/>
      <c r="AH194" s="4"/>
      <c r="AI194" s="4"/>
      <c r="AJ194" s="468"/>
      <c r="AK194" s="468"/>
      <c r="AL194" s="468"/>
      <c r="AM194" s="468" t="s">
        <v>486</v>
      </c>
      <c r="AN194" s="10">
        <v>5.5</v>
      </c>
      <c r="AO194" s="9"/>
      <c r="AP194" s="9"/>
      <c r="AQ194" s="9"/>
      <c r="AR194" s="9"/>
      <c r="AS194" s="9"/>
      <c r="AT194" s="9">
        <f>+ab($U$194,$T$192,$U$196,$G$193,$G$195, 1*$F$194,1200)</f>
        <v>-9.5064555385151923</v>
      </c>
      <c r="AU194" s="447"/>
      <c r="AV194" s="447"/>
      <c r="AW194" s="468" t="str">
        <f>IF(C194&gt;0,VLOOKUP(C194,Foundation_Calc!$A$2:$C$13,3,1),
IF(J194&gt;0,VLOOKUP(J194,Foundation_Calc!$A$2:$C$13,3,1),""))</f>
        <v>MultiSoil</v>
      </c>
      <c r="AX194" s="468" t="str">
        <f>IF(C194&gt;0,VLOOKUP(C194,Foundation_Calc!$E$2:$G$13,3,1),
IF(J194&gt;0,VLOOKUP(J194,Foundation_Calc!$E$2:$G$13,3,1),""))</f>
        <v>PT</v>
      </c>
      <c r="AY194" s="10">
        <f>IF(L194="","",
IF(AX194="PT",VLOOKUP(L194,Foundation_Calc!$K$79:$R$112,VLOOKUP(AW194,Foundation_Calc!$I$2:$J$8,2,FALSE),0),
IF(AX194="K",VLOOKUP(L194,Foundation_Calc!$K$116:$R$149,VLOOKUP(AW194,Foundation_Calc!$I$2:$J$8,2,FALSE),0),"")))</f>
        <v>3.5</v>
      </c>
      <c r="AZ194" s="10" t="str">
        <f>IF(K194="","",
IF(AX194="PT",VLOOKUP(K194,Foundation_Calc!$K$79:$R$112,VLOOKUP(AW194,Foundation_Calc!$I$2:$J$8,2,FALSE),0),
IF(AX194="K",VLOOKUP(K194,Foundation_Calc!$K$116:$R$149,VLOOKUP(AW194,Foundation_Calc!$I$2:$J$8,2,FALSE),0),"")))</f>
        <v/>
      </c>
      <c r="BA194" s="553" t="str">
        <f t="shared" si="15"/>
        <v>ü</v>
      </c>
      <c r="BB194" s="553" t="str">
        <f t="shared" si="15"/>
        <v/>
      </c>
      <c r="BC194" s="553" t="str">
        <f t="shared" si="16"/>
        <v/>
      </c>
      <c r="BD194" s="572" t="str">
        <f>IF(AND(L194="",H194=""),"",
IF(H194="",Pole_Calc!A$9,
IF(H194="MP",Pole_Calc!A$10,
IF(H194="AnMP",Pole_Calc!A$11,
IF(H194="A",Pole_Calc!A$12,
IF(H194="S/A",Pole_Calc!A$13,
IF(H194="A/S",Pole_Calc!A$14,"Poner a mano")))))))</f>
        <v>App.7-V11H-P9.5.1.5</v>
      </c>
      <c r="BE194" s="448" t="s">
        <v>1726</v>
      </c>
      <c r="BF194" s="306"/>
      <c r="BG194" s="306"/>
      <c r="BH194" s="306"/>
      <c r="BI194" s="306"/>
    </row>
    <row r="195" spans="1:61" ht="16.2" customHeight="1">
      <c r="A195" s="573"/>
      <c r="B195" s="469"/>
      <c r="C195" s="3"/>
      <c r="D195" s="88"/>
      <c r="E195" s="4"/>
      <c r="F195" s="4"/>
      <c r="G195" s="6">
        <v>60</v>
      </c>
      <c r="H195" s="468"/>
      <c r="I195" s="468"/>
      <c r="J195" s="3"/>
      <c r="K195" s="468"/>
      <c r="L195" s="468"/>
      <c r="M195" s="468" t="str">
        <f>IF(L195="","",
IF(AX195="PT",VLOOKUP(L195,Foundation_Calc!$V$79:$X$112,VLOOKUP(AX195,Foundation_Calc!$I$10:$J$13,2,FALSE),0),
IF(AX195="K",VLOOKUP(L195,Foundation_Calc!$V$116:$X$149,VLOOKUP(AX195,Foundation_Calc!$I$10:$J$13,2,FALSE),0),"")))</f>
        <v/>
      </c>
      <c r="N195" s="468"/>
      <c r="O195" s="468"/>
      <c r="P195" s="468"/>
      <c r="Q195" s="4"/>
      <c r="R195" s="6"/>
      <c r="S195" s="6"/>
      <c r="T195" s="4"/>
      <c r="U195" s="4"/>
      <c r="V195" s="4"/>
      <c r="W195" s="9"/>
      <c r="X195" s="9"/>
      <c r="Y195" s="9"/>
      <c r="Z195" s="9"/>
      <c r="AA195" s="9"/>
      <c r="AB195" s="9"/>
      <c r="AC195" s="468" t="str">
        <f t="shared" si="14"/>
        <v/>
      </c>
      <c r="AD195" s="468"/>
      <c r="AE195" s="468"/>
      <c r="AF195" s="4"/>
      <c r="AG195" s="88"/>
      <c r="AH195" s="4"/>
      <c r="AI195" s="4"/>
      <c r="AJ195" s="468"/>
      <c r="AK195" s="468"/>
      <c r="AL195" s="468"/>
      <c r="AM195" s="468"/>
      <c r="AN195" s="10"/>
      <c r="AO195" s="9"/>
      <c r="AP195" s="9"/>
      <c r="AQ195" s="9">
        <f>+FL_1($T$196,$U$194,$G$195,1200,9.28, 1*$F$196)</f>
        <v>0.43600286799999999</v>
      </c>
      <c r="AR195" s="9"/>
      <c r="AS195" s="9"/>
      <c r="AT195" s="9"/>
      <c r="AU195" s="447"/>
      <c r="AV195" s="447"/>
      <c r="AW195" s="468" t="str">
        <f>IF(C195&gt;0,VLOOKUP(C195,Foundation_Calc!$A$2:$C$13,3,1),
IF(J195&gt;0,VLOOKUP(J195,Foundation_Calc!$A$2:$C$13,3,1),""))</f>
        <v/>
      </c>
      <c r="AX195" s="468" t="str">
        <f>IF(C195&gt;0,VLOOKUP(C195,Foundation_Calc!$E$2:$G$13,3,1),
IF(J195&gt;0,VLOOKUP(J195,Foundation_Calc!$E$2:$G$13,3,1),""))</f>
        <v/>
      </c>
      <c r="AY195" s="10" t="str">
        <f>IF(L195="","",
IF(AX195="PT",VLOOKUP(L195,Foundation_Calc!$K$79:$R$112,VLOOKUP(AW195,Foundation_Calc!$I$2:$J$8,2,FALSE),0),
IF(AX195="K",VLOOKUP(L195,Foundation_Calc!$K$116:$R$149,VLOOKUP(AW195,Foundation_Calc!$I$2:$J$8,2,FALSE),0),"")))</f>
        <v/>
      </c>
      <c r="AZ195" s="10" t="str">
        <f>IF(K195="","",
IF(AX195="PT",VLOOKUP(K195,Foundation_Calc!$K$79:$R$112,VLOOKUP(AW195,Foundation_Calc!$I$2:$J$8,2,FALSE),0),
IF(AX195="K",VLOOKUP(K195,Foundation_Calc!$K$116:$R$149,VLOOKUP(AW195,Foundation_Calc!$I$2:$J$8,2,FALSE),0),"")))</f>
        <v/>
      </c>
      <c r="BA195" s="553" t="str">
        <f t="shared" si="15"/>
        <v/>
      </c>
      <c r="BB195" s="553" t="str">
        <f t="shared" si="15"/>
        <v/>
      </c>
      <c r="BC195" s="553" t="str">
        <f t="shared" si="16"/>
        <v/>
      </c>
      <c r="BD195" s="572" t="str">
        <f>IF(AND(L195="",H195=""),"",
IF(H195="",Pole_Calc!A$9,
IF(H195="MP",Pole_Calc!A$10,
IF(H195="AnMP",Pole_Calc!A$11,
IF(H195="A",Pole_Calc!A$12,
IF(H195="S/A",Pole_Calc!A$13,
IF(H195="A/S",Pole_Calc!A$14,"Poner a mano")))))))</f>
        <v/>
      </c>
      <c r="BE195" s="448" t="s">
        <v>1726</v>
      </c>
      <c r="BF195" s="305"/>
      <c r="BG195" s="305"/>
      <c r="BH195" s="306"/>
      <c r="BI195" s="305"/>
    </row>
    <row r="196" spans="1:61" ht="16.2" customHeight="1">
      <c r="A196" s="573"/>
      <c r="B196" s="469" t="s">
        <v>1951</v>
      </c>
      <c r="C196" s="3">
        <f>+$C$194+$G$195</f>
        <v>4329.9500000000007</v>
      </c>
      <c r="D196" s="88"/>
      <c r="E196" s="4"/>
      <c r="F196" s="4">
        <v>0</v>
      </c>
      <c r="G196" s="6"/>
      <c r="H196" s="468" t="s">
        <v>179</v>
      </c>
      <c r="I196" s="468"/>
      <c r="J196" s="3"/>
      <c r="K196" s="468"/>
      <c r="L196" s="468" t="s">
        <v>38</v>
      </c>
      <c r="M196" s="468" t="str">
        <f>IF(L196="","",
IF(AX196="PT",VLOOKUP(L196,Foundation_Calc!$V$79:$X$112,VLOOKUP(AX196,Foundation_Calc!$I$10:$J$13,2,FALSE),0),
IF(AX196="K",VLOOKUP(L196,Foundation_Calc!$V$116:$X$149,VLOOKUP(AX196,Foundation_Calc!$I$10:$J$13,2,FALSE),0),"")))</f>
        <v>C4R</v>
      </c>
      <c r="N196" s="468" t="s">
        <v>33</v>
      </c>
      <c r="O196" s="468" t="s">
        <v>28</v>
      </c>
      <c r="P196" s="468"/>
      <c r="Q196" s="4"/>
      <c r="R196" s="6"/>
      <c r="S196" s="6"/>
      <c r="T196" s="4">
        <v>35</v>
      </c>
      <c r="U196" s="4">
        <v>15</v>
      </c>
      <c r="V196" s="4"/>
      <c r="W196" s="9">
        <v>1.4</v>
      </c>
      <c r="X196" s="9">
        <v>2.2999999999999998</v>
      </c>
      <c r="Y196" s="9"/>
      <c r="Z196" s="9"/>
      <c r="AA196" s="9">
        <v>0.6</v>
      </c>
      <c r="AB196" s="9"/>
      <c r="AC196" s="468" t="str">
        <f t="shared" si="14"/>
        <v>PH</v>
      </c>
      <c r="AD196" s="468"/>
      <c r="AE196" s="468"/>
      <c r="AF196" s="4"/>
      <c r="AG196" s="88"/>
      <c r="AH196" s="4"/>
      <c r="AI196" s="4"/>
      <c r="AJ196" s="468"/>
      <c r="AK196" s="468"/>
      <c r="AL196" s="468"/>
      <c r="AM196" s="468" t="s">
        <v>486</v>
      </c>
      <c r="AN196" s="10">
        <v>5.5</v>
      </c>
      <c r="AO196" s="9"/>
      <c r="AP196" s="9"/>
      <c r="AQ196" s="9"/>
      <c r="AR196" s="9"/>
      <c r="AS196" s="9"/>
      <c r="AT196" s="9">
        <f>+ab($T$196,$T$194,$T$198,$G$195,$G$197, 1*$F$196,1200)</f>
        <v>19.918778155444031</v>
      </c>
      <c r="AU196" s="447"/>
      <c r="AV196" s="447"/>
      <c r="AW196" s="468" t="str">
        <f>IF(C196&gt;0,VLOOKUP(C196,Foundation_Calc!$A$2:$C$13,3,1),
IF(J196&gt;0,VLOOKUP(J196,Foundation_Calc!$A$2:$C$13,3,1),""))</f>
        <v>MultiSoil</v>
      </c>
      <c r="AX196" s="468" t="str">
        <f>IF(C196&gt;0,VLOOKUP(C196,Foundation_Calc!$E$2:$G$13,3,1),
IF(J196&gt;0,VLOOKUP(J196,Foundation_Calc!$E$2:$G$13,3,1),""))</f>
        <v>PT</v>
      </c>
      <c r="AY196" s="10">
        <f>IF(L196="","",
IF(AX196="PT",VLOOKUP(L196,Foundation_Calc!$K$79:$R$112,VLOOKUP(AW196,Foundation_Calc!$I$2:$J$8,2,FALSE),0),
IF(AX196="K",VLOOKUP(L196,Foundation_Calc!$K$116:$R$149,VLOOKUP(AW196,Foundation_Calc!$I$2:$J$8,2,FALSE),0),"")))</f>
        <v>3.5</v>
      </c>
      <c r="AZ196" s="10" t="str">
        <f>IF(K196="","",
IF(AX196="PT",VLOOKUP(K196,Foundation_Calc!$K$79:$R$112,VLOOKUP(AW196,Foundation_Calc!$I$2:$J$8,2,FALSE),0),
IF(AX196="K",VLOOKUP(K196,Foundation_Calc!$K$116:$R$149,VLOOKUP(AW196,Foundation_Calc!$I$2:$J$8,2,FALSE),0),"")))</f>
        <v/>
      </c>
      <c r="BA196" s="553" t="str">
        <f t="shared" si="15"/>
        <v>ü</v>
      </c>
      <c r="BB196" s="553" t="str">
        <f t="shared" si="15"/>
        <v/>
      </c>
      <c r="BC196" s="553" t="str">
        <f t="shared" si="16"/>
        <v/>
      </c>
      <c r="BD196" s="572" t="str">
        <f>IF(AND(L196="",H196=""),"",
IF(H196="",Pole_Calc!A$9,
IF(H196="MP",Pole_Calc!A$10,
IF(H196="AnMP",Pole_Calc!A$11,
IF(H196="A",Pole_Calc!A$12,
IF(H196="S/A",Pole_Calc!A$13,
IF(H196="A/S",Pole_Calc!A$14,"Poner a mano")))))))</f>
        <v>App.7-V11H-P9.5.1.5</v>
      </c>
      <c r="BE196" s="448" t="s">
        <v>1726</v>
      </c>
      <c r="BF196" s="306"/>
      <c r="BG196" s="306"/>
      <c r="BH196" s="306"/>
      <c r="BI196" s="306"/>
    </row>
    <row r="197" spans="1:61" ht="16.2" customHeight="1">
      <c r="A197" s="573"/>
      <c r="B197" s="469"/>
      <c r="C197" s="3"/>
      <c r="D197" s="88"/>
      <c r="E197" s="4"/>
      <c r="F197" s="4"/>
      <c r="G197" s="6">
        <v>55</v>
      </c>
      <c r="H197" s="468"/>
      <c r="I197" s="468"/>
      <c r="J197" s="3"/>
      <c r="K197" s="468"/>
      <c r="L197" s="468"/>
      <c r="M197" s="468" t="str">
        <f>IF(L197="","",
IF(AX197="PT",VLOOKUP(L197,Foundation_Calc!$V$79:$X$112,VLOOKUP(AX197,Foundation_Calc!$I$10:$J$13,2,FALSE),0),
IF(AX197="K",VLOOKUP(L197,Foundation_Calc!$V$116:$X$149,VLOOKUP(AX197,Foundation_Calc!$I$10:$J$13,2,FALSE),0),"")))</f>
        <v/>
      </c>
      <c r="N197" s="468"/>
      <c r="O197" s="468"/>
      <c r="P197" s="468"/>
      <c r="Q197" s="4"/>
      <c r="R197" s="6"/>
      <c r="S197" s="6"/>
      <c r="T197" s="4"/>
      <c r="U197" s="4"/>
      <c r="V197" s="4"/>
      <c r="W197" s="9"/>
      <c r="X197" s="9"/>
      <c r="Y197" s="9"/>
      <c r="Z197" s="9"/>
      <c r="AA197" s="9"/>
      <c r="AB197" s="9"/>
      <c r="AC197" s="468" t="str">
        <f t="shared" si="14"/>
        <v/>
      </c>
      <c r="AD197" s="468"/>
      <c r="AE197" s="468"/>
      <c r="AF197" s="4"/>
      <c r="AG197" s="88"/>
      <c r="AH197" s="4"/>
      <c r="AI197" s="4"/>
      <c r="AJ197" s="468"/>
      <c r="AK197" s="468"/>
      <c r="AL197" s="468"/>
      <c r="AM197" s="468"/>
      <c r="AN197" s="10"/>
      <c r="AO197" s="9"/>
      <c r="AP197" s="9"/>
      <c r="AQ197" s="9">
        <f>+FL_1($T$198,$T$196,$G$197,1200,9.28, 1*$F$198)</f>
        <v>0.40029654362943823</v>
      </c>
      <c r="AR197" s="9"/>
      <c r="AS197" s="9"/>
      <c r="AT197" s="9"/>
      <c r="AU197" s="447"/>
      <c r="AV197" s="447"/>
      <c r="AW197" s="468" t="str">
        <f>IF(C197&gt;0,VLOOKUP(C197,Foundation_Calc!$A$2:$C$13,3,1),
IF(J197&gt;0,VLOOKUP(J197,Foundation_Calc!$A$2:$C$13,3,1),""))</f>
        <v/>
      </c>
      <c r="AX197" s="468" t="str">
        <f>IF(C197&gt;0,VLOOKUP(C197,Foundation_Calc!$E$2:$G$13,3,1),
IF(J197&gt;0,VLOOKUP(J197,Foundation_Calc!$E$2:$G$13,3,1),""))</f>
        <v/>
      </c>
      <c r="AY197" s="10" t="str">
        <f>IF(L197="","",
IF(AX197="PT",VLOOKUP(L197,Foundation_Calc!$K$79:$R$112,VLOOKUP(AW197,Foundation_Calc!$I$2:$J$8,2,FALSE),0),
IF(AX197="K",VLOOKUP(L197,Foundation_Calc!$K$116:$R$149,VLOOKUP(AW197,Foundation_Calc!$I$2:$J$8,2,FALSE),0),"")))</f>
        <v/>
      </c>
      <c r="AZ197" s="10" t="str">
        <f>IF(K197="","",
IF(AX197="PT",VLOOKUP(K197,Foundation_Calc!$K$79:$R$112,VLOOKUP(AW197,Foundation_Calc!$I$2:$J$8,2,FALSE),0),
IF(AX197="K",VLOOKUP(K197,Foundation_Calc!$K$116:$R$149,VLOOKUP(AW197,Foundation_Calc!$I$2:$J$8,2,FALSE),0),"")))</f>
        <v/>
      </c>
      <c r="BA197" s="553" t="str">
        <f t="shared" si="15"/>
        <v/>
      </c>
      <c r="BB197" s="553" t="str">
        <f t="shared" si="15"/>
        <v/>
      </c>
      <c r="BC197" s="553" t="str">
        <f t="shared" si="16"/>
        <v/>
      </c>
      <c r="BD197" s="572" t="str">
        <f>IF(AND(L197="",H197=""),"",
IF(H197="",Pole_Calc!A$9,
IF(H197="MP",Pole_Calc!A$10,
IF(H197="AnMP",Pole_Calc!A$11,
IF(H197="A",Pole_Calc!A$12,
IF(H197="S/A",Pole_Calc!A$13,
IF(H197="A/S",Pole_Calc!A$14,"Poner a mano")))))))</f>
        <v/>
      </c>
      <c r="BE197" s="448" t="s">
        <v>1726</v>
      </c>
      <c r="BF197" s="305"/>
      <c r="BG197" s="305"/>
      <c r="BH197" s="306"/>
      <c r="BI197" s="305"/>
    </row>
    <row r="198" spans="1:61" ht="16.2" customHeight="1">
      <c r="A198" s="573"/>
      <c r="B198" s="469" t="s">
        <v>1952</v>
      </c>
      <c r="C198" s="3">
        <f>+$C$196+$G$197</f>
        <v>4384.9500000000007</v>
      </c>
      <c r="D198" s="88"/>
      <c r="E198" s="4"/>
      <c r="F198" s="4">
        <v>1724.69</v>
      </c>
      <c r="G198" s="6"/>
      <c r="H198" s="468" t="s">
        <v>26</v>
      </c>
      <c r="I198" s="468" t="s">
        <v>182</v>
      </c>
      <c r="J198" s="3"/>
      <c r="K198" s="468"/>
      <c r="L198" s="468" t="s">
        <v>453</v>
      </c>
      <c r="M198" s="468" t="str">
        <f>IF(L198="","",
IF(AX198="PT",VLOOKUP(L198,Foundation_Calc!$V$79:$X$112,VLOOKUP(AX198,Foundation_Calc!$I$10:$J$13,2,FALSE),0),
IF(AX198="K",VLOOKUP(L198,Foundation_Calc!$V$116:$X$149,VLOOKUP(AX198,Foundation_Calc!$I$10:$J$13,2,FALSE),0),"")))</f>
        <v>C5R</v>
      </c>
      <c r="N198" s="468" t="s">
        <v>33</v>
      </c>
      <c r="O198" s="468"/>
      <c r="P198" s="468"/>
      <c r="Q198" s="4"/>
      <c r="R198" s="6"/>
      <c r="S198" s="6"/>
      <c r="T198" s="4">
        <v>30</v>
      </c>
      <c r="U198" s="4"/>
      <c r="V198" s="4"/>
      <c r="W198" s="9">
        <v>1.4</v>
      </c>
      <c r="X198" s="9"/>
      <c r="Y198" s="9"/>
      <c r="Z198" s="9"/>
      <c r="AA198" s="9"/>
      <c r="AB198" s="9"/>
      <c r="AC198" s="468" t="str">
        <f t="shared" si="14"/>
        <v>PHQ</v>
      </c>
      <c r="AD198" s="468"/>
      <c r="AE198" s="468"/>
      <c r="AF198" s="4"/>
      <c r="AG198" s="88"/>
      <c r="AH198" s="4"/>
      <c r="AI198" s="4"/>
      <c r="AJ198" s="468"/>
      <c r="AK198" s="468"/>
      <c r="AL198" s="468"/>
      <c r="AM198" s="468" t="s">
        <v>486</v>
      </c>
      <c r="AN198" s="10">
        <v>5.5</v>
      </c>
      <c r="AO198" s="9"/>
      <c r="AP198" s="9"/>
      <c r="AQ198" s="9"/>
      <c r="AR198" s="9"/>
      <c r="AS198" s="9"/>
      <c r="AT198" s="9">
        <f>+ab($T$198,$T$196,$T$200,$G$197,$G$199, 1*$F$198,1200)</f>
        <v>6.4703258694914334</v>
      </c>
      <c r="AU198" s="447"/>
      <c r="AV198" s="447"/>
      <c r="AW198" s="468" t="str">
        <f>IF(C198&gt;0,VLOOKUP(C198,Foundation_Calc!$A$2:$C$13,3,1),
IF(J198&gt;0,VLOOKUP(J198,Foundation_Calc!$A$2:$C$13,3,1),""))</f>
        <v>MultiSoil</v>
      </c>
      <c r="AX198" s="468" t="str">
        <f>IF(C198&gt;0,VLOOKUP(C198,Foundation_Calc!$E$2:$G$13,3,1),
IF(J198&gt;0,VLOOKUP(J198,Foundation_Calc!$E$2:$G$13,3,1),""))</f>
        <v>PT</v>
      </c>
      <c r="AY198" s="10">
        <f>IF(L198="","",
IF(AX198="PT",VLOOKUP(L198,Foundation_Calc!$K$79:$R$112,VLOOKUP(AW198,Foundation_Calc!$I$2:$J$8,2,FALSE),0),
IF(AX198="K",VLOOKUP(L198,Foundation_Calc!$K$116:$R$149,VLOOKUP(AW198,Foundation_Calc!$I$2:$J$8,2,FALSE),0),"")))</f>
        <v>3.5</v>
      </c>
      <c r="AZ198" s="10" t="str">
        <f>IF(K198="","",
IF(AX198="PT",VLOOKUP(K198,Foundation_Calc!$K$79:$R$112,VLOOKUP(AW198,Foundation_Calc!$I$2:$J$8,2,FALSE),0),
IF(AX198="K",VLOOKUP(K198,Foundation_Calc!$K$116:$R$149,VLOOKUP(AW198,Foundation_Calc!$I$2:$J$8,2,FALSE),0),"")))</f>
        <v/>
      </c>
      <c r="BA198" s="553" t="str">
        <f t="shared" si="15"/>
        <v>ü</v>
      </c>
      <c r="BB198" s="553" t="str">
        <f t="shared" si="15"/>
        <v/>
      </c>
      <c r="BC198" s="553" t="str">
        <f t="shared" si="16"/>
        <v/>
      </c>
      <c r="BD198" s="572" t="str">
        <f>IF(AND(L198="",H198=""),"",
IF(H198="",Pole_Calc!A$9,
IF(H198="MP",Pole_Calc!A$10,
IF(H198="AnMP",Pole_Calc!A$11,
IF(H198="A",Pole_Calc!A$12,
IF(H198="S/A",Pole_Calc!A$13,
IF(H198="A/S",Pole_Calc!A$14,"Poner a mano")))))))</f>
        <v>App.7-V11H-P9.5.1.6</v>
      </c>
      <c r="BE198" s="448" t="s">
        <v>1726</v>
      </c>
      <c r="BF198" s="306"/>
      <c r="BG198" s="306"/>
      <c r="BH198" s="306"/>
      <c r="BI198" s="306"/>
    </row>
    <row r="199" spans="1:61" ht="16.2" customHeight="1">
      <c r="A199" s="573"/>
      <c r="B199" s="469"/>
      <c r="C199" s="3"/>
      <c r="D199" s="88"/>
      <c r="E199" s="4"/>
      <c r="F199" s="4"/>
      <c r="G199" s="6">
        <v>50</v>
      </c>
      <c r="H199" s="468"/>
      <c r="I199" s="468"/>
      <c r="J199" s="3">
        <f>C198+7.5</f>
        <v>4392.4500000000007</v>
      </c>
      <c r="K199" s="468" t="s">
        <v>1095</v>
      </c>
      <c r="L199" s="468"/>
      <c r="M199" s="468" t="str">
        <f>IF(L199="","",
IF(AX199="PT",VLOOKUP(L199,Foundation_Calc!$V$79:$X$112,VLOOKUP(AX199,Foundation_Calc!$I$10:$J$13,2,FALSE),0),
IF(AX199="K",VLOOKUP(L199,Foundation_Calc!$V$116:$X$149,VLOOKUP(AX199,Foundation_Calc!$I$10:$J$13,2,FALSE),0),"")))</f>
        <v/>
      </c>
      <c r="N199" s="468"/>
      <c r="O199" s="468"/>
      <c r="P199" s="468"/>
      <c r="Q199" s="4"/>
      <c r="R199" s="6"/>
      <c r="S199" s="6"/>
      <c r="T199" s="4"/>
      <c r="U199" s="4"/>
      <c r="V199" s="4"/>
      <c r="W199" s="9"/>
      <c r="X199" s="9"/>
      <c r="Y199" s="9"/>
      <c r="Z199" s="9"/>
      <c r="AA199" s="9"/>
      <c r="AB199" s="9"/>
      <c r="AC199" s="468" t="str">
        <f t="shared" si="14"/>
        <v/>
      </c>
      <c r="AD199" s="468"/>
      <c r="AE199" s="468"/>
      <c r="AF199" s="4"/>
      <c r="AG199" s="88"/>
      <c r="AH199" s="4"/>
      <c r="AI199" s="4"/>
      <c r="AJ199" s="468"/>
      <c r="AK199" s="468"/>
      <c r="AL199" s="468"/>
      <c r="AM199" s="468"/>
      <c r="AN199" s="10"/>
      <c r="AO199" s="9"/>
      <c r="AP199" s="9"/>
      <c r="AQ199" s="9">
        <f>+FL_1($T$200,$T$198,$G$199,1200,9.28, 1*$F$200)</f>
        <v>0.36046516553202912</v>
      </c>
      <c r="AR199" s="9"/>
      <c r="AS199" s="9"/>
      <c r="AT199" s="9"/>
      <c r="AU199" s="447"/>
      <c r="AV199" s="447"/>
      <c r="AW199" s="468" t="str">
        <f>IF(C199&gt;0,VLOOKUP(C199,Foundation_Calc!$A$2:$C$13,3,1),
IF(J199&gt;0,VLOOKUP(J199,Foundation_Calc!$A$2:$C$13,3,1),""))</f>
        <v>MultiSoil</v>
      </c>
      <c r="AX199" s="468" t="str">
        <f>IF(C199&gt;0,VLOOKUP(C199,Foundation_Calc!$E$2:$G$13,3,1),
IF(J199&gt;0,VLOOKUP(J199,Foundation_Calc!$E$2:$G$13,3,1),""))</f>
        <v>PT</v>
      </c>
      <c r="AY199" s="10" t="str">
        <f>IF(L199="","",
IF(AX199="PT",VLOOKUP(L199,Foundation_Calc!$K$79:$R$112,VLOOKUP(AW199,Foundation_Calc!$I$2:$J$8,2,FALSE),0),
IF(AX199="K",VLOOKUP(L199,Foundation_Calc!$K$116:$R$149,VLOOKUP(AW199,Foundation_Calc!$I$2:$J$8,2,FALSE),0),"")))</f>
        <v/>
      </c>
      <c r="AZ199" s="10">
        <f>IF(K199="","",
IF(AX199="PT",VLOOKUP(K199,Foundation_Calc!$K$79:$R$112,VLOOKUP(AW199,Foundation_Calc!$I$2:$J$8,2,FALSE),0),
IF(AX199="K",VLOOKUP(K199,Foundation_Calc!$K$116:$R$149,VLOOKUP(AW199,Foundation_Calc!$I$2:$J$8,2,FALSE),0),"")))</f>
        <v>3.9</v>
      </c>
      <c r="BA199" s="553" t="str">
        <f t="shared" si="15"/>
        <v/>
      </c>
      <c r="BB199" s="553" t="str">
        <f t="shared" si="15"/>
        <v>ü</v>
      </c>
      <c r="BC199" s="553" t="str">
        <f t="shared" si="16"/>
        <v/>
      </c>
      <c r="BD199" s="572" t="str">
        <f>IF(AND(L199="",H199=""),"",
IF(H199="",Pole_Calc!A$9,
IF(H199="MP",Pole_Calc!A$10,
IF(H199="AnMP",Pole_Calc!A$11,
IF(H199="A",Pole_Calc!A$12,
IF(H199="S/A",Pole_Calc!A$13,
IF(H199="A/S",Pole_Calc!A$14,"Poner a mano")))))))</f>
        <v/>
      </c>
      <c r="BE199" s="448" t="s">
        <v>1726</v>
      </c>
      <c r="BF199" s="305"/>
      <c r="BG199" s="305"/>
      <c r="BH199" s="306"/>
      <c r="BI199" s="305"/>
    </row>
    <row r="200" spans="1:61" ht="16.2" customHeight="1">
      <c r="A200" s="573"/>
      <c r="B200" s="469" t="s">
        <v>1953</v>
      </c>
      <c r="C200" s="3">
        <f>+$C$198+$G$199</f>
        <v>4434.9500000000007</v>
      </c>
      <c r="D200" s="88"/>
      <c r="E200" s="4"/>
      <c r="F200" s="4">
        <v>1724.69</v>
      </c>
      <c r="G200" s="6"/>
      <c r="H200" s="468"/>
      <c r="I200" s="468"/>
      <c r="J200" s="3"/>
      <c r="K200" s="468"/>
      <c r="L200" s="468" t="s">
        <v>38</v>
      </c>
      <c r="M200" s="468" t="str">
        <f>IF(L200="","",
IF(AX200="PT",VLOOKUP(L200,Foundation_Calc!$V$79:$X$112,VLOOKUP(AX200,Foundation_Calc!$I$10:$J$13,2,FALSE),0),
IF(AX200="K",VLOOKUP(L200,Foundation_Calc!$V$116:$X$149,VLOOKUP(AX200,Foundation_Calc!$I$10:$J$13,2,FALSE),0),"")))</f>
        <v>C4R</v>
      </c>
      <c r="N200" s="468" t="s">
        <v>33</v>
      </c>
      <c r="O200" s="468"/>
      <c r="P200" s="468"/>
      <c r="Q200" s="4"/>
      <c r="R200" s="6"/>
      <c r="S200" s="6"/>
      <c r="T200" s="4">
        <v>30</v>
      </c>
      <c r="U200" s="4"/>
      <c r="V200" s="4"/>
      <c r="W200" s="9">
        <v>1.4</v>
      </c>
      <c r="X200" s="9"/>
      <c r="Y200" s="9"/>
      <c r="Z200" s="9"/>
      <c r="AA200" s="9"/>
      <c r="AB200" s="9"/>
      <c r="AC200" s="468" t="str">
        <f t="shared" si="14"/>
        <v>PHQ</v>
      </c>
      <c r="AD200" s="468"/>
      <c r="AE200" s="468"/>
      <c r="AF200" s="4"/>
      <c r="AG200" s="88"/>
      <c r="AH200" s="4"/>
      <c r="AI200" s="4"/>
      <c r="AJ200" s="468"/>
      <c r="AK200" s="468"/>
      <c r="AL200" s="468"/>
      <c r="AM200" s="468" t="s">
        <v>486</v>
      </c>
      <c r="AN200" s="10">
        <v>5.5</v>
      </c>
      <c r="AO200" s="9"/>
      <c r="AP200" s="9"/>
      <c r="AQ200" s="9"/>
      <c r="AR200" s="9"/>
      <c r="AS200" s="9"/>
      <c r="AT200" s="9">
        <f>+ab($T$200,$T$198,$T$202,$G$199,$G$201, 1*$F$200,1200)</f>
        <v>6.9334379116433373</v>
      </c>
      <c r="AU200" s="447"/>
      <c r="AV200" s="447"/>
      <c r="AW200" s="468" t="str">
        <f>IF(C200&gt;0,VLOOKUP(C200,Foundation_Calc!$A$2:$C$13,3,1),
IF(J200&gt;0,VLOOKUP(J200,Foundation_Calc!$A$2:$C$13,3,1),""))</f>
        <v>MultiSoil</v>
      </c>
      <c r="AX200" s="468" t="str">
        <f>IF(C200&gt;0,VLOOKUP(C200,Foundation_Calc!$E$2:$G$13,3,1),
IF(J200&gt;0,VLOOKUP(J200,Foundation_Calc!$E$2:$G$13,3,1),""))</f>
        <v>PT</v>
      </c>
      <c r="AY200" s="10">
        <f>IF(L200="","",
IF(AX200="PT",VLOOKUP(L200,Foundation_Calc!$K$79:$R$112,VLOOKUP(AW200,Foundation_Calc!$I$2:$J$8,2,FALSE),0),
IF(AX200="K",VLOOKUP(L200,Foundation_Calc!$K$116:$R$149,VLOOKUP(AW200,Foundation_Calc!$I$2:$J$8,2,FALSE),0),"")))</f>
        <v>3.5</v>
      </c>
      <c r="AZ200" s="10" t="str">
        <f>IF(K200="","",
IF(AX200="PT",VLOOKUP(K200,Foundation_Calc!$K$79:$R$112,VLOOKUP(AW200,Foundation_Calc!$I$2:$J$8,2,FALSE),0),
IF(AX200="K",VLOOKUP(K200,Foundation_Calc!$K$116:$R$149,VLOOKUP(AW200,Foundation_Calc!$I$2:$J$8,2,FALSE),0),"")))</f>
        <v/>
      </c>
      <c r="BA200" s="553" t="str">
        <f t="shared" si="15"/>
        <v>ü</v>
      </c>
      <c r="BB200" s="553" t="str">
        <f t="shared" si="15"/>
        <v/>
      </c>
      <c r="BC200" s="553" t="str">
        <f t="shared" si="16"/>
        <v/>
      </c>
      <c r="BD200" s="572" t="str">
        <f>IF(AND(L200="",H200=""),"",
IF(H200="",Pole_Calc!A$9,
IF(H200="MP",Pole_Calc!A$10,
IF(H200="AnMP",Pole_Calc!A$11,
IF(H200="A",Pole_Calc!A$12,
IF(H200="S/A",Pole_Calc!A$13,
IF(H200="A/S",Pole_Calc!A$14,"Poner a mano")))))))</f>
        <v>App.7-V11H-P9.5.1.1</v>
      </c>
      <c r="BE200" s="448" t="s">
        <v>1726</v>
      </c>
      <c r="BF200" s="306"/>
      <c r="BG200" s="306"/>
      <c r="BH200" s="306"/>
      <c r="BI200" s="306"/>
    </row>
    <row r="201" spans="1:61" ht="16.2" customHeight="1">
      <c r="A201" s="573"/>
      <c r="B201" s="469"/>
      <c r="C201" s="3"/>
      <c r="D201" s="88"/>
      <c r="E201" s="4"/>
      <c r="F201" s="4"/>
      <c r="G201" s="6">
        <v>45</v>
      </c>
      <c r="H201" s="468"/>
      <c r="I201" s="468"/>
      <c r="J201" s="3"/>
      <c r="K201" s="468"/>
      <c r="L201" s="468"/>
      <c r="M201" s="468" t="str">
        <f>IF(L201="","",
IF(AX201="PT",VLOOKUP(L201,Foundation_Calc!$V$79:$X$112,VLOOKUP(AX201,Foundation_Calc!$I$10:$J$13,2,FALSE),0),
IF(AX201="K",VLOOKUP(L201,Foundation_Calc!$V$116:$X$149,VLOOKUP(AX201,Foundation_Calc!$I$10:$J$13,2,FALSE),0),"")))</f>
        <v/>
      </c>
      <c r="N201" s="468"/>
      <c r="O201" s="468"/>
      <c r="P201" s="468"/>
      <c r="Q201" s="4"/>
      <c r="R201" s="6"/>
      <c r="S201" s="6"/>
      <c r="T201" s="4"/>
      <c r="U201" s="4"/>
      <c r="V201" s="4"/>
      <c r="W201" s="9"/>
      <c r="X201" s="9"/>
      <c r="Y201" s="9"/>
      <c r="Z201" s="9"/>
      <c r="AA201" s="9"/>
      <c r="AB201" s="9"/>
      <c r="AC201" s="468" t="str">
        <f t="shared" si="14"/>
        <v/>
      </c>
      <c r="AD201" s="468"/>
      <c r="AE201" s="468"/>
      <c r="AF201" s="4"/>
      <c r="AG201" s="88"/>
      <c r="AH201" s="4"/>
      <c r="AI201" s="4"/>
      <c r="AJ201" s="468"/>
      <c r="AK201" s="468"/>
      <c r="AL201" s="468"/>
      <c r="AM201" s="468"/>
      <c r="AN201" s="10"/>
      <c r="AO201" s="9"/>
      <c r="AP201" s="9"/>
      <c r="AQ201" s="9">
        <f>+FL_1($T$202,$T$200,$G$201,1200,9.28, 1*$F$202)</f>
        <v>0.30010727378385105</v>
      </c>
      <c r="AR201" s="9"/>
      <c r="AS201" s="9"/>
      <c r="AT201" s="9"/>
      <c r="AU201" s="447"/>
      <c r="AV201" s="447"/>
      <c r="AW201" s="468" t="str">
        <f>IF(C201&gt;0,VLOOKUP(C201,Foundation_Calc!$A$2:$C$13,3,1),
IF(J201&gt;0,VLOOKUP(J201,Foundation_Calc!$A$2:$C$13,3,1),""))</f>
        <v/>
      </c>
      <c r="AX201" s="468" t="str">
        <f>IF(C201&gt;0,VLOOKUP(C201,Foundation_Calc!$E$2:$G$13,3,1),
IF(J201&gt;0,VLOOKUP(J201,Foundation_Calc!$E$2:$G$13,3,1),""))</f>
        <v/>
      </c>
      <c r="AY201" s="10" t="str">
        <f>IF(L201="","",
IF(AX201="PT",VLOOKUP(L201,Foundation_Calc!$K$79:$R$112,VLOOKUP(AW201,Foundation_Calc!$I$2:$J$8,2,FALSE),0),
IF(AX201="K",VLOOKUP(L201,Foundation_Calc!$K$116:$R$149,VLOOKUP(AW201,Foundation_Calc!$I$2:$J$8,2,FALSE),0),"")))</f>
        <v/>
      </c>
      <c r="AZ201" s="10" t="str">
        <f>IF(K201="","",
IF(AX201="PT",VLOOKUP(K201,Foundation_Calc!$K$79:$R$112,VLOOKUP(AW201,Foundation_Calc!$I$2:$J$8,2,FALSE),0),
IF(AX201="K",VLOOKUP(K201,Foundation_Calc!$K$116:$R$149,VLOOKUP(AW201,Foundation_Calc!$I$2:$J$8,2,FALSE),0),"")))</f>
        <v/>
      </c>
      <c r="BA201" s="553" t="str">
        <f t="shared" si="15"/>
        <v/>
      </c>
      <c r="BB201" s="553" t="str">
        <f t="shared" si="15"/>
        <v/>
      </c>
      <c r="BC201" s="553" t="str">
        <f t="shared" si="16"/>
        <v/>
      </c>
      <c r="BD201" s="572" t="str">
        <f>IF(AND(L201="",H201=""),"",
IF(H201="",Pole_Calc!A$9,
IF(H201="MP",Pole_Calc!A$10,
IF(H201="AnMP",Pole_Calc!A$11,
IF(H201="A",Pole_Calc!A$12,
IF(H201="S/A",Pole_Calc!A$13,
IF(H201="A/S",Pole_Calc!A$14,"Poner a mano")))))))</f>
        <v/>
      </c>
      <c r="BE201" s="448" t="s">
        <v>1726</v>
      </c>
      <c r="BF201" s="305"/>
      <c r="BG201" s="305"/>
      <c r="BH201" s="306"/>
      <c r="BI201" s="305"/>
    </row>
    <row r="202" spans="1:61" ht="16.2" customHeight="1">
      <c r="A202" s="573"/>
      <c r="B202" s="469" t="s">
        <v>1954</v>
      </c>
      <c r="C202" s="3">
        <f>+$C$200+$G$201</f>
        <v>4479.9500000000007</v>
      </c>
      <c r="D202" s="88"/>
      <c r="E202" s="4"/>
      <c r="F202" s="4">
        <v>800</v>
      </c>
      <c r="G202" s="6"/>
      <c r="H202" s="468"/>
      <c r="I202" s="468"/>
      <c r="J202" s="3"/>
      <c r="K202" s="468"/>
      <c r="L202" s="468" t="s">
        <v>38</v>
      </c>
      <c r="M202" s="468" t="str">
        <f>IF(L202="","",
IF(AX202="PT",VLOOKUP(L202,Foundation_Calc!$V$79:$X$112,VLOOKUP(AX202,Foundation_Calc!$I$10:$J$13,2,FALSE),0),
IF(AX202="K",VLOOKUP(L202,Foundation_Calc!$V$116:$X$149,VLOOKUP(AX202,Foundation_Calc!$I$10:$J$13,2,FALSE),0),"")))</f>
        <v>C4R</v>
      </c>
      <c r="N202" s="468" t="s">
        <v>33</v>
      </c>
      <c r="O202" s="468"/>
      <c r="P202" s="468"/>
      <c r="Q202" s="4"/>
      <c r="R202" s="6"/>
      <c r="S202" s="6"/>
      <c r="T202" s="4">
        <v>30</v>
      </c>
      <c r="U202" s="4"/>
      <c r="V202" s="4"/>
      <c r="W202" s="9">
        <v>1.4</v>
      </c>
      <c r="X202" s="9"/>
      <c r="Y202" s="9"/>
      <c r="Z202" s="9"/>
      <c r="AA202" s="9"/>
      <c r="AB202" s="9"/>
      <c r="AC202" s="468" t="str">
        <f t="shared" ref="AC202:AC259" si="18">IF(OR(AT202&gt;8,AT202&lt;-8),"PH",
IF(OR(AT202&gt;5,AT202&lt;-5),"PHQ",
IF(OR(AT202&gt;1,AT202&lt;-1),
"PHC","")))</f>
        <v>PHC</v>
      </c>
      <c r="AD202" s="468"/>
      <c r="AE202" s="468"/>
      <c r="AF202" s="4"/>
      <c r="AG202" s="88"/>
      <c r="AH202" s="4"/>
      <c r="AI202" s="4"/>
      <c r="AJ202" s="468"/>
      <c r="AK202" s="468"/>
      <c r="AL202" s="468"/>
      <c r="AM202" s="468" t="s">
        <v>486</v>
      </c>
      <c r="AN202" s="10">
        <v>5.5</v>
      </c>
      <c r="AO202" s="9"/>
      <c r="AP202" s="9"/>
      <c r="AQ202" s="9"/>
      <c r="AR202" s="9"/>
      <c r="AS202" s="9"/>
      <c r="AT202" s="9">
        <f>+ab($T$202,$T$200,$T$204,$G$201,$G$203, 1*$F$202,1200)</f>
        <v>3.2284553353371082</v>
      </c>
      <c r="AU202" s="447"/>
      <c r="AV202" s="447"/>
      <c r="AW202" s="468" t="str">
        <f>IF(C202&gt;0,VLOOKUP(C202,Foundation_Calc!$A$2:$C$13,3,1),
IF(J202&gt;0,VLOOKUP(J202,Foundation_Calc!$A$2:$C$13,3,1),""))</f>
        <v>MultiSoil</v>
      </c>
      <c r="AX202" s="468" t="str">
        <f>IF(C202&gt;0,VLOOKUP(C202,Foundation_Calc!$E$2:$G$13,3,1),
IF(J202&gt;0,VLOOKUP(J202,Foundation_Calc!$E$2:$G$13,3,1),""))</f>
        <v>PT</v>
      </c>
      <c r="AY202" s="10">
        <f>IF(L202="","",
IF(AX202="PT",VLOOKUP(L202,Foundation_Calc!$K$79:$R$112,VLOOKUP(AW202,Foundation_Calc!$I$2:$J$8,2,FALSE),0),
IF(AX202="K",VLOOKUP(L202,Foundation_Calc!$K$116:$R$149,VLOOKUP(AW202,Foundation_Calc!$I$2:$J$8,2,FALSE),0),"")))</f>
        <v>3.5</v>
      </c>
      <c r="AZ202" s="10" t="str">
        <f>IF(K202="","",
IF(AX202="PT",VLOOKUP(K202,Foundation_Calc!$K$79:$R$112,VLOOKUP(AW202,Foundation_Calc!$I$2:$J$8,2,FALSE),0),
IF(AX202="K",VLOOKUP(K202,Foundation_Calc!$K$116:$R$149,VLOOKUP(AW202,Foundation_Calc!$I$2:$J$8,2,FALSE),0),"")))</f>
        <v/>
      </c>
      <c r="BA202" s="553" t="str">
        <f t="shared" si="15"/>
        <v>ü</v>
      </c>
      <c r="BB202" s="553" t="str">
        <f t="shared" si="15"/>
        <v/>
      </c>
      <c r="BC202" s="553" t="str">
        <f t="shared" si="16"/>
        <v/>
      </c>
      <c r="BD202" s="572" t="str">
        <f>IF(AND(L202="",H202=""),"",
IF(H202="",Pole_Calc!A$9,
IF(H202="MP",Pole_Calc!A$10,
IF(H202="AnMP",Pole_Calc!A$11,
IF(H202="A",Pole_Calc!A$12,
IF(H202="S/A",Pole_Calc!A$13,
IF(H202="A/S",Pole_Calc!A$14,"Poner a mano")))))))</f>
        <v>App.7-V11H-P9.5.1.1</v>
      </c>
      <c r="BE202" s="448" t="s">
        <v>1726</v>
      </c>
      <c r="BF202" s="306"/>
      <c r="BG202" s="306"/>
      <c r="BH202" s="306"/>
      <c r="BI202" s="306"/>
    </row>
    <row r="203" spans="1:61" ht="16.2" customHeight="1">
      <c r="A203" s="573"/>
      <c r="B203" s="469"/>
      <c r="C203" s="3"/>
      <c r="D203" s="88"/>
      <c r="E203" s="4"/>
      <c r="F203" s="4"/>
      <c r="G203" s="6">
        <v>50</v>
      </c>
      <c r="H203" s="468"/>
      <c r="I203" s="468"/>
      <c r="J203" s="3"/>
      <c r="K203" s="468"/>
      <c r="L203" s="468"/>
      <c r="M203" s="468" t="str">
        <f>IF(L203="","",
IF(AX203="PT",VLOOKUP(L203,Foundation_Calc!$V$79:$X$112,VLOOKUP(AX203,Foundation_Calc!$I$10:$J$13,2,FALSE),0),
IF(AX203="K",VLOOKUP(L203,Foundation_Calc!$V$116:$X$149,VLOOKUP(AX203,Foundation_Calc!$I$10:$J$13,2,FALSE),0),"")))</f>
        <v/>
      </c>
      <c r="N203" s="468"/>
      <c r="O203" s="468"/>
      <c r="P203" s="468"/>
      <c r="Q203" s="4"/>
      <c r="R203" s="6"/>
      <c r="S203" s="6"/>
      <c r="T203" s="4"/>
      <c r="U203" s="4"/>
      <c r="V203" s="4"/>
      <c r="W203" s="9"/>
      <c r="X203" s="9"/>
      <c r="Y203" s="9"/>
      <c r="Z203" s="9"/>
      <c r="AA203" s="9"/>
      <c r="AB203" s="9"/>
      <c r="AC203" s="468" t="str">
        <f t="shared" si="18"/>
        <v/>
      </c>
      <c r="AD203" s="468"/>
      <c r="AE203" s="468"/>
      <c r="AF203" s="4"/>
      <c r="AG203" s="88"/>
      <c r="AH203" s="4"/>
      <c r="AI203" s="4"/>
      <c r="AJ203" s="468"/>
      <c r="AK203" s="468"/>
      <c r="AL203" s="468"/>
      <c r="AM203" s="468"/>
      <c r="AN203" s="10"/>
      <c r="AO203" s="9"/>
      <c r="AP203" s="9"/>
      <c r="AQ203" s="9">
        <f>+FL_1($T$204,$T$202,$G$203,1200,9.28, 1*$F$204)</f>
        <v>0.35659416609511629</v>
      </c>
      <c r="AR203" s="9"/>
      <c r="AS203" s="9"/>
      <c r="AT203" s="9"/>
      <c r="AU203" s="447"/>
      <c r="AV203" s="447"/>
      <c r="AW203" s="468" t="str">
        <f>IF(C203&gt;0,VLOOKUP(C203,Foundation_Calc!$A$2:$C$13,3,1),
IF(J203&gt;0,VLOOKUP(J203,Foundation_Calc!$A$2:$C$13,3,1),""))</f>
        <v/>
      </c>
      <c r="AX203" s="468" t="str">
        <f>IF(C203&gt;0,VLOOKUP(C203,Foundation_Calc!$E$2:$G$13,3,1),
IF(J203&gt;0,VLOOKUP(J203,Foundation_Calc!$E$2:$G$13,3,1),""))</f>
        <v/>
      </c>
      <c r="AY203" s="10" t="str">
        <f>IF(L203="","",
IF(AX203="PT",VLOOKUP(L203,Foundation_Calc!$K$79:$R$112,VLOOKUP(AW203,Foundation_Calc!$I$2:$J$8,2,FALSE),0),
IF(AX203="K",VLOOKUP(L203,Foundation_Calc!$K$116:$R$149,VLOOKUP(AW203,Foundation_Calc!$I$2:$J$8,2,FALSE),0),"")))</f>
        <v/>
      </c>
      <c r="AZ203" s="10" t="str">
        <f>IF(K203="","",
IF(AX203="PT",VLOOKUP(K203,Foundation_Calc!$K$79:$R$112,VLOOKUP(AW203,Foundation_Calc!$I$2:$J$8,2,FALSE),0),
IF(AX203="K",VLOOKUP(K203,Foundation_Calc!$K$116:$R$149,VLOOKUP(AW203,Foundation_Calc!$I$2:$J$8,2,FALSE),0),"")))</f>
        <v/>
      </c>
      <c r="BA203" s="553" t="str">
        <f t="shared" si="15"/>
        <v/>
      </c>
      <c r="BB203" s="553" t="str">
        <f t="shared" si="15"/>
        <v/>
      </c>
      <c r="BC203" s="553" t="str">
        <f t="shared" ref="BC203:BC266" si="19">IF(M203="","",IF(M203="U.S.","ü",IF(M203="U.S. N.D.","ü","")))</f>
        <v/>
      </c>
      <c r="BD203" s="572" t="str">
        <f>IF(AND(L203="",H203=""),"",
IF(H203="",Pole_Calc!A$9,
IF(H203="MP",Pole_Calc!A$10,
IF(H203="AnMP",Pole_Calc!A$11,
IF(H203="A",Pole_Calc!A$12,
IF(H203="S/A",Pole_Calc!A$13,
IF(H203="A/S",Pole_Calc!A$14,"Poner a mano")))))))</f>
        <v/>
      </c>
      <c r="BE203" s="448" t="s">
        <v>1726</v>
      </c>
      <c r="BF203" s="305"/>
      <c r="BG203" s="305"/>
      <c r="BH203" s="306"/>
      <c r="BI203" s="305"/>
    </row>
    <row r="204" spans="1:61" ht="16.2" customHeight="1">
      <c r="A204" s="573"/>
      <c r="B204" s="469" t="s">
        <v>1955</v>
      </c>
      <c r="C204" s="3">
        <f>+$C$202+$G$203</f>
        <v>4529.9500000000007</v>
      </c>
      <c r="D204" s="88"/>
      <c r="E204" s="4"/>
      <c r="F204" s="4">
        <v>1688.62</v>
      </c>
      <c r="G204" s="6"/>
      <c r="H204" s="468"/>
      <c r="I204" s="468"/>
      <c r="J204" s="3"/>
      <c r="K204" s="468"/>
      <c r="L204" s="468" t="s">
        <v>38</v>
      </c>
      <c r="M204" s="468" t="str">
        <f>IF(L204="","",
IF(AX204="PT",VLOOKUP(L204,Foundation_Calc!$V$79:$X$112,VLOOKUP(AX204,Foundation_Calc!$I$10:$J$13,2,FALSE),0),
IF(AX204="K",VLOOKUP(L204,Foundation_Calc!$V$116:$X$149,VLOOKUP(AX204,Foundation_Calc!$I$10:$J$13,2,FALSE),0),"")))</f>
        <v>C4R</v>
      </c>
      <c r="N204" s="468" t="s">
        <v>33</v>
      </c>
      <c r="O204" s="468"/>
      <c r="P204" s="468"/>
      <c r="Q204" s="4"/>
      <c r="R204" s="6"/>
      <c r="S204" s="6"/>
      <c r="T204" s="4">
        <v>30</v>
      </c>
      <c r="U204" s="4"/>
      <c r="V204" s="4"/>
      <c r="W204" s="9">
        <v>1.4</v>
      </c>
      <c r="X204" s="9"/>
      <c r="Y204" s="9"/>
      <c r="Z204" s="9"/>
      <c r="AA204" s="9"/>
      <c r="AB204" s="9"/>
      <c r="AC204" s="468" t="str">
        <f t="shared" si="18"/>
        <v>PHC</v>
      </c>
      <c r="AD204" s="468"/>
      <c r="AE204" s="468"/>
      <c r="AF204" s="4"/>
      <c r="AG204" s="88"/>
      <c r="AH204" s="4"/>
      <c r="AI204" s="4"/>
      <c r="AJ204" s="468"/>
      <c r="AK204" s="468"/>
      <c r="AL204" s="468"/>
      <c r="AM204" s="468" t="s">
        <v>486</v>
      </c>
      <c r="AN204" s="10">
        <v>5.5</v>
      </c>
      <c r="AO204" s="9"/>
      <c r="AP204" s="9"/>
      <c r="AQ204" s="9"/>
      <c r="AR204" s="9"/>
      <c r="AS204" s="9"/>
      <c r="AT204" s="9">
        <f>+ab($T$204,$T$202,$T$206,$G$203,$G$205, 1*$F$204,1200)</f>
        <v>4.4942279401740182</v>
      </c>
      <c r="AU204" s="447"/>
      <c r="AV204" s="447"/>
      <c r="AW204" s="468" t="str">
        <f>IF(C204&gt;0,VLOOKUP(C204,Foundation_Calc!$A$2:$C$13,3,1),
IF(J204&gt;0,VLOOKUP(J204,Foundation_Calc!$A$2:$C$13,3,1),""))</f>
        <v>MultiSoil</v>
      </c>
      <c r="AX204" s="468" t="str">
        <f>IF(C204&gt;0,VLOOKUP(C204,Foundation_Calc!$E$2:$G$13,3,1),
IF(J204&gt;0,VLOOKUP(J204,Foundation_Calc!$E$2:$G$13,3,1),""))</f>
        <v>PT</v>
      </c>
      <c r="AY204" s="10">
        <f>IF(L204="","",
IF(AX204="PT",VLOOKUP(L204,Foundation_Calc!$K$79:$R$112,VLOOKUP(AW204,Foundation_Calc!$I$2:$J$8,2,FALSE),0),
IF(AX204="K",VLOOKUP(L204,Foundation_Calc!$K$116:$R$149,VLOOKUP(AW204,Foundation_Calc!$I$2:$J$8,2,FALSE),0),"")))</f>
        <v>3.5</v>
      </c>
      <c r="AZ204" s="10" t="str">
        <f>IF(K204="","",
IF(AX204="PT",VLOOKUP(K204,Foundation_Calc!$K$79:$R$112,VLOOKUP(AW204,Foundation_Calc!$I$2:$J$8,2,FALSE),0),
IF(AX204="K",VLOOKUP(K204,Foundation_Calc!$K$116:$R$149,VLOOKUP(AW204,Foundation_Calc!$I$2:$J$8,2,FALSE),0),"")))</f>
        <v/>
      </c>
      <c r="BA204" s="553" t="str">
        <f t="shared" si="15"/>
        <v>ü</v>
      </c>
      <c r="BB204" s="553" t="str">
        <f t="shared" si="15"/>
        <v/>
      </c>
      <c r="BC204" s="553" t="str">
        <f t="shared" si="19"/>
        <v/>
      </c>
      <c r="BD204" s="572" t="str">
        <f>IF(AND(L204="",H204=""),"",
IF(H204="",Pole_Calc!A$9,
IF(H204="MP",Pole_Calc!A$10,
IF(H204="AnMP",Pole_Calc!A$11,
IF(H204="A",Pole_Calc!A$12,
IF(H204="S/A",Pole_Calc!A$13,
IF(H204="A/S",Pole_Calc!A$14,"Poner a mano")))))))</f>
        <v>App.7-V11H-P9.5.1.1</v>
      </c>
      <c r="BE204" s="448" t="s">
        <v>1726</v>
      </c>
      <c r="BF204" s="306"/>
      <c r="BG204" s="306"/>
      <c r="BH204" s="306"/>
      <c r="BI204" s="306"/>
    </row>
    <row r="205" spans="1:61" ht="16.2" customHeight="1">
      <c r="A205" s="573"/>
      <c r="B205" s="469"/>
      <c r="C205" s="3"/>
      <c r="D205" s="88"/>
      <c r="E205" s="4"/>
      <c r="F205" s="4"/>
      <c r="G205" s="6">
        <v>50</v>
      </c>
      <c r="H205" s="468"/>
      <c r="I205" s="468"/>
      <c r="J205" s="3"/>
      <c r="K205" s="468"/>
      <c r="L205" s="468"/>
      <c r="M205" s="468" t="str">
        <f>IF(L205="","",
IF(AX205="PT",VLOOKUP(L205,Foundation_Calc!$V$79:$X$112,VLOOKUP(AX205,Foundation_Calc!$I$10:$J$13,2,FALSE),0),
IF(AX205="K",VLOOKUP(L205,Foundation_Calc!$V$116:$X$149,VLOOKUP(AX205,Foundation_Calc!$I$10:$J$13,2,FALSE),0),"")))</f>
        <v/>
      </c>
      <c r="N205" s="468"/>
      <c r="O205" s="468"/>
      <c r="P205" s="468"/>
      <c r="Q205" s="4"/>
      <c r="R205" s="6"/>
      <c r="S205" s="6"/>
      <c r="T205" s="4"/>
      <c r="U205" s="4"/>
      <c r="V205" s="4"/>
      <c r="W205" s="9"/>
      <c r="X205" s="9"/>
      <c r="Y205" s="9"/>
      <c r="Z205" s="9"/>
      <c r="AA205" s="9"/>
      <c r="AB205" s="9"/>
      <c r="AC205" s="468" t="str">
        <f t="shared" si="18"/>
        <v/>
      </c>
      <c r="AD205" s="468"/>
      <c r="AE205" s="468"/>
      <c r="AF205" s="4"/>
      <c r="AG205" s="88"/>
      <c r="AH205" s="4"/>
      <c r="AI205" s="4"/>
      <c r="AJ205" s="468"/>
      <c r="AK205" s="468"/>
      <c r="AL205" s="468"/>
      <c r="AM205" s="468"/>
      <c r="AN205" s="10"/>
      <c r="AO205" s="9"/>
      <c r="AP205" s="9"/>
      <c r="AQ205" s="9">
        <f>+FL_2($T$206,$T$204,$G$205,1200,9.28, 1*$F$206)</f>
        <v>-0.37593390799999998</v>
      </c>
      <c r="AR205" s="9"/>
      <c r="AS205" s="9"/>
      <c r="AT205" s="9"/>
      <c r="AU205" s="447"/>
      <c r="AV205" s="447"/>
      <c r="AW205" s="468" t="str">
        <f>IF(C205&gt;0,VLOOKUP(C205,Foundation_Calc!$A$2:$C$13,3,1),
IF(J205&gt;0,VLOOKUP(J205,Foundation_Calc!$A$2:$C$13,3,1),""))</f>
        <v/>
      </c>
      <c r="AX205" s="468" t="str">
        <f>IF(C205&gt;0,VLOOKUP(C205,Foundation_Calc!$E$2:$G$13,3,1),
IF(J205&gt;0,VLOOKUP(J205,Foundation_Calc!$E$2:$G$13,3,1),""))</f>
        <v/>
      </c>
      <c r="AY205" s="10" t="str">
        <f>IF(L205="","",
IF(AX205="PT",VLOOKUP(L205,Foundation_Calc!$K$79:$R$112,VLOOKUP(AW205,Foundation_Calc!$I$2:$J$8,2,FALSE),0),
IF(AX205="K",VLOOKUP(L205,Foundation_Calc!$K$116:$R$149,VLOOKUP(AW205,Foundation_Calc!$I$2:$J$8,2,FALSE),0),"")))</f>
        <v/>
      </c>
      <c r="AZ205" s="10" t="str">
        <f>IF(K205="","",
IF(AX205="PT",VLOOKUP(K205,Foundation_Calc!$K$79:$R$112,VLOOKUP(AW205,Foundation_Calc!$I$2:$J$8,2,FALSE),0),
IF(AX205="K",VLOOKUP(K205,Foundation_Calc!$K$116:$R$149,VLOOKUP(AW205,Foundation_Calc!$I$2:$J$8,2,FALSE),0),"")))</f>
        <v/>
      </c>
      <c r="BA205" s="553" t="str">
        <f t="shared" si="15"/>
        <v/>
      </c>
      <c r="BB205" s="553" t="str">
        <f t="shared" si="15"/>
        <v/>
      </c>
      <c r="BC205" s="553" t="str">
        <f t="shared" si="19"/>
        <v/>
      </c>
      <c r="BD205" s="572" t="str">
        <f>IF(AND(L205="",H205=""),"",
IF(H205="",Pole_Calc!A$9,
IF(H205="MP",Pole_Calc!A$10,
IF(H205="AnMP",Pole_Calc!A$11,
IF(H205="A",Pole_Calc!A$12,
IF(H205="S/A",Pole_Calc!A$13,
IF(H205="A/S",Pole_Calc!A$14,"Poner a mano")))))))</f>
        <v/>
      </c>
      <c r="BE205" s="448" t="s">
        <v>1726</v>
      </c>
      <c r="BF205" s="305"/>
      <c r="BG205" s="305"/>
      <c r="BH205" s="306"/>
      <c r="BI205" s="305"/>
    </row>
    <row r="206" spans="1:61" ht="16.2" customHeight="1">
      <c r="A206" s="573"/>
      <c r="B206" s="469" t="s">
        <v>1956</v>
      </c>
      <c r="C206" s="3">
        <f>+$C$204+$G$205</f>
        <v>4579.9500000000007</v>
      </c>
      <c r="D206" s="88"/>
      <c r="E206" s="4"/>
      <c r="F206" s="4">
        <v>0</v>
      </c>
      <c r="G206" s="6"/>
      <c r="H206" s="468"/>
      <c r="I206" s="468"/>
      <c r="J206" s="3"/>
      <c r="K206" s="468"/>
      <c r="L206" s="468" t="s">
        <v>37</v>
      </c>
      <c r="M206" s="468" t="str">
        <f>IF(L206="","",
IF(AX206="PT",VLOOKUP(L206,Foundation_Calc!$V$79:$X$112,VLOOKUP(AX206,Foundation_Calc!$I$10:$J$13,2,FALSE),0),
IF(AX206="K",VLOOKUP(L206,Foundation_Calc!$V$116:$X$149,VLOOKUP(AX206,Foundation_Calc!$I$10:$J$13,2,FALSE),0),"")))</f>
        <v>C3R</v>
      </c>
      <c r="N206" s="468" t="s">
        <v>32</v>
      </c>
      <c r="O206" s="468"/>
      <c r="P206" s="468"/>
      <c r="Q206" s="4"/>
      <c r="R206" s="6"/>
      <c r="S206" s="6"/>
      <c r="T206" s="4">
        <v>-35</v>
      </c>
      <c r="U206" s="4"/>
      <c r="V206" s="4"/>
      <c r="W206" s="9">
        <v>1.4</v>
      </c>
      <c r="X206" s="9"/>
      <c r="Y206" s="9"/>
      <c r="Z206" s="9"/>
      <c r="AA206" s="9"/>
      <c r="AB206" s="9"/>
      <c r="AC206" s="468" t="str">
        <f t="shared" si="18"/>
        <v>PHQ</v>
      </c>
      <c r="AD206" s="468"/>
      <c r="AE206" s="468"/>
      <c r="AF206" s="4"/>
      <c r="AG206" s="88"/>
      <c r="AH206" s="4"/>
      <c r="AI206" s="4"/>
      <c r="AJ206" s="468"/>
      <c r="AK206" s="468"/>
      <c r="AL206" s="468"/>
      <c r="AM206" s="468" t="s">
        <v>486</v>
      </c>
      <c r="AN206" s="10">
        <v>5.5</v>
      </c>
      <c r="AO206" s="9"/>
      <c r="AP206" s="9"/>
      <c r="AQ206" s="9"/>
      <c r="AR206" s="9"/>
      <c r="AS206" s="9"/>
      <c r="AT206" s="9">
        <f>+ab($T$206,$T$204,$T$208,$G$205,$G$207, 1*$F$206,1200)</f>
        <v>-7.0710297839483092</v>
      </c>
      <c r="AU206" s="447"/>
      <c r="AV206" s="447"/>
      <c r="AW206" s="468" t="str">
        <f>IF(C206&gt;0,VLOOKUP(C206,Foundation_Calc!$A$2:$C$13,3,1),
IF(J206&gt;0,VLOOKUP(J206,Foundation_Calc!$A$2:$C$13,3,1),""))</f>
        <v>MultiSoil</v>
      </c>
      <c r="AX206" s="468" t="str">
        <f>IF(C206&gt;0,VLOOKUP(C206,Foundation_Calc!$E$2:$G$13,3,1),
IF(J206&gt;0,VLOOKUP(J206,Foundation_Calc!$E$2:$G$13,3,1),""))</f>
        <v>PT</v>
      </c>
      <c r="AY206" s="10">
        <f>IF(L206="","",
IF(AX206="PT",VLOOKUP(L206,Foundation_Calc!$K$79:$R$112,VLOOKUP(AW206,Foundation_Calc!$I$2:$J$8,2,FALSE),0),
IF(AX206="K",VLOOKUP(L206,Foundation_Calc!$K$116:$R$149,VLOOKUP(AW206,Foundation_Calc!$I$2:$J$8,2,FALSE),0),"")))</f>
        <v>3.5</v>
      </c>
      <c r="AZ206" s="10" t="str">
        <f>IF(K206="","",
IF(AX206="PT",VLOOKUP(K206,Foundation_Calc!$K$79:$R$112,VLOOKUP(AW206,Foundation_Calc!$I$2:$J$8,2,FALSE),0),
IF(AX206="K",VLOOKUP(K206,Foundation_Calc!$K$116:$R$149,VLOOKUP(AW206,Foundation_Calc!$I$2:$J$8,2,FALSE),0),"")))</f>
        <v/>
      </c>
      <c r="BA206" s="553" t="str">
        <f t="shared" ref="BA206:BB269" si="20">IF(AY206="","",IF(AY206&gt;0,"ü",""))</f>
        <v>ü</v>
      </c>
      <c r="BB206" s="553" t="str">
        <f t="shared" si="20"/>
        <v/>
      </c>
      <c r="BC206" s="553" t="str">
        <f t="shared" si="19"/>
        <v/>
      </c>
      <c r="BD206" s="572" t="str">
        <f>IF(AND(L206="",H206=""),"",
IF(H206="",Pole_Calc!A$9,
IF(H206="MP",Pole_Calc!A$10,
IF(H206="AnMP",Pole_Calc!A$11,
IF(H206="A",Pole_Calc!A$12,
IF(H206="S/A",Pole_Calc!A$13,
IF(H206="A/S",Pole_Calc!A$14,"Poner a mano")))))))</f>
        <v>App.7-V11H-P9.5.1.1</v>
      </c>
      <c r="BE206" s="448" t="s">
        <v>1726</v>
      </c>
      <c r="BF206" s="306"/>
      <c r="BG206" s="306"/>
      <c r="BH206" s="306"/>
      <c r="BI206" s="306"/>
    </row>
    <row r="207" spans="1:61" ht="16.2" customHeight="1">
      <c r="A207" s="573"/>
      <c r="B207" s="469"/>
      <c r="C207" s="3"/>
      <c r="D207" s="88"/>
      <c r="E207" s="4"/>
      <c r="F207" s="4"/>
      <c r="G207" s="6">
        <v>50</v>
      </c>
      <c r="H207" s="468"/>
      <c r="I207" s="468"/>
      <c r="J207" s="3">
        <f>C208-7.5</f>
        <v>4622.4500000000007</v>
      </c>
      <c r="K207" s="468" t="s">
        <v>1096</v>
      </c>
      <c r="L207" s="468"/>
      <c r="M207" s="468" t="str">
        <f>IF(L207="","",
IF(AX207="PT",VLOOKUP(L207,Foundation_Calc!$V$79:$X$112,VLOOKUP(AX207,Foundation_Calc!$I$10:$J$13,2,FALSE),0),
IF(AX207="K",VLOOKUP(L207,Foundation_Calc!$V$116:$X$149,VLOOKUP(AX207,Foundation_Calc!$I$10:$J$13,2,FALSE),0),"")))</f>
        <v/>
      </c>
      <c r="N207" s="468"/>
      <c r="O207" s="468"/>
      <c r="P207" s="468"/>
      <c r="Q207" s="4"/>
      <c r="R207" s="6"/>
      <c r="S207" s="6"/>
      <c r="T207" s="4"/>
      <c r="U207" s="4"/>
      <c r="V207" s="4"/>
      <c r="W207" s="9"/>
      <c r="X207" s="9"/>
      <c r="Y207" s="9"/>
      <c r="Z207" s="9"/>
      <c r="AA207" s="9"/>
      <c r="AB207" s="9"/>
      <c r="AC207" s="468" t="str">
        <f t="shared" si="18"/>
        <v/>
      </c>
      <c r="AD207" s="468"/>
      <c r="AE207" s="468"/>
      <c r="AF207" s="4"/>
      <c r="AG207" s="88"/>
      <c r="AH207" s="4"/>
      <c r="AI207" s="4"/>
      <c r="AJ207" s="468"/>
      <c r="AK207" s="468"/>
      <c r="AL207" s="468"/>
      <c r="AM207" s="468"/>
      <c r="AN207" s="10"/>
      <c r="AO207" s="9"/>
      <c r="AP207" s="9"/>
      <c r="AQ207" s="9">
        <f>+FL_1($T$208,$T$206,$G$207,1200,9.28, 1*$F$208)</f>
        <v>0.36839079999999996</v>
      </c>
      <c r="AR207" s="9"/>
      <c r="AS207" s="9"/>
      <c r="AT207" s="9"/>
      <c r="AU207" s="447"/>
      <c r="AV207" s="447"/>
      <c r="AW207" s="468" t="str">
        <f>IF(C207&gt;0,VLOOKUP(C207,Foundation_Calc!$A$2:$C$13,3,1),
IF(J207&gt;0,VLOOKUP(J207,Foundation_Calc!$A$2:$C$13,3,1),""))</f>
        <v>MultiSoil</v>
      </c>
      <c r="AX207" s="468" t="str">
        <f>IF(C207&gt;0,VLOOKUP(C207,Foundation_Calc!$E$2:$G$13,3,1),
IF(J207&gt;0,VLOOKUP(J207,Foundation_Calc!$E$2:$G$13,3,1),""))</f>
        <v>PT</v>
      </c>
      <c r="AY207" s="10" t="str">
        <f>IF(L207="","",
IF(AX207="PT",VLOOKUP(L207,Foundation_Calc!$K$79:$R$112,VLOOKUP(AW207,Foundation_Calc!$I$2:$J$8,2,FALSE),0),
IF(AX207="K",VLOOKUP(L207,Foundation_Calc!$K$116:$R$149,VLOOKUP(AW207,Foundation_Calc!$I$2:$J$8,2,FALSE),0),"")))</f>
        <v/>
      </c>
      <c r="AZ207" s="10">
        <f>IF(K207="","",
IF(AX207="PT",VLOOKUP(K207,Foundation_Calc!$K$79:$R$112,VLOOKUP(AW207,Foundation_Calc!$I$2:$J$8,2,FALSE),0),
IF(AX207="K",VLOOKUP(K207,Foundation_Calc!$K$116:$R$149,VLOOKUP(AW207,Foundation_Calc!$I$2:$J$8,2,FALSE),0),"")))</f>
        <v>2.8</v>
      </c>
      <c r="BA207" s="553" t="str">
        <f t="shared" si="20"/>
        <v/>
      </c>
      <c r="BB207" s="553" t="str">
        <f t="shared" si="20"/>
        <v>ü</v>
      </c>
      <c r="BC207" s="553" t="str">
        <f t="shared" si="19"/>
        <v/>
      </c>
      <c r="BD207" s="572" t="str">
        <f>IF(AND(L207="",H207=""),"",
IF(H207="",Pole_Calc!A$9,
IF(H207="MP",Pole_Calc!A$10,
IF(H207="AnMP",Pole_Calc!A$11,
IF(H207="A",Pole_Calc!A$12,
IF(H207="S/A",Pole_Calc!A$13,
IF(H207="A/S",Pole_Calc!A$14,"Poner a mano")))))))</f>
        <v/>
      </c>
      <c r="BE207" s="448" t="s">
        <v>1726</v>
      </c>
      <c r="BF207" s="305"/>
      <c r="BG207" s="305"/>
      <c r="BH207" s="306"/>
      <c r="BI207" s="305"/>
    </row>
    <row r="208" spans="1:61" ht="16.2" customHeight="1">
      <c r="A208" s="573"/>
      <c r="B208" s="469" t="s">
        <v>1957</v>
      </c>
      <c r="C208" s="3">
        <f>+$C$206+$G$207</f>
        <v>4629.9500000000007</v>
      </c>
      <c r="D208" s="88"/>
      <c r="E208" s="4"/>
      <c r="F208" s="4">
        <v>0</v>
      </c>
      <c r="G208" s="6"/>
      <c r="H208" s="468" t="s">
        <v>365</v>
      </c>
      <c r="I208" s="468"/>
      <c r="J208" s="3"/>
      <c r="K208" s="468"/>
      <c r="L208" s="468" t="s">
        <v>38</v>
      </c>
      <c r="M208" s="468" t="str">
        <f>IF(L208="","",
IF(AX208="PT",VLOOKUP(L208,Foundation_Calc!$V$79:$X$112,VLOOKUP(AX208,Foundation_Calc!$I$10:$J$13,2,FALSE),0),
IF(AX208="K",VLOOKUP(L208,Foundation_Calc!$V$116:$X$149,VLOOKUP(AX208,Foundation_Calc!$I$10:$J$13,2,FALSE),0),"")))</f>
        <v>C4R</v>
      </c>
      <c r="N208" s="468" t="s">
        <v>33</v>
      </c>
      <c r="O208" s="468"/>
      <c r="P208" s="468"/>
      <c r="Q208" s="4"/>
      <c r="R208" s="6"/>
      <c r="S208" s="6"/>
      <c r="T208" s="4">
        <v>35</v>
      </c>
      <c r="U208" s="4"/>
      <c r="V208" s="4"/>
      <c r="W208" s="9">
        <v>1.4</v>
      </c>
      <c r="X208" s="9"/>
      <c r="Y208" s="9"/>
      <c r="Z208" s="9"/>
      <c r="AA208" s="9"/>
      <c r="AB208" s="9"/>
      <c r="AC208" s="468" t="str">
        <f t="shared" si="18"/>
        <v>PHQ</v>
      </c>
      <c r="AD208" s="468"/>
      <c r="AE208" s="468"/>
      <c r="AF208" s="4"/>
      <c r="AG208" s="88"/>
      <c r="AH208" s="4"/>
      <c r="AI208" s="4"/>
      <c r="AJ208" s="468"/>
      <c r="AK208" s="468"/>
      <c r="AL208" s="468"/>
      <c r="AM208" s="468" t="s">
        <v>486</v>
      </c>
      <c r="AN208" s="10">
        <v>5.5</v>
      </c>
      <c r="AO208" s="9"/>
      <c r="AP208" s="9"/>
      <c r="AQ208" s="9"/>
      <c r="AR208" s="9"/>
      <c r="AS208" s="9"/>
      <c r="AT208" s="9">
        <f>+ab($T$208,$T$206,$T$210,$G$207,$G$209, 1*$F$208,1200)</f>
        <v>7.0710038601060328</v>
      </c>
      <c r="AU208" s="447"/>
      <c r="AV208" s="447"/>
      <c r="AW208" s="468" t="str">
        <f>IF(C208&gt;0,VLOOKUP(C208,Foundation_Calc!$A$2:$C$13,3,1),
IF(J208&gt;0,VLOOKUP(J208,Foundation_Calc!$A$2:$C$13,3,1),""))</f>
        <v>MultiSoil</v>
      </c>
      <c r="AX208" s="468" t="str">
        <f>IF(C208&gt;0,VLOOKUP(C208,Foundation_Calc!$E$2:$G$13,3,1),
IF(J208&gt;0,VLOOKUP(J208,Foundation_Calc!$E$2:$G$13,3,1),""))</f>
        <v>PT</v>
      </c>
      <c r="AY208" s="10">
        <f>IF(L208="","",
IF(AX208="PT",VLOOKUP(L208,Foundation_Calc!$K$79:$R$112,VLOOKUP(AW208,Foundation_Calc!$I$2:$J$8,2,FALSE),0),
IF(AX208="K",VLOOKUP(L208,Foundation_Calc!$K$116:$R$149,VLOOKUP(AW208,Foundation_Calc!$I$2:$J$8,2,FALSE),0),"")))</f>
        <v>3.5</v>
      </c>
      <c r="AZ208" s="10" t="str">
        <f>IF(K208="","",
IF(AX208="PT",VLOOKUP(K208,Foundation_Calc!$K$79:$R$112,VLOOKUP(AW208,Foundation_Calc!$I$2:$J$8,2,FALSE),0),
IF(AX208="K",VLOOKUP(K208,Foundation_Calc!$K$116:$R$149,VLOOKUP(AW208,Foundation_Calc!$I$2:$J$8,2,FALSE),0),"")))</f>
        <v/>
      </c>
      <c r="BA208" s="553" t="str">
        <f t="shared" si="20"/>
        <v>ü</v>
      </c>
      <c r="BB208" s="553" t="str">
        <f t="shared" si="20"/>
        <v/>
      </c>
      <c r="BC208" s="553" t="str">
        <f t="shared" si="19"/>
        <v/>
      </c>
      <c r="BD208" s="572" t="str">
        <f>IF(AND(L208="",H208=""),"",
IF(H208="",Pole_Calc!A$9,
IF(H208="MP",Pole_Calc!A$10,
IF(H208="AnMP",Pole_Calc!A$11,
IF(H208="A",Pole_Calc!A$12,
IF(H208="S/A",Pole_Calc!A$13,
IF(H208="A/S",Pole_Calc!A$14,"Poner a mano")))))))</f>
        <v>App.7-V11H-P9.5.1.3</v>
      </c>
      <c r="BE208" s="448" t="s">
        <v>1726</v>
      </c>
      <c r="BF208" s="306"/>
      <c r="BG208" s="306"/>
      <c r="BH208" s="306"/>
      <c r="BI208" s="306"/>
    </row>
    <row r="209" spans="1:61" ht="16.2" customHeight="1">
      <c r="A209" s="573"/>
      <c r="B209" s="469"/>
      <c r="C209" s="3"/>
      <c r="D209" s="88"/>
      <c r="E209" s="4"/>
      <c r="F209" s="4"/>
      <c r="G209" s="6">
        <v>50</v>
      </c>
      <c r="H209" s="468"/>
      <c r="I209" s="4">
        <f>SUM(G193:G209)</f>
        <v>470</v>
      </c>
      <c r="J209" s="3"/>
      <c r="K209" s="468"/>
      <c r="L209" s="468"/>
      <c r="M209" s="468" t="str">
        <f>IF(L209="","",
IF(AX209="PT",VLOOKUP(L209,Foundation_Calc!$V$79:$X$112,VLOOKUP(AX209,Foundation_Calc!$I$10:$J$13,2,FALSE),0),
IF(AX209="K",VLOOKUP(L209,Foundation_Calc!$V$116:$X$149,VLOOKUP(AX209,Foundation_Calc!$I$10:$J$13,2,FALSE),0),"")))</f>
        <v/>
      </c>
      <c r="N209" s="468"/>
      <c r="O209" s="468"/>
      <c r="P209" s="468"/>
      <c r="Q209" s="4"/>
      <c r="R209" s="6"/>
      <c r="S209" s="6"/>
      <c r="T209" s="4"/>
      <c r="U209" s="4"/>
      <c r="V209" s="4"/>
      <c r="W209" s="9"/>
      <c r="X209" s="9"/>
      <c r="Y209" s="9"/>
      <c r="Z209" s="9"/>
      <c r="AA209" s="9"/>
      <c r="AB209" s="9"/>
      <c r="AC209" s="468" t="str">
        <f t="shared" si="18"/>
        <v/>
      </c>
      <c r="AD209" s="468"/>
      <c r="AE209" s="468"/>
      <c r="AF209" s="4"/>
      <c r="AG209" s="88"/>
      <c r="AH209" s="4"/>
      <c r="AI209" s="4"/>
      <c r="AJ209" s="468"/>
      <c r="AK209" s="468"/>
      <c r="AL209" s="468"/>
      <c r="AM209" s="468"/>
      <c r="AN209" s="10"/>
      <c r="AO209" s="9"/>
      <c r="AP209" s="9"/>
      <c r="AQ209" s="9">
        <f>+FL_1($T$210,$T$208,$G$209,1200,9.28, 1*$F$210)</f>
        <v>0.52619983803073067</v>
      </c>
      <c r="AR209" s="9"/>
      <c r="AS209" s="9"/>
      <c r="AT209" s="9"/>
      <c r="AU209" s="447"/>
      <c r="AV209" s="447"/>
      <c r="AW209" s="468" t="str">
        <f>IF(C209&gt;0,VLOOKUP(C209,Foundation_Calc!$A$2:$C$13,3,1),
IF(J209&gt;0,VLOOKUP(J209,Foundation_Calc!$A$2:$C$13,3,1),""))</f>
        <v/>
      </c>
      <c r="AX209" s="468" t="str">
        <f>IF(C209&gt;0,VLOOKUP(C209,Foundation_Calc!$E$2:$G$13,3,1),
IF(J209&gt;0,VLOOKUP(J209,Foundation_Calc!$E$2:$G$13,3,1),""))</f>
        <v/>
      </c>
      <c r="AY209" s="10" t="str">
        <f>IF(L209="","",
IF(AX209="PT",VLOOKUP(L209,Foundation_Calc!$K$79:$R$112,VLOOKUP(AW209,Foundation_Calc!$I$2:$J$8,2,FALSE),0),
IF(AX209="K",VLOOKUP(L209,Foundation_Calc!$K$116:$R$149,VLOOKUP(AW209,Foundation_Calc!$I$2:$J$8,2,FALSE),0),"")))</f>
        <v/>
      </c>
      <c r="AZ209" s="10" t="str">
        <f>IF(K209="","",
IF(AX209="PT",VLOOKUP(K209,Foundation_Calc!$K$79:$R$112,VLOOKUP(AW209,Foundation_Calc!$I$2:$J$8,2,FALSE),0),
IF(AX209="K",VLOOKUP(K209,Foundation_Calc!$K$116:$R$149,VLOOKUP(AW209,Foundation_Calc!$I$2:$J$8,2,FALSE),0),"")))</f>
        <v/>
      </c>
      <c r="BA209" s="553" t="str">
        <f t="shared" si="20"/>
        <v/>
      </c>
      <c r="BB209" s="553" t="str">
        <f t="shared" si="20"/>
        <v/>
      </c>
      <c r="BC209" s="553" t="str">
        <f t="shared" si="19"/>
        <v/>
      </c>
      <c r="BD209" s="572" t="str">
        <f>IF(AND(L209="",H209=""),"",
IF(H209="",Pole_Calc!A$9,
IF(H209="MP",Pole_Calc!A$10,
IF(H209="AnMP",Pole_Calc!A$11,
IF(H209="A",Pole_Calc!A$12,
IF(H209="S/A",Pole_Calc!A$13,
IF(H209="A/S",Pole_Calc!A$14,"Poner a mano")))))))</f>
        <v/>
      </c>
      <c r="BE209" s="448" t="s">
        <v>1726</v>
      </c>
      <c r="BF209" s="305"/>
      <c r="BG209" s="305"/>
      <c r="BH209" s="306"/>
      <c r="BI209" s="305"/>
    </row>
    <row r="210" spans="1:61" ht="16.2" customHeight="1">
      <c r="A210" s="573"/>
      <c r="B210" s="469" t="s">
        <v>1958</v>
      </c>
      <c r="C210" s="3">
        <f>+$C$208+$G$209</f>
        <v>4679.9500000000007</v>
      </c>
      <c r="D210" s="88"/>
      <c r="E210" s="4"/>
      <c r="F210" s="4">
        <v>-1564.89</v>
      </c>
      <c r="G210" s="6"/>
      <c r="H210" s="468" t="s">
        <v>366</v>
      </c>
      <c r="I210" s="468"/>
      <c r="J210" s="3"/>
      <c r="K210" s="468"/>
      <c r="L210" s="468" t="s">
        <v>38</v>
      </c>
      <c r="M210" s="468" t="str">
        <f>IF(L210="","",
IF(AX210="PT",VLOOKUP(L210,Foundation_Calc!$V$79:$X$112,VLOOKUP(AX210,Foundation_Calc!$I$10:$J$13,2,FALSE),0),
IF(AX210="K",VLOOKUP(L210,Foundation_Calc!$V$116:$X$149,VLOOKUP(AX210,Foundation_Calc!$I$10:$J$13,2,FALSE),0),"")))</f>
        <v>C4R</v>
      </c>
      <c r="N210" s="468" t="s">
        <v>32</v>
      </c>
      <c r="O210" s="468"/>
      <c r="P210" s="468"/>
      <c r="Q210" s="4"/>
      <c r="R210" s="6"/>
      <c r="S210" s="6"/>
      <c r="T210" s="4">
        <v>-30</v>
      </c>
      <c r="U210" s="4"/>
      <c r="V210" s="4"/>
      <c r="W210" s="9">
        <v>1.4</v>
      </c>
      <c r="X210" s="9"/>
      <c r="Y210" s="9"/>
      <c r="Z210" s="9"/>
      <c r="AA210" s="9"/>
      <c r="AB210" s="9"/>
      <c r="AC210" s="468" t="str">
        <f t="shared" si="18"/>
        <v>PHC</v>
      </c>
      <c r="AD210" s="468"/>
      <c r="AE210" s="468"/>
      <c r="AF210" s="4"/>
      <c r="AG210" s="88"/>
      <c r="AH210" s="4"/>
      <c r="AI210" s="4"/>
      <c r="AJ210" s="468"/>
      <c r="AK210" s="468"/>
      <c r="AL210" s="468"/>
      <c r="AM210" s="468" t="s">
        <v>486</v>
      </c>
      <c r="AN210" s="10">
        <v>5.5</v>
      </c>
      <c r="AO210" s="9"/>
      <c r="AP210" s="9"/>
      <c r="AQ210" s="9"/>
      <c r="AR210" s="9"/>
      <c r="AS210" s="9"/>
      <c r="AT210" s="9">
        <f>+ab($T$210,$T$208,$T$212,$G$209,$G$211, 1*$F$210,1200)</f>
        <v>-4.5857523912627416</v>
      </c>
      <c r="AU210" s="447"/>
      <c r="AV210" s="447"/>
      <c r="AW210" s="468" t="str">
        <f>IF(C210&gt;0,VLOOKUP(C210,Foundation_Calc!$A$2:$C$13,3,1),
IF(J210&gt;0,VLOOKUP(J210,Foundation_Calc!$A$2:$C$13,3,1),""))</f>
        <v>MultiSoil</v>
      </c>
      <c r="AX210" s="468" t="str">
        <f>IF(C210&gt;0,VLOOKUP(C210,Foundation_Calc!$E$2:$G$13,3,1),
IF(J210&gt;0,VLOOKUP(J210,Foundation_Calc!$E$2:$G$13,3,1),""))</f>
        <v>PT</v>
      </c>
      <c r="AY210" s="10">
        <f>IF(L210="","",
IF(AX210="PT",VLOOKUP(L210,Foundation_Calc!$K$79:$R$112,VLOOKUP(AW210,Foundation_Calc!$I$2:$J$8,2,FALSE),0),
IF(AX210="K",VLOOKUP(L210,Foundation_Calc!$K$116:$R$149,VLOOKUP(AW210,Foundation_Calc!$I$2:$J$8,2,FALSE),0),"")))</f>
        <v>3.5</v>
      </c>
      <c r="AZ210" s="10" t="str">
        <f>IF(K210="","",
IF(AX210="PT",VLOOKUP(K210,Foundation_Calc!$K$79:$R$112,VLOOKUP(AW210,Foundation_Calc!$I$2:$J$8,2,FALSE),0),
IF(AX210="K",VLOOKUP(K210,Foundation_Calc!$K$116:$R$149,VLOOKUP(AW210,Foundation_Calc!$I$2:$J$8,2,FALSE),0),"")))</f>
        <v/>
      </c>
      <c r="BA210" s="553" t="str">
        <f t="shared" si="20"/>
        <v>ü</v>
      </c>
      <c r="BB210" s="553" t="str">
        <f t="shared" si="20"/>
        <v/>
      </c>
      <c r="BC210" s="553" t="str">
        <f t="shared" si="19"/>
        <v/>
      </c>
      <c r="BD210" s="572" t="str">
        <f>IF(AND(L210="",H210=""),"",
IF(H210="",Pole_Calc!A$9,
IF(H210="MP",Pole_Calc!A$10,
IF(H210="AnMP",Pole_Calc!A$11,
IF(H210="A",Pole_Calc!A$12,
IF(H210="S/A",Pole_Calc!A$13,
IF(H210="A/S",Pole_Calc!A$14,"Poner a mano")))))))</f>
        <v>App.7-V11H-P9.5.1.2</v>
      </c>
      <c r="BE210" s="448" t="s">
        <v>1726</v>
      </c>
      <c r="BF210" s="306"/>
      <c r="BG210" s="306"/>
      <c r="BH210" s="306"/>
      <c r="BI210" s="306"/>
    </row>
    <row r="211" spans="1:61" ht="16.2" customHeight="1">
      <c r="A211" s="573"/>
      <c r="B211" s="469"/>
      <c r="C211" s="3"/>
      <c r="D211" s="88"/>
      <c r="E211" s="4"/>
      <c r="F211" s="4"/>
      <c r="G211" s="6">
        <v>40</v>
      </c>
      <c r="H211" s="468"/>
      <c r="I211" s="4">
        <f>SUM(G211:G231)</f>
        <v>505</v>
      </c>
      <c r="J211" s="3"/>
      <c r="K211" s="468"/>
      <c r="L211" s="468"/>
      <c r="M211" s="468" t="str">
        <f>IF(L211="","",
IF(AX211="PT",VLOOKUP(L211,Foundation_Calc!$V$79:$X$112,VLOOKUP(AX211,Foundation_Calc!$I$10:$J$13,2,FALSE),0),
IF(AX211="K",VLOOKUP(L211,Foundation_Calc!$V$116:$X$149,VLOOKUP(AX211,Foundation_Calc!$I$10:$J$13,2,FALSE),0),"")))</f>
        <v/>
      </c>
      <c r="N211" s="468"/>
      <c r="O211" s="468"/>
      <c r="P211" s="468"/>
      <c r="Q211" s="4"/>
      <c r="R211" s="6"/>
      <c r="S211" s="6"/>
      <c r="T211" s="4"/>
      <c r="U211" s="4"/>
      <c r="V211" s="4"/>
      <c r="W211" s="9"/>
      <c r="X211" s="9"/>
      <c r="Y211" s="9"/>
      <c r="Z211" s="9"/>
      <c r="AA211" s="9"/>
      <c r="AB211" s="9"/>
      <c r="AC211" s="468" t="str">
        <f t="shared" si="18"/>
        <v/>
      </c>
      <c r="AD211" s="468"/>
      <c r="AE211" s="468"/>
      <c r="AF211" s="4"/>
      <c r="AG211" s="88"/>
      <c r="AH211" s="4"/>
      <c r="AI211" s="4"/>
      <c r="AJ211" s="468"/>
      <c r="AK211" s="468"/>
      <c r="AL211" s="468"/>
      <c r="AM211" s="468"/>
      <c r="AN211" s="10"/>
      <c r="AO211" s="9"/>
      <c r="AP211" s="9"/>
      <c r="AQ211" s="9">
        <f>+FL_2($T$212,$T$210,$G$211,1200,9.28, 1*$F$212)</f>
        <v>-0.3</v>
      </c>
      <c r="AR211" s="9"/>
      <c r="AS211" s="9"/>
      <c r="AT211" s="9"/>
      <c r="AU211" s="447"/>
      <c r="AV211" s="447"/>
      <c r="AW211" s="468" t="str">
        <f>IF(C211&gt;0,VLOOKUP(C211,Foundation_Calc!$A$2:$C$13,3,1),
IF(J211&gt;0,VLOOKUP(J211,Foundation_Calc!$A$2:$C$13,3,1),""))</f>
        <v/>
      </c>
      <c r="AX211" s="468" t="str">
        <f>IF(C211&gt;0,VLOOKUP(C211,Foundation_Calc!$E$2:$G$13,3,1),
IF(J211&gt;0,VLOOKUP(J211,Foundation_Calc!$E$2:$G$13,3,1),""))</f>
        <v/>
      </c>
      <c r="AY211" s="10" t="str">
        <f>IF(L211="","",
IF(AX211="PT",VLOOKUP(L211,Foundation_Calc!$K$79:$R$112,VLOOKUP(AW211,Foundation_Calc!$I$2:$J$8,2,FALSE),0),
IF(AX211="K",VLOOKUP(L211,Foundation_Calc!$K$116:$R$149,VLOOKUP(AW211,Foundation_Calc!$I$2:$J$8,2,FALSE),0),"")))</f>
        <v/>
      </c>
      <c r="AZ211" s="10" t="str">
        <f>IF(K211="","",
IF(AX211="PT",VLOOKUP(K211,Foundation_Calc!$K$79:$R$112,VLOOKUP(AW211,Foundation_Calc!$I$2:$J$8,2,FALSE),0),
IF(AX211="K",VLOOKUP(K211,Foundation_Calc!$K$116:$R$149,VLOOKUP(AW211,Foundation_Calc!$I$2:$J$8,2,FALSE),0),"")))</f>
        <v/>
      </c>
      <c r="BA211" s="553" t="str">
        <f t="shared" si="20"/>
        <v/>
      </c>
      <c r="BB211" s="553" t="str">
        <f t="shared" si="20"/>
        <v/>
      </c>
      <c r="BC211" s="553" t="str">
        <f t="shared" si="19"/>
        <v/>
      </c>
      <c r="BD211" s="572" t="str">
        <f>IF(AND(L211="",H211=""),"",
IF(H211="",Pole_Calc!A$9,
IF(H211="MP",Pole_Calc!A$10,
IF(H211="AnMP",Pole_Calc!A$11,
IF(H211="A",Pole_Calc!A$12,
IF(H211="S/A",Pole_Calc!A$13,
IF(H211="A/S",Pole_Calc!A$14,"Poner a mano")))))))</f>
        <v/>
      </c>
      <c r="BE211" s="448" t="s">
        <v>1726</v>
      </c>
      <c r="BF211" s="305"/>
      <c r="BG211" s="305"/>
      <c r="BH211" s="306"/>
      <c r="BI211" s="305"/>
    </row>
    <row r="212" spans="1:61" ht="16.2" customHeight="1">
      <c r="A212" s="573"/>
      <c r="B212" s="469" t="s">
        <v>1959</v>
      </c>
      <c r="C212" s="3">
        <f>+$C$210+$G$211</f>
        <v>4719.9500000000007</v>
      </c>
      <c r="D212" s="88"/>
      <c r="E212" s="4"/>
      <c r="F212" s="4">
        <v>-605.09</v>
      </c>
      <c r="G212" s="6"/>
      <c r="H212" s="468" t="s">
        <v>365</v>
      </c>
      <c r="I212" s="468"/>
      <c r="J212" s="3"/>
      <c r="K212" s="468"/>
      <c r="L212" s="468" t="s">
        <v>40</v>
      </c>
      <c r="M212" s="468" t="str">
        <f>IF(L212="","",
IF(AX212="PT",VLOOKUP(L212,Foundation_Calc!$V$79:$X$112,VLOOKUP(AX212,Foundation_Calc!$I$10:$J$13,2,FALSE),0),
IF(AX212="K",VLOOKUP(L212,Foundation_Calc!$V$116:$X$149,VLOOKUP(AX212,Foundation_Calc!$I$10:$J$13,2,FALSE),0),"")))</f>
        <v>C5R</v>
      </c>
      <c r="N212" s="468" t="s">
        <v>32</v>
      </c>
      <c r="O212" s="468"/>
      <c r="P212" s="468"/>
      <c r="Q212" s="4"/>
      <c r="R212" s="6"/>
      <c r="S212" s="6"/>
      <c r="T212" s="4">
        <v>-30</v>
      </c>
      <c r="U212" s="4"/>
      <c r="V212" s="4"/>
      <c r="W212" s="9">
        <v>1.4</v>
      </c>
      <c r="X212" s="9"/>
      <c r="Y212" s="9"/>
      <c r="Z212" s="9"/>
      <c r="AA212" s="9"/>
      <c r="AB212" s="9"/>
      <c r="AC212" s="468" t="str">
        <f t="shared" si="18"/>
        <v>PHC</v>
      </c>
      <c r="AD212" s="468"/>
      <c r="AE212" s="468"/>
      <c r="AF212" s="4"/>
      <c r="AG212" s="88"/>
      <c r="AH212" s="4"/>
      <c r="AI212" s="4"/>
      <c r="AJ212" s="468"/>
      <c r="AK212" s="468"/>
      <c r="AL212" s="468"/>
      <c r="AM212" s="468" t="s">
        <v>486</v>
      </c>
      <c r="AN212" s="10">
        <v>5.5</v>
      </c>
      <c r="AO212" s="9"/>
      <c r="AP212" s="9"/>
      <c r="AQ212" s="9"/>
      <c r="AR212" s="9"/>
      <c r="AS212" s="9"/>
      <c r="AT212" s="9">
        <f>+ab($T$212,$T$210,$T$214,$G$211,$G$213, 1*$F$212,1200)</f>
        <v>-3.135038718355311</v>
      </c>
      <c r="AU212" s="447"/>
      <c r="AV212" s="447"/>
      <c r="AW212" s="468" t="str">
        <f>IF(C212&gt;0,VLOOKUP(C212,Foundation_Calc!$A$2:$C$13,3,1),
IF(J212&gt;0,VLOOKUP(J212,Foundation_Calc!$A$2:$C$13,3,1),""))</f>
        <v>MultiSoil</v>
      </c>
      <c r="AX212" s="468" t="str">
        <f>IF(C212&gt;0,VLOOKUP(C212,Foundation_Calc!$E$2:$G$13,3,1),
IF(J212&gt;0,VLOOKUP(J212,Foundation_Calc!$E$2:$G$13,3,1),""))</f>
        <v>PT</v>
      </c>
      <c r="AY212" s="10">
        <f>IF(L212="","",
IF(AX212="PT",VLOOKUP(L212,Foundation_Calc!$K$79:$R$112,VLOOKUP(AW212,Foundation_Calc!$I$2:$J$8,2,FALSE),0),
IF(AX212="K",VLOOKUP(L212,Foundation_Calc!$K$116:$R$149,VLOOKUP(AW212,Foundation_Calc!$I$2:$J$8,2,FALSE),0),"")))</f>
        <v>3.5</v>
      </c>
      <c r="AZ212" s="10" t="str">
        <f>IF(K212="","",
IF(AX212="PT",VLOOKUP(K212,Foundation_Calc!$K$79:$R$112,VLOOKUP(AW212,Foundation_Calc!$I$2:$J$8,2,FALSE),0),
IF(AX212="K",VLOOKUP(K212,Foundation_Calc!$K$116:$R$149,VLOOKUP(AW212,Foundation_Calc!$I$2:$J$8,2,FALSE),0),"")))</f>
        <v/>
      </c>
      <c r="BA212" s="553" t="str">
        <f t="shared" si="20"/>
        <v>ü</v>
      </c>
      <c r="BB212" s="553" t="str">
        <f t="shared" si="20"/>
        <v/>
      </c>
      <c r="BC212" s="553" t="str">
        <f t="shared" si="19"/>
        <v/>
      </c>
      <c r="BD212" s="572" t="str">
        <f>IF(AND(L212="",H212=""),"",
IF(H212="",Pole_Calc!A$9,
IF(H212="MP",Pole_Calc!A$10,
IF(H212="AnMP",Pole_Calc!A$11,
IF(H212="A",Pole_Calc!A$12,
IF(H212="S/A",Pole_Calc!A$13,
IF(H212="A/S",Pole_Calc!A$14,"Poner a mano")))))))</f>
        <v>App.7-V11H-P9.5.1.3</v>
      </c>
      <c r="BE212" s="448" t="s">
        <v>1726</v>
      </c>
      <c r="BF212" s="306"/>
      <c r="BG212" s="306"/>
      <c r="BH212" s="306"/>
      <c r="BI212" s="306"/>
    </row>
    <row r="213" spans="1:61" ht="16.2" customHeight="1">
      <c r="A213" s="573"/>
      <c r="B213" s="469"/>
      <c r="C213" s="3"/>
      <c r="D213" s="88"/>
      <c r="E213" s="4"/>
      <c r="F213" s="4"/>
      <c r="G213" s="6">
        <v>34</v>
      </c>
      <c r="H213" s="468"/>
      <c r="I213" s="468"/>
      <c r="J213" s="3">
        <f>C212+7.5</f>
        <v>4727.4500000000007</v>
      </c>
      <c r="K213" s="468" t="s">
        <v>1096</v>
      </c>
      <c r="L213" s="468"/>
      <c r="M213" s="468" t="str">
        <f>IF(L213="","",
IF(AX213="PT",VLOOKUP(L213,Foundation_Calc!$V$79:$X$112,VLOOKUP(AX213,Foundation_Calc!$I$10:$J$13,2,FALSE),0),
IF(AX213="K",VLOOKUP(L213,Foundation_Calc!$V$116:$X$149,VLOOKUP(AX213,Foundation_Calc!$I$10:$J$13,2,FALSE),0),"")))</f>
        <v/>
      </c>
      <c r="N213" s="468"/>
      <c r="O213" s="468"/>
      <c r="P213" s="468"/>
      <c r="Q213" s="4"/>
      <c r="R213" s="6"/>
      <c r="S213" s="6"/>
      <c r="T213" s="4"/>
      <c r="U213" s="4"/>
      <c r="V213" s="4"/>
      <c r="W213" s="9"/>
      <c r="X213" s="9"/>
      <c r="Y213" s="9"/>
      <c r="Z213" s="9"/>
      <c r="AA213" s="9"/>
      <c r="AB213" s="9"/>
      <c r="AC213" s="468" t="str">
        <f t="shared" si="18"/>
        <v/>
      </c>
      <c r="AD213" s="468"/>
      <c r="AE213" s="468"/>
      <c r="AF213" s="4"/>
      <c r="AG213" s="88"/>
      <c r="AH213" s="4"/>
      <c r="AI213" s="4"/>
      <c r="AJ213" s="468"/>
      <c r="AK213" s="468"/>
      <c r="AL213" s="468"/>
      <c r="AM213" s="468"/>
      <c r="AN213" s="10"/>
      <c r="AO213" s="9"/>
      <c r="AP213" s="9"/>
      <c r="AQ213" s="9">
        <f>+FL_2($T$214,$T$212,$G$213,1200,9.28, 1*$F$214)</f>
        <v>-0.30000000000003313</v>
      </c>
      <c r="AR213" s="9"/>
      <c r="AS213" s="9"/>
      <c r="AT213" s="9"/>
      <c r="AU213" s="447"/>
      <c r="AV213" s="447"/>
      <c r="AW213" s="468" t="str">
        <f>IF(C213&gt;0,VLOOKUP(C213,Foundation_Calc!$A$2:$C$13,3,1),
IF(J213&gt;0,VLOOKUP(J213,Foundation_Calc!$A$2:$C$13,3,1),""))</f>
        <v>MultiSoil</v>
      </c>
      <c r="AX213" s="468" t="str">
        <f>IF(C213&gt;0,VLOOKUP(C213,Foundation_Calc!$E$2:$G$13,3,1),
IF(J213&gt;0,VLOOKUP(J213,Foundation_Calc!$E$2:$G$13,3,1),""))</f>
        <v>PT</v>
      </c>
      <c r="AY213" s="10" t="str">
        <f>IF(L213="","",
IF(AX213="PT",VLOOKUP(L213,Foundation_Calc!$K$79:$R$112,VLOOKUP(AW213,Foundation_Calc!$I$2:$J$8,2,FALSE),0),
IF(AX213="K",VLOOKUP(L213,Foundation_Calc!$K$116:$R$149,VLOOKUP(AW213,Foundation_Calc!$I$2:$J$8,2,FALSE),0),"")))</f>
        <v/>
      </c>
      <c r="AZ213" s="10">
        <f>IF(K213="","",
IF(AX213="PT",VLOOKUP(K213,Foundation_Calc!$K$79:$R$112,VLOOKUP(AW213,Foundation_Calc!$I$2:$J$8,2,FALSE),0),
IF(AX213="K",VLOOKUP(K213,Foundation_Calc!$K$116:$R$149,VLOOKUP(AW213,Foundation_Calc!$I$2:$J$8,2,FALSE),0),"")))</f>
        <v>2.8</v>
      </c>
      <c r="BA213" s="553" t="str">
        <f t="shared" si="20"/>
        <v/>
      </c>
      <c r="BB213" s="553" t="str">
        <f t="shared" si="20"/>
        <v>ü</v>
      </c>
      <c r="BC213" s="553" t="str">
        <f t="shared" si="19"/>
        <v/>
      </c>
      <c r="BD213" s="572" t="str">
        <f>IF(AND(L213="",H213=""),"",
IF(H213="",Pole_Calc!A$9,
IF(H213="MP",Pole_Calc!A$10,
IF(H213="AnMP",Pole_Calc!A$11,
IF(H213="A",Pole_Calc!A$12,
IF(H213="S/A",Pole_Calc!A$13,
IF(H213="A/S",Pole_Calc!A$14,"Poner a mano")))))))</f>
        <v/>
      </c>
      <c r="BE213" s="448" t="s">
        <v>1726</v>
      </c>
      <c r="BF213" s="305"/>
      <c r="BG213" s="305"/>
      <c r="BH213" s="306"/>
      <c r="BI213" s="305"/>
    </row>
    <row r="214" spans="1:61" ht="16.2" customHeight="1">
      <c r="A214" s="573"/>
      <c r="B214" s="469" t="s">
        <v>1960</v>
      </c>
      <c r="C214" s="3">
        <f>+$C$212+$G$213</f>
        <v>4753.9500000000007</v>
      </c>
      <c r="D214" s="88"/>
      <c r="E214" s="4"/>
      <c r="F214" s="4">
        <v>-504.7</v>
      </c>
      <c r="G214" s="6"/>
      <c r="H214" s="468"/>
      <c r="I214" s="468"/>
      <c r="J214" s="3"/>
      <c r="K214" s="468"/>
      <c r="L214" s="468" t="s">
        <v>38</v>
      </c>
      <c r="M214" s="468" t="str">
        <f>IF(L214="","",
IF(AX214="PT",VLOOKUP(L214,Foundation_Calc!$V$79:$X$112,VLOOKUP(AX214,Foundation_Calc!$I$10:$J$13,2,FALSE),0),
IF(AX214="K",VLOOKUP(L214,Foundation_Calc!$V$116:$X$149,VLOOKUP(AX214,Foundation_Calc!$I$10:$J$13,2,FALSE),0),"")))</f>
        <v>C4R</v>
      </c>
      <c r="N214" s="468" t="s">
        <v>32</v>
      </c>
      <c r="O214" s="468"/>
      <c r="P214" s="468"/>
      <c r="Q214" s="4"/>
      <c r="R214" s="6"/>
      <c r="S214" s="6"/>
      <c r="T214" s="4">
        <v>-30</v>
      </c>
      <c r="U214" s="4"/>
      <c r="V214" s="4"/>
      <c r="W214" s="9">
        <v>1.4</v>
      </c>
      <c r="X214" s="9"/>
      <c r="Y214" s="9"/>
      <c r="Z214" s="9"/>
      <c r="AA214" s="9"/>
      <c r="AB214" s="9"/>
      <c r="AC214" s="468" t="str">
        <f t="shared" si="18"/>
        <v>PHC</v>
      </c>
      <c r="AD214" s="468"/>
      <c r="AE214" s="468"/>
      <c r="AF214" s="4"/>
      <c r="AG214" s="88"/>
      <c r="AH214" s="4"/>
      <c r="AI214" s="4"/>
      <c r="AJ214" s="468"/>
      <c r="AK214" s="468"/>
      <c r="AL214" s="468"/>
      <c r="AM214" s="468" t="s">
        <v>486</v>
      </c>
      <c r="AN214" s="10">
        <v>5.5</v>
      </c>
      <c r="AO214" s="9"/>
      <c r="AP214" s="9"/>
      <c r="AQ214" s="9"/>
      <c r="AR214" s="9"/>
      <c r="AS214" s="9"/>
      <c r="AT214" s="9">
        <f>+ab($T$214,$T$212,$T$216,$G$213,$G$215, 1*$F$214,1200)</f>
        <v>-2.8461339984282281</v>
      </c>
      <c r="AU214" s="447"/>
      <c r="AV214" s="447"/>
      <c r="AW214" s="468" t="str">
        <f>IF(C214&gt;0,VLOOKUP(C214,Foundation_Calc!$A$2:$C$13,3,1),
IF(J214&gt;0,VLOOKUP(J214,Foundation_Calc!$A$2:$C$13,3,1),""))</f>
        <v>MultiSoil</v>
      </c>
      <c r="AX214" s="468" t="str">
        <f>IF(C214&gt;0,VLOOKUP(C214,Foundation_Calc!$E$2:$G$13,3,1),
IF(J214&gt;0,VLOOKUP(J214,Foundation_Calc!$E$2:$G$13,3,1),""))</f>
        <v>PT</v>
      </c>
      <c r="AY214" s="10">
        <f>IF(L214="","",
IF(AX214="PT",VLOOKUP(L214,Foundation_Calc!$K$79:$R$112,VLOOKUP(AW214,Foundation_Calc!$I$2:$J$8,2,FALSE),0),
IF(AX214="K",VLOOKUP(L214,Foundation_Calc!$K$116:$R$149,VLOOKUP(AW214,Foundation_Calc!$I$2:$J$8,2,FALSE),0),"")))</f>
        <v>3.5</v>
      </c>
      <c r="AZ214" s="10" t="str">
        <f>IF(K214="","",
IF(AX214="PT",VLOOKUP(K214,Foundation_Calc!$K$79:$R$112,VLOOKUP(AW214,Foundation_Calc!$I$2:$J$8,2,FALSE),0),
IF(AX214="K",VLOOKUP(K214,Foundation_Calc!$K$116:$R$149,VLOOKUP(AW214,Foundation_Calc!$I$2:$J$8,2,FALSE),0),"")))</f>
        <v/>
      </c>
      <c r="BA214" s="553" t="str">
        <f t="shared" si="20"/>
        <v>ü</v>
      </c>
      <c r="BB214" s="553" t="str">
        <f t="shared" si="20"/>
        <v/>
      </c>
      <c r="BC214" s="553" t="str">
        <f t="shared" si="19"/>
        <v/>
      </c>
      <c r="BD214" s="572" t="str">
        <f>IF(AND(L214="",H214=""),"",
IF(H214="",Pole_Calc!A$9,
IF(H214="MP",Pole_Calc!A$10,
IF(H214="AnMP",Pole_Calc!A$11,
IF(H214="A",Pole_Calc!A$12,
IF(H214="S/A",Pole_Calc!A$13,
IF(H214="A/S",Pole_Calc!A$14,"Poner a mano")))))))</f>
        <v>App.7-V11H-P9.5.1.1</v>
      </c>
      <c r="BE214" s="448" t="s">
        <v>1726</v>
      </c>
      <c r="BF214" s="306"/>
      <c r="BG214" s="306"/>
      <c r="BH214" s="306"/>
      <c r="BI214" s="306"/>
    </row>
    <row r="215" spans="1:61" ht="16.2" customHeight="1">
      <c r="A215" s="573"/>
      <c r="B215" s="469"/>
      <c r="C215" s="3"/>
      <c r="D215" s="88"/>
      <c r="E215" s="4"/>
      <c r="F215" s="4"/>
      <c r="G215" s="6">
        <v>34</v>
      </c>
      <c r="H215" s="468"/>
      <c r="I215" s="468"/>
      <c r="J215" s="3"/>
      <c r="K215" s="468"/>
      <c r="L215" s="468"/>
      <c r="M215" s="468" t="str">
        <f>IF(L215="","",
IF(AX215="PT",VLOOKUP(L215,Foundation_Calc!$V$79:$X$112,VLOOKUP(AX215,Foundation_Calc!$I$10:$J$13,2,FALSE),0),
IF(AX215="K",VLOOKUP(L215,Foundation_Calc!$V$116:$X$149,VLOOKUP(AX215,Foundation_Calc!$I$10:$J$13,2,FALSE),0),"")))</f>
        <v/>
      </c>
      <c r="N215" s="468"/>
      <c r="O215" s="468"/>
      <c r="P215" s="468"/>
      <c r="Q215" s="4"/>
      <c r="R215" s="6"/>
      <c r="S215" s="6"/>
      <c r="T215" s="4"/>
      <c r="U215" s="4"/>
      <c r="V215" s="4"/>
      <c r="W215" s="9"/>
      <c r="X215" s="9"/>
      <c r="Y215" s="9"/>
      <c r="Z215" s="9"/>
      <c r="AA215" s="9"/>
      <c r="AB215" s="9"/>
      <c r="AC215" s="468" t="str">
        <f t="shared" si="18"/>
        <v/>
      </c>
      <c r="AD215" s="468"/>
      <c r="AE215" s="468"/>
      <c r="AF215" s="4"/>
      <c r="AG215" s="88"/>
      <c r="AH215" s="4"/>
      <c r="AI215" s="4"/>
      <c r="AJ215" s="468"/>
      <c r="AK215" s="468"/>
      <c r="AL215" s="468"/>
      <c r="AM215" s="468"/>
      <c r="AN215" s="10"/>
      <c r="AO215" s="9"/>
      <c r="AP215" s="9"/>
      <c r="AQ215" s="9">
        <f>+FL_2($T$216,$T$214,$G$215,1200,9.28, 1*$F$216)</f>
        <v>-0.30000000000003313</v>
      </c>
      <c r="AR215" s="9"/>
      <c r="AS215" s="9"/>
      <c r="AT215" s="9"/>
      <c r="AU215" s="447"/>
      <c r="AV215" s="447"/>
      <c r="AW215" s="468" t="str">
        <f>IF(C215&gt;0,VLOOKUP(C215,Foundation_Calc!$A$2:$C$13,3,1),
IF(J215&gt;0,VLOOKUP(J215,Foundation_Calc!$A$2:$C$13,3,1),""))</f>
        <v/>
      </c>
      <c r="AX215" s="468" t="str">
        <f>IF(C215&gt;0,VLOOKUP(C215,Foundation_Calc!$E$2:$G$13,3,1),
IF(J215&gt;0,VLOOKUP(J215,Foundation_Calc!$E$2:$G$13,3,1),""))</f>
        <v/>
      </c>
      <c r="AY215" s="10" t="str">
        <f>IF(L215="","",
IF(AX215="PT",VLOOKUP(L215,Foundation_Calc!$K$79:$R$112,VLOOKUP(AW215,Foundation_Calc!$I$2:$J$8,2,FALSE),0),
IF(AX215="K",VLOOKUP(L215,Foundation_Calc!$K$116:$R$149,VLOOKUP(AW215,Foundation_Calc!$I$2:$J$8,2,FALSE),0),"")))</f>
        <v/>
      </c>
      <c r="AZ215" s="10" t="str">
        <f>IF(K215="","",
IF(AX215="PT",VLOOKUP(K215,Foundation_Calc!$K$79:$R$112,VLOOKUP(AW215,Foundation_Calc!$I$2:$J$8,2,FALSE),0),
IF(AX215="K",VLOOKUP(K215,Foundation_Calc!$K$116:$R$149,VLOOKUP(AW215,Foundation_Calc!$I$2:$J$8,2,FALSE),0),"")))</f>
        <v/>
      </c>
      <c r="BA215" s="553" t="str">
        <f t="shared" si="20"/>
        <v/>
      </c>
      <c r="BB215" s="553" t="str">
        <f t="shared" si="20"/>
        <v/>
      </c>
      <c r="BC215" s="553" t="str">
        <f t="shared" si="19"/>
        <v/>
      </c>
      <c r="BD215" s="572" t="str">
        <f>IF(AND(L215="",H215=""),"",
IF(H215="",Pole_Calc!A$9,
IF(H215="MP",Pole_Calc!A$10,
IF(H215="AnMP",Pole_Calc!A$11,
IF(H215="A",Pole_Calc!A$12,
IF(H215="S/A",Pole_Calc!A$13,
IF(H215="A/S",Pole_Calc!A$14,"Poner a mano")))))))</f>
        <v/>
      </c>
      <c r="BE215" s="448" t="s">
        <v>1726</v>
      </c>
      <c r="BF215" s="305"/>
      <c r="BG215" s="305"/>
      <c r="BH215" s="306"/>
      <c r="BI215" s="305"/>
    </row>
    <row r="216" spans="1:61" ht="16.2" customHeight="1">
      <c r="A216" s="573"/>
      <c r="B216" s="469" t="s">
        <v>1961</v>
      </c>
      <c r="C216" s="3">
        <f>+$C$214+$G$215</f>
        <v>4787.9500000000007</v>
      </c>
      <c r="D216" s="88"/>
      <c r="E216" s="4"/>
      <c r="F216" s="4">
        <v>-504.7</v>
      </c>
      <c r="G216" s="6"/>
      <c r="H216" s="468"/>
      <c r="I216" s="468"/>
      <c r="J216" s="3"/>
      <c r="K216" s="468"/>
      <c r="L216" s="468" t="s">
        <v>38</v>
      </c>
      <c r="M216" s="468" t="str">
        <f>IF(L216="","",
IF(AX216="PT",VLOOKUP(L216,Foundation_Calc!$V$79:$X$112,VLOOKUP(AX216,Foundation_Calc!$I$10:$J$13,2,FALSE),0),
IF(AX216="K",VLOOKUP(L216,Foundation_Calc!$V$116:$X$149,VLOOKUP(AX216,Foundation_Calc!$I$10:$J$13,2,FALSE),0),"")))</f>
        <v>C4R</v>
      </c>
      <c r="N216" s="468" t="s">
        <v>32</v>
      </c>
      <c r="O216" s="468"/>
      <c r="P216" s="468"/>
      <c r="Q216" s="4"/>
      <c r="R216" s="6"/>
      <c r="S216" s="6"/>
      <c r="T216" s="4">
        <v>-30</v>
      </c>
      <c r="U216" s="4"/>
      <c r="V216" s="4"/>
      <c r="W216" s="9">
        <v>1.4</v>
      </c>
      <c r="X216" s="9"/>
      <c r="Y216" s="9"/>
      <c r="Z216" s="9"/>
      <c r="AA216" s="9"/>
      <c r="AB216" s="9"/>
      <c r="AC216" s="468" t="str">
        <f t="shared" si="18"/>
        <v>PHC</v>
      </c>
      <c r="AD216" s="468"/>
      <c r="AE216" s="468"/>
      <c r="AF216" s="4"/>
      <c r="AG216" s="88"/>
      <c r="AH216" s="4"/>
      <c r="AI216" s="4"/>
      <c r="AJ216" s="468"/>
      <c r="AK216" s="468"/>
      <c r="AL216" s="468"/>
      <c r="AM216" s="468" t="s">
        <v>486</v>
      </c>
      <c r="AN216" s="10">
        <v>5.5</v>
      </c>
      <c r="AO216" s="9"/>
      <c r="AP216" s="9"/>
      <c r="AQ216" s="9"/>
      <c r="AR216" s="9"/>
      <c r="AS216" s="9"/>
      <c r="AT216" s="9">
        <f>+ab($T$216,$T$214,$T$218,$G$215,$G$217, 1*$F$216,1200)</f>
        <v>-2.8461339984282281</v>
      </c>
      <c r="AU216" s="447"/>
      <c r="AV216" s="447"/>
      <c r="AW216" s="468" t="str">
        <f>IF(C216&gt;0,VLOOKUP(C216,Foundation_Calc!$A$2:$C$13,3,1),
IF(J216&gt;0,VLOOKUP(J216,Foundation_Calc!$A$2:$C$13,3,1),""))</f>
        <v>MultiSoil</v>
      </c>
      <c r="AX216" s="468" t="str">
        <f>IF(C216&gt;0,VLOOKUP(C216,Foundation_Calc!$E$2:$G$13,3,1),
IF(J216&gt;0,VLOOKUP(J216,Foundation_Calc!$E$2:$G$13,3,1),""))</f>
        <v>PT</v>
      </c>
      <c r="AY216" s="10">
        <f>IF(L216="","",
IF(AX216="PT",VLOOKUP(L216,Foundation_Calc!$K$79:$R$112,VLOOKUP(AW216,Foundation_Calc!$I$2:$J$8,2,FALSE),0),
IF(AX216="K",VLOOKUP(L216,Foundation_Calc!$K$116:$R$149,VLOOKUP(AW216,Foundation_Calc!$I$2:$J$8,2,FALSE),0),"")))</f>
        <v>3.5</v>
      </c>
      <c r="AZ216" s="10" t="str">
        <f>IF(K216="","",
IF(AX216="PT",VLOOKUP(K216,Foundation_Calc!$K$79:$R$112,VLOOKUP(AW216,Foundation_Calc!$I$2:$J$8,2,FALSE),0),
IF(AX216="K",VLOOKUP(K216,Foundation_Calc!$K$116:$R$149,VLOOKUP(AW216,Foundation_Calc!$I$2:$J$8,2,FALSE),0),"")))</f>
        <v/>
      </c>
      <c r="BA216" s="553" t="str">
        <f t="shared" si="20"/>
        <v>ü</v>
      </c>
      <c r="BB216" s="553" t="str">
        <f t="shared" si="20"/>
        <v/>
      </c>
      <c r="BC216" s="553" t="str">
        <f t="shared" si="19"/>
        <v/>
      </c>
      <c r="BD216" s="572" t="str">
        <f>IF(AND(L216="",H216=""),"",
IF(H216="",Pole_Calc!A$9,
IF(H216="MP",Pole_Calc!A$10,
IF(H216="AnMP",Pole_Calc!A$11,
IF(H216="A",Pole_Calc!A$12,
IF(H216="S/A",Pole_Calc!A$13,
IF(H216="A/S",Pole_Calc!A$14,"Poner a mano")))))))</f>
        <v>App.7-V11H-P9.5.1.1</v>
      </c>
      <c r="BE216" s="448" t="s">
        <v>1726</v>
      </c>
      <c r="BF216" s="306"/>
      <c r="BG216" s="306"/>
      <c r="BH216" s="306"/>
      <c r="BI216" s="306"/>
    </row>
    <row r="217" spans="1:61" ht="16.2" customHeight="1">
      <c r="A217" s="573"/>
      <c r="B217" s="469"/>
      <c r="C217" s="3"/>
      <c r="D217" s="88"/>
      <c r="E217" s="4"/>
      <c r="F217" s="4"/>
      <c r="G217" s="6">
        <v>34</v>
      </c>
      <c r="H217" s="468"/>
      <c r="I217" s="468"/>
      <c r="J217" s="3"/>
      <c r="K217" s="468"/>
      <c r="L217" s="468"/>
      <c r="M217" s="468" t="str">
        <f>IF(L217="","",
IF(AX217="PT",VLOOKUP(L217,Foundation_Calc!$V$79:$X$112,VLOOKUP(AX217,Foundation_Calc!$I$10:$J$13,2,FALSE),0),
IF(AX217="K",VLOOKUP(L217,Foundation_Calc!$V$116:$X$149,VLOOKUP(AX217,Foundation_Calc!$I$10:$J$13,2,FALSE),0),"")))</f>
        <v/>
      </c>
      <c r="N217" s="468"/>
      <c r="O217" s="468"/>
      <c r="P217" s="468"/>
      <c r="Q217" s="4"/>
      <c r="R217" s="6"/>
      <c r="S217" s="6"/>
      <c r="T217" s="4"/>
      <c r="U217" s="4"/>
      <c r="V217" s="4"/>
      <c r="W217" s="9"/>
      <c r="X217" s="9"/>
      <c r="Y217" s="9"/>
      <c r="Z217" s="9"/>
      <c r="AA217" s="9"/>
      <c r="AB217" s="9"/>
      <c r="AC217" s="468" t="str">
        <f t="shared" si="18"/>
        <v/>
      </c>
      <c r="AD217" s="468"/>
      <c r="AE217" s="468"/>
      <c r="AF217" s="4"/>
      <c r="AG217" s="88"/>
      <c r="AH217" s="4"/>
      <c r="AI217" s="4"/>
      <c r="AJ217" s="468"/>
      <c r="AK217" s="468"/>
      <c r="AL217" s="468"/>
      <c r="AM217" s="468"/>
      <c r="AN217" s="10"/>
      <c r="AO217" s="9"/>
      <c r="AP217" s="9"/>
      <c r="AQ217" s="9">
        <f>+FL_2($T$218,$T$216,$G$217,1200,9.28, 1*$F$218)</f>
        <v>-0.30000000000003313</v>
      </c>
      <c r="AR217" s="9"/>
      <c r="AS217" s="9"/>
      <c r="AT217" s="9"/>
      <c r="AU217" s="447"/>
      <c r="AV217" s="447"/>
      <c r="AW217" s="468" t="str">
        <f>IF(C217&gt;0,VLOOKUP(C217,Foundation_Calc!$A$2:$C$13,3,1),
IF(J217&gt;0,VLOOKUP(J217,Foundation_Calc!$A$2:$C$13,3,1),""))</f>
        <v/>
      </c>
      <c r="AX217" s="468" t="str">
        <f>IF(C217&gt;0,VLOOKUP(C217,Foundation_Calc!$E$2:$G$13,3,1),
IF(J217&gt;0,VLOOKUP(J217,Foundation_Calc!$E$2:$G$13,3,1),""))</f>
        <v/>
      </c>
      <c r="AY217" s="10" t="str">
        <f>IF(L217="","",
IF(AX217="PT",VLOOKUP(L217,Foundation_Calc!$K$79:$R$112,VLOOKUP(AW217,Foundation_Calc!$I$2:$J$8,2,FALSE),0),
IF(AX217="K",VLOOKUP(L217,Foundation_Calc!$K$116:$R$149,VLOOKUP(AW217,Foundation_Calc!$I$2:$J$8,2,FALSE),0),"")))</f>
        <v/>
      </c>
      <c r="AZ217" s="10" t="str">
        <f>IF(K217="","",
IF(AX217="PT",VLOOKUP(K217,Foundation_Calc!$K$79:$R$112,VLOOKUP(AW217,Foundation_Calc!$I$2:$J$8,2,FALSE),0),
IF(AX217="K",VLOOKUP(K217,Foundation_Calc!$K$116:$R$149,VLOOKUP(AW217,Foundation_Calc!$I$2:$J$8,2,FALSE),0),"")))</f>
        <v/>
      </c>
      <c r="BA217" s="553" t="str">
        <f t="shared" si="20"/>
        <v/>
      </c>
      <c r="BB217" s="553" t="str">
        <f t="shared" si="20"/>
        <v/>
      </c>
      <c r="BC217" s="553" t="str">
        <f t="shared" si="19"/>
        <v/>
      </c>
      <c r="BD217" s="572" t="str">
        <f>IF(AND(L217="",H217=""),"",
IF(H217="",Pole_Calc!A$9,
IF(H217="MP",Pole_Calc!A$10,
IF(H217="AnMP",Pole_Calc!A$11,
IF(H217="A",Pole_Calc!A$12,
IF(H217="S/A",Pole_Calc!A$13,
IF(H217="A/S",Pole_Calc!A$14,"Poner a mano")))))))</f>
        <v/>
      </c>
      <c r="BE217" s="448" t="s">
        <v>1726</v>
      </c>
      <c r="BF217" s="305"/>
      <c r="BG217" s="305"/>
      <c r="BH217" s="306"/>
      <c r="BI217" s="305"/>
    </row>
    <row r="218" spans="1:61" ht="16.2" customHeight="1">
      <c r="A218" s="573"/>
      <c r="B218" s="469" t="s">
        <v>1962</v>
      </c>
      <c r="C218" s="3">
        <f>+$C$216+$G$217</f>
        <v>4821.9500000000007</v>
      </c>
      <c r="D218" s="88"/>
      <c r="E218" s="4"/>
      <c r="F218" s="4">
        <v>-504.7</v>
      </c>
      <c r="G218" s="6"/>
      <c r="H218" s="468"/>
      <c r="I218" s="468"/>
      <c r="J218" s="3"/>
      <c r="K218" s="468"/>
      <c r="L218" s="468" t="s">
        <v>38</v>
      </c>
      <c r="M218" s="468" t="str">
        <f>IF(L218="","",
IF(AX218="PT",VLOOKUP(L218,Foundation_Calc!$V$79:$X$112,VLOOKUP(AX218,Foundation_Calc!$I$10:$J$13,2,FALSE),0),
IF(AX218="K",VLOOKUP(L218,Foundation_Calc!$V$116:$X$149,VLOOKUP(AX218,Foundation_Calc!$I$10:$J$13,2,FALSE),0),"")))</f>
        <v>C4R</v>
      </c>
      <c r="N218" s="468" t="s">
        <v>32</v>
      </c>
      <c r="O218" s="468"/>
      <c r="P218" s="468"/>
      <c r="Q218" s="4"/>
      <c r="R218" s="6"/>
      <c r="S218" s="6"/>
      <c r="T218" s="4">
        <v>-30</v>
      </c>
      <c r="U218" s="4"/>
      <c r="V218" s="4"/>
      <c r="W218" s="9">
        <v>1.4</v>
      </c>
      <c r="X218" s="9"/>
      <c r="Y218" s="9"/>
      <c r="Z218" s="9"/>
      <c r="AA218" s="9"/>
      <c r="AB218" s="9"/>
      <c r="AC218" s="468" t="str">
        <f t="shared" si="18"/>
        <v>PHC</v>
      </c>
      <c r="AD218" s="468"/>
      <c r="AE218" s="468"/>
      <c r="AF218" s="4"/>
      <c r="AG218" s="88"/>
      <c r="AH218" s="4"/>
      <c r="AI218" s="4"/>
      <c r="AJ218" s="468"/>
      <c r="AK218" s="468"/>
      <c r="AL218" s="468"/>
      <c r="AM218" s="468" t="s">
        <v>486</v>
      </c>
      <c r="AN218" s="10">
        <v>5.5</v>
      </c>
      <c r="AO218" s="9"/>
      <c r="AP218" s="9"/>
      <c r="AQ218" s="9"/>
      <c r="AR218" s="9"/>
      <c r="AS218" s="9"/>
      <c r="AT218" s="9">
        <f>+ab($T$218,$T$216,$T$220,$G$217,$G$219, 1*$F$218,1200)</f>
        <v>-2.5808724502738722</v>
      </c>
      <c r="AU218" s="447"/>
      <c r="AV218" s="447"/>
      <c r="AW218" s="468" t="str">
        <f>IF(C218&gt;0,VLOOKUP(C218,Foundation_Calc!$A$2:$C$13,3,1),
IF(J218&gt;0,VLOOKUP(J218,Foundation_Calc!$A$2:$C$13,3,1),""))</f>
        <v>MultiSoil</v>
      </c>
      <c r="AX218" s="468" t="str">
        <f>IF(C218&gt;0,VLOOKUP(C218,Foundation_Calc!$E$2:$G$13,3,1),
IF(J218&gt;0,VLOOKUP(J218,Foundation_Calc!$E$2:$G$13,3,1),""))</f>
        <v>PT</v>
      </c>
      <c r="AY218" s="10">
        <f>IF(L218="","",
IF(AX218="PT",VLOOKUP(L218,Foundation_Calc!$K$79:$R$112,VLOOKUP(AW218,Foundation_Calc!$I$2:$J$8,2,FALSE),0),
IF(AX218="K",VLOOKUP(L218,Foundation_Calc!$K$116:$R$149,VLOOKUP(AW218,Foundation_Calc!$I$2:$J$8,2,FALSE),0),"")))</f>
        <v>3.5</v>
      </c>
      <c r="AZ218" s="10" t="str">
        <f>IF(K218="","",
IF(AX218="PT",VLOOKUP(K218,Foundation_Calc!$K$79:$R$112,VLOOKUP(AW218,Foundation_Calc!$I$2:$J$8,2,FALSE),0),
IF(AX218="K",VLOOKUP(K218,Foundation_Calc!$K$116:$R$149,VLOOKUP(AW218,Foundation_Calc!$I$2:$J$8,2,FALSE),0),"")))</f>
        <v/>
      </c>
      <c r="BA218" s="553" t="str">
        <f t="shared" si="20"/>
        <v>ü</v>
      </c>
      <c r="BB218" s="553" t="str">
        <f t="shared" si="20"/>
        <v/>
      </c>
      <c r="BC218" s="553" t="str">
        <f t="shared" si="19"/>
        <v/>
      </c>
      <c r="BD218" s="572" t="str">
        <f>IF(AND(L218="",H218=""),"",
IF(H218="",Pole_Calc!A$9,
IF(H218="MP",Pole_Calc!A$10,
IF(H218="AnMP",Pole_Calc!A$11,
IF(H218="A",Pole_Calc!A$12,
IF(H218="S/A",Pole_Calc!A$13,
IF(H218="A/S",Pole_Calc!A$14,"Poner a mano")))))))</f>
        <v>App.7-V11H-P9.5.1.1</v>
      </c>
      <c r="BE218" s="448" t="s">
        <v>1726</v>
      </c>
      <c r="BF218" s="306"/>
      <c r="BG218" s="306"/>
      <c r="BH218" s="306"/>
      <c r="BI218" s="306"/>
    </row>
    <row r="219" spans="1:61" ht="16.2" customHeight="1">
      <c r="A219" s="573"/>
      <c r="B219" s="469"/>
      <c r="C219" s="3"/>
      <c r="D219" s="88"/>
      <c r="E219" s="4"/>
      <c r="F219" s="4"/>
      <c r="G219" s="6">
        <v>41</v>
      </c>
      <c r="H219" s="468"/>
      <c r="I219" s="468"/>
      <c r="J219" s="3"/>
      <c r="K219" s="468"/>
      <c r="L219" s="468"/>
      <c r="M219" s="468" t="str">
        <f>IF(L219="","",
IF(AX219="PT",VLOOKUP(L219,Foundation_Calc!$V$79:$X$112,VLOOKUP(AX219,Foundation_Calc!$I$10:$J$13,2,FALSE),0),
IF(AX219="K",VLOOKUP(L219,Foundation_Calc!$V$116:$X$149,VLOOKUP(AX219,Foundation_Calc!$I$10:$J$13,2,FALSE),0),"")))</f>
        <v/>
      </c>
      <c r="N219" s="468"/>
      <c r="O219" s="468"/>
      <c r="P219" s="468"/>
      <c r="Q219" s="4"/>
      <c r="R219" s="6"/>
      <c r="S219" s="6"/>
      <c r="T219" s="4"/>
      <c r="U219" s="4"/>
      <c r="V219" s="4"/>
      <c r="W219" s="9"/>
      <c r="X219" s="9"/>
      <c r="Y219" s="9"/>
      <c r="Z219" s="9"/>
      <c r="AA219" s="9"/>
      <c r="AB219" s="9"/>
      <c r="AC219" s="468" t="str">
        <f t="shared" si="18"/>
        <v/>
      </c>
      <c r="AD219" s="468"/>
      <c r="AE219" s="468"/>
      <c r="AF219" s="4"/>
      <c r="AG219" s="88"/>
      <c r="AH219" s="4"/>
      <c r="AI219" s="4"/>
      <c r="AJ219" s="468"/>
      <c r="AK219" s="468"/>
      <c r="AL219" s="468"/>
      <c r="AM219" s="468"/>
      <c r="AN219" s="10"/>
      <c r="AO219" s="9"/>
      <c r="AP219" s="9"/>
      <c r="AQ219" s="9">
        <f>+FL_2($T$220,$T$218,$G$219,1200,9.28, 1*$F$220)</f>
        <v>-0.3</v>
      </c>
      <c r="AR219" s="9"/>
      <c r="AS219" s="9"/>
      <c r="AT219" s="9"/>
      <c r="AU219" s="447"/>
      <c r="AV219" s="447"/>
      <c r="AW219" s="468" t="str">
        <f>IF(C219&gt;0,VLOOKUP(C219,Foundation_Calc!$A$2:$C$13,3,1),
IF(J219&gt;0,VLOOKUP(J219,Foundation_Calc!$A$2:$C$13,3,1),""))</f>
        <v/>
      </c>
      <c r="AX219" s="468" t="str">
        <f>IF(C219&gt;0,VLOOKUP(C219,Foundation_Calc!$E$2:$G$13,3,1),
IF(J219&gt;0,VLOOKUP(J219,Foundation_Calc!$E$2:$G$13,3,1),""))</f>
        <v/>
      </c>
      <c r="AY219" s="10" t="str">
        <f>IF(L219="","",
IF(AX219="PT",VLOOKUP(L219,Foundation_Calc!$K$79:$R$112,VLOOKUP(AW219,Foundation_Calc!$I$2:$J$8,2,FALSE),0),
IF(AX219="K",VLOOKUP(L219,Foundation_Calc!$K$116:$R$149,VLOOKUP(AW219,Foundation_Calc!$I$2:$J$8,2,FALSE),0),"")))</f>
        <v/>
      </c>
      <c r="AZ219" s="10" t="str">
        <f>IF(K219="","",
IF(AX219="PT",VLOOKUP(K219,Foundation_Calc!$K$79:$R$112,VLOOKUP(AW219,Foundation_Calc!$I$2:$J$8,2,FALSE),0),
IF(AX219="K",VLOOKUP(K219,Foundation_Calc!$K$116:$R$149,VLOOKUP(AW219,Foundation_Calc!$I$2:$J$8,2,FALSE),0),"")))</f>
        <v/>
      </c>
      <c r="BA219" s="553" t="str">
        <f t="shared" si="20"/>
        <v/>
      </c>
      <c r="BB219" s="553" t="str">
        <f t="shared" si="20"/>
        <v/>
      </c>
      <c r="BC219" s="553" t="str">
        <f t="shared" si="19"/>
        <v/>
      </c>
      <c r="BD219" s="572" t="str">
        <f>IF(AND(L219="",H219=""),"",
IF(H219="",Pole_Calc!A$9,
IF(H219="MP",Pole_Calc!A$10,
IF(H219="AnMP",Pole_Calc!A$11,
IF(H219="A",Pole_Calc!A$12,
IF(H219="S/A",Pole_Calc!A$13,
IF(H219="A/S",Pole_Calc!A$14,"Poner a mano")))))))</f>
        <v/>
      </c>
      <c r="BE219" s="448" t="s">
        <v>1726</v>
      </c>
      <c r="BF219" s="305"/>
      <c r="BG219" s="305"/>
      <c r="BH219" s="306"/>
      <c r="BI219" s="305"/>
    </row>
    <row r="220" spans="1:61" ht="16.2" customHeight="1">
      <c r="A220" s="573"/>
      <c r="B220" s="469" t="s">
        <v>1963</v>
      </c>
      <c r="C220" s="3">
        <f>+$C$218+$G$219</f>
        <v>4862.9500000000007</v>
      </c>
      <c r="D220" s="88"/>
      <c r="E220" s="4"/>
      <c r="F220" s="4">
        <v>-681.82</v>
      </c>
      <c r="G220" s="6"/>
      <c r="H220" s="468"/>
      <c r="I220" s="468"/>
      <c r="J220" s="3"/>
      <c r="K220" s="468"/>
      <c r="L220" s="468" t="s">
        <v>38</v>
      </c>
      <c r="M220" s="468" t="str">
        <f>IF(L220="","",
IF(AX220="PT",VLOOKUP(L220,Foundation_Calc!$V$79:$X$112,VLOOKUP(AX220,Foundation_Calc!$I$10:$J$13,2,FALSE),0),
IF(AX220="K",VLOOKUP(L220,Foundation_Calc!$V$116:$X$149,VLOOKUP(AX220,Foundation_Calc!$I$10:$J$13,2,FALSE),0),"")))</f>
        <v>C4R</v>
      </c>
      <c r="N220" s="468" t="s">
        <v>32</v>
      </c>
      <c r="O220" s="468"/>
      <c r="P220" s="468"/>
      <c r="Q220" s="4"/>
      <c r="R220" s="6"/>
      <c r="S220" s="6"/>
      <c r="T220" s="4">
        <v>-30</v>
      </c>
      <c r="U220" s="4"/>
      <c r="V220" s="4"/>
      <c r="W220" s="9">
        <v>1.4</v>
      </c>
      <c r="X220" s="9"/>
      <c r="Y220" s="9"/>
      <c r="Z220" s="9"/>
      <c r="AA220" s="9"/>
      <c r="AB220" s="9"/>
      <c r="AC220" s="468" t="str">
        <f t="shared" si="18"/>
        <v>PHC</v>
      </c>
      <c r="AD220" s="468"/>
      <c r="AE220" s="468"/>
      <c r="AF220" s="4"/>
      <c r="AG220" s="88"/>
      <c r="AH220" s="4"/>
      <c r="AI220" s="4"/>
      <c r="AJ220" s="468"/>
      <c r="AK220" s="468"/>
      <c r="AL220" s="468"/>
      <c r="AM220" s="468" t="s">
        <v>486</v>
      </c>
      <c r="AN220" s="10">
        <v>5.5</v>
      </c>
      <c r="AO220" s="9"/>
      <c r="AP220" s="9"/>
      <c r="AQ220" s="9"/>
      <c r="AR220" s="9"/>
      <c r="AS220" s="9"/>
      <c r="AT220" s="9">
        <f>+ab($T$220,$T$218,$T$222,$G$219,$G$221, 1*$F$220,1200)</f>
        <v>-2.9990790522820192</v>
      </c>
      <c r="AU220" s="447"/>
      <c r="AV220" s="447"/>
      <c r="AW220" s="468" t="str">
        <f>IF(C220&gt;0,VLOOKUP(C220,Foundation_Calc!$A$2:$C$13,3,1),
IF(J220&gt;0,VLOOKUP(J220,Foundation_Calc!$A$2:$C$13,3,1),""))</f>
        <v>MultiSoil</v>
      </c>
      <c r="AX220" s="468" t="str">
        <f>IF(C220&gt;0,VLOOKUP(C220,Foundation_Calc!$E$2:$G$13,3,1),
IF(J220&gt;0,VLOOKUP(J220,Foundation_Calc!$E$2:$G$13,3,1),""))</f>
        <v>PT</v>
      </c>
      <c r="AY220" s="10">
        <f>IF(L220="","",
IF(AX220="PT",VLOOKUP(L220,Foundation_Calc!$K$79:$R$112,VLOOKUP(AW220,Foundation_Calc!$I$2:$J$8,2,FALSE),0),
IF(AX220="K",VLOOKUP(L220,Foundation_Calc!$K$116:$R$149,VLOOKUP(AW220,Foundation_Calc!$I$2:$J$8,2,FALSE),0),"")))</f>
        <v>3.5</v>
      </c>
      <c r="AZ220" s="10" t="str">
        <f>IF(K220="","",
IF(AX220="PT",VLOOKUP(K220,Foundation_Calc!$K$79:$R$112,VLOOKUP(AW220,Foundation_Calc!$I$2:$J$8,2,FALSE),0),
IF(AX220="K",VLOOKUP(K220,Foundation_Calc!$K$116:$R$149,VLOOKUP(AW220,Foundation_Calc!$I$2:$J$8,2,FALSE),0),"")))</f>
        <v/>
      </c>
      <c r="BA220" s="553" t="str">
        <f t="shared" si="20"/>
        <v>ü</v>
      </c>
      <c r="BB220" s="553" t="str">
        <f t="shared" si="20"/>
        <v/>
      </c>
      <c r="BC220" s="553" t="str">
        <f t="shared" si="19"/>
        <v/>
      </c>
      <c r="BD220" s="572" t="str">
        <f>IF(AND(L220="",H220=""),"",
IF(H220="",Pole_Calc!A$9,
IF(H220="MP",Pole_Calc!A$10,
IF(H220="AnMP",Pole_Calc!A$11,
IF(H220="A",Pole_Calc!A$12,
IF(H220="S/A",Pole_Calc!A$13,
IF(H220="A/S",Pole_Calc!A$14,"Poner a mano")))))))</f>
        <v>App.7-V11H-P9.5.1.1</v>
      </c>
      <c r="BE220" s="448" t="s">
        <v>1726</v>
      </c>
      <c r="BF220" s="306"/>
      <c r="BG220" s="306"/>
      <c r="BH220" s="306"/>
      <c r="BI220" s="306"/>
    </row>
    <row r="221" spans="1:61" ht="16.2" customHeight="1">
      <c r="A221" s="573"/>
      <c r="B221" s="469"/>
      <c r="C221" s="3"/>
      <c r="D221" s="88"/>
      <c r="E221" s="4"/>
      <c r="F221" s="4"/>
      <c r="G221" s="6">
        <v>43</v>
      </c>
      <c r="H221" s="468"/>
      <c r="I221" s="468"/>
      <c r="J221" s="3"/>
      <c r="K221" s="468"/>
      <c r="L221" s="468"/>
      <c r="M221" s="468" t="str">
        <f>IF(L221="","",
IF(AX221="PT",VLOOKUP(L221,Foundation_Calc!$V$79:$X$112,VLOOKUP(AX221,Foundation_Calc!$I$10:$J$13,2,FALSE),0),
IF(AX221="K",VLOOKUP(L221,Foundation_Calc!$V$116:$X$149,VLOOKUP(AX221,Foundation_Calc!$I$10:$J$13,2,FALSE),0),"")))</f>
        <v/>
      </c>
      <c r="N221" s="468"/>
      <c r="O221" s="468"/>
      <c r="P221" s="468"/>
      <c r="Q221" s="4"/>
      <c r="R221" s="6"/>
      <c r="S221" s="6"/>
      <c r="T221" s="4"/>
      <c r="U221" s="4"/>
      <c r="V221" s="4"/>
      <c r="W221" s="9"/>
      <c r="X221" s="9"/>
      <c r="Y221" s="9"/>
      <c r="Z221" s="9"/>
      <c r="AA221" s="9"/>
      <c r="AB221" s="9"/>
      <c r="AC221" s="468" t="str">
        <f t="shared" si="18"/>
        <v/>
      </c>
      <c r="AD221" s="468"/>
      <c r="AE221" s="468"/>
      <c r="AF221" s="4"/>
      <c r="AG221" s="88"/>
      <c r="AH221" s="4"/>
      <c r="AI221" s="4"/>
      <c r="AJ221" s="468"/>
      <c r="AK221" s="468"/>
      <c r="AL221" s="468"/>
      <c r="AM221" s="468"/>
      <c r="AN221" s="10"/>
      <c r="AO221" s="9"/>
      <c r="AP221" s="9"/>
      <c r="AQ221" s="9">
        <f>+FL_2($T$222,$T$220,$G$221,1200,9.28, 1*$F$222)</f>
        <v>-0.36369812856803008</v>
      </c>
      <c r="AR221" s="9"/>
      <c r="AS221" s="9"/>
      <c r="AT221" s="9"/>
      <c r="AU221" s="447"/>
      <c r="AV221" s="447"/>
      <c r="AW221" s="468" t="str">
        <f>IF(C221&gt;0,VLOOKUP(C221,Foundation_Calc!$A$2:$C$13,3,1),
IF(J221&gt;0,VLOOKUP(J221,Foundation_Calc!$A$2:$C$13,3,1),""))</f>
        <v/>
      </c>
      <c r="AX221" s="468" t="str">
        <f>IF(C221&gt;0,VLOOKUP(C221,Foundation_Calc!$E$2:$G$13,3,1),
IF(J221&gt;0,VLOOKUP(J221,Foundation_Calc!$E$2:$G$13,3,1),""))</f>
        <v/>
      </c>
      <c r="AY221" s="10" t="str">
        <f>IF(L221="","",
IF(AX221="PT",VLOOKUP(L221,Foundation_Calc!$K$79:$R$112,VLOOKUP(AW221,Foundation_Calc!$I$2:$J$8,2,FALSE),0),
IF(AX221="K",VLOOKUP(L221,Foundation_Calc!$K$116:$R$149,VLOOKUP(AW221,Foundation_Calc!$I$2:$J$8,2,FALSE),0),"")))</f>
        <v/>
      </c>
      <c r="AZ221" s="10" t="str">
        <f>IF(K221="","",
IF(AX221="PT",VLOOKUP(K221,Foundation_Calc!$K$79:$R$112,VLOOKUP(AW221,Foundation_Calc!$I$2:$J$8,2,FALSE),0),
IF(AX221="K",VLOOKUP(K221,Foundation_Calc!$K$116:$R$149,VLOOKUP(AW221,Foundation_Calc!$I$2:$J$8,2,FALSE),0),"")))</f>
        <v/>
      </c>
      <c r="BA221" s="553" t="str">
        <f t="shared" si="20"/>
        <v/>
      </c>
      <c r="BB221" s="553" t="str">
        <f t="shared" si="20"/>
        <v/>
      </c>
      <c r="BC221" s="553" t="str">
        <f t="shared" si="19"/>
        <v/>
      </c>
      <c r="BD221" s="572" t="str">
        <f>IF(AND(L221="",H221=""),"",
IF(H221="",Pole_Calc!A$9,
IF(H221="MP",Pole_Calc!A$10,
IF(H221="AnMP",Pole_Calc!A$11,
IF(H221="A",Pole_Calc!A$12,
IF(H221="S/A",Pole_Calc!A$13,
IF(H221="A/S",Pole_Calc!A$14,"Poner a mano")))))))</f>
        <v/>
      </c>
      <c r="BE221" s="448" t="s">
        <v>1726</v>
      </c>
      <c r="BF221" s="305"/>
      <c r="BG221" s="305"/>
      <c r="BH221" s="306"/>
      <c r="BI221" s="305"/>
    </row>
    <row r="222" spans="1:61" ht="16.2" customHeight="1">
      <c r="A222" s="573" t="s">
        <v>1497</v>
      </c>
      <c r="B222" s="469" t="s">
        <v>1964</v>
      </c>
      <c r="C222" s="3">
        <f>+$C$220+$G$221</f>
        <v>4905.9500000000007</v>
      </c>
      <c r="D222" s="88"/>
      <c r="E222" s="4"/>
      <c r="F222" s="4">
        <v>-3263.1</v>
      </c>
      <c r="G222" s="6"/>
      <c r="H222" s="468"/>
      <c r="I222" s="468"/>
      <c r="J222" s="3"/>
      <c r="K222" s="468"/>
      <c r="L222" s="468" t="s">
        <v>38</v>
      </c>
      <c r="M222" s="468" t="s">
        <v>1625</v>
      </c>
      <c r="N222" s="468" t="s">
        <v>32</v>
      </c>
      <c r="O222" s="468"/>
      <c r="P222" s="468"/>
      <c r="Q222" s="4"/>
      <c r="R222" s="6"/>
      <c r="S222" s="6"/>
      <c r="T222" s="4">
        <v>-20</v>
      </c>
      <c r="U222" s="4"/>
      <c r="V222" s="4"/>
      <c r="W222" s="9">
        <v>1.4</v>
      </c>
      <c r="X222" s="9"/>
      <c r="Y222" s="9"/>
      <c r="Z222" s="9"/>
      <c r="AA222" s="9"/>
      <c r="AB222" s="9"/>
      <c r="AC222" s="468" t="str">
        <f t="shared" si="18"/>
        <v>PH</v>
      </c>
      <c r="AD222" s="468"/>
      <c r="AE222" s="468"/>
      <c r="AF222" s="4"/>
      <c r="AG222" s="88"/>
      <c r="AH222" s="4"/>
      <c r="AI222" s="4"/>
      <c r="AJ222" s="468"/>
      <c r="AK222" s="468"/>
      <c r="AL222" s="468"/>
      <c r="AM222" s="468" t="s">
        <v>486</v>
      </c>
      <c r="AN222" s="10">
        <v>5.5</v>
      </c>
      <c r="AO222" s="9"/>
      <c r="AP222" s="9"/>
      <c r="AQ222" s="9"/>
      <c r="AR222" s="9"/>
      <c r="AS222" s="9"/>
      <c r="AT222" s="9">
        <f>+ab($T$222,$T$220,$T$224,$G$221,$G$223, 1*$F$222,1200)</f>
        <v>-8.7269064950020283</v>
      </c>
      <c r="AU222" s="447"/>
      <c r="AV222" s="447"/>
      <c r="AW222" s="468" t="s">
        <v>2557</v>
      </c>
      <c r="AX222" s="468" t="s">
        <v>199</v>
      </c>
      <c r="AY222" s="10" t="str">
        <f>IF(L222="","",
IF(AX222="PT",VLOOKUP(L222,Foundation_Calc!$K$79:$R$112,VLOOKUP(AW222,Foundation_Calc!$I$2:$J$8,2,FALSE),0),
IF(AX222="K",VLOOKUP(L222,Foundation_Calc!$K$116:$R$149,VLOOKUP(AW222,Foundation_Calc!$I$2:$J$8,2,FALSE),0),"")))</f>
        <v/>
      </c>
      <c r="AZ222" s="10" t="str">
        <f>IF(K222="","",
IF(AX222="PT",VLOOKUP(K222,Foundation_Calc!$K$79:$R$112,VLOOKUP(AW222,Foundation_Calc!$I$2:$J$8,2,FALSE),0),
IF(AX222="K",VLOOKUP(K222,Foundation_Calc!$K$116:$R$149,VLOOKUP(AW222,Foundation_Calc!$I$2:$J$8,2,FALSE),0),"")))</f>
        <v/>
      </c>
      <c r="BA222" s="553" t="str">
        <f t="shared" si="20"/>
        <v/>
      </c>
      <c r="BB222" s="553" t="str">
        <f t="shared" si="20"/>
        <v/>
      </c>
      <c r="BC222" s="553" t="str">
        <f t="shared" si="19"/>
        <v>ü</v>
      </c>
      <c r="BD222" s="572" t="str">
        <f>IF(AND(L222="",H222=""),"",
IF(H222="",Pole_Calc!A$9,
IF(H222="MP",Pole_Calc!A$10,
IF(H222="AnMP",Pole_Calc!A$11,
IF(H222="A",Pole_Calc!A$12,
IF(H222="S/A",Pole_Calc!A$13,
IF(H222="A/S",Pole_Calc!A$14,"Poner a mano")))))))</f>
        <v>App.7-V11H-P9.5.1.1</v>
      </c>
      <c r="BE222" s="448" t="s">
        <v>1726</v>
      </c>
      <c r="BF222" s="306"/>
      <c r="BG222" s="306"/>
      <c r="BH222" s="306"/>
      <c r="BI222" s="306"/>
    </row>
    <row r="223" spans="1:61" ht="16.2" customHeight="1">
      <c r="A223" s="574" t="s">
        <v>1497</v>
      </c>
      <c r="B223" s="469"/>
      <c r="C223" s="3"/>
      <c r="D223" s="88"/>
      <c r="E223" s="4"/>
      <c r="F223" s="4"/>
      <c r="G223" s="6">
        <v>53</v>
      </c>
      <c r="H223" s="468"/>
      <c r="I223" s="468"/>
      <c r="J223" s="3"/>
      <c r="K223" s="468"/>
      <c r="L223" s="468"/>
      <c r="M223" s="468" t="str">
        <f>IF(L223="","",
IF(AX223="PT",VLOOKUP(L223,Foundation_Calc!$V$79:$X$112,VLOOKUP(AX223,Foundation_Calc!$I$10:$J$13,2,FALSE),0),
IF(AX223="K",VLOOKUP(L223,Foundation_Calc!$V$116:$X$149,VLOOKUP(AX223,Foundation_Calc!$I$10:$J$13,2,FALSE),0),"")))</f>
        <v/>
      </c>
      <c r="N223" s="468"/>
      <c r="O223" s="468"/>
      <c r="P223" s="468"/>
      <c r="Q223" s="4"/>
      <c r="R223" s="6"/>
      <c r="S223" s="6"/>
      <c r="T223" s="4"/>
      <c r="U223" s="4"/>
      <c r="V223" s="4"/>
      <c r="W223" s="9"/>
      <c r="X223" s="9"/>
      <c r="Y223" s="9"/>
      <c r="Z223" s="9"/>
      <c r="AA223" s="9"/>
      <c r="AB223" s="9"/>
      <c r="AC223" s="468" t="str">
        <f t="shared" si="18"/>
        <v/>
      </c>
      <c r="AD223" s="468"/>
      <c r="AE223" s="468"/>
      <c r="AF223" s="4"/>
      <c r="AG223" s="88"/>
      <c r="AH223" s="4"/>
      <c r="AI223" s="4"/>
      <c r="AJ223" s="468"/>
      <c r="AK223" s="468"/>
      <c r="AL223" s="468"/>
      <c r="AM223" s="468"/>
      <c r="AN223" s="10"/>
      <c r="AO223" s="9"/>
      <c r="AP223" s="9"/>
      <c r="AQ223" s="9">
        <f>+FL_1($T$224,$T$222,$G$223,1200,9.28, 1*$F$224)</f>
        <v>0.37907953962264146</v>
      </c>
      <c r="AR223" s="9"/>
      <c r="AS223" s="9"/>
      <c r="AT223" s="9"/>
      <c r="AU223" s="447"/>
      <c r="AV223" s="447"/>
      <c r="AW223" s="468" t="str">
        <f>IF(C223&gt;0,VLOOKUP(C223,Foundation_Calc!$A$2:$C$13,3,1),
IF(J223&gt;0,VLOOKUP(J223,Foundation_Calc!$A$2:$C$13,3,1),""))</f>
        <v/>
      </c>
      <c r="AX223" s="468" t="str">
        <f>IF(C223&gt;0,VLOOKUP(C223,Foundation_Calc!$E$2:$G$13,3,1),
IF(J223&gt;0,VLOOKUP(J223,Foundation_Calc!$E$2:$G$13,3,1),""))</f>
        <v/>
      </c>
      <c r="AY223" s="10" t="str">
        <f>IF(L223="","",
IF(AX223="PT",VLOOKUP(L223,Foundation_Calc!$K$79:$R$112,VLOOKUP(AW223,Foundation_Calc!$I$2:$J$8,2,FALSE),0),
IF(AX223="K",VLOOKUP(L223,Foundation_Calc!$K$116:$R$149,VLOOKUP(AW223,Foundation_Calc!$I$2:$J$8,2,FALSE),0),"")))</f>
        <v/>
      </c>
      <c r="AZ223" s="10" t="str">
        <f>IF(K223="","",
IF(AX223="PT",VLOOKUP(K223,Foundation_Calc!$K$79:$R$112,VLOOKUP(AW223,Foundation_Calc!$I$2:$J$8,2,FALSE),0),
IF(AX223="K",VLOOKUP(K223,Foundation_Calc!$K$116:$R$149,VLOOKUP(AW223,Foundation_Calc!$I$2:$J$8,2,FALSE),0),"")))</f>
        <v/>
      </c>
      <c r="BA223" s="553" t="str">
        <f t="shared" si="20"/>
        <v/>
      </c>
      <c r="BB223" s="553" t="str">
        <f t="shared" si="20"/>
        <v/>
      </c>
      <c r="BC223" s="553" t="str">
        <f t="shared" si="19"/>
        <v/>
      </c>
      <c r="BD223" s="572" t="str">
        <f>IF(AND(L223="",H223=""),"",
IF(H223="",Pole_Calc!A$9,
IF(H223="MP",Pole_Calc!A$10,
IF(H223="AnMP",Pole_Calc!A$11,
IF(H223="A",Pole_Calc!A$12,
IF(H223="S/A",Pole_Calc!A$13,
IF(H223="A/S",Pole_Calc!A$14,"Poner a mano")))))))</f>
        <v/>
      </c>
      <c r="BE223" s="448" t="s">
        <v>1726</v>
      </c>
      <c r="BF223" s="305"/>
      <c r="BG223" s="305"/>
      <c r="BH223" s="306"/>
      <c r="BI223" s="305"/>
    </row>
    <row r="224" spans="1:61" ht="16.2" customHeight="1">
      <c r="A224" s="574" t="s">
        <v>1497</v>
      </c>
      <c r="B224" s="469" t="s">
        <v>1965</v>
      </c>
      <c r="C224" s="3">
        <f>+$C$222+$G$223</f>
        <v>4958.9500000000007</v>
      </c>
      <c r="D224" s="88"/>
      <c r="E224" s="4"/>
      <c r="F224" s="4">
        <v>0</v>
      </c>
      <c r="G224" s="6"/>
      <c r="H224" s="468"/>
      <c r="I224" s="468"/>
      <c r="J224" s="3"/>
      <c r="K224" s="468"/>
      <c r="L224" s="468" t="s">
        <v>38</v>
      </c>
      <c r="M224" s="468" t="s">
        <v>1625</v>
      </c>
      <c r="N224" s="468" t="s">
        <v>33</v>
      </c>
      <c r="O224" s="468"/>
      <c r="P224" s="468"/>
      <c r="Q224" s="4"/>
      <c r="R224" s="6"/>
      <c r="S224" s="6"/>
      <c r="T224" s="4">
        <v>30</v>
      </c>
      <c r="U224" s="4"/>
      <c r="V224" s="4"/>
      <c r="W224" s="9">
        <v>1.4</v>
      </c>
      <c r="X224" s="9"/>
      <c r="Y224" s="9"/>
      <c r="Z224" s="9"/>
      <c r="AA224" s="9"/>
      <c r="AB224" s="9"/>
      <c r="AC224" s="468" t="str">
        <f t="shared" si="18"/>
        <v>PH</v>
      </c>
      <c r="AD224" s="468"/>
      <c r="AE224" s="468"/>
      <c r="AF224" s="4"/>
      <c r="AG224" s="88"/>
      <c r="AH224" s="4"/>
      <c r="AI224" s="4"/>
      <c r="AJ224" s="468"/>
      <c r="AK224" s="468"/>
      <c r="AL224" s="468"/>
      <c r="AM224" s="468" t="s">
        <v>486</v>
      </c>
      <c r="AN224" s="10">
        <v>5.5</v>
      </c>
      <c r="AO224" s="9"/>
      <c r="AP224" s="9"/>
      <c r="AQ224" s="9"/>
      <c r="AR224" s="9"/>
      <c r="AS224" s="9"/>
      <c r="AT224" s="9">
        <f>+ab($T$224,$T$222,$T$226,$G$223,$G$225, 1*$F$224,1200)</f>
        <v>10.368398280891199</v>
      </c>
      <c r="AU224" s="447"/>
      <c r="AV224" s="447"/>
      <c r="AW224" s="468" t="s">
        <v>2557</v>
      </c>
      <c r="AX224" s="468" t="s">
        <v>199</v>
      </c>
      <c r="AY224" s="10" t="str">
        <f>IF(L224="","",
IF(AX224="PT",VLOOKUP(L224,Foundation_Calc!$K$79:$R$112,VLOOKUP(AW224,Foundation_Calc!$I$2:$J$8,2,FALSE),0),
IF(AX224="K",VLOOKUP(L224,Foundation_Calc!$K$116:$R$149,VLOOKUP(AW224,Foundation_Calc!$I$2:$J$8,2,FALSE),0),"")))</f>
        <v/>
      </c>
      <c r="AZ224" s="10" t="str">
        <f>IF(K224="","",
IF(AX224="PT",VLOOKUP(K224,Foundation_Calc!$K$79:$R$112,VLOOKUP(AW224,Foundation_Calc!$I$2:$J$8,2,FALSE),0),
IF(AX224="K",VLOOKUP(K224,Foundation_Calc!$K$116:$R$149,VLOOKUP(AW224,Foundation_Calc!$I$2:$J$8,2,FALSE),0),"")))</f>
        <v/>
      </c>
      <c r="BA224" s="553" t="str">
        <f t="shared" si="20"/>
        <v/>
      </c>
      <c r="BB224" s="553" t="str">
        <f t="shared" si="20"/>
        <v/>
      </c>
      <c r="BC224" s="553" t="str">
        <f t="shared" si="19"/>
        <v>ü</v>
      </c>
      <c r="BD224" s="572" t="str">
        <f>IF(AND(L224="",H224=""),"",
IF(H224="",Pole_Calc!A$9,
IF(H224="MP",Pole_Calc!A$10,
IF(H224="AnMP",Pole_Calc!A$11,
IF(H224="A",Pole_Calc!A$12,
IF(H224="S/A",Pole_Calc!A$13,
IF(H224="A/S",Pole_Calc!A$14,"Poner a mano")))))))</f>
        <v>App.7-V11H-P9.5.1.1</v>
      </c>
      <c r="BE224" s="448" t="s">
        <v>1726</v>
      </c>
      <c r="BF224" s="306"/>
      <c r="BG224" s="306"/>
      <c r="BH224" s="306"/>
      <c r="BI224" s="306"/>
    </row>
    <row r="225" spans="1:61" ht="16.2" customHeight="1">
      <c r="A225" s="574" t="s">
        <v>1497</v>
      </c>
      <c r="B225" s="469"/>
      <c r="C225" s="3"/>
      <c r="D225" s="88"/>
      <c r="E225" s="4"/>
      <c r="F225" s="4"/>
      <c r="G225" s="6">
        <v>62</v>
      </c>
      <c r="H225" s="468"/>
      <c r="I225" s="468"/>
      <c r="J225" s="3"/>
      <c r="K225" s="468"/>
      <c r="L225" s="468"/>
      <c r="M225" s="468" t="str">
        <f>IF(L225="","",
IF(AX225="PT",VLOOKUP(L225,Foundation_Calc!$V$79:$X$112,VLOOKUP(AX225,Foundation_Calc!$I$10:$J$13,2,FALSE),0),
IF(AX225="K",VLOOKUP(L225,Foundation_Calc!$V$116:$X$149,VLOOKUP(AX225,Foundation_Calc!$I$10:$J$13,2,FALSE),0),"")))</f>
        <v/>
      </c>
      <c r="N225" s="468"/>
      <c r="O225" s="468"/>
      <c r="P225" s="468"/>
      <c r="Q225" s="4"/>
      <c r="R225" s="6"/>
      <c r="S225" s="6"/>
      <c r="T225" s="4"/>
      <c r="U225" s="4"/>
      <c r="V225" s="4"/>
      <c r="W225" s="9"/>
      <c r="X225" s="9"/>
      <c r="Y225" s="9"/>
      <c r="Z225" s="9"/>
      <c r="AA225" s="9"/>
      <c r="AB225" s="9"/>
      <c r="AC225" s="468" t="str">
        <f t="shared" si="18"/>
        <v/>
      </c>
      <c r="AD225" s="468"/>
      <c r="AE225" s="468"/>
      <c r="AF225" s="4"/>
      <c r="AG225" s="88"/>
      <c r="AH225" s="4"/>
      <c r="AI225" s="4"/>
      <c r="AJ225" s="468"/>
      <c r="AK225" s="468"/>
      <c r="AL225" s="468"/>
      <c r="AM225" s="468"/>
      <c r="AN225" s="10"/>
      <c r="AO225" s="9"/>
      <c r="AP225" s="9"/>
      <c r="AQ225" s="9">
        <f>+FL_1($T$226,$T$224,$G$225,1200,9.28, 1*$F$226)</f>
        <v>0.44746645199999996</v>
      </c>
      <c r="AR225" s="9"/>
      <c r="AS225" s="9"/>
      <c r="AT225" s="9"/>
      <c r="AU225" s="447"/>
      <c r="AV225" s="447"/>
      <c r="AW225" s="468" t="str">
        <f>IF(C225&gt;0,VLOOKUP(C225,Foundation_Calc!$A$2:$C$13,3,1),
IF(J225&gt;0,VLOOKUP(J225,Foundation_Calc!$A$2:$C$13,3,1),""))</f>
        <v/>
      </c>
      <c r="AX225" s="468" t="str">
        <f>IF(C225&gt;0,VLOOKUP(C225,Foundation_Calc!$E$2:$G$13,3,1),
IF(J225&gt;0,VLOOKUP(J225,Foundation_Calc!$E$2:$G$13,3,1),""))</f>
        <v/>
      </c>
      <c r="AY225" s="10" t="str">
        <f>IF(L225="","",
IF(AX225="PT",VLOOKUP(L225,Foundation_Calc!$K$79:$R$112,VLOOKUP(AW225,Foundation_Calc!$I$2:$J$8,2,FALSE),0),
IF(AX225="K",VLOOKUP(L225,Foundation_Calc!$K$116:$R$149,VLOOKUP(AW225,Foundation_Calc!$I$2:$J$8,2,FALSE),0),"")))</f>
        <v/>
      </c>
      <c r="AZ225" s="10" t="str">
        <f>IF(K225="","",
IF(AX225="PT",VLOOKUP(K225,Foundation_Calc!$K$79:$R$112,VLOOKUP(AW225,Foundation_Calc!$I$2:$J$8,2,FALSE),0),
IF(AX225="K",VLOOKUP(K225,Foundation_Calc!$K$116:$R$149,VLOOKUP(AW225,Foundation_Calc!$I$2:$J$8,2,FALSE),0),"")))</f>
        <v/>
      </c>
      <c r="BA225" s="553" t="str">
        <f t="shared" si="20"/>
        <v/>
      </c>
      <c r="BB225" s="553" t="str">
        <f t="shared" si="20"/>
        <v/>
      </c>
      <c r="BC225" s="553" t="str">
        <f t="shared" si="19"/>
        <v/>
      </c>
      <c r="BD225" s="572" t="str">
        <f>IF(AND(L225="",H225=""),"",
IF(H225="",Pole_Calc!A$9,
IF(H225="MP",Pole_Calc!A$10,
IF(H225="AnMP",Pole_Calc!A$11,
IF(H225="A",Pole_Calc!A$12,
IF(H225="S/A",Pole_Calc!A$13,
IF(H225="A/S",Pole_Calc!A$14,"Poner a mano")))))))</f>
        <v/>
      </c>
      <c r="BE225" s="448" t="s">
        <v>1726</v>
      </c>
      <c r="BF225" s="305"/>
      <c r="BG225" s="305"/>
      <c r="BH225" s="306"/>
      <c r="BI225" s="305"/>
    </row>
    <row r="226" spans="1:61" ht="16.2" customHeight="1">
      <c r="A226" s="574" t="s">
        <v>1497</v>
      </c>
      <c r="B226" s="469" t="s">
        <v>1966</v>
      </c>
      <c r="C226" s="3">
        <f>+$C$224+$G$225</f>
        <v>5020.9500000000007</v>
      </c>
      <c r="D226" s="88"/>
      <c r="E226" s="4"/>
      <c r="F226" s="4">
        <v>0</v>
      </c>
      <c r="G226" s="6"/>
      <c r="H226" s="468" t="s">
        <v>26</v>
      </c>
      <c r="I226" s="468" t="s">
        <v>183</v>
      </c>
      <c r="J226" s="3"/>
      <c r="K226" s="468"/>
      <c r="L226" s="468" t="s">
        <v>449</v>
      </c>
      <c r="M226" s="468" t="s">
        <v>1625</v>
      </c>
      <c r="N226" s="468" t="s">
        <v>32</v>
      </c>
      <c r="O226" s="468"/>
      <c r="P226" s="468"/>
      <c r="Q226" s="4"/>
      <c r="R226" s="6"/>
      <c r="S226" s="6"/>
      <c r="T226" s="4">
        <v>-25</v>
      </c>
      <c r="U226" s="4"/>
      <c r="V226" s="4"/>
      <c r="W226" s="9">
        <v>1.4</v>
      </c>
      <c r="X226" s="9"/>
      <c r="Y226" s="9"/>
      <c r="Z226" s="9"/>
      <c r="AA226" s="9"/>
      <c r="AB226" s="9"/>
      <c r="AC226" s="468" t="str">
        <f t="shared" si="18"/>
        <v>PH</v>
      </c>
      <c r="AD226" s="468"/>
      <c r="AE226" s="468"/>
      <c r="AF226" s="4"/>
      <c r="AG226" s="88"/>
      <c r="AH226" s="4"/>
      <c r="AI226" s="4"/>
      <c r="AJ226" s="468"/>
      <c r="AK226" s="468"/>
      <c r="AL226" s="468"/>
      <c r="AM226" s="468" t="s">
        <v>486</v>
      </c>
      <c r="AN226" s="10">
        <v>5.5</v>
      </c>
      <c r="AO226" s="9"/>
      <c r="AP226" s="9"/>
      <c r="AQ226" s="9"/>
      <c r="AR226" s="9"/>
      <c r="AS226" s="9"/>
      <c r="AT226" s="9">
        <f>+ab($T$226,$T$224,$U$228,$G$225,$G$227, 1*$F$226,1200)</f>
        <v>-11.62600387825124</v>
      </c>
      <c r="AU226" s="447"/>
      <c r="AV226" s="447"/>
      <c r="AW226" s="468" t="s">
        <v>2558</v>
      </c>
      <c r="AX226" s="468" t="s">
        <v>199</v>
      </c>
      <c r="AY226" s="10" t="str">
        <f>IF(L226="","",
IF(AX226="PT",VLOOKUP(L226,Foundation_Calc!$K$79:$R$112,VLOOKUP(AW226,Foundation_Calc!$I$2:$J$8,2,FALSE),0),
IF(AX226="K",VLOOKUP(L226,Foundation_Calc!$K$116:$R$149,VLOOKUP(AW226,Foundation_Calc!$I$2:$J$8,2,FALSE),0),"")))</f>
        <v/>
      </c>
      <c r="AZ226" s="10" t="str">
        <f>IF(K226="","",
IF(AX226="PT",VLOOKUP(K226,Foundation_Calc!$K$79:$R$112,VLOOKUP(AW226,Foundation_Calc!$I$2:$J$8,2,FALSE),0),
IF(AX226="K",VLOOKUP(K226,Foundation_Calc!$K$116:$R$149,VLOOKUP(AW226,Foundation_Calc!$I$2:$J$8,2,FALSE),0),"")))</f>
        <v/>
      </c>
      <c r="BA226" s="553" t="str">
        <f t="shared" si="20"/>
        <v/>
      </c>
      <c r="BB226" s="553" t="str">
        <f t="shared" si="20"/>
        <v/>
      </c>
      <c r="BC226" s="553" t="str">
        <f t="shared" si="19"/>
        <v>ü</v>
      </c>
      <c r="BD226" s="572" t="str">
        <f>IF(AND(L226="",H226=""),"",
IF(H226="",Pole_Calc!A$9,
IF(H226="MP",Pole_Calc!A$10,
IF(H226="AnMP",Pole_Calc!A$11,
IF(H226="A",Pole_Calc!A$12,
IF(H226="S/A",Pole_Calc!A$13,
IF(H226="A/S",Pole_Calc!A$14,"Poner a mano")))))))</f>
        <v>App.7-V11H-P9.5.1.6</v>
      </c>
      <c r="BE226" s="448" t="s">
        <v>1726</v>
      </c>
      <c r="BF226" s="306"/>
      <c r="BG226" s="306"/>
      <c r="BH226" s="306"/>
      <c r="BI226" s="306"/>
    </row>
    <row r="227" spans="1:61" ht="16.2" customHeight="1">
      <c r="A227" s="574" t="s">
        <v>1497</v>
      </c>
      <c r="B227" s="469"/>
      <c r="C227" s="3"/>
      <c r="D227" s="88"/>
      <c r="E227" s="4"/>
      <c r="F227" s="4"/>
      <c r="G227" s="6">
        <v>54</v>
      </c>
      <c r="H227" s="468"/>
      <c r="I227" s="4">
        <f>SUM(G227:G257)</f>
        <v>600.79999999999995</v>
      </c>
      <c r="J227" s="3"/>
      <c r="K227" s="468"/>
      <c r="L227" s="468"/>
      <c r="M227" s="468" t="str">
        <f>IF(L227="","",
IF(AX227="PT",VLOOKUP(L227,Foundation_Calc!$V$79:$X$112,VLOOKUP(AX227,Foundation_Calc!$I$10:$J$13,2,FALSE),0),
IF(AX227="K",VLOOKUP(L227,Foundation_Calc!$V$116:$X$149,VLOOKUP(AX227,Foundation_Calc!$I$10:$J$13,2,FALSE),0),"")))</f>
        <v/>
      </c>
      <c r="N227" s="468"/>
      <c r="O227" s="468"/>
      <c r="P227" s="468"/>
      <c r="Q227" s="4"/>
      <c r="R227" s="6"/>
      <c r="S227" s="6"/>
      <c r="T227" s="4"/>
      <c r="U227" s="4"/>
      <c r="V227" s="4"/>
      <c r="W227" s="9"/>
      <c r="X227" s="9"/>
      <c r="Y227" s="9"/>
      <c r="Z227" s="9"/>
      <c r="AA227" s="9"/>
      <c r="AB227" s="9"/>
      <c r="AC227" s="468" t="str">
        <f t="shared" si="18"/>
        <v/>
      </c>
      <c r="AD227" s="468"/>
      <c r="AE227" s="468"/>
      <c r="AF227" s="4"/>
      <c r="AG227" s="88"/>
      <c r="AH227" s="4"/>
      <c r="AI227" s="4"/>
      <c r="AJ227" s="468"/>
      <c r="AK227" s="468"/>
      <c r="AL227" s="468"/>
      <c r="AM227" s="468"/>
      <c r="AN227" s="10"/>
      <c r="AO227" s="9"/>
      <c r="AP227" s="9"/>
      <c r="AQ227" s="9">
        <f>+FL_2($U$228,$T$226,$G$227,1200,9.28, 1*$F$228)</f>
        <v>-0.36735608829629618</v>
      </c>
      <c r="AR227" s="9"/>
      <c r="AS227" s="9"/>
      <c r="AT227" s="9"/>
      <c r="AU227" s="447"/>
      <c r="AV227" s="447"/>
      <c r="AW227" s="468" t="str">
        <f>IF(C227&gt;0,VLOOKUP(C227,Foundation_Calc!$A$2:$C$13,3,1),
IF(J227&gt;0,VLOOKUP(J227,Foundation_Calc!$A$2:$C$13,3,1),""))</f>
        <v/>
      </c>
      <c r="AX227" s="468" t="str">
        <f>IF(C227&gt;0,VLOOKUP(C227,Foundation_Calc!$E$2:$G$13,3,1),
IF(J227&gt;0,VLOOKUP(J227,Foundation_Calc!$E$2:$G$13,3,1),""))</f>
        <v/>
      </c>
      <c r="AY227" s="10" t="str">
        <f>IF(L227="","",
IF(AX227="PT",VLOOKUP(L227,Foundation_Calc!$K$79:$R$112,VLOOKUP(AW227,Foundation_Calc!$I$2:$J$8,2,FALSE),0),
IF(AX227="K",VLOOKUP(L227,Foundation_Calc!$K$116:$R$149,VLOOKUP(AW227,Foundation_Calc!$I$2:$J$8,2,FALSE),0),"")))</f>
        <v/>
      </c>
      <c r="AZ227" s="10" t="str">
        <f>IF(K227="","",
IF(AX227="PT",VLOOKUP(K227,Foundation_Calc!$K$79:$R$112,VLOOKUP(AW227,Foundation_Calc!$I$2:$J$8,2,FALSE),0),
IF(AX227="K",VLOOKUP(K227,Foundation_Calc!$K$116:$R$149,VLOOKUP(AW227,Foundation_Calc!$I$2:$J$8,2,FALSE),0),"")))</f>
        <v/>
      </c>
      <c r="BA227" s="553" t="str">
        <f t="shared" si="20"/>
        <v/>
      </c>
      <c r="BB227" s="553" t="str">
        <f t="shared" si="20"/>
        <v/>
      </c>
      <c r="BC227" s="553" t="str">
        <f t="shared" si="19"/>
        <v/>
      </c>
      <c r="BD227" s="572" t="str">
        <f>IF(AND(L227="",H227=""),"",
IF(H227="",Pole_Calc!A$9,
IF(H227="MP",Pole_Calc!A$10,
IF(H227="AnMP",Pole_Calc!A$11,
IF(H227="A",Pole_Calc!A$12,
IF(H227="S/A",Pole_Calc!A$13,
IF(H227="A/S",Pole_Calc!A$14,"Poner a mano")))))))</f>
        <v/>
      </c>
      <c r="BE227" s="448" t="s">
        <v>1726</v>
      </c>
      <c r="BF227" s="305"/>
      <c r="BG227" s="305"/>
      <c r="BH227" s="306"/>
      <c r="BI227" s="305"/>
    </row>
    <row r="228" spans="1:61" ht="16.2" customHeight="1">
      <c r="A228" s="573" t="s">
        <v>1497</v>
      </c>
      <c r="B228" s="469" t="s">
        <v>1967</v>
      </c>
      <c r="C228" s="3">
        <f>+$C$226+$G$227</f>
        <v>5074.9500000000007</v>
      </c>
      <c r="D228" s="88"/>
      <c r="E228" s="4"/>
      <c r="F228" s="4">
        <v>0</v>
      </c>
      <c r="G228" s="6"/>
      <c r="H228" s="468" t="s">
        <v>179</v>
      </c>
      <c r="I228" s="468"/>
      <c r="J228" s="3"/>
      <c r="K228" s="468"/>
      <c r="L228" s="468" t="s">
        <v>448</v>
      </c>
      <c r="M228" s="468" t="s">
        <v>1625</v>
      </c>
      <c r="N228" s="468" t="s">
        <v>28</v>
      </c>
      <c r="O228" s="468" t="s">
        <v>33</v>
      </c>
      <c r="P228" s="468"/>
      <c r="Q228" s="4"/>
      <c r="R228" s="6"/>
      <c r="S228" s="6"/>
      <c r="T228" s="4">
        <v>35</v>
      </c>
      <c r="U228" s="4">
        <v>15</v>
      </c>
      <c r="V228" s="4"/>
      <c r="W228" s="9">
        <v>1.4</v>
      </c>
      <c r="X228" s="9">
        <v>2.2999999999999998</v>
      </c>
      <c r="Y228" s="9"/>
      <c r="Z228" s="9">
        <v>0.6</v>
      </c>
      <c r="AA228" s="9"/>
      <c r="AB228" s="9"/>
      <c r="AC228" s="468"/>
      <c r="AD228" s="468"/>
      <c r="AE228" s="468"/>
      <c r="AF228" s="4"/>
      <c r="AG228" s="88"/>
      <c r="AH228" s="4"/>
      <c r="AI228" s="4"/>
      <c r="AJ228" s="468"/>
      <c r="AK228" s="468"/>
      <c r="AL228" s="468"/>
      <c r="AM228" s="468" t="s">
        <v>486</v>
      </c>
      <c r="AN228" s="10">
        <v>5.5</v>
      </c>
      <c r="AO228" s="9"/>
      <c r="AP228" s="9"/>
      <c r="AQ228" s="9"/>
      <c r="AR228" s="9"/>
      <c r="AS228" s="9"/>
      <c r="AT228" s="9">
        <f>+ab($U$228,$T$226,$U$230,$G$227,$G$229, 1*$F$228,1200)</f>
        <v>12.011661898241877</v>
      </c>
      <c r="AU228" s="447"/>
      <c r="AV228" s="447"/>
      <c r="AW228" s="468" t="s">
        <v>2559</v>
      </c>
      <c r="AX228" s="468" t="s">
        <v>199</v>
      </c>
      <c r="AY228" s="10" t="str">
        <f>IF(L228="","",
IF(AX228="PT",VLOOKUP(L228,Foundation_Calc!$K$79:$R$112,VLOOKUP(AW228,Foundation_Calc!$I$2:$J$8,2,FALSE),0),
IF(AX228="K",VLOOKUP(L228,Foundation_Calc!$K$116:$R$149,VLOOKUP(AW228,Foundation_Calc!$I$2:$J$8,2,FALSE),0),"")))</f>
        <v/>
      </c>
      <c r="AZ228" s="10" t="str">
        <f>IF(K228="","",
IF(AX228="PT",VLOOKUP(K228,Foundation_Calc!$K$79:$R$112,VLOOKUP(AW228,Foundation_Calc!$I$2:$J$8,2,FALSE),0),
IF(AX228="K",VLOOKUP(K228,Foundation_Calc!$K$116:$R$149,VLOOKUP(AW228,Foundation_Calc!$I$2:$J$8,2,FALSE),0),"")))</f>
        <v/>
      </c>
      <c r="BA228" s="553" t="str">
        <f t="shared" si="20"/>
        <v/>
      </c>
      <c r="BB228" s="553" t="str">
        <f t="shared" si="20"/>
        <v/>
      </c>
      <c r="BC228" s="553" t="str">
        <f t="shared" si="19"/>
        <v>ü</v>
      </c>
      <c r="BD228" s="572" t="str">
        <f>IF(AND(L228="",H228=""),"",
IF(H228="",Pole_Calc!A$9,
IF(H228="MP",Pole_Calc!A$10,
IF(H228="AnMP",Pole_Calc!A$11,
IF(H228="A",Pole_Calc!A$12,
IF(H228="S/A",Pole_Calc!A$13,
IF(H228="A/S",Pole_Calc!A$14,"Poner a mano")))))))</f>
        <v>App.7-V11H-P9.5.1.5</v>
      </c>
      <c r="BE228" s="448" t="s">
        <v>1726</v>
      </c>
      <c r="BF228" s="306"/>
      <c r="BG228" s="306"/>
      <c r="BH228" s="306"/>
      <c r="BI228" s="306"/>
    </row>
    <row r="229" spans="1:61" ht="16.2" customHeight="1">
      <c r="A229" s="573"/>
      <c r="B229" s="469"/>
      <c r="C229" s="3"/>
      <c r="D229" s="88"/>
      <c r="E229" s="4"/>
      <c r="F229" s="4"/>
      <c r="G229" s="6">
        <v>60</v>
      </c>
      <c r="H229" s="468"/>
      <c r="I229" s="468"/>
      <c r="J229" s="3"/>
      <c r="K229" s="468"/>
      <c r="L229" s="468"/>
      <c r="M229" s="468" t="str">
        <f>IF(L229="","",
IF(AX229="PT",VLOOKUP(L229,Foundation_Calc!$V$79:$X$112,VLOOKUP(AX229,Foundation_Calc!$I$10:$J$13,2,FALSE),0),
IF(AX229="K",VLOOKUP(L229,Foundation_Calc!$V$116:$X$149,VLOOKUP(AX229,Foundation_Calc!$I$10:$J$13,2,FALSE),0),"")))</f>
        <v/>
      </c>
      <c r="N229" s="468"/>
      <c r="O229" s="468"/>
      <c r="P229" s="468"/>
      <c r="Q229" s="4"/>
      <c r="R229" s="6"/>
      <c r="S229" s="6"/>
      <c r="T229" s="4"/>
      <c r="U229" s="4"/>
      <c r="V229" s="4"/>
      <c r="W229" s="9"/>
      <c r="X229" s="9"/>
      <c r="Y229" s="9"/>
      <c r="Z229" s="9"/>
      <c r="AA229" s="9"/>
      <c r="AB229" s="9"/>
      <c r="AC229" s="468" t="str">
        <f t="shared" si="18"/>
        <v/>
      </c>
      <c r="AD229" s="468"/>
      <c r="AE229" s="468"/>
      <c r="AF229" s="4"/>
      <c r="AG229" s="88"/>
      <c r="AH229" s="4"/>
      <c r="AI229" s="4"/>
      <c r="AJ229" s="468"/>
      <c r="AK229" s="468"/>
      <c r="AL229" s="468"/>
      <c r="AM229" s="468"/>
      <c r="AN229" s="10"/>
      <c r="AO229" s="9"/>
      <c r="AP229" s="9"/>
      <c r="AQ229" s="9">
        <f>+FL_2($T$230,$U$228,$G$229,1200,9.28, 1*$F$230)</f>
        <v>-0.36416378533333332</v>
      </c>
      <c r="AR229" s="9"/>
      <c r="AS229" s="9"/>
      <c r="AT229" s="9"/>
      <c r="AU229" s="447"/>
      <c r="AV229" s="447"/>
      <c r="AW229" s="468" t="str">
        <f>IF(C229&gt;0,VLOOKUP(C229,Foundation_Calc!$A$2:$C$13,3,1),
IF(J229&gt;0,VLOOKUP(J229,Foundation_Calc!$A$2:$C$13,3,1),""))</f>
        <v/>
      </c>
      <c r="AX229" s="468" t="str">
        <f>IF(C229&gt;0,VLOOKUP(C229,Foundation_Calc!$E$2:$G$13,3,1),
IF(J229&gt;0,VLOOKUP(J229,Foundation_Calc!$E$2:$G$13,3,1),""))</f>
        <v/>
      </c>
      <c r="AY229" s="10" t="str">
        <f>IF(L229="","",
IF(AX229="PT",VLOOKUP(L229,Foundation_Calc!$K$79:$R$112,VLOOKUP(AW229,Foundation_Calc!$I$2:$J$8,2,FALSE),0),
IF(AX229="K",VLOOKUP(L229,Foundation_Calc!$K$116:$R$149,VLOOKUP(AW229,Foundation_Calc!$I$2:$J$8,2,FALSE),0),"")))</f>
        <v/>
      </c>
      <c r="AZ229" s="10" t="str">
        <f>IF(K229="","",
IF(AX229="PT",VLOOKUP(K229,Foundation_Calc!$K$79:$R$112,VLOOKUP(AW229,Foundation_Calc!$I$2:$J$8,2,FALSE),0),
IF(AX229="K",VLOOKUP(K229,Foundation_Calc!$K$116:$R$149,VLOOKUP(AW229,Foundation_Calc!$I$2:$J$8,2,FALSE),0),"")))</f>
        <v/>
      </c>
      <c r="BA229" s="553" t="str">
        <f t="shared" si="20"/>
        <v/>
      </c>
      <c r="BB229" s="553" t="str">
        <f t="shared" si="20"/>
        <v/>
      </c>
      <c r="BC229" s="553" t="str">
        <f t="shared" si="19"/>
        <v/>
      </c>
      <c r="BD229" s="572" t="str">
        <f>IF(AND(L229="",H229=""),"",
IF(H229="",Pole_Calc!A$9,
IF(H229="MP",Pole_Calc!A$10,
IF(H229="AnMP",Pole_Calc!A$11,
IF(H229="A",Pole_Calc!A$12,
IF(H229="S/A",Pole_Calc!A$13,
IF(H229="A/S",Pole_Calc!A$14,"Poner a mano")))))))</f>
        <v/>
      </c>
      <c r="BE229" s="448" t="s">
        <v>1726</v>
      </c>
      <c r="BF229" s="305"/>
      <c r="BG229" s="305"/>
      <c r="BH229" s="306"/>
      <c r="BI229" s="305"/>
    </row>
    <row r="230" spans="1:61" ht="16.2" customHeight="1">
      <c r="A230" s="573"/>
      <c r="B230" s="469" t="s">
        <v>1968</v>
      </c>
      <c r="C230" s="3">
        <f>+$C$228+$G$229</f>
        <v>5134.9500000000007</v>
      </c>
      <c r="D230" s="88"/>
      <c r="E230" s="4"/>
      <c r="F230" s="4">
        <v>0</v>
      </c>
      <c r="G230" s="6"/>
      <c r="H230" s="468" t="s">
        <v>179</v>
      </c>
      <c r="I230" s="468"/>
      <c r="J230" s="3"/>
      <c r="K230" s="468"/>
      <c r="L230" s="468" t="s">
        <v>448</v>
      </c>
      <c r="M230" s="468" t="str">
        <f>IF(L230="","",
IF(AX230="PT",VLOOKUP(L230,Foundation_Calc!$V$79:$X$112,VLOOKUP(AX230,Foundation_Calc!$I$10:$J$13,2,FALSE),0),
IF(AX230="K",VLOOKUP(L230,Foundation_Calc!$V$116:$X$149,VLOOKUP(AX230,Foundation_Calc!$I$10:$J$13,2,FALSE),0),"")))</f>
        <v>2C3R</v>
      </c>
      <c r="N230" s="468" t="s">
        <v>32</v>
      </c>
      <c r="O230" s="468" t="s">
        <v>28</v>
      </c>
      <c r="P230" s="468"/>
      <c r="Q230" s="4"/>
      <c r="R230" s="6"/>
      <c r="S230" s="6"/>
      <c r="T230" s="4">
        <v>-15</v>
      </c>
      <c r="U230" s="4">
        <v>-35</v>
      </c>
      <c r="V230" s="4"/>
      <c r="W230" s="9">
        <v>1.4</v>
      </c>
      <c r="X230" s="9">
        <v>2.2999999999999998</v>
      </c>
      <c r="Y230" s="9"/>
      <c r="Z230" s="9"/>
      <c r="AA230" s="9">
        <v>0.6</v>
      </c>
      <c r="AB230" s="9"/>
      <c r="AC230" s="468" t="str">
        <f t="shared" si="18"/>
        <v>PH</v>
      </c>
      <c r="AD230" s="468"/>
      <c r="AE230" s="468"/>
      <c r="AF230" s="4"/>
      <c r="AG230" s="88"/>
      <c r="AH230" s="4"/>
      <c r="AI230" s="4"/>
      <c r="AJ230" s="468"/>
      <c r="AK230" s="468"/>
      <c r="AL230" s="468"/>
      <c r="AM230" s="468" t="s">
        <v>486</v>
      </c>
      <c r="AN230" s="10">
        <v>5.5</v>
      </c>
      <c r="AO230" s="9"/>
      <c r="AP230" s="9"/>
      <c r="AQ230" s="9"/>
      <c r="AR230" s="9"/>
      <c r="AS230" s="9"/>
      <c r="AT230" s="9">
        <f>+ab($T$230,$T$228,$T$232,$G$229,$G$231, 1*$F$230,1200)</f>
        <v>-11.58794242320797</v>
      </c>
      <c r="AU230" s="447"/>
      <c r="AV230" s="447"/>
      <c r="AW230" s="468" t="str">
        <f>IF(C230&gt;0,VLOOKUP(C230,Foundation_Calc!$A$2:$C$13,3,1),
IF(J230&gt;0,VLOOKUP(J230,Foundation_Calc!$A$2:$C$13,3,1),""))</f>
        <v>MultiSoil</v>
      </c>
      <c r="AX230" s="468" t="str">
        <f>IF(C230&gt;0,VLOOKUP(C230,Foundation_Calc!$E$2:$G$13,3,1),
IF(J230&gt;0,VLOOKUP(J230,Foundation_Calc!$E$2:$G$13,3,1),""))</f>
        <v>PT</v>
      </c>
      <c r="AY230" s="10">
        <f>IF(L230="","",
IF(AX230="PT",VLOOKUP(L230,Foundation_Calc!$K$79:$R$112,VLOOKUP(AW230,Foundation_Calc!$I$2:$J$8,2,FALSE),0),
IF(AX230="K",VLOOKUP(L230,Foundation_Calc!$K$116:$R$149,VLOOKUP(AW230,Foundation_Calc!$I$2:$J$8,2,FALSE),0),"")))</f>
        <v>3.7</v>
      </c>
      <c r="AZ230" s="10" t="str">
        <f>IF(K230="","",
IF(AX230="PT",VLOOKUP(K230,Foundation_Calc!$K$79:$R$112,VLOOKUP(AW230,Foundation_Calc!$I$2:$J$8,2,FALSE),0),
IF(AX230="K",VLOOKUP(K230,Foundation_Calc!$K$116:$R$149,VLOOKUP(AW230,Foundation_Calc!$I$2:$J$8,2,FALSE),0),"")))</f>
        <v/>
      </c>
      <c r="BA230" s="553" t="str">
        <f t="shared" si="20"/>
        <v>ü</v>
      </c>
      <c r="BB230" s="553" t="str">
        <f t="shared" si="20"/>
        <v/>
      </c>
      <c r="BC230" s="553" t="str">
        <f t="shared" si="19"/>
        <v/>
      </c>
      <c r="BD230" s="572" t="str">
        <f>IF(AND(L230="",H230=""),"",
IF(H230="",Pole_Calc!A$9,
IF(H230="MP",Pole_Calc!A$10,
IF(H230="AnMP",Pole_Calc!A$11,
IF(H230="A",Pole_Calc!A$12,
IF(H230="S/A",Pole_Calc!A$13,
IF(H230="A/S",Pole_Calc!A$14,"Poner a mano")))))))</f>
        <v>App.7-V11H-P9.5.1.5</v>
      </c>
      <c r="BE230" s="448" t="s">
        <v>1726</v>
      </c>
      <c r="BF230" s="306"/>
      <c r="BG230" s="306"/>
      <c r="BH230" s="306"/>
      <c r="BI230" s="306"/>
    </row>
    <row r="231" spans="1:61" ht="16.2" customHeight="1">
      <c r="A231" s="573"/>
      <c r="B231" s="469"/>
      <c r="C231" s="3"/>
      <c r="D231" s="88"/>
      <c r="E231" s="4"/>
      <c r="F231" s="4"/>
      <c r="G231" s="6">
        <v>50</v>
      </c>
      <c r="H231" s="468"/>
      <c r="I231" s="468"/>
      <c r="J231" s="3"/>
      <c r="K231" s="468"/>
      <c r="L231" s="468"/>
      <c r="M231" s="468" t="str">
        <f>IF(L231="","",
IF(AX231="PT",VLOOKUP(L231,Foundation_Calc!$V$79:$X$112,VLOOKUP(AX231,Foundation_Calc!$I$10:$J$13,2,FALSE),0),
IF(AX231="K",VLOOKUP(L231,Foundation_Calc!$V$116:$X$149,VLOOKUP(AX231,Foundation_Calc!$I$10:$J$13,2,FALSE),0),"")))</f>
        <v/>
      </c>
      <c r="N231" s="468"/>
      <c r="O231" s="468"/>
      <c r="P231" s="468"/>
      <c r="Q231" s="4"/>
      <c r="R231" s="6"/>
      <c r="S231" s="6"/>
      <c r="T231" s="4"/>
      <c r="U231" s="4"/>
      <c r="V231" s="4"/>
      <c r="W231" s="9"/>
      <c r="X231" s="9"/>
      <c r="Y231" s="9"/>
      <c r="Z231" s="9"/>
      <c r="AA231" s="9"/>
      <c r="AB231" s="9"/>
      <c r="AC231" s="468" t="str">
        <f t="shared" si="18"/>
        <v/>
      </c>
      <c r="AD231" s="468"/>
      <c r="AE231" s="468"/>
      <c r="AF231" s="4"/>
      <c r="AG231" s="88"/>
      <c r="AH231" s="4"/>
      <c r="AI231" s="4"/>
      <c r="AJ231" s="468"/>
      <c r="AK231" s="468"/>
      <c r="AL231" s="468"/>
      <c r="AM231" s="468"/>
      <c r="AN231" s="10"/>
      <c r="AO231" s="9"/>
      <c r="AP231" s="9"/>
      <c r="AQ231" s="9">
        <f>+FL_1($T$232,$T$230,$G$231,1200,9.28, 1*$F$232)</f>
        <v>0.33304596799999997</v>
      </c>
      <c r="AR231" s="9"/>
      <c r="AS231" s="9"/>
      <c r="AT231" s="9"/>
      <c r="AU231" s="447"/>
      <c r="AV231" s="447"/>
      <c r="AW231" s="468" t="str">
        <f>IF(C231&gt;0,VLOOKUP(C231,Foundation_Calc!$A$2:$C$13,3,1),
IF(J231&gt;0,VLOOKUP(J231,Foundation_Calc!$A$2:$C$13,3,1),""))</f>
        <v/>
      </c>
      <c r="AX231" s="468" t="str">
        <f>IF(C231&gt;0,VLOOKUP(C231,Foundation_Calc!$E$2:$G$13,3,1),
IF(J231&gt;0,VLOOKUP(J231,Foundation_Calc!$E$2:$G$13,3,1),""))</f>
        <v/>
      </c>
      <c r="AY231" s="10" t="str">
        <f>IF(L231="","",
IF(AX231="PT",VLOOKUP(L231,Foundation_Calc!$K$79:$R$112,VLOOKUP(AW231,Foundation_Calc!$I$2:$J$8,2,FALSE),0),
IF(AX231="K",VLOOKUP(L231,Foundation_Calc!$K$116:$R$149,VLOOKUP(AW231,Foundation_Calc!$I$2:$J$8,2,FALSE),0),"")))</f>
        <v/>
      </c>
      <c r="AZ231" s="10" t="str">
        <f>IF(K231="","",
IF(AX231="PT",VLOOKUP(K231,Foundation_Calc!$K$79:$R$112,VLOOKUP(AW231,Foundation_Calc!$I$2:$J$8,2,FALSE),0),
IF(AX231="K",VLOOKUP(K231,Foundation_Calc!$K$116:$R$149,VLOOKUP(AW231,Foundation_Calc!$I$2:$J$8,2,FALSE),0),"")))</f>
        <v/>
      </c>
      <c r="BA231" s="553" t="str">
        <f t="shared" si="20"/>
        <v/>
      </c>
      <c r="BB231" s="553" t="str">
        <f t="shared" si="20"/>
        <v/>
      </c>
      <c r="BC231" s="553" t="str">
        <f t="shared" si="19"/>
        <v/>
      </c>
      <c r="BD231" s="572" t="str">
        <f>IF(AND(L231="",H231=""),"",
IF(H231="",Pole_Calc!A$9,
IF(H231="MP",Pole_Calc!A$10,
IF(H231="AnMP",Pole_Calc!A$11,
IF(H231="A",Pole_Calc!A$12,
IF(H231="S/A",Pole_Calc!A$13,
IF(H231="A/S",Pole_Calc!A$14,"Poner a mano")))))))</f>
        <v/>
      </c>
      <c r="BE231" s="448" t="s">
        <v>1726</v>
      </c>
      <c r="BF231" s="305"/>
      <c r="BG231" s="305"/>
      <c r="BH231" s="306"/>
      <c r="BI231" s="305"/>
    </row>
    <row r="232" spans="1:61" ht="16.2" customHeight="1">
      <c r="A232" s="573"/>
      <c r="B232" s="469" t="s">
        <v>1969</v>
      </c>
      <c r="C232" s="3">
        <f>+$C$230+$G$231</f>
        <v>5184.9500000000007</v>
      </c>
      <c r="D232" s="88"/>
      <c r="E232" s="4"/>
      <c r="F232" s="4">
        <v>0</v>
      </c>
      <c r="G232" s="6"/>
      <c r="H232" s="468" t="s">
        <v>26</v>
      </c>
      <c r="I232" s="468" t="s">
        <v>182</v>
      </c>
      <c r="J232" s="3"/>
      <c r="K232" s="468"/>
      <c r="L232" s="468" t="s">
        <v>452</v>
      </c>
      <c r="M232" s="468" t="str">
        <f>IF(L232="","",
IF(AX232="PT",VLOOKUP(L232,Foundation_Calc!$V$79:$X$112,VLOOKUP(AX232,Foundation_Calc!$I$10:$J$13,2,FALSE),0),
IF(AX232="K",VLOOKUP(L232,Foundation_Calc!$V$116:$X$149,VLOOKUP(AX232,Foundation_Calc!$I$10:$J$13,2,FALSE),0),"")))</f>
        <v>C4R</v>
      </c>
      <c r="N232" s="468" t="s">
        <v>33</v>
      </c>
      <c r="O232" s="468"/>
      <c r="P232" s="468"/>
      <c r="Q232" s="4"/>
      <c r="R232" s="6"/>
      <c r="S232" s="6"/>
      <c r="T232" s="4">
        <v>25</v>
      </c>
      <c r="U232" s="4"/>
      <c r="V232" s="4"/>
      <c r="W232" s="9">
        <v>1.4</v>
      </c>
      <c r="X232" s="9"/>
      <c r="Y232" s="9"/>
      <c r="Z232" s="9"/>
      <c r="AA232" s="9"/>
      <c r="AB232" s="9"/>
      <c r="AC232" s="468" t="str">
        <f t="shared" si="18"/>
        <v>PH</v>
      </c>
      <c r="AD232" s="468"/>
      <c r="AE232" s="468"/>
      <c r="AF232" s="4"/>
      <c r="AG232" s="88"/>
      <c r="AH232" s="4"/>
      <c r="AI232" s="4"/>
      <c r="AJ232" s="468"/>
      <c r="AK232" s="468"/>
      <c r="AL232" s="468"/>
      <c r="AM232" s="468" t="s">
        <v>486</v>
      </c>
      <c r="AN232" s="10">
        <v>5.5</v>
      </c>
      <c r="AO232" s="9"/>
      <c r="AP232" s="9"/>
      <c r="AQ232" s="9"/>
      <c r="AR232" s="9"/>
      <c r="AS232" s="9"/>
      <c r="AT232" s="9">
        <f>+ab($T$232,$T$230,$T$234,$G$231,$G$233, 1*$F$232,1200)</f>
        <v>9.5399187441874904</v>
      </c>
      <c r="AU232" s="447"/>
      <c r="AV232" s="447"/>
      <c r="AW232" s="468" t="str">
        <f>IF(C232&gt;0,VLOOKUP(C232,Foundation_Calc!$A$2:$C$13,3,1),
IF(J232&gt;0,VLOOKUP(J232,Foundation_Calc!$A$2:$C$13,3,1),""))</f>
        <v>MultiSoil</v>
      </c>
      <c r="AX232" s="468" t="str">
        <f>IF(C232&gt;0,VLOOKUP(C232,Foundation_Calc!$E$2:$G$13,3,1),
IF(J232&gt;0,VLOOKUP(J232,Foundation_Calc!$E$2:$G$13,3,1),""))</f>
        <v>PT</v>
      </c>
      <c r="AY232" s="10">
        <f>IF(L232="","",
IF(AX232="PT",VLOOKUP(L232,Foundation_Calc!$K$79:$R$112,VLOOKUP(AW232,Foundation_Calc!$I$2:$J$8,2,FALSE),0),
IF(AX232="K",VLOOKUP(L232,Foundation_Calc!$K$116:$R$149,VLOOKUP(AW232,Foundation_Calc!$I$2:$J$8,2,FALSE),0),"")))</f>
        <v>3.5</v>
      </c>
      <c r="AZ232" s="10" t="str">
        <f>IF(K232="","",
IF(AX232="PT",VLOOKUP(K232,Foundation_Calc!$K$79:$R$112,VLOOKUP(AW232,Foundation_Calc!$I$2:$J$8,2,FALSE),0),
IF(AX232="K",VLOOKUP(K232,Foundation_Calc!$K$116:$R$149,VLOOKUP(AW232,Foundation_Calc!$I$2:$J$8,2,FALSE),0),"")))</f>
        <v/>
      </c>
      <c r="BA232" s="553" t="str">
        <f t="shared" si="20"/>
        <v>ü</v>
      </c>
      <c r="BB232" s="553" t="str">
        <f t="shared" si="20"/>
        <v/>
      </c>
      <c r="BC232" s="553" t="str">
        <f t="shared" si="19"/>
        <v/>
      </c>
      <c r="BD232" s="572" t="str">
        <f>IF(AND(L232="",H232=""),"",
IF(H232="",Pole_Calc!A$9,
IF(H232="MP",Pole_Calc!A$10,
IF(H232="AnMP",Pole_Calc!A$11,
IF(H232="A",Pole_Calc!A$12,
IF(H232="S/A",Pole_Calc!A$13,
IF(H232="A/S",Pole_Calc!A$14,"Poner a mano")))))))</f>
        <v>App.7-V11H-P9.5.1.6</v>
      </c>
      <c r="BE232" s="448" t="s">
        <v>1726</v>
      </c>
      <c r="BF232" s="306"/>
      <c r="BG232" s="306"/>
      <c r="BH232" s="306"/>
      <c r="BI232" s="306"/>
    </row>
    <row r="233" spans="1:61" ht="16.2" customHeight="1">
      <c r="A233" s="573"/>
      <c r="B233" s="469"/>
      <c r="C233" s="3"/>
      <c r="D233" s="88"/>
      <c r="E233" s="4"/>
      <c r="F233" s="4"/>
      <c r="G233" s="6">
        <v>50.3</v>
      </c>
      <c r="H233" s="468"/>
      <c r="I233" s="468"/>
      <c r="J233" s="3">
        <f>C232+7.5</f>
        <v>5192.4500000000007</v>
      </c>
      <c r="K233" s="468" t="s">
        <v>1095</v>
      </c>
      <c r="L233" s="468"/>
      <c r="M233" s="468" t="str">
        <f>IF(L233="","",
IF(AX233="PT",VLOOKUP(L233,Foundation_Calc!$V$79:$X$112,VLOOKUP(AX233,Foundation_Calc!$I$10:$J$13,2,FALSE),0),
IF(AX233="K",VLOOKUP(L233,Foundation_Calc!$V$116:$X$149,VLOOKUP(AX233,Foundation_Calc!$I$10:$J$13,2,FALSE),0),"")))</f>
        <v/>
      </c>
      <c r="N233" s="468"/>
      <c r="O233" s="468"/>
      <c r="P233" s="468"/>
      <c r="Q233" s="4"/>
      <c r="R233" s="6"/>
      <c r="S233" s="6"/>
      <c r="T233" s="4"/>
      <c r="U233" s="4"/>
      <c r="V233" s="4"/>
      <c r="W233" s="9"/>
      <c r="X233" s="9"/>
      <c r="Y233" s="9"/>
      <c r="Z233" s="9"/>
      <c r="AA233" s="9"/>
      <c r="AB233" s="9"/>
      <c r="AC233" s="468" t="str">
        <f t="shared" si="18"/>
        <v/>
      </c>
      <c r="AD233" s="468"/>
      <c r="AE233" s="468"/>
      <c r="AF233" s="4"/>
      <c r="AG233" s="88"/>
      <c r="AH233" s="4"/>
      <c r="AI233" s="4"/>
      <c r="AJ233" s="468"/>
      <c r="AK233" s="468"/>
      <c r="AL233" s="468"/>
      <c r="AM233" s="468"/>
      <c r="AN233" s="10"/>
      <c r="AO233" s="9"/>
      <c r="AP233" s="9"/>
      <c r="AQ233" s="9">
        <f>+FL_2($T$234,$T$232,$G$233,1200,9.28, 1*$F$234)</f>
        <v>-0.38657154037640817</v>
      </c>
      <c r="AR233" s="9"/>
      <c r="AS233" s="9"/>
      <c r="AT233" s="9"/>
      <c r="AU233" s="447"/>
      <c r="AV233" s="447"/>
      <c r="AW233" s="468" t="str">
        <f>IF(C233&gt;0,VLOOKUP(C233,Foundation_Calc!$A$2:$C$13,3,1),
IF(J233&gt;0,VLOOKUP(J233,Foundation_Calc!$A$2:$C$13,3,1),""))</f>
        <v>MultiSoil</v>
      </c>
      <c r="AX233" s="468" t="str">
        <f>IF(C233&gt;0,VLOOKUP(C233,Foundation_Calc!$E$2:$G$13,3,1),
IF(J233&gt;0,VLOOKUP(J233,Foundation_Calc!$E$2:$G$13,3,1),""))</f>
        <v>PT</v>
      </c>
      <c r="AY233" s="10" t="str">
        <f>IF(L233="","",
IF(AX233="PT",VLOOKUP(L233,Foundation_Calc!$K$79:$R$112,VLOOKUP(AW233,Foundation_Calc!$I$2:$J$8,2,FALSE),0),
IF(AX233="K",VLOOKUP(L233,Foundation_Calc!$K$116:$R$149,VLOOKUP(AW233,Foundation_Calc!$I$2:$J$8,2,FALSE),0),"")))</f>
        <v/>
      </c>
      <c r="AZ233" s="10">
        <f>IF(K233="","",
IF(AX233="PT",VLOOKUP(K233,Foundation_Calc!$K$79:$R$112,VLOOKUP(AW233,Foundation_Calc!$I$2:$J$8,2,FALSE),0),
IF(AX233="K",VLOOKUP(K233,Foundation_Calc!$K$116:$R$149,VLOOKUP(AW233,Foundation_Calc!$I$2:$J$8,2,FALSE),0),"")))</f>
        <v>3.9</v>
      </c>
      <c r="BA233" s="553" t="str">
        <f t="shared" si="20"/>
        <v/>
      </c>
      <c r="BB233" s="553" t="str">
        <f t="shared" si="20"/>
        <v>ü</v>
      </c>
      <c r="BC233" s="553" t="str">
        <f t="shared" si="19"/>
        <v/>
      </c>
      <c r="BD233" s="572" t="str">
        <f>IF(AND(L233="",H233=""),"",
IF(H233="",Pole_Calc!A$9,
IF(H233="MP",Pole_Calc!A$10,
IF(H233="AnMP",Pole_Calc!A$11,
IF(H233="A",Pole_Calc!A$12,
IF(H233="S/A",Pole_Calc!A$13,
IF(H233="A/S",Pole_Calc!A$14,"Poner a mano")))))))</f>
        <v/>
      </c>
      <c r="BE233" s="448" t="s">
        <v>1726</v>
      </c>
      <c r="BF233" s="305"/>
      <c r="BG233" s="305"/>
      <c r="BH233" s="306"/>
      <c r="BI233" s="305"/>
    </row>
    <row r="234" spans="1:61" ht="16.2" customHeight="1">
      <c r="A234" s="573"/>
      <c r="B234" s="469" t="s">
        <v>1970</v>
      </c>
      <c r="C234" s="3">
        <f>+$C$232+$G$233</f>
        <v>5235.2500000000009</v>
      </c>
      <c r="D234" s="88"/>
      <c r="E234" s="4"/>
      <c r="F234" s="4">
        <v>0</v>
      </c>
      <c r="G234" s="6"/>
      <c r="H234" s="468"/>
      <c r="I234" s="468"/>
      <c r="J234" s="3"/>
      <c r="K234" s="468"/>
      <c r="L234" s="468" t="s">
        <v>37</v>
      </c>
      <c r="M234" s="468" t="str">
        <f>IF(L234="","",
IF(AX234="PT",VLOOKUP(L234,Foundation_Calc!$V$79:$X$112,VLOOKUP(AX234,Foundation_Calc!$I$10:$J$13,2,FALSE),0),
IF(AX234="K",VLOOKUP(L234,Foundation_Calc!$V$116:$X$149,VLOOKUP(AX234,Foundation_Calc!$I$10:$J$13,2,FALSE),0),"")))</f>
        <v>C3R</v>
      </c>
      <c r="N234" s="468" t="s">
        <v>32</v>
      </c>
      <c r="O234" s="468"/>
      <c r="P234" s="468"/>
      <c r="Q234" s="4"/>
      <c r="R234" s="6"/>
      <c r="S234" s="6"/>
      <c r="T234" s="4">
        <v>-35</v>
      </c>
      <c r="U234" s="4"/>
      <c r="V234" s="4"/>
      <c r="W234" s="9">
        <v>1.4</v>
      </c>
      <c r="X234" s="9"/>
      <c r="Y234" s="9"/>
      <c r="Z234" s="9"/>
      <c r="AA234" s="9"/>
      <c r="AB234" s="9"/>
      <c r="AC234" s="468" t="str">
        <f t="shared" si="18"/>
        <v>PHQ</v>
      </c>
      <c r="AD234" s="468"/>
      <c r="AE234" s="468"/>
      <c r="AF234" s="4"/>
      <c r="AG234" s="88"/>
      <c r="AH234" s="4"/>
      <c r="AI234" s="4"/>
      <c r="AJ234" s="468"/>
      <c r="AK234" s="468"/>
      <c r="AL234" s="468"/>
      <c r="AM234" s="468" t="s">
        <v>486</v>
      </c>
      <c r="AN234" s="10">
        <v>5.5</v>
      </c>
      <c r="AO234" s="9"/>
      <c r="AP234" s="9"/>
      <c r="AQ234" s="9"/>
      <c r="AR234" s="9"/>
      <c r="AS234" s="9"/>
      <c r="AT234" s="9">
        <f>+ab($T$234,$T$232,$T$236,$G$233,$G$235, 1*$F$234,1200)</f>
        <v>-6.860347979789946</v>
      </c>
      <c r="AU234" s="447"/>
      <c r="AV234" s="447"/>
      <c r="AW234" s="468" t="str">
        <f>IF(C234&gt;0,VLOOKUP(C234,Foundation_Calc!$A$2:$C$13,3,1),
IF(J234&gt;0,VLOOKUP(J234,Foundation_Calc!$A$2:$C$13,3,1),""))</f>
        <v>MultiSoil</v>
      </c>
      <c r="AX234" s="468" t="str">
        <f>IF(C234&gt;0,VLOOKUP(C234,Foundation_Calc!$E$2:$G$13,3,1),
IF(J234&gt;0,VLOOKUP(J234,Foundation_Calc!$E$2:$G$13,3,1),""))</f>
        <v>PT</v>
      </c>
      <c r="AY234" s="10">
        <f>IF(L234="","",
IF(AX234="PT",VLOOKUP(L234,Foundation_Calc!$K$79:$R$112,VLOOKUP(AW234,Foundation_Calc!$I$2:$J$8,2,FALSE),0),
IF(AX234="K",VLOOKUP(L234,Foundation_Calc!$K$116:$R$149,VLOOKUP(AW234,Foundation_Calc!$I$2:$J$8,2,FALSE),0),"")))</f>
        <v>3.5</v>
      </c>
      <c r="AZ234" s="10" t="str">
        <f>IF(K234="","",
IF(AX234="PT",VLOOKUP(K234,Foundation_Calc!$K$79:$R$112,VLOOKUP(AW234,Foundation_Calc!$I$2:$J$8,2,FALSE),0),
IF(AX234="K",VLOOKUP(K234,Foundation_Calc!$K$116:$R$149,VLOOKUP(AW234,Foundation_Calc!$I$2:$J$8,2,FALSE),0),"")))</f>
        <v/>
      </c>
      <c r="BA234" s="553" t="str">
        <f t="shared" si="20"/>
        <v>ü</v>
      </c>
      <c r="BB234" s="553" t="str">
        <f t="shared" si="20"/>
        <v/>
      </c>
      <c r="BC234" s="553" t="str">
        <f t="shared" si="19"/>
        <v/>
      </c>
      <c r="BD234" s="572" t="str">
        <f>IF(AND(L234="",H234=""),"",
IF(H234="",Pole_Calc!A$9,
IF(H234="MP",Pole_Calc!A$10,
IF(H234="AnMP",Pole_Calc!A$11,
IF(H234="A",Pole_Calc!A$12,
IF(H234="S/A",Pole_Calc!A$13,
IF(H234="A/S",Pole_Calc!A$14,"Poner a mano")))))))</f>
        <v>App.7-V11H-P9.5.1.1</v>
      </c>
      <c r="BE234" s="448" t="s">
        <v>1726</v>
      </c>
      <c r="BF234" s="306"/>
      <c r="BG234" s="306"/>
      <c r="BH234" s="306"/>
      <c r="BI234" s="306"/>
    </row>
    <row r="235" spans="1:61" ht="16.2" customHeight="1">
      <c r="A235" s="573"/>
      <c r="B235" s="469"/>
      <c r="C235" s="3"/>
      <c r="D235" s="88"/>
      <c r="E235" s="4"/>
      <c r="F235" s="4"/>
      <c r="G235" s="6">
        <v>44</v>
      </c>
      <c r="H235" s="468"/>
      <c r="I235" s="468"/>
      <c r="J235" s="3"/>
      <c r="K235" s="468"/>
      <c r="L235" s="468"/>
      <c r="M235" s="468" t="str">
        <f>IF(L235="","",
IF(AX235="PT",VLOOKUP(L235,Foundation_Calc!$V$79:$X$112,VLOOKUP(AX235,Foundation_Calc!$I$10:$J$13,2,FALSE),0),
IF(AX235="K",VLOOKUP(L235,Foundation_Calc!$V$116:$X$149,VLOOKUP(AX235,Foundation_Calc!$I$10:$J$13,2,FALSE),0),"")))</f>
        <v/>
      </c>
      <c r="N235" s="468"/>
      <c r="O235" s="468"/>
      <c r="P235" s="468"/>
      <c r="Q235" s="4"/>
      <c r="R235" s="6"/>
      <c r="S235" s="6"/>
      <c r="T235" s="4"/>
      <c r="U235" s="4"/>
      <c r="V235" s="4"/>
      <c r="W235" s="9"/>
      <c r="X235" s="9"/>
      <c r="Y235" s="9"/>
      <c r="Z235" s="9"/>
      <c r="AA235" s="9"/>
      <c r="AB235" s="9"/>
      <c r="AC235" s="468" t="str">
        <f t="shared" si="18"/>
        <v/>
      </c>
      <c r="AD235" s="468"/>
      <c r="AE235" s="468"/>
      <c r="AF235" s="4"/>
      <c r="AG235" s="88"/>
      <c r="AH235" s="4"/>
      <c r="AI235" s="4"/>
      <c r="AJ235" s="468"/>
      <c r="AK235" s="468"/>
      <c r="AL235" s="468"/>
      <c r="AM235" s="468"/>
      <c r="AN235" s="10"/>
      <c r="AO235" s="9"/>
      <c r="AP235" s="9"/>
      <c r="AQ235" s="9">
        <f>+FL_1($T$236,$T$234,$G$235,1200,9.28, 1*$F$236)</f>
        <v>0.35078837199999996</v>
      </c>
      <c r="AR235" s="9"/>
      <c r="AS235" s="9"/>
      <c r="AT235" s="9"/>
      <c r="AU235" s="447"/>
      <c r="AV235" s="447"/>
      <c r="AW235" s="468" t="str">
        <f>IF(C235&gt;0,VLOOKUP(C235,Foundation_Calc!$A$2:$C$13,3,1),
IF(J235&gt;0,VLOOKUP(J235,Foundation_Calc!$A$2:$C$13,3,1),""))</f>
        <v/>
      </c>
      <c r="AX235" s="468" t="str">
        <f>IF(C235&gt;0,VLOOKUP(C235,Foundation_Calc!$E$2:$G$13,3,1),
IF(J235&gt;0,VLOOKUP(J235,Foundation_Calc!$E$2:$G$13,3,1),""))</f>
        <v/>
      </c>
      <c r="AY235" s="10" t="str">
        <f>IF(L235="","",
IF(AX235="PT",VLOOKUP(L235,Foundation_Calc!$K$79:$R$112,VLOOKUP(AW235,Foundation_Calc!$I$2:$J$8,2,FALSE),0),
IF(AX235="K",VLOOKUP(L235,Foundation_Calc!$K$116:$R$149,VLOOKUP(AW235,Foundation_Calc!$I$2:$J$8,2,FALSE),0),"")))</f>
        <v/>
      </c>
      <c r="AZ235" s="10" t="str">
        <f>IF(K235="","",
IF(AX235="PT",VLOOKUP(K235,Foundation_Calc!$K$79:$R$112,VLOOKUP(AW235,Foundation_Calc!$I$2:$J$8,2,FALSE),0),
IF(AX235="K",VLOOKUP(K235,Foundation_Calc!$K$116:$R$149,VLOOKUP(AW235,Foundation_Calc!$I$2:$J$8,2,FALSE),0),"")))</f>
        <v/>
      </c>
      <c r="BA235" s="553" t="str">
        <f t="shared" si="20"/>
        <v/>
      </c>
      <c r="BB235" s="553" t="str">
        <f t="shared" si="20"/>
        <v/>
      </c>
      <c r="BC235" s="553" t="str">
        <f t="shared" si="19"/>
        <v/>
      </c>
      <c r="BD235" s="572" t="str">
        <f>IF(AND(L235="",H235=""),"",
IF(H235="",Pole_Calc!A$9,
IF(H235="MP",Pole_Calc!A$10,
IF(H235="AnMP",Pole_Calc!A$11,
IF(H235="A",Pole_Calc!A$12,
IF(H235="S/A",Pole_Calc!A$13,
IF(H235="A/S",Pole_Calc!A$14,"Poner a mano")))))))</f>
        <v/>
      </c>
      <c r="BE235" s="448" t="s">
        <v>1726</v>
      </c>
      <c r="BF235" s="305"/>
      <c r="BG235" s="305"/>
      <c r="BH235" s="306"/>
      <c r="BI235" s="305"/>
    </row>
    <row r="236" spans="1:61" ht="16.2" customHeight="1">
      <c r="A236" s="573"/>
      <c r="B236" s="469" t="s">
        <v>1971</v>
      </c>
      <c r="C236" s="3">
        <f>+$C$234+$G$235</f>
        <v>5279.2500000000009</v>
      </c>
      <c r="D236" s="88"/>
      <c r="E236" s="4"/>
      <c r="F236" s="4">
        <v>0</v>
      </c>
      <c r="G236" s="6"/>
      <c r="H236" s="468"/>
      <c r="I236" s="468"/>
      <c r="J236" s="3"/>
      <c r="K236" s="468"/>
      <c r="L236" s="468" t="s">
        <v>37</v>
      </c>
      <c r="M236" s="468" t="str">
        <f>IF(L236="","",
IF(AX236="PT",VLOOKUP(L236,Foundation_Calc!$V$79:$X$112,VLOOKUP(AX236,Foundation_Calc!$I$10:$J$13,2,FALSE),0),
IF(AX236="K",VLOOKUP(L236,Foundation_Calc!$V$116:$X$149,VLOOKUP(AX236,Foundation_Calc!$I$10:$J$13,2,FALSE),0),"")))</f>
        <v>C3R</v>
      </c>
      <c r="N236" s="468" t="s">
        <v>33</v>
      </c>
      <c r="O236" s="468"/>
      <c r="P236" s="468"/>
      <c r="Q236" s="4"/>
      <c r="R236" s="6"/>
      <c r="S236" s="6"/>
      <c r="T236" s="4">
        <v>35</v>
      </c>
      <c r="U236" s="4"/>
      <c r="V236" s="4"/>
      <c r="W236" s="9">
        <v>1.4</v>
      </c>
      <c r="X236" s="9"/>
      <c r="Y236" s="9"/>
      <c r="Z236" s="9"/>
      <c r="AA236" s="9"/>
      <c r="AB236" s="9"/>
      <c r="AC236" s="468" t="str">
        <f t="shared" si="18"/>
        <v>PHQ</v>
      </c>
      <c r="AD236" s="468"/>
      <c r="AE236" s="468"/>
      <c r="AF236" s="4"/>
      <c r="AG236" s="88"/>
      <c r="AH236" s="4"/>
      <c r="AI236" s="4"/>
      <c r="AJ236" s="468"/>
      <c r="AK236" s="468"/>
      <c r="AL236" s="468"/>
      <c r="AM236" s="468" t="s">
        <v>486</v>
      </c>
      <c r="AN236" s="10">
        <v>5.5</v>
      </c>
      <c r="AO236" s="9"/>
      <c r="AP236" s="9"/>
      <c r="AQ236" s="9"/>
      <c r="AR236" s="9"/>
      <c r="AS236" s="9"/>
      <c r="AT236" s="9">
        <f>+ab($T$236,$T$234,$T$238,$G$235,$G$237, 1*$F$236,1200)</f>
        <v>5.9455395835491549</v>
      </c>
      <c r="AU236" s="447"/>
      <c r="AV236" s="447"/>
      <c r="AW236" s="468" t="str">
        <f>IF(C236&gt;0,VLOOKUP(C236,Foundation_Calc!$A$2:$C$13,3,1),
IF(J236&gt;0,VLOOKUP(J236,Foundation_Calc!$A$2:$C$13,3,1),""))</f>
        <v>MultiSoil</v>
      </c>
      <c r="AX236" s="468" t="str">
        <f>IF(C236&gt;0,VLOOKUP(C236,Foundation_Calc!$E$2:$G$13,3,1),
IF(J236&gt;0,VLOOKUP(J236,Foundation_Calc!$E$2:$G$13,3,1),""))</f>
        <v>PT</v>
      </c>
      <c r="AY236" s="10">
        <f>IF(L236="","",
IF(AX236="PT",VLOOKUP(L236,Foundation_Calc!$K$79:$R$112,VLOOKUP(AW236,Foundation_Calc!$I$2:$J$8,2,FALSE),0),
IF(AX236="K",VLOOKUP(L236,Foundation_Calc!$K$116:$R$149,VLOOKUP(AW236,Foundation_Calc!$I$2:$J$8,2,FALSE),0),"")))</f>
        <v>3.5</v>
      </c>
      <c r="AZ236" s="10" t="str">
        <f>IF(K236="","",
IF(AX236="PT",VLOOKUP(K236,Foundation_Calc!$K$79:$R$112,VLOOKUP(AW236,Foundation_Calc!$I$2:$J$8,2,FALSE),0),
IF(AX236="K",VLOOKUP(K236,Foundation_Calc!$K$116:$R$149,VLOOKUP(AW236,Foundation_Calc!$I$2:$J$8,2,FALSE),0),"")))</f>
        <v/>
      </c>
      <c r="BA236" s="553" t="str">
        <f t="shared" si="20"/>
        <v>ü</v>
      </c>
      <c r="BB236" s="553" t="str">
        <f t="shared" si="20"/>
        <v/>
      </c>
      <c r="BC236" s="553" t="str">
        <f t="shared" si="19"/>
        <v/>
      </c>
      <c r="BD236" s="572" t="str">
        <f>IF(AND(L236="",H236=""),"",
IF(H236="",Pole_Calc!A$9,
IF(H236="MP",Pole_Calc!A$10,
IF(H236="AnMP",Pole_Calc!A$11,
IF(H236="A",Pole_Calc!A$12,
IF(H236="S/A",Pole_Calc!A$13,
IF(H236="A/S",Pole_Calc!A$14,"Poner a mano")))))))</f>
        <v>App.7-V11H-P9.5.1.1</v>
      </c>
      <c r="BE236" s="448" t="s">
        <v>1726</v>
      </c>
      <c r="BF236" s="306"/>
      <c r="BG236" s="306"/>
      <c r="BH236" s="306"/>
      <c r="BI236" s="306"/>
    </row>
    <row r="237" spans="1:61" ht="16.2" customHeight="1">
      <c r="A237" s="573"/>
      <c r="B237" s="469"/>
      <c r="C237" s="3"/>
      <c r="D237" s="88"/>
      <c r="E237" s="4"/>
      <c r="F237" s="4"/>
      <c r="G237" s="6">
        <v>40</v>
      </c>
      <c r="H237" s="468"/>
      <c r="I237" s="468"/>
      <c r="J237" s="3"/>
      <c r="K237" s="468"/>
      <c r="L237" s="468"/>
      <c r="M237" s="468" t="str">
        <f>IF(L237="","",
IF(AX237="PT",VLOOKUP(L237,Foundation_Calc!$V$79:$X$112,VLOOKUP(AX237,Foundation_Calc!$I$10:$J$13,2,FALSE),0),
IF(AX237="K",VLOOKUP(L237,Foundation_Calc!$V$116:$X$149,VLOOKUP(AX237,Foundation_Calc!$I$10:$J$13,2,FALSE),0),"")))</f>
        <v/>
      </c>
      <c r="N237" s="468"/>
      <c r="O237" s="468"/>
      <c r="P237" s="468"/>
      <c r="Q237" s="4"/>
      <c r="R237" s="6"/>
      <c r="S237" s="6"/>
      <c r="T237" s="4"/>
      <c r="U237" s="4"/>
      <c r="V237" s="4"/>
      <c r="W237" s="9"/>
      <c r="X237" s="9"/>
      <c r="Y237" s="9"/>
      <c r="Z237" s="9"/>
      <c r="AA237" s="9"/>
      <c r="AB237" s="9"/>
      <c r="AC237" s="468" t="str">
        <f t="shared" si="18"/>
        <v/>
      </c>
      <c r="AD237" s="468"/>
      <c r="AE237" s="468"/>
      <c r="AF237" s="4"/>
      <c r="AG237" s="88"/>
      <c r="AH237" s="4"/>
      <c r="AI237" s="4"/>
      <c r="AJ237" s="468"/>
      <c r="AK237" s="468"/>
      <c r="AL237" s="468"/>
      <c r="AM237" s="468"/>
      <c r="AN237" s="10"/>
      <c r="AO237" s="9"/>
      <c r="AP237" s="9"/>
      <c r="AQ237" s="9">
        <f>+FL_1($T$238,$T$236,$G$237,1200,9.28, 1*$F$238)</f>
        <v>0.35000000000000053</v>
      </c>
      <c r="AR237" s="9"/>
      <c r="AS237" s="9"/>
      <c r="AT237" s="9"/>
      <c r="AU237" s="447"/>
      <c r="AV237" s="447"/>
      <c r="AW237" s="468" t="str">
        <f>IF(C237&gt;0,VLOOKUP(C237,Foundation_Calc!$A$2:$C$13,3,1),
IF(J237&gt;0,VLOOKUP(J237,Foundation_Calc!$A$2:$C$13,3,1),""))</f>
        <v/>
      </c>
      <c r="AX237" s="468" t="str">
        <f>IF(C237&gt;0,VLOOKUP(C237,Foundation_Calc!$E$2:$G$13,3,1),
IF(J237&gt;0,VLOOKUP(J237,Foundation_Calc!$E$2:$G$13,3,1),""))</f>
        <v/>
      </c>
      <c r="AY237" s="10" t="str">
        <f>IF(L237="","",
IF(AX237="PT",VLOOKUP(L237,Foundation_Calc!$K$79:$R$112,VLOOKUP(AW237,Foundation_Calc!$I$2:$J$8,2,FALSE),0),
IF(AX237="K",VLOOKUP(L237,Foundation_Calc!$K$116:$R$149,VLOOKUP(AW237,Foundation_Calc!$I$2:$J$8,2,FALSE),0),"")))</f>
        <v/>
      </c>
      <c r="AZ237" s="10" t="str">
        <f>IF(K237="","",
IF(AX237="PT",VLOOKUP(K237,Foundation_Calc!$K$79:$R$112,VLOOKUP(AW237,Foundation_Calc!$I$2:$J$8,2,FALSE),0),
IF(AX237="K",VLOOKUP(K237,Foundation_Calc!$K$116:$R$149,VLOOKUP(AW237,Foundation_Calc!$I$2:$J$8,2,FALSE),0),"")))</f>
        <v/>
      </c>
      <c r="BA237" s="553" t="str">
        <f t="shared" si="20"/>
        <v/>
      </c>
      <c r="BB237" s="553" t="str">
        <f t="shared" si="20"/>
        <v/>
      </c>
      <c r="BC237" s="553" t="str">
        <f t="shared" si="19"/>
        <v/>
      </c>
      <c r="BD237" s="572" t="str">
        <f>IF(AND(L237="",H237=""),"",
IF(H237="",Pole_Calc!A$9,
IF(H237="MP",Pole_Calc!A$10,
IF(H237="AnMP",Pole_Calc!A$11,
IF(H237="A",Pole_Calc!A$12,
IF(H237="S/A",Pole_Calc!A$13,
IF(H237="A/S",Pole_Calc!A$14,"Poner a mano")))))))</f>
        <v/>
      </c>
      <c r="BE237" s="448" t="s">
        <v>1726</v>
      </c>
      <c r="BF237" s="305"/>
      <c r="BG237" s="305"/>
      <c r="BH237" s="306"/>
      <c r="BI237" s="305"/>
    </row>
    <row r="238" spans="1:61" ht="16.2" customHeight="1">
      <c r="A238" s="573"/>
      <c r="B238" s="469" t="s">
        <v>1972</v>
      </c>
      <c r="C238" s="3">
        <f>+$C$236+$G$237</f>
        <v>5319.2500000000009</v>
      </c>
      <c r="D238" s="88"/>
      <c r="E238" s="4"/>
      <c r="F238" s="4">
        <v>1279.56</v>
      </c>
      <c r="G238" s="6"/>
      <c r="H238" s="468"/>
      <c r="I238" s="4"/>
      <c r="J238" s="3"/>
      <c r="K238" s="468"/>
      <c r="L238" s="468" t="s">
        <v>38</v>
      </c>
      <c r="M238" s="468" t="str">
        <f>IF(L238="","",
IF(AX238="PT",VLOOKUP(L238,Foundation_Calc!$V$79:$X$112,VLOOKUP(AX238,Foundation_Calc!$I$10:$J$13,2,FALSE),0),
IF(AX238="K",VLOOKUP(L238,Foundation_Calc!$V$116:$X$149,VLOOKUP(AX238,Foundation_Calc!$I$10:$J$13,2,FALSE),0),"")))</f>
        <v>C4R</v>
      </c>
      <c r="N238" s="468" t="s">
        <v>32</v>
      </c>
      <c r="O238" s="468"/>
      <c r="P238" s="468"/>
      <c r="Q238" s="4"/>
      <c r="R238" s="6"/>
      <c r="S238" s="6"/>
      <c r="T238" s="4">
        <v>-30</v>
      </c>
      <c r="U238" s="4"/>
      <c r="V238" s="4"/>
      <c r="W238" s="9">
        <v>1.4</v>
      </c>
      <c r="X238" s="9"/>
      <c r="Y238" s="9"/>
      <c r="Z238" s="9"/>
      <c r="AA238" s="9"/>
      <c r="AB238" s="9"/>
      <c r="AC238" s="468" t="str">
        <f t="shared" si="18"/>
        <v>PH</v>
      </c>
      <c r="AD238" s="468"/>
      <c r="AE238" s="468"/>
      <c r="AF238" s="4"/>
      <c r="AG238" s="88"/>
      <c r="AH238" s="4"/>
      <c r="AI238" s="4"/>
      <c r="AJ238" s="468"/>
      <c r="AK238" s="468"/>
      <c r="AL238" s="468"/>
      <c r="AM238" s="468" t="s">
        <v>486</v>
      </c>
      <c r="AN238" s="10">
        <v>5.5</v>
      </c>
      <c r="AO238" s="9"/>
      <c r="AP238" s="9"/>
      <c r="AQ238" s="9"/>
      <c r="AR238" s="9"/>
      <c r="AS238" s="9"/>
      <c r="AT238" s="9">
        <f>+ab($T$238,$T$236,$T$240,$G$237,$G$239, 1*$F$238,1200)</f>
        <v>-38.742346588869822</v>
      </c>
      <c r="AU238" s="447"/>
      <c r="AV238" s="447"/>
      <c r="AW238" s="468" t="str">
        <f>IF(C238&gt;0,VLOOKUP(C238,Foundation_Calc!$A$2:$C$13,3,1),
IF(J238&gt;0,VLOOKUP(J238,Foundation_Calc!$A$2:$C$13,3,1),""))</f>
        <v>MultiSoil</v>
      </c>
      <c r="AX238" s="468" t="str">
        <f>IF(C238&gt;0,VLOOKUP(C238,Foundation_Calc!$E$2:$G$13,3,1),
IF(J238&gt;0,VLOOKUP(J238,Foundation_Calc!$E$2:$G$13,3,1),""))</f>
        <v>PT</v>
      </c>
      <c r="AY238" s="10">
        <f>IF(L238="","",
IF(AX238="PT",VLOOKUP(L238,Foundation_Calc!$K$79:$R$112,VLOOKUP(AW238,Foundation_Calc!$I$2:$J$8,2,FALSE),0),
IF(AX238="K",VLOOKUP(L238,Foundation_Calc!$K$116:$R$149,VLOOKUP(AW238,Foundation_Calc!$I$2:$J$8,2,FALSE),0),"")))</f>
        <v>3.5</v>
      </c>
      <c r="AZ238" s="10" t="str">
        <f>IF(K238="","",
IF(AX238="PT",VLOOKUP(K238,Foundation_Calc!$K$79:$R$112,VLOOKUP(AW238,Foundation_Calc!$I$2:$J$8,2,FALSE),0),
IF(AX238="K",VLOOKUP(K238,Foundation_Calc!$K$116:$R$149,VLOOKUP(AW238,Foundation_Calc!$I$2:$J$8,2,FALSE),0),"")))</f>
        <v/>
      </c>
      <c r="BA238" s="553" t="str">
        <f t="shared" si="20"/>
        <v>ü</v>
      </c>
      <c r="BB238" s="553" t="str">
        <f t="shared" si="20"/>
        <v/>
      </c>
      <c r="BC238" s="553" t="str">
        <f t="shared" si="19"/>
        <v/>
      </c>
      <c r="BD238" s="572" t="str">
        <f>IF(AND(L238="",H238=""),"",
IF(H238="",Pole_Calc!A$9,
IF(H238="MP",Pole_Calc!A$10,
IF(H238="AnMP",Pole_Calc!A$11,
IF(H238="A",Pole_Calc!A$12,
IF(H238="S/A",Pole_Calc!A$13,
IF(H238="A/S",Pole_Calc!A$14,"Poner a mano")))))))</f>
        <v>App.7-V11H-P9.5.1.1</v>
      </c>
      <c r="BE238" s="448" t="s">
        <v>1726</v>
      </c>
      <c r="BF238" s="306"/>
      <c r="BG238" s="306"/>
      <c r="BH238" s="306"/>
      <c r="BI238" s="306"/>
    </row>
    <row r="239" spans="1:61" ht="16.2" customHeight="1">
      <c r="A239" s="573"/>
      <c r="B239" s="469"/>
      <c r="C239" s="3"/>
      <c r="D239" s="88"/>
      <c r="E239" s="4"/>
      <c r="F239" s="4"/>
      <c r="G239" s="6">
        <v>34.9</v>
      </c>
      <c r="H239" s="468"/>
      <c r="I239" s="468" t="s">
        <v>482</v>
      </c>
      <c r="J239" s="3">
        <f>C240-7.5</f>
        <v>5346.6500000000005</v>
      </c>
      <c r="K239" s="468" t="s">
        <v>1096</v>
      </c>
      <c r="L239" s="468"/>
      <c r="M239" s="468" t="str">
        <f>IF(L239="","",
IF(AX239="PT",VLOOKUP(L239,Foundation_Calc!$V$79:$X$112,VLOOKUP(AX239,Foundation_Calc!$I$10:$J$13,2,FALSE),0),
IF(AX239="K",VLOOKUP(L239,Foundation_Calc!$V$116:$X$149,VLOOKUP(AX239,Foundation_Calc!$I$10:$J$13,2,FALSE),0),"")))</f>
        <v/>
      </c>
      <c r="N239" s="468"/>
      <c r="O239" s="468"/>
      <c r="P239" s="468"/>
      <c r="Q239" s="4"/>
      <c r="R239" s="6"/>
      <c r="S239" s="6"/>
      <c r="T239" s="4"/>
      <c r="U239" s="4"/>
      <c r="V239" s="4"/>
      <c r="W239" s="9"/>
      <c r="X239" s="9"/>
      <c r="Y239" s="9"/>
      <c r="Z239" s="9"/>
      <c r="AA239" s="9"/>
      <c r="AB239" s="9"/>
      <c r="AC239" s="468" t="str">
        <f t="shared" si="18"/>
        <v/>
      </c>
      <c r="AD239" s="468"/>
      <c r="AE239" s="468"/>
      <c r="AF239" s="4"/>
      <c r="AG239" s="88"/>
      <c r="AH239" s="4"/>
      <c r="AI239" s="4"/>
      <c r="AJ239" s="468"/>
      <c r="AK239" s="468"/>
      <c r="AL239" s="468"/>
      <c r="AM239" s="468"/>
      <c r="AN239" s="10"/>
      <c r="AO239" s="9"/>
      <c r="AP239" s="9"/>
      <c r="AQ239" s="9">
        <f>+FL_1($T$240,$T$238,$G$239,1200,9.28, 1*$F$240)</f>
        <v>0.3</v>
      </c>
      <c r="AR239" s="9"/>
      <c r="AS239" s="9"/>
      <c r="AT239" s="9"/>
      <c r="AU239" s="447"/>
      <c r="AV239" s="447"/>
      <c r="AW239" s="468" t="str">
        <f>IF(C239&gt;0,VLOOKUP(C239,Foundation_Calc!$A$2:$C$13,3,1),
IF(J239&gt;0,VLOOKUP(J239,Foundation_Calc!$A$2:$C$13,3,1),""))</f>
        <v>MultiSoil</v>
      </c>
      <c r="AX239" s="468" t="str">
        <f>IF(C239&gt;0,VLOOKUP(C239,Foundation_Calc!$E$2:$G$13,3,1),
IF(J239&gt;0,VLOOKUP(J239,Foundation_Calc!$E$2:$G$13,3,1),""))</f>
        <v>PT</v>
      </c>
      <c r="AY239" s="10" t="str">
        <f>IF(L239="","",
IF(AX239="PT",VLOOKUP(L239,Foundation_Calc!$K$79:$R$112,VLOOKUP(AW239,Foundation_Calc!$I$2:$J$8,2,FALSE),0),
IF(AX239="K",VLOOKUP(L239,Foundation_Calc!$K$116:$R$149,VLOOKUP(AW239,Foundation_Calc!$I$2:$J$8,2,FALSE),0),"")))</f>
        <v/>
      </c>
      <c r="AZ239" s="10">
        <f>IF(K239="","",
IF(AX239="PT",VLOOKUP(K239,Foundation_Calc!$K$79:$R$112,VLOOKUP(AW239,Foundation_Calc!$I$2:$J$8,2,FALSE),0),
IF(AX239="K",VLOOKUP(K239,Foundation_Calc!$K$116:$R$149,VLOOKUP(AW239,Foundation_Calc!$I$2:$J$8,2,FALSE),0),"")))</f>
        <v>2.8</v>
      </c>
      <c r="BA239" s="553" t="str">
        <f t="shared" si="20"/>
        <v/>
      </c>
      <c r="BB239" s="553" t="str">
        <f t="shared" si="20"/>
        <v>ü</v>
      </c>
      <c r="BC239" s="553" t="str">
        <f t="shared" si="19"/>
        <v/>
      </c>
      <c r="BD239" s="572" t="str">
        <f>IF(AND(L239="",H239=""),"",
IF(H239="",Pole_Calc!A$9,
IF(H239="MP",Pole_Calc!A$10,
IF(H239="AnMP",Pole_Calc!A$11,
IF(H239="A",Pole_Calc!A$12,
IF(H239="S/A",Pole_Calc!A$13,
IF(H239="A/S",Pole_Calc!A$14,"Poner a mano")))))))</f>
        <v/>
      </c>
      <c r="BE239" s="448" t="s">
        <v>1726</v>
      </c>
      <c r="BF239" s="305"/>
      <c r="BG239" s="305"/>
      <c r="BH239" s="306"/>
      <c r="BI239" s="305"/>
    </row>
    <row r="240" spans="1:61" ht="16.2" customHeight="1">
      <c r="A240" s="573"/>
      <c r="B240" s="469" t="s">
        <v>1973</v>
      </c>
      <c r="C240" s="3">
        <f>+$C$238+$G$239</f>
        <v>5354.1500000000005</v>
      </c>
      <c r="D240" s="88"/>
      <c r="E240" s="4"/>
      <c r="F240" s="4">
        <v>1279.56</v>
      </c>
      <c r="G240" s="6"/>
      <c r="H240" s="468"/>
      <c r="I240" s="468"/>
      <c r="J240" s="3"/>
      <c r="K240" s="468"/>
      <c r="L240" s="468" t="s">
        <v>38</v>
      </c>
      <c r="M240" s="468" t="str">
        <f>IF(L240="","",
IF(AX240="PT",VLOOKUP(L240,Foundation_Calc!$V$79:$X$112,VLOOKUP(AX240,Foundation_Calc!$I$10:$J$13,2,FALSE),0),
IF(AX240="K",VLOOKUP(L240,Foundation_Calc!$V$116:$X$149,VLOOKUP(AX240,Foundation_Calc!$I$10:$J$13,2,FALSE),0),"")))</f>
        <v>C4R</v>
      </c>
      <c r="N240" s="468" t="s">
        <v>33</v>
      </c>
      <c r="O240" s="468"/>
      <c r="P240" s="468"/>
      <c r="Q240" s="4"/>
      <c r="R240" s="6"/>
      <c r="S240" s="6"/>
      <c r="T240" s="4">
        <v>30</v>
      </c>
      <c r="U240" s="4"/>
      <c r="V240" s="4"/>
      <c r="W240" s="9">
        <v>1.4</v>
      </c>
      <c r="X240" s="9"/>
      <c r="Y240" s="9"/>
      <c r="Z240" s="9"/>
      <c r="AA240" s="9"/>
      <c r="AB240" s="9"/>
      <c r="AC240" s="468" t="str">
        <f t="shared" si="18"/>
        <v>PHC</v>
      </c>
      <c r="AD240" s="468"/>
      <c r="AE240" s="468"/>
      <c r="AF240" s="4"/>
      <c r="AG240" s="88"/>
      <c r="AH240" s="4"/>
      <c r="AI240" s="4"/>
      <c r="AJ240" s="468"/>
      <c r="AK240" s="468"/>
      <c r="AL240" s="468"/>
      <c r="AM240" s="468" t="s">
        <v>486</v>
      </c>
      <c r="AN240" s="10">
        <f>AN238-0.04</f>
        <v>5.46</v>
      </c>
      <c r="AO240" s="9"/>
      <c r="AP240" s="9"/>
      <c r="AQ240" s="9"/>
      <c r="AR240" s="9"/>
      <c r="AS240" s="9"/>
      <c r="AT240" s="9">
        <f>+ab($T$240,$T$238,$T$242,$G$239,$G$241, 1*$F$240,1200)</f>
        <v>4.5085455211363898</v>
      </c>
      <c r="AU240" s="447"/>
      <c r="AV240" s="447"/>
      <c r="AW240" s="468" t="str">
        <f>IF(C240&gt;0,VLOOKUP(C240,Foundation_Calc!$A$2:$C$13,3,1),
IF(J240&gt;0,VLOOKUP(J240,Foundation_Calc!$A$2:$C$13,3,1),""))</f>
        <v>MultiSoil</v>
      </c>
      <c r="AX240" s="468" t="str">
        <f>IF(C240&gt;0,VLOOKUP(C240,Foundation_Calc!$E$2:$G$13,3,1),
IF(J240&gt;0,VLOOKUP(J240,Foundation_Calc!$E$2:$G$13,3,1),""))</f>
        <v>PT</v>
      </c>
      <c r="AY240" s="10">
        <f>IF(L240="","",
IF(AX240="PT",VLOOKUP(L240,Foundation_Calc!$K$79:$R$112,VLOOKUP(AW240,Foundation_Calc!$I$2:$J$8,2,FALSE),0),
IF(AX240="K",VLOOKUP(L240,Foundation_Calc!$K$116:$R$149,VLOOKUP(AW240,Foundation_Calc!$I$2:$J$8,2,FALSE),0),"")))</f>
        <v>3.5</v>
      </c>
      <c r="AZ240" s="10" t="str">
        <f>IF(K240="","",
IF(AX240="PT",VLOOKUP(K240,Foundation_Calc!$K$79:$R$112,VLOOKUP(AW240,Foundation_Calc!$I$2:$J$8,2,FALSE),0),
IF(AX240="K",VLOOKUP(K240,Foundation_Calc!$K$116:$R$149,VLOOKUP(AW240,Foundation_Calc!$I$2:$J$8,2,FALSE),0),"")))</f>
        <v/>
      </c>
      <c r="BA240" s="553" t="str">
        <f t="shared" si="20"/>
        <v>ü</v>
      </c>
      <c r="BB240" s="553" t="str">
        <f t="shared" si="20"/>
        <v/>
      </c>
      <c r="BC240" s="553" t="str">
        <f t="shared" si="19"/>
        <v/>
      </c>
      <c r="BD240" s="572" t="str">
        <f>IF(AND(L240="",H240=""),"",
IF(H240="",Pole_Calc!A$9,
IF(H240="MP",Pole_Calc!A$10,
IF(H240="AnMP",Pole_Calc!A$11,
IF(H240="A",Pole_Calc!A$12,
IF(H240="S/A",Pole_Calc!A$13,
IF(H240="A/S",Pole_Calc!A$14,"Poner a mano")))))))</f>
        <v>App.7-V11H-P9.5.1.1</v>
      </c>
      <c r="BE240" s="448" t="s">
        <v>1726</v>
      </c>
      <c r="BF240" s="306"/>
      <c r="BG240" s="306"/>
      <c r="BH240" s="306"/>
      <c r="BI240" s="306"/>
    </row>
    <row r="241" spans="1:61" ht="16.2" customHeight="1">
      <c r="A241" s="573"/>
      <c r="B241" s="469"/>
      <c r="C241" s="3"/>
      <c r="D241" s="88"/>
      <c r="E241" s="4"/>
      <c r="F241" s="4"/>
      <c r="G241" s="6">
        <v>29.8</v>
      </c>
      <c r="H241" s="468"/>
      <c r="I241" s="468" t="s">
        <v>482</v>
      </c>
      <c r="J241" s="3">
        <f>C240+7.5</f>
        <v>5361.6500000000005</v>
      </c>
      <c r="K241" s="468" t="s">
        <v>1096</v>
      </c>
      <c r="L241" s="468"/>
      <c r="M241" s="468" t="str">
        <f>IF(L241="","",
IF(AX241="PT",VLOOKUP(L241,Foundation_Calc!$V$79:$X$112,VLOOKUP(AX241,Foundation_Calc!$I$10:$J$13,2,FALSE),0),
IF(AX241="K",VLOOKUP(L241,Foundation_Calc!$V$116:$X$149,VLOOKUP(AX241,Foundation_Calc!$I$10:$J$13,2,FALSE),0),"")))</f>
        <v/>
      </c>
      <c r="N241" s="468"/>
      <c r="O241" s="468"/>
      <c r="P241" s="468"/>
      <c r="Q241" s="4"/>
      <c r="R241" s="6"/>
      <c r="S241" s="6"/>
      <c r="T241" s="4"/>
      <c r="U241" s="4"/>
      <c r="V241" s="4"/>
      <c r="W241" s="9"/>
      <c r="X241" s="9"/>
      <c r="Y241" s="9"/>
      <c r="Z241" s="9"/>
      <c r="AA241" s="9"/>
      <c r="AB241" s="9"/>
      <c r="AC241" s="468" t="str">
        <f t="shared" si="18"/>
        <v/>
      </c>
      <c r="AD241" s="468"/>
      <c r="AE241" s="468"/>
      <c r="AF241" s="4"/>
      <c r="AG241" s="88"/>
      <c r="AH241" s="4"/>
      <c r="AI241" s="4"/>
      <c r="AJ241" s="468"/>
      <c r="AK241" s="468"/>
      <c r="AL241" s="468"/>
      <c r="AM241" s="468"/>
      <c r="AN241" s="10"/>
      <c r="AO241" s="9"/>
      <c r="AP241" s="9"/>
      <c r="AQ241" s="9">
        <f>+FL_1($T$242,$T$240,$G$241,1200,9.28, 1*$F$242)</f>
        <v>0.30000000000003541</v>
      </c>
      <c r="AR241" s="9"/>
      <c r="AS241" s="9"/>
      <c r="AT241" s="9"/>
      <c r="AU241" s="447"/>
      <c r="AV241" s="447"/>
      <c r="AW241" s="468" t="str">
        <f>IF(C241&gt;0,VLOOKUP(C241,Foundation_Calc!$A$2:$C$13,3,1),
IF(J241&gt;0,VLOOKUP(J241,Foundation_Calc!$A$2:$C$13,3,1),""))</f>
        <v>MultiSoil</v>
      </c>
      <c r="AX241" s="468" t="str">
        <f>IF(C241&gt;0,VLOOKUP(C241,Foundation_Calc!$E$2:$G$13,3,1),
IF(J241&gt;0,VLOOKUP(J241,Foundation_Calc!$E$2:$G$13,3,1),""))</f>
        <v>PT</v>
      </c>
      <c r="AY241" s="10" t="str">
        <f>IF(L241="","",
IF(AX241="PT",VLOOKUP(L241,Foundation_Calc!$K$79:$R$112,VLOOKUP(AW241,Foundation_Calc!$I$2:$J$8,2,FALSE),0),
IF(AX241="K",VLOOKUP(L241,Foundation_Calc!$K$116:$R$149,VLOOKUP(AW241,Foundation_Calc!$I$2:$J$8,2,FALSE),0),"")))</f>
        <v/>
      </c>
      <c r="AZ241" s="10">
        <f>IF(K241="","",
IF(AX241="PT",VLOOKUP(K241,Foundation_Calc!$K$79:$R$112,VLOOKUP(AW241,Foundation_Calc!$I$2:$J$8,2,FALSE),0),
IF(AX241="K",VLOOKUP(K241,Foundation_Calc!$K$116:$R$149,VLOOKUP(AW241,Foundation_Calc!$I$2:$J$8,2,FALSE),0),"")))</f>
        <v>2.8</v>
      </c>
      <c r="BA241" s="553" t="str">
        <f t="shared" si="20"/>
        <v/>
      </c>
      <c r="BB241" s="553" t="str">
        <f t="shared" si="20"/>
        <v>ü</v>
      </c>
      <c r="BC241" s="553" t="str">
        <f t="shared" si="19"/>
        <v/>
      </c>
      <c r="BD241" s="572" t="str">
        <f>IF(AND(L241="",H241=""),"",
IF(H241="",Pole_Calc!A$9,
IF(H241="MP",Pole_Calc!A$10,
IF(H241="AnMP",Pole_Calc!A$11,
IF(H241="A",Pole_Calc!A$12,
IF(H241="S/A",Pole_Calc!A$13,
IF(H241="A/S",Pole_Calc!A$14,"Poner a mano")))))))</f>
        <v/>
      </c>
      <c r="BE241" s="448" t="s">
        <v>1726</v>
      </c>
      <c r="BF241" s="305"/>
      <c r="BG241" s="305"/>
      <c r="BH241" s="306"/>
      <c r="BI241" s="305"/>
    </row>
    <row r="242" spans="1:61" ht="16.2" customHeight="1">
      <c r="A242" s="573"/>
      <c r="B242" s="469" t="s">
        <v>1974</v>
      </c>
      <c r="C242" s="3">
        <f>+$C$240+$G$241</f>
        <v>5383.9500000000007</v>
      </c>
      <c r="D242" s="88"/>
      <c r="E242" s="4"/>
      <c r="F242" s="4">
        <v>446.39</v>
      </c>
      <c r="G242" s="6"/>
      <c r="H242" s="468"/>
      <c r="I242" s="4"/>
      <c r="J242" s="3"/>
      <c r="K242" s="468"/>
      <c r="L242" s="468" t="s">
        <v>40</v>
      </c>
      <c r="M242" s="468" t="str">
        <f>IF(L242="","",
IF(AX242="PT",VLOOKUP(L242,Foundation_Calc!$V$79:$X$112,VLOOKUP(AX242,Foundation_Calc!$I$10:$J$13,2,FALSE),0),
IF(AX242="K",VLOOKUP(L242,Foundation_Calc!$V$116:$X$149,VLOOKUP(AX242,Foundation_Calc!$I$10:$J$13,2,FALSE),0),"")))</f>
        <v>C5R</v>
      </c>
      <c r="N242" s="468" t="s">
        <v>33</v>
      </c>
      <c r="O242" s="468"/>
      <c r="P242" s="468"/>
      <c r="Q242" s="4"/>
      <c r="R242" s="6"/>
      <c r="S242" s="6"/>
      <c r="T242" s="4">
        <v>30</v>
      </c>
      <c r="U242" s="4"/>
      <c r="V242" s="4"/>
      <c r="W242" s="9">
        <v>1.4</v>
      </c>
      <c r="X242" s="9"/>
      <c r="Y242" s="9"/>
      <c r="Z242" s="9"/>
      <c r="AA242" s="9"/>
      <c r="AB242" s="9"/>
      <c r="AC242" s="468" t="str">
        <f t="shared" si="18"/>
        <v>PHC</v>
      </c>
      <c r="AD242" s="468"/>
      <c r="AE242" s="468"/>
      <c r="AF242" s="4"/>
      <c r="AG242" s="88"/>
      <c r="AH242" s="4"/>
      <c r="AI242" s="4"/>
      <c r="AJ242" s="468"/>
      <c r="AK242" s="468"/>
      <c r="AL242" s="468"/>
      <c r="AM242" s="468" t="s">
        <v>486</v>
      </c>
      <c r="AN242" s="10">
        <f>AN240-0.07</f>
        <v>5.39</v>
      </c>
      <c r="AO242" s="9"/>
      <c r="AP242" s="9"/>
      <c r="AQ242" s="9"/>
      <c r="AR242" s="9"/>
      <c r="AS242" s="9"/>
      <c r="AT242" s="9">
        <f>+ab($T$242,$T$240,$T$244,$G$241,$G$243, 1*$F$242,1200)</f>
        <v>2.8768729031790561</v>
      </c>
      <c r="AU242" s="447"/>
      <c r="AV242" s="447"/>
      <c r="AW242" s="468" t="str">
        <f>IF(C242&gt;0,VLOOKUP(C242,Foundation_Calc!$A$2:$C$13,3,1),
IF(J242&gt;0,VLOOKUP(J242,Foundation_Calc!$A$2:$C$13,3,1),""))</f>
        <v>MultiSoil</v>
      </c>
      <c r="AX242" s="468" t="str">
        <f>IF(C242&gt;0,VLOOKUP(C242,Foundation_Calc!$E$2:$G$13,3,1),
IF(J242&gt;0,VLOOKUP(J242,Foundation_Calc!$E$2:$G$13,3,1),""))</f>
        <v>PT</v>
      </c>
      <c r="AY242" s="10">
        <f>IF(L242="","",
IF(AX242="PT",VLOOKUP(L242,Foundation_Calc!$K$79:$R$112,VLOOKUP(AW242,Foundation_Calc!$I$2:$J$8,2,FALSE),0),
IF(AX242="K",VLOOKUP(L242,Foundation_Calc!$K$116:$R$149,VLOOKUP(AW242,Foundation_Calc!$I$2:$J$8,2,FALSE),0),"")))</f>
        <v>3.5</v>
      </c>
      <c r="AZ242" s="10" t="str">
        <f>IF(K242="","",
IF(AX242="PT",VLOOKUP(K242,Foundation_Calc!$K$79:$R$112,VLOOKUP(AW242,Foundation_Calc!$I$2:$J$8,2,FALSE),0),
IF(AX242="K",VLOOKUP(K242,Foundation_Calc!$K$116:$R$149,VLOOKUP(AW242,Foundation_Calc!$I$2:$J$8,2,FALSE),0),"")))</f>
        <v/>
      </c>
      <c r="BA242" s="553" t="str">
        <f t="shared" si="20"/>
        <v>ü</v>
      </c>
      <c r="BB242" s="553" t="str">
        <f t="shared" si="20"/>
        <v/>
      </c>
      <c r="BC242" s="553" t="str">
        <f t="shared" si="19"/>
        <v/>
      </c>
      <c r="BD242" s="572" t="str">
        <f>IF(AND(L242="",H242=""),"",
IF(H242="",Pole_Calc!A$9,
IF(H242="MP",Pole_Calc!A$10,
IF(H242="AnMP",Pole_Calc!A$11,
IF(H242="A",Pole_Calc!A$12,
IF(H242="S/A",Pole_Calc!A$13,
IF(H242="A/S",Pole_Calc!A$14,"Poner a mano")))))))</f>
        <v>App.7-V11H-P9.5.1.1</v>
      </c>
      <c r="BE242" s="448" t="s">
        <v>1726</v>
      </c>
      <c r="BF242" s="306"/>
      <c r="BG242" s="306"/>
      <c r="BH242" s="306"/>
      <c r="BI242" s="306"/>
    </row>
    <row r="243" spans="1:61" ht="16.2" customHeight="1">
      <c r="A243" s="573"/>
      <c r="B243" s="469"/>
      <c r="C243" s="3"/>
      <c r="D243" s="88"/>
      <c r="E243" s="4"/>
      <c r="F243" s="4"/>
      <c r="G243" s="6">
        <v>29.7</v>
      </c>
      <c r="H243" s="468"/>
      <c r="I243" s="468"/>
      <c r="J243" s="3"/>
      <c r="K243" s="468"/>
      <c r="L243" s="468"/>
      <c r="M243" s="468" t="str">
        <f>IF(L243="","",
IF(AX243="PT",VLOOKUP(L243,Foundation_Calc!$V$79:$X$112,VLOOKUP(AX243,Foundation_Calc!$I$10:$J$13,2,FALSE),0),
IF(AX243="K",VLOOKUP(L243,Foundation_Calc!$V$116:$X$149,VLOOKUP(AX243,Foundation_Calc!$I$10:$J$13,2,FALSE),0),"")))</f>
        <v/>
      </c>
      <c r="N243" s="468"/>
      <c r="O243" s="468"/>
      <c r="P243" s="468"/>
      <c r="Q243" s="4"/>
      <c r="R243" s="6"/>
      <c r="S243" s="6"/>
      <c r="T243" s="4"/>
      <c r="U243" s="4"/>
      <c r="V243" s="4"/>
      <c r="W243" s="9"/>
      <c r="X243" s="9"/>
      <c r="Y243" s="9"/>
      <c r="Z243" s="9"/>
      <c r="AA243" s="9"/>
      <c r="AB243" s="9"/>
      <c r="AC243" s="468" t="str">
        <f t="shared" si="18"/>
        <v/>
      </c>
      <c r="AD243" s="468"/>
      <c r="AE243" s="468"/>
      <c r="AF243" s="4"/>
      <c r="AG243" s="88"/>
      <c r="AH243" s="4"/>
      <c r="AI243" s="4"/>
      <c r="AJ243" s="468"/>
      <c r="AK243" s="468"/>
      <c r="AL243" s="468"/>
      <c r="AM243" s="468"/>
      <c r="AN243" s="10"/>
      <c r="AO243" s="9"/>
      <c r="AP243" s="9"/>
      <c r="AQ243" s="9">
        <f>+FL_1($T$244,$T$242,$G$243,1200,9.28, 1*$F$244)</f>
        <v>0.30000000000003563</v>
      </c>
      <c r="AR243" s="9"/>
      <c r="AS243" s="9"/>
      <c r="AT243" s="9"/>
      <c r="AU243" s="447"/>
      <c r="AV243" s="447"/>
      <c r="AW243" s="468" t="str">
        <f>IF(C243&gt;0,VLOOKUP(C243,Foundation_Calc!$A$2:$C$13,3,1),
IF(J243&gt;0,VLOOKUP(J243,Foundation_Calc!$A$2:$C$13,3,1),""))</f>
        <v/>
      </c>
      <c r="AX243" s="468" t="str">
        <f>IF(C243&gt;0,VLOOKUP(C243,Foundation_Calc!$E$2:$G$13,3,1),
IF(J243&gt;0,VLOOKUP(J243,Foundation_Calc!$E$2:$G$13,3,1),""))</f>
        <v/>
      </c>
      <c r="AY243" s="10" t="str">
        <f>IF(L243="","",
IF(AX243="PT",VLOOKUP(L243,Foundation_Calc!$K$79:$R$112,VLOOKUP(AW243,Foundation_Calc!$I$2:$J$8,2,FALSE),0),
IF(AX243="K",VLOOKUP(L243,Foundation_Calc!$K$116:$R$149,VLOOKUP(AW243,Foundation_Calc!$I$2:$J$8,2,FALSE),0),"")))</f>
        <v/>
      </c>
      <c r="AZ243" s="10" t="str">
        <f>IF(K243="","",
IF(AX243="PT",VLOOKUP(K243,Foundation_Calc!$K$79:$R$112,VLOOKUP(AW243,Foundation_Calc!$I$2:$J$8,2,FALSE),0),
IF(AX243="K",VLOOKUP(K243,Foundation_Calc!$K$116:$R$149,VLOOKUP(AW243,Foundation_Calc!$I$2:$J$8,2,FALSE),0),"")))</f>
        <v/>
      </c>
      <c r="BA243" s="553" t="str">
        <f t="shared" si="20"/>
        <v/>
      </c>
      <c r="BB243" s="553" t="str">
        <f t="shared" si="20"/>
        <v/>
      </c>
      <c r="BC243" s="553" t="str">
        <f t="shared" si="19"/>
        <v/>
      </c>
      <c r="BD243" s="572" t="str">
        <f>IF(AND(L243="",H243=""),"",
IF(H243="",Pole_Calc!A$9,
IF(H243="MP",Pole_Calc!A$10,
IF(H243="AnMP",Pole_Calc!A$11,
IF(H243="A",Pole_Calc!A$12,
IF(H243="S/A",Pole_Calc!A$13,
IF(H243="A/S",Pole_Calc!A$14,"Poner a mano")))))))</f>
        <v/>
      </c>
      <c r="BE243" s="448" t="s">
        <v>1726</v>
      </c>
      <c r="BF243" s="305"/>
      <c r="BG243" s="305"/>
      <c r="BH243" s="306"/>
      <c r="BI243" s="305"/>
    </row>
    <row r="244" spans="1:61" ht="16.2" customHeight="1">
      <c r="A244" s="573"/>
      <c r="B244" s="469" t="s">
        <v>1975</v>
      </c>
      <c r="C244" s="3">
        <f>+$C$242+$G$243</f>
        <v>5413.6500000000005</v>
      </c>
      <c r="D244" s="88"/>
      <c r="E244" s="4"/>
      <c r="F244" s="4">
        <v>400</v>
      </c>
      <c r="G244" s="6"/>
      <c r="H244" s="468"/>
      <c r="I244" s="468"/>
      <c r="J244" s="3"/>
      <c r="K244" s="468"/>
      <c r="L244" s="468" t="s">
        <v>38</v>
      </c>
      <c r="M244" s="468" t="str">
        <f>IF(L244="","",
IF(AX244="PT",VLOOKUP(L244,Foundation_Calc!$V$79:$X$112,VLOOKUP(AX244,Foundation_Calc!$I$10:$J$13,2,FALSE),0),
IF(AX244="K",VLOOKUP(L244,Foundation_Calc!$V$116:$X$149,VLOOKUP(AX244,Foundation_Calc!$I$10:$J$13,2,FALSE),0),"")))</f>
        <v>C4R</v>
      </c>
      <c r="N244" s="468" t="s">
        <v>33</v>
      </c>
      <c r="O244" s="468"/>
      <c r="P244" s="468"/>
      <c r="Q244" s="4"/>
      <c r="R244" s="6"/>
      <c r="S244" s="6"/>
      <c r="T244" s="4">
        <v>30</v>
      </c>
      <c r="U244" s="4"/>
      <c r="V244" s="4"/>
      <c r="W244" s="9">
        <v>1.4</v>
      </c>
      <c r="X244" s="9"/>
      <c r="Y244" s="9"/>
      <c r="Z244" s="9"/>
      <c r="AA244" s="9"/>
      <c r="AB244" s="9"/>
      <c r="AC244" s="468" t="str">
        <f t="shared" si="18"/>
        <v>PHC</v>
      </c>
      <c r="AD244" s="468"/>
      <c r="AE244" s="468"/>
      <c r="AF244" s="4"/>
      <c r="AG244" s="88"/>
      <c r="AH244" s="4"/>
      <c r="AI244" s="4"/>
      <c r="AJ244" s="468"/>
      <c r="AK244" s="468"/>
      <c r="AL244" s="468"/>
      <c r="AM244" s="468" t="s">
        <v>486</v>
      </c>
      <c r="AN244" s="10">
        <f>AN246+0.07</f>
        <v>5.32</v>
      </c>
      <c r="AO244" s="9"/>
      <c r="AP244" s="9"/>
      <c r="AQ244" s="9"/>
      <c r="AR244" s="9"/>
      <c r="AS244" s="9"/>
      <c r="AT244" s="9">
        <f>+ab($T$244,$T$242,$T$246,$G$243,$G$245, 1*$F$244,1200)</f>
        <v>2.5870117301713553</v>
      </c>
      <c r="AU244" s="447"/>
      <c r="AV244" s="447"/>
      <c r="AW244" s="468" t="str">
        <f>IF(C244&gt;0,VLOOKUP(C244,Foundation_Calc!$A$2:$C$13,3,1),
IF(J244&gt;0,VLOOKUP(J244,Foundation_Calc!$A$2:$C$13,3,1),""))</f>
        <v>MultiSoil</v>
      </c>
      <c r="AX244" s="468" t="str">
        <f>IF(C244&gt;0,VLOOKUP(C244,Foundation_Calc!$E$2:$G$13,3,1),
IF(J244&gt;0,VLOOKUP(J244,Foundation_Calc!$E$2:$G$13,3,1),""))</f>
        <v>PT</v>
      </c>
      <c r="AY244" s="10">
        <f>IF(L244="","",
IF(AX244="PT",VLOOKUP(L244,Foundation_Calc!$K$79:$R$112,VLOOKUP(AW244,Foundation_Calc!$I$2:$J$8,2,FALSE),0),
IF(AX244="K",VLOOKUP(L244,Foundation_Calc!$K$116:$R$149,VLOOKUP(AW244,Foundation_Calc!$I$2:$J$8,2,FALSE),0),"")))</f>
        <v>3.5</v>
      </c>
      <c r="AZ244" s="10" t="str">
        <f>IF(K244="","",
IF(AX244="PT",VLOOKUP(K244,Foundation_Calc!$K$79:$R$112,VLOOKUP(AW244,Foundation_Calc!$I$2:$J$8,2,FALSE),0),
IF(AX244="K",VLOOKUP(K244,Foundation_Calc!$K$116:$R$149,VLOOKUP(AW244,Foundation_Calc!$I$2:$J$8,2,FALSE),0),"")))</f>
        <v/>
      </c>
      <c r="BA244" s="553" t="str">
        <f t="shared" si="20"/>
        <v>ü</v>
      </c>
      <c r="BB244" s="553" t="str">
        <f t="shared" si="20"/>
        <v/>
      </c>
      <c r="BC244" s="553" t="str">
        <f t="shared" si="19"/>
        <v/>
      </c>
      <c r="BD244" s="572" t="str">
        <f>IF(AND(L244="",H244=""),"",
IF(H244="",Pole_Calc!A$9,
IF(H244="MP",Pole_Calc!A$10,
IF(H244="AnMP",Pole_Calc!A$11,
IF(H244="A",Pole_Calc!A$12,
IF(H244="S/A",Pole_Calc!A$13,
IF(H244="A/S",Pole_Calc!A$14,"Poner a mano")))))))</f>
        <v>App.7-V11H-P9.5.1.1</v>
      </c>
      <c r="BE244" s="448" t="s">
        <v>1726</v>
      </c>
      <c r="BF244" s="306"/>
      <c r="BG244" s="306"/>
      <c r="BH244" s="306"/>
      <c r="BI244" s="306"/>
    </row>
    <row r="245" spans="1:61" ht="16.2" customHeight="1">
      <c r="A245" s="573"/>
      <c r="B245" s="469"/>
      <c r="C245" s="3"/>
      <c r="D245" s="88"/>
      <c r="E245" s="4"/>
      <c r="F245" s="4"/>
      <c r="G245" s="6">
        <v>29.6</v>
      </c>
      <c r="H245" s="468"/>
      <c r="I245" s="468"/>
      <c r="J245" s="3"/>
      <c r="K245" s="468"/>
      <c r="L245" s="468"/>
      <c r="M245" s="468" t="str">
        <f>IF(L245="","",
IF(AX245="PT",VLOOKUP(L245,Foundation_Calc!$V$79:$X$112,VLOOKUP(AX245,Foundation_Calc!$I$10:$J$13,2,FALSE),0),
IF(AX245="K",VLOOKUP(L245,Foundation_Calc!$V$116:$X$149,VLOOKUP(AX245,Foundation_Calc!$I$10:$J$13,2,FALSE),0),"")))</f>
        <v/>
      </c>
      <c r="N245" s="468"/>
      <c r="O245" s="468"/>
      <c r="P245" s="468"/>
      <c r="Q245" s="4"/>
      <c r="R245" s="6"/>
      <c r="S245" s="6"/>
      <c r="T245" s="4"/>
      <c r="U245" s="4"/>
      <c r="V245" s="4"/>
      <c r="W245" s="9"/>
      <c r="X245" s="9"/>
      <c r="Y245" s="9"/>
      <c r="Z245" s="9"/>
      <c r="AA245" s="9"/>
      <c r="AB245" s="9"/>
      <c r="AC245" s="468" t="str">
        <f t="shared" si="18"/>
        <v/>
      </c>
      <c r="AD245" s="468"/>
      <c r="AE245" s="468"/>
      <c r="AF245" s="4"/>
      <c r="AG245" s="88"/>
      <c r="AH245" s="4"/>
      <c r="AI245" s="4"/>
      <c r="AJ245" s="468"/>
      <c r="AK245" s="468"/>
      <c r="AL245" s="468"/>
      <c r="AM245" s="468"/>
      <c r="AN245" s="10"/>
      <c r="AO245" s="9"/>
      <c r="AP245" s="9"/>
      <c r="AQ245" s="9">
        <f>+FL_1($T$246,$T$244,$G$245,1200,9.28, 1*$F$246)</f>
        <v>0.3000000000000359</v>
      </c>
      <c r="AR245" s="9"/>
      <c r="AS245" s="9"/>
      <c r="AT245" s="9"/>
      <c r="AU245" s="447"/>
      <c r="AV245" s="447"/>
      <c r="AW245" s="468" t="str">
        <f>IF(C245&gt;0,VLOOKUP(C245,Foundation_Calc!$A$2:$C$13,3,1),
IF(J245&gt;0,VLOOKUP(J245,Foundation_Calc!$A$2:$C$13,3,1),""))</f>
        <v/>
      </c>
      <c r="AX245" s="468" t="str">
        <f>IF(C245&gt;0,VLOOKUP(C245,Foundation_Calc!$E$2:$G$13,3,1),
IF(J245&gt;0,VLOOKUP(J245,Foundation_Calc!$E$2:$G$13,3,1),""))</f>
        <v/>
      </c>
      <c r="AY245" s="10" t="str">
        <f>IF(L245="","",
IF(AX245="PT",VLOOKUP(L245,Foundation_Calc!$K$79:$R$112,VLOOKUP(AW245,Foundation_Calc!$I$2:$J$8,2,FALSE),0),
IF(AX245="K",VLOOKUP(L245,Foundation_Calc!$K$116:$R$149,VLOOKUP(AW245,Foundation_Calc!$I$2:$J$8,2,FALSE),0),"")))</f>
        <v/>
      </c>
      <c r="AZ245" s="10" t="str">
        <f>IF(K245="","",
IF(AX245="PT",VLOOKUP(K245,Foundation_Calc!$K$79:$R$112,VLOOKUP(AW245,Foundation_Calc!$I$2:$J$8,2,FALSE),0),
IF(AX245="K",VLOOKUP(K245,Foundation_Calc!$K$116:$R$149,VLOOKUP(AW245,Foundation_Calc!$I$2:$J$8,2,FALSE),0),"")))</f>
        <v/>
      </c>
      <c r="BA245" s="553" t="str">
        <f t="shared" si="20"/>
        <v/>
      </c>
      <c r="BB245" s="553" t="str">
        <f t="shared" si="20"/>
        <v/>
      </c>
      <c r="BC245" s="553" t="str">
        <f t="shared" si="19"/>
        <v/>
      </c>
      <c r="BD245" s="572" t="str">
        <f>IF(AND(L245="",H245=""),"",
IF(H245="",Pole_Calc!A$9,
IF(H245="MP",Pole_Calc!A$10,
IF(H245="AnMP",Pole_Calc!A$11,
IF(H245="A",Pole_Calc!A$12,
IF(H245="S/A",Pole_Calc!A$13,
IF(H245="A/S",Pole_Calc!A$14,"Poner a mano")))))))</f>
        <v/>
      </c>
      <c r="BE245" s="448" t="s">
        <v>1726</v>
      </c>
      <c r="BF245" s="305"/>
      <c r="BG245" s="305"/>
      <c r="BH245" s="306"/>
      <c r="BI245" s="305"/>
    </row>
    <row r="246" spans="1:61" ht="16.2" customHeight="1">
      <c r="A246" s="573"/>
      <c r="B246" s="469" t="s">
        <v>1976</v>
      </c>
      <c r="C246" s="3">
        <f>+$C$244+$G$245</f>
        <v>5443.2500000000009</v>
      </c>
      <c r="D246" s="88"/>
      <c r="E246" s="4"/>
      <c r="F246" s="4">
        <v>400</v>
      </c>
      <c r="G246" s="6"/>
      <c r="H246" s="468"/>
      <c r="I246" s="468"/>
      <c r="J246" s="3"/>
      <c r="K246" s="468"/>
      <c r="L246" s="468" t="s">
        <v>38</v>
      </c>
      <c r="M246" s="468" t="str">
        <f>IF(L246="","",
IF(AX246="PT",VLOOKUP(L246,Foundation_Calc!$V$79:$X$112,VLOOKUP(AX246,Foundation_Calc!$I$10:$J$13,2,FALSE),0),
IF(AX246="K",VLOOKUP(L246,Foundation_Calc!$V$116:$X$149,VLOOKUP(AX246,Foundation_Calc!$I$10:$J$13,2,FALSE),0),"")))</f>
        <v>C4R</v>
      </c>
      <c r="N246" s="468" t="s">
        <v>33</v>
      </c>
      <c r="O246" s="468"/>
      <c r="P246" s="468"/>
      <c r="Q246" s="4"/>
      <c r="R246" s="6"/>
      <c r="S246" s="6"/>
      <c r="T246" s="4">
        <v>30</v>
      </c>
      <c r="U246" s="4"/>
      <c r="V246" s="4"/>
      <c r="W246" s="9">
        <v>1.4</v>
      </c>
      <c r="X246" s="9"/>
      <c r="Y246" s="9"/>
      <c r="Z246" s="9"/>
      <c r="AA246" s="9"/>
      <c r="AB246" s="9"/>
      <c r="AC246" s="468" t="str">
        <f t="shared" si="18"/>
        <v>PHC</v>
      </c>
      <c r="AD246" s="468"/>
      <c r="AE246" s="468"/>
      <c r="AF246" s="4"/>
      <c r="AG246" s="88"/>
      <c r="AH246" s="4"/>
      <c r="AI246" s="4"/>
      <c r="AJ246" s="468"/>
      <c r="AK246" s="468"/>
      <c r="AL246" s="468"/>
      <c r="AM246" s="468" t="s">
        <v>486</v>
      </c>
      <c r="AN246" s="10">
        <f>AN248+0.06</f>
        <v>5.25</v>
      </c>
      <c r="AO246" s="9"/>
      <c r="AP246" s="9"/>
      <c r="AQ246" s="9"/>
      <c r="AR246" s="9"/>
      <c r="AS246" s="9"/>
      <c r="AT246" s="9">
        <f>+ab($T$246,$T$244,$T$248,$G$245,$G$247, 1*$F$246,1200)</f>
        <v>2.5913757304617091</v>
      </c>
      <c r="AU246" s="447"/>
      <c r="AV246" s="447"/>
      <c r="AW246" s="468" t="str">
        <f>IF(C246&gt;0,VLOOKUP(C246,Foundation_Calc!$A$2:$C$13,3,1),
IF(J246&gt;0,VLOOKUP(J246,Foundation_Calc!$A$2:$C$13,3,1),""))</f>
        <v>MultiSoil</v>
      </c>
      <c r="AX246" s="468" t="str">
        <f>IF(C246&gt;0,VLOOKUP(C246,Foundation_Calc!$E$2:$G$13,3,1),
IF(J246&gt;0,VLOOKUP(J246,Foundation_Calc!$E$2:$G$13,3,1),""))</f>
        <v>PT</v>
      </c>
      <c r="AY246" s="10">
        <f>IF(L246="","",
IF(AX246="PT",VLOOKUP(L246,Foundation_Calc!$K$79:$R$112,VLOOKUP(AW246,Foundation_Calc!$I$2:$J$8,2,FALSE),0),
IF(AX246="K",VLOOKUP(L246,Foundation_Calc!$K$116:$R$149,VLOOKUP(AW246,Foundation_Calc!$I$2:$J$8,2,FALSE),0),"")))</f>
        <v>3.5</v>
      </c>
      <c r="AZ246" s="10" t="str">
        <f>IF(K246="","",
IF(AX246="PT",VLOOKUP(K246,Foundation_Calc!$K$79:$R$112,VLOOKUP(AW246,Foundation_Calc!$I$2:$J$8,2,FALSE),0),
IF(AX246="K",VLOOKUP(K246,Foundation_Calc!$K$116:$R$149,VLOOKUP(AW246,Foundation_Calc!$I$2:$J$8,2,FALSE),0),"")))</f>
        <v/>
      </c>
      <c r="BA246" s="553" t="str">
        <f t="shared" si="20"/>
        <v>ü</v>
      </c>
      <c r="BB246" s="553" t="str">
        <f t="shared" si="20"/>
        <v/>
      </c>
      <c r="BC246" s="553" t="str">
        <f t="shared" si="19"/>
        <v/>
      </c>
      <c r="BD246" s="572" t="str">
        <f>IF(AND(L246="",H246=""),"",
IF(H246="",Pole_Calc!A$9,
IF(H246="MP",Pole_Calc!A$10,
IF(H246="AnMP",Pole_Calc!A$11,
IF(H246="A",Pole_Calc!A$12,
IF(H246="S/A",Pole_Calc!A$13,
IF(H246="A/S",Pole_Calc!A$14,"Poner a mano")))))))</f>
        <v>App.7-V11H-P9.5.1.1</v>
      </c>
      <c r="BE246" s="448" t="s">
        <v>1726</v>
      </c>
      <c r="BF246" s="306"/>
      <c r="BG246" s="306"/>
      <c r="BH246" s="306"/>
      <c r="BI246" s="306"/>
    </row>
    <row r="247" spans="1:61" ht="16.2" customHeight="1">
      <c r="A247" s="573"/>
      <c r="B247" s="469"/>
      <c r="C247" s="3"/>
      <c r="D247" s="88"/>
      <c r="E247" s="4"/>
      <c r="F247" s="4"/>
      <c r="G247" s="6">
        <v>29.6</v>
      </c>
      <c r="H247" s="468"/>
      <c r="I247" s="468"/>
      <c r="J247" s="3">
        <f>C248-7.5</f>
        <v>5465.3500000000013</v>
      </c>
      <c r="K247" s="468" t="s">
        <v>1095</v>
      </c>
      <c r="L247" s="468"/>
      <c r="M247" s="468" t="str">
        <f>IF(L247="","",
IF(AX247="PT",VLOOKUP(L247,Foundation_Calc!$V$79:$X$112,VLOOKUP(AX247,Foundation_Calc!$I$10:$J$13,2,FALSE),0),
IF(AX247="K",VLOOKUP(L247,Foundation_Calc!$V$116:$X$149,VLOOKUP(AX247,Foundation_Calc!$I$10:$J$13,2,FALSE),0),"")))</f>
        <v/>
      </c>
      <c r="N247" s="468"/>
      <c r="O247" s="468"/>
      <c r="P247" s="468"/>
      <c r="Q247" s="4"/>
      <c r="R247" s="6"/>
      <c r="S247" s="6"/>
      <c r="T247" s="4"/>
      <c r="U247" s="4"/>
      <c r="V247" s="4"/>
      <c r="W247" s="9"/>
      <c r="X247" s="9"/>
      <c r="Y247" s="9"/>
      <c r="Z247" s="9"/>
      <c r="AA247" s="9"/>
      <c r="AB247" s="9"/>
      <c r="AC247" s="468" t="str">
        <f t="shared" si="18"/>
        <v/>
      </c>
      <c r="AD247" s="468"/>
      <c r="AE247" s="468"/>
      <c r="AF247" s="4"/>
      <c r="AG247" s="88"/>
      <c r="AH247" s="4"/>
      <c r="AI247" s="4"/>
      <c r="AJ247" s="468"/>
      <c r="AK247" s="468"/>
      <c r="AL247" s="468"/>
      <c r="AM247" s="468"/>
      <c r="AN247" s="10"/>
      <c r="AO247" s="9"/>
      <c r="AP247" s="9"/>
      <c r="AQ247" s="9">
        <f>+FL_1($T$248,$T$246,$G$247,1200,9.28, 1*$F$248)</f>
        <v>0.3000000000000359</v>
      </c>
      <c r="AR247" s="9"/>
      <c r="AS247" s="9"/>
      <c r="AT247" s="9"/>
      <c r="AU247" s="447"/>
      <c r="AV247" s="447"/>
      <c r="AW247" s="468" t="str">
        <f>IF(C247&gt;0,VLOOKUP(C247,Foundation_Calc!$A$2:$C$13,3,1),
IF(J247&gt;0,VLOOKUP(J247,Foundation_Calc!$A$2:$C$13,3,1),""))</f>
        <v>MultiSoil</v>
      </c>
      <c r="AX247" s="468" t="str">
        <f>IF(C247&gt;0,VLOOKUP(C247,Foundation_Calc!$E$2:$G$13,3,1),
IF(J247&gt;0,VLOOKUP(J247,Foundation_Calc!$E$2:$G$13,3,1),""))</f>
        <v>PT</v>
      </c>
      <c r="AY247" s="10" t="str">
        <f>IF(L247="","",
IF(AX247="PT",VLOOKUP(L247,Foundation_Calc!$K$79:$R$112,VLOOKUP(AW247,Foundation_Calc!$I$2:$J$8,2,FALSE),0),
IF(AX247="K",VLOOKUP(L247,Foundation_Calc!$K$116:$R$149,VLOOKUP(AW247,Foundation_Calc!$I$2:$J$8,2,FALSE),0),"")))</f>
        <v/>
      </c>
      <c r="AZ247" s="10">
        <f>IF(K247="","",
IF(AX247="PT",VLOOKUP(K247,Foundation_Calc!$K$79:$R$112,VLOOKUP(AW247,Foundation_Calc!$I$2:$J$8,2,FALSE),0),
IF(AX247="K",VLOOKUP(K247,Foundation_Calc!$K$116:$R$149,VLOOKUP(AW247,Foundation_Calc!$I$2:$J$8,2,FALSE),0),"")))</f>
        <v>3.9</v>
      </c>
      <c r="BA247" s="553" t="str">
        <f t="shared" si="20"/>
        <v/>
      </c>
      <c r="BB247" s="553" t="str">
        <f t="shared" si="20"/>
        <v>ü</v>
      </c>
      <c r="BC247" s="553" t="str">
        <f t="shared" si="19"/>
        <v/>
      </c>
      <c r="BD247" s="572" t="str">
        <f>IF(AND(L247="",H247=""),"",
IF(H247="",Pole_Calc!A$9,
IF(H247="MP",Pole_Calc!A$10,
IF(H247="AnMP",Pole_Calc!A$11,
IF(H247="A",Pole_Calc!A$12,
IF(H247="S/A",Pole_Calc!A$13,
IF(H247="A/S",Pole_Calc!A$14,"Poner a mano")))))))</f>
        <v/>
      </c>
      <c r="BE247" s="448" t="s">
        <v>1726</v>
      </c>
      <c r="BF247" s="305"/>
      <c r="BG247" s="305"/>
      <c r="BH247" s="306"/>
      <c r="BI247" s="305"/>
    </row>
    <row r="248" spans="1:61" ht="16.2" customHeight="1">
      <c r="A248" s="573"/>
      <c r="B248" s="469" t="s">
        <v>1977</v>
      </c>
      <c r="C248" s="3">
        <f>+$C$246+$G$247</f>
        <v>5472.8500000000013</v>
      </c>
      <c r="D248" s="88"/>
      <c r="E248" s="4"/>
      <c r="F248" s="4">
        <v>400</v>
      </c>
      <c r="G248" s="6"/>
      <c r="H248" s="468" t="s">
        <v>26</v>
      </c>
      <c r="I248" s="468" t="s">
        <v>182</v>
      </c>
      <c r="J248" s="3"/>
      <c r="K248" s="468"/>
      <c r="L248" s="468" t="s">
        <v>454</v>
      </c>
      <c r="M248" s="468" t="str">
        <f>IF(L248="","",
IF(AX248="PT",VLOOKUP(L248,Foundation_Calc!$V$79:$X$112,VLOOKUP(AX248,Foundation_Calc!$I$10:$J$13,2,FALSE),0),
IF(AX248="K",VLOOKUP(L248,Foundation_Calc!$V$116:$X$149,VLOOKUP(AX248,Foundation_Calc!$I$10:$J$13,2,FALSE),0),"")))</f>
        <v>C7R</v>
      </c>
      <c r="N248" s="468" t="s">
        <v>33</v>
      </c>
      <c r="O248" s="468"/>
      <c r="P248" s="468"/>
      <c r="Q248" s="4"/>
      <c r="R248" s="6"/>
      <c r="S248" s="6"/>
      <c r="T248" s="4">
        <v>30</v>
      </c>
      <c r="U248" s="4"/>
      <c r="V248" s="4"/>
      <c r="W248" s="9">
        <v>1.4</v>
      </c>
      <c r="X248" s="9"/>
      <c r="Y248" s="9"/>
      <c r="Z248" s="9"/>
      <c r="AA248" s="9"/>
      <c r="AB248" s="9"/>
      <c r="AC248" s="468" t="str">
        <f t="shared" si="18"/>
        <v>PHC</v>
      </c>
      <c r="AD248" s="468"/>
      <c r="AE248" s="468"/>
      <c r="AF248" s="4"/>
      <c r="AG248" s="88"/>
      <c r="AH248" s="4"/>
      <c r="AI248" s="4"/>
      <c r="AJ248" s="468"/>
      <c r="AK248" s="468"/>
      <c r="AL248" s="468"/>
      <c r="AM248" s="468" t="s">
        <v>486</v>
      </c>
      <c r="AN248" s="10">
        <f>AN250+0.04</f>
        <v>5.19</v>
      </c>
      <c r="AO248" s="9"/>
      <c r="AP248" s="9"/>
      <c r="AQ248" s="9"/>
      <c r="AR248" s="9"/>
      <c r="AS248" s="9"/>
      <c r="AT248" s="9">
        <f>+ab($T$248,$T$246,$T$250,$G$247,$G$249, 1*$F$248,1200)</f>
        <v>2.845111917997551</v>
      </c>
      <c r="AU248" s="447"/>
      <c r="AV248" s="447"/>
      <c r="AW248" s="468" t="str">
        <f>IF(C248&gt;0,VLOOKUP(C248,Foundation_Calc!$A$2:$C$13,3,1),
IF(J248&gt;0,VLOOKUP(J248,Foundation_Calc!$A$2:$C$13,3,1),""))</f>
        <v>MultiSoil</v>
      </c>
      <c r="AX248" s="468" t="str">
        <f>IF(C248&gt;0,VLOOKUP(C248,Foundation_Calc!$E$2:$G$13,3,1),
IF(J248&gt;0,VLOOKUP(J248,Foundation_Calc!$E$2:$G$13,3,1),""))</f>
        <v>PT</v>
      </c>
      <c r="AY248" s="10">
        <f>IF(L248="","",
IF(AX248="PT",VLOOKUP(L248,Foundation_Calc!$K$79:$R$112,VLOOKUP(AW248,Foundation_Calc!$I$2:$J$8,2,FALSE),0),
IF(AX248="K",VLOOKUP(L248,Foundation_Calc!$K$116:$R$149,VLOOKUP(AW248,Foundation_Calc!$I$2:$J$8,2,FALSE),0),"")))</f>
        <v>4</v>
      </c>
      <c r="AZ248" s="10" t="str">
        <f>IF(K248="","",
IF(AX248="PT",VLOOKUP(K248,Foundation_Calc!$K$79:$R$112,VLOOKUP(AW248,Foundation_Calc!$I$2:$J$8,2,FALSE),0),
IF(AX248="K",VLOOKUP(K248,Foundation_Calc!$K$116:$R$149,VLOOKUP(AW248,Foundation_Calc!$I$2:$J$8,2,FALSE),0),"")))</f>
        <v/>
      </c>
      <c r="BA248" s="553" t="str">
        <f t="shared" si="20"/>
        <v>ü</v>
      </c>
      <c r="BB248" s="553" t="str">
        <f t="shared" si="20"/>
        <v/>
      </c>
      <c r="BC248" s="553" t="str">
        <f t="shared" si="19"/>
        <v/>
      </c>
      <c r="BD248" s="572" t="str">
        <f>IF(AND(L248="",H248=""),"",
IF(H248="",Pole_Calc!A$9,
IF(H248="MP",Pole_Calc!A$10,
IF(H248="AnMP",Pole_Calc!A$11,
IF(H248="A",Pole_Calc!A$12,
IF(H248="S/A",Pole_Calc!A$13,
IF(H248="A/S",Pole_Calc!A$14,"Poner a mano")))))))</f>
        <v>App.7-V11H-P9.5.1.6</v>
      </c>
      <c r="BE248" s="448" t="s">
        <v>1726</v>
      </c>
      <c r="BF248" s="306"/>
      <c r="BG248" s="306"/>
      <c r="BH248" s="306"/>
      <c r="BI248" s="306"/>
    </row>
    <row r="249" spans="1:61" ht="16.2" customHeight="1">
      <c r="A249" s="573"/>
      <c r="B249" s="469"/>
      <c r="C249" s="3"/>
      <c r="D249" s="88"/>
      <c r="E249" s="4"/>
      <c r="F249" s="4"/>
      <c r="G249" s="6">
        <v>29.7</v>
      </c>
      <c r="H249" s="468"/>
      <c r="I249" s="468"/>
      <c r="J249" s="3"/>
      <c r="K249" s="468"/>
      <c r="L249" s="468"/>
      <c r="M249" s="468" t="str">
        <f>IF(L249="","",
IF(AX249="PT",VLOOKUP(L249,Foundation_Calc!$V$79:$X$112,VLOOKUP(AX249,Foundation_Calc!$I$10:$J$13,2,FALSE),0),
IF(AX249="K",VLOOKUP(L249,Foundation_Calc!$V$116:$X$149,VLOOKUP(AX249,Foundation_Calc!$I$10:$J$13,2,FALSE),0),"")))</f>
        <v/>
      </c>
      <c r="N249" s="468"/>
      <c r="O249" s="468"/>
      <c r="P249" s="468"/>
      <c r="Q249" s="4"/>
      <c r="R249" s="6"/>
      <c r="S249" s="6"/>
      <c r="T249" s="4"/>
      <c r="U249" s="4"/>
      <c r="V249" s="4"/>
      <c r="W249" s="9"/>
      <c r="X249" s="9"/>
      <c r="Y249" s="9"/>
      <c r="Z249" s="9"/>
      <c r="AA249" s="9"/>
      <c r="AB249" s="9"/>
      <c r="AC249" s="468" t="str">
        <f t="shared" si="18"/>
        <v/>
      </c>
      <c r="AD249" s="468"/>
      <c r="AE249" s="468"/>
      <c r="AF249" s="4"/>
      <c r="AG249" s="88"/>
      <c r="AH249" s="4"/>
      <c r="AI249" s="4"/>
      <c r="AJ249" s="468"/>
      <c r="AK249" s="468"/>
      <c r="AL249" s="468"/>
      <c r="AM249" s="468"/>
      <c r="AN249" s="10"/>
      <c r="AO249" s="9"/>
      <c r="AP249" s="9"/>
      <c r="AQ249" s="9">
        <f>+FL_1($U$250,$T$248,$G$249,1200,9.28, 1*$F$250)</f>
        <v>0.30000000000003563</v>
      </c>
      <c r="AR249" s="9"/>
      <c r="AS249" s="9"/>
      <c r="AT249" s="9"/>
      <c r="AU249" s="447"/>
      <c r="AV249" s="447"/>
      <c r="AW249" s="468" t="str">
        <f>IF(C249&gt;0,VLOOKUP(C249,Foundation_Calc!$A$2:$C$13,3,1),
IF(J249&gt;0,VLOOKUP(J249,Foundation_Calc!$A$2:$C$13,3,1),""))</f>
        <v/>
      </c>
      <c r="AX249" s="468" t="str">
        <f>IF(C249&gt;0,VLOOKUP(C249,Foundation_Calc!$E$2:$G$13,3,1),
IF(J249&gt;0,VLOOKUP(J249,Foundation_Calc!$E$2:$G$13,3,1),""))</f>
        <v/>
      </c>
      <c r="AY249" s="10" t="str">
        <f>IF(L249="","",
IF(AX249="PT",VLOOKUP(L249,Foundation_Calc!$K$79:$R$112,VLOOKUP(AW249,Foundation_Calc!$I$2:$J$8,2,FALSE),0),
IF(AX249="K",VLOOKUP(L249,Foundation_Calc!$K$116:$R$149,VLOOKUP(AW249,Foundation_Calc!$I$2:$J$8,2,FALSE),0),"")))</f>
        <v/>
      </c>
      <c r="AZ249" s="10" t="str">
        <f>IF(K249="","",
IF(AX249="PT",VLOOKUP(K249,Foundation_Calc!$K$79:$R$112,VLOOKUP(AW249,Foundation_Calc!$I$2:$J$8,2,FALSE),0),
IF(AX249="K",VLOOKUP(K249,Foundation_Calc!$K$116:$R$149,VLOOKUP(AW249,Foundation_Calc!$I$2:$J$8,2,FALSE),0),"")))</f>
        <v/>
      </c>
      <c r="BA249" s="553" t="str">
        <f t="shared" si="20"/>
        <v/>
      </c>
      <c r="BB249" s="553" t="str">
        <f t="shared" si="20"/>
        <v/>
      </c>
      <c r="BC249" s="553" t="str">
        <f t="shared" si="19"/>
        <v/>
      </c>
      <c r="BD249" s="572" t="str">
        <f>IF(AND(L249="",H249=""),"",
IF(H249="",Pole_Calc!A$9,
IF(H249="MP",Pole_Calc!A$10,
IF(H249="AnMP",Pole_Calc!A$11,
IF(H249="A",Pole_Calc!A$12,
IF(H249="S/A",Pole_Calc!A$13,
IF(H249="A/S",Pole_Calc!A$14,"Poner a mano")))))))</f>
        <v/>
      </c>
      <c r="BE249" s="448" t="s">
        <v>1726</v>
      </c>
      <c r="BF249" s="305"/>
      <c r="BG249" s="305"/>
      <c r="BH249" s="306"/>
      <c r="BI249" s="305"/>
    </row>
    <row r="250" spans="1:61" ht="16.2" customHeight="1">
      <c r="A250" s="573"/>
      <c r="B250" s="469" t="s">
        <v>1978</v>
      </c>
      <c r="C250" s="3">
        <f>+$C$248+$G$249</f>
        <v>5502.5500000000011</v>
      </c>
      <c r="D250" s="88"/>
      <c r="E250" s="4"/>
      <c r="F250" s="4">
        <v>400</v>
      </c>
      <c r="G250" s="6"/>
      <c r="H250" s="468" t="s">
        <v>179</v>
      </c>
      <c r="I250" s="468"/>
      <c r="J250" s="3"/>
      <c r="K250" s="468"/>
      <c r="L250" s="468" t="s">
        <v>448</v>
      </c>
      <c r="M250" s="468" t="str">
        <f>IF(L250="","",
IF(AX250="PT",VLOOKUP(L250,Foundation_Calc!$V$79:$X$112,VLOOKUP(AX250,Foundation_Calc!$I$10:$J$13,2,FALSE),0),
IF(AX250="K",VLOOKUP(L250,Foundation_Calc!$V$116:$X$149,VLOOKUP(AX250,Foundation_Calc!$I$10:$J$13,2,FALSE),0),"")))</f>
        <v>2C3R</v>
      </c>
      <c r="N250" s="468" t="s">
        <v>28</v>
      </c>
      <c r="O250" s="468" t="s">
        <v>33</v>
      </c>
      <c r="P250" s="468"/>
      <c r="Q250" s="4"/>
      <c r="R250" s="6"/>
      <c r="S250" s="6"/>
      <c r="T250" s="4">
        <v>50</v>
      </c>
      <c r="U250" s="4">
        <v>30</v>
      </c>
      <c r="V250" s="4"/>
      <c r="W250" s="9">
        <v>1.8</v>
      </c>
      <c r="X250" s="9">
        <v>1.2</v>
      </c>
      <c r="Y250" s="9"/>
      <c r="Z250" s="9">
        <v>0.4</v>
      </c>
      <c r="AA250" s="9"/>
      <c r="AB250" s="9"/>
      <c r="AC250" s="468"/>
      <c r="AD250" s="468" t="s">
        <v>1066</v>
      </c>
      <c r="AE250" s="468"/>
      <c r="AF250" s="4"/>
      <c r="AG250" s="88"/>
      <c r="AH250" s="4"/>
      <c r="AI250" s="4"/>
      <c r="AJ250" s="468"/>
      <c r="AK250" s="468"/>
      <c r="AL250" s="468"/>
      <c r="AM250" s="468" t="s">
        <v>486</v>
      </c>
      <c r="AN250" s="10">
        <v>5.15</v>
      </c>
      <c r="AO250" s="9"/>
      <c r="AP250" s="9"/>
      <c r="AQ250" s="9"/>
      <c r="AR250" s="9"/>
      <c r="AS250" s="9"/>
      <c r="AT250" s="9">
        <f>+ab($U$250,$T$248,$U$252,$G$249,$G$251, 1*$F$250,1200)</f>
        <v>2.3681636328947389</v>
      </c>
      <c r="AU250" s="447"/>
      <c r="AV250" s="447"/>
      <c r="AW250" s="468" t="str">
        <f>IF(C250&gt;0,VLOOKUP(C250,Foundation_Calc!$A$2:$C$13,3,1),
IF(J250&gt;0,VLOOKUP(J250,Foundation_Calc!$A$2:$C$13,3,1),""))</f>
        <v>MultiSoil</v>
      </c>
      <c r="AX250" s="468" t="str">
        <f>IF(C250&gt;0,VLOOKUP(C250,Foundation_Calc!$E$2:$G$13,3,1),
IF(J250&gt;0,VLOOKUP(J250,Foundation_Calc!$E$2:$G$13,3,1),""))</f>
        <v>PT</v>
      </c>
      <c r="AY250" s="10">
        <f>IF(L250="","",
IF(AX250="PT",VLOOKUP(L250,Foundation_Calc!$K$79:$R$112,VLOOKUP(AW250,Foundation_Calc!$I$2:$J$8,2,FALSE),0),
IF(AX250="K",VLOOKUP(L250,Foundation_Calc!$K$116:$R$149,VLOOKUP(AW250,Foundation_Calc!$I$2:$J$8,2,FALSE),0),"")))</f>
        <v>3.7</v>
      </c>
      <c r="AZ250" s="10" t="str">
        <f>IF(K250="","",
IF(AX250="PT",VLOOKUP(K250,Foundation_Calc!$K$79:$R$112,VLOOKUP(AW250,Foundation_Calc!$I$2:$J$8,2,FALSE),0),
IF(AX250="K",VLOOKUP(K250,Foundation_Calc!$K$116:$R$149,VLOOKUP(AW250,Foundation_Calc!$I$2:$J$8,2,FALSE),0),"")))</f>
        <v/>
      </c>
      <c r="BA250" s="553" t="str">
        <f t="shared" si="20"/>
        <v>ü</v>
      </c>
      <c r="BB250" s="553" t="str">
        <f t="shared" si="20"/>
        <v/>
      </c>
      <c r="BC250" s="553" t="str">
        <f t="shared" si="19"/>
        <v/>
      </c>
      <c r="BD250" s="572" t="str">
        <f>IF(AND(L250="",H250=""),"",
IF(H250="",Pole_Calc!A$9,
IF(H250="MP",Pole_Calc!A$10,
IF(H250="AnMP",Pole_Calc!A$11,
IF(H250="A",Pole_Calc!A$12,
IF(H250="S/A",Pole_Calc!A$13,
IF(H250="A/S",Pole_Calc!A$14,"Poner a mano")))))))</f>
        <v>App.7-V11H-P9.5.1.5</v>
      </c>
      <c r="BE250" s="448" t="s">
        <v>1726</v>
      </c>
      <c r="BF250" s="306"/>
      <c r="BG250" s="306"/>
      <c r="BH250" s="306"/>
      <c r="BI250" s="306"/>
    </row>
    <row r="251" spans="1:61" ht="16.2" customHeight="1">
      <c r="A251" s="573"/>
      <c r="B251" s="469"/>
      <c r="C251" s="3"/>
      <c r="D251" s="88"/>
      <c r="E251" s="4"/>
      <c r="F251" s="4"/>
      <c r="G251" s="6">
        <v>29.7</v>
      </c>
      <c r="H251" s="468"/>
      <c r="I251" s="468"/>
      <c r="J251" s="3"/>
      <c r="K251" s="468"/>
      <c r="L251" s="468"/>
      <c r="M251" s="468" t="str">
        <f>IF(L251="","",
IF(AX251="PT",VLOOKUP(L251,Foundation_Calc!$V$79:$X$112,VLOOKUP(AX251,Foundation_Calc!$I$10:$J$13,2,FALSE),0),
IF(AX251="K",VLOOKUP(L251,Foundation_Calc!$V$116:$X$149,VLOOKUP(AX251,Foundation_Calc!$I$10:$J$13,2,FALSE),0),"")))</f>
        <v/>
      </c>
      <c r="N251" s="468"/>
      <c r="O251" s="468"/>
      <c r="P251" s="468"/>
      <c r="Q251" s="4"/>
      <c r="R251" s="6"/>
      <c r="S251" s="6"/>
      <c r="T251" s="4"/>
      <c r="U251" s="4"/>
      <c r="V251" s="4"/>
      <c r="W251" s="9"/>
      <c r="X251" s="9"/>
      <c r="Y251" s="9"/>
      <c r="Z251" s="9"/>
      <c r="AA251" s="9"/>
      <c r="AB251" s="9"/>
      <c r="AC251" s="468" t="str">
        <f t="shared" si="18"/>
        <v/>
      </c>
      <c r="AD251" s="468"/>
      <c r="AE251" s="468"/>
      <c r="AF251" s="4"/>
      <c r="AG251" s="88"/>
      <c r="AH251" s="4"/>
      <c r="AI251" s="4"/>
      <c r="AJ251" s="468"/>
      <c r="AK251" s="468"/>
      <c r="AL251" s="468"/>
      <c r="AM251" s="468"/>
      <c r="AN251" s="10"/>
      <c r="AO251" s="9"/>
      <c r="AP251" s="9"/>
      <c r="AQ251" s="9">
        <f>+FL_1($T$252,$T$250,$G$251,1200,9.28, 1*$F$252)</f>
        <v>0.50000000000004807</v>
      </c>
      <c r="AR251" s="9"/>
      <c r="AS251" s="9"/>
      <c r="AT251" s="9"/>
      <c r="AU251" s="447"/>
      <c r="AV251" s="447"/>
      <c r="AW251" s="468" t="str">
        <f>IF(C251&gt;0,VLOOKUP(C251,Foundation_Calc!$A$2:$C$13,3,1),
IF(J251&gt;0,VLOOKUP(J251,Foundation_Calc!$A$2:$C$13,3,1),""))</f>
        <v/>
      </c>
      <c r="AX251" s="468" t="str">
        <f>IF(C251&gt;0,VLOOKUP(C251,Foundation_Calc!$E$2:$G$13,3,1),
IF(J251&gt;0,VLOOKUP(J251,Foundation_Calc!$E$2:$G$13,3,1),""))</f>
        <v/>
      </c>
      <c r="AY251" s="10" t="str">
        <f>IF(L251="","",
IF(AX251="PT",VLOOKUP(L251,Foundation_Calc!$K$79:$R$112,VLOOKUP(AW251,Foundation_Calc!$I$2:$J$8,2,FALSE),0),
IF(AX251="K",VLOOKUP(L251,Foundation_Calc!$K$116:$R$149,VLOOKUP(AW251,Foundation_Calc!$I$2:$J$8,2,FALSE),0),"")))</f>
        <v/>
      </c>
      <c r="AZ251" s="10" t="str">
        <f>IF(K251="","",
IF(AX251="PT",VLOOKUP(K251,Foundation_Calc!$K$79:$R$112,VLOOKUP(AW251,Foundation_Calc!$I$2:$J$8,2,FALSE),0),
IF(AX251="K",VLOOKUP(K251,Foundation_Calc!$K$116:$R$149,VLOOKUP(AW251,Foundation_Calc!$I$2:$J$8,2,FALSE),0),"")))</f>
        <v/>
      </c>
      <c r="BA251" s="553" t="str">
        <f t="shared" si="20"/>
        <v/>
      </c>
      <c r="BB251" s="553" t="str">
        <f t="shared" si="20"/>
        <v/>
      </c>
      <c r="BC251" s="553" t="str">
        <f t="shared" si="19"/>
        <v/>
      </c>
      <c r="BD251" s="572" t="str">
        <f>IF(AND(L251="",H251=""),"",
IF(H251="",Pole_Calc!A$9,
IF(H251="MP",Pole_Calc!A$10,
IF(H251="AnMP",Pole_Calc!A$11,
IF(H251="A",Pole_Calc!A$12,
IF(H251="S/A",Pole_Calc!A$13,
IF(H251="A/S",Pole_Calc!A$14,"Poner a mano")))))))</f>
        <v/>
      </c>
      <c r="BE251" s="448" t="s">
        <v>1726</v>
      </c>
      <c r="BF251" s="305"/>
      <c r="BG251" s="305"/>
      <c r="BH251" s="306"/>
      <c r="BI251" s="305"/>
    </row>
    <row r="252" spans="1:61" ht="16.2" customHeight="1">
      <c r="A252" s="573"/>
      <c r="B252" s="469" t="s">
        <v>1979</v>
      </c>
      <c r="C252" s="3">
        <f>+$C$250+$G$251</f>
        <v>5532.2500000000009</v>
      </c>
      <c r="D252" s="88"/>
      <c r="E252" s="4"/>
      <c r="F252" s="4">
        <v>400</v>
      </c>
      <c r="G252" s="6"/>
      <c r="H252" s="468" t="s">
        <v>180</v>
      </c>
      <c r="I252" s="468"/>
      <c r="J252" s="3"/>
      <c r="K252" s="468"/>
      <c r="L252" s="468" t="s">
        <v>39</v>
      </c>
      <c r="M252" s="468" t="str">
        <f>IF(L252="","",
IF(AX252="PT",VLOOKUP(L252,Foundation_Calc!$V$79:$X$112,VLOOKUP(AX252,Foundation_Calc!$I$10:$J$13,2,FALSE),0),
IF(AX252="K",VLOOKUP(L252,Foundation_Calc!$V$116:$X$149,VLOOKUP(AX252,Foundation_Calc!$I$10:$J$13,2,FALSE),0),"")))</f>
        <v>C7R</v>
      </c>
      <c r="N252" s="468" t="s">
        <v>33</v>
      </c>
      <c r="O252" s="468" t="s">
        <v>33</v>
      </c>
      <c r="P252" s="468"/>
      <c r="Q252" s="4"/>
      <c r="R252" s="6"/>
      <c r="S252" s="6"/>
      <c r="T252" s="4">
        <v>30</v>
      </c>
      <c r="U252" s="4">
        <v>10</v>
      </c>
      <c r="V252" s="4"/>
      <c r="W252" s="9">
        <v>1.8</v>
      </c>
      <c r="X252" s="9">
        <v>1.2</v>
      </c>
      <c r="Y252" s="9"/>
      <c r="Z252" s="9">
        <v>0.15</v>
      </c>
      <c r="AA252" s="9"/>
      <c r="AB252" s="9"/>
      <c r="AC252" s="468" t="s">
        <v>1066</v>
      </c>
      <c r="AD252" s="468" t="s">
        <v>2512</v>
      </c>
      <c r="AE252" s="468"/>
      <c r="AF252" s="4"/>
      <c r="AG252" s="88"/>
      <c r="AH252" s="4"/>
      <c r="AI252" s="4"/>
      <c r="AJ252" s="468"/>
      <c r="AK252" s="468"/>
      <c r="AL252" s="468"/>
      <c r="AM252" s="468" t="s">
        <v>486</v>
      </c>
      <c r="AN252" s="10">
        <v>5.15</v>
      </c>
      <c r="AO252" s="9"/>
      <c r="AP252" s="9"/>
      <c r="AQ252" s="9"/>
      <c r="AR252" s="9"/>
      <c r="AS252" s="9"/>
      <c r="AT252" s="9">
        <f>+ab($T$252,$T$250,$T$254,$G$251,$G$253, 1*$F$252,1200)</f>
        <v>2.8398530710266443</v>
      </c>
      <c r="AU252" s="447"/>
      <c r="AV252" s="447"/>
      <c r="AW252" s="468" t="str">
        <f>IF(C252&gt;0,VLOOKUP(C252,Foundation_Calc!$A$2:$C$13,3,1),
IF(J252&gt;0,VLOOKUP(J252,Foundation_Calc!$A$2:$C$13,3,1),""))</f>
        <v>MultiSoil</v>
      </c>
      <c r="AX252" s="468" t="str">
        <f>IF(C252&gt;0,VLOOKUP(C252,Foundation_Calc!$E$2:$G$13,3,1),
IF(J252&gt;0,VLOOKUP(J252,Foundation_Calc!$E$2:$G$13,3,1),""))</f>
        <v>PT</v>
      </c>
      <c r="AY252" s="10">
        <f>IF(L252="","",
IF(AX252="PT",VLOOKUP(L252,Foundation_Calc!$K$79:$R$112,VLOOKUP(AW252,Foundation_Calc!$I$2:$J$8,2,FALSE),0),
IF(AX252="K",VLOOKUP(L252,Foundation_Calc!$K$116:$R$149,VLOOKUP(AW252,Foundation_Calc!$I$2:$J$8,2,FALSE),0),"")))</f>
        <v>4</v>
      </c>
      <c r="AZ252" s="10" t="str">
        <f>IF(K252="","",
IF(AX252="PT",VLOOKUP(K252,Foundation_Calc!$K$79:$R$112,VLOOKUP(AW252,Foundation_Calc!$I$2:$J$8,2,FALSE),0),
IF(AX252="K",VLOOKUP(K252,Foundation_Calc!$K$116:$R$149,VLOOKUP(AW252,Foundation_Calc!$I$2:$J$8,2,FALSE),0),"")))</f>
        <v/>
      </c>
      <c r="BA252" s="553" t="str">
        <f t="shared" si="20"/>
        <v>ü</v>
      </c>
      <c r="BB252" s="553" t="str">
        <f t="shared" si="20"/>
        <v/>
      </c>
      <c r="BC252" s="553" t="str">
        <f t="shared" si="19"/>
        <v/>
      </c>
      <c r="BD252" s="572" t="str">
        <f>IF(AND(L252="",H252=""),"",
IF(H252="",Pole_Calc!A$9,
IF(H252="MP",Pole_Calc!A$10,
IF(H252="AnMP",Pole_Calc!A$11,
IF(H252="A",Pole_Calc!A$12,
IF(H252="S/A",Pole_Calc!A$13,
IF(H252="A/S",Pole_Calc!A$14,"Poner a mano")))))))</f>
        <v>App.7-V11H-P9.5.1.4</v>
      </c>
      <c r="BE252" s="448" t="s">
        <v>1726</v>
      </c>
      <c r="BF252" s="306"/>
      <c r="BG252" s="306"/>
      <c r="BH252" s="306"/>
      <c r="BI252" s="306"/>
    </row>
    <row r="253" spans="1:61" ht="16.2" customHeight="1">
      <c r="A253" s="573"/>
      <c r="B253" s="469"/>
      <c r="C253" s="3"/>
      <c r="D253" s="88"/>
      <c r="E253" s="4"/>
      <c r="F253" s="4"/>
      <c r="G253" s="6">
        <v>29.7</v>
      </c>
      <c r="H253" s="468"/>
      <c r="I253" s="468"/>
      <c r="J253" s="3"/>
      <c r="K253" s="468"/>
      <c r="L253" s="468"/>
      <c r="M253" s="468" t="str">
        <f>IF(L253="","",
IF(AX253="PT",VLOOKUP(L253,Foundation_Calc!$V$79:$X$112,VLOOKUP(AX253,Foundation_Calc!$I$10:$J$13,2,FALSE),0),
IF(AX253="K",VLOOKUP(L253,Foundation_Calc!$V$116:$X$149,VLOOKUP(AX253,Foundation_Calc!$I$10:$J$13,2,FALSE),0),"")))</f>
        <v/>
      </c>
      <c r="N253" s="468"/>
      <c r="O253" s="468"/>
      <c r="P253" s="468"/>
      <c r="Q253" s="4"/>
      <c r="R253" s="6"/>
      <c r="S253" s="6"/>
      <c r="T253" s="4"/>
      <c r="U253" s="4"/>
      <c r="V253" s="4"/>
      <c r="W253" s="9"/>
      <c r="X253" s="9"/>
      <c r="Y253" s="9"/>
      <c r="Z253" s="9"/>
      <c r="AA253" s="9"/>
      <c r="AB253" s="9"/>
      <c r="AC253" s="468" t="str">
        <f t="shared" si="18"/>
        <v/>
      </c>
      <c r="AD253" s="468"/>
      <c r="AE253" s="468"/>
      <c r="AF253" s="4"/>
      <c r="AG253" s="88"/>
      <c r="AH253" s="4"/>
      <c r="AI253" s="4"/>
      <c r="AJ253" s="468"/>
      <c r="AK253" s="468"/>
      <c r="AL253" s="468"/>
      <c r="AM253" s="468"/>
      <c r="AN253" s="10"/>
      <c r="AO253" s="9"/>
      <c r="AP253" s="9"/>
      <c r="AQ253" s="9">
        <f>+FL_1($T$254,$T$252,$G$253,1200,9.28, 1*$F$254)</f>
        <v>0.3</v>
      </c>
      <c r="AR253" s="9"/>
      <c r="AS253" s="9"/>
      <c r="AT253" s="9"/>
      <c r="AU253" s="447"/>
      <c r="AV253" s="447"/>
      <c r="AW253" s="468" t="str">
        <f>IF(C253&gt;0,VLOOKUP(C253,Foundation_Calc!$A$2:$C$13,3,1),
IF(J253&gt;0,VLOOKUP(J253,Foundation_Calc!$A$2:$C$13,3,1),""))</f>
        <v/>
      </c>
      <c r="AX253" s="468" t="str">
        <f>IF(C253&gt;0,VLOOKUP(C253,Foundation_Calc!$E$2:$G$13,3,1),
IF(J253&gt;0,VLOOKUP(J253,Foundation_Calc!$E$2:$G$13,3,1),""))</f>
        <v/>
      </c>
      <c r="AY253" s="10" t="str">
        <f>IF(L253="","",
IF(AX253="PT",VLOOKUP(L253,Foundation_Calc!$K$79:$R$112,VLOOKUP(AW253,Foundation_Calc!$I$2:$J$8,2,FALSE),0),
IF(AX253="K",VLOOKUP(L253,Foundation_Calc!$K$116:$R$149,VLOOKUP(AW253,Foundation_Calc!$I$2:$J$8,2,FALSE),0),"")))</f>
        <v/>
      </c>
      <c r="AZ253" s="10" t="str">
        <f>IF(K253="","",
IF(AX253="PT",VLOOKUP(K253,Foundation_Calc!$K$79:$R$112,VLOOKUP(AW253,Foundation_Calc!$I$2:$J$8,2,FALSE),0),
IF(AX253="K",VLOOKUP(K253,Foundation_Calc!$K$116:$R$149,VLOOKUP(AW253,Foundation_Calc!$I$2:$J$8,2,FALSE),0),"")))</f>
        <v/>
      </c>
      <c r="BA253" s="553" t="str">
        <f t="shared" si="20"/>
        <v/>
      </c>
      <c r="BB253" s="553" t="str">
        <f t="shared" si="20"/>
        <v/>
      </c>
      <c r="BC253" s="553" t="str">
        <f t="shared" si="19"/>
        <v/>
      </c>
      <c r="BD253" s="572" t="str">
        <f>IF(AND(L253="",H253=""),"",
IF(H253="",Pole_Calc!A$9,
IF(H253="MP",Pole_Calc!A$10,
IF(H253="AnMP",Pole_Calc!A$11,
IF(H253="A",Pole_Calc!A$12,
IF(H253="S/A",Pole_Calc!A$13,
IF(H253="A/S",Pole_Calc!A$14,"Poner a mano")))))))</f>
        <v/>
      </c>
      <c r="BE253" s="448" t="s">
        <v>1726</v>
      </c>
      <c r="BF253" s="305"/>
      <c r="BG253" s="305"/>
      <c r="BH253" s="306"/>
      <c r="BI253" s="305"/>
    </row>
    <row r="254" spans="1:61" ht="16.2" customHeight="1">
      <c r="A254" s="573"/>
      <c r="B254" s="469" t="s">
        <v>1980</v>
      </c>
      <c r="C254" s="3">
        <f>+$C$252+$G$253</f>
        <v>5561.9500000000007</v>
      </c>
      <c r="D254" s="88"/>
      <c r="E254" s="4"/>
      <c r="F254" s="4">
        <v>584.99</v>
      </c>
      <c r="G254" s="6"/>
      <c r="H254" s="468" t="s">
        <v>180</v>
      </c>
      <c r="I254" s="468"/>
      <c r="J254" s="3"/>
      <c r="K254" s="468"/>
      <c r="L254" s="468" t="s">
        <v>39</v>
      </c>
      <c r="M254" s="468" t="str">
        <f>IF(L254="","",
IF(AX254="PT",VLOOKUP(L254,Foundation_Calc!$V$79:$X$112,VLOOKUP(AX254,Foundation_Calc!$I$10:$J$13,2,FALSE),0),
IF(AX254="K",VLOOKUP(L254,Foundation_Calc!$V$116:$X$149,VLOOKUP(AX254,Foundation_Calc!$I$10:$J$13,2,FALSE),0),"")))</f>
        <v>C7R</v>
      </c>
      <c r="N254" s="468" t="s">
        <v>33</v>
      </c>
      <c r="O254" s="468" t="s">
        <v>33</v>
      </c>
      <c r="P254" s="468"/>
      <c r="Q254" s="4"/>
      <c r="R254" s="6"/>
      <c r="S254" s="6"/>
      <c r="T254" s="4">
        <v>30</v>
      </c>
      <c r="U254" s="4">
        <v>10</v>
      </c>
      <c r="V254" s="4"/>
      <c r="W254" s="9">
        <v>1.8</v>
      </c>
      <c r="X254" s="9">
        <v>1.2</v>
      </c>
      <c r="Y254" s="9"/>
      <c r="Z254" s="9"/>
      <c r="AA254" s="9">
        <v>0.15</v>
      </c>
      <c r="AB254" s="9"/>
      <c r="AC254" s="468" t="s">
        <v>1066</v>
      </c>
      <c r="AD254" s="468" t="s">
        <v>1066</v>
      </c>
      <c r="AE254" s="468"/>
      <c r="AF254" s="4"/>
      <c r="AG254" s="88"/>
      <c r="AH254" s="4"/>
      <c r="AI254" s="4"/>
      <c r="AJ254" s="468"/>
      <c r="AK254" s="468"/>
      <c r="AL254" s="468"/>
      <c r="AM254" s="468" t="s">
        <v>486</v>
      </c>
      <c r="AN254" s="10">
        <v>5.15</v>
      </c>
      <c r="AO254" s="9"/>
      <c r="AP254" s="9"/>
      <c r="AQ254" s="9"/>
      <c r="AR254" s="9"/>
      <c r="AS254" s="9"/>
      <c r="AT254" s="9">
        <f>+ab($T$254,$T$252,$T$256,$G$253,$G$255, 1*$F$254,1200)</f>
        <v>3.7678462324826425</v>
      </c>
      <c r="AU254" s="447"/>
      <c r="AV254" s="447"/>
      <c r="AW254" s="468" t="str">
        <f>IF(C254&gt;0,VLOOKUP(C254,Foundation_Calc!$A$2:$C$13,3,1),
IF(J254&gt;0,VLOOKUP(J254,Foundation_Calc!$A$2:$C$13,3,1),""))</f>
        <v>MultiSoil</v>
      </c>
      <c r="AX254" s="468" t="str">
        <f>IF(C254&gt;0,VLOOKUP(C254,Foundation_Calc!$E$2:$G$13,3,1),
IF(J254&gt;0,VLOOKUP(J254,Foundation_Calc!$E$2:$G$13,3,1),""))</f>
        <v>PT</v>
      </c>
      <c r="AY254" s="10">
        <f>IF(L254="","",
IF(AX254="PT",VLOOKUP(L254,Foundation_Calc!$K$79:$R$112,VLOOKUP(AW254,Foundation_Calc!$I$2:$J$8,2,FALSE),0),
IF(AX254="K",VLOOKUP(L254,Foundation_Calc!$K$116:$R$149,VLOOKUP(AW254,Foundation_Calc!$I$2:$J$8,2,FALSE),0),"")))</f>
        <v>4</v>
      </c>
      <c r="AZ254" s="10" t="str">
        <f>IF(K254="","",
IF(AX254="PT",VLOOKUP(K254,Foundation_Calc!$K$79:$R$112,VLOOKUP(AW254,Foundation_Calc!$I$2:$J$8,2,FALSE),0),
IF(AX254="K",VLOOKUP(K254,Foundation_Calc!$K$116:$R$149,VLOOKUP(AW254,Foundation_Calc!$I$2:$J$8,2,FALSE),0),"")))</f>
        <v/>
      </c>
      <c r="BA254" s="553" t="str">
        <f t="shared" si="20"/>
        <v>ü</v>
      </c>
      <c r="BB254" s="553" t="str">
        <f t="shared" si="20"/>
        <v/>
      </c>
      <c r="BC254" s="553" t="str">
        <f t="shared" si="19"/>
        <v/>
      </c>
      <c r="BD254" s="572" t="str">
        <f>IF(AND(L254="",H254=""),"",
IF(H254="",Pole_Calc!A$9,
IF(H254="MP",Pole_Calc!A$10,
IF(H254="AnMP",Pole_Calc!A$11,
IF(H254="A",Pole_Calc!A$12,
IF(H254="S/A",Pole_Calc!A$13,
IF(H254="A/S",Pole_Calc!A$14,"Poner a mano")))))))</f>
        <v>App.7-V11H-P9.5.1.4</v>
      </c>
      <c r="BE254" s="448" t="s">
        <v>1726</v>
      </c>
      <c r="BF254" s="306"/>
      <c r="BG254" s="306"/>
      <c r="BH254" s="306"/>
      <c r="BI254" s="306"/>
    </row>
    <row r="255" spans="1:61" ht="16.2" customHeight="1">
      <c r="A255" s="573"/>
      <c r="B255" s="469"/>
      <c r="C255" s="3"/>
      <c r="D255" s="88"/>
      <c r="E255" s="4"/>
      <c r="F255" s="4"/>
      <c r="G255" s="6">
        <v>29.8</v>
      </c>
      <c r="H255" s="468"/>
      <c r="I255" s="468"/>
      <c r="J255" s="3"/>
      <c r="K255" s="468"/>
      <c r="L255" s="468"/>
      <c r="M255" s="468" t="str">
        <f>IF(L255="","",
IF(AX255="PT",VLOOKUP(L255,Foundation_Calc!$V$79:$X$112,VLOOKUP(AX255,Foundation_Calc!$I$10:$J$13,2,FALSE),0),
IF(AX255="K",VLOOKUP(L255,Foundation_Calc!$V$116:$X$149,VLOOKUP(AX255,Foundation_Calc!$I$10:$J$13,2,FALSE),0),"")))</f>
        <v/>
      </c>
      <c r="N255" s="468"/>
      <c r="O255" s="468"/>
      <c r="P255" s="468"/>
      <c r="Q255" s="4"/>
      <c r="R255" s="6"/>
      <c r="S255" s="6"/>
      <c r="T255" s="4"/>
      <c r="U255" s="4"/>
      <c r="V255" s="4"/>
      <c r="W255" s="9"/>
      <c r="X255" s="9"/>
      <c r="Y255" s="9"/>
      <c r="Z255" s="9"/>
      <c r="AA255" s="9"/>
      <c r="AB255" s="9"/>
      <c r="AC255" s="468" t="str">
        <f t="shared" si="18"/>
        <v/>
      </c>
      <c r="AD255" s="468"/>
      <c r="AE255" s="468"/>
      <c r="AF255" s="4"/>
      <c r="AG255" s="88"/>
      <c r="AH255" s="4"/>
      <c r="AI255" s="4"/>
      <c r="AJ255" s="468"/>
      <c r="AK255" s="468"/>
      <c r="AL255" s="468"/>
      <c r="AM255" s="468"/>
      <c r="AN255" s="10"/>
      <c r="AO255" s="9"/>
      <c r="AP255" s="9"/>
      <c r="AQ255" s="9">
        <f>+FL_1($T$256,$T$254,$G$255,1200,9.28, 1*$F$256)</f>
        <v>0.3</v>
      </c>
      <c r="AR255" s="9"/>
      <c r="AS255" s="9"/>
      <c r="AT255" s="9"/>
      <c r="AU255" s="447"/>
      <c r="AV255" s="447"/>
      <c r="AW255" s="468" t="str">
        <f>IF(C255&gt;0,VLOOKUP(C255,Foundation_Calc!$A$2:$C$13,3,1),
IF(J255&gt;0,VLOOKUP(J255,Foundation_Calc!$A$2:$C$13,3,1),""))</f>
        <v/>
      </c>
      <c r="AX255" s="468" t="str">
        <f>IF(C255&gt;0,VLOOKUP(C255,Foundation_Calc!$E$2:$G$13,3,1),
IF(J255&gt;0,VLOOKUP(J255,Foundation_Calc!$E$2:$G$13,3,1),""))</f>
        <v/>
      </c>
      <c r="AY255" s="10" t="str">
        <f>IF(L255="","",
IF(AX255="PT",VLOOKUP(L255,Foundation_Calc!$K$79:$R$112,VLOOKUP(AW255,Foundation_Calc!$I$2:$J$8,2,FALSE),0),
IF(AX255="K",VLOOKUP(L255,Foundation_Calc!$K$116:$R$149,VLOOKUP(AW255,Foundation_Calc!$I$2:$J$8,2,FALSE),0),"")))</f>
        <v/>
      </c>
      <c r="AZ255" s="10" t="str">
        <f>IF(K255="","",
IF(AX255="PT",VLOOKUP(K255,Foundation_Calc!$K$79:$R$112,VLOOKUP(AW255,Foundation_Calc!$I$2:$J$8,2,FALSE),0),
IF(AX255="K",VLOOKUP(K255,Foundation_Calc!$K$116:$R$149,VLOOKUP(AW255,Foundation_Calc!$I$2:$J$8,2,FALSE),0),"")))</f>
        <v/>
      </c>
      <c r="BA255" s="553" t="str">
        <f t="shared" si="20"/>
        <v/>
      </c>
      <c r="BB255" s="553" t="str">
        <f t="shared" si="20"/>
        <v/>
      </c>
      <c r="BC255" s="553" t="str">
        <f t="shared" si="19"/>
        <v/>
      </c>
      <c r="BD255" s="572" t="str">
        <f>IF(AND(L255="",H255=""),"",
IF(H255="",Pole_Calc!A$9,
IF(H255="MP",Pole_Calc!A$10,
IF(H255="AnMP",Pole_Calc!A$11,
IF(H255="A",Pole_Calc!A$12,
IF(H255="S/A",Pole_Calc!A$13,
IF(H255="A/S",Pole_Calc!A$14,"Poner a mano")))))))</f>
        <v/>
      </c>
      <c r="BE255" s="448" t="s">
        <v>1726</v>
      </c>
      <c r="BF255" s="305"/>
      <c r="BG255" s="305"/>
      <c r="BH255" s="306"/>
      <c r="BI255" s="305"/>
    </row>
    <row r="256" spans="1:61" ht="16.2" customHeight="1">
      <c r="A256" s="573"/>
      <c r="B256" s="638" t="s">
        <v>1981</v>
      </c>
      <c r="C256" s="3">
        <f>+$C$254+$G$255</f>
        <v>5591.7500000000009</v>
      </c>
      <c r="D256" s="88"/>
      <c r="E256" s="4"/>
      <c r="F256" s="4">
        <v>584.99</v>
      </c>
      <c r="G256" s="6"/>
      <c r="H256" s="468" t="s">
        <v>179</v>
      </c>
      <c r="I256" s="468"/>
      <c r="J256" s="3"/>
      <c r="K256" s="468"/>
      <c r="L256" s="468" t="s">
        <v>448</v>
      </c>
      <c r="M256" s="468" t="str">
        <f>IF(L256="","",
IF(AX256="PT",VLOOKUP(L256,Foundation_Calc!$V$79:$X$112,VLOOKUP(AX256,Foundation_Calc!$I$10:$J$13,2,FALSE),0),
IF(AX256="K",VLOOKUP(L256,Foundation_Calc!$V$116:$X$149,VLOOKUP(AX256,Foundation_Calc!$I$10:$J$13,2,FALSE),0),"")))</f>
        <v>2C3R</v>
      </c>
      <c r="N256" s="468" t="s">
        <v>33</v>
      </c>
      <c r="O256" s="468" t="s">
        <v>28</v>
      </c>
      <c r="P256" s="468"/>
      <c r="Q256" s="4"/>
      <c r="R256" s="6"/>
      <c r="S256" s="6"/>
      <c r="T256" s="4">
        <v>30</v>
      </c>
      <c r="U256" s="4">
        <v>10</v>
      </c>
      <c r="V256" s="4"/>
      <c r="W256" s="9">
        <v>1.8</v>
      </c>
      <c r="X256" s="9">
        <v>1.2</v>
      </c>
      <c r="Y256" s="9"/>
      <c r="Z256" s="9"/>
      <c r="AA256" s="9">
        <v>0.4</v>
      </c>
      <c r="AB256" s="9"/>
      <c r="AC256" s="468" t="s">
        <v>1066</v>
      </c>
      <c r="AD256" s="468"/>
      <c r="AE256" s="468"/>
      <c r="AF256" s="4"/>
      <c r="AG256" s="88"/>
      <c r="AH256" s="4"/>
      <c r="AI256" s="4"/>
      <c r="AJ256" s="468"/>
      <c r="AK256" s="468"/>
      <c r="AL256" s="468"/>
      <c r="AM256" s="468" t="s">
        <v>486</v>
      </c>
      <c r="AN256" s="10">
        <v>5.15</v>
      </c>
      <c r="AO256" s="9"/>
      <c r="AP256" s="9"/>
      <c r="AQ256" s="9"/>
      <c r="AR256" s="9"/>
      <c r="AS256" s="9"/>
      <c r="AT256" s="9">
        <f>+ab($T$256,$T$254,$T$258,$G$255,$G$257, 1*$F$256,1200)</f>
        <v>3.74899803515539</v>
      </c>
      <c r="AU256" s="447"/>
      <c r="AV256" s="447"/>
      <c r="AW256" s="468" t="str">
        <f>IF(C256&gt;0,VLOOKUP(C256,Foundation_Calc!$A$2:$C$13,3,1),
IF(J256&gt;0,VLOOKUP(J256,Foundation_Calc!$A$2:$C$13,3,1),""))</f>
        <v>MultiSoil</v>
      </c>
      <c r="AX256" s="468" t="str">
        <f>IF(C256&gt;0,VLOOKUP(C256,Foundation_Calc!$E$2:$G$13,3,1),
IF(J256&gt;0,VLOOKUP(J256,Foundation_Calc!$E$2:$G$13,3,1),""))</f>
        <v>PT</v>
      </c>
      <c r="AY256" s="10">
        <f>IF(L256="","",
IF(AX256="PT",VLOOKUP(L256,Foundation_Calc!$K$79:$R$112,VLOOKUP(AW256,Foundation_Calc!$I$2:$J$8,2,FALSE),0),
IF(AX256="K",VLOOKUP(L256,Foundation_Calc!$K$116:$R$149,VLOOKUP(AW256,Foundation_Calc!$I$2:$J$8,2,FALSE),0),"")))</f>
        <v>3.7</v>
      </c>
      <c r="AZ256" s="10" t="str">
        <f>IF(K256="","",
IF(AX256="PT",VLOOKUP(K256,Foundation_Calc!$K$79:$R$112,VLOOKUP(AW256,Foundation_Calc!$I$2:$J$8,2,FALSE),0),
IF(AX256="K",VLOOKUP(K256,Foundation_Calc!$K$116:$R$149,VLOOKUP(AW256,Foundation_Calc!$I$2:$J$8,2,FALSE),0),"")))</f>
        <v/>
      </c>
      <c r="BA256" s="553" t="str">
        <f t="shared" si="20"/>
        <v>ü</v>
      </c>
      <c r="BB256" s="553" t="str">
        <f t="shared" si="20"/>
        <v/>
      </c>
      <c r="BC256" s="553" t="str">
        <f t="shared" si="19"/>
        <v/>
      </c>
      <c r="BD256" s="572" t="str">
        <f>IF(AND(L256="",H256=""),"",
IF(H256="",Pole_Calc!A$9,
IF(H256="MP",Pole_Calc!A$10,
IF(H256="AnMP",Pole_Calc!A$11,
IF(H256="A",Pole_Calc!A$12,
IF(H256="S/A",Pole_Calc!A$13,
IF(H256="A/S",Pole_Calc!A$14,"Poner a mano")))))))</f>
        <v>App.7-V11H-P9.5.1.5</v>
      </c>
      <c r="BE256" s="448" t="s">
        <v>1726</v>
      </c>
      <c r="BF256" s="306"/>
      <c r="BG256" s="306"/>
      <c r="BH256" s="306"/>
      <c r="BI256" s="306"/>
    </row>
    <row r="257" spans="1:61" ht="16.2" customHeight="1">
      <c r="A257" s="573"/>
      <c r="B257" s="469"/>
      <c r="C257" s="3"/>
      <c r="D257" s="88"/>
      <c r="E257" s="4"/>
      <c r="F257" s="4"/>
      <c r="G257" s="6">
        <v>30</v>
      </c>
      <c r="H257" s="468"/>
      <c r="I257" s="468"/>
      <c r="J257" s="3"/>
      <c r="K257" s="468"/>
      <c r="L257" s="468"/>
      <c r="M257" s="468" t="str">
        <f>IF(L257="","",
IF(AX257="PT",VLOOKUP(L257,Foundation_Calc!$V$79:$X$112,VLOOKUP(AX257,Foundation_Calc!$I$10:$J$13,2,FALSE),0),
IF(AX257="K",VLOOKUP(L257,Foundation_Calc!$V$116:$X$149,VLOOKUP(AX257,Foundation_Calc!$I$10:$J$13,2,FALSE),0),"")))</f>
        <v/>
      </c>
      <c r="N257" s="468"/>
      <c r="O257" s="468"/>
      <c r="P257" s="468"/>
      <c r="Q257" s="4"/>
      <c r="R257" s="6"/>
      <c r="S257" s="6"/>
      <c r="T257" s="4"/>
      <c r="U257" s="4"/>
      <c r="V257" s="4"/>
      <c r="W257" s="9"/>
      <c r="X257" s="9"/>
      <c r="Y257" s="9"/>
      <c r="Z257" s="9"/>
      <c r="AA257" s="9"/>
      <c r="AB257" s="9"/>
      <c r="AC257" s="468" t="str">
        <f t="shared" si="18"/>
        <v/>
      </c>
      <c r="AD257" s="468"/>
      <c r="AE257" s="468"/>
      <c r="AF257" s="4"/>
      <c r="AG257" s="88"/>
      <c r="AH257" s="4"/>
      <c r="AI257" s="4"/>
      <c r="AJ257" s="468"/>
      <c r="AK257" s="468"/>
      <c r="AL257" s="468"/>
      <c r="AM257" s="468"/>
      <c r="AN257" s="10"/>
      <c r="AO257" s="9"/>
      <c r="AP257" s="9"/>
      <c r="AQ257" s="9">
        <f>+FL_1($T$258,$T$256,$G$257,1200,9.28, 1*$F$258)</f>
        <v>0.36319726739321778</v>
      </c>
      <c r="AR257" s="9"/>
      <c r="AS257" s="9"/>
      <c r="AT257" s="9"/>
      <c r="AU257" s="447"/>
      <c r="AV257" s="447"/>
      <c r="AW257" s="468" t="str">
        <f>IF(C257&gt;0,VLOOKUP(C257,Foundation_Calc!$A$2:$C$13,3,1),
IF(J257&gt;0,VLOOKUP(J257,Foundation_Calc!$A$2:$C$13,3,1),""))</f>
        <v/>
      </c>
      <c r="AX257" s="468" t="str">
        <f>IF(C257&gt;0,VLOOKUP(C257,Foundation_Calc!$E$2:$G$13,3,1),
IF(J257&gt;0,VLOOKUP(J257,Foundation_Calc!$E$2:$G$13,3,1),""))</f>
        <v/>
      </c>
      <c r="AY257" s="10" t="str">
        <f>IF(L257="","",
IF(AX257="PT",VLOOKUP(L257,Foundation_Calc!$K$79:$R$112,VLOOKUP(AW257,Foundation_Calc!$I$2:$J$8,2,FALSE),0),
IF(AX257="K",VLOOKUP(L257,Foundation_Calc!$K$116:$R$149,VLOOKUP(AW257,Foundation_Calc!$I$2:$J$8,2,FALSE),0),"")))</f>
        <v/>
      </c>
      <c r="AZ257" s="10" t="str">
        <f>IF(K257="","",
IF(AX257="PT",VLOOKUP(K257,Foundation_Calc!$K$79:$R$112,VLOOKUP(AW257,Foundation_Calc!$I$2:$J$8,2,FALSE),0),
IF(AX257="K",VLOOKUP(K257,Foundation_Calc!$K$116:$R$149,VLOOKUP(AW257,Foundation_Calc!$I$2:$J$8,2,FALSE),0),"")))</f>
        <v/>
      </c>
      <c r="BA257" s="553" t="str">
        <f t="shared" si="20"/>
        <v/>
      </c>
      <c r="BB257" s="553" t="str">
        <f t="shared" si="20"/>
        <v/>
      </c>
      <c r="BC257" s="553" t="str">
        <f t="shared" si="19"/>
        <v/>
      </c>
      <c r="BD257" s="572" t="str">
        <f>IF(AND(L257="",H257=""),"",
IF(H257="",Pole_Calc!A$9,
IF(H257="MP",Pole_Calc!A$10,
IF(H257="AnMP",Pole_Calc!A$11,
IF(H257="A",Pole_Calc!A$12,
IF(H257="S/A",Pole_Calc!A$13,
IF(H257="A/S",Pole_Calc!A$14,"Poner a mano")))))))</f>
        <v/>
      </c>
      <c r="BE257" s="448" t="s">
        <v>1726</v>
      </c>
      <c r="BF257" s="305"/>
      <c r="BG257" s="305"/>
      <c r="BH257" s="306"/>
      <c r="BI257" s="305"/>
    </row>
    <row r="258" spans="1:61" ht="16.2" customHeight="1">
      <c r="A258" s="573" t="s">
        <v>2380</v>
      </c>
      <c r="B258" s="638" t="s">
        <v>1982</v>
      </c>
      <c r="C258" s="3">
        <f>+$C$256+$G$257</f>
        <v>5621.7500000000009</v>
      </c>
      <c r="D258" s="88"/>
      <c r="E258" s="4"/>
      <c r="F258" s="4">
        <v>4726.3599999999997</v>
      </c>
      <c r="G258" s="6"/>
      <c r="H258" s="468" t="s">
        <v>26</v>
      </c>
      <c r="I258" s="468" t="s">
        <v>182</v>
      </c>
      <c r="J258" s="3"/>
      <c r="K258" s="468"/>
      <c r="L258" s="468" t="s">
        <v>449</v>
      </c>
      <c r="M258" s="468" t="str">
        <f>IF(L258="","",
IF(AX258="PT",VLOOKUP(L258,Foundation_Calc!$V$79:$X$112,VLOOKUP(AX258,Foundation_Calc!$I$10:$J$13,2,FALSE),0),
IF(AX258="K",VLOOKUP(L258,Foundation_Calc!$V$116:$X$149,VLOOKUP(AX258,Foundation_Calc!$I$10:$J$13,2,FALSE),0),"")))</f>
        <v>2C4R</v>
      </c>
      <c r="N258" s="468" t="s">
        <v>33</v>
      </c>
      <c r="O258" s="468"/>
      <c r="P258" s="468"/>
      <c r="Q258" s="4"/>
      <c r="R258" s="6"/>
      <c r="S258" s="6"/>
      <c r="T258" s="4">
        <v>30</v>
      </c>
      <c r="U258" s="4"/>
      <c r="V258" s="4"/>
      <c r="W258" s="9">
        <v>1</v>
      </c>
      <c r="X258" s="9"/>
      <c r="Y258" s="9"/>
      <c r="Z258" s="9"/>
      <c r="AA258" s="9"/>
      <c r="AB258" s="9"/>
      <c r="AC258" s="468" t="s">
        <v>630</v>
      </c>
      <c r="AD258" s="468"/>
      <c r="AE258" s="468"/>
      <c r="AF258" s="4"/>
      <c r="AG258" s="88"/>
      <c r="AH258" s="4"/>
      <c r="AI258" s="4"/>
      <c r="AJ258" s="468" t="s">
        <v>369</v>
      </c>
      <c r="AK258" s="468"/>
      <c r="AL258" s="468"/>
      <c r="AM258" s="468" t="s">
        <v>486</v>
      </c>
      <c r="AN258" s="10">
        <v>5.15</v>
      </c>
      <c r="AO258" s="9"/>
      <c r="AP258" s="9"/>
      <c r="AQ258" s="9"/>
      <c r="AR258" s="9"/>
      <c r="AS258" s="9"/>
      <c r="AT258" s="9">
        <f>+ab($T$258,$T$256,$T$260,$G$257,$G$259, 1*$F$258,1200)</f>
        <v>21.153940344917633</v>
      </c>
      <c r="AU258" s="447"/>
      <c r="AV258" s="447"/>
      <c r="AW258" s="468" t="str">
        <f>IF(C258&gt;0,VLOOKUP(C258,Foundation_Calc!$A$2:$C$13,3,1),
IF(J258&gt;0,VLOOKUP(J258,Foundation_Calc!$A$2:$C$13,3,1),""))</f>
        <v>MultiSoil</v>
      </c>
      <c r="AX258" s="468" t="str">
        <f>IF(C258&gt;0,VLOOKUP(C258,Foundation_Calc!$E$2:$G$13,3,1),
IF(J258&gt;0,VLOOKUP(J258,Foundation_Calc!$E$2:$G$13,3,1),""))</f>
        <v>PT</v>
      </c>
      <c r="AY258" s="10">
        <f>IF(L258="","",
IF(AX258="PT",VLOOKUP(L258,Foundation_Calc!$K$79:$R$112,VLOOKUP(AW258,Foundation_Calc!$I$2:$J$8,2,FALSE),0),
IF(AX258="K",VLOOKUP(L258,Foundation_Calc!$K$116:$R$149,VLOOKUP(AW258,Foundation_Calc!$I$2:$J$8,2,FALSE),0),"")))</f>
        <v>4</v>
      </c>
      <c r="AZ258" s="10" t="str">
        <f>IF(K258="","",
IF(AX258="PT",VLOOKUP(K258,Foundation_Calc!$K$79:$R$112,VLOOKUP(AW258,Foundation_Calc!$I$2:$J$8,2,FALSE),0),
IF(AX258="K",VLOOKUP(K258,Foundation_Calc!$K$116:$R$149,VLOOKUP(AW258,Foundation_Calc!$I$2:$J$8,2,FALSE),0),"")))</f>
        <v/>
      </c>
      <c r="BA258" s="553" t="str">
        <f t="shared" si="20"/>
        <v>ü</v>
      </c>
      <c r="BB258" s="553" t="str">
        <f t="shared" si="20"/>
        <v/>
      </c>
      <c r="BC258" s="553" t="str">
        <f t="shared" si="19"/>
        <v/>
      </c>
      <c r="BD258" s="572" t="str">
        <f>Pole_Calc!A$167</f>
        <v>App.7-V11H-P9.5.15.2</v>
      </c>
      <c r="BE258" s="448" t="s">
        <v>1726</v>
      </c>
      <c r="BF258" s="306"/>
      <c r="BG258" s="306"/>
      <c r="BH258" s="306"/>
      <c r="BI258" s="306"/>
    </row>
    <row r="259" spans="1:61" ht="16.2" customHeight="1">
      <c r="A259" s="573" t="s">
        <v>383</v>
      </c>
      <c r="B259" s="469"/>
      <c r="C259" s="3"/>
      <c r="D259" s="88"/>
      <c r="E259" s="4"/>
      <c r="F259" s="4"/>
      <c r="G259" s="6">
        <v>40</v>
      </c>
      <c r="H259" s="468"/>
      <c r="I259" s="468" t="s">
        <v>485</v>
      </c>
      <c r="J259" s="3">
        <v>5638</v>
      </c>
      <c r="K259" s="468" t="s">
        <v>451</v>
      </c>
      <c r="L259" s="468"/>
      <c r="M259" s="468" t="str">
        <f>IF(L259="","",
IF(AX259="PT",VLOOKUP(L259,Foundation_Calc!$V$79:$X$112,VLOOKUP(AX259,Foundation_Calc!$I$10:$J$13,2,FALSE),0),
IF(AX259="K",VLOOKUP(L259,Foundation_Calc!$V$116:$X$149,VLOOKUP(AX259,Foundation_Calc!$I$10:$J$13,2,FALSE),0),"")))</f>
        <v/>
      </c>
      <c r="N259" s="468"/>
      <c r="O259" s="468"/>
      <c r="P259" s="468"/>
      <c r="Q259" s="4"/>
      <c r="R259" s="6"/>
      <c r="S259" s="6"/>
      <c r="T259" s="4"/>
      <c r="U259" s="4"/>
      <c r="V259" s="4"/>
      <c r="W259" s="9"/>
      <c r="X259" s="9"/>
      <c r="Y259" s="9"/>
      <c r="Z259" s="9"/>
      <c r="AA259" s="9"/>
      <c r="AB259" s="9"/>
      <c r="AC259" s="468" t="str">
        <f t="shared" si="18"/>
        <v/>
      </c>
      <c r="AD259" s="468"/>
      <c r="AE259" s="468"/>
      <c r="AF259" s="4"/>
      <c r="AG259" s="88"/>
      <c r="AH259" s="4"/>
      <c r="AI259" s="4"/>
      <c r="AJ259" s="468"/>
      <c r="AK259" s="468"/>
      <c r="AL259" s="468"/>
      <c r="AM259" s="468"/>
      <c r="AN259" s="10"/>
      <c r="AO259" s="9"/>
      <c r="AP259" s="9"/>
      <c r="AQ259" s="9">
        <f>+FL_1($T$260,$T$258,$G$259,1200,9.28, 1*$F$260)</f>
        <v>0.43067689866666664</v>
      </c>
      <c r="AR259" s="9"/>
      <c r="AS259" s="9"/>
      <c r="AT259" s="9"/>
      <c r="AU259" s="447"/>
      <c r="AV259" s="447"/>
      <c r="AW259" s="468"/>
      <c r="AX259" s="468"/>
      <c r="AY259" s="10" t="str">
        <f>IF(L259="","",
IF(AX259="PT",VLOOKUP(L259,Foundation_Calc!$K$79:$R$112,VLOOKUP(AW259,Foundation_Calc!$I$2:$J$8,2,FALSE),0),
IF(AX259="K",VLOOKUP(L259,Foundation_Calc!$K$116:$R$149,VLOOKUP(AW259,Foundation_Calc!$I$2:$J$8,2,FALSE),0),"")))</f>
        <v/>
      </c>
      <c r="AZ259" s="10" t="str">
        <f>IF(K259="","",
IF(AX259="PT",VLOOKUP(K259,Foundation_Calc!$K$79:$R$112,VLOOKUP(AW259,Foundation_Calc!$I$2:$J$8,2,FALSE),0),
IF(AX259="K",VLOOKUP(K259,Foundation_Calc!$K$116:$R$149,VLOOKUP(AW259,Foundation_Calc!$I$2:$J$8,2,FALSE),0),"")))</f>
        <v/>
      </c>
      <c r="BA259" s="553" t="str">
        <f t="shared" si="20"/>
        <v/>
      </c>
      <c r="BB259" s="553" t="str">
        <f t="shared" si="20"/>
        <v/>
      </c>
      <c r="BC259" s="553" t="str">
        <f t="shared" si="19"/>
        <v/>
      </c>
      <c r="BD259" s="572"/>
      <c r="BE259" s="448" t="s">
        <v>1726</v>
      </c>
      <c r="BF259" s="305"/>
      <c r="BG259" s="305"/>
      <c r="BH259" s="306"/>
      <c r="BI259" s="305"/>
    </row>
    <row r="260" spans="1:61" ht="16.2" customHeight="1">
      <c r="A260" s="624" t="s">
        <v>383</v>
      </c>
      <c r="B260" s="469" t="s">
        <v>1983</v>
      </c>
      <c r="C260" s="3">
        <f>+$C$258+$G$259</f>
        <v>5661.7500000000009</v>
      </c>
      <c r="D260" s="88"/>
      <c r="E260" s="4"/>
      <c r="F260" s="4">
        <v>0</v>
      </c>
      <c r="G260" s="6"/>
      <c r="H260" s="468"/>
      <c r="I260" s="468" t="s">
        <v>485</v>
      </c>
      <c r="J260" s="3">
        <v>5638</v>
      </c>
      <c r="K260" s="468" t="s">
        <v>451</v>
      </c>
      <c r="L260" s="468"/>
      <c r="M260" s="468" t="str">
        <f>IF(L260="","",
IF(AX260="PT",VLOOKUP(L260,Foundation_Calc!$V$79:$X$112,VLOOKUP(AX260,Foundation_Calc!$I$10:$J$13,2,FALSE),0),
IF(AX260="K",VLOOKUP(L260,Foundation_Calc!$V$116:$X$149,VLOOKUP(AX260,Foundation_Calc!$I$10:$J$13,2,FALSE),0),"")))</f>
        <v/>
      </c>
      <c r="N260" s="648" t="s">
        <v>192</v>
      </c>
      <c r="O260" s="468"/>
      <c r="P260" s="468"/>
      <c r="Q260" s="4"/>
      <c r="R260" s="6"/>
      <c r="S260" s="6"/>
      <c r="T260" s="4">
        <v>25</v>
      </c>
      <c r="U260" s="4"/>
      <c r="V260" s="4"/>
      <c r="W260" s="9">
        <v>1</v>
      </c>
      <c r="X260" s="9"/>
      <c r="Y260" s="9"/>
      <c r="Z260" s="9"/>
      <c r="AA260" s="9"/>
      <c r="AB260" s="9"/>
      <c r="AC260" s="468" t="s">
        <v>630</v>
      </c>
      <c r="AD260" s="468"/>
      <c r="AE260" s="468"/>
      <c r="AF260" s="4"/>
      <c r="AG260" s="88"/>
      <c r="AH260" s="4"/>
      <c r="AI260" s="4"/>
      <c r="AJ260" s="468"/>
      <c r="AK260" s="468" t="s">
        <v>41</v>
      </c>
      <c r="AL260" s="468"/>
      <c r="AM260" s="468" t="s">
        <v>2458</v>
      </c>
      <c r="AN260" s="10">
        <v>5.15</v>
      </c>
      <c r="AO260" s="9"/>
      <c r="AP260" s="9"/>
      <c r="AQ260" s="9"/>
      <c r="AR260" s="9"/>
      <c r="AS260" s="9"/>
      <c r="AT260" s="9"/>
      <c r="AU260" s="447"/>
      <c r="AV260" s="447"/>
      <c r="AW260" s="468" t="s">
        <v>199</v>
      </c>
      <c r="AX260" s="468" t="s">
        <v>199</v>
      </c>
      <c r="AY260" s="10" t="str">
        <f>IF(L260="","",
IF(AX260="PT",VLOOKUP(L260,Foundation_Calc!$K$79:$R$112,VLOOKUP(AW260,Foundation_Calc!$I$2:$J$8,2,FALSE),0),
IF(AX260="K",VLOOKUP(L260,Foundation_Calc!$K$116:$R$149,VLOOKUP(AW260,Foundation_Calc!$I$2:$J$8,2,FALSE),0),"")))</f>
        <v/>
      </c>
      <c r="AZ260" s="10" t="str">
        <f>IF(K260="","",
IF(AX260="PT",VLOOKUP(K260,Foundation_Calc!$K$79:$R$112,VLOOKUP(AW260,Foundation_Calc!$I$2:$J$8,2,FALSE),0),
IF(AX260="K",VLOOKUP(K260,Foundation_Calc!$K$116:$R$149,VLOOKUP(AW260,Foundation_Calc!$I$2:$J$8,2,FALSE),0),"")))</f>
        <v/>
      </c>
      <c r="BA260" s="553" t="str">
        <f t="shared" si="20"/>
        <v/>
      </c>
      <c r="BB260" s="553" t="str">
        <f t="shared" si="20"/>
        <v/>
      </c>
      <c r="BC260" s="553" t="str">
        <f t="shared" si="19"/>
        <v/>
      </c>
      <c r="BD260" s="572"/>
      <c r="BE260" s="448" t="s">
        <v>1726</v>
      </c>
      <c r="BF260" s="306"/>
      <c r="BG260" s="306"/>
      <c r="BH260" s="306"/>
      <c r="BI260" s="306"/>
    </row>
    <row r="261" spans="1:61" ht="16.2" customHeight="1">
      <c r="A261" s="624" t="s">
        <v>383</v>
      </c>
      <c r="B261" s="469"/>
      <c r="C261" s="3"/>
      <c r="D261" s="88"/>
      <c r="E261" s="4"/>
      <c r="F261" s="4"/>
      <c r="G261" s="6">
        <v>35</v>
      </c>
      <c r="H261" s="468"/>
      <c r="I261" s="468"/>
      <c r="J261" s="3"/>
      <c r="K261" s="468"/>
      <c r="L261" s="468"/>
      <c r="M261" s="468" t="str">
        <f>IF(L261="","",
IF(AX261="PT",VLOOKUP(L261,Foundation_Calc!$V$79:$X$112,VLOOKUP(AX261,Foundation_Calc!$I$10:$J$13,2,FALSE),0),
IF(AX261="K",VLOOKUP(L261,Foundation_Calc!$V$116:$X$149,VLOOKUP(AX261,Foundation_Calc!$I$10:$J$13,2,FALSE),0),"")))</f>
        <v/>
      </c>
      <c r="N261" s="468"/>
      <c r="O261" s="468"/>
      <c r="P261" s="468"/>
      <c r="Q261" s="4"/>
      <c r="R261" s="6"/>
      <c r="S261" s="6"/>
      <c r="T261" s="4"/>
      <c r="U261" s="4"/>
      <c r="V261" s="4"/>
      <c r="W261" s="9"/>
      <c r="X261" s="9"/>
      <c r="Y261" s="9"/>
      <c r="Z261" s="9"/>
      <c r="AA261" s="9"/>
      <c r="AB261" s="9"/>
      <c r="AC261" s="468" t="s">
        <v>195</v>
      </c>
      <c r="AD261" s="468"/>
      <c r="AE261" s="468"/>
      <c r="AF261" s="4"/>
      <c r="AG261" s="88"/>
      <c r="AH261" s="4"/>
      <c r="AI261" s="4"/>
      <c r="AJ261" s="468"/>
      <c r="AK261" s="468"/>
      <c r="AL261" s="468"/>
      <c r="AM261" s="468"/>
      <c r="AN261" s="10"/>
      <c r="AO261" s="9"/>
      <c r="AP261" s="9"/>
      <c r="AQ261" s="9"/>
      <c r="AR261" s="9"/>
      <c r="AS261" s="9"/>
      <c r="AT261" s="9"/>
      <c r="AU261" s="447"/>
      <c r="AV261" s="447"/>
      <c r="AW261" s="468"/>
      <c r="AX261" s="468"/>
      <c r="AY261" s="10" t="str">
        <f>IF(L261="","",
IF(AX261="PT",VLOOKUP(L261,Foundation_Calc!$K$79:$R$112,VLOOKUP(AW261,Foundation_Calc!$I$2:$J$8,2,FALSE),0),
IF(AX261="K",VLOOKUP(L261,Foundation_Calc!$K$116:$R$149,VLOOKUP(AW261,Foundation_Calc!$I$2:$J$8,2,FALSE),0),"")))</f>
        <v/>
      </c>
      <c r="AZ261" s="10" t="str">
        <f>IF(K261="","",
IF(AX261="PT",VLOOKUP(K261,Foundation_Calc!$K$79:$R$112,VLOOKUP(AW261,Foundation_Calc!$I$2:$J$8,2,FALSE),0),
IF(AX261="K",VLOOKUP(K261,Foundation_Calc!$K$116:$R$149,VLOOKUP(AW261,Foundation_Calc!$I$2:$J$8,2,FALSE),0),"")))</f>
        <v/>
      </c>
      <c r="BA261" s="553" t="str">
        <f t="shared" si="20"/>
        <v/>
      </c>
      <c r="BB261" s="553" t="str">
        <f t="shared" si="20"/>
        <v/>
      </c>
      <c r="BC261" s="553" t="str">
        <f t="shared" si="19"/>
        <v/>
      </c>
      <c r="BD261" s="572"/>
      <c r="BE261" s="448" t="s">
        <v>1726</v>
      </c>
      <c r="BF261" s="305"/>
      <c r="BG261" s="305"/>
      <c r="BH261" s="306"/>
      <c r="BI261" s="305"/>
    </row>
    <row r="262" spans="1:61" ht="16.2" customHeight="1">
      <c r="A262" s="624" t="s">
        <v>383</v>
      </c>
      <c r="B262" s="469" t="s">
        <v>2037</v>
      </c>
      <c r="C262" s="3">
        <f>+$C$260+$G$261</f>
        <v>5696.7500000000009</v>
      </c>
      <c r="D262" s="88"/>
      <c r="E262" s="4"/>
      <c r="F262" s="4">
        <v>0</v>
      </c>
      <c r="G262" s="6"/>
      <c r="H262" s="468"/>
      <c r="I262" s="468"/>
      <c r="J262" s="3"/>
      <c r="K262" s="468"/>
      <c r="L262" s="468"/>
      <c r="M262" s="468" t="str">
        <f>IF(L262="","",
IF(AX262="PT",VLOOKUP(L262,Foundation_Calc!$V$79:$X$112,VLOOKUP(AX262,Foundation_Calc!$I$10:$J$13,2,FALSE),0),
IF(AX262="K",VLOOKUP(L262,Foundation_Calc!$V$116:$X$149,VLOOKUP(AX262,Foundation_Calc!$I$10:$J$13,2,FALSE),0),"")))</f>
        <v/>
      </c>
      <c r="N262" s="468" t="s">
        <v>191</v>
      </c>
      <c r="O262" s="468"/>
      <c r="P262" s="468"/>
      <c r="Q262" s="4"/>
      <c r="R262" s="6"/>
      <c r="S262" s="6"/>
      <c r="T262" s="4">
        <v>-25</v>
      </c>
      <c r="U262" s="4"/>
      <c r="V262" s="4"/>
      <c r="W262" s="9">
        <v>1</v>
      </c>
      <c r="X262" s="9"/>
      <c r="Y262" s="9"/>
      <c r="Z262" s="9"/>
      <c r="AA262" s="9"/>
      <c r="AB262" s="9"/>
      <c r="AC262" s="468" t="s">
        <v>1340</v>
      </c>
      <c r="AD262" s="468"/>
      <c r="AE262" s="468"/>
      <c r="AF262" s="4"/>
      <c r="AG262" s="88"/>
      <c r="AH262" s="4"/>
      <c r="AI262" s="4"/>
      <c r="AJ262" s="468"/>
      <c r="AK262" s="468" t="s">
        <v>41</v>
      </c>
      <c r="AL262" s="468"/>
      <c r="AM262" s="468" t="s">
        <v>2458</v>
      </c>
      <c r="AN262" s="10">
        <v>5.15</v>
      </c>
      <c r="AO262" s="9"/>
      <c r="AP262" s="9"/>
      <c r="AQ262" s="9"/>
      <c r="AR262" s="9"/>
      <c r="AS262" s="9"/>
      <c r="AT262" s="9"/>
      <c r="AU262" s="447"/>
      <c r="AV262" s="447"/>
      <c r="AW262" s="468" t="s">
        <v>199</v>
      </c>
      <c r="AX262" s="468" t="s">
        <v>199</v>
      </c>
      <c r="AY262" s="10" t="str">
        <f>IF(L262="","",
IF(AX262="PT",VLOOKUP(L262,Foundation_Calc!$K$79:$R$112,VLOOKUP(AW262,Foundation_Calc!$I$2:$J$8,2,FALSE),0),
IF(AX262="K",VLOOKUP(L262,Foundation_Calc!$K$116:$R$149,VLOOKUP(AW262,Foundation_Calc!$I$2:$J$8,2,FALSE),0),"")))</f>
        <v/>
      </c>
      <c r="AZ262" s="10" t="str">
        <f>IF(K262="","",
IF(AX262="PT",VLOOKUP(K262,Foundation_Calc!$K$79:$R$112,VLOOKUP(AW262,Foundation_Calc!$I$2:$J$8,2,FALSE),0),
IF(AX262="K",VLOOKUP(K262,Foundation_Calc!$K$116:$R$149,VLOOKUP(AW262,Foundation_Calc!$I$2:$J$8,2,FALSE),0),"")))</f>
        <v/>
      </c>
      <c r="BA262" s="553" t="str">
        <f t="shared" si="20"/>
        <v/>
      </c>
      <c r="BB262" s="553" t="str">
        <f t="shared" si="20"/>
        <v/>
      </c>
      <c r="BC262" s="553" t="str">
        <f t="shared" si="19"/>
        <v/>
      </c>
      <c r="BD262" s="572"/>
      <c r="BE262" s="448" t="s">
        <v>1726</v>
      </c>
      <c r="BF262" s="306"/>
      <c r="BG262" s="306"/>
      <c r="BH262" s="306"/>
      <c r="BI262" s="306"/>
    </row>
    <row r="263" spans="1:61" ht="16.2" customHeight="1">
      <c r="A263" s="624" t="s">
        <v>383</v>
      </c>
      <c r="B263" s="469"/>
      <c r="C263" s="3"/>
      <c r="D263" s="88"/>
      <c r="E263" s="4"/>
      <c r="F263" s="4"/>
      <c r="G263" s="6">
        <v>30</v>
      </c>
      <c r="H263" s="468"/>
      <c r="I263" s="4"/>
      <c r="J263" s="3"/>
      <c r="K263" s="468"/>
      <c r="L263" s="468"/>
      <c r="M263" s="468" t="str">
        <f>IF(L263="","",
IF(AX263="PT",VLOOKUP(L263,Foundation_Calc!$V$79:$X$112,VLOOKUP(AX263,Foundation_Calc!$I$10:$J$13,2,FALSE),0),
IF(AX263="K",VLOOKUP(L263,Foundation_Calc!$V$116:$X$149,VLOOKUP(AX263,Foundation_Calc!$I$10:$J$13,2,FALSE),0),"")))</f>
        <v/>
      </c>
      <c r="N263" s="468"/>
      <c r="O263" s="468"/>
      <c r="P263" s="468"/>
      <c r="Q263" s="4"/>
      <c r="R263" s="6"/>
      <c r="S263" s="6"/>
      <c r="T263" s="4"/>
      <c r="U263" s="4"/>
      <c r="V263" s="4"/>
      <c r="W263" s="9"/>
      <c r="X263" s="9"/>
      <c r="Y263" s="9"/>
      <c r="Z263" s="9"/>
      <c r="AA263" s="9"/>
      <c r="AB263" s="9"/>
      <c r="AC263" s="468" t="s">
        <v>195</v>
      </c>
      <c r="AD263" s="468"/>
      <c r="AE263" s="468"/>
      <c r="AF263" s="4"/>
      <c r="AG263" s="88"/>
      <c r="AH263" s="4"/>
      <c r="AI263" s="4"/>
      <c r="AJ263" s="468"/>
      <c r="AK263" s="468"/>
      <c r="AL263" s="468"/>
      <c r="AM263" s="468"/>
      <c r="AN263" s="10"/>
      <c r="AO263" s="9"/>
      <c r="AP263" s="9"/>
      <c r="AQ263" s="9"/>
      <c r="AR263" s="9"/>
      <c r="AS263" s="9"/>
      <c r="AT263" s="9"/>
      <c r="AU263" s="447"/>
      <c r="AV263" s="447"/>
      <c r="AW263" s="468"/>
      <c r="AX263" s="468"/>
      <c r="AY263" s="10" t="str">
        <f>IF(L263="","",
IF(AX263="PT",VLOOKUP(L263,Foundation_Calc!$K$79:$R$112,VLOOKUP(AW263,Foundation_Calc!$I$2:$J$8,2,FALSE),0),
IF(AX263="K",VLOOKUP(L263,Foundation_Calc!$K$116:$R$149,VLOOKUP(AW263,Foundation_Calc!$I$2:$J$8,2,FALSE),0),"")))</f>
        <v/>
      </c>
      <c r="AZ263" s="10" t="str">
        <f>IF(K263="","",
IF(AX263="PT",VLOOKUP(K263,Foundation_Calc!$K$79:$R$112,VLOOKUP(AW263,Foundation_Calc!$I$2:$J$8,2,FALSE),0),
IF(AX263="K",VLOOKUP(K263,Foundation_Calc!$K$116:$R$149,VLOOKUP(AW263,Foundation_Calc!$I$2:$J$8,2,FALSE),0),"")))</f>
        <v/>
      </c>
      <c r="BA263" s="553" t="str">
        <f t="shared" si="20"/>
        <v/>
      </c>
      <c r="BB263" s="553" t="str">
        <f t="shared" si="20"/>
        <v/>
      </c>
      <c r="BC263" s="553" t="str">
        <f t="shared" si="19"/>
        <v/>
      </c>
      <c r="BD263" s="572"/>
      <c r="BE263" s="448" t="s">
        <v>1726</v>
      </c>
      <c r="BF263" s="305"/>
      <c r="BG263" s="305"/>
      <c r="BH263" s="306"/>
      <c r="BI263" s="305"/>
    </row>
    <row r="264" spans="1:61" ht="16.2" customHeight="1">
      <c r="A264" s="624" t="s">
        <v>383</v>
      </c>
      <c r="B264" s="469" t="s">
        <v>2038</v>
      </c>
      <c r="C264" s="3">
        <f>+$C$262+$G$263</f>
        <v>5726.7500000000009</v>
      </c>
      <c r="D264" s="88"/>
      <c r="E264" s="4"/>
      <c r="F264" s="4">
        <v>-1593.3</v>
      </c>
      <c r="G264" s="6"/>
      <c r="H264" s="468"/>
      <c r="I264" s="468"/>
      <c r="J264" s="3"/>
      <c r="K264" s="468"/>
      <c r="L264" s="468"/>
      <c r="M264" s="468" t="str">
        <f>IF(L264="","",
IF(AX264="PT",VLOOKUP(L264,Foundation_Calc!$V$79:$X$112,VLOOKUP(AX264,Foundation_Calc!$I$10:$J$13,2,FALSE),0),
IF(AX264="K",VLOOKUP(L264,Foundation_Calc!$V$116:$X$149,VLOOKUP(AX264,Foundation_Calc!$I$10:$J$13,2,FALSE),0),"")))</f>
        <v/>
      </c>
      <c r="N264" s="468" t="s">
        <v>192</v>
      </c>
      <c r="O264" s="468"/>
      <c r="P264" s="468"/>
      <c r="Q264" s="4"/>
      <c r="R264" s="6"/>
      <c r="S264" s="6"/>
      <c r="T264" s="4">
        <v>25</v>
      </c>
      <c r="U264" s="4"/>
      <c r="V264" s="4"/>
      <c r="W264" s="9">
        <v>1</v>
      </c>
      <c r="X264" s="9"/>
      <c r="Y264" s="9"/>
      <c r="Z264" s="9"/>
      <c r="AA264" s="9"/>
      <c r="AB264" s="9"/>
      <c r="AC264" s="468" t="s">
        <v>630</v>
      </c>
      <c r="AD264" s="468"/>
      <c r="AE264" s="468"/>
      <c r="AF264" s="4"/>
      <c r="AG264" s="88"/>
      <c r="AH264" s="4"/>
      <c r="AI264" s="4"/>
      <c r="AJ264" s="468"/>
      <c r="AK264" s="468" t="s">
        <v>41</v>
      </c>
      <c r="AL264" s="468"/>
      <c r="AM264" s="468" t="s">
        <v>2458</v>
      </c>
      <c r="AN264" s="10">
        <v>5.15</v>
      </c>
      <c r="AO264" s="9"/>
      <c r="AP264" s="9"/>
      <c r="AQ264" s="9"/>
      <c r="AR264" s="9"/>
      <c r="AS264" s="9"/>
      <c r="AT264" s="9"/>
      <c r="AU264" s="447"/>
      <c r="AV264" s="447"/>
      <c r="AW264" s="468" t="s">
        <v>199</v>
      </c>
      <c r="AX264" s="468" t="s">
        <v>199</v>
      </c>
      <c r="AY264" s="10" t="str">
        <f>IF(L264="","",
IF(AX264="PT",VLOOKUP(L264,Foundation_Calc!$K$79:$R$112,VLOOKUP(AW264,Foundation_Calc!$I$2:$J$8,2,FALSE),0),
IF(AX264="K",VLOOKUP(L264,Foundation_Calc!$K$116:$R$149,VLOOKUP(AW264,Foundation_Calc!$I$2:$J$8,2,FALSE),0),"")))</f>
        <v/>
      </c>
      <c r="AZ264" s="10" t="str">
        <f>IF(K264="","",
IF(AX264="PT",VLOOKUP(K264,Foundation_Calc!$K$79:$R$112,VLOOKUP(AW264,Foundation_Calc!$I$2:$J$8,2,FALSE),0),
IF(AX264="K",VLOOKUP(K264,Foundation_Calc!$K$116:$R$149,VLOOKUP(AW264,Foundation_Calc!$I$2:$J$8,2,FALSE),0),"")))</f>
        <v/>
      </c>
      <c r="BA264" s="553" t="str">
        <f t="shared" si="20"/>
        <v/>
      </c>
      <c r="BB264" s="553" t="str">
        <f t="shared" si="20"/>
        <v/>
      </c>
      <c r="BC264" s="553" t="str">
        <f t="shared" si="19"/>
        <v/>
      </c>
      <c r="BD264" s="572"/>
      <c r="BE264" s="448" t="s">
        <v>1726</v>
      </c>
      <c r="BF264" s="306"/>
      <c r="BG264" s="306"/>
      <c r="BH264" s="306"/>
      <c r="BI264" s="306"/>
    </row>
    <row r="265" spans="1:61" ht="16.2" customHeight="1">
      <c r="A265" s="624" t="s">
        <v>383</v>
      </c>
      <c r="B265" s="469"/>
      <c r="C265" s="3"/>
      <c r="D265" s="88"/>
      <c r="E265" s="4"/>
      <c r="F265" s="4"/>
      <c r="G265" s="6">
        <v>30</v>
      </c>
      <c r="H265" s="468"/>
      <c r="I265" s="4"/>
      <c r="J265" s="3"/>
      <c r="K265" s="468"/>
      <c r="L265" s="468"/>
      <c r="M265" s="468" t="str">
        <f>IF(L265="","",
IF(AX265="PT",VLOOKUP(L265,Foundation_Calc!$V$79:$X$112,VLOOKUP(AX265,Foundation_Calc!$I$10:$J$13,2,FALSE),0),
IF(AX265="K",VLOOKUP(L265,Foundation_Calc!$V$116:$X$149,VLOOKUP(AX265,Foundation_Calc!$I$10:$J$13,2,FALSE),0),"")))</f>
        <v/>
      </c>
      <c r="N265" s="468"/>
      <c r="O265" s="468"/>
      <c r="P265" s="468"/>
      <c r="Q265" s="4"/>
      <c r="R265" s="6"/>
      <c r="S265" s="6"/>
      <c r="T265" s="4"/>
      <c r="U265" s="4"/>
      <c r="V265" s="4"/>
      <c r="W265" s="9"/>
      <c r="X265" s="9"/>
      <c r="Y265" s="9"/>
      <c r="Z265" s="9"/>
      <c r="AA265" s="9"/>
      <c r="AB265" s="9"/>
      <c r="AC265" s="468" t="s">
        <v>195</v>
      </c>
      <c r="AD265" s="468"/>
      <c r="AE265" s="468"/>
      <c r="AF265" s="4"/>
      <c r="AG265" s="88"/>
      <c r="AH265" s="4"/>
      <c r="AI265" s="4"/>
      <c r="AJ265" s="468"/>
      <c r="AK265" s="468"/>
      <c r="AL265" s="468"/>
      <c r="AM265" s="468"/>
      <c r="AN265" s="10"/>
      <c r="AO265" s="9"/>
      <c r="AP265" s="9"/>
      <c r="AQ265" s="9"/>
      <c r="AR265" s="9"/>
      <c r="AS265" s="9"/>
      <c r="AT265" s="9"/>
      <c r="AU265" s="447"/>
      <c r="AV265" s="447"/>
      <c r="AW265" s="468"/>
      <c r="AX265" s="468"/>
      <c r="AY265" s="10" t="str">
        <f>IF(L265="","",
IF(AX265="PT",VLOOKUP(L265,Foundation_Calc!$K$79:$R$112,VLOOKUP(AW265,Foundation_Calc!$I$2:$J$8,2,FALSE),0),
IF(AX265="K",VLOOKUP(L265,Foundation_Calc!$K$116:$R$149,VLOOKUP(AW265,Foundation_Calc!$I$2:$J$8,2,FALSE),0),"")))</f>
        <v/>
      </c>
      <c r="AZ265" s="10" t="str">
        <f>IF(K265="","",
IF(AX265="PT",VLOOKUP(K265,Foundation_Calc!$K$79:$R$112,VLOOKUP(AW265,Foundation_Calc!$I$2:$J$8,2,FALSE),0),
IF(AX265="K",VLOOKUP(K265,Foundation_Calc!$K$116:$R$149,VLOOKUP(AW265,Foundation_Calc!$I$2:$J$8,2,FALSE),0),"")))</f>
        <v/>
      </c>
      <c r="BA265" s="553" t="str">
        <f t="shared" si="20"/>
        <v/>
      </c>
      <c r="BB265" s="553" t="str">
        <f t="shared" si="20"/>
        <v/>
      </c>
      <c r="BC265" s="553" t="str">
        <f t="shared" si="19"/>
        <v/>
      </c>
      <c r="BD265" s="572"/>
      <c r="BE265" s="448" t="s">
        <v>1726</v>
      </c>
      <c r="BF265" s="305"/>
      <c r="BG265" s="305"/>
      <c r="BH265" s="306"/>
      <c r="BI265" s="305"/>
    </row>
    <row r="266" spans="1:61" ht="16.2" customHeight="1">
      <c r="A266" s="624" t="s">
        <v>383</v>
      </c>
      <c r="B266" s="469" t="s">
        <v>2039</v>
      </c>
      <c r="C266" s="3">
        <f>+$C$264+$G$265</f>
        <v>5756.7500000000009</v>
      </c>
      <c r="D266" s="88"/>
      <c r="E266" s="4"/>
      <c r="F266" s="4">
        <v>-541.5</v>
      </c>
      <c r="G266" s="6"/>
      <c r="H266" s="468"/>
      <c r="I266" s="468"/>
      <c r="J266" s="501"/>
      <c r="K266" s="468"/>
      <c r="L266" s="468"/>
      <c r="M266" s="468" t="str">
        <f>IF(L266="","",
IF(AX266="PT",VLOOKUP(L266,Foundation_Calc!$V$79:$X$112,VLOOKUP(AX266,Foundation_Calc!$I$10:$J$13,2,FALSE),0),
IF(AX266="K",VLOOKUP(L266,Foundation_Calc!$V$116:$X$149,VLOOKUP(AX266,Foundation_Calc!$I$10:$J$13,2,FALSE),0),"")))</f>
        <v/>
      </c>
      <c r="N266" s="468" t="s">
        <v>192</v>
      </c>
      <c r="O266" s="468"/>
      <c r="P266" s="468"/>
      <c r="Q266" s="4"/>
      <c r="R266" s="6"/>
      <c r="S266" s="6"/>
      <c r="T266" s="4">
        <v>25</v>
      </c>
      <c r="U266" s="4"/>
      <c r="V266" s="4"/>
      <c r="W266" s="9">
        <v>1</v>
      </c>
      <c r="X266" s="9"/>
      <c r="Y266" s="9"/>
      <c r="Z266" s="9"/>
      <c r="AA266" s="9"/>
      <c r="AB266" s="9"/>
      <c r="AC266" s="468" t="s">
        <v>1341</v>
      </c>
      <c r="AD266" s="468"/>
      <c r="AE266" s="468"/>
      <c r="AF266" s="4"/>
      <c r="AG266" s="88"/>
      <c r="AH266" s="4"/>
      <c r="AI266" s="4"/>
      <c r="AJ266" s="468"/>
      <c r="AK266" s="468" t="s">
        <v>41</v>
      </c>
      <c r="AL266" s="468"/>
      <c r="AM266" s="468" t="s">
        <v>2458</v>
      </c>
      <c r="AN266" s="10">
        <v>5.15</v>
      </c>
      <c r="AO266" s="9"/>
      <c r="AP266" s="9"/>
      <c r="AQ266" s="9"/>
      <c r="AR266" s="9"/>
      <c r="AS266" s="9"/>
      <c r="AT266" s="9"/>
      <c r="AU266" s="447"/>
      <c r="AV266" s="447"/>
      <c r="AW266" s="468" t="s">
        <v>199</v>
      </c>
      <c r="AX266" s="468" t="s">
        <v>199</v>
      </c>
      <c r="AY266" s="10" t="str">
        <f>IF(L266="","",
IF(AX266="PT",VLOOKUP(L266,Foundation_Calc!$K$79:$R$112,VLOOKUP(AW266,Foundation_Calc!$I$2:$J$8,2,FALSE),0),
IF(AX266="K",VLOOKUP(L266,Foundation_Calc!$K$116:$R$149,VLOOKUP(AW266,Foundation_Calc!$I$2:$J$8,2,FALSE),0),"")))</f>
        <v/>
      </c>
      <c r="AZ266" s="10" t="str">
        <f>IF(K266="","",
IF(AX266="PT",VLOOKUP(K266,Foundation_Calc!$K$79:$R$112,VLOOKUP(AW266,Foundation_Calc!$I$2:$J$8,2,FALSE),0),
IF(AX266="K",VLOOKUP(K266,Foundation_Calc!$K$116:$R$149,VLOOKUP(AW266,Foundation_Calc!$I$2:$J$8,2,FALSE),0),"")))</f>
        <v/>
      </c>
      <c r="BA266" s="553" t="str">
        <f t="shared" si="20"/>
        <v/>
      </c>
      <c r="BB266" s="553" t="str">
        <f t="shared" si="20"/>
        <v/>
      </c>
      <c r="BC266" s="553" t="str">
        <f t="shared" si="19"/>
        <v/>
      </c>
      <c r="BD266" s="572"/>
      <c r="BE266" s="448" t="s">
        <v>1726</v>
      </c>
      <c r="BF266" s="306"/>
      <c r="BG266" s="306"/>
      <c r="BH266" s="306"/>
      <c r="BI266" s="306"/>
    </row>
    <row r="267" spans="1:61" ht="16.2" customHeight="1" thickBot="1">
      <c r="A267" s="625" t="s">
        <v>383</v>
      </c>
      <c r="B267" s="518"/>
      <c r="C267" s="519"/>
      <c r="D267" s="520"/>
      <c r="E267" s="521"/>
      <c r="F267" s="521"/>
      <c r="G267" s="522">
        <v>30</v>
      </c>
      <c r="H267" s="523"/>
      <c r="I267" s="523"/>
      <c r="J267" s="519"/>
      <c r="K267" s="523"/>
      <c r="L267" s="523"/>
      <c r="M267" s="523" t="str">
        <f>IF(L267="","",
IF(AX267="PT",VLOOKUP(L267,Foundation_Calc!$V$79:$X$112,VLOOKUP(AX267,Foundation_Calc!$I$10:$J$13,2,FALSE),0),
IF(AX267="K",VLOOKUP(L267,Foundation_Calc!$V$116:$X$149,VLOOKUP(AX267,Foundation_Calc!$I$10:$J$13,2,FALSE),0),"")))</f>
        <v/>
      </c>
      <c r="N267" s="523"/>
      <c r="O267" s="523"/>
      <c r="P267" s="523"/>
      <c r="Q267" s="521"/>
      <c r="R267" s="522"/>
      <c r="S267" s="522"/>
      <c r="T267" s="521"/>
      <c r="U267" s="521"/>
      <c r="V267" s="521"/>
      <c r="W267" s="524"/>
      <c r="X267" s="524"/>
      <c r="Y267" s="524"/>
      <c r="Z267" s="524"/>
      <c r="AA267" s="524"/>
      <c r="AB267" s="524"/>
      <c r="AC267" s="523" t="s">
        <v>195</v>
      </c>
      <c r="AD267" s="523"/>
      <c r="AE267" s="523"/>
      <c r="AF267" s="521"/>
      <c r="AG267" s="520"/>
      <c r="AH267" s="521"/>
      <c r="AI267" s="521"/>
      <c r="AJ267" s="523"/>
      <c r="AK267" s="523"/>
      <c r="AL267" s="523"/>
      <c r="AM267" s="523"/>
      <c r="AN267" s="525"/>
      <c r="AO267" s="524"/>
      <c r="AP267" s="524"/>
      <c r="AQ267" s="524"/>
      <c r="AR267" s="524"/>
      <c r="AS267" s="524"/>
      <c r="AT267" s="524"/>
      <c r="AU267" s="526"/>
      <c r="AV267" s="526"/>
      <c r="AW267" s="523"/>
      <c r="AX267" s="523"/>
      <c r="AY267" s="525" t="str">
        <f>IF(L267="","",
IF(AX267="PT",VLOOKUP(L267,Foundation_Calc!$K$79:$R$112,VLOOKUP(AW267,Foundation_Calc!$I$2:$J$8,2,FALSE),0),
IF(AX267="K",VLOOKUP(L267,Foundation_Calc!$K$116:$R$149,VLOOKUP(AW267,Foundation_Calc!$I$2:$J$8,2,FALSE),0),"")))</f>
        <v/>
      </c>
      <c r="AZ267" s="525" t="str">
        <f>IF(K267="","",
IF(AX267="PT",VLOOKUP(K267,Foundation_Calc!$K$79:$R$112,VLOOKUP(AW267,Foundation_Calc!$I$2:$J$8,2,FALSE),0),
IF(AX267="K",VLOOKUP(K267,Foundation_Calc!$K$116:$R$149,VLOOKUP(AW267,Foundation_Calc!$I$2:$J$8,2,FALSE),0),"")))</f>
        <v/>
      </c>
      <c r="BA267" s="554" t="str">
        <f t="shared" si="20"/>
        <v/>
      </c>
      <c r="BB267" s="554" t="str">
        <f t="shared" si="20"/>
        <v/>
      </c>
      <c r="BC267" s="554" t="str">
        <f t="shared" ref="BC267:BC330" si="21">IF(M267="","",IF(M267="U.S.","ü",IF(M267="U.S. N.D.","ü","")))</f>
        <v/>
      </c>
      <c r="BD267" s="576"/>
      <c r="BE267" s="448" t="s">
        <v>1726</v>
      </c>
      <c r="BF267" s="305"/>
      <c r="BG267" s="305"/>
      <c r="BH267" s="306"/>
      <c r="BI267" s="305"/>
    </row>
    <row r="268" spans="1:61" ht="16.2" customHeight="1" thickTop="1">
      <c r="A268" s="626" t="s">
        <v>383</v>
      </c>
      <c r="B268" s="605" t="s">
        <v>2040</v>
      </c>
      <c r="C268" s="606">
        <f>+$C$266+$G$267</f>
        <v>5786.7500000000009</v>
      </c>
      <c r="D268" s="607"/>
      <c r="E268" s="608"/>
      <c r="F268" s="608">
        <v>-541.5</v>
      </c>
      <c r="G268" s="609"/>
      <c r="H268" s="610"/>
      <c r="I268" s="610"/>
      <c r="J268" s="606"/>
      <c r="K268" s="610"/>
      <c r="L268" s="610"/>
      <c r="M268" s="610" t="str">
        <f>IF(L268="","",
IF(AX268="PT",VLOOKUP(L268,Foundation_Calc!$V$79:$X$112,VLOOKUP(AX268,Foundation_Calc!$I$10:$J$13,2,FALSE),0),
IF(AX268="K",VLOOKUP(L268,Foundation_Calc!$V$116:$X$149,VLOOKUP(AX268,Foundation_Calc!$I$10:$J$13,2,FALSE),0),"")))</f>
        <v/>
      </c>
      <c r="N268" s="610" t="s">
        <v>192</v>
      </c>
      <c r="O268" s="610"/>
      <c r="P268" s="610"/>
      <c r="Q268" s="608"/>
      <c r="R268" s="609"/>
      <c r="S268" s="609"/>
      <c r="T268" s="608">
        <v>25</v>
      </c>
      <c r="U268" s="608"/>
      <c r="V268" s="608"/>
      <c r="W268" s="611">
        <v>1</v>
      </c>
      <c r="X268" s="611"/>
      <c r="Y268" s="611"/>
      <c r="Z268" s="611"/>
      <c r="AA268" s="611"/>
      <c r="AB268" s="611"/>
      <c r="AC268" s="610" t="s">
        <v>1341</v>
      </c>
      <c r="AD268" s="610"/>
      <c r="AE268" s="610"/>
      <c r="AF268" s="608"/>
      <c r="AG268" s="607"/>
      <c r="AH268" s="608"/>
      <c r="AI268" s="608"/>
      <c r="AJ268" s="610"/>
      <c r="AK268" s="468" t="s">
        <v>41</v>
      </c>
      <c r="AL268" s="610"/>
      <c r="AM268" s="610" t="s">
        <v>2458</v>
      </c>
      <c r="AN268" s="612">
        <v>5.15</v>
      </c>
      <c r="AO268" s="611"/>
      <c r="AP268" s="611"/>
      <c r="AQ268" s="611"/>
      <c r="AR268" s="611"/>
      <c r="AS268" s="611"/>
      <c r="AT268" s="611"/>
      <c r="AU268" s="613"/>
      <c r="AV268" s="613"/>
      <c r="AW268" s="610" t="s">
        <v>199</v>
      </c>
      <c r="AX268" s="610" t="s">
        <v>199</v>
      </c>
      <c r="AY268" s="612" t="str">
        <f>IF(L268="","",
IF(AX268="PT",VLOOKUP(L268,Foundation_Calc!$K$79:$R$112,VLOOKUP(AW268,Foundation_Calc!$I$2:$J$8,2,FALSE),0),
IF(AX268="K",VLOOKUP(L268,Foundation_Calc!$K$116:$R$149,VLOOKUP(AW268,Foundation_Calc!$I$2:$J$8,2,FALSE),0),"")))</f>
        <v/>
      </c>
      <c r="AZ268" s="612" t="str">
        <f>IF(K268="","",
IF(AX268="PT",VLOOKUP(K268,Foundation_Calc!$K$79:$R$112,VLOOKUP(AW268,Foundation_Calc!$I$2:$J$8,2,FALSE),0),
IF(AX268="K",VLOOKUP(K268,Foundation_Calc!$K$116:$R$149,VLOOKUP(AW268,Foundation_Calc!$I$2:$J$8,2,FALSE),0),"")))</f>
        <v/>
      </c>
      <c r="BA268" s="639" t="str">
        <f t="shared" si="20"/>
        <v/>
      </c>
      <c r="BB268" s="639" t="str">
        <f t="shared" si="20"/>
        <v/>
      </c>
      <c r="BC268" s="639" t="str">
        <f t="shared" si="21"/>
        <v/>
      </c>
      <c r="BD268" s="578"/>
      <c r="BE268" s="448" t="s">
        <v>1726</v>
      </c>
      <c r="BF268" s="306"/>
      <c r="BG268" s="306"/>
      <c r="BH268" s="306"/>
      <c r="BI268" s="306"/>
    </row>
    <row r="269" spans="1:61" ht="13.8">
      <c r="A269" s="624" t="s">
        <v>383</v>
      </c>
      <c r="B269" s="469"/>
      <c r="C269" s="3"/>
      <c r="D269" s="88"/>
      <c r="E269" s="4"/>
      <c r="F269" s="4"/>
      <c r="G269" s="6">
        <v>30</v>
      </c>
      <c r="H269" s="468"/>
      <c r="I269" s="467"/>
      <c r="J269" s="3"/>
      <c r="K269" s="468"/>
      <c r="L269" s="468"/>
      <c r="M269" s="468" t="str">
        <f>IF(L269="","",
IF(AX269="PT",VLOOKUP(L269,Foundation_Calc!$V$79:$X$112,VLOOKUP(AX269,Foundation_Calc!$I$10:$J$13,2,FALSE),0),
IF(AX269="K",VLOOKUP(L269,Foundation_Calc!$V$116:$X$149,VLOOKUP(AX269,Foundation_Calc!$I$10:$J$13,2,FALSE),0),"")))</f>
        <v/>
      </c>
      <c r="N269" s="468"/>
      <c r="O269" s="468"/>
      <c r="P269" s="468"/>
      <c r="Q269" s="4"/>
      <c r="R269" s="6"/>
      <c r="S269" s="6"/>
      <c r="T269" s="4"/>
      <c r="U269" s="4"/>
      <c r="V269" s="4"/>
      <c r="W269" s="9"/>
      <c r="X269" s="9"/>
      <c r="Y269" s="9"/>
      <c r="Z269" s="9"/>
      <c r="AA269" s="9"/>
      <c r="AB269" s="9"/>
      <c r="AC269" s="468" t="s">
        <v>195</v>
      </c>
      <c r="AD269" s="468"/>
      <c r="AE269" s="468"/>
      <c r="AF269" s="4"/>
      <c r="AG269" s="88"/>
      <c r="AH269" s="4"/>
      <c r="AI269" s="4"/>
      <c r="AJ269" s="468"/>
      <c r="AK269" s="468"/>
      <c r="AL269" s="468"/>
      <c r="AM269" s="468"/>
      <c r="AN269" s="10"/>
      <c r="AO269" s="9"/>
      <c r="AP269" s="9"/>
      <c r="AQ269" s="9"/>
      <c r="AR269" s="9"/>
      <c r="AS269" s="9"/>
      <c r="AT269" s="9"/>
      <c r="AU269" s="447"/>
      <c r="AV269" s="447"/>
      <c r="AW269" s="468"/>
      <c r="AX269" s="468"/>
      <c r="AY269" s="10" t="str">
        <f>IF(L269="","",
IF(AX269="PT",VLOOKUP(L269,Foundation_Calc!$K$79:$R$112,VLOOKUP(AW269,Foundation_Calc!$I$2:$J$8,2,FALSE),0),
IF(AX269="K",VLOOKUP(L269,Foundation_Calc!$K$116:$R$149,VLOOKUP(AW269,Foundation_Calc!$I$2:$J$8,2,FALSE),0),"")))</f>
        <v/>
      </c>
      <c r="AZ269" s="10" t="str">
        <f>IF(K269="","",
IF(AX269="PT",VLOOKUP(K269,Foundation_Calc!$K$79:$R$112,VLOOKUP(AW269,Foundation_Calc!$I$2:$J$8,2,FALSE),0),
IF(AX269="K",VLOOKUP(K269,Foundation_Calc!$K$116:$R$149,VLOOKUP(AW269,Foundation_Calc!$I$2:$J$8,2,FALSE),0),"")))</f>
        <v/>
      </c>
      <c r="BA269" s="553" t="str">
        <f t="shared" si="20"/>
        <v/>
      </c>
      <c r="BB269" s="553" t="str">
        <f t="shared" si="20"/>
        <v/>
      </c>
      <c r="BC269" s="553" t="str">
        <f t="shared" si="21"/>
        <v/>
      </c>
      <c r="BD269" s="572"/>
      <c r="BE269" s="448" t="s">
        <v>1726</v>
      </c>
      <c r="BF269" s="305"/>
      <c r="BG269" s="305"/>
      <c r="BH269" s="306"/>
      <c r="BI269" s="305"/>
    </row>
    <row r="270" spans="1:61" ht="16.2" customHeight="1">
      <c r="A270" s="624" t="s">
        <v>383</v>
      </c>
      <c r="B270" s="469" t="s">
        <v>2041</v>
      </c>
      <c r="C270" s="3">
        <f>+$C$268+$G$269</f>
        <v>5816.7500000000009</v>
      </c>
      <c r="D270" s="88"/>
      <c r="E270" s="4"/>
      <c r="F270" s="4">
        <v>-404.7</v>
      </c>
      <c r="G270" s="6"/>
      <c r="H270" s="468" t="s">
        <v>26</v>
      </c>
      <c r="I270" s="468" t="s">
        <v>1155</v>
      </c>
      <c r="J270" s="3">
        <f>C270+10</f>
        <v>5826.7500000000009</v>
      </c>
      <c r="K270" s="468" t="s">
        <v>447</v>
      </c>
      <c r="L270" s="468"/>
      <c r="M270" s="468" t="str">
        <f>IF(L270="","",
IF(AX270="PT",VLOOKUP(L270,Foundation_Calc!$V$79:$X$112,VLOOKUP(AX270,Foundation_Calc!$I$10:$J$13,2,FALSE),0),
IF(AX270="K",VLOOKUP(L270,Foundation_Calc!$V$116:$X$149,VLOOKUP(AX270,Foundation_Calc!$I$10:$J$13,2,FALSE),0),"")))</f>
        <v/>
      </c>
      <c r="N270" s="468" t="s">
        <v>191</v>
      </c>
      <c r="O270" s="468"/>
      <c r="P270" s="468"/>
      <c r="Q270" s="4"/>
      <c r="R270" s="6"/>
      <c r="S270" s="6"/>
      <c r="T270" s="4">
        <v>-25</v>
      </c>
      <c r="U270" s="4"/>
      <c r="V270" s="4"/>
      <c r="W270" s="9">
        <v>1</v>
      </c>
      <c r="X270" s="9"/>
      <c r="Y270" s="9"/>
      <c r="Z270" s="9"/>
      <c r="AA270" s="9"/>
      <c r="AB270" s="9"/>
      <c r="AC270" s="468" t="s">
        <v>1341</v>
      </c>
      <c r="AD270" s="468"/>
      <c r="AE270" s="468"/>
      <c r="AF270" s="4"/>
      <c r="AG270" s="88"/>
      <c r="AH270" s="4"/>
      <c r="AI270" s="4"/>
      <c r="AJ270" s="468"/>
      <c r="AK270" s="468" t="s">
        <v>41</v>
      </c>
      <c r="AL270" s="468"/>
      <c r="AM270" s="468" t="s">
        <v>2458</v>
      </c>
      <c r="AN270" s="10">
        <v>5.15</v>
      </c>
      <c r="AO270" s="9"/>
      <c r="AP270" s="9"/>
      <c r="AQ270" s="9"/>
      <c r="AR270" s="9"/>
      <c r="AS270" s="9"/>
      <c r="AT270" s="9"/>
      <c r="AU270" s="447"/>
      <c r="AV270" s="447"/>
      <c r="AW270" s="468" t="s">
        <v>199</v>
      </c>
      <c r="AX270" s="468" t="s">
        <v>199</v>
      </c>
      <c r="AY270" s="10" t="str">
        <f>IF(L270="","",
IF(AX270="PT",VLOOKUP(L270,Foundation_Calc!$K$79:$R$112,VLOOKUP(AW270,Foundation_Calc!$I$2:$J$8,2,FALSE),0),
IF(AX270="K",VLOOKUP(L270,Foundation_Calc!$K$116:$R$149,VLOOKUP(AW270,Foundation_Calc!$I$2:$J$8,2,FALSE),0),"")))</f>
        <v/>
      </c>
      <c r="AZ270" s="10" t="str">
        <f>IF(K270="","",
IF(AX270="PT",VLOOKUP(K270,Foundation_Calc!$K$79:$R$112,VLOOKUP(AW270,Foundation_Calc!$I$2:$J$8,2,FALSE),0),
IF(AX270="K",VLOOKUP(K270,Foundation_Calc!$K$116:$R$149,VLOOKUP(AW270,Foundation_Calc!$I$2:$J$8,2,FALSE),0),"")))</f>
        <v/>
      </c>
      <c r="BA270" s="553" t="str">
        <f t="shared" ref="BA270:BB333" si="22">IF(AY270="","",IF(AY270&gt;0,"ü",""))</f>
        <v/>
      </c>
      <c r="BB270" s="553" t="str">
        <f t="shared" si="22"/>
        <v/>
      </c>
      <c r="BC270" s="553" t="str">
        <f t="shared" si="21"/>
        <v/>
      </c>
      <c r="BD270" s="572"/>
      <c r="BE270" s="448" t="s">
        <v>1726</v>
      </c>
      <c r="BF270" s="306"/>
      <c r="BG270" s="306"/>
      <c r="BH270" s="306"/>
      <c r="BI270" s="306"/>
    </row>
    <row r="271" spans="1:61" ht="16.2" customHeight="1">
      <c r="A271" s="624" t="s">
        <v>383</v>
      </c>
      <c r="B271" s="469"/>
      <c r="C271" s="3"/>
      <c r="D271" s="88"/>
      <c r="E271" s="4"/>
      <c r="F271" s="4"/>
      <c r="G271" s="6">
        <v>30</v>
      </c>
      <c r="H271" s="468"/>
      <c r="I271" s="468"/>
      <c r="J271" s="3"/>
      <c r="K271" s="468"/>
      <c r="L271" s="468"/>
      <c r="M271" s="468" t="str">
        <f>IF(L271="","",
IF(AX271="PT",VLOOKUP(L271,Foundation_Calc!$V$79:$X$112,VLOOKUP(AX271,Foundation_Calc!$I$10:$J$13,2,FALSE),0),
IF(AX271="K",VLOOKUP(L271,Foundation_Calc!$V$116:$X$149,VLOOKUP(AX271,Foundation_Calc!$I$10:$J$13,2,FALSE),0),"")))</f>
        <v/>
      </c>
      <c r="N271" s="468"/>
      <c r="O271" s="468"/>
      <c r="P271" s="468"/>
      <c r="Q271" s="4"/>
      <c r="R271" s="6"/>
      <c r="S271" s="6"/>
      <c r="T271" s="4"/>
      <c r="U271" s="4"/>
      <c r="V271" s="4"/>
      <c r="W271" s="9"/>
      <c r="X271" s="9"/>
      <c r="Y271" s="9"/>
      <c r="Z271" s="9"/>
      <c r="AA271" s="9"/>
      <c r="AB271" s="9"/>
      <c r="AC271" s="468" t="s">
        <v>195</v>
      </c>
      <c r="AD271" s="468"/>
      <c r="AE271" s="468"/>
      <c r="AF271" s="4"/>
      <c r="AG271" s="88"/>
      <c r="AH271" s="4"/>
      <c r="AI271" s="4"/>
      <c r="AJ271" s="468"/>
      <c r="AK271" s="468"/>
      <c r="AL271" s="468"/>
      <c r="AM271" s="468"/>
      <c r="AN271" s="10"/>
      <c r="AO271" s="9"/>
      <c r="AP271" s="9"/>
      <c r="AQ271" s="9"/>
      <c r="AR271" s="9"/>
      <c r="AS271" s="9"/>
      <c r="AT271" s="9"/>
      <c r="AU271" s="447"/>
      <c r="AV271" s="447"/>
      <c r="AW271" s="468"/>
      <c r="AX271" s="468"/>
      <c r="AY271" s="10" t="str">
        <f>IF(L271="","",
IF(AX271="PT",VLOOKUP(L271,Foundation_Calc!$K$79:$R$112,VLOOKUP(AW271,Foundation_Calc!$I$2:$J$8,2,FALSE),0),
IF(AX271="K",VLOOKUP(L271,Foundation_Calc!$K$116:$R$149,VLOOKUP(AW271,Foundation_Calc!$I$2:$J$8,2,FALSE),0),"")))</f>
        <v/>
      </c>
      <c r="AZ271" s="10" t="str">
        <f>IF(K271="","",
IF(AX271="PT",VLOOKUP(K271,Foundation_Calc!$K$79:$R$112,VLOOKUP(AW271,Foundation_Calc!$I$2:$J$8,2,FALSE),0),
IF(AX271="K",VLOOKUP(K271,Foundation_Calc!$K$116:$R$149,VLOOKUP(AW271,Foundation_Calc!$I$2:$J$8,2,FALSE),0),"")))</f>
        <v/>
      </c>
      <c r="BA271" s="553" t="str">
        <f t="shared" si="22"/>
        <v/>
      </c>
      <c r="BB271" s="553" t="str">
        <f t="shared" si="22"/>
        <v/>
      </c>
      <c r="BC271" s="553" t="str">
        <f t="shared" si="21"/>
        <v/>
      </c>
      <c r="BD271" s="572"/>
      <c r="BE271" s="448" t="s">
        <v>1726</v>
      </c>
      <c r="BF271" s="305"/>
      <c r="BG271" s="305"/>
      <c r="BH271" s="306"/>
      <c r="BI271" s="305"/>
    </row>
    <row r="272" spans="1:61" ht="16.2" customHeight="1">
      <c r="A272" s="624" t="s">
        <v>383</v>
      </c>
      <c r="B272" s="469" t="s">
        <v>2042</v>
      </c>
      <c r="C272" s="3">
        <f>+$C$270+$G$271</f>
        <v>5846.7500000000009</v>
      </c>
      <c r="D272" s="88"/>
      <c r="E272" s="4"/>
      <c r="F272" s="4">
        <v>-404.7</v>
      </c>
      <c r="G272" s="6"/>
      <c r="H272" s="468" t="s">
        <v>179</v>
      </c>
      <c r="I272" s="468"/>
      <c r="J272" s="3"/>
      <c r="K272" s="468"/>
      <c r="L272" s="468"/>
      <c r="M272" s="468" t="str">
        <f>IF(L272="","",
IF(AX272="PT",VLOOKUP(L272,Foundation_Calc!$V$79:$X$112,VLOOKUP(AX272,Foundation_Calc!$I$10:$J$13,2,FALSE),0),
IF(AX272="K",VLOOKUP(L272,Foundation_Calc!$V$116:$X$149,VLOOKUP(AX272,Foundation_Calc!$I$10:$J$13,2,FALSE),0),"")))</f>
        <v/>
      </c>
      <c r="N272" s="468" t="s">
        <v>193</v>
      </c>
      <c r="O272" s="468" t="s">
        <v>191</v>
      </c>
      <c r="P272" s="468"/>
      <c r="Q272" s="4"/>
      <c r="R272" s="6"/>
      <c r="S272" s="6"/>
      <c r="T272" s="4">
        <v>-10</v>
      </c>
      <c r="U272" s="4">
        <v>-30</v>
      </c>
      <c r="V272" s="4"/>
      <c r="W272" s="9">
        <v>0.9</v>
      </c>
      <c r="X272" s="9">
        <v>1</v>
      </c>
      <c r="Y272" s="9"/>
      <c r="Z272" s="9">
        <v>0.45</v>
      </c>
      <c r="AA272" s="9"/>
      <c r="AB272" s="9"/>
      <c r="AC272" s="468"/>
      <c r="AD272" s="468" t="s">
        <v>1078</v>
      </c>
      <c r="AE272" s="468"/>
      <c r="AF272" s="4"/>
      <c r="AG272" s="88"/>
      <c r="AH272" s="4"/>
      <c r="AI272" s="4"/>
      <c r="AJ272" s="468"/>
      <c r="AK272" s="468" t="s">
        <v>42</v>
      </c>
      <c r="AL272" s="468"/>
      <c r="AM272" s="468" t="s">
        <v>2458</v>
      </c>
      <c r="AN272" s="10">
        <v>5.15</v>
      </c>
      <c r="AO272" s="9"/>
      <c r="AP272" s="9"/>
      <c r="AQ272" s="9"/>
      <c r="AR272" s="9"/>
      <c r="AS272" s="9"/>
      <c r="AT272" s="9"/>
      <c r="AU272" s="447"/>
      <c r="AV272" s="447"/>
      <c r="AW272" s="468" t="s">
        <v>199</v>
      </c>
      <c r="AX272" s="468" t="s">
        <v>199</v>
      </c>
      <c r="AY272" s="10" t="str">
        <f>IF(L272="","",
IF(AX272="PT",VLOOKUP(L272,Foundation_Calc!$K$79:$R$112,VLOOKUP(AW272,Foundation_Calc!$I$2:$J$8,2,FALSE),0),
IF(AX272="K",VLOOKUP(L272,Foundation_Calc!$K$116:$R$149,VLOOKUP(AW272,Foundation_Calc!$I$2:$J$8,2,FALSE),0),"")))</f>
        <v/>
      </c>
      <c r="AZ272" s="10" t="str">
        <f>IF(K272="","",
IF(AX272="PT",VLOOKUP(K272,Foundation_Calc!$K$79:$R$112,VLOOKUP(AW272,Foundation_Calc!$I$2:$J$8,2,FALSE),0),
IF(AX272="K",VLOOKUP(K272,Foundation_Calc!$K$116:$R$149,VLOOKUP(AW272,Foundation_Calc!$I$2:$J$8,2,FALSE),0),"")))</f>
        <v/>
      </c>
      <c r="BA272" s="553" t="str">
        <f t="shared" si="22"/>
        <v/>
      </c>
      <c r="BB272" s="553" t="str">
        <f t="shared" si="22"/>
        <v/>
      </c>
      <c r="BC272" s="553" t="str">
        <f t="shared" si="21"/>
        <v/>
      </c>
      <c r="BD272" s="572"/>
      <c r="BE272" s="448" t="s">
        <v>1726</v>
      </c>
      <c r="BF272" s="306"/>
      <c r="BG272" s="306"/>
      <c r="BH272" s="306"/>
      <c r="BI272" s="306"/>
    </row>
    <row r="273" spans="1:61" ht="16.2" customHeight="1">
      <c r="A273" s="624" t="s">
        <v>383</v>
      </c>
      <c r="B273" s="469"/>
      <c r="C273" s="3"/>
      <c r="D273" s="88"/>
      <c r="E273" s="4"/>
      <c r="F273" s="4"/>
      <c r="G273" s="6">
        <v>30</v>
      </c>
      <c r="H273" s="468"/>
      <c r="I273" s="468"/>
      <c r="J273" s="3"/>
      <c r="K273" s="468"/>
      <c r="L273" s="468"/>
      <c r="M273" s="468" t="str">
        <f>IF(L273="","",
IF(AX273="PT",VLOOKUP(L273,Foundation_Calc!$V$79:$X$112,VLOOKUP(AX273,Foundation_Calc!$I$10:$J$13,2,FALSE),0),
IF(AX273="K",VLOOKUP(L273,Foundation_Calc!$V$116:$X$149,VLOOKUP(AX273,Foundation_Calc!$I$10:$J$13,2,FALSE),0),"")))</f>
        <v/>
      </c>
      <c r="N273" s="468"/>
      <c r="O273" s="468"/>
      <c r="P273" s="468"/>
      <c r="Q273" s="4"/>
      <c r="R273" s="6"/>
      <c r="S273" s="6"/>
      <c r="T273" s="4"/>
      <c r="U273" s="4"/>
      <c r="V273" s="4"/>
      <c r="W273" s="9"/>
      <c r="X273" s="9"/>
      <c r="Y273" s="9"/>
      <c r="Z273" s="9"/>
      <c r="AA273" s="9"/>
      <c r="AB273" s="9"/>
      <c r="AC273" s="468" t="str">
        <f t="shared" ref="AC273:AC279" si="23">IF(OR(AT273&gt;8,AT273&lt;-8),"PH",
IF(OR(AT273&gt;5,AT273&lt;-5),"PHQ",
IF(OR(AT273&gt;1,AT273&lt;-1),
"PHC","")))</f>
        <v/>
      </c>
      <c r="AD273" s="468"/>
      <c r="AE273" s="468"/>
      <c r="AF273" s="4"/>
      <c r="AG273" s="88"/>
      <c r="AH273" s="4"/>
      <c r="AI273" s="4"/>
      <c r="AJ273" s="468"/>
      <c r="AK273" s="468"/>
      <c r="AL273" s="468"/>
      <c r="AM273" s="468"/>
      <c r="AN273" s="10"/>
      <c r="AO273" s="9"/>
      <c r="AP273" s="9"/>
      <c r="AQ273" s="9"/>
      <c r="AR273" s="9"/>
      <c r="AS273" s="9"/>
      <c r="AT273" s="9"/>
      <c r="AU273" s="447"/>
      <c r="AV273" s="447"/>
      <c r="AW273" s="468"/>
      <c r="AX273" s="468"/>
      <c r="AY273" s="10" t="str">
        <f>IF(L273="","",
IF(AX273="PT",VLOOKUP(L273,Foundation_Calc!$K$79:$R$112,VLOOKUP(AW273,Foundation_Calc!$I$2:$J$8,2,FALSE),0),
IF(AX273="K",VLOOKUP(L273,Foundation_Calc!$K$116:$R$149,VLOOKUP(AW273,Foundation_Calc!$I$2:$J$8,2,FALSE),0),"")))</f>
        <v/>
      </c>
      <c r="AZ273" s="10" t="str">
        <f>IF(K273="","",
IF(AX273="PT",VLOOKUP(K273,Foundation_Calc!$K$79:$R$112,VLOOKUP(AW273,Foundation_Calc!$I$2:$J$8,2,FALSE),0),
IF(AX273="K",VLOOKUP(K273,Foundation_Calc!$K$116:$R$149,VLOOKUP(AW273,Foundation_Calc!$I$2:$J$8,2,FALSE),0),"")))</f>
        <v/>
      </c>
      <c r="BA273" s="553" t="str">
        <f t="shared" si="22"/>
        <v/>
      </c>
      <c r="BB273" s="553" t="str">
        <f t="shared" si="22"/>
        <v/>
      </c>
      <c r="BC273" s="553" t="str">
        <f t="shared" si="21"/>
        <v/>
      </c>
      <c r="BD273" s="572"/>
      <c r="BE273" s="448" t="s">
        <v>1726</v>
      </c>
      <c r="BF273" s="305"/>
      <c r="BG273" s="305"/>
      <c r="BH273" s="306"/>
      <c r="BI273" s="305"/>
    </row>
    <row r="274" spans="1:61" ht="16.2" customHeight="1">
      <c r="A274" s="624" t="s">
        <v>383</v>
      </c>
      <c r="B274" s="469" t="s">
        <v>2043</v>
      </c>
      <c r="C274" s="3">
        <f>+$C$272+$G$273</f>
        <v>5876.7500000000009</v>
      </c>
      <c r="D274" s="88"/>
      <c r="E274" s="4"/>
      <c r="F274" s="4">
        <v>-551.09</v>
      </c>
      <c r="G274" s="6"/>
      <c r="H274" s="468" t="s">
        <v>180</v>
      </c>
      <c r="I274" s="468"/>
      <c r="J274" s="3"/>
      <c r="K274" s="468"/>
      <c r="L274" s="468"/>
      <c r="M274" s="468" t="str">
        <f>IF(L274="","",
IF(AX274="PT",VLOOKUP(L274,Foundation_Calc!$V$79:$X$112,VLOOKUP(AX274,Foundation_Calc!$I$10:$J$13,2,FALSE),0),
IF(AX274="K",VLOOKUP(L274,Foundation_Calc!$V$116:$X$149,VLOOKUP(AX274,Foundation_Calc!$I$10:$J$13,2,FALSE),0),"")))</f>
        <v/>
      </c>
      <c r="N274" s="468" t="s">
        <v>191</v>
      </c>
      <c r="O274" s="468" t="s">
        <v>191</v>
      </c>
      <c r="P274" s="468"/>
      <c r="Q274" s="4"/>
      <c r="R274" s="6"/>
      <c r="S274" s="6"/>
      <c r="T274" s="4">
        <v>-10</v>
      </c>
      <c r="U274" s="4">
        <v>-30</v>
      </c>
      <c r="V274" s="4"/>
      <c r="W274" s="9">
        <v>0.9</v>
      </c>
      <c r="X274" s="9">
        <v>1</v>
      </c>
      <c r="Y274" s="9"/>
      <c r="Z274" s="9">
        <v>0.15</v>
      </c>
      <c r="AA274" s="9"/>
      <c r="AB274" s="9"/>
      <c r="AC274" s="468" t="s">
        <v>2512</v>
      </c>
      <c r="AD274" s="468" t="s">
        <v>1078</v>
      </c>
      <c r="AE274" s="468"/>
      <c r="AF274" s="4"/>
      <c r="AG274" s="88"/>
      <c r="AH274" s="4"/>
      <c r="AI274" s="4"/>
      <c r="AJ274" s="468"/>
      <c r="AK274" s="468" t="s">
        <v>42</v>
      </c>
      <c r="AL274" s="468"/>
      <c r="AM274" s="468" t="s">
        <v>2458</v>
      </c>
      <c r="AN274" s="10">
        <v>5.15</v>
      </c>
      <c r="AO274" s="9"/>
      <c r="AP274" s="9"/>
      <c r="AQ274" s="9"/>
      <c r="AR274" s="9"/>
      <c r="AS274" s="9"/>
      <c r="AT274" s="9"/>
      <c r="AU274" s="447"/>
      <c r="AV274" s="447"/>
      <c r="AW274" s="468" t="s">
        <v>199</v>
      </c>
      <c r="AX274" s="468" t="s">
        <v>199</v>
      </c>
      <c r="AY274" s="10" t="str">
        <f>IF(L274="","",
IF(AX274="PT",VLOOKUP(L274,Foundation_Calc!$K$79:$R$112,VLOOKUP(AW274,Foundation_Calc!$I$2:$J$8,2,FALSE),0),
IF(AX274="K",VLOOKUP(L274,Foundation_Calc!$K$116:$R$149,VLOOKUP(AW274,Foundation_Calc!$I$2:$J$8,2,FALSE),0),"")))</f>
        <v/>
      </c>
      <c r="AZ274" s="10" t="str">
        <f>IF(K274="","",
IF(AX274="PT",VLOOKUP(K274,Foundation_Calc!$K$79:$R$112,VLOOKUP(AW274,Foundation_Calc!$I$2:$J$8,2,FALSE),0),
IF(AX274="K",VLOOKUP(K274,Foundation_Calc!$K$116:$R$149,VLOOKUP(AW274,Foundation_Calc!$I$2:$J$8,2,FALSE),0),"")))</f>
        <v/>
      </c>
      <c r="BA274" s="553" t="str">
        <f t="shared" si="22"/>
        <v/>
      </c>
      <c r="BB274" s="553" t="str">
        <f t="shared" si="22"/>
        <v/>
      </c>
      <c r="BC274" s="553" t="str">
        <f t="shared" si="21"/>
        <v/>
      </c>
      <c r="BD274" s="572"/>
      <c r="BE274" s="448" t="s">
        <v>1726</v>
      </c>
      <c r="BF274" s="306"/>
      <c r="BG274" s="306"/>
      <c r="BH274" s="306"/>
      <c r="BI274" s="306"/>
    </row>
    <row r="275" spans="1:61" ht="16.2" customHeight="1">
      <c r="A275" s="624" t="s">
        <v>383</v>
      </c>
      <c r="B275" s="469"/>
      <c r="C275" s="3"/>
      <c r="D275" s="88"/>
      <c r="E275" s="4"/>
      <c r="F275" s="4"/>
      <c r="G275" s="6">
        <v>30</v>
      </c>
      <c r="H275" s="468"/>
      <c r="I275" s="468"/>
      <c r="J275" s="3"/>
      <c r="K275" s="468"/>
      <c r="L275" s="468"/>
      <c r="M275" s="468" t="str">
        <f>IF(L275="","",
IF(AX275="PT",VLOOKUP(L275,Foundation_Calc!$V$79:$X$112,VLOOKUP(AX275,Foundation_Calc!$I$10:$J$13,2,FALSE),0),
IF(AX275="K",VLOOKUP(L275,Foundation_Calc!$V$116:$X$149,VLOOKUP(AX275,Foundation_Calc!$I$10:$J$13,2,FALSE),0),"")))</f>
        <v/>
      </c>
      <c r="N275" s="468"/>
      <c r="O275" s="468"/>
      <c r="P275" s="468"/>
      <c r="Q275" s="4"/>
      <c r="R275" s="6"/>
      <c r="S275" s="6"/>
      <c r="T275" s="4"/>
      <c r="U275" s="4"/>
      <c r="V275" s="4"/>
      <c r="W275" s="9"/>
      <c r="X275" s="9"/>
      <c r="Y275" s="9"/>
      <c r="Z275" s="9"/>
      <c r="AA275" s="9"/>
      <c r="AB275" s="9"/>
      <c r="AC275" s="468" t="str">
        <f t="shared" si="23"/>
        <v/>
      </c>
      <c r="AD275" s="468"/>
      <c r="AE275" s="468"/>
      <c r="AF275" s="4"/>
      <c r="AG275" s="88"/>
      <c r="AH275" s="4"/>
      <c r="AI275" s="4"/>
      <c r="AJ275" s="468"/>
      <c r="AK275" s="468"/>
      <c r="AL275" s="468"/>
      <c r="AM275" s="468"/>
      <c r="AN275" s="10"/>
      <c r="AO275" s="9"/>
      <c r="AP275" s="9"/>
      <c r="AQ275" s="9"/>
      <c r="AR275" s="9"/>
      <c r="AS275" s="9"/>
      <c r="AT275" s="9"/>
      <c r="AU275" s="447"/>
      <c r="AV275" s="447"/>
      <c r="AW275" s="468"/>
      <c r="AX275" s="468"/>
      <c r="AY275" s="10" t="str">
        <f>IF(L275="","",
IF(AX275="PT",VLOOKUP(L275,Foundation_Calc!$K$79:$R$112,VLOOKUP(AW275,Foundation_Calc!$I$2:$J$8,2,FALSE),0),
IF(AX275="K",VLOOKUP(L275,Foundation_Calc!$K$116:$R$149,VLOOKUP(AW275,Foundation_Calc!$I$2:$J$8,2,FALSE),0),"")))</f>
        <v/>
      </c>
      <c r="AZ275" s="10" t="str">
        <f>IF(K275="","",
IF(AX275="PT",VLOOKUP(K275,Foundation_Calc!$K$79:$R$112,VLOOKUP(AW275,Foundation_Calc!$I$2:$J$8,2,FALSE),0),
IF(AX275="K",VLOOKUP(K275,Foundation_Calc!$K$116:$R$149,VLOOKUP(AW275,Foundation_Calc!$I$2:$J$8,2,FALSE),0),"")))</f>
        <v/>
      </c>
      <c r="BA275" s="553" t="str">
        <f t="shared" si="22"/>
        <v/>
      </c>
      <c r="BB275" s="553" t="str">
        <f t="shared" si="22"/>
        <v/>
      </c>
      <c r="BC275" s="553" t="str">
        <f t="shared" si="21"/>
        <v/>
      </c>
      <c r="BD275" s="572"/>
      <c r="BE275" s="448" t="s">
        <v>1726</v>
      </c>
      <c r="BF275" s="305"/>
      <c r="BG275" s="305"/>
      <c r="BH275" s="306"/>
      <c r="BI275" s="305"/>
    </row>
    <row r="276" spans="1:61" ht="16.2" customHeight="1">
      <c r="A276" s="624" t="s">
        <v>383</v>
      </c>
      <c r="B276" s="469" t="s">
        <v>2044</v>
      </c>
      <c r="C276" s="3">
        <f>+$C$274+$G$275</f>
        <v>5906.7500000000009</v>
      </c>
      <c r="D276" s="88"/>
      <c r="E276" s="4"/>
      <c r="F276" s="4">
        <v>-551.09</v>
      </c>
      <c r="G276" s="6"/>
      <c r="H276" s="468" t="s">
        <v>180</v>
      </c>
      <c r="I276" s="468"/>
      <c r="J276" s="3"/>
      <c r="K276" s="468"/>
      <c r="L276" s="468"/>
      <c r="M276" s="468" t="str">
        <f>IF(L276="","",
IF(AX276="PT",VLOOKUP(L276,Foundation_Calc!$V$79:$X$112,VLOOKUP(AX276,Foundation_Calc!$I$10:$J$13,2,FALSE),0),
IF(AX276="K",VLOOKUP(L276,Foundation_Calc!$V$116:$X$149,VLOOKUP(AX276,Foundation_Calc!$I$10:$J$13,2,FALSE),0),"")))</f>
        <v/>
      </c>
      <c r="N276" s="468" t="s">
        <v>191</v>
      </c>
      <c r="O276" s="468" t="s">
        <v>191</v>
      </c>
      <c r="P276" s="468"/>
      <c r="Q276" s="4"/>
      <c r="R276" s="6"/>
      <c r="S276" s="6"/>
      <c r="T276" s="4">
        <v>-10</v>
      </c>
      <c r="U276" s="4">
        <v>-30</v>
      </c>
      <c r="V276" s="4"/>
      <c r="W276" s="9">
        <v>0.9</v>
      </c>
      <c r="X276" s="9">
        <v>1</v>
      </c>
      <c r="Y276" s="9"/>
      <c r="Z276" s="9"/>
      <c r="AA276" s="9">
        <v>0.15</v>
      </c>
      <c r="AB276" s="9"/>
      <c r="AC276" s="468" t="s">
        <v>1078</v>
      </c>
      <c r="AD276" s="468" t="s">
        <v>1078</v>
      </c>
      <c r="AE276" s="468"/>
      <c r="AF276" s="4"/>
      <c r="AG276" s="88"/>
      <c r="AH276" s="4"/>
      <c r="AI276" s="4"/>
      <c r="AJ276" s="468"/>
      <c r="AK276" s="468" t="s">
        <v>42</v>
      </c>
      <c r="AL276" s="468"/>
      <c r="AM276" s="468" t="s">
        <v>2458</v>
      </c>
      <c r="AN276" s="10">
        <v>5.15</v>
      </c>
      <c r="AO276" s="9"/>
      <c r="AP276" s="9"/>
      <c r="AQ276" s="9"/>
      <c r="AR276" s="9"/>
      <c r="AS276" s="9"/>
      <c r="AT276" s="9"/>
      <c r="AU276" s="447"/>
      <c r="AV276" s="447"/>
      <c r="AW276" s="468" t="s">
        <v>199</v>
      </c>
      <c r="AX276" s="468" t="s">
        <v>199</v>
      </c>
      <c r="AY276" s="10" t="str">
        <f>IF(L276="","",
IF(AX276="PT",VLOOKUP(L276,Foundation_Calc!$K$79:$R$112,VLOOKUP(AW276,Foundation_Calc!$I$2:$J$8,2,FALSE),0),
IF(AX276="K",VLOOKUP(L276,Foundation_Calc!$K$116:$R$149,VLOOKUP(AW276,Foundation_Calc!$I$2:$J$8,2,FALSE),0),"")))</f>
        <v/>
      </c>
      <c r="AZ276" s="10" t="str">
        <f>IF(K276="","",
IF(AX276="PT",VLOOKUP(K276,Foundation_Calc!$K$79:$R$112,VLOOKUP(AW276,Foundation_Calc!$I$2:$J$8,2,FALSE),0),
IF(AX276="K",VLOOKUP(K276,Foundation_Calc!$K$116:$R$149,VLOOKUP(AW276,Foundation_Calc!$I$2:$J$8,2,FALSE),0),"")))</f>
        <v/>
      </c>
      <c r="BA276" s="553" t="str">
        <f t="shared" si="22"/>
        <v/>
      </c>
      <c r="BB276" s="553" t="str">
        <f t="shared" si="22"/>
        <v/>
      </c>
      <c r="BC276" s="553" t="str">
        <f t="shared" si="21"/>
        <v/>
      </c>
      <c r="BD276" s="572"/>
      <c r="BE276" s="448" t="s">
        <v>1726</v>
      </c>
      <c r="BF276" s="306"/>
      <c r="BG276" s="306"/>
      <c r="BH276" s="306"/>
      <c r="BI276" s="306"/>
    </row>
    <row r="277" spans="1:61" ht="16.2" customHeight="1">
      <c r="A277" s="624" t="s">
        <v>383</v>
      </c>
      <c r="B277" s="469"/>
      <c r="C277" s="3"/>
      <c r="D277" s="88"/>
      <c r="E277" s="4"/>
      <c r="F277" s="4"/>
      <c r="G277" s="6">
        <v>30</v>
      </c>
      <c r="H277" s="468"/>
      <c r="I277" s="468"/>
      <c r="J277" s="3"/>
      <c r="K277" s="468"/>
      <c r="L277" s="468"/>
      <c r="M277" s="468" t="str">
        <f>IF(L277="","",
IF(AX277="PT",VLOOKUP(L277,Foundation_Calc!$V$79:$X$112,VLOOKUP(AX277,Foundation_Calc!$I$10:$J$13,2,FALSE),0),
IF(AX277="K",VLOOKUP(L277,Foundation_Calc!$V$116:$X$149,VLOOKUP(AX277,Foundation_Calc!$I$10:$J$13,2,FALSE),0),"")))</f>
        <v/>
      </c>
      <c r="N277" s="468"/>
      <c r="O277" s="468"/>
      <c r="P277" s="468"/>
      <c r="Q277" s="4"/>
      <c r="R277" s="6"/>
      <c r="S277" s="6"/>
      <c r="T277" s="4"/>
      <c r="U277" s="4"/>
      <c r="V277" s="4"/>
      <c r="W277" s="9"/>
      <c r="X277" s="9"/>
      <c r="Y277" s="9"/>
      <c r="Z277" s="9"/>
      <c r="AA277" s="9"/>
      <c r="AB277" s="9"/>
      <c r="AC277" s="468" t="str">
        <f t="shared" si="23"/>
        <v/>
      </c>
      <c r="AD277" s="468"/>
      <c r="AE277" s="468"/>
      <c r="AF277" s="4"/>
      <c r="AG277" s="88"/>
      <c r="AH277" s="4"/>
      <c r="AI277" s="4"/>
      <c r="AJ277" s="468"/>
      <c r="AK277" s="468"/>
      <c r="AL277" s="468"/>
      <c r="AM277" s="468"/>
      <c r="AN277" s="10"/>
      <c r="AO277" s="9"/>
      <c r="AP277" s="9"/>
      <c r="AQ277" s="9"/>
      <c r="AR277" s="9"/>
      <c r="AS277" s="9"/>
      <c r="AT277" s="9"/>
      <c r="AU277" s="447"/>
      <c r="AV277" s="447"/>
      <c r="AW277" s="468"/>
      <c r="AX277" s="468"/>
      <c r="AY277" s="10" t="str">
        <f>IF(L277="","",
IF(AX277="PT",VLOOKUP(L277,Foundation_Calc!$K$79:$R$112,VLOOKUP(AW277,Foundation_Calc!$I$2:$J$8,2,FALSE),0),
IF(AX277="K",VLOOKUP(L277,Foundation_Calc!$K$116:$R$149,VLOOKUP(AW277,Foundation_Calc!$I$2:$J$8,2,FALSE),0),"")))</f>
        <v/>
      </c>
      <c r="AZ277" s="10" t="str">
        <f>IF(K277="","",
IF(AX277="PT",VLOOKUP(K277,Foundation_Calc!$K$79:$R$112,VLOOKUP(AW277,Foundation_Calc!$I$2:$J$8,2,FALSE),0),
IF(AX277="K",VLOOKUP(K277,Foundation_Calc!$K$116:$R$149,VLOOKUP(AW277,Foundation_Calc!$I$2:$J$8,2,FALSE),0),"")))</f>
        <v/>
      </c>
      <c r="BA277" s="553" t="str">
        <f t="shared" si="22"/>
        <v/>
      </c>
      <c r="BB277" s="553" t="str">
        <f t="shared" si="22"/>
        <v/>
      </c>
      <c r="BC277" s="553" t="str">
        <f t="shared" si="21"/>
        <v/>
      </c>
      <c r="BD277" s="572"/>
      <c r="BE277" s="448" t="s">
        <v>1726</v>
      </c>
      <c r="BF277" s="305"/>
      <c r="BG277" s="305"/>
      <c r="BH277" s="306"/>
      <c r="BI277" s="305"/>
    </row>
    <row r="278" spans="1:61" ht="16.2" customHeight="1">
      <c r="A278" s="624" t="s">
        <v>383</v>
      </c>
      <c r="B278" s="469" t="s">
        <v>2045</v>
      </c>
      <c r="C278" s="3">
        <f>+$C$276+$G$277</f>
        <v>5936.7500000000009</v>
      </c>
      <c r="D278" s="88"/>
      <c r="E278" s="4"/>
      <c r="F278" s="4">
        <v>-2229.2600000000002</v>
      </c>
      <c r="G278" s="6"/>
      <c r="H278" s="468" t="s">
        <v>179</v>
      </c>
      <c r="I278" s="468"/>
      <c r="J278" s="3"/>
      <c r="K278" s="468"/>
      <c r="L278" s="468"/>
      <c r="M278" s="468" t="str">
        <f>IF(L278="","",
IF(AX278="PT",VLOOKUP(L278,Foundation_Calc!$V$79:$X$112,VLOOKUP(AX278,Foundation_Calc!$I$10:$J$13,2,FALSE),0),
IF(AX278="K",VLOOKUP(L278,Foundation_Calc!$V$116:$X$149,VLOOKUP(AX278,Foundation_Calc!$I$10:$J$13,2,FALSE),0),"")))</f>
        <v/>
      </c>
      <c r="N278" s="468" t="s">
        <v>191</v>
      </c>
      <c r="O278" s="468" t="s">
        <v>193</v>
      </c>
      <c r="P278" s="468"/>
      <c r="Q278" s="4"/>
      <c r="R278" s="6"/>
      <c r="S278" s="6"/>
      <c r="T278" s="4">
        <v>-30</v>
      </c>
      <c r="U278" s="4">
        <v>-50</v>
      </c>
      <c r="V278" s="4"/>
      <c r="W278" s="9">
        <v>0.9</v>
      </c>
      <c r="X278" s="9">
        <v>1</v>
      </c>
      <c r="Y278" s="9"/>
      <c r="Z278" s="9"/>
      <c r="AA278" s="9">
        <v>0.45</v>
      </c>
      <c r="AB278" s="9"/>
      <c r="AC278" s="468" t="s">
        <v>1078</v>
      </c>
      <c r="AD278" s="468"/>
      <c r="AE278" s="468"/>
      <c r="AF278" s="4"/>
      <c r="AG278" s="88"/>
      <c r="AH278" s="4"/>
      <c r="AI278" s="4"/>
      <c r="AJ278" s="468"/>
      <c r="AK278" s="468" t="s">
        <v>42</v>
      </c>
      <c r="AL278" s="468"/>
      <c r="AM278" s="468" t="s">
        <v>2458</v>
      </c>
      <c r="AN278" s="10">
        <v>5.15</v>
      </c>
      <c r="AO278" s="9"/>
      <c r="AP278" s="9"/>
      <c r="AQ278" s="9"/>
      <c r="AR278" s="9"/>
      <c r="AS278" s="9"/>
      <c r="AT278" s="9"/>
      <c r="AU278" s="447"/>
      <c r="AV278" s="447"/>
      <c r="AW278" s="468" t="s">
        <v>199</v>
      </c>
      <c r="AX278" s="468" t="s">
        <v>199</v>
      </c>
      <c r="AY278" s="10" t="str">
        <f>IF(L278="","",
IF(AX278="PT",VLOOKUP(L278,Foundation_Calc!$K$79:$R$112,VLOOKUP(AW278,Foundation_Calc!$I$2:$J$8,2,FALSE),0),
IF(AX278="K",VLOOKUP(L278,Foundation_Calc!$K$116:$R$149,VLOOKUP(AW278,Foundation_Calc!$I$2:$J$8,2,FALSE),0),"")))</f>
        <v/>
      </c>
      <c r="AZ278" s="10" t="str">
        <f>IF(K278="","",
IF(AX278="PT",VLOOKUP(K278,Foundation_Calc!$K$79:$R$112,VLOOKUP(AW278,Foundation_Calc!$I$2:$J$8,2,FALSE),0),
IF(AX278="K",VLOOKUP(K278,Foundation_Calc!$K$116:$R$149,VLOOKUP(AW278,Foundation_Calc!$I$2:$J$8,2,FALSE),0),"")))</f>
        <v/>
      </c>
      <c r="BA278" s="553" t="str">
        <f t="shared" si="22"/>
        <v/>
      </c>
      <c r="BB278" s="553" t="str">
        <f t="shared" si="22"/>
        <v/>
      </c>
      <c r="BC278" s="553" t="str">
        <f t="shared" si="21"/>
        <v/>
      </c>
      <c r="BD278" s="572"/>
      <c r="BE278" s="448" t="s">
        <v>1726</v>
      </c>
      <c r="BF278" s="306"/>
      <c r="BG278" s="306"/>
      <c r="BH278" s="306"/>
      <c r="BI278" s="306"/>
    </row>
    <row r="279" spans="1:61" ht="16.2" customHeight="1">
      <c r="A279" s="624" t="s">
        <v>383</v>
      </c>
      <c r="B279" s="469"/>
      <c r="C279" s="3"/>
      <c r="D279" s="88"/>
      <c r="E279" s="4"/>
      <c r="F279" s="4"/>
      <c r="G279" s="6">
        <v>30</v>
      </c>
      <c r="H279" s="468"/>
      <c r="I279" s="4">
        <f>SUM(G249:G279)</f>
        <v>493.9</v>
      </c>
      <c r="J279" s="3"/>
      <c r="K279" s="468"/>
      <c r="L279" s="468"/>
      <c r="M279" s="468" t="str">
        <f>IF(L279="","",
IF(AX279="PT",VLOOKUP(L279,Foundation_Calc!$V$79:$X$112,VLOOKUP(AX279,Foundation_Calc!$I$10:$J$13,2,FALSE),0),
IF(AX279="K",VLOOKUP(L279,Foundation_Calc!$V$116:$X$149,VLOOKUP(AX279,Foundation_Calc!$I$10:$J$13,2,FALSE),0),"")))</f>
        <v/>
      </c>
      <c r="N279" s="468"/>
      <c r="O279" s="468"/>
      <c r="P279" s="468"/>
      <c r="Q279" s="4"/>
      <c r="R279" s="6"/>
      <c r="S279" s="6"/>
      <c r="T279" s="4"/>
      <c r="U279" s="4"/>
      <c r="V279" s="4"/>
      <c r="W279" s="9"/>
      <c r="X279" s="9"/>
      <c r="Y279" s="9"/>
      <c r="Z279" s="9"/>
      <c r="AA279" s="9"/>
      <c r="AB279" s="9"/>
      <c r="AC279" s="468" t="str">
        <f t="shared" si="23"/>
        <v/>
      </c>
      <c r="AD279" s="468"/>
      <c r="AE279" s="468"/>
      <c r="AF279" s="4"/>
      <c r="AG279" s="88"/>
      <c r="AH279" s="4"/>
      <c r="AI279" s="4"/>
      <c r="AJ279" s="468"/>
      <c r="AK279" s="468"/>
      <c r="AL279" s="468"/>
      <c r="AM279" s="468"/>
      <c r="AN279" s="10"/>
      <c r="AO279" s="9"/>
      <c r="AP279" s="9"/>
      <c r="AQ279" s="9"/>
      <c r="AR279" s="9"/>
      <c r="AS279" s="9"/>
      <c r="AT279" s="9"/>
      <c r="AU279" s="447"/>
      <c r="AV279" s="447"/>
      <c r="AW279" s="468"/>
      <c r="AX279" s="468"/>
      <c r="AY279" s="10" t="str">
        <f>IF(L279="","",
IF(AX279="PT",VLOOKUP(L279,Foundation_Calc!$K$79:$R$112,VLOOKUP(AW279,Foundation_Calc!$I$2:$J$8,2,FALSE),0),
IF(AX279="K",VLOOKUP(L279,Foundation_Calc!$K$116:$R$149,VLOOKUP(AW279,Foundation_Calc!$I$2:$J$8,2,FALSE),0),"")))</f>
        <v/>
      </c>
      <c r="AZ279" s="10" t="str">
        <f>IF(K279="","",
IF(AX279="PT",VLOOKUP(K279,Foundation_Calc!$K$79:$R$112,VLOOKUP(AW279,Foundation_Calc!$I$2:$J$8,2,FALSE),0),
IF(AX279="K",VLOOKUP(K279,Foundation_Calc!$K$116:$R$149,VLOOKUP(AW279,Foundation_Calc!$I$2:$J$8,2,FALSE),0),"")))</f>
        <v/>
      </c>
      <c r="BA279" s="553" t="str">
        <f t="shared" si="22"/>
        <v/>
      </c>
      <c r="BB279" s="553" t="str">
        <f t="shared" si="22"/>
        <v/>
      </c>
      <c r="BC279" s="553" t="str">
        <f t="shared" si="21"/>
        <v/>
      </c>
      <c r="BD279" s="572"/>
      <c r="BE279" s="448" t="s">
        <v>1726</v>
      </c>
      <c r="BF279" s="305"/>
      <c r="BG279" s="305"/>
      <c r="BH279" s="306"/>
      <c r="BI279" s="305"/>
    </row>
    <row r="280" spans="1:61" ht="16.2" customHeight="1">
      <c r="A280" s="624" t="s">
        <v>383</v>
      </c>
      <c r="B280" s="469" t="s">
        <v>2046</v>
      </c>
      <c r="C280" s="3">
        <f>+$C$278+$G$279</f>
        <v>5966.7500000000009</v>
      </c>
      <c r="D280" s="88"/>
      <c r="E280" s="4"/>
      <c r="F280" s="4">
        <v>-2229.2600000000002</v>
      </c>
      <c r="G280" s="6"/>
      <c r="H280" s="468" t="s">
        <v>26</v>
      </c>
      <c r="I280" s="468" t="s">
        <v>339</v>
      </c>
      <c r="J280" s="501">
        <f>C280-10</f>
        <v>5956.7500000000009</v>
      </c>
      <c r="K280" s="468" t="s">
        <v>447</v>
      </c>
      <c r="L280" s="468"/>
      <c r="M280" s="468" t="str">
        <f>IF(L280="","",
IF(AX280="PT",VLOOKUP(L280,Foundation_Calc!$V$79:$X$112,VLOOKUP(AX280,Foundation_Calc!$I$10:$J$13,2,FALSE),0),
IF(AX280="K",VLOOKUP(L280,Foundation_Calc!$V$116:$X$149,VLOOKUP(AX280,Foundation_Calc!$I$10:$J$13,2,FALSE),0),"")))</f>
        <v/>
      </c>
      <c r="N280" s="468" t="s">
        <v>192</v>
      </c>
      <c r="O280" s="468"/>
      <c r="P280" s="468"/>
      <c r="Q280" s="4"/>
      <c r="R280" s="6"/>
      <c r="S280" s="6"/>
      <c r="T280" s="4">
        <v>25</v>
      </c>
      <c r="U280" s="4"/>
      <c r="V280" s="4"/>
      <c r="W280" s="9">
        <v>1</v>
      </c>
      <c r="X280" s="9"/>
      <c r="Y280" s="9"/>
      <c r="Z280" s="9"/>
      <c r="AA280" s="9"/>
      <c r="AB280" s="9"/>
      <c r="AC280" s="468" t="s">
        <v>630</v>
      </c>
      <c r="AD280" s="468"/>
      <c r="AE280" s="468"/>
      <c r="AF280" s="4"/>
      <c r="AG280" s="88"/>
      <c r="AH280" s="4"/>
      <c r="AI280" s="4"/>
      <c r="AJ280" s="468"/>
      <c r="AK280" s="468" t="s">
        <v>41</v>
      </c>
      <c r="AL280" s="468"/>
      <c r="AM280" s="468" t="s">
        <v>2458</v>
      </c>
      <c r="AN280" s="10">
        <v>5.15</v>
      </c>
      <c r="AO280" s="9"/>
      <c r="AP280" s="9"/>
      <c r="AQ280" s="9"/>
      <c r="AR280" s="9"/>
      <c r="AS280" s="9"/>
      <c r="AT280" s="9"/>
      <c r="AU280" s="447"/>
      <c r="AV280" s="447"/>
      <c r="AW280" s="468" t="s">
        <v>199</v>
      </c>
      <c r="AX280" s="468" t="s">
        <v>199</v>
      </c>
      <c r="AY280" s="10" t="str">
        <f>IF(L280="","",
IF(AX280="PT",VLOOKUP(L280,Foundation_Calc!$K$79:$R$112,VLOOKUP(AW280,Foundation_Calc!$I$2:$J$8,2,FALSE),0),
IF(AX280="K",VLOOKUP(L280,Foundation_Calc!$K$116:$R$149,VLOOKUP(AW280,Foundation_Calc!$I$2:$J$8,2,FALSE),0),"")))</f>
        <v/>
      </c>
      <c r="AZ280" s="10" t="str">
        <f>IF(K280="","",
IF(AX280="PT",VLOOKUP(K280,Foundation_Calc!$K$79:$R$112,VLOOKUP(AW280,Foundation_Calc!$I$2:$J$8,2,FALSE),0),
IF(AX280="K",VLOOKUP(K280,Foundation_Calc!$K$116:$R$149,VLOOKUP(AW280,Foundation_Calc!$I$2:$J$8,2,FALSE),0),"")))</f>
        <v/>
      </c>
      <c r="BA280" s="553" t="str">
        <f t="shared" si="22"/>
        <v/>
      </c>
      <c r="BB280" s="553" t="str">
        <f t="shared" si="22"/>
        <v/>
      </c>
      <c r="BC280" s="553" t="str">
        <f t="shared" si="21"/>
        <v/>
      </c>
      <c r="BD280" s="572"/>
      <c r="BE280" s="448" t="s">
        <v>1726</v>
      </c>
      <c r="BF280" s="306"/>
      <c r="BG280" s="306"/>
      <c r="BH280" s="306"/>
      <c r="BI280" s="306"/>
    </row>
    <row r="281" spans="1:61" ht="16.2" customHeight="1">
      <c r="A281" s="624" t="s">
        <v>383</v>
      </c>
      <c r="B281" s="469"/>
      <c r="C281" s="3"/>
      <c r="D281" s="88"/>
      <c r="E281" s="4"/>
      <c r="F281" s="4"/>
      <c r="G281" s="6">
        <v>30</v>
      </c>
      <c r="H281" s="468"/>
      <c r="I281" s="468"/>
      <c r="J281" s="3"/>
      <c r="K281" s="468"/>
      <c r="L281" s="468"/>
      <c r="M281" s="468" t="str">
        <f>IF(L281="","",
IF(AX281="PT",VLOOKUP(L281,Foundation_Calc!$V$79:$X$112,VLOOKUP(AX281,Foundation_Calc!$I$10:$J$13,2,FALSE),0),
IF(AX281="K",VLOOKUP(L281,Foundation_Calc!$V$116:$X$149,VLOOKUP(AX281,Foundation_Calc!$I$10:$J$13,2,FALSE),0),"")))</f>
        <v/>
      </c>
      <c r="N281" s="468"/>
      <c r="O281" s="468"/>
      <c r="P281" s="468"/>
      <c r="Q281" s="4"/>
      <c r="R281" s="6"/>
      <c r="S281" s="6"/>
      <c r="T281" s="4"/>
      <c r="U281" s="4"/>
      <c r="V281" s="4"/>
      <c r="W281" s="9"/>
      <c r="X281" s="9"/>
      <c r="Y281" s="9"/>
      <c r="Z281" s="9"/>
      <c r="AA281" s="9"/>
      <c r="AB281" s="9"/>
      <c r="AC281" s="468" t="s">
        <v>195</v>
      </c>
      <c r="AD281" s="468"/>
      <c r="AE281" s="468"/>
      <c r="AF281" s="4"/>
      <c r="AG281" s="88"/>
      <c r="AH281" s="4"/>
      <c r="AI281" s="4"/>
      <c r="AJ281" s="468"/>
      <c r="AK281" s="468"/>
      <c r="AL281" s="468"/>
      <c r="AM281" s="468"/>
      <c r="AN281" s="10"/>
      <c r="AO281" s="9"/>
      <c r="AP281" s="9"/>
      <c r="AQ281" s="9"/>
      <c r="AR281" s="9"/>
      <c r="AS281" s="9"/>
      <c r="AT281" s="9"/>
      <c r="AU281" s="447"/>
      <c r="AV281" s="447"/>
      <c r="AW281" s="468"/>
      <c r="AX281" s="468"/>
      <c r="AY281" s="10" t="str">
        <f>IF(L281="","",
IF(AX281="PT",VLOOKUP(L281,Foundation_Calc!$K$79:$R$112,VLOOKUP(AW281,Foundation_Calc!$I$2:$J$8,2,FALSE),0),
IF(AX281="K",VLOOKUP(L281,Foundation_Calc!$K$116:$R$149,VLOOKUP(AW281,Foundation_Calc!$I$2:$J$8,2,FALSE),0),"")))</f>
        <v/>
      </c>
      <c r="AZ281" s="10" t="str">
        <f>IF(K281="","",
IF(AX281="PT",VLOOKUP(K281,Foundation_Calc!$K$79:$R$112,VLOOKUP(AW281,Foundation_Calc!$I$2:$J$8,2,FALSE),0),
IF(AX281="K",VLOOKUP(K281,Foundation_Calc!$K$116:$R$149,VLOOKUP(AW281,Foundation_Calc!$I$2:$J$8,2,FALSE),0),"")))</f>
        <v/>
      </c>
      <c r="BA281" s="553" t="str">
        <f t="shared" si="22"/>
        <v/>
      </c>
      <c r="BB281" s="553" t="str">
        <f t="shared" si="22"/>
        <v/>
      </c>
      <c r="BC281" s="553" t="str">
        <f t="shared" si="21"/>
        <v/>
      </c>
      <c r="BD281" s="572"/>
      <c r="BE281" s="448" t="s">
        <v>1726</v>
      </c>
      <c r="BF281" s="305"/>
      <c r="BG281" s="305"/>
      <c r="BH281" s="306"/>
      <c r="BI281" s="305"/>
    </row>
    <row r="282" spans="1:61" ht="16.2" customHeight="1">
      <c r="A282" s="624" t="s">
        <v>383</v>
      </c>
      <c r="B282" s="469" t="s">
        <v>2047</v>
      </c>
      <c r="C282" s="3">
        <f>+$C$280+$G$281</f>
        <v>5996.7500000000009</v>
      </c>
      <c r="D282" s="88"/>
      <c r="E282" s="4"/>
      <c r="F282" s="4">
        <v>0</v>
      </c>
      <c r="G282" s="6"/>
      <c r="H282" s="468"/>
      <c r="I282" s="468"/>
      <c r="J282" s="3"/>
      <c r="K282" s="468"/>
      <c r="L282" s="468"/>
      <c r="M282" s="468" t="str">
        <f>IF(L282="","",
IF(AX282="PT",VLOOKUP(L282,Foundation_Calc!$V$79:$X$112,VLOOKUP(AX282,Foundation_Calc!$I$10:$J$13,2,FALSE),0),
IF(AX282="K",VLOOKUP(L282,Foundation_Calc!$V$116:$X$149,VLOOKUP(AX282,Foundation_Calc!$I$10:$J$13,2,FALSE),0),"")))</f>
        <v/>
      </c>
      <c r="N282" s="468" t="s">
        <v>191</v>
      </c>
      <c r="O282" s="468"/>
      <c r="P282" s="468"/>
      <c r="Q282" s="4"/>
      <c r="R282" s="6"/>
      <c r="S282" s="6"/>
      <c r="T282" s="4">
        <v>-25</v>
      </c>
      <c r="U282" s="4"/>
      <c r="V282" s="4"/>
      <c r="W282" s="9">
        <v>1</v>
      </c>
      <c r="X282" s="9"/>
      <c r="Y282" s="9"/>
      <c r="Z282" s="9"/>
      <c r="AA282" s="9"/>
      <c r="AB282" s="9"/>
      <c r="AC282" s="468" t="s">
        <v>1340</v>
      </c>
      <c r="AD282" s="468"/>
      <c r="AE282" s="468"/>
      <c r="AF282" s="4"/>
      <c r="AG282" s="88"/>
      <c r="AH282" s="4"/>
      <c r="AI282" s="4"/>
      <c r="AJ282" s="468"/>
      <c r="AK282" s="468" t="s">
        <v>41</v>
      </c>
      <c r="AL282" s="468"/>
      <c r="AM282" s="468" t="s">
        <v>2458</v>
      </c>
      <c r="AN282" s="10">
        <v>5.15</v>
      </c>
      <c r="AO282" s="9"/>
      <c r="AP282" s="9"/>
      <c r="AQ282" s="9"/>
      <c r="AR282" s="9"/>
      <c r="AS282" s="9"/>
      <c r="AT282" s="9"/>
      <c r="AU282" s="447"/>
      <c r="AV282" s="447"/>
      <c r="AW282" s="468" t="s">
        <v>199</v>
      </c>
      <c r="AX282" s="468" t="s">
        <v>199</v>
      </c>
      <c r="AY282" s="10" t="str">
        <f>IF(L282="","",
IF(AX282="PT",VLOOKUP(L282,Foundation_Calc!$K$79:$R$112,VLOOKUP(AW282,Foundation_Calc!$I$2:$J$8,2,FALSE),0),
IF(AX282="K",VLOOKUP(L282,Foundation_Calc!$K$116:$R$149,VLOOKUP(AW282,Foundation_Calc!$I$2:$J$8,2,FALSE),0),"")))</f>
        <v/>
      </c>
      <c r="AZ282" s="10" t="str">
        <f>IF(K282="","",
IF(AX282="PT",VLOOKUP(K282,Foundation_Calc!$K$79:$R$112,VLOOKUP(AW282,Foundation_Calc!$I$2:$J$8,2,FALSE),0),
IF(AX282="K",VLOOKUP(K282,Foundation_Calc!$K$116:$R$149,VLOOKUP(AW282,Foundation_Calc!$I$2:$J$8,2,FALSE),0),"")))</f>
        <v/>
      </c>
      <c r="BA282" s="553" t="str">
        <f t="shared" si="22"/>
        <v/>
      </c>
      <c r="BB282" s="553" t="str">
        <f t="shared" si="22"/>
        <v/>
      </c>
      <c r="BC282" s="553" t="str">
        <f t="shared" si="21"/>
        <v/>
      </c>
      <c r="BD282" s="572"/>
      <c r="BE282" s="448" t="s">
        <v>1726</v>
      </c>
      <c r="BF282" s="306"/>
      <c r="BG282" s="306"/>
      <c r="BH282" s="306"/>
      <c r="BI282" s="306"/>
    </row>
    <row r="283" spans="1:61" ht="16.2" customHeight="1">
      <c r="A283" s="624" t="s">
        <v>383</v>
      </c>
      <c r="B283" s="469"/>
      <c r="C283" s="3"/>
      <c r="D283" s="88"/>
      <c r="E283" s="4"/>
      <c r="F283" s="4"/>
      <c r="G283" s="6">
        <v>30</v>
      </c>
      <c r="H283" s="468"/>
      <c r="I283" s="468"/>
      <c r="J283" s="3"/>
      <c r="K283" s="468"/>
      <c r="L283" s="468"/>
      <c r="M283" s="468" t="str">
        <f>IF(L283="","",
IF(AX283="PT",VLOOKUP(L283,Foundation_Calc!$V$79:$X$112,VLOOKUP(AX283,Foundation_Calc!$I$10:$J$13,2,FALSE),0),
IF(AX283="K",VLOOKUP(L283,Foundation_Calc!$V$116:$X$149,VLOOKUP(AX283,Foundation_Calc!$I$10:$J$13,2,FALSE),0),"")))</f>
        <v/>
      </c>
      <c r="N283" s="468"/>
      <c r="O283" s="468"/>
      <c r="P283" s="468"/>
      <c r="Q283" s="4"/>
      <c r="R283" s="6"/>
      <c r="S283" s="6"/>
      <c r="T283" s="4"/>
      <c r="U283" s="4"/>
      <c r="V283" s="4"/>
      <c r="W283" s="9"/>
      <c r="X283" s="9"/>
      <c r="Y283" s="9"/>
      <c r="Z283" s="9"/>
      <c r="AA283" s="9"/>
      <c r="AB283" s="9"/>
      <c r="AC283" s="468" t="s">
        <v>195</v>
      </c>
      <c r="AD283" s="468"/>
      <c r="AE283" s="468"/>
      <c r="AF283" s="4"/>
      <c r="AG283" s="88"/>
      <c r="AH283" s="4"/>
      <c r="AI283" s="4"/>
      <c r="AJ283" s="468"/>
      <c r="AK283" s="468"/>
      <c r="AL283" s="468"/>
      <c r="AM283" s="468"/>
      <c r="AN283" s="10"/>
      <c r="AO283" s="9"/>
      <c r="AP283" s="9"/>
      <c r="AQ283" s="9"/>
      <c r="AR283" s="9"/>
      <c r="AS283" s="9"/>
      <c r="AT283" s="9"/>
      <c r="AU283" s="447"/>
      <c r="AV283" s="447"/>
      <c r="AW283" s="468"/>
      <c r="AX283" s="468"/>
      <c r="AY283" s="10" t="str">
        <f>IF(L283="","",
IF(AX283="PT",VLOOKUP(L283,Foundation_Calc!$K$79:$R$112,VLOOKUP(AW283,Foundation_Calc!$I$2:$J$8,2,FALSE),0),
IF(AX283="K",VLOOKUP(L283,Foundation_Calc!$K$116:$R$149,VLOOKUP(AW283,Foundation_Calc!$I$2:$J$8,2,FALSE),0),"")))</f>
        <v/>
      </c>
      <c r="AZ283" s="10" t="str">
        <f>IF(K283="","",
IF(AX283="PT",VLOOKUP(K283,Foundation_Calc!$K$79:$R$112,VLOOKUP(AW283,Foundation_Calc!$I$2:$J$8,2,FALSE),0),
IF(AX283="K",VLOOKUP(K283,Foundation_Calc!$K$116:$R$149,VLOOKUP(AW283,Foundation_Calc!$I$2:$J$8,2,FALSE),0),"")))</f>
        <v/>
      </c>
      <c r="BA283" s="553" t="str">
        <f t="shared" si="22"/>
        <v/>
      </c>
      <c r="BB283" s="553" t="str">
        <f t="shared" si="22"/>
        <v/>
      </c>
      <c r="BC283" s="553" t="str">
        <f t="shared" si="21"/>
        <v/>
      </c>
      <c r="BD283" s="572"/>
      <c r="BE283" s="448" t="s">
        <v>1726</v>
      </c>
      <c r="BF283" s="305"/>
      <c r="BG283" s="305"/>
      <c r="BH283" s="306"/>
      <c r="BI283" s="305"/>
    </row>
    <row r="284" spans="1:61" ht="16.2" customHeight="1">
      <c r="A284" s="624" t="s">
        <v>383</v>
      </c>
      <c r="B284" s="469" t="s">
        <v>2048</v>
      </c>
      <c r="C284" s="3">
        <f>+$C$282+$G$283</f>
        <v>6026.7500000000009</v>
      </c>
      <c r="D284" s="88"/>
      <c r="E284" s="4"/>
      <c r="F284" s="4">
        <v>0</v>
      </c>
      <c r="G284" s="6"/>
      <c r="H284" s="468"/>
      <c r="I284" s="468"/>
      <c r="J284" s="3"/>
      <c r="K284" s="468"/>
      <c r="L284" s="468"/>
      <c r="M284" s="468" t="str">
        <f>IF(L284="","",
IF(AX284="PT",VLOOKUP(L284,Foundation_Calc!$V$79:$X$112,VLOOKUP(AX284,Foundation_Calc!$I$10:$J$13,2,FALSE),0),
IF(AX284="K",VLOOKUP(L284,Foundation_Calc!$V$116:$X$149,VLOOKUP(AX284,Foundation_Calc!$I$10:$J$13,2,FALSE),0),"")))</f>
        <v/>
      </c>
      <c r="N284" s="468" t="s">
        <v>192</v>
      </c>
      <c r="O284" s="468"/>
      <c r="P284" s="468"/>
      <c r="Q284" s="4"/>
      <c r="R284" s="6"/>
      <c r="S284" s="6"/>
      <c r="T284" s="4">
        <v>25</v>
      </c>
      <c r="U284" s="4"/>
      <c r="V284" s="4"/>
      <c r="W284" s="9">
        <v>1</v>
      </c>
      <c r="X284" s="9"/>
      <c r="Y284" s="9"/>
      <c r="Z284" s="9"/>
      <c r="AA284" s="9"/>
      <c r="AB284" s="9"/>
      <c r="AC284" s="468" t="s">
        <v>1340</v>
      </c>
      <c r="AD284" s="468"/>
      <c r="AE284" s="468"/>
      <c r="AF284" s="4"/>
      <c r="AG284" s="88"/>
      <c r="AH284" s="4"/>
      <c r="AI284" s="4"/>
      <c r="AJ284" s="468"/>
      <c r="AK284" s="468" t="s">
        <v>41</v>
      </c>
      <c r="AL284" s="468"/>
      <c r="AM284" s="468" t="s">
        <v>2458</v>
      </c>
      <c r="AN284" s="10">
        <v>5.15</v>
      </c>
      <c r="AO284" s="9"/>
      <c r="AP284" s="9"/>
      <c r="AQ284" s="9"/>
      <c r="AR284" s="9"/>
      <c r="AS284" s="9"/>
      <c r="AT284" s="9"/>
      <c r="AU284" s="447"/>
      <c r="AV284" s="447"/>
      <c r="AW284" s="468" t="s">
        <v>199</v>
      </c>
      <c r="AX284" s="468" t="s">
        <v>199</v>
      </c>
      <c r="AY284" s="10" t="str">
        <f>IF(L284="","",
IF(AX284="PT",VLOOKUP(L284,Foundation_Calc!$K$79:$R$112,VLOOKUP(AW284,Foundation_Calc!$I$2:$J$8,2,FALSE),0),
IF(AX284="K",VLOOKUP(L284,Foundation_Calc!$K$116:$R$149,VLOOKUP(AW284,Foundation_Calc!$I$2:$J$8,2,FALSE),0),"")))</f>
        <v/>
      </c>
      <c r="AZ284" s="10" t="str">
        <f>IF(K284="","",
IF(AX284="PT",VLOOKUP(K284,Foundation_Calc!$K$79:$R$112,VLOOKUP(AW284,Foundation_Calc!$I$2:$J$8,2,FALSE),0),
IF(AX284="K",VLOOKUP(K284,Foundation_Calc!$K$116:$R$149,VLOOKUP(AW284,Foundation_Calc!$I$2:$J$8,2,FALSE),0),"")))</f>
        <v/>
      </c>
      <c r="BA284" s="553" t="str">
        <f t="shared" si="22"/>
        <v/>
      </c>
      <c r="BB284" s="553" t="str">
        <f t="shared" si="22"/>
        <v/>
      </c>
      <c r="BC284" s="553" t="str">
        <f t="shared" si="21"/>
        <v/>
      </c>
      <c r="BD284" s="572"/>
      <c r="BE284" s="448" t="s">
        <v>1726</v>
      </c>
      <c r="BF284" s="306"/>
      <c r="BG284" s="306"/>
      <c r="BH284" s="306"/>
      <c r="BI284" s="306"/>
    </row>
    <row r="285" spans="1:61" ht="16.2" customHeight="1">
      <c r="A285" s="624" t="s">
        <v>383</v>
      </c>
      <c r="B285" s="469"/>
      <c r="C285" s="3"/>
      <c r="D285" s="88"/>
      <c r="E285" s="4"/>
      <c r="F285" s="4"/>
      <c r="G285" s="6">
        <v>30</v>
      </c>
      <c r="H285" s="468"/>
      <c r="I285" s="468"/>
      <c r="J285" s="3"/>
      <c r="K285" s="468"/>
      <c r="L285" s="468"/>
      <c r="M285" s="468" t="str">
        <f>IF(L285="","",
IF(AX285="PT",VLOOKUP(L285,Foundation_Calc!$V$79:$X$112,VLOOKUP(AX285,Foundation_Calc!$I$10:$J$13,2,FALSE),0),
IF(AX285="K",VLOOKUP(L285,Foundation_Calc!$V$116:$X$149,VLOOKUP(AX285,Foundation_Calc!$I$10:$J$13,2,FALSE),0),"")))</f>
        <v/>
      </c>
      <c r="N285" s="468"/>
      <c r="O285" s="468"/>
      <c r="P285" s="468"/>
      <c r="Q285" s="4"/>
      <c r="R285" s="6"/>
      <c r="S285" s="6"/>
      <c r="T285" s="4"/>
      <c r="U285" s="4"/>
      <c r="V285" s="4"/>
      <c r="W285" s="9"/>
      <c r="X285" s="9"/>
      <c r="Y285" s="9"/>
      <c r="Z285" s="9"/>
      <c r="AA285" s="9"/>
      <c r="AB285" s="9"/>
      <c r="AC285" s="468" t="s">
        <v>195</v>
      </c>
      <c r="AD285" s="468"/>
      <c r="AE285" s="468"/>
      <c r="AF285" s="4"/>
      <c r="AG285" s="88"/>
      <c r="AH285" s="4"/>
      <c r="AI285" s="4"/>
      <c r="AJ285" s="468"/>
      <c r="AK285" s="468"/>
      <c r="AL285" s="468"/>
      <c r="AM285" s="468"/>
      <c r="AN285" s="10"/>
      <c r="AO285" s="9"/>
      <c r="AP285" s="9"/>
      <c r="AQ285" s="9"/>
      <c r="AR285" s="9"/>
      <c r="AS285" s="9"/>
      <c r="AT285" s="9"/>
      <c r="AU285" s="447"/>
      <c r="AV285" s="447"/>
      <c r="AW285" s="468"/>
      <c r="AX285" s="468"/>
      <c r="AY285" s="10" t="str">
        <f>IF(L285="","",
IF(AX285="PT",VLOOKUP(L285,Foundation_Calc!$K$79:$R$112,VLOOKUP(AW285,Foundation_Calc!$I$2:$J$8,2,FALSE),0),
IF(AX285="K",VLOOKUP(L285,Foundation_Calc!$K$116:$R$149,VLOOKUP(AW285,Foundation_Calc!$I$2:$J$8,2,FALSE),0),"")))</f>
        <v/>
      </c>
      <c r="AZ285" s="10" t="str">
        <f>IF(K285="","",
IF(AX285="PT",VLOOKUP(K285,Foundation_Calc!$K$79:$R$112,VLOOKUP(AW285,Foundation_Calc!$I$2:$J$8,2,FALSE),0),
IF(AX285="K",VLOOKUP(K285,Foundation_Calc!$K$116:$R$149,VLOOKUP(AW285,Foundation_Calc!$I$2:$J$8,2,FALSE),0),"")))</f>
        <v/>
      </c>
      <c r="BA285" s="553" t="str">
        <f t="shared" si="22"/>
        <v/>
      </c>
      <c r="BB285" s="553" t="str">
        <f t="shared" si="22"/>
        <v/>
      </c>
      <c r="BC285" s="553" t="str">
        <f t="shared" si="21"/>
        <v/>
      </c>
      <c r="BD285" s="572"/>
      <c r="BE285" s="448" t="s">
        <v>1726</v>
      </c>
      <c r="BF285" s="305"/>
      <c r="BG285" s="305"/>
      <c r="BH285" s="306"/>
      <c r="BI285" s="305"/>
    </row>
    <row r="286" spans="1:61" ht="16.2" customHeight="1">
      <c r="A286" s="624" t="s">
        <v>383</v>
      </c>
      <c r="B286" s="469" t="s">
        <v>2049</v>
      </c>
      <c r="C286" s="3">
        <f>+$C$284+$G$285</f>
        <v>6056.7500000000009</v>
      </c>
      <c r="D286" s="88"/>
      <c r="E286" s="4"/>
      <c r="F286" s="4">
        <v>0</v>
      </c>
      <c r="G286" s="6"/>
      <c r="H286" s="468"/>
      <c r="I286" s="468"/>
      <c r="J286" s="3"/>
      <c r="K286" s="468"/>
      <c r="L286" s="468"/>
      <c r="M286" s="468" t="str">
        <f>IF(L286="","",
IF(AX286="PT",VLOOKUP(L286,Foundation_Calc!$V$79:$X$112,VLOOKUP(AX286,Foundation_Calc!$I$10:$J$13,2,FALSE),0),
IF(AX286="K",VLOOKUP(L286,Foundation_Calc!$V$116:$X$149,VLOOKUP(AX286,Foundation_Calc!$I$10:$J$13,2,FALSE),0),"")))</f>
        <v/>
      </c>
      <c r="N286" s="468" t="s">
        <v>191</v>
      </c>
      <c r="O286" s="468"/>
      <c r="P286" s="468"/>
      <c r="Q286" s="4"/>
      <c r="R286" s="6"/>
      <c r="S286" s="6"/>
      <c r="T286" s="4">
        <v>-25</v>
      </c>
      <c r="U286" s="4"/>
      <c r="V286" s="4"/>
      <c r="W286" s="9">
        <v>1</v>
      </c>
      <c r="X286" s="9"/>
      <c r="Y286" s="9"/>
      <c r="Z286" s="9"/>
      <c r="AA286" s="9"/>
      <c r="AB286" s="9"/>
      <c r="AC286" s="468" t="s">
        <v>1340</v>
      </c>
      <c r="AD286" s="468"/>
      <c r="AE286" s="468"/>
      <c r="AF286" s="4"/>
      <c r="AG286" s="88"/>
      <c r="AH286" s="4"/>
      <c r="AI286" s="4"/>
      <c r="AJ286" s="468"/>
      <c r="AK286" s="468" t="s">
        <v>41</v>
      </c>
      <c r="AL286" s="468"/>
      <c r="AM286" s="468" t="s">
        <v>2458</v>
      </c>
      <c r="AN286" s="10">
        <v>5.15</v>
      </c>
      <c r="AO286" s="9"/>
      <c r="AP286" s="9"/>
      <c r="AQ286" s="9"/>
      <c r="AR286" s="9"/>
      <c r="AS286" s="9"/>
      <c r="AT286" s="9"/>
      <c r="AU286" s="447"/>
      <c r="AV286" s="447"/>
      <c r="AW286" s="468" t="s">
        <v>199</v>
      </c>
      <c r="AX286" s="468" t="s">
        <v>199</v>
      </c>
      <c r="AY286" s="10" t="str">
        <f>IF(L286="","",
IF(AX286="PT",VLOOKUP(L286,Foundation_Calc!$K$79:$R$112,VLOOKUP(AW286,Foundation_Calc!$I$2:$J$8,2,FALSE),0),
IF(AX286="K",VLOOKUP(L286,Foundation_Calc!$K$116:$R$149,VLOOKUP(AW286,Foundation_Calc!$I$2:$J$8,2,FALSE),0),"")))</f>
        <v/>
      </c>
      <c r="AZ286" s="10" t="str">
        <f>IF(K286="","",
IF(AX286="PT",VLOOKUP(K286,Foundation_Calc!$K$79:$R$112,VLOOKUP(AW286,Foundation_Calc!$I$2:$J$8,2,FALSE),0),
IF(AX286="K",VLOOKUP(K286,Foundation_Calc!$K$116:$R$149,VLOOKUP(AW286,Foundation_Calc!$I$2:$J$8,2,FALSE),0),"")))</f>
        <v/>
      </c>
      <c r="BA286" s="553" t="str">
        <f t="shared" si="22"/>
        <v/>
      </c>
      <c r="BB286" s="553" t="str">
        <f t="shared" si="22"/>
        <v/>
      </c>
      <c r="BC286" s="553" t="str">
        <f t="shared" si="21"/>
        <v/>
      </c>
      <c r="BD286" s="572"/>
      <c r="BE286" s="448" t="s">
        <v>1726</v>
      </c>
      <c r="BF286" s="306"/>
      <c r="BG286" s="306"/>
      <c r="BH286" s="306"/>
      <c r="BI286" s="306"/>
    </row>
    <row r="287" spans="1:61" ht="16.2" customHeight="1">
      <c r="A287" s="624" t="s">
        <v>383</v>
      </c>
      <c r="B287" s="469"/>
      <c r="C287" s="3"/>
      <c r="D287" s="88"/>
      <c r="E287" s="4"/>
      <c r="F287" s="4"/>
      <c r="G287" s="6">
        <v>30</v>
      </c>
      <c r="H287" s="468"/>
      <c r="I287" s="468"/>
      <c r="J287" s="3"/>
      <c r="K287" s="468"/>
      <c r="L287" s="468"/>
      <c r="M287" s="468" t="str">
        <f>IF(L287="","",
IF(AX287="PT",VLOOKUP(L287,Foundation_Calc!$V$79:$X$112,VLOOKUP(AX287,Foundation_Calc!$I$10:$J$13,2,FALSE),0),
IF(AX287="K",VLOOKUP(L287,Foundation_Calc!$V$116:$X$149,VLOOKUP(AX287,Foundation_Calc!$I$10:$J$13,2,FALSE),0),"")))</f>
        <v/>
      </c>
      <c r="N287" s="468"/>
      <c r="O287" s="468"/>
      <c r="P287" s="468"/>
      <c r="Q287" s="4"/>
      <c r="R287" s="6"/>
      <c r="S287" s="6"/>
      <c r="T287" s="4"/>
      <c r="U287" s="4"/>
      <c r="V287" s="4"/>
      <c r="W287" s="9"/>
      <c r="X287" s="9"/>
      <c r="Y287" s="9"/>
      <c r="Z287" s="9"/>
      <c r="AA287" s="9"/>
      <c r="AB287" s="9"/>
      <c r="AC287" s="468" t="s">
        <v>195</v>
      </c>
      <c r="AD287" s="468"/>
      <c r="AE287" s="468"/>
      <c r="AF287" s="4"/>
      <c r="AG287" s="88"/>
      <c r="AH287" s="4"/>
      <c r="AI287" s="4"/>
      <c r="AJ287" s="468"/>
      <c r="AK287" s="468"/>
      <c r="AL287" s="468"/>
      <c r="AM287" s="468"/>
      <c r="AN287" s="10"/>
      <c r="AO287" s="9"/>
      <c r="AP287" s="9"/>
      <c r="AQ287" s="9"/>
      <c r="AR287" s="9"/>
      <c r="AS287" s="9"/>
      <c r="AT287" s="9"/>
      <c r="AU287" s="447"/>
      <c r="AV287" s="447"/>
      <c r="AW287" s="468"/>
      <c r="AX287" s="468"/>
      <c r="AY287" s="10" t="str">
        <f>IF(L287="","",
IF(AX287="PT",VLOOKUP(L287,Foundation_Calc!$K$79:$R$112,VLOOKUP(AW287,Foundation_Calc!$I$2:$J$8,2,FALSE),0),
IF(AX287="K",VLOOKUP(L287,Foundation_Calc!$K$116:$R$149,VLOOKUP(AW287,Foundation_Calc!$I$2:$J$8,2,FALSE),0),"")))</f>
        <v/>
      </c>
      <c r="AZ287" s="10" t="str">
        <f>IF(K287="","",
IF(AX287="PT",VLOOKUP(K287,Foundation_Calc!$K$79:$R$112,VLOOKUP(AW287,Foundation_Calc!$I$2:$J$8,2,FALSE),0),
IF(AX287="K",VLOOKUP(K287,Foundation_Calc!$K$116:$R$149,VLOOKUP(AW287,Foundation_Calc!$I$2:$J$8,2,FALSE),0),"")))</f>
        <v/>
      </c>
      <c r="BA287" s="553" t="str">
        <f t="shared" si="22"/>
        <v/>
      </c>
      <c r="BB287" s="553" t="str">
        <f t="shared" si="22"/>
        <v/>
      </c>
      <c r="BC287" s="553" t="str">
        <f t="shared" si="21"/>
        <v/>
      </c>
      <c r="BD287" s="572"/>
      <c r="BE287" s="448" t="s">
        <v>1726</v>
      </c>
      <c r="BF287" s="305"/>
      <c r="BG287" s="305"/>
      <c r="BH287" s="306"/>
      <c r="BI287" s="305"/>
    </row>
    <row r="288" spans="1:61" ht="16.2" customHeight="1">
      <c r="A288" s="624" t="s">
        <v>383</v>
      </c>
      <c r="B288" s="469" t="s">
        <v>2050</v>
      </c>
      <c r="C288" s="3">
        <f>+$C$286+$G$287</f>
        <v>6086.7500000000009</v>
      </c>
      <c r="D288" s="88"/>
      <c r="E288" s="4"/>
      <c r="F288" s="4">
        <v>0</v>
      </c>
      <c r="G288" s="6"/>
      <c r="H288" s="468"/>
      <c r="I288" s="468"/>
      <c r="J288" s="3"/>
      <c r="K288" s="468"/>
      <c r="L288" s="468"/>
      <c r="M288" s="468" t="str">
        <f>IF(L288="","",
IF(AX288="PT",VLOOKUP(L288,Foundation_Calc!$V$79:$X$112,VLOOKUP(AX288,Foundation_Calc!$I$10:$J$13,2,FALSE),0),
IF(AX288="K",VLOOKUP(L288,Foundation_Calc!$V$116:$X$149,VLOOKUP(AX288,Foundation_Calc!$I$10:$J$13,2,FALSE),0),"")))</f>
        <v/>
      </c>
      <c r="N288" s="468" t="s">
        <v>192</v>
      </c>
      <c r="O288" s="468"/>
      <c r="P288" s="468"/>
      <c r="Q288" s="4"/>
      <c r="R288" s="6"/>
      <c r="S288" s="6"/>
      <c r="T288" s="4">
        <v>25</v>
      </c>
      <c r="U288" s="4"/>
      <c r="V288" s="4"/>
      <c r="W288" s="9">
        <v>1</v>
      </c>
      <c r="X288" s="9"/>
      <c r="Y288" s="9"/>
      <c r="Z288" s="9"/>
      <c r="AA288" s="9"/>
      <c r="AB288" s="9"/>
      <c r="AC288" s="468" t="s">
        <v>1340</v>
      </c>
      <c r="AD288" s="468"/>
      <c r="AE288" s="468"/>
      <c r="AF288" s="4"/>
      <c r="AG288" s="88"/>
      <c r="AH288" s="4"/>
      <c r="AI288" s="4"/>
      <c r="AJ288" s="468"/>
      <c r="AK288" s="468" t="s">
        <v>41</v>
      </c>
      <c r="AL288" s="468"/>
      <c r="AM288" s="468" t="s">
        <v>2458</v>
      </c>
      <c r="AN288" s="10">
        <v>5.15</v>
      </c>
      <c r="AO288" s="9"/>
      <c r="AP288" s="9"/>
      <c r="AQ288" s="9"/>
      <c r="AR288" s="9"/>
      <c r="AS288" s="9"/>
      <c r="AT288" s="9"/>
      <c r="AU288" s="447"/>
      <c r="AV288" s="447"/>
      <c r="AW288" s="468" t="s">
        <v>199</v>
      </c>
      <c r="AX288" s="468" t="s">
        <v>199</v>
      </c>
      <c r="AY288" s="10" t="str">
        <f>IF(L288="","",
IF(AX288="PT",VLOOKUP(L288,Foundation_Calc!$K$79:$R$112,VLOOKUP(AW288,Foundation_Calc!$I$2:$J$8,2,FALSE),0),
IF(AX288="K",VLOOKUP(L288,Foundation_Calc!$K$116:$R$149,VLOOKUP(AW288,Foundation_Calc!$I$2:$J$8,2,FALSE),0),"")))</f>
        <v/>
      </c>
      <c r="AZ288" s="10" t="str">
        <f>IF(K288="","",
IF(AX288="PT",VLOOKUP(K288,Foundation_Calc!$K$79:$R$112,VLOOKUP(AW288,Foundation_Calc!$I$2:$J$8,2,FALSE),0),
IF(AX288="K",VLOOKUP(K288,Foundation_Calc!$K$116:$R$149,VLOOKUP(AW288,Foundation_Calc!$I$2:$J$8,2,FALSE),0),"")))</f>
        <v/>
      </c>
      <c r="BA288" s="553" t="str">
        <f t="shared" si="22"/>
        <v/>
      </c>
      <c r="BB288" s="553" t="str">
        <f t="shared" si="22"/>
        <v/>
      </c>
      <c r="BC288" s="553" t="str">
        <f t="shared" si="21"/>
        <v/>
      </c>
      <c r="BD288" s="572"/>
      <c r="BE288" s="448" t="s">
        <v>1726</v>
      </c>
      <c r="BF288" s="306"/>
      <c r="BG288" s="306"/>
      <c r="BH288" s="306"/>
      <c r="BI288" s="306"/>
    </row>
    <row r="289" spans="1:61" ht="16.2" customHeight="1">
      <c r="A289" s="624" t="s">
        <v>383</v>
      </c>
      <c r="B289" s="469"/>
      <c r="C289" s="3"/>
      <c r="D289" s="88"/>
      <c r="E289" s="4"/>
      <c r="F289" s="4"/>
      <c r="G289" s="6">
        <v>30</v>
      </c>
      <c r="H289" s="468"/>
      <c r="I289" s="4"/>
      <c r="J289" s="3"/>
      <c r="K289" s="468"/>
      <c r="L289" s="468"/>
      <c r="M289" s="468" t="str">
        <f>IF(L289="","",
IF(AX289="PT",VLOOKUP(L289,Foundation_Calc!$V$79:$X$112,VLOOKUP(AX289,Foundation_Calc!$I$10:$J$13,2,FALSE),0),
IF(AX289="K",VLOOKUP(L289,Foundation_Calc!$V$116:$X$149,VLOOKUP(AX289,Foundation_Calc!$I$10:$J$13,2,FALSE),0),"")))</f>
        <v/>
      </c>
      <c r="N289" s="468"/>
      <c r="O289" s="468"/>
      <c r="P289" s="468"/>
      <c r="Q289" s="4"/>
      <c r="R289" s="6"/>
      <c r="S289" s="6"/>
      <c r="T289" s="4"/>
      <c r="U289" s="4"/>
      <c r="V289" s="4"/>
      <c r="W289" s="9"/>
      <c r="X289" s="9"/>
      <c r="Y289" s="9"/>
      <c r="Z289" s="9"/>
      <c r="AA289" s="9"/>
      <c r="AB289" s="9"/>
      <c r="AC289" s="468" t="s">
        <v>195</v>
      </c>
      <c r="AD289" s="468"/>
      <c r="AE289" s="468"/>
      <c r="AF289" s="4"/>
      <c r="AG289" s="88"/>
      <c r="AH289" s="4"/>
      <c r="AI289" s="4"/>
      <c r="AJ289" s="468"/>
      <c r="AK289" s="468"/>
      <c r="AL289" s="468"/>
      <c r="AM289" s="468"/>
      <c r="AN289" s="10"/>
      <c r="AO289" s="9"/>
      <c r="AP289" s="9"/>
      <c r="AQ289" s="9"/>
      <c r="AR289" s="9"/>
      <c r="AS289" s="9"/>
      <c r="AT289" s="9"/>
      <c r="AU289" s="447"/>
      <c r="AV289" s="447"/>
      <c r="AW289" s="468"/>
      <c r="AX289" s="468"/>
      <c r="AY289" s="10" t="str">
        <f>IF(L289="","",
IF(AX289="PT",VLOOKUP(L289,Foundation_Calc!$K$79:$R$112,VLOOKUP(AW289,Foundation_Calc!$I$2:$J$8,2,FALSE),0),
IF(AX289="K",VLOOKUP(L289,Foundation_Calc!$K$116:$R$149,VLOOKUP(AW289,Foundation_Calc!$I$2:$J$8,2,FALSE),0),"")))</f>
        <v/>
      </c>
      <c r="AZ289" s="10" t="str">
        <f>IF(K289="","",
IF(AX289="PT",VLOOKUP(K289,Foundation_Calc!$K$79:$R$112,VLOOKUP(AW289,Foundation_Calc!$I$2:$J$8,2,FALSE),0),
IF(AX289="K",VLOOKUP(K289,Foundation_Calc!$K$116:$R$149,VLOOKUP(AW289,Foundation_Calc!$I$2:$J$8,2,FALSE),0),"")))</f>
        <v/>
      </c>
      <c r="BA289" s="553" t="str">
        <f t="shared" si="22"/>
        <v/>
      </c>
      <c r="BB289" s="553" t="str">
        <f t="shared" si="22"/>
        <v/>
      </c>
      <c r="BC289" s="553" t="str">
        <f t="shared" si="21"/>
        <v/>
      </c>
      <c r="BD289" s="572"/>
      <c r="BE289" s="448" t="s">
        <v>1726</v>
      </c>
      <c r="BF289" s="305"/>
      <c r="BG289" s="305"/>
      <c r="BH289" s="306"/>
      <c r="BI289" s="305"/>
    </row>
    <row r="290" spans="1:61" ht="16.2" customHeight="1">
      <c r="A290" s="624" t="s">
        <v>383</v>
      </c>
      <c r="B290" s="469" t="s">
        <v>2051</v>
      </c>
      <c r="C290" s="3">
        <f>+$C$288+$G$289</f>
        <v>6116.7500000000009</v>
      </c>
      <c r="D290" s="88"/>
      <c r="E290" s="4"/>
      <c r="F290" s="4">
        <v>0</v>
      </c>
      <c r="G290" s="6"/>
      <c r="H290" s="468"/>
      <c r="I290" s="468"/>
      <c r="J290" s="3"/>
      <c r="K290" s="468"/>
      <c r="L290" s="468"/>
      <c r="M290" s="468" t="str">
        <f>IF(L290="","",
IF(AX290="PT",VLOOKUP(L290,Foundation_Calc!$V$79:$X$112,VLOOKUP(AX290,Foundation_Calc!$I$10:$J$13,2,FALSE),0),
IF(AX290="K",VLOOKUP(L290,Foundation_Calc!$V$116:$X$149,VLOOKUP(AX290,Foundation_Calc!$I$10:$J$13,2,FALSE),0),"")))</f>
        <v/>
      </c>
      <c r="N290" s="468" t="s">
        <v>191</v>
      </c>
      <c r="O290" s="468"/>
      <c r="P290" s="468"/>
      <c r="Q290" s="4"/>
      <c r="R290" s="6"/>
      <c r="S290" s="6"/>
      <c r="T290" s="4">
        <v>-25</v>
      </c>
      <c r="U290" s="4"/>
      <c r="V290" s="4"/>
      <c r="W290" s="9">
        <v>1</v>
      </c>
      <c r="X290" s="9"/>
      <c r="Y290" s="9"/>
      <c r="Z290" s="9"/>
      <c r="AA290" s="9"/>
      <c r="AB290" s="9"/>
      <c r="AC290" s="468" t="s">
        <v>630</v>
      </c>
      <c r="AD290" s="468"/>
      <c r="AE290" s="468"/>
      <c r="AF290" s="4"/>
      <c r="AG290" s="88"/>
      <c r="AH290" s="4"/>
      <c r="AI290" s="4"/>
      <c r="AJ290" s="468"/>
      <c r="AK290" s="468" t="s">
        <v>41</v>
      </c>
      <c r="AL290" s="468"/>
      <c r="AM290" s="468" t="s">
        <v>2458</v>
      </c>
      <c r="AN290" s="10">
        <v>5.15</v>
      </c>
      <c r="AO290" s="9"/>
      <c r="AP290" s="9"/>
      <c r="AQ290" s="9"/>
      <c r="AR290" s="9"/>
      <c r="AS290" s="9"/>
      <c r="AT290" s="9"/>
      <c r="AU290" s="447"/>
      <c r="AV290" s="447"/>
      <c r="AW290" s="468" t="s">
        <v>199</v>
      </c>
      <c r="AX290" s="468" t="s">
        <v>199</v>
      </c>
      <c r="AY290" s="10" t="str">
        <f>IF(L290="","",
IF(AX290="PT",VLOOKUP(L290,Foundation_Calc!$K$79:$R$112,VLOOKUP(AW290,Foundation_Calc!$I$2:$J$8,2,FALSE),0),
IF(AX290="K",VLOOKUP(L290,Foundation_Calc!$K$116:$R$149,VLOOKUP(AW290,Foundation_Calc!$I$2:$J$8,2,FALSE),0),"")))</f>
        <v/>
      </c>
      <c r="AZ290" s="10" t="str">
        <f>IF(K290="","",
IF(AX290="PT",VLOOKUP(K290,Foundation_Calc!$K$79:$R$112,VLOOKUP(AW290,Foundation_Calc!$I$2:$J$8,2,FALSE),0),
IF(AX290="K",VLOOKUP(K290,Foundation_Calc!$K$116:$R$149,VLOOKUP(AW290,Foundation_Calc!$I$2:$J$8,2,FALSE),0),"")))</f>
        <v/>
      </c>
      <c r="BA290" s="553" t="str">
        <f t="shared" si="22"/>
        <v/>
      </c>
      <c r="BB290" s="553" t="str">
        <f t="shared" si="22"/>
        <v/>
      </c>
      <c r="BC290" s="553" t="str">
        <f t="shared" si="21"/>
        <v/>
      </c>
      <c r="BD290" s="572"/>
      <c r="BE290" s="448" t="s">
        <v>1726</v>
      </c>
      <c r="BF290" s="306"/>
      <c r="BG290" s="306"/>
      <c r="BH290" s="306"/>
      <c r="BI290" s="306"/>
    </row>
    <row r="291" spans="1:61" ht="16.2" customHeight="1">
      <c r="A291" s="624" t="s">
        <v>383</v>
      </c>
      <c r="B291" s="469"/>
      <c r="C291" s="3"/>
      <c r="D291" s="88"/>
      <c r="E291" s="4"/>
      <c r="F291" s="4"/>
      <c r="G291" s="6">
        <v>30</v>
      </c>
      <c r="H291" s="468"/>
      <c r="I291" s="4"/>
      <c r="J291" s="3"/>
      <c r="K291" s="468"/>
      <c r="L291" s="468"/>
      <c r="M291" s="468" t="str">
        <f>IF(L291="","",
IF(AX291="PT",VLOOKUP(L291,Foundation_Calc!$V$79:$X$112,VLOOKUP(AX291,Foundation_Calc!$I$10:$J$13,2,FALSE),0),
IF(AX291="K",VLOOKUP(L291,Foundation_Calc!$V$116:$X$149,VLOOKUP(AX291,Foundation_Calc!$I$10:$J$13,2,FALSE),0),"")))</f>
        <v/>
      </c>
      <c r="N291" s="468"/>
      <c r="O291" s="468"/>
      <c r="P291" s="468"/>
      <c r="Q291" s="4"/>
      <c r="R291" s="6"/>
      <c r="S291" s="6"/>
      <c r="T291" s="4"/>
      <c r="U291" s="4"/>
      <c r="V291" s="4"/>
      <c r="W291" s="9"/>
      <c r="X291" s="9"/>
      <c r="Y291" s="9"/>
      <c r="Z291" s="9"/>
      <c r="AA291" s="9"/>
      <c r="AB291" s="9"/>
      <c r="AC291" s="468" t="s">
        <v>195</v>
      </c>
      <c r="AD291" s="468"/>
      <c r="AE291" s="468"/>
      <c r="AF291" s="4"/>
      <c r="AG291" s="88"/>
      <c r="AH291" s="4"/>
      <c r="AI291" s="4"/>
      <c r="AJ291" s="468"/>
      <c r="AK291" s="468"/>
      <c r="AL291" s="468"/>
      <c r="AM291" s="468"/>
      <c r="AN291" s="10"/>
      <c r="AO291" s="9"/>
      <c r="AP291" s="9"/>
      <c r="AQ291" s="9"/>
      <c r="AR291" s="9"/>
      <c r="AS291" s="9"/>
      <c r="AT291" s="9"/>
      <c r="AU291" s="447"/>
      <c r="AV291" s="447"/>
      <c r="AW291" s="468"/>
      <c r="AX291" s="468"/>
      <c r="AY291" s="10" t="str">
        <f>IF(L291="","",
IF(AX291="PT",VLOOKUP(L291,Foundation_Calc!$K$79:$R$112,VLOOKUP(AW291,Foundation_Calc!$I$2:$J$8,2,FALSE),0),
IF(AX291="K",VLOOKUP(L291,Foundation_Calc!$K$116:$R$149,VLOOKUP(AW291,Foundation_Calc!$I$2:$J$8,2,FALSE),0),"")))</f>
        <v/>
      </c>
      <c r="AZ291" s="10" t="str">
        <f>IF(K291="","",
IF(AX291="PT",VLOOKUP(K291,Foundation_Calc!$K$79:$R$112,VLOOKUP(AW291,Foundation_Calc!$I$2:$J$8,2,FALSE),0),
IF(AX291="K",VLOOKUP(K291,Foundation_Calc!$K$116:$R$149,VLOOKUP(AW291,Foundation_Calc!$I$2:$J$8,2,FALSE),0),"")))</f>
        <v/>
      </c>
      <c r="BA291" s="553" t="str">
        <f t="shared" si="22"/>
        <v/>
      </c>
      <c r="BB291" s="553" t="str">
        <f t="shared" si="22"/>
        <v/>
      </c>
      <c r="BC291" s="553" t="str">
        <f t="shared" si="21"/>
        <v/>
      </c>
      <c r="BD291" s="572"/>
      <c r="BE291" s="448" t="s">
        <v>1726</v>
      </c>
      <c r="BF291" s="305"/>
      <c r="BG291" s="305"/>
      <c r="BH291" s="306"/>
      <c r="BI291" s="305"/>
    </row>
    <row r="292" spans="1:61" ht="16.2" customHeight="1">
      <c r="A292" s="624" t="s">
        <v>383</v>
      </c>
      <c r="B292" s="469" t="s">
        <v>2052</v>
      </c>
      <c r="C292" s="3">
        <f>+$C$290+$G$291</f>
        <v>6146.7500000000009</v>
      </c>
      <c r="D292" s="88"/>
      <c r="E292" s="4"/>
      <c r="F292" s="4">
        <v>1457.55</v>
      </c>
      <c r="G292" s="6"/>
      <c r="H292" s="468"/>
      <c r="I292" s="468"/>
      <c r="J292" s="501"/>
      <c r="K292" s="468"/>
      <c r="L292" s="468"/>
      <c r="M292" s="468" t="str">
        <f>IF(L292="","",
IF(AX292="PT",VLOOKUP(L292,Foundation_Calc!$V$79:$X$112,VLOOKUP(AX292,Foundation_Calc!$I$10:$J$13,2,FALSE),0),
IF(AX292="K",VLOOKUP(L292,Foundation_Calc!$V$116:$X$149,VLOOKUP(AX292,Foundation_Calc!$I$10:$J$13,2,FALSE),0),"")))</f>
        <v/>
      </c>
      <c r="N292" s="468" t="s">
        <v>192</v>
      </c>
      <c r="O292" s="468"/>
      <c r="P292" s="468"/>
      <c r="Q292" s="4"/>
      <c r="R292" s="6"/>
      <c r="S292" s="6"/>
      <c r="T292" s="4">
        <v>25</v>
      </c>
      <c r="U292" s="4"/>
      <c r="V292" s="4"/>
      <c r="W292" s="9">
        <v>1</v>
      </c>
      <c r="X292" s="9"/>
      <c r="Y292" s="9"/>
      <c r="Z292" s="9"/>
      <c r="AA292" s="9"/>
      <c r="AB292" s="9"/>
      <c r="AC292" s="468" t="s">
        <v>630</v>
      </c>
      <c r="AD292" s="468"/>
      <c r="AE292" s="468"/>
      <c r="AF292" s="4"/>
      <c r="AG292" s="88"/>
      <c r="AH292" s="4"/>
      <c r="AI292" s="4"/>
      <c r="AJ292" s="468"/>
      <c r="AK292" s="468" t="s">
        <v>41</v>
      </c>
      <c r="AL292" s="468"/>
      <c r="AM292" s="468" t="s">
        <v>2458</v>
      </c>
      <c r="AN292" s="10">
        <v>5.15</v>
      </c>
      <c r="AO292" s="9"/>
      <c r="AP292" s="9"/>
      <c r="AQ292" s="9"/>
      <c r="AR292" s="9"/>
      <c r="AS292" s="9"/>
      <c r="AT292" s="9"/>
      <c r="AU292" s="447"/>
      <c r="AV292" s="447"/>
      <c r="AW292" s="468" t="s">
        <v>199</v>
      </c>
      <c r="AX292" s="468" t="s">
        <v>199</v>
      </c>
      <c r="AY292" s="10" t="str">
        <f>IF(L292="","",
IF(AX292="PT",VLOOKUP(L292,Foundation_Calc!$K$79:$R$112,VLOOKUP(AW292,Foundation_Calc!$I$2:$J$8,2,FALSE),0),
IF(AX292="K",VLOOKUP(L292,Foundation_Calc!$K$116:$R$149,VLOOKUP(AW292,Foundation_Calc!$I$2:$J$8,2,FALSE),0),"")))</f>
        <v/>
      </c>
      <c r="AZ292" s="10" t="str">
        <f>IF(K292="","",
IF(AX292="PT",VLOOKUP(K292,Foundation_Calc!$K$79:$R$112,VLOOKUP(AW292,Foundation_Calc!$I$2:$J$8,2,FALSE),0),
IF(AX292="K",VLOOKUP(K292,Foundation_Calc!$K$116:$R$149,VLOOKUP(AW292,Foundation_Calc!$I$2:$J$8,2,FALSE),0),"")))</f>
        <v/>
      </c>
      <c r="BA292" s="553" t="str">
        <f t="shared" si="22"/>
        <v/>
      </c>
      <c r="BB292" s="553" t="str">
        <f t="shared" si="22"/>
        <v/>
      </c>
      <c r="BC292" s="553" t="str">
        <f t="shared" si="21"/>
        <v/>
      </c>
      <c r="BD292" s="572"/>
      <c r="BE292" s="448" t="s">
        <v>1726</v>
      </c>
      <c r="BF292" s="306"/>
      <c r="BG292" s="306"/>
      <c r="BH292" s="306"/>
      <c r="BI292" s="306"/>
    </row>
    <row r="293" spans="1:61" ht="16.2" customHeight="1">
      <c r="A293" s="624" t="s">
        <v>383</v>
      </c>
      <c r="B293" s="469"/>
      <c r="C293" s="3"/>
      <c r="D293" s="88"/>
      <c r="E293" s="4"/>
      <c r="F293" s="4"/>
      <c r="G293" s="6">
        <v>30</v>
      </c>
      <c r="H293" s="468"/>
      <c r="I293" s="468"/>
      <c r="J293" s="3"/>
      <c r="K293" s="468"/>
      <c r="L293" s="468"/>
      <c r="M293" s="468" t="str">
        <f>IF(L293="","",
IF(AX293="PT",VLOOKUP(L293,Foundation_Calc!$V$79:$X$112,VLOOKUP(AX293,Foundation_Calc!$I$10:$J$13,2,FALSE),0),
IF(AX293="K",VLOOKUP(L293,Foundation_Calc!$V$116:$X$149,VLOOKUP(AX293,Foundation_Calc!$I$10:$J$13,2,FALSE),0),"")))</f>
        <v/>
      </c>
      <c r="N293" s="468"/>
      <c r="O293" s="468"/>
      <c r="P293" s="468"/>
      <c r="Q293" s="4"/>
      <c r="R293" s="6"/>
      <c r="S293" s="6"/>
      <c r="T293" s="4"/>
      <c r="U293" s="4"/>
      <c r="V293" s="4"/>
      <c r="W293" s="9"/>
      <c r="X293" s="9"/>
      <c r="Y293" s="9"/>
      <c r="Z293" s="9"/>
      <c r="AA293" s="9"/>
      <c r="AB293" s="9"/>
      <c r="AC293" s="468" t="s">
        <v>195</v>
      </c>
      <c r="AD293" s="468"/>
      <c r="AE293" s="468"/>
      <c r="AF293" s="4"/>
      <c r="AG293" s="88"/>
      <c r="AH293" s="4"/>
      <c r="AI293" s="4"/>
      <c r="AJ293" s="468"/>
      <c r="AK293" s="468"/>
      <c r="AL293" s="468"/>
      <c r="AM293" s="468"/>
      <c r="AN293" s="10"/>
      <c r="AO293" s="9"/>
      <c r="AP293" s="9"/>
      <c r="AQ293" s="9"/>
      <c r="AR293" s="9"/>
      <c r="AS293" s="9"/>
      <c r="AT293" s="9"/>
      <c r="AU293" s="447"/>
      <c r="AV293" s="447"/>
      <c r="AW293" s="468"/>
      <c r="AX293" s="468"/>
      <c r="AY293" s="10" t="str">
        <f>IF(L293="","",
IF(AX293="PT",VLOOKUP(L293,Foundation_Calc!$K$79:$R$112,VLOOKUP(AW293,Foundation_Calc!$I$2:$J$8,2,FALSE),0),
IF(AX293="K",VLOOKUP(L293,Foundation_Calc!$K$116:$R$149,VLOOKUP(AW293,Foundation_Calc!$I$2:$J$8,2,FALSE),0),"")))</f>
        <v/>
      </c>
      <c r="AZ293" s="10" t="str">
        <f>IF(K293="","",
IF(AX293="PT",VLOOKUP(K293,Foundation_Calc!$K$79:$R$112,VLOOKUP(AW293,Foundation_Calc!$I$2:$J$8,2,FALSE),0),
IF(AX293="K",VLOOKUP(K293,Foundation_Calc!$K$116:$R$149,VLOOKUP(AW293,Foundation_Calc!$I$2:$J$8,2,FALSE),0),"")))</f>
        <v/>
      </c>
      <c r="BA293" s="553" t="str">
        <f t="shared" si="22"/>
        <v/>
      </c>
      <c r="BB293" s="553" t="str">
        <f t="shared" si="22"/>
        <v/>
      </c>
      <c r="BC293" s="553" t="str">
        <f t="shared" si="21"/>
        <v/>
      </c>
      <c r="BD293" s="572"/>
      <c r="BE293" s="448" t="s">
        <v>1726</v>
      </c>
      <c r="BF293" s="305"/>
      <c r="BG293" s="305"/>
      <c r="BH293" s="306"/>
      <c r="BI293" s="305"/>
    </row>
    <row r="294" spans="1:61" ht="16.2" customHeight="1">
      <c r="A294" s="624" t="s">
        <v>383</v>
      </c>
      <c r="B294" s="469" t="s">
        <v>2053</v>
      </c>
      <c r="C294" s="3">
        <f>+$C$292+$G$293</f>
        <v>6176.7500000000009</v>
      </c>
      <c r="D294" s="88"/>
      <c r="E294" s="4"/>
      <c r="F294" s="4">
        <v>1457.55</v>
      </c>
      <c r="G294" s="6"/>
      <c r="H294" s="468"/>
      <c r="I294" s="468"/>
      <c r="J294" s="3"/>
      <c r="K294" s="468"/>
      <c r="L294" s="468"/>
      <c r="M294" s="468" t="str">
        <f>IF(L294="","",
IF(AX294="PT",VLOOKUP(L294,Foundation_Calc!$V$79:$X$112,VLOOKUP(AX294,Foundation_Calc!$I$10:$J$13,2,FALSE),0),
IF(AX294="K",VLOOKUP(L294,Foundation_Calc!$V$116:$X$149,VLOOKUP(AX294,Foundation_Calc!$I$10:$J$13,2,FALSE),0),"")))</f>
        <v/>
      </c>
      <c r="N294" s="468" t="s">
        <v>192</v>
      </c>
      <c r="O294" s="468"/>
      <c r="P294" s="468"/>
      <c r="Q294" s="4"/>
      <c r="R294" s="6"/>
      <c r="S294" s="6"/>
      <c r="T294" s="4">
        <v>25</v>
      </c>
      <c r="U294" s="4"/>
      <c r="V294" s="4"/>
      <c r="W294" s="9">
        <v>1</v>
      </c>
      <c r="X294" s="9"/>
      <c r="Y294" s="9"/>
      <c r="Z294" s="9"/>
      <c r="AA294" s="9"/>
      <c r="AB294" s="9"/>
      <c r="AC294" s="468" t="s">
        <v>630</v>
      </c>
      <c r="AD294" s="468"/>
      <c r="AE294" s="468"/>
      <c r="AF294" s="4"/>
      <c r="AG294" s="88"/>
      <c r="AH294" s="4"/>
      <c r="AI294" s="4"/>
      <c r="AJ294" s="468"/>
      <c r="AK294" s="468" t="s">
        <v>41</v>
      </c>
      <c r="AL294" s="468"/>
      <c r="AM294" s="468" t="s">
        <v>2458</v>
      </c>
      <c r="AN294" s="10">
        <v>5.15</v>
      </c>
      <c r="AO294" s="9"/>
      <c r="AP294" s="9"/>
      <c r="AQ294" s="9"/>
      <c r="AR294" s="9"/>
      <c r="AS294" s="9"/>
      <c r="AT294" s="9"/>
      <c r="AU294" s="447"/>
      <c r="AV294" s="447"/>
      <c r="AW294" s="468" t="s">
        <v>199</v>
      </c>
      <c r="AX294" s="468" t="s">
        <v>199</v>
      </c>
      <c r="AY294" s="10" t="str">
        <f>IF(L294="","",
IF(AX294="PT",VLOOKUP(L294,Foundation_Calc!$K$79:$R$112,VLOOKUP(AW294,Foundation_Calc!$I$2:$J$8,2,FALSE),0),
IF(AX294="K",VLOOKUP(L294,Foundation_Calc!$K$116:$R$149,VLOOKUP(AW294,Foundation_Calc!$I$2:$J$8,2,FALSE),0),"")))</f>
        <v/>
      </c>
      <c r="AZ294" s="10" t="str">
        <f>IF(K294="","",
IF(AX294="PT",VLOOKUP(K294,Foundation_Calc!$K$79:$R$112,VLOOKUP(AW294,Foundation_Calc!$I$2:$J$8,2,FALSE),0),
IF(AX294="K",VLOOKUP(K294,Foundation_Calc!$K$116:$R$149,VLOOKUP(AW294,Foundation_Calc!$I$2:$J$8,2,FALSE),0),"")))</f>
        <v/>
      </c>
      <c r="BA294" s="553" t="str">
        <f t="shared" si="22"/>
        <v/>
      </c>
      <c r="BB294" s="553" t="str">
        <f t="shared" si="22"/>
        <v/>
      </c>
      <c r="BC294" s="553" t="str">
        <f t="shared" si="21"/>
        <v/>
      </c>
      <c r="BD294" s="572"/>
      <c r="BE294" s="448" t="s">
        <v>1726</v>
      </c>
      <c r="BF294" s="306"/>
      <c r="BG294" s="306"/>
      <c r="BH294" s="306"/>
      <c r="BI294" s="306"/>
    </row>
    <row r="295" spans="1:61" ht="16.2" customHeight="1">
      <c r="A295" s="624" t="s">
        <v>383</v>
      </c>
      <c r="B295" s="469"/>
      <c r="C295" s="3"/>
      <c r="D295" s="88"/>
      <c r="E295" s="4"/>
      <c r="F295" s="4"/>
      <c r="G295" s="6">
        <v>30</v>
      </c>
      <c r="H295" s="468"/>
      <c r="I295" s="468"/>
      <c r="J295" s="3"/>
      <c r="K295" s="468"/>
      <c r="L295" s="468"/>
      <c r="M295" s="468" t="str">
        <f>IF(L295="","",
IF(AX295="PT",VLOOKUP(L295,Foundation_Calc!$V$79:$X$112,VLOOKUP(AX295,Foundation_Calc!$I$10:$J$13,2,FALSE),0),
IF(AX295="K",VLOOKUP(L295,Foundation_Calc!$V$116:$X$149,VLOOKUP(AX295,Foundation_Calc!$I$10:$J$13,2,FALSE),0),"")))</f>
        <v/>
      </c>
      <c r="N295" s="468"/>
      <c r="O295" s="468"/>
      <c r="P295" s="468"/>
      <c r="Q295" s="4"/>
      <c r="R295" s="6"/>
      <c r="S295" s="6"/>
      <c r="T295" s="4"/>
      <c r="U295" s="4"/>
      <c r="V295" s="4"/>
      <c r="W295" s="9"/>
      <c r="X295" s="9"/>
      <c r="Y295" s="9"/>
      <c r="Z295" s="9"/>
      <c r="AA295" s="9"/>
      <c r="AB295" s="9"/>
      <c r="AC295" s="468" t="s">
        <v>195</v>
      </c>
      <c r="AD295" s="468"/>
      <c r="AE295" s="468"/>
      <c r="AF295" s="4"/>
      <c r="AG295" s="88"/>
      <c r="AH295" s="4"/>
      <c r="AI295" s="4"/>
      <c r="AJ295" s="468"/>
      <c r="AK295" s="468"/>
      <c r="AL295" s="468"/>
      <c r="AM295" s="468"/>
      <c r="AN295" s="10"/>
      <c r="AO295" s="9"/>
      <c r="AP295" s="9"/>
      <c r="AQ295" s="9"/>
      <c r="AR295" s="9"/>
      <c r="AS295" s="9"/>
      <c r="AT295" s="9"/>
      <c r="AU295" s="447"/>
      <c r="AV295" s="447"/>
      <c r="AW295" s="468"/>
      <c r="AX295" s="468"/>
      <c r="AY295" s="10" t="str">
        <f>IF(L295="","",
IF(AX295="PT",VLOOKUP(L295,Foundation_Calc!$K$79:$R$112,VLOOKUP(AW295,Foundation_Calc!$I$2:$J$8,2,FALSE),0),
IF(AX295="K",VLOOKUP(L295,Foundation_Calc!$K$116:$R$149,VLOOKUP(AW295,Foundation_Calc!$I$2:$J$8,2,FALSE),0),"")))</f>
        <v/>
      </c>
      <c r="AZ295" s="10" t="str">
        <f>IF(K295="","",
IF(AX295="PT",VLOOKUP(K295,Foundation_Calc!$K$79:$R$112,VLOOKUP(AW295,Foundation_Calc!$I$2:$J$8,2,FALSE),0),
IF(AX295="K",VLOOKUP(K295,Foundation_Calc!$K$116:$R$149,VLOOKUP(AW295,Foundation_Calc!$I$2:$J$8,2,FALSE),0),"")))</f>
        <v/>
      </c>
      <c r="BA295" s="553" t="str">
        <f t="shared" si="22"/>
        <v/>
      </c>
      <c r="BB295" s="553" t="str">
        <f t="shared" si="22"/>
        <v/>
      </c>
      <c r="BC295" s="553" t="str">
        <f t="shared" si="21"/>
        <v/>
      </c>
      <c r="BD295" s="572"/>
      <c r="BE295" s="448" t="s">
        <v>1726</v>
      </c>
      <c r="BF295" s="305"/>
      <c r="BG295" s="305"/>
      <c r="BH295" s="306"/>
      <c r="BI295" s="305"/>
    </row>
    <row r="296" spans="1:61" ht="16.2" customHeight="1">
      <c r="A296" s="624" t="s">
        <v>383</v>
      </c>
      <c r="B296" s="469" t="s">
        <v>2054</v>
      </c>
      <c r="C296" s="3">
        <f>+$C$294+$G$295</f>
        <v>6206.7500000000009</v>
      </c>
      <c r="D296" s="88"/>
      <c r="E296" s="4"/>
      <c r="F296" s="4">
        <v>515.66</v>
      </c>
      <c r="G296" s="6"/>
      <c r="H296" s="468"/>
      <c r="I296" s="468"/>
      <c r="J296" s="3"/>
      <c r="K296" s="468"/>
      <c r="L296" s="468"/>
      <c r="M296" s="468" t="str">
        <f>IF(L296="","",
IF(AX296="PT",VLOOKUP(L296,Foundation_Calc!$V$79:$X$112,VLOOKUP(AX296,Foundation_Calc!$I$10:$J$13,2,FALSE),0),
IF(AX296="K",VLOOKUP(L296,Foundation_Calc!$V$116:$X$149,VLOOKUP(AX296,Foundation_Calc!$I$10:$J$13,2,FALSE),0),"")))</f>
        <v/>
      </c>
      <c r="N296" s="468" t="s">
        <v>192</v>
      </c>
      <c r="O296" s="468"/>
      <c r="P296" s="468"/>
      <c r="Q296" s="4"/>
      <c r="R296" s="6"/>
      <c r="S296" s="6"/>
      <c r="T296" s="4">
        <v>25</v>
      </c>
      <c r="U296" s="4"/>
      <c r="V296" s="4"/>
      <c r="W296" s="9">
        <v>1</v>
      </c>
      <c r="X296" s="9"/>
      <c r="Y296" s="9"/>
      <c r="Z296" s="9"/>
      <c r="AA296" s="9"/>
      <c r="AB296" s="9"/>
      <c r="AC296" s="468" t="s">
        <v>1341</v>
      </c>
      <c r="AD296" s="468"/>
      <c r="AE296" s="468"/>
      <c r="AF296" s="4"/>
      <c r="AG296" s="88"/>
      <c r="AH296" s="4"/>
      <c r="AI296" s="4"/>
      <c r="AJ296" s="468"/>
      <c r="AK296" s="468" t="s">
        <v>41</v>
      </c>
      <c r="AL296" s="468"/>
      <c r="AM296" s="468" t="s">
        <v>2458</v>
      </c>
      <c r="AN296" s="10">
        <v>5.15</v>
      </c>
      <c r="AO296" s="9"/>
      <c r="AP296" s="9"/>
      <c r="AQ296" s="9"/>
      <c r="AR296" s="9"/>
      <c r="AS296" s="9"/>
      <c r="AT296" s="9"/>
      <c r="AU296" s="447"/>
      <c r="AV296" s="447"/>
      <c r="AW296" s="468" t="s">
        <v>199</v>
      </c>
      <c r="AX296" s="468" t="s">
        <v>199</v>
      </c>
      <c r="AY296" s="10" t="str">
        <f>IF(L296="","",
IF(AX296="PT",VLOOKUP(L296,Foundation_Calc!$K$79:$R$112,VLOOKUP(AW296,Foundation_Calc!$I$2:$J$8,2,FALSE),0),
IF(AX296="K",VLOOKUP(L296,Foundation_Calc!$K$116:$R$149,VLOOKUP(AW296,Foundation_Calc!$I$2:$J$8,2,FALSE),0),"")))</f>
        <v/>
      </c>
      <c r="AZ296" s="10" t="str">
        <f>IF(K296="","",
IF(AX296="PT",VLOOKUP(K296,Foundation_Calc!$K$79:$R$112,VLOOKUP(AW296,Foundation_Calc!$I$2:$J$8,2,FALSE),0),
IF(AX296="K",VLOOKUP(K296,Foundation_Calc!$K$116:$R$149,VLOOKUP(AW296,Foundation_Calc!$I$2:$J$8,2,FALSE),0),"")))</f>
        <v/>
      </c>
      <c r="BA296" s="553" t="str">
        <f t="shared" si="22"/>
        <v/>
      </c>
      <c r="BB296" s="553" t="str">
        <f t="shared" si="22"/>
        <v/>
      </c>
      <c r="BC296" s="553" t="str">
        <f t="shared" si="21"/>
        <v/>
      </c>
      <c r="BD296" s="572"/>
      <c r="BE296" s="448" t="s">
        <v>1726</v>
      </c>
      <c r="BF296" s="306"/>
      <c r="BG296" s="306"/>
      <c r="BH296" s="306"/>
      <c r="BI296" s="306"/>
    </row>
    <row r="297" spans="1:61" ht="16.2" customHeight="1">
      <c r="A297" s="624" t="s">
        <v>383</v>
      </c>
      <c r="B297" s="469"/>
      <c r="C297" s="3"/>
      <c r="D297" s="88"/>
      <c r="E297" s="4"/>
      <c r="F297" s="4"/>
      <c r="G297" s="6">
        <v>30</v>
      </c>
      <c r="H297" s="468"/>
      <c r="I297" s="468"/>
      <c r="J297" s="3"/>
      <c r="K297" s="468"/>
      <c r="L297" s="468"/>
      <c r="M297" s="468" t="str">
        <f>IF(L297="","",
IF(AX297="PT",VLOOKUP(L297,Foundation_Calc!$V$79:$X$112,VLOOKUP(AX297,Foundation_Calc!$I$10:$J$13,2,FALSE),0),
IF(AX297="K",VLOOKUP(L297,Foundation_Calc!$V$116:$X$149,VLOOKUP(AX297,Foundation_Calc!$I$10:$J$13,2,FALSE),0),"")))</f>
        <v/>
      </c>
      <c r="N297" s="468"/>
      <c r="O297" s="468"/>
      <c r="P297" s="468"/>
      <c r="Q297" s="4"/>
      <c r="R297" s="6"/>
      <c r="S297" s="6"/>
      <c r="T297" s="4"/>
      <c r="U297" s="4"/>
      <c r="V297" s="4"/>
      <c r="W297" s="9"/>
      <c r="X297" s="9"/>
      <c r="Y297" s="9"/>
      <c r="Z297" s="9"/>
      <c r="AA297" s="9"/>
      <c r="AB297" s="9"/>
      <c r="AC297" s="468" t="s">
        <v>195</v>
      </c>
      <c r="AD297" s="468"/>
      <c r="AE297" s="468"/>
      <c r="AF297" s="4"/>
      <c r="AG297" s="88"/>
      <c r="AH297" s="4"/>
      <c r="AI297" s="4"/>
      <c r="AJ297" s="468"/>
      <c r="AK297" s="468"/>
      <c r="AL297" s="468"/>
      <c r="AM297" s="468"/>
      <c r="AN297" s="10"/>
      <c r="AO297" s="9"/>
      <c r="AP297" s="9"/>
      <c r="AQ297" s="9"/>
      <c r="AR297" s="9"/>
      <c r="AS297" s="9"/>
      <c r="AT297" s="9"/>
      <c r="AU297" s="447"/>
      <c r="AV297" s="447"/>
      <c r="AW297" s="468"/>
      <c r="AX297" s="468"/>
      <c r="AY297" s="10" t="str">
        <f>IF(L297="","",
IF(AX297="PT",VLOOKUP(L297,Foundation_Calc!$K$79:$R$112,VLOOKUP(AW297,Foundation_Calc!$I$2:$J$8,2,FALSE),0),
IF(AX297="K",VLOOKUP(L297,Foundation_Calc!$K$116:$R$149,VLOOKUP(AW297,Foundation_Calc!$I$2:$J$8,2,FALSE),0),"")))</f>
        <v/>
      </c>
      <c r="AZ297" s="10" t="str">
        <f>IF(K297="","",
IF(AX297="PT",VLOOKUP(K297,Foundation_Calc!$K$79:$R$112,VLOOKUP(AW297,Foundation_Calc!$I$2:$J$8,2,FALSE),0),
IF(AX297="K",VLOOKUP(K297,Foundation_Calc!$K$116:$R$149,VLOOKUP(AW297,Foundation_Calc!$I$2:$J$8,2,FALSE),0),"")))</f>
        <v/>
      </c>
      <c r="BA297" s="553" t="str">
        <f t="shared" si="22"/>
        <v/>
      </c>
      <c r="BB297" s="553" t="str">
        <f t="shared" si="22"/>
        <v/>
      </c>
      <c r="BC297" s="553" t="str">
        <f t="shared" si="21"/>
        <v/>
      </c>
      <c r="BD297" s="572"/>
      <c r="BE297" s="448" t="s">
        <v>1726</v>
      </c>
      <c r="BF297" s="305"/>
      <c r="BG297" s="305"/>
      <c r="BH297" s="306"/>
      <c r="BI297" s="305"/>
    </row>
    <row r="298" spans="1:61" ht="16.2" customHeight="1">
      <c r="A298" s="624" t="s">
        <v>383</v>
      </c>
      <c r="B298" s="469" t="s">
        <v>2055</v>
      </c>
      <c r="C298" s="3">
        <f>+$C$296+$G$297</f>
        <v>6236.7500000000009</v>
      </c>
      <c r="D298" s="88"/>
      <c r="E298" s="4"/>
      <c r="F298" s="4">
        <v>400</v>
      </c>
      <c r="G298" s="6"/>
      <c r="H298" s="468"/>
      <c r="I298" s="468"/>
      <c r="J298" s="3"/>
      <c r="K298" s="468"/>
      <c r="L298" s="468"/>
      <c r="M298" s="468" t="str">
        <f>IF(L298="","",
IF(AX298="PT",VLOOKUP(L298,Foundation_Calc!$V$79:$X$112,VLOOKUP(AX298,Foundation_Calc!$I$10:$J$13,2,FALSE),0),
IF(AX298="K",VLOOKUP(L298,Foundation_Calc!$V$116:$X$149,VLOOKUP(AX298,Foundation_Calc!$I$10:$J$13,2,FALSE),0),"")))</f>
        <v/>
      </c>
      <c r="N298" s="468" t="s">
        <v>192</v>
      </c>
      <c r="O298" s="468"/>
      <c r="P298" s="468"/>
      <c r="Q298" s="4"/>
      <c r="R298" s="6"/>
      <c r="S298" s="6"/>
      <c r="T298" s="4">
        <v>25</v>
      </c>
      <c r="U298" s="4"/>
      <c r="V298" s="4"/>
      <c r="W298" s="9">
        <v>1</v>
      </c>
      <c r="X298" s="9"/>
      <c r="Y298" s="9"/>
      <c r="Z298" s="9"/>
      <c r="AA298" s="9"/>
      <c r="AB298" s="9"/>
      <c r="AC298" s="468" t="s">
        <v>1341</v>
      </c>
      <c r="AD298" s="468"/>
      <c r="AE298" s="468"/>
      <c r="AF298" s="4"/>
      <c r="AG298" s="88"/>
      <c r="AH298" s="4"/>
      <c r="AI298" s="4"/>
      <c r="AJ298" s="468"/>
      <c r="AK298" s="468" t="s">
        <v>41</v>
      </c>
      <c r="AL298" s="468"/>
      <c r="AM298" s="468" t="s">
        <v>2458</v>
      </c>
      <c r="AN298" s="10">
        <v>5.15</v>
      </c>
      <c r="AO298" s="9"/>
      <c r="AP298" s="9"/>
      <c r="AQ298" s="9"/>
      <c r="AR298" s="9"/>
      <c r="AS298" s="9"/>
      <c r="AT298" s="9"/>
      <c r="AU298" s="447"/>
      <c r="AV298" s="447"/>
      <c r="AW298" s="468" t="s">
        <v>199</v>
      </c>
      <c r="AX298" s="468" t="s">
        <v>199</v>
      </c>
      <c r="AY298" s="10" t="str">
        <f>IF(L298="","",
IF(AX298="PT",VLOOKUP(L298,Foundation_Calc!$K$79:$R$112,VLOOKUP(AW298,Foundation_Calc!$I$2:$J$8,2,FALSE),0),
IF(AX298="K",VLOOKUP(L298,Foundation_Calc!$K$116:$R$149,VLOOKUP(AW298,Foundation_Calc!$I$2:$J$8,2,FALSE),0),"")))</f>
        <v/>
      </c>
      <c r="AZ298" s="10" t="str">
        <f>IF(K298="","",
IF(AX298="PT",VLOOKUP(K298,Foundation_Calc!$K$79:$R$112,VLOOKUP(AW298,Foundation_Calc!$I$2:$J$8,2,FALSE),0),
IF(AX298="K",VLOOKUP(K298,Foundation_Calc!$K$116:$R$149,VLOOKUP(AW298,Foundation_Calc!$I$2:$J$8,2,FALSE),0),"")))</f>
        <v/>
      </c>
      <c r="BA298" s="553" t="str">
        <f t="shared" si="22"/>
        <v/>
      </c>
      <c r="BB298" s="553" t="str">
        <f t="shared" si="22"/>
        <v/>
      </c>
      <c r="BC298" s="553" t="str">
        <f t="shared" si="21"/>
        <v/>
      </c>
      <c r="BD298" s="572"/>
      <c r="BE298" s="448" t="s">
        <v>1726</v>
      </c>
      <c r="BF298" s="306"/>
      <c r="BG298" s="306"/>
      <c r="BH298" s="306"/>
      <c r="BI298" s="306"/>
    </row>
    <row r="299" spans="1:61" ht="16.2" customHeight="1">
      <c r="A299" s="624" t="s">
        <v>383</v>
      </c>
      <c r="B299" s="469"/>
      <c r="C299" s="3"/>
      <c r="D299" s="88"/>
      <c r="E299" s="4"/>
      <c r="F299" s="4"/>
      <c r="G299" s="6">
        <v>30</v>
      </c>
      <c r="H299" s="468"/>
      <c r="I299" s="468"/>
      <c r="J299" s="3"/>
      <c r="K299" s="468"/>
      <c r="L299" s="468"/>
      <c r="M299" s="468" t="str">
        <f>IF(L299="","",
IF(AX299="PT",VLOOKUP(L299,Foundation_Calc!$V$79:$X$112,VLOOKUP(AX299,Foundation_Calc!$I$10:$J$13,2,FALSE),0),
IF(AX299="K",VLOOKUP(L299,Foundation_Calc!$V$116:$X$149,VLOOKUP(AX299,Foundation_Calc!$I$10:$J$13,2,FALSE),0),"")))</f>
        <v/>
      </c>
      <c r="N299" s="468"/>
      <c r="O299" s="468"/>
      <c r="P299" s="468"/>
      <c r="Q299" s="4"/>
      <c r="R299" s="6"/>
      <c r="S299" s="6"/>
      <c r="T299" s="4"/>
      <c r="U299" s="4"/>
      <c r="V299" s="4"/>
      <c r="W299" s="9"/>
      <c r="X299" s="9"/>
      <c r="Y299" s="9"/>
      <c r="Z299" s="9"/>
      <c r="AA299" s="9"/>
      <c r="AB299" s="9"/>
      <c r="AC299" s="468" t="s">
        <v>195</v>
      </c>
      <c r="AD299" s="468"/>
      <c r="AE299" s="468"/>
      <c r="AF299" s="4"/>
      <c r="AG299" s="88"/>
      <c r="AH299" s="4"/>
      <c r="AI299" s="4"/>
      <c r="AJ299" s="468"/>
      <c r="AK299" s="468"/>
      <c r="AL299" s="468"/>
      <c r="AM299" s="468"/>
      <c r="AN299" s="10"/>
      <c r="AO299" s="9"/>
      <c r="AP299" s="9"/>
      <c r="AQ299" s="9"/>
      <c r="AR299" s="9"/>
      <c r="AS299" s="9"/>
      <c r="AT299" s="9"/>
      <c r="AU299" s="447"/>
      <c r="AV299" s="447"/>
      <c r="AW299" s="468"/>
      <c r="AX299" s="468"/>
      <c r="AY299" s="10" t="str">
        <f>IF(L299="","",
IF(AX299="PT",VLOOKUP(L299,Foundation_Calc!$K$79:$R$112,VLOOKUP(AW299,Foundation_Calc!$I$2:$J$8,2,FALSE),0),
IF(AX299="K",VLOOKUP(L299,Foundation_Calc!$K$116:$R$149,VLOOKUP(AW299,Foundation_Calc!$I$2:$J$8,2,FALSE),0),"")))</f>
        <v/>
      </c>
      <c r="AZ299" s="10" t="str">
        <f>IF(K299="","",
IF(AX299="PT",VLOOKUP(K299,Foundation_Calc!$K$79:$R$112,VLOOKUP(AW299,Foundation_Calc!$I$2:$J$8,2,FALSE),0),
IF(AX299="K",VLOOKUP(K299,Foundation_Calc!$K$116:$R$149,VLOOKUP(AW299,Foundation_Calc!$I$2:$J$8,2,FALSE),0),"")))</f>
        <v/>
      </c>
      <c r="BA299" s="553" t="str">
        <f t="shared" si="22"/>
        <v/>
      </c>
      <c r="BB299" s="553" t="str">
        <f t="shared" si="22"/>
        <v/>
      </c>
      <c r="BC299" s="553" t="str">
        <f t="shared" si="21"/>
        <v/>
      </c>
      <c r="BD299" s="572"/>
      <c r="BE299" s="448" t="s">
        <v>1726</v>
      </c>
      <c r="BF299" s="305"/>
      <c r="BG299" s="305"/>
      <c r="BH299" s="306"/>
      <c r="BI299" s="305"/>
    </row>
    <row r="300" spans="1:61" ht="16.2" customHeight="1">
      <c r="A300" s="624" t="s">
        <v>383</v>
      </c>
      <c r="B300" s="469" t="s">
        <v>2056</v>
      </c>
      <c r="C300" s="3">
        <f>+$C$298+$G$299</f>
        <v>6266.7500000000009</v>
      </c>
      <c r="D300" s="88"/>
      <c r="E300" s="4"/>
      <c r="F300" s="4">
        <v>400</v>
      </c>
      <c r="G300" s="6"/>
      <c r="H300" s="468" t="s">
        <v>26</v>
      </c>
      <c r="I300" s="468" t="s">
        <v>1155</v>
      </c>
      <c r="J300" s="3">
        <f>C300+10</f>
        <v>6276.7500000000009</v>
      </c>
      <c r="K300" s="468" t="s">
        <v>447</v>
      </c>
      <c r="L300" s="468"/>
      <c r="M300" s="468" t="str">
        <f>IF(L300="","",
IF(AX300="PT",VLOOKUP(L300,Foundation_Calc!$V$79:$X$112,VLOOKUP(AX300,Foundation_Calc!$I$10:$J$13,2,FALSE),0),
IF(AX300="K",VLOOKUP(L300,Foundation_Calc!$V$116:$X$149,VLOOKUP(AX300,Foundation_Calc!$I$10:$J$13,2,FALSE),0),"")))</f>
        <v/>
      </c>
      <c r="N300" s="468" t="s">
        <v>192</v>
      </c>
      <c r="O300" s="468"/>
      <c r="P300" s="468"/>
      <c r="Q300" s="4"/>
      <c r="R300" s="6"/>
      <c r="S300" s="6"/>
      <c r="T300" s="4">
        <v>25</v>
      </c>
      <c r="U300" s="4"/>
      <c r="V300" s="4"/>
      <c r="W300" s="9">
        <v>1</v>
      </c>
      <c r="X300" s="9"/>
      <c r="Y300" s="9"/>
      <c r="Z300" s="9"/>
      <c r="AA300" s="9"/>
      <c r="AB300" s="9"/>
      <c r="AC300" s="468" t="s">
        <v>1341</v>
      </c>
      <c r="AD300" s="468"/>
      <c r="AE300" s="468"/>
      <c r="AF300" s="4"/>
      <c r="AG300" s="88"/>
      <c r="AH300" s="4"/>
      <c r="AI300" s="4"/>
      <c r="AJ300" s="468"/>
      <c r="AK300" s="468" t="s">
        <v>41</v>
      </c>
      <c r="AL300" s="468"/>
      <c r="AM300" s="468" t="s">
        <v>2458</v>
      </c>
      <c r="AN300" s="10">
        <v>5.15</v>
      </c>
      <c r="AO300" s="9"/>
      <c r="AP300" s="9"/>
      <c r="AQ300" s="9"/>
      <c r="AR300" s="9"/>
      <c r="AS300" s="9"/>
      <c r="AT300" s="9"/>
      <c r="AU300" s="447"/>
      <c r="AV300" s="447"/>
      <c r="AW300" s="468" t="s">
        <v>199</v>
      </c>
      <c r="AX300" s="468" t="s">
        <v>199</v>
      </c>
      <c r="AY300" s="10" t="str">
        <f>IF(L300="","",
IF(AX300="PT",VLOOKUP(L300,Foundation_Calc!$K$79:$R$112,VLOOKUP(AW300,Foundation_Calc!$I$2:$J$8,2,FALSE),0),
IF(AX300="K",VLOOKUP(L300,Foundation_Calc!$K$116:$R$149,VLOOKUP(AW300,Foundation_Calc!$I$2:$J$8,2,FALSE),0),"")))</f>
        <v/>
      </c>
      <c r="AZ300" s="10" t="str">
        <f>IF(K300="","",
IF(AX300="PT",VLOOKUP(K300,Foundation_Calc!$K$79:$R$112,VLOOKUP(AW300,Foundation_Calc!$I$2:$J$8,2,FALSE),0),
IF(AX300="K",VLOOKUP(K300,Foundation_Calc!$K$116:$R$149,VLOOKUP(AW300,Foundation_Calc!$I$2:$J$8,2,FALSE),0),"")))</f>
        <v/>
      </c>
      <c r="BA300" s="553" t="str">
        <f t="shared" si="22"/>
        <v/>
      </c>
      <c r="BB300" s="553" t="str">
        <f t="shared" si="22"/>
        <v/>
      </c>
      <c r="BC300" s="553" t="str">
        <f t="shared" si="21"/>
        <v/>
      </c>
      <c r="BD300" s="572"/>
      <c r="BE300" s="448" t="s">
        <v>1726</v>
      </c>
      <c r="BF300" s="306"/>
      <c r="BG300" s="306"/>
      <c r="BH300" s="306"/>
      <c r="BI300" s="306"/>
    </row>
    <row r="301" spans="1:61" ht="16.2" customHeight="1">
      <c r="A301" s="624" t="s">
        <v>383</v>
      </c>
      <c r="B301" s="469"/>
      <c r="C301" s="3"/>
      <c r="D301" s="88"/>
      <c r="E301" s="4"/>
      <c r="F301" s="4"/>
      <c r="G301" s="6">
        <v>30</v>
      </c>
      <c r="H301" s="468"/>
      <c r="I301" s="468"/>
      <c r="J301" s="3"/>
      <c r="K301" s="468"/>
      <c r="L301" s="468"/>
      <c r="M301" s="468" t="str">
        <f>IF(L301="","",
IF(AX301="PT",VLOOKUP(L301,Foundation_Calc!$V$79:$X$112,VLOOKUP(AX301,Foundation_Calc!$I$10:$J$13,2,FALSE),0),
IF(AX301="K",VLOOKUP(L301,Foundation_Calc!$V$116:$X$149,VLOOKUP(AX301,Foundation_Calc!$I$10:$J$13,2,FALSE),0),"")))</f>
        <v/>
      </c>
      <c r="N301" s="468"/>
      <c r="O301" s="468"/>
      <c r="P301" s="468"/>
      <c r="Q301" s="4"/>
      <c r="R301" s="6"/>
      <c r="S301" s="6"/>
      <c r="T301" s="4"/>
      <c r="U301" s="4"/>
      <c r="V301" s="4"/>
      <c r="W301" s="9"/>
      <c r="X301" s="9"/>
      <c r="Y301" s="9"/>
      <c r="Z301" s="9"/>
      <c r="AA301" s="9"/>
      <c r="AB301" s="9"/>
      <c r="AC301" s="468" t="s">
        <v>195</v>
      </c>
      <c r="AD301" s="468"/>
      <c r="AE301" s="468"/>
      <c r="AF301" s="4"/>
      <c r="AG301" s="88"/>
      <c r="AH301" s="4"/>
      <c r="AI301" s="4"/>
      <c r="AJ301" s="468"/>
      <c r="AK301" s="468"/>
      <c r="AL301" s="468"/>
      <c r="AM301" s="468"/>
      <c r="AN301" s="10"/>
      <c r="AO301" s="9"/>
      <c r="AP301" s="9"/>
      <c r="AQ301" s="9"/>
      <c r="AR301" s="9"/>
      <c r="AS301" s="9"/>
      <c r="AT301" s="9"/>
      <c r="AU301" s="447"/>
      <c r="AV301" s="447"/>
      <c r="AW301" s="468"/>
      <c r="AX301" s="468"/>
      <c r="AY301" s="10" t="str">
        <f>IF(L301="","",
IF(AX301="PT",VLOOKUP(L301,Foundation_Calc!$K$79:$R$112,VLOOKUP(AW301,Foundation_Calc!$I$2:$J$8,2,FALSE),0),
IF(AX301="K",VLOOKUP(L301,Foundation_Calc!$K$116:$R$149,VLOOKUP(AW301,Foundation_Calc!$I$2:$J$8,2,FALSE),0),"")))</f>
        <v/>
      </c>
      <c r="AZ301" s="10" t="str">
        <f>IF(K301="","",
IF(AX301="PT",VLOOKUP(K301,Foundation_Calc!$K$79:$R$112,VLOOKUP(AW301,Foundation_Calc!$I$2:$J$8,2,FALSE),0),
IF(AX301="K",VLOOKUP(K301,Foundation_Calc!$K$116:$R$149,VLOOKUP(AW301,Foundation_Calc!$I$2:$J$8,2,FALSE),0),"")))</f>
        <v/>
      </c>
      <c r="BA301" s="553" t="str">
        <f t="shared" si="22"/>
        <v/>
      </c>
      <c r="BB301" s="553" t="str">
        <f t="shared" si="22"/>
        <v/>
      </c>
      <c r="BC301" s="553" t="str">
        <f t="shared" si="21"/>
        <v/>
      </c>
      <c r="BD301" s="572"/>
      <c r="BE301" s="448" t="s">
        <v>1726</v>
      </c>
      <c r="BF301" s="305"/>
      <c r="BG301" s="305"/>
      <c r="BH301" s="306"/>
      <c r="BI301" s="305"/>
    </row>
    <row r="302" spans="1:61" ht="16.2" customHeight="1">
      <c r="A302" s="624" t="s">
        <v>383</v>
      </c>
      <c r="B302" s="469" t="s">
        <v>2057</v>
      </c>
      <c r="C302" s="3">
        <f>+$C$300+$G$301</f>
        <v>6296.7500000000009</v>
      </c>
      <c r="D302" s="88"/>
      <c r="E302" s="4"/>
      <c r="F302" s="4">
        <v>400</v>
      </c>
      <c r="G302" s="6"/>
      <c r="H302" s="468" t="s">
        <v>179</v>
      </c>
      <c r="I302" s="468"/>
      <c r="J302" s="3"/>
      <c r="K302" s="468"/>
      <c r="L302" s="468"/>
      <c r="M302" s="468" t="str">
        <f>IF(L302="","",
IF(AX302="PT",VLOOKUP(L302,Foundation_Calc!$V$79:$X$112,VLOOKUP(AX302,Foundation_Calc!$I$10:$J$13,2,FALSE),0),
IF(AX302="K",VLOOKUP(L302,Foundation_Calc!$V$116:$X$149,VLOOKUP(AX302,Foundation_Calc!$I$10:$J$13,2,FALSE),0),"")))</f>
        <v/>
      </c>
      <c r="N302" s="468" t="s">
        <v>193</v>
      </c>
      <c r="O302" s="468" t="s">
        <v>192</v>
      </c>
      <c r="P302" s="468"/>
      <c r="Q302" s="4"/>
      <c r="R302" s="6"/>
      <c r="S302" s="6"/>
      <c r="T302" s="4">
        <v>50</v>
      </c>
      <c r="U302" s="4">
        <v>30</v>
      </c>
      <c r="V302" s="4"/>
      <c r="W302" s="9">
        <v>0.9</v>
      </c>
      <c r="X302" s="9">
        <v>1</v>
      </c>
      <c r="Y302" s="9"/>
      <c r="Z302" s="9">
        <v>0.45</v>
      </c>
      <c r="AA302" s="9"/>
      <c r="AB302" s="9"/>
      <c r="AC302" s="468"/>
      <c r="AD302" s="468" t="s">
        <v>1078</v>
      </c>
      <c r="AE302" s="468"/>
      <c r="AF302" s="4"/>
      <c r="AG302" s="88"/>
      <c r="AH302" s="4"/>
      <c r="AI302" s="4"/>
      <c r="AJ302" s="468"/>
      <c r="AK302" s="468" t="s">
        <v>42</v>
      </c>
      <c r="AL302" s="468"/>
      <c r="AM302" s="468" t="s">
        <v>2458</v>
      </c>
      <c r="AN302" s="10">
        <v>5.15</v>
      </c>
      <c r="AO302" s="9"/>
      <c r="AP302" s="9"/>
      <c r="AQ302" s="9"/>
      <c r="AR302" s="9"/>
      <c r="AS302" s="9"/>
      <c r="AT302" s="9"/>
      <c r="AU302" s="447"/>
      <c r="AV302" s="447"/>
      <c r="AW302" s="468" t="s">
        <v>199</v>
      </c>
      <c r="AX302" s="468" t="s">
        <v>199</v>
      </c>
      <c r="AY302" s="10" t="str">
        <f>IF(L302="","",
IF(AX302="PT",VLOOKUP(L302,Foundation_Calc!$K$79:$R$112,VLOOKUP(AW302,Foundation_Calc!$I$2:$J$8,2,FALSE),0),
IF(AX302="K",VLOOKUP(L302,Foundation_Calc!$K$116:$R$149,VLOOKUP(AW302,Foundation_Calc!$I$2:$J$8,2,FALSE),0),"")))</f>
        <v/>
      </c>
      <c r="AZ302" s="10" t="str">
        <f>IF(K302="","",
IF(AX302="PT",VLOOKUP(K302,Foundation_Calc!$K$79:$R$112,VLOOKUP(AW302,Foundation_Calc!$I$2:$J$8,2,FALSE),0),
IF(AX302="K",VLOOKUP(K302,Foundation_Calc!$K$116:$R$149,VLOOKUP(AW302,Foundation_Calc!$I$2:$J$8,2,FALSE),0),"")))</f>
        <v/>
      </c>
      <c r="BA302" s="553" t="str">
        <f t="shared" si="22"/>
        <v/>
      </c>
      <c r="BB302" s="553" t="str">
        <f t="shared" si="22"/>
        <v/>
      </c>
      <c r="BC302" s="553" t="str">
        <f t="shared" si="21"/>
        <v/>
      </c>
      <c r="BD302" s="572"/>
      <c r="BE302" s="448" t="s">
        <v>1726</v>
      </c>
      <c r="BF302" s="306"/>
      <c r="BG302" s="306"/>
      <c r="BH302" s="306"/>
      <c r="BI302" s="306"/>
    </row>
    <row r="303" spans="1:61" ht="16.2" customHeight="1">
      <c r="A303" s="624" t="s">
        <v>383</v>
      </c>
      <c r="B303" s="469"/>
      <c r="C303" s="3"/>
      <c r="D303" s="88"/>
      <c r="E303" s="4"/>
      <c r="F303" s="4"/>
      <c r="G303" s="6">
        <v>30</v>
      </c>
      <c r="H303" s="468"/>
      <c r="I303" s="468"/>
      <c r="J303" s="3"/>
      <c r="K303" s="468"/>
      <c r="L303" s="468"/>
      <c r="M303" s="468" t="str">
        <f>IF(L303="","",
IF(AX303="PT",VLOOKUP(L303,Foundation_Calc!$V$79:$X$112,VLOOKUP(AX303,Foundation_Calc!$I$10:$J$13,2,FALSE),0),
IF(AX303="K",VLOOKUP(L303,Foundation_Calc!$V$116:$X$149,VLOOKUP(AX303,Foundation_Calc!$I$10:$J$13,2,FALSE),0),"")))</f>
        <v/>
      </c>
      <c r="N303" s="468"/>
      <c r="O303" s="468"/>
      <c r="P303" s="468"/>
      <c r="Q303" s="4"/>
      <c r="R303" s="6"/>
      <c r="S303" s="6"/>
      <c r="T303" s="4"/>
      <c r="U303" s="4"/>
      <c r="V303" s="4"/>
      <c r="W303" s="9"/>
      <c r="X303" s="9"/>
      <c r="Y303" s="9"/>
      <c r="Z303" s="9"/>
      <c r="AA303" s="9"/>
      <c r="AB303" s="9"/>
      <c r="AC303" s="468" t="s">
        <v>195</v>
      </c>
      <c r="AD303" s="468"/>
      <c r="AE303" s="468"/>
      <c r="AF303" s="4"/>
      <c r="AG303" s="88"/>
      <c r="AH303" s="4"/>
      <c r="AI303" s="4"/>
      <c r="AJ303" s="468"/>
      <c r="AK303" s="468"/>
      <c r="AL303" s="468"/>
      <c r="AM303" s="468"/>
      <c r="AN303" s="10"/>
      <c r="AO303" s="9"/>
      <c r="AP303" s="9"/>
      <c r="AQ303" s="9"/>
      <c r="AR303" s="9"/>
      <c r="AS303" s="9"/>
      <c r="AT303" s="9"/>
      <c r="AU303" s="447"/>
      <c r="AV303" s="447"/>
      <c r="AW303" s="468"/>
      <c r="AX303" s="468"/>
      <c r="AY303" s="10" t="str">
        <f>IF(L303="","",
IF(AX303="PT",VLOOKUP(L303,Foundation_Calc!$K$79:$R$112,VLOOKUP(AW303,Foundation_Calc!$I$2:$J$8,2,FALSE),0),
IF(AX303="K",VLOOKUP(L303,Foundation_Calc!$K$116:$R$149,VLOOKUP(AW303,Foundation_Calc!$I$2:$J$8,2,FALSE),0),"")))</f>
        <v/>
      </c>
      <c r="AZ303" s="10" t="str">
        <f>IF(K303="","",
IF(AX303="PT",VLOOKUP(K303,Foundation_Calc!$K$79:$R$112,VLOOKUP(AW303,Foundation_Calc!$I$2:$J$8,2,FALSE),0),
IF(AX303="K",VLOOKUP(K303,Foundation_Calc!$K$116:$R$149,VLOOKUP(AW303,Foundation_Calc!$I$2:$J$8,2,FALSE),0),"")))</f>
        <v/>
      </c>
      <c r="BA303" s="553" t="str">
        <f t="shared" si="22"/>
        <v/>
      </c>
      <c r="BB303" s="553" t="str">
        <f t="shared" si="22"/>
        <v/>
      </c>
      <c r="BC303" s="553" t="str">
        <f t="shared" si="21"/>
        <v/>
      </c>
      <c r="BD303" s="572"/>
      <c r="BE303" s="448" t="s">
        <v>1726</v>
      </c>
      <c r="BF303" s="305"/>
      <c r="BG303" s="305"/>
      <c r="BH303" s="306"/>
      <c r="BI303" s="305"/>
    </row>
    <row r="304" spans="1:61" ht="16.2" customHeight="1">
      <c r="A304" s="624" t="s">
        <v>383</v>
      </c>
      <c r="B304" s="469" t="s">
        <v>2058</v>
      </c>
      <c r="C304" s="3">
        <f>+$C$302+$G$303</f>
        <v>6326.7500000000009</v>
      </c>
      <c r="D304" s="88"/>
      <c r="E304" s="4"/>
      <c r="F304" s="4">
        <v>445.84</v>
      </c>
      <c r="G304" s="6"/>
      <c r="H304" s="468" t="s">
        <v>180</v>
      </c>
      <c r="I304" s="468"/>
      <c r="J304" s="3"/>
      <c r="K304" s="468"/>
      <c r="L304" s="468"/>
      <c r="M304" s="468" t="str">
        <f>IF(L304="","",
IF(AX304="PT",VLOOKUP(L304,Foundation_Calc!$V$79:$X$112,VLOOKUP(AX304,Foundation_Calc!$I$10:$J$13,2,FALSE),0),
IF(AX304="K",VLOOKUP(L304,Foundation_Calc!$V$116:$X$149,VLOOKUP(AX304,Foundation_Calc!$I$10:$J$13,2,FALSE),0),"")))</f>
        <v/>
      </c>
      <c r="N304" s="468" t="s">
        <v>192</v>
      </c>
      <c r="O304" s="468" t="s">
        <v>192</v>
      </c>
      <c r="P304" s="468"/>
      <c r="Q304" s="4"/>
      <c r="R304" s="6"/>
      <c r="S304" s="6"/>
      <c r="T304" s="4">
        <v>30</v>
      </c>
      <c r="U304" s="4">
        <v>10</v>
      </c>
      <c r="V304" s="4"/>
      <c r="W304" s="9">
        <v>0.9</v>
      </c>
      <c r="X304" s="9">
        <v>1</v>
      </c>
      <c r="Y304" s="9"/>
      <c r="Z304" s="9">
        <v>0.15</v>
      </c>
      <c r="AA304" s="9"/>
      <c r="AB304" s="9"/>
      <c r="AC304" s="468" t="s">
        <v>1078</v>
      </c>
      <c r="AD304" s="468" t="s">
        <v>2512</v>
      </c>
      <c r="AE304" s="468"/>
      <c r="AF304" s="4"/>
      <c r="AG304" s="88"/>
      <c r="AH304" s="4"/>
      <c r="AI304" s="4"/>
      <c r="AJ304" s="468"/>
      <c r="AK304" s="468" t="s">
        <v>42</v>
      </c>
      <c r="AL304" s="468"/>
      <c r="AM304" s="468" t="s">
        <v>2458</v>
      </c>
      <c r="AN304" s="10">
        <v>5.15</v>
      </c>
      <c r="AO304" s="9"/>
      <c r="AP304" s="9"/>
      <c r="AQ304" s="9"/>
      <c r="AR304" s="9"/>
      <c r="AS304" s="9"/>
      <c r="AT304" s="9"/>
      <c r="AU304" s="447"/>
      <c r="AV304" s="447"/>
      <c r="AW304" s="468" t="s">
        <v>199</v>
      </c>
      <c r="AX304" s="468" t="s">
        <v>199</v>
      </c>
      <c r="AY304" s="10" t="str">
        <f>IF(L304="","",
IF(AX304="PT",VLOOKUP(L304,Foundation_Calc!$K$79:$R$112,VLOOKUP(AW304,Foundation_Calc!$I$2:$J$8,2,FALSE),0),
IF(AX304="K",VLOOKUP(L304,Foundation_Calc!$K$116:$R$149,VLOOKUP(AW304,Foundation_Calc!$I$2:$J$8,2,FALSE),0),"")))</f>
        <v/>
      </c>
      <c r="AZ304" s="10" t="str">
        <f>IF(K304="","",
IF(AX304="PT",VLOOKUP(K304,Foundation_Calc!$K$79:$R$112,VLOOKUP(AW304,Foundation_Calc!$I$2:$J$8,2,FALSE),0),
IF(AX304="K",VLOOKUP(K304,Foundation_Calc!$K$116:$R$149,VLOOKUP(AW304,Foundation_Calc!$I$2:$J$8,2,FALSE),0),"")))</f>
        <v/>
      </c>
      <c r="BA304" s="553" t="str">
        <f t="shared" si="22"/>
        <v/>
      </c>
      <c r="BB304" s="553" t="str">
        <f t="shared" si="22"/>
        <v/>
      </c>
      <c r="BC304" s="553" t="str">
        <f t="shared" si="21"/>
        <v/>
      </c>
      <c r="BD304" s="572"/>
      <c r="BE304" s="448" t="s">
        <v>1726</v>
      </c>
      <c r="BF304" s="306"/>
      <c r="BG304" s="306"/>
      <c r="BH304" s="306"/>
      <c r="BI304" s="306"/>
    </row>
    <row r="305" spans="1:61" ht="16.2" customHeight="1">
      <c r="A305" s="624" t="s">
        <v>383</v>
      </c>
      <c r="B305" s="469"/>
      <c r="C305" s="3"/>
      <c r="D305" s="88"/>
      <c r="E305" s="4"/>
      <c r="F305" s="4"/>
      <c r="G305" s="6">
        <v>30</v>
      </c>
      <c r="H305" s="468"/>
      <c r="I305" s="468"/>
      <c r="J305" s="3"/>
      <c r="K305" s="468"/>
      <c r="L305" s="468"/>
      <c r="M305" s="468" t="str">
        <f>IF(L305="","",
IF(AX305="PT",VLOOKUP(L305,Foundation_Calc!$V$79:$X$112,VLOOKUP(AX305,Foundation_Calc!$I$10:$J$13,2,FALSE),0),
IF(AX305="K",VLOOKUP(L305,Foundation_Calc!$V$116:$X$149,VLOOKUP(AX305,Foundation_Calc!$I$10:$J$13,2,FALSE),0),"")))</f>
        <v/>
      </c>
      <c r="N305" s="468"/>
      <c r="O305" s="468"/>
      <c r="P305" s="468"/>
      <c r="Q305" s="4"/>
      <c r="R305" s="6"/>
      <c r="S305" s="6"/>
      <c r="T305" s="4"/>
      <c r="U305" s="4"/>
      <c r="V305" s="4"/>
      <c r="W305" s="9"/>
      <c r="X305" s="9"/>
      <c r="Y305" s="9"/>
      <c r="Z305" s="9"/>
      <c r="AA305" s="9"/>
      <c r="AB305" s="9"/>
      <c r="AC305" s="468" t="s">
        <v>195</v>
      </c>
      <c r="AD305" s="468"/>
      <c r="AE305" s="468"/>
      <c r="AF305" s="4"/>
      <c r="AG305" s="88"/>
      <c r="AH305" s="4"/>
      <c r="AI305" s="4"/>
      <c r="AJ305" s="468"/>
      <c r="AK305" s="468"/>
      <c r="AL305" s="468"/>
      <c r="AM305" s="468"/>
      <c r="AN305" s="10"/>
      <c r="AO305" s="9"/>
      <c r="AP305" s="9"/>
      <c r="AQ305" s="9"/>
      <c r="AR305" s="9"/>
      <c r="AS305" s="9"/>
      <c r="AT305" s="9"/>
      <c r="AU305" s="447"/>
      <c r="AV305" s="447"/>
      <c r="AW305" s="468"/>
      <c r="AX305" s="468"/>
      <c r="AY305" s="10" t="str">
        <f>IF(L305="","",
IF(AX305="PT",VLOOKUP(L305,Foundation_Calc!$K$79:$R$112,VLOOKUP(AW305,Foundation_Calc!$I$2:$J$8,2,FALSE),0),
IF(AX305="K",VLOOKUP(L305,Foundation_Calc!$K$116:$R$149,VLOOKUP(AW305,Foundation_Calc!$I$2:$J$8,2,FALSE),0),"")))</f>
        <v/>
      </c>
      <c r="AZ305" s="10" t="str">
        <f>IF(K305="","",
IF(AX305="PT",VLOOKUP(K305,Foundation_Calc!$K$79:$R$112,VLOOKUP(AW305,Foundation_Calc!$I$2:$J$8,2,FALSE),0),
IF(AX305="K",VLOOKUP(K305,Foundation_Calc!$K$116:$R$149,VLOOKUP(AW305,Foundation_Calc!$I$2:$J$8,2,FALSE),0),"")))</f>
        <v/>
      </c>
      <c r="BA305" s="553" t="str">
        <f t="shared" si="22"/>
        <v/>
      </c>
      <c r="BB305" s="553" t="str">
        <f t="shared" si="22"/>
        <v/>
      </c>
      <c r="BC305" s="553" t="str">
        <f t="shared" si="21"/>
        <v/>
      </c>
      <c r="BD305" s="572"/>
      <c r="BE305" s="448" t="s">
        <v>1726</v>
      </c>
      <c r="BF305" s="305"/>
      <c r="BG305" s="305"/>
      <c r="BH305" s="306"/>
      <c r="BI305" s="305"/>
    </row>
    <row r="306" spans="1:61" ht="16.2" customHeight="1">
      <c r="A306" s="624" t="s">
        <v>383</v>
      </c>
      <c r="B306" s="469" t="s">
        <v>2059</v>
      </c>
      <c r="C306" s="3">
        <f>+$C$304+$G$305</f>
        <v>6356.7500000000009</v>
      </c>
      <c r="D306" s="88"/>
      <c r="E306" s="4"/>
      <c r="F306" s="4">
        <v>1440.43</v>
      </c>
      <c r="G306" s="6"/>
      <c r="H306" s="468" t="s">
        <v>180</v>
      </c>
      <c r="I306" s="468"/>
      <c r="J306" s="3"/>
      <c r="K306" s="468"/>
      <c r="L306" s="468"/>
      <c r="M306" s="468" t="str">
        <f>IF(L306="","",
IF(AX306="PT",VLOOKUP(L306,Foundation_Calc!$V$79:$X$112,VLOOKUP(AX306,Foundation_Calc!$I$10:$J$13,2,FALSE),0),
IF(AX306="K",VLOOKUP(L306,Foundation_Calc!$V$116:$X$149,VLOOKUP(AX306,Foundation_Calc!$I$10:$J$13,2,FALSE),0),"")))</f>
        <v/>
      </c>
      <c r="N306" s="468" t="s">
        <v>192</v>
      </c>
      <c r="O306" s="468" t="s">
        <v>192</v>
      </c>
      <c r="P306" s="468"/>
      <c r="Q306" s="4"/>
      <c r="R306" s="6"/>
      <c r="S306" s="6"/>
      <c r="T306" s="4">
        <v>30</v>
      </c>
      <c r="U306" s="4">
        <v>10</v>
      </c>
      <c r="V306" s="4"/>
      <c r="W306" s="9">
        <v>0.9</v>
      </c>
      <c r="X306" s="9">
        <v>1</v>
      </c>
      <c r="Y306" s="9"/>
      <c r="Z306" s="9"/>
      <c r="AA306" s="9">
        <v>0.15</v>
      </c>
      <c r="AB306" s="9"/>
      <c r="AC306" s="468" t="s">
        <v>1078</v>
      </c>
      <c r="AD306" s="468" t="s">
        <v>1078</v>
      </c>
      <c r="AE306" s="468"/>
      <c r="AF306" s="4"/>
      <c r="AG306" s="88"/>
      <c r="AH306" s="4"/>
      <c r="AI306" s="4"/>
      <c r="AJ306" s="468"/>
      <c r="AK306" s="468" t="s">
        <v>42</v>
      </c>
      <c r="AL306" s="468"/>
      <c r="AM306" s="468" t="s">
        <v>2458</v>
      </c>
      <c r="AN306" s="10">
        <v>5.15</v>
      </c>
      <c r="AO306" s="9"/>
      <c r="AP306" s="9"/>
      <c r="AQ306" s="9"/>
      <c r="AR306" s="9"/>
      <c r="AS306" s="9"/>
      <c r="AT306" s="9"/>
      <c r="AU306" s="447"/>
      <c r="AV306" s="447"/>
      <c r="AW306" s="468" t="s">
        <v>199</v>
      </c>
      <c r="AX306" s="468" t="s">
        <v>199</v>
      </c>
      <c r="AY306" s="10" t="str">
        <f>IF(L306="","",
IF(AX306="PT",VLOOKUP(L306,Foundation_Calc!$K$79:$R$112,VLOOKUP(AW306,Foundation_Calc!$I$2:$J$8,2,FALSE),0),
IF(AX306="K",VLOOKUP(L306,Foundation_Calc!$K$116:$R$149,VLOOKUP(AW306,Foundation_Calc!$I$2:$J$8,2,FALSE),0),"")))</f>
        <v/>
      </c>
      <c r="AZ306" s="10" t="str">
        <f>IF(K306="","",
IF(AX306="PT",VLOOKUP(K306,Foundation_Calc!$K$79:$R$112,VLOOKUP(AW306,Foundation_Calc!$I$2:$J$8,2,FALSE),0),
IF(AX306="K",VLOOKUP(K306,Foundation_Calc!$K$116:$R$149,VLOOKUP(AW306,Foundation_Calc!$I$2:$J$8,2,FALSE),0),"")))</f>
        <v/>
      </c>
      <c r="BA306" s="553" t="str">
        <f t="shared" si="22"/>
        <v/>
      </c>
      <c r="BB306" s="553" t="str">
        <f t="shared" si="22"/>
        <v/>
      </c>
      <c r="BC306" s="553" t="str">
        <f t="shared" si="21"/>
        <v/>
      </c>
      <c r="BD306" s="572"/>
      <c r="BE306" s="448" t="s">
        <v>1726</v>
      </c>
      <c r="BF306" s="306"/>
      <c r="BG306" s="306"/>
      <c r="BH306" s="306"/>
      <c r="BI306" s="306"/>
    </row>
    <row r="307" spans="1:61" ht="16.2" customHeight="1">
      <c r="A307" s="624" t="s">
        <v>383</v>
      </c>
      <c r="B307" s="469"/>
      <c r="C307" s="3"/>
      <c r="D307" s="88"/>
      <c r="E307" s="4"/>
      <c r="F307" s="4"/>
      <c r="G307" s="6">
        <v>30</v>
      </c>
      <c r="H307" s="468"/>
      <c r="I307" s="468"/>
      <c r="J307" s="3"/>
      <c r="K307" s="468"/>
      <c r="L307" s="468"/>
      <c r="M307" s="468" t="str">
        <f>IF(L307="","",
IF(AX307="PT",VLOOKUP(L307,Foundation_Calc!$V$79:$X$112,VLOOKUP(AX307,Foundation_Calc!$I$10:$J$13,2,FALSE),0),
IF(AX307="K",VLOOKUP(L307,Foundation_Calc!$V$116:$X$149,VLOOKUP(AX307,Foundation_Calc!$I$10:$J$13,2,FALSE),0),"")))</f>
        <v/>
      </c>
      <c r="N307" s="468"/>
      <c r="O307" s="468"/>
      <c r="P307" s="468"/>
      <c r="Q307" s="4"/>
      <c r="R307" s="6"/>
      <c r="S307" s="6"/>
      <c r="T307" s="4"/>
      <c r="U307" s="4"/>
      <c r="V307" s="4"/>
      <c r="W307" s="9"/>
      <c r="X307" s="9"/>
      <c r="Y307" s="9"/>
      <c r="Z307" s="9"/>
      <c r="AA307" s="9"/>
      <c r="AB307" s="9"/>
      <c r="AC307" s="468" t="s">
        <v>195</v>
      </c>
      <c r="AD307" s="468"/>
      <c r="AE307" s="468"/>
      <c r="AF307" s="4"/>
      <c r="AG307" s="88"/>
      <c r="AH307" s="4"/>
      <c r="AI307" s="4"/>
      <c r="AJ307" s="468"/>
      <c r="AK307" s="468"/>
      <c r="AL307" s="468"/>
      <c r="AM307" s="468"/>
      <c r="AN307" s="10"/>
      <c r="AO307" s="9"/>
      <c r="AP307" s="9"/>
      <c r="AQ307" s="9"/>
      <c r="AR307" s="9"/>
      <c r="AS307" s="9"/>
      <c r="AT307" s="9"/>
      <c r="AU307" s="447"/>
      <c r="AV307" s="447"/>
      <c r="AW307" s="468"/>
      <c r="AX307" s="468"/>
      <c r="AY307" s="10" t="str">
        <f>IF(L307="","",
IF(AX307="PT",VLOOKUP(L307,Foundation_Calc!$K$79:$R$112,VLOOKUP(AW307,Foundation_Calc!$I$2:$J$8,2,FALSE),0),
IF(AX307="K",VLOOKUP(L307,Foundation_Calc!$K$116:$R$149,VLOOKUP(AW307,Foundation_Calc!$I$2:$J$8,2,FALSE),0),"")))</f>
        <v/>
      </c>
      <c r="AZ307" s="10" t="str">
        <f>IF(K307="","",
IF(AX307="PT",VLOOKUP(K307,Foundation_Calc!$K$79:$R$112,VLOOKUP(AW307,Foundation_Calc!$I$2:$J$8,2,FALSE),0),
IF(AX307="K",VLOOKUP(K307,Foundation_Calc!$K$116:$R$149,VLOOKUP(AW307,Foundation_Calc!$I$2:$J$8,2,FALSE),0),"")))</f>
        <v/>
      </c>
      <c r="BA307" s="553" t="str">
        <f t="shared" si="22"/>
        <v/>
      </c>
      <c r="BB307" s="553" t="str">
        <f t="shared" si="22"/>
        <v/>
      </c>
      <c r="BC307" s="553" t="str">
        <f t="shared" si="21"/>
        <v/>
      </c>
      <c r="BD307" s="572"/>
      <c r="BE307" s="448" t="s">
        <v>1726</v>
      </c>
      <c r="BF307" s="305"/>
      <c r="BG307" s="305"/>
      <c r="BH307" s="306"/>
      <c r="BI307" s="305"/>
    </row>
    <row r="308" spans="1:61" ht="16.2" customHeight="1">
      <c r="A308" s="624" t="s">
        <v>383</v>
      </c>
      <c r="B308" s="469" t="s">
        <v>2060</v>
      </c>
      <c r="C308" s="3">
        <f>+$C$306+$G$307</f>
        <v>6386.7500000000009</v>
      </c>
      <c r="D308" s="88"/>
      <c r="E308" s="4"/>
      <c r="F308" s="4">
        <v>1440.43</v>
      </c>
      <c r="G308" s="6"/>
      <c r="H308" s="468" t="s">
        <v>179</v>
      </c>
      <c r="I308" s="468"/>
      <c r="J308" s="3"/>
      <c r="K308" s="468"/>
      <c r="L308" s="468"/>
      <c r="M308" s="468" t="str">
        <f>IF(L308="","",
IF(AX308="PT",VLOOKUP(L308,Foundation_Calc!$V$79:$X$112,VLOOKUP(AX308,Foundation_Calc!$I$10:$J$13,2,FALSE),0),
IF(AX308="K",VLOOKUP(L308,Foundation_Calc!$V$116:$X$149,VLOOKUP(AX308,Foundation_Calc!$I$10:$J$13,2,FALSE),0),"")))</f>
        <v/>
      </c>
      <c r="N308" s="468" t="s">
        <v>192</v>
      </c>
      <c r="O308" s="468" t="s">
        <v>193</v>
      </c>
      <c r="P308" s="468"/>
      <c r="Q308" s="4"/>
      <c r="R308" s="6"/>
      <c r="S308" s="6"/>
      <c r="T308" s="4">
        <v>30</v>
      </c>
      <c r="U308" s="4">
        <v>10</v>
      </c>
      <c r="V308" s="4"/>
      <c r="W308" s="9">
        <v>0.9</v>
      </c>
      <c r="X308" s="9">
        <v>1</v>
      </c>
      <c r="Y308" s="9"/>
      <c r="Z308" s="9"/>
      <c r="AA308" s="9">
        <v>0.45</v>
      </c>
      <c r="AB308" s="9"/>
      <c r="AC308" s="468" t="s">
        <v>1078</v>
      </c>
      <c r="AD308" s="468"/>
      <c r="AE308" s="468"/>
      <c r="AF308" s="4"/>
      <c r="AG308" s="88"/>
      <c r="AH308" s="4"/>
      <c r="AI308" s="4"/>
      <c r="AJ308" s="468"/>
      <c r="AK308" s="468" t="s">
        <v>42</v>
      </c>
      <c r="AL308" s="468"/>
      <c r="AM308" s="468" t="s">
        <v>2458</v>
      </c>
      <c r="AN308" s="10">
        <v>5.15</v>
      </c>
      <c r="AO308" s="9"/>
      <c r="AP308" s="9"/>
      <c r="AQ308" s="9"/>
      <c r="AR308" s="9"/>
      <c r="AS308" s="9"/>
      <c r="AT308" s="9"/>
      <c r="AU308" s="447"/>
      <c r="AV308" s="447"/>
      <c r="AW308" s="468" t="s">
        <v>199</v>
      </c>
      <c r="AX308" s="468" t="s">
        <v>199</v>
      </c>
      <c r="AY308" s="10" t="str">
        <f>IF(L308="","",
IF(AX308="PT",VLOOKUP(L308,Foundation_Calc!$K$79:$R$112,VLOOKUP(AW308,Foundation_Calc!$I$2:$J$8,2,FALSE),0),
IF(AX308="K",VLOOKUP(L308,Foundation_Calc!$K$116:$R$149,VLOOKUP(AW308,Foundation_Calc!$I$2:$J$8,2,FALSE),0),"")))</f>
        <v/>
      </c>
      <c r="AZ308" s="10" t="str">
        <f>IF(K308="","",
IF(AX308="PT",VLOOKUP(K308,Foundation_Calc!$K$79:$R$112,VLOOKUP(AW308,Foundation_Calc!$I$2:$J$8,2,FALSE),0),
IF(AX308="K",VLOOKUP(K308,Foundation_Calc!$K$116:$R$149,VLOOKUP(AW308,Foundation_Calc!$I$2:$J$8,2,FALSE),0),"")))</f>
        <v/>
      </c>
      <c r="BA308" s="553" t="str">
        <f t="shared" si="22"/>
        <v/>
      </c>
      <c r="BB308" s="553" t="str">
        <f t="shared" si="22"/>
        <v/>
      </c>
      <c r="BC308" s="553" t="str">
        <f t="shared" si="21"/>
        <v/>
      </c>
      <c r="BD308" s="572"/>
      <c r="BE308" s="448" t="s">
        <v>1726</v>
      </c>
      <c r="BF308" s="306"/>
      <c r="BG308" s="306"/>
      <c r="BH308" s="306"/>
      <c r="BI308" s="306"/>
    </row>
    <row r="309" spans="1:61" ht="16.2" customHeight="1">
      <c r="A309" s="624" t="s">
        <v>383</v>
      </c>
      <c r="B309" s="469"/>
      <c r="C309" s="3"/>
      <c r="D309" s="88"/>
      <c r="E309" s="4"/>
      <c r="F309" s="4"/>
      <c r="G309" s="6">
        <v>30</v>
      </c>
      <c r="H309" s="468"/>
      <c r="I309" s="4">
        <f>SUM(G271:G309)</f>
        <v>600</v>
      </c>
      <c r="J309" s="3"/>
      <c r="K309" s="468"/>
      <c r="L309" s="468"/>
      <c r="M309" s="468" t="str">
        <f>IF(L309="","",
IF(AX309="PT",VLOOKUP(L309,Foundation_Calc!$V$79:$X$112,VLOOKUP(AX309,Foundation_Calc!$I$10:$J$13,2,FALSE),0),
IF(AX309="K",VLOOKUP(L309,Foundation_Calc!$V$116:$X$149,VLOOKUP(AX309,Foundation_Calc!$I$10:$J$13,2,FALSE),0),"")))</f>
        <v/>
      </c>
      <c r="N309" s="468"/>
      <c r="O309" s="468"/>
      <c r="P309" s="468"/>
      <c r="Q309" s="4"/>
      <c r="R309" s="6"/>
      <c r="S309" s="6"/>
      <c r="T309" s="4"/>
      <c r="U309" s="4"/>
      <c r="V309" s="4"/>
      <c r="W309" s="9"/>
      <c r="X309" s="9"/>
      <c r="Y309" s="9"/>
      <c r="Z309" s="9"/>
      <c r="AA309" s="9"/>
      <c r="AB309" s="9"/>
      <c r="AC309" s="468" t="s">
        <v>195</v>
      </c>
      <c r="AD309" s="468"/>
      <c r="AE309" s="468"/>
      <c r="AF309" s="4"/>
      <c r="AG309" s="88"/>
      <c r="AH309" s="4"/>
      <c r="AI309" s="4"/>
      <c r="AJ309" s="468"/>
      <c r="AK309" s="468"/>
      <c r="AL309" s="468"/>
      <c r="AM309" s="468"/>
      <c r="AN309" s="10"/>
      <c r="AO309" s="9"/>
      <c r="AP309" s="9"/>
      <c r="AQ309" s="9"/>
      <c r="AR309" s="9"/>
      <c r="AS309" s="9"/>
      <c r="AT309" s="9"/>
      <c r="AU309" s="447"/>
      <c r="AV309" s="447"/>
      <c r="AW309" s="468"/>
      <c r="AX309" s="468"/>
      <c r="AY309" s="10" t="str">
        <f>IF(L309="","",
IF(AX309="PT",VLOOKUP(L309,Foundation_Calc!$K$79:$R$112,VLOOKUP(AW309,Foundation_Calc!$I$2:$J$8,2,FALSE),0),
IF(AX309="K",VLOOKUP(L309,Foundation_Calc!$K$116:$R$149,VLOOKUP(AW309,Foundation_Calc!$I$2:$J$8,2,FALSE),0),"")))</f>
        <v/>
      </c>
      <c r="AZ309" s="10" t="str">
        <f>IF(K309="","",
IF(AX309="PT",VLOOKUP(K309,Foundation_Calc!$K$79:$R$112,VLOOKUP(AW309,Foundation_Calc!$I$2:$J$8,2,FALSE),0),
IF(AX309="K",VLOOKUP(K309,Foundation_Calc!$K$116:$R$149,VLOOKUP(AW309,Foundation_Calc!$I$2:$J$8,2,FALSE),0),"")))</f>
        <v/>
      </c>
      <c r="BA309" s="553" t="str">
        <f t="shared" si="22"/>
        <v/>
      </c>
      <c r="BB309" s="553" t="str">
        <f t="shared" si="22"/>
        <v/>
      </c>
      <c r="BC309" s="553" t="str">
        <f t="shared" si="21"/>
        <v/>
      </c>
      <c r="BD309" s="572"/>
      <c r="BE309" s="448" t="s">
        <v>1726</v>
      </c>
      <c r="BF309" s="305"/>
      <c r="BG309" s="305"/>
      <c r="BH309" s="306"/>
      <c r="BI309" s="305"/>
    </row>
    <row r="310" spans="1:61" ht="16.2" customHeight="1">
      <c r="A310" s="624" t="s">
        <v>383</v>
      </c>
      <c r="B310" s="469" t="s">
        <v>2061</v>
      </c>
      <c r="C310" s="3">
        <f>+$C$308+$G$309</f>
        <v>6416.7500000000009</v>
      </c>
      <c r="D310" s="88"/>
      <c r="E310" s="4"/>
      <c r="F310" s="4">
        <v>0</v>
      </c>
      <c r="G310" s="6"/>
      <c r="H310" s="468" t="s">
        <v>26</v>
      </c>
      <c r="I310" s="468" t="s">
        <v>339</v>
      </c>
      <c r="J310" s="501">
        <f>C310-10</f>
        <v>6406.7500000000009</v>
      </c>
      <c r="K310" s="468" t="s">
        <v>447</v>
      </c>
      <c r="L310" s="468"/>
      <c r="M310" s="468" t="str">
        <f>IF(L310="","",
IF(AX310="PT",VLOOKUP(L310,Foundation_Calc!$V$79:$X$112,VLOOKUP(AX310,Foundation_Calc!$I$10:$J$13,2,FALSE),0),
IF(AX310="K",VLOOKUP(L310,Foundation_Calc!$V$116:$X$149,VLOOKUP(AX310,Foundation_Calc!$I$10:$J$13,2,FALSE),0),"")))</f>
        <v/>
      </c>
      <c r="N310" s="468" t="s">
        <v>191</v>
      </c>
      <c r="O310" s="468"/>
      <c r="P310" s="468"/>
      <c r="Q310" s="4"/>
      <c r="R310" s="6"/>
      <c r="S310" s="6"/>
      <c r="T310" s="4">
        <v>-25</v>
      </c>
      <c r="U310" s="4"/>
      <c r="V310" s="4"/>
      <c r="W310" s="9">
        <v>1</v>
      </c>
      <c r="X310" s="9"/>
      <c r="Y310" s="9"/>
      <c r="Z310" s="9"/>
      <c r="AA310" s="9"/>
      <c r="AB310" s="9"/>
      <c r="AC310" s="468" t="s">
        <v>1340</v>
      </c>
      <c r="AD310" s="468"/>
      <c r="AE310" s="468"/>
      <c r="AF310" s="4"/>
      <c r="AG310" s="88"/>
      <c r="AH310" s="4"/>
      <c r="AI310" s="4"/>
      <c r="AJ310" s="468"/>
      <c r="AK310" s="468" t="s">
        <v>41</v>
      </c>
      <c r="AL310" s="468"/>
      <c r="AM310" s="468" t="s">
        <v>2458</v>
      </c>
      <c r="AN310" s="10">
        <v>5.15</v>
      </c>
      <c r="AO310" s="9"/>
      <c r="AP310" s="9"/>
      <c r="AQ310" s="9"/>
      <c r="AR310" s="9"/>
      <c r="AS310" s="9"/>
      <c r="AT310" s="9"/>
      <c r="AU310" s="447"/>
      <c r="AV310" s="447"/>
      <c r="AW310" s="468" t="s">
        <v>199</v>
      </c>
      <c r="AX310" s="468" t="s">
        <v>199</v>
      </c>
      <c r="AY310" s="10" t="str">
        <f>IF(L310="","",
IF(AX310="PT",VLOOKUP(L310,Foundation_Calc!$K$79:$R$112,VLOOKUP(AW310,Foundation_Calc!$I$2:$J$8,2,FALSE),0),
IF(AX310="K",VLOOKUP(L310,Foundation_Calc!$K$116:$R$149,VLOOKUP(AW310,Foundation_Calc!$I$2:$J$8,2,FALSE),0),"")))</f>
        <v/>
      </c>
      <c r="AZ310" s="10" t="str">
        <f>IF(K310="","",
IF(AX310="PT",VLOOKUP(K310,Foundation_Calc!$K$79:$R$112,VLOOKUP(AW310,Foundation_Calc!$I$2:$J$8,2,FALSE),0),
IF(AX310="K",VLOOKUP(K310,Foundation_Calc!$K$116:$R$149,VLOOKUP(AW310,Foundation_Calc!$I$2:$J$8,2,FALSE),0),"")))</f>
        <v/>
      </c>
      <c r="BA310" s="553" t="str">
        <f t="shared" si="22"/>
        <v/>
      </c>
      <c r="BB310" s="553" t="str">
        <f t="shared" si="22"/>
        <v/>
      </c>
      <c r="BC310" s="553" t="str">
        <f t="shared" si="21"/>
        <v/>
      </c>
      <c r="BD310" s="572"/>
      <c r="BE310" s="448" t="s">
        <v>1726</v>
      </c>
      <c r="BF310" s="306"/>
      <c r="BG310" s="306"/>
      <c r="BH310" s="306"/>
      <c r="BI310" s="306"/>
    </row>
    <row r="311" spans="1:61" ht="16.2" customHeight="1">
      <c r="A311" s="624" t="s">
        <v>383</v>
      </c>
      <c r="B311" s="469"/>
      <c r="C311" s="3"/>
      <c r="D311" s="88"/>
      <c r="E311" s="4"/>
      <c r="F311" s="4"/>
      <c r="G311" s="6">
        <v>30</v>
      </c>
      <c r="H311" s="468"/>
      <c r="I311" s="468"/>
      <c r="J311" s="3"/>
      <c r="K311" s="468"/>
      <c r="L311" s="468"/>
      <c r="M311" s="468" t="str">
        <f>IF(L311="","",
IF(AX311="PT",VLOOKUP(L311,Foundation_Calc!$V$79:$X$112,VLOOKUP(AX311,Foundation_Calc!$I$10:$J$13,2,FALSE),0),
IF(AX311="K",VLOOKUP(L311,Foundation_Calc!$V$116:$X$149,VLOOKUP(AX311,Foundation_Calc!$I$10:$J$13,2,FALSE),0),"")))</f>
        <v/>
      </c>
      <c r="N311" s="468"/>
      <c r="O311" s="468"/>
      <c r="P311" s="468"/>
      <c r="Q311" s="4"/>
      <c r="R311" s="6"/>
      <c r="S311" s="6"/>
      <c r="T311" s="4"/>
      <c r="U311" s="4"/>
      <c r="V311" s="4"/>
      <c r="W311" s="9"/>
      <c r="X311" s="9"/>
      <c r="Y311" s="9"/>
      <c r="Z311" s="9"/>
      <c r="AA311" s="9"/>
      <c r="AB311" s="9"/>
      <c r="AC311" s="468" t="s">
        <v>195</v>
      </c>
      <c r="AD311" s="468"/>
      <c r="AE311" s="468"/>
      <c r="AF311" s="4"/>
      <c r="AG311" s="88"/>
      <c r="AH311" s="4"/>
      <c r="AI311" s="4"/>
      <c r="AJ311" s="468"/>
      <c r="AK311" s="468"/>
      <c r="AL311" s="468"/>
      <c r="AM311" s="468"/>
      <c r="AN311" s="10"/>
      <c r="AO311" s="9"/>
      <c r="AP311" s="9"/>
      <c r="AQ311" s="9"/>
      <c r="AR311" s="9"/>
      <c r="AS311" s="9"/>
      <c r="AT311" s="9"/>
      <c r="AU311" s="447"/>
      <c r="AV311" s="447"/>
      <c r="AW311" s="468"/>
      <c r="AX311" s="468"/>
      <c r="AY311" s="10" t="str">
        <f>IF(L311="","",
IF(AX311="PT",VLOOKUP(L311,Foundation_Calc!$K$79:$R$112,VLOOKUP(AW311,Foundation_Calc!$I$2:$J$8,2,FALSE),0),
IF(AX311="K",VLOOKUP(L311,Foundation_Calc!$K$116:$R$149,VLOOKUP(AW311,Foundation_Calc!$I$2:$J$8,2,FALSE),0),"")))</f>
        <v/>
      </c>
      <c r="AZ311" s="10" t="str">
        <f>IF(K311="","",
IF(AX311="PT",VLOOKUP(K311,Foundation_Calc!$K$79:$R$112,VLOOKUP(AW311,Foundation_Calc!$I$2:$J$8,2,FALSE),0),
IF(AX311="K",VLOOKUP(K311,Foundation_Calc!$K$116:$R$149,VLOOKUP(AW311,Foundation_Calc!$I$2:$J$8,2,FALSE),0),"")))</f>
        <v/>
      </c>
      <c r="BA311" s="553" t="str">
        <f t="shared" si="22"/>
        <v/>
      </c>
      <c r="BB311" s="553" t="str">
        <f t="shared" si="22"/>
        <v/>
      </c>
      <c r="BC311" s="553" t="str">
        <f t="shared" si="21"/>
        <v/>
      </c>
      <c r="BD311" s="572"/>
      <c r="BE311" s="448" t="s">
        <v>1726</v>
      </c>
      <c r="BF311" s="305"/>
      <c r="BG311" s="305"/>
      <c r="BH311" s="306"/>
      <c r="BI311" s="305"/>
    </row>
    <row r="312" spans="1:61" ht="16.2" customHeight="1">
      <c r="A312" s="624" t="s">
        <v>383</v>
      </c>
      <c r="B312" s="469" t="s">
        <v>2062</v>
      </c>
      <c r="C312" s="3">
        <f>+$C$310+$G$311</f>
        <v>6446.7500000000009</v>
      </c>
      <c r="D312" s="88"/>
      <c r="E312" s="4"/>
      <c r="F312" s="4">
        <v>0</v>
      </c>
      <c r="G312" s="6"/>
      <c r="H312" s="468"/>
      <c r="I312" s="468"/>
      <c r="J312" s="3"/>
      <c r="K312" s="468"/>
      <c r="L312" s="468"/>
      <c r="M312" s="468" t="str">
        <f>IF(L312="","",
IF(AX312="PT",VLOOKUP(L312,Foundation_Calc!$V$79:$X$112,VLOOKUP(AX312,Foundation_Calc!$I$10:$J$13,2,FALSE),0),
IF(AX312="K",VLOOKUP(L312,Foundation_Calc!$V$116:$X$149,VLOOKUP(AX312,Foundation_Calc!$I$10:$J$13,2,FALSE),0),"")))</f>
        <v/>
      </c>
      <c r="N312" s="468" t="s">
        <v>192</v>
      </c>
      <c r="O312" s="468"/>
      <c r="P312" s="468"/>
      <c r="Q312" s="4"/>
      <c r="R312" s="6"/>
      <c r="S312" s="6"/>
      <c r="T312" s="4">
        <v>25</v>
      </c>
      <c r="U312" s="4"/>
      <c r="V312" s="4"/>
      <c r="W312" s="9">
        <v>1</v>
      </c>
      <c r="X312" s="9"/>
      <c r="Y312" s="9"/>
      <c r="Z312" s="9"/>
      <c r="AA312" s="9"/>
      <c r="AB312" s="9"/>
      <c r="AC312" s="468" t="s">
        <v>1340</v>
      </c>
      <c r="AD312" s="468"/>
      <c r="AE312" s="468"/>
      <c r="AF312" s="4"/>
      <c r="AG312" s="88"/>
      <c r="AH312" s="4"/>
      <c r="AI312" s="4"/>
      <c r="AJ312" s="468"/>
      <c r="AK312" s="468" t="s">
        <v>41</v>
      </c>
      <c r="AL312" s="468"/>
      <c r="AM312" s="468" t="s">
        <v>2458</v>
      </c>
      <c r="AN312" s="10">
        <v>5.15</v>
      </c>
      <c r="AO312" s="9"/>
      <c r="AP312" s="9"/>
      <c r="AQ312" s="9"/>
      <c r="AR312" s="9"/>
      <c r="AS312" s="9"/>
      <c r="AT312" s="9"/>
      <c r="AU312" s="447"/>
      <c r="AV312" s="447"/>
      <c r="AW312" s="468" t="s">
        <v>199</v>
      </c>
      <c r="AX312" s="468" t="s">
        <v>199</v>
      </c>
      <c r="AY312" s="10" t="str">
        <f>IF(L312="","",
IF(AX312="PT",VLOOKUP(L312,Foundation_Calc!$K$79:$R$112,VLOOKUP(AW312,Foundation_Calc!$I$2:$J$8,2,FALSE),0),
IF(AX312="K",VLOOKUP(L312,Foundation_Calc!$K$116:$R$149,VLOOKUP(AW312,Foundation_Calc!$I$2:$J$8,2,FALSE),0),"")))</f>
        <v/>
      </c>
      <c r="AZ312" s="10" t="str">
        <f>IF(K312="","",
IF(AX312="PT",VLOOKUP(K312,Foundation_Calc!$K$79:$R$112,VLOOKUP(AW312,Foundation_Calc!$I$2:$J$8,2,FALSE),0),
IF(AX312="K",VLOOKUP(K312,Foundation_Calc!$K$116:$R$149,VLOOKUP(AW312,Foundation_Calc!$I$2:$J$8,2,FALSE),0),"")))</f>
        <v/>
      </c>
      <c r="BA312" s="553" t="str">
        <f t="shared" si="22"/>
        <v/>
      </c>
      <c r="BB312" s="553" t="str">
        <f t="shared" si="22"/>
        <v/>
      </c>
      <c r="BC312" s="553" t="str">
        <f t="shared" si="21"/>
        <v/>
      </c>
      <c r="BD312" s="572"/>
      <c r="BE312" s="448" t="s">
        <v>1726</v>
      </c>
      <c r="BF312" s="306"/>
      <c r="BG312" s="306"/>
      <c r="BH312" s="306"/>
      <c r="BI312" s="306"/>
    </row>
    <row r="313" spans="1:61" ht="16.2" customHeight="1">
      <c r="A313" s="624" t="s">
        <v>383</v>
      </c>
      <c r="B313" s="469"/>
      <c r="C313" s="3"/>
      <c r="D313" s="88"/>
      <c r="E313" s="4"/>
      <c r="F313" s="4"/>
      <c r="G313" s="6">
        <v>30</v>
      </c>
      <c r="H313" s="468"/>
      <c r="I313" s="468"/>
      <c r="J313" s="3"/>
      <c r="K313" s="468"/>
      <c r="L313" s="468"/>
      <c r="M313" s="468" t="str">
        <f>IF(L313="","",
IF(AX313="PT",VLOOKUP(L313,Foundation_Calc!$V$79:$X$112,VLOOKUP(AX313,Foundation_Calc!$I$10:$J$13,2,FALSE),0),
IF(AX313="K",VLOOKUP(L313,Foundation_Calc!$V$116:$X$149,VLOOKUP(AX313,Foundation_Calc!$I$10:$J$13,2,FALSE),0),"")))</f>
        <v/>
      </c>
      <c r="N313" s="468"/>
      <c r="O313" s="468"/>
      <c r="P313" s="468"/>
      <c r="Q313" s="4"/>
      <c r="R313" s="6"/>
      <c r="S313" s="6"/>
      <c r="T313" s="4"/>
      <c r="U313" s="4"/>
      <c r="V313" s="4"/>
      <c r="W313" s="9"/>
      <c r="X313" s="9"/>
      <c r="Y313" s="9"/>
      <c r="Z313" s="9"/>
      <c r="AA313" s="9"/>
      <c r="AB313" s="9"/>
      <c r="AC313" s="468" t="s">
        <v>195</v>
      </c>
      <c r="AD313" s="468"/>
      <c r="AE313" s="468"/>
      <c r="AF313" s="4"/>
      <c r="AG313" s="88"/>
      <c r="AH313" s="4"/>
      <c r="AI313" s="4"/>
      <c r="AJ313" s="468"/>
      <c r="AK313" s="468"/>
      <c r="AL313" s="468"/>
      <c r="AM313" s="468"/>
      <c r="AN313" s="10"/>
      <c r="AO313" s="9"/>
      <c r="AP313" s="9"/>
      <c r="AQ313" s="9"/>
      <c r="AR313" s="9"/>
      <c r="AS313" s="9"/>
      <c r="AT313" s="9"/>
      <c r="AU313" s="447"/>
      <c r="AV313" s="447"/>
      <c r="AW313" s="468"/>
      <c r="AX313" s="468"/>
      <c r="AY313" s="10" t="str">
        <f>IF(L313="","",
IF(AX313="PT",VLOOKUP(L313,Foundation_Calc!$K$79:$R$112,VLOOKUP(AW313,Foundation_Calc!$I$2:$J$8,2,FALSE),0),
IF(AX313="K",VLOOKUP(L313,Foundation_Calc!$K$116:$R$149,VLOOKUP(AW313,Foundation_Calc!$I$2:$J$8,2,FALSE),0),"")))</f>
        <v/>
      </c>
      <c r="AZ313" s="10" t="str">
        <f>IF(K313="","",
IF(AX313="PT",VLOOKUP(K313,Foundation_Calc!$K$79:$R$112,VLOOKUP(AW313,Foundation_Calc!$I$2:$J$8,2,FALSE),0),
IF(AX313="K",VLOOKUP(K313,Foundation_Calc!$K$116:$R$149,VLOOKUP(AW313,Foundation_Calc!$I$2:$J$8,2,FALSE),0),"")))</f>
        <v/>
      </c>
      <c r="BA313" s="553" t="str">
        <f t="shared" si="22"/>
        <v/>
      </c>
      <c r="BB313" s="553" t="str">
        <f t="shared" si="22"/>
        <v/>
      </c>
      <c r="BC313" s="553" t="str">
        <f t="shared" si="21"/>
        <v/>
      </c>
      <c r="BD313" s="572"/>
      <c r="BE313" s="448" t="s">
        <v>1726</v>
      </c>
      <c r="BF313" s="305"/>
      <c r="BG313" s="305"/>
      <c r="BH313" s="306"/>
      <c r="BI313" s="305"/>
    </row>
    <row r="314" spans="1:61" ht="16.2" customHeight="1">
      <c r="A314" s="624" t="s">
        <v>383</v>
      </c>
      <c r="B314" s="469" t="s">
        <v>2063</v>
      </c>
      <c r="C314" s="3">
        <f>+$C$312+$G$313</f>
        <v>6476.7500000000009</v>
      </c>
      <c r="D314" s="88"/>
      <c r="E314" s="4"/>
      <c r="F314" s="4">
        <v>-1652.55</v>
      </c>
      <c r="G314" s="6"/>
      <c r="H314" s="468"/>
      <c r="I314" s="468"/>
      <c r="J314" s="3"/>
      <c r="K314" s="468"/>
      <c r="L314" s="468"/>
      <c r="M314" s="468" t="str">
        <f>IF(L314="","",
IF(AX314="PT",VLOOKUP(L314,Foundation_Calc!$V$79:$X$112,VLOOKUP(AX314,Foundation_Calc!$I$10:$J$13,2,FALSE),0),
IF(AX314="K",VLOOKUP(L314,Foundation_Calc!$V$116:$X$149,VLOOKUP(AX314,Foundation_Calc!$I$10:$J$13,2,FALSE),0),"")))</f>
        <v/>
      </c>
      <c r="N314" s="468" t="s">
        <v>191</v>
      </c>
      <c r="O314" s="468"/>
      <c r="P314" s="468"/>
      <c r="Q314" s="4"/>
      <c r="R314" s="6"/>
      <c r="S314" s="6"/>
      <c r="T314" s="4">
        <v>-25</v>
      </c>
      <c r="U314" s="4"/>
      <c r="V314" s="4"/>
      <c r="W314" s="9">
        <v>1</v>
      </c>
      <c r="X314" s="9"/>
      <c r="Y314" s="9"/>
      <c r="Z314" s="9"/>
      <c r="AA314" s="9"/>
      <c r="AB314" s="9"/>
      <c r="AC314" s="468" t="s">
        <v>630</v>
      </c>
      <c r="AD314" s="468"/>
      <c r="AE314" s="468"/>
      <c r="AF314" s="4"/>
      <c r="AG314" s="88"/>
      <c r="AH314" s="4"/>
      <c r="AI314" s="4"/>
      <c r="AJ314" s="468"/>
      <c r="AK314" s="468" t="s">
        <v>41</v>
      </c>
      <c r="AL314" s="468"/>
      <c r="AM314" s="468" t="s">
        <v>2458</v>
      </c>
      <c r="AN314" s="10">
        <v>5.15</v>
      </c>
      <c r="AO314" s="9"/>
      <c r="AP314" s="9"/>
      <c r="AQ314" s="9"/>
      <c r="AR314" s="9"/>
      <c r="AS314" s="9"/>
      <c r="AT314" s="9"/>
      <c r="AU314" s="447"/>
      <c r="AV314" s="447"/>
      <c r="AW314" s="468" t="s">
        <v>199</v>
      </c>
      <c r="AX314" s="468" t="s">
        <v>199</v>
      </c>
      <c r="AY314" s="10" t="str">
        <f>IF(L314="","",
IF(AX314="PT",VLOOKUP(L314,Foundation_Calc!$K$79:$R$112,VLOOKUP(AW314,Foundation_Calc!$I$2:$J$8,2,FALSE),0),
IF(AX314="K",VLOOKUP(L314,Foundation_Calc!$K$116:$R$149,VLOOKUP(AW314,Foundation_Calc!$I$2:$J$8,2,FALSE),0),"")))</f>
        <v/>
      </c>
      <c r="AZ314" s="10" t="str">
        <f>IF(K314="","",
IF(AX314="PT",VLOOKUP(K314,Foundation_Calc!$K$79:$R$112,VLOOKUP(AW314,Foundation_Calc!$I$2:$J$8,2,FALSE),0),
IF(AX314="K",VLOOKUP(K314,Foundation_Calc!$K$116:$R$149,VLOOKUP(AW314,Foundation_Calc!$I$2:$J$8,2,FALSE),0),"")))</f>
        <v/>
      </c>
      <c r="BA314" s="553" t="str">
        <f t="shared" si="22"/>
        <v/>
      </c>
      <c r="BB314" s="553" t="str">
        <f t="shared" si="22"/>
        <v/>
      </c>
      <c r="BC314" s="553" t="str">
        <f t="shared" si="21"/>
        <v/>
      </c>
      <c r="BD314" s="572"/>
      <c r="BE314" s="448" t="s">
        <v>1726</v>
      </c>
      <c r="BF314" s="306"/>
      <c r="BG314" s="306"/>
      <c r="BH314" s="306"/>
      <c r="BI314" s="306"/>
    </row>
    <row r="315" spans="1:61" ht="16.2" customHeight="1">
      <c r="A315" s="624" t="s">
        <v>383</v>
      </c>
      <c r="B315" s="469"/>
      <c r="C315" s="3"/>
      <c r="D315" s="88"/>
      <c r="E315" s="4"/>
      <c r="F315" s="4"/>
      <c r="G315" s="6">
        <v>30</v>
      </c>
      <c r="H315" s="468"/>
      <c r="I315" s="468"/>
      <c r="J315" s="3"/>
      <c r="K315" s="468"/>
      <c r="L315" s="468"/>
      <c r="M315" s="468" t="str">
        <f>IF(L315="","",
IF(AX315="PT",VLOOKUP(L315,Foundation_Calc!$V$79:$X$112,VLOOKUP(AX315,Foundation_Calc!$I$10:$J$13,2,FALSE),0),
IF(AX315="K",VLOOKUP(L315,Foundation_Calc!$V$116:$X$149,VLOOKUP(AX315,Foundation_Calc!$I$10:$J$13,2,FALSE),0),"")))</f>
        <v/>
      </c>
      <c r="N315" s="468"/>
      <c r="O315" s="468"/>
      <c r="P315" s="468"/>
      <c r="Q315" s="4"/>
      <c r="R315" s="6"/>
      <c r="S315" s="6"/>
      <c r="T315" s="4"/>
      <c r="U315" s="4"/>
      <c r="V315" s="4"/>
      <c r="W315" s="9"/>
      <c r="X315" s="9"/>
      <c r="Y315" s="9"/>
      <c r="Z315" s="9"/>
      <c r="AA315" s="9"/>
      <c r="AB315" s="9"/>
      <c r="AC315" s="468" t="s">
        <v>195</v>
      </c>
      <c r="AD315" s="468"/>
      <c r="AE315" s="468"/>
      <c r="AF315" s="4"/>
      <c r="AG315" s="88"/>
      <c r="AH315" s="4"/>
      <c r="AI315" s="4"/>
      <c r="AJ315" s="468"/>
      <c r="AK315" s="468"/>
      <c r="AL315" s="468"/>
      <c r="AM315" s="468"/>
      <c r="AN315" s="10"/>
      <c r="AO315" s="9"/>
      <c r="AP315" s="9"/>
      <c r="AQ315" s="9"/>
      <c r="AR315" s="9"/>
      <c r="AS315" s="9"/>
      <c r="AT315" s="9"/>
      <c r="AU315" s="447"/>
      <c r="AV315" s="447"/>
      <c r="AW315" s="468"/>
      <c r="AX315" s="468"/>
      <c r="AY315" s="10" t="str">
        <f>IF(L315="","",
IF(AX315="PT",VLOOKUP(L315,Foundation_Calc!$K$79:$R$112,VLOOKUP(AW315,Foundation_Calc!$I$2:$J$8,2,FALSE),0),
IF(AX315="K",VLOOKUP(L315,Foundation_Calc!$K$116:$R$149,VLOOKUP(AW315,Foundation_Calc!$I$2:$J$8,2,FALSE),0),"")))</f>
        <v/>
      </c>
      <c r="AZ315" s="10" t="str">
        <f>IF(K315="","",
IF(AX315="PT",VLOOKUP(K315,Foundation_Calc!$K$79:$R$112,VLOOKUP(AW315,Foundation_Calc!$I$2:$J$8,2,FALSE),0),
IF(AX315="K",VLOOKUP(K315,Foundation_Calc!$K$116:$R$149,VLOOKUP(AW315,Foundation_Calc!$I$2:$J$8,2,FALSE),0),"")))</f>
        <v/>
      </c>
      <c r="BA315" s="553" t="str">
        <f t="shared" si="22"/>
        <v/>
      </c>
      <c r="BB315" s="553" t="str">
        <f t="shared" si="22"/>
        <v/>
      </c>
      <c r="BC315" s="553" t="str">
        <f t="shared" si="21"/>
        <v/>
      </c>
      <c r="BD315" s="572"/>
      <c r="BE315" s="448" t="s">
        <v>1726</v>
      </c>
      <c r="BF315" s="305"/>
      <c r="BG315" s="305"/>
      <c r="BH315" s="306"/>
      <c r="BI315" s="305"/>
    </row>
    <row r="316" spans="1:61" ht="16.2" customHeight="1">
      <c r="A316" s="624" t="s">
        <v>383</v>
      </c>
      <c r="B316" s="469" t="s">
        <v>2064</v>
      </c>
      <c r="C316" s="3">
        <f>+$C$314+$G$315</f>
        <v>6506.7500000000009</v>
      </c>
      <c r="D316" s="88"/>
      <c r="E316" s="4"/>
      <c r="F316" s="4">
        <v>-556.16999999999996</v>
      </c>
      <c r="G316" s="6"/>
      <c r="H316" s="468"/>
      <c r="I316" s="468"/>
      <c r="J316" s="3"/>
      <c r="K316" s="468"/>
      <c r="L316" s="468"/>
      <c r="M316" s="468" t="str">
        <f>IF(L316="","",
IF(AX316="PT",VLOOKUP(L316,Foundation_Calc!$V$79:$X$112,VLOOKUP(AX316,Foundation_Calc!$I$10:$J$13,2,FALSE),0),
IF(AX316="K",VLOOKUP(L316,Foundation_Calc!$V$116:$X$149,VLOOKUP(AX316,Foundation_Calc!$I$10:$J$13,2,FALSE),0),"")))</f>
        <v/>
      </c>
      <c r="N316" s="468" t="s">
        <v>191</v>
      </c>
      <c r="O316" s="468"/>
      <c r="P316" s="468"/>
      <c r="Q316" s="4"/>
      <c r="R316" s="6"/>
      <c r="S316" s="6"/>
      <c r="T316" s="4">
        <v>-25</v>
      </c>
      <c r="U316" s="4"/>
      <c r="V316" s="4"/>
      <c r="W316" s="9">
        <v>1</v>
      </c>
      <c r="X316" s="9"/>
      <c r="Y316" s="9"/>
      <c r="Z316" s="9"/>
      <c r="AA316" s="9"/>
      <c r="AB316" s="9"/>
      <c r="AC316" s="468" t="s">
        <v>1341</v>
      </c>
      <c r="AD316" s="468"/>
      <c r="AE316" s="468"/>
      <c r="AF316" s="4"/>
      <c r="AG316" s="88"/>
      <c r="AH316" s="4"/>
      <c r="AI316" s="4"/>
      <c r="AJ316" s="468"/>
      <c r="AK316" s="468" t="s">
        <v>41</v>
      </c>
      <c r="AL316" s="468"/>
      <c r="AM316" s="468" t="s">
        <v>2458</v>
      </c>
      <c r="AN316" s="10">
        <v>5.15</v>
      </c>
      <c r="AO316" s="9"/>
      <c r="AP316" s="9"/>
      <c r="AQ316" s="9"/>
      <c r="AR316" s="9"/>
      <c r="AS316" s="9"/>
      <c r="AT316" s="9"/>
      <c r="AU316" s="447"/>
      <c r="AV316" s="447"/>
      <c r="AW316" s="468" t="s">
        <v>199</v>
      </c>
      <c r="AX316" s="468" t="s">
        <v>199</v>
      </c>
      <c r="AY316" s="10" t="str">
        <f>IF(L316="","",
IF(AX316="PT",VLOOKUP(L316,Foundation_Calc!$K$79:$R$112,VLOOKUP(AW316,Foundation_Calc!$I$2:$J$8,2,FALSE),0),
IF(AX316="K",VLOOKUP(L316,Foundation_Calc!$K$116:$R$149,VLOOKUP(AW316,Foundation_Calc!$I$2:$J$8,2,FALSE),0),"")))</f>
        <v/>
      </c>
      <c r="AZ316" s="10" t="str">
        <f>IF(K316="","",
IF(AX316="PT",VLOOKUP(K316,Foundation_Calc!$K$79:$R$112,VLOOKUP(AW316,Foundation_Calc!$I$2:$J$8,2,FALSE),0),
IF(AX316="K",VLOOKUP(K316,Foundation_Calc!$K$116:$R$149,VLOOKUP(AW316,Foundation_Calc!$I$2:$J$8,2,FALSE),0),"")))</f>
        <v/>
      </c>
      <c r="BA316" s="553" t="str">
        <f t="shared" si="22"/>
        <v/>
      </c>
      <c r="BB316" s="553" t="str">
        <f t="shared" si="22"/>
        <v/>
      </c>
      <c r="BC316" s="553" t="str">
        <f t="shared" si="21"/>
        <v/>
      </c>
      <c r="BD316" s="572"/>
      <c r="BE316" s="448" t="s">
        <v>1726</v>
      </c>
      <c r="BF316" s="306"/>
      <c r="BG316" s="306"/>
      <c r="BH316" s="306"/>
      <c r="BI316" s="306"/>
    </row>
    <row r="317" spans="1:61" ht="16.2" customHeight="1">
      <c r="A317" s="624" t="s">
        <v>383</v>
      </c>
      <c r="B317" s="469"/>
      <c r="C317" s="3"/>
      <c r="D317" s="88"/>
      <c r="E317" s="4"/>
      <c r="F317" s="4"/>
      <c r="G317" s="6">
        <v>30</v>
      </c>
      <c r="H317" s="468"/>
      <c r="I317" s="468"/>
      <c r="J317" s="3"/>
      <c r="K317" s="468"/>
      <c r="L317" s="468"/>
      <c r="M317" s="468" t="str">
        <f>IF(L317="","",
IF(AX317="PT",VLOOKUP(L317,Foundation_Calc!$V$79:$X$112,VLOOKUP(AX317,Foundation_Calc!$I$10:$J$13,2,FALSE),0),
IF(AX317="K",VLOOKUP(L317,Foundation_Calc!$V$116:$X$149,VLOOKUP(AX317,Foundation_Calc!$I$10:$J$13,2,FALSE),0),"")))</f>
        <v/>
      </c>
      <c r="N317" s="468"/>
      <c r="O317" s="468"/>
      <c r="P317" s="468"/>
      <c r="Q317" s="4"/>
      <c r="R317" s="6"/>
      <c r="S317" s="6"/>
      <c r="T317" s="4"/>
      <c r="U317" s="4"/>
      <c r="V317" s="4"/>
      <c r="W317" s="9"/>
      <c r="X317" s="9"/>
      <c r="Y317" s="9"/>
      <c r="Z317" s="9"/>
      <c r="AA317" s="9"/>
      <c r="AB317" s="9"/>
      <c r="AC317" s="468" t="s">
        <v>195</v>
      </c>
      <c r="AD317" s="468"/>
      <c r="AE317" s="468"/>
      <c r="AF317" s="4"/>
      <c r="AG317" s="88"/>
      <c r="AH317" s="4"/>
      <c r="AI317" s="4"/>
      <c r="AJ317" s="468"/>
      <c r="AK317" s="468"/>
      <c r="AL317" s="468"/>
      <c r="AM317" s="468"/>
      <c r="AN317" s="10"/>
      <c r="AO317" s="9"/>
      <c r="AP317" s="9"/>
      <c r="AQ317" s="9"/>
      <c r="AR317" s="9"/>
      <c r="AS317" s="9"/>
      <c r="AT317" s="9"/>
      <c r="AU317" s="447"/>
      <c r="AV317" s="447"/>
      <c r="AW317" s="468"/>
      <c r="AX317" s="468"/>
      <c r="AY317" s="10" t="str">
        <f>IF(L317="","",
IF(AX317="PT",VLOOKUP(L317,Foundation_Calc!$K$79:$R$112,VLOOKUP(AW317,Foundation_Calc!$I$2:$J$8,2,FALSE),0),
IF(AX317="K",VLOOKUP(L317,Foundation_Calc!$K$116:$R$149,VLOOKUP(AW317,Foundation_Calc!$I$2:$J$8,2,FALSE),0),"")))</f>
        <v/>
      </c>
      <c r="AZ317" s="10" t="str">
        <f>IF(K317="","",
IF(AX317="PT",VLOOKUP(K317,Foundation_Calc!$K$79:$R$112,VLOOKUP(AW317,Foundation_Calc!$I$2:$J$8,2,FALSE),0),
IF(AX317="K",VLOOKUP(K317,Foundation_Calc!$K$116:$R$149,VLOOKUP(AW317,Foundation_Calc!$I$2:$J$8,2,FALSE),0),"")))</f>
        <v/>
      </c>
      <c r="BA317" s="553" t="str">
        <f t="shared" si="22"/>
        <v/>
      </c>
      <c r="BB317" s="553" t="str">
        <f t="shared" si="22"/>
        <v/>
      </c>
      <c r="BC317" s="553" t="str">
        <f t="shared" si="21"/>
        <v/>
      </c>
      <c r="BD317" s="572"/>
      <c r="BE317" s="448" t="s">
        <v>1726</v>
      </c>
      <c r="BF317" s="305"/>
      <c r="BG317" s="305"/>
      <c r="BH317" s="306"/>
      <c r="BI317" s="305"/>
    </row>
    <row r="318" spans="1:61" ht="16.2" customHeight="1">
      <c r="A318" s="624" t="s">
        <v>383</v>
      </c>
      <c r="B318" s="469" t="s">
        <v>2065</v>
      </c>
      <c r="C318" s="3">
        <f>+$C$316+$G$317</f>
        <v>6536.7500000000009</v>
      </c>
      <c r="D318" s="88"/>
      <c r="E318" s="4"/>
      <c r="F318" s="4">
        <v>-556.16999999999996</v>
      </c>
      <c r="G318" s="6"/>
      <c r="H318" s="468"/>
      <c r="I318" s="468"/>
      <c r="J318" s="3"/>
      <c r="K318" s="468"/>
      <c r="L318" s="468"/>
      <c r="M318" s="468" t="str">
        <f>IF(L318="","",
IF(AX318="PT",VLOOKUP(L318,Foundation_Calc!$V$79:$X$112,VLOOKUP(AX318,Foundation_Calc!$I$10:$J$13,2,FALSE),0),
IF(AX318="K",VLOOKUP(L318,Foundation_Calc!$V$116:$X$149,VLOOKUP(AX318,Foundation_Calc!$I$10:$J$13,2,FALSE),0),"")))</f>
        <v/>
      </c>
      <c r="N318" s="468" t="s">
        <v>191</v>
      </c>
      <c r="O318" s="468"/>
      <c r="P318" s="468"/>
      <c r="Q318" s="4"/>
      <c r="R318" s="6"/>
      <c r="S318" s="6"/>
      <c r="T318" s="4">
        <v>-25</v>
      </c>
      <c r="U318" s="4"/>
      <c r="V318" s="4"/>
      <c r="W318" s="9">
        <v>1</v>
      </c>
      <c r="X318" s="9"/>
      <c r="Y318" s="9"/>
      <c r="Z318" s="9"/>
      <c r="AA318" s="9"/>
      <c r="AB318" s="9"/>
      <c r="AC318" s="468" t="s">
        <v>1341</v>
      </c>
      <c r="AD318" s="468"/>
      <c r="AE318" s="468"/>
      <c r="AF318" s="4"/>
      <c r="AG318" s="88"/>
      <c r="AH318" s="4"/>
      <c r="AI318" s="4"/>
      <c r="AJ318" s="468"/>
      <c r="AK318" s="468" t="s">
        <v>41</v>
      </c>
      <c r="AL318" s="468"/>
      <c r="AM318" s="468" t="s">
        <v>2458</v>
      </c>
      <c r="AN318" s="10">
        <v>5.15</v>
      </c>
      <c r="AO318" s="9"/>
      <c r="AP318" s="9"/>
      <c r="AQ318" s="9"/>
      <c r="AR318" s="9"/>
      <c r="AS318" s="9"/>
      <c r="AT318" s="9"/>
      <c r="AU318" s="447"/>
      <c r="AV318" s="447"/>
      <c r="AW318" s="468" t="s">
        <v>199</v>
      </c>
      <c r="AX318" s="468" t="s">
        <v>199</v>
      </c>
      <c r="AY318" s="10" t="str">
        <f>IF(L318="","",
IF(AX318="PT",VLOOKUP(L318,Foundation_Calc!$K$79:$R$112,VLOOKUP(AW318,Foundation_Calc!$I$2:$J$8,2,FALSE),0),
IF(AX318="K",VLOOKUP(L318,Foundation_Calc!$K$116:$R$149,VLOOKUP(AW318,Foundation_Calc!$I$2:$J$8,2,FALSE),0),"")))</f>
        <v/>
      </c>
      <c r="AZ318" s="10" t="str">
        <f>IF(K318="","",
IF(AX318="PT",VLOOKUP(K318,Foundation_Calc!$K$79:$R$112,VLOOKUP(AW318,Foundation_Calc!$I$2:$J$8,2,FALSE),0),
IF(AX318="K",VLOOKUP(K318,Foundation_Calc!$K$116:$R$149,VLOOKUP(AW318,Foundation_Calc!$I$2:$J$8,2,FALSE),0),"")))</f>
        <v/>
      </c>
      <c r="BA318" s="553" t="str">
        <f t="shared" si="22"/>
        <v/>
      </c>
      <c r="BB318" s="553" t="str">
        <f t="shared" si="22"/>
        <v/>
      </c>
      <c r="BC318" s="553" t="str">
        <f t="shared" si="21"/>
        <v/>
      </c>
      <c r="BD318" s="572"/>
      <c r="BE318" s="448" t="s">
        <v>1726</v>
      </c>
      <c r="BF318" s="306"/>
      <c r="BG318" s="306"/>
      <c r="BH318" s="306"/>
      <c r="BI318" s="306"/>
    </row>
    <row r="319" spans="1:61" ht="16.2" customHeight="1">
      <c r="A319" s="624" t="s">
        <v>383</v>
      </c>
      <c r="B319" s="469"/>
      <c r="C319" s="3"/>
      <c r="D319" s="88"/>
      <c r="E319" s="4"/>
      <c r="F319" s="4"/>
      <c r="G319" s="6">
        <v>30</v>
      </c>
      <c r="H319" s="468"/>
      <c r="I319" s="4"/>
      <c r="J319" s="3"/>
      <c r="K319" s="468"/>
      <c r="L319" s="468"/>
      <c r="M319" s="468" t="str">
        <f>IF(L319="","",
IF(AX319="PT",VLOOKUP(L319,Foundation_Calc!$V$79:$X$112,VLOOKUP(AX319,Foundation_Calc!$I$10:$J$13,2,FALSE),0),
IF(AX319="K",VLOOKUP(L319,Foundation_Calc!$V$116:$X$149,VLOOKUP(AX319,Foundation_Calc!$I$10:$J$13,2,FALSE),0),"")))</f>
        <v/>
      </c>
      <c r="N319" s="468"/>
      <c r="O319" s="468"/>
      <c r="P319" s="468"/>
      <c r="Q319" s="4"/>
      <c r="R319" s="6"/>
      <c r="S319" s="6"/>
      <c r="T319" s="4"/>
      <c r="U319" s="4"/>
      <c r="V319" s="4"/>
      <c r="W319" s="9"/>
      <c r="X319" s="9"/>
      <c r="Y319" s="9"/>
      <c r="Z319" s="9"/>
      <c r="AA319" s="9"/>
      <c r="AB319" s="9"/>
      <c r="AC319" s="468" t="s">
        <v>195</v>
      </c>
      <c r="AD319" s="468"/>
      <c r="AE319" s="468"/>
      <c r="AF319" s="4"/>
      <c r="AG319" s="88"/>
      <c r="AH319" s="4"/>
      <c r="AI319" s="4"/>
      <c r="AJ319" s="468"/>
      <c r="AK319" s="468"/>
      <c r="AL319" s="468"/>
      <c r="AM319" s="468"/>
      <c r="AN319" s="10"/>
      <c r="AO319" s="9"/>
      <c r="AP319" s="9"/>
      <c r="AQ319" s="9"/>
      <c r="AR319" s="9"/>
      <c r="AS319" s="9"/>
      <c r="AT319" s="9"/>
      <c r="AU319" s="447"/>
      <c r="AV319" s="447"/>
      <c r="AW319" s="468"/>
      <c r="AX319" s="468"/>
      <c r="AY319" s="10" t="str">
        <f>IF(L319="","",
IF(AX319="PT",VLOOKUP(L319,Foundation_Calc!$K$79:$R$112,VLOOKUP(AW319,Foundation_Calc!$I$2:$J$8,2,FALSE),0),
IF(AX319="K",VLOOKUP(L319,Foundation_Calc!$K$116:$R$149,VLOOKUP(AW319,Foundation_Calc!$I$2:$J$8,2,FALSE),0),"")))</f>
        <v/>
      </c>
      <c r="AZ319" s="10" t="str">
        <f>IF(K319="","",
IF(AX319="PT",VLOOKUP(K319,Foundation_Calc!$K$79:$R$112,VLOOKUP(AW319,Foundation_Calc!$I$2:$J$8,2,FALSE),0),
IF(AX319="K",VLOOKUP(K319,Foundation_Calc!$K$116:$R$149,VLOOKUP(AW319,Foundation_Calc!$I$2:$J$8,2,FALSE),0),"")))</f>
        <v/>
      </c>
      <c r="BA319" s="553" t="str">
        <f t="shared" si="22"/>
        <v/>
      </c>
      <c r="BB319" s="553" t="str">
        <f t="shared" si="22"/>
        <v/>
      </c>
      <c r="BC319" s="553" t="str">
        <f t="shared" si="21"/>
        <v/>
      </c>
      <c r="BD319" s="572"/>
      <c r="BE319" s="448" t="s">
        <v>1726</v>
      </c>
      <c r="BF319" s="305"/>
      <c r="BG319" s="305"/>
      <c r="BH319" s="306"/>
      <c r="BI319" s="305"/>
    </row>
    <row r="320" spans="1:61" ht="16.2" customHeight="1">
      <c r="A320" s="624" t="s">
        <v>383</v>
      </c>
      <c r="B320" s="469" t="s">
        <v>2066</v>
      </c>
      <c r="C320" s="3">
        <f>+$C$318+$G$319</f>
        <v>6566.7500000000009</v>
      </c>
      <c r="D320" s="88"/>
      <c r="E320" s="4"/>
      <c r="F320" s="4">
        <v>-480.58</v>
      </c>
      <c r="G320" s="6"/>
      <c r="H320" s="468"/>
      <c r="I320" s="468"/>
      <c r="J320" s="3"/>
      <c r="K320" s="468"/>
      <c r="L320" s="468"/>
      <c r="M320" s="468" t="str">
        <f>IF(L320="","",
IF(AX320="PT",VLOOKUP(L320,Foundation_Calc!$V$79:$X$112,VLOOKUP(AX320,Foundation_Calc!$I$10:$J$13,2,FALSE),0),
IF(AX320="K",VLOOKUP(L320,Foundation_Calc!$V$116:$X$149,VLOOKUP(AX320,Foundation_Calc!$I$10:$J$13,2,FALSE),0),"")))</f>
        <v/>
      </c>
      <c r="N320" s="468" t="s">
        <v>191</v>
      </c>
      <c r="O320" s="468"/>
      <c r="P320" s="468"/>
      <c r="Q320" s="4"/>
      <c r="R320" s="6"/>
      <c r="S320" s="6"/>
      <c r="T320" s="4">
        <v>-25</v>
      </c>
      <c r="U320" s="4"/>
      <c r="V320" s="4"/>
      <c r="W320" s="9">
        <v>1</v>
      </c>
      <c r="X320" s="9"/>
      <c r="Y320" s="9"/>
      <c r="Z320" s="9"/>
      <c r="AA320" s="9"/>
      <c r="AB320" s="9"/>
      <c r="AC320" s="468" t="s">
        <v>1341</v>
      </c>
      <c r="AD320" s="468"/>
      <c r="AE320" s="468"/>
      <c r="AF320" s="4"/>
      <c r="AG320" s="88"/>
      <c r="AH320" s="4"/>
      <c r="AI320" s="4"/>
      <c r="AJ320" s="468"/>
      <c r="AK320" s="468" t="s">
        <v>41</v>
      </c>
      <c r="AL320" s="468"/>
      <c r="AM320" s="468" t="s">
        <v>2458</v>
      </c>
      <c r="AN320" s="10">
        <v>5.15</v>
      </c>
      <c r="AO320" s="9"/>
      <c r="AP320" s="9"/>
      <c r="AQ320" s="9"/>
      <c r="AR320" s="9"/>
      <c r="AS320" s="9"/>
      <c r="AT320" s="9"/>
      <c r="AU320" s="447"/>
      <c r="AV320" s="447"/>
      <c r="AW320" s="468" t="s">
        <v>199</v>
      </c>
      <c r="AX320" s="468" t="s">
        <v>199</v>
      </c>
      <c r="AY320" s="10" t="str">
        <f>IF(L320="","",
IF(AX320="PT",VLOOKUP(L320,Foundation_Calc!$K$79:$R$112,VLOOKUP(AW320,Foundation_Calc!$I$2:$J$8,2,FALSE),0),
IF(AX320="K",VLOOKUP(L320,Foundation_Calc!$K$116:$R$149,VLOOKUP(AW320,Foundation_Calc!$I$2:$J$8,2,FALSE),0),"")))</f>
        <v/>
      </c>
      <c r="AZ320" s="10" t="str">
        <f>IF(K320="","",
IF(AX320="PT",VLOOKUP(K320,Foundation_Calc!$K$79:$R$112,VLOOKUP(AW320,Foundation_Calc!$I$2:$J$8,2,FALSE),0),
IF(AX320="K",VLOOKUP(K320,Foundation_Calc!$K$116:$R$149,VLOOKUP(AW320,Foundation_Calc!$I$2:$J$8,2,FALSE),0),"")))</f>
        <v/>
      </c>
      <c r="BA320" s="553" t="str">
        <f t="shared" si="22"/>
        <v/>
      </c>
      <c r="BB320" s="553" t="str">
        <f t="shared" si="22"/>
        <v/>
      </c>
      <c r="BC320" s="553" t="str">
        <f t="shared" si="21"/>
        <v/>
      </c>
      <c r="BD320" s="572"/>
      <c r="BE320" s="448" t="s">
        <v>1726</v>
      </c>
      <c r="BF320" s="306"/>
      <c r="BG320" s="306"/>
      <c r="BH320" s="306"/>
      <c r="BI320" s="306"/>
    </row>
    <row r="321" spans="1:61" ht="16.2" customHeight="1">
      <c r="A321" s="624" t="s">
        <v>383</v>
      </c>
      <c r="B321" s="469"/>
      <c r="C321" s="3"/>
      <c r="D321" s="88"/>
      <c r="E321" s="4"/>
      <c r="F321" s="4"/>
      <c r="G321" s="6">
        <v>30</v>
      </c>
      <c r="H321" s="468"/>
      <c r="I321" s="4"/>
      <c r="J321" s="3"/>
      <c r="K321" s="468"/>
      <c r="L321" s="468"/>
      <c r="M321" s="468" t="str">
        <f>IF(L321="","",
IF(AX321="PT",VLOOKUP(L321,Foundation_Calc!$V$79:$X$112,VLOOKUP(AX321,Foundation_Calc!$I$10:$J$13,2,FALSE),0),
IF(AX321="K",VLOOKUP(L321,Foundation_Calc!$V$116:$X$149,VLOOKUP(AX321,Foundation_Calc!$I$10:$J$13,2,FALSE),0),"")))</f>
        <v/>
      </c>
      <c r="N321" s="468"/>
      <c r="O321" s="468"/>
      <c r="P321" s="468"/>
      <c r="Q321" s="4"/>
      <c r="R321" s="6"/>
      <c r="S321" s="6"/>
      <c r="T321" s="4"/>
      <c r="U321" s="4"/>
      <c r="V321" s="4"/>
      <c r="W321" s="9"/>
      <c r="X321" s="9"/>
      <c r="Y321" s="9"/>
      <c r="Z321" s="9"/>
      <c r="AA321" s="9"/>
      <c r="AB321" s="9"/>
      <c r="AC321" s="468" t="s">
        <v>195</v>
      </c>
      <c r="AD321" s="468"/>
      <c r="AE321" s="468"/>
      <c r="AF321" s="4"/>
      <c r="AG321" s="88"/>
      <c r="AH321" s="4"/>
      <c r="AI321" s="4"/>
      <c r="AJ321" s="468"/>
      <c r="AK321" s="468"/>
      <c r="AL321" s="468"/>
      <c r="AM321" s="468"/>
      <c r="AN321" s="10"/>
      <c r="AO321" s="9"/>
      <c r="AP321" s="9"/>
      <c r="AQ321" s="9"/>
      <c r="AR321" s="9"/>
      <c r="AS321" s="9"/>
      <c r="AT321" s="9"/>
      <c r="AU321" s="447"/>
      <c r="AV321" s="447"/>
      <c r="AW321" s="468"/>
      <c r="AX321" s="468"/>
      <c r="AY321" s="10" t="str">
        <f>IF(L321="","",
IF(AX321="PT",VLOOKUP(L321,Foundation_Calc!$K$79:$R$112,VLOOKUP(AW321,Foundation_Calc!$I$2:$J$8,2,FALSE),0),
IF(AX321="K",VLOOKUP(L321,Foundation_Calc!$K$116:$R$149,VLOOKUP(AW321,Foundation_Calc!$I$2:$J$8,2,FALSE),0),"")))</f>
        <v/>
      </c>
      <c r="AZ321" s="10" t="str">
        <f>IF(K321="","",
IF(AX321="PT",VLOOKUP(K321,Foundation_Calc!$K$79:$R$112,VLOOKUP(AW321,Foundation_Calc!$I$2:$J$8,2,FALSE),0),
IF(AX321="K",VLOOKUP(K321,Foundation_Calc!$K$116:$R$149,VLOOKUP(AW321,Foundation_Calc!$I$2:$J$8,2,FALSE),0),"")))</f>
        <v/>
      </c>
      <c r="BA321" s="553" t="str">
        <f t="shared" si="22"/>
        <v/>
      </c>
      <c r="BB321" s="553" t="str">
        <f t="shared" si="22"/>
        <v/>
      </c>
      <c r="BC321" s="553" t="str">
        <f t="shared" si="21"/>
        <v/>
      </c>
      <c r="BD321" s="572"/>
      <c r="BE321" s="448" t="s">
        <v>1726</v>
      </c>
      <c r="BF321" s="305"/>
      <c r="BG321" s="305"/>
      <c r="BH321" s="306"/>
      <c r="BI321" s="305"/>
    </row>
    <row r="322" spans="1:61" ht="13.8">
      <c r="A322" s="624" t="s">
        <v>383</v>
      </c>
      <c r="B322" s="469" t="s">
        <v>2067</v>
      </c>
      <c r="C322" s="3">
        <f>+$C$320+$G$321</f>
        <v>6596.7500000000009</v>
      </c>
      <c r="D322" s="88"/>
      <c r="E322" s="4"/>
      <c r="F322" s="4">
        <v>-480.58</v>
      </c>
      <c r="G322" s="6"/>
      <c r="H322" s="468"/>
      <c r="I322" s="467"/>
      <c r="J322" s="501"/>
      <c r="K322" s="468"/>
      <c r="L322" s="468"/>
      <c r="M322" s="468" t="str">
        <f>IF(L322="","",
IF(AX322="PT",VLOOKUP(L322,Foundation_Calc!$V$79:$X$112,VLOOKUP(AX322,Foundation_Calc!$I$10:$J$13,2,FALSE),0),
IF(AX322="K",VLOOKUP(L322,Foundation_Calc!$V$116:$X$149,VLOOKUP(AX322,Foundation_Calc!$I$10:$J$13,2,FALSE),0),"")))</f>
        <v/>
      </c>
      <c r="N322" s="468" t="s">
        <v>192</v>
      </c>
      <c r="O322" s="468"/>
      <c r="P322" s="468"/>
      <c r="Q322" s="4"/>
      <c r="R322" s="6"/>
      <c r="S322" s="6"/>
      <c r="T322" s="4">
        <v>25</v>
      </c>
      <c r="U322" s="4"/>
      <c r="V322" s="4"/>
      <c r="W322" s="9">
        <v>1</v>
      </c>
      <c r="X322" s="9"/>
      <c r="Y322" s="9"/>
      <c r="Z322" s="9"/>
      <c r="AA322" s="9"/>
      <c r="AB322" s="9"/>
      <c r="AC322" s="468" t="s">
        <v>1341</v>
      </c>
      <c r="AD322" s="468"/>
      <c r="AE322" s="468"/>
      <c r="AF322" s="4"/>
      <c r="AG322" s="88"/>
      <c r="AH322" s="4"/>
      <c r="AI322" s="4"/>
      <c r="AJ322" s="468"/>
      <c r="AK322" s="468" t="s">
        <v>41</v>
      </c>
      <c r="AL322" s="468"/>
      <c r="AM322" s="468" t="s">
        <v>2458</v>
      </c>
      <c r="AN322" s="10">
        <v>5.15</v>
      </c>
      <c r="AO322" s="9"/>
      <c r="AP322" s="9"/>
      <c r="AQ322" s="9"/>
      <c r="AR322" s="9"/>
      <c r="AS322" s="9"/>
      <c r="AT322" s="9"/>
      <c r="AU322" s="447"/>
      <c r="AV322" s="447"/>
      <c r="AW322" s="468" t="s">
        <v>199</v>
      </c>
      <c r="AX322" s="468" t="s">
        <v>199</v>
      </c>
      <c r="AY322" s="10" t="str">
        <f>IF(L322="","",
IF(AX322="PT",VLOOKUP(L322,Foundation_Calc!$K$79:$R$112,VLOOKUP(AW322,Foundation_Calc!$I$2:$J$8,2,FALSE),0),
IF(AX322="K",VLOOKUP(L322,Foundation_Calc!$K$116:$R$149,VLOOKUP(AW322,Foundation_Calc!$I$2:$J$8,2,FALSE),0),"")))</f>
        <v/>
      </c>
      <c r="AZ322" s="10" t="str">
        <f>IF(K322="","",
IF(AX322="PT",VLOOKUP(K322,Foundation_Calc!$K$79:$R$112,VLOOKUP(AW322,Foundation_Calc!$I$2:$J$8,2,FALSE),0),
IF(AX322="K",VLOOKUP(K322,Foundation_Calc!$K$116:$R$149,VLOOKUP(AW322,Foundation_Calc!$I$2:$J$8,2,FALSE),0),"")))</f>
        <v/>
      </c>
      <c r="BA322" s="553" t="str">
        <f t="shared" si="22"/>
        <v/>
      </c>
      <c r="BB322" s="553" t="str">
        <f t="shared" si="22"/>
        <v/>
      </c>
      <c r="BC322" s="553" t="str">
        <f t="shared" si="21"/>
        <v/>
      </c>
      <c r="BD322" s="572"/>
      <c r="BE322" s="448" t="s">
        <v>1726</v>
      </c>
      <c r="BF322" s="306"/>
      <c r="BG322" s="306"/>
      <c r="BH322" s="306"/>
      <c r="BI322" s="306"/>
    </row>
    <row r="323" spans="1:61" ht="16.2" customHeight="1">
      <c r="A323" s="624" t="s">
        <v>383</v>
      </c>
      <c r="B323" s="469"/>
      <c r="C323" s="3"/>
      <c r="D323" s="88"/>
      <c r="E323" s="4"/>
      <c r="F323" s="4"/>
      <c r="G323" s="6">
        <v>30</v>
      </c>
      <c r="H323" s="468"/>
      <c r="I323" s="468"/>
      <c r="J323" s="3"/>
      <c r="K323" s="468"/>
      <c r="L323" s="468"/>
      <c r="M323" s="468" t="str">
        <f>IF(L323="","",
IF(AX323="PT",VLOOKUP(L323,Foundation_Calc!$V$79:$X$112,VLOOKUP(AX323,Foundation_Calc!$I$10:$J$13,2,FALSE),0),
IF(AX323="K",VLOOKUP(L323,Foundation_Calc!$V$116:$X$149,VLOOKUP(AX323,Foundation_Calc!$I$10:$J$13,2,FALSE),0),"")))</f>
        <v/>
      </c>
      <c r="N323" s="468"/>
      <c r="O323" s="468"/>
      <c r="P323" s="468"/>
      <c r="Q323" s="4"/>
      <c r="R323" s="6"/>
      <c r="S323" s="6"/>
      <c r="T323" s="4"/>
      <c r="U323" s="4"/>
      <c r="V323" s="4"/>
      <c r="W323" s="9"/>
      <c r="X323" s="9"/>
      <c r="Y323" s="9"/>
      <c r="Z323" s="9"/>
      <c r="AA323" s="9"/>
      <c r="AB323" s="9"/>
      <c r="AC323" s="468" t="s">
        <v>195</v>
      </c>
      <c r="AD323" s="468"/>
      <c r="AE323" s="468"/>
      <c r="AF323" s="4"/>
      <c r="AG323" s="88"/>
      <c r="AH323" s="4"/>
      <c r="AI323" s="4"/>
      <c r="AJ323" s="468"/>
      <c r="AK323" s="468"/>
      <c r="AL323" s="468"/>
      <c r="AM323" s="468"/>
      <c r="AN323" s="10"/>
      <c r="AO323" s="9"/>
      <c r="AP323" s="9"/>
      <c r="AQ323" s="9"/>
      <c r="AR323" s="9"/>
      <c r="AS323" s="9"/>
      <c r="AT323" s="9"/>
      <c r="AU323" s="447"/>
      <c r="AV323" s="447"/>
      <c r="AW323" s="468"/>
      <c r="AX323" s="468"/>
      <c r="AY323" s="10" t="str">
        <f>IF(L323="","",
IF(AX323="PT",VLOOKUP(L323,Foundation_Calc!$K$79:$R$112,VLOOKUP(AW323,Foundation_Calc!$I$2:$J$8,2,FALSE),0),
IF(AX323="K",VLOOKUP(L323,Foundation_Calc!$K$116:$R$149,VLOOKUP(AW323,Foundation_Calc!$I$2:$J$8,2,FALSE),0),"")))</f>
        <v/>
      </c>
      <c r="AZ323" s="10" t="str">
        <f>IF(K323="","",
IF(AX323="PT",VLOOKUP(K323,Foundation_Calc!$K$79:$R$112,VLOOKUP(AW323,Foundation_Calc!$I$2:$J$8,2,FALSE),0),
IF(AX323="K",VLOOKUP(K323,Foundation_Calc!$K$116:$R$149,VLOOKUP(AW323,Foundation_Calc!$I$2:$J$8,2,FALSE),0),"")))</f>
        <v/>
      </c>
      <c r="BA323" s="553" t="str">
        <f t="shared" si="22"/>
        <v/>
      </c>
      <c r="BB323" s="553" t="str">
        <f t="shared" si="22"/>
        <v/>
      </c>
      <c r="BC323" s="553" t="str">
        <f t="shared" si="21"/>
        <v/>
      </c>
      <c r="BD323" s="572"/>
      <c r="BE323" s="448" t="s">
        <v>1726</v>
      </c>
      <c r="BF323" s="305"/>
      <c r="BG323" s="305"/>
      <c r="BH323" s="306"/>
      <c r="BI323" s="305"/>
    </row>
    <row r="324" spans="1:61" ht="16.2" customHeight="1" thickBot="1">
      <c r="A324" s="625" t="s">
        <v>383</v>
      </c>
      <c r="B324" s="518" t="s">
        <v>2068</v>
      </c>
      <c r="C324" s="519">
        <f>+$C$322+$G$323</f>
        <v>6626.7500000000009</v>
      </c>
      <c r="D324" s="520"/>
      <c r="E324" s="521"/>
      <c r="F324" s="521">
        <v>-480.58</v>
      </c>
      <c r="G324" s="522"/>
      <c r="H324" s="523"/>
      <c r="I324" s="523"/>
      <c r="J324" s="519"/>
      <c r="K324" s="523"/>
      <c r="L324" s="523"/>
      <c r="M324" s="523" t="str">
        <f>IF(L324="","",
IF(AX324="PT",VLOOKUP(L324,Foundation_Calc!$V$79:$X$112,VLOOKUP(AX324,Foundation_Calc!$I$10:$J$13,2,FALSE),0),
IF(AX324="K",VLOOKUP(L324,Foundation_Calc!$V$116:$X$149,VLOOKUP(AX324,Foundation_Calc!$I$10:$J$13,2,FALSE),0),"")))</f>
        <v/>
      </c>
      <c r="N324" s="523" t="s">
        <v>192</v>
      </c>
      <c r="O324" s="523"/>
      <c r="P324" s="523"/>
      <c r="Q324" s="521"/>
      <c r="R324" s="522"/>
      <c r="S324" s="522"/>
      <c r="T324" s="521">
        <v>25</v>
      </c>
      <c r="U324" s="521"/>
      <c r="V324" s="521"/>
      <c r="W324" s="524">
        <v>1</v>
      </c>
      <c r="X324" s="524"/>
      <c r="Y324" s="524"/>
      <c r="Z324" s="524"/>
      <c r="AA324" s="524"/>
      <c r="AB324" s="524"/>
      <c r="AC324" s="523" t="s">
        <v>1341</v>
      </c>
      <c r="AD324" s="523"/>
      <c r="AE324" s="523"/>
      <c r="AF324" s="521"/>
      <c r="AG324" s="520"/>
      <c r="AH324" s="521"/>
      <c r="AI324" s="521"/>
      <c r="AJ324" s="523"/>
      <c r="AK324" s="523" t="s">
        <v>41</v>
      </c>
      <c r="AL324" s="523"/>
      <c r="AM324" s="523" t="s">
        <v>2458</v>
      </c>
      <c r="AN324" s="525">
        <v>5.15</v>
      </c>
      <c r="AO324" s="524"/>
      <c r="AP324" s="524"/>
      <c r="AQ324" s="524"/>
      <c r="AR324" s="524"/>
      <c r="AS324" s="524"/>
      <c r="AT324" s="524"/>
      <c r="AU324" s="526"/>
      <c r="AV324" s="526"/>
      <c r="AW324" s="523" t="s">
        <v>199</v>
      </c>
      <c r="AX324" s="523" t="s">
        <v>199</v>
      </c>
      <c r="AY324" s="525" t="str">
        <f>IF(L324="","",
IF(AX324="PT",VLOOKUP(L324,Foundation_Calc!$K$79:$R$112,VLOOKUP(AW324,Foundation_Calc!$I$2:$J$8,2,FALSE),0),
IF(AX324="K",VLOOKUP(L324,Foundation_Calc!$K$116:$R$149,VLOOKUP(AW324,Foundation_Calc!$I$2:$J$8,2,FALSE),0),"")))</f>
        <v/>
      </c>
      <c r="AZ324" s="525" t="str">
        <f>IF(K324="","",
IF(AX324="PT",VLOOKUP(K324,Foundation_Calc!$K$79:$R$112,VLOOKUP(AW324,Foundation_Calc!$I$2:$J$8,2,FALSE),0),
IF(AX324="K",VLOOKUP(K324,Foundation_Calc!$K$116:$R$149,VLOOKUP(AW324,Foundation_Calc!$I$2:$J$8,2,FALSE),0),"")))</f>
        <v/>
      </c>
      <c r="BA324" s="554" t="str">
        <f t="shared" si="22"/>
        <v/>
      </c>
      <c r="BB324" s="554" t="str">
        <f t="shared" si="22"/>
        <v/>
      </c>
      <c r="BC324" s="554" t="str">
        <f t="shared" si="21"/>
        <v/>
      </c>
      <c r="BD324" s="576"/>
      <c r="BE324" s="448" t="s">
        <v>1726</v>
      </c>
      <c r="BF324" s="306"/>
      <c r="BG324" s="306"/>
      <c r="BH324" s="306"/>
      <c r="BI324" s="306"/>
    </row>
    <row r="325" spans="1:61" ht="16.2" customHeight="1" thickTop="1">
      <c r="A325" s="626" t="s">
        <v>383</v>
      </c>
      <c r="B325" s="605"/>
      <c r="C325" s="606"/>
      <c r="D325" s="607"/>
      <c r="E325" s="608"/>
      <c r="F325" s="608"/>
      <c r="G325" s="609">
        <v>30</v>
      </c>
      <c r="H325" s="610"/>
      <c r="I325" s="610"/>
      <c r="J325" s="606"/>
      <c r="K325" s="610"/>
      <c r="L325" s="610"/>
      <c r="M325" s="610" t="str">
        <f>IF(L325="","",
IF(AX325="PT",VLOOKUP(L325,Foundation_Calc!$V$79:$X$112,VLOOKUP(AX325,Foundation_Calc!$I$10:$J$13,2,FALSE),0),
IF(AX325="K",VLOOKUP(L325,Foundation_Calc!$V$116:$X$149,VLOOKUP(AX325,Foundation_Calc!$I$10:$J$13,2,FALSE),0),"")))</f>
        <v/>
      </c>
      <c r="N325" s="610"/>
      <c r="O325" s="610"/>
      <c r="P325" s="610"/>
      <c r="Q325" s="608"/>
      <c r="R325" s="609"/>
      <c r="S325" s="609"/>
      <c r="T325" s="608"/>
      <c r="U325" s="608"/>
      <c r="V325" s="608"/>
      <c r="W325" s="611"/>
      <c r="X325" s="611"/>
      <c r="Y325" s="611"/>
      <c r="Z325" s="611"/>
      <c r="AA325" s="611"/>
      <c r="AB325" s="611"/>
      <c r="AC325" s="610" t="s">
        <v>195</v>
      </c>
      <c r="AD325" s="610"/>
      <c r="AE325" s="610"/>
      <c r="AF325" s="608"/>
      <c r="AG325" s="607"/>
      <c r="AH325" s="608"/>
      <c r="AI325" s="608"/>
      <c r="AJ325" s="610"/>
      <c r="AK325" s="610"/>
      <c r="AL325" s="610"/>
      <c r="AM325" s="610"/>
      <c r="AN325" s="612"/>
      <c r="AO325" s="611"/>
      <c r="AP325" s="611"/>
      <c r="AQ325" s="611"/>
      <c r="AR325" s="611"/>
      <c r="AS325" s="611"/>
      <c r="AT325" s="611"/>
      <c r="AU325" s="613"/>
      <c r="AV325" s="613"/>
      <c r="AW325" s="610"/>
      <c r="AX325" s="610"/>
      <c r="AY325" s="612" t="str">
        <f>IF(L325="","",
IF(AX325="PT",VLOOKUP(L325,Foundation_Calc!$K$79:$R$112,VLOOKUP(AW325,Foundation_Calc!$I$2:$J$8,2,FALSE),0),
IF(AX325="K",VLOOKUP(L325,Foundation_Calc!$K$116:$R$149,VLOOKUP(AW325,Foundation_Calc!$I$2:$J$8,2,FALSE),0),"")))</f>
        <v/>
      </c>
      <c r="AZ325" s="612" t="str">
        <f>IF(K325="","",
IF(AX325="PT",VLOOKUP(K325,Foundation_Calc!$K$79:$R$112,VLOOKUP(AW325,Foundation_Calc!$I$2:$J$8,2,FALSE),0),
IF(AX325="K",VLOOKUP(K325,Foundation_Calc!$K$116:$R$149,VLOOKUP(AW325,Foundation_Calc!$I$2:$J$8,2,FALSE),0),"")))</f>
        <v/>
      </c>
      <c r="BA325" s="639" t="str">
        <f t="shared" si="22"/>
        <v/>
      </c>
      <c r="BB325" s="639" t="str">
        <f t="shared" si="22"/>
        <v/>
      </c>
      <c r="BC325" s="639" t="str">
        <f t="shared" si="21"/>
        <v/>
      </c>
      <c r="BD325" s="578"/>
      <c r="BE325" s="448" t="s">
        <v>1726</v>
      </c>
      <c r="BF325" s="305"/>
      <c r="BG325" s="305"/>
      <c r="BH325" s="306"/>
      <c r="BI325" s="305"/>
    </row>
    <row r="326" spans="1:61" ht="16.2" customHeight="1">
      <c r="A326" s="624" t="s">
        <v>383</v>
      </c>
      <c r="B326" s="469" t="s">
        <v>2069</v>
      </c>
      <c r="C326" s="3">
        <f>+$C$324+$G$325</f>
        <v>6656.7500000000009</v>
      </c>
      <c r="D326" s="88"/>
      <c r="E326" s="4"/>
      <c r="F326" s="4">
        <v>-480.58</v>
      </c>
      <c r="G326" s="6"/>
      <c r="H326" s="468"/>
      <c r="I326" s="468"/>
      <c r="J326" s="3"/>
      <c r="K326" s="468"/>
      <c r="L326" s="468"/>
      <c r="M326" s="468" t="str">
        <f>IF(L326="","",
IF(AX326="PT",VLOOKUP(L326,Foundation_Calc!$V$79:$X$112,VLOOKUP(AX326,Foundation_Calc!$I$10:$J$13,2,FALSE),0),
IF(AX326="K",VLOOKUP(L326,Foundation_Calc!$V$116:$X$149,VLOOKUP(AX326,Foundation_Calc!$I$10:$J$13,2,FALSE),0),"")))</f>
        <v/>
      </c>
      <c r="N326" s="468" t="s">
        <v>192</v>
      </c>
      <c r="O326" s="468"/>
      <c r="P326" s="468"/>
      <c r="Q326" s="4"/>
      <c r="R326" s="6"/>
      <c r="S326" s="6"/>
      <c r="T326" s="4">
        <v>25</v>
      </c>
      <c r="U326" s="4"/>
      <c r="V326" s="4"/>
      <c r="W326" s="9">
        <v>1</v>
      </c>
      <c r="X326" s="9"/>
      <c r="Y326" s="9"/>
      <c r="Z326" s="9"/>
      <c r="AA326" s="9"/>
      <c r="AB326" s="9"/>
      <c r="AC326" s="468" t="s">
        <v>1341</v>
      </c>
      <c r="AD326" s="468"/>
      <c r="AE326" s="468"/>
      <c r="AF326" s="4"/>
      <c r="AG326" s="88"/>
      <c r="AH326" s="4"/>
      <c r="AI326" s="4"/>
      <c r="AJ326" s="468"/>
      <c r="AK326" s="468" t="s">
        <v>41</v>
      </c>
      <c r="AL326" s="468"/>
      <c r="AM326" s="468" t="s">
        <v>2458</v>
      </c>
      <c r="AN326" s="10">
        <v>5.15</v>
      </c>
      <c r="AO326" s="9"/>
      <c r="AP326" s="9"/>
      <c r="AQ326" s="9"/>
      <c r="AR326" s="9"/>
      <c r="AS326" s="9"/>
      <c r="AT326" s="9"/>
      <c r="AU326" s="447"/>
      <c r="AV326" s="447"/>
      <c r="AW326" s="468" t="s">
        <v>199</v>
      </c>
      <c r="AX326" s="468" t="s">
        <v>199</v>
      </c>
      <c r="AY326" s="10" t="str">
        <f>IF(L326="","",
IF(AX326="PT",VLOOKUP(L326,Foundation_Calc!$K$79:$R$112,VLOOKUP(AW326,Foundation_Calc!$I$2:$J$8,2,FALSE),0),
IF(AX326="K",VLOOKUP(L326,Foundation_Calc!$K$116:$R$149,VLOOKUP(AW326,Foundation_Calc!$I$2:$J$8,2,FALSE),0),"")))</f>
        <v/>
      </c>
      <c r="AZ326" s="10" t="str">
        <f>IF(K326="","",
IF(AX326="PT",VLOOKUP(K326,Foundation_Calc!$K$79:$R$112,VLOOKUP(AW326,Foundation_Calc!$I$2:$J$8,2,FALSE),0),
IF(AX326="K",VLOOKUP(K326,Foundation_Calc!$K$116:$R$149,VLOOKUP(AW326,Foundation_Calc!$I$2:$J$8,2,FALSE),0),"")))</f>
        <v/>
      </c>
      <c r="BA326" s="553" t="str">
        <f t="shared" si="22"/>
        <v/>
      </c>
      <c r="BB326" s="553" t="str">
        <f t="shared" si="22"/>
        <v/>
      </c>
      <c r="BC326" s="553" t="str">
        <f t="shared" si="21"/>
        <v/>
      </c>
      <c r="BD326" s="572"/>
      <c r="BE326" s="448" t="s">
        <v>1726</v>
      </c>
      <c r="BF326" s="306"/>
      <c r="BG326" s="306"/>
      <c r="BH326" s="306"/>
      <c r="BI326" s="306"/>
    </row>
    <row r="327" spans="1:61" ht="16.2" customHeight="1">
      <c r="A327" s="624" t="s">
        <v>383</v>
      </c>
      <c r="B327" s="469"/>
      <c r="C327" s="3"/>
      <c r="D327" s="88"/>
      <c r="E327" s="4"/>
      <c r="F327" s="4"/>
      <c r="G327" s="6">
        <v>30</v>
      </c>
      <c r="H327" s="468"/>
      <c r="I327" s="468"/>
      <c r="J327" s="3"/>
      <c r="K327" s="468"/>
      <c r="L327" s="468"/>
      <c r="M327" s="468" t="str">
        <f>IF(L327="","",
IF(AX327="PT",VLOOKUP(L327,Foundation_Calc!$V$79:$X$112,VLOOKUP(AX327,Foundation_Calc!$I$10:$J$13,2,FALSE),0),
IF(AX327="K",VLOOKUP(L327,Foundation_Calc!$V$116:$X$149,VLOOKUP(AX327,Foundation_Calc!$I$10:$J$13,2,FALSE),0),"")))</f>
        <v/>
      </c>
      <c r="N327" s="468"/>
      <c r="O327" s="468"/>
      <c r="P327" s="468"/>
      <c r="Q327" s="4"/>
      <c r="R327" s="6"/>
      <c r="S327" s="6"/>
      <c r="T327" s="4"/>
      <c r="U327" s="4"/>
      <c r="V327" s="4"/>
      <c r="W327" s="9"/>
      <c r="X327" s="9"/>
      <c r="Y327" s="9"/>
      <c r="Z327" s="9"/>
      <c r="AA327" s="9"/>
      <c r="AB327" s="9"/>
      <c r="AC327" s="468" t="s">
        <v>195</v>
      </c>
      <c r="AD327" s="468"/>
      <c r="AE327" s="468"/>
      <c r="AF327" s="4"/>
      <c r="AG327" s="88"/>
      <c r="AH327" s="4"/>
      <c r="AI327" s="4"/>
      <c r="AJ327" s="468"/>
      <c r="AK327" s="468"/>
      <c r="AL327" s="468"/>
      <c r="AM327" s="468"/>
      <c r="AN327" s="10"/>
      <c r="AO327" s="9"/>
      <c r="AP327" s="9"/>
      <c r="AQ327" s="9"/>
      <c r="AR327" s="9"/>
      <c r="AS327" s="9"/>
      <c r="AT327" s="9"/>
      <c r="AU327" s="447"/>
      <c r="AV327" s="447"/>
      <c r="AW327" s="468"/>
      <c r="AX327" s="468"/>
      <c r="AY327" s="10" t="str">
        <f>IF(L327="","",
IF(AX327="PT",VLOOKUP(L327,Foundation_Calc!$K$79:$R$112,VLOOKUP(AW327,Foundation_Calc!$I$2:$J$8,2,FALSE),0),
IF(AX327="K",VLOOKUP(L327,Foundation_Calc!$K$116:$R$149,VLOOKUP(AW327,Foundation_Calc!$I$2:$J$8,2,FALSE),0),"")))</f>
        <v/>
      </c>
      <c r="AZ327" s="10" t="str">
        <f>IF(K327="","",
IF(AX327="PT",VLOOKUP(K327,Foundation_Calc!$K$79:$R$112,VLOOKUP(AW327,Foundation_Calc!$I$2:$J$8,2,FALSE),0),
IF(AX327="K",VLOOKUP(K327,Foundation_Calc!$K$116:$R$149,VLOOKUP(AW327,Foundation_Calc!$I$2:$J$8,2,FALSE),0),"")))</f>
        <v/>
      </c>
      <c r="BA327" s="553" t="str">
        <f t="shared" si="22"/>
        <v/>
      </c>
      <c r="BB327" s="553" t="str">
        <f t="shared" si="22"/>
        <v/>
      </c>
      <c r="BC327" s="553" t="str">
        <f t="shared" si="21"/>
        <v/>
      </c>
      <c r="BD327" s="572"/>
      <c r="BE327" s="448" t="s">
        <v>1726</v>
      </c>
      <c r="BF327" s="305"/>
      <c r="BG327" s="305"/>
      <c r="BH327" s="306"/>
      <c r="BI327" s="305"/>
    </row>
    <row r="328" spans="1:61" ht="16.2" customHeight="1">
      <c r="A328" s="624" t="s">
        <v>383</v>
      </c>
      <c r="B328" s="469" t="s">
        <v>2070</v>
      </c>
      <c r="C328" s="3">
        <f>+$C$326+$G$327</f>
        <v>6686.7500000000009</v>
      </c>
      <c r="D328" s="88"/>
      <c r="E328" s="4"/>
      <c r="F328" s="4">
        <v>-480.58</v>
      </c>
      <c r="G328" s="6"/>
      <c r="H328" s="468"/>
      <c r="I328" s="468"/>
      <c r="J328" s="3"/>
      <c r="K328" s="468"/>
      <c r="L328" s="468"/>
      <c r="M328" s="468" t="str">
        <f>IF(L328="","",
IF(AX328="PT",VLOOKUP(L328,Foundation_Calc!$V$79:$X$112,VLOOKUP(AX328,Foundation_Calc!$I$10:$J$13,2,FALSE),0),
IF(AX328="K",VLOOKUP(L328,Foundation_Calc!$V$116:$X$149,VLOOKUP(AX328,Foundation_Calc!$I$10:$J$13,2,FALSE),0),"")))</f>
        <v/>
      </c>
      <c r="N328" s="468" t="s">
        <v>192</v>
      </c>
      <c r="O328" s="468"/>
      <c r="P328" s="468"/>
      <c r="Q328" s="4"/>
      <c r="R328" s="6"/>
      <c r="S328" s="6"/>
      <c r="T328" s="4">
        <v>25</v>
      </c>
      <c r="U328" s="4"/>
      <c r="V328" s="4"/>
      <c r="W328" s="9">
        <v>1</v>
      </c>
      <c r="X328" s="9"/>
      <c r="Y328" s="9"/>
      <c r="Z328" s="9"/>
      <c r="AA328" s="9"/>
      <c r="AB328" s="9"/>
      <c r="AC328" s="468" t="s">
        <v>1341</v>
      </c>
      <c r="AD328" s="468"/>
      <c r="AE328" s="468"/>
      <c r="AF328" s="4"/>
      <c r="AG328" s="88"/>
      <c r="AH328" s="4"/>
      <c r="AI328" s="4"/>
      <c r="AJ328" s="468"/>
      <c r="AK328" s="468" t="s">
        <v>41</v>
      </c>
      <c r="AL328" s="468"/>
      <c r="AM328" s="468" t="s">
        <v>2458</v>
      </c>
      <c r="AN328" s="10">
        <v>5.15</v>
      </c>
      <c r="AO328" s="9"/>
      <c r="AP328" s="9"/>
      <c r="AQ328" s="9"/>
      <c r="AR328" s="9"/>
      <c r="AS328" s="9"/>
      <c r="AT328" s="9"/>
      <c r="AU328" s="447"/>
      <c r="AV328" s="447"/>
      <c r="AW328" s="468" t="s">
        <v>199</v>
      </c>
      <c r="AX328" s="468" t="s">
        <v>199</v>
      </c>
      <c r="AY328" s="10" t="str">
        <f>IF(L328="","",
IF(AX328="PT",VLOOKUP(L328,Foundation_Calc!$K$79:$R$112,VLOOKUP(AW328,Foundation_Calc!$I$2:$J$8,2,FALSE),0),
IF(AX328="K",VLOOKUP(L328,Foundation_Calc!$K$116:$R$149,VLOOKUP(AW328,Foundation_Calc!$I$2:$J$8,2,FALSE),0),"")))</f>
        <v/>
      </c>
      <c r="AZ328" s="10" t="str">
        <f>IF(K328="","",
IF(AX328="PT",VLOOKUP(K328,Foundation_Calc!$K$79:$R$112,VLOOKUP(AW328,Foundation_Calc!$I$2:$J$8,2,FALSE),0),
IF(AX328="K",VLOOKUP(K328,Foundation_Calc!$K$116:$R$149,VLOOKUP(AW328,Foundation_Calc!$I$2:$J$8,2,FALSE),0),"")))</f>
        <v/>
      </c>
      <c r="BA328" s="553" t="str">
        <f t="shared" si="22"/>
        <v/>
      </c>
      <c r="BB328" s="553" t="str">
        <f t="shared" si="22"/>
        <v/>
      </c>
      <c r="BC328" s="553" t="str">
        <f t="shared" si="21"/>
        <v/>
      </c>
      <c r="BD328" s="572"/>
      <c r="BE328" s="448" t="s">
        <v>1726</v>
      </c>
      <c r="BF328" s="306"/>
      <c r="BG328" s="306"/>
      <c r="BH328" s="306"/>
      <c r="BI328" s="306"/>
    </row>
    <row r="329" spans="1:61" ht="16.2" customHeight="1">
      <c r="A329" s="624" t="s">
        <v>383</v>
      </c>
      <c r="B329" s="469"/>
      <c r="C329" s="3"/>
      <c r="D329" s="88"/>
      <c r="E329" s="4"/>
      <c r="F329" s="4"/>
      <c r="G329" s="6">
        <v>30</v>
      </c>
      <c r="H329" s="468"/>
      <c r="I329" s="468"/>
      <c r="J329" s="3"/>
      <c r="K329" s="468"/>
      <c r="L329" s="468"/>
      <c r="M329" s="468" t="str">
        <f>IF(L329="","",
IF(AX329="PT",VLOOKUP(L329,Foundation_Calc!$V$79:$X$112,VLOOKUP(AX329,Foundation_Calc!$I$10:$J$13,2,FALSE),0),
IF(AX329="K",VLOOKUP(L329,Foundation_Calc!$V$116:$X$149,VLOOKUP(AX329,Foundation_Calc!$I$10:$J$13,2,FALSE),0),"")))</f>
        <v/>
      </c>
      <c r="N329" s="468"/>
      <c r="O329" s="468"/>
      <c r="P329" s="468"/>
      <c r="Q329" s="4"/>
      <c r="R329" s="6"/>
      <c r="S329" s="6"/>
      <c r="T329" s="4"/>
      <c r="U329" s="4"/>
      <c r="V329" s="4"/>
      <c r="W329" s="9"/>
      <c r="X329" s="9"/>
      <c r="Y329" s="9"/>
      <c r="Z329" s="9"/>
      <c r="AA329" s="9"/>
      <c r="AB329" s="9"/>
      <c r="AC329" s="468" t="s">
        <v>195</v>
      </c>
      <c r="AD329" s="468"/>
      <c r="AE329" s="468"/>
      <c r="AF329" s="4"/>
      <c r="AG329" s="88"/>
      <c r="AH329" s="4"/>
      <c r="AI329" s="4"/>
      <c r="AJ329" s="468"/>
      <c r="AK329" s="468"/>
      <c r="AL329" s="468"/>
      <c r="AM329" s="468"/>
      <c r="AN329" s="10"/>
      <c r="AO329" s="9"/>
      <c r="AP329" s="9"/>
      <c r="AQ329" s="9"/>
      <c r="AR329" s="9"/>
      <c r="AS329" s="9"/>
      <c r="AT329" s="9"/>
      <c r="AU329" s="447"/>
      <c r="AV329" s="447"/>
      <c r="AW329" s="468"/>
      <c r="AX329" s="468"/>
      <c r="AY329" s="10" t="str">
        <f>IF(L329="","",
IF(AX329="PT",VLOOKUP(L329,Foundation_Calc!$K$79:$R$112,VLOOKUP(AW329,Foundation_Calc!$I$2:$J$8,2,FALSE),0),
IF(AX329="K",VLOOKUP(L329,Foundation_Calc!$K$116:$R$149,VLOOKUP(AW329,Foundation_Calc!$I$2:$J$8,2,FALSE),0),"")))</f>
        <v/>
      </c>
      <c r="AZ329" s="10" t="str">
        <f>IF(K329="","",
IF(AX329="PT",VLOOKUP(K329,Foundation_Calc!$K$79:$R$112,VLOOKUP(AW329,Foundation_Calc!$I$2:$J$8,2,FALSE),0),
IF(AX329="K",VLOOKUP(K329,Foundation_Calc!$K$116:$R$149,VLOOKUP(AW329,Foundation_Calc!$I$2:$J$8,2,FALSE),0),"")))</f>
        <v/>
      </c>
      <c r="BA329" s="553" t="str">
        <f t="shared" si="22"/>
        <v/>
      </c>
      <c r="BB329" s="553" t="str">
        <f t="shared" si="22"/>
        <v/>
      </c>
      <c r="BC329" s="553" t="str">
        <f t="shared" si="21"/>
        <v/>
      </c>
      <c r="BD329" s="572"/>
      <c r="BE329" s="448" t="s">
        <v>1726</v>
      </c>
      <c r="BF329" s="305"/>
      <c r="BG329" s="305"/>
      <c r="BH329" s="306"/>
      <c r="BI329" s="305"/>
    </row>
    <row r="330" spans="1:61" ht="16.2" customHeight="1">
      <c r="A330" s="624" t="s">
        <v>383</v>
      </c>
      <c r="B330" s="469" t="s">
        <v>2071</v>
      </c>
      <c r="C330" s="3">
        <f>+$C$328+$G$329</f>
        <v>6716.7500000000009</v>
      </c>
      <c r="D330" s="88"/>
      <c r="E330" s="4"/>
      <c r="F330" s="4">
        <v>-480.58</v>
      </c>
      <c r="G330" s="6"/>
      <c r="H330" s="468" t="s">
        <v>26</v>
      </c>
      <c r="I330" s="468" t="s">
        <v>1155</v>
      </c>
      <c r="J330" s="3">
        <f>C330+10</f>
        <v>6726.7500000000009</v>
      </c>
      <c r="K330" s="468" t="s">
        <v>447</v>
      </c>
      <c r="L330" s="468"/>
      <c r="M330" s="468" t="str">
        <f>IF(L330="","",
IF(AX330="PT",VLOOKUP(L330,Foundation_Calc!$V$79:$X$112,VLOOKUP(AX330,Foundation_Calc!$I$10:$J$13,2,FALSE),0),
IF(AX330="K",VLOOKUP(L330,Foundation_Calc!$V$116:$X$149,VLOOKUP(AX330,Foundation_Calc!$I$10:$J$13,2,FALSE),0),"")))</f>
        <v/>
      </c>
      <c r="N330" s="468" t="s">
        <v>192</v>
      </c>
      <c r="O330" s="468"/>
      <c r="P330" s="468"/>
      <c r="Q330" s="4"/>
      <c r="R330" s="6"/>
      <c r="S330" s="6"/>
      <c r="T330" s="4">
        <v>25</v>
      </c>
      <c r="U330" s="4"/>
      <c r="V330" s="4"/>
      <c r="W330" s="9">
        <v>1</v>
      </c>
      <c r="X330" s="9"/>
      <c r="Y330" s="9"/>
      <c r="Z330" s="9"/>
      <c r="AA330" s="9"/>
      <c r="AB330" s="9"/>
      <c r="AC330" s="468" t="s">
        <v>1341</v>
      </c>
      <c r="AD330" s="468"/>
      <c r="AE330" s="468"/>
      <c r="AF330" s="4"/>
      <c r="AG330" s="88"/>
      <c r="AH330" s="4"/>
      <c r="AI330" s="4"/>
      <c r="AJ330" s="468"/>
      <c r="AK330" s="468" t="s">
        <v>41</v>
      </c>
      <c r="AL330" s="468"/>
      <c r="AM330" s="468" t="s">
        <v>2458</v>
      </c>
      <c r="AN330" s="10">
        <v>5.15</v>
      </c>
      <c r="AO330" s="9"/>
      <c r="AP330" s="9"/>
      <c r="AQ330" s="9"/>
      <c r="AR330" s="9"/>
      <c r="AS330" s="9"/>
      <c r="AT330" s="9"/>
      <c r="AU330" s="447"/>
      <c r="AV330" s="447"/>
      <c r="AW330" s="468" t="s">
        <v>199</v>
      </c>
      <c r="AX330" s="468" t="s">
        <v>199</v>
      </c>
      <c r="AY330" s="10" t="str">
        <f>IF(L330="","",
IF(AX330="PT",VLOOKUP(L330,Foundation_Calc!$K$79:$R$112,VLOOKUP(AW330,Foundation_Calc!$I$2:$J$8,2,FALSE),0),
IF(AX330="K",VLOOKUP(L330,Foundation_Calc!$K$116:$R$149,VLOOKUP(AW330,Foundation_Calc!$I$2:$J$8,2,FALSE),0),"")))</f>
        <v/>
      </c>
      <c r="AZ330" s="10" t="str">
        <f>IF(K330="","",
IF(AX330="PT",VLOOKUP(K330,Foundation_Calc!$K$79:$R$112,VLOOKUP(AW330,Foundation_Calc!$I$2:$J$8,2,FALSE),0),
IF(AX330="K",VLOOKUP(K330,Foundation_Calc!$K$116:$R$149,VLOOKUP(AW330,Foundation_Calc!$I$2:$J$8,2,FALSE),0),"")))</f>
        <v/>
      </c>
      <c r="BA330" s="553" t="str">
        <f t="shared" si="22"/>
        <v/>
      </c>
      <c r="BB330" s="553" t="str">
        <f t="shared" si="22"/>
        <v/>
      </c>
      <c r="BC330" s="553" t="str">
        <f t="shared" si="21"/>
        <v/>
      </c>
      <c r="BD330" s="572"/>
      <c r="BE330" s="448" t="s">
        <v>1726</v>
      </c>
      <c r="BF330" s="306"/>
      <c r="BG330" s="306"/>
      <c r="BH330" s="306"/>
      <c r="BI330" s="306"/>
    </row>
    <row r="331" spans="1:61" ht="16.2" customHeight="1">
      <c r="A331" s="624" t="s">
        <v>383</v>
      </c>
      <c r="B331" s="469"/>
      <c r="C331" s="3"/>
      <c r="D331" s="88"/>
      <c r="E331" s="4"/>
      <c r="F331" s="4"/>
      <c r="G331" s="6">
        <v>30</v>
      </c>
      <c r="H331" s="468"/>
      <c r="I331" s="468"/>
      <c r="J331" s="3"/>
      <c r="K331" s="468"/>
      <c r="L331" s="468"/>
      <c r="M331" s="468" t="str">
        <f>IF(L331="","",
IF(AX331="PT",VLOOKUP(L331,Foundation_Calc!$V$79:$X$112,VLOOKUP(AX331,Foundation_Calc!$I$10:$J$13,2,FALSE),0),
IF(AX331="K",VLOOKUP(L331,Foundation_Calc!$V$116:$X$149,VLOOKUP(AX331,Foundation_Calc!$I$10:$J$13,2,FALSE),0),"")))</f>
        <v/>
      </c>
      <c r="N331" s="468"/>
      <c r="O331" s="468"/>
      <c r="P331" s="468"/>
      <c r="Q331" s="4"/>
      <c r="R331" s="6"/>
      <c r="S331" s="6"/>
      <c r="T331" s="4"/>
      <c r="U331" s="4"/>
      <c r="V331" s="4"/>
      <c r="W331" s="9"/>
      <c r="X331" s="9"/>
      <c r="Y331" s="9"/>
      <c r="Z331" s="9"/>
      <c r="AA331" s="9"/>
      <c r="AB331" s="9"/>
      <c r="AC331" s="468" t="s">
        <v>195</v>
      </c>
      <c r="AD331" s="468"/>
      <c r="AE331" s="468"/>
      <c r="AF331" s="4"/>
      <c r="AG331" s="88"/>
      <c r="AH331" s="4"/>
      <c r="AI331" s="4"/>
      <c r="AJ331" s="468"/>
      <c r="AK331" s="468"/>
      <c r="AL331" s="468"/>
      <c r="AM331" s="468"/>
      <c r="AN331" s="10"/>
      <c r="AO331" s="9"/>
      <c r="AP331" s="9"/>
      <c r="AQ331" s="9"/>
      <c r="AR331" s="9"/>
      <c r="AS331" s="9"/>
      <c r="AT331" s="9"/>
      <c r="AU331" s="447"/>
      <c r="AV331" s="447"/>
      <c r="AW331" s="468"/>
      <c r="AX331" s="468"/>
      <c r="AY331" s="10" t="str">
        <f>IF(L331="","",
IF(AX331="PT",VLOOKUP(L331,Foundation_Calc!$K$79:$R$112,VLOOKUP(AW331,Foundation_Calc!$I$2:$J$8,2,FALSE),0),
IF(AX331="K",VLOOKUP(L331,Foundation_Calc!$K$116:$R$149,VLOOKUP(AW331,Foundation_Calc!$I$2:$J$8,2,FALSE),0),"")))</f>
        <v/>
      </c>
      <c r="AZ331" s="10" t="str">
        <f>IF(K331="","",
IF(AX331="PT",VLOOKUP(K331,Foundation_Calc!$K$79:$R$112,VLOOKUP(AW331,Foundation_Calc!$I$2:$J$8,2,FALSE),0),
IF(AX331="K",VLOOKUP(K331,Foundation_Calc!$K$116:$R$149,VLOOKUP(AW331,Foundation_Calc!$I$2:$J$8,2,FALSE),0),"")))</f>
        <v/>
      </c>
      <c r="BA331" s="553" t="str">
        <f t="shared" si="22"/>
        <v/>
      </c>
      <c r="BB331" s="553" t="str">
        <f t="shared" si="22"/>
        <v/>
      </c>
      <c r="BC331" s="553" t="str">
        <f t="shared" ref="BC331:BC394" si="24">IF(M331="","",IF(M331="U.S.","ü",IF(M331="U.S. N.D.","ü","")))</f>
        <v/>
      </c>
      <c r="BD331" s="572"/>
      <c r="BE331" s="448" t="s">
        <v>1726</v>
      </c>
      <c r="BF331" s="305"/>
      <c r="BG331" s="305"/>
      <c r="BH331" s="306"/>
      <c r="BI331" s="305"/>
    </row>
    <row r="332" spans="1:61" ht="16.2" customHeight="1">
      <c r="A332" s="624" t="s">
        <v>383</v>
      </c>
      <c r="B332" s="469" t="s">
        <v>2072</v>
      </c>
      <c r="C332" s="3">
        <f>+$C$330+$G$331</f>
        <v>6746.7500000000009</v>
      </c>
      <c r="D332" s="88"/>
      <c r="E332" s="4"/>
      <c r="F332" s="4">
        <v>-480.58</v>
      </c>
      <c r="G332" s="6"/>
      <c r="H332" s="647" t="s">
        <v>179</v>
      </c>
      <c r="I332" s="468"/>
      <c r="J332" s="3"/>
      <c r="K332" s="468"/>
      <c r="L332" s="468"/>
      <c r="M332" s="468" t="str">
        <f>IF(L332="","",
IF(AX332="PT",VLOOKUP(L332,Foundation_Calc!$V$79:$X$112,VLOOKUP(AX332,Foundation_Calc!$I$10:$J$13,2,FALSE),0),
IF(AX332="K",VLOOKUP(L332,Foundation_Calc!$V$116:$X$149,VLOOKUP(AX332,Foundation_Calc!$I$10:$J$13,2,FALSE),0),"")))</f>
        <v/>
      </c>
      <c r="N332" s="620" t="s">
        <v>193</v>
      </c>
      <c r="O332" s="620" t="s">
        <v>192</v>
      </c>
      <c r="P332" s="468"/>
      <c r="Q332" s="4"/>
      <c r="R332" s="6"/>
      <c r="S332" s="6"/>
      <c r="T332" s="4">
        <v>50</v>
      </c>
      <c r="U332" s="4">
        <v>30</v>
      </c>
      <c r="V332" s="4"/>
      <c r="W332" s="621">
        <v>0.8</v>
      </c>
      <c r="X332" s="621">
        <v>1</v>
      </c>
      <c r="Y332" s="9"/>
      <c r="Z332" s="9">
        <v>0.3</v>
      </c>
      <c r="AA332" s="9"/>
      <c r="AB332" s="9"/>
      <c r="AC332" s="468"/>
      <c r="AD332" s="620" t="s">
        <v>1078</v>
      </c>
      <c r="AE332" s="468"/>
      <c r="AF332" s="4"/>
      <c r="AG332" s="88"/>
      <c r="AH332" s="4"/>
      <c r="AI332" s="4"/>
      <c r="AJ332" s="468"/>
      <c r="AK332" s="620" t="s">
        <v>42</v>
      </c>
      <c r="AL332" s="468"/>
      <c r="AM332" s="468" t="s">
        <v>2458</v>
      </c>
      <c r="AN332" s="10">
        <v>5.15</v>
      </c>
      <c r="AO332" s="9"/>
      <c r="AP332" s="9"/>
      <c r="AQ332" s="9"/>
      <c r="AR332" s="9"/>
      <c r="AS332" s="9"/>
      <c r="AT332" s="9"/>
      <c r="AU332" s="447"/>
      <c r="AV332" s="447"/>
      <c r="AW332" s="468" t="s">
        <v>199</v>
      </c>
      <c r="AX332" s="468" t="s">
        <v>199</v>
      </c>
      <c r="AY332" s="10" t="str">
        <f>IF(L332="","",
IF(AX332="PT",VLOOKUP(L332,Foundation_Calc!$K$79:$R$112,VLOOKUP(AW332,Foundation_Calc!$I$2:$J$8,2,FALSE),0),
IF(AX332="K",VLOOKUP(L332,Foundation_Calc!$K$116:$R$149,VLOOKUP(AW332,Foundation_Calc!$I$2:$J$8,2,FALSE),0),"")))</f>
        <v/>
      </c>
      <c r="AZ332" s="10" t="str">
        <f>IF(K332="","",
IF(AX332="PT",VLOOKUP(K332,Foundation_Calc!$K$79:$R$112,VLOOKUP(AW332,Foundation_Calc!$I$2:$J$8,2,FALSE),0),
IF(AX332="K",VLOOKUP(K332,Foundation_Calc!$K$116:$R$149,VLOOKUP(AW332,Foundation_Calc!$I$2:$J$8,2,FALSE),0),"")))</f>
        <v/>
      </c>
      <c r="BA332" s="553" t="str">
        <f t="shared" si="22"/>
        <v/>
      </c>
      <c r="BB332" s="553" t="str">
        <f t="shared" si="22"/>
        <v/>
      </c>
      <c r="BC332" s="553" t="str">
        <f t="shared" si="24"/>
        <v/>
      </c>
      <c r="BD332" s="572"/>
      <c r="BE332" s="448" t="s">
        <v>1726</v>
      </c>
      <c r="BF332" s="306"/>
      <c r="BG332" s="306"/>
      <c r="BH332" s="306"/>
      <c r="BI332" s="306"/>
    </row>
    <row r="333" spans="1:61" ht="16.2" customHeight="1">
      <c r="A333" s="624" t="s">
        <v>383</v>
      </c>
      <c r="B333" s="469"/>
      <c r="C333" s="3"/>
      <c r="D333" s="88"/>
      <c r="E333" s="4"/>
      <c r="F333" s="4"/>
      <c r="G333" s="6">
        <v>30</v>
      </c>
      <c r="H333" s="468"/>
      <c r="I333" s="468"/>
      <c r="J333" s="3"/>
      <c r="K333" s="468"/>
      <c r="L333" s="468"/>
      <c r="M333" s="468" t="str">
        <f>IF(L333="","",
IF(AX333="PT",VLOOKUP(L333,Foundation_Calc!$V$79:$X$112,VLOOKUP(AX333,Foundation_Calc!$I$10:$J$13,2,FALSE),0),
IF(AX333="K",VLOOKUP(L333,Foundation_Calc!$V$116:$X$149,VLOOKUP(AX333,Foundation_Calc!$I$10:$J$13,2,FALSE),0),"")))</f>
        <v/>
      </c>
      <c r="N333" s="468"/>
      <c r="O333" s="468"/>
      <c r="P333" s="468"/>
      <c r="Q333" s="4"/>
      <c r="R333" s="6"/>
      <c r="S333" s="6"/>
      <c r="T333" s="4"/>
      <c r="U333" s="4"/>
      <c r="V333" s="4"/>
      <c r="W333" s="9"/>
      <c r="X333" s="9"/>
      <c r="Y333" s="9"/>
      <c r="Z333" s="9"/>
      <c r="AA333" s="9"/>
      <c r="AB333" s="9"/>
      <c r="AC333" s="468" t="s">
        <v>195</v>
      </c>
      <c r="AD333" s="468"/>
      <c r="AE333" s="468"/>
      <c r="AF333" s="4"/>
      <c r="AG333" s="88"/>
      <c r="AH333" s="4"/>
      <c r="AI333" s="4"/>
      <c r="AJ333" s="468"/>
      <c r="AK333" s="468"/>
      <c r="AL333" s="468"/>
      <c r="AM333" s="468"/>
      <c r="AN333" s="10"/>
      <c r="AO333" s="9"/>
      <c r="AP333" s="9"/>
      <c r="AQ333" s="9"/>
      <c r="AR333" s="9"/>
      <c r="AS333" s="9"/>
      <c r="AT333" s="9"/>
      <c r="AU333" s="447"/>
      <c r="AV333" s="447"/>
      <c r="AW333" s="468"/>
      <c r="AX333" s="468"/>
      <c r="AY333" s="10" t="str">
        <f>IF(L333="","",
IF(AX333="PT",VLOOKUP(L333,Foundation_Calc!$K$79:$R$112,VLOOKUP(AW333,Foundation_Calc!$I$2:$J$8,2,FALSE),0),
IF(AX333="K",VLOOKUP(L333,Foundation_Calc!$K$116:$R$149,VLOOKUP(AW333,Foundation_Calc!$I$2:$J$8,2,FALSE),0),"")))</f>
        <v/>
      </c>
      <c r="AZ333" s="10" t="str">
        <f>IF(K333="","",
IF(AX333="PT",VLOOKUP(K333,Foundation_Calc!$K$79:$R$112,VLOOKUP(AW333,Foundation_Calc!$I$2:$J$8,2,FALSE),0),
IF(AX333="K",VLOOKUP(K333,Foundation_Calc!$K$116:$R$149,VLOOKUP(AW333,Foundation_Calc!$I$2:$J$8,2,FALSE),0),"")))</f>
        <v/>
      </c>
      <c r="BA333" s="553" t="str">
        <f t="shared" si="22"/>
        <v/>
      </c>
      <c r="BB333" s="553" t="str">
        <f t="shared" si="22"/>
        <v/>
      </c>
      <c r="BC333" s="553" t="str">
        <f t="shared" si="24"/>
        <v/>
      </c>
      <c r="BD333" s="572"/>
      <c r="BE333" s="448" t="s">
        <v>1726</v>
      </c>
      <c r="BF333" s="305"/>
      <c r="BG333" s="305"/>
      <c r="BH333" s="306"/>
      <c r="BI333" s="305"/>
    </row>
    <row r="334" spans="1:61" ht="16.2" customHeight="1">
      <c r="A334" s="614" t="s">
        <v>2381</v>
      </c>
      <c r="B334" s="615" t="s">
        <v>2073</v>
      </c>
      <c r="C334" s="616">
        <f>+$C$332+$G$333</f>
        <v>6776.7500000000009</v>
      </c>
      <c r="D334" s="617"/>
      <c r="E334" s="618"/>
      <c r="F334" s="618">
        <v>-404.7</v>
      </c>
      <c r="G334" s="619"/>
      <c r="H334" s="620" t="s">
        <v>179</v>
      </c>
      <c r="I334" s="620" t="s">
        <v>653</v>
      </c>
      <c r="J334" s="616"/>
      <c r="K334" s="620"/>
      <c r="L334" s="620"/>
      <c r="M334" s="620" t="str">
        <f>IF(L334="","",
IF(AX334="PT",VLOOKUP(L334,Foundation_Calc!$V$79:$X$112,VLOOKUP(AX334,Foundation_Calc!$I$10:$J$13,2,FALSE),0),
IF(AX334="K",VLOOKUP(L334,Foundation_Calc!$V$116:$X$149,VLOOKUP(AX334,Foundation_Calc!$I$10:$J$13,2,FALSE),0),"")))</f>
        <v/>
      </c>
      <c r="N334" s="620" t="s">
        <v>193</v>
      </c>
      <c r="O334" s="620" t="s">
        <v>192</v>
      </c>
      <c r="P334" s="620"/>
      <c r="Q334" s="618"/>
      <c r="R334" s="619"/>
      <c r="S334" s="619"/>
      <c r="T334" s="618">
        <v>30</v>
      </c>
      <c r="U334" s="618">
        <v>-15</v>
      </c>
      <c r="V334" s="618"/>
      <c r="W334" s="621">
        <v>0.8</v>
      </c>
      <c r="X334" s="621">
        <v>1</v>
      </c>
      <c r="Y334" s="621"/>
      <c r="Z334" s="621">
        <v>0.3</v>
      </c>
      <c r="AA334" s="621"/>
      <c r="AB334" s="621"/>
      <c r="AC334" s="620"/>
      <c r="AD334" s="620" t="s">
        <v>1078</v>
      </c>
      <c r="AE334" s="620"/>
      <c r="AF334" s="618"/>
      <c r="AG334" s="617"/>
      <c r="AH334" s="618"/>
      <c r="AI334" s="618"/>
      <c r="AJ334" s="620" t="s">
        <v>1162</v>
      </c>
      <c r="AK334" s="620" t="s">
        <v>42</v>
      </c>
      <c r="AL334" s="620"/>
      <c r="AM334" s="620" t="s">
        <v>2458</v>
      </c>
      <c r="AN334" s="622">
        <v>5.15</v>
      </c>
      <c r="AO334" s="621"/>
      <c r="AP334" s="621"/>
      <c r="AQ334" s="621"/>
      <c r="AR334" s="621"/>
      <c r="AS334" s="621"/>
      <c r="AT334" s="621"/>
      <c r="AU334" s="623"/>
      <c r="AV334" s="623"/>
      <c r="AW334" s="620" t="s">
        <v>199</v>
      </c>
      <c r="AX334" s="620" t="s">
        <v>199</v>
      </c>
      <c r="AY334" s="622" t="str">
        <f>IF(L334="","",
IF(AX334="PT",VLOOKUP(L334,Foundation_Calc!$K$79:$R$112,VLOOKUP(AW334,Foundation_Calc!$I$2:$J$8,2,FALSE),0),
IF(AX334="K",VLOOKUP(L334,Foundation_Calc!$K$116:$R$149,VLOOKUP(AW334,Foundation_Calc!$I$2:$J$8,2,FALSE),0),"")))</f>
        <v/>
      </c>
      <c r="AZ334" s="622" t="str">
        <f>IF(K334="","",
IF(AX334="PT",VLOOKUP(K334,Foundation_Calc!$K$79:$R$112,VLOOKUP(AW334,Foundation_Calc!$I$2:$J$8,2,FALSE),0),
IF(AX334="K",VLOOKUP(K334,Foundation_Calc!$K$116:$R$149,VLOOKUP(AW334,Foundation_Calc!$I$2:$J$8,2,FALSE),0),"")))</f>
        <v/>
      </c>
      <c r="BA334" s="556" t="str">
        <f t="shared" ref="BA334:BB397" si="25">IF(AY334="","",IF(AY334&gt;0,"ü",""))</f>
        <v/>
      </c>
      <c r="BB334" s="556" t="str">
        <f t="shared" si="25"/>
        <v/>
      </c>
      <c r="BC334" s="556" t="str">
        <f t="shared" si="24"/>
        <v/>
      </c>
      <c r="BD334" s="572"/>
      <c r="BE334" s="448" t="s">
        <v>1726</v>
      </c>
      <c r="BF334" s="306"/>
      <c r="BG334" s="306"/>
      <c r="BH334" s="306"/>
      <c r="BI334" s="306"/>
    </row>
    <row r="335" spans="1:61" ht="16.2" customHeight="1">
      <c r="A335" s="624" t="s">
        <v>383</v>
      </c>
      <c r="B335" s="469"/>
      <c r="C335" s="3"/>
      <c r="D335" s="88"/>
      <c r="E335" s="4"/>
      <c r="F335" s="4"/>
      <c r="G335" s="6">
        <v>30</v>
      </c>
      <c r="H335" s="468"/>
      <c r="I335" s="468"/>
      <c r="J335" s="3"/>
      <c r="K335" s="468"/>
      <c r="L335" s="468"/>
      <c r="M335" s="468" t="str">
        <f>IF(L335="","",
IF(AX335="PT",VLOOKUP(L335,Foundation_Calc!$V$79:$X$112,VLOOKUP(AX335,Foundation_Calc!$I$10:$J$13,2,FALSE),0),
IF(AX335="K",VLOOKUP(L335,Foundation_Calc!$V$116:$X$149,VLOOKUP(AX335,Foundation_Calc!$I$10:$J$13,2,FALSE),0),"")))</f>
        <v/>
      </c>
      <c r="N335" s="468"/>
      <c r="O335" s="468"/>
      <c r="P335" s="468"/>
      <c r="Q335" s="4"/>
      <c r="R335" s="6"/>
      <c r="S335" s="6"/>
      <c r="T335" s="4"/>
      <c r="U335" s="4"/>
      <c r="V335" s="4"/>
      <c r="W335" s="9"/>
      <c r="X335" s="9"/>
      <c r="Y335" s="9"/>
      <c r="Z335" s="9"/>
      <c r="AA335" s="9"/>
      <c r="AB335" s="9"/>
      <c r="AC335" s="468" t="s">
        <v>195</v>
      </c>
      <c r="AD335" s="468"/>
      <c r="AE335" s="468"/>
      <c r="AF335" s="4"/>
      <c r="AG335" s="88"/>
      <c r="AH335" s="4"/>
      <c r="AI335" s="4"/>
      <c r="AJ335" s="468"/>
      <c r="AK335" s="468"/>
      <c r="AL335" s="468"/>
      <c r="AM335" s="468"/>
      <c r="AN335" s="10"/>
      <c r="AO335" s="9"/>
      <c r="AP335" s="9"/>
      <c r="AQ335" s="9"/>
      <c r="AR335" s="9"/>
      <c r="AS335" s="9"/>
      <c r="AT335" s="9"/>
      <c r="AU335" s="447"/>
      <c r="AV335" s="447"/>
      <c r="AW335" s="468"/>
      <c r="AX335" s="468"/>
      <c r="AY335" s="10" t="str">
        <f>IF(L335="","",
IF(AX335="PT",VLOOKUP(L335,Foundation_Calc!$K$79:$R$112,VLOOKUP(AW335,Foundation_Calc!$I$2:$J$8,2,FALSE),0),
IF(AX335="K",VLOOKUP(L335,Foundation_Calc!$K$116:$R$149,VLOOKUP(AW335,Foundation_Calc!$I$2:$J$8,2,FALSE),0),"")))</f>
        <v/>
      </c>
      <c r="AZ335" s="10" t="str">
        <f>IF(K335="","",
IF(AX335="PT",VLOOKUP(K335,Foundation_Calc!$K$79:$R$112,VLOOKUP(AW335,Foundation_Calc!$I$2:$J$8,2,FALSE),0),
IF(AX335="K",VLOOKUP(K335,Foundation_Calc!$K$116:$R$149,VLOOKUP(AW335,Foundation_Calc!$I$2:$J$8,2,FALSE),0),"")))</f>
        <v/>
      </c>
      <c r="BA335" s="553" t="str">
        <f t="shared" si="25"/>
        <v/>
      </c>
      <c r="BB335" s="553" t="str">
        <f t="shared" si="25"/>
        <v/>
      </c>
      <c r="BC335" s="553" t="str">
        <f t="shared" si="24"/>
        <v/>
      </c>
      <c r="BD335" s="572"/>
      <c r="BE335" s="448" t="s">
        <v>1726</v>
      </c>
      <c r="BF335" s="305"/>
      <c r="BG335" s="305"/>
      <c r="BH335" s="306"/>
      <c r="BI335" s="305"/>
    </row>
    <row r="336" spans="1:61" ht="16.2" customHeight="1">
      <c r="A336" s="624" t="s">
        <v>383</v>
      </c>
      <c r="B336" s="469" t="s">
        <v>2074</v>
      </c>
      <c r="C336" s="3">
        <f>+$C$334+$G$335</f>
        <v>6806.7500000000009</v>
      </c>
      <c r="D336" s="88"/>
      <c r="E336" s="4"/>
      <c r="F336" s="4">
        <v>-480.58</v>
      </c>
      <c r="G336" s="6"/>
      <c r="H336" s="468" t="s">
        <v>180</v>
      </c>
      <c r="I336" s="468"/>
      <c r="J336" s="3"/>
      <c r="K336" s="468"/>
      <c r="L336" s="468"/>
      <c r="M336" s="468" t="str">
        <f>IF(L336="","",
IF(AX336="PT",VLOOKUP(L336,Foundation_Calc!$V$79:$X$112,VLOOKUP(AX336,Foundation_Calc!$I$10:$J$13,2,FALSE),0),
IF(AX336="K",VLOOKUP(L336,Foundation_Calc!$V$116:$X$149,VLOOKUP(AX336,Foundation_Calc!$I$10:$J$13,2,FALSE),0),"")))</f>
        <v/>
      </c>
      <c r="N336" s="468" t="s">
        <v>192</v>
      </c>
      <c r="O336" s="468" t="s">
        <v>192</v>
      </c>
      <c r="P336" s="468"/>
      <c r="Q336" s="4"/>
      <c r="R336" s="6"/>
      <c r="S336" s="6"/>
      <c r="T336" s="618">
        <v>30</v>
      </c>
      <c r="U336" s="618">
        <v>-15</v>
      </c>
      <c r="V336" s="4"/>
      <c r="W336" s="621">
        <v>0.8</v>
      </c>
      <c r="X336" s="621">
        <v>1</v>
      </c>
      <c r="Y336" s="9"/>
      <c r="Z336" s="9">
        <v>0.15</v>
      </c>
      <c r="AA336" s="9"/>
      <c r="AB336" s="9"/>
      <c r="AC336" s="468" t="s">
        <v>1078</v>
      </c>
      <c r="AD336" s="468" t="s">
        <v>1078</v>
      </c>
      <c r="AE336" s="468"/>
      <c r="AF336" s="4"/>
      <c r="AG336" s="88"/>
      <c r="AH336" s="4"/>
      <c r="AI336" s="4"/>
      <c r="AJ336" s="468"/>
      <c r="AK336" s="468" t="s">
        <v>42</v>
      </c>
      <c r="AL336" s="468"/>
      <c r="AM336" s="468" t="s">
        <v>2458</v>
      </c>
      <c r="AN336" s="10">
        <v>5.15</v>
      </c>
      <c r="AO336" s="9"/>
      <c r="AP336" s="9"/>
      <c r="AQ336" s="9"/>
      <c r="AR336" s="9"/>
      <c r="AS336" s="9"/>
      <c r="AT336" s="9"/>
      <c r="AU336" s="447"/>
      <c r="AV336" s="447"/>
      <c r="AW336" s="468" t="s">
        <v>199</v>
      </c>
      <c r="AX336" s="468" t="s">
        <v>199</v>
      </c>
      <c r="AY336" s="10" t="str">
        <f>IF(L336="","",
IF(AX336="PT",VLOOKUP(L336,Foundation_Calc!$K$79:$R$112,VLOOKUP(AW336,Foundation_Calc!$I$2:$J$8,2,FALSE),0),
IF(AX336="K",VLOOKUP(L336,Foundation_Calc!$K$116:$R$149,VLOOKUP(AW336,Foundation_Calc!$I$2:$J$8,2,FALSE),0),"")))</f>
        <v/>
      </c>
      <c r="AZ336" s="10" t="str">
        <f>IF(K336="","",
IF(AX336="PT",VLOOKUP(K336,Foundation_Calc!$K$79:$R$112,VLOOKUP(AW336,Foundation_Calc!$I$2:$J$8,2,FALSE),0),
IF(AX336="K",VLOOKUP(K336,Foundation_Calc!$K$116:$R$149,VLOOKUP(AW336,Foundation_Calc!$I$2:$J$8,2,FALSE),0),"")))</f>
        <v/>
      </c>
      <c r="BA336" s="553" t="str">
        <f t="shared" si="25"/>
        <v/>
      </c>
      <c r="BB336" s="553" t="str">
        <f t="shared" si="25"/>
        <v/>
      </c>
      <c r="BC336" s="553" t="str">
        <f t="shared" si="24"/>
        <v/>
      </c>
      <c r="BD336" s="572"/>
      <c r="BE336" s="448" t="s">
        <v>1726</v>
      </c>
      <c r="BF336" s="306"/>
      <c r="BG336" s="306"/>
      <c r="BH336" s="306"/>
      <c r="BI336" s="306"/>
    </row>
    <row r="337" spans="1:61" ht="16.2" customHeight="1">
      <c r="A337" s="624" t="s">
        <v>383</v>
      </c>
      <c r="B337" s="469"/>
      <c r="C337" s="3"/>
      <c r="D337" s="88"/>
      <c r="E337" s="4"/>
      <c r="F337" s="4"/>
      <c r="G337" s="6">
        <v>30</v>
      </c>
      <c r="H337" s="468"/>
      <c r="I337" s="468"/>
      <c r="J337" s="3"/>
      <c r="K337" s="468"/>
      <c r="L337" s="468"/>
      <c r="M337" s="468" t="str">
        <f>IF(L337="","",
IF(AX337="PT",VLOOKUP(L337,Foundation_Calc!$V$79:$X$112,VLOOKUP(AX337,Foundation_Calc!$I$10:$J$13,2,FALSE),0),
IF(AX337="K",VLOOKUP(L337,Foundation_Calc!$V$116:$X$149,VLOOKUP(AX337,Foundation_Calc!$I$10:$J$13,2,FALSE),0),"")))</f>
        <v/>
      </c>
      <c r="N337" s="468"/>
      <c r="O337" s="468"/>
      <c r="P337" s="468"/>
      <c r="Q337" s="4"/>
      <c r="R337" s="6"/>
      <c r="S337" s="6"/>
      <c r="T337" s="4"/>
      <c r="U337" s="4"/>
      <c r="V337" s="4"/>
      <c r="W337" s="9"/>
      <c r="X337" s="9"/>
      <c r="Y337" s="9"/>
      <c r="Z337" s="9"/>
      <c r="AA337" s="9"/>
      <c r="AB337" s="9"/>
      <c r="AC337" s="468" t="s">
        <v>195</v>
      </c>
      <c r="AD337" s="468"/>
      <c r="AE337" s="468"/>
      <c r="AF337" s="4"/>
      <c r="AG337" s="88"/>
      <c r="AH337" s="4"/>
      <c r="AI337" s="4"/>
      <c r="AJ337" s="468"/>
      <c r="AK337" s="468"/>
      <c r="AL337" s="468"/>
      <c r="AM337" s="468"/>
      <c r="AN337" s="10"/>
      <c r="AO337" s="9"/>
      <c r="AP337" s="9"/>
      <c r="AQ337" s="9"/>
      <c r="AR337" s="9"/>
      <c r="AS337" s="9"/>
      <c r="AT337" s="9"/>
      <c r="AU337" s="447"/>
      <c r="AV337" s="447"/>
      <c r="AW337" s="468"/>
      <c r="AX337" s="468"/>
      <c r="AY337" s="10" t="str">
        <f>IF(L337="","",
IF(AX337="PT",VLOOKUP(L337,Foundation_Calc!$K$79:$R$112,VLOOKUP(AW337,Foundation_Calc!$I$2:$J$8,2,FALSE),0),
IF(AX337="K",VLOOKUP(L337,Foundation_Calc!$K$116:$R$149,VLOOKUP(AW337,Foundation_Calc!$I$2:$J$8,2,FALSE),0),"")))</f>
        <v/>
      </c>
      <c r="AZ337" s="10" t="str">
        <f>IF(K337="","",
IF(AX337="PT",VLOOKUP(K337,Foundation_Calc!$K$79:$R$112,VLOOKUP(AW337,Foundation_Calc!$I$2:$J$8,2,FALSE),0),
IF(AX337="K",VLOOKUP(K337,Foundation_Calc!$K$116:$R$149,VLOOKUP(AW337,Foundation_Calc!$I$2:$J$8,2,FALSE),0),"")))</f>
        <v/>
      </c>
      <c r="BA337" s="553" t="str">
        <f t="shared" si="25"/>
        <v/>
      </c>
      <c r="BB337" s="553" t="str">
        <f t="shared" si="25"/>
        <v/>
      </c>
      <c r="BC337" s="553" t="str">
        <f t="shared" si="24"/>
        <v/>
      </c>
      <c r="BD337" s="572"/>
      <c r="BE337" s="448" t="s">
        <v>1726</v>
      </c>
      <c r="BF337" s="305"/>
      <c r="BG337" s="305"/>
      <c r="BH337" s="306"/>
      <c r="BI337" s="305"/>
    </row>
    <row r="338" spans="1:61" ht="16.2" customHeight="1">
      <c r="A338" s="624" t="s">
        <v>383</v>
      </c>
      <c r="B338" s="469" t="s">
        <v>2075</v>
      </c>
      <c r="C338" s="3">
        <f>+$C$336+$G$337</f>
        <v>6836.7500000000009</v>
      </c>
      <c r="D338" s="88"/>
      <c r="E338" s="4"/>
      <c r="F338" s="4">
        <v>0</v>
      </c>
      <c r="G338" s="6"/>
      <c r="H338" s="468" t="s">
        <v>180</v>
      </c>
      <c r="I338" s="468"/>
      <c r="J338" s="3"/>
      <c r="K338" s="468"/>
      <c r="L338" s="468"/>
      <c r="M338" s="468" t="str">
        <f>IF(L338="","",
IF(AX338="PT",VLOOKUP(L338,Foundation_Calc!$V$79:$X$112,VLOOKUP(AX338,Foundation_Calc!$I$10:$J$13,2,FALSE),0),
IF(AX338="K",VLOOKUP(L338,Foundation_Calc!$V$116:$X$149,VLOOKUP(AX338,Foundation_Calc!$I$10:$J$13,2,FALSE),0),"")))</f>
        <v/>
      </c>
      <c r="N338" s="468" t="s">
        <v>191</v>
      </c>
      <c r="O338" s="468" t="s">
        <v>191</v>
      </c>
      <c r="P338" s="468"/>
      <c r="Q338" s="4"/>
      <c r="R338" s="6"/>
      <c r="S338" s="6"/>
      <c r="T338" s="618">
        <v>10</v>
      </c>
      <c r="U338" s="618">
        <v>-35</v>
      </c>
      <c r="V338" s="4"/>
      <c r="W338" s="621">
        <v>0.8</v>
      </c>
      <c r="X338" s="621">
        <v>1</v>
      </c>
      <c r="Y338" s="9"/>
      <c r="Z338" s="9"/>
      <c r="AA338" s="9">
        <v>0.15</v>
      </c>
      <c r="AB338" s="9"/>
      <c r="AC338" s="468" t="s">
        <v>2513</v>
      </c>
      <c r="AD338" s="468" t="s">
        <v>1078</v>
      </c>
      <c r="AE338" s="468"/>
      <c r="AF338" s="4"/>
      <c r="AG338" s="88"/>
      <c r="AH338" s="4"/>
      <c r="AI338" s="4"/>
      <c r="AJ338" s="468"/>
      <c r="AK338" s="468" t="s">
        <v>42</v>
      </c>
      <c r="AL338" s="468"/>
      <c r="AM338" s="468" t="s">
        <v>2458</v>
      </c>
      <c r="AN338" s="10">
        <v>5.15</v>
      </c>
      <c r="AO338" s="9"/>
      <c r="AP338" s="9"/>
      <c r="AQ338" s="9"/>
      <c r="AR338" s="9"/>
      <c r="AS338" s="9"/>
      <c r="AT338" s="9"/>
      <c r="AU338" s="447"/>
      <c r="AV338" s="447"/>
      <c r="AW338" s="468" t="s">
        <v>199</v>
      </c>
      <c r="AX338" s="468" t="s">
        <v>199</v>
      </c>
      <c r="AY338" s="10" t="str">
        <f>IF(L338="","",
IF(AX338="PT",VLOOKUP(L338,Foundation_Calc!$K$79:$R$112,VLOOKUP(AW338,Foundation_Calc!$I$2:$J$8,2,FALSE),0),
IF(AX338="K",VLOOKUP(L338,Foundation_Calc!$K$116:$R$149,VLOOKUP(AW338,Foundation_Calc!$I$2:$J$8,2,FALSE),0),"")))</f>
        <v/>
      </c>
      <c r="AZ338" s="10" t="str">
        <f>IF(K338="","",
IF(AX338="PT",VLOOKUP(K338,Foundation_Calc!$K$79:$R$112,VLOOKUP(AW338,Foundation_Calc!$I$2:$J$8,2,FALSE),0),
IF(AX338="K",VLOOKUP(K338,Foundation_Calc!$K$116:$R$149,VLOOKUP(AW338,Foundation_Calc!$I$2:$J$8,2,FALSE),0),"")))</f>
        <v/>
      </c>
      <c r="BA338" s="553" t="str">
        <f t="shared" si="25"/>
        <v/>
      </c>
      <c r="BB338" s="553" t="str">
        <f t="shared" si="25"/>
        <v/>
      </c>
      <c r="BC338" s="553" t="str">
        <f t="shared" si="24"/>
        <v/>
      </c>
      <c r="BD338" s="572"/>
      <c r="BE338" s="448" t="s">
        <v>1726</v>
      </c>
      <c r="BF338" s="306"/>
      <c r="BG338" s="306"/>
      <c r="BH338" s="306"/>
      <c r="BI338" s="306"/>
    </row>
    <row r="339" spans="1:61" ht="16.2" customHeight="1">
      <c r="A339" s="624" t="s">
        <v>383</v>
      </c>
      <c r="B339" s="469"/>
      <c r="C339" s="3"/>
      <c r="D339" s="88"/>
      <c r="E339" s="4"/>
      <c r="F339" s="4"/>
      <c r="G339" s="6">
        <v>30</v>
      </c>
      <c r="H339" s="468"/>
      <c r="I339" s="468"/>
      <c r="J339" s="3"/>
      <c r="K339" s="468"/>
      <c r="L339" s="468"/>
      <c r="M339" s="468" t="str">
        <f>IF(L339="","",
IF(AX339="PT",VLOOKUP(L339,Foundation_Calc!$V$79:$X$112,VLOOKUP(AX339,Foundation_Calc!$I$10:$J$13,2,FALSE),0),
IF(AX339="K",VLOOKUP(L339,Foundation_Calc!$V$116:$X$149,VLOOKUP(AX339,Foundation_Calc!$I$10:$J$13,2,FALSE),0),"")))</f>
        <v/>
      </c>
      <c r="N339" s="468"/>
      <c r="O339" s="468"/>
      <c r="P339" s="468"/>
      <c r="Q339" s="4"/>
      <c r="R339" s="6"/>
      <c r="S339" s="6"/>
      <c r="T339" s="4"/>
      <c r="U339" s="4"/>
      <c r="V339" s="4"/>
      <c r="W339" s="9"/>
      <c r="X339" s="9"/>
      <c r="Y339" s="9"/>
      <c r="Z339" s="9"/>
      <c r="AA339" s="9"/>
      <c r="AB339" s="9"/>
      <c r="AC339" s="468" t="s">
        <v>195</v>
      </c>
      <c r="AD339" s="468"/>
      <c r="AE339" s="468"/>
      <c r="AF339" s="4"/>
      <c r="AG339" s="88"/>
      <c r="AH339" s="4"/>
      <c r="AI339" s="4"/>
      <c r="AJ339" s="468"/>
      <c r="AK339" s="468"/>
      <c r="AL339" s="468"/>
      <c r="AM339" s="468"/>
      <c r="AN339" s="10"/>
      <c r="AO339" s="9"/>
      <c r="AP339" s="9"/>
      <c r="AQ339" s="9"/>
      <c r="AR339" s="9"/>
      <c r="AS339" s="9"/>
      <c r="AT339" s="9"/>
      <c r="AU339" s="447"/>
      <c r="AV339" s="447"/>
      <c r="AW339" s="468"/>
      <c r="AX339" s="468"/>
      <c r="AY339" s="10" t="str">
        <f>IF(L339="","",
IF(AX339="PT",VLOOKUP(L339,Foundation_Calc!$K$79:$R$112,VLOOKUP(AW339,Foundation_Calc!$I$2:$J$8,2,FALSE),0),
IF(AX339="K",VLOOKUP(L339,Foundation_Calc!$K$116:$R$149,VLOOKUP(AW339,Foundation_Calc!$I$2:$J$8,2,FALSE),0),"")))</f>
        <v/>
      </c>
      <c r="AZ339" s="10" t="str">
        <f>IF(K339="","",
IF(AX339="PT",VLOOKUP(K339,Foundation_Calc!$K$79:$R$112,VLOOKUP(AW339,Foundation_Calc!$I$2:$J$8,2,FALSE),0),
IF(AX339="K",VLOOKUP(K339,Foundation_Calc!$K$116:$R$149,VLOOKUP(AW339,Foundation_Calc!$I$2:$J$8,2,FALSE),0),"")))</f>
        <v/>
      </c>
      <c r="BA339" s="553" t="str">
        <f t="shared" si="25"/>
        <v/>
      </c>
      <c r="BB339" s="553" t="str">
        <f t="shared" si="25"/>
        <v/>
      </c>
      <c r="BC339" s="553" t="str">
        <f t="shared" si="24"/>
        <v/>
      </c>
      <c r="BD339" s="572"/>
      <c r="BE339" s="448" t="s">
        <v>1726</v>
      </c>
      <c r="BF339" s="305"/>
      <c r="BG339" s="305"/>
      <c r="BH339" s="306"/>
      <c r="BI339" s="305"/>
    </row>
    <row r="340" spans="1:61" ht="16.2" customHeight="1">
      <c r="A340" s="624" t="s">
        <v>383</v>
      </c>
      <c r="B340" s="469" t="s">
        <v>2076</v>
      </c>
      <c r="C340" s="3">
        <f>+$C$338+$G$339</f>
        <v>6866.7500000000009</v>
      </c>
      <c r="D340" s="88"/>
      <c r="E340" s="4"/>
      <c r="F340" s="4">
        <v>0</v>
      </c>
      <c r="G340" s="6"/>
      <c r="H340" s="468" t="s">
        <v>179</v>
      </c>
      <c r="I340" s="468"/>
      <c r="J340" s="3"/>
      <c r="K340" s="468"/>
      <c r="L340" s="468"/>
      <c r="M340" s="468" t="str">
        <f>IF(L340="","",
IF(AX340="PT",VLOOKUP(L340,Foundation_Calc!$V$79:$X$112,VLOOKUP(AX340,Foundation_Calc!$I$10:$J$13,2,FALSE),0),
IF(AX340="K",VLOOKUP(L340,Foundation_Calc!$V$116:$X$149,VLOOKUP(AX340,Foundation_Calc!$I$10:$J$13,2,FALSE),0),"")))</f>
        <v/>
      </c>
      <c r="N340" s="468" t="s">
        <v>192</v>
      </c>
      <c r="O340" s="468" t="s">
        <v>193</v>
      </c>
      <c r="P340" s="468"/>
      <c r="Q340" s="4"/>
      <c r="R340" s="6"/>
      <c r="S340" s="6"/>
      <c r="T340" s="4">
        <v>35</v>
      </c>
      <c r="U340" s="4">
        <v>-10</v>
      </c>
      <c r="V340" s="4"/>
      <c r="W340" s="621">
        <v>0.8</v>
      </c>
      <c r="X340" s="621">
        <v>1</v>
      </c>
      <c r="Y340" s="9"/>
      <c r="Z340" s="9"/>
      <c r="AA340" s="9">
        <v>0.3</v>
      </c>
      <c r="AB340" s="9"/>
      <c r="AC340" s="468" t="s">
        <v>1078</v>
      </c>
      <c r="AD340" s="468"/>
      <c r="AE340" s="468"/>
      <c r="AF340" s="4"/>
      <c r="AG340" s="88"/>
      <c r="AH340" s="4"/>
      <c r="AI340" s="4"/>
      <c r="AJ340" s="468"/>
      <c r="AK340" s="468" t="s">
        <v>42</v>
      </c>
      <c r="AL340" s="468"/>
      <c r="AM340" s="468" t="s">
        <v>2458</v>
      </c>
      <c r="AN340" s="10">
        <v>5.15</v>
      </c>
      <c r="AO340" s="9"/>
      <c r="AP340" s="9"/>
      <c r="AQ340" s="9"/>
      <c r="AR340" s="9"/>
      <c r="AS340" s="9"/>
      <c r="AT340" s="9"/>
      <c r="AU340" s="447"/>
      <c r="AV340" s="447"/>
      <c r="AW340" s="468" t="s">
        <v>199</v>
      </c>
      <c r="AX340" s="468" t="s">
        <v>199</v>
      </c>
      <c r="AY340" s="10" t="str">
        <f>IF(L340="","",
IF(AX340="PT",VLOOKUP(L340,Foundation_Calc!$K$79:$R$112,VLOOKUP(AW340,Foundation_Calc!$I$2:$J$8,2,FALSE),0),
IF(AX340="K",VLOOKUP(L340,Foundation_Calc!$K$116:$R$149,VLOOKUP(AW340,Foundation_Calc!$I$2:$J$8,2,FALSE),0),"")))</f>
        <v/>
      </c>
      <c r="AZ340" s="10" t="str">
        <f>IF(K340="","",
IF(AX340="PT",VLOOKUP(K340,Foundation_Calc!$K$79:$R$112,VLOOKUP(AW340,Foundation_Calc!$I$2:$J$8,2,FALSE),0),
IF(AX340="K",VLOOKUP(K340,Foundation_Calc!$K$116:$R$149,VLOOKUP(AW340,Foundation_Calc!$I$2:$J$8,2,FALSE),0),"")))</f>
        <v/>
      </c>
      <c r="BA340" s="553" t="str">
        <f t="shared" si="25"/>
        <v/>
      </c>
      <c r="BB340" s="553" t="str">
        <f t="shared" si="25"/>
        <v/>
      </c>
      <c r="BC340" s="553" t="str">
        <f t="shared" si="24"/>
        <v/>
      </c>
      <c r="BD340" s="572"/>
      <c r="BE340" s="448" t="s">
        <v>1726</v>
      </c>
      <c r="BF340" s="306"/>
      <c r="BG340" s="306"/>
      <c r="BH340" s="306"/>
      <c r="BI340" s="306"/>
    </row>
    <row r="341" spans="1:61" ht="16.2" customHeight="1">
      <c r="A341" s="624" t="s">
        <v>383</v>
      </c>
      <c r="B341" s="469"/>
      <c r="C341" s="3"/>
      <c r="D341" s="88"/>
      <c r="E341" s="4"/>
      <c r="F341" s="4"/>
      <c r="G341" s="6">
        <v>37</v>
      </c>
      <c r="H341" s="468"/>
      <c r="I341" s="4">
        <f>SUM(G301:G341)</f>
        <v>637</v>
      </c>
      <c r="J341" s="3"/>
      <c r="K341" s="468"/>
      <c r="L341" s="468"/>
      <c r="M341" s="468" t="str">
        <f>IF(L341="","",
IF(AX341="PT",VLOOKUP(L341,Foundation_Calc!$V$79:$X$112,VLOOKUP(AX341,Foundation_Calc!$I$10:$J$13,2,FALSE),0),
IF(AX341="K",VLOOKUP(L341,Foundation_Calc!$V$116:$X$149,VLOOKUP(AX341,Foundation_Calc!$I$10:$J$13,2,FALSE),0),"")))</f>
        <v/>
      </c>
      <c r="N341" s="468"/>
      <c r="O341" s="468"/>
      <c r="P341" s="468"/>
      <c r="Q341" s="4"/>
      <c r="R341" s="6"/>
      <c r="S341" s="6"/>
      <c r="T341" s="4"/>
      <c r="U341" s="4"/>
      <c r="V341" s="4"/>
      <c r="W341" s="9"/>
      <c r="X341" s="9"/>
      <c r="Y341" s="9"/>
      <c r="Z341" s="9"/>
      <c r="AA341" s="9"/>
      <c r="AB341" s="9"/>
      <c r="AC341" s="468" t="s">
        <v>195</v>
      </c>
      <c r="AD341" s="468"/>
      <c r="AE341" s="468"/>
      <c r="AF341" s="4"/>
      <c r="AG341" s="88"/>
      <c r="AH341" s="4"/>
      <c r="AI341" s="4"/>
      <c r="AJ341" s="468"/>
      <c r="AK341" s="468"/>
      <c r="AL341" s="468"/>
      <c r="AM341" s="468"/>
      <c r="AN341" s="10"/>
      <c r="AO341" s="9"/>
      <c r="AP341" s="9"/>
      <c r="AQ341" s="9"/>
      <c r="AR341" s="9"/>
      <c r="AS341" s="9"/>
      <c r="AT341" s="9"/>
      <c r="AU341" s="447"/>
      <c r="AV341" s="447"/>
      <c r="AW341" s="468"/>
      <c r="AX341" s="468"/>
      <c r="AY341" s="10" t="str">
        <f>IF(L341="","",
IF(AX341="PT",VLOOKUP(L341,Foundation_Calc!$K$79:$R$112,VLOOKUP(AW341,Foundation_Calc!$I$2:$J$8,2,FALSE),0),
IF(AX341="K",VLOOKUP(L341,Foundation_Calc!$K$116:$R$149,VLOOKUP(AW341,Foundation_Calc!$I$2:$J$8,2,FALSE),0),"")))</f>
        <v/>
      </c>
      <c r="AZ341" s="10" t="str">
        <f>IF(K341="","",
IF(AX341="PT",VLOOKUP(K341,Foundation_Calc!$K$79:$R$112,VLOOKUP(AW341,Foundation_Calc!$I$2:$J$8,2,FALSE),0),
IF(AX341="K",VLOOKUP(K341,Foundation_Calc!$K$116:$R$149,VLOOKUP(AW341,Foundation_Calc!$I$2:$J$8,2,FALSE),0),"")))</f>
        <v/>
      </c>
      <c r="BA341" s="553" t="str">
        <f t="shared" si="25"/>
        <v/>
      </c>
      <c r="BB341" s="553" t="str">
        <f t="shared" si="25"/>
        <v/>
      </c>
      <c r="BC341" s="553" t="str">
        <f t="shared" si="24"/>
        <v/>
      </c>
      <c r="BD341" s="572"/>
      <c r="BE341" s="448" t="s">
        <v>1726</v>
      </c>
      <c r="BF341" s="305"/>
      <c r="BG341" s="305"/>
      <c r="BH341" s="306"/>
      <c r="BI341" s="305"/>
    </row>
    <row r="342" spans="1:61" ht="16.2" customHeight="1">
      <c r="A342" s="624" t="s">
        <v>383</v>
      </c>
      <c r="B342" s="469" t="s">
        <v>2077</v>
      </c>
      <c r="C342" s="3">
        <f>+$C$340+$G$341</f>
        <v>6903.7500000000009</v>
      </c>
      <c r="D342" s="88"/>
      <c r="E342" s="4"/>
      <c r="F342" s="4">
        <v>0</v>
      </c>
      <c r="G342" s="6"/>
      <c r="H342" s="468" t="s">
        <v>26</v>
      </c>
      <c r="I342" s="468" t="s">
        <v>339</v>
      </c>
      <c r="J342" s="501">
        <f>'HR Track 1'!J342</f>
        <v>6883.829999999999</v>
      </c>
      <c r="K342" s="468" t="s">
        <v>447</v>
      </c>
      <c r="L342" s="468"/>
      <c r="M342" s="468" t="str">
        <f>IF(L342="","",
IF(AX342="PT",VLOOKUP(L342,Foundation_Calc!$V$79:$X$112,VLOOKUP(AX342,Foundation_Calc!$I$10:$J$13,2,FALSE),0),
IF(AX342="K",VLOOKUP(L342,Foundation_Calc!$V$116:$X$149,VLOOKUP(AX342,Foundation_Calc!$I$10:$J$13,2,FALSE),0),"")))</f>
        <v/>
      </c>
      <c r="N342" s="468" t="s">
        <v>191</v>
      </c>
      <c r="O342" s="468"/>
      <c r="P342" s="468"/>
      <c r="Q342" s="4"/>
      <c r="R342" s="6"/>
      <c r="S342" s="6"/>
      <c r="T342" s="4">
        <v>-25</v>
      </c>
      <c r="U342" s="4"/>
      <c r="V342" s="4"/>
      <c r="W342" s="9">
        <v>1</v>
      </c>
      <c r="X342" s="9"/>
      <c r="Y342" s="9"/>
      <c r="Z342" s="9"/>
      <c r="AA342" s="9"/>
      <c r="AB342" s="9"/>
      <c r="AC342" s="468" t="s">
        <v>630</v>
      </c>
      <c r="AD342" s="468"/>
      <c r="AE342" s="468"/>
      <c r="AF342" s="4"/>
      <c r="AG342" s="88"/>
      <c r="AH342" s="4"/>
      <c r="AI342" s="4"/>
      <c r="AJ342" s="468"/>
      <c r="AK342" s="468" t="s">
        <v>41</v>
      </c>
      <c r="AL342" s="468"/>
      <c r="AM342" s="468" t="s">
        <v>2458</v>
      </c>
      <c r="AN342" s="10">
        <v>5.15</v>
      </c>
      <c r="AO342" s="9"/>
      <c r="AP342" s="9"/>
      <c r="AQ342" s="9"/>
      <c r="AR342" s="9"/>
      <c r="AS342" s="9"/>
      <c r="AT342" s="9"/>
      <c r="AU342" s="447"/>
      <c r="AV342" s="447"/>
      <c r="AW342" s="468" t="s">
        <v>199</v>
      </c>
      <c r="AX342" s="468" t="s">
        <v>199</v>
      </c>
      <c r="AY342" s="10" t="str">
        <f>IF(L342="","",
IF(AX342="PT",VLOOKUP(L342,Foundation_Calc!$K$79:$R$112,VLOOKUP(AW342,Foundation_Calc!$I$2:$J$8,2,FALSE),0),
IF(AX342="K",VLOOKUP(L342,Foundation_Calc!$K$116:$R$149,VLOOKUP(AW342,Foundation_Calc!$I$2:$J$8,2,FALSE),0),"")))</f>
        <v/>
      </c>
      <c r="AZ342" s="10" t="str">
        <f>IF(K342="","",
IF(AX342="PT",VLOOKUP(K342,Foundation_Calc!$K$79:$R$112,VLOOKUP(AW342,Foundation_Calc!$I$2:$J$8,2,FALSE),0),
IF(AX342="K",VLOOKUP(K342,Foundation_Calc!$K$116:$R$149,VLOOKUP(AW342,Foundation_Calc!$I$2:$J$8,2,FALSE),0),"")))</f>
        <v/>
      </c>
      <c r="BA342" s="553" t="str">
        <f t="shared" si="25"/>
        <v/>
      </c>
      <c r="BB342" s="553" t="str">
        <f t="shared" si="25"/>
        <v/>
      </c>
      <c r="BC342" s="553" t="str">
        <f t="shared" si="24"/>
        <v/>
      </c>
      <c r="BD342" s="572"/>
      <c r="BE342" s="448" t="s">
        <v>1726</v>
      </c>
      <c r="BF342" s="306"/>
      <c r="BG342" s="306"/>
      <c r="BH342" s="306"/>
      <c r="BI342" s="306"/>
    </row>
    <row r="343" spans="1:61" ht="16.2" customHeight="1">
      <c r="A343" s="624" t="s">
        <v>383</v>
      </c>
      <c r="B343" s="469"/>
      <c r="C343" s="3"/>
      <c r="D343" s="88"/>
      <c r="E343" s="4"/>
      <c r="F343" s="4"/>
      <c r="G343" s="6">
        <v>44.2</v>
      </c>
      <c r="H343" s="468"/>
      <c r="I343" s="468"/>
      <c r="J343" s="3"/>
      <c r="K343" s="468"/>
      <c r="L343" s="468"/>
      <c r="M343" s="468" t="str">
        <f>IF(L343="","",
IF(AX343="PT",VLOOKUP(L343,Foundation_Calc!$V$79:$X$112,VLOOKUP(AX343,Foundation_Calc!$I$10:$J$13,2,FALSE),0),
IF(AX343="K",VLOOKUP(L343,Foundation_Calc!$V$116:$X$149,VLOOKUP(AX343,Foundation_Calc!$I$10:$J$13,2,FALSE),0),"")))</f>
        <v/>
      </c>
      <c r="N343" s="468"/>
      <c r="O343" s="468"/>
      <c r="P343" s="468"/>
      <c r="Q343" s="4"/>
      <c r="R343" s="6"/>
      <c r="S343" s="6"/>
      <c r="T343" s="4"/>
      <c r="U343" s="4"/>
      <c r="V343" s="4"/>
      <c r="W343" s="9"/>
      <c r="X343" s="9"/>
      <c r="Y343" s="9"/>
      <c r="Z343" s="9"/>
      <c r="AA343" s="9"/>
      <c r="AB343" s="9"/>
      <c r="AC343" s="468" t="s">
        <v>195</v>
      </c>
      <c r="AD343" s="468"/>
      <c r="AE343" s="468"/>
      <c r="AF343" s="4"/>
      <c r="AG343" s="88"/>
      <c r="AH343" s="4"/>
      <c r="AI343" s="4"/>
      <c r="AJ343" s="468"/>
      <c r="AK343" s="468"/>
      <c r="AL343" s="468"/>
      <c r="AM343" s="468"/>
      <c r="AN343" s="10"/>
      <c r="AO343" s="9"/>
      <c r="AP343" s="9"/>
      <c r="AQ343" s="9"/>
      <c r="AR343" s="9"/>
      <c r="AS343" s="9"/>
      <c r="AT343" s="9"/>
      <c r="AU343" s="447"/>
      <c r="AV343" s="447"/>
      <c r="AW343" s="468"/>
      <c r="AX343" s="468"/>
      <c r="AY343" s="10" t="str">
        <f>IF(L343="","",
IF(AX343="PT",VLOOKUP(L343,Foundation_Calc!$K$79:$R$112,VLOOKUP(AW343,Foundation_Calc!$I$2:$J$8,2,FALSE),0),
IF(AX343="K",VLOOKUP(L343,Foundation_Calc!$K$116:$R$149,VLOOKUP(AW343,Foundation_Calc!$I$2:$J$8,2,FALSE),0),"")))</f>
        <v/>
      </c>
      <c r="AZ343" s="10" t="str">
        <f>IF(K343="","",
IF(AX343="PT",VLOOKUP(K343,Foundation_Calc!$K$79:$R$112,VLOOKUP(AW343,Foundation_Calc!$I$2:$J$8,2,FALSE),0),
IF(AX343="K",VLOOKUP(K343,Foundation_Calc!$K$116:$R$149,VLOOKUP(AW343,Foundation_Calc!$I$2:$J$8,2,FALSE),0),"")))</f>
        <v/>
      </c>
      <c r="BA343" s="553" t="str">
        <f t="shared" si="25"/>
        <v/>
      </c>
      <c r="BB343" s="553" t="str">
        <f t="shared" si="25"/>
        <v/>
      </c>
      <c r="BC343" s="553" t="str">
        <f t="shared" si="24"/>
        <v/>
      </c>
      <c r="BD343" s="572"/>
      <c r="BE343" s="448" t="s">
        <v>1726</v>
      </c>
      <c r="BF343" s="305"/>
      <c r="BG343" s="305"/>
      <c r="BH343" s="306"/>
      <c r="BI343" s="305"/>
    </row>
    <row r="344" spans="1:61" ht="16.2" customHeight="1">
      <c r="A344" s="624" t="s">
        <v>383</v>
      </c>
      <c r="B344" s="469" t="s">
        <v>2078</v>
      </c>
      <c r="C344" s="3">
        <f>+$C$342+$G$343</f>
        <v>6947.9500000000007</v>
      </c>
      <c r="D344" s="88"/>
      <c r="E344" s="4"/>
      <c r="F344" s="4">
        <v>0</v>
      </c>
      <c r="G344" s="6"/>
      <c r="H344" s="468" t="s">
        <v>388</v>
      </c>
      <c r="I344" s="468" t="s">
        <v>339</v>
      </c>
      <c r="J344" s="3">
        <f>C344+10</f>
        <v>6957.9500000000007</v>
      </c>
      <c r="K344" s="468" t="s">
        <v>447</v>
      </c>
      <c r="L344" s="468"/>
      <c r="M344" s="468" t="str">
        <f>IF(L344="","",
IF(AX344="PT",VLOOKUP(L344,Foundation_Calc!$V$79:$X$112,VLOOKUP(AX344,Foundation_Calc!$I$10:$J$13,2,FALSE),0),
IF(AX344="K",VLOOKUP(L344,Foundation_Calc!$V$116:$X$149,VLOOKUP(AX344,Foundation_Calc!$I$10:$J$13,2,FALSE),0),"")))</f>
        <v/>
      </c>
      <c r="N344" s="468" t="s">
        <v>191</v>
      </c>
      <c r="O344" s="468"/>
      <c r="P344" s="468"/>
      <c r="Q344" s="4"/>
      <c r="R344" s="6"/>
      <c r="S344" s="6"/>
      <c r="T344" s="4">
        <v>-15</v>
      </c>
      <c r="U344" s="4"/>
      <c r="V344" s="4"/>
      <c r="W344" s="9">
        <v>1</v>
      </c>
      <c r="X344" s="9"/>
      <c r="Y344" s="9"/>
      <c r="Z344" s="9"/>
      <c r="AA344" s="9"/>
      <c r="AB344" s="9"/>
      <c r="AC344" s="468" t="s">
        <v>1340</v>
      </c>
      <c r="AD344" s="468"/>
      <c r="AE344" s="468"/>
      <c r="AF344" s="4"/>
      <c r="AG344" s="88"/>
      <c r="AH344" s="4"/>
      <c r="AI344" s="4"/>
      <c r="AJ344" s="468"/>
      <c r="AK344" s="468" t="s">
        <v>41</v>
      </c>
      <c r="AL344" s="468"/>
      <c r="AM344" s="468" t="s">
        <v>2458</v>
      </c>
      <c r="AN344" s="10">
        <v>5.15</v>
      </c>
      <c r="AO344" s="9"/>
      <c r="AP344" s="9"/>
      <c r="AQ344" s="9"/>
      <c r="AR344" s="9"/>
      <c r="AS344" s="9"/>
      <c r="AT344" s="9"/>
      <c r="AU344" s="447"/>
      <c r="AV344" s="447"/>
      <c r="AW344" s="468" t="s">
        <v>199</v>
      </c>
      <c r="AX344" s="468" t="s">
        <v>199</v>
      </c>
      <c r="AY344" s="10" t="str">
        <f>IF(L344="","",
IF(AX344="PT",VLOOKUP(L344,Foundation_Calc!$K$79:$R$112,VLOOKUP(AW344,Foundation_Calc!$I$2:$J$8,2,FALSE),0),
IF(AX344="K",VLOOKUP(L344,Foundation_Calc!$K$116:$R$149,VLOOKUP(AW344,Foundation_Calc!$I$2:$J$8,2,FALSE),0),"")))</f>
        <v/>
      </c>
      <c r="AZ344" s="10" t="str">
        <f>IF(K344="","",
IF(AX344="PT",VLOOKUP(K344,Foundation_Calc!$K$79:$R$112,VLOOKUP(AW344,Foundation_Calc!$I$2:$J$8,2,FALSE),0),
IF(AX344="K",VLOOKUP(K344,Foundation_Calc!$K$116:$R$149,VLOOKUP(AW344,Foundation_Calc!$I$2:$J$8,2,FALSE),0),"")))</f>
        <v/>
      </c>
      <c r="BA344" s="553" t="str">
        <f t="shared" si="25"/>
        <v/>
      </c>
      <c r="BB344" s="553" t="str">
        <f t="shared" si="25"/>
        <v/>
      </c>
      <c r="BC344" s="553" t="str">
        <f t="shared" si="24"/>
        <v/>
      </c>
      <c r="BD344" s="572"/>
      <c r="BE344" s="448" t="s">
        <v>1726</v>
      </c>
      <c r="BF344" s="306"/>
      <c r="BG344" s="306"/>
      <c r="BH344" s="306"/>
      <c r="BI344" s="306"/>
    </row>
    <row r="345" spans="1:61" ht="16.2" customHeight="1">
      <c r="A345" s="624" t="s">
        <v>383</v>
      </c>
      <c r="B345" s="469"/>
      <c r="C345" s="3"/>
      <c r="D345" s="88"/>
      <c r="E345" s="4"/>
      <c r="F345" s="4"/>
      <c r="G345" s="6">
        <v>47</v>
      </c>
      <c r="H345" s="468"/>
      <c r="I345" s="468">
        <v>237</v>
      </c>
      <c r="J345" s="3"/>
      <c r="K345" s="468"/>
      <c r="L345" s="468"/>
      <c r="M345" s="468" t="str">
        <f>IF(L345="","",
IF(AX345="PT",VLOOKUP(L345,Foundation_Calc!$V$79:$X$112,VLOOKUP(AX345,Foundation_Calc!$I$10:$J$13,2,FALSE),0),
IF(AX345="K",VLOOKUP(L345,Foundation_Calc!$V$116:$X$149,VLOOKUP(AX345,Foundation_Calc!$I$10:$J$13,2,FALSE),0),"")))</f>
        <v/>
      </c>
      <c r="N345" s="468"/>
      <c r="O345" s="468"/>
      <c r="P345" s="468"/>
      <c r="Q345" s="4"/>
      <c r="R345" s="6"/>
      <c r="S345" s="6"/>
      <c r="T345" s="4"/>
      <c r="U345" s="4"/>
      <c r="V345" s="4"/>
      <c r="W345" s="9"/>
      <c r="X345" s="9"/>
      <c r="Y345" s="9"/>
      <c r="Z345" s="9"/>
      <c r="AA345" s="9"/>
      <c r="AB345" s="9"/>
      <c r="AC345" s="468" t="s">
        <v>195</v>
      </c>
      <c r="AD345" s="468"/>
      <c r="AE345" s="468"/>
      <c r="AF345" s="4"/>
      <c r="AG345" s="88"/>
      <c r="AH345" s="4"/>
      <c r="AI345" s="4"/>
      <c r="AJ345" s="468"/>
      <c r="AK345" s="468"/>
      <c r="AL345" s="468"/>
      <c r="AM345" s="468"/>
      <c r="AN345" s="10"/>
      <c r="AO345" s="9"/>
      <c r="AP345" s="9"/>
      <c r="AQ345" s="9"/>
      <c r="AR345" s="9"/>
      <c r="AS345" s="9"/>
      <c r="AT345" s="9"/>
      <c r="AU345" s="447"/>
      <c r="AV345" s="447"/>
      <c r="AW345" s="468"/>
      <c r="AX345" s="468"/>
      <c r="AY345" s="10" t="str">
        <f>IF(L345="","",
IF(AX345="PT",VLOOKUP(L345,Foundation_Calc!$K$79:$R$112,VLOOKUP(AW345,Foundation_Calc!$I$2:$J$8,2,FALSE),0),
IF(AX345="K",VLOOKUP(L345,Foundation_Calc!$K$116:$R$149,VLOOKUP(AW345,Foundation_Calc!$I$2:$J$8,2,FALSE),0),"")))</f>
        <v/>
      </c>
      <c r="AZ345" s="10" t="str">
        <f>IF(K345="","",
IF(AX345="PT",VLOOKUP(K345,Foundation_Calc!$K$79:$R$112,VLOOKUP(AW345,Foundation_Calc!$I$2:$J$8,2,FALSE),0),
IF(AX345="K",VLOOKUP(K345,Foundation_Calc!$K$116:$R$149,VLOOKUP(AW345,Foundation_Calc!$I$2:$J$8,2,FALSE),0),"")))</f>
        <v/>
      </c>
      <c r="BA345" s="553" t="str">
        <f t="shared" si="25"/>
        <v/>
      </c>
      <c r="BB345" s="553" t="str">
        <f t="shared" si="25"/>
        <v/>
      </c>
      <c r="BC345" s="553" t="str">
        <f t="shared" si="24"/>
        <v/>
      </c>
      <c r="BD345" s="572"/>
      <c r="BE345" s="448" t="s">
        <v>1726</v>
      </c>
      <c r="BF345" s="305"/>
      <c r="BG345" s="305"/>
      <c r="BH345" s="306"/>
      <c r="BI345" s="305"/>
    </row>
    <row r="346" spans="1:61" ht="16.2" customHeight="1">
      <c r="A346" s="624" t="s">
        <v>383</v>
      </c>
      <c r="B346" s="469" t="s">
        <v>2079</v>
      </c>
      <c r="C346" s="3">
        <f>+$C$344+$G$345</f>
        <v>6994.9500000000007</v>
      </c>
      <c r="D346" s="88"/>
      <c r="E346" s="4"/>
      <c r="F346" s="4">
        <v>0</v>
      </c>
      <c r="G346" s="6"/>
      <c r="H346" s="467" t="s">
        <v>179</v>
      </c>
      <c r="I346" s="468"/>
      <c r="J346" s="3"/>
      <c r="K346" s="468"/>
      <c r="L346" s="468"/>
      <c r="M346" s="468" t="str">
        <f>IF(L346="","",
IF(AX346="PT",VLOOKUP(L346,Foundation_Calc!$V$79:$X$112,VLOOKUP(AX346,Foundation_Calc!$I$10:$J$13,2,FALSE),0),
IF(AX346="K",VLOOKUP(L346,Foundation_Calc!$V$116:$X$149,VLOOKUP(AX346,Foundation_Calc!$I$10:$J$13,2,FALSE),0),"")))</f>
        <v/>
      </c>
      <c r="N346" s="669" t="s">
        <v>193</v>
      </c>
      <c r="O346" s="468" t="s">
        <v>192</v>
      </c>
      <c r="P346" s="468"/>
      <c r="Q346" s="4"/>
      <c r="R346" s="6"/>
      <c r="S346" s="6"/>
      <c r="T346" s="4">
        <v>55</v>
      </c>
      <c r="U346" s="4">
        <v>20</v>
      </c>
      <c r="V346" s="4"/>
      <c r="W346" s="9">
        <v>0.9</v>
      </c>
      <c r="X346" s="9">
        <v>1</v>
      </c>
      <c r="Y346" s="9"/>
      <c r="Z346" s="9">
        <v>0.4</v>
      </c>
      <c r="AA346" s="9"/>
      <c r="AB346" s="9"/>
      <c r="AC346" s="468"/>
      <c r="AD346" s="468"/>
      <c r="AE346" s="468"/>
      <c r="AF346" s="4"/>
      <c r="AG346" s="88"/>
      <c r="AH346" s="4"/>
      <c r="AI346" s="4"/>
      <c r="AJ346" s="468"/>
      <c r="AK346" s="468" t="s">
        <v>42</v>
      </c>
      <c r="AL346" s="468"/>
      <c r="AM346" s="468" t="s">
        <v>2458</v>
      </c>
      <c r="AN346" s="10">
        <v>5.15</v>
      </c>
      <c r="AO346" s="9"/>
      <c r="AP346" s="9"/>
      <c r="AQ346" s="9"/>
      <c r="AR346" s="9"/>
      <c r="AS346" s="9"/>
      <c r="AT346" s="9"/>
      <c r="AU346" s="447"/>
      <c r="AV346" s="447"/>
      <c r="AW346" s="468" t="s">
        <v>199</v>
      </c>
      <c r="AX346" s="468" t="s">
        <v>199</v>
      </c>
      <c r="AY346" s="10" t="str">
        <f>IF(L346="","",
IF(AX346="PT",VLOOKUP(L346,Foundation_Calc!$K$79:$R$112,VLOOKUP(AW346,Foundation_Calc!$I$2:$J$8,2,FALSE),0),
IF(AX346="K",VLOOKUP(L346,Foundation_Calc!$K$116:$R$149,VLOOKUP(AW346,Foundation_Calc!$I$2:$J$8,2,FALSE),0),"")))</f>
        <v/>
      </c>
      <c r="AZ346" s="10" t="str">
        <f>IF(K346="","",
IF(AX346="PT",VLOOKUP(K346,Foundation_Calc!$K$79:$R$112,VLOOKUP(AW346,Foundation_Calc!$I$2:$J$8,2,FALSE),0),
IF(AX346="K",VLOOKUP(K346,Foundation_Calc!$K$116:$R$149,VLOOKUP(AW346,Foundation_Calc!$I$2:$J$8,2,FALSE),0),"")))</f>
        <v/>
      </c>
      <c r="BA346" s="553" t="str">
        <f t="shared" si="25"/>
        <v/>
      </c>
      <c r="BB346" s="553" t="str">
        <f t="shared" si="25"/>
        <v/>
      </c>
      <c r="BC346" s="553" t="str">
        <f t="shared" si="24"/>
        <v/>
      </c>
      <c r="BD346" s="572"/>
      <c r="BE346" s="448" t="s">
        <v>1726</v>
      </c>
      <c r="BF346" s="306"/>
      <c r="BG346" s="306"/>
      <c r="BH346" s="306"/>
      <c r="BI346" s="306"/>
    </row>
    <row r="347" spans="1:61" ht="16.2" customHeight="1">
      <c r="A347" s="624" t="s">
        <v>383</v>
      </c>
      <c r="B347" s="469"/>
      <c r="C347" s="3"/>
      <c r="D347" s="88"/>
      <c r="E347" s="4"/>
      <c r="F347" s="4"/>
      <c r="G347" s="6">
        <v>50</v>
      </c>
      <c r="H347" s="468"/>
      <c r="I347" s="468"/>
      <c r="J347" s="3"/>
      <c r="K347" s="468"/>
      <c r="L347" s="468"/>
      <c r="M347" s="468" t="str">
        <f>IF(L347="","",
IF(AX347="PT",VLOOKUP(L347,Foundation_Calc!$V$79:$X$112,VLOOKUP(AX347,Foundation_Calc!$I$10:$J$13,2,FALSE),0),
IF(AX347="K",VLOOKUP(L347,Foundation_Calc!$V$116:$X$149,VLOOKUP(AX347,Foundation_Calc!$I$10:$J$13,2,FALSE),0),"")))</f>
        <v/>
      </c>
      <c r="N347" s="468"/>
      <c r="O347" s="468"/>
      <c r="P347" s="468"/>
      <c r="Q347" s="4"/>
      <c r="R347" s="6"/>
      <c r="S347" s="6"/>
      <c r="T347" s="4"/>
      <c r="U347" s="4"/>
      <c r="V347" s="4"/>
      <c r="W347" s="9"/>
      <c r="X347" s="9"/>
      <c r="Y347" s="9"/>
      <c r="Z347" s="9"/>
      <c r="AA347" s="9"/>
      <c r="AB347" s="9"/>
      <c r="AC347" s="468" t="s">
        <v>195</v>
      </c>
      <c r="AD347" s="468"/>
      <c r="AE347" s="468"/>
      <c r="AF347" s="4"/>
      <c r="AG347" s="88"/>
      <c r="AH347" s="4"/>
      <c r="AI347" s="4"/>
      <c r="AJ347" s="468"/>
      <c r="AK347" s="468"/>
      <c r="AL347" s="468"/>
      <c r="AM347" s="468"/>
      <c r="AN347" s="10"/>
      <c r="AO347" s="9"/>
      <c r="AP347" s="9"/>
      <c r="AQ347" s="9"/>
      <c r="AR347" s="9"/>
      <c r="AS347" s="9"/>
      <c r="AT347" s="9"/>
      <c r="AU347" s="447"/>
      <c r="AV347" s="447"/>
      <c r="AW347" s="468"/>
      <c r="AX347" s="468"/>
      <c r="AY347" s="10" t="str">
        <f>IF(L347="","",
IF(AX347="PT",VLOOKUP(L347,Foundation_Calc!$K$79:$R$112,VLOOKUP(AW347,Foundation_Calc!$I$2:$J$8,2,FALSE),0),
IF(AX347="K",VLOOKUP(L347,Foundation_Calc!$K$116:$R$149,VLOOKUP(AW347,Foundation_Calc!$I$2:$J$8,2,FALSE),0),"")))</f>
        <v/>
      </c>
      <c r="AZ347" s="10" t="str">
        <f>IF(K347="","",
IF(AX347="PT",VLOOKUP(K347,Foundation_Calc!$K$79:$R$112,VLOOKUP(AW347,Foundation_Calc!$I$2:$J$8,2,FALSE),0),
IF(AX347="K",VLOOKUP(K347,Foundation_Calc!$K$116:$R$149,VLOOKUP(AW347,Foundation_Calc!$I$2:$J$8,2,FALSE),0),"")))</f>
        <v/>
      </c>
      <c r="BA347" s="553" t="str">
        <f t="shared" si="25"/>
        <v/>
      </c>
      <c r="BB347" s="553" t="str">
        <f t="shared" si="25"/>
        <v/>
      </c>
      <c r="BC347" s="553" t="str">
        <f t="shared" si="24"/>
        <v/>
      </c>
      <c r="BD347" s="572"/>
      <c r="BE347" s="448" t="s">
        <v>1726</v>
      </c>
      <c r="BF347" s="305"/>
      <c r="BG347" s="305"/>
      <c r="BH347" s="306"/>
      <c r="BI347" s="305"/>
    </row>
    <row r="348" spans="1:61" ht="16.2" customHeight="1">
      <c r="A348" s="624" t="s">
        <v>383</v>
      </c>
      <c r="B348" s="469" t="s">
        <v>2080</v>
      </c>
      <c r="C348" s="3">
        <f>+$C$346+$G$347</f>
        <v>7044.9500000000007</v>
      </c>
      <c r="D348" s="88"/>
      <c r="E348" s="4"/>
      <c r="F348" s="4">
        <v>0</v>
      </c>
      <c r="G348" s="6"/>
      <c r="H348" s="468" t="s">
        <v>2085</v>
      </c>
      <c r="I348" s="468" t="s">
        <v>339</v>
      </c>
      <c r="J348" s="3">
        <f>C348+10</f>
        <v>7054.9500000000007</v>
      </c>
      <c r="K348" s="468" t="s">
        <v>447</v>
      </c>
      <c r="L348" s="468"/>
      <c r="M348" s="468" t="str">
        <f>IF(L348="","",
IF(AX348="PT",VLOOKUP(L348,Foundation_Calc!$V$79:$X$112,VLOOKUP(AX348,Foundation_Calc!$I$10:$J$13,2,FALSE),0),
IF(AX348="K",VLOOKUP(L348,Foundation_Calc!$V$116:$X$149,VLOOKUP(AX348,Foundation_Calc!$I$10:$J$13,2,FALSE),0),"")))</f>
        <v/>
      </c>
      <c r="N348" s="669" t="s">
        <v>192</v>
      </c>
      <c r="O348" s="468" t="s">
        <v>191</v>
      </c>
      <c r="P348" s="468"/>
      <c r="Q348" s="4"/>
      <c r="R348" s="6"/>
      <c r="S348" s="6"/>
      <c r="T348" s="4">
        <v>-20</v>
      </c>
      <c r="U348" s="4">
        <v>-35</v>
      </c>
      <c r="V348" s="4"/>
      <c r="W348" s="9">
        <v>0.9</v>
      </c>
      <c r="X348" s="9">
        <v>1</v>
      </c>
      <c r="Y348" s="9"/>
      <c r="Z348" s="9"/>
      <c r="AA348" s="9"/>
      <c r="AB348" s="9"/>
      <c r="AC348" s="468" t="s">
        <v>1068</v>
      </c>
      <c r="AD348" s="468" t="s">
        <v>647</v>
      </c>
      <c r="AE348" s="468"/>
      <c r="AF348" s="4"/>
      <c r="AG348" s="88"/>
      <c r="AH348" s="4"/>
      <c r="AI348" s="4"/>
      <c r="AJ348" s="468" t="s">
        <v>364</v>
      </c>
      <c r="AK348" s="468" t="s">
        <v>42</v>
      </c>
      <c r="AL348" s="468"/>
      <c r="AM348" s="468" t="s">
        <v>2458</v>
      </c>
      <c r="AN348" s="10">
        <v>5.15</v>
      </c>
      <c r="AO348" s="9"/>
      <c r="AP348" s="9"/>
      <c r="AQ348" s="9"/>
      <c r="AR348" s="9"/>
      <c r="AS348" s="9"/>
      <c r="AT348" s="9"/>
      <c r="AU348" s="447"/>
      <c r="AV348" s="447"/>
      <c r="AW348" s="468" t="s">
        <v>199</v>
      </c>
      <c r="AX348" s="468" t="s">
        <v>199</v>
      </c>
      <c r="AY348" s="10" t="str">
        <f>IF(L348="","",
IF(AX348="PT",VLOOKUP(L348,Foundation_Calc!$K$79:$R$112,VLOOKUP(AW348,Foundation_Calc!$I$2:$J$8,2,FALSE),0),
IF(AX348="K",VLOOKUP(L348,Foundation_Calc!$K$116:$R$149,VLOOKUP(AW348,Foundation_Calc!$I$2:$J$8,2,FALSE),0),"")))</f>
        <v/>
      </c>
      <c r="AZ348" s="10" t="str">
        <f>IF(K348="","",
IF(AX348="PT",VLOOKUP(K348,Foundation_Calc!$K$79:$R$112,VLOOKUP(AW348,Foundation_Calc!$I$2:$J$8,2,FALSE),0),
IF(AX348="K",VLOOKUP(K348,Foundation_Calc!$K$116:$R$149,VLOOKUP(AW348,Foundation_Calc!$I$2:$J$8,2,FALSE),0),"")))</f>
        <v/>
      </c>
      <c r="BA348" s="553" t="str">
        <f t="shared" si="25"/>
        <v/>
      </c>
      <c r="BB348" s="553" t="str">
        <f t="shared" si="25"/>
        <v/>
      </c>
      <c r="BC348" s="553" t="str">
        <f t="shared" si="24"/>
        <v/>
      </c>
      <c r="BD348" s="572"/>
      <c r="BE348" s="448" t="s">
        <v>1726</v>
      </c>
      <c r="BF348" s="306"/>
      <c r="BG348" s="306"/>
      <c r="BH348" s="306"/>
      <c r="BI348" s="306"/>
    </row>
    <row r="349" spans="1:61" ht="16.2" customHeight="1">
      <c r="A349" s="614" t="s">
        <v>2031</v>
      </c>
      <c r="B349" s="615"/>
      <c r="C349" s="616"/>
      <c r="D349" s="617"/>
      <c r="E349" s="618"/>
      <c r="F349" s="618"/>
      <c r="G349" s="619">
        <v>57.5</v>
      </c>
      <c r="H349" s="620"/>
      <c r="I349" s="620"/>
      <c r="J349" s="616"/>
      <c r="K349" s="620"/>
      <c r="L349" s="620"/>
      <c r="M349" s="620" t="str">
        <f>IF(L349="","",
IF(AX349="PT",VLOOKUP(L349,Foundation_Calc!$V$79:$X$112,VLOOKUP(AX349,Foundation_Calc!$I$10:$J$13,2,FALSE),0),
IF(AX349="K",VLOOKUP(L349,Foundation_Calc!$V$116:$X$149,VLOOKUP(AX349,Foundation_Calc!$I$10:$J$13,2,FALSE),0),"")))</f>
        <v/>
      </c>
      <c r="N349" s="620"/>
      <c r="O349" s="620"/>
      <c r="P349" s="620"/>
      <c r="Q349" s="618"/>
      <c r="R349" s="619"/>
      <c r="S349" s="619"/>
      <c r="T349" s="618"/>
      <c r="U349" s="618"/>
      <c r="V349" s="618"/>
      <c r="W349" s="621"/>
      <c r="X349" s="621"/>
      <c r="Y349" s="621"/>
      <c r="Z349" s="621"/>
      <c r="AA349" s="621"/>
      <c r="AB349" s="621"/>
      <c r="AC349" s="620" t="s">
        <v>195</v>
      </c>
      <c r="AD349" s="620"/>
      <c r="AE349" s="620"/>
      <c r="AF349" s="618"/>
      <c r="AG349" s="617"/>
      <c r="AH349" s="618"/>
      <c r="AI349" s="618"/>
      <c r="AJ349" s="620"/>
      <c r="AK349" s="620"/>
      <c r="AL349" s="620"/>
      <c r="AM349" s="620"/>
      <c r="AN349" s="622"/>
      <c r="AO349" s="621"/>
      <c r="AP349" s="621"/>
      <c r="AQ349" s="621"/>
      <c r="AR349" s="621"/>
      <c r="AS349" s="621"/>
      <c r="AT349" s="621"/>
      <c r="AU349" s="623"/>
      <c r="AV349" s="623"/>
      <c r="AW349" s="620"/>
      <c r="AX349" s="620"/>
      <c r="AY349" s="622" t="str">
        <f>IF(L349="","",
IF(AX349="PT",VLOOKUP(L349,Foundation_Calc!$K$79:$R$112,VLOOKUP(AW349,Foundation_Calc!$I$2:$J$8,2,FALSE),0),
IF(AX349="K",VLOOKUP(L349,Foundation_Calc!$K$116:$R$149,VLOOKUP(AW349,Foundation_Calc!$I$2:$J$8,2,FALSE),0),"")))</f>
        <v/>
      </c>
      <c r="AZ349" s="622" t="str">
        <f>IF(K349="","",
IF(AX349="PT",VLOOKUP(K349,Foundation_Calc!$K$79:$R$112,VLOOKUP(AW349,Foundation_Calc!$I$2:$J$8,2,FALSE),0),
IF(AX349="K",VLOOKUP(K349,Foundation_Calc!$K$116:$R$149,VLOOKUP(AW349,Foundation_Calc!$I$2:$J$8,2,FALSE),0),"")))</f>
        <v/>
      </c>
      <c r="BA349" s="556" t="str">
        <f t="shared" si="25"/>
        <v/>
      </c>
      <c r="BB349" s="556" t="str">
        <f t="shared" si="25"/>
        <v/>
      </c>
      <c r="BC349" s="556" t="str">
        <f t="shared" si="24"/>
        <v/>
      </c>
      <c r="BD349" s="572"/>
      <c r="BE349" s="448" t="s">
        <v>1726</v>
      </c>
      <c r="BF349" s="305"/>
      <c r="BG349" s="305"/>
      <c r="BH349" s="306"/>
      <c r="BI349" s="305"/>
    </row>
    <row r="350" spans="1:61" ht="16.2" customHeight="1">
      <c r="A350" s="624" t="s">
        <v>383</v>
      </c>
      <c r="B350" s="469" t="s">
        <v>2081</v>
      </c>
      <c r="C350" s="3">
        <f>+$C$348+$G$349</f>
        <v>7102.4500000000007</v>
      </c>
      <c r="D350" s="88"/>
      <c r="E350" s="4"/>
      <c r="F350" s="4">
        <v>0</v>
      </c>
      <c r="G350" s="6"/>
      <c r="H350" s="468" t="s">
        <v>2084</v>
      </c>
      <c r="I350" s="468"/>
      <c r="J350" s="3">
        <f>C350+3</f>
        <v>7105.4500000000007</v>
      </c>
      <c r="K350" s="468"/>
      <c r="L350" s="468"/>
      <c r="M350" s="468" t="str">
        <f>IF(L350="","",
IF(AX350="PT",VLOOKUP(L350,Foundation_Calc!$V$79:$X$112,VLOOKUP(AX350,Foundation_Calc!$I$10:$J$13,2,FALSE),0),
IF(AX350="K",VLOOKUP(L350,Foundation_Calc!$V$116:$X$149,VLOOKUP(AX350,Foundation_Calc!$I$10:$J$13,2,FALSE),0),"")))</f>
        <v/>
      </c>
      <c r="N350" s="669" t="s">
        <v>193</v>
      </c>
      <c r="O350" s="468" t="s">
        <v>191</v>
      </c>
      <c r="P350" s="669" t="s">
        <v>192</v>
      </c>
      <c r="Q350" s="4"/>
      <c r="R350" s="6"/>
      <c r="S350" s="6"/>
      <c r="T350" s="4">
        <v>-55</v>
      </c>
      <c r="U350" s="4">
        <v>-35</v>
      </c>
      <c r="V350" s="4">
        <v>-20</v>
      </c>
      <c r="W350" s="9">
        <v>1</v>
      </c>
      <c r="X350" s="9">
        <v>0.9</v>
      </c>
      <c r="Y350" s="9">
        <v>0.8</v>
      </c>
      <c r="Z350" s="9">
        <v>0.35</v>
      </c>
      <c r="AA350" s="9"/>
      <c r="AB350" s="9"/>
      <c r="AC350" s="468"/>
      <c r="AD350" s="468" t="s">
        <v>647</v>
      </c>
      <c r="AE350" s="468" t="s">
        <v>1068</v>
      </c>
      <c r="AF350" s="4"/>
      <c r="AG350" s="88"/>
      <c r="AH350" s="4"/>
      <c r="AI350" s="4"/>
      <c r="AJ350" s="468" t="s">
        <v>364</v>
      </c>
      <c r="AK350" s="468" t="s">
        <v>2457</v>
      </c>
      <c r="AL350" s="468"/>
      <c r="AM350" s="468" t="s">
        <v>2458</v>
      </c>
      <c r="AN350" s="10">
        <v>5.15</v>
      </c>
      <c r="AO350" s="9"/>
      <c r="AP350" s="9"/>
      <c r="AQ350" s="9"/>
      <c r="AR350" s="9"/>
      <c r="AS350" s="9"/>
      <c r="AT350" s="9"/>
      <c r="AU350" s="447"/>
      <c r="AV350" s="447"/>
      <c r="AW350" s="468" t="s">
        <v>199</v>
      </c>
      <c r="AX350" s="468" t="s">
        <v>199</v>
      </c>
      <c r="AY350" s="10" t="str">
        <f>IF(L350="","",
IF(AX350="PT",VLOOKUP(L350,Foundation_Calc!$K$79:$R$112,VLOOKUP(AW350,Foundation_Calc!$I$2:$J$8,2,FALSE),0),
IF(AX350="K",VLOOKUP(L350,Foundation_Calc!$K$116:$R$149,VLOOKUP(AW350,Foundation_Calc!$I$2:$J$8,2,FALSE),0),"")))</f>
        <v/>
      </c>
      <c r="AZ350" s="10" t="str">
        <f>IF(K350="","",
IF(AX350="PT",VLOOKUP(K350,Foundation_Calc!$K$79:$R$112,VLOOKUP(AW350,Foundation_Calc!$I$2:$J$8,2,FALSE),0),
IF(AX350="K",VLOOKUP(K350,Foundation_Calc!$K$116:$R$149,VLOOKUP(AW350,Foundation_Calc!$I$2:$J$8,2,FALSE),0),"")))</f>
        <v/>
      </c>
      <c r="BA350" s="553" t="str">
        <f t="shared" si="25"/>
        <v/>
      </c>
      <c r="BB350" s="553" t="str">
        <f t="shared" si="25"/>
        <v/>
      </c>
      <c r="BC350" s="553" t="str">
        <f t="shared" si="24"/>
        <v/>
      </c>
      <c r="BD350" s="572"/>
      <c r="BE350" s="448" t="s">
        <v>1726</v>
      </c>
      <c r="BF350" s="306"/>
      <c r="BG350" s="306"/>
      <c r="BH350" s="306"/>
      <c r="BI350" s="306"/>
    </row>
    <row r="351" spans="1:61" ht="16.2" customHeight="1" thickBot="1">
      <c r="A351" s="625" t="s">
        <v>383</v>
      </c>
      <c r="B351" s="518"/>
      <c r="C351" s="519"/>
      <c r="D351" s="520"/>
      <c r="E351" s="521"/>
      <c r="F351" s="521"/>
      <c r="G351" s="522">
        <v>41.2</v>
      </c>
      <c r="H351" s="523"/>
      <c r="I351" s="523" t="s">
        <v>485</v>
      </c>
      <c r="J351" s="519">
        <v>7114.61</v>
      </c>
      <c r="K351" s="523" t="s">
        <v>451</v>
      </c>
      <c r="L351" s="523"/>
      <c r="M351" s="523" t="str">
        <f>IF(L351="","",
IF(AX351="PT",VLOOKUP(L351,Foundation_Calc!$V$79:$X$112,VLOOKUP(AX351,Foundation_Calc!$I$10:$J$13,2,FALSE),0),
IF(AX351="K",VLOOKUP(L351,Foundation_Calc!$V$116:$X$149,VLOOKUP(AX351,Foundation_Calc!$I$10:$J$13,2,FALSE),0),"")))</f>
        <v/>
      </c>
      <c r="N351" s="523"/>
      <c r="O351" s="523"/>
      <c r="P351" s="523"/>
      <c r="Q351" s="521"/>
      <c r="R351" s="522"/>
      <c r="S351" s="522"/>
      <c r="T351" s="521"/>
      <c r="U351" s="521"/>
      <c r="V351" s="521"/>
      <c r="W351" s="524"/>
      <c r="X351" s="524"/>
      <c r="Y351" s="524"/>
      <c r="Z351" s="524"/>
      <c r="AA351" s="524"/>
      <c r="AB351" s="524"/>
      <c r="AC351" s="523" t="s">
        <v>195</v>
      </c>
      <c r="AD351" s="523"/>
      <c r="AE351" s="523"/>
      <c r="AF351" s="521"/>
      <c r="AG351" s="520"/>
      <c r="AH351" s="521"/>
      <c r="AI351" s="521"/>
      <c r="AJ351" s="523"/>
      <c r="AK351" s="523"/>
      <c r="AL351" s="523"/>
      <c r="AM351" s="523"/>
      <c r="AN351" s="525"/>
      <c r="AO351" s="524"/>
      <c r="AP351" s="524"/>
      <c r="AQ351" s="524"/>
      <c r="AR351" s="524"/>
      <c r="AS351" s="524"/>
      <c r="AT351" s="524"/>
      <c r="AU351" s="526"/>
      <c r="AV351" s="526"/>
      <c r="AW351" s="523"/>
      <c r="AX351" s="523"/>
      <c r="AY351" s="525" t="str">
        <f>IF(L351="","",
IF(AX351="PT",VLOOKUP(L351,Foundation_Calc!$K$79:$R$112,VLOOKUP(AW351,Foundation_Calc!$I$2:$J$8,2,FALSE),0),
IF(AX351="K",VLOOKUP(L351,Foundation_Calc!$K$116:$R$149,VLOOKUP(AW351,Foundation_Calc!$I$2:$J$8,2,FALSE),0),"")))</f>
        <v/>
      </c>
      <c r="AZ351" s="525" t="str">
        <f>IF(K351="","",
IF(AX351="PT",VLOOKUP(K351,Foundation_Calc!$K$79:$R$112,VLOOKUP(AW351,Foundation_Calc!$I$2:$J$8,2,FALSE),0),
IF(AX351="K",VLOOKUP(K351,Foundation_Calc!$K$116:$R$149,VLOOKUP(AW351,Foundation_Calc!$I$2:$J$8,2,FALSE),0),"")))</f>
        <v/>
      </c>
      <c r="BA351" s="554" t="str">
        <f t="shared" si="25"/>
        <v/>
      </c>
      <c r="BB351" s="554" t="str">
        <f t="shared" si="25"/>
        <v/>
      </c>
      <c r="BC351" s="554" t="str">
        <f t="shared" si="24"/>
        <v/>
      </c>
      <c r="BD351" s="576"/>
      <c r="BE351" s="448" t="s">
        <v>1726</v>
      </c>
      <c r="BF351" s="305"/>
      <c r="BG351" s="305"/>
      <c r="BH351" s="306"/>
      <c r="BI351" s="305"/>
    </row>
    <row r="352" spans="1:61" ht="27" thickTop="1">
      <c r="A352" s="626" t="s">
        <v>383</v>
      </c>
      <c r="B352" s="605" t="s">
        <v>2082</v>
      </c>
      <c r="C352" s="606">
        <f>+$C$350+$G$351</f>
        <v>7143.6500000000005</v>
      </c>
      <c r="D352" s="607"/>
      <c r="E352" s="608"/>
      <c r="F352" s="608">
        <v>0</v>
      </c>
      <c r="G352" s="609"/>
      <c r="H352" s="627" t="s">
        <v>2083</v>
      </c>
      <c r="I352" s="610"/>
      <c r="J352" s="628">
        <f>'HR Track 1'!J352</f>
        <v>7147.4299999999985</v>
      </c>
      <c r="K352" s="610" t="s">
        <v>451</v>
      </c>
      <c r="L352" s="610"/>
      <c r="M352" s="610" t="str">
        <f>IF(L352="","",
IF(AX352="PT",VLOOKUP(L352,Foundation_Calc!$V$79:$X$112,VLOOKUP(AX352,Foundation_Calc!$I$10:$J$13,2,FALSE),0),
IF(AX352="K",VLOOKUP(L352,Foundation_Calc!$V$116:$X$149,VLOOKUP(AX352,Foundation_Calc!$I$10:$J$13,2,FALSE),0),"")))</f>
        <v/>
      </c>
      <c r="N352" s="670" t="s">
        <v>191</v>
      </c>
      <c r="O352" s="610" t="s">
        <v>33</v>
      </c>
      <c r="P352" s="670" t="s">
        <v>193</v>
      </c>
      <c r="Q352" s="608"/>
      <c r="R352" s="609"/>
      <c r="S352" s="609"/>
      <c r="T352" s="608">
        <v>20</v>
      </c>
      <c r="U352" s="608">
        <v>35</v>
      </c>
      <c r="V352" s="608">
        <v>55</v>
      </c>
      <c r="W352" s="611">
        <v>1</v>
      </c>
      <c r="X352" s="611">
        <v>0.9</v>
      </c>
      <c r="Y352" s="611">
        <v>0.8</v>
      </c>
      <c r="Z352" s="611"/>
      <c r="AA352" s="611"/>
      <c r="AB352" s="611">
        <v>0.35</v>
      </c>
      <c r="AC352" s="610" t="s">
        <v>1068</v>
      </c>
      <c r="AD352" s="610" t="s">
        <v>647</v>
      </c>
      <c r="AE352" s="610"/>
      <c r="AF352" s="608"/>
      <c r="AG352" s="607"/>
      <c r="AH352" s="608"/>
      <c r="AI352" s="608"/>
      <c r="AJ352" s="610"/>
      <c r="AK352" s="610" t="s">
        <v>2457</v>
      </c>
      <c r="AL352" s="610"/>
      <c r="AM352" s="610" t="s">
        <v>2458</v>
      </c>
      <c r="AN352" s="612">
        <v>5.15</v>
      </c>
      <c r="AO352" s="611"/>
      <c r="AP352" s="611"/>
      <c r="AQ352" s="611"/>
      <c r="AR352" s="611"/>
      <c r="AS352" s="611"/>
      <c r="AT352" s="611"/>
      <c r="AU352" s="613"/>
      <c r="AV352" s="613"/>
      <c r="AW352" s="610" t="s">
        <v>199</v>
      </c>
      <c r="AX352" s="610" t="s">
        <v>199</v>
      </c>
      <c r="AY352" s="612" t="str">
        <f>IF(L352="","",
IF(AX352="PT",VLOOKUP(L352,Foundation_Calc!$K$79:$R$112,VLOOKUP(AW352,Foundation_Calc!$I$2:$J$8,2,FALSE),0),
IF(AX352="K",VLOOKUP(L352,Foundation_Calc!$K$116:$R$149,VLOOKUP(AW352,Foundation_Calc!$I$2:$J$8,2,FALSE),0),"")))</f>
        <v/>
      </c>
      <c r="AZ352" s="612" t="str">
        <f>IF(K352="","",
IF(AX352="PT",VLOOKUP(K352,Foundation_Calc!$K$79:$R$112,VLOOKUP(AW352,Foundation_Calc!$I$2:$J$8,2,FALSE),0),
IF(AX352="K",VLOOKUP(K352,Foundation_Calc!$K$116:$R$149,VLOOKUP(AW352,Foundation_Calc!$I$2:$J$8,2,FALSE),0),"")))</f>
        <v/>
      </c>
      <c r="BA352" s="639" t="str">
        <f t="shared" si="25"/>
        <v/>
      </c>
      <c r="BB352" s="639" t="str">
        <f t="shared" si="25"/>
        <v/>
      </c>
      <c r="BC352" s="639" t="str">
        <f t="shared" si="24"/>
        <v/>
      </c>
      <c r="BD352" s="578"/>
      <c r="BE352" s="448" t="s">
        <v>1726</v>
      </c>
      <c r="BF352" s="306"/>
      <c r="BG352" s="306"/>
      <c r="BH352" s="306"/>
      <c r="BI352" s="306"/>
    </row>
    <row r="353" spans="1:61" ht="16.2" customHeight="1">
      <c r="A353" s="624" t="s">
        <v>383</v>
      </c>
      <c r="B353" s="469"/>
      <c r="C353" s="3"/>
      <c r="D353" s="88"/>
      <c r="E353" s="4"/>
      <c r="F353" s="4"/>
      <c r="G353" s="6">
        <v>36</v>
      </c>
      <c r="H353" s="468"/>
      <c r="I353" s="4">
        <f>SUM(G331:G353)</f>
        <v>462.9</v>
      </c>
      <c r="J353" s="3"/>
      <c r="K353" s="468"/>
      <c r="L353" s="468"/>
      <c r="M353" s="468" t="str">
        <f>IF(L353="","",
IF(AX353="PT",VLOOKUP(L353,Foundation_Calc!$V$79:$X$112,VLOOKUP(AX353,Foundation_Calc!$I$10:$J$13,2,FALSE),0),
IF(AX353="K",VLOOKUP(L353,Foundation_Calc!$V$116:$X$149,VLOOKUP(AX353,Foundation_Calc!$I$10:$J$13,2,FALSE),0),"")))</f>
        <v/>
      </c>
      <c r="N353" s="468"/>
      <c r="O353" s="468"/>
      <c r="P353" s="468"/>
      <c r="Q353" s="4"/>
      <c r="R353" s="6"/>
      <c r="S353" s="6"/>
      <c r="T353" s="4"/>
      <c r="U353" s="4"/>
      <c r="V353" s="4"/>
      <c r="W353" s="9"/>
      <c r="X353" s="9"/>
      <c r="Y353" s="9"/>
      <c r="Z353" s="9"/>
      <c r="AA353" s="9"/>
      <c r="AB353" s="9"/>
      <c r="AC353" s="468" t="s">
        <v>195</v>
      </c>
      <c r="AD353" s="468"/>
      <c r="AE353" s="468"/>
      <c r="AF353" s="4"/>
      <c r="AG353" s="88"/>
      <c r="AH353" s="4"/>
      <c r="AI353" s="4"/>
      <c r="AJ353" s="468"/>
      <c r="AK353" s="468"/>
      <c r="AL353" s="468"/>
      <c r="AM353" s="468"/>
      <c r="AN353" s="10"/>
      <c r="AO353" s="9"/>
      <c r="AP353" s="9"/>
      <c r="AQ353" s="9"/>
      <c r="AR353" s="9"/>
      <c r="AS353" s="9"/>
      <c r="AT353" s="9"/>
      <c r="AU353" s="447"/>
      <c r="AV353" s="447"/>
      <c r="AW353" s="468"/>
      <c r="AX353" s="468"/>
      <c r="AY353" s="10" t="str">
        <f>IF(L353="","",
IF(AX353="PT",VLOOKUP(L353,Foundation_Calc!$K$79:$R$112,VLOOKUP(AW353,Foundation_Calc!$I$2:$J$8,2,FALSE),0),
IF(AX353="K",VLOOKUP(L353,Foundation_Calc!$K$116:$R$149,VLOOKUP(AW353,Foundation_Calc!$I$2:$J$8,2,FALSE),0),"")))</f>
        <v/>
      </c>
      <c r="AZ353" s="10" t="str">
        <f>IF(K353="","",
IF(AX353="PT",VLOOKUP(K353,Foundation_Calc!$K$79:$R$112,VLOOKUP(AW353,Foundation_Calc!$I$2:$J$8,2,FALSE),0),
IF(AX353="K",VLOOKUP(K353,Foundation_Calc!$K$116:$R$149,VLOOKUP(AW353,Foundation_Calc!$I$2:$J$8,2,FALSE),0),"")))</f>
        <v/>
      </c>
      <c r="BA353" s="553" t="str">
        <f t="shared" si="25"/>
        <v/>
      </c>
      <c r="BB353" s="553" t="str">
        <f t="shared" si="25"/>
        <v/>
      </c>
      <c r="BC353" s="553" t="str">
        <f t="shared" si="24"/>
        <v/>
      </c>
      <c r="BD353" s="572"/>
      <c r="BE353" s="448" t="s">
        <v>1726</v>
      </c>
      <c r="BF353" s="305"/>
      <c r="BG353" s="305"/>
      <c r="BH353" s="306"/>
      <c r="BI353" s="305"/>
    </row>
    <row r="354" spans="1:61" ht="16.2" customHeight="1">
      <c r="A354" s="624" t="s">
        <v>383</v>
      </c>
      <c r="B354" s="469" t="s">
        <v>2142</v>
      </c>
      <c r="C354" s="3">
        <f>+$C$352+$G$353</f>
        <v>7179.6500000000005</v>
      </c>
      <c r="D354" s="88"/>
      <c r="E354" s="4"/>
      <c r="F354" s="4">
        <v>0</v>
      </c>
      <c r="G354" s="6"/>
      <c r="H354" s="468" t="s">
        <v>367</v>
      </c>
      <c r="I354" s="468"/>
      <c r="J354" s="3"/>
      <c r="K354" s="468"/>
      <c r="L354" s="468"/>
      <c r="M354" s="468" t="str">
        <f>IF(L354="","",
IF(AX354="PT",VLOOKUP(L354,Foundation_Calc!$V$79:$X$112,VLOOKUP(AX354,Foundation_Calc!$I$10:$J$13,2,FALSE),0),
IF(AX354="K",VLOOKUP(L354,Foundation_Calc!$V$116:$X$149,VLOOKUP(AX354,Foundation_Calc!$I$10:$J$13,2,FALSE),0),"")))</f>
        <v/>
      </c>
      <c r="N354" s="468" t="s">
        <v>191</v>
      </c>
      <c r="O354" s="468"/>
      <c r="P354" s="468"/>
      <c r="Q354" s="4"/>
      <c r="R354" s="6"/>
      <c r="S354" s="6"/>
      <c r="T354" s="4">
        <v>-25</v>
      </c>
      <c r="U354" s="4"/>
      <c r="V354" s="4"/>
      <c r="W354" s="9">
        <v>1</v>
      </c>
      <c r="X354" s="9"/>
      <c r="Y354" s="9"/>
      <c r="Z354" s="9"/>
      <c r="AA354" s="9"/>
      <c r="AB354" s="9"/>
      <c r="AC354" s="468" t="s">
        <v>630</v>
      </c>
      <c r="AD354" s="468"/>
      <c r="AE354" s="468"/>
      <c r="AF354" s="4"/>
      <c r="AG354" s="88"/>
      <c r="AH354" s="4"/>
      <c r="AI354" s="4"/>
      <c r="AJ354" s="468"/>
      <c r="AK354" s="468" t="s">
        <v>41</v>
      </c>
      <c r="AL354" s="468"/>
      <c r="AM354" s="468" t="s">
        <v>2458</v>
      </c>
      <c r="AN354" s="10">
        <v>5.15</v>
      </c>
      <c r="AO354" s="9"/>
      <c r="AP354" s="9"/>
      <c r="AQ354" s="9"/>
      <c r="AR354" s="9"/>
      <c r="AS354" s="9"/>
      <c r="AT354" s="9"/>
      <c r="AU354" s="447"/>
      <c r="AV354" s="447"/>
      <c r="AW354" s="468" t="s">
        <v>199</v>
      </c>
      <c r="AX354" s="468" t="s">
        <v>199</v>
      </c>
      <c r="AY354" s="10" t="str">
        <f>IF(L354="","",
IF(AX354="PT",VLOOKUP(L354,Foundation_Calc!$K$79:$R$112,VLOOKUP(AW354,Foundation_Calc!$I$2:$J$8,2,FALSE),0),
IF(AX354="K",VLOOKUP(L354,Foundation_Calc!$K$116:$R$149,VLOOKUP(AW354,Foundation_Calc!$I$2:$J$8,2,FALSE),0),"")))</f>
        <v/>
      </c>
      <c r="AZ354" s="10" t="str">
        <f>IF(K354="","",
IF(AX354="PT",VLOOKUP(K354,Foundation_Calc!$K$79:$R$112,VLOOKUP(AW354,Foundation_Calc!$I$2:$J$8,2,FALSE),0),
IF(AX354="K",VLOOKUP(K354,Foundation_Calc!$K$116:$R$149,VLOOKUP(AW354,Foundation_Calc!$I$2:$J$8,2,FALSE),0),"")))</f>
        <v/>
      </c>
      <c r="BA354" s="553" t="str">
        <f t="shared" si="25"/>
        <v/>
      </c>
      <c r="BB354" s="553" t="str">
        <f t="shared" si="25"/>
        <v/>
      </c>
      <c r="BC354" s="553" t="str">
        <f t="shared" si="24"/>
        <v/>
      </c>
      <c r="BD354" s="572"/>
      <c r="BE354" s="448" t="s">
        <v>1726</v>
      </c>
      <c r="BF354" s="306"/>
      <c r="BG354" s="306"/>
      <c r="BH354" s="306"/>
      <c r="BI354" s="306"/>
    </row>
    <row r="355" spans="1:61" ht="16.2" customHeight="1">
      <c r="A355" s="624" t="s">
        <v>383</v>
      </c>
      <c r="B355" s="469"/>
      <c r="C355" s="3"/>
      <c r="D355" s="88"/>
      <c r="E355" s="4"/>
      <c r="F355" s="4"/>
      <c r="G355" s="6">
        <v>27</v>
      </c>
      <c r="H355" s="468"/>
      <c r="I355" s="4">
        <f>SUM(G355:G377)</f>
        <v>292.50000000000006</v>
      </c>
      <c r="J355" s="3">
        <f>C356-10</f>
        <v>7196.6500000000005</v>
      </c>
      <c r="K355" s="468" t="s">
        <v>447</v>
      </c>
      <c r="L355" s="468"/>
      <c r="M355" s="468" t="str">
        <f>IF(L355="","",
IF(AX355="PT",VLOOKUP(L355,Foundation_Calc!$V$79:$X$112,VLOOKUP(AX355,Foundation_Calc!$I$10:$J$13,2,FALSE),0),
IF(AX355="K",VLOOKUP(L355,Foundation_Calc!$V$116:$X$149,VLOOKUP(AX355,Foundation_Calc!$I$10:$J$13,2,FALSE),0),"")))</f>
        <v/>
      </c>
      <c r="N355" s="468"/>
      <c r="O355" s="468"/>
      <c r="P355" s="468"/>
      <c r="Q355" s="4"/>
      <c r="R355" s="6"/>
      <c r="S355" s="6"/>
      <c r="T355" s="4"/>
      <c r="U355" s="4"/>
      <c r="V355" s="4"/>
      <c r="W355" s="9"/>
      <c r="X355" s="9"/>
      <c r="Y355" s="9"/>
      <c r="Z355" s="9"/>
      <c r="AA355" s="9"/>
      <c r="AB355" s="9"/>
      <c r="AC355" s="468" t="s">
        <v>195</v>
      </c>
      <c r="AD355" s="468"/>
      <c r="AE355" s="468"/>
      <c r="AF355" s="4"/>
      <c r="AG355" s="88"/>
      <c r="AH355" s="4"/>
      <c r="AI355" s="4"/>
      <c r="AJ355" s="468"/>
      <c r="AK355" s="468"/>
      <c r="AL355" s="468"/>
      <c r="AM355" s="468"/>
      <c r="AN355" s="10"/>
      <c r="AO355" s="9"/>
      <c r="AP355" s="9"/>
      <c r="AQ355" s="9"/>
      <c r="AR355" s="9"/>
      <c r="AS355" s="9"/>
      <c r="AT355" s="9"/>
      <c r="AU355" s="447"/>
      <c r="AV355" s="447"/>
      <c r="AW355" s="468"/>
      <c r="AX355" s="468"/>
      <c r="AY355" s="10" t="str">
        <f>IF(L355="","",
IF(AX355="PT",VLOOKUP(L355,Foundation_Calc!$K$79:$R$112,VLOOKUP(AW355,Foundation_Calc!$I$2:$J$8,2,FALSE),0),
IF(AX355="K",VLOOKUP(L355,Foundation_Calc!$K$116:$R$149,VLOOKUP(AW355,Foundation_Calc!$I$2:$J$8,2,FALSE),0),"")))</f>
        <v/>
      </c>
      <c r="AZ355" s="10" t="str">
        <f>IF(K355="","",
IF(AX355="PT",VLOOKUP(K355,Foundation_Calc!$K$79:$R$112,VLOOKUP(AW355,Foundation_Calc!$I$2:$J$8,2,FALSE),0),
IF(AX355="K",VLOOKUP(K355,Foundation_Calc!$K$116:$R$149,VLOOKUP(AW355,Foundation_Calc!$I$2:$J$8,2,FALSE),0),"")))</f>
        <v/>
      </c>
      <c r="BA355" s="553" t="str">
        <f t="shared" si="25"/>
        <v/>
      </c>
      <c r="BB355" s="553" t="str">
        <f t="shared" si="25"/>
        <v/>
      </c>
      <c r="BC355" s="553" t="str">
        <f t="shared" si="24"/>
        <v/>
      </c>
      <c r="BD355" s="572"/>
      <c r="BE355" s="448" t="s">
        <v>1726</v>
      </c>
      <c r="BF355" s="305"/>
      <c r="BG355" s="305"/>
      <c r="BH355" s="306"/>
      <c r="BI355" s="305"/>
    </row>
    <row r="356" spans="1:61" ht="26.4">
      <c r="A356" s="624" t="s">
        <v>383</v>
      </c>
      <c r="B356" s="469" t="s">
        <v>2143</v>
      </c>
      <c r="C356" s="3">
        <f>+$C$354+$G$355</f>
        <v>7206.6500000000005</v>
      </c>
      <c r="D356" s="88"/>
      <c r="E356" s="4"/>
      <c r="F356" s="4">
        <v>-300</v>
      </c>
      <c r="G356" s="6"/>
      <c r="H356" s="467" t="s">
        <v>2035</v>
      </c>
      <c r="I356" s="468" t="s">
        <v>1155</v>
      </c>
      <c r="J356" s="3">
        <f>C356-1</f>
        <v>7205.6500000000005</v>
      </c>
      <c r="K356" s="468" t="s">
        <v>451</v>
      </c>
      <c r="L356" s="468"/>
      <c r="M356" s="468" t="str">
        <f>IF(L356="","",
IF(AX356="PT",VLOOKUP(L356,Foundation_Calc!$V$79:$X$112,VLOOKUP(AX356,Foundation_Calc!$I$10:$J$13,2,FALSE),0),
IF(AX356="K",VLOOKUP(L356,Foundation_Calc!$V$116:$X$149,VLOOKUP(AX356,Foundation_Calc!$I$10:$J$13,2,FALSE),0),"")))</f>
        <v/>
      </c>
      <c r="N356" s="468" t="s">
        <v>191</v>
      </c>
      <c r="O356" s="468"/>
      <c r="P356" s="468"/>
      <c r="Q356" s="4"/>
      <c r="R356" s="6"/>
      <c r="S356" s="6"/>
      <c r="T356" s="4">
        <v>-25</v>
      </c>
      <c r="U356" s="4"/>
      <c r="V356" s="4"/>
      <c r="W356" s="9">
        <v>1</v>
      </c>
      <c r="X356" s="9"/>
      <c r="Y356" s="9"/>
      <c r="Z356" s="9"/>
      <c r="AA356" s="9"/>
      <c r="AB356" s="9"/>
      <c r="AC356" s="468" t="s">
        <v>1341</v>
      </c>
      <c r="AD356" s="468"/>
      <c r="AE356" s="468"/>
      <c r="AF356" s="4"/>
      <c r="AG356" s="88"/>
      <c r="AH356" s="4"/>
      <c r="AI356" s="4"/>
      <c r="AJ356" s="468"/>
      <c r="AK356" s="468" t="s">
        <v>41</v>
      </c>
      <c r="AL356" s="468"/>
      <c r="AM356" s="468" t="s">
        <v>2458</v>
      </c>
      <c r="AN356" s="10">
        <v>5.15</v>
      </c>
      <c r="AO356" s="9"/>
      <c r="AP356" s="9"/>
      <c r="AQ356" s="9"/>
      <c r="AR356" s="9"/>
      <c r="AS356" s="9"/>
      <c r="AT356" s="9"/>
      <c r="AU356" s="447"/>
      <c r="AV356" s="447"/>
      <c r="AW356" s="468" t="s">
        <v>199</v>
      </c>
      <c r="AX356" s="468" t="s">
        <v>199</v>
      </c>
      <c r="AY356" s="10" t="str">
        <f>IF(L356="","",
IF(AX356="PT",VLOOKUP(L356,Foundation_Calc!$K$79:$R$112,VLOOKUP(AW356,Foundation_Calc!$I$2:$J$8,2,FALSE),0),
IF(AX356="K",VLOOKUP(L356,Foundation_Calc!$K$116:$R$149,VLOOKUP(AW356,Foundation_Calc!$I$2:$J$8,2,FALSE),0),"")))</f>
        <v/>
      </c>
      <c r="AZ356" s="10" t="str">
        <f>IF(K356="","",
IF(AX356="PT",VLOOKUP(K356,Foundation_Calc!$K$79:$R$112,VLOOKUP(AW356,Foundation_Calc!$I$2:$J$8,2,FALSE),0),
IF(AX356="K",VLOOKUP(K356,Foundation_Calc!$K$116:$R$149,VLOOKUP(AW356,Foundation_Calc!$I$2:$J$8,2,FALSE),0),"")))</f>
        <v/>
      </c>
      <c r="BA356" s="553" t="str">
        <f t="shared" si="25"/>
        <v/>
      </c>
      <c r="BB356" s="553" t="str">
        <f t="shared" si="25"/>
        <v/>
      </c>
      <c r="BC356" s="553" t="str">
        <f t="shared" si="24"/>
        <v/>
      </c>
      <c r="BD356" s="572"/>
      <c r="BE356" s="448" t="s">
        <v>1726</v>
      </c>
      <c r="BF356" s="306"/>
      <c r="BG356" s="306"/>
      <c r="BH356" s="306"/>
      <c r="BI356" s="306"/>
    </row>
    <row r="357" spans="1:61" ht="16.2" customHeight="1">
      <c r="A357" s="624" t="s">
        <v>383</v>
      </c>
      <c r="B357" s="469"/>
      <c r="C357" s="3"/>
      <c r="D357" s="88"/>
      <c r="E357" s="4"/>
      <c r="F357" s="4"/>
      <c r="G357" s="6">
        <v>23.1</v>
      </c>
      <c r="H357" s="468"/>
      <c r="I357" s="468"/>
      <c r="J357" s="3"/>
      <c r="K357" s="468"/>
      <c r="L357" s="468"/>
      <c r="M357" s="468" t="str">
        <f>IF(L357="","",
IF(AX357="PT",VLOOKUP(L357,Foundation_Calc!$V$79:$X$112,VLOOKUP(AX357,Foundation_Calc!$I$10:$J$13,2,FALSE),0),
IF(AX357="K",VLOOKUP(L357,Foundation_Calc!$V$116:$X$149,VLOOKUP(AX357,Foundation_Calc!$I$10:$J$13,2,FALSE),0),"")))</f>
        <v/>
      </c>
      <c r="N357" s="468"/>
      <c r="O357" s="468"/>
      <c r="P357" s="468"/>
      <c r="Q357" s="4"/>
      <c r="R357" s="6"/>
      <c r="S357" s="6"/>
      <c r="T357" s="4"/>
      <c r="U357" s="4"/>
      <c r="V357" s="4"/>
      <c r="W357" s="9"/>
      <c r="X357" s="9"/>
      <c r="Y357" s="9"/>
      <c r="Z357" s="9"/>
      <c r="AA357" s="9"/>
      <c r="AB357" s="9"/>
      <c r="AC357" s="468" t="str">
        <f t="shared" ref="AC357:AC377" si="26">IF(OR(AT357&gt;8,AT357&lt;-8),"PH",
IF(OR(AT357&gt;5,AT357&lt;-5),"PHQ",
IF(OR(AT357&gt;1,AT357&lt;-1),
"PHC","")))</f>
        <v/>
      </c>
      <c r="AD357" s="468"/>
      <c r="AE357" s="468"/>
      <c r="AF357" s="4"/>
      <c r="AG357" s="88"/>
      <c r="AH357" s="4"/>
      <c r="AI357" s="4"/>
      <c r="AJ357" s="468"/>
      <c r="AK357" s="468"/>
      <c r="AL357" s="468"/>
      <c r="AM357" s="468"/>
      <c r="AN357" s="10"/>
      <c r="AO357" s="9"/>
      <c r="AP357" s="9"/>
      <c r="AQ357" s="9"/>
      <c r="AR357" s="9"/>
      <c r="AS357" s="9"/>
      <c r="AT357" s="9"/>
      <c r="AU357" s="447"/>
      <c r="AV357" s="447"/>
      <c r="AW357" s="468"/>
      <c r="AX357" s="468"/>
      <c r="AY357" s="10" t="str">
        <f>IF(L357="","",
IF(AX357="PT",VLOOKUP(L357,Foundation_Calc!$K$79:$R$112,VLOOKUP(AW357,Foundation_Calc!$I$2:$J$8,2,FALSE),0),
IF(AX357="K",VLOOKUP(L357,Foundation_Calc!$K$116:$R$149,VLOOKUP(AW357,Foundation_Calc!$I$2:$J$8,2,FALSE),0),"")))</f>
        <v/>
      </c>
      <c r="AZ357" s="10" t="str">
        <f>IF(K357="","",
IF(AX357="PT",VLOOKUP(K357,Foundation_Calc!$K$79:$R$112,VLOOKUP(AW357,Foundation_Calc!$I$2:$J$8,2,FALSE),0),
IF(AX357="K",VLOOKUP(K357,Foundation_Calc!$K$116:$R$149,VLOOKUP(AW357,Foundation_Calc!$I$2:$J$8,2,FALSE),0),"")))</f>
        <v/>
      </c>
      <c r="BA357" s="553" t="str">
        <f t="shared" si="25"/>
        <v/>
      </c>
      <c r="BB357" s="553" t="str">
        <f t="shared" si="25"/>
        <v/>
      </c>
      <c r="BC357" s="553" t="str">
        <f t="shared" si="24"/>
        <v/>
      </c>
      <c r="BD357" s="572"/>
      <c r="BE357" s="448" t="s">
        <v>1726</v>
      </c>
      <c r="BF357" s="305"/>
      <c r="BG357" s="305"/>
      <c r="BH357" s="306"/>
      <c r="BI357" s="305"/>
    </row>
    <row r="358" spans="1:61" ht="16.2" customHeight="1">
      <c r="A358" s="624" t="s">
        <v>383</v>
      </c>
      <c r="B358" s="469" t="s">
        <v>2144</v>
      </c>
      <c r="C358" s="3">
        <f>+$C$356+$G$357</f>
        <v>7229.7500000000009</v>
      </c>
      <c r="D358" s="88"/>
      <c r="E358" s="4"/>
      <c r="F358" s="4">
        <v>-300</v>
      </c>
      <c r="G358" s="6"/>
      <c r="H358" s="468"/>
      <c r="I358" s="468"/>
      <c r="J358" s="3"/>
      <c r="K358" s="468"/>
      <c r="L358" s="468"/>
      <c r="M358" s="468" t="str">
        <f>IF(L358="","",
IF(AX358="PT",VLOOKUP(L358,Foundation_Calc!$V$79:$X$112,VLOOKUP(AX358,Foundation_Calc!$I$10:$J$13,2,FALSE),0),
IF(AX358="K",VLOOKUP(L358,Foundation_Calc!$V$116:$X$149,VLOOKUP(AX358,Foundation_Calc!$I$10:$J$13,2,FALSE),0),"")))</f>
        <v/>
      </c>
      <c r="N358" s="468" t="s">
        <v>191</v>
      </c>
      <c r="O358" s="468"/>
      <c r="P358" s="468"/>
      <c r="Q358" s="4"/>
      <c r="R358" s="6"/>
      <c r="S358" s="6"/>
      <c r="T358" s="4">
        <v>-25</v>
      </c>
      <c r="U358" s="4"/>
      <c r="V358" s="4"/>
      <c r="W358" s="9">
        <v>1</v>
      </c>
      <c r="X358" s="9"/>
      <c r="Y358" s="9"/>
      <c r="Z358" s="9"/>
      <c r="AA358" s="9"/>
      <c r="AB358" s="9"/>
      <c r="AC358" s="468" t="str">
        <f t="shared" si="26"/>
        <v/>
      </c>
      <c r="AD358" s="468"/>
      <c r="AE358" s="468"/>
      <c r="AF358" s="4"/>
      <c r="AG358" s="88"/>
      <c r="AH358" s="4"/>
      <c r="AI358" s="4"/>
      <c r="AJ358" s="468"/>
      <c r="AK358" s="468" t="s">
        <v>41</v>
      </c>
      <c r="AL358" s="468"/>
      <c r="AM358" s="468" t="s">
        <v>2458</v>
      </c>
      <c r="AN358" s="10">
        <v>5.15</v>
      </c>
      <c r="AO358" s="9"/>
      <c r="AP358" s="9"/>
      <c r="AQ358" s="9"/>
      <c r="AR358" s="9"/>
      <c r="AS358" s="9"/>
      <c r="AT358" s="9"/>
      <c r="AU358" s="447"/>
      <c r="AV358" s="447"/>
      <c r="AW358" s="468" t="s">
        <v>199</v>
      </c>
      <c r="AX358" s="468" t="s">
        <v>199</v>
      </c>
      <c r="AY358" s="10" t="str">
        <f>IF(L358="","",
IF(AX358="PT",VLOOKUP(L358,Foundation_Calc!$K$79:$R$112,VLOOKUP(AW358,Foundation_Calc!$I$2:$J$8,2,FALSE),0),
IF(AX358="K",VLOOKUP(L358,Foundation_Calc!$K$116:$R$149,VLOOKUP(AW358,Foundation_Calc!$I$2:$J$8,2,FALSE),0),"")))</f>
        <v/>
      </c>
      <c r="AZ358" s="10" t="str">
        <f>IF(K358="","",
IF(AX358="PT",VLOOKUP(K358,Foundation_Calc!$K$79:$R$112,VLOOKUP(AW358,Foundation_Calc!$I$2:$J$8,2,FALSE),0),
IF(AX358="K",VLOOKUP(K358,Foundation_Calc!$K$116:$R$149,VLOOKUP(AW358,Foundation_Calc!$I$2:$J$8,2,FALSE),0),"")))</f>
        <v/>
      </c>
      <c r="BA358" s="553" t="str">
        <f t="shared" si="25"/>
        <v/>
      </c>
      <c r="BB358" s="553" t="str">
        <f t="shared" si="25"/>
        <v/>
      </c>
      <c r="BC358" s="553" t="str">
        <f t="shared" si="24"/>
        <v/>
      </c>
      <c r="BD358" s="572"/>
      <c r="BE358" s="448" t="s">
        <v>1726</v>
      </c>
      <c r="BF358" s="306"/>
      <c r="BG358" s="306"/>
      <c r="BH358" s="306"/>
      <c r="BI358" s="306"/>
    </row>
    <row r="359" spans="1:61" ht="16.2" customHeight="1">
      <c r="A359" s="624" t="s">
        <v>383</v>
      </c>
      <c r="B359" s="469"/>
      <c r="C359" s="3"/>
      <c r="D359" s="88"/>
      <c r="E359" s="4"/>
      <c r="F359" s="4"/>
      <c r="G359" s="6">
        <v>24.6</v>
      </c>
      <c r="H359" s="468"/>
      <c r="I359" s="468"/>
      <c r="J359" s="3"/>
      <c r="K359" s="468"/>
      <c r="L359" s="468"/>
      <c r="M359" s="468" t="str">
        <f>IF(L359="","",
IF(AX359="PT",VLOOKUP(L359,Foundation_Calc!$V$79:$X$112,VLOOKUP(AX359,Foundation_Calc!$I$10:$J$13,2,FALSE),0),
IF(AX359="K",VLOOKUP(L359,Foundation_Calc!$V$116:$X$149,VLOOKUP(AX359,Foundation_Calc!$I$10:$J$13,2,FALSE),0),"")))</f>
        <v/>
      </c>
      <c r="N359" s="468"/>
      <c r="O359" s="468"/>
      <c r="P359" s="468"/>
      <c r="Q359" s="4"/>
      <c r="R359" s="6"/>
      <c r="S359" s="6"/>
      <c r="T359" s="4"/>
      <c r="U359" s="4"/>
      <c r="V359" s="4"/>
      <c r="W359" s="9"/>
      <c r="X359" s="9"/>
      <c r="Y359" s="9"/>
      <c r="Z359" s="9"/>
      <c r="AA359" s="9"/>
      <c r="AB359" s="9"/>
      <c r="AC359" s="468" t="str">
        <f t="shared" si="26"/>
        <v/>
      </c>
      <c r="AD359" s="468"/>
      <c r="AE359" s="468"/>
      <c r="AF359" s="4"/>
      <c r="AG359" s="88"/>
      <c r="AH359" s="4"/>
      <c r="AI359" s="4"/>
      <c r="AJ359" s="468"/>
      <c r="AK359" s="468"/>
      <c r="AL359" s="468"/>
      <c r="AM359" s="468"/>
      <c r="AN359" s="10"/>
      <c r="AO359" s="9"/>
      <c r="AP359" s="9"/>
      <c r="AQ359" s="9"/>
      <c r="AR359" s="9"/>
      <c r="AS359" s="9"/>
      <c r="AT359" s="9"/>
      <c r="AU359" s="447"/>
      <c r="AV359" s="447"/>
      <c r="AW359" s="468"/>
      <c r="AX359" s="468"/>
      <c r="AY359" s="10" t="str">
        <f>IF(L359="","",
IF(AX359="PT",VLOOKUP(L359,Foundation_Calc!$K$79:$R$112,VLOOKUP(AW359,Foundation_Calc!$I$2:$J$8,2,FALSE),0),
IF(AX359="K",VLOOKUP(L359,Foundation_Calc!$K$116:$R$149,VLOOKUP(AW359,Foundation_Calc!$I$2:$J$8,2,FALSE),0),"")))</f>
        <v/>
      </c>
      <c r="AZ359" s="10" t="str">
        <f>IF(K359="","",
IF(AX359="PT",VLOOKUP(K359,Foundation_Calc!$K$79:$R$112,VLOOKUP(AW359,Foundation_Calc!$I$2:$J$8,2,FALSE),0),
IF(AX359="K",VLOOKUP(K359,Foundation_Calc!$K$116:$R$149,VLOOKUP(AW359,Foundation_Calc!$I$2:$J$8,2,FALSE),0),"")))</f>
        <v/>
      </c>
      <c r="BA359" s="553" t="str">
        <f t="shared" si="25"/>
        <v/>
      </c>
      <c r="BB359" s="553" t="str">
        <f t="shared" si="25"/>
        <v/>
      </c>
      <c r="BC359" s="553" t="str">
        <f t="shared" si="24"/>
        <v/>
      </c>
      <c r="BD359" s="572"/>
      <c r="BE359" s="448" t="s">
        <v>1726</v>
      </c>
      <c r="BF359" s="305"/>
      <c r="BG359" s="305"/>
      <c r="BH359" s="306"/>
      <c r="BI359" s="305"/>
    </row>
    <row r="360" spans="1:61" ht="16.2" customHeight="1">
      <c r="A360" s="624" t="s">
        <v>383</v>
      </c>
      <c r="B360" s="469" t="s">
        <v>2145</v>
      </c>
      <c r="C360" s="3">
        <f>+$C$358+$G$359</f>
        <v>7254.3500000000013</v>
      </c>
      <c r="D360" s="88"/>
      <c r="E360" s="4"/>
      <c r="F360" s="4">
        <v>-300</v>
      </c>
      <c r="G360" s="6"/>
      <c r="H360" s="468"/>
      <c r="I360" s="468"/>
      <c r="J360" s="3"/>
      <c r="K360" s="468"/>
      <c r="L360" s="468"/>
      <c r="M360" s="468" t="str">
        <f>IF(L360="","",
IF(AX360="PT",VLOOKUP(L360,Foundation_Calc!$V$79:$X$112,VLOOKUP(AX360,Foundation_Calc!$I$10:$J$13,2,FALSE),0),
IF(AX360="K",VLOOKUP(L360,Foundation_Calc!$V$116:$X$149,VLOOKUP(AX360,Foundation_Calc!$I$10:$J$13,2,FALSE),0),"")))</f>
        <v/>
      </c>
      <c r="N360" s="468" t="s">
        <v>191</v>
      </c>
      <c r="O360" s="468"/>
      <c r="P360" s="468"/>
      <c r="Q360" s="4"/>
      <c r="R360" s="6"/>
      <c r="S360" s="6"/>
      <c r="T360" s="4">
        <v>-25</v>
      </c>
      <c r="U360" s="4"/>
      <c r="V360" s="4"/>
      <c r="W360" s="9">
        <v>1</v>
      </c>
      <c r="X360" s="9"/>
      <c r="Y360" s="9"/>
      <c r="Z360" s="9"/>
      <c r="AA360" s="9"/>
      <c r="AB360" s="9"/>
      <c r="AC360" s="468" t="str">
        <f t="shared" si="26"/>
        <v/>
      </c>
      <c r="AD360" s="468"/>
      <c r="AE360" s="468"/>
      <c r="AF360" s="4"/>
      <c r="AG360" s="88"/>
      <c r="AH360" s="4"/>
      <c r="AI360" s="4"/>
      <c r="AJ360" s="468"/>
      <c r="AK360" s="468" t="s">
        <v>41</v>
      </c>
      <c r="AL360" s="468"/>
      <c r="AM360" s="468" t="s">
        <v>2458</v>
      </c>
      <c r="AN360" s="10">
        <v>5.15</v>
      </c>
      <c r="AO360" s="9"/>
      <c r="AP360" s="9"/>
      <c r="AQ360" s="9"/>
      <c r="AR360" s="9"/>
      <c r="AS360" s="9"/>
      <c r="AT360" s="9"/>
      <c r="AU360" s="447"/>
      <c r="AV360" s="447"/>
      <c r="AW360" s="468" t="s">
        <v>199</v>
      </c>
      <c r="AX360" s="468" t="s">
        <v>199</v>
      </c>
      <c r="AY360" s="10" t="str">
        <f>IF(L360="","",
IF(AX360="PT",VLOOKUP(L360,Foundation_Calc!$K$79:$R$112,VLOOKUP(AW360,Foundation_Calc!$I$2:$J$8,2,FALSE),0),
IF(AX360="K",VLOOKUP(L360,Foundation_Calc!$K$116:$R$149,VLOOKUP(AW360,Foundation_Calc!$I$2:$J$8,2,FALSE),0),"")))</f>
        <v/>
      </c>
      <c r="AZ360" s="10" t="str">
        <f>IF(K360="","",
IF(AX360="PT",VLOOKUP(K360,Foundation_Calc!$K$79:$R$112,VLOOKUP(AW360,Foundation_Calc!$I$2:$J$8,2,FALSE),0),
IF(AX360="K",VLOOKUP(K360,Foundation_Calc!$K$116:$R$149,VLOOKUP(AW360,Foundation_Calc!$I$2:$J$8,2,FALSE),0),"")))</f>
        <v/>
      </c>
      <c r="BA360" s="553" t="str">
        <f t="shared" si="25"/>
        <v/>
      </c>
      <c r="BB360" s="553" t="str">
        <f t="shared" si="25"/>
        <v/>
      </c>
      <c r="BC360" s="553" t="str">
        <f t="shared" si="24"/>
        <v/>
      </c>
      <c r="BD360" s="572"/>
      <c r="BE360" s="448" t="s">
        <v>1726</v>
      </c>
      <c r="BF360" s="306"/>
      <c r="BG360" s="306"/>
      <c r="BH360" s="306"/>
      <c r="BI360" s="306"/>
    </row>
    <row r="361" spans="1:61" ht="16.2" customHeight="1">
      <c r="A361" s="573" t="s">
        <v>383</v>
      </c>
      <c r="B361" s="469"/>
      <c r="C361" s="3"/>
      <c r="D361" s="88"/>
      <c r="E361" s="4"/>
      <c r="F361" s="4"/>
      <c r="G361" s="6">
        <v>24.4</v>
      </c>
      <c r="H361" s="468"/>
      <c r="I361" s="468"/>
      <c r="J361" s="3"/>
      <c r="K361" s="468"/>
      <c r="L361" s="468"/>
      <c r="M361" s="468" t="str">
        <f>IF(L361="","",
IF(AX361="PT",VLOOKUP(L361,Foundation_Calc!$V$79:$X$112,VLOOKUP(AX361,Foundation_Calc!$I$10:$J$13,2,FALSE),0),
IF(AX361="K",VLOOKUP(L361,Foundation_Calc!$V$116:$X$149,VLOOKUP(AX361,Foundation_Calc!$I$10:$J$13,2,FALSE),0),"")))</f>
        <v/>
      </c>
      <c r="N361" s="468"/>
      <c r="O361" s="468"/>
      <c r="P361" s="468"/>
      <c r="Q361" s="4"/>
      <c r="R361" s="6"/>
      <c r="S361" s="6"/>
      <c r="T361" s="4"/>
      <c r="U361" s="4"/>
      <c r="V361" s="4"/>
      <c r="W361" s="9"/>
      <c r="X361" s="9"/>
      <c r="Y361" s="9"/>
      <c r="Z361" s="9"/>
      <c r="AA361" s="9"/>
      <c r="AB361" s="9"/>
      <c r="AC361" s="468" t="str">
        <f t="shared" si="26"/>
        <v/>
      </c>
      <c r="AD361" s="468"/>
      <c r="AE361" s="468"/>
      <c r="AF361" s="4"/>
      <c r="AG361" s="88"/>
      <c r="AH361" s="4"/>
      <c r="AI361" s="4"/>
      <c r="AJ361" s="468"/>
      <c r="AK361" s="468"/>
      <c r="AL361" s="468"/>
      <c r="AM361" s="468"/>
      <c r="AN361" s="10"/>
      <c r="AO361" s="9"/>
      <c r="AP361" s="9"/>
      <c r="AQ361" s="9">
        <f>+FL_2($T$362,$T$360,$G$361,1200,9.28, 1*$F$362)</f>
        <v>-0.3</v>
      </c>
      <c r="AR361" s="9"/>
      <c r="AS361" s="9"/>
      <c r="AT361" s="9"/>
      <c r="AU361" s="447"/>
      <c r="AV361" s="447"/>
      <c r="AW361" s="468"/>
      <c r="AX361" s="468"/>
      <c r="AY361" s="10" t="str">
        <f>IF(L361="","",
IF(AX361="PT",VLOOKUP(L361,Foundation_Calc!$K$79:$R$112,VLOOKUP(AW361,Foundation_Calc!$I$2:$J$8,2,FALSE),0),
IF(AX361="K",VLOOKUP(L361,Foundation_Calc!$K$116:$R$149,VLOOKUP(AW361,Foundation_Calc!$I$2:$J$8,2,FALSE),0),"")))</f>
        <v/>
      </c>
      <c r="AZ361" s="10" t="str">
        <f>IF(K361="","",
IF(AX361="PT",VLOOKUP(K361,Foundation_Calc!$K$79:$R$112,VLOOKUP(AW361,Foundation_Calc!$I$2:$J$8,2,FALSE),0),
IF(AX361="K",VLOOKUP(K361,Foundation_Calc!$K$116:$R$149,VLOOKUP(AW361,Foundation_Calc!$I$2:$J$8,2,FALSE),0),"")))</f>
        <v/>
      </c>
      <c r="BA361" s="553" t="str">
        <f t="shared" si="25"/>
        <v/>
      </c>
      <c r="BB361" s="553" t="str">
        <f t="shared" si="25"/>
        <v/>
      </c>
      <c r="BC361" s="553" t="str">
        <f t="shared" si="24"/>
        <v/>
      </c>
      <c r="BD361" s="572"/>
      <c r="BE361" s="448" t="s">
        <v>1726</v>
      </c>
      <c r="BF361" s="305"/>
      <c r="BG361" s="305"/>
      <c r="BH361" s="306"/>
      <c r="BI361" s="305"/>
    </row>
    <row r="362" spans="1:61" ht="16.2" customHeight="1">
      <c r="A362" s="573"/>
      <c r="B362" s="469" t="s">
        <v>2146</v>
      </c>
      <c r="C362" s="3">
        <f>+$C$360+$G$361</f>
        <v>7278.7500000000009</v>
      </c>
      <c r="D362" s="88"/>
      <c r="E362" s="4"/>
      <c r="F362" s="4">
        <v>-300</v>
      </c>
      <c r="G362" s="6"/>
      <c r="H362" s="468"/>
      <c r="I362" s="468"/>
      <c r="J362" s="3"/>
      <c r="K362" s="468"/>
      <c r="L362" s="468" t="s">
        <v>2551</v>
      </c>
      <c r="M362" s="468" t="str">
        <f>IF(L362="","",
IF(AX362="PT",VLOOKUP(L362,Foundation_Calc!$V$79:$X$112,VLOOKUP(AX362,Foundation_Calc!$I$10:$J$13,2,FALSE),0),
IF(AX362="K",VLOOKUP(L362,Foundation_Calc!$V$116:$X$149,VLOOKUP(AX362,Foundation_Calc!$I$10:$J$13,2,FALSE),0),"")))</f>
        <v/>
      </c>
      <c r="N362" s="468" t="s">
        <v>32</v>
      </c>
      <c r="O362" s="468"/>
      <c r="P362" s="468"/>
      <c r="Q362" s="4"/>
      <c r="R362" s="6"/>
      <c r="S362" s="6"/>
      <c r="T362" s="4">
        <v>-30</v>
      </c>
      <c r="U362" s="4"/>
      <c r="V362" s="4"/>
      <c r="W362" s="9">
        <v>1</v>
      </c>
      <c r="X362" s="9"/>
      <c r="Y362" s="9"/>
      <c r="Z362" s="9"/>
      <c r="AA362" s="9"/>
      <c r="AB362" s="9"/>
      <c r="AC362" s="468" t="str">
        <f t="shared" si="26"/>
        <v>PHC</v>
      </c>
      <c r="AD362" s="468"/>
      <c r="AE362" s="468"/>
      <c r="AF362" s="4"/>
      <c r="AG362" s="88"/>
      <c r="AH362" s="4"/>
      <c r="AI362" s="4"/>
      <c r="AJ362" s="468"/>
      <c r="AK362" s="468"/>
      <c r="AL362" s="468"/>
      <c r="AM362" s="468"/>
      <c r="AN362" s="10">
        <v>5.15</v>
      </c>
      <c r="AO362" s="9"/>
      <c r="AP362" s="9"/>
      <c r="AQ362" s="9"/>
      <c r="AR362" s="9"/>
      <c r="AS362" s="9"/>
      <c r="AT362" s="9">
        <f>+ab($T$362,$T$360,$T$364,$G$361,$G$363, 1*$F$362,1200)</f>
        <v>-2.2955339623233786</v>
      </c>
      <c r="AU362" s="447"/>
      <c r="AV362" s="447"/>
      <c r="AW362" s="468" t="s">
        <v>199</v>
      </c>
      <c r="AX362" s="468" t="s">
        <v>199</v>
      </c>
      <c r="AY362" s="10" t="str">
        <f>IF(L362="","",
IF(AX362="PT",VLOOKUP(L362,Foundation_Calc!$K$79:$R$112,VLOOKUP(AW362,Foundation_Calc!$I$2:$J$8,2,FALSE),0),
IF(AX362="K",VLOOKUP(L362,Foundation_Calc!$K$116:$R$149,VLOOKUP(AW362,Foundation_Calc!$I$2:$J$8,2,FALSE),0),"")))</f>
        <v/>
      </c>
      <c r="AZ362" s="10" t="str">
        <f>IF(K362="","",
IF(AX362="PT",VLOOKUP(K362,Foundation_Calc!$K$79:$R$112,VLOOKUP(AW362,Foundation_Calc!$I$2:$J$8,2,FALSE),0),
IF(AX362="K",VLOOKUP(K362,Foundation_Calc!$K$116:$R$149,VLOOKUP(AW362,Foundation_Calc!$I$2:$J$8,2,FALSE),0),"")))</f>
        <v/>
      </c>
      <c r="BA362" s="553" t="str">
        <f t="shared" si="25"/>
        <v/>
      </c>
      <c r="BB362" s="553" t="str">
        <f t="shared" si="25"/>
        <v/>
      </c>
      <c r="BC362" s="553" t="str">
        <f t="shared" si="24"/>
        <v/>
      </c>
      <c r="BD362" s="572"/>
      <c r="BE362" s="448" t="s">
        <v>1726</v>
      </c>
      <c r="BF362" s="306"/>
      <c r="BG362" s="306"/>
      <c r="BH362" s="306"/>
      <c r="BI362" s="306"/>
    </row>
    <row r="363" spans="1:61" ht="16.2" customHeight="1">
      <c r="A363" s="573"/>
      <c r="B363" s="469"/>
      <c r="C363" s="3"/>
      <c r="D363" s="88"/>
      <c r="E363" s="4"/>
      <c r="F363" s="4"/>
      <c r="G363" s="6">
        <v>24.5</v>
      </c>
      <c r="H363" s="468"/>
      <c r="I363" s="468"/>
      <c r="J363" s="3"/>
      <c r="K363" s="468"/>
      <c r="L363" s="468"/>
      <c r="M363" s="468" t="str">
        <f>IF(L363="","",
IF(AX363="PT",VLOOKUP(L363,Foundation_Calc!$V$79:$X$112,VLOOKUP(AX363,Foundation_Calc!$I$10:$J$13,2,FALSE),0),
IF(AX363="K",VLOOKUP(L363,Foundation_Calc!$V$116:$X$149,VLOOKUP(AX363,Foundation_Calc!$I$10:$J$13,2,FALSE),0),"")))</f>
        <v/>
      </c>
      <c r="N363" s="468"/>
      <c r="O363" s="468"/>
      <c r="P363" s="468"/>
      <c r="Q363" s="4"/>
      <c r="R363" s="6"/>
      <c r="S363" s="6"/>
      <c r="T363" s="4"/>
      <c r="U363" s="4"/>
      <c r="V363" s="4"/>
      <c r="W363" s="9"/>
      <c r="X363" s="9"/>
      <c r="Y363" s="9"/>
      <c r="Z363" s="9"/>
      <c r="AA363" s="9"/>
      <c r="AB363" s="9"/>
      <c r="AC363" s="468" t="str">
        <f t="shared" si="26"/>
        <v/>
      </c>
      <c r="AD363" s="468"/>
      <c r="AE363" s="468"/>
      <c r="AF363" s="4"/>
      <c r="AG363" s="88"/>
      <c r="AH363" s="4"/>
      <c r="AI363" s="4"/>
      <c r="AJ363" s="468"/>
      <c r="AK363" s="468"/>
      <c r="AL363" s="468"/>
      <c r="AM363" s="468"/>
      <c r="AN363" s="10"/>
      <c r="AO363" s="9"/>
      <c r="AP363" s="9"/>
      <c r="AQ363" s="9">
        <f>+FL_2($T$364,$T$362,$G$363,1200,9.28, 1*$F$364)</f>
        <v>-0.30000000000004706</v>
      </c>
      <c r="AR363" s="9"/>
      <c r="AS363" s="9"/>
      <c r="AT363" s="9"/>
      <c r="AU363" s="447"/>
      <c r="AV363" s="447"/>
      <c r="AW363" s="468"/>
      <c r="AX363" s="468"/>
      <c r="AY363" s="10" t="str">
        <f>IF(L363="","",
IF(AX363="PT",VLOOKUP(L363,Foundation_Calc!$K$79:$R$112,VLOOKUP(AW363,Foundation_Calc!$I$2:$J$8,2,FALSE),0),
IF(AX363="K",VLOOKUP(L363,Foundation_Calc!$K$116:$R$149,VLOOKUP(AW363,Foundation_Calc!$I$2:$J$8,2,FALSE),0),"")))</f>
        <v/>
      </c>
      <c r="AZ363" s="10" t="str">
        <f>IF(K363="","",
IF(AX363="PT",VLOOKUP(K363,Foundation_Calc!$K$79:$R$112,VLOOKUP(AW363,Foundation_Calc!$I$2:$J$8,2,FALSE),0),
IF(AX363="K",VLOOKUP(K363,Foundation_Calc!$K$116:$R$149,VLOOKUP(AW363,Foundation_Calc!$I$2:$J$8,2,FALSE),0),"")))</f>
        <v/>
      </c>
      <c r="BA363" s="553" t="str">
        <f t="shared" si="25"/>
        <v/>
      </c>
      <c r="BB363" s="553" t="str">
        <f t="shared" si="25"/>
        <v/>
      </c>
      <c r="BC363" s="553" t="str">
        <f t="shared" si="24"/>
        <v/>
      </c>
      <c r="BD363" s="572"/>
      <c r="BE363" s="448" t="s">
        <v>1726</v>
      </c>
      <c r="BF363" s="305"/>
      <c r="BG363" s="305"/>
      <c r="BH363" s="306"/>
      <c r="BI363" s="305"/>
    </row>
    <row r="364" spans="1:61" ht="16.2" customHeight="1">
      <c r="A364" s="573"/>
      <c r="B364" s="469" t="s">
        <v>2147</v>
      </c>
      <c r="C364" s="3">
        <f>+$C$362+$G$363</f>
        <v>7303.2500000000009</v>
      </c>
      <c r="D364" s="88"/>
      <c r="E364" s="4"/>
      <c r="F364" s="4">
        <v>-300</v>
      </c>
      <c r="G364" s="6"/>
      <c r="H364" s="468"/>
      <c r="I364" s="468"/>
      <c r="J364" s="3"/>
      <c r="K364" s="468"/>
      <c r="L364" s="468" t="s">
        <v>2551</v>
      </c>
      <c r="M364" s="468" t="str">
        <f>IF(L364="","",
IF(AX364="PT",VLOOKUP(L364,Foundation_Calc!$V$79:$X$112,VLOOKUP(AX364,Foundation_Calc!$I$10:$J$13,2,FALSE),0),
IF(AX364="K",VLOOKUP(L364,Foundation_Calc!$V$116:$X$149,VLOOKUP(AX364,Foundation_Calc!$I$10:$J$13,2,FALSE),0),"")))</f>
        <v/>
      </c>
      <c r="N364" s="468" t="s">
        <v>32</v>
      </c>
      <c r="O364" s="468"/>
      <c r="P364" s="468"/>
      <c r="Q364" s="4"/>
      <c r="R364" s="6"/>
      <c r="S364" s="6"/>
      <c r="T364" s="4">
        <v>-30</v>
      </c>
      <c r="U364" s="4"/>
      <c r="V364" s="4"/>
      <c r="W364" s="9">
        <v>1.2</v>
      </c>
      <c r="X364" s="9"/>
      <c r="Y364" s="9"/>
      <c r="Z364" s="9"/>
      <c r="AA364" s="9"/>
      <c r="AB364" s="9"/>
      <c r="AC364" s="468" t="str">
        <f t="shared" si="26"/>
        <v>PHC</v>
      </c>
      <c r="AD364" s="468"/>
      <c r="AE364" s="468"/>
      <c r="AF364" s="4"/>
      <c r="AG364" s="88"/>
      <c r="AH364" s="4"/>
      <c r="AI364" s="4"/>
      <c r="AJ364" s="468"/>
      <c r="AK364" s="468"/>
      <c r="AL364" s="468"/>
      <c r="AM364" s="468"/>
      <c r="AN364" s="10">
        <v>5.15</v>
      </c>
      <c r="AO364" s="9"/>
      <c r="AP364" s="9"/>
      <c r="AQ364" s="9"/>
      <c r="AR364" s="9"/>
      <c r="AS364" s="9"/>
      <c r="AT364" s="9">
        <f>+ab($T$364,$T$362,$T$366,$G$363,$G$365, 1*$F$364,1200)</f>
        <v>-2.3580038778351748</v>
      </c>
      <c r="AU364" s="447"/>
      <c r="AV364" s="447"/>
      <c r="AW364" s="468" t="s">
        <v>199</v>
      </c>
      <c r="AX364" s="468" t="s">
        <v>199</v>
      </c>
      <c r="AY364" s="10" t="str">
        <f>IF(L364="","",
IF(AX364="PT",VLOOKUP(L364,Foundation_Calc!$K$79:$R$112,VLOOKUP(AW364,Foundation_Calc!$I$2:$J$8,2,FALSE),0),
IF(AX364="K",VLOOKUP(L364,Foundation_Calc!$K$116:$R$149,VLOOKUP(AW364,Foundation_Calc!$I$2:$J$8,2,FALSE),0),"")))</f>
        <v/>
      </c>
      <c r="AZ364" s="10" t="str">
        <f>IF(K364="","",
IF(AX364="PT",VLOOKUP(K364,Foundation_Calc!$K$79:$R$112,VLOOKUP(AW364,Foundation_Calc!$I$2:$J$8,2,FALSE),0),
IF(AX364="K",VLOOKUP(K364,Foundation_Calc!$K$116:$R$149,VLOOKUP(AW364,Foundation_Calc!$I$2:$J$8,2,FALSE),0),"")))</f>
        <v/>
      </c>
      <c r="BA364" s="553" t="str">
        <f t="shared" si="25"/>
        <v/>
      </c>
      <c r="BB364" s="553" t="str">
        <f t="shared" si="25"/>
        <v/>
      </c>
      <c r="BC364" s="553" t="str">
        <f t="shared" si="24"/>
        <v/>
      </c>
      <c r="BD364" s="572"/>
      <c r="BE364" s="448" t="s">
        <v>1726</v>
      </c>
      <c r="BF364" s="306"/>
      <c r="BG364" s="306"/>
      <c r="BH364" s="306"/>
      <c r="BI364" s="306"/>
    </row>
    <row r="365" spans="1:61" ht="16.2" customHeight="1">
      <c r="A365" s="573"/>
      <c r="B365" s="469"/>
      <c r="C365" s="3"/>
      <c r="D365" s="88"/>
      <c r="E365" s="4"/>
      <c r="F365" s="4"/>
      <c r="G365" s="6">
        <v>24.3</v>
      </c>
      <c r="H365" s="468"/>
      <c r="I365" s="468"/>
      <c r="J365" s="3"/>
      <c r="K365" s="468"/>
      <c r="L365" s="468"/>
      <c r="M365" s="468" t="str">
        <f>IF(L365="","",
IF(AX365="PT",VLOOKUP(L365,Foundation_Calc!$V$79:$X$112,VLOOKUP(AX365,Foundation_Calc!$I$10:$J$13,2,FALSE),0),
IF(AX365="K",VLOOKUP(L365,Foundation_Calc!$V$116:$X$149,VLOOKUP(AX365,Foundation_Calc!$I$10:$J$13,2,FALSE),0),"")))</f>
        <v/>
      </c>
      <c r="N365" s="468"/>
      <c r="O365" s="468"/>
      <c r="P365" s="468"/>
      <c r="Q365" s="4"/>
      <c r="R365" s="6"/>
      <c r="S365" s="6"/>
      <c r="T365" s="4"/>
      <c r="U365" s="4"/>
      <c r="V365" s="4"/>
      <c r="W365" s="9"/>
      <c r="X365" s="9"/>
      <c r="Y365" s="9"/>
      <c r="Z365" s="9"/>
      <c r="AA365" s="9"/>
      <c r="AB365" s="9"/>
      <c r="AC365" s="468" t="str">
        <f t="shared" si="26"/>
        <v/>
      </c>
      <c r="AD365" s="468"/>
      <c r="AE365" s="468"/>
      <c r="AF365" s="4"/>
      <c r="AG365" s="88"/>
      <c r="AH365" s="4"/>
      <c r="AI365" s="4"/>
      <c r="AJ365" s="468"/>
      <c r="AK365" s="468"/>
      <c r="AL365" s="468"/>
      <c r="AM365" s="468"/>
      <c r="AN365" s="10"/>
      <c r="AO365" s="9"/>
      <c r="AP365" s="9"/>
      <c r="AQ365" s="9">
        <f>+FL_2($T$366,$T$364,$G$365,1200,9.28, 1*$F$366)</f>
        <v>-0.30000000000004745</v>
      </c>
      <c r="AR365" s="9"/>
      <c r="AS365" s="9"/>
      <c r="AT365" s="9"/>
      <c r="AU365" s="447"/>
      <c r="AV365" s="447"/>
      <c r="AW365" s="468"/>
      <c r="AX365" s="468"/>
      <c r="AY365" s="10" t="str">
        <f>IF(L365="","",
IF(AX365="PT",VLOOKUP(L365,Foundation_Calc!$K$79:$R$112,VLOOKUP(AW365,Foundation_Calc!$I$2:$J$8,2,FALSE),0),
IF(AX365="K",VLOOKUP(L365,Foundation_Calc!$K$116:$R$149,VLOOKUP(AW365,Foundation_Calc!$I$2:$J$8,2,FALSE),0),"")))</f>
        <v/>
      </c>
      <c r="AZ365" s="10" t="str">
        <f>IF(K365="","",
IF(AX365="PT",VLOOKUP(K365,Foundation_Calc!$K$79:$R$112,VLOOKUP(AW365,Foundation_Calc!$I$2:$J$8,2,FALSE),0),
IF(AX365="K",VLOOKUP(K365,Foundation_Calc!$K$116:$R$149,VLOOKUP(AW365,Foundation_Calc!$I$2:$J$8,2,FALSE),0),"")))</f>
        <v/>
      </c>
      <c r="BA365" s="553" t="str">
        <f t="shared" si="25"/>
        <v/>
      </c>
      <c r="BB365" s="553" t="str">
        <f t="shared" si="25"/>
        <v/>
      </c>
      <c r="BC365" s="553" t="str">
        <f t="shared" si="24"/>
        <v/>
      </c>
      <c r="BD365" s="572"/>
      <c r="BE365" s="448" t="s">
        <v>1726</v>
      </c>
      <c r="BF365" s="305"/>
      <c r="BG365" s="305"/>
      <c r="BH365" s="306"/>
      <c r="BI365" s="305"/>
    </row>
    <row r="366" spans="1:61" ht="16.2" customHeight="1">
      <c r="A366" s="573"/>
      <c r="B366" s="469" t="s">
        <v>2148</v>
      </c>
      <c r="C366" s="3">
        <f>+$C$364+$G$365</f>
        <v>7327.5500000000011</v>
      </c>
      <c r="D366" s="88"/>
      <c r="E366" s="4"/>
      <c r="F366" s="4">
        <v>-300</v>
      </c>
      <c r="G366" s="6"/>
      <c r="H366" s="468"/>
      <c r="I366" s="468"/>
      <c r="J366" s="3"/>
      <c r="K366" s="468"/>
      <c r="L366" s="468" t="s">
        <v>199</v>
      </c>
      <c r="M366" s="468" t="str">
        <f>IF(L366="","",
IF(AX366="PT",VLOOKUP(L366,Foundation_Calc!$V$79:$X$112,VLOOKUP(AX366,Foundation_Calc!$I$10:$J$13,2,FALSE),0),
IF(AX366="K",VLOOKUP(L366,Foundation_Calc!$V$116:$X$149,VLOOKUP(AX366,Foundation_Calc!$I$10:$J$13,2,FALSE),0),"")))</f>
        <v/>
      </c>
      <c r="N366" s="468" t="s">
        <v>342</v>
      </c>
      <c r="O366" s="468"/>
      <c r="P366" s="468"/>
      <c r="Q366" s="4"/>
      <c r="R366" s="6"/>
      <c r="S366" s="6"/>
      <c r="T366" s="4">
        <v>-30</v>
      </c>
      <c r="U366" s="4"/>
      <c r="V366" s="4"/>
      <c r="W366" s="9">
        <v>1.2</v>
      </c>
      <c r="X366" s="9"/>
      <c r="Y366" s="9"/>
      <c r="Z366" s="9"/>
      <c r="AA366" s="9"/>
      <c r="AB366" s="9"/>
      <c r="AC366" s="468" t="str">
        <f t="shared" si="26"/>
        <v>PHC</v>
      </c>
      <c r="AD366" s="468"/>
      <c r="AE366" s="468"/>
      <c r="AF366" s="4"/>
      <c r="AG366" s="88"/>
      <c r="AH366" s="4"/>
      <c r="AI366" s="4"/>
      <c r="AJ366" s="468"/>
      <c r="AK366" s="468" t="s">
        <v>27</v>
      </c>
      <c r="AL366" s="468"/>
      <c r="AM366" s="468"/>
      <c r="AN366" s="10">
        <v>5.15</v>
      </c>
      <c r="AO366" s="9"/>
      <c r="AP366" s="9"/>
      <c r="AQ366" s="9"/>
      <c r="AR366" s="9"/>
      <c r="AS366" s="9"/>
      <c r="AT366" s="9">
        <f>+ab($T$366,$T$364,$U$368,$G$365,$G$367, 1*$F$366,1200)</f>
        <v>-2.4293369835702117</v>
      </c>
      <c r="AU366" s="447"/>
      <c r="AV366" s="447"/>
      <c r="AW366" s="468" t="s">
        <v>199</v>
      </c>
      <c r="AX366" s="468" t="s">
        <v>199</v>
      </c>
      <c r="AY366" s="10" t="str">
        <f>IF(L366="","",
IF(AX366="PT",VLOOKUP(L366,Foundation_Calc!$K$79:$R$112,VLOOKUP(AW366,Foundation_Calc!$I$2:$J$8,2,FALSE),0),
IF(AX366="K",VLOOKUP(L366,Foundation_Calc!$K$116:$R$149,VLOOKUP(AW366,Foundation_Calc!$I$2:$J$8,2,FALSE),0),"")))</f>
        <v/>
      </c>
      <c r="AZ366" s="10" t="str">
        <f>IF(K366="","",
IF(AX366="PT",VLOOKUP(K366,Foundation_Calc!$K$79:$R$112,VLOOKUP(AW366,Foundation_Calc!$I$2:$J$8,2,FALSE),0),
IF(AX366="K",VLOOKUP(K366,Foundation_Calc!$K$116:$R$149,VLOOKUP(AW366,Foundation_Calc!$I$2:$J$8,2,FALSE),0),"")))</f>
        <v/>
      </c>
      <c r="BA366" s="553" t="str">
        <f t="shared" si="25"/>
        <v/>
      </c>
      <c r="BB366" s="553" t="str">
        <f t="shared" si="25"/>
        <v/>
      </c>
      <c r="BC366" s="553" t="str">
        <f t="shared" si="24"/>
        <v/>
      </c>
      <c r="BD366" s="572"/>
      <c r="BE366" s="448" t="s">
        <v>1726</v>
      </c>
      <c r="BF366" s="306"/>
      <c r="BG366" s="306"/>
      <c r="BH366" s="306"/>
      <c r="BI366" s="306"/>
    </row>
    <row r="367" spans="1:61" ht="16.2" customHeight="1">
      <c r="A367" s="573"/>
      <c r="B367" s="469"/>
      <c r="C367" s="3"/>
      <c r="D367" s="88"/>
      <c r="E367" s="4"/>
      <c r="F367" s="4"/>
      <c r="G367" s="6">
        <v>24.3</v>
      </c>
      <c r="H367" s="468"/>
      <c r="I367" s="468"/>
      <c r="J367" s="3"/>
      <c r="K367" s="468"/>
      <c r="L367" s="468"/>
      <c r="M367" s="468" t="str">
        <f>IF(L367="","",
IF(AX367="PT",VLOOKUP(L367,Foundation_Calc!$V$79:$X$112,VLOOKUP(AX367,Foundation_Calc!$I$10:$J$13,2,FALSE),0),
IF(AX367="K",VLOOKUP(L367,Foundation_Calc!$V$116:$X$149,VLOOKUP(AX367,Foundation_Calc!$I$10:$J$13,2,FALSE),0),"")))</f>
        <v/>
      </c>
      <c r="N367" s="468"/>
      <c r="O367" s="468"/>
      <c r="P367" s="468"/>
      <c r="Q367" s="4"/>
      <c r="R367" s="6"/>
      <c r="S367" s="6"/>
      <c r="T367" s="4"/>
      <c r="U367" s="4"/>
      <c r="V367" s="4"/>
      <c r="W367" s="9"/>
      <c r="X367" s="9"/>
      <c r="Y367" s="9"/>
      <c r="Z367" s="9"/>
      <c r="AA367" s="9"/>
      <c r="AB367" s="9"/>
      <c r="AC367" s="468" t="str">
        <f t="shared" si="26"/>
        <v/>
      </c>
      <c r="AD367" s="468"/>
      <c r="AE367" s="468"/>
      <c r="AF367" s="4"/>
      <c r="AG367" s="88"/>
      <c r="AH367" s="4"/>
      <c r="AI367" s="4"/>
      <c r="AJ367" s="468"/>
      <c r="AK367" s="468"/>
      <c r="AL367" s="468"/>
      <c r="AM367" s="468"/>
      <c r="AN367" s="10"/>
      <c r="AO367" s="9"/>
      <c r="AP367" s="9"/>
      <c r="AQ367" s="9">
        <f>+FL_2($U$368,$T$366,$G$367,1200,9.28, 1*$F$368)</f>
        <v>-0.35</v>
      </c>
      <c r="AR367" s="9"/>
      <c r="AS367" s="9"/>
      <c r="AT367" s="9"/>
      <c r="AU367" s="447"/>
      <c r="AV367" s="447"/>
      <c r="AW367" s="468"/>
      <c r="AX367" s="468"/>
      <c r="AY367" s="10" t="str">
        <f>IF(L367="","",
IF(AX367="PT",VLOOKUP(L367,Foundation_Calc!$K$79:$R$112,VLOOKUP(AW367,Foundation_Calc!$I$2:$J$8,2,FALSE),0),
IF(AX367="K",VLOOKUP(L367,Foundation_Calc!$K$116:$R$149,VLOOKUP(AW367,Foundation_Calc!$I$2:$J$8,2,FALSE),0),"")))</f>
        <v/>
      </c>
      <c r="AZ367" s="10" t="str">
        <f>IF(K367="","",
IF(AX367="PT",VLOOKUP(K367,Foundation_Calc!$K$79:$R$112,VLOOKUP(AW367,Foundation_Calc!$I$2:$J$8,2,FALSE),0),
IF(AX367="K",VLOOKUP(K367,Foundation_Calc!$K$116:$R$149,VLOOKUP(AW367,Foundation_Calc!$I$2:$J$8,2,FALSE),0),"")))</f>
        <v/>
      </c>
      <c r="BA367" s="553" t="str">
        <f t="shared" si="25"/>
        <v/>
      </c>
      <c r="BB367" s="553" t="str">
        <f t="shared" si="25"/>
        <v/>
      </c>
      <c r="BC367" s="553" t="str">
        <f t="shared" si="24"/>
        <v/>
      </c>
      <c r="BD367" s="572"/>
      <c r="BE367" s="448" t="s">
        <v>1726</v>
      </c>
      <c r="BF367" s="305"/>
      <c r="BG367" s="305"/>
      <c r="BH367" s="306"/>
      <c r="BI367" s="305"/>
    </row>
    <row r="368" spans="1:61" ht="16.2" customHeight="1">
      <c r="A368" s="573"/>
      <c r="B368" s="469" t="s">
        <v>2149</v>
      </c>
      <c r="C368" s="3">
        <f>+$C$366+$G$367</f>
        <v>7351.8500000000013</v>
      </c>
      <c r="D368" s="88"/>
      <c r="E368" s="4"/>
      <c r="F368" s="4">
        <v>-300</v>
      </c>
      <c r="G368" s="6"/>
      <c r="H368" s="468" t="s">
        <v>179</v>
      </c>
      <c r="I368" s="468"/>
      <c r="J368" s="3"/>
      <c r="K368" s="468"/>
      <c r="L368" s="468" t="s">
        <v>199</v>
      </c>
      <c r="M368" s="468" t="str">
        <f>IF(L368="","",
IF(AX368="PT",VLOOKUP(L368,Foundation_Calc!$V$79:$X$112,VLOOKUP(AX368,Foundation_Calc!$I$10:$J$13,2,FALSE),0),
IF(AX368="K",VLOOKUP(L368,Foundation_Calc!$V$116:$X$149,VLOOKUP(AX368,Foundation_Calc!$I$10:$J$13,2,FALSE),0),"")))</f>
        <v/>
      </c>
      <c r="N368" s="468" t="s">
        <v>344</v>
      </c>
      <c r="O368" s="468" t="s">
        <v>342</v>
      </c>
      <c r="P368" s="468"/>
      <c r="Q368" s="4"/>
      <c r="R368" s="6"/>
      <c r="S368" s="6"/>
      <c r="T368" s="4">
        <v>10</v>
      </c>
      <c r="U368" s="4">
        <v>-35</v>
      </c>
      <c r="V368" s="4"/>
      <c r="W368" s="9">
        <v>1.2</v>
      </c>
      <c r="X368" s="9">
        <v>1.8</v>
      </c>
      <c r="Y368" s="9"/>
      <c r="Z368" s="9">
        <v>0.3</v>
      </c>
      <c r="AA368" s="9"/>
      <c r="AB368" s="9"/>
      <c r="AC368" s="468"/>
      <c r="AD368" s="468" t="s">
        <v>1078</v>
      </c>
      <c r="AE368" s="468"/>
      <c r="AF368" s="4"/>
      <c r="AG368" s="88"/>
      <c r="AH368" s="4"/>
      <c r="AI368" s="4"/>
      <c r="AJ368" s="468"/>
      <c r="AK368" s="468" t="s">
        <v>36</v>
      </c>
      <c r="AL368" s="468"/>
      <c r="AM368" s="468"/>
      <c r="AN368" s="10">
        <v>5.15</v>
      </c>
      <c r="AO368" s="9"/>
      <c r="AP368" s="9"/>
      <c r="AQ368" s="9"/>
      <c r="AR368" s="9"/>
      <c r="AS368" s="9"/>
      <c r="AT368" s="9">
        <f>+ab($U$368,$T$366,$U$370,$G$367,$G$369, 1*$F$368,1200)</f>
        <v>-2.3091051594111027</v>
      </c>
      <c r="AU368" s="447"/>
      <c r="AV368" s="447"/>
      <c r="AW368" s="468" t="s">
        <v>199</v>
      </c>
      <c r="AX368" s="468" t="s">
        <v>199</v>
      </c>
      <c r="AY368" s="10" t="str">
        <f>IF(L368="","",
IF(AX368="PT",VLOOKUP(L368,Foundation_Calc!$K$79:$R$112,VLOOKUP(AW368,Foundation_Calc!$I$2:$J$8,2,FALSE),0),
IF(AX368="K",VLOOKUP(L368,Foundation_Calc!$K$116:$R$149,VLOOKUP(AW368,Foundation_Calc!$I$2:$J$8,2,FALSE),0),"")))</f>
        <v/>
      </c>
      <c r="AZ368" s="10" t="str">
        <f>IF(K368="","",
IF(AX368="PT",VLOOKUP(K368,Foundation_Calc!$K$79:$R$112,VLOOKUP(AW368,Foundation_Calc!$I$2:$J$8,2,FALSE),0),
IF(AX368="K",VLOOKUP(K368,Foundation_Calc!$K$116:$R$149,VLOOKUP(AW368,Foundation_Calc!$I$2:$J$8,2,FALSE),0),"")))</f>
        <v/>
      </c>
      <c r="BA368" s="553" t="str">
        <f t="shared" si="25"/>
        <v/>
      </c>
      <c r="BB368" s="553" t="str">
        <f t="shared" si="25"/>
        <v/>
      </c>
      <c r="BC368" s="553" t="str">
        <f t="shared" si="24"/>
        <v/>
      </c>
      <c r="BD368" s="572"/>
      <c r="BE368" s="448" t="s">
        <v>1726</v>
      </c>
      <c r="BF368" s="306"/>
      <c r="BG368" s="306"/>
      <c r="BH368" s="306"/>
      <c r="BI368" s="306"/>
    </row>
    <row r="369" spans="1:61" ht="16.2" customHeight="1">
      <c r="A369" s="573"/>
      <c r="B369" s="469"/>
      <c r="C369" s="3"/>
      <c r="D369" s="88"/>
      <c r="E369" s="4"/>
      <c r="F369" s="4"/>
      <c r="G369" s="6">
        <v>24.3</v>
      </c>
      <c r="H369" s="468"/>
      <c r="I369" s="468"/>
      <c r="J369" s="3"/>
      <c r="K369" s="468"/>
      <c r="L369" s="468"/>
      <c r="M369" s="468" t="str">
        <f>IF(L369="","",
IF(AX369="PT",VLOOKUP(L369,Foundation_Calc!$V$79:$X$112,VLOOKUP(AX369,Foundation_Calc!$I$10:$J$13,2,FALSE),0),
IF(AX369="K",VLOOKUP(L369,Foundation_Calc!$V$116:$X$149,VLOOKUP(AX369,Foundation_Calc!$I$10:$J$13,2,FALSE),0),"")))</f>
        <v/>
      </c>
      <c r="N369" s="468"/>
      <c r="O369" s="468"/>
      <c r="P369" s="468"/>
      <c r="Q369" s="4"/>
      <c r="R369" s="6"/>
      <c r="S369" s="6"/>
      <c r="T369" s="4"/>
      <c r="U369" s="4"/>
      <c r="V369" s="4"/>
      <c r="W369" s="9"/>
      <c r="X369" s="9"/>
      <c r="Y369" s="9"/>
      <c r="Z369" s="9"/>
      <c r="AA369" s="9"/>
      <c r="AB369" s="9"/>
      <c r="AC369" s="468" t="str">
        <f t="shared" si="26"/>
        <v/>
      </c>
      <c r="AD369" s="468"/>
      <c r="AE369" s="468"/>
      <c r="AF369" s="4"/>
      <c r="AG369" s="88"/>
      <c r="AH369" s="4"/>
      <c r="AI369" s="4"/>
      <c r="AJ369" s="468"/>
      <c r="AK369" s="468"/>
      <c r="AL369" s="468"/>
      <c r="AM369" s="468"/>
      <c r="AN369" s="10"/>
      <c r="AO369" s="9"/>
      <c r="AP369" s="9"/>
      <c r="AQ369" s="9">
        <f>+FL_1($T$370,$T$368,$G$369,1200,9.28, 1*$F$370)</f>
        <v>0.40321917358028808</v>
      </c>
      <c r="AR369" s="9"/>
      <c r="AS369" s="9"/>
      <c r="AT369" s="9"/>
      <c r="AU369" s="447"/>
      <c r="AV369" s="447"/>
      <c r="AW369" s="468"/>
      <c r="AX369" s="468"/>
      <c r="AY369" s="10" t="str">
        <f>IF(L369="","",
IF(AX369="PT",VLOOKUP(L369,Foundation_Calc!$K$79:$R$112,VLOOKUP(AW369,Foundation_Calc!$I$2:$J$8,2,FALSE),0),
IF(AX369="K",VLOOKUP(L369,Foundation_Calc!$K$116:$R$149,VLOOKUP(AW369,Foundation_Calc!$I$2:$J$8,2,FALSE),0),"")))</f>
        <v/>
      </c>
      <c r="AZ369" s="10" t="str">
        <f>IF(K369="","",
IF(AX369="PT",VLOOKUP(K369,Foundation_Calc!$K$79:$R$112,VLOOKUP(AW369,Foundation_Calc!$I$2:$J$8,2,FALSE),0),
IF(AX369="K",VLOOKUP(K369,Foundation_Calc!$K$116:$R$149,VLOOKUP(AW369,Foundation_Calc!$I$2:$J$8,2,FALSE),0),"")))</f>
        <v/>
      </c>
      <c r="BA369" s="553" t="str">
        <f t="shared" si="25"/>
        <v/>
      </c>
      <c r="BB369" s="553" t="str">
        <f t="shared" si="25"/>
        <v/>
      </c>
      <c r="BC369" s="553" t="str">
        <f t="shared" si="24"/>
        <v/>
      </c>
      <c r="BD369" s="572"/>
      <c r="BE369" s="448" t="s">
        <v>1726</v>
      </c>
      <c r="BF369" s="305"/>
      <c r="BG369" s="305"/>
      <c r="BH369" s="306"/>
      <c r="BI369" s="305"/>
    </row>
    <row r="370" spans="1:61" ht="16.2" customHeight="1">
      <c r="A370" s="573" t="s">
        <v>2448</v>
      </c>
      <c r="B370" s="469" t="s">
        <v>2150</v>
      </c>
      <c r="C370" s="3">
        <f>+$C$368+$G$369</f>
        <v>7376.1500000000015</v>
      </c>
      <c r="D370" s="88"/>
      <c r="E370" s="4"/>
      <c r="F370" s="4">
        <v>-300</v>
      </c>
      <c r="G370" s="6"/>
      <c r="H370" s="468" t="s">
        <v>180</v>
      </c>
      <c r="I370" s="468"/>
      <c r="J370" s="3"/>
      <c r="K370" s="468"/>
      <c r="L370" s="468" t="s">
        <v>199</v>
      </c>
      <c r="M370" s="468" t="str">
        <f>IF(L370="","",
IF(AX370="PT",VLOOKUP(L370,Foundation_Calc!$V$79:$X$112,VLOOKUP(AX370,Foundation_Calc!$I$10:$J$13,2,FALSE),0),
IF(AX370="K",VLOOKUP(L370,Foundation_Calc!$V$116:$X$149,VLOOKUP(AX370,Foundation_Calc!$I$10:$J$13,2,FALSE),0),"")))</f>
        <v/>
      </c>
      <c r="N370" s="468" t="s">
        <v>342</v>
      </c>
      <c r="O370" s="468" t="s">
        <v>342</v>
      </c>
      <c r="P370" s="468"/>
      <c r="Q370" s="4"/>
      <c r="R370" s="6"/>
      <c r="S370" s="6"/>
      <c r="T370" s="4">
        <v>10</v>
      </c>
      <c r="U370" s="4">
        <v>-35</v>
      </c>
      <c r="V370" s="4"/>
      <c r="W370" s="9">
        <v>1.2</v>
      </c>
      <c r="X370" s="9">
        <v>1.8</v>
      </c>
      <c r="Y370" s="9"/>
      <c r="Z370" s="9">
        <v>0.15</v>
      </c>
      <c r="AA370" s="9"/>
      <c r="AB370" s="9"/>
      <c r="AC370" s="468" t="s">
        <v>1078</v>
      </c>
      <c r="AD370" s="468" t="s">
        <v>1078</v>
      </c>
      <c r="AE370" s="468"/>
      <c r="AF370" s="4"/>
      <c r="AG370" s="88"/>
      <c r="AH370" s="4"/>
      <c r="AI370" s="4"/>
      <c r="AJ370" s="468"/>
      <c r="AK370" s="468" t="s">
        <v>36</v>
      </c>
      <c r="AL370" s="468"/>
      <c r="AM370" s="468"/>
      <c r="AN370" s="10">
        <v>5.15</v>
      </c>
      <c r="AO370" s="9"/>
      <c r="AP370" s="9"/>
      <c r="AQ370" s="9"/>
      <c r="AR370" s="9"/>
      <c r="AS370" s="9"/>
      <c r="AT370" s="9">
        <f>+ab($T$370,$T$368,$T$372,$G$369,$G$371, 1*$F$370,1200)</f>
        <v>-2.3676965765664431</v>
      </c>
      <c r="AU370" s="447"/>
      <c r="AV370" s="447"/>
      <c r="AW370" s="468" t="s">
        <v>199</v>
      </c>
      <c r="AX370" s="468" t="s">
        <v>199</v>
      </c>
      <c r="AY370" s="10" t="str">
        <f>IF(L370="","",
IF(AX370="PT",VLOOKUP(L370,Foundation_Calc!$K$79:$R$112,VLOOKUP(AW370,Foundation_Calc!$I$2:$J$8,2,FALSE),0),
IF(AX370="K",VLOOKUP(L370,Foundation_Calc!$K$116:$R$149,VLOOKUP(AW370,Foundation_Calc!$I$2:$J$8,2,FALSE),0),"")))</f>
        <v/>
      </c>
      <c r="AZ370" s="10" t="str">
        <f>IF(K370="","",
IF(AX370="PT",VLOOKUP(K370,Foundation_Calc!$K$79:$R$112,VLOOKUP(AW370,Foundation_Calc!$I$2:$J$8,2,FALSE),0),
IF(AX370="K",VLOOKUP(K370,Foundation_Calc!$K$116:$R$149,VLOOKUP(AW370,Foundation_Calc!$I$2:$J$8,2,FALSE),0),"")))</f>
        <v/>
      </c>
      <c r="BA370" s="553" t="str">
        <f t="shared" si="25"/>
        <v/>
      </c>
      <c r="BB370" s="553" t="str">
        <f t="shared" si="25"/>
        <v/>
      </c>
      <c r="BC370" s="553" t="str">
        <f t="shared" si="24"/>
        <v/>
      </c>
      <c r="BD370" s="572"/>
      <c r="BE370" s="448" t="s">
        <v>1726</v>
      </c>
      <c r="BF370" s="306"/>
      <c r="BG370" s="306"/>
      <c r="BH370" s="306"/>
      <c r="BI370" s="306"/>
    </row>
    <row r="371" spans="1:61" ht="16.2" customHeight="1">
      <c r="A371" s="573"/>
      <c r="B371" s="469"/>
      <c r="C371" s="3"/>
      <c r="D371" s="88"/>
      <c r="E371" s="4"/>
      <c r="F371" s="4"/>
      <c r="G371" s="6">
        <v>24.3</v>
      </c>
      <c r="H371" s="468"/>
      <c r="I371" s="468"/>
      <c r="J371" s="3"/>
      <c r="K371" s="468"/>
      <c r="L371" s="468"/>
      <c r="M371" s="468" t="str">
        <f>IF(L371="","",
IF(AX371="PT",VLOOKUP(L371,Foundation_Calc!$V$79:$X$112,VLOOKUP(AX371,Foundation_Calc!$I$10:$J$13,2,FALSE),0),
IF(AX371="K",VLOOKUP(L371,Foundation_Calc!$V$116:$X$149,VLOOKUP(AX371,Foundation_Calc!$I$10:$J$13,2,FALSE),0),"")))</f>
        <v/>
      </c>
      <c r="N371" s="468"/>
      <c r="O371" s="468"/>
      <c r="P371" s="468"/>
      <c r="Q371" s="4"/>
      <c r="R371" s="6"/>
      <c r="S371" s="6"/>
      <c r="T371" s="4"/>
      <c r="U371" s="4"/>
      <c r="V371" s="4"/>
      <c r="W371" s="9"/>
      <c r="X371" s="9"/>
      <c r="Y371" s="9"/>
      <c r="Z371" s="9"/>
      <c r="AA371" s="9"/>
      <c r="AB371" s="9"/>
      <c r="AC371" s="468" t="str">
        <f t="shared" si="26"/>
        <v/>
      </c>
      <c r="AD371" s="468"/>
      <c r="AE371" s="468"/>
      <c r="AF371" s="4"/>
      <c r="AG371" s="88"/>
      <c r="AH371" s="4"/>
      <c r="AI371" s="4"/>
      <c r="AJ371" s="468"/>
      <c r="AK371" s="468"/>
      <c r="AL371" s="468"/>
      <c r="AM371" s="468"/>
      <c r="AN371" s="10"/>
      <c r="AO371" s="9"/>
      <c r="AP371" s="9"/>
      <c r="AQ371" s="9">
        <f>+FL_1($T$372,$T$370,$G$371,1200,9.28, 1*$F$372)</f>
        <v>0.40321917358028808</v>
      </c>
      <c r="AR371" s="9"/>
      <c r="AS371" s="9"/>
      <c r="AT371" s="9"/>
      <c r="AU371" s="447"/>
      <c r="AV371" s="447"/>
      <c r="AW371" s="468"/>
      <c r="AX371" s="468"/>
      <c r="AY371" s="10" t="str">
        <f>IF(L371="","",
IF(AX371="PT",VLOOKUP(L371,Foundation_Calc!$K$79:$R$112,VLOOKUP(AW371,Foundation_Calc!$I$2:$J$8,2,FALSE),0),
IF(AX371="K",VLOOKUP(L371,Foundation_Calc!$K$116:$R$149,VLOOKUP(AW371,Foundation_Calc!$I$2:$J$8,2,FALSE),0),"")))</f>
        <v/>
      </c>
      <c r="AZ371" s="10" t="str">
        <f>IF(K371="","",
IF(AX371="PT",VLOOKUP(K371,Foundation_Calc!$K$79:$R$112,VLOOKUP(AW371,Foundation_Calc!$I$2:$J$8,2,FALSE),0),
IF(AX371="K",VLOOKUP(K371,Foundation_Calc!$K$116:$R$149,VLOOKUP(AW371,Foundation_Calc!$I$2:$J$8,2,FALSE),0),"")))</f>
        <v/>
      </c>
      <c r="BA371" s="553" t="str">
        <f t="shared" si="25"/>
        <v/>
      </c>
      <c r="BB371" s="553" t="str">
        <f t="shared" si="25"/>
        <v/>
      </c>
      <c r="BC371" s="553" t="str">
        <f t="shared" si="24"/>
        <v/>
      </c>
      <c r="BD371" s="572"/>
      <c r="BE371" s="448" t="s">
        <v>1726</v>
      </c>
      <c r="BF371" s="305"/>
      <c r="BG371" s="305"/>
      <c r="BH371" s="306"/>
      <c r="BI371" s="305"/>
    </row>
    <row r="372" spans="1:61" ht="16.2" customHeight="1">
      <c r="A372" s="573"/>
      <c r="B372" s="469" t="s">
        <v>2151</v>
      </c>
      <c r="C372" s="3">
        <f>+$C$370+$G$371</f>
        <v>7400.4500000000016</v>
      </c>
      <c r="D372" s="88"/>
      <c r="E372" s="4"/>
      <c r="F372" s="4">
        <v>-300</v>
      </c>
      <c r="G372" s="6"/>
      <c r="H372" s="468" t="s">
        <v>180</v>
      </c>
      <c r="I372" s="468"/>
      <c r="J372" s="3"/>
      <c r="K372" s="468"/>
      <c r="L372" s="468" t="s">
        <v>199</v>
      </c>
      <c r="M372" s="468" t="str">
        <f>IF(L372="","",
IF(AX372="PT",VLOOKUP(L372,Foundation_Calc!$V$79:$X$112,VLOOKUP(AX372,Foundation_Calc!$I$10:$J$13,2,FALSE),0),
IF(AX372="K",VLOOKUP(L372,Foundation_Calc!$V$116:$X$149,VLOOKUP(AX372,Foundation_Calc!$I$10:$J$13,2,FALSE),0),"")))</f>
        <v/>
      </c>
      <c r="N372" s="468" t="s">
        <v>342</v>
      </c>
      <c r="O372" s="468" t="s">
        <v>342</v>
      </c>
      <c r="P372" s="468"/>
      <c r="Q372" s="4"/>
      <c r="R372" s="6"/>
      <c r="S372" s="6"/>
      <c r="T372" s="4">
        <v>10</v>
      </c>
      <c r="U372" s="4">
        <v>-35</v>
      </c>
      <c r="V372" s="4"/>
      <c r="W372" s="9">
        <v>1.2</v>
      </c>
      <c r="X372" s="9">
        <v>1.8</v>
      </c>
      <c r="Y372" s="9"/>
      <c r="Z372" s="9"/>
      <c r="AA372" s="9">
        <v>0.15</v>
      </c>
      <c r="AB372" s="9"/>
      <c r="AC372" s="468" t="s">
        <v>2515</v>
      </c>
      <c r="AD372" s="468" t="s">
        <v>1078</v>
      </c>
      <c r="AE372" s="468"/>
      <c r="AF372" s="4"/>
      <c r="AG372" s="88"/>
      <c r="AH372" s="4"/>
      <c r="AI372" s="4"/>
      <c r="AJ372" s="468"/>
      <c r="AK372" s="468" t="s">
        <v>36</v>
      </c>
      <c r="AL372" s="468"/>
      <c r="AM372" s="468"/>
      <c r="AN372" s="10">
        <v>5.15</v>
      </c>
      <c r="AO372" s="9"/>
      <c r="AP372" s="9"/>
      <c r="AQ372" s="9"/>
      <c r="AR372" s="9"/>
      <c r="AS372" s="9"/>
      <c r="AT372" s="9">
        <f>+ab($T$372,$T$370,$T$374,$G$371,$G$373, 1*$F$372,1200)</f>
        <v>-2.9706132807004875</v>
      </c>
      <c r="AU372" s="447"/>
      <c r="AV372" s="447"/>
      <c r="AW372" s="468" t="s">
        <v>199</v>
      </c>
      <c r="AX372" s="468" t="s">
        <v>199</v>
      </c>
      <c r="AY372" s="10" t="str">
        <f>IF(L372="","",
IF(AX372="PT",VLOOKUP(L372,Foundation_Calc!$K$79:$R$112,VLOOKUP(AW372,Foundation_Calc!$I$2:$J$8,2,FALSE),0),
IF(AX372="K",VLOOKUP(L372,Foundation_Calc!$K$116:$R$149,VLOOKUP(AW372,Foundation_Calc!$I$2:$J$8,2,FALSE),0),"")))</f>
        <v/>
      </c>
      <c r="AZ372" s="10" t="str">
        <f>IF(K372="","",
IF(AX372="PT",VLOOKUP(K372,Foundation_Calc!$K$79:$R$112,VLOOKUP(AW372,Foundation_Calc!$I$2:$J$8,2,FALSE),0),
IF(AX372="K",VLOOKUP(K372,Foundation_Calc!$K$116:$R$149,VLOOKUP(AW372,Foundation_Calc!$I$2:$J$8,2,FALSE),0),"")))</f>
        <v/>
      </c>
      <c r="BA372" s="553" t="str">
        <f t="shared" si="25"/>
        <v/>
      </c>
      <c r="BB372" s="553" t="str">
        <f t="shared" si="25"/>
        <v/>
      </c>
      <c r="BC372" s="553" t="str">
        <f t="shared" si="24"/>
        <v/>
      </c>
      <c r="BD372" s="572"/>
      <c r="BE372" s="448" t="s">
        <v>1726</v>
      </c>
      <c r="BF372" s="306"/>
      <c r="BG372" s="306"/>
      <c r="BH372" s="306"/>
      <c r="BI372" s="306"/>
    </row>
    <row r="373" spans="1:61" ht="16.2" customHeight="1">
      <c r="A373" s="573"/>
      <c r="B373" s="469"/>
      <c r="C373" s="3"/>
      <c r="D373" s="88"/>
      <c r="E373" s="4"/>
      <c r="F373" s="4"/>
      <c r="G373" s="6">
        <v>24.3</v>
      </c>
      <c r="H373" s="468"/>
      <c r="I373" s="468"/>
      <c r="J373" s="3"/>
      <c r="K373" s="468"/>
      <c r="L373" s="468"/>
      <c r="M373" s="468" t="str">
        <f>IF(L373="","",
IF(AX373="PT",VLOOKUP(L373,Foundation_Calc!$V$79:$X$112,VLOOKUP(AX373,Foundation_Calc!$I$10:$J$13,2,FALSE),0),
IF(AX373="K",VLOOKUP(L373,Foundation_Calc!$V$116:$X$149,VLOOKUP(AX373,Foundation_Calc!$I$10:$J$13,2,FALSE),0),"")))</f>
        <v/>
      </c>
      <c r="N373" s="468"/>
      <c r="O373" s="468"/>
      <c r="P373" s="468"/>
      <c r="Q373" s="4"/>
      <c r="R373" s="6"/>
      <c r="S373" s="6"/>
      <c r="T373" s="4"/>
      <c r="U373" s="4"/>
      <c r="V373" s="4"/>
      <c r="W373" s="9"/>
      <c r="X373" s="9"/>
      <c r="Y373" s="9"/>
      <c r="Z373" s="9"/>
      <c r="AA373" s="9"/>
      <c r="AB373" s="9"/>
      <c r="AC373" s="468" t="str">
        <f t="shared" si="26"/>
        <v/>
      </c>
      <c r="AD373" s="468"/>
      <c r="AE373" s="468"/>
      <c r="AF373" s="4"/>
      <c r="AG373" s="88"/>
      <c r="AH373" s="4"/>
      <c r="AI373" s="4"/>
      <c r="AJ373" s="468"/>
      <c r="AK373" s="468"/>
      <c r="AL373" s="468"/>
      <c r="AM373" s="468"/>
      <c r="AN373" s="10"/>
      <c r="AO373" s="9"/>
      <c r="AP373" s="9"/>
      <c r="AQ373" s="9">
        <f>+FL_2($T$374,$T$372,$G$373,1200,9.28, 1*$F$374)</f>
        <v>-0.3</v>
      </c>
      <c r="AR373" s="9"/>
      <c r="AS373" s="9"/>
      <c r="AT373" s="9"/>
      <c r="AU373" s="447"/>
      <c r="AV373" s="447"/>
      <c r="AW373" s="468"/>
      <c r="AX373" s="468"/>
      <c r="AY373" s="10" t="str">
        <f>IF(L373="","",
IF(AX373="PT",VLOOKUP(L373,Foundation_Calc!$K$79:$R$112,VLOOKUP(AW373,Foundation_Calc!$I$2:$J$8,2,FALSE),0),
IF(AX373="K",VLOOKUP(L373,Foundation_Calc!$K$116:$R$149,VLOOKUP(AW373,Foundation_Calc!$I$2:$J$8,2,FALSE),0),"")))</f>
        <v/>
      </c>
      <c r="AZ373" s="10" t="str">
        <f>IF(K373="","",
IF(AX373="PT",VLOOKUP(K373,Foundation_Calc!$K$79:$R$112,VLOOKUP(AW373,Foundation_Calc!$I$2:$J$8,2,FALSE),0),
IF(AX373="K",VLOOKUP(K373,Foundation_Calc!$K$116:$R$149,VLOOKUP(AW373,Foundation_Calc!$I$2:$J$8,2,FALSE),0),"")))</f>
        <v/>
      </c>
      <c r="BA373" s="553" t="str">
        <f t="shared" si="25"/>
        <v/>
      </c>
      <c r="BB373" s="553" t="str">
        <f t="shared" si="25"/>
        <v/>
      </c>
      <c r="BC373" s="553" t="str">
        <f t="shared" si="24"/>
        <v/>
      </c>
      <c r="BD373" s="572"/>
      <c r="BE373" s="448" t="s">
        <v>1726</v>
      </c>
      <c r="BF373" s="305"/>
      <c r="BG373" s="305"/>
      <c r="BH373" s="306"/>
      <c r="BI373" s="305"/>
    </row>
    <row r="374" spans="1:61" ht="16.2" customHeight="1">
      <c r="A374" s="573" t="s">
        <v>2382</v>
      </c>
      <c r="B374" s="469" t="s">
        <v>2152</v>
      </c>
      <c r="C374" s="3">
        <f>+$C$372+$G$373</f>
        <v>7424.7500000000018</v>
      </c>
      <c r="D374" s="88"/>
      <c r="E374" s="4"/>
      <c r="F374" s="4">
        <v>-300</v>
      </c>
      <c r="G374" s="6"/>
      <c r="H374" s="468" t="s">
        <v>179</v>
      </c>
      <c r="I374" s="468" t="s">
        <v>653</v>
      </c>
      <c r="J374" s="3"/>
      <c r="K374" s="468"/>
      <c r="L374" s="468" t="s">
        <v>2551</v>
      </c>
      <c r="M374" s="468" t="str">
        <f>IF(L374="","",
IF(AX374="PT",VLOOKUP(L374,Foundation_Calc!$V$79:$X$112,VLOOKUP(AX374,Foundation_Calc!$I$10:$J$13,2,FALSE),0),
IF(AX374="K",VLOOKUP(L374,Foundation_Calc!$V$116:$X$149,VLOOKUP(AX374,Foundation_Calc!$I$10:$J$13,2,FALSE),0),"")))</f>
        <v/>
      </c>
      <c r="N374" s="468" t="s">
        <v>32</v>
      </c>
      <c r="O374" s="468" t="s">
        <v>28</v>
      </c>
      <c r="P374" s="468"/>
      <c r="Q374" s="4"/>
      <c r="R374" s="6"/>
      <c r="S374" s="6"/>
      <c r="T374" s="4">
        <v>-30</v>
      </c>
      <c r="U374" s="4">
        <v>-75</v>
      </c>
      <c r="V374" s="4"/>
      <c r="W374" s="9">
        <v>1.2</v>
      </c>
      <c r="X374" s="9">
        <v>1.6</v>
      </c>
      <c r="Y374" s="9"/>
      <c r="Z374" s="9"/>
      <c r="AA374" s="9">
        <v>0.3</v>
      </c>
      <c r="AB374" s="9"/>
      <c r="AC374" s="468" t="s">
        <v>1078</v>
      </c>
      <c r="AD374" s="468"/>
      <c r="AE374" s="468"/>
      <c r="AF374" s="4"/>
      <c r="AG374" s="88"/>
      <c r="AH374" s="4"/>
      <c r="AI374" s="4"/>
      <c r="AJ374" s="468" t="s">
        <v>1166</v>
      </c>
      <c r="AK374" s="468"/>
      <c r="AL374" s="468"/>
      <c r="AM374" s="468"/>
      <c r="AN374" s="10">
        <v>5.15</v>
      </c>
      <c r="AO374" s="9"/>
      <c r="AP374" s="9"/>
      <c r="AQ374" s="9"/>
      <c r="AR374" s="9"/>
      <c r="AS374" s="9"/>
      <c r="AT374" s="9">
        <f>+ab($T$374,$T$372,$T$376,$G$373,$G$375, 1*$F$374,1200)</f>
        <v>-1.964787587391108</v>
      </c>
      <c r="AU374" s="447"/>
      <c r="AV374" s="447"/>
      <c r="AW374" s="468" t="s">
        <v>199</v>
      </c>
      <c r="AX374" s="468" t="s">
        <v>199</v>
      </c>
      <c r="AY374" s="10" t="str">
        <f>IF(L374="","",
IF(AX374="PT",VLOOKUP(L374,Foundation_Calc!$K$79:$R$112,VLOOKUP(AW374,Foundation_Calc!$I$2:$J$8,2,FALSE),0),
IF(AX374="K",VLOOKUP(L374,Foundation_Calc!$K$116:$R$149,VLOOKUP(AW374,Foundation_Calc!$I$2:$J$8,2,FALSE),0),"")))</f>
        <v/>
      </c>
      <c r="AZ374" s="10" t="str">
        <f>IF(K374="","",
IF(AX374="PT",VLOOKUP(K374,Foundation_Calc!$K$79:$R$112,VLOOKUP(AW374,Foundation_Calc!$I$2:$J$8,2,FALSE),0),
IF(AX374="K",VLOOKUP(K374,Foundation_Calc!$K$116:$R$149,VLOOKUP(AW374,Foundation_Calc!$I$2:$J$8,2,FALSE),0),"")))</f>
        <v/>
      </c>
      <c r="BA374" s="553" t="str">
        <f t="shared" si="25"/>
        <v/>
      </c>
      <c r="BB374" s="553" t="str">
        <f t="shared" si="25"/>
        <v/>
      </c>
      <c r="BC374" s="553" t="str">
        <f t="shared" si="24"/>
        <v/>
      </c>
      <c r="BD374" s="572"/>
      <c r="BE374" s="448" t="s">
        <v>1726</v>
      </c>
      <c r="BF374" s="306"/>
      <c r="BG374" s="306"/>
      <c r="BH374" s="306"/>
      <c r="BI374" s="306"/>
    </row>
    <row r="375" spans="1:61" ht="16.2" customHeight="1">
      <c r="A375" s="573"/>
      <c r="B375" s="469"/>
      <c r="C375" s="3"/>
      <c r="D375" s="88"/>
      <c r="E375" s="4"/>
      <c r="F375" s="4"/>
      <c r="G375" s="6">
        <v>24.4</v>
      </c>
      <c r="H375" s="468"/>
      <c r="I375" s="468"/>
      <c r="J375" s="3"/>
      <c r="K375" s="468"/>
      <c r="L375" s="468"/>
      <c r="M375" s="468" t="str">
        <f>IF(L375="","",
IF(AX375="PT",VLOOKUP(L375,Foundation_Calc!$V$79:$X$112,VLOOKUP(AX375,Foundation_Calc!$I$10:$J$13,2,FALSE),0),
IF(AX375="K",VLOOKUP(L375,Foundation_Calc!$V$116:$X$149,VLOOKUP(AX375,Foundation_Calc!$I$10:$J$13,2,FALSE),0),"")))</f>
        <v/>
      </c>
      <c r="N375" s="468"/>
      <c r="O375" s="468"/>
      <c r="P375" s="468"/>
      <c r="Q375" s="4"/>
      <c r="R375" s="6"/>
      <c r="S375" s="6"/>
      <c r="T375" s="4"/>
      <c r="U375" s="4"/>
      <c r="V375" s="4"/>
      <c r="W375" s="9"/>
      <c r="X375" s="9"/>
      <c r="Y375" s="9"/>
      <c r="Z375" s="9"/>
      <c r="AA375" s="9"/>
      <c r="AB375" s="9"/>
      <c r="AC375" s="468" t="str">
        <f t="shared" si="26"/>
        <v/>
      </c>
      <c r="AD375" s="468"/>
      <c r="AE375" s="468"/>
      <c r="AF375" s="4"/>
      <c r="AG375" s="88"/>
      <c r="AH375" s="4"/>
      <c r="AI375" s="4"/>
      <c r="AJ375" s="468"/>
      <c r="AK375" s="468"/>
      <c r="AL375" s="468"/>
      <c r="AM375" s="468"/>
      <c r="AN375" s="10"/>
      <c r="AO375" s="9"/>
      <c r="AP375" s="9"/>
      <c r="AQ375" s="9">
        <f>+FL_2($T$376,$T$374,$G$375,1200,9.28, 1*$F$376)</f>
        <v>-0.30000000000004723</v>
      </c>
      <c r="AR375" s="9"/>
      <c r="AS375" s="9"/>
      <c r="AT375" s="9"/>
      <c r="AU375" s="447"/>
      <c r="AV375" s="447"/>
      <c r="AW375" s="468"/>
      <c r="AX375" s="468"/>
      <c r="AY375" s="10" t="str">
        <f>IF(L375="","",
IF(AX375="PT",VLOOKUP(L375,Foundation_Calc!$K$79:$R$112,VLOOKUP(AW375,Foundation_Calc!$I$2:$J$8,2,FALSE),0),
IF(AX375="K",VLOOKUP(L375,Foundation_Calc!$K$116:$R$149,VLOOKUP(AW375,Foundation_Calc!$I$2:$J$8,2,FALSE),0),"")))</f>
        <v/>
      </c>
      <c r="AZ375" s="10" t="str">
        <f>IF(K375="","",
IF(AX375="PT",VLOOKUP(K375,Foundation_Calc!$K$79:$R$112,VLOOKUP(AW375,Foundation_Calc!$I$2:$J$8,2,FALSE),0),
IF(AX375="K",VLOOKUP(K375,Foundation_Calc!$K$116:$R$149,VLOOKUP(AW375,Foundation_Calc!$I$2:$J$8,2,FALSE),0),"")))</f>
        <v/>
      </c>
      <c r="BA375" s="553" t="str">
        <f t="shared" si="25"/>
        <v/>
      </c>
      <c r="BB375" s="553" t="str">
        <f t="shared" si="25"/>
        <v/>
      </c>
      <c r="BC375" s="553" t="str">
        <f t="shared" si="24"/>
        <v/>
      </c>
      <c r="BD375" s="572"/>
      <c r="BE375" s="448" t="s">
        <v>1726</v>
      </c>
      <c r="BF375" s="305"/>
      <c r="BG375" s="305"/>
      <c r="BH375" s="306"/>
      <c r="BI375" s="305"/>
    </row>
    <row r="376" spans="1:61" ht="16.2" customHeight="1">
      <c r="A376" s="573"/>
      <c r="B376" s="469" t="s">
        <v>2153</v>
      </c>
      <c r="C376" s="3">
        <f>+$C$374+$G$375</f>
        <v>7449.1500000000015</v>
      </c>
      <c r="D376" s="88"/>
      <c r="E376" s="4"/>
      <c r="F376" s="4">
        <v>-300</v>
      </c>
      <c r="G376" s="6"/>
      <c r="H376" s="468"/>
      <c r="I376" s="468"/>
      <c r="J376" s="3"/>
      <c r="K376" s="468"/>
      <c r="L376" s="468" t="s">
        <v>2551</v>
      </c>
      <c r="M376" s="468" t="str">
        <f>IF(L376="","",
IF(AX376="PT",VLOOKUP(L376,Foundation_Calc!$V$79:$X$112,VLOOKUP(AX376,Foundation_Calc!$I$10:$J$13,2,FALSE),0),
IF(AX376="K",VLOOKUP(L376,Foundation_Calc!$V$116:$X$149,VLOOKUP(AX376,Foundation_Calc!$I$10:$J$13,2,FALSE),0),"")))</f>
        <v/>
      </c>
      <c r="N376" s="468" t="s">
        <v>32</v>
      </c>
      <c r="O376" s="468"/>
      <c r="P376" s="468"/>
      <c r="Q376" s="4"/>
      <c r="R376" s="6"/>
      <c r="S376" s="6"/>
      <c r="T376" s="4">
        <v>-30</v>
      </c>
      <c r="U376" s="4"/>
      <c r="V376" s="4"/>
      <c r="W376" s="9">
        <v>1</v>
      </c>
      <c r="X376" s="9"/>
      <c r="Y376" s="9"/>
      <c r="Z376" s="9"/>
      <c r="AA376" s="9"/>
      <c r="AB376" s="9"/>
      <c r="AC376" s="468" t="str">
        <f t="shared" si="26"/>
        <v>PHC</v>
      </c>
      <c r="AD376" s="468"/>
      <c r="AE376" s="468"/>
      <c r="AF376" s="4"/>
      <c r="AG376" s="88"/>
      <c r="AH376" s="4"/>
      <c r="AI376" s="4"/>
      <c r="AJ376" s="468"/>
      <c r="AK376" s="468"/>
      <c r="AL376" s="468"/>
      <c r="AM376" s="468"/>
      <c r="AN376" s="10">
        <v>5.15</v>
      </c>
      <c r="AO376" s="9"/>
      <c r="AP376" s="9"/>
      <c r="AQ376" s="9"/>
      <c r="AR376" s="9"/>
      <c r="AS376" s="9"/>
      <c r="AT376" s="9">
        <f>+ab($T$376,$T$374,$T$378,$G$375,$G$377, 1*$F$376,1200)</f>
        <v>-2.3626296015005162</v>
      </c>
      <c r="AU376" s="447"/>
      <c r="AV376" s="447"/>
      <c r="AW376" s="468" t="s">
        <v>199</v>
      </c>
      <c r="AX376" s="468" t="s">
        <v>199</v>
      </c>
      <c r="AY376" s="10" t="str">
        <f>IF(L376="","",
IF(AX376="PT",VLOOKUP(L376,Foundation_Calc!$K$79:$R$112,VLOOKUP(AW376,Foundation_Calc!$I$2:$J$8,2,FALSE),0),
IF(AX376="K",VLOOKUP(L376,Foundation_Calc!$K$116:$R$149,VLOOKUP(AW376,Foundation_Calc!$I$2:$J$8,2,FALSE),0),"")))</f>
        <v/>
      </c>
      <c r="AZ376" s="10" t="str">
        <f>IF(K376="","",
IF(AX376="PT",VLOOKUP(K376,Foundation_Calc!$K$79:$R$112,VLOOKUP(AW376,Foundation_Calc!$I$2:$J$8,2,FALSE),0),
IF(AX376="K",VLOOKUP(K376,Foundation_Calc!$K$116:$R$149,VLOOKUP(AW376,Foundation_Calc!$I$2:$J$8,2,FALSE),0),"")))</f>
        <v/>
      </c>
      <c r="BA376" s="553" t="str">
        <f t="shared" si="25"/>
        <v/>
      </c>
      <c r="BB376" s="553" t="str">
        <f t="shared" si="25"/>
        <v/>
      </c>
      <c r="BC376" s="553" t="str">
        <f t="shared" si="24"/>
        <v/>
      </c>
      <c r="BD376" s="572"/>
      <c r="BE376" s="448" t="s">
        <v>1726</v>
      </c>
      <c r="BF376" s="306"/>
      <c r="BG376" s="306"/>
      <c r="BH376" s="306"/>
      <c r="BI376" s="306"/>
    </row>
    <row r="377" spans="1:61" ht="16.2" customHeight="1">
      <c r="A377" s="573"/>
      <c r="B377" s="469"/>
      <c r="C377" s="3"/>
      <c r="D377" s="88"/>
      <c r="E377" s="4"/>
      <c r="F377" s="4"/>
      <c r="G377" s="6">
        <v>23</v>
      </c>
      <c r="H377" s="468"/>
      <c r="I377" s="468" t="s">
        <v>485</v>
      </c>
      <c r="J377" s="3">
        <f>C378</f>
        <v>7472.1500000000015</v>
      </c>
      <c r="K377" s="468" t="s">
        <v>451</v>
      </c>
      <c r="L377" s="468"/>
      <c r="M377" s="468" t="str">
        <f>IF(L377="","",
IF(AX377="PT",VLOOKUP(L377,Foundation_Calc!$V$79:$X$112,VLOOKUP(AX377,Foundation_Calc!$I$10:$J$13,2,FALSE),0),
IF(AX377="K",VLOOKUP(L377,Foundation_Calc!$V$116:$X$149,VLOOKUP(AX377,Foundation_Calc!$I$10:$J$13,2,FALSE),0),"")))</f>
        <v/>
      </c>
      <c r="N377" s="468"/>
      <c r="O377" s="468"/>
      <c r="P377" s="468"/>
      <c r="Q377" s="4"/>
      <c r="R377" s="6"/>
      <c r="S377" s="6"/>
      <c r="T377" s="4"/>
      <c r="U377" s="4"/>
      <c r="V377" s="4"/>
      <c r="W377" s="9"/>
      <c r="X377" s="9"/>
      <c r="Y377" s="9"/>
      <c r="Z377" s="9"/>
      <c r="AA377" s="9"/>
      <c r="AB377" s="9"/>
      <c r="AC377" s="468" t="str">
        <f t="shared" si="26"/>
        <v/>
      </c>
      <c r="AD377" s="468"/>
      <c r="AE377" s="468"/>
      <c r="AF377" s="4"/>
      <c r="AG377" s="88"/>
      <c r="AH377" s="4"/>
      <c r="AI377" s="4"/>
      <c r="AJ377" s="468"/>
      <c r="AK377" s="468"/>
      <c r="AL377" s="468"/>
      <c r="AM377" s="468"/>
      <c r="AN377" s="10"/>
      <c r="AO377" s="9"/>
      <c r="AP377" s="9"/>
      <c r="AQ377" s="9">
        <f>+FL_2($T$378,$T$376,$G$377,1200,9.28, 1*$F$378)</f>
        <v>-0.29999999999999466</v>
      </c>
      <c r="AR377" s="9"/>
      <c r="AS377" s="9"/>
      <c r="AT377" s="9"/>
      <c r="AU377" s="447"/>
      <c r="AV377" s="447"/>
      <c r="AW377" s="468"/>
      <c r="AX377" s="468"/>
      <c r="AY377" s="10" t="str">
        <f>IF(L377="","",
IF(AX377="PT",VLOOKUP(L377,Foundation_Calc!$K$79:$R$112,VLOOKUP(AW377,Foundation_Calc!$I$2:$J$8,2,FALSE),0),
IF(AX377="K",VLOOKUP(L377,Foundation_Calc!$K$116:$R$149,VLOOKUP(AW377,Foundation_Calc!$I$2:$J$8,2,FALSE),0),"")))</f>
        <v/>
      </c>
      <c r="AZ377" s="10" t="str">
        <f>IF(K377="","",
IF(AX377="PT",VLOOKUP(K377,Foundation_Calc!$K$79:$R$112,VLOOKUP(AW377,Foundation_Calc!$I$2:$J$8,2,FALSE),0),
IF(AX377="K",VLOOKUP(K377,Foundation_Calc!$K$116:$R$149,VLOOKUP(AW377,Foundation_Calc!$I$2:$J$8,2,FALSE),0),"")))</f>
        <v/>
      </c>
      <c r="BA377" s="553" t="str">
        <f t="shared" si="25"/>
        <v/>
      </c>
      <c r="BB377" s="553" t="str">
        <f t="shared" si="25"/>
        <v/>
      </c>
      <c r="BC377" s="553" t="str">
        <f t="shared" si="24"/>
        <v/>
      </c>
      <c r="BD377" s="572"/>
      <c r="BE377" s="448" t="s">
        <v>1726</v>
      </c>
      <c r="BF377" s="305"/>
      <c r="BG377" s="305"/>
      <c r="BH377" s="306"/>
      <c r="BI377" s="305"/>
    </row>
    <row r="378" spans="1:61" ht="16.2" customHeight="1">
      <c r="A378" s="573" t="s">
        <v>383</v>
      </c>
      <c r="B378" s="469" t="s">
        <v>2154</v>
      </c>
      <c r="C378" s="3">
        <f>+$C$376+$G$377</f>
        <v>7472.1500000000015</v>
      </c>
      <c r="D378" s="88"/>
      <c r="E378" s="4"/>
      <c r="F378" s="4">
        <v>-300</v>
      </c>
      <c r="G378" s="6"/>
      <c r="H378" s="468"/>
      <c r="I378" s="468" t="s">
        <v>485</v>
      </c>
      <c r="J378" s="3">
        <f>C378</f>
        <v>7472.1500000000015</v>
      </c>
      <c r="K378" s="468" t="s">
        <v>451</v>
      </c>
      <c r="L378" s="468"/>
      <c r="M378" s="468" t="str">
        <f>IF(L378="","",
IF(AX378="PT",VLOOKUP(L378,Foundation_Calc!$V$79:$X$112,VLOOKUP(AX378,Foundation_Calc!$I$10:$J$13,2,FALSE),0),
IF(AX378="K",VLOOKUP(L378,Foundation_Calc!$V$116:$X$149,VLOOKUP(AX378,Foundation_Calc!$I$10:$J$13,2,FALSE),0),"")))</f>
        <v/>
      </c>
      <c r="N378" s="468" t="s">
        <v>191</v>
      </c>
      <c r="O378" s="468"/>
      <c r="P378" s="468"/>
      <c r="Q378" s="4"/>
      <c r="R378" s="6"/>
      <c r="S378" s="6"/>
      <c r="T378" s="4">
        <v>-25</v>
      </c>
      <c r="U378" s="4"/>
      <c r="V378" s="4"/>
      <c r="W378" s="9">
        <v>1</v>
      </c>
      <c r="X378" s="9"/>
      <c r="Y378" s="9"/>
      <c r="Z378" s="9"/>
      <c r="AA378" s="9"/>
      <c r="AB378" s="9"/>
      <c r="AC378" s="468" t="s">
        <v>1341</v>
      </c>
      <c r="AD378" s="468"/>
      <c r="AE378" s="468"/>
      <c r="AF378" s="4"/>
      <c r="AG378" s="88"/>
      <c r="AH378" s="4"/>
      <c r="AI378" s="4"/>
      <c r="AJ378" s="468"/>
      <c r="AK378" s="468" t="s">
        <v>773</v>
      </c>
      <c r="AL378" s="468"/>
      <c r="AM378" s="468" t="s">
        <v>2458</v>
      </c>
      <c r="AN378" s="10">
        <v>5.15</v>
      </c>
      <c r="AO378" s="9"/>
      <c r="AP378" s="9"/>
      <c r="AQ378" s="9"/>
      <c r="AR378" s="9"/>
      <c r="AS378" s="9"/>
      <c r="AT378" s="9">
        <f>+ab($T$378,$T$376,$T$380,$G$377,$G$379, 1*$F$378,1200)</f>
        <v>-2.4226843537981648</v>
      </c>
      <c r="AU378" s="447"/>
      <c r="AV378" s="447"/>
      <c r="AW378" s="468" t="s">
        <v>199</v>
      </c>
      <c r="AX378" s="468" t="s">
        <v>199</v>
      </c>
      <c r="AY378" s="10" t="str">
        <f>IF(L378="","",
IF(AX378="PT",VLOOKUP(L378,Foundation_Calc!$K$79:$R$112,VLOOKUP(AW378,Foundation_Calc!$I$2:$J$8,2,FALSE),0),
IF(AX378="K",VLOOKUP(L378,Foundation_Calc!$K$116:$R$149,VLOOKUP(AW378,Foundation_Calc!$I$2:$J$8,2,FALSE),0),"")))</f>
        <v/>
      </c>
      <c r="AZ378" s="10" t="str">
        <f>IF(K378="","",
IF(AX378="PT",VLOOKUP(K378,Foundation_Calc!$K$79:$R$112,VLOOKUP(AW378,Foundation_Calc!$I$2:$J$8,2,FALSE),0),
IF(AX378="K",VLOOKUP(K378,Foundation_Calc!$K$116:$R$149,VLOOKUP(AW378,Foundation_Calc!$I$2:$J$8,2,FALSE),0),"")))</f>
        <v/>
      </c>
      <c r="BA378" s="553" t="str">
        <f t="shared" si="25"/>
        <v/>
      </c>
      <c r="BB378" s="553" t="str">
        <f t="shared" si="25"/>
        <v/>
      </c>
      <c r="BC378" s="553" t="str">
        <f t="shared" si="24"/>
        <v/>
      </c>
      <c r="BD378" s="572"/>
      <c r="BE378" s="448" t="s">
        <v>1726</v>
      </c>
      <c r="BF378" s="306"/>
      <c r="BG378" s="306"/>
      <c r="BH378" s="306"/>
      <c r="BI378" s="306"/>
    </row>
    <row r="379" spans="1:61" ht="16.2" customHeight="1">
      <c r="A379" s="624" t="s">
        <v>383</v>
      </c>
      <c r="B379" s="469"/>
      <c r="C379" s="3"/>
      <c r="D379" s="88"/>
      <c r="E379" s="4"/>
      <c r="F379" s="4"/>
      <c r="G379" s="6">
        <v>25.8</v>
      </c>
      <c r="H379" s="468"/>
      <c r="I379" s="468"/>
      <c r="J379" s="3"/>
      <c r="K379" s="468"/>
      <c r="L379" s="468"/>
      <c r="M379" s="468" t="str">
        <f>IF(L379="","",
IF(AX379="PT",VLOOKUP(L379,Foundation_Calc!$V$79:$X$112,VLOOKUP(AX379,Foundation_Calc!$I$10:$J$13,2,FALSE),0),
IF(AX379="K",VLOOKUP(L379,Foundation_Calc!$V$116:$X$149,VLOOKUP(AX379,Foundation_Calc!$I$10:$J$13,2,FALSE),0),"")))</f>
        <v/>
      </c>
      <c r="N379" s="468"/>
      <c r="O379" s="468"/>
      <c r="P379" s="468"/>
      <c r="Q379" s="4"/>
      <c r="R379" s="6"/>
      <c r="S379" s="6"/>
      <c r="T379" s="4"/>
      <c r="U379" s="4"/>
      <c r="V379" s="4"/>
      <c r="W379" s="9"/>
      <c r="X379" s="9"/>
      <c r="Y379" s="9"/>
      <c r="Z379" s="9"/>
      <c r="AA379" s="9"/>
      <c r="AB379" s="9"/>
      <c r="AC379" s="468" t="s">
        <v>195</v>
      </c>
      <c r="AD379" s="468"/>
      <c r="AE379" s="468"/>
      <c r="AF379" s="4"/>
      <c r="AG379" s="88"/>
      <c r="AH379" s="4"/>
      <c r="AI379" s="4"/>
      <c r="AJ379" s="468"/>
      <c r="AK379" s="468"/>
      <c r="AL379" s="468"/>
      <c r="AM379" s="468"/>
      <c r="AN379" s="10"/>
      <c r="AO379" s="9"/>
      <c r="AP379" s="9"/>
      <c r="AQ379" s="9"/>
      <c r="AR379" s="9"/>
      <c r="AS379" s="9"/>
      <c r="AT379" s="9"/>
      <c r="AU379" s="447"/>
      <c r="AV379" s="447"/>
      <c r="AW379" s="468"/>
      <c r="AX379" s="468"/>
      <c r="AY379" s="10" t="str">
        <f>IF(L379="","",
IF(AX379="PT",VLOOKUP(L379,Foundation_Calc!$K$79:$R$112,VLOOKUP(AW379,Foundation_Calc!$I$2:$J$8,2,FALSE),0),
IF(AX379="K",VLOOKUP(L379,Foundation_Calc!$K$116:$R$149,VLOOKUP(AW379,Foundation_Calc!$I$2:$J$8,2,FALSE),0),"")))</f>
        <v/>
      </c>
      <c r="AZ379" s="10" t="str">
        <f>IF(K379="","",
IF(AX379="PT",VLOOKUP(K379,Foundation_Calc!$K$79:$R$112,VLOOKUP(AW379,Foundation_Calc!$I$2:$J$8,2,FALSE),0),
IF(AX379="K",VLOOKUP(K379,Foundation_Calc!$K$116:$R$149,VLOOKUP(AW379,Foundation_Calc!$I$2:$J$8,2,FALSE),0),"")))</f>
        <v/>
      </c>
      <c r="BA379" s="553" t="str">
        <f t="shared" si="25"/>
        <v/>
      </c>
      <c r="BB379" s="553" t="str">
        <f t="shared" si="25"/>
        <v/>
      </c>
      <c r="BC379" s="553" t="str">
        <f t="shared" si="24"/>
        <v/>
      </c>
      <c r="BD379" s="572"/>
      <c r="BE379" s="448" t="s">
        <v>1726</v>
      </c>
      <c r="BF379" s="305"/>
      <c r="BG379" s="305"/>
      <c r="BH379" s="306"/>
      <c r="BI379" s="305"/>
    </row>
    <row r="380" spans="1:61" ht="16.2" customHeight="1">
      <c r="A380" s="624" t="s">
        <v>383</v>
      </c>
      <c r="B380" s="469" t="s">
        <v>2155</v>
      </c>
      <c r="C380" s="3">
        <f>+$C$378+$G$379</f>
        <v>7497.9500000000016</v>
      </c>
      <c r="D380" s="88"/>
      <c r="E380" s="4"/>
      <c r="F380" s="4">
        <v>-300</v>
      </c>
      <c r="G380" s="6"/>
      <c r="H380" s="468"/>
      <c r="I380" s="468"/>
      <c r="J380" s="3"/>
      <c r="K380" s="468"/>
      <c r="L380" s="468"/>
      <c r="M380" s="468" t="str">
        <f>IF(L380="","",
IF(AX380="PT",VLOOKUP(L380,Foundation_Calc!$V$79:$X$112,VLOOKUP(AX380,Foundation_Calc!$I$10:$J$13,2,FALSE),0),
IF(AX380="K",VLOOKUP(L380,Foundation_Calc!$V$116:$X$149,VLOOKUP(AX380,Foundation_Calc!$I$10:$J$13,2,FALSE),0),"")))</f>
        <v/>
      </c>
      <c r="N380" s="468" t="s">
        <v>191</v>
      </c>
      <c r="O380" s="468"/>
      <c r="P380" s="468"/>
      <c r="Q380" s="4"/>
      <c r="R380" s="6"/>
      <c r="S380" s="6"/>
      <c r="T380" s="4">
        <v>-25</v>
      </c>
      <c r="U380" s="4"/>
      <c r="V380" s="4"/>
      <c r="W380" s="9">
        <v>1</v>
      </c>
      <c r="X380" s="9"/>
      <c r="Y380" s="9"/>
      <c r="Z380" s="9"/>
      <c r="AA380" s="9"/>
      <c r="AB380" s="9"/>
      <c r="AC380" s="468" t="s">
        <v>1341</v>
      </c>
      <c r="AD380" s="468"/>
      <c r="AE380" s="468"/>
      <c r="AF380" s="4"/>
      <c r="AG380" s="88"/>
      <c r="AH380" s="4"/>
      <c r="AI380" s="4"/>
      <c r="AJ380" s="468"/>
      <c r="AK380" s="468" t="s">
        <v>773</v>
      </c>
      <c r="AL380" s="468"/>
      <c r="AM380" s="468" t="s">
        <v>2458</v>
      </c>
      <c r="AN380" s="10">
        <v>5.15</v>
      </c>
      <c r="AO380" s="9"/>
      <c r="AP380" s="9"/>
      <c r="AQ380" s="9"/>
      <c r="AR380" s="9"/>
      <c r="AS380" s="9"/>
      <c r="AT380" s="9"/>
      <c r="AU380" s="447"/>
      <c r="AV380" s="447"/>
      <c r="AW380" s="468" t="s">
        <v>199</v>
      </c>
      <c r="AX380" s="468" t="s">
        <v>199</v>
      </c>
      <c r="AY380" s="10" t="str">
        <f>IF(L380="","",
IF(AX380="PT",VLOOKUP(L380,Foundation_Calc!$K$79:$R$112,VLOOKUP(AW380,Foundation_Calc!$I$2:$J$8,2,FALSE),0),
IF(AX380="K",VLOOKUP(L380,Foundation_Calc!$K$116:$R$149,VLOOKUP(AW380,Foundation_Calc!$I$2:$J$8,2,FALSE),0),"")))</f>
        <v/>
      </c>
      <c r="AZ380" s="10" t="str">
        <f>IF(K380="","",
IF(AX380="PT",VLOOKUP(K380,Foundation_Calc!$K$79:$R$112,VLOOKUP(AW380,Foundation_Calc!$I$2:$J$8,2,FALSE),0),
IF(AX380="K",VLOOKUP(K380,Foundation_Calc!$K$116:$R$149,VLOOKUP(AW380,Foundation_Calc!$I$2:$J$8,2,FALSE),0),"")))</f>
        <v/>
      </c>
      <c r="BA380" s="553" t="str">
        <f t="shared" si="25"/>
        <v/>
      </c>
      <c r="BB380" s="553" t="str">
        <f t="shared" si="25"/>
        <v/>
      </c>
      <c r="BC380" s="553" t="str">
        <f t="shared" si="24"/>
        <v/>
      </c>
      <c r="BD380" s="572"/>
      <c r="BE380" s="448" t="s">
        <v>1726</v>
      </c>
      <c r="BF380" s="306"/>
      <c r="BG380" s="306"/>
      <c r="BH380" s="306"/>
      <c r="BI380" s="306"/>
    </row>
    <row r="381" spans="1:61" ht="16.2" customHeight="1">
      <c r="A381" s="624" t="s">
        <v>383</v>
      </c>
      <c r="B381" s="469"/>
      <c r="C381" s="3"/>
      <c r="D381" s="88"/>
      <c r="E381" s="4"/>
      <c r="F381" s="4"/>
      <c r="G381" s="6">
        <v>22.9</v>
      </c>
      <c r="H381" s="468"/>
      <c r="I381" s="468"/>
      <c r="J381" s="3"/>
      <c r="K381" s="468"/>
      <c r="L381" s="468"/>
      <c r="M381" s="468" t="str">
        <f>IF(L381="","",
IF(AX381="PT",VLOOKUP(L381,Foundation_Calc!$V$79:$X$112,VLOOKUP(AX381,Foundation_Calc!$I$10:$J$13,2,FALSE),0),
IF(AX381="K",VLOOKUP(L381,Foundation_Calc!$V$116:$X$149,VLOOKUP(AX381,Foundation_Calc!$I$10:$J$13,2,FALSE),0),"")))</f>
        <v/>
      </c>
      <c r="N381" s="468"/>
      <c r="O381" s="468"/>
      <c r="P381" s="468"/>
      <c r="Q381" s="4"/>
      <c r="R381" s="6"/>
      <c r="S381" s="6"/>
      <c r="T381" s="4"/>
      <c r="U381" s="4"/>
      <c r="V381" s="4"/>
      <c r="W381" s="9"/>
      <c r="X381" s="9"/>
      <c r="Y381" s="9"/>
      <c r="Z381" s="9"/>
      <c r="AA381" s="9"/>
      <c r="AB381" s="9"/>
      <c r="AC381" s="468" t="s">
        <v>195</v>
      </c>
      <c r="AD381" s="468"/>
      <c r="AE381" s="468"/>
      <c r="AF381" s="4"/>
      <c r="AG381" s="88"/>
      <c r="AH381" s="4"/>
      <c r="AI381" s="4"/>
      <c r="AJ381" s="468"/>
      <c r="AK381" s="468"/>
      <c r="AL381" s="468"/>
      <c r="AM381" s="468"/>
      <c r="AN381" s="10"/>
      <c r="AO381" s="9"/>
      <c r="AP381" s="9"/>
      <c r="AQ381" s="9"/>
      <c r="AR381" s="9"/>
      <c r="AS381" s="9"/>
      <c r="AT381" s="9"/>
      <c r="AU381" s="447"/>
      <c r="AV381" s="447"/>
      <c r="AW381" s="468"/>
      <c r="AX381" s="468"/>
      <c r="AY381" s="10" t="str">
        <f>IF(L381="","",
IF(AX381="PT",VLOOKUP(L381,Foundation_Calc!$K$79:$R$112,VLOOKUP(AW381,Foundation_Calc!$I$2:$J$8,2,FALSE),0),
IF(AX381="K",VLOOKUP(L381,Foundation_Calc!$K$116:$R$149,VLOOKUP(AW381,Foundation_Calc!$I$2:$J$8,2,FALSE),0),"")))</f>
        <v/>
      </c>
      <c r="AZ381" s="10" t="str">
        <f>IF(K381="","",
IF(AX381="PT",VLOOKUP(K381,Foundation_Calc!$K$79:$R$112,VLOOKUP(AW381,Foundation_Calc!$I$2:$J$8,2,FALSE),0),
IF(AX381="K",VLOOKUP(K381,Foundation_Calc!$K$116:$R$149,VLOOKUP(AW381,Foundation_Calc!$I$2:$J$8,2,FALSE),0),"")))</f>
        <v/>
      </c>
      <c r="BA381" s="553" t="str">
        <f t="shared" si="25"/>
        <v/>
      </c>
      <c r="BB381" s="553" t="str">
        <f t="shared" si="25"/>
        <v/>
      </c>
      <c r="BC381" s="553" t="str">
        <f t="shared" si="24"/>
        <v/>
      </c>
      <c r="BD381" s="572"/>
      <c r="BE381" s="448" t="s">
        <v>1726</v>
      </c>
      <c r="BF381" s="305"/>
      <c r="BG381" s="305"/>
      <c r="BH381" s="306"/>
      <c r="BI381" s="305"/>
    </row>
    <row r="382" spans="1:61" ht="16.2" customHeight="1">
      <c r="A382" s="624" t="s">
        <v>383</v>
      </c>
      <c r="B382" s="469" t="s">
        <v>2156</v>
      </c>
      <c r="C382" s="3">
        <f>+$C$380+$G$381</f>
        <v>7520.8500000000013</v>
      </c>
      <c r="D382" s="88"/>
      <c r="E382" s="4"/>
      <c r="F382" s="4">
        <v>-300</v>
      </c>
      <c r="G382" s="6"/>
      <c r="H382" s="468"/>
      <c r="I382" s="468"/>
      <c r="J382" s="3"/>
      <c r="K382" s="468"/>
      <c r="L382" s="468"/>
      <c r="M382" s="468" t="str">
        <f>IF(L382="","",
IF(AX382="PT",VLOOKUP(L382,Foundation_Calc!$V$79:$X$112,VLOOKUP(AX382,Foundation_Calc!$I$10:$J$13,2,FALSE),0),
IF(AX382="K",VLOOKUP(L382,Foundation_Calc!$V$116:$X$149,VLOOKUP(AX382,Foundation_Calc!$I$10:$J$13,2,FALSE),0),"")))</f>
        <v/>
      </c>
      <c r="N382" s="468" t="s">
        <v>191</v>
      </c>
      <c r="O382" s="468"/>
      <c r="P382" s="468"/>
      <c r="Q382" s="4"/>
      <c r="R382" s="6"/>
      <c r="S382" s="6"/>
      <c r="T382" s="4">
        <v>-25</v>
      </c>
      <c r="U382" s="4"/>
      <c r="V382" s="4"/>
      <c r="W382" s="9">
        <v>1</v>
      </c>
      <c r="X382" s="9"/>
      <c r="Y382" s="9"/>
      <c r="Z382" s="9"/>
      <c r="AA382" s="9"/>
      <c r="AB382" s="9"/>
      <c r="AC382" s="468" t="s">
        <v>1341</v>
      </c>
      <c r="AD382" s="468"/>
      <c r="AE382" s="468"/>
      <c r="AF382" s="4"/>
      <c r="AG382" s="88"/>
      <c r="AH382" s="4"/>
      <c r="AI382" s="4"/>
      <c r="AJ382" s="468"/>
      <c r="AK382" s="468" t="s">
        <v>773</v>
      </c>
      <c r="AL382" s="468"/>
      <c r="AM382" s="468" t="s">
        <v>2458</v>
      </c>
      <c r="AN382" s="10">
        <v>5.15</v>
      </c>
      <c r="AO382" s="9"/>
      <c r="AP382" s="9"/>
      <c r="AQ382" s="9"/>
      <c r="AR382" s="9"/>
      <c r="AS382" s="9"/>
      <c r="AT382" s="9"/>
      <c r="AU382" s="447"/>
      <c r="AV382" s="447"/>
      <c r="AW382" s="468" t="s">
        <v>199</v>
      </c>
      <c r="AX382" s="468" t="s">
        <v>199</v>
      </c>
      <c r="AY382" s="10" t="str">
        <f>IF(L382="","",
IF(AX382="PT",VLOOKUP(L382,Foundation_Calc!$K$79:$R$112,VLOOKUP(AW382,Foundation_Calc!$I$2:$J$8,2,FALSE),0),
IF(AX382="K",VLOOKUP(L382,Foundation_Calc!$K$116:$R$149,VLOOKUP(AW382,Foundation_Calc!$I$2:$J$8,2,FALSE),0),"")))</f>
        <v/>
      </c>
      <c r="AZ382" s="10" t="str">
        <f>IF(K382="","",
IF(AX382="PT",VLOOKUP(K382,Foundation_Calc!$K$79:$R$112,VLOOKUP(AW382,Foundation_Calc!$I$2:$J$8,2,FALSE),0),
IF(AX382="K",VLOOKUP(K382,Foundation_Calc!$K$116:$R$149,VLOOKUP(AW382,Foundation_Calc!$I$2:$J$8,2,FALSE),0),"")))</f>
        <v/>
      </c>
      <c r="BA382" s="553" t="str">
        <f t="shared" si="25"/>
        <v/>
      </c>
      <c r="BB382" s="553" t="str">
        <f t="shared" si="25"/>
        <v/>
      </c>
      <c r="BC382" s="553" t="str">
        <f t="shared" si="24"/>
        <v/>
      </c>
      <c r="BD382" s="572"/>
      <c r="BE382" s="448" t="s">
        <v>1726</v>
      </c>
      <c r="BF382" s="306"/>
      <c r="BG382" s="306"/>
      <c r="BH382" s="306"/>
      <c r="BI382" s="306"/>
    </row>
    <row r="383" spans="1:61" ht="16.2" customHeight="1">
      <c r="A383" s="624" t="s">
        <v>383</v>
      </c>
      <c r="B383" s="469"/>
      <c r="C383" s="3"/>
      <c r="D383" s="88"/>
      <c r="E383" s="4"/>
      <c r="F383" s="4"/>
      <c r="G383" s="6">
        <v>22.8</v>
      </c>
      <c r="H383" s="468"/>
      <c r="I383" s="468"/>
      <c r="J383" s="3"/>
      <c r="K383" s="468"/>
      <c r="L383" s="468"/>
      <c r="M383" s="468" t="str">
        <f>IF(L383="","",
IF(AX383="PT",VLOOKUP(L383,Foundation_Calc!$V$79:$X$112,VLOOKUP(AX383,Foundation_Calc!$I$10:$J$13,2,FALSE),0),
IF(AX383="K",VLOOKUP(L383,Foundation_Calc!$V$116:$X$149,VLOOKUP(AX383,Foundation_Calc!$I$10:$J$13,2,FALSE),0),"")))</f>
        <v/>
      </c>
      <c r="N383" s="468"/>
      <c r="O383" s="468"/>
      <c r="P383" s="468"/>
      <c r="Q383" s="4"/>
      <c r="R383" s="6"/>
      <c r="S383" s="6"/>
      <c r="T383" s="4"/>
      <c r="U383" s="4"/>
      <c r="V383" s="4"/>
      <c r="W383" s="9"/>
      <c r="X383" s="9"/>
      <c r="Y383" s="9"/>
      <c r="Z383" s="9"/>
      <c r="AA383" s="9"/>
      <c r="AB383" s="9"/>
      <c r="AC383" s="468" t="s">
        <v>195</v>
      </c>
      <c r="AD383" s="468"/>
      <c r="AE383" s="468"/>
      <c r="AF383" s="4"/>
      <c r="AG383" s="88"/>
      <c r="AH383" s="4"/>
      <c r="AI383" s="4"/>
      <c r="AJ383" s="468"/>
      <c r="AK383" s="468"/>
      <c r="AL383" s="468"/>
      <c r="AM383" s="468"/>
      <c r="AN383" s="10"/>
      <c r="AO383" s="9"/>
      <c r="AP383" s="9"/>
      <c r="AQ383" s="9"/>
      <c r="AR383" s="9"/>
      <c r="AS383" s="9"/>
      <c r="AT383" s="9"/>
      <c r="AU383" s="447"/>
      <c r="AV383" s="447"/>
      <c r="AW383" s="468"/>
      <c r="AX383" s="468"/>
      <c r="AY383" s="10" t="str">
        <f>IF(L383="","",
IF(AX383="PT",VLOOKUP(L383,Foundation_Calc!$K$79:$R$112,VLOOKUP(AW383,Foundation_Calc!$I$2:$J$8,2,FALSE),0),
IF(AX383="K",VLOOKUP(L383,Foundation_Calc!$K$116:$R$149,VLOOKUP(AW383,Foundation_Calc!$I$2:$J$8,2,FALSE),0),"")))</f>
        <v/>
      </c>
      <c r="AZ383" s="10" t="str">
        <f>IF(K383="","",
IF(AX383="PT",VLOOKUP(K383,Foundation_Calc!$K$79:$R$112,VLOOKUP(AW383,Foundation_Calc!$I$2:$J$8,2,FALSE),0),
IF(AX383="K",VLOOKUP(K383,Foundation_Calc!$K$116:$R$149,VLOOKUP(AW383,Foundation_Calc!$I$2:$J$8,2,FALSE),0),"")))</f>
        <v/>
      </c>
      <c r="BA383" s="553" t="str">
        <f t="shared" si="25"/>
        <v/>
      </c>
      <c r="BB383" s="553" t="str">
        <f t="shared" si="25"/>
        <v/>
      </c>
      <c r="BC383" s="553" t="str">
        <f t="shared" si="24"/>
        <v/>
      </c>
      <c r="BD383" s="572"/>
      <c r="BE383" s="448" t="s">
        <v>1726</v>
      </c>
      <c r="BF383" s="305"/>
      <c r="BG383" s="305"/>
      <c r="BH383" s="306"/>
      <c r="BI383" s="305"/>
    </row>
    <row r="384" spans="1:61" ht="16.2" customHeight="1">
      <c r="A384" s="624" t="s">
        <v>383</v>
      </c>
      <c r="B384" s="469" t="s">
        <v>2157</v>
      </c>
      <c r="C384" s="3">
        <f>+$C$382+$G$383</f>
        <v>7543.6500000000015</v>
      </c>
      <c r="D384" s="88"/>
      <c r="E384" s="4"/>
      <c r="F384" s="4">
        <v>-300</v>
      </c>
      <c r="G384" s="6"/>
      <c r="H384" s="468"/>
      <c r="I384" s="468"/>
      <c r="J384" s="3"/>
      <c r="K384" s="468"/>
      <c r="L384" s="468"/>
      <c r="M384" s="468" t="str">
        <f>IF(L384="","",
IF(AX384="PT",VLOOKUP(L384,Foundation_Calc!$V$79:$X$112,VLOOKUP(AX384,Foundation_Calc!$I$10:$J$13,2,FALSE),0),
IF(AX384="K",VLOOKUP(L384,Foundation_Calc!$V$116:$X$149,VLOOKUP(AX384,Foundation_Calc!$I$10:$J$13,2,FALSE),0),"")))</f>
        <v/>
      </c>
      <c r="N384" s="468" t="s">
        <v>191</v>
      </c>
      <c r="O384" s="468"/>
      <c r="P384" s="468"/>
      <c r="Q384" s="4"/>
      <c r="R384" s="6"/>
      <c r="S384" s="6"/>
      <c r="T384" s="4">
        <v>-25</v>
      </c>
      <c r="U384" s="4"/>
      <c r="V384" s="4"/>
      <c r="W384" s="9">
        <v>1</v>
      </c>
      <c r="X384" s="9"/>
      <c r="Y384" s="9"/>
      <c r="Z384" s="9"/>
      <c r="AA384" s="9"/>
      <c r="AB384" s="9"/>
      <c r="AC384" s="468" t="s">
        <v>1341</v>
      </c>
      <c r="AD384" s="468"/>
      <c r="AE384" s="468"/>
      <c r="AF384" s="4"/>
      <c r="AG384" s="88"/>
      <c r="AH384" s="4"/>
      <c r="AI384" s="4"/>
      <c r="AJ384" s="468"/>
      <c r="AK384" s="468" t="s">
        <v>773</v>
      </c>
      <c r="AL384" s="468"/>
      <c r="AM384" s="468" t="s">
        <v>2458</v>
      </c>
      <c r="AN384" s="10">
        <v>5.15</v>
      </c>
      <c r="AO384" s="9"/>
      <c r="AP384" s="9"/>
      <c r="AQ384" s="9"/>
      <c r="AR384" s="9"/>
      <c r="AS384" s="9"/>
      <c r="AT384" s="9"/>
      <c r="AU384" s="447"/>
      <c r="AV384" s="447"/>
      <c r="AW384" s="468" t="s">
        <v>199</v>
      </c>
      <c r="AX384" s="468" t="s">
        <v>199</v>
      </c>
      <c r="AY384" s="10" t="str">
        <f>IF(L384="","",
IF(AX384="PT",VLOOKUP(L384,Foundation_Calc!$K$79:$R$112,VLOOKUP(AW384,Foundation_Calc!$I$2:$J$8,2,FALSE),0),
IF(AX384="K",VLOOKUP(L384,Foundation_Calc!$K$116:$R$149,VLOOKUP(AW384,Foundation_Calc!$I$2:$J$8,2,FALSE),0),"")))</f>
        <v/>
      </c>
      <c r="AZ384" s="10" t="str">
        <f>IF(K384="","",
IF(AX384="PT",VLOOKUP(K384,Foundation_Calc!$K$79:$R$112,VLOOKUP(AW384,Foundation_Calc!$I$2:$J$8,2,FALSE),0),
IF(AX384="K",VLOOKUP(K384,Foundation_Calc!$K$116:$R$149,VLOOKUP(AW384,Foundation_Calc!$I$2:$J$8,2,FALSE),0),"")))</f>
        <v/>
      </c>
      <c r="BA384" s="553" t="str">
        <f t="shared" si="25"/>
        <v/>
      </c>
      <c r="BB384" s="553" t="str">
        <f t="shared" si="25"/>
        <v/>
      </c>
      <c r="BC384" s="553" t="str">
        <f t="shared" si="24"/>
        <v/>
      </c>
      <c r="BD384" s="572"/>
      <c r="BE384" s="448" t="s">
        <v>1726</v>
      </c>
      <c r="BF384" s="306"/>
      <c r="BG384" s="306"/>
      <c r="BH384" s="306"/>
      <c r="BI384" s="306"/>
    </row>
    <row r="385" spans="1:61" ht="16.2" customHeight="1">
      <c r="A385" s="624" t="s">
        <v>383</v>
      </c>
      <c r="B385" s="469"/>
      <c r="C385" s="3"/>
      <c r="D385" s="88"/>
      <c r="E385" s="4"/>
      <c r="F385" s="4"/>
      <c r="G385" s="6">
        <v>22.6</v>
      </c>
      <c r="H385" s="468"/>
      <c r="I385" s="4"/>
      <c r="J385" s="3"/>
      <c r="K385" s="468"/>
      <c r="L385" s="468"/>
      <c r="M385" s="468" t="str">
        <f>IF(L385="","",
IF(AX385="PT",VLOOKUP(L385,Foundation_Calc!$V$79:$X$112,VLOOKUP(AX385,Foundation_Calc!$I$10:$J$13,2,FALSE),0),
IF(AX385="K",VLOOKUP(L385,Foundation_Calc!$V$116:$X$149,VLOOKUP(AX385,Foundation_Calc!$I$10:$J$13,2,FALSE),0),"")))</f>
        <v/>
      </c>
      <c r="N385" s="468"/>
      <c r="O385" s="468"/>
      <c r="P385" s="468"/>
      <c r="Q385" s="4"/>
      <c r="R385" s="6"/>
      <c r="S385" s="6"/>
      <c r="T385" s="4"/>
      <c r="U385" s="4"/>
      <c r="V385" s="4"/>
      <c r="W385" s="9"/>
      <c r="X385" s="9"/>
      <c r="Y385" s="9"/>
      <c r="Z385" s="9"/>
      <c r="AA385" s="9"/>
      <c r="AB385" s="9"/>
      <c r="AC385" s="468" t="s">
        <v>195</v>
      </c>
      <c r="AD385" s="468"/>
      <c r="AE385" s="468"/>
      <c r="AF385" s="4"/>
      <c r="AG385" s="88"/>
      <c r="AH385" s="4"/>
      <c r="AI385" s="4"/>
      <c r="AJ385" s="468"/>
      <c r="AK385" s="468"/>
      <c r="AL385" s="468"/>
      <c r="AM385" s="468"/>
      <c r="AN385" s="10"/>
      <c r="AO385" s="9"/>
      <c r="AP385" s="9"/>
      <c r="AQ385" s="9"/>
      <c r="AR385" s="9"/>
      <c r="AS385" s="9"/>
      <c r="AT385" s="9"/>
      <c r="AU385" s="447"/>
      <c r="AV385" s="447"/>
      <c r="AW385" s="468"/>
      <c r="AX385" s="468"/>
      <c r="AY385" s="10" t="str">
        <f>IF(L385="","",
IF(AX385="PT",VLOOKUP(L385,Foundation_Calc!$K$79:$R$112,VLOOKUP(AW385,Foundation_Calc!$I$2:$J$8,2,FALSE),0),
IF(AX385="K",VLOOKUP(L385,Foundation_Calc!$K$116:$R$149,VLOOKUP(AW385,Foundation_Calc!$I$2:$J$8,2,FALSE),0),"")))</f>
        <v/>
      </c>
      <c r="AZ385" s="10" t="str">
        <f>IF(K385="","",
IF(AX385="PT",VLOOKUP(K385,Foundation_Calc!$K$79:$R$112,VLOOKUP(AW385,Foundation_Calc!$I$2:$J$8,2,FALSE),0),
IF(AX385="K",VLOOKUP(K385,Foundation_Calc!$K$116:$R$149,VLOOKUP(AW385,Foundation_Calc!$I$2:$J$8,2,FALSE),0),"")))</f>
        <v/>
      </c>
      <c r="BA385" s="553" t="str">
        <f t="shared" si="25"/>
        <v/>
      </c>
      <c r="BB385" s="553" t="str">
        <f t="shared" si="25"/>
        <v/>
      </c>
      <c r="BC385" s="553" t="str">
        <f t="shared" si="24"/>
        <v/>
      </c>
      <c r="BD385" s="572"/>
      <c r="BE385" s="448" t="s">
        <v>1726</v>
      </c>
      <c r="BF385" s="305"/>
      <c r="BG385" s="305"/>
      <c r="BH385" s="306"/>
      <c r="BI385" s="305"/>
    </row>
    <row r="386" spans="1:61" ht="16.2" customHeight="1">
      <c r="A386" s="624" t="s">
        <v>383</v>
      </c>
      <c r="B386" s="469" t="s">
        <v>2158</v>
      </c>
      <c r="C386" s="3">
        <f>+$C$384+$G$385</f>
        <v>7566.2500000000018</v>
      </c>
      <c r="D386" s="88"/>
      <c r="E386" s="4"/>
      <c r="F386" s="4">
        <v>-300</v>
      </c>
      <c r="G386" s="6"/>
      <c r="H386" s="468"/>
      <c r="I386" s="468"/>
      <c r="J386" s="3"/>
      <c r="K386" s="468"/>
      <c r="L386" s="468"/>
      <c r="M386" s="468" t="str">
        <f>IF(L386="","",
IF(AX386="PT",VLOOKUP(L386,Foundation_Calc!$V$79:$X$112,VLOOKUP(AX386,Foundation_Calc!$I$10:$J$13,2,FALSE),0),
IF(AX386="K",VLOOKUP(L386,Foundation_Calc!$V$116:$X$149,VLOOKUP(AX386,Foundation_Calc!$I$10:$J$13,2,FALSE),0),"")))</f>
        <v/>
      </c>
      <c r="N386" s="468" t="s">
        <v>191</v>
      </c>
      <c r="O386" s="468"/>
      <c r="P386" s="468"/>
      <c r="Q386" s="4"/>
      <c r="R386" s="6"/>
      <c r="S386" s="6"/>
      <c r="T386" s="4">
        <v>-25</v>
      </c>
      <c r="U386" s="4"/>
      <c r="V386" s="4"/>
      <c r="W386" s="9">
        <v>1</v>
      </c>
      <c r="X386" s="9"/>
      <c r="Y386" s="9"/>
      <c r="Z386" s="9"/>
      <c r="AA386" s="9"/>
      <c r="AB386" s="9"/>
      <c r="AC386" s="468" t="s">
        <v>1341</v>
      </c>
      <c r="AD386" s="468"/>
      <c r="AE386" s="468"/>
      <c r="AF386" s="4"/>
      <c r="AG386" s="88"/>
      <c r="AH386" s="4"/>
      <c r="AI386" s="4"/>
      <c r="AJ386" s="468"/>
      <c r="AK386" s="468" t="s">
        <v>773</v>
      </c>
      <c r="AL386" s="468"/>
      <c r="AM386" s="468" t="s">
        <v>2458</v>
      </c>
      <c r="AN386" s="10">
        <v>5.15</v>
      </c>
      <c r="AO386" s="9"/>
      <c r="AP386" s="9"/>
      <c r="AQ386" s="9"/>
      <c r="AR386" s="9"/>
      <c r="AS386" s="9"/>
      <c r="AT386" s="9"/>
      <c r="AU386" s="447"/>
      <c r="AV386" s="447"/>
      <c r="AW386" s="468" t="s">
        <v>199</v>
      </c>
      <c r="AX386" s="468" t="s">
        <v>199</v>
      </c>
      <c r="AY386" s="10" t="str">
        <f>IF(L386="","",
IF(AX386="PT",VLOOKUP(L386,Foundation_Calc!$K$79:$R$112,VLOOKUP(AW386,Foundation_Calc!$I$2:$J$8,2,FALSE),0),
IF(AX386="K",VLOOKUP(L386,Foundation_Calc!$K$116:$R$149,VLOOKUP(AW386,Foundation_Calc!$I$2:$J$8,2,FALSE),0),"")))</f>
        <v/>
      </c>
      <c r="AZ386" s="10" t="str">
        <f>IF(K386="","",
IF(AX386="PT",VLOOKUP(K386,Foundation_Calc!$K$79:$R$112,VLOOKUP(AW386,Foundation_Calc!$I$2:$J$8,2,FALSE),0),
IF(AX386="K",VLOOKUP(K386,Foundation_Calc!$K$116:$R$149,VLOOKUP(AW386,Foundation_Calc!$I$2:$J$8,2,FALSE),0),"")))</f>
        <v/>
      </c>
      <c r="BA386" s="553" t="str">
        <f t="shared" si="25"/>
        <v/>
      </c>
      <c r="BB386" s="553" t="str">
        <f t="shared" si="25"/>
        <v/>
      </c>
      <c r="BC386" s="553" t="str">
        <f t="shared" si="24"/>
        <v/>
      </c>
      <c r="BD386" s="572"/>
      <c r="BE386" s="448" t="s">
        <v>1726</v>
      </c>
      <c r="BF386" s="306"/>
      <c r="BG386" s="306"/>
      <c r="BH386" s="306"/>
      <c r="BI386" s="306"/>
    </row>
    <row r="387" spans="1:61" ht="16.2" customHeight="1">
      <c r="A387" s="624" t="s">
        <v>383</v>
      </c>
      <c r="B387" s="469"/>
      <c r="C387" s="3"/>
      <c r="D387" s="88"/>
      <c r="E387" s="4"/>
      <c r="F387" s="4"/>
      <c r="G387" s="6">
        <v>20.5</v>
      </c>
      <c r="H387" s="468"/>
      <c r="I387" s="4"/>
      <c r="J387" s="3"/>
      <c r="K387" s="468"/>
      <c r="L387" s="468"/>
      <c r="M387" s="468" t="str">
        <f>IF(L387="","",
IF(AX387="PT",VLOOKUP(L387,Foundation_Calc!$V$79:$X$112,VLOOKUP(AX387,Foundation_Calc!$I$10:$J$13,2,FALSE),0),
IF(AX387="K",VLOOKUP(L387,Foundation_Calc!$V$116:$X$149,VLOOKUP(AX387,Foundation_Calc!$I$10:$J$13,2,FALSE),0),"")))</f>
        <v/>
      </c>
      <c r="N387" s="468"/>
      <c r="O387" s="468"/>
      <c r="P387" s="468"/>
      <c r="Q387" s="4"/>
      <c r="R387" s="6"/>
      <c r="S387" s="6"/>
      <c r="T387" s="4"/>
      <c r="U387" s="4"/>
      <c r="V387" s="4"/>
      <c r="W387" s="9"/>
      <c r="X387" s="9"/>
      <c r="Y387" s="9"/>
      <c r="Z387" s="9"/>
      <c r="AA387" s="9"/>
      <c r="AB387" s="9"/>
      <c r="AC387" s="468" t="s">
        <v>195</v>
      </c>
      <c r="AD387" s="468"/>
      <c r="AE387" s="468"/>
      <c r="AF387" s="4"/>
      <c r="AG387" s="88"/>
      <c r="AH387" s="4"/>
      <c r="AI387" s="4"/>
      <c r="AJ387" s="468"/>
      <c r="AK387" s="468"/>
      <c r="AL387" s="468"/>
      <c r="AM387" s="468"/>
      <c r="AN387" s="10"/>
      <c r="AO387" s="9"/>
      <c r="AP387" s="9"/>
      <c r="AQ387" s="9"/>
      <c r="AR387" s="9"/>
      <c r="AS387" s="9"/>
      <c r="AT387" s="9"/>
      <c r="AU387" s="447"/>
      <c r="AV387" s="447"/>
      <c r="AW387" s="468"/>
      <c r="AX387" s="468"/>
      <c r="AY387" s="10" t="str">
        <f>IF(L387="","",
IF(AX387="PT",VLOOKUP(L387,Foundation_Calc!$K$79:$R$112,VLOOKUP(AW387,Foundation_Calc!$I$2:$J$8,2,FALSE),0),
IF(AX387="K",VLOOKUP(L387,Foundation_Calc!$K$116:$R$149,VLOOKUP(AW387,Foundation_Calc!$I$2:$J$8,2,FALSE),0),"")))</f>
        <v/>
      </c>
      <c r="AZ387" s="10" t="str">
        <f>IF(K387="","",
IF(AX387="PT",VLOOKUP(K387,Foundation_Calc!$K$79:$R$112,VLOOKUP(AW387,Foundation_Calc!$I$2:$J$8,2,FALSE),0),
IF(AX387="K",VLOOKUP(K387,Foundation_Calc!$K$116:$R$149,VLOOKUP(AW387,Foundation_Calc!$I$2:$J$8,2,FALSE),0),"")))</f>
        <v/>
      </c>
      <c r="BA387" s="553" t="str">
        <f t="shared" si="25"/>
        <v/>
      </c>
      <c r="BB387" s="553" t="str">
        <f t="shared" si="25"/>
        <v/>
      </c>
      <c r="BC387" s="553" t="str">
        <f t="shared" si="24"/>
        <v/>
      </c>
      <c r="BD387" s="572"/>
      <c r="BE387" s="448" t="s">
        <v>1726</v>
      </c>
      <c r="BF387" s="305"/>
      <c r="BG387" s="305"/>
      <c r="BH387" s="306"/>
      <c r="BI387" s="305"/>
    </row>
    <row r="388" spans="1:61" ht="16.2" customHeight="1">
      <c r="A388" s="624" t="s">
        <v>383</v>
      </c>
      <c r="B388" s="469" t="s">
        <v>2159</v>
      </c>
      <c r="C388" s="3">
        <f>+$C$386+$G$387+0.1</f>
        <v>7586.8500000000022</v>
      </c>
      <c r="D388" s="88"/>
      <c r="E388" s="4"/>
      <c r="F388" s="4">
        <v>-300</v>
      </c>
      <c r="G388" s="6"/>
      <c r="H388" s="468"/>
      <c r="I388" s="468"/>
      <c r="J388" s="3"/>
      <c r="K388" s="468"/>
      <c r="L388" s="468"/>
      <c r="M388" s="468" t="str">
        <f>IF(L388="","",
IF(AX388="PT",VLOOKUP(L388,Foundation_Calc!$V$79:$X$112,VLOOKUP(AX388,Foundation_Calc!$I$10:$J$13,2,FALSE),0),
IF(AX388="K",VLOOKUP(L388,Foundation_Calc!$V$116:$X$149,VLOOKUP(AX388,Foundation_Calc!$I$10:$J$13,2,FALSE),0),"")))</f>
        <v/>
      </c>
      <c r="N388" s="468" t="s">
        <v>191</v>
      </c>
      <c r="O388" s="468"/>
      <c r="P388" s="468"/>
      <c r="Q388" s="4"/>
      <c r="R388" s="6"/>
      <c r="S388" s="6"/>
      <c r="T388" s="4">
        <v>-25</v>
      </c>
      <c r="U388" s="4"/>
      <c r="V388" s="4"/>
      <c r="W388" s="9">
        <v>1</v>
      </c>
      <c r="X388" s="9"/>
      <c r="Y388" s="9"/>
      <c r="Z388" s="9"/>
      <c r="AA388" s="9"/>
      <c r="AB388" s="9"/>
      <c r="AC388" s="468" t="s">
        <v>1341</v>
      </c>
      <c r="AD388" s="468"/>
      <c r="AE388" s="468"/>
      <c r="AF388" s="4"/>
      <c r="AG388" s="88"/>
      <c r="AH388" s="4"/>
      <c r="AI388" s="4"/>
      <c r="AJ388" s="468"/>
      <c r="AK388" s="468" t="s">
        <v>41</v>
      </c>
      <c r="AL388" s="468"/>
      <c r="AM388" s="468" t="s">
        <v>2458</v>
      </c>
      <c r="AN388" s="10">
        <v>5.15</v>
      </c>
      <c r="AO388" s="9"/>
      <c r="AP388" s="9"/>
      <c r="AQ388" s="9"/>
      <c r="AR388" s="9"/>
      <c r="AS388" s="9"/>
      <c r="AT388" s="9"/>
      <c r="AU388" s="447"/>
      <c r="AV388" s="447"/>
      <c r="AW388" s="468" t="s">
        <v>199</v>
      </c>
      <c r="AX388" s="468" t="s">
        <v>199</v>
      </c>
      <c r="AY388" s="10" t="str">
        <f>IF(L388="","",
IF(AX388="PT",VLOOKUP(L388,Foundation_Calc!$K$79:$R$112,VLOOKUP(AW388,Foundation_Calc!$I$2:$J$8,2,FALSE),0),
IF(AX388="K",VLOOKUP(L388,Foundation_Calc!$K$116:$R$149,VLOOKUP(AW388,Foundation_Calc!$I$2:$J$8,2,FALSE),0),"")))</f>
        <v/>
      </c>
      <c r="AZ388" s="10" t="str">
        <f>IF(K388="","",
IF(AX388="PT",VLOOKUP(K388,Foundation_Calc!$K$79:$R$112,VLOOKUP(AW388,Foundation_Calc!$I$2:$J$8,2,FALSE),0),
IF(AX388="K",VLOOKUP(K388,Foundation_Calc!$K$116:$R$149,VLOOKUP(AW388,Foundation_Calc!$I$2:$J$8,2,FALSE),0),"")))</f>
        <v/>
      </c>
      <c r="BA388" s="553" t="str">
        <f t="shared" si="25"/>
        <v/>
      </c>
      <c r="BB388" s="553" t="str">
        <f t="shared" si="25"/>
        <v/>
      </c>
      <c r="BC388" s="553" t="str">
        <f t="shared" si="24"/>
        <v/>
      </c>
      <c r="BD388" s="572"/>
      <c r="BE388" s="448" t="s">
        <v>1726</v>
      </c>
      <c r="BF388" s="306"/>
      <c r="BG388" s="306"/>
      <c r="BH388" s="306"/>
      <c r="BI388" s="306"/>
    </row>
    <row r="389" spans="1:61" ht="16.2" customHeight="1">
      <c r="A389" s="624" t="s">
        <v>383</v>
      </c>
      <c r="B389" s="469"/>
      <c r="C389" s="3"/>
      <c r="D389" s="88"/>
      <c r="E389" s="4"/>
      <c r="F389" s="4"/>
      <c r="G389" s="6">
        <v>23</v>
      </c>
      <c r="H389" s="468"/>
      <c r="I389" s="468"/>
      <c r="J389" s="3"/>
      <c r="K389" s="468"/>
      <c r="L389" s="468"/>
      <c r="M389" s="468" t="str">
        <f>IF(L389="","",
IF(AX389="PT",VLOOKUP(L389,Foundation_Calc!$V$79:$X$112,VLOOKUP(AX389,Foundation_Calc!$I$10:$J$13,2,FALSE),0),
IF(AX389="K",VLOOKUP(L389,Foundation_Calc!$V$116:$X$149,VLOOKUP(AX389,Foundation_Calc!$I$10:$J$13,2,FALSE),0),"")))</f>
        <v/>
      </c>
      <c r="N389" s="468"/>
      <c r="O389" s="468"/>
      <c r="P389" s="468"/>
      <c r="Q389" s="4"/>
      <c r="R389" s="6"/>
      <c r="S389" s="6"/>
      <c r="T389" s="4"/>
      <c r="U389" s="4"/>
      <c r="V389" s="4"/>
      <c r="W389" s="9"/>
      <c r="X389" s="9"/>
      <c r="Y389" s="9"/>
      <c r="Z389" s="9"/>
      <c r="AA389" s="9"/>
      <c r="AB389" s="9"/>
      <c r="AC389" s="468" t="s">
        <v>195</v>
      </c>
      <c r="AD389" s="468"/>
      <c r="AE389" s="468"/>
      <c r="AF389" s="4"/>
      <c r="AG389" s="88"/>
      <c r="AH389" s="4"/>
      <c r="AI389" s="4"/>
      <c r="AJ389" s="468"/>
      <c r="AK389" s="468"/>
      <c r="AL389" s="468"/>
      <c r="AM389" s="468"/>
      <c r="AN389" s="10"/>
      <c r="AO389" s="9"/>
      <c r="AP389" s="9"/>
      <c r="AQ389" s="9"/>
      <c r="AR389" s="9"/>
      <c r="AS389" s="9"/>
      <c r="AT389" s="9"/>
      <c r="AU389" s="447"/>
      <c r="AV389" s="447"/>
      <c r="AW389" s="468"/>
      <c r="AX389" s="468"/>
      <c r="AY389" s="10" t="str">
        <f>IF(L389="","",
IF(AX389="PT",VLOOKUP(L389,Foundation_Calc!$K$79:$R$112,VLOOKUP(AW389,Foundation_Calc!$I$2:$J$8,2,FALSE),0),
IF(AX389="K",VLOOKUP(L389,Foundation_Calc!$K$116:$R$149,VLOOKUP(AW389,Foundation_Calc!$I$2:$J$8,2,FALSE),0),"")))</f>
        <v/>
      </c>
      <c r="AZ389" s="10" t="str">
        <f>IF(K389="","",
IF(AX389="PT",VLOOKUP(K389,Foundation_Calc!$K$79:$R$112,VLOOKUP(AW389,Foundation_Calc!$I$2:$J$8,2,FALSE),0),
IF(AX389="K",VLOOKUP(K389,Foundation_Calc!$K$116:$R$149,VLOOKUP(AW389,Foundation_Calc!$I$2:$J$8,2,FALSE),0),"")))</f>
        <v/>
      </c>
      <c r="BA389" s="553" t="str">
        <f t="shared" si="25"/>
        <v/>
      </c>
      <c r="BB389" s="553" t="str">
        <f t="shared" si="25"/>
        <v/>
      </c>
      <c r="BC389" s="553" t="str">
        <f t="shared" si="24"/>
        <v/>
      </c>
      <c r="BD389" s="572"/>
      <c r="BE389" s="448" t="s">
        <v>1726</v>
      </c>
      <c r="BF389" s="305"/>
      <c r="BG389" s="305"/>
      <c r="BH389" s="306"/>
      <c r="BI389" s="305"/>
    </row>
    <row r="390" spans="1:61" ht="16.2" customHeight="1">
      <c r="A390" s="580" t="s">
        <v>2452</v>
      </c>
      <c r="B390" s="469" t="s">
        <v>2160</v>
      </c>
      <c r="C390" s="3">
        <f>+$C$388+$G$389</f>
        <v>7609.8500000000022</v>
      </c>
      <c r="D390" s="88"/>
      <c r="E390" s="4"/>
      <c r="F390" s="4">
        <v>0</v>
      </c>
      <c r="G390" s="6"/>
      <c r="H390" s="468"/>
      <c r="I390" s="468"/>
      <c r="J390" s="3"/>
      <c r="K390" s="468"/>
      <c r="L390" s="468"/>
      <c r="M390" s="468" t="str">
        <f>IF(L390="","",
IF(AX390="PT",VLOOKUP(L390,Foundation_Calc!$V$79:$X$112,VLOOKUP(AX390,Foundation_Calc!$I$10:$J$13,2,FALSE),0),
IF(AX390="K",VLOOKUP(L390,Foundation_Calc!$V$116:$X$149,VLOOKUP(AX390,Foundation_Calc!$I$10:$J$13,2,FALSE),0),"")))</f>
        <v/>
      </c>
      <c r="N390" s="468" t="s">
        <v>192</v>
      </c>
      <c r="O390" s="468"/>
      <c r="P390" s="468"/>
      <c r="Q390" s="4"/>
      <c r="R390" s="6"/>
      <c r="S390" s="6"/>
      <c r="T390" s="4">
        <v>25</v>
      </c>
      <c r="U390" s="4"/>
      <c r="V390" s="4"/>
      <c r="W390" s="9">
        <v>1</v>
      </c>
      <c r="X390" s="9"/>
      <c r="Y390" s="9"/>
      <c r="Z390" s="9"/>
      <c r="AA390" s="9"/>
      <c r="AB390" s="9"/>
      <c r="AC390" s="468" t="s">
        <v>630</v>
      </c>
      <c r="AD390" s="468"/>
      <c r="AE390" s="468"/>
      <c r="AF390" s="4"/>
      <c r="AG390" s="88"/>
      <c r="AH390" s="4"/>
      <c r="AI390" s="4"/>
      <c r="AJ390" s="468"/>
      <c r="AK390" s="468" t="s">
        <v>41</v>
      </c>
      <c r="AL390" s="468"/>
      <c r="AM390" s="468" t="s">
        <v>2458</v>
      </c>
      <c r="AN390" s="10">
        <v>5.15</v>
      </c>
      <c r="AO390" s="9"/>
      <c r="AP390" s="9"/>
      <c r="AQ390" s="9"/>
      <c r="AR390" s="9"/>
      <c r="AS390" s="9"/>
      <c r="AT390" s="9"/>
      <c r="AU390" s="447"/>
      <c r="AV390" s="447"/>
      <c r="AW390" s="468" t="s">
        <v>199</v>
      </c>
      <c r="AX390" s="468" t="s">
        <v>199</v>
      </c>
      <c r="AY390" s="10" t="str">
        <f>IF(L390="","",
IF(AX390="PT",VLOOKUP(L390,Foundation_Calc!$K$79:$R$112,VLOOKUP(AW390,Foundation_Calc!$I$2:$J$8,2,FALSE),0),
IF(AX390="K",VLOOKUP(L390,Foundation_Calc!$K$116:$R$149,VLOOKUP(AW390,Foundation_Calc!$I$2:$J$8,2,FALSE),0),"")))</f>
        <v/>
      </c>
      <c r="AZ390" s="10" t="str">
        <f>IF(K390="","",
IF(AX390="PT",VLOOKUP(K390,Foundation_Calc!$K$79:$R$112,VLOOKUP(AW390,Foundation_Calc!$I$2:$J$8,2,FALSE),0),
IF(AX390="K",VLOOKUP(K390,Foundation_Calc!$K$116:$R$149,VLOOKUP(AW390,Foundation_Calc!$I$2:$J$8,2,FALSE),0),"")))</f>
        <v/>
      </c>
      <c r="BA390" s="553" t="str">
        <f t="shared" si="25"/>
        <v/>
      </c>
      <c r="BB390" s="553" t="str">
        <f t="shared" si="25"/>
        <v/>
      </c>
      <c r="BC390" s="553" t="str">
        <f t="shared" si="24"/>
        <v/>
      </c>
      <c r="BD390" s="572"/>
      <c r="BE390" s="448" t="s">
        <v>1726</v>
      </c>
      <c r="BF390" s="306"/>
      <c r="BG390" s="306"/>
      <c r="BH390" s="306"/>
      <c r="BI390" s="306"/>
    </row>
    <row r="391" spans="1:61" ht="16.2" customHeight="1">
      <c r="A391" s="579" t="s">
        <v>2452</v>
      </c>
      <c r="B391" s="469"/>
      <c r="C391" s="3"/>
      <c r="D391" s="88"/>
      <c r="E391" s="4"/>
      <c r="F391" s="4"/>
      <c r="G391" s="6">
        <v>27.5</v>
      </c>
      <c r="H391" s="468"/>
      <c r="I391" s="468"/>
      <c r="J391" s="3"/>
      <c r="K391" s="468"/>
      <c r="L391" s="468"/>
      <c r="M391" s="468" t="str">
        <f>IF(L391="","",
IF(AX391="PT",VLOOKUP(L391,Foundation_Calc!$V$79:$X$112,VLOOKUP(AX391,Foundation_Calc!$I$10:$J$13,2,FALSE),0),
IF(AX391="K",VLOOKUP(L391,Foundation_Calc!$V$116:$X$149,VLOOKUP(AX391,Foundation_Calc!$I$10:$J$13,2,FALSE),0),"")))</f>
        <v/>
      </c>
      <c r="N391" s="468"/>
      <c r="O391" s="468"/>
      <c r="P391" s="468"/>
      <c r="Q391" s="4"/>
      <c r="R391" s="6"/>
      <c r="S391" s="6"/>
      <c r="T391" s="4"/>
      <c r="U391" s="4"/>
      <c r="V391" s="4"/>
      <c r="W391" s="9"/>
      <c r="X391" s="9"/>
      <c r="Y391" s="9"/>
      <c r="Z391" s="9"/>
      <c r="AA391" s="9"/>
      <c r="AB391" s="9"/>
      <c r="AC391" s="468" t="s">
        <v>195</v>
      </c>
      <c r="AD391" s="468"/>
      <c r="AE391" s="468"/>
      <c r="AF391" s="4"/>
      <c r="AG391" s="88"/>
      <c r="AH391" s="4"/>
      <c r="AI391" s="4"/>
      <c r="AJ391" s="468"/>
      <c r="AK391" s="468"/>
      <c r="AL391" s="468"/>
      <c r="AM391" s="468"/>
      <c r="AN391" s="10"/>
      <c r="AO391" s="9"/>
      <c r="AP391" s="9"/>
      <c r="AQ391" s="9"/>
      <c r="AR391" s="9"/>
      <c r="AS391" s="9"/>
      <c r="AT391" s="9"/>
      <c r="AU391" s="447"/>
      <c r="AV391" s="447"/>
      <c r="AW391" s="468"/>
      <c r="AX391" s="468"/>
      <c r="AY391" s="10" t="str">
        <f>IF(L391="","",
IF(AX391="PT",VLOOKUP(L391,Foundation_Calc!$K$79:$R$112,VLOOKUP(AW391,Foundation_Calc!$I$2:$J$8,2,FALSE),0),
IF(AX391="K",VLOOKUP(L391,Foundation_Calc!$K$116:$R$149,VLOOKUP(AW391,Foundation_Calc!$I$2:$J$8,2,FALSE),0),"")))</f>
        <v/>
      </c>
      <c r="AZ391" s="10" t="str">
        <f>IF(K391="","",
IF(AX391="PT",VLOOKUP(K391,Foundation_Calc!$K$79:$R$112,VLOOKUP(AW391,Foundation_Calc!$I$2:$J$8,2,FALSE),0),
IF(AX391="K",VLOOKUP(K391,Foundation_Calc!$K$116:$R$149,VLOOKUP(AW391,Foundation_Calc!$I$2:$J$8,2,FALSE),0),"")))</f>
        <v/>
      </c>
      <c r="BA391" s="555" t="str">
        <f t="shared" si="25"/>
        <v/>
      </c>
      <c r="BB391" s="555" t="str">
        <f t="shared" si="25"/>
        <v/>
      </c>
      <c r="BC391" s="555" t="str">
        <f t="shared" si="24"/>
        <v/>
      </c>
      <c r="BD391" s="572"/>
      <c r="BE391" s="448" t="s">
        <v>1726</v>
      </c>
      <c r="BF391" s="305"/>
      <c r="BG391" s="305"/>
      <c r="BH391" s="306"/>
      <c r="BI391" s="305"/>
    </row>
    <row r="392" spans="1:61" ht="16.2" customHeight="1">
      <c r="A392" s="579" t="s">
        <v>2470</v>
      </c>
      <c r="B392" s="469" t="s">
        <v>2161</v>
      </c>
      <c r="C392" s="3">
        <f>+$C$390+$G$391</f>
        <v>7637.3500000000022</v>
      </c>
      <c r="D392" s="88"/>
      <c r="E392" s="4"/>
      <c r="F392" s="4">
        <v>0</v>
      </c>
      <c r="G392" s="6"/>
      <c r="H392" s="468"/>
      <c r="I392" s="468"/>
      <c r="J392" s="3"/>
      <c r="K392" s="468"/>
      <c r="L392" s="468"/>
      <c r="M392" s="468" t="str">
        <f>IF(L392="","",
IF(AX392="PT",VLOOKUP(L392,Foundation_Calc!$V$79:$X$112,VLOOKUP(AX392,Foundation_Calc!$I$10:$J$13,2,FALSE),0),
IF(AX392="K",VLOOKUP(L392,Foundation_Calc!$V$116:$X$149,VLOOKUP(AX392,Foundation_Calc!$I$10:$J$13,2,FALSE),0),"")))</f>
        <v/>
      </c>
      <c r="N392" s="648" t="s">
        <v>192</v>
      </c>
      <c r="O392" s="468"/>
      <c r="P392" s="468"/>
      <c r="Q392" s="4"/>
      <c r="R392" s="6"/>
      <c r="S392" s="6"/>
      <c r="T392" s="4">
        <v>25</v>
      </c>
      <c r="U392" s="4"/>
      <c r="V392" s="4"/>
      <c r="W392" s="9">
        <v>1</v>
      </c>
      <c r="X392" s="9"/>
      <c r="Y392" s="9"/>
      <c r="Z392" s="9"/>
      <c r="AA392" s="9"/>
      <c r="AB392" s="9"/>
      <c r="AC392" s="468" t="s">
        <v>630</v>
      </c>
      <c r="AD392" s="468"/>
      <c r="AE392" s="468"/>
      <c r="AF392" s="4"/>
      <c r="AG392" s="88"/>
      <c r="AH392" s="4"/>
      <c r="AI392" s="4"/>
      <c r="AJ392" s="468"/>
      <c r="AK392" s="468" t="s">
        <v>41</v>
      </c>
      <c r="AL392" s="468"/>
      <c r="AM392" s="468" t="s">
        <v>2458</v>
      </c>
      <c r="AN392" s="10">
        <v>5.15</v>
      </c>
      <c r="AO392" s="9"/>
      <c r="AP392" s="9"/>
      <c r="AQ392" s="9"/>
      <c r="AR392" s="9"/>
      <c r="AS392" s="9"/>
      <c r="AT392" s="9"/>
      <c r="AU392" s="447"/>
      <c r="AV392" s="447"/>
      <c r="AW392" s="468" t="s">
        <v>199</v>
      </c>
      <c r="AX392" s="468" t="s">
        <v>199</v>
      </c>
      <c r="AY392" s="10" t="str">
        <f>IF(L392="","",
IF(AX392="PT",VLOOKUP(L392,Foundation_Calc!$K$79:$R$112,VLOOKUP(AW392,Foundation_Calc!$I$2:$J$8,2,FALSE),0),
IF(AX392="K",VLOOKUP(L392,Foundation_Calc!$K$116:$R$149,VLOOKUP(AW392,Foundation_Calc!$I$2:$J$8,2,FALSE),0),"")))</f>
        <v/>
      </c>
      <c r="AZ392" s="10" t="str">
        <f>IF(K392="","",
IF(AX392="PT",VLOOKUP(K392,Foundation_Calc!$K$79:$R$112,VLOOKUP(AW392,Foundation_Calc!$I$2:$J$8,2,FALSE),0),
IF(AX392="K",VLOOKUP(K392,Foundation_Calc!$K$116:$R$149,VLOOKUP(AW392,Foundation_Calc!$I$2:$J$8,2,FALSE),0),"")))</f>
        <v/>
      </c>
      <c r="BA392" s="553" t="str">
        <f t="shared" si="25"/>
        <v/>
      </c>
      <c r="BB392" s="553" t="str">
        <f t="shared" si="25"/>
        <v/>
      </c>
      <c r="BC392" s="553" t="str">
        <f t="shared" si="24"/>
        <v/>
      </c>
      <c r="BD392" s="572"/>
      <c r="BE392" s="448" t="s">
        <v>1726</v>
      </c>
      <c r="BF392" s="306"/>
      <c r="BG392" s="306"/>
      <c r="BH392" s="306"/>
      <c r="BI392" s="306"/>
    </row>
    <row r="393" spans="1:61" ht="16.2" customHeight="1">
      <c r="A393" s="579" t="s">
        <v>2470</v>
      </c>
      <c r="B393" s="469"/>
      <c r="C393" s="3"/>
      <c r="D393" s="88"/>
      <c r="E393" s="4"/>
      <c r="F393" s="4"/>
      <c r="G393" s="6">
        <v>34</v>
      </c>
      <c r="H393" s="468"/>
      <c r="I393" s="468"/>
      <c r="J393" s="3"/>
      <c r="K393" s="468"/>
      <c r="L393" s="468"/>
      <c r="M393" s="468" t="str">
        <f>IF(L393="","",
IF(AX393="PT",VLOOKUP(L393,Foundation_Calc!$V$79:$X$112,VLOOKUP(AX393,Foundation_Calc!$I$10:$J$13,2,FALSE),0),
IF(AX393="K",VLOOKUP(L393,Foundation_Calc!$V$116:$X$149,VLOOKUP(AX393,Foundation_Calc!$I$10:$J$13,2,FALSE),0),"")))</f>
        <v/>
      </c>
      <c r="N393" s="468"/>
      <c r="O393" s="468"/>
      <c r="P393" s="468"/>
      <c r="Q393" s="4"/>
      <c r="R393" s="6"/>
      <c r="S393" s="6"/>
      <c r="T393" s="4"/>
      <c r="U393" s="4"/>
      <c r="V393" s="4"/>
      <c r="W393" s="9"/>
      <c r="X393" s="9"/>
      <c r="Y393" s="9"/>
      <c r="Z393" s="9"/>
      <c r="AA393" s="9"/>
      <c r="AB393" s="9"/>
      <c r="AC393" s="468" t="s">
        <v>195</v>
      </c>
      <c r="AD393" s="468"/>
      <c r="AE393" s="468"/>
      <c r="AF393" s="4"/>
      <c r="AG393" s="88"/>
      <c r="AH393" s="4"/>
      <c r="AI393" s="4"/>
      <c r="AJ393" s="468"/>
      <c r="AK393" s="468"/>
      <c r="AL393" s="468"/>
      <c r="AM393" s="468"/>
      <c r="AN393" s="10"/>
      <c r="AO393" s="9"/>
      <c r="AP393" s="9"/>
      <c r="AQ393" s="9"/>
      <c r="AR393" s="9"/>
      <c r="AS393" s="9"/>
      <c r="AT393" s="9"/>
      <c r="AU393" s="447"/>
      <c r="AV393" s="447"/>
      <c r="AW393" s="468"/>
      <c r="AX393" s="468"/>
      <c r="AY393" s="10" t="str">
        <f>IF(L393="","",
IF(AX393="PT",VLOOKUP(L393,Foundation_Calc!$K$79:$R$112,VLOOKUP(AW393,Foundation_Calc!$I$2:$J$8,2,FALSE),0),
IF(AX393="K",VLOOKUP(L393,Foundation_Calc!$K$116:$R$149,VLOOKUP(AW393,Foundation_Calc!$I$2:$J$8,2,FALSE),0),"")))</f>
        <v/>
      </c>
      <c r="AZ393" s="10" t="str">
        <f>IF(K393="","",
IF(AX393="PT",VLOOKUP(K393,Foundation_Calc!$K$79:$R$112,VLOOKUP(AW393,Foundation_Calc!$I$2:$J$8,2,FALSE),0),
IF(AX393="K",VLOOKUP(K393,Foundation_Calc!$K$116:$R$149,VLOOKUP(AW393,Foundation_Calc!$I$2:$J$8,2,FALSE),0),"")))</f>
        <v/>
      </c>
      <c r="BA393" s="553" t="str">
        <f t="shared" si="25"/>
        <v/>
      </c>
      <c r="BB393" s="553" t="str">
        <f t="shared" si="25"/>
        <v/>
      </c>
      <c r="BC393" s="553" t="str">
        <f t="shared" si="24"/>
        <v/>
      </c>
      <c r="BD393" s="572"/>
      <c r="BE393" s="448" t="s">
        <v>1726</v>
      </c>
      <c r="BF393" s="305"/>
      <c r="BG393" s="305"/>
      <c r="BH393" s="306"/>
      <c r="BI393" s="305"/>
    </row>
    <row r="394" spans="1:61" ht="16.2" customHeight="1">
      <c r="A394" s="579" t="s">
        <v>2470</v>
      </c>
      <c r="B394" s="469" t="s">
        <v>2162</v>
      </c>
      <c r="C394" s="3">
        <f>+$C$392+$G$393</f>
        <v>7671.3500000000022</v>
      </c>
      <c r="D394" s="88"/>
      <c r="E394" s="4"/>
      <c r="F394" s="4">
        <v>0</v>
      </c>
      <c r="G394" s="6"/>
      <c r="H394" s="468"/>
      <c r="I394" s="468"/>
      <c r="J394" s="3"/>
      <c r="K394" s="468"/>
      <c r="L394" s="468"/>
      <c r="M394" s="468" t="str">
        <f>IF(L394="","",
IF(AX394="PT",VLOOKUP(L394,Foundation_Calc!$V$79:$X$112,VLOOKUP(AX394,Foundation_Calc!$I$10:$J$13,2,FALSE),0),
IF(AX394="K",VLOOKUP(L394,Foundation_Calc!$V$116:$X$149,VLOOKUP(AX394,Foundation_Calc!$I$10:$J$13,2,FALSE),0),"")))</f>
        <v/>
      </c>
      <c r="N394" s="468" t="s">
        <v>191</v>
      </c>
      <c r="O394" s="468"/>
      <c r="P394" s="468"/>
      <c r="Q394" s="4"/>
      <c r="R394" s="6"/>
      <c r="S394" s="6"/>
      <c r="T394" s="4">
        <v>-25</v>
      </c>
      <c r="U394" s="4"/>
      <c r="V394" s="4"/>
      <c r="W394" s="9">
        <v>1</v>
      </c>
      <c r="X394" s="9"/>
      <c r="Y394" s="9"/>
      <c r="Z394" s="9"/>
      <c r="AA394" s="9"/>
      <c r="AB394" s="9"/>
      <c r="AC394" s="468" t="s">
        <v>1340</v>
      </c>
      <c r="AD394" s="468"/>
      <c r="AE394" s="468"/>
      <c r="AF394" s="4"/>
      <c r="AG394" s="88"/>
      <c r="AH394" s="4"/>
      <c r="AI394" s="4"/>
      <c r="AJ394" s="468"/>
      <c r="AK394" s="468" t="s">
        <v>41</v>
      </c>
      <c r="AL394" s="468"/>
      <c r="AM394" s="468" t="s">
        <v>2458</v>
      </c>
      <c r="AN394" s="10">
        <v>5.15</v>
      </c>
      <c r="AO394" s="9"/>
      <c r="AP394" s="9"/>
      <c r="AQ394" s="9"/>
      <c r="AR394" s="9"/>
      <c r="AS394" s="9"/>
      <c r="AT394" s="9"/>
      <c r="AU394" s="447"/>
      <c r="AV394" s="447"/>
      <c r="AW394" s="468" t="s">
        <v>199</v>
      </c>
      <c r="AX394" s="468" t="s">
        <v>199</v>
      </c>
      <c r="AY394" s="10" t="str">
        <f>IF(L394="","",
IF(AX394="PT",VLOOKUP(L394,Foundation_Calc!$K$79:$R$112,VLOOKUP(AW394,Foundation_Calc!$I$2:$J$8,2,FALSE),0),
IF(AX394="K",VLOOKUP(L394,Foundation_Calc!$K$116:$R$149,VLOOKUP(AW394,Foundation_Calc!$I$2:$J$8,2,FALSE),0),"")))</f>
        <v/>
      </c>
      <c r="AZ394" s="10" t="str">
        <f>IF(K394="","",
IF(AX394="PT",VLOOKUP(K394,Foundation_Calc!$K$79:$R$112,VLOOKUP(AW394,Foundation_Calc!$I$2:$J$8,2,FALSE),0),
IF(AX394="K",VLOOKUP(K394,Foundation_Calc!$K$116:$R$149,VLOOKUP(AW394,Foundation_Calc!$I$2:$J$8,2,FALSE),0),"")))</f>
        <v/>
      </c>
      <c r="BA394" s="553" t="str">
        <f t="shared" si="25"/>
        <v/>
      </c>
      <c r="BB394" s="553" t="str">
        <f t="shared" si="25"/>
        <v/>
      </c>
      <c r="BC394" s="553" t="str">
        <f t="shared" si="24"/>
        <v/>
      </c>
      <c r="BD394" s="572"/>
      <c r="BE394" s="448" t="s">
        <v>1726</v>
      </c>
      <c r="BF394" s="306"/>
      <c r="BG394" s="306"/>
      <c r="BH394" s="306"/>
      <c r="BI394" s="306"/>
    </row>
    <row r="395" spans="1:61" ht="16.2" customHeight="1">
      <c r="A395" s="579"/>
      <c r="B395" s="469"/>
      <c r="C395" s="3"/>
      <c r="D395" s="88"/>
      <c r="E395" s="4"/>
      <c r="F395" s="4"/>
      <c r="G395" s="6">
        <v>37</v>
      </c>
      <c r="H395" s="468"/>
      <c r="I395" s="468"/>
      <c r="J395" s="3"/>
      <c r="K395" s="468"/>
      <c r="L395" s="468"/>
      <c r="M395" s="468" t="str">
        <f>IF(L395="","",
IF(AX395="PT",VLOOKUP(L395,Foundation_Calc!$V$79:$X$112,VLOOKUP(AX395,Foundation_Calc!$I$10:$J$13,2,FALSE),0),
IF(AX395="K",VLOOKUP(L395,Foundation_Calc!$V$116:$X$149,VLOOKUP(AX395,Foundation_Calc!$I$10:$J$13,2,FALSE),0),"")))</f>
        <v/>
      </c>
      <c r="N395" s="468"/>
      <c r="O395" s="468"/>
      <c r="P395" s="468"/>
      <c r="Q395" s="4"/>
      <c r="R395" s="6"/>
      <c r="S395" s="6"/>
      <c r="T395" s="4"/>
      <c r="U395" s="4"/>
      <c r="V395" s="4"/>
      <c r="W395" s="9"/>
      <c r="X395" s="9"/>
      <c r="Y395" s="9"/>
      <c r="Z395" s="9"/>
      <c r="AA395" s="9"/>
      <c r="AB395" s="9"/>
      <c r="AC395" s="468" t="s">
        <v>195</v>
      </c>
      <c r="AD395" s="468"/>
      <c r="AE395" s="468"/>
      <c r="AF395" s="4"/>
      <c r="AG395" s="88"/>
      <c r="AH395" s="4"/>
      <c r="AI395" s="4"/>
      <c r="AJ395" s="468"/>
      <c r="AK395" s="468"/>
      <c r="AL395" s="468"/>
      <c r="AM395" s="468"/>
      <c r="AN395" s="10"/>
      <c r="AO395" s="9"/>
      <c r="AP395" s="9"/>
      <c r="AQ395" s="9"/>
      <c r="AR395" s="9"/>
      <c r="AS395" s="9"/>
      <c r="AT395" s="9"/>
      <c r="AU395" s="447"/>
      <c r="AV395" s="447"/>
      <c r="AW395" s="468"/>
      <c r="AX395" s="468"/>
      <c r="AY395" s="10" t="str">
        <f>IF(L395="","",
IF(AX395="PT",VLOOKUP(L395,Foundation_Calc!$K$79:$R$112,VLOOKUP(AW395,Foundation_Calc!$I$2:$J$8,2,FALSE),0),
IF(AX395="K",VLOOKUP(L395,Foundation_Calc!$K$116:$R$149,VLOOKUP(AW395,Foundation_Calc!$I$2:$J$8,2,FALSE),0),"")))</f>
        <v/>
      </c>
      <c r="AZ395" s="10" t="str">
        <f>IF(K395="","",
IF(AX395="PT",VLOOKUP(K395,Foundation_Calc!$K$79:$R$112,VLOOKUP(AW395,Foundation_Calc!$I$2:$J$8,2,FALSE),0),
IF(AX395="K",VLOOKUP(K395,Foundation_Calc!$K$116:$R$149,VLOOKUP(AW395,Foundation_Calc!$I$2:$J$8,2,FALSE),0),"")))</f>
        <v/>
      </c>
      <c r="BA395" s="553" t="str">
        <f t="shared" si="25"/>
        <v/>
      </c>
      <c r="BB395" s="553" t="str">
        <f t="shared" si="25"/>
        <v/>
      </c>
      <c r="BC395" s="553" t="str">
        <f t="shared" ref="BC395:BC406" si="27">IF(M395="","",IF(M395="U.S.","ü",IF(M395="U.S. N.D.","ü","")))</f>
        <v/>
      </c>
      <c r="BD395" s="572"/>
      <c r="BE395" s="448" t="s">
        <v>1726</v>
      </c>
      <c r="BF395" s="305"/>
      <c r="BG395" s="305"/>
      <c r="BH395" s="306"/>
      <c r="BI395" s="305"/>
    </row>
    <row r="396" spans="1:61" ht="16.2" customHeight="1">
      <c r="A396" s="579" t="s">
        <v>2470</v>
      </c>
      <c r="B396" s="469" t="s">
        <v>2163</v>
      </c>
      <c r="C396" s="3">
        <f>+$C$394+$G$395</f>
        <v>7708.3500000000022</v>
      </c>
      <c r="D396" s="88"/>
      <c r="E396" s="4"/>
      <c r="F396" s="4">
        <v>0</v>
      </c>
      <c r="G396" s="6"/>
      <c r="H396" s="468"/>
      <c r="I396" s="468"/>
      <c r="J396" s="3"/>
      <c r="K396" s="468"/>
      <c r="L396" s="468"/>
      <c r="M396" s="468" t="str">
        <f>IF(L396="","",
IF(AX396="PT",VLOOKUP(L396,Foundation_Calc!$V$79:$X$112,VLOOKUP(AX396,Foundation_Calc!$I$10:$J$13,2,FALSE),0),
IF(AX396="K",VLOOKUP(L396,Foundation_Calc!$V$116:$X$149,VLOOKUP(AX396,Foundation_Calc!$I$10:$J$13,2,FALSE),0),"")))</f>
        <v/>
      </c>
      <c r="N396" s="468" t="s">
        <v>192</v>
      </c>
      <c r="O396" s="468"/>
      <c r="P396" s="468"/>
      <c r="Q396" s="4"/>
      <c r="R396" s="6"/>
      <c r="S396" s="6"/>
      <c r="T396" s="4">
        <v>25</v>
      </c>
      <c r="U396" s="4"/>
      <c r="V396" s="4"/>
      <c r="W396" s="9">
        <v>1</v>
      </c>
      <c r="X396" s="9"/>
      <c r="Y396" s="9"/>
      <c r="Z396" s="9"/>
      <c r="AA396" s="9"/>
      <c r="AB396" s="9"/>
      <c r="AC396" s="468" t="s">
        <v>1340</v>
      </c>
      <c r="AD396" s="468"/>
      <c r="AE396" s="468"/>
      <c r="AF396" s="4"/>
      <c r="AG396" s="88"/>
      <c r="AH396" s="4"/>
      <c r="AI396" s="4"/>
      <c r="AJ396" s="468"/>
      <c r="AK396" s="468" t="s">
        <v>2580</v>
      </c>
      <c r="AL396" s="468"/>
      <c r="AM396" s="468" t="s">
        <v>2458</v>
      </c>
      <c r="AN396" s="10">
        <v>5.15</v>
      </c>
      <c r="AO396" s="9"/>
      <c r="AP396" s="9"/>
      <c r="AQ396" s="9"/>
      <c r="AR396" s="9"/>
      <c r="AS396" s="9"/>
      <c r="AT396" s="9"/>
      <c r="AU396" s="447"/>
      <c r="AV396" s="447"/>
      <c r="AW396" s="468" t="s">
        <v>2581</v>
      </c>
      <c r="AX396" s="468" t="s">
        <v>199</v>
      </c>
      <c r="AY396" s="10" t="str">
        <f>IF(L396="","",
IF(AX396="PT",VLOOKUP(L396,Foundation_Calc!$K$79:$R$112,VLOOKUP(AW396,Foundation_Calc!$I$2:$J$8,2,FALSE),0),
IF(AX396="K",VLOOKUP(L396,Foundation_Calc!$K$116:$R$149,VLOOKUP(AW396,Foundation_Calc!$I$2:$J$8,2,FALSE),0),"")))</f>
        <v/>
      </c>
      <c r="AZ396" s="10" t="str">
        <f>IF(K396="","",
IF(AX396="PT",VLOOKUP(K396,Foundation_Calc!$K$79:$R$112,VLOOKUP(AW396,Foundation_Calc!$I$2:$J$8,2,FALSE),0),
IF(AX396="K",VLOOKUP(K396,Foundation_Calc!$K$116:$R$149,VLOOKUP(AW396,Foundation_Calc!$I$2:$J$8,2,FALSE),0),"")))</f>
        <v/>
      </c>
      <c r="BA396" s="553" t="str">
        <f t="shared" si="25"/>
        <v/>
      </c>
      <c r="BB396" s="553" t="str">
        <f t="shared" si="25"/>
        <v/>
      </c>
      <c r="BC396" s="553" t="str">
        <f t="shared" si="27"/>
        <v/>
      </c>
      <c r="BD396" s="572"/>
      <c r="BE396" s="448" t="s">
        <v>1726</v>
      </c>
      <c r="BF396" s="306"/>
      <c r="BG396" s="306"/>
      <c r="BH396" s="306"/>
      <c r="BI396" s="306"/>
    </row>
    <row r="397" spans="1:61" ht="16.2" customHeight="1">
      <c r="A397" s="580" t="s">
        <v>2452</v>
      </c>
      <c r="B397" s="469"/>
      <c r="C397" s="3"/>
      <c r="D397" s="88"/>
      <c r="E397" s="4"/>
      <c r="F397" s="4"/>
      <c r="G397" s="6">
        <v>32</v>
      </c>
      <c r="H397" s="468"/>
      <c r="I397" s="468"/>
      <c r="J397" s="3"/>
      <c r="K397" s="468"/>
      <c r="L397" s="468"/>
      <c r="M397" s="468" t="str">
        <f>IF(L397="","",
IF(AX397="PT",VLOOKUP(L397,Foundation_Calc!$V$79:$X$112,VLOOKUP(AX397,Foundation_Calc!$I$10:$J$13,2,FALSE),0),
IF(AX397="K",VLOOKUP(L397,Foundation_Calc!$V$116:$X$149,VLOOKUP(AX397,Foundation_Calc!$I$10:$J$13,2,FALSE),0),"")))</f>
        <v/>
      </c>
      <c r="N397" s="468"/>
      <c r="O397" s="468"/>
      <c r="P397" s="468"/>
      <c r="Q397" s="4"/>
      <c r="R397" s="6"/>
      <c r="S397" s="6"/>
      <c r="T397" s="4"/>
      <c r="U397" s="4"/>
      <c r="V397" s="4"/>
      <c r="W397" s="9"/>
      <c r="X397" s="9"/>
      <c r="Y397" s="9"/>
      <c r="Z397" s="9"/>
      <c r="AA397" s="9"/>
      <c r="AB397" s="9"/>
      <c r="AC397" s="468" t="s">
        <v>195</v>
      </c>
      <c r="AD397" s="468"/>
      <c r="AE397" s="468"/>
      <c r="AF397" s="4"/>
      <c r="AG397" s="88"/>
      <c r="AH397" s="4"/>
      <c r="AI397" s="4"/>
      <c r="AJ397" s="468"/>
      <c r="AK397" s="468"/>
      <c r="AL397" s="468"/>
      <c r="AM397" s="468"/>
      <c r="AN397" s="10"/>
      <c r="AO397" s="9"/>
      <c r="AP397" s="9"/>
      <c r="AQ397" s="9"/>
      <c r="AR397" s="9"/>
      <c r="AS397" s="9"/>
      <c r="AT397" s="9"/>
      <c r="AU397" s="447"/>
      <c r="AV397" s="447"/>
      <c r="AW397" s="468"/>
      <c r="AX397" s="468"/>
      <c r="AY397" s="10" t="str">
        <f>IF(L397="","",
IF(AX397="PT",VLOOKUP(L397,Foundation_Calc!$K$79:$R$112,VLOOKUP(AW397,Foundation_Calc!$I$2:$J$8,2,FALSE),0),
IF(AX397="K",VLOOKUP(L397,Foundation_Calc!$K$116:$R$149,VLOOKUP(AW397,Foundation_Calc!$I$2:$J$8,2,FALSE),0),"")))</f>
        <v/>
      </c>
      <c r="AZ397" s="10" t="str">
        <f>IF(K397="","",
IF(AX397="PT",VLOOKUP(K397,Foundation_Calc!$K$79:$R$112,VLOOKUP(AW397,Foundation_Calc!$I$2:$J$8,2,FALSE),0),
IF(AX397="K",VLOOKUP(K397,Foundation_Calc!$K$116:$R$149,VLOOKUP(AW397,Foundation_Calc!$I$2:$J$8,2,FALSE),0),"")))</f>
        <v/>
      </c>
      <c r="BA397" s="553" t="str">
        <f t="shared" si="25"/>
        <v/>
      </c>
      <c r="BB397" s="553" t="str">
        <f t="shared" si="25"/>
        <v/>
      </c>
      <c r="BC397" s="553" t="str">
        <f t="shared" si="27"/>
        <v/>
      </c>
      <c r="BD397" s="572"/>
      <c r="BE397" s="448" t="s">
        <v>1726</v>
      </c>
      <c r="BF397" s="305"/>
      <c r="BG397" s="305"/>
      <c r="BH397" s="306"/>
      <c r="BI397" s="305"/>
    </row>
    <row r="398" spans="1:61" ht="16.2" customHeight="1">
      <c r="A398" s="581" t="s">
        <v>2453</v>
      </c>
      <c r="B398" s="527" t="s">
        <v>2164</v>
      </c>
      <c r="C398" s="528">
        <f>+$C$396+$G$397</f>
        <v>7740.3500000000022</v>
      </c>
      <c r="D398" s="529"/>
      <c r="E398" s="530"/>
      <c r="F398" s="530">
        <v>0</v>
      </c>
      <c r="G398" s="531"/>
      <c r="H398" s="532"/>
      <c r="I398" s="532"/>
      <c r="J398" s="528"/>
      <c r="K398" s="532"/>
      <c r="L398" s="532"/>
      <c r="M398" s="532" t="str">
        <f>IF(L398="","",
IF(AX398="PT",VLOOKUP(L398,Foundation_Calc!$V$79:$X$112,VLOOKUP(AX398,Foundation_Calc!$I$10:$J$13,2,FALSE),0),
IF(AX398="K",VLOOKUP(L398,Foundation_Calc!$V$116:$X$149,VLOOKUP(AX398,Foundation_Calc!$I$10:$J$13,2,FALSE),0),"")))</f>
        <v/>
      </c>
      <c r="N398" s="532" t="s">
        <v>191</v>
      </c>
      <c r="O398" s="532"/>
      <c r="P398" s="532"/>
      <c r="Q398" s="530"/>
      <c r="R398" s="531"/>
      <c r="S398" s="531"/>
      <c r="T398" s="530">
        <v>-25</v>
      </c>
      <c r="U398" s="530"/>
      <c r="V398" s="530"/>
      <c r="W398" s="533">
        <v>1</v>
      </c>
      <c r="X398" s="533"/>
      <c r="Y398" s="533"/>
      <c r="Z398" s="533"/>
      <c r="AA398" s="533"/>
      <c r="AB398" s="533"/>
      <c r="AC398" s="532" t="s">
        <v>1340</v>
      </c>
      <c r="AD398" s="532"/>
      <c r="AE398" s="532"/>
      <c r="AF398" s="530"/>
      <c r="AG398" s="529"/>
      <c r="AH398" s="530"/>
      <c r="AI398" s="530"/>
      <c r="AJ398" s="532"/>
      <c r="AK398" s="532" t="s">
        <v>2580</v>
      </c>
      <c r="AL398" s="532"/>
      <c r="AM398" s="532" t="s">
        <v>2458</v>
      </c>
      <c r="AN398" s="534">
        <v>5.15</v>
      </c>
      <c r="AO398" s="533"/>
      <c r="AP398" s="533"/>
      <c r="AQ398" s="533"/>
      <c r="AR398" s="533"/>
      <c r="AS398" s="533"/>
      <c r="AT398" s="533"/>
      <c r="AU398" s="535"/>
      <c r="AV398" s="535"/>
      <c r="AW398" s="532" t="s">
        <v>2581</v>
      </c>
      <c r="AX398" s="532" t="s">
        <v>199</v>
      </c>
      <c r="AY398" s="534" t="str">
        <f>IF(L398="","",
IF(AX398="PT",VLOOKUP(L398,Foundation_Calc!$K$79:$R$112,VLOOKUP(AW398,Foundation_Calc!$I$2:$J$8,2,FALSE),0),
IF(AX398="K",VLOOKUP(L398,Foundation_Calc!$K$116:$R$149,VLOOKUP(AW398,Foundation_Calc!$I$2:$J$8,2,FALSE),0),"")))</f>
        <v/>
      </c>
      <c r="AZ398" s="534" t="str">
        <f>IF(K398="","",
IF(AX398="PT",VLOOKUP(K398,Foundation_Calc!$K$79:$R$112,VLOOKUP(AW398,Foundation_Calc!$I$2:$J$8,2,FALSE),0),
IF(AX398="K",VLOOKUP(K398,Foundation_Calc!$K$116:$R$149,VLOOKUP(AW398,Foundation_Calc!$I$2:$J$8,2,FALSE),0),"")))</f>
        <v/>
      </c>
      <c r="BA398" s="553" t="str">
        <f t="shared" ref="BA398:BB406" si="28">IF(AY398="","",IF(AY398&gt;0,"ü",""))</f>
        <v/>
      </c>
      <c r="BB398" s="553" t="str">
        <f t="shared" si="28"/>
        <v/>
      </c>
      <c r="BC398" s="553" t="str">
        <f t="shared" si="27"/>
        <v/>
      </c>
      <c r="BD398" s="572"/>
      <c r="BE398" s="448" t="s">
        <v>1726</v>
      </c>
      <c r="BF398" s="306"/>
      <c r="BG398" s="306"/>
      <c r="BH398" s="306"/>
      <c r="BI398" s="306"/>
    </row>
    <row r="399" spans="1:61" ht="16.2" customHeight="1">
      <c r="A399" s="579" t="s">
        <v>2470</v>
      </c>
      <c r="B399" s="469"/>
      <c r="C399" s="3"/>
      <c r="D399" s="88"/>
      <c r="E399" s="4"/>
      <c r="F399" s="4"/>
      <c r="G399" s="6">
        <v>35.4</v>
      </c>
      <c r="H399" s="468"/>
      <c r="I399" s="468"/>
      <c r="J399" s="3"/>
      <c r="K399" s="468"/>
      <c r="L399" s="468"/>
      <c r="M399" s="468" t="str">
        <f>IF(L399="","",
IF(AX399="PT",VLOOKUP(L399,Foundation_Calc!$V$79:$X$112,VLOOKUP(AX399,Foundation_Calc!$I$10:$J$13,2,FALSE),0),
IF(AX399="K",VLOOKUP(L399,Foundation_Calc!$V$116:$X$149,VLOOKUP(AX399,Foundation_Calc!$I$10:$J$13,2,FALSE),0),"")))</f>
        <v/>
      </c>
      <c r="N399" s="468"/>
      <c r="O399" s="468"/>
      <c r="P399" s="468"/>
      <c r="Q399" s="4"/>
      <c r="R399" s="6"/>
      <c r="S399" s="6"/>
      <c r="T399" s="4"/>
      <c r="U399" s="4"/>
      <c r="V399" s="4"/>
      <c r="W399" s="9"/>
      <c r="X399" s="9"/>
      <c r="Y399" s="9"/>
      <c r="Z399" s="9"/>
      <c r="AA399" s="9"/>
      <c r="AB399" s="9"/>
      <c r="AC399" s="468" t="s">
        <v>195</v>
      </c>
      <c r="AD399" s="468"/>
      <c r="AE399" s="468"/>
      <c r="AF399" s="4"/>
      <c r="AG399" s="88"/>
      <c r="AH399" s="4"/>
      <c r="AI399" s="4"/>
      <c r="AJ399" s="468"/>
      <c r="AK399" s="468"/>
      <c r="AL399" s="468"/>
      <c r="AM399" s="468"/>
      <c r="AN399" s="10"/>
      <c r="AO399" s="9"/>
      <c r="AP399" s="9"/>
      <c r="AQ399" s="9"/>
      <c r="AR399" s="9"/>
      <c r="AS399" s="9"/>
      <c r="AT399" s="9"/>
      <c r="AU399" s="447"/>
      <c r="AV399" s="447"/>
      <c r="AW399" s="468"/>
      <c r="AX399" s="468"/>
      <c r="AY399" s="10" t="str">
        <f>IF(L399="","",
IF(AX399="PT",VLOOKUP(L399,Foundation_Calc!$K$79:$R$112,VLOOKUP(AW399,Foundation_Calc!$I$2:$J$8,2,FALSE),0),
IF(AX399="K",VLOOKUP(L399,Foundation_Calc!$K$116:$R$149,VLOOKUP(AW399,Foundation_Calc!$I$2:$J$8,2,FALSE),0),"")))</f>
        <v/>
      </c>
      <c r="AZ399" s="10" t="str">
        <f>IF(K399="","",
IF(AX399="PT",VLOOKUP(K399,Foundation_Calc!$K$79:$R$112,VLOOKUP(AW399,Foundation_Calc!$I$2:$J$8,2,FALSE),0),
IF(AX399="K",VLOOKUP(K399,Foundation_Calc!$K$116:$R$149,VLOOKUP(AW399,Foundation_Calc!$I$2:$J$8,2,FALSE),0),"")))</f>
        <v/>
      </c>
      <c r="BA399" s="553" t="str">
        <f t="shared" si="28"/>
        <v/>
      </c>
      <c r="BB399" s="553" t="str">
        <f t="shared" si="28"/>
        <v/>
      </c>
      <c r="BC399" s="553" t="str">
        <f t="shared" si="27"/>
        <v/>
      </c>
      <c r="BD399" s="572"/>
      <c r="BE399" s="448" t="s">
        <v>1726</v>
      </c>
      <c r="BF399" s="305"/>
      <c r="BG399" s="305"/>
      <c r="BH399" s="306"/>
      <c r="BI399" s="305"/>
    </row>
    <row r="400" spans="1:61" ht="16.2" customHeight="1">
      <c r="A400" s="579" t="s">
        <v>2470</v>
      </c>
      <c r="B400" s="469" t="s">
        <v>2165</v>
      </c>
      <c r="C400" s="3">
        <f>+$C$398+$G$399</f>
        <v>7775.7500000000018</v>
      </c>
      <c r="D400" s="88"/>
      <c r="E400" s="4"/>
      <c r="F400" s="4">
        <v>0</v>
      </c>
      <c r="G400" s="6"/>
      <c r="H400" s="468"/>
      <c r="I400" s="468"/>
      <c r="J400" s="3"/>
      <c r="K400" s="468"/>
      <c r="L400" s="468"/>
      <c r="M400" s="468" t="str">
        <f>IF(L400="","",
IF(AX400="PT",VLOOKUP(L400,Foundation_Calc!$V$79:$X$112,VLOOKUP(AX400,Foundation_Calc!$I$10:$J$13,2,FALSE),0),
IF(AX400="K",VLOOKUP(L400,Foundation_Calc!$V$116:$X$149,VLOOKUP(AX400,Foundation_Calc!$I$10:$J$13,2,FALSE),0),"")))</f>
        <v/>
      </c>
      <c r="N400" s="468" t="s">
        <v>192</v>
      </c>
      <c r="O400" s="468"/>
      <c r="P400" s="468"/>
      <c r="Q400" s="4"/>
      <c r="R400" s="6"/>
      <c r="S400" s="6"/>
      <c r="T400" s="4">
        <v>25</v>
      </c>
      <c r="U400" s="4"/>
      <c r="V400" s="4"/>
      <c r="W400" s="9">
        <v>1</v>
      </c>
      <c r="X400" s="9"/>
      <c r="Y400" s="9"/>
      <c r="Z400" s="9"/>
      <c r="AA400" s="9"/>
      <c r="AB400" s="9"/>
      <c r="AC400" s="468" t="s">
        <v>1340</v>
      </c>
      <c r="AD400" s="468"/>
      <c r="AE400" s="468"/>
      <c r="AF400" s="4"/>
      <c r="AG400" s="88"/>
      <c r="AH400" s="4"/>
      <c r="AI400" s="4"/>
      <c r="AJ400" s="468"/>
      <c r="AK400" s="468" t="s">
        <v>2580</v>
      </c>
      <c r="AL400" s="468"/>
      <c r="AM400" s="468" t="s">
        <v>2458</v>
      </c>
      <c r="AN400" s="10">
        <v>5.15</v>
      </c>
      <c r="AO400" s="9"/>
      <c r="AP400" s="9"/>
      <c r="AQ400" s="9"/>
      <c r="AR400" s="9"/>
      <c r="AS400" s="9"/>
      <c r="AT400" s="9"/>
      <c r="AU400" s="447"/>
      <c r="AV400" s="447"/>
      <c r="AW400" s="468" t="s">
        <v>2581</v>
      </c>
      <c r="AX400" s="468" t="s">
        <v>199</v>
      </c>
      <c r="AY400" s="10" t="str">
        <f>IF(L400="","",
IF(AX400="PT",VLOOKUP(L400,Foundation_Calc!$K$79:$R$112,VLOOKUP(AW400,Foundation_Calc!$I$2:$J$8,2,FALSE),0),
IF(AX400="K",VLOOKUP(L400,Foundation_Calc!$K$116:$R$149,VLOOKUP(AW400,Foundation_Calc!$I$2:$J$8,2,FALSE),0),"")))</f>
        <v/>
      </c>
      <c r="AZ400" s="10" t="str">
        <f>IF(K400="","",
IF(AX400="PT",VLOOKUP(K400,Foundation_Calc!$K$79:$R$112,VLOOKUP(AW400,Foundation_Calc!$I$2:$J$8,2,FALSE),0),
IF(AX400="K",VLOOKUP(K400,Foundation_Calc!$K$116:$R$149,VLOOKUP(AW400,Foundation_Calc!$I$2:$J$8,2,FALSE),0),"")))</f>
        <v/>
      </c>
      <c r="BA400" s="553" t="str">
        <f t="shared" si="28"/>
        <v/>
      </c>
      <c r="BB400" s="553" t="str">
        <f t="shared" si="28"/>
        <v/>
      </c>
      <c r="BC400" s="553" t="str">
        <f t="shared" si="27"/>
        <v/>
      </c>
      <c r="BD400" s="572"/>
      <c r="BE400" s="448" t="s">
        <v>1726</v>
      </c>
      <c r="BF400" s="306"/>
      <c r="BG400" s="306"/>
      <c r="BH400" s="306"/>
      <c r="BI400" s="306"/>
    </row>
    <row r="401" spans="1:61" ht="16.2" customHeight="1">
      <c r="A401" s="579"/>
      <c r="B401" s="469"/>
      <c r="C401" s="3"/>
      <c r="D401" s="88"/>
      <c r="E401" s="4"/>
      <c r="F401" s="4"/>
      <c r="G401" s="6">
        <v>40.6</v>
      </c>
      <c r="H401" s="468"/>
      <c r="I401" s="468"/>
      <c r="J401" s="3"/>
      <c r="K401" s="468"/>
      <c r="L401" s="468"/>
      <c r="M401" s="468" t="str">
        <f>IF(L401="","",
IF(AX401="PT",VLOOKUP(L401,Foundation_Calc!$V$79:$X$112,VLOOKUP(AX401,Foundation_Calc!$I$10:$J$13,2,FALSE),0),
IF(AX401="K",VLOOKUP(L401,Foundation_Calc!$V$116:$X$149,VLOOKUP(AX401,Foundation_Calc!$I$10:$J$13,2,FALSE),0),"")))</f>
        <v/>
      </c>
      <c r="N401" s="468"/>
      <c r="O401" s="468"/>
      <c r="P401" s="468"/>
      <c r="Q401" s="4"/>
      <c r="R401" s="6"/>
      <c r="S401" s="6"/>
      <c r="T401" s="4"/>
      <c r="U401" s="4"/>
      <c r="V401" s="4"/>
      <c r="W401" s="9"/>
      <c r="X401" s="9"/>
      <c r="Y401" s="9"/>
      <c r="Z401" s="9"/>
      <c r="AA401" s="9"/>
      <c r="AB401" s="9"/>
      <c r="AC401" s="468" t="s">
        <v>195</v>
      </c>
      <c r="AD401" s="468"/>
      <c r="AE401" s="468"/>
      <c r="AF401" s="4"/>
      <c r="AG401" s="88"/>
      <c r="AH401" s="4"/>
      <c r="AI401" s="4"/>
      <c r="AJ401" s="468"/>
      <c r="AK401" s="468"/>
      <c r="AL401" s="468"/>
      <c r="AM401" s="468"/>
      <c r="AN401" s="10"/>
      <c r="AO401" s="9"/>
      <c r="AP401" s="9"/>
      <c r="AQ401" s="9"/>
      <c r="AR401" s="9"/>
      <c r="AS401" s="9"/>
      <c r="AT401" s="9"/>
      <c r="AU401" s="447"/>
      <c r="AV401" s="447"/>
      <c r="AW401" s="468"/>
      <c r="AX401" s="468"/>
      <c r="AY401" s="10" t="str">
        <f>IF(L401="","",
IF(AX401="PT",VLOOKUP(L401,Foundation_Calc!$K$79:$R$112,VLOOKUP(AW401,Foundation_Calc!$I$2:$J$8,2,FALSE),0),
IF(AX401="K",VLOOKUP(L401,Foundation_Calc!$K$116:$R$149,VLOOKUP(AW401,Foundation_Calc!$I$2:$J$8,2,FALSE),0),"")))</f>
        <v/>
      </c>
      <c r="AZ401" s="10" t="str">
        <f>IF(K401="","",
IF(AX401="PT",VLOOKUP(K401,Foundation_Calc!$K$79:$R$112,VLOOKUP(AW401,Foundation_Calc!$I$2:$J$8,2,FALSE),0),
IF(AX401="K",VLOOKUP(K401,Foundation_Calc!$K$116:$R$149,VLOOKUP(AW401,Foundation_Calc!$I$2:$J$8,2,FALSE),0),"")))</f>
        <v/>
      </c>
      <c r="BA401" s="553" t="str">
        <f t="shared" si="28"/>
        <v/>
      </c>
      <c r="BB401" s="553" t="str">
        <f t="shared" si="28"/>
        <v/>
      </c>
      <c r="BC401" s="553" t="str">
        <f t="shared" si="27"/>
        <v/>
      </c>
      <c r="BD401" s="572"/>
      <c r="BE401" s="448" t="s">
        <v>1726</v>
      </c>
      <c r="BF401" s="305"/>
      <c r="BG401" s="305"/>
      <c r="BH401" s="306"/>
      <c r="BI401" s="305"/>
    </row>
    <row r="402" spans="1:61" ht="16.2" customHeight="1">
      <c r="A402" s="579" t="s">
        <v>2470</v>
      </c>
      <c r="B402" s="469" t="s">
        <v>2166</v>
      </c>
      <c r="C402" s="3">
        <f>+$C$400+$G$401</f>
        <v>7816.3500000000022</v>
      </c>
      <c r="D402" s="88"/>
      <c r="E402" s="4"/>
      <c r="F402" s="4">
        <v>0</v>
      </c>
      <c r="G402" s="6"/>
      <c r="H402" s="468" t="s">
        <v>1739</v>
      </c>
      <c r="I402" s="468"/>
      <c r="J402" s="3"/>
      <c r="K402" s="468"/>
      <c r="L402" s="468"/>
      <c r="M402" s="468" t="str">
        <f>IF(L402="","",
IF(AX402="PT",VLOOKUP(L402,Foundation_Calc!$V$79:$X$112,VLOOKUP(AX402,Foundation_Calc!$I$10:$J$13,2,FALSE),0),
IF(AX402="K",VLOOKUP(L402,Foundation_Calc!$V$116:$X$149,VLOOKUP(AX402,Foundation_Calc!$I$10:$J$13,2,FALSE),0),"")))</f>
        <v/>
      </c>
      <c r="N402" s="468" t="s">
        <v>191</v>
      </c>
      <c r="O402" s="669" t="s">
        <v>192</v>
      </c>
      <c r="P402" s="468"/>
      <c r="Q402" s="4"/>
      <c r="R402" s="6"/>
      <c r="S402" s="6"/>
      <c r="T402" s="4">
        <v>-30</v>
      </c>
      <c r="U402" s="4">
        <v>-25</v>
      </c>
      <c r="V402" s="4"/>
      <c r="W402" s="9">
        <v>1</v>
      </c>
      <c r="X402" s="9">
        <v>0.8</v>
      </c>
      <c r="Y402" s="9"/>
      <c r="Z402" s="9"/>
      <c r="AA402" s="9"/>
      <c r="AB402" s="9"/>
      <c r="AC402" s="468" t="s">
        <v>647</v>
      </c>
      <c r="AD402" s="468" t="s">
        <v>1068</v>
      </c>
      <c r="AE402" s="468"/>
      <c r="AF402" s="4"/>
      <c r="AG402" s="88"/>
      <c r="AH402" s="4"/>
      <c r="AI402" s="4"/>
      <c r="AJ402" s="468"/>
      <c r="AK402" s="468" t="s">
        <v>2580</v>
      </c>
      <c r="AL402" s="468"/>
      <c r="AM402" s="468" t="s">
        <v>2458</v>
      </c>
      <c r="AN402" s="10">
        <v>5.15</v>
      </c>
      <c r="AO402" s="9"/>
      <c r="AP402" s="9"/>
      <c r="AQ402" s="9"/>
      <c r="AR402" s="9"/>
      <c r="AS402" s="9"/>
      <c r="AT402" s="9"/>
      <c r="AU402" s="447"/>
      <c r="AV402" s="447"/>
      <c r="AW402" s="468" t="s">
        <v>2581</v>
      </c>
      <c r="AX402" s="468" t="s">
        <v>199</v>
      </c>
      <c r="AY402" s="10" t="str">
        <f>IF(L402="","",
IF(AX402="PT",VLOOKUP(L402,Foundation_Calc!$K$79:$R$112,VLOOKUP(AW402,Foundation_Calc!$I$2:$J$8,2,FALSE),0),
IF(AX402="K",VLOOKUP(L402,Foundation_Calc!$K$116:$R$149,VLOOKUP(AW402,Foundation_Calc!$I$2:$J$8,2,FALSE),0),"")))</f>
        <v/>
      </c>
      <c r="AZ402" s="10" t="str">
        <f>IF(K402="","",
IF(AX402="PT",VLOOKUP(K402,Foundation_Calc!$K$79:$R$112,VLOOKUP(AW402,Foundation_Calc!$I$2:$J$8,2,FALSE),0),
IF(AX402="K",VLOOKUP(K402,Foundation_Calc!$K$116:$R$149,VLOOKUP(AW402,Foundation_Calc!$I$2:$J$8,2,FALSE),0),"")))</f>
        <v/>
      </c>
      <c r="BA402" s="553" t="str">
        <f t="shared" si="28"/>
        <v/>
      </c>
      <c r="BB402" s="553" t="str">
        <f t="shared" si="28"/>
        <v/>
      </c>
      <c r="BC402" s="553" t="str">
        <f t="shared" si="27"/>
        <v/>
      </c>
      <c r="BD402" s="572"/>
      <c r="BE402" s="448" t="s">
        <v>1726</v>
      </c>
      <c r="BF402" s="306"/>
      <c r="BG402" s="306"/>
      <c r="BH402" s="306"/>
      <c r="BI402" s="306"/>
    </row>
    <row r="403" spans="1:61" ht="16.2" customHeight="1">
      <c r="A403" s="579" t="s">
        <v>2470</v>
      </c>
      <c r="B403" s="469"/>
      <c r="C403" s="3"/>
      <c r="D403" s="88"/>
      <c r="E403" s="4"/>
      <c r="F403" s="4"/>
      <c r="G403" s="6">
        <v>31</v>
      </c>
      <c r="H403" s="468"/>
      <c r="I403" s="468"/>
      <c r="J403" s="3"/>
      <c r="K403" s="468"/>
      <c r="L403" s="468"/>
      <c r="M403" s="468" t="str">
        <f>IF(L403="","",
IF(AX403="PT",VLOOKUP(L403,Foundation_Calc!$V$79:$X$112,VLOOKUP(AX403,Foundation_Calc!$I$10:$J$13,2,FALSE),0),
IF(AX403="K",VLOOKUP(L403,Foundation_Calc!$V$116:$X$149,VLOOKUP(AX403,Foundation_Calc!$I$10:$J$13,2,FALSE),0),"")))</f>
        <v/>
      </c>
      <c r="N403" s="468"/>
      <c r="O403" s="468"/>
      <c r="P403" s="468"/>
      <c r="Q403" s="4"/>
      <c r="R403" s="6"/>
      <c r="S403" s="6"/>
      <c r="T403" s="4"/>
      <c r="U403" s="4"/>
      <c r="V403" s="4"/>
      <c r="W403" s="9"/>
      <c r="X403" s="9"/>
      <c r="Y403" s="9"/>
      <c r="Z403" s="9"/>
      <c r="AA403" s="9"/>
      <c r="AB403" s="9"/>
      <c r="AC403" s="468" t="s">
        <v>195</v>
      </c>
      <c r="AD403" s="468"/>
      <c r="AE403" s="468"/>
      <c r="AF403" s="4"/>
      <c r="AG403" s="88"/>
      <c r="AH403" s="4"/>
      <c r="AI403" s="4"/>
      <c r="AJ403" s="468"/>
      <c r="AK403" s="468"/>
      <c r="AL403" s="468"/>
      <c r="AM403" s="468"/>
      <c r="AN403" s="10"/>
      <c r="AO403" s="9"/>
      <c r="AP403" s="9"/>
      <c r="AQ403" s="9"/>
      <c r="AR403" s="9"/>
      <c r="AS403" s="9"/>
      <c r="AT403" s="9"/>
      <c r="AU403" s="447"/>
      <c r="AV403" s="447"/>
      <c r="AW403" s="468"/>
      <c r="AX403" s="468"/>
      <c r="AY403" s="10" t="str">
        <f>IF(L403="","",
IF(AX403="PT",VLOOKUP(L403,Foundation_Calc!$K$79:$R$112,VLOOKUP(AW403,Foundation_Calc!$I$2:$J$8,2,FALSE),0),
IF(AX403="K",VLOOKUP(L403,Foundation_Calc!$K$116:$R$149,VLOOKUP(AW403,Foundation_Calc!$I$2:$J$8,2,FALSE),0),"")))</f>
        <v/>
      </c>
      <c r="AZ403" s="10" t="str">
        <f>IF(K403="","",
IF(AX403="PT",VLOOKUP(K403,Foundation_Calc!$K$79:$R$112,VLOOKUP(AW403,Foundation_Calc!$I$2:$J$8,2,FALSE),0),
IF(AX403="K",VLOOKUP(K403,Foundation_Calc!$K$116:$R$149,VLOOKUP(AW403,Foundation_Calc!$I$2:$J$8,2,FALSE),0),"")))</f>
        <v/>
      </c>
      <c r="BA403" s="553" t="str">
        <f t="shared" si="28"/>
        <v/>
      </c>
      <c r="BB403" s="553" t="str">
        <f t="shared" si="28"/>
        <v/>
      </c>
      <c r="BC403" s="553" t="str">
        <f t="shared" si="27"/>
        <v/>
      </c>
      <c r="BD403" s="572"/>
      <c r="BE403" s="448" t="s">
        <v>1726</v>
      </c>
      <c r="BF403" s="305"/>
      <c r="BG403" s="305"/>
      <c r="BH403" s="306"/>
      <c r="BI403" s="305"/>
    </row>
    <row r="404" spans="1:61" ht="16.2" customHeight="1">
      <c r="A404" s="579" t="s">
        <v>2470</v>
      </c>
      <c r="B404" s="469" t="s">
        <v>2167</v>
      </c>
      <c r="C404" s="3">
        <f>+$C$402+$G$403</f>
        <v>7847.3500000000022</v>
      </c>
      <c r="D404" s="88"/>
      <c r="E404" s="4"/>
      <c r="F404" s="4">
        <v>0</v>
      </c>
      <c r="G404" s="6"/>
      <c r="H404" s="468" t="s">
        <v>179</v>
      </c>
      <c r="I404" s="4">
        <f>SUM(G367:G405)</f>
        <v>553.40000000000009</v>
      </c>
      <c r="J404" s="3"/>
      <c r="K404" s="468"/>
      <c r="L404" s="468"/>
      <c r="M404" s="468" t="str">
        <f>IF(L404="","",
IF(AX404="PT",VLOOKUP(L404,Foundation_Calc!$V$79:$X$112,VLOOKUP(AX404,Foundation_Calc!$I$10:$J$13,2,FALSE),0),
IF(AX404="K",VLOOKUP(L404,Foundation_Calc!$V$116:$X$149,VLOOKUP(AX404,Foundation_Calc!$I$10:$J$13,2,FALSE),0),"")))</f>
        <v/>
      </c>
      <c r="N404" s="468" t="s">
        <v>192</v>
      </c>
      <c r="O404" s="669" t="s">
        <v>193</v>
      </c>
      <c r="P404" s="468"/>
      <c r="Q404" s="4"/>
      <c r="R404" s="6"/>
      <c r="S404" s="6"/>
      <c r="T404" s="4">
        <v>20</v>
      </c>
      <c r="U404" s="4">
        <v>55</v>
      </c>
      <c r="V404" s="4"/>
      <c r="W404" s="9">
        <v>1</v>
      </c>
      <c r="X404" s="9">
        <v>0.8</v>
      </c>
      <c r="Y404" s="9"/>
      <c r="Z404" s="9"/>
      <c r="AA404" s="9">
        <v>0.25</v>
      </c>
      <c r="AB404" s="9"/>
      <c r="AC404" s="468" t="s">
        <v>1340</v>
      </c>
      <c r="AD404" s="468"/>
      <c r="AE404" s="468"/>
      <c r="AF404" s="4"/>
      <c r="AG404" s="88"/>
      <c r="AH404" s="4"/>
      <c r="AI404" s="4"/>
      <c r="AJ404" s="468"/>
      <c r="AK404" s="468" t="s">
        <v>2580</v>
      </c>
      <c r="AL404" s="468"/>
      <c r="AM404" s="468" t="s">
        <v>2458</v>
      </c>
      <c r="AN404" s="10">
        <v>5.15</v>
      </c>
      <c r="AO404" s="9"/>
      <c r="AP404" s="9"/>
      <c r="AQ404" s="9"/>
      <c r="AR404" s="9"/>
      <c r="AS404" s="9"/>
      <c r="AT404" s="9"/>
      <c r="AU404" s="447"/>
      <c r="AV404" s="447"/>
      <c r="AW404" s="468" t="s">
        <v>2581</v>
      </c>
      <c r="AX404" s="468" t="s">
        <v>199</v>
      </c>
      <c r="AY404" s="10" t="str">
        <f>IF(L404="","",
IF(AX404="PT",VLOOKUP(L404,Foundation_Calc!$K$79:$R$112,VLOOKUP(AW404,Foundation_Calc!$I$2:$J$8,2,FALSE),0),
IF(AX404="K",VLOOKUP(L404,Foundation_Calc!$K$116:$R$149,VLOOKUP(AW404,Foundation_Calc!$I$2:$J$8,2,FALSE),0),"")))</f>
        <v/>
      </c>
      <c r="AZ404" s="10" t="str">
        <f>IF(K404="","",
IF(AX404="PT",VLOOKUP(K404,Foundation_Calc!$K$79:$R$112,VLOOKUP(AW404,Foundation_Calc!$I$2:$J$8,2,FALSE),0),
IF(AX404="K",VLOOKUP(K404,Foundation_Calc!$K$116:$R$149,VLOOKUP(AW404,Foundation_Calc!$I$2:$J$8,2,FALSE),0),"")))</f>
        <v/>
      </c>
      <c r="BA404" s="553" t="str">
        <f t="shared" si="28"/>
        <v/>
      </c>
      <c r="BB404" s="553" t="str">
        <f t="shared" si="28"/>
        <v/>
      </c>
      <c r="BC404" s="553" t="str">
        <f t="shared" si="27"/>
        <v/>
      </c>
      <c r="BD404" s="572"/>
      <c r="BE404" s="448" t="s">
        <v>1726</v>
      </c>
      <c r="BF404" s="306"/>
      <c r="BG404" s="306"/>
      <c r="BH404" s="306"/>
      <c r="BI404" s="306"/>
    </row>
    <row r="405" spans="1:61" ht="16.2" customHeight="1">
      <c r="A405" s="584" t="s">
        <v>2385</v>
      </c>
      <c r="B405" s="527"/>
      <c r="C405" s="528"/>
      <c r="D405" s="529"/>
      <c r="E405" s="530"/>
      <c r="F405" s="530"/>
      <c r="G405" s="531">
        <v>33.700000000000003</v>
      </c>
      <c r="H405" s="532"/>
      <c r="I405" s="532" t="s">
        <v>485</v>
      </c>
      <c r="J405" s="528">
        <f>J406</f>
        <v>7881.050000000002</v>
      </c>
      <c r="K405" s="532" t="s">
        <v>451</v>
      </c>
      <c r="L405" s="532"/>
      <c r="M405" s="532" t="str">
        <f>IF(L405="","",
IF(AX405="PT",VLOOKUP(L405,Foundation_Calc!$V$79:$X$112,VLOOKUP(AX405,Foundation_Calc!$I$10:$J$13,2,FALSE),0),
IF(AX405="K",VLOOKUP(L405,Foundation_Calc!$V$116:$X$149,VLOOKUP(AX405,Foundation_Calc!$I$10:$J$13,2,FALSE),0),"")))</f>
        <v/>
      </c>
      <c r="N405" s="532"/>
      <c r="O405" s="532"/>
      <c r="P405" s="532"/>
      <c r="Q405" s="530"/>
      <c r="R405" s="531"/>
      <c r="S405" s="531"/>
      <c r="T405" s="530"/>
      <c r="U405" s="530"/>
      <c r="V405" s="530"/>
      <c r="W405" s="533"/>
      <c r="X405" s="533"/>
      <c r="Y405" s="533"/>
      <c r="Z405" s="533"/>
      <c r="AA405" s="533"/>
      <c r="AB405" s="533"/>
      <c r="AC405" s="532" t="str">
        <f t="shared" ref="AC405" si="29">IF(OR(AT405&gt;8,AT405&lt;-8),"PH",
IF(OR(AT405&gt;5,AT405&lt;-5),"PHQ",
IF(OR(AT405&gt;1,AT405&lt;-1),
"PHC","")))</f>
        <v/>
      </c>
      <c r="AD405" s="532"/>
      <c r="AE405" s="532"/>
      <c r="AF405" s="530"/>
      <c r="AG405" s="529"/>
      <c r="AH405" s="530"/>
      <c r="AI405" s="530"/>
      <c r="AJ405" s="532" t="s">
        <v>369</v>
      </c>
      <c r="AK405" s="532"/>
      <c r="AL405" s="532"/>
      <c r="AM405" s="532"/>
      <c r="AN405" s="534"/>
      <c r="AO405" s="533"/>
      <c r="AP405" s="533"/>
      <c r="AQ405" s="533"/>
      <c r="AR405" s="533"/>
      <c r="AS405" s="533"/>
      <c r="AT405" s="533"/>
      <c r="AU405" s="535"/>
      <c r="AV405" s="535"/>
      <c r="AW405" s="532"/>
      <c r="AX405" s="532"/>
      <c r="AY405" s="534" t="str">
        <f>IF(L405="","",
IF(AX405="PT",VLOOKUP(L405,Foundation_Calc!$K$79:$R$112,VLOOKUP(AW405,Foundation_Calc!$I$2:$J$8,2,FALSE),0),
IF(AX405="K",VLOOKUP(L405,Foundation_Calc!$K$116:$R$149,VLOOKUP(AW405,Foundation_Calc!$I$2:$J$8,2,FALSE),0),"")))</f>
        <v/>
      </c>
      <c r="AZ405" s="534" t="str">
        <f>IF(K405="","",
IF(AX405="PT",VLOOKUP(K405,Foundation_Calc!$K$79:$R$112,VLOOKUP(AW405,Foundation_Calc!$I$2:$J$8,2,FALSE),0),
IF(AX405="K",VLOOKUP(K405,Foundation_Calc!$K$116:$R$149,VLOOKUP(AW405,Foundation_Calc!$I$2:$J$8,2,FALSE),0),"")))</f>
        <v/>
      </c>
      <c r="BA405" s="555" t="str">
        <f t="shared" si="28"/>
        <v/>
      </c>
      <c r="BB405" s="555" t="str">
        <f t="shared" si="28"/>
        <v/>
      </c>
      <c r="BC405" s="555" t="str">
        <f t="shared" si="27"/>
        <v/>
      </c>
      <c r="BD405" s="572"/>
      <c r="BE405" s="448" t="s">
        <v>1726</v>
      </c>
      <c r="BF405" s="305"/>
      <c r="BG405" s="305"/>
      <c r="BH405" s="306"/>
      <c r="BI405" s="305"/>
    </row>
    <row r="406" spans="1:61" ht="27" thickBot="1">
      <c r="A406" s="585" t="s">
        <v>383</v>
      </c>
      <c r="B406" s="586" t="s">
        <v>2168</v>
      </c>
      <c r="C406" s="587">
        <f>+$C$404+$G$405</f>
        <v>7881.050000000002</v>
      </c>
      <c r="D406" s="588"/>
      <c r="E406" s="589"/>
      <c r="F406" s="589">
        <v>0</v>
      </c>
      <c r="G406" s="590"/>
      <c r="H406" s="641" t="s">
        <v>2383</v>
      </c>
      <c r="I406" s="641" t="s">
        <v>2577</v>
      </c>
      <c r="J406" s="587">
        <f>C406</f>
        <v>7881.050000000002</v>
      </c>
      <c r="K406" s="641" t="s">
        <v>2384</v>
      </c>
      <c r="L406" s="591"/>
      <c r="M406" s="591" t="str">
        <f>IF(L406="","",
IF(AX406="PT",VLOOKUP(L406,Foundation_Calc!$V$79:$X$112,VLOOKUP(AX406,Foundation_Calc!$I$10:$J$13,2,FALSE),0),
IF(AX406="K",VLOOKUP(L406,Foundation_Calc!$V$116:$X$149,VLOOKUP(AX406,Foundation_Calc!$I$10:$J$13,2,FALSE),0),"")))</f>
        <v/>
      </c>
      <c r="N406" s="591"/>
      <c r="O406" s="591"/>
      <c r="P406" s="591"/>
      <c r="Q406" s="589"/>
      <c r="R406" s="590"/>
      <c r="S406" s="590"/>
      <c r="T406" s="589"/>
      <c r="U406" s="589"/>
      <c r="V406" s="589"/>
      <c r="W406" s="592"/>
      <c r="X406" s="592"/>
      <c r="Y406" s="592"/>
      <c r="Z406" s="592"/>
      <c r="AA406" s="592"/>
      <c r="AB406" s="592"/>
      <c r="AC406" s="591"/>
      <c r="AD406" s="591"/>
      <c r="AE406" s="591"/>
      <c r="AF406" s="589"/>
      <c r="AG406" s="588"/>
      <c r="AH406" s="589"/>
      <c r="AI406" s="589"/>
      <c r="AJ406" s="591" t="s">
        <v>595</v>
      </c>
      <c r="AK406" s="591"/>
      <c r="AL406" s="591"/>
      <c r="AM406" s="591"/>
      <c r="AN406" s="593"/>
      <c r="AO406" s="592"/>
      <c r="AP406" s="592"/>
      <c r="AQ406" s="592"/>
      <c r="AR406" s="592"/>
      <c r="AS406" s="592"/>
      <c r="AT406" s="592"/>
      <c r="AU406" s="594"/>
      <c r="AV406" s="594"/>
      <c r="AW406" s="591"/>
      <c r="AX406" s="591"/>
      <c r="AY406" s="593" t="str">
        <f>IF(L406="","",
IF(AX406="PT",VLOOKUP(L406,Foundation_Calc!$K$79:$R$112,VLOOKUP(AW406,Foundation_Calc!$I$2:$J$8,2,FALSE),0),
IF(AX406="K",VLOOKUP(L406,Foundation_Calc!$K$116:$R$149,VLOOKUP(AW406,Foundation_Calc!$I$2:$J$8,2,FALSE),0),"")))</f>
        <v/>
      </c>
      <c r="AZ406" s="593" t="str">
        <f>IF(K406="","",
IF(AX406="PT",VLOOKUP(K406,Foundation_Calc!$K$79:$R$112,VLOOKUP(AW406,Foundation_Calc!$I$2:$J$8,2,FALSE),0),
IF(AX406="K",VLOOKUP(K406,Foundation_Calc!$K$116:$R$149,VLOOKUP(AW406,Foundation_Calc!$I$2:$J$8,2,FALSE),0),"")))</f>
        <v/>
      </c>
      <c r="BA406" s="595" t="str">
        <f t="shared" si="28"/>
        <v/>
      </c>
      <c r="BB406" s="595" t="str">
        <f t="shared" si="28"/>
        <v/>
      </c>
      <c r="BC406" s="595" t="str">
        <f t="shared" si="27"/>
        <v/>
      </c>
      <c r="BD406" s="596"/>
      <c r="BE406" s="448" t="s">
        <v>1726</v>
      </c>
      <c r="BF406" s="306"/>
      <c r="BG406" s="306"/>
      <c r="BH406" s="306"/>
      <c r="BI406" s="306"/>
    </row>
    <row r="407" spans="1:61" ht="15.75" customHeight="1">
      <c r="A407" s="12"/>
      <c r="B407" s="16"/>
      <c r="F407" s="14"/>
      <c r="G407" s="15"/>
      <c r="H407" s="16"/>
      <c r="I407" s="16"/>
      <c r="J407" s="20"/>
      <c r="N407" s="16"/>
      <c r="O407" s="16"/>
      <c r="P407" s="16"/>
    </row>
    <row r="408" spans="1:61" ht="15.75" customHeight="1">
      <c r="A408" s="12"/>
      <c r="B408" s="16"/>
      <c r="F408" s="14"/>
      <c r="G408" s="15"/>
      <c r="H408" s="16"/>
      <c r="I408" s="16"/>
      <c r="J408" s="20"/>
      <c r="N408" s="16"/>
      <c r="O408" s="16"/>
      <c r="P408" s="16"/>
    </row>
    <row r="409" spans="1:61" ht="15.75" customHeight="1">
      <c r="A409" s="12"/>
      <c r="B409" s="16"/>
      <c r="F409" s="14"/>
      <c r="G409" s="15"/>
      <c r="H409" s="16"/>
      <c r="I409" s="16"/>
      <c r="J409" s="20"/>
      <c r="N409" s="16"/>
      <c r="O409" s="16"/>
      <c r="P409" s="16"/>
    </row>
    <row r="410" spans="1:61" ht="15.75" customHeight="1">
      <c r="A410" s="12"/>
      <c r="B410" s="16"/>
      <c r="F410" s="14"/>
      <c r="G410" s="15"/>
      <c r="H410" s="16"/>
      <c r="I410" s="16"/>
      <c r="J410" s="20"/>
      <c r="N410" s="16"/>
      <c r="O410" s="16"/>
      <c r="P410" s="16"/>
    </row>
    <row r="411" spans="1:61" ht="15.75" customHeight="1">
      <c r="A411" s="12"/>
      <c r="B411" s="16"/>
      <c r="F411" s="14"/>
      <c r="G411" s="15"/>
      <c r="H411" s="16"/>
      <c r="I411" s="16"/>
      <c r="J411" s="20"/>
      <c r="N411" s="16"/>
      <c r="O411" s="16"/>
      <c r="P411" s="16"/>
    </row>
    <row r="412" spans="1:61" ht="15.75" customHeight="1">
      <c r="A412" s="12"/>
      <c r="B412" s="16"/>
      <c r="F412" s="14"/>
      <c r="G412" s="15"/>
      <c r="H412" s="16"/>
      <c r="I412" s="16"/>
      <c r="J412" s="20"/>
      <c r="N412" s="16"/>
      <c r="O412" s="16"/>
      <c r="P412" s="16"/>
    </row>
    <row r="413" spans="1:61" ht="15.75" customHeight="1">
      <c r="A413" s="12"/>
      <c r="B413" s="16"/>
      <c r="F413" s="14"/>
      <c r="G413" s="15"/>
      <c r="H413" s="16"/>
      <c r="I413" s="16"/>
      <c r="J413" s="20"/>
      <c r="N413" s="16"/>
      <c r="O413" s="16"/>
      <c r="P413" s="16"/>
    </row>
    <row r="414" spans="1:61" ht="15.75" customHeight="1">
      <c r="A414" s="12"/>
      <c r="F414" s="14"/>
      <c r="G414" s="15"/>
      <c r="H414" s="16"/>
      <c r="I414" s="16"/>
      <c r="N414" s="16"/>
      <c r="O414" s="16"/>
      <c r="P414" s="16"/>
    </row>
    <row r="415" spans="1:61" ht="15.75" customHeight="1">
      <c r="A415" s="12"/>
      <c r="B415" s="16"/>
      <c r="F415" s="14"/>
      <c r="G415" s="15"/>
      <c r="H415" s="16"/>
      <c r="I415" s="16"/>
      <c r="N415" s="16"/>
      <c r="O415" s="16"/>
      <c r="P415" s="16"/>
    </row>
    <row r="416" spans="1:61" ht="15.75" customHeight="1">
      <c r="A416" s="12"/>
      <c r="B416" s="16"/>
      <c r="F416" s="14"/>
      <c r="G416" s="15"/>
      <c r="H416" s="16"/>
      <c r="I416" s="16"/>
      <c r="J416" s="20"/>
      <c r="N416" s="16"/>
      <c r="O416" s="16"/>
      <c r="P416" s="16"/>
    </row>
    <row r="417" spans="1:16" ht="15.75" customHeight="1">
      <c r="A417" s="12"/>
      <c r="B417" s="16"/>
      <c r="F417" s="14"/>
      <c r="G417" s="15"/>
      <c r="H417" s="16"/>
      <c r="I417" s="16"/>
      <c r="J417" s="20"/>
      <c r="N417" s="16"/>
      <c r="O417" s="16"/>
      <c r="P417" s="16"/>
    </row>
    <row r="418" spans="1:16" ht="15.75" customHeight="1">
      <c r="A418" s="12"/>
      <c r="B418" s="16"/>
      <c r="F418" s="14"/>
      <c r="G418" s="15"/>
      <c r="H418" s="16"/>
      <c r="I418" s="16"/>
      <c r="J418" s="20"/>
      <c r="N418" s="16"/>
      <c r="O418" s="16"/>
      <c r="P418" s="16"/>
    </row>
    <row r="419" spans="1:16" ht="15.75" customHeight="1">
      <c r="A419" s="12"/>
      <c r="B419" s="16"/>
      <c r="F419" s="14"/>
      <c r="G419" s="15"/>
      <c r="H419" s="16"/>
      <c r="I419" s="16"/>
      <c r="J419" s="20"/>
      <c r="N419" s="16"/>
      <c r="O419" s="16"/>
      <c r="P419" s="16"/>
    </row>
    <row r="420" spans="1:16" ht="15.75" customHeight="1">
      <c r="A420" s="12"/>
      <c r="B420" s="16"/>
      <c r="F420" s="14"/>
      <c r="G420" s="15"/>
      <c r="H420" s="16"/>
      <c r="I420" s="16"/>
      <c r="J420" s="20"/>
      <c r="N420" s="16"/>
      <c r="O420" s="16"/>
      <c r="P420" s="16"/>
    </row>
    <row r="421" spans="1:16" ht="15.75" customHeight="1">
      <c r="A421" s="12"/>
      <c r="B421" s="16"/>
      <c r="F421" s="14"/>
      <c r="G421" s="15"/>
      <c r="H421" s="16"/>
      <c r="I421" s="16"/>
      <c r="J421" s="20"/>
      <c r="N421" s="16"/>
      <c r="O421" s="16"/>
      <c r="P421" s="16"/>
    </row>
    <row r="422" spans="1:16" ht="15.75" customHeight="1">
      <c r="A422" s="12"/>
      <c r="B422" s="16"/>
      <c r="F422" s="14"/>
      <c r="G422" s="15"/>
      <c r="H422" s="16"/>
      <c r="I422" s="16"/>
      <c r="J422" s="20"/>
      <c r="N422" s="16"/>
      <c r="O422" s="16"/>
      <c r="P422" s="16"/>
    </row>
    <row r="423" spans="1:16" ht="15.75" customHeight="1">
      <c r="A423" s="12"/>
      <c r="B423" s="16"/>
      <c r="F423" s="14"/>
      <c r="G423" s="15"/>
      <c r="H423" s="16"/>
      <c r="I423" s="16"/>
      <c r="J423" s="20"/>
      <c r="N423" s="16"/>
      <c r="O423" s="16"/>
      <c r="P423" s="16"/>
    </row>
    <row r="424" spans="1:16" ht="15.75" customHeight="1">
      <c r="A424" s="12"/>
      <c r="B424" s="16"/>
      <c r="F424" s="14"/>
      <c r="G424" s="15"/>
      <c r="H424" s="16"/>
      <c r="I424" s="16"/>
      <c r="J424" s="20"/>
      <c r="N424" s="16"/>
      <c r="O424" s="16"/>
      <c r="P424" s="16"/>
    </row>
    <row r="425" spans="1:16" ht="15.75" customHeight="1">
      <c r="A425" s="12"/>
      <c r="B425" s="16"/>
      <c r="F425" s="14"/>
      <c r="G425" s="15"/>
      <c r="H425" s="16"/>
      <c r="I425" s="16"/>
      <c r="J425" s="20"/>
      <c r="N425" s="16"/>
      <c r="O425" s="16"/>
      <c r="P425" s="16"/>
    </row>
    <row r="426" spans="1:16" ht="15.75" customHeight="1">
      <c r="A426" s="12"/>
      <c r="F426" s="14"/>
      <c r="G426" s="15"/>
      <c r="H426" s="16"/>
      <c r="I426" s="16"/>
      <c r="J426" s="20"/>
      <c r="N426" s="16"/>
      <c r="O426" s="16"/>
      <c r="P426" s="16"/>
    </row>
    <row r="427" spans="1:16" ht="15.75" customHeight="1">
      <c r="A427" s="12"/>
      <c r="F427" s="14"/>
      <c r="G427" s="15"/>
      <c r="H427" s="16"/>
      <c r="I427" s="16"/>
      <c r="J427" s="20"/>
      <c r="N427" s="16"/>
      <c r="O427" s="16"/>
      <c r="P427" s="16"/>
    </row>
    <row r="428" spans="1:16" ht="15.75" customHeight="1">
      <c r="A428" s="12"/>
      <c r="F428" s="14"/>
      <c r="G428" s="15"/>
      <c r="H428" s="16"/>
      <c r="I428" s="16"/>
      <c r="J428" s="20"/>
      <c r="N428" s="16"/>
      <c r="O428" s="16"/>
      <c r="P428" s="16"/>
    </row>
    <row r="429" spans="1:16" ht="15.75" customHeight="1">
      <c r="A429" s="12"/>
      <c r="F429" s="14"/>
      <c r="G429" s="15"/>
      <c r="H429" s="16"/>
      <c r="I429" s="16"/>
      <c r="J429" s="20"/>
      <c r="N429" s="16"/>
      <c r="O429" s="16"/>
      <c r="P429" s="16"/>
    </row>
    <row r="430" spans="1:16" ht="15.75" customHeight="1">
      <c r="A430" s="12"/>
      <c r="F430" s="14"/>
      <c r="G430" s="15"/>
      <c r="H430" s="16"/>
      <c r="I430" s="16"/>
      <c r="J430" s="20"/>
      <c r="N430" s="16"/>
      <c r="O430" s="16"/>
      <c r="P430" s="16"/>
    </row>
    <row r="431" spans="1:16" ht="15.75" customHeight="1">
      <c r="A431" s="12"/>
      <c r="F431" s="14"/>
      <c r="G431" s="15"/>
      <c r="H431" s="16"/>
      <c r="I431" s="16"/>
      <c r="J431" s="20"/>
      <c r="N431" s="16"/>
      <c r="O431" s="16"/>
      <c r="P431" s="16"/>
    </row>
    <row r="432" spans="1:16" ht="15.75" customHeight="1">
      <c r="A432" s="12"/>
      <c r="F432" s="14"/>
      <c r="G432" s="15"/>
      <c r="H432" s="16"/>
      <c r="I432" s="16"/>
      <c r="J432" s="20"/>
      <c r="N432" s="16"/>
      <c r="O432" s="16"/>
      <c r="P432" s="16"/>
    </row>
    <row r="433" spans="1:16" ht="15.75" customHeight="1">
      <c r="A433" s="12"/>
      <c r="F433" s="14"/>
      <c r="G433" s="15"/>
      <c r="H433" s="16"/>
      <c r="I433" s="16"/>
      <c r="J433" s="20"/>
      <c r="N433" s="16"/>
      <c r="O433" s="16"/>
      <c r="P433" s="16"/>
    </row>
    <row r="434" spans="1:16" ht="15.75" customHeight="1">
      <c r="A434" s="12"/>
      <c r="F434" s="14"/>
      <c r="G434" s="15"/>
      <c r="H434" s="16"/>
      <c r="I434" s="16"/>
      <c r="J434" s="20"/>
      <c r="N434" s="16"/>
      <c r="O434" s="16"/>
      <c r="P434" s="16"/>
    </row>
    <row r="435" spans="1:16" ht="15.75" customHeight="1">
      <c r="A435" s="12"/>
      <c r="F435" s="14"/>
      <c r="G435" s="15"/>
      <c r="H435" s="16"/>
      <c r="I435" s="16"/>
      <c r="J435" s="20"/>
      <c r="N435" s="16"/>
      <c r="O435" s="16"/>
      <c r="P435" s="16"/>
    </row>
    <row r="436" spans="1:16" ht="15.75" customHeight="1">
      <c r="A436" s="12"/>
      <c r="F436" s="14"/>
      <c r="G436" s="15"/>
      <c r="H436" s="16"/>
      <c r="I436" s="16"/>
      <c r="J436" s="20"/>
      <c r="N436" s="16"/>
      <c r="O436" s="16"/>
      <c r="P436" s="16"/>
    </row>
    <row r="437" spans="1:16" ht="15.75" customHeight="1">
      <c r="A437" s="12"/>
      <c r="F437" s="14"/>
      <c r="G437" s="15"/>
      <c r="H437" s="16"/>
      <c r="I437" s="16"/>
      <c r="J437" s="20"/>
      <c r="N437" s="16"/>
      <c r="O437" s="16"/>
      <c r="P437" s="16"/>
    </row>
    <row r="438" spans="1:16" ht="15.75" customHeight="1">
      <c r="A438" s="12"/>
      <c r="F438" s="14"/>
      <c r="G438" s="15"/>
      <c r="H438" s="16"/>
      <c r="I438" s="16"/>
      <c r="J438" s="20"/>
      <c r="N438" s="16"/>
      <c r="O438" s="16"/>
      <c r="P438" s="16"/>
    </row>
    <row r="439" spans="1:16" ht="15.75" customHeight="1">
      <c r="A439" s="12"/>
      <c r="F439" s="14"/>
      <c r="G439" s="15"/>
      <c r="H439" s="16"/>
      <c r="I439" s="16"/>
      <c r="J439" s="20"/>
      <c r="N439" s="16"/>
      <c r="O439" s="16"/>
      <c r="P439" s="16"/>
    </row>
    <row r="440" spans="1:16" ht="15.75" customHeight="1">
      <c r="A440" s="12"/>
      <c r="F440" s="14"/>
      <c r="G440" s="15"/>
      <c r="H440" s="16"/>
      <c r="I440" s="16"/>
      <c r="J440" s="20"/>
      <c r="N440" s="16"/>
      <c r="O440" s="16"/>
      <c r="P440" s="16"/>
    </row>
    <row r="441" spans="1:16" ht="15.75" customHeight="1">
      <c r="A441" s="12"/>
      <c r="F441" s="14"/>
      <c r="G441" s="15"/>
      <c r="H441" s="16"/>
      <c r="I441" s="16"/>
      <c r="J441" s="20"/>
      <c r="N441" s="16"/>
      <c r="O441" s="16"/>
      <c r="P441" s="16"/>
    </row>
    <row r="442" spans="1:16" ht="15.75" customHeight="1">
      <c r="A442" s="12"/>
      <c r="F442" s="14"/>
      <c r="G442" s="15"/>
      <c r="H442" s="16"/>
      <c r="I442" s="16"/>
      <c r="J442" s="20"/>
      <c r="N442" s="16"/>
      <c r="O442" s="16"/>
      <c r="P442" s="16"/>
    </row>
    <row r="443" spans="1:16" ht="15.75" customHeight="1">
      <c r="A443" s="12"/>
      <c r="F443" s="14"/>
      <c r="G443" s="15"/>
      <c r="H443" s="16"/>
      <c r="I443" s="16"/>
      <c r="J443" s="20"/>
      <c r="N443" s="16"/>
      <c r="O443" s="16"/>
      <c r="P443" s="16"/>
    </row>
    <row r="444" spans="1:16" ht="15.75" customHeight="1">
      <c r="A444" s="12"/>
      <c r="F444" s="14"/>
      <c r="G444" s="15"/>
      <c r="H444" s="16"/>
      <c r="I444" s="16"/>
      <c r="J444" s="20"/>
      <c r="N444" s="16"/>
      <c r="O444" s="16"/>
      <c r="P444" s="16"/>
    </row>
    <row r="445" spans="1:16" ht="15.75" customHeight="1">
      <c r="A445" s="12"/>
      <c r="F445" s="14"/>
      <c r="G445" s="15"/>
      <c r="H445" s="16"/>
      <c r="I445" s="16"/>
      <c r="J445" s="20"/>
      <c r="N445" s="16"/>
      <c r="O445" s="16"/>
      <c r="P445" s="16"/>
    </row>
    <row r="446" spans="1:16" ht="15.75" customHeight="1">
      <c r="A446" s="12"/>
      <c r="F446" s="14"/>
      <c r="G446" s="15"/>
      <c r="H446" s="16"/>
      <c r="I446" s="16"/>
      <c r="J446" s="20"/>
      <c r="N446" s="16"/>
      <c r="O446" s="16"/>
      <c r="P446" s="16"/>
    </row>
    <row r="447" spans="1:16" ht="15.75" customHeight="1">
      <c r="A447" s="12"/>
      <c r="F447" s="14"/>
      <c r="G447" s="15"/>
      <c r="H447" s="16"/>
      <c r="I447" s="16"/>
      <c r="J447" s="20"/>
      <c r="N447" s="16"/>
      <c r="O447" s="16"/>
      <c r="P447" s="16"/>
    </row>
    <row r="448" spans="1:16" ht="15.75" customHeight="1">
      <c r="A448" s="12"/>
      <c r="F448" s="14"/>
      <c r="G448" s="15"/>
      <c r="H448" s="16"/>
      <c r="I448" s="16"/>
      <c r="J448" s="20"/>
      <c r="N448" s="16"/>
      <c r="O448" s="16"/>
      <c r="P448" s="16"/>
    </row>
    <row r="449" spans="1:16" ht="15.75" customHeight="1">
      <c r="A449" s="12"/>
      <c r="F449" s="14"/>
      <c r="G449" s="15"/>
      <c r="H449" s="16"/>
      <c r="I449" s="16"/>
      <c r="J449" s="20"/>
      <c r="N449" s="16"/>
      <c r="O449" s="16"/>
      <c r="P449" s="16"/>
    </row>
    <row r="450" spans="1:16" ht="15.75" customHeight="1">
      <c r="A450" s="12"/>
      <c r="F450" s="14"/>
      <c r="G450" s="15"/>
      <c r="H450" s="16"/>
      <c r="I450" s="16"/>
      <c r="J450" s="20"/>
      <c r="N450" s="16"/>
      <c r="O450" s="16"/>
      <c r="P450" s="16"/>
    </row>
    <row r="451" spans="1:16" ht="15.75" customHeight="1">
      <c r="A451" s="12"/>
      <c r="F451" s="14"/>
      <c r="G451" s="15"/>
      <c r="H451" s="16"/>
      <c r="I451" s="16"/>
      <c r="J451" s="20"/>
      <c r="N451" s="16"/>
      <c r="O451" s="16"/>
      <c r="P451" s="16"/>
    </row>
    <row r="452" spans="1:16" ht="15.75" customHeight="1">
      <c r="A452" s="12"/>
      <c r="F452" s="14"/>
      <c r="G452" s="15"/>
      <c r="H452" s="16"/>
      <c r="I452" s="16"/>
      <c r="J452" s="20"/>
      <c r="N452" s="16"/>
      <c r="O452" s="16"/>
      <c r="P452" s="16"/>
    </row>
    <row r="453" spans="1:16" ht="15.75" customHeight="1">
      <c r="A453" s="12"/>
      <c r="F453" s="14"/>
      <c r="G453" s="15"/>
      <c r="H453" s="16"/>
      <c r="I453" s="16"/>
      <c r="J453" s="20"/>
      <c r="N453" s="16"/>
      <c r="O453" s="16"/>
      <c r="P453" s="16"/>
    </row>
    <row r="454" spans="1:16" ht="15.75" customHeight="1">
      <c r="A454" s="12"/>
      <c r="F454" s="14"/>
      <c r="G454" s="15"/>
      <c r="H454" s="16"/>
      <c r="I454" s="16"/>
      <c r="J454" s="20"/>
      <c r="N454" s="16"/>
      <c r="O454" s="16"/>
      <c r="P454" s="16"/>
    </row>
    <row r="455" spans="1:16" ht="15.75" customHeight="1">
      <c r="A455" s="12"/>
      <c r="F455" s="14"/>
      <c r="G455" s="15"/>
      <c r="H455" s="16"/>
      <c r="I455" s="16"/>
      <c r="J455" s="20"/>
      <c r="N455" s="16"/>
      <c r="O455" s="16"/>
      <c r="P455" s="16"/>
    </row>
    <row r="456" spans="1:16" ht="15.75" customHeight="1">
      <c r="A456" s="12"/>
      <c r="F456" s="14"/>
      <c r="G456" s="15"/>
      <c r="H456" s="16"/>
      <c r="I456" s="16"/>
      <c r="J456" s="20"/>
      <c r="N456" s="16"/>
      <c r="O456" s="16"/>
      <c r="P456" s="16"/>
    </row>
    <row r="457" spans="1:16" ht="15.75" customHeight="1">
      <c r="A457" s="12"/>
      <c r="F457" s="14"/>
      <c r="G457" s="15"/>
      <c r="H457" s="16"/>
      <c r="I457" s="16"/>
      <c r="J457" s="20"/>
      <c r="N457" s="16"/>
      <c r="O457" s="16"/>
      <c r="P457" s="16"/>
    </row>
    <row r="458" spans="1:16" ht="15.75" customHeight="1">
      <c r="A458" s="12"/>
      <c r="B458" s="16"/>
      <c r="F458" s="14"/>
      <c r="G458" s="15"/>
      <c r="H458" s="16"/>
      <c r="I458" s="16"/>
      <c r="J458" s="20"/>
      <c r="N458" s="16"/>
      <c r="O458" s="16"/>
      <c r="P458" s="16"/>
    </row>
    <row r="459" spans="1:16" ht="15.75" customHeight="1">
      <c r="A459" s="12"/>
      <c r="B459" s="16"/>
      <c r="F459" s="14"/>
      <c r="G459" s="15"/>
      <c r="H459" s="16"/>
      <c r="I459" s="16"/>
      <c r="J459" s="20"/>
      <c r="N459" s="16"/>
      <c r="O459" s="16"/>
      <c r="P459" s="16"/>
    </row>
    <row r="460" spans="1:16" ht="15.75" customHeight="1">
      <c r="A460" s="12"/>
      <c r="F460" s="14"/>
      <c r="G460" s="15"/>
      <c r="H460" s="16"/>
      <c r="I460" s="16"/>
      <c r="J460" s="20"/>
      <c r="N460" s="16"/>
      <c r="O460" s="16"/>
      <c r="P460" s="16"/>
    </row>
    <row r="461" spans="1:16" ht="15.75" customHeight="1">
      <c r="A461" s="12"/>
      <c r="F461" s="14"/>
      <c r="G461" s="15"/>
      <c r="H461" s="16"/>
      <c r="I461" s="16"/>
      <c r="J461" s="20"/>
      <c r="N461" s="16"/>
      <c r="O461" s="16"/>
      <c r="P461" s="16"/>
    </row>
    <row r="462" spans="1:16" ht="15.75" customHeight="1">
      <c r="A462" s="12"/>
      <c r="F462" s="14"/>
      <c r="G462" s="15"/>
      <c r="H462" s="16"/>
      <c r="I462" s="16"/>
      <c r="J462" s="20"/>
      <c r="N462" s="16"/>
      <c r="O462" s="16"/>
      <c r="P462" s="16"/>
    </row>
    <row r="463" spans="1:16" ht="15.75" customHeight="1">
      <c r="A463" s="12"/>
      <c r="F463" s="14"/>
      <c r="G463" s="15"/>
      <c r="H463" s="16"/>
      <c r="I463" s="16"/>
      <c r="J463" s="20"/>
      <c r="N463" s="16"/>
      <c r="O463" s="16"/>
      <c r="P463" s="16"/>
    </row>
    <row r="464" spans="1:16" ht="15.75" customHeight="1">
      <c r="A464" s="12"/>
      <c r="F464" s="14"/>
      <c r="G464" s="15"/>
      <c r="H464" s="16"/>
      <c r="I464" s="16"/>
      <c r="J464" s="20"/>
      <c r="N464" s="16"/>
      <c r="O464" s="16"/>
      <c r="P464" s="16"/>
    </row>
    <row r="465" spans="1:16" ht="15.75" customHeight="1">
      <c r="A465" s="12"/>
      <c r="F465" s="14"/>
      <c r="G465" s="15"/>
      <c r="H465" s="16"/>
      <c r="I465" s="16"/>
      <c r="J465" s="20"/>
      <c r="N465" s="16"/>
      <c r="O465" s="16"/>
      <c r="P465" s="16"/>
    </row>
    <row r="466" spans="1:16" ht="15.75" customHeight="1">
      <c r="A466" s="12"/>
      <c r="F466" s="14"/>
      <c r="G466" s="15"/>
      <c r="H466" s="16"/>
      <c r="I466" s="16"/>
      <c r="J466" s="20"/>
      <c r="N466" s="16"/>
      <c r="O466" s="16"/>
      <c r="P466" s="16"/>
    </row>
    <row r="467" spans="1:16" ht="15.75" customHeight="1">
      <c r="A467" s="12"/>
      <c r="F467" s="14"/>
      <c r="G467" s="15"/>
      <c r="H467" s="16"/>
      <c r="I467" s="16"/>
      <c r="J467" s="20"/>
      <c r="N467" s="16"/>
      <c r="O467" s="16"/>
      <c r="P467" s="16"/>
    </row>
    <row r="468" spans="1:16" ht="15.75" customHeight="1">
      <c r="A468" s="12"/>
      <c r="F468" s="14"/>
      <c r="G468" s="15"/>
      <c r="H468" s="16"/>
      <c r="I468" s="16"/>
      <c r="J468" s="20"/>
      <c r="N468" s="16"/>
      <c r="O468" s="16"/>
      <c r="P468" s="16"/>
    </row>
    <row r="469" spans="1:16" ht="15.75" customHeight="1">
      <c r="A469" s="12"/>
      <c r="F469" s="14"/>
      <c r="G469" s="15"/>
      <c r="H469" s="16"/>
      <c r="I469" s="16"/>
      <c r="J469" s="20"/>
      <c r="N469" s="16"/>
      <c r="O469" s="16"/>
      <c r="P469" s="16"/>
    </row>
    <row r="470" spans="1:16" ht="15.75" customHeight="1">
      <c r="A470" s="12"/>
      <c r="F470" s="14"/>
      <c r="G470" s="15"/>
      <c r="H470" s="16"/>
      <c r="I470" s="16"/>
      <c r="J470" s="20"/>
      <c r="N470" s="16"/>
      <c r="O470" s="16"/>
      <c r="P470" s="16"/>
    </row>
    <row r="471" spans="1:16" ht="15.75" customHeight="1">
      <c r="A471" s="12"/>
      <c r="F471" s="14"/>
      <c r="G471" s="15"/>
      <c r="H471" s="16"/>
      <c r="I471" s="16"/>
      <c r="J471" s="20"/>
      <c r="N471" s="16"/>
      <c r="O471" s="16"/>
      <c r="P471" s="16"/>
    </row>
    <row r="472" spans="1:16" ht="15.75" customHeight="1">
      <c r="A472" s="12"/>
      <c r="F472" s="14"/>
      <c r="G472" s="15"/>
      <c r="H472" s="16"/>
      <c r="I472" s="16"/>
      <c r="J472" s="20"/>
      <c r="N472" s="16"/>
      <c r="O472" s="16"/>
      <c r="P472" s="16"/>
    </row>
    <row r="473" spans="1:16" ht="15.75" customHeight="1">
      <c r="A473" s="12"/>
      <c r="F473" s="14"/>
      <c r="G473" s="15"/>
      <c r="H473" s="16"/>
      <c r="I473" s="16"/>
      <c r="J473" s="20"/>
      <c r="N473" s="16"/>
      <c r="O473" s="16"/>
      <c r="P473" s="16"/>
    </row>
    <row r="474" spans="1:16" ht="15.75" customHeight="1">
      <c r="A474" s="12"/>
      <c r="F474" s="14"/>
      <c r="G474" s="15"/>
      <c r="H474" s="16"/>
      <c r="I474" s="16"/>
      <c r="J474" s="20"/>
      <c r="N474" s="16"/>
      <c r="O474" s="16"/>
      <c r="P474" s="16"/>
    </row>
    <row r="475" spans="1:16" ht="15.75" customHeight="1">
      <c r="A475" s="12"/>
      <c r="F475" s="14"/>
      <c r="G475" s="15"/>
      <c r="H475" s="16"/>
      <c r="I475" s="16"/>
      <c r="J475" s="20"/>
      <c r="N475" s="16"/>
      <c r="O475" s="16"/>
      <c r="P475" s="16"/>
    </row>
    <row r="476" spans="1:16" ht="15.75" customHeight="1">
      <c r="A476" s="12"/>
      <c r="F476" s="14"/>
      <c r="G476" s="15"/>
      <c r="H476" s="16"/>
      <c r="I476" s="16"/>
      <c r="J476" s="20"/>
      <c r="N476" s="16"/>
      <c r="O476" s="16"/>
      <c r="P476" s="16"/>
    </row>
    <row r="477" spans="1:16" ht="15.75" customHeight="1">
      <c r="A477" s="12"/>
      <c r="F477" s="14"/>
      <c r="G477" s="15"/>
      <c r="H477" s="16"/>
      <c r="I477" s="16"/>
      <c r="J477" s="20"/>
      <c r="N477" s="16"/>
      <c r="O477" s="16"/>
      <c r="P477" s="16"/>
    </row>
    <row r="478" spans="1:16" ht="15.75" customHeight="1">
      <c r="A478" s="12"/>
      <c r="F478" s="14"/>
      <c r="G478" s="15"/>
      <c r="H478" s="16"/>
      <c r="I478" s="16"/>
      <c r="J478" s="20"/>
      <c r="N478" s="16"/>
      <c r="O478" s="16"/>
      <c r="P478" s="16"/>
    </row>
    <row r="479" spans="1:16" ht="15.75" customHeight="1">
      <c r="A479" s="12"/>
      <c r="F479" s="14"/>
      <c r="G479" s="15"/>
      <c r="H479" s="16"/>
      <c r="I479" s="16"/>
      <c r="J479" s="20"/>
      <c r="N479" s="16"/>
      <c r="O479" s="16"/>
      <c r="P479" s="16"/>
    </row>
    <row r="480" spans="1:16" ht="15.75" customHeight="1">
      <c r="A480" s="12"/>
      <c r="F480" s="14"/>
      <c r="G480" s="15"/>
      <c r="H480" s="16"/>
      <c r="I480" s="16"/>
      <c r="J480" s="20"/>
      <c r="N480" s="16"/>
      <c r="O480" s="16"/>
      <c r="P480" s="16"/>
    </row>
    <row r="481" spans="1:16" ht="15.75" customHeight="1">
      <c r="A481" s="12"/>
      <c r="F481" s="14"/>
      <c r="G481" s="15"/>
      <c r="H481" s="16"/>
      <c r="I481" s="16"/>
      <c r="J481" s="20"/>
      <c r="N481" s="16"/>
      <c r="O481" s="16"/>
      <c r="P481" s="16"/>
    </row>
    <row r="482" spans="1:16" ht="15.75" customHeight="1">
      <c r="A482" s="12"/>
      <c r="F482" s="14"/>
      <c r="G482" s="15"/>
      <c r="H482" s="16"/>
      <c r="I482" s="16"/>
      <c r="J482" s="20"/>
      <c r="N482" s="16"/>
      <c r="O482" s="16"/>
      <c r="P482" s="16"/>
    </row>
    <row r="483" spans="1:16" ht="15.75" customHeight="1">
      <c r="A483" s="12"/>
      <c r="F483" s="14"/>
      <c r="G483" s="15"/>
      <c r="H483" s="16"/>
      <c r="I483" s="16"/>
      <c r="J483" s="20"/>
      <c r="N483" s="16"/>
      <c r="O483" s="16"/>
      <c r="P483" s="16"/>
    </row>
    <row r="484" spans="1:16" ht="15.75" customHeight="1">
      <c r="A484" s="12"/>
      <c r="F484" s="14"/>
      <c r="G484" s="15"/>
      <c r="H484" s="16"/>
      <c r="I484" s="16"/>
      <c r="J484" s="20"/>
      <c r="N484" s="16"/>
      <c r="O484" s="16"/>
      <c r="P484" s="16"/>
    </row>
    <row r="485" spans="1:16" ht="15.75" customHeight="1">
      <c r="A485" s="12"/>
      <c r="F485" s="14"/>
      <c r="G485" s="15"/>
      <c r="H485" s="16"/>
      <c r="I485" s="16"/>
      <c r="J485" s="20"/>
      <c r="N485" s="16"/>
      <c r="O485" s="16"/>
      <c r="P485" s="16"/>
    </row>
    <row r="486" spans="1:16" ht="15.75" customHeight="1">
      <c r="A486" s="12"/>
      <c r="F486" s="14"/>
      <c r="G486" s="15"/>
      <c r="H486" s="16"/>
      <c r="I486" s="16"/>
      <c r="J486" s="20"/>
      <c r="N486" s="16"/>
      <c r="O486" s="16"/>
      <c r="P486" s="16"/>
    </row>
    <row r="487" spans="1:16" ht="15.75" customHeight="1">
      <c r="A487" s="12"/>
      <c r="F487" s="14"/>
      <c r="G487" s="15"/>
      <c r="H487" s="16"/>
      <c r="I487" s="16"/>
      <c r="J487" s="20"/>
      <c r="N487" s="16"/>
      <c r="O487" s="16"/>
      <c r="P487" s="16"/>
    </row>
    <row r="488" spans="1:16" ht="15.75" customHeight="1">
      <c r="A488" s="12"/>
      <c r="F488" s="14"/>
      <c r="G488" s="15"/>
      <c r="H488" s="16"/>
      <c r="I488" s="16"/>
      <c r="J488" s="20"/>
      <c r="N488" s="16"/>
      <c r="O488" s="16"/>
      <c r="P488" s="16"/>
    </row>
    <row r="489" spans="1:16" ht="15.75" customHeight="1">
      <c r="A489" s="12"/>
      <c r="F489" s="14"/>
      <c r="G489" s="15"/>
      <c r="H489" s="16"/>
      <c r="I489" s="16"/>
      <c r="J489" s="20"/>
      <c r="N489" s="16"/>
      <c r="O489" s="16"/>
      <c r="P489" s="16"/>
    </row>
    <row r="490" spans="1:16" ht="15.75" customHeight="1">
      <c r="A490" s="12"/>
      <c r="F490" s="14"/>
      <c r="G490" s="15"/>
      <c r="H490" s="16"/>
      <c r="I490" s="16"/>
      <c r="J490" s="20"/>
      <c r="N490" s="16"/>
      <c r="O490" s="16"/>
      <c r="P490" s="16"/>
    </row>
    <row r="491" spans="1:16" ht="15.75" customHeight="1">
      <c r="A491" s="12"/>
      <c r="F491" s="14"/>
      <c r="G491" s="15"/>
      <c r="H491" s="16"/>
      <c r="I491" s="16"/>
      <c r="J491" s="20"/>
      <c r="N491" s="16"/>
      <c r="O491" s="16"/>
      <c r="P491" s="16"/>
    </row>
    <row r="492" spans="1:16" ht="15.75" customHeight="1">
      <c r="A492" s="12"/>
      <c r="F492" s="14"/>
      <c r="G492" s="15"/>
      <c r="H492" s="16"/>
      <c r="I492" s="16"/>
      <c r="J492" s="20"/>
      <c r="N492" s="16"/>
      <c r="O492" s="16"/>
      <c r="P492" s="16"/>
    </row>
    <row r="493" spans="1:16" ht="15.75" customHeight="1">
      <c r="A493" s="12"/>
      <c r="F493" s="14"/>
      <c r="G493" s="15"/>
      <c r="H493" s="16"/>
      <c r="I493" s="16"/>
      <c r="J493" s="20"/>
      <c r="N493" s="16"/>
      <c r="O493" s="16"/>
      <c r="P493" s="16"/>
    </row>
    <row r="494" spans="1:16" ht="15.75" customHeight="1">
      <c r="A494" s="12"/>
      <c r="F494" s="14"/>
      <c r="G494" s="15"/>
      <c r="H494" s="16"/>
      <c r="I494" s="16"/>
      <c r="J494" s="20"/>
      <c r="N494" s="16"/>
      <c r="O494" s="16"/>
      <c r="P494" s="16"/>
    </row>
    <row r="495" spans="1:16" ht="15.75" customHeight="1">
      <c r="A495" s="12"/>
      <c r="F495" s="14"/>
      <c r="G495" s="15"/>
      <c r="H495" s="16"/>
      <c r="I495" s="16"/>
      <c r="J495" s="20"/>
      <c r="N495" s="16"/>
      <c r="O495" s="16"/>
      <c r="P495" s="16"/>
    </row>
    <row r="496" spans="1:16" ht="15.75" customHeight="1">
      <c r="A496" s="12"/>
      <c r="F496" s="14"/>
      <c r="G496" s="15"/>
      <c r="H496" s="16"/>
      <c r="I496" s="16"/>
      <c r="J496" s="20"/>
      <c r="N496" s="16"/>
      <c r="O496" s="16"/>
      <c r="P496" s="16"/>
    </row>
    <row r="497" spans="1:16" ht="15.75" customHeight="1">
      <c r="A497" s="12"/>
      <c r="F497" s="14"/>
      <c r="G497" s="15"/>
      <c r="H497" s="16"/>
      <c r="I497" s="16"/>
      <c r="J497" s="20"/>
      <c r="N497" s="16"/>
      <c r="O497" s="16"/>
      <c r="P497" s="16"/>
    </row>
    <row r="498" spans="1:16" ht="15.75" customHeight="1">
      <c r="A498" s="12"/>
      <c r="F498" s="14"/>
      <c r="G498" s="15"/>
      <c r="H498" s="16"/>
      <c r="I498" s="16"/>
      <c r="J498" s="20"/>
      <c r="N498" s="16"/>
      <c r="O498" s="16"/>
      <c r="P498" s="16"/>
    </row>
    <row r="499" spans="1:16" ht="15.75" customHeight="1">
      <c r="A499" s="12"/>
      <c r="B499" s="16"/>
      <c r="F499" s="14"/>
      <c r="G499" s="15"/>
      <c r="H499" s="16"/>
      <c r="I499" s="16"/>
      <c r="J499" s="20"/>
      <c r="N499" s="16"/>
      <c r="O499" s="16"/>
      <c r="P499" s="16"/>
    </row>
    <row r="500" spans="1:16" ht="15.75" customHeight="1">
      <c r="A500" s="12"/>
      <c r="B500" s="16"/>
      <c r="F500" s="14"/>
      <c r="G500" s="15"/>
      <c r="H500" s="16"/>
      <c r="I500" s="16"/>
      <c r="J500" s="20"/>
      <c r="N500" s="16"/>
      <c r="O500" s="16"/>
      <c r="P500" s="16"/>
    </row>
    <row r="501" spans="1:16" ht="15.75" customHeight="1">
      <c r="A501" s="12"/>
      <c r="B501" s="16"/>
      <c r="F501" s="14"/>
      <c r="G501" s="15"/>
      <c r="H501" s="16"/>
      <c r="I501" s="16"/>
      <c r="J501" s="20"/>
      <c r="N501" s="16"/>
      <c r="O501" s="16"/>
      <c r="P501" s="16"/>
    </row>
    <row r="502" spans="1:16" ht="15.75" customHeight="1">
      <c r="A502" s="12"/>
      <c r="B502" s="16"/>
      <c r="F502" s="14"/>
      <c r="G502" s="15"/>
      <c r="H502" s="16"/>
      <c r="I502" s="16"/>
      <c r="J502" s="20"/>
      <c r="N502" s="16"/>
      <c r="O502" s="16"/>
      <c r="P502" s="16"/>
    </row>
    <row r="503" spans="1:16" ht="15.75" customHeight="1">
      <c r="A503" s="12"/>
      <c r="B503" s="16"/>
      <c r="F503" s="14"/>
      <c r="G503" s="15"/>
      <c r="H503" s="16"/>
      <c r="I503" s="16"/>
      <c r="J503" s="20"/>
      <c r="N503" s="16"/>
      <c r="O503" s="16"/>
      <c r="P503" s="16"/>
    </row>
    <row r="504" spans="1:16" ht="15.75" customHeight="1">
      <c r="A504" s="12"/>
      <c r="B504" s="16"/>
      <c r="F504" s="14"/>
      <c r="G504" s="15"/>
      <c r="H504" s="16"/>
      <c r="I504" s="16"/>
      <c r="J504" s="20"/>
      <c r="N504" s="16"/>
      <c r="O504" s="16"/>
      <c r="P504" s="16"/>
    </row>
    <row r="505" spans="1:16" ht="15.75" customHeight="1">
      <c r="A505" s="12"/>
      <c r="B505" s="16"/>
      <c r="F505" s="14"/>
      <c r="G505" s="15"/>
      <c r="H505" s="16"/>
      <c r="I505" s="16"/>
      <c r="J505" s="20"/>
      <c r="N505" s="16"/>
      <c r="O505" s="16"/>
      <c r="P505" s="16"/>
    </row>
    <row r="506" spans="1:16" ht="15.75" customHeight="1">
      <c r="A506" s="12"/>
      <c r="B506" s="16"/>
      <c r="F506" s="14"/>
      <c r="G506" s="15"/>
      <c r="H506" s="16"/>
      <c r="I506" s="16"/>
      <c r="J506" s="20"/>
      <c r="N506" s="16"/>
      <c r="O506" s="16"/>
      <c r="P506" s="16"/>
    </row>
    <row r="507" spans="1:16" ht="15.75" customHeight="1">
      <c r="A507" s="12"/>
      <c r="F507" s="14"/>
      <c r="G507" s="15"/>
      <c r="H507" s="16"/>
      <c r="I507" s="16"/>
      <c r="J507" s="20"/>
      <c r="N507" s="16"/>
      <c r="O507" s="16"/>
      <c r="P507" s="16"/>
    </row>
    <row r="508" spans="1:16" ht="15.75" customHeight="1">
      <c r="A508" s="12"/>
      <c r="F508" s="14"/>
      <c r="G508" s="15"/>
      <c r="H508" s="16"/>
      <c r="I508" s="16"/>
      <c r="J508" s="20"/>
      <c r="N508" s="16"/>
      <c r="O508" s="16"/>
      <c r="P508" s="16"/>
    </row>
    <row r="509" spans="1:16" ht="15.75" customHeight="1">
      <c r="A509" s="12"/>
      <c r="F509" s="14"/>
      <c r="G509" s="15"/>
      <c r="H509" s="16"/>
      <c r="I509" s="16"/>
      <c r="J509" s="20"/>
      <c r="N509" s="16"/>
      <c r="O509" s="16"/>
      <c r="P509" s="16"/>
    </row>
    <row r="510" spans="1:16" ht="15.75" customHeight="1">
      <c r="A510" s="12"/>
      <c r="F510" s="14"/>
      <c r="G510" s="15"/>
      <c r="H510" s="16"/>
      <c r="I510" s="16"/>
      <c r="J510" s="20"/>
      <c r="N510" s="16"/>
      <c r="O510" s="16"/>
      <c r="P510" s="16"/>
    </row>
    <row r="511" spans="1:16" ht="15.75" customHeight="1">
      <c r="A511" s="12"/>
      <c r="F511" s="14"/>
      <c r="G511" s="15"/>
      <c r="H511" s="16"/>
      <c r="I511" s="16"/>
      <c r="J511" s="20"/>
      <c r="N511" s="16"/>
      <c r="O511" s="16"/>
      <c r="P511" s="16"/>
    </row>
    <row r="512" spans="1:16" ht="15.75" customHeight="1">
      <c r="A512" s="12"/>
      <c r="F512" s="14"/>
      <c r="G512" s="15"/>
      <c r="H512" s="16"/>
      <c r="I512" s="16"/>
      <c r="J512" s="20"/>
      <c r="N512" s="16"/>
      <c r="O512" s="16"/>
      <c r="P512" s="16"/>
    </row>
    <row r="513" spans="1:16" ht="15.75" customHeight="1">
      <c r="A513" s="12"/>
      <c r="F513" s="14"/>
      <c r="G513" s="15"/>
      <c r="H513" s="16"/>
      <c r="I513" s="16"/>
      <c r="J513" s="20"/>
      <c r="N513" s="16"/>
      <c r="O513" s="16"/>
      <c r="P513" s="16"/>
    </row>
    <row r="514" spans="1:16" ht="15.75" customHeight="1">
      <c r="A514" s="12"/>
      <c r="F514" s="14"/>
      <c r="G514" s="15"/>
      <c r="H514" s="16"/>
      <c r="I514" s="16"/>
      <c r="J514" s="20"/>
      <c r="N514" s="16"/>
      <c r="O514" s="16"/>
      <c r="P514" s="16"/>
    </row>
    <row r="515" spans="1:16" ht="15.75" customHeight="1">
      <c r="A515" s="12"/>
      <c r="F515" s="14"/>
      <c r="G515" s="15"/>
      <c r="H515" s="16"/>
      <c r="I515" s="16"/>
      <c r="J515" s="20"/>
      <c r="N515" s="16"/>
      <c r="O515" s="16"/>
      <c r="P515" s="16"/>
    </row>
    <row r="516" spans="1:16" ht="15.75" customHeight="1">
      <c r="A516" s="12"/>
      <c r="F516" s="14"/>
      <c r="G516" s="15"/>
      <c r="H516" s="16"/>
      <c r="I516" s="16"/>
      <c r="J516" s="20"/>
      <c r="N516" s="16"/>
      <c r="O516" s="16"/>
      <c r="P516" s="16"/>
    </row>
    <row r="517" spans="1:16" ht="15.75" customHeight="1">
      <c r="A517" s="12"/>
      <c r="F517" s="14"/>
      <c r="G517" s="15"/>
      <c r="H517" s="16"/>
      <c r="I517" s="16"/>
      <c r="J517" s="20"/>
      <c r="N517" s="16"/>
      <c r="O517" s="16"/>
      <c r="P517" s="16"/>
    </row>
    <row r="518" spans="1:16" ht="15.75" customHeight="1">
      <c r="A518" s="12"/>
      <c r="F518" s="14"/>
      <c r="G518" s="15"/>
      <c r="H518" s="16"/>
      <c r="I518" s="16"/>
      <c r="J518" s="20"/>
      <c r="N518" s="16"/>
      <c r="O518" s="16"/>
      <c r="P518" s="16"/>
    </row>
    <row r="519" spans="1:16" ht="15.75" customHeight="1">
      <c r="A519" s="12"/>
      <c r="F519" s="14"/>
      <c r="G519" s="15"/>
      <c r="H519" s="16"/>
      <c r="I519" s="16"/>
      <c r="J519" s="20"/>
      <c r="N519" s="16"/>
      <c r="O519" s="16"/>
      <c r="P519" s="16"/>
    </row>
    <row r="520" spans="1:16" ht="15.75" customHeight="1">
      <c r="A520" s="12"/>
      <c r="F520" s="14"/>
      <c r="G520" s="15"/>
      <c r="H520" s="16"/>
      <c r="I520" s="16"/>
      <c r="J520" s="20"/>
      <c r="N520" s="16"/>
      <c r="O520" s="16"/>
      <c r="P520" s="16"/>
    </row>
    <row r="521" spans="1:16" ht="15.75" customHeight="1">
      <c r="A521" s="12"/>
      <c r="F521" s="14"/>
      <c r="G521" s="15"/>
      <c r="H521" s="16"/>
      <c r="I521" s="16"/>
      <c r="J521" s="20"/>
      <c r="N521" s="16"/>
      <c r="O521" s="16"/>
      <c r="P521" s="16"/>
    </row>
    <row r="522" spans="1:16" ht="15.75" customHeight="1">
      <c r="A522" s="12"/>
      <c r="F522" s="14"/>
      <c r="G522" s="15"/>
      <c r="H522" s="16"/>
      <c r="I522" s="16"/>
      <c r="J522" s="20"/>
      <c r="N522" s="16"/>
      <c r="O522" s="16"/>
      <c r="P522" s="16"/>
    </row>
    <row r="523" spans="1:16" ht="15.75" customHeight="1">
      <c r="A523" s="12"/>
      <c r="F523" s="14"/>
      <c r="G523" s="15"/>
      <c r="H523" s="16"/>
      <c r="I523" s="16"/>
      <c r="J523" s="20"/>
      <c r="N523" s="16"/>
      <c r="P523" s="16"/>
    </row>
    <row r="524" spans="1:16" ht="15.75" customHeight="1">
      <c r="A524" s="12"/>
      <c r="F524" s="14"/>
      <c r="G524" s="15"/>
      <c r="H524" s="16"/>
      <c r="I524" s="16"/>
      <c r="J524" s="20"/>
      <c r="N524" s="16"/>
      <c r="O524" s="16"/>
      <c r="P524" s="16"/>
    </row>
    <row r="525" spans="1:16" ht="15.75" customHeight="1">
      <c r="A525" s="12"/>
      <c r="F525" s="14"/>
      <c r="G525" s="15"/>
      <c r="H525" s="16"/>
      <c r="I525" s="16"/>
      <c r="J525" s="20"/>
      <c r="N525" s="16"/>
      <c r="O525" s="16"/>
      <c r="P525" s="16"/>
    </row>
    <row r="526" spans="1:16" ht="15.75" customHeight="1">
      <c r="A526" s="12"/>
      <c r="F526" s="14"/>
      <c r="G526" s="15"/>
      <c r="H526" s="16"/>
      <c r="I526" s="16"/>
      <c r="J526" s="20"/>
      <c r="N526" s="16"/>
      <c r="O526" s="16"/>
      <c r="P526" s="16"/>
    </row>
    <row r="527" spans="1:16" ht="15.75" customHeight="1">
      <c r="A527" s="12"/>
      <c r="F527" s="14"/>
      <c r="G527" s="15"/>
      <c r="H527" s="16"/>
      <c r="I527" s="16"/>
      <c r="N527" s="16"/>
      <c r="P527" s="16"/>
    </row>
    <row r="528" spans="1:16" ht="15.75" customHeight="1">
      <c r="A528" s="12"/>
      <c r="F528" s="14"/>
      <c r="G528" s="15"/>
      <c r="H528" s="16"/>
      <c r="I528" s="16"/>
      <c r="N528" s="16"/>
      <c r="P528" s="16"/>
    </row>
    <row r="529" spans="1:16" ht="15.75" customHeight="1">
      <c r="A529" s="12"/>
      <c r="F529" s="14"/>
      <c r="G529" s="15"/>
      <c r="H529" s="16"/>
      <c r="I529" s="16"/>
      <c r="N529" s="16"/>
      <c r="P529" s="16"/>
    </row>
    <row r="530" spans="1:16" ht="15.75" customHeight="1">
      <c r="A530" s="12"/>
      <c r="F530" s="14"/>
      <c r="G530" s="15"/>
      <c r="H530" s="16"/>
      <c r="I530" s="16"/>
      <c r="N530" s="16"/>
      <c r="P530" s="16"/>
    </row>
    <row r="531" spans="1:16" ht="15.75" customHeight="1">
      <c r="A531" s="12"/>
      <c r="F531" s="14"/>
      <c r="G531" s="15"/>
      <c r="H531" s="16"/>
      <c r="I531" s="16"/>
      <c r="N531" s="16"/>
      <c r="P531" s="16"/>
    </row>
    <row r="532" spans="1:16" ht="15.75" customHeight="1">
      <c r="A532" s="12"/>
      <c r="F532" s="14"/>
      <c r="G532" s="15"/>
      <c r="H532" s="16"/>
      <c r="I532" s="16"/>
      <c r="N532" s="16"/>
      <c r="P532" s="16"/>
    </row>
    <row r="533" spans="1:16" ht="15.75" customHeight="1">
      <c r="A533" s="12"/>
      <c r="F533" s="14"/>
      <c r="G533" s="15"/>
      <c r="H533" s="16"/>
      <c r="I533" s="16"/>
      <c r="N533" s="16"/>
      <c r="P533" s="16"/>
    </row>
    <row r="534" spans="1:16" ht="15.75" customHeight="1">
      <c r="A534" s="12"/>
      <c r="F534" s="14"/>
      <c r="G534" s="15"/>
      <c r="H534" s="16"/>
      <c r="I534" s="16"/>
      <c r="N534" s="16"/>
      <c r="P534" s="16"/>
    </row>
    <row r="535" spans="1:16" ht="15.75" customHeight="1">
      <c r="A535" s="12"/>
      <c r="F535" s="14"/>
      <c r="G535" s="15"/>
      <c r="H535" s="16"/>
      <c r="I535" s="16"/>
      <c r="N535" s="16"/>
      <c r="P535" s="16"/>
    </row>
    <row r="536" spans="1:16" ht="15.75" customHeight="1">
      <c r="A536" s="12"/>
      <c r="F536" s="14"/>
      <c r="G536" s="15"/>
      <c r="H536" s="16"/>
      <c r="I536" s="16"/>
      <c r="J536" s="20"/>
      <c r="N536" s="16"/>
      <c r="P536" s="16"/>
    </row>
    <row r="537" spans="1:16" ht="15.75" customHeight="1">
      <c r="A537" s="12"/>
      <c r="B537" s="16"/>
      <c r="F537" s="14"/>
      <c r="G537" s="15"/>
      <c r="H537" s="16"/>
      <c r="I537" s="16"/>
      <c r="J537" s="20"/>
      <c r="N537" s="16"/>
      <c r="O537" s="16"/>
      <c r="P537" s="16"/>
    </row>
    <row r="538" spans="1:16" ht="15.75" customHeight="1">
      <c r="A538" s="12"/>
      <c r="F538" s="14"/>
      <c r="G538" s="15"/>
      <c r="H538" s="16"/>
      <c r="I538" s="16"/>
      <c r="J538" s="20"/>
      <c r="N538" s="16"/>
      <c r="O538" s="16"/>
      <c r="P538" s="16"/>
    </row>
    <row r="539" spans="1:16" ht="15.75" customHeight="1">
      <c r="A539" s="12"/>
      <c r="B539" s="16"/>
      <c r="F539" s="14"/>
      <c r="G539" s="15"/>
      <c r="H539" s="16"/>
      <c r="I539" s="16"/>
      <c r="J539" s="20"/>
      <c r="N539" s="16"/>
      <c r="O539" s="16"/>
      <c r="P539" s="16"/>
    </row>
    <row r="540" spans="1:16" ht="15.75" customHeight="1">
      <c r="A540" s="12"/>
      <c r="B540" s="16"/>
      <c r="F540" s="14"/>
      <c r="G540" s="15"/>
      <c r="H540" s="16"/>
      <c r="I540" s="16"/>
      <c r="J540" s="20"/>
      <c r="N540" s="16"/>
      <c r="O540" s="16"/>
      <c r="P540" s="16"/>
    </row>
    <row r="541" spans="1:16" ht="15.75" customHeight="1">
      <c r="A541" s="12"/>
      <c r="B541" s="16"/>
      <c r="F541" s="14"/>
      <c r="G541" s="15"/>
      <c r="H541" s="16"/>
      <c r="I541" s="16"/>
      <c r="J541" s="20"/>
      <c r="N541" s="16"/>
      <c r="O541" s="16"/>
      <c r="P541" s="16"/>
    </row>
    <row r="542" spans="1:16" ht="15.75" customHeight="1">
      <c r="A542" s="12"/>
      <c r="B542" s="16"/>
      <c r="F542" s="14"/>
      <c r="G542" s="15"/>
      <c r="H542" s="16"/>
      <c r="I542" s="16"/>
      <c r="J542" s="20"/>
      <c r="N542" s="16"/>
      <c r="O542" s="16"/>
      <c r="P542" s="16"/>
    </row>
    <row r="543" spans="1:16" ht="15.75" customHeight="1">
      <c r="A543" s="12"/>
      <c r="B543" s="16"/>
      <c r="F543" s="14"/>
      <c r="G543" s="15"/>
      <c r="H543" s="16"/>
      <c r="I543" s="16"/>
      <c r="J543" s="20"/>
      <c r="N543" s="16"/>
      <c r="O543" s="16"/>
      <c r="P543" s="16"/>
    </row>
    <row r="544" spans="1:16" ht="15.75" customHeight="1">
      <c r="A544" s="12"/>
      <c r="B544" s="16"/>
      <c r="F544" s="14"/>
      <c r="G544" s="15"/>
      <c r="H544" s="16"/>
      <c r="I544" s="16"/>
      <c r="J544" s="20"/>
      <c r="N544" s="16"/>
      <c r="O544" s="16"/>
      <c r="P544" s="16"/>
    </row>
    <row r="545" spans="1:16" ht="15.75" customHeight="1">
      <c r="A545" s="12"/>
      <c r="B545" s="16"/>
      <c r="F545" s="14"/>
      <c r="G545" s="15"/>
      <c r="H545" s="16"/>
      <c r="I545" s="16"/>
      <c r="J545" s="20"/>
      <c r="N545" s="16"/>
      <c r="O545" s="16"/>
      <c r="P545" s="16"/>
    </row>
    <row r="546" spans="1:16" ht="15.75" customHeight="1">
      <c r="A546" s="12"/>
      <c r="B546" s="16"/>
      <c r="F546" s="14"/>
      <c r="G546" s="15"/>
      <c r="H546" s="16"/>
      <c r="I546" s="16"/>
      <c r="J546" s="20"/>
      <c r="N546" s="16"/>
      <c r="O546" s="16"/>
      <c r="P546" s="16"/>
    </row>
    <row r="547" spans="1:16" ht="15.75" customHeight="1">
      <c r="A547" s="12"/>
      <c r="B547" s="16"/>
      <c r="F547" s="14"/>
      <c r="G547" s="15"/>
      <c r="H547" s="16"/>
      <c r="I547" s="16"/>
      <c r="J547" s="20"/>
      <c r="N547" s="16"/>
      <c r="O547" s="16"/>
      <c r="P547" s="16"/>
    </row>
    <row r="548" spans="1:16" ht="15.75" customHeight="1">
      <c r="A548" s="12"/>
      <c r="B548" s="16"/>
      <c r="F548" s="14"/>
      <c r="G548" s="15"/>
      <c r="H548" s="16"/>
      <c r="I548" s="16"/>
      <c r="J548" s="20"/>
      <c r="N548" s="16"/>
      <c r="O548" s="16"/>
      <c r="P548" s="16"/>
    </row>
    <row r="549" spans="1:16" ht="15.75" customHeight="1">
      <c r="A549" s="12"/>
      <c r="B549" s="16"/>
      <c r="F549" s="14"/>
      <c r="G549" s="15"/>
      <c r="H549" s="16"/>
      <c r="I549" s="16"/>
      <c r="J549" s="20"/>
      <c r="N549" s="16"/>
      <c r="O549" s="16"/>
      <c r="P549" s="16"/>
    </row>
    <row r="550" spans="1:16" ht="15.75" customHeight="1">
      <c r="A550" s="12"/>
      <c r="B550" s="16"/>
      <c r="F550" s="14"/>
      <c r="G550" s="15"/>
      <c r="H550" s="16"/>
      <c r="I550" s="16"/>
      <c r="J550" s="20"/>
      <c r="N550" s="16"/>
      <c r="O550" s="16"/>
      <c r="P550" s="16"/>
    </row>
    <row r="551" spans="1:16" ht="15.75" customHeight="1">
      <c r="A551" s="12"/>
      <c r="B551" s="16"/>
      <c r="F551" s="14"/>
      <c r="G551" s="15"/>
      <c r="H551" s="16"/>
      <c r="I551" s="16"/>
      <c r="J551" s="20"/>
      <c r="N551" s="16"/>
      <c r="O551" s="16"/>
      <c r="P551" s="16"/>
    </row>
    <row r="552" spans="1:16" ht="15.75" customHeight="1">
      <c r="A552" s="12"/>
      <c r="B552" s="16"/>
      <c r="F552" s="14"/>
      <c r="G552" s="15"/>
      <c r="H552" s="16"/>
      <c r="I552" s="16"/>
      <c r="J552" s="20"/>
      <c r="N552" s="16"/>
      <c r="O552" s="16"/>
      <c r="P552" s="16"/>
    </row>
    <row r="553" spans="1:16" ht="15.75" customHeight="1">
      <c r="A553" s="12"/>
      <c r="B553" s="16"/>
      <c r="F553" s="14"/>
      <c r="G553" s="15"/>
      <c r="H553" s="16"/>
      <c r="I553" s="16"/>
      <c r="J553" s="20"/>
      <c r="N553" s="16"/>
      <c r="O553" s="16"/>
      <c r="P553" s="16"/>
    </row>
    <row r="554" spans="1:16" ht="15.75" customHeight="1">
      <c r="A554" s="12"/>
      <c r="B554" s="16"/>
      <c r="F554" s="14"/>
      <c r="G554" s="15"/>
      <c r="H554" s="16"/>
      <c r="I554" s="16"/>
      <c r="J554" s="20"/>
      <c r="N554" s="16"/>
      <c r="O554" s="16"/>
      <c r="P554" s="16"/>
    </row>
    <row r="555" spans="1:16" ht="15.75" customHeight="1">
      <c r="A555" s="12"/>
      <c r="B555" s="16"/>
      <c r="F555" s="14"/>
      <c r="G555" s="15"/>
      <c r="H555" s="16"/>
      <c r="I555" s="16"/>
      <c r="J555" s="20"/>
      <c r="N555" s="16"/>
      <c r="O555" s="16"/>
      <c r="P555" s="16"/>
    </row>
    <row r="556" spans="1:16" ht="15.75" customHeight="1">
      <c r="A556" s="12"/>
      <c r="B556" s="16"/>
      <c r="F556" s="14"/>
      <c r="G556" s="15"/>
      <c r="H556" s="16"/>
      <c r="I556" s="16"/>
      <c r="J556" s="20"/>
      <c r="N556" s="16"/>
      <c r="O556" s="16"/>
      <c r="P556" s="16"/>
    </row>
    <row r="557" spans="1:16" ht="15.75" customHeight="1">
      <c r="A557" s="12"/>
      <c r="B557" s="16"/>
      <c r="F557" s="14"/>
      <c r="G557" s="15"/>
      <c r="H557" s="16"/>
      <c r="I557" s="16"/>
      <c r="J557" s="20"/>
      <c r="N557" s="16"/>
      <c r="O557" s="16"/>
      <c r="P557" s="16"/>
    </row>
    <row r="558" spans="1:16" ht="15.75" customHeight="1">
      <c r="A558" s="12"/>
      <c r="B558" s="16"/>
      <c r="F558" s="14"/>
      <c r="G558" s="15"/>
      <c r="H558" s="16"/>
      <c r="I558" s="16"/>
      <c r="J558" s="20"/>
      <c r="N558" s="16"/>
      <c r="O558" s="16"/>
      <c r="P558" s="16"/>
    </row>
    <row r="559" spans="1:16" ht="15.75" customHeight="1">
      <c r="A559" s="12"/>
      <c r="B559" s="16"/>
      <c r="F559" s="14"/>
      <c r="G559" s="15"/>
      <c r="H559" s="16"/>
      <c r="I559" s="16"/>
      <c r="J559" s="20"/>
      <c r="N559" s="16"/>
      <c r="O559" s="16"/>
      <c r="P559" s="16"/>
    </row>
    <row r="560" spans="1:16" ht="15.75" customHeight="1">
      <c r="A560" s="12"/>
      <c r="B560" s="16"/>
      <c r="F560" s="14"/>
      <c r="G560" s="15"/>
      <c r="H560" s="16"/>
      <c r="I560" s="16"/>
      <c r="J560" s="20"/>
      <c r="N560" s="16"/>
      <c r="O560" s="16"/>
      <c r="P560" s="16"/>
    </row>
    <row r="561" spans="1:16" ht="15.75" customHeight="1">
      <c r="A561" s="12"/>
      <c r="B561" s="16"/>
      <c r="F561" s="14"/>
      <c r="G561" s="15"/>
      <c r="H561" s="16"/>
      <c r="I561" s="16"/>
      <c r="J561" s="20"/>
      <c r="N561" s="16"/>
      <c r="O561" s="16"/>
      <c r="P561" s="16"/>
    </row>
    <row r="562" spans="1:16" ht="15.75" customHeight="1">
      <c r="A562" s="12"/>
      <c r="B562" s="16"/>
      <c r="F562" s="14"/>
      <c r="G562" s="15"/>
      <c r="H562" s="16"/>
      <c r="I562" s="16"/>
      <c r="J562" s="20"/>
      <c r="N562" s="16"/>
      <c r="O562" s="16"/>
      <c r="P562" s="16"/>
    </row>
    <row r="563" spans="1:16" ht="15.75" customHeight="1">
      <c r="A563" s="12"/>
      <c r="B563" s="16"/>
      <c r="F563" s="14"/>
      <c r="G563" s="15"/>
      <c r="H563" s="16"/>
      <c r="N563" s="16"/>
      <c r="O563" s="16"/>
      <c r="P563" s="16"/>
    </row>
    <row r="564" spans="1:16" ht="15.75" customHeight="1">
      <c r="A564" s="12"/>
      <c r="B564" s="16"/>
      <c r="F564" s="14"/>
      <c r="G564" s="15"/>
      <c r="H564" s="16"/>
      <c r="N564" s="16"/>
      <c r="O564" s="16"/>
      <c r="P564" s="16"/>
    </row>
    <row r="565" spans="1:16" ht="15.75" customHeight="1">
      <c r="A565" s="12"/>
      <c r="B565" s="16"/>
      <c r="F565" s="14"/>
      <c r="G565" s="15"/>
      <c r="H565" s="16"/>
      <c r="I565" s="16"/>
      <c r="J565" s="20"/>
      <c r="N565" s="16"/>
      <c r="O565" s="16"/>
      <c r="P565" s="16"/>
    </row>
    <row r="566" spans="1:16" ht="15.75" customHeight="1">
      <c r="A566" s="12"/>
      <c r="B566" s="16"/>
      <c r="F566" s="14"/>
      <c r="G566" s="15"/>
      <c r="H566" s="16"/>
      <c r="I566" s="16"/>
      <c r="J566" s="20"/>
      <c r="N566" s="16"/>
      <c r="O566" s="16"/>
      <c r="P566" s="16"/>
    </row>
    <row r="567" spans="1:16" ht="15.75" customHeight="1">
      <c r="A567" s="12"/>
      <c r="B567" s="16"/>
      <c r="F567" s="14"/>
      <c r="G567" s="15"/>
      <c r="H567" s="16"/>
      <c r="I567" s="16"/>
      <c r="J567" s="20"/>
      <c r="N567" s="16"/>
      <c r="O567" s="16"/>
      <c r="P567" s="16"/>
    </row>
    <row r="568" spans="1:16" ht="15.75" customHeight="1">
      <c r="A568" s="12"/>
      <c r="B568" s="16"/>
      <c r="F568" s="14"/>
      <c r="G568" s="15"/>
      <c r="H568" s="16"/>
      <c r="I568" s="16"/>
      <c r="J568" s="20"/>
      <c r="N568" s="16"/>
      <c r="O568" s="16"/>
      <c r="P568" s="16"/>
    </row>
    <row r="569" spans="1:16" ht="15.75" customHeight="1">
      <c r="A569" s="12"/>
      <c r="B569" s="16"/>
      <c r="F569" s="14"/>
      <c r="G569" s="15"/>
      <c r="H569" s="16"/>
      <c r="I569" s="16"/>
      <c r="J569" s="20"/>
      <c r="N569" s="16"/>
      <c r="O569" s="16"/>
      <c r="P569" s="16"/>
    </row>
    <row r="570" spans="1:16" ht="15.75" customHeight="1">
      <c r="A570" s="12"/>
      <c r="B570" s="16"/>
      <c r="F570" s="14"/>
      <c r="G570" s="15"/>
      <c r="H570" s="16"/>
      <c r="I570" s="16"/>
      <c r="J570" s="20"/>
      <c r="N570" s="16"/>
      <c r="O570" s="16"/>
      <c r="P570" s="16"/>
    </row>
    <row r="571" spans="1:16" ht="15.75" customHeight="1">
      <c r="A571" s="12"/>
      <c r="B571" s="16"/>
      <c r="F571" s="14"/>
      <c r="G571" s="15"/>
      <c r="H571" s="16"/>
      <c r="I571" s="16"/>
      <c r="J571" s="20"/>
      <c r="N571" s="16"/>
      <c r="O571" s="16"/>
      <c r="P571" s="16"/>
    </row>
    <row r="572" spans="1:16" ht="15.75" customHeight="1">
      <c r="A572" s="12"/>
      <c r="B572" s="16"/>
      <c r="F572" s="14"/>
      <c r="G572" s="15"/>
      <c r="H572" s="16"/>
      <c r="I572" s="16"/>
      <c r="J572" s="20"/>
      <c r="N572" s="16"/>
      <c r="O572" s="16"/>
      <c r="P572" s="16"/>
    </row>
    <row r="573" spans="1:16" ht="15.75" customHeight="1">
      <c r="A573" s="12"/>
      <c r="B573" s="16"/>
      <c r="F573" s="14"/>
      <c r="G573" s="15"/>
      <c r="H573" s="16"/>
      <c r="I573" s="16"/>
      <c r="J573" s="20"/>
      <c r="N573" s="16"/>
      <c r="O573" s="16"/>
      <c r="P573" s="16"/>
    </row>
    <row r="574" spans="1:16" ht="15.75" customHeight="1">
      <c r="A574" s="12"/>
      <c r="B574" s="16"/>
      <c r="F574" s="14"/>
      <c r="G574" s="15"/>
      <c r="H574" s="16"/>
      <c r="I574" s="16"/>
      <c r="J574" s="20"/>
      <c r="N574" s="16"/>
      <c r="O574" s="16"/>
      <c r="P574" s="16"/>
    </row>
    <row r="575" spans="1:16" ht="15.75" customHeight="1">
      <c r="A575" s="12"/>
      <c r="B575" s="16"/>
      <c r="F575" s="14"/>
      <c r="G575" s="15"/>
      <c r="H575" s="16"/>
      <c r="I575" s="16"/>
      <c r="J575" s="20"/>
      <c r="N575" s="16"/>
      <c r="O575" s="16"/>
      <c r="P575" s="16"/>
    </row>
    <row r="576" spans="1:16" ht="15.75" customHeight="1">
      <c r="A576" s="12"/>
      <c r="B576" s="16"/>
      <c r="F576" s="14"/>
      <c r="G576" s="15"/>
      <c r="H576" s="16"/>
      <c r="I576" s="16"/>
      <c r="J576" s="20"/>
      <c r="N576" s="16"/>
      <c r="O576" s="16"/>
      <c r="P576" s="16"/>
    </row>
    <row r="577" spans="1:16" ht="15.75" customHeight="1">
      <c r="A577" s="12"/>
      <c r="B577" s="16"/>
      <c r="F577" s="14"/>
      <c r="G577" s="15"/>
      <c r="H577" s="16"/>
      <c r="I577" s="16"/>
      <c r="J577" s="20"/>
      <c r="N577" s="16"/>
      <c r="O577" s="16"/>
      <c r="P577" s="16"/>
    </row>
    <row r="578" spans="1:16" ht="15.75" customHeight="1">
      <c r="A578" s="12"/>
      <c r="B578" s="16"/>
      <c r="F578" s="14"/>
      <c r="G578" s="15"/>
      <c r="H578" s="16"/>
      <c r="I578" s="16"/>
      <c r="J578" s="20"/>
      <c r="N578" s="16"/>
      <c r="O578" s="16"/>
      <c r="P578" s="16"/>
    </row>
    <row r="579" spans="1:16" ht="15.75" customHeight="1">
      <c r="A579" s="12"/>
      <c r="B579" s="16"/>
      <c r="F579" s="14"/>
      <c r="G579" s="15"/>
      <c r="H579" s="16"/>
      <c r="I579" s="16"/>
      <c r="J579" s="20"/>
      <c r="N579" s="16"/>
      <c r="O579" s="16"/>
      <c r="P579" s="16"/>
    </row>
    <row r="580" spans="1:16" ht="15.75" customHeight="1">
      <c r="A580" s="12"/>
      <c r="B580" s="16"/>
      <c r="F580" s="14"/>
      <c r="G580" s="15"/>
      <c r="H580" s="16"/>
      <c r="I580" s="16"/>
      <c r="J580" s="20"/>
      <c r="N580" s="16"/>
      <c r="O580" s="16"/>
      <c r="P580" s="16"/>
    </row>
    <row r="581" spans="1:16" ht="15.75" customHeight="1">
      <c r="A581" s="12"/>
      <c r="B581" s="16"/>
      <c r="F581" s="14"/>
      <c r="G581" s="15"/>
      <c r="H581" s="16"/>
      <c r="I581" s="16"/>
      <c r="J581" s="20"/>
      <c r="N581" s="16"/>
      <c r="O581" s="16"/>
      <c r="P581" s="16"/>
    </row>
    <row r="582" spans="1:16" ht="15.75" customHeight="1">
      <c r="A582" s="12"/>
      <c r="B582" s="16"/>
      <c r="F582" s="14"/>
      <c r="G582" s="15"/>
      <c r="H582" s="16"/>
      <c r="I582" s="16"/>
      <c r="J582" s="20"/>
      <c r="N582" s="16"/>
      <c r="O582" s="16"/>
      <c r="P582" s="16"/>
    </row>
    <row r="583" spans="1:16" ht="15.75" customHeight="1">
      <c r="A583" s="12"/>
      <c r="B583" s="16"/>
      <c r="F583" s="14"/>
      <c r="G583" s="15"/>
      <c r="H583" s="16"/>
      <c r="I583" s="16"/>
      <c r="J583" s="20"/>
      <c r="N583" s="16"/>
      <c r="O583" s="16"/>
      <c r="P583" s="16"/>
    </row>
    <row r="584" spans="1:16" ht="15.75" customHeight="1">
      <c r="A584" s="12"/>
      <c r="B584" s="16"/>
      <c r="F584" s="14"/>
      <c r="G584" s="15"/>
      <c r="H584" s="16"/>
      <c r="I584" s="16"/>
      <c r="J584" s="20"/>
      <c r="N584" s="16"/>
      <c r="O584" s="16"/>
      <c r="P584" s="16"/>
    </row>
    <row r="585" spans="1:16" ht="15.75" customHeight="1">
      <c r="A585" s="12"/>
      <c r="B585" s="16"/>
      <c r="F585" s="14"/>
      <c r="G585" s="15"/>
      <c r="H585" s="16"/>
      <c r="I585" s="16"/>
      <c r="J585" s="20"/>
      <c r="N585" s="16"/>
      <c r="O585" s="16"/>
      <c r="P585" s="16"/>
    </row>
    <row r="586" spans="1:16" ht="15.75" customHeight="1">
      <c r="A586" s="12"/>
      <c r="B586" s="16"/>
      <c r="F586" s="14"/>
      <c r="G586" s="15"/>
      <c r="H586" s="16"/>
      <c r="I586" s="16"/>
      <c r="J586" s="20"/>
      <c r="N586" s="16"/>
      <c r="O586" s="16"/>
      <c r="P586" s="16"/>
    </row>
    <row r="587" spans="1:16" ht="15.75" customHeight="1">
      <c r="A587" s="12"/>
      <c r="B587" s="16"/>
      <c r="F587" s="14"/>
      <c r="G587" s="15"/>
      <c r="H587" s="16"/>
      <c r="I587" s="16"/>
      <c r="J587" s="20"/>
      <c r="N587" s="16"/>
      <c r="O587" s="16"/>
      <c r="P587" s="16"/>
    </row>
    <row r="588" spans="1:16" ht="15.75" customHeight="1">
      <c r="A588" s="12"/>
      <c r="B588" s="16"/>
      <c r="F588" s="14"/>
      <c r="G588" s="15"/>
      <c r="H588" s="16"/>
      <c r="I588" s="16"/>
      <c r="J588" s="20"/>
      <c r="N588" s="16"/>
      <c r="O588" s="16"/>
      <c r="P588" s="16"/>
    </row>
    <row r="589" spans="1:16" ht="15.75" customHeight="1">
      <c r="A589" s="12"/>
      <c r="B589" s="16"/>
      <c r="F589" s="14"/>
      <c r="G589" s="15"/>
      <c r="H589" s="16"/>
      <c r="I589" s="16"/>
      <c r="J589" s="20"/>
      <c r="N589" s="16"/>
      <c r="O589" s="16"/>
      <c r="P589" s="16"/>
    </row>
    <row r="590" spans="1:16" ht="15.75" customHeight="1">
      <c r="A590" s="12"/>
      <c r="B590" s="16"/>
      <c r="F590" s="14"/>
      <c r="G590" s="15"/>
      <c r="H590" s="16"/>
      <c r="I590" s="16"/>
      <c r="J590" s="20"/>
      <c r="N590" s="16"/>
      <c r="O590" s="16"/>
      <c r="P590" s="16"/>
    </row>
    <row r="591" spans="1:16" ht="15.75" customHeight="1">
      <c r="A591" s="12"/>
      <c r="B591" s="16"/>
      <c r="F591" s="14"/>
      <c r="G591" s="15"/>
      <c r="H591" s="16"/>
      <c r="I591" s="16"/>
      <c r="J591" s="20"/>
      <c r="N591" s="16"/>
      <c r="O591" s="16"/>
      <c r="P591" s="16"/>
    </row>
    <row r="592" spans="1:16" ht="15.75" customHeight="1">
      <c r="A592" s="12"/>
      <c r="B592" s="16"/>
      <c r="F592" s="14"/>
      <c r="G592" s="15"/>
      <c r="H592" s="16"/>
      <c r="I592" s="16"/>
      <c r="J592" s="20"/>
      <c r="N592" s="16"/>
      <c r="O592" s="16"/>
      <c r="P592" s="16"/>
    </row>
    <row r="593" spans="1:16" ht="15.75" customHeight="1">
      <c r="A593" s="12"/>
      <c r="B593" s="16"/>
      <c r="F593" s="14"/>
      <c r="G593" s="15"/>
      <c r="H593" s="16"/>
      <c r="I593" s="16"/>
      <c r="J593" s="20"/>
      <c r="N593" s="16"/>
      <c r="O593" s="16"/>
      <c r="P593" s="16"/>
    </row>
    <row r="594" spans="1:16" ht="15.75" customHeight="1">
      <c r="A594" s="12"/>
      <c r="B594" s="16"/>
      <c r="F594" s="14"/>
      <c r="G594" s="15"/>
      <c r="H594" s="16"/>
      <c r="I594" s="16"/>
      <c r="J594" s="20"/>
      <c r="N594" s="16"/>
      <c r="O594" s="16"/>
      <c r="P594" s="16"/>
    </row>
    <row r="595" spans="1:16" ht="15.75" customHeight="1">
      <c r="A595" s="12"/>
      <c r="B595" s="16"/>
      <c r="F595" s="14"/>
      <c r="G595" s="15"/>
      <c r="H595" s="16"/>
      <c r="I595" s="16"/>
      <c r="J595" s="20"/>
      <c r="N595" s="16"/>
      <c r="O595" s="16"/>
      <c r="P595" s="16"/>
    </row>
    <row r="596" spans="1:16" ht="15.75" customHeight="1">
      <c r="A596" s="12"/>
      <c r="B596" s="16"/>
      <c r="F596" s="14"/>
      <c r="G596" s="15"/>
      <c r="H596" s="16"/>
      <c r="I596" s="16"/>
      <c r="J596" s="20"/>
      <c r="N596" s="16"/>
      <c r="O596" s="16"/>
      <c r="P596" s="16"/>
    </row>
    <row r="597" spans="1:16" ht="15.75" customHeight="1">
      <c r="A597" s="12"/>
      <c r="B597" s="16"/>
      <c r="F597" s="14"/>
      <c r="G597" s="15"/>
      <c r="H597" s="16"/>
      <c r="I597" s="16"/>
      <c r="J597" s="20"/>
      <c r="N597" s="16"/>
      <c r="O597" s="16"/>
      <c r="P597" s="16"/>
    </row>
    <row r="598" spans="1:16" ht="15.75" customHeight="1">
      <c r="A598" s="12"/>
      <c r="B598" s="16"/>
      <c r="F598" s="14"/>
      <c r="G598" s="15"/>
      <c r="H598" s="16"/>
      <c r="I598" s="16"/>
      <c r="J598" s="20"/>
      <c r="N598" s="16"/>
      <c r="O598" s="16"/>
      <c r="P598" s="16"/>
    </row>
    <row r="599" spans="1:16" ht="15.75" customHeight="1">
      <c r="A599" s="12"/>
      <c r="B599" s="16"/>
      <c r="F599" s="14"/>
      <c r="G599" s="15"/>
      <c r="H599" s="16"/>
      <c r="I599" s="16"/>
      <c r="J599" s="20"/>
      <c r="N599" s="16"/>
      <c r="O599" s="16"/>
      <c r="P599" s="16"/>
    </row>
    <row r="600" spans="1:16" ht="15.75" customHeight="1">
      <c r="A600" s="12"/>
      <c r="B600" s="16"/>
      <c r="F600" s="14"/>
      <c r="G600" s="15"/>
      <c r="H600" s="16"/>
      <c r="I600" s="16"/>
      <c r="J600" s="20"/>
      <c r="N600" s="16"/>
      <c r="O600" s="16"/>
      <c r="P600" s="16"/>
    </row>
    <row r="601" spans="1:16" ht="15.75" customHeight="1">
      <c r="A601" s="12"/>
      <c r="B601" s="16"/>
      <c r="F601" s="14"/>
      <c r="G601" s="15"/>
      <c r="H601" s="16"/>
      <c r="I601" s="16"/>
      <c r="J601" s="20"/>
      <c r="N601" s="16"/>
      <c r="O601" s="16"/>
      <c r="P601" s="16"/>
    </row>
    <row r="602" spans="1:16" ht="15.75" customHeight="1">
      <c r="A602" s="12"/>
      <c r="B602" s="16"/>
      <c r="F602" s="14"/>
      <c r="G602" s="15"/>
      <c r="H602" s="16"/>
      <c r="I602" s="16"/>
      <c r="J602" s="20"/>
      <c r="N602" s="16"/>
      <c r="O602" s="16"/>
      <c r="P602" s="16"/>
    </row>
    <row r="603" spans="1:16" ht="15.75" customHeight="1">
      <c r="A603" s="12"/>
      <c r="B603" s="16"/>
      <c r="F603" s="14"/>
      <c r="G603" s="15"/>
      <c r="H603" s="16"/>
      <c r="I603" s="16"/>
      <c r="J603" s="20"/>
      <c r="N603" s="16"/>
      <c r="O603" s="16"/>
      <c r="P603" s="16"/>
    </row>
    <row r="604" spans="1:16" ht="15.75" customHeight="1">
      <c r="A604" s="12"/>
      <c r="B604" s="16"/>
      <c r="F604" s="14"/>
      <c r="G604" s="15"/>
      <c r="H604" s="16"/>
      <c r="I604" s="16"/>
      <c r="J604" s="20"/>
      <c r="N604" s="16"/>
      <c r="O604" s="16"/>
      <c r="P604" s="16"/>
    </row>
    <row r="605" spans="1:16" ht="15.75" customHeight="1">
      <c r="A605" s="12"/>
      <c r="B605" s="16"/>
      <c r="F605" s="14"/>
      <c r="G605" s="15"/>
      <c r="H605" s="16"/>
      <c r="I605" s="16"/>
      <c r="J605" s="20"/>
      <c r="N605" s="16"/>
      <c r="O605" s="16"/>
      <c r="P605" s="16"/>
    </row>
    <row r="606" spans="1:16" ht="15.75" customHeight="1">
      <c r="A606" s="12"/>
      <c r="B606" s="16"/>
      <c r="F606" s="14"/>
      <c r="G606" s="15"/>
      <c r="H606" s="16"/>
      <c r="I606" s="16"/>
      <c r="J606" s="20"/>
      <c r="N606" s="16"/>
      <c r="O606" s="16"/>
      <c r="P606" s="16"/>
    </row>
    <row r="607" spans="1:16" ht="15.75" customHeight="1">
      <c r="A607" s="12"/>
      <c r="B607" s="16"/>
      <c r="F607" s="14"/>
      <c r="G607" s="15"/>
      <c r="H607" s="16"/>
      <c r="I607" s="16"/>
      <c r="J607" s="20"/>
      <c r="N607" s="16"/>
      <c r="O607" s="16"/>
      <c r="P607" s="16"/>
    </row>
    <row r="608" spans="1:16" ht="15.75" customHeight="1">
      <c r="A608" s="12"/>
      <c r="B608" s="16"/>
      <c r="F608" s="14"/>
      <c r="G608" s="15"/>
      <c r="H608" s="16"/>
      <c r="I608" s="16"/>
      <c r="N608" s="16"/>
      <c r="O608" s="16"/>
      <c r="P608" s="16"/>
    </row>
    <row r="609" spans="2:16" ht="15.75" customHeight="1">
      <c r="B609" s="16"/>
      <c r="H609" s="16"/>
      <c r="I609" s="16"/>
      <c r="J609" s="20"/>
      <c r="N609" s="16"/>
      <c r="O609" s="16"/>
      <c r="P609" s="16"/>
    </row>
    <row r="610" spans="2:16" ht="15.75" customHeight="1">
      <c r="B610" s="16"/>
      <c r="H610" s="16"/>
      <c r="I610" s="16"/>
      <c r="J610" s="20"/>
      <c r="N610" s="16"/>
      <c r="O610" s="16"/>
      <c r="P610" s="16"/>
    </row>
    <row r="611" spans="2:16" ht="15.75" customHeight="1">
      <c r="B611" s="16"/>
      <c r="H611" s="16"/>
      <c r="I611" s="16"/>
      <c r="J611" s="20"/>
      <c r="N611" s="16"/>
      <c r="O611" s="16"/>
      <c r="P611" s="16"/>
    </row>
    <row r="612" spans="2:16" ht="15.75" customHeight="1">
      <c r="B612" s="16"/>
      <c r="H612" s="16"/>
      <c r="I612" s="16"/>
      <c r="J612" s="20"/>
      <c r="N612" s="16"/>
      <c r="O612" s="16"/>
      <c r="P612" s="16"/>
    </row>
    <row r="613" spans="2:16" ht="15.75" customHeight="1">
      <c r="B613" s="16"/>
      <c r="H613" s="16"/>
      <c r="I613" s="16"/>
      <c r="J613" s="20"/>
      <c r="N613" s="16"/>
      <c r="O613" s="16"/>
      <c r="P613" s="16"/>
    </row>
    <row r="614" spans="2:16" ht="15.75" customHeight="1">
      <c r="B614" s="16"/>
      <c r="H614" s="16"/>
      <c r="I614" s="16"/>
      <c r="J614" s="20"/>
      <c r="N614" s="16"/>
      <c r="O614" s="16"/>
      <c r="P614" s="16"/>
    </row>
    <row r="615" spans="2:16" ht="15.75" customHeight="1">
      <c r="B615" s="16"/>
      <c r="H615" s="16"/>
      <c r="I615" s="16"/>
      <c r="J615" s="20"/>
      <c r="N615" s="16"/>
      <c r="O615" s="16"/>
      <c r="P615" s="16"/>
    </row>
    <row r="616" spans="2:16" ht="15.75" customHeight="1">
      <c r="B616" s="16"/>
      <c r="H616" s="16"/>
      <c r="I616" s="16"/>
      <c r="J616" s="20"/>
      <c r="N616" s="16"/>
      <c r="O616" s="16"/>
      <c r="P616" s="16"/>
    </row>
    <row r="617" spans="2:16" ht="15.75" customHeight="1">
      <c r="B617" s="16"/>
      <c r="H617" s="16"/>
      <c r="I617" s="16"/>
      <c r="J617" s="20"/>
      <c r="N617" s="16"/>
      <c r="O617" s="16"/>
      <c r="P617" s="16"/>
    </row>
    <row r="618" spans="2:16" ht="15.75" customHeight="1">
      <c r="B618" s="16"/>
      <c r="H618" s="16"/>
      <c r="I618" s="16"/>
      <c r="J618" s="20"/>
      <c r="N618" s="16"/>
      <c r="O618" s="16"/>
      <c r="P618" s="16"/>
    </row>
    <row r="619" spans="2:16" ht="15.75" customHeight="1">
      <c r="B619" s="16"/>
      <c r="H619" s="16"/>
      <c r="I619" s="16"/>
      <c r="J619" s="20"/>
      <c r="N619" s="16"/>
      <c r="O619" s="16"/>
      <c r="P619" s="16"/>
    </row>
    <row r="620" spans="2:16" ht="15.75" customHeight="1">
      <c r="B620" s="16"/>
      <c r="H620" s="16"/>
      <c r="I620" s="16"/>
      <c r="J620" s="20"/>
      <c r="N620" s="16"/>
      <c r="O620" s="16"/>
      <c r="P620" s="16"/>
    </row>
    <row r="621" spans="2:16" ht="15.75" customHeight="1">
      <c r="B621" s="16"/>
      <c r="H621" s="16"/>
      <c r="I621" s="16"/>
      <c r="J621" s="20"/>
      <c r="N621" s="16"/>
      <c r="O621" s="16"/>
      <c r="P621" s="16"/>
    </row>
    <row r="622" spans="2:16" ht="15.75" customHeight="1">
      <c r="B622" s="16"/>
      <c r="H622" s="16"/>
      <c r="I622" s="16"/>
      <c r="J622" s="20"/>
      <c r="N622" s="16"/>
      <c r="O622" s="16"/>
      <c r="P622" s="16"/>
    </row>
    <row r="623" spans="2:16" ht="15.75" customHeight="1">
      <c r="B623" s="16"/>
      <c r="H623" s="16"/>
      <c r="I623" s="16"/>
      <c r="J623" s="20"/>
      <c r="N623" s="16"/>
      <c r="O623" s="16"/>
      <c r="P623" s="16"/>
    </row>
    <row r="624" spans="2:16" ht="15.75" customHeight="1">
      <c r="B624" s="16"/>
      <c r="H624" s="16"/>
      <c r="I624" s="16"/>
      <c r="J624" s="20"/>
      <c r="N624" s="16"/>
      <c r="O624" s="16"/>
      <c r="P624" s="16"/>
    </row>
    <row r="625" spans="2:16" ht="15.75" customHeight="1">
      <c r="B625" s="16"/>
      <c r="H625" s="16"/>
      <c r="I625" s="16"/>
      <c r="J625" s="20"/>
      <c r="N625" s="16"/>
      <c r="O625" s="16"/>
      <c r="P625" s="16"/>
    </row>
    <row r="626" spans="2:16" ht="15.75" customHeight="1">
      <c r="B626" s="16"/>
      <c r="H626" s="16"/>
      <c r="I626" s="16"/>
      <c r="J626" s="20"/>
      <c r="N626" s="16"/>
      <c r="O626" s="16"/>
      <c r="P626" s="16"/>
    </row>
    <row r="627" spans="2:16" ht="15.75" customHeight="1">
      <c r="B627" s="16"/>
      <c r="H627" s="16"/>
      <c r="I627" s="16"/>
      <c r="J627" s="20"/>
      <c r="N627" s="16"/>
      <c r="O627" s="16"/>
      <c r="P627" s="16"/>
    </row>
    <row r="628" spans="2:16" ht="15.75" customHeight="1">
      <c r="B628" s="16"/>
      <c r="H628" s="16"/>
      <c r="I628" s="16"/>
      <c r="J628" s="20"/>
      <c r="N628" s="16"/>
      <c r="O628" s="16"/>
      <c r="P628" s="16"/>
    </row>
    <row r="629" spans="2:16" ht="15.75" customHeight="1">
      <c r="B629" s="16"/>
      <c r="H629" s="16"/>
      <c r="I629" s="16"/>
      <c r="J629" s="20"/>
      <c r="N629" s="16"/>
      <c r="O629" s="16"/>
      <c r="P629" s="16"/>
    </row>
    <row r="630" spans="2:16" ht="15.75" customHeight="1">
      <c r="B630" s="16"/>
      <c r="H630" s="16"/>
      <c r="I630" s="16"/>
      <c r="J630" s="20"/>
      <c r="N630" s="16"/>
      <c r="O630" s="16"/>
      <c r="P630" s="16"/>
    </row>
    <row r="631" spans="2:16" ht="15.75" customHeight="1">
      <c r="B631" s="16"/>
      <c r="H631" s="16"/>
      <c r="I631" s="16"/>
      <c r="J631" s="20"/>
      <c r="N631" s="16"/>
      <c r="O631" s="16"/>
      <c r="P631" s="16"/>
    </row>
    <row r="632" spans="2:16" ht="15.75" customHeight="1">
      <c r="B632" s="16"/>
      <c r="H632" s="16"/>
      <c r="I632" s="16"/>
      <c r="J632" s="20"/>
      <c r="N632" s="16"/>
      <c r="O632" s="16"/>
      <c r="P632" s="16"/>
    </row>
    <row r="633" spans="2:16" ht="15.75" customHeight="1">
      <c r="B633" s="16"/>
      <c r="H633" s="16"/>
      <c r="I633" s="16"/>
      <c r="J633" s="20"/>
      <c r="N633" s="16"/>
      <c r="O633" s="16"/>
      <c r="P633" s="16"/>
    </row>
    <row r="634" spans="2:16" ht="15.75" customHeight="1">
      <c r="B634" s="16"/>
      <c r="H634" s="16"/>
      <c r="I634" s="16"/>
      <c r="J634" s="20"/>
      <c r="N634" s="16"/>
      <c r="O634" s="16"/>
      <c r="P634" s="16"/>
    </row>
    <row r="635" spans="2:16" ht="15.75" customHeight="1">
      <c r="B635" s="16"/>
      <c r="H635" s="16"/>
      <c r="I635" s="16"/>
      <c r="J635" s="20"/>
      <c r="N635" s="16"/>
      <c r="O635" s="16"/>
      <c r="P635" s="16"/>
    </row>
    <row r="636" spans="2:16" ht="15.75" customHeight="1">
      <c r="B636" s="16"/>
      <c r="H636" s="16"/>
      <c r="I636" s="16"/>
      <c r="J636" s="20"/>
      <c r="N636" s="16"/>
      <c r="O636" s="16"/>
      <c r="P636" s="16"/>
    </row>
    <row r="637" spans="2:16" ht="15.75" customHeight="1">
      <c r="B637" s="16"/>
      <c r="H637" s="16"/>
      <c r="I637" s="16"/>
      <c r="J637" s="20"/>
      <c r="N637" s="16"/>
      <c r="O637" s="16"/>
      <c r="P637" s="16"/>
    </row>
    <row r="638" spans="2:16" ht="15.75" customHeight="1">
      <c r="B638" s="16"/>
      <c r="H638" s="16"/>
      <c r="I638" s="16"/>
      <c r="J638" s="20"/>
      <c r="N638" s="16"/>
      <c r="O638" s="16"/>
      <c r="P638" s="16"/>
    </row>
    <row r="639" spans="2:16" ht="15.75" customHeight="1">
      <c r="B639" s="16"/>
      <c r="H639" s="16"/>
      <c r="I639" s="16"/>
      <c r="J639" s="20"/>
      <c r="N639" s="16"/>
      <c r="O639" s="16"/>
      <c r="P639" s="16"/>
    </row>
    <row r="640" spans="2:16" ht="15.75" customHeight="1">
      <c r="B640" s="16"/>
      <c r="H640" s="16"/>
      <c r="I640" s="16"/>
      <c r="J640" s="20"/>
      <c r="N640" s="16"/>
      <c r="O640" s="16"/>
      <c r="P640" s="16"/>
    </row>
    <row r="641" spans="2:16" ht="15.75" customHeight="1">
      <c r="B641" s="16"/>
      <c r="H641" s="16"/>
      <c r="I641" s="16"/>
      <c r="J641" s="20"/>
      <c r="N641" s="16"/>
      <c r="O641" s="16"/>
      <c r="P641" s="16"/>
    </row>
    <row r="642" spans="2:16" ht="15.75" customHeight="1">
      <c r="B642" s="16"/>
      <c r="H642" s="16"/>
      <c r="I642" s="16"/>
      <c r="J642" s="20"/>
      <c r="N642" s="16"/>
      <c r="O642" s="16"/>
      <c r="P642" s="16"/>
    </row>
    <row r="643" spans="2:16" ht="15.75" customHeight="1">
      <c r="B643" s="16"/>
      <c r="H643" s="16"/>
      <c r="I643" s="16"/>
      <c r="J643" s="20"/>
      <c r="N643" s="16"/>
      <c r="O643" s="16"/>
      <c r="P643" s="16"/>
    </row>
    <row r="644" spans="2:16" ht="15.75" customHeight="1">
      <c r="B644" s="16"/>
      <c r="H644" s="16"/>
      <c r="I644" s="16"/>
      <c r="J644" s="20"/>
      <c r="N644" s="16"/>
      <c r="O644" s="16"/>
      <c r="P644" s="16"/>
    </row>
    <row r="645" spans="2:16" ht="15.75" customHeight="1">
      <c r="B645" s="16"/>
      <c r="H645" s="16"/>
      <c r="I645" s="16"/>
      <c r="J645" s="20"/>
      <c r="N645" s="16"/>
      <c r="O645" s="16"/>
      <c r="P645" s="16"/>
    </row>
    <row r="646" spans="2:16" ht="15.75" customHeight="1">
      <c r="B646" s="16"/>
      <c r="H646" s="16"/>
      <c r="I646" s="16"/>
      <c r="J646" s="20"/>
      <c r="N646" s="16"/>
      <c r="O646" s="16"/>
      <c r="P646" s="16"/>
    </row>
    <row r="647" spans="2:16" ht="15.75" customHeight="1">
      <c r="B647" s="16"/>
      <c r="H647" s="16"/>
      <c r="I647" s="16"/>
      <c r="J647" s="20"/>
      <c r="N647" s="16"/>
      <c r="O647" s="16"/>
      <c r="P647" s="16"/>
    </row>
    <row r="648" spans="2:16" ht="15.75" customHeight="1">
      <c r="B648" s="16"/>
      <c r="H648" s="16"/>
      <c r="I648" s="16"/>
      <c r="J648" s="20"/>
      <c r="N648" s="16"/>
      <c r="O648" s="16"/>
      <c r="P648" s="16"/>
    </row>
    <row r="649" spans="2:16" ht="15.75" customHeight="1">
      <c r="B649" s="16"/>
      <c r="H649" s="16"/>
      <c r="I649" s="16"/>
      <c r="J649" s="20"/>
      <c r="N649" s="16"/>
      <c r="O649" s="16"/>
      <c r="P649" s="16"/>
    </row>
    <row r="650" spans="2:16" ht="15.75" customHeight="1">
      <c r="B650" s="16"/>
      <c r="H650" s="16"/>
      <c r="I650" s="16"/>
      <c r="J650" s="20"/>
      <c r="N650" s="16"/>
      <c r="O650" s="16"/>
      <c r="P650" s="16"/>
    </row>
    <row r="651" spans="2:16" ht="15.75" customHeight="1">
      <c r="B651" s="16"/>
      <c r="H651" s="16"/>
      <c r="I651" s="16"/>
      <c r="J651" s="20"/>
      <c r="N651" s="16"/>
      <c r="O651" s="16"/>
      <c r="P651" s="16"/>
    </row>
    <row r="652" spans="2:16" ht="15.75" customHeight="1">
      <c r="B652" s="16"/>
      <c r="H652" s="16"/>
      <c r="I652" s="16"/>
      <c r="J652" s="20"/>
      <c r="N652" s="16"/>
      <c r="O652" s="16"/>
      <c r="P652" s="16"/>
    </row>
    <row r="653" spans="2:16" ht="15.75" customHeight="1">
      <c r="B653" s="16"/>
      <c r="H653" s="16"/>
      <c r="I653" s="16"/>
      <c r="J653" s="20"/>
      <c r="N653" s="16"/>
      <c r="O653" s="16"/>
      <c r="P653" s="16"/>
    </row>
    <row r="654" spans="2:16" ht="15.75" customHeight="1">
      <c r="B654" s="16"/>
      <c r="H654" s="16"/>
      <c r="I654" s="16"/>
      <c r="J654" s="20"/>
      <c r="N654" s="16"/>
      <c r="O654" s="16"/>
      <c r="P654" s="16"/>
    </row>
    <row r="655" spans="2:16" ht="15.75" customHeight="1">
      <c r="B655" s="16"/>
      <c r="H655" s="16"/>
      <c r="I655" s="16"/>
      <c r="J655" s="20"/>
      <c r="N655" s="16"/>
      <c r="O655" s="16"/>
      <c r="P655" s="16"/>
    </row>
    <row r="656" spans="2:16" ht="15.75" customHeight="1">
      <c r="B656" s="16"/>
      <c r="H656" s="16"/>
      <c r="I656" s="16"/>
      <c r="J656" s="20"/>
      <c r="N656" s="16"/>
      <c r="O656" s="16"/>
      <c r="P656" s="16"/>
    </row>
    <row r="657" spans="2:16" ht="15.75" customHeight="1">
      <c r="B657" s="16"/>
      <c r="H657" s="16"/>
      <c r="I657" s="16"/>
      <c r="J657" s="20"/>
      <c r="N657" s="16"/>
      <c r="O657" s="16"/>
      <c r="P657" s="16"/>
    </row>
    <row r="658" spans="2:16" ht="15.75" customHeight="1">
      <c r="B658" s="16"/>
      <c r="H658" s="16"/>
      <c r="I658" s="16"/>
      <c r="J658" s="20"/>
      <c r="N658" s="16"/>
      <c r="O658" s="16"/>
      <c r="P658" s="16"/>
    </row>
    <row r="659" spans="2:16" ht="15.75" customHeight="1">
      <c r="B659" s="16"/>
      <c r="H659" s="16"/>
      <c r="I659" s="16"/>
      <c r="J659" s="20"/>
      <c r="N659" s="16"/>
      <c r="O659" s="16"/>
      <c r="P659" s="16"/>
    </row>
    <row r="660" spans="2:16" ht="15.75" customHeight="1">
      <c r="B660" s="16"/>
      <c r="H660" s="16"/>
      <c r="I660" s="16"/>
      <c r="J660" s="20"/>
      <c r="N660" s="16"/>
      <c r="O660" s="16"/>
      <c r="P660" s="16"/>
    </row>
    <row r="661" spans="2:16" ht="15.75" customHeight="1">
      <c r="B661" s="16"/>
      <c r="H661" s="16"/>
      <c r="I661" s="16"/>
      <c r="J661" s="20"/>
      <c r="N661" s="16"/>
      <c r="O661" s="16"/>
      <c r="P661" s="16"/>
    </row>
    <row r="662" spans="2:16" ht="15.75" customHeight="1">
      <c r="B662" s="16"/>
      <c r="H662" s="16"/>
      <c r="I662" s="16"/>
      <c r="J662" s="20"/>
      <c r="N662" s="16"/>
      <c r="O662" s="16"/>
      <c r="P662" s="16"/>
    </row>
    <row r="663" spans="2:16" ht="15.75" customHeight="1">
      <c r="B663" s="16"/>
      <c r="H663" s="16"/>
      <c r="I663" s="16"/>
      <c r="J663" s="20"/>
      <c r="N663" s="16"/>
      <c r="O663" s="16"/>
      <c r="P663" s="16"/>
    </row>
    <row r="664" spans="2:16" ht="15.75" customHeight="1">
      <c r="B664" s="16"/>
      <c r="H664" s="16"/>
      <c r="I664" s="16"/>
      <c r="J664" s="20"/>
      <c r="N664" s="16"/>
      <c r="O664" s="16"/>
      <c r="P664" s="16"/>
    </row>
    <row r="665" spans="2:16" ht="15.75" customHeight="1">
      <c r="B665" s="16"/>
      <c r="H665" s="16"/>
      <c r="I665" s="16"/>
      <c r="J665" s="20"/>
      <c r="N665" s="16"/>
      <c r="O665" s="16"/>
      <c r="P665" s="16"/>
    </row>
    <row r="666" spans="2:16" ht="15.75" customHeight="1">
      <c r="B666" s="16"/>
      <c r="H666" s="16"/>
      <c r="I666" s="16"/>
      <c r="J666" s="20"/>
      <c r="N666" s="16"/>
      <c r="O666" s="16"/>
      <c r="P666" s="16"/>
    </row>
    <row r="667" spans="2:16" ht="15.75" customHeight="1">
      <c r="B667" s="16"/>
      <c r="H667" s="16"/>
      <c r="I667" s="16"/>
      <c r="J667" s="20"/>
      <c r="N667" s="16"/>
      <c r="O667" s="16"/>
      <c r="P667" s="16"/>
    </row>
    <row r="668" spans="2:16" ht="15.75" customHeight="1">
      <c r="B668" s="16"/>
      <c r="H668" s="16"/>
      <c r="I668" s="16"/>
      <c r="J668" s="20"/>
      <c r="N668" s="16"/>
      <c r="O668" s="16"/>
      <c r="P668" s="16"/>
    </row>
    <row r="669" spans="2:16" ht="15.75" customHeight="1">
      <c r="B669" s="16"/>
      <c r="H669" s="16"/>
      <c r="I669" s="16"/>
      <c r="J669" s="20"/>
      <c r="N669" s="16"/>
      <c r="O669" s="16"/>
      <c r="P669" s="16"/>
    </row>
    <row r="670" spans="2:16" ht="15.75" customHeight="1">
      <c r="B670" s="16"/>
      <c r="H670" s="16"/>
      <c r="I670" s="16"/>
      <c r="J670" s="20"/>
      <c r="N670" s="16"/>
      <c r="O670" s="16"/>
      <c r="P670" s="16"/>
    </row>
    <row r="671" spans="2:16" ht="15.75" customHeight="1">
      <c r="B671" s="16"/>
      <c r="H671" s="16"/>
      <c r="I671" s="16"/>
      <c r="J671" s="20"/>
      <c r="N671" s="16"/>
      <c r="O671" s="16"/>
      <c r="P671" s="16"/>
    </row>
    <row r="672" spans="2:16" ht="15.75" customHeight="1">
      <c r="B672" s="16"/>
      <c r="H672" s="16"/>
      <c r="I672" s="16"/>
      <c r="J672" s="20"/>
      <c r="N672" s="16"/>
      <c r="O672" s="16"/>
      <c r="P672" s="16"/>
    </row>
    <row r="673" spans="2:16" ht="15.75" customHeight="1">
      <c r="B673" s="16"/>
      <c r="H673" s="16"/>
      <c r="I673" s="16"/>
      <c r="J673" s="20"/>
      <c r="N673" s="16"/>
      <c r="O673" s="16"/>
      <c r="P673" s="16"/>
    </row>
    <row r="674" spans="2:16" ht="15.75" customHeight="1">
      <c r="B674" s="16"/>
      <c r="H674" s="16"/>
      <c r="I674" s="16"/>
      <c r="J674" s="20"/>
      <c r="N674" s="16"/>
      <c r="O674" s="16"/>
      <c r="P674" s="16"/>
    </row>
    <row r="675" spans="2:16" ht="15.75" customHeight="1">
      <c r="B675" s="16"/>
      <c r="H675" s="16"/>
      <c r="I675" s="16"/>
      <c r="J675" s="20"/>
      <c r="N675" s="16"/>
      <c r="O675" s="16"/>
      <c r="P675" s="16"/>
    </row>
    <row r="676" spans="2:16" ht="15.75" customHeight="1">
      <c r="B676" s="16"/>
      <c r="H676" s="16"/>
      <c r="I676" s="16"/>
      <c r="J676" s="20"/>
      <c r="N676" s="16"/>
      <c r="O676" s="16"/>
      <c r="P676" s="16"/>
    </row>
    <row r="677" spans="2:16" ht="15.75" customHeight="1">
      <c r="B677" s="16"/>
      <c r="H677" s="16"/>
      <c r="I677" s="16"/>
      <c r="J677" s="20"/>
      <c r="N677" s="16"/>
      <c r="O677" s="16"/>
      <c r="P677" s="16"/>
    </row>
    <row r="678" spans="2:16" ht="15.75" customHeight="1">
      <c r="B678" s="16"/>
      <c r="H678" s="16"/>
      <c r="I678" s="16"/>
      <c r="J678" s="20"/>
      <c r="N678" s="16"/>
      <c r="O678" s="16"/>
      <c r="P678" s="16"/>
    </row>
    <row r="679" spans="2:16" ht="15.75" customHeight="1">
      <c r="B679" s="16"/>
      <c r="H679" s="16"/>
      <c r="I679" s="16"/>
      <c r="J679" s="20"/>
      <c r="N679" s="16"/>
      <c r="O679" s="16"/>
      <c r="P679" s="16"/>
    </row>
    <row r="680" spans="2:16" ht="15.75" customHeight="1">
      <c r="B680" s="16"/>
      <c r="H680" s="16"/>
      <c r="I680" s="16"/>
      <c r="J680" s="20"/>
      <c r="N680" s="16"/>
      <c r="O680" s="16"/>
      <c r="P680" s="16"/>
    </row>
    <row r="681" spans="2:16" ht="15.75" customHeight="1">
      <c r="B681" s="16"/>
      <c r="H681" s="16"/>
      <c r="I681" s="16"/>
      <c r="J681" s="20"/>
      <c r="N681" s="16"/>
      <c r="O681" s="16"/>
      <c r="P681" s="16"/>
    </row>
    <row r="682" spans="2:16" ht="15.75" customHeight="1">
      <c r="B682" s="16"/>
      <c r="H682" s="16"/>
      <c r="I682" s="16"/>
      <c r="J682" s="20"/>
      <c r="N682" s="16"/>
      <c r="O682" s="16"/>
      <c r="P682" s="16"/>
    </row>
    <row r="683" spans="2:16" ht="15.75" customHeight="1">
      <c r="B683" s="16"/>
      <c r="H683" s="16"/>
      <c r="I683" s="16"/>
      <c r="J683" s="20"/>
      <c r="N683" s="16"/>
      <c r="O683" s="16"/>
      <c r="P683" s="16"/>
    </row>
    <row r="684" spans="2:16" ht="15.75" customHeight="1">
      <c r="B684" s="16"/>
      <c r="H684" s="16"/>
      <c r="I684" s="16"/>
      <c r="J684" s="20"/>
      <c r="N684" s="16"/>
      <c r="O684" s="16"/>
      <c r="P684" s="16"/>
    </row>
    <row r="685" spans="2:16" ht="15.75" customHeight="1">
      <c r="B685" s="16"/>
      <c r="H685" s="16"/>
      <c r="I685" s="16"/>
      <c r="J685" s="20"/>
      <c r="N685" s="16"/>
      <c r="O685" s="16"/>
      <c r="P685" s="16"/>
    </row>
    <row r="686" spans="2:16" ht="15.75" customHeight="1">
      <c r="B686" s="16"/>
      <c r="H686" s="16"/>
      <c r="I686" s="16"/>
      <c r="J686" s="20"/>
      <c r="N686" s="16"/>
      <c r="O686" s="16"/>
      <c r="P686" s="16"/>
    </row>
    <row r="687" spans="2:16" ht="15.75" customHeight="1">
      <c r="B687" s="16"/>
      <c r="H687" s="16"/>
      <c r="I687" s="16"/>
      <c r="J687" s="20"/>
      <c r="N687" s="16"/>
      <c r="O687" s="16"/>
      <c r="P687" s="16"/>
    </row>
    <row r="688" spans="2:16" ht="15.75" customHeight="1">
      <c r="B688" s="16"/>
      <c r="H688" s="16"/>
      <c r="I688" s="16"/>
      <c r="J688" s="20"/>
      <c r="N688" s="16"/>
      <c r="O688" s="16"/>
      <c r="P688" s="16"/>
    </row>
    <row r="689" spans="2:16" ht="15.75" customHeight="1">
      <c r="B689" s="16"/>
      <c r="H689" s="16"/>
      <c r="I689" s="16"/>
      <c r="J689" s="20"/>
      <c r="N689" s="16"/>
      <c r="O689" s="16"/>
      <c r="P689" s="16"/>
    </row>
    <row r="690" spans="2:16" ht="15.75" customHeight="1">
      <c r="B690" s="16"/>
      <c r="H690" s="16"/>
      <c r="I690" s="16"/>
      <c r="J690" s="20"/>
      <c r="N690" s="16"/>
      <c r="O690" s="16"/>
      <c r="P690" s="16"/>
    </row>
    <row r="691" spans="2:16" ht="15.75" customHeight="1">
      <c r="B691" s="16"/>
      <c r="H691" s="16"/>
      <c r="I691" s="16"/>
      <c r="J691" s="20"/>
      <c r="N691" s="16"/>
      <c r="O691" s="16"/>
      <c r="P691" s="16"/>
    </row>
    <row r="692" spans="2:16" ht="15.75" customHeight="1">
      <c r="B692" s="16"/>
      <c r="H692" s="16"/>
      <c r="I692" s="16"/>
      <c r="J692" s="20"/>
      <c r="N692" s="16"/>
      <c r="O692" s="16"/>
      <c r="P692" s="16"/>
    </row>
    <row r="693" spans="2:16" ht="15.75" customHeight="1">
      <c r="B693" s="16"/>
      <c r="H693" s="16"/>
      <c r="I693" s="16"/>
      <c r="J693" s="20"/>
      <c r="N693" s="16"/>
      <c r="O693" s="16"/>
      <c r="P693" s="16"/>
    </row>
    <row r="694" spans="2:16" ht="15.75" customHeight="1">
      <c r="B694" s="16"/>
      <c r="H694" s="16"/>
      <c r="I694" s="16"/>
      <c r="J694" s="20"/>
      <c r="N694" s="16"/>
      <c r="O694" s="16"/>
      <c r="P694" s="16"/>
    </row>
    <row r="695" spans="2:16" ht="15.75" customHeight="1">
      <c r="B695" s="16"/>
      <c r="H695" s="16"/>
      <c r="I695" s="16"/>
      <c r="J695" s="20"/>
      <c r="N695" s="16"/>
      <c r="O695" s="16"/>
      <c r="P695" s="16"/>
    </row>
    <row r="696" spans="2:16" ht="15.75" customHeight="1">
      <c r="B696" s="16"/>
      <c r="H696" s="16"/>
      <c r="I696" s="16"/>
      <c r="J696" s="20"/>
      <c r="N696" s="16"/>
      <c r="O696" s="16"/>
      <c r="P696" s="16"/>
    </row>
    <row r="697" spans="2:16" ht="15.75" customHeight="1">
      <c r="B697" s="16"/>
      <c r="H697" s="16"/>
      <c r="I697" s="16"/>
      <c r="J697" s="20"/>
      <c r="N697" s="16"/>
      <c r="O697" s="16"/>
      <c r="P697" s="16"/>
    </row>
    <row r="698" spans="2:16" ht="15.75" customHeight="1">
      <c r="B698" s="16"/>
      <c r="H698" s="16"/>
      <c r="I698" s="16"/>
      <c r="J698" s="20"/>
      <c r="N698" s="16"/>
      <c r="O698" s="16"/>
      <c r="P698" s="16"/>
    </row>
    <row r="699" spans="2:16" ht="15.75" customHeight="1">
      <c r="B699" s="16"/>
      <c r="H699" s="16"/>
      <c r="I699" s="16"/>
      <c r="J699" s="20"/>
      <c r="N699" s="16"/>
      <c r="O699" s="16"/>
      <c r="P699" s="16"/>
    </row>
    <row r="700" spans="2:16" ht="15.75" customHeight="1">
      <c r="B700" s="16"/>
      <c r="H700" s="16"/>
      <c r="I700" s="16"/>
      <c r="J700" s="20"/>
      <c r="N700" s="16"/>
      <c r="O700" s="16"/>
      <c r="P700" s="16"/>
    </row>
    <row r="701" spans="2:16" ht="15.75" customHeight="1">
      <c r="B701" s="16"/>
      <c r="H701" s="16"/>
      <c r="I701" s="16"/>
      <c r="J701" s="20"/>
      <c r="N701" s="16"/>
      <c r="O701" s="16"/>
      <c r="P701" s="16"/>
    </row>
    <row r="702" spans="2:16" ht="15.75" customHeight="1">
      <c r="B702" s="16"/>
      <c r="H702" s="16"/>
      <c r="I702" s="16"/>
      <c r="J702" s="20"/>
      <c r="N702" s="16"/>
      <c r="O702" s="16"/>
      <c r="P702" s="16"/>
    </row>
    <row r="703" spans="2:16" ht="15.75" customHeight="1">
      <c r="B703" s="16"/>
      <c r="H703" s="16"/>
      <c r="I703" s="16"/>
      <c r="J703" s="20"/>
      <c r="N703" s="16"/>
      <c r="O703" s="16"/>
      <c r="P703" s="16"/>
    </row>
    <row r="704" spans="2:16" ht="15.75" customHeight="1">
      <c r="B704" s="16"/>
      <c r="H704" s="16"/>
      <c r="I704" s="16"/>
      <c r="J704" s="20"/>
      <c r="N704" s="16"/>
      <c r="O704" s="16"/>
      <c r="P704" s="16"/>
    </row>
    <row r="705" spans="2:16" ht="15.75" customHeight="1">
      <c r="B705" s="16"/>
      <c r="H705" s="16"/>
      <c r="I705" s="16"/>
      <c r="J705" s="20"/>
      <c r="N705" s="16"/>
      <c r="O705" s="16"/>
      <c r="P705" s="16"/>
    </row>
    <row r="706" spans="2:16" ht="15.75" customHeight="1">
      <c r="B706" s="16"/>
      <c r="H706" s="16"/>
      <c r="I706" s="16"/>
      <c r="J706" s="20"/>
      <c r="N706" s="16"/>
      <c r="O706" s="16"/>
      <c r="P706" s="16"/>
    </row>
    <row r="707" spans="2:16" ht="15.75" customHeight="1">
      <c r="B707" s="16"/>
      <c r="H707" s="16"/>
      <c r="I707" s="16"/>
      <c r="J707" s="20"/>
      <c r="N707" s="16"/>
      <c r="O707" s="16"/>
      <c r="P707" s="16"/>
    </row>
    <row r="708" spans="2:16" ht="15.75" customHeight="1">
      <c r="B708" s="16"/>
      <c r="H708" s="16"/>
      <c r="I708" s="16"/>
      <c r="J708" s="20"/>
      <c r="N708" s="16"/>
      <c r="O708" s="16"/>
      <c r="P708" s="16"/>
    </row>
    <row r="709" spans="2:16" ht="15.75" customHeight="1">
      <c r="B709" s="16"/>
      <c r="H709" s="16"/>
      <c r="I709" s="16"/>
      <c r="J709" s="20"/>
      <c r="N709" s="16"/>
      <c r="O709" s="16"/>
      <c r="P709" s="16"/>
    </row>
    <row r="710" spans="2:16" ht="15.75" customHeight="1">
      <c r="B710" s="16"/>
      <c r="H710" s="16"/>
      <c r="I710" s="16"/>
      <c r="J710" s="20"/>
      <c r="N710" s="16"/>
      <c r="O710" s="16"/>
      <c r="P710" s="16"/>
    </row>
    <row r="711" spans="2:16" ht="15.75" customHeight="1">
      <c r="B711" s="16"/>
      <c r="H711" s="16"/>
      <c r="I711" s="16"/>
      <c r="J711" s="20"/>
      <c r="N711" s="16"/>
      <c r="O711" s="16"/>
      <c r="P711" s="16"/>
    </row>
    <row r="712" spans="2:16" ht="15.75" customHeight="1">
      <c r="B712" s="16"/>
      <c r="H712" s="16"/>
      <c r="I712" s="16"/>
      <c r="J712" s="20"/>
      <c r="N712" s="16"/>
      <c r="O712" s="16"/>
      <c r="P712" s="16"/>
    </row>
    <row r="713" spans="2:16" ht="15.75" customHeight="1">
      <c r="B713" s="16"/>
      <c r="H713" s="16"/>
      <c r="I713" s="16"/>
      <c r="J713" s="20"/>
      <c r="N713" s="16"/>
      <c r="O713" s="16"/>
      <c r="P713" s="16"/>
    </row>
    <row r="714" spans="2:16" ht="15.75" customHeight="1">
      <c r="B714" s="16"/>
      <c r="H714" s="16"/>
      <c r="I714" s="16"/>
      <c r="J714" s="20"/>
      <c r="N714" s="16"/>
      <c r="O714" s="16"/>
      <c r="P714" s="16"/>
    </row>
    <row r="715" spans="2:16" ht="15.75" customHeight="1">
      <c r="B715" s="16"/>
      <c r="H715" s="16"/>
      <c r="I715" s="16"/>
      <c r="J715" s="20"/>
      <c r="N715" s="16"/>
      <c r="O715" s="16"/>
      <c r="P715" s="16"/>
    </row>
    <row r="716" spans="2:16" ht="15.75" customHeight="1">
      <c r="B716" s="16"/>
      <c r="H716" s="16"/>
      <c r="I716" s="16"/>
      <c r="J716" s="20"/>
      <c r="N716" s="16"/>
      <c r="O716" s="16"/>
      <c r="P716" s="16"/>
    </row>
    <row r="717" spans="2:16" ht="15.75" customHeight="1">
      <c r="B717" s="16"/>
      <c r="H717" s="16"/>
      <c r="I717" s="16"/>
      <c r="J717" s="20"/>
      <c r="N717" s="16"/>
      <c r="O717" s="16"/>
      <c r="P717" s="16"/>
    </row>
    <row r="718" spans="2:16" ht="15.75" customHeight="1">
      <c r="B718" s="16"/>
      <c r="H718" s="16"/>
      <c r="I718" s="16"/>
      <c r="J718" s="20"/>
      <c r="N718" s="16"/>
      <c r="O718" s="16"/>
      <c r="P718" s="16"/>
    </row>
    <row r="719" spans="2:16" ht="15.75" customHeight="1">
      <c r="B719" s="16"/>
      <c r="H719" s="16"/>
      <c r="I719" s="16"/>
      <c r="J719" s="20"/>
      <c r="N719" s="16"/>
      <c r="O719" s="16"/>
      <c r="P719" s="16"/>
    </row>
    <row r="720" spans="2:16" ht="15.75" customHeight="1">
      <c r="B720" s="16"/>
      <c r="H720" s="16"/>
      <c r="I720" s="16"/>
      <c r="J720" s="20"/>
      <c r="N720" s="16"/>
      <c r="O720" s="16"/>
      <c r="P720" s="16"/>
    </row>
    <row r="721" spans="2:16" ht="15.75" customHeight="1">
      <c r="B721" s="16"/>
      <c r="H721" s="16"/>
      <c r="I721" s="16"/>
      <c r="J721" s="20"/>
      <c r="N721" s="16"/>
      <c r="O721" s="16"/>
      <c r="P721" s="16"/>
    </row>
    <row r="722" spans="2:16" ht="15.75" customHeight="1">
      <c r="B722" s="16"/>
      <c r="H722" s="16"/>
      <c r="I722" s="16"/>
      <c r="J722" s="20"/>
      <c r="N722" s="16"/>
      <c r="O722" s="16"/>
      <c r="P722" s="16"/>
    </row>
    <row r="723" spans="2:16" ht="15.75" customHeight="1">
      <c r="B723" s="16"/>
      <c r="H723" s="16"/>
      <c r="I723" s="16"/>
      <c r="J723" s="20"/>
      <c r="N723" s="16"/>
      <c r="O723" s="16"/>
      <c r="P723" s="16"/>
    </row>
    <row r="724" spans="2:16" ht="15.75" customHeight="1">
      <c r="B724" s="16"/>
      <c r="H724" s="16"/>
      <c r="I724" s="16"/>
      <c r="J724" s="20"/>
      <c r="N724" s="16"/>
      <c r="O724" s="16"/>
      <c r="P724" s="16"/>
    </row>
    <row r="725" spans="2:16" ht="15.75" customHeight="1">
      <c r="B725" s="16"/>
      <c r="H725" s="16"/>
      <c r="I725" s="16"/>
      <c r="J725" s="20"/>
      <c r="N725" s="16"/>
      <c r="O725" s="16"/>
      <c r="P725" s="16"/>
    </row>
    <row r="726" spans="2:16" ht="15.75" customHeight="1">
      <c r="B726" s="16"/>
      <c r="H726" s="16"/>
      <c r="I726" s="16"/>
      <c r="J726" s="20"/>
      <c r="N726" s="16"/>
      <c r="O726" s="16"/>
      <c r="P726" s="16"/>
    </row>
    <row r="727" spans="2:16" ht="15.75" customHeight="1">
      <c r="B727" s="16"/>
      <c r="H727" s="16"/>
      <c r="I727" s="16"/>
      <c r="J727" s="20"/>
      <c r="N727" s="16"/>
      <c r="O727" s="16"/>
      <c r="P727" s="16"/>
    </row>
    <row r="728" spans="2:16" ht="15.75" customHeight="1">
      <c r="B728" s="16"/>
      <c r="H728" s="16"/>
      <c r="I728" s="16"/>
      <c r="J728" s="20"/>
      <c r="N728" s="16"/>
      <c r="O728" s="16"/>
      <c r="P728" s="16"/>
    </row>
    <row r="729" spans="2:16" ht="15.75" customHeight="1">
      <c r="B729" s="16"/>
      <c r="H729" s="16"/>
      <c r="I729" s="16"/>
      <c r="J729" s="20"/>
      <c r="N729" s="16"/>
      <c r="O729" s="16"/>
      <c r="P729" s="16"/>
    </row>
    <row r="730" spans="2:16" ht="15.75" customHeight="1">
      <c r="B730" s="16"/>
      <c r="H730" s="16"/>
      <c r="I730" s="16"/>
      <c r="J730" s="20"/>
      <c r="N730" s="16"/>
      <c r="O730" s="16"/>
      <c r="P730" s="16"/>
    </row>
    <row r="731" spans="2:16" ht="15.75" customHeight="1">
      <c r="B731" s="16"/>
      <c r="H731" s="16"/>
      <c r="I731" s="16"/>
      <c r="J731" s="20"/>
      <c r="N731" s="16"/>
      <c r="O731" s="16"/>
      <c r="P731" s="16"/>
    </row>
    <row r="732" spans="2:16" ht="15.75" customHeight="1">
      <c r="B732" s="16"/>
      <c r="H732" s="16"/>
      <c r="I732" s="16"/>
      <c r="J732" s="20"/>
      <c r="N732" s="16"/>
      <c r="O732" s="16"/>
      <c r="P732" s="16"/>
    </row>
    <row r="733" spans="2:16" ht="15.75" customHeight="1">
      <c r="B733" s="16"/>
      <c r="H733" s="16"/>
      <c r="I733" s="16"/>
      <c r="J733" s="20"/>
      <c r="N733" s="16"/>
      <c r="O733" s="16"/>
      <c r="P733" s="16"/>
    </row>
    <row r="734" spans="2:16" ht="15.75" customHeight="1">
      <c r="B734" s="16"/>
      <c r="H734" s="16"/>
      <c r="I734" s="16"/>
      <c r="J734" s="20"/>
      <c r="N734" s="16"/>
      <c r="O734" s="16"/>
      <c r="P734" s="16"/>
    </row>
    <row r="735" spans="2:16" ht="15.75" customHeight="1">
      <c r="B735" s="16"/>
      <c r="H735" s="16"/>
      <c r="I735" s="16"/>
      <c r="J735" s="20"/>
      <c r="N735" s="16"/>
      <c r="O735" s="16"/>
      <c r="P735" s="16"/>
    </row>
    <row r="736" spans="2:16" ht="15.75" customHeight="1">
      <c r="B736" s="16"/>
      <c r="H736" s="16"/>
      <c r="I736" s="16"/>
      <c r="J736" s="20"/>
      <c r="N736" s="16"/>
      <c r="O736" s="16"/>
      <c r="P736" s="16"/>
    </row>
    <row r="737" spans="2:16" ht="15.75" customHeight="1">
      <c r="B737" s="16"/>
      <c r="H737" s="16"/>
      <c r="I737" s="16"/>
      <c r="J737" s="20"/>
      <c r="N737" s="16"/>
      <c r="O737" s="16"/>
      <c r="P737" s="16"/>
    </row>
    <row r="738" spans="2:16" ht="15.75" customHeight="1">
      <c r="B738" s="16"/>
      <c r="H738" s="16"/>
      <c r="I738" s="16"/>
      <c r="J738" s="20"/>
      <c r="N738" s="16"/>
      <c r="O738" s="16"/>
      <c r="P738" s="16"/>
    </row>
    <row r="739" spans="2:16" ht="15.75" customHeight="1">
      <c r="B739" s="16"/>
      <c r="H739" s="16"/>
      <c r="I739" s="16"/>
      <c r="J739" s="20"/>
      <c r="N739" s="16"/>
      <c r="O739" s="16"/>
      <c r="P739" s="16"/>
    </row>
    <row r="740" spans="2:16" ht="15.75" customHeight="1">
      <c r="B740" s="16"/>
      <c r="H740" s="16"/>
      <c r="I740" s="16"/>
      <c r="J740" s="20"/>
      <c r="N740" s="16"/>
      <c r="O740" s="16"/>
      <c r="P740" s="16"/>
    </row>
    <row r="741" spans="2:16" ht="15.75" customHeight="1">
      <c r="B741" s="16"/>
      <c r="H741" s="16"/>
      <c r="I741" s="16"/>
      <c r="J741" s="20"/>
      <c r="N741" s="16"/>
      <c r="O741" s="16"/>
      <c r="P741" s="16"/>
    </row>
    <row r="742" spans="2:16" ht="15.75" customHeight="1">
      <c r="B742" s="16"/>
      <c r="H742" s="16"/>
      <c r="I742" s="16"/>
      <c r="J742" s="20"/>
      <c r="N742" s="16"/>
      <c r="O742" s="16"/>
      <c r="P742" s="16"/>
    </row>
    <row r="743" spans="2:16" ht="15.75" customHeight="1">
      <c r="B743" s="16"/>
      <c r="H743" s="16"/>
      <c r="I743" s="16"/>
      <c r="J743" s="20"/>
      <c r="N743" s="16"/>
      <c r="O743" s="16"/>
      <c r="P743" s="16"/>
    </row>
    <row r="744" spans="2:16" ht="15.75" customHeight="1">
      <c r="B744" s="16"/>
      <c r="H744" s="16"/>
      <c r="I744" s="16"/>
      <c r="J744" s="20"/>
      <c r="N744" s="16"/>
      <c r="O744" s="16"/>
      <c r="P744" s="16"/>
    </row>
    <row r="745" spans="2:16" ht="15.75" customHeight="1">
      <c r="B745" s="16"/>
      <c r="H745" s="16"/>
      <c r="I745" s="16"/>
      <c r="J745" s="20"/>
      <c r="N745" s="16"/>
      <c r="O745" s="16"/>
      <c r="P745" s="16"/>
    </row>
    <row r="746" spans="2:16" ht="15.75" customHeight="1">
      <c r="B746" s="16"/>
      <c r="H746" s="16"/>
      <c r="I746" s="16"/>
      <c r="J746" s="20"/>
      <c r="N746" s="16"/>
      <c r="O746" s="16"/>
      <c r="P746" s="16"/>
    </row>
    <row r="747" spans="2:16" ht="15.75" customHeight="1">
      <c r="B747" s="16"/>
      <c r="H747" s="16"/>
      <c r="I747" s="16"/>
      <c r="J747" s="20"/>
      <c r="N747" s="16"/>
      <c r="O747" s="16"/>
      <c r="P747" s="16"/>
    </row>
    <row r="748" spans="2:16" ht="15.75" customHeight="1">
      <c r="B748" s="16"/>
      <c r="H748" s="16"/>
      <c r="I748" s="16"/>
      <c r="J748" s="20"/>
      <c r="N748" s="16"/>
      <c r="O748" s="16"/>
      <c r="P748" s="16"/>
    </row>
    <row r="749" spans="2:16" ht="15.75" customHeight="1">
      <c r="B749" s="16"/>
      <c r="H749" s="16"/>
      <c r="I749" s="16"/>
      <c r="J749" s="20"/>
      <c r="N749" s="16"/>
      <c r="O749" s="16"/>
      <c r="P749" s="16"/>
    </row>
    <row r="750" spans="2:16" ht="15.75" customHeight="1">
      <c r="B750" s="16"/>
      <c r="H750" s="16"/>
      <c r="I750" s="16"/>
      <c r="J750" s="20"/>
      <c r="N750" s="16"/>
      <c r="O750" s="16"/>
      <c r="P750" s="16"/>
    </row>
    <row r="751" spans="2:16" ht="15.75" customHeight="1">
      <c r="B751" s="16"/>
      <c r="H751" s="16"/>
      <c r="I751" s="16"/>
      <c r="J751" s="20"/>
      <c r="N751" s="16"/>
      <c r="O751" s="16"/>
      <c r="P751" s="16"/>
    </row>
    <row r="752" spans="2:16" ht="15.75" customHeight="1">
      <c r="B752" s="16"/>
      <c r="H752" s="16"/>
      <c r="I752" s="16"/>
      <c r="J752" s="20"/>
      <c r="N752" s="16"/>
      <c r="O752" s="16"/>
      <c r="P752" s="16"/>
    </row>
    <row r="753" spans="2:16" ht="15.75" customHeight="1">
      <c r="B753" s="16"/>
      <c r="H753" s="16"/>
      <c r="I753" s="16"/>
      <c r="J753" s="20"/>
      <c r="N753" s="16"/>
      <c r="O753" s="16"/>
      <c r="P753" s="16"/>
    </row>
    <row r="754" spans="2:16" ht="15.75" customHeight="1">
      <c r="B754" s="16"/>
      <c r="H754" s="16"/>
      <c r="I754" s="16"/>
      <c r="J754" s="20"/>
      <c r="N754" s="16"/>
      <c r="O754" s="16"/>
      <c r="P754" s="16"/>
    </row>
    <row r="755" spans="2:16" ht="15.75" customHeight="1">
      <c r="B755" s="16"/>
      <c r="H755" s="16"/>
      <c r="I755" s="16"/>
      <c r="J755" s="20"/>
      <c r="N755" s="16"/>
      <c r="O755" s="16"/>
      <c r="P755" s="16"/>
    </row>
    <row r="756" spans="2:16" ht="15.75" customHeight="1">
      <c r="B756" s="16"/>
      <c r="H756" s="16"/>
      <c r="I756" s="16"/>
      <c r="J756" s="20"/>
      <c r="N756" s="16"/>
      <c r="O756" s="16"/>
      <c r="P756" s="16"/>
    </row>
    <row r="757" spans="2:16" ht="15.75" customHeight="1">
      <c r="B757" s="16"/>
      <c r="H757" s="16"/>
      <c r="I757" s="16"/>
      <c r="J757" s="20"/>
      <c r="N757" s="16"/>
      <c r="O757" s="16"/>
      <c r="P757" s="16"/>
    </row>
    <row r="758" spans="2:16" ht="15.75" customHeight="1">
      <c r="B758" s="16"/>
      <c r="H758" s="16"/>
      <c r="I758" s="16"/>
      <c r="J758" s="20"/>
      <c r="N758" s="16"/>
      <c r="O758" s="16"/>
      <c r="P758" s="16"/>
    </row>
    <row r="759" spans="2:16" ht="15.75" customHeight="1">
      <c r="B759" s="16"/>
      <c r="H759" s="16"/>
      <c r="I759" s="16"/>
      <c r="J759" s="20"/>
      <c r="N759" s="16"/>
      <c r="O759" s="16"/>
      <c r="P759" s="16"/>
    </row>
    <row r="760" spans="2:16" ht="15.75" customHeight="1">
      <c r="B760" s="16"/>
      <c r="H760" s="16"/>
      <c r="I760" s="16"/>
      <c r="J760" s="20"/>
      <c r="N760" s="16"/>
      <c r="O760" s="16"/>
      <c r="P760" s="16"/>
    </row>
    <row r="761" spans="2:16" ht="15.75" customHeight="1">
      <c r="B761" s="16"/>
      <c r="H761" s="16"/>
      <c r="I761" s="16"/>
      <c r="J761" s="20"/>
      <c r="N761" s="16"/>
      <c r="O761" s="16"/>
      <c r="P761" s="16"/>
    </row>
    <row r="762" spans="2:16" ht="15.75" customHeight="1">
      <c r="B762" s="16"/>
      <c r="H762" s="16"/>
      <c r="I762" s="16"/>
      <c r="J762" s="20"/>
      <c r="N762" s="16"/>
      <c r="O762" s="16"/>
      <c r="P762" s="16"/>
    </row>
    <row r="763" spans="2:16" ht="15.75" customHeight="1">
      <c r="B763" s="16"/>
      <c r="H763" s="16"/>
      <c r="I763" s="16"/>
      <c r="J763" s="20"/>
      <c r="N763" s="16"/>
      <c r="O763" s="16"/>
      <c r="P763" s="16"/>
    </row>
    <row r="764" spans="2:16" ht="15.75" customHeight="1">
      <c r="B764" s="16"/>
      <c r="H764" s="16"/>
      <c r="I764" s="16"/>
      <c r="J764" s="20"/>
      <c r="N764" s="16"/>
      <c r="O764" s="16"/>
      <c r="P764" s="16"/>
    </row>
    <row r="765" spans="2:16" ht="15.75" customHeight="1">
      <c r="B765" s="16"/>
      <c r="H765" s="16"/>
      <c r="I765" s="16"/>
      <c r="J765" s="20"/>
      <c r="N765" s="16"/>
      <c r="O765" s="16"/>
      <c r="P765" s="16"/>
    </row>
    <row r="766" spans="2:16" ht="15.75" customHeight="1">
      <c r="B766" s="16"/>
      <c r="H766" s="16"/>
      <c r="I766" s="16"/>
      <c r="J766" s="20"/>
      <c r="N766" s="16"/>
      <c r="O766" s="16"/>
      <c r="P766" s="16"/>
    </row>
    <row r="767" spans="2:16" ht="15.75" customHeight="1">
      <c r="B767" s="16"/>
      <c r="H767" s="16"/>
      <c r="I767" s="16"/>
      <c r="J767" s="20"/>
      <c r="N767" s="16"/>
      <c r="O767" s="16"/>
      <c r="P767" s="16"/>
    </row>
    <row r="768" spans="2:16" ht="15.75" customHeight="1">
      <c r="B768" s="16"/>
      <c r="H768" s="16"/>
      <c r="I768" s="16"/>
      <c r="J768" s="20"/>
      <c r="N768" s="16"/>
      <c r="O768" s="16"/>
      <c r="P768" s="16"/>
    </row>
    <row r="769" spans="2:16" ht="15.75" customHeight="1">
      <c r="B769" s="16"/>
      <c r="H769" s="16"/>
      <c r="I769" s="16"/>
      <c r="J769" s="20"/>
      <c r="N769" s="16"/>
      <c r="O769" s="16"/>
      <c r="P769" s="16"/>
    </row>
    <row r="770" spans="2:16" ht="15.75" customHeight="1">
      <c r="B770" s="16"/>
      <c r="H770" s="16"/>
      <c r="I770" s="16"/>
      <c r="J770" s="20"/>
      <c r="N770" s="16"/>
      <c r="O770" s="16"/>
      <c r="P770" s="16"/>
    </row>
    <row r="771" spans="2:16" ht="15.75" customHeight="1">
      <c r="B771" s="16"/>
      <c r="H771" s="16"/>
      <c r="I771" s="16"/>
      <c r="J771" s="20"/>
      <c r="N771" s="16"/>
      <c r="O771" s="16"/>
      <c r="P771" s="16"/>
    </row>
    <row r="772" spans="2:16" ht="15.75" customHeight="1">
      <c r="B772" s="16"/>
      <c r="H772" s="16"/>
      <c r="I772" s="16"/>
      <c r="J772" s="20"/>
      <c r="N772" s="16"/>
      <c r="O772" s="16"/>
      <c r="P772" s="16"/>
    </row>
    <row r="773" spans="2:16" ht="15.75" customHeight="1">
      <c r="B773" s="16"/>
      <c r="H773" s="16"/>
      <c r="I773" s="16"/>
      <c r="J773" s="20"/>
      <c r="N773" s="16"/>
      <c r="O773" s="16"/>
      <c r="P773" s="16"/>
    </row>
    <row r="774" spans="2:16" ht="15.75" customHeight="1">
      <c r="B774" s="16"/>
      <c r="H774" s="16"/>
      <c r="I774" s="16"/>
      <c r="J774" s="20"/>
      <c r="N774" s="16"/>
      <c r="O774" s="16"/>
      <c r="P774" s="16"/>
    </row>
    <row r="775" spans="2:16" ht="15.75" customHeight="1">
      <c r="B775" s="16"/>
      <c r="H775" s="16"/>
      <c r="I775" s="16"/>
      <c r="J775" s="20"/>
      <c r="N775" s="16"/>
      <c r="O775" s="16"/>
      <c r="P775" s="16"/>
    </row>
    <row r="776" spans="2:16" ht="15.75" customHeight="1">
      <c r="B776" s="16"/>
      <c r="H776" s="16"/>
      <c r="I776" s="16"/>
      <c r="J776" s="20"/>
      <c r="N776" s="16"/>
      <c r="O776" s="16"/>
      <c r="P776" s="16"/>
    </row>
    <row r="777" spans="2:16" ht="15.75" customHeight="1">
      <c r="B777" s="16"/>
      <c r="H777" s="16"/>
      <c r="I777" s="16"/>
      <c r="J777" s="20"/>
      <c r="N777" s="16"/>
      <c r="O777" s="16"/>
      <c r="P777" s="16"/>
    </row>
    <row r="778" spans="2:16" ht="15.75" customHeight="1">
      <c r="B778" s="16"/>
      <c r="H778" s="16"/>
      <c r="I778" s="16"/>
      <c r="J778" s="20"/>
      <c r="N778" s="16"/>
      <c r="O778" s="16"/>
      <c r="P778" s="16"/>
    </row>
    <row r="779" spans="2:16" ht="15.75" customHeight="1">
      <c r="B779" s="16"/>
      <c r="H779" s="16"/>
      <c r="I779" s="16"/>
      <c r="J779" s="20"/>
      <c r="N779" s="16"/>
      <c r="O779" s="16"/>
      <c r="P779" s="16"/>
    </row>
    <row r="780" spans="2:16" ht="15.75" customHeight="1">
      <c r="B780" s="16"/>
      <c r="H780" s="16"/>
      <c r="I780" s="16"/>
      <c r="J780" s="20"/>
      <c r="N780" s="16"/>
      <c r="O780" s="16"/>
      <c r="P780" s="16"/>
    </row>
    <row r="781" spans="2:16" ht="15.75" customHeight="1">
      <c r="B781" s="16"/>
      <c r="H781" s="16"/>
      <c r="I781" s="16"/>
      <c r="J781" s="20"/>
      <c r="N781" s="16"/>
      <c r="O781" s="16"/>
      <c r="P781" s="16"/>
    </row>
    <row r="782" spans="2:16" ht="15.75" customHeight="1">
      <c r="B782" s="16"/>
      <c r="H782" s="16"/>
      <c r="I782" s="16"/>
      <c r="J782" s="20"/>
      <c r="N782" s="16"/>
      <c r="O782" s="16"/>
      <c r="P782" s="16"/>
    </row>
    <row r="783" spans="2:16" ht="15.75" customHeight="1">
      <c r="B783" s="16"/>
      <c r="H783" s="16"/>
      <c r="I783" s="16"/>
      <c r="J783" s="20"/>
      <c r="N783" s="16"/>
      <c r="O783" s="16"/>
      <c r="P783" s="16"/>
    </row>
    <row r="784" spans="2:16" ht="15.75" customHeight="1">
      <c r="B784" s="16"/>
      <c r="H784" s="16"/>
      <c r="I784" s="16"/>
      <c r="J784" s="20"/>
      <c r="N784" s="16"/>
      <c r="O784" s="16"/>
      <c r="P784" s="16"/>
    </row>
    <row r="785" spans="2:16" ht="15.75" customHeight="1">
      <c r="B785" s="16"/>
      <c r="H785" s="16"/>
      <c r="I785" s="16"/>
      <c r="J785" s="20"/>
      <c r="N785" s="16"/>
      <c r="O785" s="16"/>
      <c r="P785" s="16"/>
    </row>
    <row r="786" spans="2:16" ht="15.75" customHeight="1">
      <c r="B786" s="16"/>
      <c r="H786" s="16"/>
      <c r="I786" s="16"/>
      <c r="J786" s="20"/>
      <c r="N786" s="16"/>
      <c r="O786" s="16"/>
      <c r="P786" s="16"/>
    </row>
    <row r="787" spans="2:16" ht="15.75" customHeight="1">
      <c r="B787" s="16"/>
      <c r="H787" s="16"/>
      <c r="I787" s="16"/>
      <c r="J787" s="20"/>
      <c r="N787" s="16"/>
      <c r="O787" s="16"/>
      <c r="P787" s="16"/>
    </row>
    <row r="788" spans="2:16" ht="15.75" customHeight="1">
      <c r="B788" s="16"/>
      <c r="H788" s="16"/>
      <c r="I788" s="16"/>
      <c r="J788" s="20"/>
      <c r="N788" s="16"/>
      <c r="O788" s="16"/>
      <c r="P788" s="16"/>
    </row>
    <row r="789" spans="2:16" ht="15.75" customHeight="1">
      <c r="B789" s="16"/>
      <c r="H789" s="16"/>
      <c r="I789" s="16"/>
      <c r="J789" s="20"/>
      <c r="N789" s="16"/>
      <c r="O789" s="16"/>
      <c r="P789" s="16"/>
    </row>
    <row r="790" spans="2:16" ht="15.75" customHeight="1">
      <c r="B790" s="16"/>
      <c r="H790" s="16"/>
      <c r="I790" s="16"/>
      <c r="J790" s="20"/>
      <c r="N790" s="16"/>
      <c r="O790" s="16"/>
      <c r="P790" s="16"/>
    </row>
    <row r="791" spans="2:16" ht="15.75" customHeight="1">
      <c r="B791" s="16"/>
      <c r="H791" s="16"/>
      <c r="I791" s="16"/>
      <c r="J791" s="20"/>
      <c r="N791" s="16"/>
      <c r="O791" s="16"/>
      <c r="P791" s="16"/>
    </row>
    <row r="792" spans="2:16" ht="15.75" customHeight="1">
      <c r="B792" s="16"/>
      <c r="H792" s="16"/>
      <c r="I792" s="16"/>
      <c r="J792" s="20"/>
      <c r="N792" s="16"/>
      <c r="O792" s="16"/>
      <c r="P792" s="16"/>
    </row>
    <row r="793" spans="2:16" ht="15.75" customHeight="1">
      <c r="B793" s="16"/>
      <c r="H793" s="16"/>
      <c r="I793" s="16"/>
      <c r="J793" s="20"/>
      <c r="N793" s="16"/>
      <c r="O793" s="16"/>
      <c r="P793" s="16"/>
    </row>
    <row r="794" spans="2:16" ht="15.75" customHeight="1">
      <c r="B794" s="16"/>
      <c r="H794" s="16"/>
      <c r="I794" s="16"/>
      <c r="J794" s="20"/>
      <c r="N794" s="16"/>
      <c r="O794" s="16"/>
      <c r="P794" s="16"/>
    </row>
    <row r="795" spans="2:16" ht="15.75" customHeight="1">
      <c r="B795" s="16"/>
      <c r="H795" s="16"/>
      <c r="I795" s="16"/>
      <c r="J795" s="20"/>
      <c r="N795" s="16"/>
      <c r="O795" s="16"/>
      <c r="P795" s="16"/>
    </row>
    <row r="796" spans="2:16" ht="15.75" customHeight="1">
      <c r="B796" s="16"/>
      <c r="H796" s="16"/>
      <c r="I796" s="16"/>
      <c r="J796" s="20"/>
      <c r="N796" s="16"/>
      <c r="O796" s="16"/>
      <c r="P796" s="16"/>
    </row>
    <row r="797" spans="2:16" ht="15.75" customHeight="1">
      <c r="B797" s="16"/>
      <c r="H797" s="16"/>
      <c r="I797" s="16"/>
      <c r="J797" s="20"/>
      <c r="N797" s="16"/>
      <c r="O797" s="16"/>
      <c r="P797" s="16"/>
    </row>
    <row r="798" spans="2:16" ht="15.75" customHeight="1">
      <c r="B798" s="16"/>
      <c r="H798" s="16"/>
      <c r="I798" s="16"/>
      <c r="J798" s="20"/>
      <c r="N798" s="16"/>
      <c r="O798" s="16"/>
      <c r="P798" s="16"/>
    </row>
    <row r="799" spans="2:16" ht="15.75" customHeight="1">
      <c r="B799" s="16"/>
      <c r="H799" s="16"/>
      <c r="I799" s="16"/>
      <c r="J799" s="20"/>
      <c r="N799" s="16"/>
      <c r="O799" s="16"/>
      <c r="P799" s="16"/>
    </row>
    <row r="800" spans="2:16" ht="15.75" customHeight="1">
      <c r="B800" s="16"/>
      <c r="N800" s="16"/>
      <c r="O800" s="16"/>
      <c r="P800" s="16"/>
    </row>
    <row r="801" spans="2:16" ht="15.75" customHeight="1">
      <c r="B801" s="16"/>
      <c r="H801" s="16"/>
      <c r="I801" s="16"/>
      <c r="J801" s="20"/>
      <c r="O801" s="16"/>
      <c r="P801" s="16"/>
    </row>
    <row r="802" spans="2:16" ht="15.75" customHeight="1">
      <c r="B802" s="16"/>
      <c r="H802" s="16"/>
      <c r="I802" s="16"/>
      <c r="J802" s="20"/>
      <c r="N802" s="16"/>
      <c r="O802" s="16"/>
      <c r="P802" s="16"/>
    </row>
    <row r="803" spans="2:16" ht="15.75" customHeight="1">
      <c r="B803" s="16"/>
      <c r="H803" s="16"/>
      <c r="I803" s="16"/>
      <c r="J803" s="20"/>
      <c r="N803" s="16"/>
      <c r="O803" s="16"/>
      <c r="P803" s="16"/>
    </row>
    <row r="804" spans="2:16" ht="15.75" customHeight="1">
      <c r="B804" s="16"/>
      <c r="H804" s="16"/>
      <c r="I804" s="16"/>
      <c r="J804" s="20"/>
      <c r="N804" s="16"/>
      <c r="P804" s="16"/>
    </row>
    <row r="805" spans="2:16" ht="15.75" customHeight="1">
      <c r="B805" s="16"/>
      <c r="H805" s="16"/>
      <c r="I805" s="16"/>
      <c r="J805" s="20"/>
      <c r="N805" s="16"/>
      <c r="P805" s="16"/>
    </row>
    <row r="806" spans="2:16" ht="15.75" customHeight="1">
      <c r="B806" s="16"/>
      <c r="H806" s="16"/>
      <c r="I806" s="16"/>
      <c r="J806" s="20"/>
      <c r="N806" s="16"/>
      <c r="P806" s="16"/>
    </row>
    <row r="807" spans="2:16" ht="15.75" customHeight="1">
      <c r="B807" s="16"/>
      <c r="H807" s="16"/>
      <c r="I807" s="16"/>
      <c r="J807" s="20"/>
      <c r="N807" s="16"/>
      <c r="P807" s="16"/>
    </row>
    <row r="808" spans="2:16" ht="15.75" customHeight="1">
      <c r="B808" s="16"/>
      <c r="H808" s="16"/>
      <c r="I808" s="16"/>
      <c r="J808" s="20"/>
      <c r="N808" s="16"/>
      <c r="P808" s="16"/>
    </row>
    <row r="809" spans="2:16" ht="15.75" customHeight="1">
      <c r="B809" s="16"/>
      <c r="H809" s="16"/>
      <c r="I809" s="16"/>
      <c r="J809" s="20"/>
      <c r="N809" s="16"/>
      <c r="O809" s="16"/>
      <c r="P809" s="16"/>
    </row>
    <row r="810" spans="2:16" ht="15.75" customHeight="1">
      <c r="B810" s="16"/>
      <c r="H810" s="16"/>
      <c r="I810" s="16"/>
      <c r="J810" s="20"/>
      <c r="N810" s="16"/>
      <c r="O810" s="16"/>
      <c r="P810" s="16"/>
    </row>
    <row r="811" spans="2:16" ht="15.75" customHeight="1">
      <c r="B811" s="16"/>
      <c r="H811" s="16"/>
      <c r="I811" s="16"/>
      <c r="J811" s="20"/>
      <c r="N811" s="16"/>
      <c r="O811" s="16"/>
      <c r="P811" s="16"/>
    </row>
    <row r="812" spans="2:16" ht="15.75" customHeight="1">
      <c r="B812" s="16"/>
      <c r="H812" s="16"/>
      <c r="I812" s="16"/>
      <c r="J812" s="20"/>
      <c r="N812" s="16"/>
      <c r="O812" s="16"/>
      <c r="P812" s="16"/>
    </row>
    <row r="813" spans="2:16" ht="15.75" customHeight="1">
      <c r="B813" s="16"/>
      <c r="H813" s="16"/>
      <c r="I813" s="16"/>
      <c r="J813" s="20"/>
      <c r="N813" s="16"/>
      <c r="O813" s="16"/>
      <c r="P813" s="16"/>
    </row>
    <row r="814" spans="2:16" ht="15.75" customHeight="1">
      <c r="B814" s="16"/>
      <c r="H814" s="16"/>
      <c r="I814" s="16"/>
      <c r="J814" s="20"/>
      <c r="N814" s="16"/>
      <c r="O814" s="16"/>
      <c r="P814" s="16"/>
    </row>
    <row r="815" spans="2:16" ht="15.75" customHeight="1">
      <c r="B815" s="16"/>
      <c r="H815" s="16"/>
      <c r="I815" s="16"/>
      <c r="J815" s="20"/>
      <c r="N815" s="16"/>
      <c r="O815" s="16"/>
      <c r="P815" s="16"/>
    </row>
    <row r="816" spans="2:16" ht="15.75" customHeight="1">
      <c r="B816" s="16"/>
      <c r="H816" s="16"/>
      <c r="I816" s="16"/>
      <c r="J816" s="20"/>
      <c r="N816" s="16"/>
      <c r="O816" s="16"/>
      <c r="P816" s="16"/>
    </row>
    <row r="817" spans="2:16" ht="15.75" customHeight="1">
      <c r="B817" s="16"/>
      <c r="H817" s="16"/>
      <c r="I817" s="16"/>
      <c r="J817" s="20"/>
      <c r="N817" s="16"/>
      <c r="O817" s="16"/>
      <c r="P817" s="16"/>
    </row>
    <row r="818" spans="2:16" ht="15.75" customHeight="1">
      <c r="B818" s="16"/>
      <c r="H818" s="16"/>
      <c r="I818" s="16"/>
      <c r="J818" s="20"/>
      <c r="N818" s="16"/>
      <c r="O818" s="16"/>
      <c r="P818" s="16"/>
    </row>
    <row r="819" spans="2:16" ht="15.75" customHeight="1">
      <c r="B819" s="16"/>
      <c r="H819" s="16"/>
      <c r="I819" s="16"/>
      <c r="J819" s="20"/>
      <c r="N819" s="16"/>
      <c r="O819" s="16"/>
      <c r="P819" s="16"/>
    </row>
    <row r="820" spans="2:16" ht="15.75" customHeight="1">
      <c r="B820" s="16"/>
      <c r="H820" s="16"/>
      <c r="I820" s="16"/>
      <c r="J820" s="20"/>
      <c r="N820" s="16"/>
      <c r="O820" s="16"/>
      <c r="P820" s="16"/>
    </row>
    <row r="821" spans="2:16" ht="15.75" customHeight="1">
      <c r="B821" s="16"/>
      <c r="H821" s="16"/>
      <c r="I821" s="16"/>
      <c r="J821" s="20"/>
      <c r="N821" s="16"/>
      <c r="O821" s="16"/>
      <c r="P821" s="16"/>
    </row>
    <row r="822" spans="2:16" ht="15.75" customHeight="1">
      <c r="B822" s="16"/>
      <c r="H822" s="16"/>
      <c r="I822" s="16"/>
      <c r="J822" s="20"/>
      <c r="N822" s="16"/>
      <c r="O822" s="16"/>
      <c r="P822" s="16"/>
    </row>
    <row r="823" spans="2:16" ht="15.75" customHeight="1">
      <c r="B823" s="16"/>
      <c r="H823" s="16"/>
      <c r="I823" s="16"/>
      <c r="J823" s="20"/>
      <c r="N823" s="16"/>
      <c r="O823" s="16"/>
      <c r="P823" s="16"/>
    </row>
    <row r="824" spans="2:16" ht="15.75" customHeight="1">
      <c r="B824" s="16"/>
      <c r="H824" s="16"/>
      <c r="I824" s="16"/>
      <c r="J824" s="20"/>
      <c r="N824" s="16"/>
      <c r="O824" s="16"/>
      <c r="P824" s="16"/>
    </row>
    <row r="825" spans="2:16" ht="15.75" customHeight="1">
      <c r="B825" s="16"/>
      <c r="H825" s="16"/>
      <c r="I825" s="16"/>
      <c r="J825" s="20"/>
      <c r="N825" s="16"/>
      <c r="O825" s="16"/>
      <c r="P825" s="16"/>
    </row>
    <row r="826" spans="2:16" ht="15.75" customHeight="1">
      <c r="B826" s="16"/>
      <c r="H826" s="16"/>
      <c r="I826" s="16"/>
      <c r="J826" s="20"/>
      <c r="N826" s="16"/>
      <c r="O826" s="16"/>
      <c r="P826" s="16"/>
    </row>
    <row r="827" spans="2:16" ht="15.75" customHeight="1">
      <c r="B827" s="16"/>
      <c r="H827" s="16"/>
      <c r="I827" s="16"/>
      <c r="J827" s="20"/>
      <c r="N827" s="16"/>
      <c r="O827" s="16"/>
      <c r="P827" s="16"/>
    </row>
    <row r="828" spans="2:16" ht="15.75" customHeight="1">
      <c r="B828" s="16"/>
      <c r="H828" s="16"/>
      <c r="I828" s="16"/>
      <c r="J828" s="20"/>
      <c r="N828" s="16"/>
      <c r="O828" s="16"/>
      <c r="P828" s="16"/>
    </row>
    <row r="829" spans="2:16" ht="15.75" customHeight="1">
      <c r="B829" s="16"/>
      <c r="H829" s="16"/>
      <c r="I829" s="16"/>
      <c r="J829" s="20"/>
      <c r="N829" s="16"/>
      <c r="O829" s="16"/>
      <c r="P829" s="16"/>
    </row>
    <row r="830" spans="2:16" ht="15.75" customHeight="1">
      <c r="B830" s="16"/>
      <c r="H830" s="16"/>
      <c r="I830" s="16"/>
      <c r="J830" s="20"/>
      <c r="N830" s="16"/>
      <c r="O830" s="16"/>
      <c r="P830" s="16"/>
    </row>
    <row r="831" spans="2:16" ht="15.75" customHeight="1">
      <c r="B831" s="16"/>
      <c r="H831" s="16"/>
      <c r="I831" s="16"/>
      <c r="J831" s="20"/>
      <c r="N831" s="16"/>
      <c r="O831" s="16"/>
      <c r="P831" s="16"/>
    </row>
    <row r="832" spans="2:16" ht="15.75" customHeight="1">
      <c r="B832" s="16"/>
      <c r="H832" s="16"/>
      <c r="I832" s="16"/>
      <c r="J832" s="20"/>
      <c r="N832" s="16"/>
      <c r="O832" s="16"/>
      <c r="P832" s="16"/>
    </row>
    <row r="833" spans="2:16" ht="15.75" customHeight="1">
      <c r="B833" s="16"/>
      <c r="H833" s="16"/>
      <c r="I833" s="16"/>
      <c r="J833" s="20"/>
      <c r="N833" s="16"/>
      <c r="O833" s="16"/>
      <c r="P833" s="16"/>
    </row>
    <row r="834" spans="2:16" ht="15.75" customHeight="1">
      <c r="B834" s="16"/>
      <c r="N834" s="16"/>
      <c r="O834" s="16"/>
      <c r="P834" s="16"/>
    </row>
    <row r="835" spans="2:16" ht="15.75" customHeight="1">
      <c r="B835" s="16"/>
      <c r="N835" s="16"/>
      <c r="O835" s="16"/>
      <c r="P835" s="16"/>
    </row>
    <row r="836" spans="2:16" ht="15.75" customHeight="1">
      <c r="B836" s="16"/>
      <c r="H836" s="16"/>
      <c r="I836" s="16"/>
      <c r="J836" s="20"/>
      <c r="N836" s="16"/>
      <c r="O836" s="16"/>
      <c r="P836" s="16"/>
    </row>
    <row r="837" spans="2:16" ht="15.75" customHeight="1">
      <c r="B837" s="16"/>
      <c r="H837" s="16"/>
      <c r="I837" s="16"/>
      <c r="J837" s="20"/>
      <c r="N837" s="16"/>
      <c r="O837" s="16"/>
      <c r="P837" s="16"/>
    </row>
    <row r="838" spans="2:16" ht="15.75" customHeight="1">
      <c r="B838" s="16"/>
      <c r="H838" s="16"/>
      <c r="I838" s="16"/>
      <c r="J838" s="20"/>
      <c r="N838" s="16"/>
      <c r="O838" s="16"/>
      <c r="P838" s="16"/>
    </row>
    <row r="839" spans="2:16" ht="15.75" customHeight="1">
      <c r="B839" s="16"/>
      <c r="H839" s="16"/>
      <c r="I839" s="16"/>
      <c r="J839" s="20"/>
      <c r="N839" s="16"/>
      <c r="O839" s="16"/>
      <c r="P839" s="16"/>
    </row>
    <row r="840" spans="2:16" ht="15.75" customHeight="1">
      <c r="B840" s="16"/>
      <c r="H840" s="16"/>
      <c r="I840" s="16"/>
      <c r="J840" s="20"/>
      <c r="N840" s="16"/>
      <c r="O840" s="16"/>
      <c r="P840" s="16"/>
    </row>
    <row r="841" spans="2:16" ht="15.75" customHeight="1">
      <c r="B841" s="16"/>
      <c r="N841" s="16"/>
      <c r="O841" s="16"/>
      <c r="P841" s="16"/>
    </row>
    <row r="842" spans="2:16" ht="15.75" customHeight="1">
      <c r="B842" s="16"/>
      <c r="N842" s="16"/>
      <c r="O842" s="16"/>
      <c r="P842" s="16"/>
    </row>
    <row r="843" spans="2:16" ht="15.75" customHeight="1">
      <c r="B843" s="16"/>
      <c r="H843" s="16"/>
      <c r="I843" s="16"/>
      <c r="J843" s="20"/>
      <c r="N843" s="16"/>
      <c r="O843" s="16"/>
      <c r="P843" s="16"/>
    </row>
    <row r="844" spans="2:16" ht="15.75" customHeight="1">
      <c r="B844" s="16"/>
      <c r="H844" s="16"/>
      <c r="I844" s="16"/>
      <c r="J844" s="20"/>
      <c r="N844" s="16"/>
      <c r="O844" s="16"/>
      <c r="P844" s="16"/>
    </row>
    <row r="845" spans="2:16" ht="15.75" customHeight="1">
      <c r="B845" s="16"/>
      <c r="H845" s="16"/>
      <c r="I845" s="16"/>
      <c r="J845" s="20"/>
      <c r="N845" s="16"/>
      <c r="O845" s="16"/>
      <c r="P845" s="16"/>
    </row>
    <row r="846" spans="2:16" ht="15.75" customHeight="1">
      <c r="B846" s="16"/>
      <c r="H846" s="16"/>
      <c r="I846" s="16"/>
      <c r="J846" s="20"/>
      <c r="N846" s="16"/>
      <c r="O846" s="16"/>
      <c r="P846" s="16"/>
    </row>
    <row r="847" spans="2:16" ht="15.75" customHeight="1">
      <c r="B847" s="16"/>
      <c r="H847" s="16"/>
      <c r="I847" s="16"/>
      <c r="J847" s="20"/>
      <c r="N847" s="16"/>
      <c r="O847" s="16"/>
      <c r="P847" s="16"/>
    </row>
    <row r="848" spans="2:16" ht="15.75" customHeight="1">
      <c r="B848" s="16"/>
      <c r="H848" s="16"/>
      <c r="I848" s="16"/>
      <c r="J848" s="20"/>
      <c r="N848" s="16"/>
      <c r="O848" s="16"/>
      <c r="P848" s="16"/>
    </row>
    <row r="849" spans="2:16" ht="15.75" customHeight="1">
      <c r="B849" s="16"/>
      <c r="H849" s="16"/>
      <c r="I849" s="16"/>
      <c r="J849" s="20"/>
      <c r="N849" s="16"/>
      <c r="O849" s="16"/>
      <c r="P849" s="16"/>
    </row>
    <row r="850" spans="2:16" ht="15.75" customHeight="1">
      <c r="B850" s="16"/>
      <c r="H850" s="16"/>
      <c r="I850" s="16"/>
      <c r="J850" s="20"/>
      <c r="N850" s="16"/>
      <c r="O850" s="16"/>
      <c r="P850" s="16"/>
    </row>
    <row r="851" spans="2:16" ht="15.75" customHeight="1">
      <c r="B851" s="16"/>
      <c r="H851" s="16"/>
      <c r="I851" s="16"/>
      <c r="J851" s="20"/>
      <c r="N851" s="16"/>
      <c r="O851" s="16"/>
      <c r="P851" s="16"/>
    </row>
    <row r="852" spans="2:16" ht="15.75" customHeight="1">
      <c r="B852" s="16"/>
      <c r="H852" s="16"/>
      <c r="I852" s="16"/>
      <c r="J852" s="20"/>
      <c r="N852" s="16"/>
      <c r="O852" s="16"/>
      <c r="P852" s="16"/>
    </row>
    <row r="853" spans="2:16" ht="15.75" customHeight="1">
      <c r="B853" s="16"/>
      <c r="H853" s="16"/>
      <c r="I853" s="16"/>
      <c r="J853" s="20"/>
      <c r="N853" s="16"/>
      <c r="O853" s="16"/>
      <c r="P853" s="16"/>
    </row>
    <row r="854" spans="2:16" ht="15.75" customHeight="1">
      <c r="B854" s="16"/>
      <c r="H854" s="16"/>
      <c r="I854" s="16"/>
      <c r="J854" s="20"/>
      <c r="N854" s="16"/>
      <c r="O854" s="16"/>
      <c r="P854" s="16"/>
    </row>
    <row r="855" spans="2:16" ht="15.75" customHeight="1">
      <c r="B855" s="16"/>
      <c r="H855" s="16"/>
      <c r="I855" s="16"/>
      <c r="J855" s="20"/>
      <c r="N855" s="16"/>
      <c r="O855" s="16"/>
      <c r="P855" s="16"/>
    </row>
    <row r="856" spans="2:16" ht="15.75" customHeight="1">
      <c r="B856" s="16"/>
      <c r="H856" s="16"/>
      <c r="I856" s="16"/>
      <c r="J856" s="20"/>
      <c r="N856" s="16"/>
      <c r="O856" s="16"/>
      <c r="P856" s="16"/>
    </row>
    <row r="857" spans="2:16" ht="15.75" customHeight="1">
      <c r="B857" s="16"/>
      <c r="H857" s="16"/>
      <c r="I857" s="16"/>
      <c r="J857" s="20"/>
      <c r="N857" s="16"/>
      <c r="O857" s="16"/>
      <c r="P857" s="16"/>
    </row>
    <row r="858" spans="2:16" ht="15.75" customHeight="1">
      <c r="B858" s="16"/>
      <c r="H858" s="16"/>
      <c r="I858" s="16"/>
      <c r="J858" s="20"/>
      <c r="N858" s="16"/>
      <c r="O858" s="16"/>
      <c r="P858" s="16"/>
    </row>
    <row r="859" spans="2:16" ht="15.75" customHeight="1">
      <c r="B859" s="16"/>
      <c r="H859" s="16"/>
      <c r="I859" s="16"/>
      <c r="J859" s="20"/>
      <c r="N859" s="16"/>
      <c r="O859" s="16"/>
      <c r="P859" s="16"/>
    </row>
    <row r="860" spans="2:16" ht="15.75" customHeight="1">
      <c r="B860" s="16"/>
      <c r="H860" s="16"/>
      <c r="I860" s="16"/>
      <c r="J860" s="20"/>
      <c r="N860" s="16"/>
      <c r="O860" s="16"/>
      <c r="P860" s="16"/>
    </row>
    <row r="861" spans="2:16" ht="15.75" customHeight="1">
      <c r="B861" s="16"/>
      <c r="H861" s="16"/>
      <c r="I861" s="16"/>
      <c r="J861" s="20"/>
      <c r="N861" s="16"/>
      <c r="O861" s="16"/>
      <c r="P861" s="16"/>
    </row>
    <row r="862" spans="2:16" ht="15.75" customHeight="1">
      <c r="B862" s="16"/>
      <c r="H862" s="16"/>
      <c r="I862" s="16"/>
      <c r="J862" s="20"/>
      <c r="N862" s="16"/>
      <c r="O862" s="16"/>
      <c r="P862" s="16"/>
    </row>
    <row r="863" spans="2:16" ht="15.75" customHeight="1">
      <c r="B863" s="16"/>
      <c r="H863" s="16"/>
      <c r="I863" s="16"/>
      <c r="J863" s="20"/>
      <c r="N863" s="16"/>
      <c r="O863" s="16"/>
      <c r="P863" s="16"/>
    </row>
    <row r="864" spans="2:16" ht="15.75" customHeight="1">
      <c r="B864" s="16"/>
      <c r="H864" s="16"/>
      <c r="I864" s="16"/>
      <c r="J864" s="20"/>
      <c r="N864" s="16"/>
      <c r="O864" s="16"/>
      <c r="P864" s="16"/>
    </row>
    <row r="865" spans="2:16" ht="15.75" customHeight="1">
      <c r="B865" s="16"/>
      <c r="H865" s="16"/>
      <c r="I865" s="16"/>
      <c r="J865" s="20"/>
      <c r="N865" s="16"/>
      <c r="O865" s="16"/>
      <c r="P865" s="16"/>
    </row>
    <row r="866" spans="2:16" ht="15.75" customHeight="1">
      <c r="B866" s="16"/>
      <c r="H866" s="16"/>
      <c r="I866" s="16"/>
      <c r="J866" s="20"/>
      <c r="N866" s="16"/>
      <c r="O866" s="16"/>
      <c r="P866" s="16"/>
    </row>
    <row r="867" spans="2:16" ht="15.75" customHeight="1">
      <c r="B867" s="16"/>
      <c r="H867" s="16"/>
      <c r="I867" s="16"/>
      <c r="J867" s="20"/>
      <c r="N867" s="16"/>
      <c r="O867" s="16"/>
      <c r="P867" s="16"/>
    </row>
    <row r="868" spans="2:16" ht="15.75" customHeight="1">
      <c r="B868" s="16"/>
      <c r="H868" s="16"/>
      <c r="I868" s="16"/>
      <c r="J868" s="20"/>
      <c r="N868" s="16"/>
      <c r="O868" s="16"/>
      <c r="P868" s="16"/>
    </row>
    <row r="869" spans="2:16" ht="15.75" customHeight="1">
      <c r="B869" s="16"/>
      <c r="H869" s="16"/>
      <c r="I869" s="16"/>
      <c r="J869" s="20"/>
      <c r="N869" s="16"/>
      <c r="O869" s="16"/>
      <c r="P869" s="16"/>
    </row>
    <row r="870" spans="2:16" ht="15.75" customHeight="1">
      <c r="B870" s="16"/>
      <c r="H870" s="16"/>
      <c r="I870" s="16"/>
      <c r="J870" s="20"/>
      <c r="N870" s="16"/>
      <c r="O870" s="16"/>
      <c r="P870" s="16"/>
    </row>
    <row r="871" spans="2:16" ht="15.75" customHeight="1">
      <c r="B871" s="16"/>
      <c r="H871" s="16"/>
      <c r="I871" s="16"/>
      <c r="J871" s="20"/>
      <c r="N871" s="16"/>
      <c r="O871" s="16"/>
      <c r="P871" s="16"/>
    </row>
    <row r="872" spans="2:16" ht="15.75" customHeight="1">
      <c r="B872" s="16"/>
      <c r="H872" s="16"/>
      <c r="I872" s="16"/>
      <c r="J872" s="20"/>
      <c r="N872" s="16"/>
      <c r="O872" s="16"/>
      <c r="P872" s="16"/>
    </row>
    <row r="873" spans="2:16" ht="15.75" customHeight="1">
      <c r="B873" s="16"/>
      <c r="H873" s="16"/>
      <c r="I873" s="16"/>
      <c r="J873" s="20"/>
      <c r="N873" s="16"/>
      <c r="O873" s="16"/>
      <c r="P873" s="16"/>
    </row>
    <row r="874" spans="2:16" ht="15.75" customHeight="1">
      <c r="B874" s="16"/>
      <c r="H874" s="16"/>
      <c r="I874" s="16"/>
      <c r="J874" s="20"/>
      <c r="N874" s="16"/>
      <c r="O874" s="16"/>
      <c r="P874" s="16"/>
    </row>
    <row r="875" spans="2:16" ht="15.75" customHeight="1">
      <c r="B875" s="16"/>
      <c r="H875" s="16"/>
      <c r="I875" s="16"/>
      <c r="J875" s="20"/>
      <c r="N875" s="16"/>
      <c r="O875" s="16"/>
      <c r="P875" s="16"/>
    </row>
    <row r="876" spans="2:16" ht="15.75" customHeight="1">
      <c r="B876" s="16"/>
      <c r="H876" s="16"/>
      <c r="I876" s="16"/>
      <c r="J876" s="20"/>
      <c r="N876" s="16"/>
      <c r="O876" s="16"/>
      <c r="P876" s="16"/>
    </row>
    <row r="877" spans="2:16" ht="15.75" customHeight="1">
      <c r="B877" s="16"/>
      <c r="H877" s="16"/>
      <c r="I877" s="16"/>
      <c r="J877" s="20"/>
      <c r="N877" s="16"/>
      <c r="O877" s="16"/>
      <c r="P877" s="16"/>
    </row>
    <row r="878" spans="2:16" ht="15.75" customHeight="1">
      <c r="B878" s="16"/>
      <c r="H878" s="16"/>
      <c r="I878" s="16"/>
      <c r="J878" s="20"/>
      <c r="N878" s="16"/>
      <c r="O878" s="16"/>
      <c r="P878" s="16"/>
    </row>
    <row r="879" spans="2:16" ht="15.75" customHeight="1">
      <c r="B879" s="16"/>
      <c r="H879" s="16"/>
      <c r="I879" s="16"/>
      <c r="J879" s="20"/>
      <c r="N879" s="16"/>
      <c r="O879" s="16"/>
      <c r="P879" s="16"/>
    </row>
    <row r="880" spans="2:16" ht="15.75" customHeight="1">
      <c r="B880" s="16"/>
      <c r="H880" s="16"/>
      <c r="I880" s="16"/>
      <c r="J880" s="20"/>
      <c r="N880" s="16"/>
      <c r="O880" s="16"/>
      <c r="P880" s="16"/>
    </row>
    <row r="881" spans="2:16" ht="15.75" customHeight="1">
      <c r="B881" s="16"/>
      <c r="H881" s="16"/>
      <c r="I881" s="16"/>
      <c r="J881" s="20"/>
      <c r="N881" s="16"/>
      <c r="O881" s="16"/>
      <c r="P881" s="16"/>
    </row>
    <row r="882" spans="2:16" ht="15.75" customHeight="1">
      <c r="B882" s="16"/>
      <c r="H882" s="16"/>
      <c r="I882" s="16"/>
      <c r="J882" s="20"/>
      <c r="N882" s="16"/>
      <c r="O882" s="16"/>
      <c r="P882" s="16"/>
    </row>
    <row r="883" spans="2:16" ht="15.75" customHeight="1">
      <c r="B883" s="16"/>
      <c r="H883" s="16"/>
      <c r="I883" s="16"/>
      <c r="J883" s="20"/>
      <c r="N883" s="16"/>
      <c r="O883" s="16"/>
      <c r="P883" s="16"/>
    </row>
    <row r="884" spans="2:16" ht="15.75" customHeight="1">
      <c r="B884" s="16"/>
      <c r="H884" s="16"/>
      <c r="I884" s="16"/>
      <c r="J884" s="20"/>
      <c r="N884" s="16"/>
      <c r="O884" s="16"/>
      <c r="P884" s="16"/>
    </row>
    <row r="885" spans="2:16" ht="15.75" customHeight="1">
      <c r="B885" s="16"/>
      <c r="H885" s="16"/>
      <c r="I885" s="16"/>
      <c r="J885" s="20"/>
      <c r="N885" s="16"/>
      <c r="O885" s="16"/>
      <c r="P885" s="16"/>
    </row>
    <row r="886" spans="2:16" ht="15.75" customHeight="1">
      <c r="B886" s="16"/>
      <c r="H886" s="16"/>
      <c r="I886" s="16"/>
      <c r="J886" s="20"/>
      <c r="N886" s="16"/>
      <c r="O886" s="16"/>
      <c r="P886" s="16"/>
    </row>
    <row r="887" spans="2:16" ht="15.75" customHeight="1">
      <c r="B887" s="16"/>
      <c r="H887" s="16"/>
      <c r="I887" s="16"/>
      <c r="J887" s="20"/>
      <c r="N887" s="16"/>
      <c r="O887" s="16"/>
      <c r="P887" s="16"/>
    </row>
    <row r="888" spans="2:16" ht="15.75" customHeight="1">
      <c r="B888" s="16"/>
      <c r="H888" s="16"/>
      <c r="I888" s="16"/>
      <c r="J888" s="20"/>
      <c r="N888" s="16"/>
      <c r="O888" s="16"/>
      <c r="P888" s="16"/>
    </row>
    <row r="889" spans="2:16" ht="15.75" customHeight="1">
      <c r="B889" s="16"/>
      <c r="H889" s="16"/>
      <c r="I889" s="16"/>
      <c r="J889" s="20"/>
      <c r="N889" s="16"/>
      <c r="O889" s="16"/>
      <c r="P889" s="16"/>
    </row>
    <row r="890" spans="2:16" ht="15.75" customHeight="1">
      <c r="B890" s="16"/>
      <c r="H890" s="16"/>
      <c r="I890" s="16"/>
      <c r="J890" s="20"/>
      <c r="N890" s="16"/>
      <c r="O890" s="16"/>
      <c r="P890" s="16"/>
    </row>
    <row r="891" spans="2:16" ht="15.75" customHeight="1">
      <c r="B891" s="16"/>
      <c r="H891" s="16"/>
      <c r="I891" s="16"/>
      <c r="J891" s="20"/>
      <c r="N891" s="16"/>
      <c r="O891" s="16"/>
      <c r="P891" s="16"/>
    </row>
    <row r="892" spans="2:16" ht="15.75" customHeight="1">
      <c r="B892" s="16"/>
      <c r="H892" s="16"/>
      <c r="I892" s="16"/>
      <c r="J892" s="20"/>
      <c r="N892" s="16"/>
      <c r="O892" s="16"/>
      <c r="P892" s="16"/>
    </row>
    <row r="893" spans="2:16" ht="15.75" customHeight="1">
      <c r="B893" s="16"/>
      <c r="H893" s="16"/>
      <c r="I893" s="16"/>
      <c r="J893" s="20"/>
      <c r="N893" s="16"/>
      <c r="O893" s="16"/>
      <c r="P893" s="16"/>
    </row>
    <row r="894" spans="2:16" ht="15.75" customHeight="1">
      <c r="B894" s="16"/>
      <c r="H894" s="16"/>
      <c r="I894" s="16"/>
      <c r="J894" s="20"/>
      <c r="N894" s="16"/>
      <c r="O894" s="16"/>
      <c r="P894" s="16"/>
    </row>
    <row r="895" spans="2:16" ht="15.75" customHeight="1">
      <c r="B895" s="16"/>
      <c r="H895" s="16"/>
      <c r="I895" s="16"/>
      <c r="J895" s="20"/>
      <c r="N895" s="16"/>
      <c r="O895" s="16"/>
      <c r="P895" s="16"/>
    </row>
    <row r="896" spans="2:16" ht="15.75" customHeight="1">
      <c r="B896" s="16"/>
      <c r="H896" s="16"/>
      <c r="I896" s="16"/>
      <c r="J896" s="20"/>
      <c r="N896" s="16"/>
      <c r="O896" s="16"/>
      <c r="P896" s="16"/>
    </row>
    <row r="897" spans="2:16" ht="15.75" customHeight="1">
      <c r="B897" s="16"/>
      <c r="H897" s="16"/>
      <c r="I897" s="16"/>
      <c r="J897" s="20"/>
      <c r="N897" s="16"/>
      <c r="O897" s="16"/>
      <c r="P897" s="16"/>
    </row>
    <row r="898" spans="2:16" ht="15.75" customHeight="1">
      <c r="B898" s="16"/>
      <c r="H898" s="16"/>
      <c r="I898" s="16"/>
      <c r="J898" s="20"/>
      <c r="N898" s="16"/>
      <c r="O898" s="16"/>
      <c r="P898" s="16"/>
    </row>
    <row r="899" spans="2:16" ht="15.75" customHeight="1">
      <c r="B899" s="16"/>
      <c r="H899" s="16"/>
      <c r="I899" s="16"/>
      <c r="J899" s="20"/>
      <c r="N899" s="16"/>
      <c r="O899" s="16"/>
      <c r="P899" s="16"/>
    </row>
    <row r="900" spans="2:16" ht="15.75" customHeight="1">
      <c r="B900" s="16"/>
      <c r="H900" s="16"/>
      <c r="I900" s="16"/>
      <c r="J900" s="20"/>
      <c r="N900" s="16"/>
      <c r="O900" s="16"/>
      <c r="P900" s="16"/>
    </row>
    <row r="901" spans="2:16" ht="15.75" customHeight="1">
      <c r="B901" s="16"/>
      <c r="H901" s="16"/>
      <c r="I901" s="16"/>
      <c r="J901" s="20"/>
      <c r="N901" s="16"/>
      <c r="O901" s="16"/>
      <c r="P901" s="16"/>
    </row>
    <row r="902" spans="2:16" ht="15.75" customHeight="1">
      <c r="B902" s="16"/>
      <c r="H902" s="16"/>
      <c r="I902" s="16"/>
      <c r="J902" s="20"/>
      <c r="N902" s="16"/>
      <c r="O902" s="16"/>
      <c r="P902" s="16"/>
    </row>
    <row r="903" spans="2:16" ht="15.75" customHeight="1">
      <c r="B903" s="16"/>
      <c r="H903" s="16"/>
      <c r="I903" s="16"/>
      <c r="J903" s="20"/>
      <c r="N903" s="16"/>
      <c r="O903" s="16"/>
      <c r="P903" s="16"/>
    </row>
    <row r="904" spans="2:16" ht="15.75" customHeight="1">
      <c r="B904" s="16"/>
      <c r="H904" s="16"/>
      <c r="I904" s="16"/>
      <c r="J904" s="20"/>
      <c r="N904" s="16"/>
      <c r="O904" s="16"/>
      <c r="P904" s="16"/>
    </row>
    <row r="905" spans="2:16" ht="15.75" customHeight="1">
      <c r="B905" s="16"/>
      <c r="H905" s="16"/>
      <c r="I905" s="16"/>
      <c r="J905" s="20"/>
      <c r="N905" s="16"/>
      <c r="O905" s="16"/>
      <c r="P905" s="16"/>
    </row>
    <row r="906" spans="2:16" ht="15.75" customHeight="1">
      <c r="B906" s="16"/>
      <c r="H906" s="16"/>
      <c r="I906" s="16"/>
      <c r="J906" s="20"/>
      <c r="N906" s="16"/>
      <c r="O906" s="16"/>
      <c r="P906" s="16"/>
    </row>
    <row r="907" spans="2:16" ht="15.75" customHeight="1">
      <c r="B907" s="16"/>
      <c r="H907" s="16"/>
      <c r="I907" s="16"/>
      <c r="J907" s="20"/>
      <c r="N907" s="16"/>
      <c r="O907" s="16"/>
      <c r="P907" s="16"/>
    </row>
    <row r="908" spans="2:16" ht="15.75" customHeight="1">
      <c r="B908" s="16"/>
      <c r="H908" s="16"/>
      <c r="I908" s="16"/>
      <c r="J908" s="20"/>
      <c r="N908" s="16"/>
      <c r="O908" s="16"/>
      <c r="P908" s="16"/>
    </row>
    <row r="909" spans="2:16" ht="15.75" customHeight="1">
      <c r="B909" s="16"/>
      <c r="H909" s="16"/>
      <c r="I909" s="16"/>
      <c r="J909" s="20"/>
      <c r="N909" s="16"/>
      <c r="O909" s="16"/>
      <c r="P909" s="16"/>
    </row>
    <row r="910" spans="2:16" ht="15.75" customHeight="1">
      <c r="B910" s="16"/>
      <c r="H910" s="16"/>
      <c r="I910" s="16"/>
      <c r="J910" s="20"/>
      <c r="N910" s="16"/>
      <c r="O910" s="16"/>
      <c r="P910" s="16"/>
    </row>
    <row r="911" spans="2:16" ht="15.75" customHeight="1">
      <c r="B911" s="16"/>
      <c r="H911" s="16"/>
      <c r="I911" s="16"/>
      <c r="J911" s="20"/>
      <c r="N911" s="16"/>
      <c r="O911" s="16"/>
      <c r="P911" s="16"/>
    </row>
    <row r="912" spans="2:16" ht="15.75" customHeight="1">
      <c r="B912" s="16"/>
      <c r="H912" s="16"/>
      <c r="I912" s="16"/>
      <c r="J912" s="20"/>
      <c r="N912" s="16"/>
      <c r="O912" s="16"/>
      <c r="P912" s="16"/>
    </row>
    <row r="913" spans="2:16" ht="15.75" customHeight="1">
      <c r="B913" s="16"/>
      <c r="H913" s="16"/>
      <c r="I913" s="16"/>
      <c r="J913" s="20"/>
      <c r="N913" s="16"/>
      <c r="O913" s="16"/>
      <c r="P913" s="16"/>
    </row>
    <row r="914" spans="2:16" ht="15.75" customHeight="1">
      <c r="B914" s="16"/>
      <c r="H914" s="16"/>
      <c r="I914" s="16"/>
      <c r="J914" s="20"/>
      <c r="N914" s="16"/>
      <c r="O914" s="16"/>
      <c r="P914" s="16"/>
    </row>
    <row r="915" spans="2:16" ht="15.75" customHeight="1">
      <c r="B915" s="16"/>
      <c r="H915" s="16"/>
      <c r="I915" s="16"/>
      <c r="J915" s="20"/>
      <c r="N915" s="16"/>
      <c r="O915" s="16"/>
      <c r="P915" s="16"/>
    </row>
    <row r="916" spans="2:16" ht="15.75" customHeight="1">
      <c r="B916" s="16"/>
      <c r="H916" s="16"/>
      <c r="I916" s="16"/>
      <c r="J916" s="20"/>
      <c r="N916" s="16"/>
      <c r="O916" s="16"/>
      <c r="P916" s="16"/>
    </row>
    <row r="917" spans="2:16" ht="15.75" customHeight="1">
      <c r="B917" s="16"/>
      <c r="H917" s="16"/>
      <c r="I917" s="16"/>
      <c r="J917" s="20"/>
      <c r="N917" s="16"/>
      <c r="O917" s="16"/>
      <c r="P917" s="16"/>
    </row>
    <row r="918" spans="2:16" ht="15.75" customHeight="1">
      <c r="B918" s="16"/>
      <c r="H918" s="16"/>
      <c r="I918" s="16"/>
      <c r="J918" s="20"/>
      <c r="N918" s="16"/>
      <c r="O918" s="16"/>
      <c r="P918" s="16"/>
    </row>
    <row r="919" spans="2:16" ht="15.75" customHeight="1">
      <c r="B919" s="16"/>
      <c r="H919" s="16"/>
      <c r="I919" s="16"/>
      <c r="J919" s="20"/>
      <c r="N919" s="16"/>
      <c r="O919" s="16"/>
      <c r="P919" s="16"/>
    </row>
    <row r="920" spans="2:16" ht="15.75" customHeight="1">
      <c r="B920" s="16"/>
      <c r="H920" s="16"/>
      <c r="I920" s="16"/>
      <c r="J920" s="20"/>
      <c r="N920" s="16"/>
      <c r="O920" s="16"/>
      <c r="P920" s="16"/>
    </row>
    <row r="921" spans="2:16" ht="15.75" customHeight="1">
      <c r="B921" s="16"/>
      <c r="H921" s="16"/>
      <c r="I921" s="16"/>
      <c r="J921" s="20"/>
      <c r="N921" s="16"/>
      <c r="O921" s="16"/>
      <c r="P921" s="16"/>
    </row>
    <row r="922" spans="2:16" ht="15.75" customHeight="1">
      <c r="B922" s="16"/>
      <c r="H922" s="16"/>
      <c r="I922" s="16"/>
      <c r="J922" s="20"/>
      <c r="N922" s="16"/>
      <c r="O922" s="16"/>
      <c r="P922" s="16"/>
    </row>
    <row r="923" spans="2:16" ht="15.75" customHeight="1">
      <c r="B923" s="16"/>
      <c r="H923" s="16"/>
      <c r="I923" s="16"/>
      <c r="J923" s="20"/>
      <c r="N923" s="16"/>
      <c r="O923" s="16"/>
      <c r="P923" s="16"/>
    </row>
    <row r="924" spans="2:16" ht="15.75" customHeight="1">
      <c r="B924" s="16"/>
      <c r="H924" s="16"/>
      <c r="I924" s="16"/>
      <c r="J924" s="20"/>
      <c r="N924" s="16"/>
      <c r="O924" s="16"/>
      <c r="P924" s="16"/>
    </row>
    <row r="925" spans="2:16" ht="15.75" customHeight="1">
      <c r="B925" s="16"/>
      <c r="H925" s="16"/>
      <c r="I925" s="16"/>
      <c r="J925" s="20"/>
      <c r="N925" s="16"/>
      <c r="O925" s="16"/>
      <c r="P925" s="16"/>
    </row>
    <row r="926" spans="2:16" ht="15.75" customHeight="1">
      <c r="B926" s="16"/>
      <c r="H926" s="16"/>
      <c r="I926" s="16"/>
      <c r="J926" s="20"/>
      <c r="N926" s="16"/>
      <c r="O926" s="16"/>
      <c r="P926" s="16"/>
    </row>
    <row r="927" spans="2:16" ht="15.75" customHeight="1">
      <c r="B927" s="16"/>
      <c r="H927" s="16"/>
      <c r="I927" s="16"/>
      <c r="J927" s="20"/>
      <c r="N927" s="16"/>
      <c r="O927" s="16"/>
      <c r="P927" s="16"/>
    </row>
    <row r="928" spans="2:16" ht="15.75" customHeight="1">
      <c r="B928" s="16"/>
      <c r="H928" s="16"/>
      <c r="I928" s="16"/>
      <c r="J928" s="20"/>
      <c r="N928" s="16"/>
      <c r="O928" s="16"/>
      <c r="P928" s="16"/>
    </row>
    <row r="929" spans="2:16" ht="15.75" customHeight="1">
      <c r="B929" s="16"/>
      <c r="H929" s="16"/>
      <c r="I929" s="16"/>
      <c r="J929" s="20"/>
      <c r="N929" s="16"/>
      <c r="O929" s="16"/>
      <c r="P929" s="16"/>
    </row>
    <row r="930" spans="2:16" ht="15.75" customHeight="1">
      <c r="B930" s="16"/>
      <c r="H930" s="16"/>
      <c r="I930" s="16"/>
      <c r="J930" s="20"/>
      <c r="N930" s="16"/>
      <c r="O930" s="16"/>
      <c r="P930" s="16"/>
    </row>
    <row r="931" spans="2:16" ht="15.75" customHeight="1">
      <c r="B931" s="16"/>
      <c r="H931" s="16"/>
      <c r="I931" s="16"/>
      <c r="J931" s="20"/>
      <c r="N931" s="16"/>
      <c r="O931" s="16"/>
      <c r="P931" s="16"/>
    </row>
    <row r="932" spans="2:16" ht="15.75" customHeight="1">
      <c r="B932" s="16"/>
      <c r="H932" s="16"/>
      <c r="I932" s="16"/>
      <c r="J932" s="20"/>
      <c r="N932" s="16"/>
      <c r="O932" s="16"/>
      <c r="P932" s="16"/>
    </row>
    <row r="933" spans="2:16" ht="15.75" customHeight="1">
      <c r="B933" s="16"/>
      <c r="H933" s="16"/>
      <c r="I933" s="16"/>
      <c r="J933" s="20"/>
      <c r="N933" s="16"/>
      <c r="O933" s="16"/>
      <c r="P933" s="16"/>
    </row>
    <row r="934" spans="2:16" ht="15.75" customHeight="1">
      <c r="B934" s="16"/>
      <c r="H934" s="16"/>
      <c r="I934" s="16"/>
      <c r="J934" s="20"/>
      <c r="N934" s="16"/>
      <c r="O934" s="16"/>
      <c r="P934" s="16"/>
    </row>
    <row r="935" spans="2:16" ht="15.75" customHeight="1">
      <c r="B935" s="16"/>
      <c r="H935" s="16"/>
      <c r="I935" s="16"/>
      <c r="J935" s="20"/>
      <c r="N935" s="16"/>
      <c r="O935" s="16"/>
      <c r="P935" s="16"/>
    </row>
    <row r="936" spans="2:16" ht="15.75" customHeight="1">
      <c r="B936" s="16"/>
      <c r="H936" s="16"/>
      <c r="I936" s="16"/>
      <c r="J936" s="20"/>
      <c r="N936" s="16"/>
      <c r="O936" s="16"/>
      <c r="P936" s="16"/>
    </row>
    <row r="937" spans="2:16" ht="15.75" customHeight="1">
      <c r="B937" s="16"/>
      <c r="H937" s="16"/>
      <c r="I937" s="16"/>
      <c r="J937" s="20"/>
      <c r="N937" s="16"/>
      <c r="O937" s="16"/>
      <c r="P937" s="16"/>
    </row>
    <row r="938" spans="2:16" ht="15.75" customHeight="1">
      <c r="B938" s="16"/>
      <c r="H938" s="16"/>
      <c r="I938" s="16"/>
      <c r="J938" s="20"/>
      <c r="N938" s="16"/>
      <c r="O938" s="16"/>
      <c r="P938" s="16"/>
    </row>
    <row r="939" spans="2:16" ht="15.75" customHeight="1">
      <c r="B939" s="16"/>
      <c r="H939" s="16"/>
      <c r="I939" s="16"/>
      <c r="J939" s="20"/>
      <c r="N939" s="16"/>
      <c r="O939" s="16"/>
      <c r="P939" s="16"/>
    </row>
    <row r="940" spans="2:16" ht="15.75" customHeight="1">
      <c r="B940" s="16"/>
      <c r="H940" s="16"/>
      <c r="I940" s="16"/>
      <c r="J940" s="20"/>
      <c r="N940" s="16"/>
      <c r="O940" s="16"/>
      <c r="P940" s="16"/>
    </row>
    <row r="941" spans="2:16" ht="15.75" customHeight="1">
      <c r="B941" s="16"/>
      <c r="H941" s="16"/>
      <c r="I941" s="16"/>
      <c r="J941" s="20"/>
      <c r="N941" s="16"/>
      <c r="O941" s="16"/>
      <c r="P941" s="16"/>
    </row>
    <row r="942" spans="2:16" ht="15.75" customHeight="1">
      <c r="B942" s="16"/>
      <c r="H942" s="16"/>
      <c r="I942" s="16"/>
      <c r="J942" s="20"/>
      <c r="N942" s="16"/>
      <c r="O942" s="16"/>
      <c r="P942" s="16"/>
    </row>
    <row r="943" spans="2:16" ht="15.75" customHeight="1">
      <c r="B943" s="16"/>
      <c r="H943" s="16"/>
      <c r="I943" s="16"/>
      <c r="J943" s="20"/>
      <c r="N943" s="16"/>
      <c r="O943" s="16"/>
      <c r="P943" s="16"/>
    </row>
    <row r="944" spans="2:16" ht="15.75" customHeight="1">
      <c r="B944" s="16"/>
      <c r="H944" s="16"/>
      <c r="I944" s="16"/>
      <c r="J944" s="20"/>
      <c r="N944" s="16"/>
      <c r="O944" s="16"/>
      <c r="P944" s="16"/>
    </row>
    <row r="945" spans="2:16" ht="15.75" customHeight="1">
      <c r="B945" s="16"/>
      <c r="H945" s="16"/>
      <c r="I945" s="16"/>
      <c r="J945" s="20"/>
      <c r="N945" s="16"/>
      <c r="O945" s="16"/>
      <c r="P945" s="16"/>
    </row>
    <row r="946" spans="2:16" ht="15.75" customHeight="1">
      <c r="B946" s="16"/>
      <c r="H946" s="16"/>
      <c r="I946" s="16"/>
      <c r="J946" s="20"/>
      <c r="N946" s="16"/>
      <c r="O946" s="16"/>
      <c r="P946" s="16"/>
    </row>
    <row r="947" spans="2:16" ht="15.75" customHeight="1">
      <c r="B947" s="16"/>
      <c r="H947" s="16"/>
      <c r="I947" s="16"/>
      <c r="J947" s="20"/>
      <c r="N947" s="16"/>
      <c r="O947" s="16"/>
      <c r="P947" s="16"/>
    </row>
    <row r="948" spans="2:16" ht="15.75" customHeight="1">
      <c r="B948" s="16"/>
      <c r="H948" s="16"/>
      <c r="I948" s="16"/>
      <c r="J948" s="20"/>
      <c r="N948" s="16"/>
      <c r="O948" s="16"/>
      <c r="P948" s="16"/>
    </row>
    <row r="949" spans="2:16" ht="15.75" customHeight="1">
      <c r="B949" s="16"/>
      <c r="H949" s="16"/>
      <c r="I949" s="16"/>
      <c r="J949" s="20"/>
      <c r="N949" s="16"/>
      <c r="O949" s="16"/>
      <c r="P949" s="16"/>
    </row>
    <row r="950" spans="2:16" ht="15.75" customHeight="1">
      <c r="B950" s="16"/>
      <c r="H950" s="16"/>
      <c r="I950" s="16"/>
      <c r="J950" s="20"/>
      <c r="N950" s="16"/>
      <c r="O950" s="16"/>
      <c r="P950" s="16"/>
    </row>
    <row r="951" spans="2:16" ht="15.75" customHeight="1">
      <c r="B951" s="16"/>
      <c r="H951" s="16"/>
      <c r="I951" s="16"/>
      <c r="J951" s="20"/>
      <c r="N951" s="16"/>
      <c r="O951" s="16"/>
      <c r="P951" s="16"/>
    </row>
    <row r="952" spans="2:16" ht="15.75" customHeight="1">
      <c r="B952" s="16"/>
      <c r="H952" s="16"/>
      <c r="I952" s="16"/>
      <c r="J952" s="20"/>
      <c r="N952" s="16"/>
      <c r="O952" s="16"/>
      <c r="P952" s="16"/>
    </row>
    <row r="953" spans="2:16" ht="15.75" customHeight="1">
      <c r="B953" s="16"/>
      <c r="H953" s="16"/>
      <c r="I953" s="16"/>
      <c r="J953" s="20"/>
      <c r="N953" s="16"/>
      <c r="O953" s="16"/>
      <c r="P953" s="16"/>
    </row>
    <row r="954" spans="2:16" ht="15.75" customHeight="1">
      <c r="B954" s="16"/>
      <c r="H954" s="16"/>
      <c r="I954" s="16"/>
      <c r="J954" s="20"/>
      <c r="N954" s="16"/>
      <c r="O954" s="16"/>
      <c r="P954" s="16"/>
    </row>
    <row r="955" spans="2:16" ht="15.75" customHeight="1">
      <c r="B955" s="16"/>
      <c r="H955" s="16"/>
      <c r="I955" s="16"/>
      <c r="J955" s="20"/>
      <c r="N955" s="16"/>
      <c r="O955" s="16"/>
      <c r="P955" s="16"/>
    </row>
    <row r="956" spans="2:16" ht="15.75" customHeight="1">
      <c r="B956" s="16"/>
      <c r="H956" s="16"/>
      <c r="I956" s="16"/>
      <c r="J956" s="20"/>
      <c r="N956" s="16"/>
      <c r="O956" s="16"/>
      <c r="P956" s="16"/>
    </row>
    <row r="957" spans="2:16" ht="15.75" customHeight="1">
      <c r="B957" s="16"/>
      <c r="H957" s="16"/>
      <c r="I957" s="16"/>
      <c r="J957" s="20"/>
      <c r="N957" s="16"/>
      <c r="O957" s="16"/>
      <c r="P957" s="16"/>
    </row>
    <row r="958" spans="2:16" ht="15.75" customHeight="1">
      <c r="B958" s="16"/>
      <c r="H958" s="16"/>
      <c r="I958" s="16"/>
      <c r="J958" s="20"/>
      <c r="N958" s="16"/>
      <c r="O958" s="16"/>
      <c r="P958" s="16"/>
    </row>
    <row r="959" spans="2:16" ht="15.75" customHeight="1">
      <c r="B959" s="16"/>
      <c r="H959" s="16"/>
      <c r="I959" s="16"/>
      <c r="J959" s="20"/>
      <c r="N959" s="16"/>
      <c r="O959" s="16"/>
      <c r="P959" s="16"/>
    </row>
    <row r="960" spans="2:16" ht="15.75" customHeight="1">
      <c r="B960" s="16"/>
      <c r="H960" s="16"/>
      <c r="I960" s="16"/>
      <c r="J960" s="20"/>
      <c r="N960" s="16"/>
      <c r="O960" s="16"/>
      <c r="P960" s="16"/>
    </row>
    <row r="961" spans="2:16" ht="15.75" customHeight="1">
      <c r="B961" s="16"/>
      <c r="H961" s="16"/>
      <c r="I961" s="16"/>
      <c r="J961" s="20"/>
      <c r="N961" s="16"/>
      <c r="O961" s="16"/>
      <c r="P961" s="16"/>
    </row>
    <row r="962" spans="2:16" ht="15.75" customHeight="1">
      <c r="B962" s="16"/>
      <c r="H962" s="16"/>
      <c r="I962" s="16"/>
      <c r="J962" s="20"/>
      <c r="N962" s="16"/>
      <c r="O962" s="16"/>
      <c r="P962" s="16"/>
    </row>
    <row r="963" spans="2:16" ht="15.75" customHeight="1">
      <c r="B963" s="16"/>
      <c r="H963" s="16"/>
      <c r="I963" s="16"/>
      <c r="J963" s="20"/>
      <c r="N963" s="16"/>
      <c r="O963" s="16"/>
      <c r="P963" s="16"/>
    </row>
    <row r="964" spans="2:16" ht="15.75" customHeight="1">
      <c r="B964" s="16"/>
      <c r="H964" s="16"/>
      <c r="I964" s="16"/>
      <c r="J964" s="20"/>
      <c r="N964" s="16"/>
      <c r="O964" s="16"/>
      <c r="P964" s="16"/>
    </row>
    <row r="965" spans="2:16" ht="15.75" customHeight="1">
      <c r="B965" s="16"/>
      <c r="H965" s="16"/>
      <c r="I965" s="16"/>
      <c r="J965" s="20"/>
      <c r="N965" s="16"/>
      <c r="O965" s="16"/>
      <c r="P965" s="16"/>
    </row>
    <row r="966" spans="2:16" ht="15.75" customHeight="1">
      <c r="B966" s="16"/>
      <c r="H966" s="16"/>
      <c r="I966" s="16"/>
      <c r="J966" s="20"/>
      <c r="N966" s="16"/>
      <c r="O966" s="16"/>
      <c r="P966" s="16"/>
    </row>
    <row r="967" spans="2:16" ht="15.75" customHeight="1">
      <c r="B967" s="16"/>
      <c r="H967" s="16"/>
      <c r="I967" s="16"/>
      <c r="J967" s="20"/>
      <c r="N967" s="16"/>
      <c r="O967" s="16"/>
      <c r="P967" s="16"/>
    </row>
    <row r="968" spans="2:16" ht="15.75" customHeight="1">
      <c r="B968" s="16"/>
      <c r="H968" s="16"/>
      <c r="I968" s="16"/>
      <c r="J968" s="20"/>
      <c r="N968" s="16"/>
      <c r="O968" s="16"/>
      <c r="P968" s="16"/>
    </row>
    <row r="969" spans="2:16" ht="15.75" customHeight="1">
      <c r="B969" s="16"/>
      <c r="H969" s="16"/>
      <c r="I969" s="16"/>
      <c r="J969" s="20"/>
      <c r="N969" s="16"/>
      <c r="O969" s="16"/>
      <c r="P969" s="16"/>
    </row>
    <row r="970" spans="2:16" ht="15.75" customHeight="1">
      <c r="B970" s="16"/>
      <c r="H970" s="16"/>
      <c r="I970" s="16"/>
      <c r="J970" s="20"/>
      <c r="N970" s="16"/>
      <c r="O970" s="16"/>
      <c r="P970" s="16"/>
    </row>
    <row r="971" spans="2:16" ht="15.75" customHeight="1">
      <c r="B971" s="16"/>
      <c r="H971" s="16"/>
      <c r="I971" s="16"/>
      <c r="J971" s="20"/>
      <c r="N971" s="16"/>
      <c r="O971" s="16"/>
      <c r="P971" s="16"/>
    </row>
    <row r="972" spans="2:16" ht="15.75" customHeight="1">
      <c r="B972" s="16"/>
      <c r="H972" s="16"/>
      <c r="I972" s="16"/>
      <c r="J972" s="20"/>
      <c r="N972" s="16"/>
      <c r="O972" s="16"/>
      <c r="P972" s="16"/>
    </row>
    <row r="973" spans="2:16" ht="15.75" customHeight="1">
      <c r="B973" s="16"/>
      <c r="H973" s="16"/>
      <c r="I973" s="16"/>
      <c r="J973" s="20"/>
      <c r="N973" s="16"/>
      <c r="O973" s="16"/>
      <c r="P973" s="16"/>
    </row>
    <row r="974" spans="2:16" ht="15.75" customHeight="1">
      <c r="B974" s="16"/>
      <c r="N974" s="16"/>
      <c r="O974" s="16"/>
      <c r="P974" s="16"/>
    </row>
    <row r="975" spans="2:16" ht="15.75" customHeight="1">
      <c r="B975" s="16"/>
      <c r="N975" s="16"/>
      <c r="O975" s="16"/>
      <c r="P975" s="16"/>
    </row>
    <row r="976" spans="2:16" ht="15.75" customHeight="1">
      <c r="B976" s="16"/>
      <c r="H976" s="16"/>
      <c r="I976" s="16"/>
      <c r="J976" s="20"/>
      <c r="N976" s="16"/>
      <c r="O976" s="16"/>
      <c r="P976" s="16"/>
    </row>
    <row r="977" spans="2:16" ht="15.75" customHeight="1">
      <c r="B977" s="16"/>
      <c r="H977" s="16"/>
      <c r="I977" s="16"/>
      <c r="J977" s="20"/>
      <c r="N977" s="16"/>
      <c r="O977" s="16"/>
      <c r="P977" s="16"/>
    </row>
    <row r="978" spans="2:16" ht="15.75" customHeight="1">
      <c r="B978" s="16"/>
      <c r="H978" s="16"/>
      <c r="I978" s="16"/>
      <c r="J978" s="20"/>
      <c r="N978" s="16"/>
      <c r="O978" s="16"/>
      <c r="P978" s="16"/>
    </row>
    <row r="979" spans="2:16" ht="15.75" customHeight="1">
      <c r="B979" s="16"/>
      <c r="H979" s="16"/>
      <c r="I979" s="16"/>
      <c r="J979" s="20"/>
      <c r="N979" s="16"/>
      <c r="O979" s="16"/>
      <c r="P979" s="16"/>
    </row>
    <row r="980" spans="2:16" ht="15.75" customHeight="1">
      <c r="B980" s="16"/>
      <c r="H980" s="16"/>
      <c r="I980" s="16"/>
      <c r="J980" s="20"/>
      <c r="N980" s="16"/>
      <c r="O980" s="16"/>
      <c r="P980" s="16"/>
    </row>
    <row r="981" spans="2:16" ht="15.75" customHeight="1">
      <c r="B981" s="16"/>
      <c r="H981" s="16"/>
      <c r="I981" s="16"/>
      <c r="J981" s="20"/>
      <c r="N981" s="16"/>
      <c r="O981" s="16"/>
      <c r="P981" s="16"/>
    </row>
    <row r="982" spans="2:16" ht="15.75" customHeight="1">
      <c r="B982" s="16"/>
      <c r="H982" s="16"/>
      <c r="I982" s="16"/>
      <c r="J982" s="20"/>
      <c r="N982" s="16"/>
      <c r="O982" s="16"/>
      <c r="P982" s="16"/>
    </row>
    <row r="983" spans="2:16" ht="15.75" customHeight="1">
      <c r="B983" s="16"/>
      <c r="H983" s="16"/>
      <c r="I983" s="16"/>
      <c r="J983" s="20"/>
      <c r="N983" s="16"/>
      <c r="O983" s="16"/>
      <c r="P983" s="16"/>
    </row>
    <row r="984" spans="2:16" ht="15.75" customHeight="1">
      <c r="B984" s="16"/>
      <c r="H984" s="16"/>
      <c r="I984" s="16"/>
      <c r="J984" s="20"/>
      <c r="N984" s="16"/>
      <c r="O984" s="16"/>
      <c r="P984" s="16"/>
    </row>
    <row r="985" spans="2:16" ht="15.75" customHeight="1">
      <c r="B985" s="16"/>
      <c r="H985" s="16"/>
      <c r="I985" s="16"/>
      <c r="J985" s="20"/>
      <c r="N985" s="16"/>
      <c r="O985" s="16"/>
      <c r="P985" s="16"/>
    </row>
    <row r="986" spans="2:16" ht="15.75" customHeight="1">
      <c r="B986" s="16"/>
      <c r="H986" s="16"/>
      <c r="I986" s="16"/>
      <c r="J986" s="20"/>
      <c r="N986" s="16"/>
      <c r="O986" s="16"/>
      <c r="P986" s="16"/>
    </row>
    <row r="987" spans="2:16" ht="15.75" customHeight="1">
      <c r="B987" s="16"/>
      <c r="N987" s="16"/>
      <c r="O987" s="16"/>
      <c r="P987" s="16"/>
    </row>
    <row r="988" spans="2:16" ht="15.75" customHeight="1">
      <c r="B988" s="16"/>
      <c r="N988" s="16"/>
      <c r="O988" s="16"/>
      <c r="P988" s="16"/>
    </row>
    <row r="989" spans="2:16" ht="15.75" customHeight="1">
      <c r="B989" s="16"/>
      <c r="N989" s="16"/>
      <c r="O989" s="16"/>
      <c r="P989" s="16"/>
    </row>
    <row r="990" spans="2:16" ht="15.75" customHeight="1">
      <c r="B990" s="16"/>
      <c r="N990" s="16"/>
      <c r="P990" s="16"/>
    </row>
    <row r="991" spans="2:16" ht="15.75" customHeight="1">
      <c r="B991" s="16"/>
      <c r="H991" s="16"/>
      <c r="I991" s="16"/>
      <c r="J991" s="20"/>
      <c r="N991" s="16"/>
      <c r="P991" s="16"/>
    </row>
    <row r="992" spans="2:16" ht="15.75" customHeight="1">
      <c r="B992" s="16"/>
      <c r="H992" s="16"/>
      <c r="I992" s="16"/>
      <c r="J992" s="20"/>
      <c r="N992" s="16"/>
      <c r="P992" s="16"/>
    </row>
    <row r="993" spans="2:16" ht="15.75" customHeight="1">
      <c r="B993" s="16"/>
      <c r="H993" s="16"/>
      <c r="I993" s="16"/>
      <c r="J993" s="20"/>
      <c r="N993" s="16"/>
      <c r="O993" s="16"/>
      <c r="P993" s="16"/>
    </row>
    <row r="994" spans="2:16" ht="15.75" customHeight="1">
      <c r="B994" s="16"/>
      <c r="H994" s="16"/>
      <c r="I994" s="16"/>
      <c r="J994" s="20"/>
      <c r="N994" s="16"/>
      <c r="O994" s="16"/>
      <c r="P994" s="16"/>
    </row>
    <row r="995" spans="2:16" ht="15.75" customHeight="1">
      <c r="B995" s="16"/>
      <c r="H995" s="16"/>
      <c r="I995" s="16"/>
      <c r="J995" s="20"/>
      <c r="N995" s="16"/>
      <c r="O995" s="16"/>
      <c r="P995" s="16"/>
    </row>
    <row r="996" spans="2:16" ht="15.75" customHeight="1">
      <c r="B996" s="16"/>
      <c r="H996" s="16"/>
      <c r="I996" s="16"/>
      <c r="J996" s="20"/>
      <c r="N996" s="16"/>
      <c r="O996" s="16"/>
      <c r="P996" s="16"/>
    </row>
    <row r="997" spans="2:16" ht="15.75" customHeight="1">
      <c r="B997" s="16"/>
      <c r="H997" s="16"/>
      <c r="I997" s="16"/>
      <c r="J997" s="20"/>
      <c r="N997" s="16"/>
      <c r="O997" s="16"/>
      <c r="P997" s="16"/>
    </row>
    <row r="998" spans="2:16" ht="15.75" customHeight="1">
      <c r="B998" s="16"/>
      <c r="H998" s="16"/>
      <c r="I998" s="16"/>
      <c r="J998" s="20"/>
      <c r="N998" s="16"/>
      <c r="O998" s="16"/>
      <c r="P998" s="16"/>
    </row>
    <row r="999" spans="2:16" ht="15.75" customHeight="1">
      <c r="B999" s="16"/>
      <c r="H999" s="16"/>
      <c r="I999" s="16"/>
      <c r="J999" s="20"/>
      <c r="N999" s="16"/>
      <c r="O999" s="16"/>
      <c r="P999" s="16"/>
    </row>
    <row r="1000" spans="2:16" ht="15.75" customHeight="1">
      <c r="B1000" s="16"/>
      <c r="N1000" s="16"/>
      <c r="O1000" s="16"/>
      <c r="P1000" s="16"/>
    </row>
    <row r="1001" spans="2:16" ht="15.75" customHeight="1">
      <c r="B1001" s="16"/>
      <c r="H1001" s="16"/>
      <c r="I1001" s="16"/>
      <c r="J1001" s="20"/>
      <c r="N1001" s="16"/>
      <c r="O1001" s="16"/>
      <c r="P1001" s="16"/>
    </row>
    <row r="1002" spans="2:16" ht="15.75" customHeight="1">
      <c r="B1002" s="16"/>
      <c r="H1002" s="16"/>
      <c r="I1002" s="16"/>
      <c r="J1002" s="20"/>
      <c r="N1002" s="16"/>
      <c r="O1002" s="16"/>
      <c r="P1002" s="16"/>
    </row>
    <row r="1003" spans="2:16" ht="15.75" customHeight="1">
      <c r="B1003" s="16"/>
      <c r="N1003" s="16"/>
      <c r="O1003" s="16"/>
      <c r="P1003" s="16"/>
    </row>
    <row r="1004" spans="2:16" ht="15.75" customHeight="1">
      <c r="B1004" s="16"/>
      <c r="H1004" s="16"/>
      <c r="I1004" s="16"/>
      <c r="J1004" s="20"/>
      <c r="N1004" s="16"/>
      <c r="O1004" s="16"/>
      <c r="P1004" s="16"/>
    </row>
    <row r="1005" spans="2:16" ht="15.75" customHeight="1">
      <c r="B1005" s="16"/>
      <c r="H1005" s="16"/>
      <c r="I1005" s="16"/>
      <c r="J1005" s="20"/>
      <c r="N1005" s="16"/>
      <c r="O1005" s="16"/>
      <c r="P1005" s="16"/>
    </row>
    <row r="1006" spans="2:16" ht="15.75" customHeight="1">
      <c r="B1006" s="16"/>
      <c r="H1006" s="16"/>
      <c r="I1006" s="16"/>
      <c r="J1006" s="20"/>
      <c r="N1006" s="16"/>
      <c r="O1006" s="16"/>
      <c r="P1006" s="16"/>
    </row>
    <row r="1007" spans="2:16" ht="15.75" customHeight="1">
      <c r="B1007" s="16"/>
      <c r="H1007" s="16"/>
      <c r="I1007" s="16"/>
      <c r="J1007" s="20"/>
      <c r="N1007" s="16"/>
      <c r="O1007" s="16"/>
      <c r="P1007" s="16"/>
    </row>
    <row r="1008" spans="2:16" ht="15.75" customHeight="1">
      <c r="B1008" s="16"/>
      <c r="H1008" s="16"/>
      <c r="I1008" s="16"/>
      <c r="J1008" s="20"/>
      <c r="N1008" s="16"/>
      <c r="O1008" s="16"/>
      <c r="P1008" s="16"/>
    </row>
    <row r="1009" spans="2:16" ht="15.75" customHeight="1">
      <c r="B1009" s="16"/>
      <c r="N1009" s="16"/>
      <c r="O1009" s="16"/>
      <c r="P1009" s="16"/>
    </row>
    <row r="1010" spans="2:16" ht="15.75" customHeight="1">
      <c r="B1010" s="16"/>
      <c r="N1010" s="16"/>
      <c r="O1010" s="16"/>
      <c r="P1010" s="16"/>
    </row>
    <row r="1011" spans="2:16" ht="15.75" customHeight="1">
      <c r="B1011" s="16"/>
      <c r="N1011" s="16"/>
      <c r="O1011" s="16"/>
      <c r="P1011" s="16"/>
    </row>
    <row r="1012" spans="2:16" ht="15.75" customHeight="1">
      <c r="B1012" s="16"/>
      <c r="N1012" s="16"/>
      <c r="O1012" s="16"/>
      <c r="P1012" s="16"/>
    </row>
    <row r="1013" spans="2:16" ht="15.75" customHeight="1">
      <c r="B1013" s="16"/>
      <c r="H1013" s="16"/>
      <c r="I1013" s="16"/>
      <c r="J1013" s="20"/>
      <c r="N1013" s="16"/>
      <c r="O1013" s="16"/>
      <c r="P1013" s="16"/>
    </row>
    <row r="1014" spans="2:16" ht="15.75" customHeight="1">
      <c r="B1014" s="16"/>
      <c r="H1014" s="16"/>
      <c r="I1014" s="16"/>
      <c r="J1014" s="20"/>
      <c r="N1014" s="16"/>
      <c r="O1014" s="16"/>
      <c r="P1014" s="16"/>
    </row>
    <row r="1015" spans="2:16" ht="15.75" customHeight="1">
      <c r="B1015" s="16"/>
      <c r="H1015" s="16"/>
      <c r="I1015" s="16"/>
      <c r="J1015" s="20"/>
      <c r="N1015" s="16"/>
      <c r="O1015" s="16"/>
      <c r="P1015" s="16"/>
    </row>
    <row r="1016" spans="2:16" ht="15.75" customHeight="1">
      <c r="B1016" s="16"/>
      <c r="H1016" s="16"/>
      <c r="I1016" s="16"/>
      <c r="J1016" s="20"/>
      <c r="N1016" s="16"/>
      <c r="O1016" s="16"/>
      <c r="P1016" s="16"/>
    </row>
    <row r="1017" spans="2:16" ht="15.75" customHeight="1">
      <c r="B1017" s="16"/>
      <c r="H1017" s="16"/>
      <c r="I1017" s="16"/>
      <c r="J1017" s="20"/>
      <c r="N1017" s="16"/>
      <c r="O1017" s="16"/>
      <c r="P1017" s="16"/>
    </row>
    <row r="1018" spans="2:16" ht="15.75" customHeight="1">
      <c r="B1018" s="16"/>
      <c r="H1018" s="16"/>
      <c r="I1018" s="16"/>
      <c r="J1018" s="20"/>
      <c r="N1018" s="16"/>
      <c r="O1018" s="16"/>
      <c r="P1018" s="16"/>
    </row>
    <row r="1019" spans="2:16" ht="15.75" customHeight="1">
      <c r="B1019" s="16"/>
      <c r="H1019" s="16"/>
      <c r="I1019" s="16"/>
      <c r="J1019" s="20"/>
      <c r="N1019" s="16"/>
      <c r="O1019" s="16"/>
      <c r="P1019" s="16"/>
    </row>
    <row r="1020" spans="2:16" ht="15.75" customHeight="1">
      <c r="B1020" s="16"/>
      <c r="H1020" s="16"/>
      <c r="I1020" s="16"/>
      <c r="J1020" s="20"/>
      <c r="N1020" s="16"/>
      <c r="O1020" s="16"/>
      <c r="P1020" s="16"/>
    </row>
    <row r="1021" spans="2:16" ht="15.75" customHeight="1">
      <c r="B1021" s="16"/>
      <c r="H1021" s="16"/>
      <c r="I1021" s="16"/>
      <c r="J1021" s="20"/>
      <c r="N1021" s="16"/>
      <c r="O1021" s="16"/>
      <c r="P1021" s="16"/>
    </row>
    <row r="1022" spans="2:16" ht="15.75" customHeight="1">
      <c r="B1022" s="16"/>
      <c r="H1022" s="16"/>
      <c r="I1022" s="16"/>
      <c r="J1022" s="20"/>
      <c r="N1022" s="16"/>
      <c r="O1022" s="16"/>
      <c r="P1022" s="16"/>
    </row>
    <row r="1023" spans="2:16" ht="15.75" customHeight="1">
      <c r="B1023" s="16"/>
      <c r="H1023" s="16"/>
      <c r="I1023" s="16"/>
      <c r="J1023" s="20"/>
      <c r="N1023" s="16"/>
      <c r="O1023" s="16"/>
      <c r="P1023" s="16"/>
    </row>
    <row r="1024" spans="2:16" ht="15.75" customHeight="1">
      <c r="B1024" s="16"/>
      <c r="H1024" s="16"/>
      <c r="I1024" s="16"/>
      <c r="J1024" s="20"/>
      <c r="N1024" s="16"/>
      <c r="O1024" s="16"/>
      <c r="P1024" s="16"/>
    </row>
    <row r="1025" spans="2:16" ht="15.75" customHeight="1">
      <c r="B1025" s="16"/>
      <c r="H1025" s="16"/>
      <c r="I1025" s="16"/>
      <c r="J1025" s="20"/>
      <c r="N1025" s="16"/>
      <c r="O1025" s="16"/>
      <c r="P1025" s="16"/>
    </row>
    <row r="1026" spans="2:16" ht="15.75" customHeight="1">
      <c r="B1026" s="16"/>
      <c r="H1026" s="16"/>
      <c r="I1026" s="16"/>
      <c r="J1026" s="20"/>
      <c r="N1026" s="16"/>
      <c r="O1026" s="16"/>
      <c r="P1026" s="16"/>
    </row>
    <row r="1027" spans="2:16" ht="15.75" customHeight="1">
      <c r="B1027" s="16"/>
      <c r="H1027" s="16"/>
      <c r="I1027" s="16"/>
      <c r="J1027" s="20"/>
      <c r="N1027" s="16"/>
      <c r="O1027" s="16"/>
      <c r="P1027" s="16"/>
    </row>
    <row r="1028" spans="2:16" ht="15.75" customHeight="1">
      <c r="B1028" s="16"/>
      <c r="H1028" s="16"/>
      <c r="I1028" s="16"/>
      <c r="J1028" s="20"/>
      <c r="N1028" s="16"/>
      <c r="O1028" s="16"/>
      <c r="P1028" s="16"/>
    </row>
    <row r="1029" spans="2:16" ht="15.75" customHeight="1">
      <c r="B1029" s="16"/>
      <c r="H1029" s="16"/>
      <c r="I1029" s="16"/>
      <c r="J1029" s="20"/>
      <c r="N1029" s="16"/>
      <c r="O1029" s="16"/>
      <c r="P1029" s="16"/>
    </row>
    <row r="1030" spans="2:16" ht="15.75" customHeight="1">
      <c r="B1030" s="16"/>
      <c r="H1030" s="16"/>
      <c r="I1030" s="16"/>
      <c r="J1030" s="20"/>
      <c r="N1030" s="16"/>
      <c r="O1030" s="16"/>
      <c r="P1030" s="16"/>
    </row>
    <row r="1031" spans="2:16" ht="15.75" customHeight="1">
      <c r="B1031" s="16"/>
      <c r="H1031" s="16"/>
      <c r="I1031" s="16"/>
      <c r="J1031" s="20"/>
      <c r="N1031" s="16"/>
      <c r="O1031" s="16"/>
      <c r="P1031" s="16"/>
    </row>
    <row r="1032" spans="2:16" ht="15.75" customHeight="1">
      <c r="B1032" s="16"/>
      <c r="H1032" s="16"/>
      <c r="I1032" s="16"/>
      <c r="J1032" s="20"/>
      <c r="N1032" s="16"/>
      <c r="O1032" s="16"/>
      <c r="P1032" s="16"/>
    </row>
    <row r="1033" spans="2:16" ht="15.75" customHeight="1">
      <c r="B1033" s="16"/>
      <c r="H1033" s="16"/>
      <c r="I1033" s="16"/>
      <c r="J1033" s="20"/>
      <c r="N1033" s="16"/>
      <c r="O1033" s="16"/>
      <c r="P1033" s="16"/>
    </row>
    <row r="1034" spans="2:16" ht="15.75" customHeight="1">
      <c r="B1034" s="16"/>
      <c r="H1034" s="16"/>
      <c r="I1034" s="16"/>
      <c r="J1034" s="20"/>
      <c r="N1034" s="16"/>
      <c r="O1034" s="16"/>
      <c r="P1034" s="16"/>
    </row>
    <row r="1035" spans="2:16" ht="15.75" customHeight="1">
      <c r="B1035" s="16"/>
      <c r="H1035" s="16"/>
      <c r="I1035" s="16"/>
      <c r="J1035" s="20"/>
      <c r="N1035" s="16"/>
      <c r="O1035" s="16"/>
      <c r="P1035" s="16"/>
    </row>
    <row r="1036" spans="2:16" ht="15.75" customHeight="1">
      <c r="B1036" s="16"/>
      <c r="H1036" s="16"/>
      <c r="I1036" s="16"/>
      <c r="J1036" s="20"/>
      <c r="N1036" s="16"/>
      <c r="O1036" s="16"/>
      <c r="P1036" s="16"/>
    </row>
    <row r="1037" spans="2:16" ht="15.75" customHeight="1">
      <c r="B1037" s="16"/>
      <c r="H1037" s="16"/>
      <c r="I1037" s="16"/>
      <c r="J1037" s="20"/>
      <c r="N1037" s="16"/>
      <c r="O1037" s="16"/>
      <c r="P1037" s="16"/>
    </row>
    <row r="1038" spans="2:16" ht="15.75" customHeight="1">
      <c r="B1038" s="16"/>
      <c r="H1038" s="16"/>
      <c r="I1038" s="16"/>
      <c r="J1038" s="20"/>
      <c r="N1038" s="16"/>
      <c r="O1038" s="16"/>
      <c r="P1038" s="16"/>
    </row>
    <row r="1039" spans="2:16" ht="15.75" customHeight="1">
      <c r="B1039" s="16"/>
      <c r="H1039" s="16"/>
      <c r="I1039" s="16"/>
      <c r="J1039" s="20"/>
      <c r="N1039" s="16"/>
      <c r="O1039" s="16"/>
      <c r="P1039" s="16"/>
    </row>
    <row r="1040" spans="2:16" ht="15.75" customHeight="1">
      <c r="B1040" s="16"/>
      <c r="H1040" s="16"/>
      <c r="I1040" s="16"/>
      <c r="J1040" s="20"/>
      <c r="N1040" s="16"/>
      <c r="O1040" s="16"/>
      <c r="P1040" s="16"/>
    </row>
    <row r="1041" spans="2:16" ht="15.75" customHeight="1">
      <c r="B1041" s="16"/>
      <c r="H1041" s="16"/>
      <c r="I1041" s="16"/>
      <c r="J1041" s="20"/>
      <c r="N1041" s="16"/>
      <c r="O1041" s="16"/>
      <c r="P1041" s="16"/>
    </row>
    <row r="1042" spans="2:16" ht="15.75" customHeight="1">
      <c r="B1042" s="16"/>
      <c r="H1042" s="16"/>
      <c r="I1042" s="16"/>
      <c r="J1042" s="20"/>
      <c r="N1042" s="16"/>
      <c r="O1042" s="16"/>
      <c r="P1042" s="16"/>
    </row>
    <row r="1043" spans="2:16" ht="15.75" customHeight="1">
      <c r="B1043" s="16"/>
      <c r="H1043" s="16"/>
      <c r="I1043" s="16"/>
      <c r="J1043" s="20"/>
      <c r="N1043" s="16"/>
      <c r="O1043" s="16"/>
      <c r="P1043" s="16"/>
    </row>
    <row r="1044" spans="2:16" ht="15.75" customHeight="1">
      <c r="B1044" s="16"/>
      <c r="H1044" s="16"/>
      <c r="I1044" s="16"/>
      <c r="J1044" s="20"/>
      <c r="N1044" s="16"/>
      <c r="O1044" s="16"/>
      <c r="P1044" s="16"/>
    </row>
    <row r="1045" spans="2:16" ht="15.75" customHeight="1">
      <c r="B1045" s="16"/>
      <c r="H1045" s="16"/>
      <c r="I1045" s="16"/>
      <c r="J1045" s="20"/>
      <c r="N1045" s="16"/>
      <c r="O1045" s="16"/>
      <c r="P1045" s="16"/>
    </row>
    <row r="1046" spans="2:16" ht="15.75" customHeight="1">
      <c r="B1046" s="16"/>
      <c r="H1046" s="16"/>
      <c r="I1046" s="16"/>
      <c r="J1046" s="20"/>
      <c r="N1046" s="16"/>
      <c r="O1046" s="16"/>
      <c r="P1046" s="16"/>
    </row>
    <row r="1047" spans="2:16" ht="15.75" customHeight="1">
      <c r="B1047" s="16"/>
      <c r="H1047" s="16"/>
      <c r="I1047" s="16"/>
      <c r="J1047" s="20"/>
      <c r="N1047" s="16"/>
      <c r="O1047" s="16"/>
      <c r="P1047" s="16"/>
    </row>
    <row r="1048" spans="2:16" ht="15.75" customHeight="1">
      <c r="B1048" s="16"/>
      <c r="H1048" s="16"/>
      <c r="I1048" s="16"/>
      <c r="J1048" s="20"/>
      <c r="N1048" s="16"/>
      <c r="O1048" s="16"/>
      <c r="P1048" s="16"/>
    </row>
    <row r="1049" spans="2:16" ht="15.75" customHeight="1">
      <c r="B1049" s="16"/>
      <c r="H1049" s="16"/>
      <c r="I1049" s="16"/>
      <c r="J1049" s="20"/>
      <c r="N1049" s="16"/>
      <c r="O1049" s="16"/>
      <c r="P1049" s="16"/>
    </row>
    <row r="1050" spans="2:16" ht="15.75" customHeight="1">
      <c r="B1050" s="16"/>
      <c r="H1050" s="16"/>
      <c r="I1050" s="16"/>
      <c r="J1050" s="20"/>
      <c r="N1050" s="16"/>
      <c r="O1050" s="16"/>
      <c r="P1050" s="16"/>
    </row>
    <row r="1051" spans="2:16" ht="15.75" customHeight="1">
      <c r="B1051" s="16"/>
      <c r="H1051" s="16"/>
      <c r="I1051" s="16"/>
      <c r="J1051" s="20"/>
      <c r="N1051" s="16"/>
      <c r="O1051" s="16"/>
      <c r="P1051" s="16"/>
    </row>
    <row r="1052" spans="2:16" ht="15.75" customHeight="1">
      <c r="B1052" s="16"/>
      <c r="H1052" s="16"/>
      <c r="I1052" s="16"/>
      <c r="J1052" s="20"/>
      <c r="N1052" s="16"/>
      <c r="O1052" s="16"/>
      <c r="P1052" s="16"/>
    </row>
    <row r="1053" spans="2:16" ht="15.75" customHeight="1">
      <c r="B1053" s="16"/>
      <c r="H1053" s="16"/>
      <c r="I1053" s="16"/>
      <c r="J1053" s="20"/>
      <c r="N1053" s="16"/>
      <c r="O1053" s="16"/>
      <c r="P1053" s="16"/>
    </row>
    <row r="1054" spans="2:16" ht="15.75" customHeight="1">
      <c r="B1054" s="16"/>
      <c r="H1054" s="16"/>
      <c r="I1054" s="16"/>
      <c r="J1054" s="20"/>
      <c r="N1054" s="16"/>
      <c r="O1054" s="16"/>
      <c r="P1054" s="16"/>
    </row>
    <row r="1055" spans="2:16" ht="15.75" customHeight="1">
      <c r="B1055" s="16"/>
      <c r="H1055" s="16"/>
      <c r="I1055" s="16"/>
      <c r="J1055" s="20"/>
      <c r="N1055" s="16"/>
      <c r="O1055" s="16"/>
      <c r="P1055" s="16"/>
    </row>
    <row r="1056" spans="2:16" ht="15.75" customHeight="1">
      <c r="B1056" s="16"/>
      <c r="H1056" s="16"/>
      <c r="I1056" s="16"/>
      <c r="J1056" s="20"/>
      <c r="N1056" s="16"/>
      <c r="O1056" s="16"/>
      <c r="P1056" s="16"/>
    </row>
    <row r="1057" spans="2:16" ht="15.75" customHeight="1">
      <c r="B1057" s="16"/>
      <c r="H1057" s="16"/>
      <c r="I1057" s="16"/>
      <c r="J1057" s="20"/>
      <c r="N1057" s="16"/>
      <c r="O1057" s="16"/>
      <c r="P1057" s="16"/>
    </row>
    <row r="1058" spans="2:16" ht="15.75" customHeight="1">
      <c r="B1058" s="16"/>
      <c r="H1058" s="16"/>
      <c r="I1058" s="16"/>
      <c r="J1058" s="20"/>
      <c r="N1058" s="16"/>
      <c r="O1058" s="16"/>
      <c r="P1058" s="16"/>
    </row>
    <row r="1059" spans="2:16" ht="15.75" customHeight="1">
      <c r="B1059" s="16"/>
      <c r="H1059" s="16"/>
      <c r="I1059" s="16"/>
      <c r="J1059" s="20"/>
      <c r="N1059" s="16"/>
      <c r="O1059" s="16"/>
      <c r="P1059" s="16"/>
    </row>
    <row r="1060" spans="2:16" ht="15.75" customHeight="1">
      <c r="B1060" s="16"/>
      <c r="H1060" s="16"/>
      <c r="I1060" s="16"/>
      <c r="J1060" s="20"/>
      <c r="N1060" s="16"/>
      <c r="O1060" s="16"/>
      <c r="P1060" s="16"/>
    </row>
    <row r="1061" spans="2:16" ht="15.75" customHeight="1">
      <c r="B1061" s="16"/>
      <c r="H1061" s="16"/>
      <c r="I1061" s="16"/>
      <c r="J1061" s="20"/>
      <c r="N1061" s="16"/>
      <c r="O1061" s="16"/>
      <c r="P1061" s="16"/>
    </row>
    <row r="1062" spans="2:16" ht="15.75" customHeight="1">
      <c r="B1062" s="16"/>
      <c r="H1062" s="16"/>
      <c r="I1062" s="16"/>
      <c r="J1062" s="20"/>
      <c r="N1062" s="16"/>
      <c r="O1062" s="16"/>
      <c r="P1062" s="16"/>
    </row>
    <row r="1063" spans="2:16" ht="15.75" customHeight="1">
      <c r="B1063" s="16"/>
      <c r="H1063" s="16"/>
      <c r="I1063" s="16"/>
      <c r="J1063" s="20"/>
      <c r="N1063" s="16"/>
      <c r="O1063" s="16"/>
      <c r="P1063" s="16"/>
    </row>
    <row r="1064" spans="2:16" ht="15.75" customHeight="1">
      <c r="B1064" s="16"/>
      <c r="H1064" s="16"/>
      <c r="I1064" s="16"/>
      <c r="J1064" s="20"/>
      <c r="N1064" s="16"/>
      <c r="O1064" s="16"/>
      <c r="P1064" s="16"/>
    </row>
    <row r="1065" spans="2:16" ht="15.75" customHeight="1">
      <c r="B1065" s="16"/>
      <c r="H1065" s="16"/>
      <c r="I1065" s="16"/>
      <c r="J1065" s="20"/>
      <c r="N1065" s="16"/>
      <c r="O1065" s="16"/>
      <c r="P1065" s="16"/>
    </row>
    <row r="1066" spans="2:16" ht="15.75" customHeight="1">
      <c r="B1066" s="16"/>
      <c r="H1066" s="16"/>
      <c r="I1066" s="16"/>
      <c r="J1066" s="20"/>
      <c r="N1066" s="16"/>
      <c r="O1066" s="16"/>
      <c r="P1066" s="16"/>
    </row>
    <row r="1067" spans="2:16" ht="15.75" customHeight="1">
      <c r="B1067" s="16"/>
      <c r="H1067" s="16"/>
      <c r="I1067" s="16"/>
      <c r="J1067" s="20"/>
      <c r="N1067" s="16"/>
      <c r="O1067" s="16"/>
      <c r="P1067" s="16"/>
    </row>
    <row r="1068" spans="2:16" ht="15.75" customHeight="1">
      <c r="B1068" s="16"/>
      <c r="H1068" s="16"/>
      <c r="I1068" s="16"/>
      <c r="J1068" s="20"/>
      <c r="N1068" s="16"/>
      <c r="O1068" s="16"/>
      <c r="P1068" s="16"/>
    </row>
    <row r="1069" spans="2:16" ht="15.75" customHeight="1">
      <c r="B1069" s="16"/>
      <c r="H1069" s="16"/>
      <c r="I1069" s="16"/>
      <c r="J1069" s="20"/>
      <c r="N1069" s="16"/>
      <c r="O1069" s="16"/>
      <c r="P1069" s="16"/>
    </row>
    <row r="1070" spans="2:16" ht="15.75" customHeight="1">
      <c r="B1070" s="16"/>
      <c r="N1070" s="16"/>
      <c r="O1070" s="16"/>
      <c r="P1070" s="16"/>
    </row>
    <row r="1071" spans="2:16" ht="15.75" customHeight="1">
      <c r="B1071" s="16"/>
      <c r="N1071" s="16"/>
      <c r="O1071" s="16"/>
      <c r="P1071" s="16"/>
    </row>
    <row r="1072" spans="2:16" ht="15.75" customHeight="1">
      <c r="B1072" s="16"/>
      <c r="H1072" s="16"/>
      <c r="I1072" s="16"/>
      <c r="J1072" s="20"/>
      <c r="N1072" s="16"/>
      <c r="O1072" s="16"/>
      <c r="P1072" s="16"/>
    </row>
    <row r="1073" spans="2:16" ht="15.75" customHeight="1">
      <c r="B1073" s="16"/>
      <c r="H1073" s="16"/>
      <c r="I1073" s="16"/>
      <c r="J1073" s="20"/>
      <c r="N1073" s="16"/>
      <c r="O1073" s="16"/>
      <c r="P1073" s="16"/>
    </row>
    <row r="1074" spans="2:16" ht="15.75" customHeight="1">
      <c r="B1074" s="16"/>
      <c r="H1074" s="16"/>
      <c r="I1074" s="16"/>
      <c r="J1074" s="20"/>
      <c r="N1074" s="16"/>
      <c r="O1074" s="16"/>
      <c r="P1074" s="16"/>
    </row>
    <row r="1075" spans="2:16" ht="15.75" customHeight="1">
      <c r="B1075" s="16"/>
      <c r="H1075" s="16"/>
      <c r="I1075" s="16"/>
      <c r="J1075" s="20"/>
      <c r="N1075" s="16"/>
      <c r="O1075" s="16"/>
      <c r="P1075" s="16"/>
    </row>
    <row r="1076" spans="2:16" ht="15.75" customHeight="1">
      <c r="B1076" s="16"/>
      <c r="H1076" s="16"/>
      <c r="I1076" s="16"/>
      <c r="J1076" s="20"/>
      <c r="N1076" s="16"/>
      <c r="O1076" s="16"/>
      <c r="P1076" s="16"/>
    </row>
    <row r="1077" spans="2:16" ht="15.75" customHeight="1">
      <c r="B1077" s="16"/>
      <c r="N1077" s="16"/>
      <c r="O1077" s="16"/>
      <c r="P1077" s="16"/>
    </row>
    <row r="1078" spans="2:16" ht="15.75" customHeight="1">
      <c r="B1078" s="16"/>
      <c r="N1078" s="16"/>
      <c r="O1078" s="16"/>
      <c r="P1078" s="16"/>
    </row>
    <row r="1079" spans="2:16" ht="15.75" customHeight="1">
      <c r="B1079" s="16"/>
      <c r="H1079" s="16"/>
      <c r="I1079" s="16"/>
      <c r="J1079" s="20"/>
      <c r="N1079" s="16"/>
      <c r="O1079" s="16"/>
      <c r="P1079" s="16"/>
    </row>
    <row r="1080" spans="2:16" ht="15.75" customHeight="1">
      <c r="B1080" s="16"/>
      <c r="H1080" s="16"/>
      <c r="I1080" s="16"/>
      <c r="J1080" s="20"/>
      <c r="N1080" s="16"/>
      <c r="O1080" s="16"/>
      <c r="P1080" s="16"/>
    </row>
    <row r="1081" spans="2:16" ht="15.75" customHeight="1">
      <c r="B1081" s="16"/>
      <c r="H1081" s="16"/>
      <c r="I1081" s="16"/>
      <c r="J1081" s="20"/>
      <c r="N1081" s="16"/>
      <c r="O1081" s="16"/>
      <c r="P1081" s="16"/>
    </row>
    <row r="1082" spans="2:16" ht="15.75" customHeight="1">
      <c r="B1082" s="16"/>
      <c r="H1082" s="16"/>
      <c r="I1082" s="16"/>
      <c r="J1082" s="20"/>
      <c r="N1082" s="16"/>
      <c r="O1082" s="16"/>
      <c r="P1082" s="16"/>
    </row>
    <row r="1083" spans="2:16" ht="15.75" customHeight="1">
      <c r="B1083" s="16"/>
      <c r="H1083" s="16"/>
      <c r="I1083" s="16"/>
      <c r="J1083" s="20"/>
      <c r="N1083" s="16"/>
      <c r="O1083" s="16"/>
      <c r="P1083" s="16"/>
    </row>
    <row r="1084" spans="2:16" ht="15.75" customHeight="1">
      <c r="B1084" s="16"/>
      <c r="H1084" s="16"/>
      <c r="I1084" s="16"/>
      <c r="J1084" s="20"/>
      <c r="N1084" s="16"/>
      <c r="O1084" s="16"/>
      <c r="P1084" s="16"/>
    </row>
    <row r="1085" spans="2:16" ht="15.75" customHeight="1">
      <c r="B1085" s="16"/>
      <c r="H1085" s="16"/>
      <c r="I1085" s="16"/>
      <c r="J1085" s="20"/>
      <c r="N1085" s="16"/>
      <c r="O1085" s="16"/>
      <c r="P1085" s="16"/>
    </row>
    <row r="1086" spans="2:16" ht="15.75" customHeight="1">
      <c r="B1086" s="16"/>
      <c r="H1086" s="16"/>
      <c r="I1086" s="16"/>
      <c r="J1086" s="20"/>
      <c r="N1086" s="16"/>
      <c r="O1086" s="16"/>
      <c r="P1086" s="16"/>
    </row>
    <row r="1087" spans="2:16" ht="15.75" customHeight="1">
      <c r="B1087" s="16"/>
      <c r="H1087" s="16"/>
      <c r="I1087" s="16"/>
      <c r="J1087" s="20"/>
      <c r="N1087" s="16"/>
      <c r="O1087" s="16"/>
      <c r="P1087" s="16"/>
    </row>
    <row r="1088" spans="2:16" ht="15.75" customHeight="1">
      <c r="B1088" s="16"/>
      <c r="H1088" s="16"/>
      <c r="I1088" s="16"/>
      <c r="J1088" s="20"/>
      <c r="N1088" s="16"/>
      <c r="O1088" s="16"/>
      <c r="P1088" s="16"/>
    </row>
    <row r="1089" spans="2:16" ht="15.75" customHeight="1">
      <c r="B1089" s="16"/>
      <c r="H1089" s="16"/>
      <c r="I1089" s="16"/>
      <c r="J1089" s="20"/>
      <c r="N1089" s="16"/>
      <c r="O1089" s="16"/>
      <c r="P1089" s="16"/>
    </row>
    <row r="1090" spans="2:16" ht="15.75" customHeight="1">
      <c r="B1090" s="16"/>
      <c r="H1090" s="16"/>
      <c r="I1090" s="16"/>
      <c r="J1090" s="20"/>
      <c r="N1090" s="16"/>
      <c r="O1090" s="16"/>
      <c r="P1090" s="16"/>
    </row>
    <row r="1091" spans="2:16" ht="15.75" customHeight="1">
      <c r="B1091" s="16"/>
      <c r="H1091" s="16"/>
      <c r="I1091" s="16"/>
      <c r="J1091" s="20"/>
      <c r="N1091" s="16"/>
      <c r="O1091" s="16"/>
      <c r="P1091" s="16"/>
    </row>
    <row r="1092" spans="2:16" ht="15.75" customHeight="1">
      <c r="B1092" s="16"/>
      <c r="H1092" s="16"/>
      <c r="I1092" s="16"/>
      <c r="J1092" s="20"/>
      <c r="N1092" s="16"/>
      <c r="O1092" s="16"/>
      <c r="P1092" s="16"/>
    </row>
    <row r="1093" spans="2:16" ht="15.75" customHeight="1">
      <c r="B1093" s="16"/>
      <c r="H1093" s="16"/>
      <c r="I1093" s="16"/>
      <c r="J1093" s="20"/>
      <c r="N1093" s="16"/>
      <c r="O1093" s="16"/>
      <c r="P1093" s="16"/>
    </row>
    <row r="1094" spans="2:16" ht="15.75" customHeight="1">
      <c r="B1094" s="16"/>
      <c r="H1094" s="16"/>
      <c r="I1094" s="16"/>
      <c r="J1094" s="20"/>
      <c r="N1094" s="16"/>
      <c r="P1094" s="16"/>
    </row>
    <row r="1095" spans="2:16" ht="15.75" customHeight="1">
      <c r="B1095" s="16"/>
      <c r="H1095" s="16"/>
      <c r="I1095" s="16"/>
      <c r="J1095" s="20"/>
      <c r="N1095" s="16"/>
      <c r="P1095" s="16"/>
    </row>
    <row r="1096" spans="2:16" ht="15.75" customHeight="1">
      <c r="B1096" s="16"/>
      <c r="H1096" s="16"/>
      <c r="I1096" s="16"/>
      <c r="J1096" s="20"/>
      <c r="N1096" s="16"/>
      <c r="O1096" s="16"/>
      <c r="P1096" s="16"/>
    </row>
    <row r="1097" spans="2:16" ht="15.75" customHeight="1">
      <c r="B1097" s="16"/>
      <c r="H1097" s="16"/>
      <c r="I1097" s="16"/>
      <c r="J1097" s="20"/>
      <c r="N1097" s="16"/>
      <c r="O1097" s="16"/>
      <c r="P1097" s="16"/>
    </row>
    <row r="1098" spans="2:16" ht="15.75" customHeight="1">
      <c r="B1098" s="16"/>
      <c r="H1098" s="16"/>
      <c r="I1098" s="16"/>
      <c r="J1098" s="20"/>
      <c r="N1098" s="16"/>
      <c r="O1098" s="16"/>
      <c r="P1098" s="16"/>
    </row>
    <row r="1099" spans="2:16" ht="15.75" customHeight="1">
      <c r="B1099" s="16"/>
      <c r="H1099" s="16"/>
      <c r="I1099" s="16"/>
      <c r="J1099" s="20"/>
      <c r="N1099" s="16"/>
      <c r="O1099" s="16"/>
      <c r="P1099" s="16"/>
    </row>
    <row r="1100" spans="2:16" ht="15.75" customHeight="1">
      <c r="B1100" s="16"/>
      <c r="H1100" s="16"/>
      <c r="I1100" s="16"/>
      <c r="J1100" s="20"/>
      <c r="N1100" s="16"/>
      <c r="O1100" s="16"/>
      <c r="P1100" s="16"/>
    </row>
    <row r="1101" spans="2:16" ht="15.75" customHeight="1">
      <c r="B1101" s="16"/>
      <c r="H1101" s="16"/>
      <c r="I1101" s="16"/>
      <c r="J1101" s="20"/>
      <c r="N1101" s="16"/>
      <c r="O1101" s="16"/>
      <c r="P1101" s="16"/>
    </row>
    <row r="1102" spans="2:16" ht="15.75" customHeight="1">
      <c r="B1102" s="16"/>
      <c r="N1102" s="16"/>
      <c r="O1102" s="16"/>
      <c r="P1102" s="16"/>
    </row>
    <row r="1103" spans="2:16" ht="15.75" customHeight="1">
      <c r="B1103" s="16"/>
      <c r="N1103" s="16"/>
      <c r="O1103" s="16"/>
      <c r="P1103" s="16"/>
    </row>
    <row r="1104" spans="2:16" ht="15.75" customHeight="1">
      <c r="B1104" s="16"/>
      <c r="H1104" s="16"/>
      <c r="I1104" s="16"/>
      <c r="J1104" s="20"/>
      <c r="N1104" s="16"/>
      <c r="O1104" s="16"/>
      <c r="P1104" s="16"/>
    </row>
    <row r="1105" spans="2:16" ht="15.75" customHeight="1">
      <c r="B1105" s="16"/>
      <c r="H1105" s="16"/>
      <c r="I1105" s="16"/>
      <c r="J1105" s="20"/>
      <c r="N1105" s="16"/>
      <c r="O1105" s="16"/>
      <c r="P1105" s="16"/>
    </row>
    <row r="1106" spans="2:16" ht="15.75" customHeight="1">
      <c r="B1106" s="16"/>
      <c r="H1106" s="16"/>
      <c r="I1106" s="16"/>
      <c r="J1106" s="20"/>
      <c r="N1106" s="16"/>
      <c r="O1106" s="16"/>
      <c r="P1106" s="16"/>
    </row>
    <row r="1107" spans="2:16" ht="15.75" customHeight="1">
      <c r="B1107" s="16"/>
      <c r="H1107" s="16"/>
      <c r="I1107" s="16"/>
      <c r="J1107" s="20"/>
      <c r="N1107" s="16"/>
      <c r="O1107" s="16"/>
      <c r="P1107" s="16"/>
    </row>
    <row r="1108" spans="2:16" ht="15.75" customHeight="1">
      <c r="B1108" s="16"/>
      <c r="H1108" s="16"/>
      <c r="I1108" s="16"/>
      <c r="J1108" s="20"/>
      <c r="N1108" s="16"/>
      <c r="O1108" s="16"/>
      <c r="P1108" s="16"/>
    </row>
    <row r="1109" spans="2:16" ht="15.75" customHeight="1">
      <c r="B1109" s="16"/>
      <c r="H1109" s="16"/>
      <c r="I1109" s="16"/>
      <c r="J1109" s="20"/>
      <c r="N1109" s="16"/>
      <c r="O1109" s="16"/>
      <c r="P1109" s="16"/>
    </row>
    <row r="1110" spans="2:16" ht="15.75" customHeight="1">
      <c r="B1110" s="16"/>
      <c r="H1110" s="16"/>
      <c r="I1110" s="16"/>
      <c r="J1110" s="20"/>
      <c r="N1110" s="16"/>
      <c r="O1110" s="16"/>
      <c r="P1110" s="16"/>
    </row>
    <row r="1111" spans="2:16" ht="15.75" customHeight="1">
      <c r="B1111" s="16"/>
      <c r="H1111" s="16"/>
      <c r="I1111" s="16"/>
      <c r="J1111" s="20"/>
      <c r="N1111" s="16"/>
      <c r="O1111" s="16"/>
      <c r="P1111" s="16"/>
    </row>
    <row r="1112" spans="2:16" ht="15.75" customHeight="1">
      <c r="B1112" s="16"/>
      <c r="H1112" s="16"/>
      <c r="I1112" s="16"/>
      <c r="J1112" s="20"/>
      <c r="N1112" s="16"/>
      <c r="O1112" s="16"/>
      <c r="P1112" s="16"/>
    </row>
    <row r="1113" spans="2:16" ht="15.75" customHeight="1">
      <c r="B1113" s="16"/>
      <c r="H1113" s="16"/>
      <c r="I1113" s="16"/>
      <c r="J1113" s="20"/>
      <c r="N1113" s="16"/>
      <c r="O1113" s="16"/>
      <c r="P1113" s="16"/>
    </row>
    <row r="1114" spans="2:16" ht="15.75" customHeight="1">
      <c r="B1114" s="16"/>
      <c r="H1114" s="16"/>
      <c r="I1114" s="16"/>
      <c r="J1114" s="20"/>
      <c r="N1114" s="16"/>
      <c r="O1114" s="16"/>
      <c r="P1114" s="16"/>
    </row>
    <row r="1115" spans="2:16" ht="15.75" customHeight="1">
      <c r="B1115" s="16"/>
      <c r="H1115" s="16"/>
      <c r="I1115" s="16"/>
      <c r="J1115" s="20"/>
      <c r="N1115" s="16"/>
      <c r="O1115" s="16"/>
      <c r="P1115" s="16"/>
    </row>
    <row r="1116" spans="2:16" ht="15.75" customHeight="1">
      <c r="B1116" s="16"/>
      <c r="H1116" s="16"/>
      <c r="I1116" s="16"/>
      <c r="J1116" s="20"/>
      <c r="N1116" s="16"/>
      <c r="O1116" s="16"/>
      <c r="P1116" s="16"/>
    </row>
    <row r="1117" spans="2:16" ht="15.75" customHeight="1">
      <c r="B1117" s="16"/>
      <c r="H1117" s="16"/>
      <c r="I1117" s="16"/>
      <c r="J1117" s="20"/>
      <c r="N1117" s="16"/>
      <c r="O1117" s="16"/>
      <c r="P1117" s="16"/>
    </row>
    <row r="1118" spans="2:16" ht="15.75" customHeight="1">
      <c r="B1118" s="16"/>
      <c r="H1118" s="16"/>
      <c r="I1118" s="16"/>
      <c r="J1118" s="20"/>
      <c r="N1118" s="16"/>
      <c r="O1118" s="16"/>
      <c r="P1118" s="16"/>
    </row>
    <row r="1119" spans="2:16" ht="15.75" customHeight="1">
      <c r="B1119" s="16"/>
      <c r="H1119" s="16"/>
      <c r="I1119" s="16"/>
      <c r="J1119" s="20"/>
      <c r="N1119" s="16"/>
      <c r="O1119" s="16"/>
      <c r="P1119" s="16"/>
    </row>
    <row r="1120" spans="2:16" ht="15.75" customHeight="1">
      <c r="B1120" s="16"/>
      <c r="H1120" s="16"/>
      <c r="I1120" s="16"/>
      <c r="J1120" s="20"/>
      <c r="N1120" s="16"/>
      <c r="O1120" s="16"/>
      <c r="P1120" s="16"/>
    </row>
    <row r="1121" spans="2:16" ht="15.75" customHeight="1">
      <c r="B1121" s="16"/>
      <c r="H1121" s="16"/>
      <c r="I1121" s="16"/>
      <c r="J1121" s="20"/>
      <c r="N1121" s="16"/>
      <c r="O1121" s="16"/>
      <c r="P1121" s="16"/>
    </row>
    <row r="1122" spans="2:16" ht="15.75" customHeight="1">
      <c r="B1122" s="16"/>
      <c r="H1122" s="16"/>
      <c r="I1122" s="16"/>
      <c r="J1122" s="20"/>
      <c r="N1122" s="16"/>
      <c r="O1122" s="16"/>
      <c r="P1122" s="16"/>
    </row>
    <row r="1123" spans="2:16" ht="15.75" customHeight="1">
      <c r="B1123" s="16"/>
      <c r="H1123" s="16"/>
      <c r="I1123" s="16"/>
      <c r="J1123" s="20"/>
      <c r="N1123" s="16"/>
      <c r="O1123" s="16"/>
      <c r="P1123" s="16"/>
    </row>
    <row r="1124" spans="2:16" ht="15.75" customHeight="1">
      <c r="B1124" s="16"/>
      <c r="H1124" s="16"/>
      <c r="I1124" s="16"/>
      <c r="J1124" s="20"/>
      <c r="N1124" s="16"/>
      <c r="O1124" s="16"/>
      <c r="P1124" s="16"/>
    </row>
    <row r="1125" spans="2:16" ht="15.75" customHeight="1">
      <c r="B1125" s="16"/>
      <c r="H1125" s="16"/>
      <c r="I1125" s="16"/>
      <c r="J1125" s="20"/>
      <c r="N1125" s="16"/>
      <c r="O1125" s="16"/>
      <c r="P1125" s="16"/>
    </row>
    <row r="1126" spans="2:16" ht="15.75" customHeight="1">
      <c r="B1126" s="16"/>
      <c r="H1126" s="16"/>
      <c r="I1126" s="16"/>
      <c r="J1126" s="20"/>
      <c r="N1126" s="16"/>
      <c r="O1126" s="16"/>
      <c r="P1126" s="16"/>
    </row>
    <row r="1127" spans="2:16" ht="15.75" customHeight="1">
      <c r="B1127" s="16"/>
      <c r="H1127" s="16"/>
      <c r="I1127" s="16"/>
      <c r="J1127" s="20"/>
      <c r="N1127" s="16"/>
      <c r="O1127" s="16"/>
      <c r="P1127" s="16"/>
    </row>
    <row r="1128" spans="2:16" ht="15.75" customHeight="1">
      <c r="B1128" s="16"/>
      <c r="H1128" s="16"/>
      <c r="I1128" s="16"/>
      <c r="J1128" s="20"/>
      <c r="N1128" s="16"/>
      <c r="O1128" s="16"/>
      <c r="P1128" s="16"/>
    </row>
    <row r="1129" spans="2:16" ht="15.75" customHeight="1">
      <c r="B1129" s="16"/>
      <c r="H1129" s="16"/>
      <c r="I1129" s="16"/>
      <c r="J1129" s="20"/>
      <c r="N1129" s="16"/>
      <c r="O1129" s="16"/>
      <c r="P1129" s="16"/>
    </row>
    <row r="1130" spans="2:16" ht="15.75" customHeight="1">
      <c r="B1130" s="16"/>
      <c r="H1130" s="16"/>
      <c r="I1130" s="16"/>
      <c r="J1130" s="20"/>
      <c r="N1130" s="16"/>
      <c r="O1130" s="16"/>
      <c r="P1130" s="16"/>
    </row>
    <row r="1131" spans="2:16" ht="15.75" customHeight="1">
      <c r="B1131" s="16"/>
      <c r="H1131" s="16"/>
      <c r="I1131" s="16"/>
      <c r="J1131" s="20"/>
      <c r="N1131" s="16"/>
      <c r="O1131" s="16"/>
      <c r="P1131" s="16"/>
    </row>
    <row r="1132" spans="2:16" ht="15.75" customHeight="1">
      <c r="B1132" s="16"/>
      <c r="H1132" s="16"/>
      <c r="I1132" s="16"/>
      <c r="J1132" s="20"/>
      <c r="N1132" s="16"/>
      <c r="O1132" s="16"/>
      <c r="P1132" s="16"/>
    </row>
    <row r="1133" spans="2:16" ht="15.75" customHeight="1">
      <c r="B1133" s="16"/>
      <c r="H1133" s="16"/>
      <c r="I1133" s="16"/>
      <c r="J1133" s="20"/>
      <c r="N1133" s="16"/>
      <c r="O1133" s="16"/>
      <c r="P1133" s="16"/>
    </row>
    <row r="1134" spans="2:16" ht="15.75" customHeight="1">
      <c r="B1134" s="16"/>
      <c r="H1134" s="16"/>
      <c r="I1134" s="16"/>
      <c r="J1134" s="20"/>
      <c r="N1134" s="16"/>
      <c r="O1134" s="16"/>
      <c r="P1134" s="16"/>
    </row>
    <row r="1135" spans="2:16" ht="15.75" customHeight="1">
      <c r="B1135" s="16"/>
      <c r="H1135" s="16"/>
      <c r="I1135" s="16"/>
      <c r="J1135" s="20"/>
      <c r="N1135" s="16"/>
      <c r="O1135" s="16"/>
      <c r="P1135" s="16"/>
    </row>
    <row r="1136" spans="2:16" ht="15.75" customHeight="1">
      <c r="B1136" s="16"/>
      <c r="H1136" s="16"/>
      <c r="I1136" s="16"/>
      <c r="J1136" s="20"/>
      <c r="N1136" s="16"/>
      <c r="O1136" s="16"/>
      <c r="P1136" s="16"/>
    </row>
    <row r="1137" spans="2:16" ht="15.75" customHeight="1">
      <c r="B1137" s="16"/>
      <c r="H1137" s="16"/>
      <c r="I1137" s="16"/>
      <c r="J1137" s="20"/>
      <c r="N1137" s="16"/>
      <c r="O1137" s="16"/>
      <c r="P1137" s="16"/>
    </row>
    <row r="1138" spans="2:16" ht="15.75" customHeight="1">
      <c r="B1138" s="16"/>
      <c r="H1138" s="16"/>
      <c r="I1138" s="16"/>
      <c r="J1138" s="20"/>
      <c r="N1138" s="16"/>
      <c r="O1138" s="16"/>
      <c r="P1138" s="16"/>
    </row>
    <row r="1139" spans="2:16" ht="15.75" customHeight="1">
      <c r="B1139" s="16"/>
      <c r="H1139" s="16"/>
      <c r="I1139" s="16"/>
      <c r="J1139" s="20"/>
      <c r="N1139" s="16"/>
      <c r="O1139" s="16"/>
      <c r="P1139" s="16"/>
    </row>
    <row r="1140" spans="2:16" ht="15.75" customHeight="1">
      <c r="B1140" s="16"/>
      <c r="H1140" s="16"/>
      <c r="I1140" s="16"/>
      <c r="J1140" s="20"/>
      <c r="N1140" s="16"/>
      <c r="O1140" s="16"/>
      <c r="P1140" s="16"/>
    </row>
    <row r="1141" spans="2:16" ht="15.75" customHeight="1">
      <c r="B1141" s="16"/>
      <c r="H1141" s="16"/>
      <c r="I1141" s="16"/>
      <c r="J1141" s="20"/>
      <c r="N1141" s="16"/>
      <c r="O1141" s="16"/>
      <c r="P1141" s="16"/>
    </row>
    <row r="1142" spans="2:16" ht="15.75" customHeight="1">
      <c r="B1142" s="16"/>
      <c r="H1142" s="16"/>
      <c r="I1142" s="16"/>
      <c r="J1142" s="20"/>
      <c r="N1142" s="16"/>
      <c r="O1142" s="16"/>
      <c r="P1142" s="16"/>
    </row>
    <row r="1143" spans="2:16" ht="15.75" customHeight="1">
      <c r="B1143" s="16"/>
      <c r="H1143" s="16"/>
      <c r="I1143" s="16"/>
      <c r="J1143" s="20"/>
      <c r="N1143" s="16"/>
      <c r="O1143" s="16"/>
      <c r="P1143" s="16"/>
    </row>
    <row r="1144" spans="2:16" ht="15.75" customHeight="1">
      <c r="B1144" s="16"/>
      <c r="H1144" s="16"/>
      <c r="I1144" s="16"/>
      <c r="J1144" s="20"/>
      <c r="N1144" s="16"/>
      <c r="O1144" s="16"/>
      <c r="P1144" s="16"/>
    </row>
    <row r="1145" spans="2:16" ht="15.75" customHeight="1">
      <c r="B1145" s="16"/>
      <c r="H1145" s="16"/>
      <c r="I1145" s="16"/>
      <c r="J1145" s="20"/>
      <c r="N1145" s="16"/>
      <c r="O1145" s="16"/>
      <c r="P1145" s="16"/>
    </row>
    <row r="1146" spans="2:16" ht="15.75" customHeight="1">
      <c r="B1146" s="16"/>
      <c r="H1146" s="16"/>
      <c r="I1146" s="16"/>
      <c r="J1146" s="20"/>
      <c r="N1146" s="16"/>
      <c r="O1146" s="16"/>
      <c r="P1146" s="16"/>
    </row>
    <row r="1147" spans="2:16" ht="15.75" customHeight="1">
      <c r="B1147" s="16"/>
      <c r="H1147" s="16"/>
      <c r="I1147" s="16"/>
      <c r="J1147" s="20"/>
      <c r="N1147" s="16"/>
      <c r="O1147" s="16"/>
      <c r="P1147" s="16"/>
    </row>
    <row r="1148" spans="2:16" ht="15.75" customHeight="1">
      <c r="B1148" s="16"/>
      <c r="H1148" s="16"/>
      <c r="I1148" s="16"/>
      <c r="J1148" s="20"/>
      <c r="N1148" s="16"/>
      <c r="O1148" s="16"/>
      <c r="P1148" s="16"/>
    </row>
    <row r="1149" spans="2:16" ht="15.75" customHeight="1">
      <c r="B1149" s="16"/>
      <c r="H1149" s="16"/>
      <c r="I1149" s="16"/>
      <c r="J1149" s="20"/>
      <c r="N1149" s="16"/>
      <c r="O1149" s="16"/>
      <c r="P1149" s="16"/>
    </row>
    <row r="1150" spans="2:16" ht="15.75" customHeight="1">
      <c r="B1150" s="16"/>
      <c r="H1150" s="16"/>
      <c r="I1150" s="16"/>
      <c r="J1150" s="20"/>
      <c r="N1150" s="16"/>
      <c r="O1150" s="16"/>
      <c r="P1150" s="16"/>
    </row>
    <row r="1151" spans="2:16" ht="15.75" customHeight="1">
      <c r="B1151" s="16"/>
      <c r="H1151" s="16"/>
      <c r="I1151" s="16"/>
      <c r="J1151" s="20"/>
      <c r="N1151" s="16"/>
      <c r="O1151" s="16"/>
      <c r="P1151" s="16"/>
    </row>
    <row r="1152" spans="2:16" ht="15.75" customHeight="1">
      <c r="B1152" s="16"/>
      <c r="H1152" s="16"/>
      <c r="I1152" s="16"/>
      <c r="J1152" s="20"/>
      <c r="N1152" s="16"/>
      <c r="O1152" s="16"/>
      <c r="P1152" s="16"/>
    </row>
    <row r="1153" spans="2:16" ht="15.75" customHeight="1">
      <c r="B1153" s="16"/>
      <c r="H1153" s="16"/>
      <c r="I1153" s="16"/>
      <c r="J1153" s="20"/>
      <c r="N1153" s="16"/>
      <c r="O1153" s="16"/>
      <c r="P1153" s="16"/>
    </row>
    <row r="1154" spans="2:16" ht="15.75" customHeight="1">
      <c r="B1154" s="16"/>
      <c r="H1154" s="16"/>
      <c r="I1154" s="16"/>
      <c r="J1154" s="20"/>
      <c r="N1154" s="16"/>
      <c r="O1154" s="16"/>
      <c r="P1154" s="16"/>
    </row>
    <row r="1155" spans="2:16" ht="15.75" customHeight="1">
      <c r="B1155" s="16"/>
      <c r="H1155" s="16"/>
      <c r="I1155" s="16"/>
      <c r="J1155" s="20"/>
      <c r="N1155" s="16"/>
      <c r="O1155" s="16"/>
      <c r="P1155" s="16"/>
    </row>
    <row r="1156" spans="2:16" ht="15.75" customHeight="1">
      <c r="B1156" s="16"/>
      <c r="H1156" s="16"/>
      <c r="I1156" s="16"/>
      <c r="J1156" s="20"/>
      <c r="N1156" s="16"/>
      <c r="O1156" s="16"/>
      <c r="P1156" s="16"/>
    </row>
    <row r="1157" spans="2:16" ht="15.75" customHeight="1">
      <c r="B1157" s="16"/>
      <c r="H1157" s="16"/>
      <c r="I1157" s="16"/>
      <c r="J1157" s="20"/>
      <c r="N1157" s="16"/>
      <c r="O1157" s="16"/>
      <c r="P1157" s="16"/>
    </row>
    <row r="1158" spans="2:16" ht="15.75" customHeight="1">
      <c r="B1158" s="16"/>
      <c r="H1158" s="16"/>
      <c r="I1158" s="16"/>
      <c r="J1158" s="20"/>
      <c r="N1158" s="16"/>
      <c r="O1158" s="16"/>
      <c r="P1158" s="16"/>
    </row>
    <row r="1159" spans="2:16" ht="15.75" customHeight="1">
      <c r="B1159" s="16"/>
      <c r="H1159" s="16"/>
      <c r="I1159" s="16"/>
      <c r="J1159" s="20"/>
      <c r="N1159" s="16"/>
      <c r="O1159" s="16"/>
      <c r="P1159" s="16"/>
    </row>
    <row r="1160" spans="2:16" ht="15.75" customHeight="1">
      <c r="B1160" s="16"/>
      <c r="H1160" s="16"/>
      <c r="I1160" s="16"/>
      <c r="J1160" s="20"/>
      <c r="N1160" s="16"/>
      <c r="O1160" s="16"/>
      <c r="P1160" s="16"/>
    </row>
    <row r="1161" spans="2:16" ht="15.75" customHeight="1">
      <c r="B1161" s="16"/>
      <c r="H1161" s="16"/>
      <c r="I1161" s="16"/>
      <c r="J1161" s="20"/>
      <c r="N1161" s="16"/>
      <c r="O1161" s="16"/>
      <c r="P1161" s="16"/>
    </row>
    <row r="1162" spans="2:16" ht="15.75" customHeight="1">
      <c r="B1162" s="16"/>
      <c r="H1162" s="16"/>
      <c r="I1162" s="16"/>
      <c r="J1162" s="20"/>
      <c r="N1162" s="16"/>
      <c r="O1162" s="16"/>
      <c r="P1162" s="16"/>
    </row>
    <row r="1163" spans="2:16" ht="15.75" customHeight="1">
      <c r="B1163" s="16"/>
      <c r="H1163" s="16"/>
      <c r="I1163" s="16"/>
      <c r="J1163" s="20"/>
      <c r="N1163" s="16"/>
      <c r="O1163" s="16"/>
      <c r="P1163" s="16"/>
    </row>
    <row r="1164" spans="2:16" ht="15.75" customHeight="1">
      <c r="B1164" s="16"/>
      <c r="H1164" s="16"/>
      <c r="I1164" s="16"/>
      <c r="J1164" s="20"/>
      <c r="N1164" s="16"/>
      <c r="O1164" s="16"/>
      <c r="P1164" s="16"/>
    </row>
    <row r="1165" spans="2:16" ht="15.75" customHeight="1">
      <c r="B1165" s="16"/>
      <c r="H1165" s="16"/>
      <c r="I1165" s="16"/>
      <c r="J1165" s="20"/>
      <c r="N1165" s="16"/>
      <c r="O1165" s="16"/>
      <c r="P1165" s="16"/>
    </row>
    <row r="1166" spans="2:16" ht="15.75" customHeight="1">
      <c r="B1166" s="16"/>
      <c r="H1166" s="16"/>
      <c r="I1166" s="16"/>
      <c r="J1166" s="20"/>
      <c r="N1166" s="16"/>
      <c r="O1166" s="16"/>
      <c r="P1166" s="16"/>
    </row>
    <row r="1167" spans="2:16" ht="15.75" customHeight="1">
      <c r="B1167" s="16"/>
      <c r="H1167" s="16"/>
      <c r="I1167" s="16"/>
      <c r="J1167" s="20"/>
      <c r="N1167" s="16"/>
      <c r="O1167" s="16"/>
      <c r="P1167" s="16"/>
    </row>
    <row r="1168" spans="2:16" ht="15.75" customHeight="1">
      <c r="B1168" s="16"/>
      <c r="H1168" s="16"/>
      <c r="I1168" s="16"/>
      <c r="J1168" s="20"/>
      <c r="N1168" s="16"/>
      <c r="O1168" s="16"/>
      <c r="P1168" s="16"/>
    </row>
    <row r="1169" spans="2:16" ht="15.75" customHeight="1">
      <c r="B1169" s="16"/>
      <c r="H1169" s="16"/>
      <c r="I1169" s="16"/>
      <c r="J1169" s="20"/>
      <c r="N1169" s="16"/>
      <c r="O1169" s="16"/>
      <c r="P1169" s="16"/>
    </row>
    <row r="1170" spans="2:16" ht="15.75" customHeight="1">
      <c r="B1170" s="16"/>
      <c r="H1170" s="16"/>
      <c r="I1170" s="16"/>
      <c r="J1170" s="20"/>
      <c r="N1170" s="16"/>
      <c r="O1170" s="16"/>
      <c r="P1170" s="16"/>
    </row>
    <row r="1171" spans="2:16" ht="15.75" customHeight="1">
      <c r="B1171" s="16"/>
      <c r="H1171" s="16"/>
      <c r="I1171" s="16"/>
      <c r="J1171" s="20"/>
      <c r="N1171" s="16"/>
      <c r="O1171" s="16"/>
      <c r="P1171" s="16"/>
    </row>
    <row r="1172" spans="2:16" ht="15.75" customHeight="1">
      <c r="B1172" s="16"/>
      <c r="H1172" s="16"/>
      <c r="I1172" s="16"/>
      <c r="J1172" s="20"/>
      <c r="N1172" s="16"/>
      <c r="O1172" s="16"/>
      <c r="P1172" s="16"/>
    </row>
    <row r="1173" spans="2:16" ht="15.75" customHeight="1">
      <c r="B1173" s="16"/>
      <c r="H1173" s="16"/>
      <c r="I1173" s="16"/>
      <c r="J1173" s="20"/>
      <c r="N1173" s="16"/>
      <c r="O1173" s="16"/>
      <c r="P1173" s="16"/>
    </row>
    <row r="1174" spans="2:16" ht="15.75" customHeight="1">
      <c r="B1174" s="16"/>
      <c r="H1174" s="16"/>
      <c r="I1174" s="16"/>
      <c r="J1174" s="20"/>
      <c r="N1174" s="16"/>
      <c r="O1174" s="16"/>
      <c r="P1174" s="16"/>
    </row>
    <row r="1175" spans="2:16" ht="15.75" customHeight="1">
      <c r="B1175" s="16"/>
      <c r="H1175" s="16"/>
      <c r="I1175" s="16"/>
      <c r="J1175" s="20"/>
      <c r="N1175" s="16"/>
      <c r="O1175" s="16"/>
      <c r="P1175" s="16"/>
    </row>
    <row r="1176" spans="2:16" ht="15.75" customHeight="1">
      <c r="B1176" s="16"/>
      <c r="H1176" s="16"/>
      <c r="I1176" s="16"/>
      <c r="J1176" s="20"/>
      <c r="N1176" s="16"/>
      <c r="O1176" s="16"/>
      <c r="P1176" s="16"/>
    </row>
    <row r="1177" spans="2:16" ht="15.75" customHeight="1">
      <c r="B1177" s="16"/>
      <c r="H1177" s="16"/>
      <c r="I1177" s="16"/>
      <c r="J1177" s="20"/>
      <c r="N1177" s="16"/>
      <c r="O1177" s="16"/>
      <c r="P1177" s="16"/>
    </row>
    <row r="1178" spans="2:16" ht="15.75" customHeight="1">
      <c r="B1178" s="16"/>
      <c r="H1178" s="16"/>
      <c r="I1178" s="16"/>
      <c r="J1178" s="20"/>
      <c r="N1178" s="16"/>
      <c r="O1178" s="16"/>
      <c r="P1178" s="16"/>
    </row>
    <row r="1179" spans="2:16" ht="15.75" customHeight="1">
      <c r="B1179" s="16"/>
      <c r="H1179" s="16"/>
      <c r="I1179" s="16"/>
      <c r="J1179" s="20"/>
      <c r="N1179" s="16"/>
      <c r="O1179" s="16"/>
      <c r="P1179" s="16"/>
    </row>
    <row r="1180" spans="2:16" ht="15.75" customHeight="1">
      <c r="B1180" s="16"/>
      <c r="H1180" s="16"/>
      <c r="I1180" s="16"/>
      <c r="J1180" s="20"/>
      <c r="N1180" s="16"/>
      <c r="O1180" s="16"/>
      <c r="P1180" s="16"/>
    </row>
    <row r="1181" spans="2:16" ht="15.75" customHeight="1">
      <c r="B1181" s="16"/>
      <c r="H1181" s="16"/>
      <c r="I1181" s="16"/>
      <c r="J1181" s="20"/>
      <c r="N1181" s="16"/>
      <c r="O1181" s="16"/>
      <c r="P1181" s="16"/>
    </row>
    <row r="1182" spans="2:16" ht="15.75" customHeight="1">
      <c r="B1182" s="16"/>
      <c r="H1182" s="16"/>
      <c r="I1182" s="16"/>
      <c r="J1182" s="20"/>
      <c r="N1182" s="16"/>
      <c r="O1182" s="16"/>
      <c r="P1182" s="16"/>
    </row>
    <row r="1183" spans="2:16" ht="15.75" customHeight="1">
      <c r="B1183" s="16"/>
      <c r="H1183" s="16"/>
      <c r="I1183" s="16"/>
      <c r="J1183" s="20"/>
      <c r="N1183" s="16"/>
      <c r="O1183" s="16"/>
      <c r="P1183" s="16"/>
    </row>
    <row r="1184" spans="2:16" ht="15.75" customHeight="1">
      <c r="B1184" s="16"/>
      <c r="H1184" s="16"/>
      <c r="I1184" s="16"/>
      <c r="J1184" s="20"/>
      <c r="N1184" s="16"/>
      <c r="O1184" s="16"/>
      <c r="P1184" s="16"/>
    </row>
    <row r="1185" spans="2:16" ht="15.75" customHeight="1">
      <c r="B1185" s="16"/>
      <c r="H1185" s="16"/>
      <c r="I1185" s="16"/>
      <c r="J1185" s="20"/>
      <c r="N1185" s="16"/>
      <c r="O1185" s="16"/>
      <c r="P1185" s="16"/>
    </row>
    <row r="1186" spans="2:16" ht="15.75" customHeight="1">
      <c r="B1186" s="16"/>
      <c r="H1186" s="16"/>
      <c r="I1186" s="16"/>
      <c r="J1186" s="20"/>
      <c r="N1186" s="16"/>
      <c r="O1186" s="16"/>
      <c r="P1186" s="16"/>
    </row>
    <row r="1187" spans="2:16" ht="15.75" customHeight="1">
      <c r="B1187" s="16"/>
      <c r="H1187" s="16"/>
      <c r="I1187" s="16"/>
      <c r="J1187" s="20"/>
      <c r="N1187" s="16"/>
      <c r="O1187" s="16"/>
      <c r="P1187" s="16"/>
    </row>
    <row r="1188" spans="2:16" ht="15.75" customHeight="1">
      <c r="B1188" s="16"/>
      <c r="H1188" s="16"/>
      <c r="I1188" s="16"/>
      <c r="J1188" s="20"/>
      <c r="N1188" s="16"/>
      <c r="O1188" s="16"/>
      <c r="P1188" s="16"/>
    </row>
    <row r="1189" spans="2:16" ht="15.75" customHeight="1">
      <c r="B1189" s="16"/>
      <c r="H1189" s="16"/>
      <c r="I1189" s="16"/>
      <c r="J1189" s="20"/>
      <c r="N1189" s="16"/>
      <c r="O1189" s="16"/>
      <c r="P1189" s="16"/>
    </row>
    <row r="1190" spans="2:16" ht="15.75" customHeight="1">
      <c r="B1190" s="16"/>
      <c r="H1190" s="16"/>
      <c r="I1190" s="16"/>
      <c r="J1190" s="20"/>
      <c r="N1190" s="16"/>
      <c r="O1190" s="16"/>
      <c r="P1190" s="16"/>
    </row>
    <row r="1191" spans="2:16" ht="15.75" customHeight="1">
      <c r="B1191" s="16"/>
      <c r="H1191" s="16"/>
      <c r="I1191" s="16"/>
      <c r="J1191" s="20"/>
      <c r="N1191" s="16"/>
      <c r="O1191" s="16"/>
      <c r="P1191" s="16"/>
    </row>
    <row r="1192" spans="2:16" ht="15.75" customHeight="1">
      <c r="B1192" s="16"/>
      <c r="H1192" s="16"/>
      <c r="I1192" s="16"/>
      <c r="J1192" s="20"/>
      <c r="N1192" s="16"/>
      <c r="O1192" s="16"/>
      <c r="P1192" s="16"/>
    </row>
    <row r="1193" spans="2:16" ht="15.75" customHeight="1">
      <c r="B1193" s="16"/>
      <c r="H1193" s="16"/>
      <c r="I1193" s="16"/>
      <c r="J1193" s="20"/>
      <c r="N1193" s="16"/>
      <c r="O1193" s="16"/>
      <c r="P1193" s="16"/>
    </row>
    <row r="1194" spans="2:16" ht="15.75" customHeight="1">
      <c r="B1194" s="16"/>
      <c r="H1194" s="16"/>
      <c r="I1194" s="16"/>
      <c r="J1194" s="20"/>
      <c r="N1194" s="16"/>
      <c r="O1194" s="16"/>
      <c r="P1194" s="16"/>
    </row>
    <row r="1195" spans="2:16" ht="15.75" customHeight="1">
      <c r="B1195" s="16"/>
      <c r="H1195" s="16"/>
      <c r="I1195" s="16"/>
      <c r="J1195" s="20"/>
      <c r="N1195" s="16"/>
      <c r="O1195" s="16"/>
      <c r="P1195" s="16"/>
    </row>
    <row r="1196" spans="2:16" ht="15.75" customHeight="1">
      <c r="B1196" s="16"/>
      <c r="H1196" s="16"/>
      <c r="I1196" s="16"/>
      <c r="J1196" s="20"/>
      <c r="N1196" s="16"/>
      <c r="O1196" s="16"/>
      <c r="P1196" s="16"/>
    </row>
    <row r="1197" spans="2:16" ht="15.75" customHeight="1">
      <c r="B1197" s="16"/>
      <c r="H1197" s="16"/>
      <c r="I1197" s="16"/>
      <c r="J1197" s="20"/>
      <c r="N1197" s="16"/>
      <c r="O1197" s="16"/>
      <c r="P1197" s="16"/>
    </row>
    <row r="1198" spans="2:16" ht="15.75" customHeight="1">
      <c r="B1198" s="16"/>
      <c r="H1198" s="16"/>
      <c r="I1198" s="16"/>
      <c r="J1198" s="20"/>
      <c r="N1198" s="16"/>
      <c r="O1198" s="16"/>
      <c r="P1198" s="16"/>
    </row>
    <row r="1199" spans="2:16" ht="15.75" customHeight="1">
      <c r="B1199" s="16"/>
      <c r="H1199" s="16"/>
      <c r="I1199" s="16"/>
      <c r="J1199" s="20"/>
      <c r="N1199" s="16"/>
      <c r="O1199" s="16"/>
      <c r="P1199" s="16"/>
    </row>
    <row r="1200" spans="2:16" ht="15.75" customHeight="1">
      <c r="B1200" s="16"/>
      <c r="H1200" s="16"/>
      <c r="I1200" s="16"/>
      <c r="J1200" s="20"/>
      <c r="N1200" s="16"/>
      <c r="O1200" s="16"/>
      <c r="P1200" s="16"/>
    </row>
    <row r="1201" spans="2:16" ht="15.75" customHeight="1">
      <c r="B1201" s="16"/>
      <c r="H1201" s="16"/>
      <c r="I1201" s="16"/>
      <c r="J1201" s="20"/>
      <c r="N1201" s="16"/>
      <c r="O1201" s="16"/>
      <c r="P1201" s="16"/>
    </row>
    <row r="1202" spans="2:16" ht="15.75" customHeight="1">
      <c r="B1202" s="16"/>
      <c r="H1202" s="16"/>
      <c r="I1202" s="16"/>
      <c r="J1202" s="20"/>
      <c r="N1202" s="16"/>
      <c r="O1202" s="16"/>
      <c r="P1202" s="16"/>
    </row>
    <row r="1203" spans="2:16" ht="15.75" customHeight="1">
      <c r="B1203" s="16"/>
      <c r="H1203" s="16"/>
      <c r="I1203" s="16"/>
      <c r="J1203" s="20"/>
      <c r="N1203" s="16"/>
      <c r="O1203" s="16"/>
      <c r="P1203" s="16"/>
    </row>
    <row r="1204" spans="2:16" ht="15.75" customHeight="1">
      <c r="B1204" s="16"/>
      <c r="H1204" s="16"/>
      <c r="I1204" s="16"/>
      <c r="J1204" s="20"/>
      <c r="N1204" s="16"/>
      <c r="O1204" s="16"/>
      <c r="P1204" s="16"/>
    </row>
    <row r="1205" spans="2:16" ht="15.75" customHeight="1">
      <c r="B1205" s="16"/>
      <c r="H1205" s="16"/>
      <c r="I1205" s="16"/>
      <c r="J1205" s="20"/>
      <c r="N1205" s="16"/>
      <c r="O1205" s="16"/>
      <c r="P1205" s="16"/>
    </row>
    <row r="1206" spans="2:16" ht="15.75" customHeight="1">
      <c r="B1206" s="16"/>
      <c r="H1206" s="16"/>
      <c r="I1206" s="16"/>
      <c r="J1206" s="20"/>
      <c r="N1206" s="16"/>
      <c r="P1206" s="16"/>
    </row>
    <row r="1207" spans="2:16" ht="15.75" customHeight="1">
      <c r="B1207" s="16"/>
      <c r="N1207" s="16"/>
      <c r="P1207" s="16"/>
    </row>
    <row r="1208" spans="2:16" ht="15.75" customHeight="1">
      <c r="B1208" s="16"/>
      <c r="N1208" s="16"/>
      <c r="P1208" s="16"/>
    </row>
    <row r="1209" spans="2:16" ht="15.75" customHeight="1">
      <c r="B1209" s="16"/>
      <c r="N1209" s="16"/>
      <c r="O1209" s="16"/>
      <c r="P1209" s="16"/>
    </row>
    <row r="1210" spans="2:16" ht="15.75" customHeight="1">
      <c r="B1210" s="16"/>
      <c r="H1210" s="16"/>
      <c r="I1210" s="16"/>
      <c r="J1210" s="20"/>
      <c r="N1210" s="16"/>
      <c r="O1210" s="16"/>
      <c r="P1210" s="16"/>
    </row>
    <row r="1211" spans="2:16" ht="15.75" customHeight="1">
      <c r="B1211" s="16"/>
      <c r="H1211" s="16"/>
      <c r="I1211" s="16"/>
      <c r="J1211" s="20"/>
      <c r="N1211" s="16"/>
      <c r="O1211" s="16"/>
      <c r="P1211" s="16"/>
    </row>
    <row r="1212" spans="2:16" ht="15.75" customHeight="1">
      <c r="B1212" s="16"/>
      <c r="H1212" s="16"/>
      <c r="I1212" s="16"/>
      <c r="J1212" s="20"/>
      <c r="N1212" s="16"/>
      <c r="O1212" s="16"/>
      <c r="P1212" s="16"/>
    </row>
    <row r="1213" spans="2:16" ht="15.75" customHeight="1">
      <c r="B1213" s="16"/>
      <c r="H1213" s="16"/>
      <c r="I1213" s="16"/>
      <c r="J1213" s="20"/>
      <c r="N1213" s="16"/>
      <c r="O1213" s="16"/>
      <c r="P1213" s="16"/>
    </row>
    <row r="1214" spans="2:16" ht="15.75" customHeight="1">
      <c r="B1214" s="16"/>
      <c r="H1214" s="16"/>
      <c r="I1214" s="16"/>
      <c r="J1214" s="20"/>
      <c r="N1214" s="16"/>
      <c r="O1214" s="16"/>
      <c r="P1214" s="16"/>
    </row>
    <row r="1215" spans="2:16" ht="15.75" customHeight="1">
      <c r="B1215" s="16"/>
      <c r="H1215" s="16"/>
      <c r="I1215" s="16"/>
      <c r="J1215" s="20"/>
      <c r="N1215" s="16"/>
      <c r="O1215" s="16"/>
      <c r="P1215" s="16"/>
    </row>
    <row r="1216" spans="2:16" ht="15.75" customHeight="1">
      <c r="B1216" s="16"/>
      <c r="H1216" s="16"/>
      <c r="I1216" s="16"/>
      <c r="J1216" s="20"/>
      <c r="N1216" s="16"/>
      <c r="O1216" s="16"/>
      <c r="P1216" s="16"/>
    </row>
    <row r="1217" spans="2:16" ht="15.75" customHeight="1">
      <c r="B1217" s="16"/>
      <c r="H1217" s="16"/>
      <c r="I1217" s="16"/>
      <c r="J1217" s="20"/>
      <c r="N1217" s="16"/>
      <c r="O1217" s="16"/>
      <c r="P1217" s="16"/>
    </row>
    <row r="1218" spans="2:16" ht="15.75" customHeight="1">
      <c r="B1218" s="16"/>
      <c r="H1218" s="16"/>
      <c r="I1218" s="16"/>
      <c r="J1218" s="20"/>
      <c r="N1218" s="16"/>
      <c r="O1218" s="16"/>
      <c r="P1218" s="16"/>
    </row>
    <row r="1219" spans="2:16" ht="15.75" customHeight="1">
      <c r="B1219" s="16"/>
      <c r="H1219" s="16"/>
      <c r="I1219" s="16"/>
      <c r="J1219" s="20"/>
      <c r="N1219" s="16"/>
      <c r="O1219" s="16"/>
      <c r="P1219" s="16"/>
    </row>
    <row r="1220" spans="2:16" ht="15.75" customHeight="1">
      <c r="B1220" s="16"/>
      <c r="H1220" s="16"/>
      <c r="I1220" s="16"/>
      <c r="J1220" s="20"/>
      <c r="N1220" s="16"/>
      <c r="O1220" s="16"/>
      <c r="P1220" s="16"/>
    </row>
    <row r="1221" spans="2:16" ht="15.75" customHeight="1">
      <c r="B1221" s="16"/>
      <c r="H1221" s="16"/>
      <c r="I1221" s="16"/>
      <c r="J1221" s="20"/>
      <c r="N1221" s="16"/>
      <c r="O1221" s="16"/>
      <c r="P1221" s="16"/>
    </row>
    <row r="1222" spans="2:16" ht="15.75" customHeight="1">
      <c r="B1222" s="16"/>
      <c r="H1222" s="16"/>
      <c r="I1222" s="16"/>
      <c r="J1222" s="20"/>
      <c r="N1222" s="16"/>
      <c r="O1222" s="16"/>
      <c r="P1222" s="16"/>
    </row>
    <row r="1223" spans="2:16" ht="15.75" customHeight="1">
      <c r="B1223" s="16"/>
      <c r="H1223" s="16"/>
      <c r="I1223" s="16"/>
      <c r="J1223" s="20"/>
      <c r="N1223" s="16"/>
      <c r="O1223" s="16"/>
      <c r="P1223" s="16"/>
    </row>
    <row r="1224" spans="2:16" ht="15.75" customHeight="1">
      <c r="B1224" s="16"/>
      <c r="H1224" s="16"/>
      <c r="I1224" s="16"/>
      <c r="J1224" s="20"/>
      <c r="N1224" s="16"/>
      <c r="O1224" s="16"/>
      <c r="P1224" s="16"/>
    </row>
    <row r="1225" spans="2:16" ht="15.75" customHeight="1">
      <c r="B1225" s="16"/>
      <c r="H1225" s="16"/>
      <c r="I1225" s="16"/>
      <c r="J1225" s="20"/>
      <c r="N1225" s="16"/>
      <c r="O1225" s="16"/>
      <c r="P1225" s="16"/>
    </row>
    <row r="1226" spans="2:16" ht="15.75" customHeight="1">
      <c r="B1226" s="16"/>
      <c r="N1226" s="16"/>
      <c r="O1226" s="16"/>
      <c r="P1226" s="16"/>
    </row>
    <row r="1227" spans="2:16" ht="15.75" customHeight="1">
      <c r="B1227" s="16"/>
      <c r="N1227" s="16"/>
      <c r="O1227" s="16"/>
      <c r="P1227" s="16"/>
    </row>
    <row r="1228" spans="2:16" ht="15.75" customHeight="1">
      <c r="B1228" s="16"/>
      <c r="N1228" s="16"/>
      <c r="O1228" s="16"/>
      <c r="P1228" s="16"/>
    </row>
    <row r="1229" spans="2:16" ht="15.75" customHeight="1">
      <c r="B1229" s="16"/>
      <c r="N1229" s="16"/>
      <c r="O1229" s="16"/>
      <c r="P1229" s="16"/>
    </row>
    <row r="1230" spans="2:16" ht="15.75" customHeight="1">
      <c r="B1230" s="16"/>
      <c r="N1230" s="16"/>
      <c r="O1230" s="16"/>
      <c r="P1230" s="16"/>
    </row>
    <row r="1231" spans="2:16" ht="15.75" customHeight="1">
      <c r="B1231" s="16"/>
      <c r="N1231" s="16"/>
      <c r="O1231" s="16"/>
      <c r="P1231" s="16"/>
    </row>
    <row r="1232" spans="2:16" ht="15.75" customHeight="1">
      <c r="B1232" s="16"/>
      <c r="H1232" s="16"/>
      <c r="I1232" s="16"/>
      <c r="J1232" s="20"/>
      <c r="N1232" s="16"/>
      <c r="O1232" s="16"/>
      <c r="P1232" s="16"/>
    </row>
    <row r="1233" spans="2:16" ht="15.75" customHeight="1">
      <c r="B1233" s="16"/>
      <c r="H1233" s="16"/>
      <c r="I1233" s="16"/>
      <c r="J1233" s="20"/>
      <c r="N1233" s="16"/>
      <c r="O1233" s="16"/>
      <c r="P1233" s="16"/>
    </row>
    <row r="1234" spans="2:16" ht="15.75" customHeight="1">
      <c r="B1234" s="16"/>
      <c r="H1234" s="16"/>
      <c r="I1234" s="16"/>
      <c r="J1234" s="20"/>
      <c r="N1234" s="16"/>
      <c r="O1234" s="16"/>
      <c r="P1234" s="16"/>
    </row>
    <row r="1235" spans="2:16" ht="15.75" customHeight="1">
      <c r="B1235" s="16"/>
      <c r="H1235" s="16"/>
      <c r="I1235" s="16"/>
      <c r="J1235" s="20"/>
      <c r="N1235" s="16"/>
      <c r="O1235" s="16"/>
      <c r="P1235" s="16"/>
    </row>
    <row r="1236" spans="2:16" ht="15.75" customHeight="1">
      <c r="B1236" s="16"/>
      <c r="H1236" s="16"/>
      <c r="I1236" s="16"/>
      <c r="J1236" s="20"/>
      <c r="N1236" s="16"/>
      <c r="O1236" s="16"/>
      <c r="P1236" s="16"/>
    </row>
    <row r="1237" spans="2:16" ht="15.75" customHeight="1">
      <c r="B1237" s="16"/>
      <c r="H1237" s="16"/>
      <c r="I1237" s="16"/>
      <c r="J1237" s="20"/>
      <c r="N1237" s="16"/>
      <c r="O1237" s="16"/>
      <c r="P1237" s="16"/>
    </row>
    <row r="1238" spans="2:16" ht="15.75" customHeight="1">
      <c r="B1238" s="16"/>
      <c r="H1238" s="16"/>
      <c r="I1238" s="16"/>
      <c r="J1238" s="20"/>
      <c r="N1238" s="16"/>
      <c r="O1238" s="16"/>
      <c r="P1238" s="16"/>
    </row>
    <row r="1239" spans="2:16" ht="15.75" customHeight="1">
      <c r="B1239" s="16"/>
      <c r="H1239" s="16"/>
      <c r="I1239" s="16"/>
      <c r="J1239" s="20"/>
      <c r="N1239" s="16"/>
      <c r="O1239" s="16"/>
      <c r="P1239" s="16"/>
    </row>
    <row r="1240" spans="2:16" ht="15.75" customHeight="1">
      <c r="B1240" s="16"/>
      <c r="H1240" s="16"/>
      <c r="I1240" s="16"/>
      <c r="J1240" s="20"/>
      <c r="N1240" s="16"/>
      <c r="O1240" s="16"/>
      <c r="P1240" s="16"/>
    </row>
    <row r="1241" spans="2:16" ht="15.75" customHeight="1">
      <c r="B1241" s="16"/>
      <c r="H1241" s="16"/>
      <c r="I1241" s="16"/>
      <c r="J1241" s="20"/>
      <c r="N1241" s="16"/>
      <c r="O1241" s="16"/>
      <c r="P1241" s="16"/>
    </row>
    <row r="1242" spans="2:16" ht="15.75" customHeight="1">
      <c r="B1242" s="16"/>
      <c r="H1242" s="16"/>
      <c r="I1242" s="16"/>
      <c r="J1242" s="20"/>
      <c r="N1242" s="16"/>
      <c r="O1242" s="16"/>
      <c r="P1242" s="16"/>
    </row>
    <row r="1243" spans="2:16" ht="15.75" customHeight="1">
      <c r="B1243" s="16"/>
      <c r="H1243" s="16"/>
      <c r="I1243" s="16"/>
      <c r="J1243" s="20"/>
      <c r="N1243" s="16"/>
      <c r="O1243" s="16"/>
      <c r="P1243" s="16"/>
    </row>
    <row r="1244" spans="2:16" ht="15.75" customHeight="1">
      <c r="B1244" s="16"/>
      <c r="H1244" s="16"/>
      <c r="I1244" s="16"/>
      <c r="J1244" s="20"/>
      <c r="N1244" s="16"/>
      <c r="P1244" s="16"/>
    </row>
    <row r="1245" spans="2:16" ht="15.75" customHeight="1">
      <c r="B1245" s="16"/>
      <c r="H1245" s="16"/>
      <c r="I1245" s="16"/>
      <c r="J1245" s="20"/>
      <c r="N1245" s="16"/>
      <c r="P1245" s="16"/>
    </row>
    <row r="1246" spans="2:16" ht="15.75" customHeight="1">
      <c r="B1246" s="16"/>
      <c r="H1246" s="16"/>
      <c r="I1246" s="16"/>
      <c r="J1246" s="20"/>
      <c r="N1246" s="16"/>
      <c r="O1246" s="16"/>
      <c r="P1246" s="16"/>
    </row>
    <row r="1247" spans="2:16" ht="15.75" customHeight="1">
      <c r="B1247" s="16"/>
      <c r="H1247" s="16"/>
      <c r="I1247" s="16"/>
      <c r="J1247" s="20"/>
      <c r="N1247" s="16"/>
      <c r="O1247" s="16"/>
      <c r="P1247" s="16"/>
    </row>
    <row r="1248" spans="2:16" ht="15.75" customHeight="1">
      <c r="B1248" s="16"/>
      <c r="H1248" s="16"/>
      <c r="I1248" s="16"/>
      <c r="J1248" s="20"/>
      <c r="N1248" s="16"/>
      <c r="O1248" s="16"/>
      <c r="P1248" s="16"/>
    </row>
    <row r="1249" spans="2:16" ht="15.75" customHeight="1">
      <c r="B1249" s="16"/>
      <c r="H1249" s="16"/>
      <c r="I1249" s="16"/>
      <c r="J1249" s="20"/>
      <c r="N1249" s="16"/>
      <c r="O1249" s="16"/>
      <c r="P1249" s="16"/>
    </row>
    <row r="1250" spans="2:16" ht="15.75" customHeight="1">
      <c r="B1250" s="16"/>
      <c r="H1250" s="16"/>
      <c r="I1250" s="16"/>
      <c r="J1250" s="20"/>
      <c r="N1250" s="16"/>
      <c r="O1250" s="16"/>
      <c r="P1250" s="16"/>
    </row>
    <row r="1251" spans="2:16" ht="15.75" customHeight="1">
      <c r="B1251" s="16"/>
      <c r="H1251" s="16"/>
      <c r="I1251" s="16"/>
      <c r="J1251" s="20"/>
      <c r="N1251" s="16"/>
      <c r="O1251" s="16"/>
      <c r="P1251" s="16"/>
    </row>
    <row r="1252" spans="2:16" ht="15.75" customHeight="1">
      <c r="B1252" s="16"/>
      <c r="H1252" s="16"/>
      <c r="I1252" s="16"/>
      <c r="J1252" s="20"/>
      <c r="N1252" s="16"/>
      <c r="O1252" s="16"/>
      <c r="P1252" s="16"/>
    </row>
    <row r="1253" spans="2:16" ht="15.75" customHeight="1">
      <c r="B1253" s="16"/>
      <c r="H1253" s="16"/>
      <c r="I1253" s="16"/>
      <c r="J1253" s="20"/>
      <c r="N1253" s="16"/>
      <c r="O1253" s="16"/>
      <c r="P1253" s="16"/>
    </row>
    <row r="1254" spans="2:16" ht="15.75" customHeight="1">
      <c r="B1254" s="16"/>
      <c r="H1254" s="16"/>
      <c r="I1254" s="16"/>
      <c r="J1254" s="20"/>
      <c r="N1254" s="16"/>
      <c r="O1254" s="16"/>
      <c r="P1254" s="16"/>
    </row>
    <row r="1255" spans="2:16" ht="15.75" customHeight="1">
      <c r="B1255" s="16"/>
      <c r="H1255" s="16"/>
      <c r="I1255" s="16"/>
      <c r="J1255" s="20"/>
      <c r="N1255" s="16"/>
      <c r="O1255" s="16"/>
      <c r="P1255" s="16"/>
    </row>
    <row r="1256" spans="2:16" ht="15.75" customHeight="1">
      <c r="B1256" s="16"/>
      <c r="H1256" s="16"/>
      <c r="I1256" s="16"/>
      <c r="J1256" s="20"/>
      <c r="N1256" s="16"/>
      <c r="O1256" s="16"/>
      <c r="P1256" s="16"/>
    </row>
    <row r="1257" spans="2:16" ht="15.75" customHeight="1">
      <c r="B1257" s="16"/>
      <c r="H1257" s="16"/>
      <c r="I1257" s="16"/>
      <c r="J1257" s="20"/>
      <c r="N1257" s="16"/>
      <c r="O1257" s="16"/>
      <c r="P1257" s="16"/>
    </row>
    <row r="1258" spans="2:16" ht="15.75" customHeight="1">
      <c r="B1258" s="16"/>
      <c r="H1258" s="16"/>
      <c r="I1258" s="16"/>
      <c r="J1258" s="20"/>
      <c r="N1258" s="16"/>
      <c r="O1258" s="16"/>
      <c r="P1258" s="16"/>
    </row>
    <row r="1259" spans="2:16" ht="15.75" customHeight="1">
      <c r="B1259" s="16"/>
      <c r="H1259" s="16"/>
      <c r="I1259" s="16"/>
      <c r="J1259" s="20"/>
      <c r="N1259" s="16"/>
      <c r="O1259" s="16"/>
      <c r="P1259" s="16"/>
    </row>
    <row r="1260" spans="2:16" ht="15.75" customHeight="1">
      <c r="B1260" s="16"/>
      <c r="H1260" s="16"/>
      <c r="I1260" s="16"/>
      <c r="J1260" s="20"/>
      <c r="N1260" s="16"/>
      <c r="O1260" s="16"/>
      <c r="P1260" s="16"/>
    </row>
    <row r="1261" spans="2:16" ht="15.75" customHeight="1">
      <c r="B1261" s="16"/>
      <c r="H1261" s="16"/>
      <c r="I1261" s="16"/>
      <c r="J1261" s="20"/>
      <c r="N1261" s="16"/>
      <c r="O1261" s="16"/>
      <c r="P1261" s="16"/>
    </row>
    <row r="1262" spans="2:16" ht="15.75" customHeight="1">
      <c r="B1262" s="16"/>
      <c r="H1262" s="16"/>
      <c r="I1262" s="16"/>
      <c r="J1262" s="20"/>
      <c r="N1262" s="16"/>
      <c r="O1262" s="16"/>
      <c r="P1262" s="16"/>
    </row>
    <row r="1263" spans="2:16" ht="15.75" customHeight="1">
      <c r="B1263" s="16"/>
      <c r="H1263" s="16"/>
      <c r="I1263" s="16"/>
      <c r="J1263" s="20"/>
      <c r="N1263" s="16"/>
      <c r="O1263" s="16"/>
      <c r="P1263" s="16"/>
    </row>
    <row r="1264" spans="2:16" ht="15.75" customHeight="1">
      <c r="B1264" s="16"/>
      <c r="H1264" s="16"/>
      <c r="I1264" s="16"/>
      <c r="J1264" s="20"/>
      <c r="N1264" s="16"/>
      <c r="O1264" s="16"/>
      <c r="P1264" s="16"/>
    </row>
    <row r="1265" spans="2:16" ht="15.75" customHeight="1">
      <c r="B1265" s="16"/>
      <c r="H1265" s="16"/>
      <c r="I1265" s="16"/>
      <c r="J1265" s="20"/>
      <c r="N1265" s="16"/>
      <c r="O1265" s="16"/>
      <c r="P1265" s="16"/>
    </row>
    <row r="1266" spans="2:16" ht="15.75" customHeight="1">
      <c r="B1266" s="16"/>
      <c r="H1266" s="16"/>
      <c r="I1266" s="16"/>
      <c r="J1266" s="20"/>
      <c r="N1266" s="16"/>
      <c r="O1266" s="16"/>
      <c r="P1266" s="16"/>
    </row>
    <row r="1267" spans="2:16" ht="15.75" customHeight="1">
      <c r="B1267" s="16"/>
      <c r="H1267" s="16"/>
      <c r="I1267" s="16"/>
      <c r="J1267" s="20"/>
      <c r="N1267" s="16"/>
      <c r="O1267" s="16"/>
      <c r="P1267" s="16"/>
    </row>
    <row r="1268" spans="2:16" ht="15.75" customHeight="1">
      <c r="B1268" s="16"/>
      <c r="H1268" s="16"/>
      <c r="I1268" s="16"/>
      <c r="J1268" s="20"/>
      <c r="N1268" s="16"/>
      <c r="O1268" s="16"/>
      <c r="P1268" s="16"/>
    </row>
    <row r="1269" spans="2:16" ht="15.75" customHeight="1">
      <c r="B1269" s="16"/>
      <c r="H1269" s="16"/>
      <c r="I1269" s="16"/>
      <c r="J1269" s="20"/>
      <c r="N1269" s="16"/>
      <c r="O1269" s="16"/>
      <c r="P1269" s="16"/>
    </row>
    <row r="1270" spans="2:16" ht="15.75" customHeight="1">
      <c r="B1270" s="16"/>
      <c r="H1270" s="16"/>
      <c r="I1270" s="16"/>
      <c r="J1270" s="20"/>
      <c r="N1270" s="16"/>
      <c r="O1270" s="16"/>
      <c r="P1270" s="16"/>
    </row>
    <row r="1271" spans="2:16" ht="15.75" customHeight="1">
      <c r="B1271" s="16"/>
      <c r="H1271" s="16"/>
      <c r="I1271" s="16"/>
      <c r="J1271" s="20"/>
      <c r="N1271" s="16"/>
      <c r="O1271" s="16"/>
      <c r="P1271" s="16"/>
    </row>
    <row r="1272" spans="2:16" ht="15.75" customHeight="1">
      <c r="B1272" s="16"/>
      <c r="H1272" s="16"/>
      <c r="I1272" s="16"/>
      <c r="J1272" s="20"/>
      <c r="N1272" s="16"/>
      <c r="O1272" s="16"/>
      <c r="P1272" s="16"/>
    </row>
    <row r="1273" spans="2:16" ht="15.75" customHeight="1">
      <c r="B1273" s="16"/>
      <c r="H1273" s="16"/>
      <c r="I1273" s="16"/>
      <c r="J1273" s="20"/>
      <c r="N1273" s="16"/>
      <c r="O1273" s="16"/>
      <c r="P1273" s="16"/>
    </row>
    <row r="1274" spans="2:16" ht="15.75" customHeight="1">
      <c r="B1274" s="16"/>
      <c r="H1274" s="16"/>
      <c r="I1274" s="16"/>
      <c r="J1274" s="20"/>
      <c r="N1274" s="16"/>
      <c r="O1274" s="16"/>
      <c r="P1274" s="16"/>
    </row>
    <row r="1275" spans="2:16" ht="15.75" customHeight="1">
      <c r="B1275" s="16"/>
      <c r="H1275" s="16"/>
      <c r="I1275" s="16"/>
      <c r="J1275" s="20"/>
      <c r="N1275" s="16"/>
      <c r="O1275" s="16"/>
      <c r="P1275" s="16"/>
    </row>
    <row r="1276" spans="2:16" ht="15.75" customHeight="1">
      <c r="B1276" s="16"/>
      <c r="H1276" s="16"/>
      <c r="I1276" s="16"/>
      <c r="J1276" s="20"/>
      <c r="N1276" s="16"/>
      <c r="O1276" s="16"/>
      <c r="P1276" s="16"/>
    </row>
    <row r="1277" spans="2:16" ht="15.75" customHeight="1">
      <c r="B1277" s="16"/>
      <c r="H1277" s="16"/>
      <c r="I1277" s="16"/>
      <c r="J1277" s="20"/>
      <c r="N1277" s="16"/>
      <c r="O1277" s="16"/>
      <c r="P1277" s="16"/>
    </row>
    <row r="1278" spans="2:16" ht="15.75" customHeight="1">
      <c r="B1278" s="16"/>
      <c r="H1278" s="16"/>
      <c r="I1278" s="16"/>
      <c r="J1278" s="20"/>
      <c r="N1278" s="16"/>
      <c r="O1278" s="16"/>
      <c r="P1278" s="16"/>
    </row>
    <row r="1279" spans="2:16" ht="15.75" customHeight="1">
      <c r="B1279" s="16"/>
      <c r="H1279" s="16"/>
      <c r="I1279" s="16"/>
      <c r="J1279" s="20"/>
      <c r="N1279" s="16"/>
      <c r="O1279" s="16"/>
      <c r="P1279" s="16"/>
    </row>
    <row r="1280" spans="2:16" ht="15.75" customHeight="1">
      <c r="B1280" s="16"/>
      <c r="H1280" s="16"/>
      <c r="I1280" s="16"/>
      <c r="J1280" s="20"/>
      <c r="N1280" s="16"/>
      <c r="O1280" s="16"/>
      <c r="P1280" s="16"/>
    </row>
    <row r="1281" spans="2:16" ht="15.75" customHeight="1">
      <c r="B1281" s="16"/>
      <c r="H1281" s="16"/>
      <c r="I1281" s="16"/>
      <c r="J1281" s="20"/>
      <c r="N1281" s="16"/>
      <c r="O1281" s="16"/>
      <c r="P1281" s="16"/>
    </row>
    <row r="1282" spans="2:16" ht="15.75" customHeight="1">
      <c r="B1282" s="16"/>
      <c r="H1282" s="16"/>
      <c r="I1282" s="16"/>
      <c r="J1282" s="20"/>
      <c r="N1282" s="16"/>
      <c r="O1282" s="16"/>
      <c r="P1282" s="16"/>
    </row>
    <row r="1283" spans="2:16" ht="15.75" customHeight="1">
      <c r="B1283" s="16"/>
      <c r="H1283" s="16"/>
      <c r="I1283" s="16"/>
      <c r="J1283" s="20"/>
      <c r="N1283" s="16"/>
      <c r="O1283" s="16"/>
      <c r="P1283" s="16"/>
    </row>
    <row r="1284" spans="2:16" ht="15.75" customHeight="1">
      <c r="B1284" s="16"/>
      <c r="H1284" s="16"/>
      <c r="N1284" s="16"/>
      <c r="O1284" s="16"/>
      <c r="P1284" s="16"/>
    </row>
    <row r="1285" spans="2:16" ht="15.75" customHeight="1">
      <c r="B1285" s="16"/>
      <c r="H1285" s="16"/>
      <c r="I1285" s="16"/>
      <c r="J1285" s="20"/>
      <c r="N1285" s="16"/>
      <c r="O1285" s="16"/>
      <c r="P1285" s="16"/>
    </row>
    <row r="1286" spans="2:16" ht="15.75" customHeight="1">
      <c r="B1286" s="16"/>
      <c r="N1286" s="16"/>
      <c r="O1286" s="16"/>
      <c r="P1286" s="16"/>
    </row>
    <row r="1287" spans="2:16" ht="15.75" customHeight="1">
      <c r="B1287" s="16"/>
      <c r="N1287" s="16"/>
      <c r="O1287" s="16"/>
      <c r="P1287" s="16"/>
    </row>
    <row r="1288" spans="2:16" ht="15.75" customHeight="1">
      <c r="B1288" s="16"/>
      <c r="N1288" s="16"/>
      <c r="O1288" s="16"/>
      <c r="P1288" s="16"/>
    </row>
    <row r="1289" spans="2:16" ht="15.75" customHeight="1">
      <c r="B1289" s="16"/>
      <c r="N1289" s="16"/>
      <c r="O1289" s="16"/>
      <c r="P1289" s="16"/>
    </row>
    <row r="1290" spans="2:16" ht="15.75" customHeight="1">
      <c r="B1290" s="16"/>
      <c r="N1290" s="16"/>
      <c r="O1290" s="16"/>
      <c r="P1290" s="16"/>
    </row>
    <row r="1291" spans="2:16" ht="15.75" customHeight="1">
      <c r="B1291" s="16"/>
      <c r="N1291" s="16"/>
      <c r="O1291" s="16"/>
      <c r="P1291" s="16"/>
    </row>
    <row r="1292" spans="2:16" ht="15.75" customHeight="1">
      <c r="B1292" s="16"/>
      <c r="N1292" s="16"/>
      <c r="O1292" s="16"/>
      <c r="P1292" s="16"/>
    </row>
    <row r="1293" spans="2:16" ht="15.75" customHeight="1">
      <c r="B1293" s="16"/>
      <c r="H1293" s="16"/>
      <c r="I1293" s="16"/>
      <c r="J1293" s="20"/>
      <c r="N1293" s="16"/>
      <c r="O1293" s="16"/>
      <c r="P1293" s="16"/>
    </row>
    <row r="1294" spans="2:16" ht="15.75" customHeight="1">
      <c r="B1294" s="16"/>
      <c r="H1294" s="16"/>
      <c r="I1294" s="16"/>
      <c r="J1294" s="20"/>
      <c r="N1294" s="16"/>
      <c r="O1294" s="16"/>
      <c r="P1294" s="16"/>
    </row>
    <row r="1295" spans="2:16" ht="15.75" customHeight="1">
      <c r="B1295" s="16"/>
      <c r="H1295" s="16"/>
      <c r="I1295" s="16"/>
      <c r="J1295" s="20"/>
      <c r="N1295" s="16"/>
      <c r="O1295" s="16"/>
      <c r="P1295" s="16"/>
    </row>
    <row r="1296" spans="2:16" ht="15.75" customHeight="1">
      <c r="B1296" s="16"/>
      <c r="H1296" s="16"/>
      <c r="I1296" s="16"/>
      <c r="J1296" s="20"/>
      <c r="N1296" s="16"/>
      <c r="O1296" s="16"/>
      <c r="P1296" s="16"/>
    </row>
    <row r="1297" spans="2:16" ht="15.75" customHeight="1">
      <c r="B1297" s="16"/>
      <c r="H1297" s="16"/>
      <c r="I1297" s="16"/>
      <c r="J1297" s="20"/>
      <c r="N1297" s="16"/>
      <c r="O1297" s="16"/>
      <c r="P1297" s="16"/>
    </row>
    <row r="1298" spans="2:16" ht="15.75" customHeight="1">
      <c r="B1298" s="16"/>
      <c r="H1298" s="16"/>
      <c r="I1298" s="16"/>
      <c r="J1298" s="20"/>
      <c r="N1298" s="16"/>
      <c r="O1298" s="16"/>
      <c r="P1298" s="16"/>
    </row>
    <row r="1299" spans="2:16" ht="15.75" customHeight="1">
      <c r="B1299" s="16"/>
      <c r="H1299" s="16"/>
      <c r="I1299" s="16"/>
      <c r="J1299" s="20"/>
      <c r="N1299" s="16"/>
      <c r="O1299" s="16"/>
      <c r="P1299" s="16"/>
    </row>
    <row r="1300" spans="2:16" ht="15.75" customHeight="1">
      <c r="B1300" s="16"/>
      <c r="H1300" s="16"/>
      <c r="I1300" s="16"/>
      <c r="J1300" s="20"/>
      <c r="N1300" s="16"/>
      <c r="O1300" s="16"/>
      <c r="P1300" s="16"/>
    </row>
    <row r="1301" spans="2:16" ht="15.75" customHeight="1">
      <c r="B1301" s="16"/>
      <c r="H1301" s="16"/>
      <c r="I1301" s="16"/>
      <c r="J1301" s="20"/>
      <c r="N1301" s="16"/>
      <c r="O1301" s="16"/>
      <c r="P1301" s="16"/>
    </row>
    <row r="1302" spans="2:16" ht="15.75" customHeight="1">
      <c r="B1302" s="16"/>
      <c r="N1302" s="16"/>
      <c r="O1302" s="16"/>
      <c r="P1302" s="16"/>
    </row>
    <row r="1303" spans="2:16" ht="15.75" customHeight="1">
      <c r="B1303" s="16"/>
      <c r="N1303" s="16"/>
      <c r="O1303" s="16"/>
      <c r="P1303" s="16"/>
    </row>
    <row r="1304" spans="2:16" ht="15.75" customHeight="1">
      <c r="B1304" s="16"/>
      <c r="H1304" s="16"/>
      <c r="N1304" s="16"/>
      <c r="O1304" s="16"/>
      <c r="P1304" s="16"/>
    </row>
    <row r="1305" spans="2:16" ht="15.75" customHeight="1">
      <c r="B1305" s="16"/>
      <c r="H1305" s="16"/>
      <c r="I1305" s="16"/>
      <c r="J1305" s="20"/>
      <c r="N1305" s="16"/>
      <c r="O1305" s="16"/>
      <c r="P1305" s="16"/>
    </row>
    <row r="1306" spans="2:16" ht="15.75" customHeight="1">
      <c r="B1306" s="16"/>
      <c r="H1306" s="16"/>
      <c r="I1306" s="16"/>
      <c r="J1306" s="20"/>
      <c r="N1306" s="16"/>
      <c r="O1306" s="16"/>
      <c r="P1306" s="16"/>
    </row>
    <row r="1307" spans="2:16" ht="15.75" customHeight="1">
      <c r="B1307" s="16"/>
      <c r="H1307" s="16"/>
      <c r="I1307" s="16"/>
      <c r="J1307" s="20"/>
      <c r="N1307" s="16"/>
      <c r="O1307" s="16"/>
      <c r="P1307" s="16"/>
    </row>
    <row r="1308" spans="2:16" ht="15.75" customHeight="1">
      <c r="B1308" s="16"/>
      <c r="H1308" s="16"/>
      <c r="I1308" s="16"/>
      <c r="J1308" s="20"/>
      <c r="N1308" s="16"/>
      <c r="O1308" s="16"/>
      <c r="P1308" s="16"/>
    </row>
    <row r="1309" spans="2:16" ht="15.75" customHeight="1">
      <c r="B1309" s="16"/>
      <c r="H1309" s="16"/>
      <c r="I1309" s="16"/>
      <c r="J1309" s="20"/>
      <c r="N1309" s="16"/>
      <c r="O1309" s="16"/>
      <c r="P1309" s="16"/>
    </row>
    <row r="1310" spans="2:16" ht="15.75" customHeight="1">
      <c r="B1310" s="16"/>
      <c r="H1310" s="16"/>
      <c r="I1310" s="16"/>
      <c r="J1310" s="20"/>
      <c r="N1310" s="16"/>
      <c r="O1310" s="16"/>
      <c r="P1310" s="16"/>
    </row>
    <row r="1311" spans="2:16" ht="15.75" customHeight="1">
      <c r="B1311" s="16"/>
      <c r="H1311" s="16"/>
      <c r="I1311" s="16"/>
      <c r="J1311" s="20"/>
      <c r="N1311" s="16"/>
      <c r="O1311" s="16"/>
      <c r="P1311" s="16"/>
    </row>
    <row r="1312" spans="2:16" ht="15.75" customHeight="1">
      <c r="B1312" s="16"/>
      <c r="H1312" s="16"/>
      <c r="I1312" s="16"/>
      <c r="J1312" s="20"/>
      <c r="N1312" s="16"/>
      <c r="O1312" s="16"/>
      <c r="P1312" s="16"/>
    </row>
    <row r="1313" spans="2:16" ht="15.75" customHeight="1">
      <c r="B1313" s="16"/>
      <c r="H1313" s="16"/>
      <c r="I1313" s="16"/>
      <c r="J1313" s="20"/>
      <c r="N1313" s="16"/>
      <c r="O1313" s="16"/>
      <c r="P1313" s="16"/>
    </row>
    <row r="1314" spans="2:16" ht="15.75" customHeight="1">
      <c r="B1314" s="16"/>
      <c r="H1314" s="16"/>
      <c r="I1314" s="16"/>
      <c r="J1314" s="20"/>
      <c r="N1314" s="16"/>
      <c r="O1314" s="16"/>
      <c r="P1314" s="16"/>
    </row>
    <row r="1315" spans="2:16" ht="15.75" customHeight="1">
      <c r="B1315" s="16"/>
      <c r="H1315" s="16"/>
      <c r="I1315" s="16"/>
      <c r="J1315" s="20"/>
      <c r="N1315" s="16"/>
      <c r="O1315" s="16"/>
      <c r="P1315" s="16"/>
    </row>
    <row r="1316" spans="2:16" ht="15.75" customHeight="1">
      <c r="B1316" s="16"/>
      <c r="H1316" s="16"/>
      <c r="I1316" s="16"/>
      <c r="J1316" s="20"/>
      <c r="N1316" s="16"/>
      <c r="O1316" s="16"/>
      <c r="P1316" s="16"/>
    </row>
    <row r="1317" spans="2:16" ht="15.75" customHeight="1">
      <c r="B1317" s="16"/>
      <c r="H1317" s="16"/>
      <c r="I1317" s="16"/>
      <c r="J1317" s="20"/>
      <c r="N1317" s="16"/>
      <c r="O1317" s="16"/>
      <c r="P1317" s="16"/>
    </row>
    <row r="1318" spans="2:16" ht="15.75" customHeight="1">
      <c r="B1318" s="16"/>
      <c r="H1318" s="16"/>
      <c r="I1318" s="16"/>
      <c r="J1318" s="20"/>
      <c r="N1318" s="16"/>
      <c r="O1318" s="16"/>
      <c r="P1318" s="16"/>
    </row>
    <row r="1319" spans="2:16" ht="15.75" customHeight="1">
      <c r="B1319" s="16"/>
      <c r="H1319" s="16"/>
      <c r="I1319" s="16"/>
      <c r="J1319" s="20"/>
      <c r="N1319" s="16"/>
      <c r="O1319" s="16"/>
      <c r="P1319" s="16"/>
    </row>
    <row r="1320" spans="2:16" ht="15.75" customHeight="1">
      <c r="B1320" s="16"/>
      <c r="H1320" s="16"/>
      <c r="I1320" s="16"/>
      <c r="J1320" s="20"/>
      <c r="N1320" s="16"/>
      <c r="O1320" s="16"/>
      <c r="P1320" s="16"/>
    </row>
    <row r="1321" spans="2:16" ht="15.75" customHeight="1">
      <c r="B1321" s="16"/>
      <c r="H1321" s="16"/>
      <c r="I1321" s="16"/>
      <c r="J1321" s="20"/>
      <c r="N1321" s="16"/>
      <c r="O1321" s="16"/>
      <c r="P1321" s="16"/>
    </row>
    <row r="1322" spans="2:16" ht="15.75" customHeight="1">
      <c r="B1322" s="16"/>
      <c r="H1322" s="16"/>
      <c r="I1322" s="16"/>
      <c r="J1322" s="20"/>
      <c r="N1322" s="16"/>
      <c r="O1322" s="16"/>
      <c r="P1322" s="16"/>
    </row>
    <row r="1323" spans="2:16" ht="15.75" customHeight="1">
      <c r="B1323" s="16"/>
      <c r="H1323" s="16"/>
      <c r="I1323" s="16"/>
      <c r="J1323" s="20"/>
      <c r="N1323" s="16"/>
      <c r="O1323" s="16"/>
      <c r="P1323" s="16"/>
    </row>
    <row r="1324" spans="2:16" ht="15.75" customHeight="1">
      <c r="B1324" s="16"/>
      <c r="H1324" s="16"/>
      <c r="I1324" s="16"/>
      <c r="J1324" s="20"/>
      <c r="N1324" s="16"/>
      <c r="O1324" s="16"/>
      <c r="P1324" s="16"/>
    </row>
    <row r="1325" spans="2:16" ht="15.75" customHeight="1">
      <c r="B1325" s="16"/>
      <c r="H1325" s="16"/>
      <c r="I1325" s="16"/>
      <c r="J1325" s="20"/>
      <c r="N1325" s="16"/>
      <c r="O1325" s="16"/>
      <c r="P1325" s="16"/>
    </row>
    <row r="1326" spans="2:16" ht="15.75" customHeight="1">
      <c r="B1326" s="16"/>
      <c r="H1326" s="16"/>
      <c r="I1326" s="16"/>
      <c r="J1326" s="20"/>
      <c r="N1326" s="16"/>
      <c r="O1326" s="16"/>
      <c r="P1326" s="16"/>
    </row>
    <row r="1327" spans="2:16" ht="15.75" customHeight="1">
      <c r="B1327" s="16"/>
      <c r="H1327" s="16"/>
      <c r="I1327" s="16"/>
      <c r="J1327" s="20"/>
      <c r="N1327" s="16"/>
      <c r="O1327" s="16"/>
      <c r="P1327" s="16"/>
    </row>
    <row r="1328" spans="2:16" ht="15.75" customHeight="1">
      <c r="B1328" s="16"/>
      <c r="H1328" s="16"/>
      <c r="I1328" s="16"/>
      <c r="J1328" s="20"/>
      <c r="N1328" s="16"/>
      <c r="O1328" s="16"/>
      <c r="P1328" s="16"/>
    </row>
    <row r="1329" spans="2:16" ht="15.75" customHeight="1">
      <c r="B1329" s="16"/>
      <c r="H1329" s="16"/>
      <c r="I1329" s="16"/>
      <c r="J1329" s="20"/>
      <c r="N1329" s="16"/>
      <c r="O1329" s="16"/>
      <c r="P1329" s="16"/>
    </row>
    <row r="1330" spans="2:16" ht="15.75" customHeight="1">
      <c r="B1330" s="16"/>
      <c r="H1330" s="16"/>
      <c r="I1330" s="16"/>
      <c r="J1330" s="20"/>
      <c r="N1330" s="16"/>
      <c r="O1330" s="16"/>
      <c r="P1330" s="16"/>
    </row>
    <row r="1331" spans="2:16" ht="15.75" customHeight="1">
      <c r="B1331" s="16"/>
      <c r="H1331" s="16"/>
      <c r="I1331" s="16"/>
      <c r="J1331" s="20"/>
      <c r="N1331" s="16"/>
      <c r="O1331" s="16"/>
      <c r="P1331" s="16"/>
    </row>
    <row r="1332" spans="2:16" ht="15.75" customHeight="1">
      <c r="B1332" s="16"/>
      <c r="H1332" s="16"/>
      <c r="I1332" s="16"/>
      <c r="J1332" s="20"/>
      <c r="N1332" s="16"/>
      <c r="O1332" s="16"/>
      <c r="P1332" s="16"/>
    </row>
    <row r="1333" spans="2:16" ht="15.75" customHeight="1">
      <c r="B1333" s="16"/>
      <c r="H1333" s="16"/>
      <c r="I1333" s="16"/>
      <c r="J1333" s="20"/>
      <c r="N1333" s="16"/>
      <c r="O1333" s="16"/>
      <c r="P1333" s="16"/>
    </row>
    <row r="1334" spans="2:16" ht="15.75" customHeight="1">
      <c r="B1334" s="16"/>
      <c r="H1334" s="16"/>
      <c r="I1334" s="16"/>
      <c r="J1334" s="20"/>
      <c r="N1334" s="16"/>
      <c r="O1334" s="16"/>
      <c r="P1334" s="16"/>
    </row>
    <row r="1335" spans="2:16" ht="15.75" customHeight="1">
      <c r="B1335" s="16"/>
      <c r="H1335" s="16"/>
      <c r="I1335" s="16"/>
      <c r="J1335" s="20"/>
      <c r="N1335" s="16"/>
      <c r="O1335" s="16"/>
      <c r="P1335" s="16"/>
    </row>
    <row r="1336" spans="2:16" ht="15.75" customHeight="1">
      <c r="B1336" s="16"/>
      <c r="H1336" s="16"/>
      <c r="I1336" s="16"/>
      <c r="J1336" s="20"/>
      <c r="N1336" s="16"/>
      <c r="O1336" s="16"/>
      <c r="P1336" s="16"/>
    </row>
    <row r="1337" spans="2:16" ht="15.75" customHeight="1">
      <c r="B1337" s="16"/>
      <c r="H1337" s="16"/>
      <c r="I1337" s="16"/>
      <c r="J1337" s="20"/>
      <c r="N1337" s="16"/>
      <c r="O1337" s="16"/>
      <c r="P1337" s="16"/>
    </row>
    <row r="1338" spans="2:16" ht="15.75" customHeight="1">
      <c r="B1338" s="16"/>
      <c r="H1338" s="16"/>
      <c r="I1338" s="16"/>
      <c r="J1338" s="20"/>
      <c r="N1338" s="16"/>
      <c r="O1338" s="16"/>
      <c r="P1338" s="16"/>
    </row>
    <row r="1339" spans="2:16" ht="15.75" customHeight="1">
      <c r="B1339" s="16"/>
      <c r="H1339" s="16"/>
      <c r="I1339" s="16"/>
      <c r="J1339" s="20"/>
      <c r="N1339" s="16"/>
      <c r="O1339" s="16"/>
      <c r="P1339" s="16"/>
    </row>
    <row r="1340" spans="2:16" ht="15.75" customHeight="1">
      <c r="B1340" s="16"/>
      <c r="H1340" s="16"/>
      <c r="I1340" s="16"/>
      <c r="J1340" s="20"/>
      <c r="N1340" s="16"/>
      <c r="O1340" s="16"/>
      <c r="P1340" s="16"/>
    </row>
    <row r="1341" spans="2:16" ht="15.75" customHeight="1">
      <c r="B1341" s="16"/>
      <c r="H1341" s="16"/>
      <c r="I1341" s="16"/>
      <c r="J1341" s="20"/>
      <c r="N1341" s="16"/>
      <c r="O1341" s="16"/>
      <c r="P1341" s="16"/>
    </row>
    <row r="1342" spans="2:16" ht="15.75" customHeight="1">
      <c r="B1342" s="16"/>
      <c r="H1342" s="16"/>
      <c r="I1342" s="16"/>
      <c r="J1342" s="20"/>
      <c r="N1342" s="16"/>
      <c r="O1342" s="16"/>
      <c r="P1342" s="16"/>
    </row>
    <row r="1343" spans="2:16" ht="15.75" customHeight="1">
      <c r="B1343" s="16"/>
      <c r="H1343" s="16"/>
      <c r="I1343" s="16"/>
      <c r="J1343" s="20"/>
      <c r="N1343" s="16"/>
      <c r="O1343" s="16"/>
      <c r="P1343" s="16"/>
    </row>
    <row r="1344" spans="2:16" ht="15.75" customHeight="1">
      <c r="B1344" s="16"/>
      <c r="H1344" s="16"/>
      <c r="I1344" s="16"/>
      <c r="J1344" s="20"/>
      <c r="N1344" s="16"/>
      <c r="O1344" s="16"/>
      <c r="P1344" s="16"/>
    </row>
    <row r="1345" spans="2:16" ht="15.75" customHeight="1">
      <c r="B1345" s="16"/>
      <c r="H1345" s="16"/>
      <c r="I1345" s="16"/>
      <c r="J1345" s="20"/>
      <c r="N1345" s="16"/>
      <c r="O1345" s="16"/>
      <c r="P1345" s="16"/>
    </row>
    <row r="1346" spans="2:16" ht="15.75" customHeight="1">
      <c r="B1346" s="16"/>
      <c r="H1346" s="16"/>
      <c r="I1346" s="16"/>
      <c r="J1346" s="20"/>
      <c r="N1346" s="16"/>
      <c r="O1346" s="16"/>
      <c r="P1346" s="16"/>
    </row>
    <row r="1347" spans="2:16" ht="15.75" customHeight="1">
      <c r="B1347" s="16"/>
      <c r="H1347" s="16"/>
      <c r="I1347" s="16"/>
      <c r="J1347" s="20"/>
      <c r="N1347" s="16"/>
      <c r="O1347" s="16"/>
      <c r="P1347" s="16"/>
    </row>
    <row r="1348" spans="2:16" ht="15.75" customHeight="1">
      <c r="B1348" s="16"/>
      <c r="H1348" s="16"/>
      <c r="I1348" s="16"/>
      <c r="J1348" s="20"/>
      <c r="N1348" s="16"/>
      <c r="O1348" s="16"/>
      <c r="P1348" s="16"/>
    </row>
    <row r="1349" spans="2:16" ht="15.75" customHeight="1">
      <c r="B1349" s="16"/>
      <c r="H1349" s="16"/>
      <c r="I1349" s="16"/>
      <c r="J1349" s="20"/>
      <c r="N1349" s="16"/>
      <c r="O1349" s="16"/>
      <c r="P1349" s="16"/>
    </row>
    <row r="1350" spans="2:16" ht="15.75" customHeight="1">
      <c r="B1350" s="16"/>
      <c r="N1350" s="16"/>
      <c r="O1350" s="16"/>
      <c r="P1350" s="16"/>
    </row>
    <row r="1351" spans="2:16" ht="15.75" customHeight="1">
      <c r="B1351" s="16"/>
      <c r="N1351" s="16"/>
      <c r="O1351" s="16"/>
      <c r="P1351" s="16"/>
    </row>
    <row r="1352" spans="2:16" ht="15.75" customHeight="1">
      <c r="B1352" s="16"/>
      <c r="N1352" s="16"/>
      <c r="O1352" s="16"/>
      <c r="P1352" s="16"/>
    </row>
    <row r="1353" spans="2:16" ht="15.75" customHeight="1">
      <c r="B1353" s="16"/>
      <c r="N1353" s="16"/>
      <c r="O1353" s="16"/>
      <c r="P1353" s="16"/>
    </row>
    <row r="1354" spans="2:16" ht="15.75" customHeight="1">
      <c r="B1354" s="16"/>
      <c r="H1354" s="16"/>
      <c r="I1354" s="16"/>
      <c r="J1354" s="20"/>
      <c r="N1354" s="16"/>
      <c r="O1354" s="16"/>
      <c r="P1354" s="16"/>
    </row>
    <row r="1355" spans="2:16" ht="15.75" customHeight="1">
      <c r="B1355" s="16"/>
      <c r="H1355" s="16"/>
      <c r="I1355" s="16"/>
      <c r="J1355" s="20"/>
      <c r="N1355" s="16"/>
      <c r="O1355" s="16"/>
      <c r="P1355" s="16"/>
    </row>
    <row r="1356" spans="2:16" ht="15.75" customHeight="1">
      <c r="B1356" s="16"/>
      <c r="H1356" s="16"/>
      <c r="I1356" s="16"/>
      <c r="J1356" s="20"/>
      <c r="N1356" s="16"/>
      <c r="O1356" s="16"/>
      <c r="P1356" s="16"/>
    </row>
    <row r="1357" spans="2:16" ht="15.75" customHeight="1">
      <c r="B1357" s="16"/>
      <c r="H1357" s="16"/>
      <c r="I1357" s="16"/>
      <c r="J1357" s="20"/>
      <c r="N1357" s="16"/>
      <c r="O1357" s="16"/>
      <c r="P1357" s="16"/>
    </row>
    <row r="1358" spans="2:16" ht="15.75" customHeight="1">
      <c r="B1358" s="16"/>
      <c r="H1358" s="16"/>
      <c r="I1358" s="16"/>
      <c r="J1358" s="20"/>
      <c r="N1358" s="16"/>
      <c r="O1358" s="16"/>
      <c r="P1358" s="16"/>
    </row>
    <row r="1359" spans="2:16" ht="15.75" customHeight="1">
      <c r="B1359" s="16"/>
      <c r="N1359" s="16"/>
      <c r="O1359" s="16"/>
      <c r="P1359" s="16"/>
    </row>
    <row r="1360" spans="2:16" ht="15.75" customHeight="1">
      <c r="B1360" s="16"/>
      <c r="N1360" s="16"/>
      <c r="O1360" s="16"/>
      <c r="P1360" s="16"/>
    </row>
    <row r="1361" spans="2:16" ht="15.75" customHeight="1">
      <c r="B1361" s="16"/>
      <c r="H1361" s="16"/>
      <c r="I1361" s="16"/>
      <c r="J1361" s="20"/>
      <c r="N1361" s="16"/>
      <c r="O1361" s="16"/>
      <c r="P1361" s="16"/>
    </row>
    <row r="1362" spans="2:16" ht="15.75" customHeight="1">
      <c r="B1362" s="16"/>
      <c r="H1362" s="16"/>
      <c r="I1362" s="16"/>
      <c r="J1362" s="20"/>
      <c r="N1362" s="16"/>
      <c r="O1362" s="16"/>
      <c r="P1362" s="16"/>
    </row>
    <row r="1363" spans="2:16" ht="15.75" customHeight="1">
      <c r="B1363" s="16"/>
      <c r="N1363" s="16"/>
      <c r="O1363" s="16"/>
      <c r="P1363" s="16"/>
    </row>
    <row r="1364" spans="2:16" ht="15.75" customHeight="1">
      <c r="B1364" s="16"/>
      <c r="N1364" s="16"/>
      <c r="O1364" s="16"/>
      <c r="P1364" s="16"/>
    </row>
    <row r="1365" spans="2:16" ht="15.75" customHeight="1">
      <c r="B1365" s="16"/>
      <c r="N1365" s="16"/>
      <c r="O1365" s="16"/>
      <c r="P1365" s="16"/>
    </row>
    <row r="1366" spans="2:16" ht="15.75" customHeight="1">
      <c r="B1366" s="16"/>
      <c r="N1366" s="16"/>
      <c r="O1366" s="16"/>
      <c r="P1366" s="16"/>
    </row>
    <row r="1367" spans="2:16" ht="15.75" customHeight="1">
      <c r="B1367" s="16"/>
      <c r="N1367" s="16"/>
      <c r="O1367" s="16"/>
      <c r="P1367" s="16"/>
    </row>
    <row r="1368" spans="2:16" ht="15.75" customHeight="1">
      <c r="B1368" s="16"/>
      <c r="N1368" s="16"/>
      <c r="O1368" s="16"/>
      <c r="P1368" s="16"/>
    </row>
    <row r="1369" spans="2:16" ht="15.75" customHeight="1">
      <c r="B1369" s="16"/>
      <c r="N1369" s="16"/>
      <c r="O1369" s="16"/>
      <c r="P1369" s="16"/>
    </row>
    <row r="1370" spans="2:16" ht="15.75" customHeight="1">
      <c r="B1370" s="16"/>
      <c r="N1370" s="16"/>
      <c r="O1370" s="16"/>
      <c r="P1370" s="16"/>
    </row>
    <row r="1371" spans="2:16" ht="15.75" customHeight="1">
      <c r="B1371" s="16"/>
      <c r="H1371" s="16"/>
      <c r="I1371" s="16"/>
      <c r="J1371" s="20"/>
      <c r="N1371" s="16"/>
      <c r="O1371" s="16"/>
      <c r="P1371" s="16"/>
    </row>
    <row r="1372" spans="2:16" ht="15.75" customHeight="1">
      <c r="B1372" s="16"/>
      <c r="H1372" s="16"/>
      <c r="I1372" s="16"/>
      <c r="J1372" s="20"/>
      <c r="N1372" s="16"/>
      <c r="O1372" s="16"/>
      <c r="P1372" s="16"/>
    </row>
    <row r="1373" spans="2:16" ht="15.75" customHeight="1">
      <c r="B1373" s="16"/>
      <c r="H1373" s="16"/>
      <c r="I1373" s="16"/>
      <c r="J1373" s="20"/>
      <c r="N1373" s="16"/>
      <c r="O1373" s="16"/>
      <c r="P1373" s="16"/>
    </row>
    <row r="1374" spans="2:16" ht="15.75" customHeight="1">
      <c r="B1374" s="16"/>
      <c r="H1374" s="16"/>
      <c r="I1374" s="16"/>
      <c r="J1374" s="20"/>
      <c r="N1374" s="16"/>
      <c r="O1374" s="16"/>
      <c r="P1374" s="16"/>
    </row>
    <row r="1375" spans="2:16" ht="15.75" customHeight="1">
      <c r="B1375" s="16"/>
      <c r="H1375" s="16"/>
      <c r="I1375" s="16"/>
      <c r="J1375" s="20"/>
      <c r="N1375" s="16"/>
      <c r="O1375" s="16"/>
      <c r="P1375" s="16"/>
    </row>
    <row r="1376" spans="2:16" ht="15.75" customHeight="1">
      <c r="B1376" s="16"/>
      <c r="H1376" s="16"/>
      <c r="I1376" s="16"/>
      <c r="J1376" s="20"/>
      <c r="N1376" s="16"/>
      <c r="O1376" s="16"/>
      <c r="P1376" s="16"/>
    </row>
    <row r="1377" spans="2:16" ht="15.75" customHeight="1">
      <c r="B1377" s="16"/>
      <c r="H1377" s="16"/>
      <c r="I1377" s="16"/>
      <c r="J1377" s="20"/>
      <c r="N1377" s="16"/>
      <c r="O1377" s="16"/>
      <c r="P1377" s="16"/>
    </row>
    <row r="1378" spans="2:16" ht="15.75" customHeight="1">
      <c r="B1378" s="16"/>
      <c r="H1378" s="16"/>
      <c r="I1378" s="16"/>
      <c r="J1378" s="20"/>
      <c r="N1378" s="16"/>
      <c r="O1378" s="16"/>
      <c r="P1378" s="16"/>
    </row>
    <row r="1379" spans="2:16" ht="15.75" customHeight="1">
      <c r="B1379" s="16"/>
      <c r="H1379" s="16"/>
      <c r="I1379" s="16"/>
      <c r="J1379" s="20"/>
      <c r="N1379" s="16"/>
      <c r="O1379" s="16"/>
      <c r="P1379" s="16"/>
    </row>
    <row r="1380" spans="2:16" ht="15.75" customHeight="1">
      <c r="B1380" s="16"/>
      <c r="N1380" s="16"/>
      <c r="O1380" s="16"/>
      <c r="P1380" s="16"/>
    </row>
    <row r="1381" spans="2:16" ht="15.75" customHeight="1">
      <c r="B1381" s="16"/>
      <c r="N1381" s="16"/>
      <c r="O1381" s="16"/>
      <c r="P1381" s="16"/>
    </row>
    <row r="1382" spans="2:16" ht="15.75" customHeight="1">
      <c r="B1382" s="16"/>
      <c r="H1382" s="16"/>
      <c r="I1382" s="16"/>
      <c r="J1382" s="20"/>
      <c r="N1382" s="16"/>
      <c r="O1382" s="16"/>
      <c r="P1382" s="16"/>
    </row>
    <row r="1383" spans="2:16" ht="15.75" customHeight="1">
      <c r="B1383" s="16"/>
      <c r="H1383" s="16"/>
      <c r="I1383" s="16"/>
      <c r="J1383" s="20"/>
      <c r="N1383" s="16"/>
      <c r="O1383" s="16"/>
      <c r="P1383" s="16"/>
    </row>
    <row r="1384" spans="2:16" ht="15.75" customHeight="1">
      <c r="B1384" s="16"/>
      <c r="H1384" s="16"/>
      <c r="I1384" s="16"/>
      <c r="J1384" s="20"/>
      <c r="N1384" s="16"/>
      <c r="O1384" s="16"/>
      <c r="P1384" s="16"/>
    </row>
    <row r="1385" spans="2:16" ht="15.75" customHeight="1">
      <c r="B1385" s="16"/>
      <c r="H1385" s="16"/>
      <c r="I1385" s="16"/>
      <c r="J1385" s="20"/>
      <c r="N1385" s="16"/>
      <c r="O1385" s="16"/>
      <c r="P1385" s="16"/>
    </row>
    <row r="1386" spans="2:16" ht="15.75" customHeight="1">
      <c r="B1386" s="16"/>
      <c r="H1386" s="16"/>
      <c r="I1386" s="16"/>
      <c r="J1386" s="20"/>
      <c r="N1386" s="16"/>
      <c r="O1386" s="16"/>
      <c r="P1386" s="16"/>
    </row>
    <row r="1387" spans="2:16" ht="15.75" customHeight="1">
      <c r="B1387" s="16"/>
      <c r="H1387" s="16"/>
      <c r="I1387" s="16"/>
      <c r="J1387" s="20"/>
      <c r="N1387" s="16"/>
      <c r="O1387" s="16"/>
      <c r="P1387" s="16"/>
    </row>
    <row r="1388" spans="2:16" ht="15.75" customHeight="1">
      <c r="B1388" s="16"/>
      <c r="H1388" s="16"/>
      <c r="I1388" s="16"/>
      <c r="J1388" s="20"/>
      <c r="N1388" s="16"/>
      <c r="O1388" s="16"/>
      <c r="P1388" s="16"/>
    </row>
    <row r="1389" spans="2:16" ht="15.75" customHeight="1">
      <c r="B1389" s="16"/>
      <c r="H1389" s="16"/>
      <c r="I1389" s="16"/>
      <c r="J1389" s="20"/>
      <c r="N1389" s="16"/>
      <c r="O1389" s="16"/>
      <c r="P1389" s="16"/>
    </row>
    <row r="1390" spans="2:16" ht="15.75" customHeight="1">
      <c r="B1390" s="16"/>
      <c r="H1390" s="16"/>
      <c r="I1390" s="16"/>
      <c r="J1390" s="20"/>
      <c r="N1390" s="16"/>
      <c r="O1390" s="16"/>
      <c r="P1390" s="16"/>
    </row>
    <row r="1391" spans="2:16" ht="15.75" customHeight="1">
      <c r="B1391" s="16"/>
      <c r="H1391" s="16"/>
      <c r="I1391" s="16"/>
      <c r="J1391" s="20"/>
      <c r="N1391" s="16"/>
      <c r="O1391" s="16"/>
      <c r="P1391" s="16"/>
    </row>
    <row r="1392" spans="2:16" ht="15.75" customHeight="1">
      <c r="B1392" s="16"/>
      <c r="N1392" s="16"/>
      <c r="O1392" s="16"/>
      <c r="P1392" s="16"/>
    </row>
    <row r="1393" spans="2:16" ht="15.75" customHeight="1">
      <c r="B1393" s="16"/>
      <c r="H1393" s="16"/>
      <c r="I1393" s="16"/>
      <c r="J1393" s="20"/>
      <c r="N1393" s="16"/>
      <c r="O1393" s="16"/>
      <c r="P1393" s="16"/>
    </row>
    <row r="1394" spans="2:16" ht="15.75" customHeight="1">
      <c r="B1394" s="16"/>
      <c r="H1394" s="16"/>
      <c r="I1394" s="16"/>
      <c r="J1394" s="20"/>
      <c r="N1394" s="16"/>
      <c r="O1394" s="16"/>
      <c r="P1394" s="16"/>
    </row>
    <row r="1395" spans="2:16" ht="15.75" customHeight="1">
      <c r="B1395" s="16"/>
      <c r="H1395" s="16"/>
      <c r="I1395" s="16"/>
      <c r="J1395" s="20"/>
      <c r="N1395" s="16"/>
      <c r="O1395" s="16"/>
      <c r="P1395" s="16"/>
    </row>
    <row r="1396" spans="2:16" ht="15.75" customHeight="1">
      <c r="B1396" s="16"/>
      <c r="H1396" s="16"/>
      <c r="I1396" s="16"/>
      <c r="J1396" s="20"/>
      <c r="N1396" s="16"/>
      <c r="O1396" s="16"/>
      <c r="P1396" s="16"/>
    </row>
    <row r="1397" spans="2:16" ht="15.75" customHeight="1">
      <c r="B1397" s="16"/>
      <c r="H1397" s="16"/>
      <c r="I1397" s="16"/>
      <c r="J1397" s="20"/>
      <c r="N1397" s="16"/>
      <c r="O1397" s="16"/>
      <c r="P1397" s="16"/>
    </row>
    <row r="1398" spans="2:16" ht="15.75" customHeight="1">
      <c r="B1398" s="16"/>
      <c r="H1398" s="16"/>
      <c r="I1398" s="16"/>
      <c r="J1398" s="20"/>
      <c r="N1398" s="16"/>
      <c r="O1398" s="16"/>
      <c r="P1398" s="16"/>
    </row>
    <row r="1399" spans="2:16" ht="15.75" customHeight="1">
      <c r="B1399" s="16"/>
      <c r="H1399" s="16"/>
      <c r="I1399" s="16"/>
      <c r="J1399" s="20"/>
      <c r="N1399" s="16"/>
      <c r="O1399" s="16"/>
      <c r="P1399" s="16"/>
    </row>
    <row r="1400" spans="2:16" ht="15.75" customHeight="1">
      <c r="B1400" s="16"/>
      <c r="H1400" s="16"/>
      <c r="I1400" s="16"/>
      <c r="J1400" s="20"/>
      <c r="N1400" s="16"/>
      <c r="O1400" s="16"/>
      <c r="P1400" s="16"/>
    </row>
    <row r="1401" spans="2:16" ht="15.75" customHeight="1">
      <c r="B1401" s="16"/>
      <c r="H1401" s="16"/>
      <c r="I1401" s="16"/>
      <c r="J1401" s="20"/>
      <c r="N1401" s="16"/>
      <c r="O1401" s="16"/>
      <c r="P1401" s="16"/>
    </row>
    <row r="1402" spans="2:16" ht="15.75" customHeight="1">
      <c r="B1402" s="16"/>
      <c r="H1402" s="16"/>
      <c r="I1402" s="16"/>
      <c r="J1402" s="20"/>
      <c r="N1402" s="16"/>
      <c r="O1402" s="16"/>
      <c r="P1402" s="16"/>
    </row>
    <row r="1403" spans="2:16" ht="15.75" customHeight="1">
      <c r="B1403" s="16"/>
      <c r="H1403" s="16"/>
      <c r="I1403" s="16"/>
      <c r="J1403" s="20"/>
      <c r="N1403" s="16"/>
      <c r="O1403" s="16"/>
      <c r="P1403" s="16"/>
    </row>
    <row r="1404" spans="2:16" ht="15.75" customHeight="1">
      <c r="B1404" s="16"/>
      <c r="H1404" s="16"/>
      <c r="I1404" s="16"/>
      <c r="J1404" s="20"/>
      <c r="N1404" s="16"/>
      <c r="O1404" s="16"/>
      <c r="P1404" s="16"/>
    </row>
    <row r="1405" spans="2:16" ht="15.75" customHeight="1">
      <c r="B1405" s="16"/>
      <c r="H1405" s="16"/>
      <c r="I1405" s="16"/>
      <c r="J1405" s="20"/>
      <c r="N1405" s="16"/>
      <c r="O1405" s="16"/>
      <c r="P1405" s="16"/>
    </row>
    <row r="1406" spans="2:16" ht="15.75" customHeight="1">
      <c r="B1406" s="16"/>
      <c r="H1406" s="16"/>
      <c r="I1406" s="16"/>
      <c r="J1406" s="20"/>
      <c r="N1406" s="16"/>
      <c r="O1406" s="16"/>
      <c r="P1406" s="16"/>
    </row>
    <row r="1407" spans="2:16" ht="15.75" customHeight="1">
      <c r="B1407" s="16"/>
      <c r="H1407" s="16"/>
      <c r="I1407" s="16"/>
      <c r="J1407" s="20"/>
      <c r="N1407" s="16"/>
      <c r="O1407" s="16"/>
      <c r="P1407" s="16"/>
    </row>
    <row r="1408" spans="2:16" ht="15.75" customHeight="1">
      <c r="B1408" s="16"/>
      <c r="H1408" s="16"/>
      <c r="I1408" s="16"/>
      <c r="J1408" s="20"/>
      <c r="N1408" s="16"/>
      <c r="O1408" s="16"/>
      <c r="P1408" s="16"/>
    </row>
    <row r="1409" spans="2:16" ht="15.75" customHeight="1">
      <c r="B1409" s="16"/>
      <c r="H1409" s="16"/>
      <c r="I1409" s="16"/>
      <c r="J1409" s="20"/>
      <c r="N1409" s="16"/>
      <c r="O1409" s="16"/>
      <c r="P1409" s="16"/>
    </row>
    <row r="1410" spans="2:16" ht="15.75" customHeight="1">
      <c r="B1410" s="16"/>
      <c r="H1410" s="16"/>
      <c r="I1410" s="16"/>
      <c r="J1410" s="20"/>
      <c r="N1410" s="16"/>
      <c r="O1410" s="16"/>
      <c r="P1410" s="16"/>
    </row>
    <row r="1411" spans="2:16" ht="15.75" customHeight="1">
      <c r="B1411" s="16"/>
      <c r="H1411" s="16"/>
      <c r="I1411" s="16"/>
      <c r="J1411" s="20"/>
      <c r="N1411" s="16"/>
      <c r="O1411" s="16"/>
      <c r="P1411" s="16"/>
    </row>
    <row r="1412" spans="2:16" ht="15.75" customHeight="1">
      <c r="B1412" s="16"/>
      <c r="H1412" s="16"/>
      <c r="I1412" s="16"/>
      <c r="J1412" s="20"/>
      <c r="N1412" s="16"/>
      <c r="O1412" s="16"/>
      <c r="P1412" s="16"/>
    </row>
    <row r="1413" spans="2:16" ht="15.75" customHeight="1">
      <c r="B1413" s="16"/>
      <c r="H1413" s="16"/>
      <c r="I1413" s="16"/>
      <c r="J1413" s="20"/>
      <c r="N1413" s="16"/>
      <c r="O1413" s="16"/>
      <c r="P1413" s="16"/>
    </row>
    <row r="1414" spans="2:16" ht="15.75" customHeight="1">
      <c r="B1414" s="16"/>
      <c r="H1414" s="16"/>
      <c r="I1414" s="16"/>
      <c r="J1414" s="20"/>
      <c r="N1414" s="16"/>
      <c r="O1414" s="16"/>
      <c r="P1414" s="16"/>
    </row>
    <row r="1415" spans="2:16" ht="15.75" customHeight="1">
      <c r="B1415" s="16"/>
      <c r="H1415" s="16"/>
      <c r="I1415" s="16"/>
      <c r="J1415" s="20"/>
      <c r="N1415" s="16"/>
      <c r="O1415" s="16"/>
      <c r="P1415" s="16"/>
    </row>
    <row r="1416" spans="2:16" ht="15.75" customHeight="1">
      <c r="B1416" s="16"/>
      <c r="H1416" s="16"/>
      <c r="I1416" s="16"/>
      <c r="J1416" s="20"/>
      <c r="N1416" s="16"/>
      <c r="O1416" s="16"/>
      <c r="P1416" s="16"/>
    </row>
    <row r="1417" spans="2:16" ht="15.75" customHeight="1">
      <c r="B1417" s="16"/>
      <c r="H1417" s="16"/>
      <c r="I1417" s="16"/>
      <c r="J1417" s="20"/>
      <c r="N1417" s="16"/>
      <c r="O1417" s="16"/>
      <c r="P1417" s="16"/>
    </row>
    <row r="1418" spans="2:16" ht="15.75" customHeight="1">
      <c r="B1418" s="16"/>
      <c r="H1418" s="16"/>
      <c r="I1418" s="16"/>
      <c r="J1418" s="20"/>
      <c r="N1418" s="16"/>
      <c r="O1418" s="16"/>
      <c r="P1418" s="16"/>
    </row>
    <row r="1419" spans="2:16" ht="15.75" customHeight="1">
      <c r="B1419" s="16"/>
      <c r="H1419" s="16"/>
      <c r="I1419" s="16"/>
      <c r="J1419" s="20"/>
      <c r="N1419" s="16"/>
      <c r="O1419" s="16"/>
      <c r="P1419" s="16"/>
    </row>
    <row r="1420" spans="2:16" ht="15.75" customHeight="1">
      <c r="B1420" s="16"/>
      <c r="H1420" s="16"/>
      <c r="I1420" s="16"/>
      <c r="J1420" s="20"/>
      <c r="N1420" s="16"/>
      <c r="O1420" s="16"/>
      <c r="P1420" s="16"/>
    </row>
    <row r="1421" spans="2:16" ht="15.75" customHeight="1">
      <c r="B1421" s="16"/>
      <c r="H1421" s="16"/>
      <c r="I1421" s="16"/>
      <c r="J1421" s="20"/>
      <c r="N1421" s="16"/>
      <c r="O1421" s="16"/>
      <c r="P1421" s="16"/>
    </row>
    <row r="1422" spans="2:16" ht="15.75" customHeight="1">
      <c r="B1422" s="16"/>
      <c r="H1422" s="16"/>
      <c r="I1422" s="16"/>
      <c r="J1422" s="20"/>
      <c r="N1422" s="16"/>
      <c r="O1422" s="16"/>
      <c r="P1422" s="16"/>
    </row>
    <row r="1423" spans="2:16" ht="15.75" customHeight="1">
      <c r="B1423" s="16"/>
      <c r="H1423" s="16"/>
      <c r="I1423" s="16"/>
      <c r="J1423" s="20"/>
      <c r="N1423" s="16"/>
      <c r="O1423" s="16"/>
      <c r="P1423" s="16"/>
    </row>
    <row r="1424" spans="2:16" ht="15.75" customHeight="1">
      <c r="B1424" s="16"/>
      <c r="H1424" s="16"/>
      <c r="I1424" s="16"/>
      <c r="J1424" s="20"/>
      <c r="N1424" s="16"/>
      <c r="O1424" s="16"/>
      <c r="P1424" s="16"/>
    </row>
    <row r="1425" spans="2:16" ht="15.75" customHeight="1">
      <c r="B1425" s="16"/>
      <c r="H1425" s="16"/>
      <c r="I1425" s="16"/>
      <c r="J1425" s="20"/>
      <c r="N1425" s="16"/>
      <c r="O1425" s="16"/>
      <c r="P1425" s="16"/>
    </row>
    <row r="1426" spans="2:16" ht="15.75" customHeight="1">
      <c r="B1426" s="16"/>
      <c r="H1426" s="16"/>
      <c r="I1426" s="16"/>
      <c r="J1426" s="20"/>
      <c r="N1426" s="16"/>
      <c r="O1426" s="16"/>
      <c r="P1426" s="16"/>
    </row>
    <row r="1427" spans="2:16" ht="15.75" customHeight="1">
      <c r="B1427" s="16"/>
      <c r="H1427" s="16"/>
      <c r="I1427" s="16"/>
      <c r="J1427" s="20"/>
      <c r="N1427" s="16"/>
      <c r="O1427" s="16"/>
      <c r="P1427" s="16"/>
    </row>
    <row r="1428" spans="2:16" ht="15.75" customHeight="1">
      <c r="B1428" s="16"/>
      <c r="H1428" s="16"/>
      <c r="I1428" s="16"/>
      <c r="J1428" s="20"/>
      <c r="N1428" s="16"/>
      <c r="O1428" s="16"/>
      <c r="P1428" s="16"/>
    </row>
    <row r="1429" spans="2:16" ht="15.75" customHeight="1">
      <c r="B1429" s="16"/>
      <c r="H1429" s="16"/>
      <c r="I1429" s="16"/>
      <c r="J1429" s="20"/>
      <c r="N1429" s="16"/>
      <c r="O1429" s="16"/>
      <c r="P1429" s="16"/>
    </row>
    <row r="1430" spans="2:16" ht="15.75" customHeight="1">
      <c r="B1430" s="16"/>
      <c r="H1430" s="16"/>
      <c r="I1430" s="16"/>
      <c r="J1430" s="20"/>
      <c r="N1430" s="16"/>
      <c r="O1430" s="16"/>
      <c r="P1430" s="16"/>
    </row>
    <row r="1431" spans="2:16" ht="15.75" customHeight="1">
      <c r="B1431" s="16"/>
      <c r="H1431" s="16"/>
      <c r="I1431" s="16"/>
      <c r="J1431" s="20"/>
      <c r="N1431" s="16"/>
      <c r="O1431" s="16"/>
      <c r="P1431" s="16"/>
    </row>
    <row r="1432" spans="2:16" ht="15.75" customHeight="1">
      <c r="B1432" s="16"/>
      <c r="H1432" s="16"/>
      <c r="I1432" s="16"/>
      <c r="J1432" s="20"/>
      <c r="N1432" s="16"/>
      <c r="O1432" s="16"/>
      <c r="P1432" s="16"/>
    </row>
    <row r="1433" spans="2:16" ht="15.75" customHeight="1">
      <c r="B1433" s="16"/>
      <c r="H1433" s="16"/>
      <c r="I1433" s="16"/>
      <c r="J1433" s="20"/>
      <c r="N1433" s="16"/>
      <c r="O1433" s="16"/>
      <c r="P1433" s="16"/>
    </row>
    <row r="1434" spans="2:16" ht="15.75" customHeight="1">
      <c r="B1434" s="16"/>
      <c r="H1434" s="16"/>
      <c r="I1434" s="16"/>
      <c r="J1434" s="20"/>
      <c r="N1434" s="16"/>
      <c r="O1434" s="16"/>
      <c r="P1434" s="16"/>
    </row>
    <row r="1435" spans="2:16" ht="15.75" customHeight="1">
      <c r="B1435" s="16"/>
      <c r="H1435" s="16"/>
      <c r="I1435" s="16"/>
      <c r="J1435" s="20"/>
      <c r="N1435" s="16"/>
      <c r="O1435" s="16"/>
      <c r="P1435" s="16"/>
    </row>
    <row r="1436" spans="2:16" ht="15.75" customHeight="1">
      <c r="B1436" s="16"/>
      <c r="H1436" s="16"/>
      <c r="I1436" s="16"/>
      <c r="J1436" s="20"/>
      <c r="N1436" s="16"/>
      <c r="O1436" s="16"/>
      <c r="P1436" s="16"/>
    </row>
    <row r="1437" spans="2:16" ht="15.75" customHeight="1">
      <c r="B1437" s="16"/>
      <c r="H1437" s="16"/>
      <c r="I1437" s="16"/>
      <c r="J1437" s="20"/>
      <c r="N1437" s="16"/>
      <c r="O1437" s="16"/>
      <c r="P1437" s="16"/>
    </row>
    <row r="1438" spans="2:16" ht="15.75" customHeight="1">
      <c r="B1438" s="16"/>
      <c r="H1438" s="16"/>
      <c r="I1438" s="16"/>
      <c r="J1438" s="20"/>
      <c r="N1438" s="16"/>
      <c r="O1438" s="16"/>
      <c r="P1438" s="16"/>
    </row>
    <row r="1439" spans="2:16" ht="15.75" customHeight="1">
      <c r="B1439" s="16"/>
      <c r="H1439" s="16"/>
      <c r="I1439" s="16"/>
      <c r="J1439" s="20"/>
      <c r="N1439" s="16"/>
      <c r="O1439" s="16"/>
      <c r="P1439" s="16"/>
    </row>
    <row r="1440" spans="2:16" ht="15.75" customHeight="1">
      <c r="B1440" s="16"/>
      <c r="H1440" s="16"/>
      <c r="I1440" s="16"/>
      <c r="J1440" s="20"/>
      <c r="N1440" s="16"/>
      <c r="O1440" s="16"/>
      <c r="P1440" s="16"/>
    </row>
    <row r="1441" spans="2:16" ht="15.75" customHeight="1">
      <c r="B1441" s="16"/>
      <c r="H1441" s="16"/>
      <c r="I1441" s="16"/>
      <c r="J1441" s="20"/>
      <c r="N1441" s="16"/>
      <c r="O1441" s="16"/>
      <c r="P1441" s="16"/>
    </row>
    <row r="1442" spans="2:16" ht="15.75" customHeight="1">
      <c r="B1442" s="16"/>
      <c r="H1442" s="16"/>
      <c r="I1442" s="16"/>
      <c r="J1442" s="20"/>
      <c r="N1442" s="16"/>
      <c r="O1442" s="16"/>
      <c r="P1442" s="16"/>
    </row>
    <row r="1443" spans="2:16" ht="15.75" customHeight="1">
      <c r="B1443" s="16"/>
      <c r="H1443" s="16"/>
      <c r="I1443" s="16"/>
      <c r="J1443" s="20"/>
      <c r="N1443" s="16"/>
      <c r="O1443" s="16"/>
      <c r="P1443" s="16"/>
    </row>
    <row r="1444" spans="2:16" ht="15.75" customHeight="1">
      <c r="B1444" s="16"/>
      <c r="H1444" s="16"/>
      <c r="I1444" s="16"/>
      <c r="J1444" s="20"/>
      <c r="N1444" s="16"/>
      <c r="O1444" s="16"/>
      <c r="P1444" s="16"/>
    </row>
    <row r="1445" spans="2:16" ht="15.75" customHeight="1">
      <c r="B1445" s="16"/>
      <c r="H1445" s="16"/>
      <c r="I1445" s="16"/>
      <c r="J1445" s="20"/>
      <c r="N1445" s="16"/>
      <c r="O1445" s="16"/>
      <c r="P1445" s="16"/>
    </row>
    <row r="1446" spans="2:16" ht="15.75" customHeight="1">
      <c r="B1446" s="16"/>
      <c r="H1446" s="16"/>
      <c r="I1446" s="16"/>
      <c r="J1446" s="20"/>
      <c r="N1446" s="16"/>
      <c r="O1446" s="16"/>
      <c r="P1446" s="16"/>
    </row>
    <row r="1447" spans="2:16" ht="15.75" customHeight="1">
      <c r="B1447" s="16"/>
      <c r="H1447" s="16"/>
      <c r="I1447" s="16"/>
      <c r="J1447" s="20"/>
      <c r="N1447" s="16"/>
      <c r="O1447" s="16"/>
      <c r="P1447" s="16"/>
    </row>
    <row r="1448" spans="2:16" ht="15.75" customHeight="1">
      <c r="B1448" s="16"/>
      <c r="H1448" s="16"/>
      <c r="I1448" s="16"/>
      <c r="J1448" s="20"/>
      <c r="N1448" s="16"/>
      <c r="O1448" s="16"/>
      <c r="P1448" s="16"/>
    </row>
    <row r="1449" spans="2:16" ht="15.75" customHeight="1">
      <c r="B1449" s="16"/>
      <c r="H1449" s="16"/>
      <c r="I1449" s="16"/>
      <c r="J1449" s="20"/>
      <c r="N1449" s="16"/>
      <c r="O1449" s="16"/>
      <c r="P1449" s="16"/>
    </row>
    <row r="1450" spans="2:16" ht="15.75" customHeight="1">
      <c r="B1450" s="16"/>
      <c r="H1450" s="16"/>
      <c r="I1450" s="16"/>
      <c r="J1450" s="20"/>
      <c r="N1450" s="16"/>
      <c r="O1450" s="16"/>
      <c r="P1450" s="16"/>
    </row>
    <row r="1451" spans="2:16" ht="15.75" customHeight="1">
      <c r="B1451" s="16"/>
      <c r="H1451" s="16"/>
      <c r="I1451" s="16"/>
      <c r="J1451" s="20"/>
      <c r="N1451" s="16"/>
      <c r="O1451" s="16"/>
      <c r="P1451" s="16"/>
    </row>
    <row r="1452" spans="2:16" ht="15.75" customHeight="1">
      <c r="B1452" s="16"/>
      <c r="H1452" s="16"/>
      <c r="I1452" s="16"/>
      <c r="J1452" s="20"/>
      <c r="N1452" s="16"/>
      <c r="O1452" s="16"/>
      <c r="P1452" s="16"/>
    </row>
    <row r="1453" spans="2:16" ht="15.75" customHeight="1">
      <c r="B1453" s="16"/>
      <c r="H1453" s="16"/>
      <c r="I1453" s="16"/>
      <c r="J1453" s="20"/>
      <c r="N1453" s="16"/>
      <c r="O1453" s="16"/>
      <c r="P1453" s="16"/>
    </row>
    <row r="1454" spans="2:16" ht="15.75" customHeight="1">
      <c r="B1454" s="16"/>
      <c r="H1454" s="16"/>
      <c r="I1454" s="16"/>
      <c r="J1454" s="20"/>
      <c r="N1454" s="16"/>
      <c r="O1454" s="16"/>
      <c r="P1454" s="16"/>
    </row>
    <row r="1455" spans="2:16" ht="15.75" customHeight="1">
      <c r="B1455" s="16"/>
      <c r="H1455" s="16"/>
      <c r="I1455" s="16"/>
      <c r="J1455" s="20"/>
      <c r="N1455" s="16"/>
      <c r="O1455" s="16"/>
      <c r="P1455" s="16"/>
    </row>
    <row r="1456" spans="2:16" ht="15.75" customHeight="1">
      <c r="B1456" s="16"/>
      <c r="H1456" s="16"/>
      <c r="I1456" s="16"/>
      <c r="J1456" s="20"/>
      <c r="N1456" s="16"/>
      <c r="O1456" s="16"/>
      <c r="P1456" s="16"/>
    </row>
    <row r="1457" spans="2:16" ht="15.75" customHeight="1">
      <c r="B1457" s="16"/>
      <c r="H1457" s="16"/>
      <c r="I1457" s="16"/>
      <c r="J1457" s="20"/>
      <c r="N1457" s="16"/>
      <c r="O1457" s="16"/>
      <c r="P1457" s="16"/>
    </row>
    <row r="1458" spans="2:16" ht="15.75" customHeight="1">
      <c r="B1458" s="16"/>
      <c r="H1458" s="16"/>
      <c r="I1458" s="16"/>
      <c r="J1458" s="20"/>
      <c r="N1458" s="16"/>
      <c r="O1458" s="16"/>
      <c r="P1458" s="16"/>
    </row>
    <row r="1459" spans="2:16" ht="15.75" customHeight="1">
      <c r="B1459" s="16"/>
      <c r="H1459" s="16"/>
      <c r="I1459" s="16"/>
      <c r="J1459" s="20"/>
      <c r="N1459" s="16"/>
      <c r="O1459" s="16"/>
      <c r="P1459" s="16"/>
    </row>
    <row r="1460" spans="2:16" ht="15.75" customHeight="1">
      <c r="B1460" s="16"/>
      <c r="H1460" s="16"/>
      <c r="I1460" s="16"/>
      <c r="J1460" s="20"/>
      <c r="N1460" s="16"/>
      <c r="O1460" s="16"/>
      <c r="P1460" s="16"/>
    </row>
    <row r="1461" spans="2:16" ht="15.75" customHeight="1">
      <c r="B1461" s="16"/>
      <c r="H1461" s="16"/>
      <c r="I1461" s="16"/>
      <c r="J1461" s="20"/>
      <c r="N1461" s="16"/>
      <c r="O1461" s="16"/>
      <c r="P1461" s="16"/>
    </row>
    <row r="1462" spans="2:16" ht="15.75" customHeight="1">
      <c r="B1462" s="16"/>
      <c r="H1462" s="16"/>
      <c r="I1462" s="16"/>
      <c r="J1462" s="20"/>
      <c r="N1462" s="16"/>
      <c r="O1462" s="16"/>
      <c r="P1462" s="16"/>
    </row>
    <row r="1463" spans="2:16" ht="15.75" customHeight="1">
      <c r="B1463" s="16"/>
      <c r="H1463" s="16"/>
      <c r="I1463" s="16"/>
      <c r="J1463" s="20"/>
      <c r="N1463" s="16"/>
      <c r="O1463" s="16"/>
      <c r="P1463" s="16"/>
    </row>
    <row r="1464" spans="2:16" ht="15.75" customHeight="1">
      <c r="B1464" s="16"/>
      <c r="H1464" s="16"/>
      <c r="I1464" s="16"/>
      <c r="J1464" s="20"/>
      <c r="N1464" s="16"/>
      <c r="O1464" s="16"/>
      <c r="P1464" s="16"/>
    </row>
    <row r="1465" spans="2:16" ht="15.75" customHeight="1">
      <c r="B1465" s="16"/>
      <c r="H1465" s="16"/>
      <c r="I1465" s="16"/>
      <c r="J1465" s="20"/>
      <c r="N1465" s="16"/>
      <c r="O1465" s="16"/>
      <c r="P1465" s="16"/>
    </row>
    <row r="1466" spans="2:16" ht="15.75" customHeight="1">
      <c r="B1466" s="16"/>
      <c r="H1466" s="16"/>
      <c r="I1466" s="16"/>
      <c r="J1466" s="20"/>
      <c r="N1466" s="16"/>
      <c r="O1466" s="16"/>
      <c r="P1466" s="16"/>
    </row>
    <row r="1467" spans="2:16" ht="15.75" customHeight="1">
      <c r="B1467" s="16"/>
      <c r="H1467" s="16"/>
      <c r="I1467" s="16"/>
      <c r="J1467" s="20"/>
      <c r="N1467" s="16"/>
      <c r="O1467" s="16"/>
      <c r="P1467" s="16"/>
    </row>
    <row r="1468" spans="2:16" ht="15.75" customHeight="1">
      <c r="B1468" s="16"/>
      <c r="H1468" s="16"/>
      <c r="I1468" s="16"/>
      <c r="J1468" s="20"/>
      <c r="N1468" s="16"/>
      <c r="O1468" s="16"/>
      <c r="P1468" s="16"/>
    </row>
    <row r="1469" spans="2:16" ht="15.75" customHeight="1">
      <c r="B1469" s="16"/>
      <c r="H1469" s="16"/>
      <c r="I1469" s="16"/>
      <c r="J1469" s="20"/>
      <c r="N1469" s="16"/>
      <c r="O1469" s="16"/>
      <c r="P1469" s="16"/>
    </row>
    <row r="1470" spans="2:16" ht="15.75" customHeight="1">
      <c r="B1470" s="16"/>
      <c r="H1470" s="16"/>
      <c r="I1470" s="16"/>
      <c r="J1470" s="20"/>
      <c r="N1470" s="16"/>
      <c r="O1470" s="16"/>
      <c r="P1470" s="16"/>
    </row>
    <row r="1471" spans="2:16" ht="15.75" customHeight="1">
      <c r="B1471" s="16"/>
      <c r="H1471" s="16"/>
      <c r="I1471" s="16"/>
      <c r="J1471" s="20"/>
      <c r="N1471" s="16"/>
      <c r="O1471" s="16"/>
      <c r="P1471" s="16"/>
    </row>
    <row r="1472" spans="2:16" ht="15.75" customHeight="1">
      <c r="B1472" s="16"/>
      <c r="H1472" s="16"/>
      <c r="I1472" s="16"/>
      <c r="J1472" s="20"/>
      <c r="N1472" s="16"/>
      <c r="O1472" s="16"/>
      <c r="P1472" s="16"/>
    </row>
    <row r="1473" spans="2:16" ht="15.75" customHeight="1">
      <c r="B1473" s="16"/>
      <c r="H1473" s="16"/>
      <c r="I1473" s="16"/>
      <c r="J1473" s="20"/>
      <c r="N1473" s="16"/>
      <c r="O1473" s="16"/>
      <c r="P1473" s="16"/>
    </row>
    <row r="1474" spans="2:16" ht="15.75" customHeight="1">
      <c r="B1474" s="16"/>
      <c r="H1474" s="16"/>
      <c r="I1474" s="16"/>
      <c r="J1474" s="20"/>
      <c r="N1474" s="16"/>
      <c r="O1474" s="16"/>
      <c r="P1474" s="16"/>
    </row>
    <row r="1475" spans="2:16" ht="15.75" customHeight="1">
      <c r="B1475" s="16"/>
      <c r="H1475" s="16"/>
      <c r="I1475" s="16"/>
      <c r="J1475" s="20"/>
      <c r="N1475" s="16"/>
      <c r="O1475" s="16"/>
      <c r="P1475" s="16"/>
    </row>
    <row r="1476" spans="2:16" ht="15.75" customHeight="1">
      <c r="B1476" s="16"/>
      <c r="H1476" s="16"/>
      <c r="I1476" s="16"/>
      <c r="J1476" s="20"/>
      <c r="N1476" s="16"/>
      <c r="O1476" s="16"/>
      <c r="P1476" s="16"/>
    </row>
    <row r="1477" spans="2:16" ht="15.75" customHeight="1">
      <c r="B1477" s="16"/>
      <c r="H1477" s="16"/>
      <c r="I1477" s="16"/>
      <c r="J1477" s="20"/>
      <c r="N1477" s="16"/>
      <c r="O1477" s="16"/>
      <c r="P1477" s="16"/>
    </row>
    <row r="1478" spans="2:16" ht="15.75" customHeight="1">
      <c r="B1478" s="16"/>
      <c r="H1478" s="16"/>
      <c r="I1478" s="16"/>
      <c r="J1478" s="20"/>
      <c r="N1478" s="16"/>
      <c r="O1478" s="16"/>
      <c r="P1478" s="16"/>
    </row>
    <row r="1479" spans="2:16" ht="15.75" customHeight="1">
      <c r="B1479" s="16"/>
      <c r="H1479" s="16"/>
      <c r="I1479" s="16"/>
      <c r="J1479" s="20"/>
      <c r="N1479" s="16"/>
      <c r="O1479" s="16"/>
      <c r="P1479" s="16"/>
    </row>
    <row r="1480" spans="2:16" ht="15.75" customHeight="1">
      <c r="B1480" s="16"/>
      <c r="H1480" s="16"/>
      <c r="I1480" s="16"/>
      <c r="J1480" s="20"/>
      <c r="N1480" s="16"/>
      <c r="O1480" s="16"/>
      <c r="P1480" s="16"/>
    </row>
    <row r="1481" spans="2:16" ht="15.75" customHeight="1">
      <c r="B1481" s="16"/>
      <c r="H1481" s="16"/>
      <c r="I1481" s="16"/>
      <c r="J1481" s="20"/>
      <c r="N1481" s="16"/>
      <c r="O1481" s="16"/>
      <c r="P1481" s="16"/>
    </row>
    <row r="1482" spans="2:16" ht="15.75" customHeight="1">
      <c r="B1482" s="16"/>
      <c r="N1482" s="16"/>
      <c r="P1482" s="16"/>
    </row>
    <row r="1483" spans="2:16" ht="15.75" customHeight="1">
      <c r="B1483" s="16"/>
      <c r="N1483" s="16"/>
      <c r="P1483" s="16"/>
    </row>
    <row r="1484" spans="2:16" ht="15.75" customHeight="1">
      <c r="B1484" s="16"/>
      <c r="N1484" s="16"/>
      <c r="P1484" s="16"/>
    </row>
    <row r="1485" spans="2:16" ht="15.75" customHeight="1">
      <c r="B1485" s="16"/>
      <c r="N1485" s="16"/>
      <c r="P1485" s="16"/>
    </row>
    <row r="1486" spans="2:16" ht="15.75" customHeight="1">
      <c r="B1486" s="16"/>
      <c r="N1486" s="16"/>
      <c r="P1486" s="16"/>
    </row>
    <row r="1487" spans="2:16" ht="15.75" customHeight="1">
      <c r="B1487" s="16"/>
      <c r="P1487" s="16"/>
    </row>
    <row r="1488" spans="2:16" ht="15.75" customHeight="1">
      <c r="B1488" s="16"/>
      <c r="H1488" s="16"/>
      <c r="I1488" s="16"/>
      <c r="J1488" s="20"/>
      <c r="N1488" s="16"/>
      <c r="O1488" s="16"/>
      <c r="P1488" s="16"/>
    </row>
    <row r="1489" spans="2:16" ht="15.75" customHeight="1">
      <c r="B1489" s="16"/>
      <c r="H1489" s="16"/>
      <c r="I1489" s="16"/>
      <c r="J1489" s="20"/>
      <c r="N1489" s="16"/>
      <c r="O1489" s="16"/>
      <c r="P1489" s="16"/>
    </row>
    <row r="1490" spans="2:16" ht="15.75" customHeight="1">
      <c r="B1490" s="16"/>
      <c r="H1490" s="16"/>
      <c r="I1490" s="16"/>
      <c r="J1490" s="20"/>
      <c r="N1490" s="16"/>
      <c r="O1490" s="16"/>
      <c r="P1490" s="16"/>
    </row>
    <row r="1491" spans="2:16" ht="15.75" customHeight="1">
      <c r="B1491" s="16"/>
      <c r="H1491" s="16"/>
      <c r="I1491" s="16"/>
      <c r="J1491" s="20"/>
      <c r="N1491" s="16"/>
      <c r="O1491" s="16"/>
      <c r="P1491" s="16"/>
    </row>
    <row r="1492" spans="2:16" ht="15.75" customHeight="1">
      <c r="B1492" s="16"/>
      <c r="H1492" s="16"/>
      <c r="I1492" s="16"/>
      <c r="J1492" s="20"/>
      <c r="N1492" s="16"/>
      <c r="O1492" s="16"/>
      <c r="P1492" s="16"/>
    </row>
    <row r="1493" spans="2:16" ht="15.75" customHeight="1">
      <c r="B1493" s="16"/>
      <c r="H1493" s="16"/>
      <c r="I1493" s="16"/>
      <c r="J1493" s="20"/>
      <c r="N1493" s="16"/>
      <c r="O1493" s="16"/>
      <c r="P1493" s="16"/>
    </row>
    <row r="1494" spans="2:16" ht="15.75" customHeight="1">
      <c r="B1494" s="16"/>
      <c r="H1494" s="16"/>
      <c r="I1494" s="16"/>
      <c r="J1494" s="20"/>
      <c r="N1494" s="16"/>
      <c r="O1494" s="16"/>
      <c r="P1494" s="16"/>
    </row>
    <row r="1495" spans="2:16" ht="15.75" customHeight="1">
      <c r="B1495" s="16"/>
      <c r="H1495" s="16"/>
      <c r="I1495" s="16"/>
      <c r="J1495" s="20"/>
      <c r="N1495" s="16"/>
      <c r="O1495" s="16"/>
      <c r="P1495" s="16"/>
    </row>
    <row r="1496" spans="2:16" ht="15.75" customHeight="1">
      <c r="B1496" s="16"/>
      <c r="H1496" s="16"/>
      <c r="I1496" s="16"/>
      <c r="J1496" s="20"/>
      <c r="N1496" s="16"/>
      <c r="O1496" s="16"/>
      <c r="P1496" s="16"/>
    </row>
    <row r="1497" spans="2:16" ht="15.75" customHeight="1">
      <c r="B1497" s="16"/>
      <c r="H1497" s="16"/>
      <c r="I1497" s="16"/>
      <c r="J1497" s="20"/>
      <c r="N1497" s="16"/>
      <c r="O1497" s="16"/>
      <c r="P1497" s="16"/>
    </row>
    <row r="1498" spans="2:16" ht="15.75" customHeight="1">
      <c r="B1498" s="16"/>
      <c r="H1498" s="16"/>
      <c r="I1498" s="16"/>
      <c r="J1498" s="20"/>
      <c r="N1498" s="16"/>
      <c r="O1498" s="16"/>
      <c r="P1498" s="16"/>
    </row>
    <row r="1499" spans="2:16" ht="15.75" customHeight="1">
      <c r="B1499" s="16"/>
      <c r="H1499" s="16"/>
      <c r="I1499" s="16"/>
      <c r="J1499" s="20"/>
      <c r="N1499" s="16"/>
      <c r="O1499" s="16"/>
      <c r="P1499" s="16"/>
    </row>
    <row r="1500" spans="2:16" ht="15.75" customHeight="1">
      <c r="B1500" s="16"/>
      <c r="H1500" s="16"/>
      <c r="I1500" s="16"/>
      <c r="J1500" s="20"/>
      <c r="N1500" s="16"/>
      <c r="O1500" s="16"/>
      <c r="P1500" s="16"/>
    </row>
    <row r="1501" spans="2:16" ht="15.75" customHeight="1">
      <c r="B1501" s="16"/>
      <c r="H1501" s="16"/>
      <c r="I1501" s="16"/>
      <c r="J1501" s="20"/>
      <c r="N1501" s="16"/>
      <c r="O1501" s="16"/>
      <c r="P1501" s="16"/>
    </row>
    <row r="1502" spans="2:16" ht="15.75" customHeight="1">
      <c r="B1502" s="16"/>
      <c r="H1502" s="16"/>
      <c r="I1502" s="16"/>
      <c r="J1502" s="20"/>
      <c r="N1502" s="16"/>
      <c r="O1502" s="16"/>
      <c r="P1502" s="16"/>
    </row>
    <row r="1503" spans="2:16" ht="15.75" customHeight="1">
      <c r="B1503" s="16"/>
      <c r="H1503" s="16"/>
      <c r="I1503" s="16"/>
      <c r="J1503" s="20"/>
      <c r="N1503" s="16"/>
      <c r="O1503" s="16"/>
      <c r="P1503" s="16"/>
    </row>
    <row r="1504" spans="2:16" ht="15.75" customHeight="1">
      <c r="B1504" s="16"/>
      <c r="H1504" s="16"/>
      <c r="I1504" s="16"/>
      <c r="J1504" s="20"/>
      <c r="N1504" s="16"/>
      <c r="O1504" s="16"/>
      <c r="P1504" s="16"/>
    </row>
    <row r="1505" spans="2:16" ht="15.75" customHeight="1">
      <c r="B1505" s="16"/>
      <c r="H1505" s="16"/>
      <c r="I1505" s="16"/>
      <c r="J1505" s="20"/>
      <c r="N1505" s="16"/>
      <c r="O1505" s="16"/>
      <c r="P1505" s="16"/>
    </row>
    <row r="1506" spans="2:16" ht="15.75" customHeight="1">
      <c r="B1506" s="16"/>
      <c r="H1506" s="16"/>
      <c r="I1506" s="16"/>
      <c r="J1506" s="20"/>
      <c r="N1506" s="16"/>
      <c r="O1506" s="16"/>
      <c r="P1506" s="16"/>
    </row>
    <row r="1507" spans="2:16" ht="15.75" customHeight="1">
      <c r="B1507" s="16"/>
      <c r="H1507" s="16"/>
      <c r="I1507" s="16"/>
      <c r="J1507" s="20"/>
      <c r="N1507" s="16"/>
      <c r="O1507" s="16"/>
      <c r="P1507" s="16"/>
    </row>
    <row r="1508" spans="2:16" ht="15.75" customHeight="1">
      <c r="B1508" s="16"/>
      <c r="H1508" s="16"/>
      <c r="I1508" s="16"/>
      <c r="J1508" s="20"/>
      <c r="N1508" s="16"/>
      <c r="O1508" s="16"/>
      <c r="P1508" s="16"/>
    </row>
    <row r="1509" spans="2:16" ht="15.75" customHeight="1">
      <c r="B1509" s="16"/>
      <c r="H1509" s="16"/>
      <c r="I1509" s="16"/>
      <c r="J1509" s="20"/>
      <c r="N1509" s="16"/>
      <c r="O1509" s="16"/>
      <c r="P1509" s="16"/>
    </row>
    <row r="1510" spans="2:16" ht="15.75" customHeight="1">
      <c r="B1510" s="16"/>
      <c r="H1510" s="16"/>
      <c r="I1510" s="16"/>
      <c r="J1510" s="20"/>
      <c r="N1510" s="16"/>
      <c r="O1510" s="16"/>
      <c r="P1510" s="16"/>
    </row>
    <row r="1511" spans="2:16" ht="15.75" customHeight="1">
      <c r="B1511" s="16"/>
      <c r="H1511" s="16"/>
      <c r="I1511" s="16"/>
      <c r="J1511" s="20"/>
      <c r="N1511" s="16"/>
      <c r="O1511" s="16"/>
      <c r="P1511" s="16"/>
    </row>
    <row r="1512" spans="2:16" ht="15.75" customHeight="1">
      <c r="B1512" s="16"/>
      <c r="H1512" s="16"/>
      <c r="I1512" s="16"/>
      <c r="J1512" s="20"/>
      <c r="N1512" s="16"/>
      <c r="O1512" s="16"/>
      <c r="P1512" s="16"/>
    </row>
    <row r="1513" spans="2:16" ht="15.75" customHeight="1">
      <c r="B1513" s="16"/>
      <c r="H1513" s="16"/>
      <c r="I1513" s="16"/>
      <c r="J1513" s="20"/>
      <c r="N1513" s="16"/>
      <c r="O1513" s="16"/>
      <c r="P1513" s="16"/>
    </row>
    <row r="1514" spans="2:16" ht="15.75" customHeight="1">
      <c r="B1514" s="16"/>
      <c r="H1514" s="16"/>
      <c r="I1514" s="16"/>
      <c r="J1514" s="20"/>
      <c r="N1514" s="16"/>
      <c r="O1514" s="16"/>
      <c r="P1514" s="16"/>
    </row>
    <row r="1515" spans="2:16" ht="15.75" customHeight="1">
      <c r="B1515" s="16"/>
      <c r="H1515" s="16"/>
      <c r="I1515" s="16"/>
      <c r="J1515" s="20"/>
      <c r="N1515" s="16"/>
      <c r="O1515" s="16"/>
      <c r="P1515" s="16"/>
    </row>
    <row r="1516" spans="2:16" ht="15.75" customHeight="1">
      <c r="B1516" s="16"/>
      <c r="H1516" s="16"/>
      <c r="I1516" s="16"/>
      <c r="J1516" s="20"/>
      <c r="N1516" s="16"/>
      <c r="O1516" s="16"/>
      <c r="P1516" s="16"/>
    </row>
    <row r="1517" spans="2:16" ht="15.75" customHeight="1">
      <c r="B1517" s="16"/>
      <c r="H1517" s="16"/>
      <c r="I1517" s="16"/>
      <c r="J1517" s="20"/>
      <c r="N1517" s="16"/>
      <c r="O1517" s="16"/>
      <c r="P1517" s="16"/>
    </row>
    <row r="1518" spans="2:16" ht="15.75" customHeight="1">
      <c r="B1518" s="16"/>
      <c r="H1518" s="16"/>
      <c r="I1518" s="16"/>
      <c r="J1518" s="20"/>
      <c r="N1518" s="16"/>
      <c r="O1518" s="16"/>
      <c r="P1518" s="16"/>
    </row>
    <row r="1519" spans="2:16" ht="15.75" customHeight="1">
      <c r="B1519" s="16"/>
      <c r="H1519" s="16"/>
      <c r="I1519" s="16"/>
      <c r="J1519" s="20"/>
      <c r="N1519" s="16"/>
      <c r="O1519" s="16"/>
      <c r="P1519" s="16"/>
    </row>
    <row r="1520" spans="2:16" ht="15.75" customHeight="1">
      <c r="B1520" s="16"/>
      <c r="H1520" s="16"/>
      <c r="I1520" s="16"/>
      <c r="J1520" s="20"/>
      <c r="N1520" s="16"/>
      <c r="O1520" s="16"/>
      <c r="P1520" s="16"/>
    </row>
    <row r="1521" spans="2:16" ht="15.75" customHeight="1">
      <c r="B1521" s="16"/>
      <c r="H1521" s="16"/>
      <c r="I1521" s="16"/>
      <c r="J1521" s="20"/>
      <c r="N1521" s="16"/>
      <c r="O1521" s="16"/>
      <c r="P1521" s="16"/>
    </row>
    <row r="1522" spans="2:16" ht="15.75" customHeight="1">
      <c r="B1522" s="16"/>
      <c r="H1522" s="16"/>
      <c r="I1522" s="16"/>
      <c r="J1522" s="20"/>
      <c r="N1522" s="16"/>
      <c r="O1522" s="16"/>
      <c r="P1522" s="16"/>
    </row>
    <row r="1523" spans="2:16" ht="15.75" customHeight="1">
      <c r="B1523" s="16"/>
      <c r="H1523" s="16"/>
      <c r="I1523" s="16"/>
      <c r="J1523" s="20"/>
      <c r="N1523" s="16"/>
      <c r="O1523" s="16"/>
      <c r="P1523" s="16"/>
    </row>
    <row r="1524" spans="2:16" ht="15.75" customHeight="1">
      <c r="B1524" s="16"/>
      <c r="H1524" s="16"/>
      <c r="I1524" s="16"/>
      <c r="J1524" s="20"/>
      <c r="N1524" s="16"/>
      <c r="O1524" s="16"/>
      <c r="P1524" s="16"/>
    </row>
    <row r="1525" spans="2:16" ht="15.75" customHeight="1">
      <c r="B1525" s="16"/>
      <c r="H1525" s="16"/>
      <c r="I1525" s="16"/>
      <c r="J1525" s="20"/>
      <c r="N1525" s="16"/>
      <c r="O1525" s="16"/>
      <c r="P1525" s="16"/>
    </row>
    <row r="1526" spans="2:16" ht="15.75" customHeight="1">
      <c r="B1526" s="16"/>
      <c r="H1526" s="16"/>
      <c r="I1526" s="16"/>
      <c r="J1526" s="20"/>
      <c r="N1526" s="16"/>
      <c r="O1526" s="16"/>
      <c r="P1526" s="16"/>
    </row>
    <row r="1527" spans="2:16" ht="15.75" customHeight="1">
      <c r="B1527" s="16"/>
      <c r="H1527" s="16"/>
      <c r="I1527" s="16"/>
      <c r="J1527" s="20"/>
      <c r="N1527" s="16"/>
      <c r="O1527" s="16"/>
      <c r="P1527" s="16"/>
    </row>
    <row r="1528" spans="2:16" ht="15.75" customHeight="1">
      <c r="B1528" s="16"/>
      <c r="H1528" s="16"/>
      <c r="I1528" s="16"/>
      <c r="J1528" s="20"/>
      <c r="N1528" s="16"/>
      <c r="O1528" s="16"/>
      <c r="P1528" s="16"/>
    </row>
    <row r="1529" spans="2:16" ht="15.75" customHeight="1">
      <c r="B1529" s="16"/>
      <c r="H1529" s="16"/>
      <c r="I1529" s="16"/>
      <c r="J1529" s="20"/>
      <c r="N1529" s="16"/>
      <c r="O1529" s="16"/>
      <c r="P1529" s="16"/>
    </row>
    <row r="1530" spans="2:16" ht="15.75" customHeight="1">
      <c r="B1530" s="16"/>
      <c r="H1530" s="16"/>
      <c r="I1530" s="16"/>
      <c r="J1530" s="20"/>
      <c r="N1530" s="16"/>
      <c r="O1530" s="16"/>
      <c r="P1530" s="16"/>
    </row>
    <row r="1531" spans="2:16" ht="15.75" customHeight="1">
      <c r="B1531" s="16"/>
      <c r="H1531" s="16"/>
      <c r="I1531" s="16"/>
      <c r="J1531" s="20"/>
      <c r="N1531" s="16"/>
      <c r="O1531" s="16"/>
      <c r="P1531" s="16"/>
    </row>
    <row r="1532" spans="2:16" ht="15.75" customHeight="1">
      <c r="B1532" s="16"/>
      <c r="N1532" s="16"/>
      <c r="O1532" s="16"/>
      <c r="P1532" s="16"/>
    </row>
    <row r="1533" spans="2:16" ht="15.75" customHeight="1">
      <c r="B1533" s="16"/>
      <c r="N1533" s="16"/>
      <c r="O1533" s="16"/>
      <c r="P1533" s="16"/>
    </row>
    <row r="1534" spans="2:16" ht="15.75" customHeight="1">
      <c r="B1534" s="16"/>
      <c r="N1534" s="16"/>
      <c r="O1534" s="16"/>
      <c r="P1534" s="16"/>
    </row>
    <row r="1535" spans="2:16" ht="15.75" customHeight="1">
      <c r="B1535" s="16"/>
      <c r="N1535" s="16"/>
      <c r="O1535" s="16"/>
      <c r="P1535" s="16"/>
    </row>
    <row r="1536" spans="2:16" ht="15.75" customHeight="1">
      <c r="B1536" s="16"/>
      <c r="H1536" s="16"/>
      <c r="I1536" s="16"/>
      <c r="J1536" s="20"/>
      <c r="N1536" s="16"/>
      <c r="O1536" s="16"/>
      <c r="P1536" s="16"/>
    </row>
    <row r="1537" spans="2:16" ht="15.75" customHeight="1">
      <c r="B1537" s="16"/>
      <c r="H1537" s="16"/>
      <c r="I1537" s="16"/>
      <c r="J1537" s="20"/>
      <c r="N1537" s="16"/>
      <c r="O1537" s="16"/>
      <c r="P1537" s="16"/>
    </row>
    <row r="1538" spans="2:16" ht="15.75" customHeight="1">
      <c r="B1538" s="16"/>
      <c r="H1538" s="16"/>
      <c r="I1538" s="16"/>
      <c r="J1538" s="20"/>
      <c r="N1538" s="16"/>
      <c r="O1538" s="16"/>
      <c r="P1538" s="16"/>
    </row>
    <row r="1539" spans="2:16" ht="15.75" customHeight="1">
      <c r="B1539" s="16"/>
      <c r="H1539" s="16"/>
      <c r="I1539" s="16"/>
      <c r="J1539" s="20"/>
      <c r="N1539" s="16"/>
      <c r="O1539" s="16"/>
      <c r="P1539" s="16"/>
    </row>
    <row r="1540" spans="2:16" ht="15.75" customHeight="1">
      <c r="B1540" s="16"/>
      <c r="H1540" s="16"/>
      <c r="I1540" s="16"/>
      <c r="J1540" s="20"/>
      <c r="N1540" s="16"/>
      <c r="O1540" s="16"/>
      <c r="P1540" s="16"/>
    </row>
    <row r="1541" spans="2:16" ht="15.75" customHeight="1">
      <c r="B1541" s="16"/>
      <c r="H1541" s="16"/>
      <c r="I1541" s="16"/>
      <c r="J1541" s="20"/>
      <c r="N1541" s="16"/>
      <c r="O1541" s="16"/>
      <c r="P1541" s="16"/>
    </row>
    <row r="1542" spans="2:16" ht="15.75" customHeight="1">
      <c r="B1542" s="16"/>
      <c r="H1542" s="16"/>
      <c r="I1542" s="16"/>
      <c r="J1542" s="20"/>
      <c r="N1542" s="16"/>
      <c r="O1542" s="16"/>
      <c r="P1542" s="16"/>
    </row>
    <row r="1543" spans="2:16" ht="15.75" customHeight="1">
      <c r="B1543" s="16"/>
      <c r="H1543" s="16"/>
      <c r="I1543" s="16"/>
      <c r="J1543" s="20"/>
      <c r="N1543" s="16"/>
      <c r="O1543" s="16"/>
      <c r="P1543" s="16"/>
    </row>
    <row r="1544" spans="2:16" ht="15.75" customHeight="1">
      <c r="B1544" s="16"/>
      <c r="H1544" s="16"/>
      <c r="I1544" s="16"/>
      <c r="J1544" s="20"/>
      <c r="N1544" s="16"/>
      <c r="O1544" s="16"/>
      <c r="P1544" s="16"/>
    </row>
    <row r="1545" spans="2:16" ht="15.75" customHeight="1">
      <c r="B1545" s="16"/>
      <c r="H1545" s="16"/>
      <c r="I1545" s="16"/>
      <c r="J1545" s="20"/>
      <c r="N1545" s="16"/>
      <c r="O1545" s="16"/>
      <c r="P1545" s="16"/>
    </row>
    <row r="1546" spans="2:16" ht="15.75" customHeight="1">
      <c r="B1546" s="16"/>
      <c r="H1546" s="16"/>
      <c r="I1546" s="16"/>
      <c r="J1546" s="20"/>
      <c r="N1546" s="16"/>
      <c r="O1546" s="16"/>
      <c r="P1546" s="16"/>
    </row>
    <row r="1547" spans="2:16" ht="15.75" customHeight="1">
      <c r="B1547" s="16"/>
      <c r="H1547" s="16"/>
      <c r="I1547" s="16"/>
      <c r="J1547" s="20"/>
      <c r="N1547" s="16"/>
      <c r="O1547" s="16"/>
      <c r="P1547" s="16"/>
    </row>
    <row r="1548" spans="2:16" ht="15.75" customHeight="1">
      <c r="B1548" s="16"/>
      <c r="H1548" s="16"/>
      <c r="I1548" s="16"/>
      <c r="J1548" s="20"/>
      <c r="N1548" s="16"/>
      <c r="O1548" s="16"/>
      <c r="P1548" s="16"/>
    </row>
    <row r="1549" spans="2:16" ht="15.75" customHeight="1">
      <c r="B1549" s="16"/>
      <c r="N1549" s="16"/>
      <c r="O1549" s="16"/>
      <c r="P1549" s="16"/>
    </row>
    <row r="1550" spans="2:16" ht="15.75" customHeight="1">
      <c r="B1550" s="16"/>
      <c r="N1550" s="16"/>
      <c r="P1550" s="16"/>
    </row>
    <row r="1551" spans="2:16" ht="15.75" customHeight="1">
      <c r="B1551" s="16"/>
      <c r="N1551" s="16"/>
      <c r="P1551" s="16"/>
    </row>
    <row r="1552" spans="2:16" ht="15.75" customHeight="1">
      <c r="B1552" s="16"/>
      <c r="N1552" s="16"/>
      <c r="P1552" s="16"/>
    </row>
    <row r="1553" spans="2:16" ht="15.75" customHeight="1">
      <c r="B1553" s="16"/>
      <c r="N1553" s="16"/>
      <c r="O1553" s="16"/>
      <c r="P1553" s="16"/>
    </row>
    <row r="1554" spans="2:16" ht="15.75" customHeight="1">
      <c r="B1554" s="16"/>
      <c r="N1554" s="16"/>
      <c r="O1554" s="16"/>
      <c r="P1554" s="16"/>
    </row>
    <row r="1555" spans="2:16" ht="15.75" customHeight="1">
      <c r="B1555" s="16"/>
      <c r="N1555" s="16"/>
      <c r="O1555" s="16"/>
      <c r="P1555" s="16"/>
    </row>
    <row r="1556" spans="2:16" ht="15.75" customHeight="1">
      <c r="B1556" s="16"/>
      <c r="N1556" s="16"/>
      <c r="O1556" s="16"/>
      <c r="P1556" s="16"/>
    </row>
    <row r="1557" spans="2:16" ht="15.75" customHeight="1">
      <c r="B1557" s="16"/>
      <c r="N1557" s="16"/>
      <c r="O1557" s="16"/>
      <c r="P1557" s="16"/>
    </row>
    <row r="1558" spans="2:16" ht="15.75" customHeight="1">
      <c r="B1558" s="16"/>
      <c r="N1558" s="16"/>
      <c r="O1558" s="16"/>
      <c r="P1558" s="16"/>
    </row>
    <row r="1559" spans="2:16" ht="15.75" customHeight="1">
      <c r="B1559" s="16"/>
      <c r="H1559" s="16"/>
      <c r="I1559" s="16"/>
      <c r="J1559" s="20"/>
      <c r="N1559" s="16"/>
      <c r="O1559" s="16"/>
      <c r="P1559" s="16"/>
    </row>
    <row r="1560" spans="2:16" ht="15.75" customHeight="1">
      <c r="B1560" s="16"/>
      <c r="H1560" s="16"/>
      <c r="I1560" s="16"/>
      <c r="J1560" s="20"/>
      <c r="N1560" s="16"/>
      <c r="O1560" s="16"/>
      <c r="P1560" s="16"/>
    </row>
    <row r="1561" spans="2:16" ht="15.75" customHeight="1">
      <c r="B1561" s="16"/>
      <c r="H1561" s="16"/>
      <c r="I1561" s="16"/>
      <c r="J1561" s="20"/>
      <c r="N1561" s="16"/>
      <c r="O1561" s="16"/>
      <c r="P1561" s="16"/>
    </row>
    <row r="1562" spans="2:16" ht="15.75" customHeight="1">
      <c r="B1562" s="16"/>
      <c r="H1562" s="16"/>
      <c r="I1562" s="16"/>
      <c r="J1562" s="20"/>
      <c r="N1562" s="16"/>
      <c r="O1562" s="16"/>
      <c r="P1562" s="16"/>
    </row>
    <row r="1563" spans="2:16" ht="15.75" customHeight="1">
      <c r="B1563" s="16"/>
      <c r="H1563" s="16"/>
      <c r="I1563" s="16"/>
      <c r="J1563" s="20"/>
      <c r="N1563" s="16"/>
      <c r="O1563" s="16"/>
      <c r="P1563" s="16"/>
    </row>
    <row r="1564" spans="2:16" ht="15.75" customHeight="1">
      <c r="B1564" s="16"/>
      <c r="H1564" s="16"/>
      <c r="I1564" s="16"/>
      <c r="J1564" s="20"/>
      <c r="N1564" s="16"/>
      <c r="O1564" s="16"/>
      <c r="P1564" s="16"/>
    </row>
    <row r="1565" spans="2:16" ht="15.75" customHeight="1">
      <c r="B1565" s="16"/>
      <c r="H1565" s="16"/>
      <c r="I1565" s="16"/>
      <c r="J1565" s="20"/>
      <c r="N1565" s="16"/>
      <c r="O1565" s="16"/>
      <c r="P1565" s="16"/>
    </row>
    <row r="1566" spans="2:16" ht="15.75" customHeight="1">
      <c r="B1566" s="16"/>
      <c r="H1566" s="16"/>
      <c r="I1566" s="16"/>
      <c r="J1566" s="20"/>
      <c r="N1566" s="16"/>
      <c r="O1566" s="16"/>
      <c r="P1566" s="16"/>
    </row>
    <row r="1567" spans="2:16" ht="15.75" customHeight="1">
      <c r="B1567" s="16"/>
      <c r="H1567" s="16"/>
      <c r="I1567" s="16"/>
      <c r="J1567" s="20"/>
      <c r="N1567" s="16"/>
      <c r="O1567" s="16"/>
      <c r="P1567" s="16"/>
    </row>
    <row r="1568" spans="2:16" ht="15.75" customHeight="1">
      <c r="B1568" s="16"/>
      <c r="H1568" s="16"/>
      <c r="I1568" s="16"/>
      <c r="J1568" s="20"/>
      <c r="N1568" s="16"/>
      <c r="O1568" s="16"/>
      <c r="P1568" s="16"/>
    </row>
    <row r="1569" spans="2:16" ht="15.75" customHeight="1">
      <c r="B1569" s="16"/>
      <c r="H1569" s="16"/>
      <c r="I1569" s="16"/>
      <c r="J1569" s="20"/>
      <c r="N1569" s="16"/>
      <c r="O1569" s="16"/>
      <c r="P1569" s="16"/>
    </row>
    <row r="1570" spans="2:16" ht="15.75" customHeight="1">
      <c r="B1570" s="16"/>
      <c r="H1570" s="16"/>
      <c r="I1570" s="16"/>
      <c r="J1570" s="20"/>
      <c r="N1570" s="16"/>
      <c r="O1570" s="16"/>
      <c r="P1570" s="16"/>
    </row>
    <row r="1571" spans="2:16" ht="15.75" customHeight="1">
      <c r="B1571" s="16"/>
      <c r="H1571" s="16"/>
      <c r="I1571" s="16"/>
      <c r="J1571" s="20"/>
      <c r="N1571" s="16"/>
      <c r="O1571" s="16"/>
      <c r="P1571" s="16"/>
    </row>
    <row r="1572" spans="2:16" ht="15.75" customHeight="1">
      <c r="B1572" s="16"/>
      <c r="H1572" s="16"/>
      <c r="I1572" s="16"/>
      <c r="J1572" s="20"/>
      <c r="N1572" s="16"/>
      <c r="O1572" s="16"/>
      <c r="P1572" s="16"/>
    </row>
    <row r="1573" spans="2:16" ht="15.75" customHeight="1">
      <c r="B1573" s="16"/>
      <c r="H1573" s="16"/>
      <c r="I1573" s="16"/>
      <c r="J1573" s="20"/>
      <c r="N1573" s="16"/>
      <c r="O1573" s="16"/>
      <c r="P1573" s="16"/>
    </row>
    <row r="1574" spans="2:16" ht="15.75" customHeight="1">
      <c r="B1574" s="16"/>
      <c r="H1574" s="16"/>
      <c r="I1574" s="16"/>
      <c r="J1574" s="20"/>
      <c r="N1574" s="16"/>
      <c r="O1574" s="16"/>
      <c r="P1574" s="16"/>
    </row>
    <row r="1575" spans="2:16" ht="15.75" customHeight="1">
      <c r="B1575" s="16"/>
      <c r="H1575" s="16"/>
      <c r="I1575" s="16"/>
      <c r="J1575" s="20"/>
      <c r="N1575" s="16"/>
      <c r="O1575" s="16"/>
      <c r="P1575" s="16"/>
    </row>
    <row r="1576" spans="2:16" ht="15.75" customHeight="1">
      <c r="B1576" s="16"/>
      <c r="H1576" s="16"/>
      <c r="I1576" s="16"/>
      <c r="J1576" s="20"/>
      <c r="N1576" s="16"/>
      <c r="O1576" s="16"/>
      <c r="P1576" s="16"/>
    </row>
    <row r="1577" spans="2:16" ht="15.75" customHeight="1">
      <c r="B1577" s="16"/>
      <c r="H1577" s="16"/>
      <c r="I1577" s="16"/>
      <c r="J1577" s="20"/>
      <c r="N1577" s="16"/>
      <c r="O1577" s="16"/>
      <c r="P1577" s="16"/>
    </row>
    <row r="1578" spans="2:16" ht="15.75" customHeight="1">
      <c r="B1578" s="16"/>
      <c r="H1578" s="16"/>
      <c r="I1578" s="16"/>
      <c r="J1578" s="20"/>
      <c r="N1578" s="16"/>
      <c r="O1578" s="16"/>
      <c r="P1578" s="16"/>
    </row>
    <row r="1579" spans="2:16" ht="15.75" customHeight="1">
      <c r="B1579" s="16"/>
      <c r="N1579" s="16"/>
    </row>
    <row r="1580" spans="2:16" ht="15.75" customHeight="1">
      <c r="B1580" s="16"/>
      <c r="H1580" s="16"/>
      <c r="I1580" s="16"/>
      <c r="J1580" s="20"/>
      <c r="N1580" s="16"/>
      <c r="O1580" s="16"/>
      <c r="P1580" s="16"/>
    </row>
    <row r="1581" spans="2:16" ht="15.75" customHeight="1">
      <c r="B1581" s="16"/>
      <c r="H1581" s="16"/>
      <c r="I1581" s="16"/>
      <c r="J1581" s="20"/>
      <c r="N1581" s="16"/>
      <c r="O1581" s="16"/>
      <c r="P1581" s="16"/>
    </row>
    <row r="1582" spans="2:16" ht="15.75" customHeight="1">
      <c r="B1582" s="16"/>
      <c r="H1582" s="16"/>
      <c r="I1582" s="16"/>
      <c r="J1582" s="20"/>
      <c r="N1582" s="16"/>
      <c r="O1582" s="16"/>
      <c r="P1582" s="16"/>
    </row>
    <row r="1583" spans="2:16" ht="15.75" customHeight="1">
      <c r="B1583" s="16"/>
      <c r="H1583" s="16"/>
      <c r="I1583" s="16"/>
      <c r="J1583" s="20"/>
      <c r="N1583" s="16"/>
      <c r="O1583" s="16"/>
      <c r="P1583" s="16"/>
    </row>
    <row r="1584" spans="2:16" ht="15.75" customHeight="1">
      <c r="B1584" s="16"/>
      <c r="H1584" s="16"/>
      <c r="I1584" s="16"/>
      <c r="J1584" s="20"/>
      <c r="N1584" s="16"/>
      <c r="O1584" s="16"/>
      <c r="P1584" s="16"/>
    </row>
    <row r="1585" spans="2:16" ht="15.75" customHeight="1">
      <c r="B1585" s="16"/>
      <c r="H1585" s="16"/>
      <c r="I1585" s="16"/>
      <c r="J1585" s="20"/>
      <c r="N1585" s="16"/>
      <c r="O1585" s="16"/>
      <c r="P1585" s="16"/>
    </row>
    <row r="1586" spans="2:16" ht="15.75" customHeight="1">
      <c r="B1586" s="16"/>
      <c r="H1586" s="16"/>
      <c r="I1586" s="16"/>
      <c r="J1586" s="20"/>
      <c r="N1586" s="16"/>
      <c r="O1586" s="16"/>
      <c r="P1586" s="16"/>
    </row>
    <row r="1587" spans="2:16" ht="15.75" customHeight="1">
      <c r="B1587" s="16"/>
      <c r="H1587" s="16"/>
      <c r="I1587" s="16"/>
      <c r="J1587" s="20"/>
      <c r="N1587" s="16"/>
      <c r="O1587" s="16"/>
      <c r="P1587" s="16"/>
    </row>
    <row r="1588" spans="2:16" ht="15.75" customHeight="1">
      <c r="B1588" s="16"/>
      <c r="H1588" s="16"/>
      <c r="I1588" s="16"/>
      <c r="J1588" s="20"/>
      <c r="N1588" s="16"/>
      <c r="O1588" s="16"/>
      <c r="P1588" s="16"/>
    </row>
    <row r="1589" spans="2:16" ht="15.75" customHeight="1">
      <c r="B1589" s="16"/>
      <c r="H1589" s="16"/>
      <c r="I1589" s="16"/>
      <c r="J1589" s="20"/>
      <c r="N1589" s="16"/>
      <c r="O1589" s="16"/>
      <c r="P1589" s="16"/>
    </row>
    <row r="1590" spans="2:16" ht="15.75" customHeight="1">
      <c r="B1590" s="16"/>
      <c r="H1590" s="16"/>
      <c r="I1590" s="16"/>
      <c r="J1590" s="20"/>
      <c r="N1590" s="16"/>
      <c r="O1590" s="16"/>
      <c r="P1590" s="16"/>
    </row>
    <row r="1591" spans="2:16" ht="15.75" customHeight="1">
      <c r="B1591" s="16"/>
      <c r="H1591" s="16"/>
      <c r="I1591" s="16"/>
      <c r="J1591" s="20"/>
      <c r="N1591" s="16"/>
      <c r="O1591" s="16"/>
      <c r="P1591" s="16"/>
    </row>
    <row r="1592" spans="2:16" ht="15.75" customHeight="1">
      <c r="B1592" s="16"/>
      <c r="N1592" s="16"/>
      <c r="O1592" s="16"/>
      <c r="P1592" s="16"/>
    </row>
    <row r="1593" spans="2:16" ht="15.75" customHeight="1">
      <c r="B1593" s="16"/>
      <c r="H1593" s="16"/>
      <c r="I1593" s="16"/>
      <c r="J1593" s="20"/>
      <c r="N1593" s="16"/>
      <c r="O1593" s="16"/>
      <c r="P1593" s="16"/>
    </row>
    <row r="1594" spans="2:16" ht="15.75" customHeight="1">
      <c r="B1594" s="16"/>
      <c r="H1594" s="16"/>
      <c r="I1594" s="16"/>
      <c r="J1594" s="20"/>
      <c r="N1594" s="16"/>
      <c r="O1594" s="16"/>
      <c r="P1594" s="16"/>
    </row>
    <row r="1595" spans="2:16" ht="15.75" customHeight="1">
      <c r="B1595" s="16"/>
      <c r="H1595" s="16"/>
      <c r="I1595" s="16"/>
      <c r="J1595" s="20"/>
      <c r="N1595" s="16"/>
      <c r="O1595" s="16"/>
      <c r="P1595" s="16"/>
    </row>
    <row r="1596" spans="2:16" ht="15.75" customHeight="1">
      <c r="B1596" s="16"/>
      <c r="H1596" s="16"/>
      <c r="I1596" s="16"/>
      <c r="J1596" s="20"/>
      <c r="N1596" s="16"/>
      <c r="O1596" s="16"/>
      <c r="P1596" s="16"/>
    </row>
    <row r="1597" spans="2:16" ht="15.75" customHeight="1">
      <c r="B1597" s="16"/>
      <c r="H1597" s="16"/>
      <c r="I1597" s="16"/>
      <c r="J1597" s="20"/>
      <c r="N1597" s="16"/>
      <c r="O1597" s="16"/>
      <c r="P1597" s="16"/>
    </row>
    <row r="1598" spans="2:16" ht="15.75" customHeight="1">
      <c r="B1598" s="16"/>
      <c r="H1598" s="16"/>
      <c r="I1598" s="16"/>
      <c r="J1598" s="20"/>
      <c r="N1598" s="16"/>
      <c r="O1598" s="16"/>
      <c r="P1598" s="16"/>
    </row>
    <row r="1599" spans="2:16" ht="15.75" customHeight="1">
      <c r="B1599" s="16"/>
      <c r="H1599" s="16"/>
      <c r="I1599" s="16"/>
      <c r="J1599" s="20"/>
      <c r="N1599" s="16"/>
      <c r="O1599" s="16"/>
      <c r="P1599" s="16"/>
    </row>
    <row r="1600" spans="2:16" ht="15.75" customHeight="1">
      <c r="B1600" s="16"/>
      <c r="H1600" s="16"/>
      <c r="I1600" s="16"/>
      <c r="J1600" s="20"/>
      <c r="N1600" s="16"/>
      <c r="O1600" s="16"/>
      <c r="P1600" s="16"/>
    </row>
    <row r="1601" spans="2:16" ht="15.75" customHeight="1">
      <c r="B1601" s="16"/>
      <c r="H1601" s="16"/>
      <c r="I1601" s="16"/>
      <c r="J1601" s="20"/>
      <c r="N1601" s="16"/>
      <c r="O1601" s="16"/>
      <c r="P1601" s="16"/>
    </row>
    <row r="1602" spans="2:16" ht="15.75" customHeight="1">
      <c r="B1602" s="16"/>
      <c r="H1602" s="16"/>
      <c r="I1602" s="16"/>
      <c r="J1602" s="20"/>
      <c r="N1602" s="16"/>
      <c r="O1602" s="16"/>
      <c r="P1602" s="16"/>
    </row>
    <row r="1603" spans="2:16" ht="15.75" customHeight="1">
      <c r="B1603" s="16"/>
      <c r="H1603" s="16"/>
      <c r="I1603" s="16"/>
      <c r="J1603" s="20"/>
      <c r="N1603" s="16"/>
      <c r="O1603" s="16"/>
      <c r="P1603" s="16"/>
    </row>
    <row r="1604" spans="2:16" ht="15.75" customHeight="1">
      <c r="B1604" s="16"/>
      <c r="H1604" s="16"/>
      <c r="I1604" s="16"/>
      <c r="J1604" s="20"/>
      <c r="N1604" s="16"/>
      <c r="O1604" s="16"/>
      <c r="P1604" s="16"/>
    </row>
    <row r="1605" spans="2:16" ht="15.75" customHeight="1">
      <c r="B1605" s="16"/>
      <c r="H1605" s="16"/>
      <c r="I1605" s="16"/>
      <c r="J1605" s="20"/>
      <c r="N1605" s="16"/>
      <c r="O1605" s="16"/>
      <c r="P1605" s="16"/>
    </row>
    <row r="1606" spans="2:16" ht="15.75" customHeight="1">
      <c r="B1606" s="16"/>
      <c r="H1606" s="16"/>
      <c r="I1606" s="16"/>
      <c r="J1606" s="20"/>
      <c r="N1606" s="16"/>
      <c r="O1606" s="16"/>
      <c r="P1606" s="16"/>
    </row>
    <row r="1608" spans="2:16" ht="15.75" customHeight="1">
      <c r="B1608" s="16"/>
      <c r="H1608" s="16"/>
      <c r="I1608" s="16"/>
      <c r="J1608" s="20"/>
      <c r="N1608" s="16"/>
      <c r="O1608" s="16"/>
      <c r="P1608" s="16"/>
    </row>
    <row r="1609" spans="2:16" ht="15.75" customHeight="1">
      <c r="B1609" s="16"/>
      <c r="H1609" s="16"/>
      <c r="I1609" s="16"/>
      <c r="J1609" s="20"/>
      <c r="N1609" s="16"/>
      <c r="O1609" s="16"/>
      <c r="P1609" s="16"/>
    </row>
    <row r="1610" spans="2:16" ht="15.75" customHeight="1">
      <c r="B1610" s="16"/>
      <c r="H1610" s="16"/>
      <c r="I1610" s="16"/>
      <c r="J1610" s="20"/>
      <c r="N1610" s="16"/>
      <c r="O1610" s="16"/>
      <c r="P1610" s="16"/>
    </row>
    <row r="1611" spans="2:16" ht="15.75" customHeight="1">
      <c r="B1611" s="16"/>
      <c r="H1611" s="16"/>
      <c r="I1611" s="16"/>
      <c r="J1611" s="20"/>
      <c r="N1611" s="16"/>
      <c r="O1611" s="16"/>
      <c r="P1611" s="16"/>
    </row>
    <row r="1612" spans="2:16" ht="15.75" customHeight="1">
      <c r="B1612" s="16"/>
      <c r="H1612" s="16"/>
      <c r="I1612" s="16"/>
      <c r="J1612" s="20"/>
      <c r="N1612" s="16"/>
      <c r="O1612" s="16"/>
      <c r="P1612" s="16"/>
    </row>
    <row r="1613" spans="2:16" ht="15.75" customHeight="1">
      <c r="B1613" s="16"/>
      <c r="H1613" s="16"/>
      <c r="I1613" s="16"/>
      <c r="J1613" s="20"/>
      <c r="N1613" s="16"/>
      <c r="O1613" s="16"/>
      <c r="P1613" s="16"/>
    </row>
    <row r="1614" spans="2:16" ht="15.75" customHeight="1">
      <c r="B1614" s="16"/>
      <c r="H1614" s="16"/>
      <c r="I1614" s="16"/>
      <c r="J1614" s="20"/>
      <c r="N1614" s="16"/>
      <c r="O1614" s="16"/>
      <c r="P1614" s="16"/>
    </row>
    <row r="1615" spans="2:16" ht="15.75" customHeight="1">
      <c r="B1615" s="16"/>
      <c r="H1615" s="16"/>
      <c r="I1615" s="16"/>
      <c r="J1615" s="20"/>
      <c r="N1615" s="16"/>
      <c r="O1615" s="16"/>
      <c r="P1615" s="16"/>
    </row>
    <row r="1616" spans="2:16" ht="15.75" customHeight="1">
      <c r="B1616" s="16"/>
      <c r="H1616" s="16"/>
      <c r="I1616" s="16"/>
      <c r="J1616" s="20"/>
      <c r="N1616" s="16"/>
      <c r="O1616" s="16"/>
      <c r="P1616" s="16"/>
    </row>
    <row r="1617" spans="2:16" ht="15.75" customHeight="1">
      <c r="B1617" s="16"/>
      <c r="H1617" s="16"/>
      <c r="I1617" s="16"/>
      <c r="J1617" s="20"/>
      <c r="N1617" s="16"/>
      <c r="O1617" s="16"/>
      <c r="P1617" s="16"/>
    </row>
    <row r="1618" spans="2:16" ht="15.75" customHeight="1">
      <c r="B1618" s="16"/>
      <c r="H1618" s="16"/>
      <c r="I1618" s="16"/>
      <c r="J1618" s="20"/>
      <c r="N1618" s="16"/>
      <c r="O1618" s="16"/>
      <c r="P1618" s="16"/>
    </row>
    <row r="1619" spans="2:16" ht="15.75" customHeight="1">
      <c r="B1619" s="16"/>
      <c r="H1619" s="16"/>
      <c r="I1619" s="16"/>
      <c r="J1619" s="20"/>
      <c r="N1619" s="16"/>
      <c r="O1619" s="16"/>
      <c r="P1619" s="16"/>
    </row>
    <row r="1620" spans="2:16" ht="15.75" customHeight="1">
      <c r="B1620" s="16"/>
      <c r="H1620" s="16"/>
      <c r="I1620" s="16"/>
      <c r="J1620" s="20"/>
      <c r="N1620" s="16"/>
      <c r="O1620" s="16"/>
      <c r="P1620" s="16"/>
    </row>
    <row r="1621" spans="2:16" ht="15.75" customHeight="1">
      <c r="B1621" s="16"/>
      <c r="H1621" s="16"/>
      <c r="I1621" s="16"/>
      <c r="J1621" s="20"/>
      <c r="N1621" s="16"/>
      <c r="O1621" s="16"/>
      <c r="P1621" s="16"/>
    </row>
    <row r="1622" spans="2:16" ht="15.75" customHeight="1">
      <c r="B1622" s="16"/>
      <c r="H1622" s="16"/>
      <c r="I1622" s="16"/>
      <c r="J1622" s="20"/>
      <c r="N1622" s="16"/>
      <c r="O1622" s="16"/>
      <c r="P1622" s="16"/>
    </row>
    <row r="1623" spans="2:16" ht="15.75" customHeight="1">
      <c r="B1623" s="16"/>
      <c r="H1623" s="16"/>
      <c r="I1623" s="16"/>
      <c r="J1623" s="20"/>
      <c r="N1623" s="16"/>
      <c r="O1623" s="16"/>
      <c r="P1623" s="16"/>
    </row>
    <row r="1624" spans="2:16" ht="15.75" customHeight="1">
      <c r="B1624" s="16"/>
      <c r="H1624" s="16"/>
      <c r="I1624" s="16"/>
      <c r="J1624" s="20"/>
      <c r="N1624" s="16"/>
      <c r="O1624" s="16"/>
      <c r="P1624" s="16"/>
    </row>
    <row r="1625" spans="2:16" ht="15.75" customHeight="1">
      <c r="B1625" s="16"/>
      <c r="H1625" s="16"/>
      <c r="I1625" s="16"/>
      <c r="J1625" s="20"/>
      <c r="N1625" s="16"/>
      <c r="O1625" s="16"/>
      <c r="P1625" s="16"/>
    </row>
    <row r="1626" spans="2:16" ht="15.75" customHeight="1">
      <c r="B1626" s="16"/>
      <c r="H1626" s="16"/>
      <c r="I1626" s="16"/>
      <c r="J1626" s="20"/>
      <c r="N1626" s="16"/>
      <c r="O1626" s="16"/>
      <c r="P1626" s="16"/>
    </row>
    <row r="1627" spans="2:16" ht="15.75" customHeight="1">
      <c r="B1627" s="16"/>
      <c r="H1627" s="16"/>
      <c r="I1627" s="16"/>
      <c r="J1627" s="20"/>
      <c r="N1627" s="16"/>
      <c r="O1627" s="16"/>
      <c r="P1627" s="16"/>
    </row>
    <row r="1628" spans="2:16" ht="15.75" customHeight="1">
      <c r="B1628" s="16"/>
      <c r="H1628" s="16"/>
      <c r="I1628" s="16"/>
      <c r="J1628" s="20"/>
      <c r="N1628" s="16"/>
      <c r="O1628" s="16"/>
      <c r="P1628" s="16"/>
    </row>
    <row r="1629" spans="2:16" ht="15.75" customHeight="1">
      <c r="B1629" s="16"/>
      <c r="H1629" s="16"/>
      <c r="I1629" s="16"/>
      <c r="J1629" s="20"/>
      <c r="N1629" s="16"/>
      <c r="O1629" s="16"/>
      <c r="P1629" s="16"/>
    </row>
    <row r="1630" spans="2:16" ht="15.75" customHeight="1">
      <c r="B1630" s="16"/>
      <c r="H1630" s="16"/>
      <c r="I1630" s="16"/>
      <c r="J1630" s="20"/>
      <c r="N1630" s="16"/>
      <c r="O1630" s="16"/>
      <c r="P1630" s="16"/>
    </row>
    <row r="1631" spans="2:16" ht="15.75" customHeight="1">
      <c r="B1631" s="16"/>
      <c r="H1631" s="16"/>
      <c r="I1631" s="16"/>
      <c r="J1631" s="20"/>
      <c r="N1631" s="16"/>
      <c r="O1631" s="16"/>
      <c r="P1631" s="16"/>
    </row>
    <row r="1632" spans="2:16" ht="15.75" customHeight="1">
      <c r="B1632" s="16"/>
      <c r="H1632" s="16"/>
      <c r="I1632" s="16"/>
      <c r="J1632" s="20"/>
      <c r="N1632" s="16"/>
      <c r="O1632" s="16"/>
      <c r="P1632" s="16"/>
    </row>
    <row r="1633" spans="2:16" ht="15.75" customHeight="1">
      <c r="B1633" s="16"/>
      <c r="H1633" s="16"/>
      <c r="I1633" s="16"/>
      <c r="J1633" s="20"/>
      <c r="N1633" s="16"/>
      <c r="O1633" s="16"/>
      <c r="P1633" s="16"/>
    </row>
    <row r="1634" spans="2:16" ht="15.75" customHeight="1">
      <c r="B1634" s="16"/>
      <c r="H1634" s="16"/>
      <c r="I1634" s="16"/>
      <c r="J1634" s="20"/>
      <c r="N1634" s="16"/>
      <c r="O1634" s="16"/>
      <c r="P1634" s="16"/>
    </row>
    <row r="1635" spans="2:16" ht="15.75" customHeight="1">
      <c r="B1635" s="16"/>
      <c r="H1635" s="16"/>
      <c r="I1635" s="16"/>
      <c r="J1635" s="20"/>
      <c r="N1635" s="16"/>
      <c r="O1635" s="16"/>
      <c r="P1635" s="16"/>
    </row>
    <row r="1636" spans="2:16" ht="15.75" customHeight="1">
      <c r="B1636" s="16"/>
      <c r="H1636" s="16"/>
      <c r="I1636" s="16"/>
      <c r="J1636" s="20"/>
      <c r="N1636" s="16"/>
      <c r="O1636" s="16"/>
      <c r="P1636" s="16"/>
    </row>
    <row r="1637" spans="2:16" ht="15.75" customHeight="1">
      <c r="B1637" s="16"/>
      <c r="H1637" s="16"/>
      <c r="I1637" s="16"/>
      <c r="J1637" s="20"/>
      <c r="N1637" s="16"/>
      <c r="O1637" s="16"/>
      <c r="P1637" s="16"/>
    </row>
    <row r="1638" spans="2:16" ht="15.75" customHeight="1">
      <c r="B1638" s="16"/>
      <c r="H1638" s="16"/>
      <c r="I1638" s="16"/>
      <c r="J1638" s="20"/>
      <c r="N1638" s="16"/>
      <c r="O1638" s="16"/>
      <c r="P1638" s="16"/>
    </row>
    <row r="1639" spans="2:16" ht="15.75" customHeight="1">
      <c r="B1639" s="16"/>
      <c r="H1639" s="16"/>
      <c r="I1639" s="16"/>
      <c r="J1639" s="20"/>
      <c r="N1639" s="16"/>
      <c r="O1639" s="16"/>
      <c r="P1639" s="16"/>
    </row>
    <row r="1640" spans="2:16" ht="15.75" customHeight="1">
      <c r="B1640" s="16"/>
      <c r="H1640" s="16"/>
      <c r="I1640" s="16"/>
      <c r="J1640" s="20"/>
      <c r="N1640" s="16"/>
      <c r="O1640" s="16"/>
      <c r="P1640" s="16"/>
    </row>
    <row r="1641" spans="2:16" ht="15.75" customHeight="1">
      <c r="B1641" s="16"/>
      <c r="H1641" s="16"/>
      <c r="I1641" s="16"/>
      <c r="J1641" s="20"/>
      <c r="N1641" s="16"/>
      <c r="O1641" s="16"/>
      <c r="P1641" s="16"/>
    </row>
    <row r="1642" spans="2:16" ht="15.75" customHeight="1">
      <c r="B1642" s="16"/>
      <c r="H1642" s="16"/>
      <c r="I1642" s="16"/>
      <c r="J1642" s="20"/>
      <c r="N1642" s="16"/>
      <c r="O1642" s="16"/>
      <c r="P1642" s="16"/>
    </row>
    <row r="1643" spans="2:16" ht="15.75" customHeight="1">
      <c r="B1643" s="16"/>
      <c r="H1643" s="16"/>
      <c r="I1643" s="16"/>
      <c r="J1643" s="20"/>
      <c r="N1643" s="16"/>
      <c r="O1643" s="16"/>
      <c r="P1643" s="16"/>
    </row>
    <row r="1644" spans="2:16" ht="15.75" customHeight="1">
      <c r="B1644" s="16"/>
      <c r="H1644" s="16"/>
      <c r="I1644" s="16"/>
      <c r="J1644" s="20"/>
      <c r="N1644" s="16"/>
      <c r="O1644" s="16"/>
      <c r="P1644" s="16"/>
    </row>
    <row r="1645" spans="2:16" ht="15.75" customHeight="1">
      <c r="B1645" s="16"/>
      <c r="H1645" s="16"/>
      <c r="I1645" s="16"/>
      <c r="J1645" s="20"/>
      <c r="N1645" s="16"/>
      <c r="O1645" s="16"/>
      <c r="P1645" s="16"/>
    </row>
    <row r="1646" spans="2:16" ht="15.75" customHeight="1">
      <c r="B1646" s="16"/>
      <c r="H1646" s="16"/>
      <c r="I1646" s="16"/>
      <c r="J1646" s="20"/>
      <c r="N1646" s="16"/>
      <c r="O1646" s="16"/>
      <c r="P1646" s="16"/>
    </row>
    <row r="1647" spans="2:16" ht="15.75" customHeight="1">
      <c r="B1647" s="16"/>
      <c r="H1647" s="16"/>
      <c r="I1647" s="16"/>
      <c r="J1647" s="20"/>
      <c r="N1647" s="16"/>
      <c r="O1647" s="16"/>
      <c r="P1647" s="16"/>
    </row>
    <row r="1648" spans="2:16" ht="15.75" customHeight="1">
      <c r="B1648" s="16"/>
      <c r="H1648" s="16"/>
      <c r="I1648" s="16"/>
      <c r="J1648" s="20"/>
      <c r="N1648" s="16"/>
      <c r="O1648" s="16"/>
      <c r="P1648" s="16"/>
    </row>
    <row r="1649" spans="2:16" ht="15.75" customHeight="1">
      <c r="B1649" s="16"/>
      <c r="H1649" s="16"/>
      <c r="I1649" s="16"/>
      <c r="J1649" s="20"/>
      <c r="N1649" s="16"/>
      <c r="O1649" s="16"/>
      <c r="P1649" s="16"/>
    </row>
    <row r="1650" spans="2:16" ht="15.75" customHeight="1">
      <c r="B1650" s="16"/>
      <c r="H1650" s="16"/>
      <c r="I1650" s="16"/>
      <c r="J1650" s="20"/>
      <c r="N1650" s="16"/>
      <c r="O1650" s="16"/>
      <c r="P1650" s="16"/>
    </row>
    <row r="1651" spans="2:16" ht="15.75" customHeight="1">
      <c r="B1651" s="16"/>
      <c r="H1651" s="16"/>
      <c r="I1651" s="16"/>
      <c r="J1651" s="20"/>
      <c r="N1651" s="16"/>
      <c r="O1651" s="16"/>
      <c r="P1651" s="16"/>
    </row>
    <row r="1652" spans="2:16" ht="15.75" customHeight="1">
      <c r="B1652" s="16"/>
      <c r="H1652" s="16"/>
      <c r="I1652" s="16"/>
      <c r="J1652" s="20"/>
      <c r="N1652" s="16"/>
      <c r="O1652" s="16"/>
      <c r="P1652" s="16"/>
    </row>
    <row r="1653" spans="2:16" ht="15.75" customHeight="1">
      <c r="B1653" s="16"/>
      <c r="H1653" s="16"/>
      <c r="I1653" s="16"/>
      <c r="J1653" s="20"/>
      <c r="N1653" s="16"/>
      <c r="O1653" s="16"/>
      <c r="P1653" s="16"/>
    </row>
    <row r="1654" spans="2:16" ht="15.75" customHeight="1">
      <c r="B1654" s="16"/>
      <c r="H1654" s="16"/>
      <c r="I1654" s="16"/>
      <c r="J1654" s="20"/>
      <c r="N1654" s="16"/>
      <c r="O1654" s="16"/>
      <c r="P1654" s="16"/>
    </row>
    <row r="1655" spans="2:16" ht="15.75" customHeight="1">
      <c r="B1655" s="16"/>
      <c r="H1655" s="16"/>
      <c r="I1655" s="16"/>
      <c r="J1655" s="20"/>
      <c r="N1655" s="16"/>
      <c r="O1655" s="16"/>
      <c r="P1655" s="16"/>
    </row>
    <row r="1656" spans="2:16" ht="15.75" customHeight="1">
      <c r="B1656" s="16"/>
      <c r="H1656" s="16"/>
      <c r="I1656" s="16"/>
      <c r="J1656" s="20"/>
      <c r="N1656" s="16"/>
      <c r="O1656" s="16"/>
      <c r="P1656" s="16"/>
    </row>
    <row r="1657" spans="2:16" ht="15.75" customHeight="1">
      <c r="B1657" s="16"/>
      <c r="H1657" s="16"/>
      <c r="I1657" s="16"/>
      <c r="J1657" s="20"/>
      <c r="N1657" s="16"/>
      <c r="O1657" s="16"/>
      <c r="P1657" s="16"/>
    </row>
    <row r="1658" spans="2:16" ht="15.75" customHeight="1">
      <c r="B1658" s="16"/>
      <c r="H1658" s="16"/>
      <c r="I1658" s="16"/>
      <c r="J1658" s="20"/>
      <c r="N1658" s="16"/>
      <c r="O1658" s="16"/>
      <c r="P1658" s="16"/>
    </row>
    <row r="1659" spans="2:16" ht="15.75" customHeight="1">
      <c r="B1659" s="16"/>
      <c r="H1659" s="16"/>
      <c r="I1659" s="16"/>
      <c r="J1659" s="20"/>
      <c r="N1659" s="16"/>
      <c r="O1659" s="16"/>
      <c r="P1659" s="16"/>
    </row>
    <row r="1660" spans="2:16" ht="15.75" customHeight="1">
      <c r="B1660" s="16"/>
      <c r="H1660" s="16"/>
      <c r="I1660" s="16"/>
      <c r="J1660" s="20"/>
      <c r="N1660" s="16"/>
      <c r="O1660" s="16"/>
      <c r="P1660" s="16"/>
    </row>
    <row r="1661" spans="2:16" ht="15.75" customHeight="1">
      <c r="B1661" s="16"/>
      <c r="H1661" s="16"/>
      <c r="I1661" s="16"/>
      <c r="J1661" s="20"/>
      <c r="N1661" s="16"/>
      <c r="O1661" s="16"/>
      <c r="P1661" s="16"/>
    </row>
    <row r="1662" spans="2:16" ht="15.75" customHeight="1">
      <c r="B1662" s="16"/>
      <c r="H1662" s="16"/>
      <c r="I1662" s="16"/>
      <c r="J1662" s="20"/>
      <c r="N1662" s="16"/>
      <c r="O1662" s="16"/>
      <c r="P1662" s="16"/>
    </row>
    <row r="1663" spans="2:16" ht="15.75" customHeight="1">
      <c r="B1663" s="16"/>
      <c r="H1663" s="16"/>
      <c r="I1663" s="16"/>
      <c r="J1663" s="20"/>
      <c r="N1663" s="16"/>
      <c r="O1663" s="16"/>
      <c r="P1663" s="16"/>
    </row>
    <row r="1664" spans="2:16" ht="15.75" customHeight="1">
      <c r="B1664" s="16"/>
      <c r="H1664" s="16"/>
      <c r="I1664" s="16"/>
      <c r="J1664" s="20"/>
      <c r="N1664" s="16"/>
      <c r="O1664" s="16"/>
      <c r="P1664" s="16"/>
    </row>
    <row r="1665" spans="2:16" ht="15.75" customHeight="1">
      <c r="B1665" s="16"/>
      <c r="H1665" s="16"/>
      <c r="I1665" s="16"/>
      <c r="J1665" s="20"/>
      <c r="N1665" s="16"/>
      <c r="O1665" s="16"/>
      <c r="P1665" s="16"/>
    </row>
    <row r="1666" spans="2:16" ht="15.75" customHeight="1">
      <c r="B1666" s="16"/>
      <c r="H1666" s="16"/>
      <c r="I1666" s="16"/>
      <c r="J1666" s="20"/>
      <c r="N1666" s="16"/>
      <c r="O1666" s="16"/>
      <c r="P1666" s="16"/>
    </row>
    <row r="1667" spans="2:16" ht="15.75" customHeight="1">
      <c r="B1667" s="16"/>
      <c r="H1667" s="16"/>
      <c r="I1667" s="16"/>
      <c r="J1667" s="20"/>
      <c r="N1667" s="16"/>
      <c r="O1667" s="16"/>
      <c r="P1667" s="16"/>
    </row>
    <row r="1668" spans="2:16" ht="15.75" customHeight="1">
      <c r="B1668" s="16"/>
      <c r="H1668" s="16"/>
      <c r="I1668" s="16"/>
      <c r="J1668" s="20"/>
      <c r="N1668" s="16"/>
      <c r="O1668" s="16"/>
      <c r="P1668" s="16"/>
    </row>
    <row r="1669" spans="2:16" ht="15.75" customHeight="1">
      <c r="B1669" s="16"/>
      <c r="H1669" s="16"/>
      <c r="I1669" s="16"/>
      <c r="J1669" s="20"/>
      <c r="N1669" s="16"/>
      <c r="O1669" s="16"/>
      <c r="P1669" s="16"/>
    </row>
    <row r="1670" spans="2:16" ht="15.75" customHeight="1">
      <c r="B1670" s="16"/>
      <c r="H1670" s="16"/>
      <c r="I1670" s="16"/>
      <c r="J1670" s="20"/>
      <c r="N1670" s="16"/>
      <c r="O1670" s="16"/>
      <c r="P1670" s="16"/>
    </row>
    <row r="1671" spans="2:16" ht="15.75" customHeight="1">
      <c r="B1671" s="16"/>
      <c r="H1671" s="16"/>
      <c r="I1671" s="16"/>
      <c r="J1671" s="20"/>
      <c r="N1671" s="16"/>
      <c r="O1671" s="16"/>
      <c r="P1671" s="16"/>
    </row>
    <row r="1672" spans="2:16" ht="15.75" customHeight="1">
      <c r="B1672" s="16"/>
      <c r="H1672" s="16"/>
      <c r="I1672" s="16"/>
      <c r="J1672" s="20"/>
      <c r="N1672" s="16"/>
      <c r="O1672" s="16"/>
      <c r="P1672" s="16"/>
    </row>
    <row r="1673" spans="2:16" ht="15.75" customHeight="1">
      <c r="B1673" s="16"/>
      <c r="H1673" s="16"/>
      <c r="I1673" s="16"/>
      <c r="J1673" s="20"/>
      <c r="N1673" s="16"/>
      <c r="O1673" s="16"/>
      <c r="P1673" s="16"/>
    </row>
    <row r="1674" spans="2:16" ht="15.75" customHeight="1">
      <c r="B1674" s="16"/>
      <c r="H1674" s="16"/>
      <c r="I1674" s="16"/>
      <c r="J1674" s="20"/>
      <c r="N1674" s="16"/>
      <c r="O1674" s="16"/>
      <c r="P1674" s="16"/>
    </row>
    <row r="1675" spans="2:16" ht="15.75" customHeight="1">
      <c r="B1675" s="16"/>
      <c r="H1675" s="16"/>
      <c r="I1675" s="16"/>
      <c r="J1675" s="20"/>
      <c r="N1675" s="16"/>
      <c r="O1675" s="16"/>
      <c r="P1675" s="16"/>
    </row>
    <row r="1676" spans="2:16" ht="15.75" customHeight="1">
      <c r="B1676" s="16"/>
      <c r="H1676" s="16"/>
      <c r="I1676" s="16"/>
      <c r="J1676" s="20"/>
      <c r="N1676" s="16"/>
      <c r="O1676" s="16"/>
      <c r="P1676" s="16"/>
    </row>
    <row r="1677" spans="2:16" ht="15.75" customHeight="1">
      <c r="B1677" s="16"/>
      <c r="H1677" s="16"/>
      <c r="I1677" s="16"/>
      <c r="J1677" s="20"/>
      <c r="N1677" s="16"/>
      <c r="O1677" s="16"/>
      <c r="P1677" s="16"/>
    </row>
    <row r="1678" spans="2:16" ht="15.75" customHeight="1">
      <c r="B1678" s="16"/>
      <c r="H1678" s="16"/>
      <c r="I1678" s="16"/>
      <c r="J1678" s="20"/>
      <c r="N1678" s="16"/>
      <c r="O1678" s="16"/>
      <c r="P1678" s="16"/>
    </row>
    <row r="1679" spans="2:16" ht="15.75" customHeight="1">
      <c r="B1679" s="16"/>
      <c r="H1679" s="16"/>
      <c r="I1679" s="16"/>
      <c r="J1679" s="20"/>
      <c r="N1679" s="16"/>
      <c r="O1679" s="16"/>
      <c r="P1679" s="16"/>
    </row>
    <row r="1680" spans="2:16" ht="15.75" customHeight="1">
      <c r="B1680" s="16"/>
      <c r="H1680" s="16"/>
      <c r="I1680" s="16"/>
      <c r="J1680" s="20"/>
      <c r="N1680" s="16"/>
      <c r="O1680" s="16"/>
      <c r="P1680" s="16"/>
    </row>
    <row r="1681" spans="2:16" ht="15.75" customHeight="1">
      <c r="B1681" s="16"/>
      <c r="H1681" s="16"/>
      <c r="I1681" s="16"/>
      <c r="J1681" s="20"/>
      <c r="N1681" s="16"/>
      <c r="O1681" s="16"/>
      <c r="P1681" s="16"/>
    </row>
    <row r="1682" spans="2:16" ht="15.75" customHeight="1">
      <c r="B1682" s="16"/>
      <c r="H1682" s="16"/>
      <c r="I1682" s="16"/>
      <c r="J1682" s="20"/>
      <c r="N1682" s="16"/>
      <c r="O1682" s="16"/>
      <c r="P1682" s="16"/>
    </row>
    <row r="1683" spans="2:16" ht="15.75" customHeight="1">
      <c r="B1683" s="16"/>
      <c r="H1683" s="16"/>
      <c r="I1683" s="16"/>
      <c r="J1683" s="20"/>
      <c r="N1683" s="16"/>
      <c r="O1683" s="16"/>
      <c r="P1683" s="16"/>
    </row>
    <row r="1684" spans="2:16" ht="15.75" customHeight="1">
      <c r="B1684" s="16"/>
      <c r="H1684" s="16"/>
      <c r="I1684" s="16"/>
      <c r="J1684" s="20"/>
      <c r="N1684" s="16"/>
      <c r="O1684" s="16"/>
      <c r="P1684" s="16"/>
    </row>
    <row r="1685" spans="2:16" ht="15.75" customHeight="1">
      <c r="B1685" s="16"/>
      <c r="H1685" s="16"/>
      <c r="I1685" s="16"/>
      <c r="J1685" s="20"/>
      <c r="N1685" s="16"/>
      <c r="O1685" s="16"/>
      <c r="P1685" s="16"/>
    </row>
    <row r="1686" spans="2:16" ht="15.75" customHeight="1">
      <c r="B1686" s="16"/>
      <c r="H1686" s="16"/>
      <c r="I1686" s="16"/>
      <c r="J1686" s="20"/>
      <c r="N1686" s="16"/>
      <c r="O1686" s="16"/>
      <c r="P1686" s="16"/>
    </row>
    <row r="1687" spans="2:16" ht="15.75" customHeight="1">
      <c r="B1687" s="16"/>
      <c r="H1687" s="16"/>
      <c r="I1687" s="16"/>
      <c r="J1687" s="20"/>
      <c r="N1687" s="16"/>
      <c r="O1687" s="16"/>
      <c r="P1687" s="16"/>
    </row>
    <row r="1688" spans="2:16" ht="15.75" customHeight="1">
      <c r="B1688" s="16"/>
      <c r="H1688" s="16"/>
      <c r="I1688" s="16"/>
      <c r="J1688" s="20"/>
      <c r="N1688" s="16"/>
      <c r="O1688" s="16"/>
      <c r="P1688" s="16"/>
    </row>
    <row r="1689" spans="2:16" ht="15.75" customHeight="1">
      <c r="B1689" s="16"/>
      <c r="H1689" s="16"/>
      <c r="I1689" s="16"/>
      <c r="J1689" s="20"/>
      <c r="N1689" s="16"/>
      <c r="O1689" s="16"/>
      <c r="P1689" s="16"/>
    </row>
    <row r="1690" spans="2:16" ht="15.75" customHeight="1">
      <c r="B1690" s="16"/>
      <c r="H1690" s="16"/>
      <c r="I1690" s="16"/>
      <c r="J1690" s="20"/>
      <c r="N1690" s="16"/>
      <c r="O1690" s="16"/>
      <c r="P1690" s="16"/>
    </row>
    <row r="1691" spans="2:16" ht="15.75" customHeight="1">
      <c r="B1691" s="16"/>
      <c r="H1691" s="16"/>
      <c r="I1691" s="16"/>
      <c r="J1691" s="20"/>
      <c r="N1691" s="16"/>
      <c r="O1691" s="16"/>
      <c r="P1691" s="16"/>
    </row>
    <row r="1692" spans="2:16" ht="15.75" customHeight="1">
      <c r="B1692" s="16"/>
      <c r="H1692" s="16"/>
      <c r="I1692" s="16"/>
      <c r="J1692" s="20"/>
      <c r="N1692" s="16"/>
      <c r="O1692" s="16"/>
      <c r="P1692" s="16"/>
    </row>
    <row r="1693" spans="2:16" ht="15.75" customHeight="1">
      <c r="B1693" s="16"/>
      <c r="H1693" s="16"/>
      <c r="I1693" s="16"/>
      <c r="J1693" s="20"/>
      <c r="N1693" s="16"/>
      <c r="O1693" s="16"/>
      <c r="P1693" s="16"/>
    </row>
    <row r="1694" spans="2:16" ht="15.75" customHeight="1">
      <c r="B1694" s="16"/>
      <c r="H1694" s="16"/>
      <c r="I1694" s="16"/>
      <c r="J1694" s="20"/>
      <c r="N1694" s="16"/>
      <c r="O1694" s="16"/>
      <c r="P1694" s="16"/>
    </row>
    <row r="1695" spans="2:16" ht="15.75" customHeight="1">
      <c r="B1695" s="16"/>
      <c r="H1695" s="16"/>
      <c r="I1695" s="16"/>
      <c r="J1695" s="20"/>
      <c r="N1695" s="16"/>
      <c r="O1695" s="16"/>
      <c r="P1695" s="16"/>
    </row>
    <row r="1696" spans="2:16" ht="15.75" customHeight="1">
      <c r="B1696" s="16"/>
      <c r="H1696" s="16"/>
      <c r="I1696" s="16"/>
      <c r="J1696" s="20"/>
      <c r="N1696" s="16"/>
      <c r="O1696" s="16"/>
      <c r="P1696" s="16"/>
    </row>
    <row r="1697" spans="2:16" ht="15.75" customHeight="1">
      <c r="B1697" s="16"/>
      <c r="H1697" s="16"/>
      <c r="I1697" s="16"/>
      <c r="J1697" s="20"/>
      <c r="N1697" s="16"/>
      <c r="O1697" s="16"/>
      <c r="P1697" s="16"/>
    </row>
    <row r="1698" spans="2:16" ht="15.75" customHeight="1">
      <c r="B1698" s="16"/>
      <c r="H1698" s="16"/>
      <c r="I1698" s="16"/>
      <c r="J1698" s="20"/>
      <c r="N1698" s="16"/>
      <c r="O1698" s="16"/>
      <c r="P1698" s="16"/>
    </row>
    <row r="1699" spans="2:16" ht="15.75" customHeight="1">
      <c r="B1699" s="16"/>
      <c r="H1699" s="16"/>
      <c r="I1699" s="16"/>
      <c r="J1699" s="20"/>
      <c r="N1699" s="16"/>
      <c r="O1699" s="16"/>
      <c r="P1699" s="16"/>
    </row>
    <row r="1700" spans="2:16" ht="15.75" customHeight="1">
      <c r="B1700" s="16"/>
      <c r="H1700" s="16"/>
      <c r="I1700" s="16"/>
      <c r="J1700" s="20"/>
      <c r="N1700" s="16"/>
      <c r="O1700" s="16"/>
      <c r="P1700" s="16"/>
    </row>
    <row r="1701" spans="2:16" ht="15.75" customHeight="1">
      <c r="B1701" s="16"/>
      <c r="H1701" s="16"/>
      <c r="I1701" s="16"/>
      <c r="J1701" s="20"/>
      <c r="N1701" s="16"/>
      <c r="O1701" s="16"/>
      <c r="P1701" s="16"/>
    </row>
    <row r="1702" spans="2:16" ht="15.75" customHeight="1">
      <c r="B1702" s="16"/>
      <c r="H1702" s="16"/>
      <c r="I1702" s="16"/>
      <c r="J1702" s="20"/>
      <c r="N1702" s="16"/>
      <c r="O1702" s="16"/>
      <c r="P1702" s="16"/>
    </row>
    <row r="1703" spans="2:16" ht="15.75" customHeight="1">
      <c r="B1703" s="16"/>
      <c r="H1703" s="16"/>
      <c r="I1703" s="16"/>
      <c r="J1703" s="20"/>
      <c r="N1703" s="16"/>
      <c r="O1703" s="16"/>
      <c r="P1703" s="16"/>
    </row>
    <row r="1704" spans="2:16" ht="15.75" customHeight="1">
      <c r="B1704" s="16"/>
      <c r="H1704" s="16"/>
      <c r="I1704" s="16"/>
      <c r="J1704" s="20"/>
      <c r="N1704" s="16"/>
      <c r="O1704" s="16"/>
      <c r="P1704" s="16"/>
    </row>
    <row r="1705" spans="2:16" ht="15.75" customHeight="1">
      <c r="B1705" s="16"/>
      <c r="H1705" s="16"/>
      <c r="I1705" s="16"/>
      <c r="J1705" s="20"/>
      <c r="N1705" s="16"/>
      <c r="O1705" s="16"/>
      <c r="P1705" s="16"/>
    </row>
    <row r="1706" spans="2:16" ht="15.75" customHeight="1">
      <c r="B1706" s="16"/>
      <c r="H1706" s="16"/>
      <c r="I1706" s="16"/>
      <c r="J1706" s="20"/>
      <c r="N1706" s="16"/>
      <c r="O1706" s="16"/>
      <c r="P1706" s="16"/>
    </row>
    <row r="1707" spans="2:16" ht="15.75" customHeight="1">
      <c r="B1707" s="16"/>
      <c r="H1707" s="16"/>
      <c r="I1707" s="16"/>
      <c r="J1707" s="20"/>
      <c r="N1707" s="16"/>
      <c r="O1707" s="16"/>
      <c r="P1707" s="16"/>
    </row>
    <row r="1708" spans="2:16" ht="15.75" customHeight="1">
      <c r="B1708" s="16"/>
      <c r="H1708" s="16"/>
      <c r="I1708" s="16"/>
      <c r="J1708" s="20"/>
      <c r="N1708" s="16"/>
      <c r="O1708" s="16"/>
      <c r="P1708" s="16"/>
    </row>
    <row r="1709" spans="2:16" ht="15.75" customHeight="1">
      <c r="B1709" s="16"/>
      <c r="H1709" s="16"/>
      <c r="I1709" s="16"/>
      <c r="J1709" s="20"/>
      <c r="N1709" s="16"/>
      <c r="O1709" s="16"/>
      <c r="P1709" s="16"/>
    </row>
    <row r="1710" spans="2:16" ht="15.75" customHeight="1">
      <c r="B1710" s="16"/>
      <c r="H1710" s="16"/>
      <c r="I1710" s="16"/>
      <c r="J1710" s="20"/>
      <c r="N1710" s="16"/>
      <c r="O1710" s="16"/>
      <c r="P1710" s="16"/>
    </row>
    <row r="1711" spans="2:16" ht="15.75" customHeight="1">
      <c r="B1711" s="16"/>
      <c r="H1711" s="16"/>
      <c r="I1711" s="16"/>
      <c r="J1711" s="20"/>
      <c r="N1711" s="16"/>
      <c r="O1711" s="16"/>
      <c r="P1711" s="16"/>
    </row>
    <row r="1712" spans="2:16" ht="15.75" customHeight="1">
      <c r="B1712" s="16"/>
      <c r="H1712" s="16"/>
      <c r="I1712" s="16"/>
      <c r="J1712" s="20"/>
      <c r="N1712" s="16"/>
      <c r="O1712" s="16"/>
      <c r="P1712" s="16"/>
    </row>
    <row r="1713" spans="2:16" ht="15.75" customHeight="1">
      <c r="B1713" s="16"/>
      <c r="H1713" s="16"/>
      <c r="I1713" s="16"/>
      <c r="J1713" s="20"/>
      <c r="N1713" s="16"/>
      <c r="O1713" s="16"/>
      <c r="P1713" s="16"/>
    </row>
    <row r="1714" spans="2:16" ht="15.75" customHeight="1">
      <c r="B1714" s="16"/>
      <c r="H1714" s="16"/>
      <c r="I1714" s="16"/>
      <c r="J1714" s="20"/>
      <c r="N1714" s="16"/>
      <c r="O1714" s="16"/>
      <c r="P1714" s="16"/>
    </row>
    <row r="1715" spans="2:16" ht="15.75" customHeight="1">
      <c r="B1715" s="16"/>
      <c r="H1715" s="16"/>
      <c r="I1715" s="16"/>
      <c r="J1715" s="20"/>
      <c r="N1715" s="16"/>
      <c r="O1715" s="16"/>
      <c r="P1715" s="16"/>
    </row>
    <row r="1716" spans="2:16" ht="15.75" customHeight="1">
      <c r="B1716" s="16"/>
      <c r="H1716" s="16"/>
      <c r="I1716" s="16"/>
      <c r="J1716" s="20"/>
      <c r="N1716" s="16"/>
      <c r="O1716" s="16"/>
      <c r="P1716" s="16"/>
    </row>
    <row r="1717" spans="2:16" ht="15.75" customHeight="1">
      <c r="B1717" s="16"/>
      <c r="H1717" s="16"/>
      <c r="I1717" s="16"/>
      <c r="J1717" s="20"/>
      <c r="N1717" s="16"/>
      <c r="O1717" s="16"/>
      <c r="P1717" s="16"/>
    </row>
    <row r="1718" spans="2:16" ht="15.75" customHeight="1">
      <c r="B1718" s="16"/>
      <c r="H1718" s="16"/>
      <c r="I1718" s="16"/>
      <c r="J1718" s="20"/>
      <c r="N1718" s="16"/>
      <c r="O1718" s="16"/>
      <c r="P1718" s="16"/>
    </row>
    <row r="1719" spans="2:16" ht="15.75" customHeight="1">
      <c r="B1719" s="16"/>
      <c r="H1719" s="16"/>
      <c r="I1719" s="16"/>
      <c r="J1719" s="20"/>
      <c r="N1719" s="16"/>
      <c r="O1719" s="16"/>
      <c r="P1719" s="16"/>
    </row>
    <row r="1720" spans="2:16" ht="15.75" customHeight="1">
      <c r="B1720" s="16"/>
      <c r="H1720" s="16"/>
      <c r="I1720" s="16"/>
      <c r="J1720" s="20"/>
      <c r="N1720" s="16"/>
      <c r="O1720" s="16"/>
      <c r="P1720" s="16"/>
    </row>
    <row r="1721" spans="2:16" ht="15.75" customHeight="1">
      <c r="B1721" s="16"/>
      <c r="H1721" s="16"/>
      <c r="I1721" s="16"/>
      <c r="J1721" s="20"/>
      <c r="N1721" s="16"/>
      <c r="O1721" s="16"/>
      <c r="P1721" s="16"/>
    </row>
    <row r="1722" spans="2:16" ht="15.75" customHeight="1">
      <c r="B1722" s="16"/>
      <c r="H1722" s="16"/>
      <c r="I1722" s="16"/>
      <c r="J1722" s="20"/>
      <c r="N1722" s="16"/>
      <c r="O1722" s="16"/>
      <c r="P1722" s="16"/>
    </row>
    <row r="1723" spans="2:16" ht="15.75" customHeight="1">
      <c r="B1723" s="16"/>
      <c r="H1723" s="16"/>
      <c r="I1723" s="16"/>
      <c r="J1723" s="20"/>
      <c r="N1723" s="16"/>
      <c r="O1723" s="16"/>
      <c r="P1723" s="16"/>
    </row>
    <row r="1724" spans="2:16" ht="15.75" customHeight="1">
      <c r="H1724" s="16"/>
      <c r="I1724" s="16"/>
      <c r="J1724" s="20"/>
      <c r="N1724" s="16"/>
      <c r="O1724" s="16"/>
      <c r="P1724" s="16"/>
    </row>
    <row r="1725" spans="2:16" ht="15.75" customHeight="1">
      <c r="H1725" s="16"/>
      <c r="I1725" s="16"/>
      <c r="J1725" s="20"/>
      <c r="N1725" s="16"/>
      <c r="O1725" s="16"/>
      <c r="P1725" s="16"/>
    </row>
    <row r="1726" spans="2:16" ht="15.75" customHeight="1">
      <c r="H1726" s="16"/>
      <c r="I1726" s="16"/>
      <c r="J1726" s="20"/>
      <c r="N1726" s="16"/>
      <c r="O1726" s="16"/>
      <c r="P1726" s="16"/>
    </row>
    <row r="1727" spans="2:16" ht="15.75" customHeight="1">
      <c r="H1727" s="16"/>
      <c r="I1727" s="16"/>
      <c r="J1727" s="20"/>
      <c r="N1727" s="16"/>
      <c r="O1727" s="16"/>
      <c r="P1727" s="16"/>
    </row>
    <row r="1728" spans="2:16" ht="15.75" customHeight="1">
      <c r="H1728" s="16"/>
      <c r="I1728" s="16"/>
      <c r="J1728" s="20"/>
      <c r="N1728" s="16"/>
      <c r="O1728" s="16"/>
      <c r="P1728" s="16"/>
    </row>
    <row r="1729" spans="8:16" ht="15.75" customHeight="1">
      <c r="H1729" s="16"/>
      <c r="I1729" s="16"/>
      <c r="J1729" s="20"/>
      <c r="N1729" s="16"/>
      <c r="O1729" s="16"/>
      <c r="P1729" s="16"/>
    </row>
    <row r="1730" spans="8:16" ht="15.75" customHeight="1">
      <c r="H1730" s="16"/>
      <c r="I1730" s="16"/>
      <c r="J1730" s="20"/>
      <c r="N1730" s="16"/>
      <c r="O1730" s="16"/>
      <c r="P1730" s="16"/>
    </row>
    <row r="1731" spans="8:16" ht="15.75" customHeight="1">
      <c r="H1731" s="16"/>
      <c r="I1731" s="16"/>
      <c r="J1731" s="20"/>
      <c r="N1731" s="16"/>
      <c r="O1731" s="16"/>
      <c r="P1731" s="16"/>
    </row>
    <row r="1732" spans="8:16" ht="15.75" customHeight="1">
      <c r="H1732" s="16"/>
      <c r="I1732" s="16"/>
      <c r="J1732" s="20"/>
      <c r="N1732" s="16"/>
      <c r="O1732" s="16"/>
      <c r="P1732" s="16"/>
    </row>
    <row r="1733" spans="8:16" ht="15.75" customHeight="1">
      <c r="H1733" s="16"/>
      <c r="I1733" s="16"/>
      <c r="J1733" s="20"/>
      <c r="N1733" s="16"/>
      <c r="O1733" s="16"/>
      <c r="P1733" s="16"/>
    </row>
    <row r="1734" spans="8:16" ht="15.75" customHeight="1">
      <c r="H1734" s="16"/>
      <c r="I1734" s="16"/>
      <c r="J1734" s="20"/>
      <c r="N1734" s="16"/>
      <c r="O1734" s="16"/>
      <c r="P1734" s="16"/>
    </row>
    <row r="1735" spans="8:16" ht="15.75" customHeight="1">
      <c r="H1735" s="16"/>
      <c r="I1735" s="16"/>
      <c r="J1735" s="20"/>
      <c r="N1735" s="16"/>
      <c r="O1735" s="16"/>
      <c r="P1735" s="16"/>
    </row>
    <row r="1736" spans="8:16" ht="15.75" customHeight="1">
      <c r="H1736" s="16"/>
      <c r="I1736" s="16"/>
      <c r="J1736" s="20"/>
      <c r="N1736" s="16"/>
      <c r="O1736" s="16"/>
      <c r="P1736" s="16"/>
    </row>
    <row r="1737" spans="8:16" ht="15.75" customHeight="1">
      <c r="H1737" s="16"/>
      <c r="I1737" s="16"/>
      <c r="J1737" s="20"/>
      <c r="N1737" s="16"/>
      <c r="O1737" s="16"/>
      <c r="P1737" s="16"/>
    </row>
    <row r="1738" spans="8:16" ht="15.75" customHeight="1">
      <c r="H1738" s="16"/>
      <c r="I1738" s="16"/>
      <c r="J1738" s="20"/>
      <c r="N1738" s="16"/>
      <c r="O1738" s="16"/>
      <c r="P1738" s="16"/>
    </row>
    <row r="1739" spans="8:16" ht="15.75" customHeight="1">
      <c r="H1739" s="16"/>
      <c r="I1739" s="16"/>
      <c r="J1739" s="20"/>
      <c r="N1739" s="16"/>
      <c r="O1739" s="16"/>
      <c r="P1739" s="16"/>
    </row>
    <row r="1740" spans="8:16" ht="15.75" customHeight="1">
      <c r="H1740" s="16"/>
      <c r="I1740" s="16"/>
      <c r="J1740" s="20"/>
      <c r="N1740" s="16"/>
      <c r="O1740" s="16"/>
      <c r="P1740" s="16"/>
    </row>
    <row r="1741" spans="8:16" ht="15.75" customHeight="1">
      <c r="H1741" s="16"/>
      <c r="I1741" s="16"/>
      <c r="J1741" s="20"/>
      <c r="N1741" s="16"/>
      <c r="O1741" s="16"/>
      <c r="P1741" s="16"/>
    </row>
    <row r="1742" spans="8:16" ht="15.75" customHeight="1">
      <c r="H1742" s="16"/>
      <c r="I1742" s="16"/>
      <c r="J1742" s="20"/>
      <c r="N1742" s="16"/>
      <c r="O1742" s="16"/>
      <c r="P1742" s="16"/>
    </row>
    <row r="1743" spans="8:16" ht="15.75" customHeight="1">
      <c r="H1743" s="16"/>
      <c r="I1743" s="16"/>
      <c r="J1743" s="20"/>
      <c r="N1743" s="16"/>
      <c r="O1743" s="16"/>
      <c r="P1743" s="16"/>
    </row>
    <row r="1744" spans="8:16" ht="15.75" customHeight="1">
      <c r="H1744" s="16"/>
      <c r="I1744" s="16"/>
      <c r="J1744" s="20"/>
      <c r="N1744" s="16"/>
      <c r="O1744" s="16"/>
      <c r="P1744" s="16"/>
    </row>
    <row r="1745" spans="8:16" ht="15.75" customHeight="1">
      <c r="H1745" s="16"/>
      <c r="I1745" s="16"/>
      <c r="J1745" s="20"/>
      <c r="N1745" s="16"/>
      <c r="O1745" s="16"/>
      <c r="P1745" s="16"/>
    </row>
    <row r="1746" spans="8:16" ht="15.75" customHeight="1">
      <c r="H1746" s="16"/>
      <c r="I1746" s="16"/>
      <c r="J1746" s="20"/>
      <c r="N1746" s="16"/>
      <c r="O1746" s="16"/>
      <c r="P1746" s="16"/>
    </row>
    <row r="1747" spans="8:16" ht="15.75" customHeight="1">
      <c r="H1747" s="16"/>
      <c r="I1747" s="16"/>
      <c r="J1747" s="20"/>
      <c r="N1747" s="16"/>
      <c r="O1747" s="16"/>
      <c r="P1747" s="16"/>
    </row>
    <row r="1748" spans="8:16" ht="15.75" customHeight="1">
      <c r="H1748" s="16"/>
      <c r="I1748" s="16"/>
      <c r="J1748" s="20"/>
      <c r="N1748" s="16"/>
      <c r="O1748" s="16"/>
      <c r="P1748" s="16"/>
    </row>
    <row r="1749" spans="8:16" ht="15.75" customHeight="1">
      <c r="H1749" s="16"/>
      <c r="I1749" s="16"/>
      <c r="J1749" s="20"/>
      <c r="N1749" s="16"/>
      <c r="O1749" s="16"/>
      <c r="P1749" s="16"/>
    </row>
    <row r="1750" spans="8:16" ht="15.75" customHeight="1">
      <c r="H1750" s="16"/>
      <c r="I1750" s="16"/>
      <c r="J1750" s="20"/>
      <c r="N1750" s="16"/>
      <c r="O1750" s="16"/>
      <c r="P1750" s="16"/>
    </row>
    <row r="1751" spans="8:16" ht="15.75" customHeight="1">
      <c r="H1751" s="16"/>
      <c r="I1751" s="16"/>
      <c r="J1751" s="20"/>
      <c r="N1751" s="16"/>
      <c r="O1751" s="16"/>
      <c r="P1751" s="16"/>
    </row>
    <row r="1752" spans="8:16" ht="15.75" customHeight="1">
      <c r="H1752" s="16"/>
      <c r="I1752" s="16"/>
      <c r="J1752" s="20"/>
      <c r="N1752" s="16"/>
      <c r="O1752" s="16"/>
      <c r="P1752" s="16"/>
    </row>
    <row r="1753" spans="8:16" ht="15.75" customHeight="1">
      <c r="H1753" s="16"/>
      <c r="I1753" s="16"/>
      <c r="J1753" s="20"/>
      <c r="N1753" s="16"/>
      <c r="O1753" s="16"/>
      <c r="P1753" s="16"/>
    </row>
    <row r="1754" spans="8:16" ht="15.75" customHeight="1">
      <c r="H1754" s="16"/>
      <c r="I1754" s="16"/>
      <c r="J1754" s="20"/>
      <c r="N1754" s="16"/>
      <c r="O1754" s="16"/>
      <c r="P1754" s="16"/>
    </row>
    <row r="1755" spans="8:16" ht="15.75" customHeight="1">
      <c r="H1755" s="16"/>
      <c r="I1755" s="16"/>
      <c r="J1755" s="20"/>
      <c r="N1755" s="16"/>
      <c r="O1755" s="16"/>
      <c r="P1755" s="16"/>
    </row>
    <row r="1756" spans="8:16" ht="15.75" customHeight="1">
      <c r="H1756" s="16"/>
      <c r="I1756" s="16"/>
      <c r="J1756" s="20"/>
      <c r="N1756" s="16"/>
      <c r="O1756" s="16"/>
      <c r="P1756" s="16"/>
    </row>
    <row r="1757" spans="8:16" ht="15.75" customHeight="1">
      <c r="H1757" s="16"/>
      <c r="I1757" s="16"/>
      <c r="J1757" s="20"/>
      <c r="N1757" s="16"/>
      <c r="O1757" s="16"/>
      <c r="P1757" s="16"/>
    </row>
    <row r="1758" spans="8:16" ht="15.75" customHeight="1">
      <c r="H1758" s="16"/>
      <c r="I1758" s="16"/>
      <c r="J1758" s="20"/>
      <c r="N1758" s="16"/>
      <c r="O1758" s="16"/>
      <c r="P1758" s="16"/>
    </row>
    <row r="1759" spans="8:16" ht="15.75" customHeight="1">
      <c r="H1759" s="16"/>
      <c r="I1759" s="16"/>
      <c r="J1759" s="20"/>
      <c r="N1759" s="16"/>
      <c r="O1759" s="16"/>
      <c r="P1759" s="16"/>
    </row>
    <row r="1760" spans="8:16" ht="15.75" customHeight="1">
      <c r="H1760" s="16"/>
      <c r="I1760" s="16"/>
      <c r="J1760" s="20"/>
      <c r="N1760" s="16"/>
      <c r="O1760" s="16"/>
      <c r="P1760" s="16"/>
    </row>
    <row r="1761" spans="8:16" ht="15.75" customHeight="1">
      <c r="H1761" s="16"/>
      <c r="I1761" s="16"/>
      <c r="J1761" s="20"/>
      <c r="N1761" s="16"/>
      <c r="O1761" s="16"/>
      <c r="P1761" s="16"/>
    </row>
    <row r="1762" spans="8:16" ht="15.75" customHeight="1">
      <c r="H1762" s="16"/>
      <c r="I1762" s="16"/>
      <c r="J1762" s="20"/>
      <c r="N1762" s="16"/>
      <c r="O1762" s="16"/>
      <c r="P1762" s="16"/>
    </row>
    <row r="1763" spans="8:16" ht="15.75" customHeight="1">
      <c r="H1763" s="16"/>
      <c r="I1763" s="16"/>
      <c r="J1763" s="20"/>
      <c r="N1763" s="16"/>
      <c r="O1763" s="16"/>
      <c r="P1763" s="16"/>
    </row>
    <row r="1764" spans="8:16" ht="15.75" customHeight="1">
      <c r="H1764" s="16"/>
      <c r="I1764" s="16"/>
      <c r="J1764" s="20"/>
      <c r="N1764" s="16"/>
      <c r="O1764" s="16"/>
      <c r="P1764" s="16"/>
    </row>
    <row r="1765" spans="8:16" ht="15.75" customHeight="1">
      <c r="H1765" s="16"/>
      <c r="I1765" s="16"/>
      <c r="J1765" s="20"/>
      <c r="N1765" s="16"/>
      <c r="O1765" s="16"/>
      <c r="P1765" s="16"/>
    </row>
    <row r="1766" spans="8:16" ht="15.75" customHeight="1">
      <c r="H1766" s="16"/>
      <c r="I1766" s="16"/>
      <c r="J1766" s="20"/>
      <c r="N1766" s="16"/>
      <c r="O1766" s="16"/>
      <c r="P1766" s="16"/>
    </row>
    <row r="1767" spans="8:16" ht="15.75" customHeight="1">
      <c r="H1767" s="16"/>
      <c r="I1767" s="16"/>
      <c r="J1767" s="20"/>
      <c r="N1767" s="16"/>
      <c r="O1767" s="16"/>
      <c r="P1767" s="16"/>
    </row>
    <row r="1768" spans="8:16" ht="15.75" customHeight="1">
      <c r="H1768" s="16"/>
      <c r="I1768" s="16"/>
      <c r="J1768" s="20"/>
      <c r="N1768" s="16"/>
      <c r="O1768" s="16"/>
      <c r="P1768" s="16"/>
    </row>
    <row r="1769" spans="8:16" ht="15.75" customHeight="1">
      <c r="H1769" s="16"/>
      <c r="I1769" s="16"/>
      <c r="J1769" s="20"/>
      <c r="N1769" s="16"/>
      <c r="O1769" s="16"/>
      <c r="P1769" s="16"/>
    </row>
    <row r="1770" spans="8:16" ht="15.75" customHeight="1">
      <c r="H1770" s="16"/>
      <c r="I1770" s="16"/>
      <c r="J1770" s="20"/>
      <c r="N1770" s="16"/>
      <c r="O1770" s="16"/>
      <c r="P1770" s="16"/>
    </row>
    <row r="1771" spans="8:16" ht="15.75" customHeight="1">
      <c r="H1771" s="16"/>
      <c r="I1771" s="16"/>
      <c r="J1771" s="20"/>
      <c r="N1771" s="16"/>
      <c r="O1771" s="16"/>
      <c r="P1771" s="16"/>
    </row>
    <row r="1772" spans="8:16" ht="15.75" customHeight="1">
      <c r="H1772" s="16"/>
      <c r="I1772" s="16"/>
      <c r="J1772" s="20"/>
      <c r="N1772" s="16"/>
      <c r="O1772" s="16"/>
      <c r="P1772" s="16"/>
    </row>
    <row r="1773" spans="8:16" ht="15.75" customHeight="1">
      <c r="H1773" s="16"/>
      <c r="I1773" s="16"/>
      <c r="J1773" s="20"/>
      <c r="N1773" s="16"/>
      <c r="O1773" s="16"/>
      <c r="P1773" s="16"/>
    </row>
    <row r="1774" spans="8:16" ht="15.75" customHeight="1">
      <c r="H1774" s="16"/>
      <c r="I1774" s="16"/>
      <c r="J1774" s="20"/>
      <c r="N1774" s="16"/>
      <c r="O1774" s="16"/>
      <c r="P1774" s="16"/>
    </row>
    <row r="1775" spans="8:16" ht="15.75" customHeight="1">
      <c r="H1775" s="16"/>
      <c r="I1775" s="16"/>
      <c r="J1775" s="20"/>
      <c r="N1775" s="16"/>
      <c r="O1775" s="16"/>
      <c r="P1775" s="16"/>
    </row>
    <row r="1776" spans="8:16" ht="15.75" customHeight="1">
      <c r="H1776" s="16"/>
      <c r="I1776" s="16"/>
      <c r="J1776" s="20"/>
      <c r="N1776" s="16"/>
      <c r="O1776" s="16"/>
      <c r="P1776" s="16"/>
    </row>
    <row r="1777" spans="8:16" ht="15.75" customHeight="1">
      <c r="H1777" s="16"/>
      <c r="I1777" s="16"/>
      <c r="J1777" s="20"/>
      <c r="N1777" s="16"/>
      <c r="O1777" s="16"/>
      <c r="P1777" s="16"/>
    </row>
    <row r="1778" spans="8:16" ht="15.75" customHeight="1">
      <c r="H1778" s="16"/>
      <c r="I1778" s="16"/>
      <c r="J1778" s="20"/>
      <c r="N1778" s="16"/>
      <c r="O1778" s="16"/>
      <c r="P1778" s="16"/>
    </row>
    <row r="1779" spans="8:16" ht="15.75" customHeight="1">
      <c r="H1779" s="16"/>
      <c r="I1779" s="16"/>
      <c r="J1779" s="20"/>
      <c r="N1779" s="16"/>
      <c r="O1779" s="16"/>
      <c r="P1779" s="16"/>
    </row>
    <row r="1780" spans="8:16" ht="15.75" customHeight="1">
      <c r="H1780" s="16"/>
      <c r="I1780" s="16"/>
      <c r="J1780" s="20"/>
      <c r="N1780" s="16"/>
      <c r="O1780" s="16"/>
      <c r="P1780" s="16"/>
    </row>
    <row r="1781" spans="8:16" ht="15.75" customHeight="1">
      <c r="H1781" s="16"/>
      <c r="I1781" s="16"/>
      <c r="J1781" s="20"/>
      <c r="N1781" s="16"/>
      <c r="O1781" s="16"/>
      <c r="P1781" s="16"/>
    </row>
    <row r="1782" spans="8:16" ht="15.75" customHeight="1">
      <c r="H1782" s="16"/>
      <c r="I1782" s="16"/>
      <c r="J1782" s="20"/>
      <c r="N1782" s="16"/>
      <c r="O1782" s="16"/>
      <c r="P1782" s="16"/>
    </row>
    <row r="1783" spans="8:16" ht="15.75" customHeight="1">
      <c r="H1783" s="16"/>
      <c r="I1783" s="16"/>
      <c r="J1783" s="20"/>
      <c r="N1783" s="16"/>
      <c r="O1783" s="16"/>
      <c r="P1783" s="16"/>
    </row>
    <row r="1784" spans="8:16" ht="15.75" customHeight="1">
      <c r="H1784" s="16"/>
      <c r="I1784" s="16"/>
      <c r="J1784" s="20"/>
      <c r="N1784" s="16"/>
      <c r="O1784" s="16"/>
      <c r="P1784" s="16"/>
    </row>
    <row r="1785" spans="8:16" ht="15.75" customHeight="1">
      <c r="H1785" s="16"/>
      <c r="I1785" s="16"/>
      <c r="J1785" s="20"/>
      <c r="N1785" s="16"/>
      <c r="O1785" s="16"/>
      <c r="P1785" s="16"/>
    </row>
    <row r="1786" spans="8:16" ht="15.75" customHeight="1">
      <c r="H1786" s="16"/>
      <c r="I1786" s="16"/>
      <c r="J1786" s="20"/>
      <c r="N1786" s="16"/>
      <c r="O1786" s="16"/>
      <c r="P1786" s="16"/>
    </row>
    <row r="1787" spans="8:16" ht="15.75" customHeight="1">
      <c r="H1787" s="16"/>
      <c r="I1787" s="16"/>
      <c r="J1787" s="20"/>
      <c r="N1787" s="16"/>
      <c r="O1787" s="16"/>
      <c r="P1787" s="16"/>
    </row>
    <row r="1788" spans="8:16" ht="15.75" customHeight="1">
      <c r="H1788" s="16"/>
      <c r="I1788" s="16"/>
      <c r="J1788" s="20"/>
      <c r="N1788" s="16"/>
      <c r="O1788" s="16"/>
      <c r="P1788" s="16"/>
    </row>
    <row r="1789" spans="8:16" ht="15.75" customHeight="1">
      <c r="H1789" s="16"/>
      <c r="I1789" s="16"/>
      <c r="J1789" s="20"/>
      <c r="N1789" s="16"/>
      <c r="O1789" s="16"/>
      <c r="P1789" s="16"/>
    </row>
    <row r="1790" spans="8:16" ht="15.75" customHeight="1">
      <c r="H1790" s="16"/>
      <c r="I1790" s="16"/>
      <c r="J1790" s="20"/>
      <c r="N1790" s="16"/>
      <c r="O1790" s="16"/>
      <c r="P1790" s="16"/>
    </row>
    <row r="1791" spans="8:16" ht="15.75" customHeight="1">
      <c r="H1791" s="16"/>
      <c r="I1791" s="16"/>
      <c r="J1791" s="20"/>
      <c r="N1791" s="16"/>
      <c r="O1791" s="16"/>
      <c r="P1791" s="16"/>
    </row>
    <row r="1792" spans="8:16" ht="15.75" customHeight="1">
      <c r="H1792" s="16"/>
      <c r="I1792" s="16"/>
      <c r="J1792" s="20"/>
      <c r="N1792" s="16"/>
      <c r="O1792" s="16"/>
      <c r="P1792" s="16"/>
    </row>
    <row r="1793" spans="7:33" ht="15.75" customHeight="1">
      <c r="G1793" s="92"/>
      <c r="H1793" s="16"/>
      <c r="I1793" s="16"/>
      <c r="J1793" s="20"/>
      <c r="N1793" s="16"/>
      <c r="O1793" s="16"/>
      <c r="P1793" s="16"/>
    </row>
    <row r="1794" spans="7:33" ht="15.75" customHeight="1">
      <c r="H1794" s="16"/>
      <c r="I1794" s="16"/>
      <c r="J1794" s="20"/>
      <c r="N1794" s="16"/>
      <c r="O1794" s="16"/>
      <c r="P1794" s="16"/>
    </row>
    <row r="1795" spans="7:33" ht="15.75" customHeight="1">
      <c r="H1795" s="16"/>
      <c r="I1795" s="16"/>
      <c r="J1795" s="20"/>
      <c r="N1795" s="16"/>
      <c r="O1795" s="16"/>
      <c r="P1795" s="16"/>
    </row>
    <row r="1796" spans="7:33" ht="15.75" customHeight="1">
      <c r="H1796" s="16"/>
      <c r="I1796" s="16"/>
      <c r="J1796" s="20"/>
      <c r="N1796" s="16"/>
      <c r="O1796" s="16"/>
      <c r="P1796" s="16"/>
    </row>
    <row r="1797" spans="7:33" ht="15.75" customHeight="1">
      <c r="H1797" s="16"/>
      <c r="I1797" s="16"/>
      <c r="J1797" s="20"/>
      <c r="N1797" s="16"/>
      <c r="O1797" s="16"/>
      <c r="P1797" s="16"/>
    </row>
    <row r="1798" spans="7:33" ht="15.75" customHeight="1">
      <c r="H1798" s="16"/>
      <c r="I1798" s="16"/>
      <c r="J1798" s="20"/>
      <c r="N1798" s="16"/>
      <c r="O1798" s="16"/>
      <c r="P1798" s="16"/>
    </row>
    <row r="1799" spans="7:33" ht="15.75" customHeight="1">
      <c r="H1799" s="16"/>
      <c r="I1799" s="16"/>
      <c r="J1799" s="20"/>
      <c r="N1799" s="16"/>
      <c r="O1799" s="16"/>
      <c r="P1799" s="16"/>
    </row>
    <row r="1800" spans="7:33" ht="15.75" customHeight="1">
      <c r="H1800" s="16"/>
      <c r="I1800" s="16"/>
      <c r="J1800" s="20"/>
      <c r="N1800" s="16"/>
      <c r="O1800" s="16"/>
      <c r="P1800" s="16"/>
    </row>
    <row r="1801" spans="7:33" ht="15.75" customHeight="1">
      <c r="H1801" s="16"/>
      <c r="I1801" s="16"/>
      <c r="J1801" s="20"/>
      <c r="N1801" s="16"/>
      <c r="O1801" s="16"/>
      <c r="P1801" s="16"/>
    </row>
    <row r="1802" spans="7:33" ht="15.75" customHeight="1">
      <c r="H1802" s="16"/>
      <c r="I1802" s="16"/>
      <c r="J1802" s="20"/>
      <c r="N1802" s="16"/>
      <c r="O1802" s="16"/>
      <c r="P1802" s="16"/>
      <c r="AG1802" s="92"/>
    </row>
    <row r="1803" spans="7:33" ht="15.75" customHeight="1">
      <c r="H1803" s="16"/>
      <c r="I1803" s="16"/>
      <c r="J1803" s="20"/>
      <c r="N1803" s="16"/>
      <c r="O1803" s="16"/>
      <c r="P1803" s="16"/>
    </row>
    <row r="1804" spans="7:33" ht="15.75" customHeight="1">
      <c r="H1804" s="16"/>
      <c r="I1804" s="16"/>
      <c r="J1804" s="20"/>
      <c r="N1804" s="16"/>
      <c r="O1804" s="16"/>
      <c r="P1804" s="16"/>
    </row>
    <row r="1805" spans="7:33" ht="15.75" customHeight="1">
      <c r="H1805" s="16"/>
      <c r="I1805" s="16"/>
      <c r="J1805" s="20"/>
      <c r="N1805" s="16"/>
      <c r="O1805" s="16"/>
      <c r="P1805" s="16"/>
    </row>
    <row r="1806" spans="7:33" ht="15.75" customHeight="1">
      <c r="H1806" s="16"/>
      <c r="I1806" s="16"/>
      <c r="J1806" s="20"/>
      <c r="N1806" s="16"/>
      <c r="O1806" s="16"/>
      <c r="P1806" s="16"/>
    </row>
    <row r="1807" spans="7:33" ht="15.75" customHeight="1">
      <c r="H1807" s="16"/>
      <c r="I1807" s="16"/>
      <c r="J1807" s="20"/>
      <c r="N1807" s="16"/>
      <c r="O1807" s="16"/>
      <c r="P1807" s="16"/>
    </row>
    <row r="1808" spans="7:33" ht="15.75" customHeight="1">
      <c r="H1808" s="16"/>
      <c r="I1808" s="16"/>
      <c r="J1808" s="93"/>
      <c r="N1808" s="16"/>
      <c r="O1808" s="16"/>
      <c r="P1808" s="16"/>
    </row>
    <row r="1809" spans="8:16" ht="15.75" customHeight="1">
      <c r="H1809" s="16"/>
      <c r="I1809" s="16"/>
      <c r="J1809" s="20"/>
      <c r="N1809" s="16"/>
      <c r="O1809" s="16"/>
      <c r="P1809" s="16"/>
    </row>
    <row r="1810" spans="8:16" ht="15.75" customHeight="1">
      <c r="H1810" s="16"/>
      <c r="I1810" s="16"/>
      <c r="J1810" s="20"/>
      <c r="N1810" s="16"/>
      <c r="O1810" s="16"/>
      <c r="P1810" s="16"/>
    </row>
    <row r="1811" spans="8:16" ht="15.75" customHeight="1">
      <c r="H1811" s="16"/>
      <c r="I1811" s="16"/>
      <c r="J1811" s="20"/>
      <c r="N1811" s="16"/>
      <c r="O1811" s="16"/>
      <c r="P1811" s="16"/>
    </row>
    <row r="1812" spans="8:16" ht="15.75" customHeight="1">
      <c r="H1812" s="16"/>
      <c r="I1812" s="16"/>
      <c r="J1812" s="20"/>
      <c r="N1812" s="16"/>
      <c r="O1812" s="16"/>
      <c r="P1812" s="16"/>
    </row>
    <row r="1813" spans="8:16" ht="15.75" customHeight="1">
      <c r="H1813" s="16"/>
      <c r="I1813" s="16"/>
      <c r="J1813" s="20"/>
      <c r="N1813" s="16"/>
      <c r="O1813" s="16"/>
      <c r="P1813" s="16"/>
    </row>
    <row r="1814" spans="8:16" ht="15.75" customHeight="1">
      <c r="H1814" s="16"/>
      <c r="I1814" s="16"/>
      <c r="J1814" s="20"/>
      <c r="N1814" s="16"/>
      <c r="O1814" s="16"/>
      <c r="P1814" s="16"/>
    </row>
    <row r="1815" spans="8:16" ht="15.75" customHeight="1">
      <c r="H1815" s="16"/>
      <c r="I1815" s="16"/>
      <c r="J1815" s="20"/>
      <c r="N1815" s="16"/>
      <c r="O1815" s="16"/>
      <c r="P1815" s="16"/>
    </row>
    <row r="1816" spans="8:16" ht="15.75" customHeight="1">
      <c r="H1816" s="16"/>
      <c r="I1816" s="16"/>
      <c r="J1816" s="20"/>
      <c r="N1816" s="16"/>
      <c r="O1816" s="16"/>
      <c r="P1816" s="16"/>
    </row>
    <row r="1817" spans="8:16" ht="15.75" customHeight="1">
      <c r="H1817" s="16"/>
      <c r="I1817" s="16"/>
      <c r="J1817" s="20"/>
      <c r="N1817" s="16"/>
      <c r="O1817" s="16"/>
      <c r="P1817" s="16"/>
    </row>
    <row r="1818" spans="8:16" ht="15.75" customHeight="1">
      <c r="H1818" s="16"/>
      <c r="I1818" s="16"/>
      <c r="J1818" s="20"/>
      <c r="N1818" s="16"/>
      <c r="O1818" s="16"/>
      <c r="P1818" s="16"/>
    </row>
    <row r="1819" spans="8:16" ht="15.75" customHeight="1">
      <c r="H1819" s="16"/>
      <c r="I1819" s="16"/>
      <c r="J1819" s="20"/>
      <c r="N1819" s="16"/>
      <c r="O1819" s="16"/>
      <c r="P1819" s="16"/>
    </row>
    <row r="1820" spans="8:16" ht="15.75" customHeight="1">
      <c r="H1820" s="16"/>
      <c r="I1820" s="16"/>
      <c r="J1820" s="20"/>
      <c r="N1820" s="16"/>
      <c r="O1820" s="16"/>
      <c r="P1820" s="16"/>
    </row>
    <row r="1821" spans="8:16" ht="15.75" customHeight="1">
      <c r="H1821" s="16"/>
      <c r="I1821" s="16"/>
      <c r="J1821" s="20"/>
      <c r="N1821" s="16"/>
      <c r="O1821" s="16"/>
      <c r="P1821" s="16"/>
    </row>
    <row r="1822" spans="8:16" ht="15.75" customHeight="1">
      <c r="H1822" s="16"/>
      <c r="I1822" s="16"/>
      <c r="J1822" s="20"/>
      <c r="N1822" s="16"/>
      <c r="O1822" s="16"/>
      <c r="P1822" s="16"/>
    </row>
    <row r="1823" spans="8:16" ht="15.75" customHeight="1">
      <c r="H1823" s="16"/>
      <c r="I1823" s="16"/>
      <c r="J1823" s="20"/>
      <c r="N1823" s="16"/>
      <c r="O1823" s="16"/>
      <c r="P1823" s="16"/>
    </row>
    <row r="1824" spans="8:16" ht="15.75" customHeight="1">
      <c r="H1824" s="16"/>
      <c r="I1824" s="16"/>
      <c r="J1824" s="20"/>
      <c r="N1824" s="16"/>
      <c r="O1824" s="16"/>
      <c r="P1824" s="16"/>
    </row>
    <row r="1825" spans="8:16" ht="15.75" customHeight="1">
      <c r="H1825" s="16"/>
      <c r="I1825" s="16"/>
      <c r="J1825" s="20"/>
      <c r="N1825" s="16"/>
      <c r="O1825" s="16"/>
      <c r="P1825" s="16"/>
    </row>
    <row r="1826" spans="8:16" ht="15.75" customHeight="1">
      <c r="H1826" s="16"/>
      <c r="I1826" s="16"/>
      <c r="J1826" s="20"/>
      <c r="N1826" s="16"/>
      <c r="O1826" s="16"/>
      <c r="P1826" s="16"/>
    </row>
    <row r="1827" spans="8:16" ht="15.75" customHeight="1">
      <c r="H1827" s="16"/>
      <c r="I1827" s="16"/>
      <c r="J1827" s="20"/>
      <c r="N1827" s="16"/>
      <c r="O1827" s="16"/>
      <c r="P1827" s="16"/>
    </row>
    <row r="1828" spans="8:16" ht="15.75" customHeight="1">
      <c r="H1828" s="16"/>
      <c r="I1828" s="16"/>
      <c r="J1828" s="20"/>
      <c r="N1828" s="16"/>
      <c r="O1828" s="16"/>
      <c r="P1828" s="16"/>
    </row>
    <row r="1829" spans="8:16" ht="15.75" customHeight="1">
      <c r="H1829" s="16"/>
      <c r="I1829" s="16"/>
      <c r="J1829" s="20"/>
      <c r="N1829" s="16"/>
      <c r="O1829" s="16"/>
      <c r="P1829" s="16"/>
    </row>
    <row r="1830" spans="8:16" ht="15.75" customHeight="1">
      <c r="H1830" s="16"/>
      <c r="I1830" s="16"/>
      <c r="J1830" s="20"/>
      <c r="N1830" s="16"/>
      <c r="O1830" s="16"/>
      <c r="P1830" s="16"/>
    </row>
    <row r="1831" spans="8:16" ht="15.75" customHeight="1">
      <c r="H1831" s="16"/>
      <c r="I1831" s="16"/>
      <c r="J1831" s="20"/>
      <c r="N1831" s="16"/>
      <c r="O1831" s="16"/>
      <c r="P1831" s="16"/>
    </row>
    <row r="1832" spans="8:16" ht="15.75" customHeight="1">
      <c r="H1832" s="16"/>
      <c r="I1832" s="16"/>
      <c r="J1832" s="20"/>
      <c r="N1832" s="16"/>
      <c r="O1832" s="16"/>
      <c r="P1832" s="16"/>
    </row>
    <row r="1833" spans="8:16" ht="15.75" customHeight="1">
      <c r="H1833" s="16"/>
      <c r="I1833" s="16"/>
      <c r="J1833" s="20"/>
      <c r="N1833" s="16"/>
      <c r="O1833" s="16"/>
      <c r="P1833" s="16"/>
    </row>
    <row r="1834" spans="8:16" ht="15.75" customHeight="1">
      <c r="H1834" s="16"/>
      <c r="I1834" s="16"/>
      <c r="J1834" s="20"/>
      <c r="N1834" s="16"/>
      <c r="O1834" s="16"/>
      <c r="P1834" s="16"/>
    </row>
    <row r="1835" spans="8:16" ht="15.75" customHeight="1">
      <c r="H1835" s="16"/>
      <c r="I1835" s="16"/>
      <c r="J1835" s="20"/>
      <c r="N1835" s="16"/>
      <c r="O1835" s="16"/>
      <c r="P1835" s="16"/>
    </row>
    <row r="1836" spans="8:16" ht="15.75" customHeight="1">
      <c r="H1836" s="16"/>
      <c r="I1836" s="16"/>
      <c r="J1836" s="20"/>
      <c r="N1836" s="16"/>
      <c r="O1836" s="16"/>
      <c r="P1836" s="16"/>
    </row>
    <row r="1837" spans="8:16" ht="15.75" customHeight="1">
      <c r="H1837" s="16"/>
      <c r="I1837" s="16"/>
      <c r="J1837" s="20"/>
      <c r="N1837" s="16"/>
      <c r="O1837" s="16"/>
      <c r="P1837" s="16"/>
    </row>
    <row r="1838" spans="8:16" ht="15.75" customHeight="1">
      <c r="H1838" s="16"/>
      <c r="I1838" s="16"/>
      <c r="J1838" s="20"/>
      <c r="N1838" s="16"/>
      <c r="O1838" s="16"/>
      <c r="P1838" s="16"/>
    </row>
    <row r="1839" spans="8:16" ht="15.75" customHeight="1">
      <c r="H1839" s="16"/>
      <c r="I1839" s="16"/>
      <c r="J1839" s="20"/>
      <c r="N1839" s="16"/>
      <c r="O1839" s="16"/>
      <c r="P1839" s="16"/>
    </row>
    <row r="1840" spans="8:16" ht="15.75" customHeight="1">
      <c r="H1840" s="16"/>
      <c r="I1840" s="16"/>
      <c r="J1840" s="20"/>
      <c r="N1840" s="16"/>
      <c r="O1840" s="16"/>
      <c r="P1840" s="16"/>
    </row>
    <row r="1841" spans="8:16" ht="15.75" customHeight="1">
      <c r="H1841" s="16"/>
      <c r="I1841" s="16"/>
      <c r="J1841" s="20"/>
      <c r="N1841" s="16"/>
      <c r="O1841" s="16"/>
      <c r="P1841" s="16"/>
    </row>
    <row r="1842" spans="8:16" ht="15.75" customHeight="1">
      <c r="H1842" s="16"/>
      <c r="I1842" s="16"/>
      <c r="J1842" s="20"/>
      <c r="N1842" s="16"/>
      <c r="O1842" s="16"/>
      <c r="P1842" s="16"/>
    </row>
    <row r="1843" spans="8:16" ht="15.75" customHeight="1">
      <c r="H1843" s="16"/>
      <c r="I1843" s="16"/>
      <c r="J1843" s="20"/>
      <c r="N1843" s="16"/>
      <c r="O1843" s="16"/>
      <c r="P1843" s="16"/>
    </row>
    <row r="1844" spans="8:16" ht="15.75" customHeight="1">
      <c r="H1844" s="16"/>
      <c r="I1844" s="16"/>
      <c r="J1844" s="20"/>
      <c r="N1844" s="16"/>
      <c r="O1844" s="16"/>
      <c r="P1844" s="16"/>
    </row>
    <row r="1845" spans="8:16" ht="15.75" customHeight="1">
      <c r="H1845" s="16"/>
      <c r="I1845" s="16"/>
      <c r="J1845" s="20"/>
      <c r="N1845" s="16"/>
      <c r="O1845" s="16"/>
      <c r="P1845" s="16"/>
    </row>
    <row r="1846" spans="8:16" ht="15.75" customHeight="1">
      <c r="H1846" s="16"/>
      <c r="I1846" s="16"/>
      <c r="J1846" s="20"/>
      <c r="N1846" s="16"/>
      <c r="O1846" s="16"/>
      <c r="P1846" s="16"/>
    </row>
    <row r="1847" spans="8:16" ht="15.75" customHeight="1">
      <c r="H1847" s="16"/>
      <c r="I1847" s="16"/>
      <c r="J1847" s="20"/>
      <c r="N1847" s="16"/>
      <c r="O1847" s="16"/>
      <c r="P1847" s="16"/>
    </row>
    <row r="1848" spans="8:16" ht="15.75" customHeight="1">
      <c r="H1848" s="16"/>
      <c r="I1848" s="16"/>
      <c r="J1848" s="20"/>
      <c r="N1848" s="16"/>
      <c r="O1848" s="16"/>
      <c r="P1848" s="16"/>
    </row>
    <row r="1849" spans="8:16" ht="15.75" customHeight="1">
      <c r="H1849" s="16"/>
      <c r="I1849" s="16"/>
      <c r="J1849" s="20"/>
      <c r="N1849" s="16"/>
      <c r="O1849" s="16"/>
      <c r="P1849" s="16"/>
    </row>
    <row r="1850" spans="8:16" ht="15.75" customHeight="1">
      <c r="H1850" s="16"/>
      <c r="I1850" s="16"/>
      <c r="J1850" s="20"/>
      <c r="N1850" s="16"/>
      <c r="O1850" s="16"/>
      <c r="P1850" s="16"/>
    </row>
    <row r="1851" spans="8:16" ht="15.75" customHeight="1">
      <c r="H1851" s="16"/>
      <c r="I1851" s="16"/>
      <c r="J1851" s="20"/>
      <c r="N1851" s="16"/>
      <c r="O1851" s="16"/>
      <c r="P1851" s="16"/>
    </row>
    <row r="1852" spans="8:16" ht="15.75" customHeight="1">
      <c r="H1852" s="16"/>
      <c r="I1852" s="16"/>
      <c r="J1852" s="20"/>
      <c r="N1852" s="16"/>
      <c r="O1852" s="16"/>
      <c r="P1852" s="16"/>
    </row>
    <row r="1853" spans="8:16" ht="15.75" customHeight="1">
      <c r="H1853" s="16"/>
      <c r="I1853" s="16"/>
      <c r="J1853" s="20"/>
      <c r="N1853" s="16"/>
      <c r="O1853" s="16"/>
      <c r="P1853" s="16"/>
    </row>
    <row r="1854" spans="8:16" ht="15.75" customHeight="1">
      <c r="H1854" s="16"/>
      <c r="I1854" s="16"/>
      <c r="J1854" s="20"/>
      <c r="N1854" s="16"/>
      <c r="O1854" s="16"/>
      <c r="P1854" s="16"/>
    </row>
    <row r="1855" spans="8:16" ht="15.75" customHeight="1">
      <c r="H1855" s="16"/>
      <c r="I1855" s="16"/>
      <c r="J1855" s="20"/>
      <c r="N1855" s="16"/>
      <c r="O1855" s="16"/>
      <c r="P1855" s="16"/>
    </row>
    <row r="1856" spans="8:16" ht="15.75" customHeight="1">
      <c r="H1856" s="16"/>
      <c r="I1856" s="16"/>
      <c r="J1856" s="20"/>
      <c r="N1856" s="16"/>
      <c r="O1856" s="16"/>
      <c r="P1856" s="16"/>
    </row>
    <row r="1857" spans="8:16" ht="15.75" customHeight="1">
      <c r="H1857" s="16"/>
      <c r="I1857" s="16"/>
      <c r="J1857" s="20"/>
      <c r="N1857" s="16"/>
      <c r="O1857" s="16"/>
      <c r="P1857" s="16"/>
    </row>
    <row r="1858" spans="8:16" ht="15.75" customHeight="1">
      <c r="H1858" s="16"/>
      <c r="I1858" s="16"/>
      <c r="J1858" s="20"/>
      <c r="N1858" s="16"/>
      <c r="O1858" s="16"/>
      <c r="P1858" s="16"/>
    </row>
    <row r="1859" spans="8:16" ht="15.75" customHeight="1">
      <c r="H1859" s="16"/>
      <c r="I1859" s="16"/>
      <c r="J1859" s="20"/>
      <c r="N1859" s="16"/>
      <c r="O1859" s="16"/>
      <c r="P1859" s="16"/>
    </row>
    <row r="1860" spans="8:16" ht="15.75" customHeight="1">
      <c r="H1860" s="16"/>
      <c r="I1860" s="16"/>
      <c r="J1860" s="20"/>
      <c r="N1860" s="16"/>
      <c r="O1860" s="16"/>
      <c r="P1860" s="16"/>
    </row>
    <row r="1861" spans="8:16" ht="15.75" customHeight="1">
      <c r="H1861" s="16"/>
      <c r="I1861" s="16"/>
      <c r="J1861" s="20"/>
      <c r="N1861" s="16"/>
      <c r="O1861" s="16"/>
      <c r="P1861" s="16"/>
    </row>
    <row r="1862" spans="8:16" ht="15.75" customHeight="1">
      <c r="H1862" s="16"/>
      <c r="I1862" s="16"/>
      <c r="J1862" s="20"/>
      <c r="N1862" s="16"/>
      <c r="O1862" s="16"/>
      <c r="P1862" s="16"/>
    </row>
    <row r="1863" spans="8:16" ht="15.75" customHeight="1">
      <c r="H1863" s="16"/>
      <c r="I1863" s="16"/>
      <c r="J1863" s="20"/>
      <c r="N1863" s="16"/>
      <c r="O1863" s="16"/>
      <c r="P1863" s="16"/>
    </row>
    <row r="1864" spans="8:16" ht="15.75" customHeight="1">
      <c r="H1864" s="16"/>
      <c r="I1864" s="16"/>
      <c r="J1864" s="20"/>
      <c r="N1864" s="16"/>
      <c r="O1864" s="16"/>
      <c r="P1864" s="16"/>
    </row>
    <row r="1865" spans="8:16" ht="15.75" customHeight="1">
      <c r="H1865" s="16"/>
      <c r="I1865" s="16"/>
      <c r="J1865" s="20"/>
      <c r="N1865" s="16"/>
      <c r="O1865" s="16"/>
      <c r="P1865" s="16"/>
    </row>
    <row r="1866" spans="8:16" ht="15.75" customHeight="1">
      <c r="H1866" s="16"/>
      <c r="I1866" s="16"/>
      <c r="J1866" s="20"/>
      <c r="N1866" s="16"/>
      <c r="O1866" s="16"/>
      <c r="P1866" s="16"/>
    </row>
    <row r="1867" spans="8:16" ht="15.75" customHeight="1">
      <c r="H1867" s="16"/>
      <c r="I1867" s="16"/>
      <c r="J1867" s="20"/>
      <c r="N1867" s="16"/>
      <c r="O1867" s="16"/>
      <c r="P1867" s="16"/>
    </row>
    <row r="1868" spans="8:16" ht="15.75" customHeight="1">
      <c r="H1868" s="16"/>
      <c r="I1868" s="16"/>
      <c r="J1868" s="20"/>
      <c r="N1868" s="16"/>
      <c r="O1868" s="16"/>
      <c r="P1868" s="16"/>
    </row>
    <row r="1869" spans="8:16" ht="15.75" customHeight="1">
      <c r="H1869" s="16"/>
      <c r="I1869" s="16"/>
      <c r="J1869" s="20"/>
      <c r="N1869" s="16"/>
      <c r="O1869" s="16"/>
      <c r="P1869" s="16"/>
    </row>
    <row r="1870" spans="8:16" ht="15.75" customHeight="1">
      <c r="H1870" s="16"/>
      <c r="I1870" s="16"/>
      <c r="J1870" s="20"/>
      <c r="N1870" s="16"/>
      <c r="O1870" s="16"/>
      <c r="P1870" s="16"/>
    </row>
    <row r="1871" spans="8:16" ht="15.75" customHeight="1">
      <c r="H1871" s="16"/>
      <c r="I1871" s="16"/>
      <c r="J1871" s="20"/>
      <c r="N1871" s="16"/>
      <c r="O1871" s="16"/>
      <c r="P1871" s="16"/>
    </row>
    <row r="1872" spans="8:16" ht="15.75" customHeight="1">
      <c r="H1872" s="16"/>
      <c r="I1872" s="16"/>
      <c r="J1872" s="20"/>
      <c r="N1872" s="16"/>
      <c r="O1872" s="16"/>
      <c r="P1872" s="16"/>
    </row>
    <row r="1873" spans="8:16" ht="15.75" customHeight="1">
      <c r="H1873" s="16"/>
      <c r="I1873" s="16"/>
      <c r="J1873" s="20"/>
      <c r="N1873" s="16"/>
      <c r="O1873" s="16"/>
      <c r="P1873" s="16"/>
    </row>
    <row r="1874" spans="8:16" ht="15.75" customHeight="1">
      <c r="H1874" s="16"/>
      <c r="I1874" s="16"/>
      <c r="J1874" s="20"/>
      <c r="N1874" s="16"/>
      <c r="O1874" s="16"/>
      <c r="P1874" s="16"/>
    </row>
    <row r="1875" spans="8:16" ht="15.75" customHeight="1">
      <c r="H1875" s="16"/>
      <c r="I1875" s="16"/>
      <c r="J1875" s="20"/>
      <c r="N1875" s="16"/>
      <c r="O1875" s="16"/>
      <c r="P1875" s="16"/>
    </row>
    <row r="1876" spans="8:16" ht="15.75" customHeight="1">
      <c r="H1876" s="16"/>
      <c r="I1876" s="16"/>
      <c r="J1876" s="20"/>
      <c r="N1876" s="16"/>
      <c r="O1876" s="16"/>
      <c r="P1876" s="16"/>
    </row>
    <row r="1877" spans="8:16" ht="15.75" customHeight="1">
      <c r="H1877" s="16"/>
      <c r="I1877" s="16"/>
      <c r="J1877" s="20"/>
      <c r="N1877" s="16"/>
      <c r="O1877" s="16"/>
      <c r="P1877" s="16"/>
    </row>
    <row r="1878" spans="8:16" ht="15.75" customHeight="1">
      <c r="H1878" s="16"/>
      <c r="I1878" s="16"/>
      <c r="J1878" s="20"/>
      <c r="N1878" s="16"/>
      <c r="O1878" s="16"/>
      <c r="P1878" s="16"/>
    </row>
    <row r="1879" spans="8:16" ht="15.75" customHeight="1">
      <c r="H1879" s="16"/>
      <c r="I1879" s="16"/>
      <c r="J1879" s="20"/>
      <c r="N1879" s="16"/>
      <c r="O1879" s="16"/>
      <c r="P1879" s="16"/>
    </row>
    <row r="1880" spans="8:16" ht="15.75" customHeight="1">
      <c r="H1880" s="16"/>
      <c r="I1880" s="16"/>
      <c r="J1880" s="20"/>
      <c r="N1880" s="16"/>
      <c r="O1880" s="16"/>
      <c r="P1880" s="16"/>
    </row>
    <row r="1881" spans="8:16" ht="15.75" customHeight="1">
      <c r="H1881" s="16"/>
      <c r="I1881" s="16"/>
      <c r="J1881" s="20"/>
      <c r="N1881" s="16"/>
      <c r="O1881" s="16"/>
      <c r="P1881" s="16"/>
    </row>
    <row r="1882" spans="8:16" ht="15.75" customHeight="1">
      <c r="H1882" s="16"/>
      <c r="I1882" s="16"/>
      <c r="J1882" s="20"/>
      <c r="N1882" s="16"/>
      <c r="O1882" s="16"/>
      <c r="P1882" s="16"/>
    </row>
    <row r="1883" spans="8:16" ht="15.75" customHeight="1">
      <c r="H1883" s="16"/>
      <c r="I1883" s="16"/>
      <c r="J1883" s="20"/>
      <c r="N1883" s="16"/>
      <c r="O1883" s="16"/>
      <c r="P1883" s="16"/>
    </row>
    <row r="1884" spans="8:16" ht="15.75" customHeight="1">
      <c r="H1884" s="16"/>
      <c r="I1884" s="16"/>
      <c r="J1884" s="20"/>
      <c r="N1884" s="16"/>
      <c r="O1884" s="16"/>
      <c r="P1884" s="16"/>
    </row>
    <row r="1885" spans="8:16" ht="15.75" customHeight="1">
      <c r="H1885" s="16"/>
      <c r="I1885" s="16"/>
      <c r="J1885" s="20"/>
      <c r="N1885" s="16"/>
      <c r="O1885" s="16"/>
      <c r="P1885" s="16"/>
    </row>
    <row r="1886" spans="8:16" ht="15.75" customHeight="1">
      <c r="H1886" s="16"/>
      <c r="I1886" s="16"/>
      <c r="J1886" s="20"/>
      <c r="N1886" s="16"/>
      <c r="O1886" s="16"/>
      <c r="P1886" s="16"/>
    </row>
    <row r="1887" spans="8:16" ht="15.75" customHeight="1">
      <c r="H1887" s="16"/>
      <c r="I1887" s="16"/>
      <c r="J1887" s="20"/>
      <c r="N1887" s="16"/>
      <c r="O1887" s="16"/>
      <c r="P1887" s="16"/>
    </row>
    <row r="1888" spans="8:16" ht="15.75" customHeight="1">
      <c r="H1888" s="16"/>
      <c r="I1888" s="16"/>
      <c r="J1888" s="20"/>
      <c r="N1888" s="16"/>
      <c r="O1888" s="16"/>
      <c r="P1888" s="16"/>
    </row>
    <row r="1889" spans="8:16" ht="15.75" customHeight="1">
      <c r="H1889" s="16"/>
      <c r="I1889" s="16"/>
      <c r="J1889" s="20"/>
      <c r="N1889" s="16"/>
      <c r="O1889" s="16"/>
      <c r="P1889" s="16"/>
    </row>
    <row r="1890" spans="8:16" ht="15.75" customHeight="1">
      <c r="H1890" s="16"/>
      <c r="I1890" s="16"/>
      <c r="J1890" s="20"/>
      <c r="N1890" s="16"/>
      <c r="O1890" s="16"/>
      <c r="P1890" s="16"/>
    </row>
    <row r="1891" spans="8:16" ht="15.75" customHeight="1">
      <c r="H1891" s="16"/>
      <c r="I1891" s="16"/>
      <c r="J1891" s="20"/>
      <c r="N1891" s="16"/>
      <c r="O1891" s="16"/>
      <c r="P1891" s="16"/>
    </row>
    <row r="1892" spans="8:16" ht="15.75" customHeight="1">
      <c r="H1892" s="16"/>
      <c r="I1892" s="16"/>
      <c r="J1892" s="20"/>
      <c r="N1892" s="16"/>
      <c r="O1892" s="16"/>
      <c r="P1892" s="16"/>
    </row>
    <row r="1893" spans="8:16" ht="15.75" customHeight="1">
      <c r="H1893" s="16"/>
      <c r="I1893" s="16"/>
      <c r="J1893" s="20"/>
      <c r="N1893" s="16"/>
      <c r="O1893" s="16"/>
      <c r="P1893" s="16"/>
    </row>
    <row r="1894" spans="8:16" ht="15.75" customHeight="1">
      <c r="H1894" s="16"/>
      <c r="I1894" s="16"/>
      <c r="J1894" s="20"/>
      <c r="N1894" s="16"/>
      <c r="O1894" s="16"/>
      <c r="P1894" s="16"/>
    </row>
    <row r="1895" spans="8:16" ht="15.75" customHeight="1">
      <c r="H1895" s="16"/>
      <c r="I1895" s="16"/>
      <c r="J1895" s="20"/>
      <c r="N1895" s="16"/>
      <c r="O1895" s="16"/>
      <c r="P1895" s="16"/>
    </row>
    <row r="1896" spans="8:16" ht="15.75" customHeight="1">
      <c r="H1896" s="16"/>
      <c r="I1896" s="16"/>
      <c r="J1896" s="20"/>
      <c r="N1896" s="16"/>
      <c r="O1896" s="16"/>
      <c r="P1896" s="16"/>
    </row>
    <row r="1897" spans="8:16" ht="15.75" customHeight="1">
      <c r="H1897" s="16"/>
      <c r="I1897" s="16"/>
      <c r="J1897" s="20"/>
      <c r="N1897" s="16"/>
      <c r="O1897" s="16"/>
      <c r="P1897" s="16"/>
    </row>
    <row r="1898" spans="8:16" ht="15.75" customHeight="1">
      <c r="H1898" s="16"/>
      <c r="I1898" s="16"/>
      <c r="J1898" s="20"/>
      <c r="N1898" s="16"/>
      <c r="O1898" s="16"/>
      <c r="P1898" s="16"/>
    </row>
    <row r="1899" spans="8:16" ht="15.75" customHeight="1">
      <c r="H1899" s="16"/>
      <c r="I1899" s="16"/>
      <c r="J1899" s="20"/>
      <c r="N1899" s="16"/>
      <c r="O1899" s="16"/>
      <c r="P1899" s="16"/>
    </row>
    <row r="1900" spans="8:16" ht="15.75" customHeight="1">
      <c r="H1900" s="16"/>
      <c r="I1900" s="16"/>
      <c r="J1900" s="20"/>
      <c r="N1900" s="16"/>
      <c r="O1900" s="16"/>
      <c r="P1900" s="16"/>
    </row>
    <row r="1901" spans="8:16" ht="15.75" customHeight="1">
      <c r="H1901" s="16"/>
      <c r="I1901" s="16"/>
      <c r="J1901" s="20"/>
      <c r="N1901" s="16"/>
      <c r="O1901" s="16"/>
      <c r="P1901" s="16"/>
    </row>
    <row r="1902" spans="8:16" ht="15.75" customHeight="1">
      <c r="H1902" s="16"/>
      <c r="I1902" s="16"/>
      <c r="J1902" s="20"/>
      <c r="N1902" s="16"/>
      <c r="O1902" s="16"/>
      <c r="P1902" s="16"/>
    </row>
    <row r="1903" spans="8:16" ht="15.75" customHeight="1">
      <c r="H1903" s="16"/>
      <c r="I1903" s="16"/>
      <c r="J1903" s="20"/>
      <c r="N1903" s="16"/>
      <c r="O1903" s="16"/>
      <c r="P1903" s="16"/>
    </row>
    <row r="1904" spans="8:16" ht="15.75" customHeight="1">
      <c r="H1904" s="16"/>
      <c r="I1904" s="16"/>
      <c r="J1904" s="20"/>
      <c r="N1904" s="16"/>
      <c r="O1904" s="16"/>
      <c r="P1904" s="16"/>
    </row>
    <row r="1905" spans="8:16" ht="15.75" customHeight="1">
      <c r="H1905" s="16"/>
      <c r="I1905" s="16"/>
      <c r="J1905" s="20"/>
      <c r="N1905" s="16"/>
      <c r="O1905" s="16"/>
      <c r="P1905" s="16"/>
    </row>
    <row r="1906" spans="8:16" ht="15.75" customHeight="1">
      <c r="H1906" s="16"/>
      <c r="I1906" s="16"/>
      <c r="J1906" s="20"/>
      <c r="N1906" s="16"/>
      <c r="O1906" s="16"/>
      <c r="P1906" s="16"/>
    </row>
    <row r="1907" spans="8:16" ht="15.75" customHeight="1">
      <c r="H1907" s="16"/>
      <c r="I1907" s="16"/>
      <c r="J1907" s="20"/>
      <c r="N1907" s="16"/>
      <c r="O1907" s="16"/>
      <c r="P1907" s="16"/>
    </row>
    <row r="1908" spans="8:16" ht="15.75" customHeight="1">
      <c r="H1908" s="16"/>
      <c r="I1908" s="16"/>
      <c r="J1908" s="20"/>
      <c r="N1908" s="16"/>
      <c r="O1908" s="16"/>
      <c r="P1908" s="16"/>
    </row>
    <row r="1909" spans="8:16" ht="15.75" customHeight="1">
      <c r="H1909" s="16"/>
      <c r="I1909" s="16"/>
      <c r="J1909" s="20"/>
      <c r="N1909" s="16"/>
      <c r="O1909" s="16"/>
      <c r="P1909" s="16"/>
    </row>
    <row r="1910" spans="8:16" ht="15.75" customHeight="1">
      <c r="H1910" s="16"/>
      <c r="I1910" s="16"/>
      <c r="J1910" s="20"/>
      <c r="N1910" s="16"/>
      <c r="O1910" s="16"/>
      <c r="P1910" s="16"/>
    </row>
    <row r="1911" spans="8:16" ht="15.75" customHeight="1">
      <c r="H1911" s="16"/>
      <c r="I1911" s="16"/>
      <c r="J1911" s="20"/>
      <c r="N1911" s="16"/>
      <c r="O1911" s="16"/>
      <c r="P1911" s="16"/>
    </row>
    <row r="1912" spans="8:16" ht="15.75" customHeight="1">
      <c r="H1912" s="16"/>
      <c r="I1912" s="16"/>
      <c r="J1912" s="20"/>
      <c r="N1912" s="16"/>
      <c r="O1912" s="16"/>
      <c r="P1912" s="16"/>
    </row>
    <row r="1913" spans="8:16" ht="15.75" customHeight="1">
      <c r="H1913" s="16"/>
      <c r="I1913" s="16"/>
      <c r="J1913" s="20"/>
      <c r="N1913" s="16"/>
      <c r="O1913" s="16"/>
      <c r="P1913" s="16"/>
    </row>
    <row r="1914" spans="8:16" ht="15.75" customHeight="1">
      <c r="H1914" s="16"/>
      <c r="I1914" s="16"/>
      <c r="J1914" s="20"/>
      <c r="N1914" s="16"/>
      <c r="O1914" s="16"/>
      <c r="P1914" s="16"/>
    </row>
    <row r="1915" spans="8:16" ht="15.75" customHeight="1">
      <c r="H1915" s="16"/>
      <c r="I1915" s="16"/>
      <c r="J1915" s="20"/>
      <c r="N1915" s="16"/>
      <c r="O1915" s="16"/>
      <c r="P1915" s="16"/>
    </row>
    <row r="1916" spans="8:16" ht="15.75" customHeight="1">
      <c r="H1916" s="16"/>
      <c r="I1916" s="16"/>
      <c r="J1916" s="20"/>
      <c r="N1916" s="16"/>
      <c r="O1916" s="16"/>
      <c r="P1916" s="16"/>
    </row>
    <row r="1917" spans="8:16" ht="15.75" customHeight="1">
      <c r="H1917" s="16"/>
      <c r="I1917" s="16"/>
      <c r="J1917" s="20"/>
      <c r="N1917" s="16"/>
      <c r="O1917" s="16"/>
      <c r="P1917" s="16"/>
    </row>
    <row r="1918" spans="8:16" ht="15.75" customHeight="1">
      <c r="H1918" s="16"/>
      <c r="I1918" s="16"/>
      <c r="J1918" s="20"/>
      <c r="N1918" s="16"/>
      <c r="O1918" s="16"/>
      <c r="P1918" s="16"/>
    </row>
    <row r="1919" spans="8:16" ht="15.75" customHeight="1">
      <c r="H1919" s="16"/>
      <c r="I1919" s="16"/>
      <c r="J1919" s="20"/>
      <c r="N1919" s="16"/>
      <c r="O1919" s="16"/>
      <c r="P1919" s="16"/>
    </row>
    <row r="1920" spans="8:16" ht="15.75" customHeight="1">
      <c r="H1920" s="16"/>
      <c r="I1920" s="16"/>
      <c r="J1920" s="20"/>
      <c r="N1920" s="16"/>
      <c r="O1920" s="16"/>
      <c r="P1920" s="16"/>
    </row>
    <row r="1921" spans="8:16" ht="15.75" customHeight="1">
      <c r="H1921" s="16"/>
      <c r="I1921" s="16"/>
      <c r="J1921" s="20"/>
      <c r="N1921" s="16"/>
      <c r="O1921" s="16"/>
      <c r="P1921" s="16"/>
    </row>
    <row r="1922" spans="8:16" ht="15.75" customHeight="1">
      <c r="H1922" s="16"/>
      <c r="I1922" s="16"/>
      <c r="J1922" s="20"/>
      <c r="N1922" s="16"/>
      <c r="O1922" s="16"/>
      <c r="P1922" s="16"/>
    </row>
    <row r="1923" spans="8:16" ht="15.75" customHeight="1">
      <c r="H1923" s="16"/>
      <c r="I1923" s="16"/>
      <c r="J1923" s="20"/>
      <c r="N1923" s="16"/>
      <c r="O1923" s="16"/>
      <c r="P1923" s="16"/>
    </row>
    <row r="1924" spans="8:16" ht="15.75" customHeight="1">
      <c r="H1924" s="16"/>
      <c r="I1924" s="16"/>
      <c r="J1924" s="20"/>
      <c r="N1924" s="16"/>
      <c r="O1924" s="16"/>
      <c r="P1924" s="16"/>
    </row>
    <row r="1925" spans="8:16" ht="15.75" customHeight="1">
      <c r="H1925" s="16"/>
      <c r="I1925" s="16"/>
      <c r="J1925" s="20"/>
      <c r="N1925" s="16"/>
      <c r="O1925" s="16"/>
      <c r="P1925" s="16"/>
    </row>
    <row r="1926" spans="8:16" ht="15.75" customHeight="1">
      <c r="H1926" s="16"/>
      <c r="I1926" s="16"/>
      <c r="J1926" s="20"/>
      <c r="N1926" s="16"/>
      <c r="O1926" s="16"/>
      <c r="P1926" s="16"/>
    </row>
    <row r="1927" spans="8:16" ht="15.75" customHeight="1">
      <c r="H1927" s="16"/>
      <c r="I1927" s="16"/>
      <c r="J1927" s="20"/>
      <c r="N1927" s="16"/>
      <c r="O1927" s="16"/>
      <c r="P1927" s="16"/>
    </row>
    <row r="1928" spans="8:16" ht="15.75" customHeight="1">
      <c r="H1928" s="16"/>
      <c r="I1928" s="16"/>
      <c r="J1928" s="20"/>
      <c r="N1928" s="16"/>
      <c r="O1928" s="16"/>
      <c r="P1928" s="16"/>
    </row>
    <row r="1929" spans="8:16" ht="15.75" customHeight="1">
      <c r="H1929" s="16"/>
      <c r="I1929" s="16"/>
      <c r="J1929" s="20"/>
      <c r="N1929" s="16"/>
      <c r="O1929" s="16"/>
      <c r="P1929" s="16"/>
    </row>
    <row r="1930" spans="8:16" ht="15.75" customHeight="1">
      <c r="H1930" s="16"/>
      <c r="I1930" s="16"/>
      <c r="J1930" s="20"/>
      <c r="N1930" s="16"/>
      <c r="O1930" s="16"/>
      <c r="P1930" s="16"/>
    </row>
    <row r="1931" spans="8:16" ht="15.75" customHeight="1">
      <c r="H1931" s="16"/>
      <c r="I1931" s="16"/>
      <c r="J1931" s="20"/>
      <c r="N1931" s="16"/>
      <c r="O1931" s="16"/>
      <c r="P1931" s="16"/>
    </row>
    <row r="1932" spans="8:16" ht="15.75" customHeight="1">
      <c r="H1932" s="16"/>
      <c r="I1932" s="16"/>
      <c r="J1932" s="20"/>
      <c r="N1932" s="16"/>
      <c r="O1932" s="16"/>
      <c r="P1932" s="16"/>
    </row>
    <row r="1933" spans="8:16" ht="15.75" customHeight="1">
      <c r="H1933" s="16"/>
      <c r="I1933" s="16"/>
      <c r="J1933" s="20"/>
      <c r="N1933" s="16"/>
      <c r="O1933" s="16"/>
      <c r="P1933" s="16"/>
    </row>
    <row r="1934" spans="8:16" ht="15.75" customHeight="1">
      <c r="H1934" s="16"/>
      <c r="I1934" s="16"/>
      <c r="J1934" s="20"/>
      <c r="N1934" s="16"/>
      <c r="O1934" s="16"/>
      <c r="P1934" s="16"/>
    </row>
    <row r="1935" spans="8:16" ht="15.75" customHeight="1">
      <c r="H1935" s="16"/>
      <c r="I1935" s="16"/>
      <c r="J1935" s="20"/>
      <c r="N1935" s="16"/>
      <c r="O1935" s="16"/>
      <c r="P1935" s="16"/>
    </row>
    <row r="1936" spans="8:16" ht="15.75" customHeight="1">
      <c r="H1936" s="16"/>
      <c r="I1936" s="16"/>
      <c r="J1936" s="20"/>
      <c r="N1936" s="16"/>
      <c r="O1936" s="16"/>
      <c r="P1936" s="16"/>
    </row>
    <row r="1937" spans="8:16" ht="15.75" customHeight="1">
      <c r="H1937" s="16"/>
      <c r="I1937" s="16"/>
      <c r="J1937" s="20"/>
      <c r="N1937" s="16"/>
      <c r="O1937" s="16"/>
      <c r="P1937" s="16"/>
    </row>
    <row r="1938" spans="8:16" ht="15.75" customHeight="1">
      <c r="H1938" s="16"/>
      <c r="I1938" s="16"/>
      <c r="J1938" s="20"/>
      <c r="N1938" s="16"/>
      <c r="O1938" s="16"/>
      <c r="P1938" s="16"/>
    </row>
    <row r="1939" spans="8:16" ht="15.75" customHeight="1">
      <c r="H1939" s="16"/>
      <c r="I1939" s="16"/>
      <c r="J1939" s="20"/>
      <c r="N1939" s="16"/>
      <c r="O1939" s="16"/>
      <c r="P1939" s="16"/>
    </row>
    <row r="1940" spans="8:16" ht="15.75" customHeight="1">
      <c r="H1940" s="16"/>
      <c r="I1940" s="16"/>
      <c r="J1940" s="20"/>
      <c r="N1940" s="16"/>
      <c r="O1940" s="16"/>
      <c r="P1940" s="16"/>
    </row>
    <row r="1941" spans="8:16" ht="15.75" customHeight="1">
      <c r="H1941" s="16"/>
      <c r="I1941" s="16"/>
      <c r="J1941" s="20"/>
      <c r="N1941" s="16"/>
      <c r="O1941" s="16"/>
      <c r="P1941" s="16"/>
    </row>
    <row r="1942" spans="8:16" ht="15.75" customHeight="1">
      <c r="H1942" s="16"/>
      <c r="I1942" s="16"/>
      <c r="J1942" s="20"/>
      <c r="N1942" s="16"/>
      <c r="O1942" s="16"/>
      <c r="P1942" s="16"/>
    </row>
    <row r="1943" spans="8:16" ht="15.75" customHeight="1">
      <c r="H1943" s="16"/>
      <c r="I1943" s="16"/>
      <c r="J1943" s="20"/>
      <c r="N1943" s="16"/>
      <c r="O1943" s="16"/>
      <c r="P1943" s="16"/>
    </row>
    <row r="1944" spans="8:16" ht="15.75" customHeight="1">
      <c r="H1944" s="16"/>
      <c r="I1944" s="16"/>
      <c r="J1944" s="20"/>
      <c r="N1944" s="16"/>
      <c r="O1944" s="16"/>
      <c r="P1944" s="16"/>
    </row>
    <row r="1945" spans="8:16" ht="15.75" customHeight="1">
      <c r="H1945" s="16"/>
      <c r="I1945" s="16"/>
      <c r="J1945" s="20"/>
      <c r="N1945" s="16"/>
      <c r="O1945" s="16"/>
      <c r="P1945" s="16"/>
    </row>
    <row r="1946" spans="8:16" ht="15.75" customHeight="1">
      <c r="H1946" s="16"/>
      <c r="I1946" s="16"/>
      <c r="J1946" s="20"/>
      <c r="N1946" s="16"/>
      <c r="O1946" s="16"/>
      <c r="P1946" s="16"/>
    </row>
    <row r="1947" spans="8:16" ht="15.75" customHeight="1">
      <c r="H1947" s="16"/>
      <c r="I1947" s="16"/>
      <c r="J1947" s="20"/>
      <c r="N1947" s="16"/>
      <c r="O1947" s="16"/>
      <c r="P1947" s="16"/>
    </row>
    <row r="1948" spans="8:16" ht="15.75" customHeight="1">
      <c r="H1948" s="16"/>
      <c r="I1948" s="16"/>
      <c r="J1948" s="20"/>
      <c r="N1948" s="16"/>
      <c r="O1948" s="16"/>
      <c r="P1948" s="16"/>
    </row>
    <row r="1949" spans="8:16" ht="15.75" customHeight="1">
      <c r="H1949" s="16"/>
      <c r="I1949" s="16"/>
      <c r="J1949" s="20"/>
      <c r="N1949" s="16"/>
      <c r="O1949" s="16"/>
      <c r="P1949" s="16"/>
    </row>
    <row r="1950" spans="8:16" ht="15.75" customHeight="1">
      <c r="H1950" s="16"/>
      <c r="I1950" s="16"/>
      <c r="J1950" s="20"/>
      <c r="N1950" s="16"/>
      <c r="O1950" s="16"/>
      <c r="P1950" s="16"/>
    </row>
    <row r="1951" spans="8:16" ht="15.75" customHeight="1">
      <c r="H1951" s="16"/>
      <c r="I1951" s="16"/>
      <c r="J1951" s="20"/>
      <c r="N1951" s="16"/>
      <c r="O1951" s="16"/>
      <c r="P1951" s="16"/>
    </row>
    <row r="1952" spans="8:16" ht="15.75" customHeight="1">
      <c r="H1952" s="16"/>
      <c r="I1952" s="16"/>
      <c r="J1952" s="20"/>
      <c r="N1952" s="16"/>
      <c r="O1952" s="16"/>
      <c r="P1952" s="16"/>
    </row>
    <row r="1953" spans="8:16" ht="15.75" customHeight="1">
      <c r="H1953" s="16"/>
      <c r="I1953" s="16"/>
      <c r="J1953" s="20"/>
      <c r="N1953" s="16"/>
      <c r="O1953" s="16"/>
      <c r="P1953" s="16"/>
    </row>
    <row r="1954" spans="8:16" ht="15.75" customHeight="1">
      <c r="H1954" s="16"/>
      <c r="I1954" s="16"/>
      <c r="J1954" s="20"/>
      <c r="N1954" s="16"/>
      <c r="O1954" s="16"/>
      <c r="P1954" s="16"/>
    </row>
    <row r="1955" spans="8:16" ht="15.75" customHeight="1">
      <c r="H1955" s="16"/>
      <c r="I1955" s="16"/>
      <c r="J1955" s="20"/>
      <c r="N1955" s="16"/>
      <c r="O1955" s="16"/>
      <c r="P1955" s="16"/>
    </row>
    <row r="1956" spans="8:16" ht="15.75" customHeight="1">
      <c r="H1956" s="16"/>
      <c r="I1956" s="16"/>
      <c r="J1956" s="20"/>
      <c r="N1956" s="16"/>
      <c r="O1956" s="16"/>
      <c r="P1956" s="16"/>
    </row>
    <row r="1957" spans="8:16" ht="15.75" customHeight="1">
      <c r="H1957" s="16"/>
      <c r="I1957" s="16"/>
      <c r="J1957" s="20"/>
      <c r="N1957" s="16"/>
      <c r="O1957" s="16"/>
      <c r="P1957" s="16"/>
    </row>
    <row r="1958" spans="8:16" ht="15.75" customHeight="1">
      <c r="H1958" s="16"/>
      <c r="I1958" s="16"/>
      <c r="J1958" s="20"/>
      <c r="N1958" s="16"/>
      <c r="O1958" s="16"/>
      <c r="P1958" s="16"/>
    </row>
    <row r="1959" spans="8:16" ht="15.75" customHeight="1">
      <c r="H1959" s="16"/>
      <c r="I1959" s="16"/>
      <c r="J1959" s="20"/>
      <c r="N1959" s="16"/>
      <c r="O1959" s="16"/>
      <c r="P1959" s="16"/>
    </row>
    <row r="1960" spans="8:16" ht="15.75" customHeight="1">
      <c r="H1960" s="16"/>
      <c r="I1960" s="16"/>
      <c r="J1960" s="20"/>
      <c r="N1960" s="16"/>
      <c r="O1960" s="16"/>
      <c r="P1960" s="16"/>
    </row>
    <row r="1961" spans="8:16" ht="15.75" customHeight="1">
      <c r="H1961" s="16"/>
      <c r="I1961" s="16"/>
      <c r="J1961" s="20"/>
      <c r="N1961" s="16"/>
      <c r="O1961" s="16"/>
      <c r="P1961" s="16"/>
    </row>
    <row r="1962" spans="8:16" ht="15.75" customHeight="1">
      <c r="H1962" s="16"/>
      <c r="I1962" s="16"/>
      <c r="J1962" s="20"/>
      <c r="N1962" s="16"/>
      <c r="O1962" s="16"/>
      <c r="P1962" s="16"/>
    </row>
    <row r="1963" spans="8:16" ht="15.75" customHeight="1">
      <c r="H1963" s="16"/>
      <c r="I1963" s="16"/>
      <c r="J1963" s="20"/>
      <c r="N1963" s="16"/>
      <c r="O1963" s="16"/>
      <c r="P1963" s="16"/>
    </row>
    <row r="1964" spans="8:16" ht="15.75" customHeight="1">
      <c r="H1964" s="16"/>
      <c r="I1964" s="16"/>
      <c r="J1964" s="20"/>
      <c r="N1964" s="16"/>
      <c r="O1964" s="16"/>
      <c r="P1964" s="16"/>
    </row>
    <row r="1965" spans="8:16" ht="15.75" customHeight="1">
      <c r="H1965" s="16"/>
      <c r="I1965" s="16"/>
      <c r="J1965" s="20"/>
      <c r="N1965" s="16"/>
      <c r="O1965" s="16"/>
      <c r="P1965" s="16"/>
    </row>
    <row r="1966" spans="8:16" ht="15.75" customHeight="1">
      <c r="H1966" s="16"/>
      <c r="I1966" s="16"/>
      <c r="J1966" s="20"/>
      <c r="N1966" s="16"/>
      <c r="O1966" s="16"/>
      <c r="P1966" s="16"/>
    </row>
    <row r="1967" spans="8:16" ht="15.75" customHeight="1">
      <c r="H1967" s="16"/>
      <c r="I1967" s="16"/>
      <c r="J1967" s="20"/>
      <c r="N1967" s="16"/>
      <c r="O1967" s="16"/>
      <c r="P1967" s="16"/>
    </row>
    <row r="1968" spans="8:16" ht="15.75" customHeight="1">
      <c r="H1968" s="16"/>
      <c r="I1968" s="16"/>
      <c r="J1968" s="20"/>
      <c r="N1968" s="16"/>
      <c r="O1968" s="16"/>
      <c r="P1968" s="16"/>
    </row>
    <row r="1969" spans="8:16" ht="15.75" customHeight="1">
      <c r="H1969" s="16"/>
      <c r="I1969" s="16"/>
      <c r="J1969" s="20"/>
      <c r="N1969" s="16"/>
      <c r="O1969" s="16"/>
      <c r="P1969" s="16"/>
    </row>
    <row r="1970" spans="8:16" ht="15.75" customHeight="1">
      <c r="H1970" s="16"/>
      <c r="I1970" s="16"/>
      <c r="J1970" s="20"/>
      <c r="N1970" s="16"/>
      <c r="O1970" s="16"/>
      <c r="P1970" s="16"/>
    </row>
    <row r="1971" spans="8:16" ht="15.75" customHeight="1">
      <c r="H1971" s="16"/>
      <c r="I1971" s="16"/>
      <c r="J1971" s="20"/>
      <c r="N1971" s="16"/>
      <c r="O1971" s="16"/>
      <c r="P1971" s="16"/>
    </row>
    <row r="1972" spans="8:16" ht="15.75" customHeight="1">
      <c r="H1972" s="16"/>
      <c r="I1972" s="16"/>
      <c r="J1972" s="20"/>
      <c r="N1972" s="16"/>
      <c r="O1972" s="16"/>
      <c r="P1972" s="16"/>
    </row>
    <row r="1973" spans="8:16" ht="15.75" customHeight="1">
      <c r="H1973" s="16"/>
      <c r="I1973" s="16"/>
      <c r="J1973" s="20"/>
      <c r="N1973" s="16"/>
      <c r="O1973" s="16"/>
      <c r="P1973" s="16"/>
    </row>
    <row r="1974" spans="8:16" ht="15.75" customHeight="1">
      <c r="H1974" s="16"/>
      <c r="I1974" s="16"/>
      <c r="J1974" s="20"/>
      <c r="N1974" s="16"/>
      <c r="O1974" s="16"/>
      <c r="P1974" s="16"/>
    </row>
    <row r="1975" spans="8:16" ht="15.75" customHeight="1">
      <c r="H1975" s="16"/>
      <c r="I1975" s="16"/>
      <c r="J1975" s="20"/>
      <c r="N1975" s="16"/>
      <c r="O1975" s="16"/>
      <c r="P1975" s="16"/>
    </row>
    <row r="1976" spans="8:16" ht="15.75" customHeight="1">
      <c r="H1976" s="16"/>
      <c r="I1976" s="16"/>
      <c r="J1976" s="20"/>
      <c r="N1976" s="16"/>
      <c r="O1976" s="16"/>
      <c r="P1976" s="16"/>
    </row>
    <row r="1977" spans="8:16" ht="15.75" customHeight="1">
      <c r="H1977" s="16"/>
      <c r="I1977" s="16"/>
      <c r="J1977" s="20"/>
      <c r="N1977" s="16"/>
      <c r="O1977" s="16"/>
      <c r="P1977" s="16"/>
    </row>
    <row r="1978" spans="8:16" ht="15.75" customHeight="1">
      <c r="H1978" s="16"/>
      <c r="I1978" s="16"/>
      <c r="J1978" s="20"/>
      <c r="N1978" s="16"/>
      <c r="O1978" s="16"/>
      <c r="P1978" s="16"/>
    </row>
    <row r="1979" spans="8:16" ht="15.75" customHeight="1">
      <c r="H1979" s="16"/>
      <c r="I1979" s="16"/>
      <c r="J1979" s="20"/>
      <c r="N1979" s="16"/>
      <c r="O1979" s="16"/>
      <c r="P1979" s="16"/>
    </row>
    <row r="1980" spans="8:16" ht="15.75" customHeight="1">
      <c r="H1980" s="16"/>
      <c r="I1980" s="16"/>
      <c r="J1980" s="20"/>
      <c r="N1980" s="16"/>
      <c r="O1980" s="16"/>
      <c r="P1980" s="16"/>
    </row>
    <row r="1981" spans="8:16" ht="15.75" customHeight="1">
      <c r="H1981" s="16"/>
      <c r="I1981" s="16"/>
      <c r="J1981" s="20"/>
      <c r="N1981" s="16"/>
      <c r="O1981" s="16"/>
      <c r="P1981" s="16"/>
    </row>
    <row r="1982" spans="8:16" ht="15.75" customHeight="1">
      <c r="H1982" s="16"/>
      <c r="I1982" s="16"/>
      <c r="J1982" s="20"/>
      <c r="N1982" s="16"/>
      <c r="O1982" s="16"/>
      <c r="P1982" s="16"/>
    </row>
    <row r="1983" spans="8:16" ht="15.75" customHeight="1">
      <c r="H1983" s="16"/>
      <c r="I1983" s="16"/>
      <c r="J1983" s="20"/>
      <c r="N1983" s="16"/>
      <c r="O1983" s="16"/>
      <c r="P1983" s="16"/>
    </row>
    <row r="1984" spans="8:16" ht="15.75" customHeight="1">
      <c r="H1984" s="16"/>
      <c r="I1984" s="16"/>
      <c r="J1984" s="20"/>
      <c r="N1984" s="16"/>
      <c r="O1984" s="16"/>
      <c r="P1984" s="16"/>
    </row>
    <row r="1985" spans="8:16" ht="15.75" customHeight="1">
      <c r="H1985" s="16"/>
      <c r="I1985" s="16"/>
      <c r="J1985" s="20"/>
      <c r="N1985" s="16"/>
      <c r="O1985" s="16"/>
      <c r="P1985" s="16"/>
    </row>
    <row r="1986" spans="8:16" ht="15.75" customHeight="1">
      <c r="H1986" s="16"/>
      <c r="I1986" s="16"/>
      <c r="J1986" s="20"/>
      <c r="N1986" s="16"/>
      <c r="O1986" s="16"/>
      <c r="P1986" s="16"/>
    </row>
    <row r="1987" spans="8:16" ht="15.75" customHeight="1">
      <c r="H1987" s="16"/>
      <c r="I1987" s="16"/>
      <c r="J1987" s="20"/>
      <c r="N1987" s="16"/>
      <c r="O1987" s="16"/>
      <c r="P1987" s="16"/>
    </row>
    <row r="1988" spans="8:16" ht="15.75" customHeight="1">
      <c r="H1988" s="16"/>
      <c r="I1988" s="16"/>
      <c r="J1988" s="20"/>
      <c r="N1988" s="16"/>
      <c r="O1988" s="16"/>
      <c r="P1988" s="16"/>
    </row>
    <row r="1989" spans="8:16" ht="15.75" customHeight="1">
      <c r="H1989" s="16"/>
      <c r="I1989" s="16"/>
      <c r="J1989" s="20"/>
      <c r="N1989" s="16"/>
      <c r="O1989" s="16"/>
      <c r="P1989" s="16"/>
    </row>
    <row r="1990" spans="8:16" ht="15.75" customHeight="1">
      <c r="H1990" s="16"/>
      <c r="I1990" s="16"/>
      <c r="J1990" s="20"/>
      <c r="N1990" s="16"/>
      <c r="O1990" s="16"/>
      <c r="P1990" s="16"/>
    </row>
    <row r="1991" spans="8:16" ht="15.75" customHeight="1">
      <c r="H1991" s="16"/>
      <c r="I1991" s="16"/>
      <c r="J1991" s="20"/>
      <c r="N1991" s="16"/>
      <c r="O1991" s="16"/>
      <c r="P1991" s="16"/>
    </row>
    <row r="1992" spans="8:16" ht="15.75" customHeight="1">
      <c r="H1992" s="16"/>
      <c r="I1992" s="16"/>
      <c r="J1992" s="20"/>
      <c r="N1992" s="16"/>
      <c r="O1992" s="16"/>
      <c r="P1992" s="16"/>
    </row>
    <row r="1993" spans="8:16" ht="15.75" customHeight="1">
      <c r="H1993" s="16"/>
      <c r="I1993" s="16"/>
      <c r="J1993" s="20"/>
      <c r="N1993" s="16"/>
      <c r="O1993" s="16"/>
      <c r="P1993" s="16"/>
    </row>
    <row r="1994" spans="8:16" ht="15.75" customHeight="1">
      <c r="H1994" s="16"/>
      <c r="I1994" s="16"/>
      <c r="J1994" s="20"/>
      <c r="N1994" s="16"/>
      <c r="O1994" s="16"/>
      <c r="P1994" s="16"/>
    </row>
    <row r="1995" spans="8:16" ht="15.75" customHeight="1">
      <c r="H1995" s="16"/>
      <c r="I1995" s="16"/>
      <c r="J1995" s="20"/>
      <c r="N1995" s="16"/>
      <c r="O1995" s="16"/>
      <c r="P1995" s="16"/>
    </row>
    <row r="1996" spans="8:16" ht="15.75" customHeight="1">
      <c r="H1996" s="16"/>
      <c r="I1996" s="16"/>
      <c r="J1996" s="20"/>
      <c r="N1996" s="16"/>
      <c r="O1996" s="16"/>
      <c r="P1996" s="16"/>
    </row>
    <row r="1997" spans="8:16" ht="15.75" customHeight="1">
      <c r="H1997" s="16"/>
      <c r="I1997" s="16"/>
      <c r="J1997" s="20"/>
      <c r="N1997" s="16"/>
      <c r="O1997" s="16"/>
      <c r="P1997" s="16"/>
    </row>
    <row r="1998" spans="8:16" ht="15.75" customHeight="1">
      <c r="H1998" s="16"/>
      <c r="I1998" s="16"/>
      <c r="J1998" s="20"/>
      <c r="N1998" s="16"/>
      <c r="O1998" s="16"/>
      <c r="P1998" s="16"/>
    </row>
    <row r="1999" spans="8:16" ht="15.75" customHeight="1">
      <c r="H1999" s="16"/>
      <c r="I1999" s="16"/>
      <c r="J1999" s="20"/>
      <c r="N1999" s="16"/>
      <c r="O1999" s="16"/>
      <c r="P1999" s="16"/>
    </row>
    <row r="2000" spans="8:16" ht="15.75" customHeight="1">
      <c r="H2000" s="16"/>
      <c r="I2000" s="16"/>
      <c r="J2000" s="20"/>
      <c r="N2000" s="16"/>
      <c r="O2000" s="16"/>
      <c r="P2000" s="16"/>
    </row>
    <row r="2001" spans="8:16" ht="15.75" customHeight="1">
      <c r="H2001" s="16"/>
      <c r="I2001" s="16"/>
      <c r="J2001" s="20"/>
      <c r="N2001" s="16"/>
      <c r="O2001" s="16"/>
      <c r="P2001" s="16"/>
    </row>
    <row r="2002" spans="8:16" ht="15.75" customHeight="1">
      <c r="H2002" s="16"/>
      <c r="I2002" s="16"/>
      <c r="J2002" s="20"/>
      <c r="N2002" s="16"/>
      <c r="O2002" s="16"/>
      <c r="P2002" s="16"/>
    </row>
    <row r="2003" spans="8:16" ht="15.75" customHeight="1">
      <c r="H2003" s="16"/>
      <c r="I2003" s="16"/>
      <c r="J2003" s="20"/>
      <c r="N2003" s="16"/>
      <c r="O2003" s="16"/>
      <c r="P2003" s="16"/>
    </row>
    <row r="2004" spans="8:16" ht="15.75" customHeight="1">
      <c r="H2004" s="16"/>
      <c r="I2004" s="16"/>
      <c r="J2004" s="20"/>
      <c r="N2004" s="16"/>
      <c r="O2004" s="16"/>
      <c r="P2004" s="16"/>
    </row>
    <row r="2005" spans="8:16" ht="15.75" customHeight="1">
      <c r="H2005" s="16"/>
      <c r="I2005" s="16"/>
      <c r="J2005" s="20"/>
      <c r="N2005" s="16"/>
      <c r="O2005" s="16"/>
      <c r="P2005" s="16"/>
    </row>
    <row r="2006" spans="8:16" ht="15.75" customHeight="1">
      <c r="H2006" s="16"/>
      <c r="I2006" s="16"/>
      <c r="J2006" s="20"/>
      <c r="N2006" s="16"/>
      <c r="O2006" s="16"/>
      <c r="P2006" s="16"/>
    </row>
    <row r="2007" spans="8:16" ht="15.75" customHeight="1">
      <c r="H2007" s="16"/>
      <c r="I2007" s="16"/>
      <c r="J2007" s="20"/>
      <c r="N2007" s="16"/>
      <c r="O2007" s="16"/>
      <c r="P2007" s="16"/>
    </row>
    <row r="2008" spans="8:16" ht="15.75" customHeight="1">
      <c r="H2008" s="16"/>
      <c r="I2008" s="16"/>
      <c r="J2008" s="20"/>
      <c r="N2008" s="16"/>
      <c r="O2008" s="16"/>
      <c r="P2008" s="16"/>
    </row>
    <row r="2009" spans="8:16" ht="15.75" customHeight="1">
      <c r="H2009" s="16"/>
      <c r="I2009" s="16"/>
      <c r="J2009" s="20"/>
      <c r="N2009" s="16"/>
      <c r="O2009" s="16"/>
      <c r="P2009" s="16"/>
    </row>
    <row r="2010" spans="8:16" ht="15.75" customHeight="1">
      <c r="H2010" s="16"/>
      <c r="I2010" s="16"/>
      <c r="J2010" s="20"/>
      <c r="N2010" s="16"/>
      <c r="O2010" s="16"/>
      <c r="P2010" s="16"/>
    </row>
    <row r="2011" spans="8:16" ht="15.75" customHeight="1">
      <c r="H2011" s="16"/>
      <c r="I2011" s="16"/>
      <c r="J2011" s="20"/>
      <c r="N2011" s="16"/>
      <c r="O2011" s="16"/>
      <c r="P2011" s="16"/>
    </row>
    <row r="2012" spans="8:16" ht="15.75" customHeight="1">
      <c r="H2012" s="16"/>
      <c r="I2012" s="16"/>
      <c r="J2012" s="20"/>
      <c r="N2012" s="16"/>
      <c r="O2012" s="16"/>
      <c r="P2012" s="16"/>
    </row>
    <row r="2013" spans="8:16" ht="15.75" customHeight="1">
      <c r="H2013" s="16"/>
      <c r="I2013" s="16"/>
      <c r="J2013" s="20"/>
      <c r="N2013" s="16"/>
      <c r="O2013" s="16"/>
      <c r="P2013" s="16"/>
    </row>
    <row r="2014" spans="8:16" ht="15.75" customHeight="1">
      <c r="H2014" s="16"/>
      <c r="I2014" s="16"/>
      <c r="J2014" s="20"/>
      <c r="N2014" s="16"/>
      <c r="O2014" s="16"/>
      <c r="P2014" s="16"/>
    </row>
    <row r="2015" spans="8:16" ht="15.75" customHeight="1">
      <c r="H2015" s="16"/>
      <c r="I2015" s="16"/>
      <c r="J2015" s="20"/>
      <c r="N2015" s="16"/>
      <c r="O2015" s="16"/>
      <c r="P2015" s="16"/>
    </row>
    <row r="2016" spans="8:16" ht="15.75" customHeight="1">
      <c r="H2016" s="16"/>
      <c r="I2016" s="16"/>
      <c r="J2016" s="20"/>
      <c r="N2016" s="16"/>
      <c r="O2016" s="16"/>
      <c r="P2016" s="16"/>
    </row>
    <row r="2017" spans="8:16" ht="15.75" customHeight="1">
      <c r="H2017" s="16"/>
      <c r="I2017" s="16"/>
      <c r="J2017" s="20"/>
      <c r="N2017" s="16"/>
      <c r="O2017" s="16"/>
      <c r="P2017" s="16"/>
    </row>
    <row r="2018" spans="8:16" ht="15.75" customHeight="1">
      <c r="H2018" s="16"/>
      <c r="I2018" s="16"/>
      <c r="J2018" s="20"/>
      <c r="N2018" s="16"/>
      <c r="O2018" s="16"/>
      <c r="P2018" s="16"/>
    </row>
    <row r="2019" spans="8:16" ht="15.75" customHeight="1">
      <c r="H2019" s="16"/>
      <c r="I2019" s="16"/>
      <c r="J2019" s="20"/>
      <c r="N2019" s="16"/>
      <c r="O2019" s="16"/>
      <c r="P2019" s="16"/>
    </row>
    <row r="2020" spans="8:16" ht="15.75" customHeight="1">
      <c r="H2020" s="16"/>
      <c r="I2020" s="16"/>
      <c r="J2020" s="20"/>
      <c r="N2020" s="16"/>
      <c r="O2020" s="16"/>
      <c r="P2020" s="16"/>
    </row>
    <row r="2021" spans="8:16" ht="15.75" customHeight="1">
      <c r="H2021" s="16"/>
      <c r="I2021" s="16"/>
      <c r="J2021" s="20"/>
      <c r="N2021" s="16"/>
      <c r="O2021" s="16"/>
      <c r="P2021" s="16"/>
    </row>
    <row r="2022" spans="8:16" ht="15.75" customHeight="1">
      <c r="H2022" s="16"/>
      <c r="I2022" s="16"/>
      <c r="J2022" s="20"/>
      <c r="N2022" s="16"/>
      <c r="O2022" s="16"/>
      <c r="P2022" s="16"/>
    </row>
    <row r="2023" spans="8:16" ht="15.75" customHeight="1">
      <c r="H2023" s="16"/>
      <c r="I2023" s="16"/>
      <c r="J2023" s="20"/>
      <c r="N2023" s="16"/>
      <c r="O2023" s="16"/>
      <c r="P2023" s="16"/>
    </row>
    <row r="2024" spans="8:16" ht="15.75" customHeight="1">
      <c r="H2024" s="16"/>
      <c r="I2024" s="16"/>
      <c r="J2024" s="20"/>
      <c r="N2024" s="16"/>
      <c r="O2024" s="16"/>
      <c r="P2024" s="16"/>
    </row>
    <row r="2025" spans="8:16" ht="15.75" customHeight="1">
      <c r="H2025" s="16"/>
      <c r="I2025" s="16"/>
      <c r="J2025" s="20"/>
      <c r="N2025" s="16"/>
      <c r="O2025" s="16"/>
      <c r="P2025" s="16"/>
    </row>
    <row r="2026" spans="8:16" ht="15.75" customHeight="1">
      <c r="H2026" s="16"/>
      <c r="I2026" s="16"/>
      <c r="J2026" s="20"/>
      <c r="N2026" s="16"/>
      <c r="O2026" s="16"/>
      <c r="P2026" s="16"/>
    </row>
    <row r="2027" spans="8:16" ht="15.75" customHeight="1">
      <c r="H2027" s="16"/>
      <c r="I2027" s="16"/>
      <c r="J2027" s="20"/>
      <c r="N2027" s="16"/>
      <c r="O2027" s="16"/>
      <c r="P2027" s="16"/>
    </row>
    <row r="2028" spans="8:16" ht="15.75" customHeight="1">
      <c r="H2028" s="16"/>
      <c r="I2028" s="16"/>
      <c r="J2028" s="20"/>
      <c r="N2028" s="16"/>
      <c r="O2028" s="16"/>
      <c r="P2028" s="16"/>
    </row>
    <row r="2029" spans="8:16" ht="15.75" customHeight="1">
      <c r="H2029" s="16"/>
      <c r="I2029" s="16"/>
      <c r="J2029" s="20"/>
      <c r="N2029" s="16"/>
      <c r="O2029" s="16"/>
      <c r="P2029" s="16"/>
    </row>
    <row r="2030" spans="8:16" ht="15.75" customHeight="1">
      <c r="H2030" s="16"/>
      <c r="I2030" s="16"/>
      <c r="J2030" s="20"/>
      <c r="N2030" s="16"/>
      <c r="O2030" s="16"/>
      <c r="P2030" s="16"/>
    </row>
    <row r="2031" spans="8:16" ht="15.75" customHeight="1">
      <c r="H2031" s="16"/>
      <c r="I2031" s="16"/>
      <c r="J2031" s="20"/>
      <c r="N2031" s="16"/>
      <c r="O2031" s="16"/>
      <c r="P2031" s="16"/>
    </row>
    <row r="2032" spans="8:16" ht="15.75" customHeight="1">
      <c r="H2032" s="16"/>
      <c r="I2032" s="16"/>
      <c r="J2032" s="20"/>
      <c r="N2032" s="16"/>
      <c r="O2032" s="16"/>
      <c r="P2032" s="16"/>
    </row>
    <row r="2033" spans="8:16" ht="15.75" customHeight="1">
      <c r="H2033" s="16"/>
      <c r="I2033" s="16"/>
      <c r="J2033" s="20"/>
      <c r="N2033" s="16"/>
      <c r="O2033" s="16"/>
      <c r="P2033" s="16"/>
    </row>
    <row r="2034" spans="8:16" ht="15.75" customHeight="1">
      <c r="H2034" s="16"/>
      <c r="I2034" s="16"/>
      <c r="J2034" s="20"/>
      <c r="N2034" s="16"/>
      <c r="O2034" s="16"/>
      <c r="P2034" s="16"/>
    </row>
    <row r="2035" spans="8:16" ht="15.75" customHeight="1">
      <c r="H2035" s="16"/>
      <c r="I2035" s="16"/>
      <c r="J2035" s="20"/>
      <c r="N2035" s="16"/>
      <c r="O2035" s="16"/>
      <c r="P2035" s="16"/>
    </row>
    <row r="2036" spans="8:16" ht="15.75" customHeight="1">
      <c r="H2036" s="16"/>
      <c r="I2036" s="16"/>
      <c r="J2036" s="20"/>
      <c r="N2036" s="16"/>
      <c r="O2036" s="16"/>
      <c r="P2036" s="16"/>
    </row>
    <row r="2037" spans="8:16" ht="15.75" customHeight="1">
      <c r="H2037" s="16"/>
      <c r="I2037" s="16"/>
      <c r="J2037" s="20"/>
      <c r="N2037" s="16"/>
      <c r="O2037" s="16"/>
      <c r="P2037" s="16"/>
    </row>
    <row r="2038" spans="8:16" ht="15.75" customHeight="1">
      <c r="H2038" s="16"/>
      <c r="I2038" s="16"/>
      <c r="J2038" s="20"/>
      <c r="N2038" s="16"/>
      <c r="O2038" s="16"/>
      <c r="P2038" s="16"/>
    </row>
    <row r="2039" spans="8:16" ht="15.75" customHeight="1">
      <c r="H2039" s="16"/>
      <c r="I2039" s="16"/>
      <c r="J2039" s="20"/>
      <c r="N2039" s="16"/>
      <c r="O2039" s="16"/>
      <c r="P2039" s="16"/>
    </row>
    <row r="2040" spans="8:16" ht="15.75" customHeight="1">
      <c r="H2040" s="16"/>
      <c r="I2040" s="16"/>
      <c r="J2040" s="20"/>
      <c r="N2040" s="16"/>
      <c r="O2040" s="16"/>
      <c r="P2040" s="16"/>
    </row>
    <row r="2041" spans="8:16" ht="15.75" customHeight="1">
      <c r="H2041" s="16"/>
      <c r="I2041" s="16"/>
      <c r="J2041" s="20"/>
      <c r="N2041" s="16"/>
      <c r="O2041" s="16"/>
      <c r="P2041" s="16"/>
    </row>
    <row r="2042" spans="8:16" ht="15.75" customHeight="1">
      <c r="H2042" s="16"/>
      <c r="I2042" s="16"/>
      <c r="J2042" s="20"/>
      <c r="N2042" s="16"/>
      <c r="O2042" s="16"/>
      <c r="P2042" s="16"/>
    </row>
    <row r="2043" spans="8:16" ht="15.75" customHeight="1">
      <c r="H2043" s="16"/>
      <c r="I2043" s="16"/>
      <c r="J2043" s="20"/>
      <c r="N2043" s="16"/>
      <c r="O2043" s="16"/>
      <c r="P2043" s="16"/>
    </row>
    <row r="2044" spans="8:16" ht="15.75" customHeight="1">
      <c r="H2044" s="16"/>
      <c r="I2044" s="16"/>
      <c r="J2044" s="20"/>
      <c r="N2044" s="16"/>
      <c r="O2044" s="16"/>
      <c r="P2044" s="16"/>
    </row>
    <row r="2045" spans="8:16" ht="15.75" customHeight="1">
      <c r="H2045" s="16"/>
      <c r="I2045" s="16"/>
      <c r="J2045" s="20"/>
      <c r="N2045" s="16"/>
      <c r="O2045" s="16"/>
      <c r="P2045" s="16"/>
    </row>
    <row r="2046" spans="8:16" ht="15.75" customHeight="1">
      <c r="H2046" s="16"/>
      <c r="I2046" s="16"/>
      <c r="J2046" s="20"/>
      <c r="N2046" s="16"/>
      <c r="O2046" s="16"/>
      <c r="P2046" s="16"/>
    </row>
    <row r="2047" spans="8:16" ht="15.75" customHeight="1">
      <c r="H2047" s="16"/>
      <c r="I2047" s="16"/>
      <c r="J2047" s="20"/>
      <c r="N2047" s="16"/>
      <c r="O2047" s="16"/>
      <c r="P2047" s="16"/>
    </row>
    <row r="2048" spans="8:16" ht="15.75" customHeight="1">
      <c r="H2048" s="16"/>
      <c r="I2048" s="16"/>
      <c r="J2048" s="20"/>
      <c r="N2048" s="16"/>
      <c r="O2048" s="16"/>
      <c r="P2048" s="16"/>
    </row>
    <row r="2049" spans="8:16" ht="15.75" customHeight="1">
      <c r="H2049" s="16"/>
      <c r="I2049" s="16"/>
      <c r="J2049" s="20"/>
      <c r="N2049" s="16"/>
      <c r="O2049" s="16"/>
      <c r="P2049" s="16"/>
    </row>
    <row r="2050" spans="8:16" ht="15.75" customHeight="1">
      <c r="H2050" s="16"/>
      <c r="I2050" s="16"/>
      <c r="J2050" s="20"/>
      <c r="N2050" s="16"/>
      <c r="O2050" s="16"/>
      <c r="P2050" s="16"/>
    </row>
    <row r="2051" spans="8:16" ht="15.75" customHeight="1">
      <c r="H2051" s="16"/>
      <c r="I2051" s="16"/>
      <c r="J2051" s="20"/>
      <c r="N2051" s="16"/>
      <c r="O2051" s="16"/>
      <c r="P2051" s="16"/>
    </row>
    <row r="2052" spans="8:16" ht="15.75" customHeight="1">
      <c r="H2052" s="16"/>
      <c r="I2052" s="16"/>
      <c r="J2052" s="20"/>
      <c r="N2052" s="16"/>
      <c r="O2052" s="16"/>
      <c r="P2052" s="16"/>
    </row>
    <row r="2053" spans="8:16" ht="15.75" customHeight="1">
      <c r="H2053" s="16"/>
      <c r="I2053" s="16"/>
      <c r="J2053" s="20"/>
      <c r="N2053" s="16"/>
      <c r="O2053" s="16"/>
      <c r="P2053" s="16"/>
    </row>
    <row r="2054" spans="8:16" ht="15.75" customHeight="1">
      <c r="H2054" s="16"/>
      <c r="I2054" s="16"/>
      <c r="J2054" s="20"/>
      <c r="N2054" s="16"/>
      <c r="O2054" s="16"/>
      <c r="P2054" s="16"/>
    </row>
    <row r="2055" spans="8:16" ht="15.75" customHeight="1">
      <c r="H2055" s="16"/>
      <c r="I2055" s="16"/>
      <c r="J2055" s="20"/>
      <c r="N2055" s="16"/>
      <c r="O2055" s="16"/>
      <c r="P2055" s="16"/>
    </row>
    <row r="2056" spans="8:16" ht="15.75" customHeight="1">
      <c r="H2056" s="16"/>
      <c r="I2056" s="16"/>
      <c r="J2056" s="20"/>
      <c r="N2056" s="16"/>
      <c r="O2056" s="16"/>
      <c r="P2056" s="16"/>
    </row>
    <row r="2057" spans="8:16" ht="15.75" customHeight="1">
      <c r="H2057" s="16"/>
      <c r="I2057" s="16"/>
      <c r="J2057" s="20"/>
      <c r="N2057" s="16"/>
      <c r="O2057" s="16"/>
      <c r="P2057" s="16"/>
    </row>
    <row r="2058" spans="8:16" ht="15.75" customHeight="1">
      <c r="H2058" s="16"/>
      <c r="I2058" s="16"/>
      <c r="J2058" s="20"/>
      <c r="N2058" s="16"/>
      <c r="O2058" s="16"/>
      <c r="P2058" s="16"/>
    </row>
    <row r="2059" spans="8:16" ht="15.75" customHeight="1">
      <c r="H2059" s="16"/>
      <c r="I2059" s="16"/>
      <c r="J2059" s="20"/>
      <c r="N2059" s="16"/>
      <c r="O2059" s="16"/>
      <c r="P2059" s="16"/>
    </row>
    <row r="2060" spans="8:16" ht="15.75" customHeight="1">
      <c r="H2060" s="16"/>
      <c r="I2060" s="16"/>
      <c r="J2060" s="20"/>
      <c r="N2060" s="16"/>
      <c r="O2060" s="16"/>
      <c r="P2060" s="16"/>
    </row>
    <row r="2061" spans="8:16" ht="15.75" customHeight="1">
      <c r="H2061" s="16"/>
      <c r="I2061" s="16"/>
      <c r="J2061" s="20"/>
      <c r="N2061" s="16"/>
      <c r="O2061" s="16"/>
      <c r="P2061" s="16"/>
    </row>
    <row r="2062" spans="8:16" ht="15.75" customHeight="1">
      <c r="H2062" s="16"/>
      <c r="I2062" s="16"/>
      <c r="J2062" s="20"/>
      <c r="N2062" s="16"/>
      <c r="O2062" s="16"/>
      <c r="P2062" s="16"/>
    </row>
    <row r="2063" spans="8:16" ht="15.75" customHeight="1">
      <c r="H2063" s="16"/>
      <c r="I2063" s="16"/>
      <c r="J2063" s="20"/>
      <c r="N2063" s="16"/>
      <c r="O2063" s="16"/>
      <c r="P2063" s="16"/>
    </row>
    <row r="2064" spans="8:16" ht="15.75" customHeight="1">
      <c r="H2064" s="16"/>
      <c r="I2064" s="16"/>
      <c r="J2064" s="20"/>
      <c r="N2064" s="16"/>
      <c r="O2064" s="16"/>
      <c r="P2064" s="16"/>
    </row>
    <row r="2065" spans="8:16" ht="15.75" customHeight="1">
      <c r="H2065" s="16"/>
      <c r="I2065" s="16"/>
      <c r="J2065" s="20"/>
      <c r="N2065" s="16"/>
      <c r="O2065" s="16"/>
      <c r="P2065" s="16"/>
    </row>
    <row r="2066" spans="8:16" ht="15.75" customHeight="1">
      <c r="H2066" s="16"/>
      <c r="I2066" s="16"/>
      <c r="J2066" s="20"/>
      <c r="N2066" s="16"/>
      <c r="O2066" s="16"/>
      <c r="P2066" s="16"/>
    </row>
    <row r="2067" spans="8:16" ht="15.75" customHeight="1">
      <c r="H2067" s="16"/>
      <c r="I2067" s="16"/>
      <c r="J2067" s="20"/>
      <c r="N2067" s="16"/>
      <c r="O2067" s="16"/>
      <c r="P2067" s="16"/>
    </row>
    <row r="2068" spans="8:16" ht="15.75" customHeight="1">
      <c r="H2068" s="16"/>
      <c r="I2068" s="16"/>
      <c r="J2068" s="20"/>
      <c r="N2068" s="16"/>
      <c r="O2068" s="16"/>
      <c r="P2068" s="16"/>
    </row>
    <row r="2069" spans="8:16" ht="15.75" customHeight="1">
      <c r="H2069" s="16"/>
      <c r="I2069" s="16"/>
      <c r="J2069" s="20"/>
      <c r="N2069" s="16"/>
      <c r="O2069" s="16"/>
      <c r="P2069" s="16"/>
    </row>
    <row r="2070" spans="8:16" ht="15.75" customHeight="1">
      <c r="H2070" s="16"/>
      <c r="I2070" s="16"/>
      <c r="J2070" s="20"/>
      <c r="N2070" s="16"/>
      <c r="O2070" s="16"/>
      <c r="P2070" s="16"/>
    </row>
    <row r="2071" spans="8:16" ht="15.75" customHeight="1">
      <c r="H2071" s="16"/>
      <c r="I2071" s="16"/>
      <c r="J2071" s="20"/>
      <c r="N2071" s="16"/>
      <c r="O2071" s="16"/>
      <c r="P2071" s="16"/>
    </row>
    <row r="2072" spans="8:16" ht="15.75" customHeight="1">
      <c r="H2072" s="16"/>
      <c r="I2072" s="16"/>
      <c r="J2072" s="20"/>
      <c r="N2072" s="16"/>
      <c r="O2072" s="16"/>
      <c r="P2072" s="16"/>
    </row>
    <row r="2073" spans="8:16" ht="15.75" customHeight="1">
      <c r="H2073" s="16"/>
      <c r="I2073" s="16"/>
      <c r="J2073" s="20"/>
      <c r="N2073" s="16"/>
      <c r="O2073" s="16"/>
      <c r="P2073" s="16"/>
    </row>
    <row r="2074" spans="8:16" ht="15.75" customHeight="1">
      <c r="H2074" s="16"/>
      <c r="I2074" s="16"/>
      <c r="J2074" s="20"/>
      <c r="N2074" s="16"/>
      <c r="O2074" s="16"/>
      <c r="P2074" s="16"/>
    </row>
    <row r="2075" spans="8:16" ht="15.75" customHeight="1">
      <c r="H2075" s="16"/>
      <c r="I2075" s="16"/>
      <c r="J2075" s="20"/>
      <c r="N2075" s="16"/>
      <c r="O2075" s="16"/>
      <c r="P2075" s="16"/>
    </row>
    <row r="2076" spans="8:16" ht="15.75" customHeight="1">
      <c r="H2076" s="16"/>
      <c r="I2076" s="16"/>
      <c r="J2076" s="20"/>
      <c r="N2076" s="16"/>
      <c r="O2076" s="16"/>
      <c r="P2076" s="16"/>
    </row>
    <row r="2077" spans="8:16" ht="15.75" customHeight="1">
      <c r="H2077" s="16"/>
      <c r="I2077" s="16"/>
      <c r="J2077" s="20"/>
      <c r="N2077" s="16"/>
      <c r="O2077" s="16"/>
      <c r="P2077" s="16"/>
    </row>
    <row r="2078" spans="8:16" ht="15.75" customHeight="1">
      <c r="H2078" s="16"/>
      <c r="I2078" s="16"/>
      <c r="J2078" s="20"/>
      <c r="N2078" s="16"/>
      <c r="O2078" s="16"/>
      <c r="P2078" s="16"/>
    </row>
    <row r="2079" spans="8:16" ht="15.75" customHeight="1">
      <c r="H2079" s="16"/>
      <c r="I2079" s="16"/>
      <c r="J2079" s="20"/>
      <c r="N2079" s="16"/>
      <c r="O2079" s="16"/>
      <c r="P2079" s="16"/>
    </row>
    <row r="2080" spans="8:16" ht="15.75" customHeight="1">
      <c r="H2080" s="16"/>
      <c r="I2080" s="16"/>
      <c r="J2080" s="20"/>
      <c r="N2080" s="16"/>
      <c r="O2080" s="16"/>
      <c r="P2080" s="16"/>
    </row>
    <row r="2081" spans="8:16" ht="15.75" customHeight="1">
      <c r="H2081" s="16"/>
      <c r="I2081" s="16"/>
      <c r="J2081" s="20"/>
      <c r="N2081" s="16"/>
      <c r="O2081" s="16"/>
      <c r="P2081" s="16"/>
    </row>
    <row r="2082" spans="8:16" ht="15.75" customHeight="1">
      <c r="H2082" s="16"/>
      <c r="I2082" s="16"/>
      <c r="J2082" s="20"/>
      <c r="N2082" s="16"/>
      <c r="O2082" s="16"/>
      <c r="P2082" s="16"/>
    </row>
    <row r="2083" spans="8:16" ht="15.75" customHeight="1">
      <c r="H2083" s="16"/>
      <c r="I2083" s="16"/>
      <c r="J2083" s="20"/>
      <c r="N2083" s="16"/>
      <c r="O2083" s="16"/>
      <c r="P2083" s="16"/>
    </row>
    <row r="2084" spans="8:16" ht="15.75" customHeight="1">
      <c r="H2084" s="16"/>
      <c r="I2084" s="16"/>
      <c r="J2084" s="20"/>
      <c r="N2084" s="16"/>
      <c r="O2084" s="16"/>
      <c r="P2084" s="16"/>
    </row>
    <row r="2085" spans="8:16" ht="15.75" customHeight="1">
      <c r="H2085" s="16"/>
      <c r="I2085" s="16"/>
      <c r="J2085" s="20"/>
      <c r="N2085" s="16"/>
      <c r="O2085" s="16"/>
      <c r="P2085" s="16"/>
    </row>
    <row r="2086" spans="8:16" ht="15.75" customHeight="1">
      <c r="H2086" s="16"/>
      <c r="I2086" s="16"/>
      <c r="J2086" s="20"/>
      <c r="N2086" s="16"/>
      <c r="O2086" s="16"/>
      <c r="P2086" s="16"/>
    </row>
    <row r="2087" spans="8:16" ht="15.75" customHeight="1">
      <c r="H2087" s="16"/>
      <c r="I2087" s="16"/>
      <c r="J2087" s="20"/>
      <c r="N2087" s="16"/>
      <c r="O2087" s="16"/>
      <c r="P2087" s="16"/>
    </row>
    <row r="2088" spans="8:16" ht="15.75" customHeight="1">
      <c r="H2088" s="16"/>
      <c r="I2088" s="16"/>
      <c r="J2088" s="20"/>
      <c r="N2088" s="16"/>
      <c r="O2088" s="16"/>
      <c r="P2088" s="16"/>
    </row>
    <row r="2089" spans="8:16" ht="15.75" customHeight="1">
      <c r="H2089" s="16"/>
      <c r="I2089" s="16"/>
      <c r="J2089" s="20"/>
      <c r="N2089" s="16"/>
      <c r="O2089" s="16"/>
      <c r="P2089" s="16"/>
    </row>
    <row r="2090" spans="8:16" ht="15.75" customHeight="1">
      <c r="H2090" s="16"/>
      <c r="I2090" s="16"/>
      <c r="J2090" s="20"/>
      <c r="N2090" s="16"/>
      <c r="O2090" s="16"/>
      <c r="P2090" s="16"/>
    </row>
    <row r="2091" spans="8:16" ht="15.75" customHeight="1">
      <c r="H2091" s="16"/>
      <c r="I2091" s="16"/>
      <c r="J2091" s="20"/>
      <c r="N2091" s="16"/>
      <c r="O2091" s="16"/>
      <c r="P2091" s="16"/>
    </row>
    <row r="2092" spans="8:16" ht="15.75" customHeight="1">
      <c r="H2092" s="16"/>
      <c r="I2092" s="16"/>
      <c r="J2092" s="20"/>
      <c r="N2092" s="16"/>
      <c r="O2092" s="16"/>
      <c r="P2092" s="16"/>
    </row>
    <row r="2093" spans="8:16" ht="15.75" customHeight="1">
      <c r="H2093" s="16"/>
      <c r="I2093" s="16"/>
      <c r="J2093" s="20"/>
      <c r="N2093" s="16"/>
      <c r="O2093" s="16"/>
      <c r="P2093" s="16"/>
    </row>
    <row r="2094" spans="8:16" ht="15.75" customHeight="1">
      <c r="H2094" s="16"/>
      <c r="I2094" s="16"/>
      <c r="J2094" s="20"/>
      <c r="N2094" s="16"/>
      <c r="O2094" s="16"/>
      <c r="P2094" s="16"/>
    </row>
    <row r="2095" spans="8:16" ht="15.75" customHeight="1">
      <c r="H2095" s="16"/>
      <c r="I2095" s="16"/>
      <c r="J2095" s="20"/>
      <c r="N2095" s="16"/>
      <c r="O2095" s="16"/>
      <c r="P2095" s="16"/>
    </row>
    <row r="2096" spans="8:16" ht="15.75" customHeight="1">
      <c r="H2096" s="16"/>
      <c r="I2096" s="16"/>
      <c r="J2096" s="20"/>
      <c r="N2096" s="16"/>
      <c r="O2096" s="16"/>
      <c r="P2096" s="16"/>
    </row>
    <row r="2097" spans="8:16" ht="15.75" customHeight="1">
      <c r="H2097" s="16"/>
      <c r="I2097" s="16"/>
      <c r="J2097" s="20"/>
      <c r="N2097" s="16"/>
      <c r="O2097" s="16"/>
      <c r="P2097" s="16"/>
    </row>
    <row r="2098" spans="8:16" ht="15.75" customHeight="1">
      <c r="H2098" s="16"/>
      <c r="I2098" s="16"/>
      <c r="J2098" s="20"/>
      <c r="N2098" s="16"/>
      <c r="O2098" s="16"/>
      <c r="P2098" s="16"/>
    </row>
    <row r="2099" spans="8:16" ht="15.75" customHeight="1">
      <c r="H2099" s="16"/>
      <c r="I2099" s="16"/>
      <c r="J2099" s="20"/>
      <c r="N2099" s="16"/>
      <c r="O2099" s="16"/>
      <c r="P2099" s="16"/>
    </row>
    <row r="2100" spans="8:16" ht="15.75" customHeight="1">
      <c r="H2100" s="16"/>
      <c r="I2100" s="16"/>
      <c r="J2100" s="20"/>
      <c r="N2100" s="16"/>
      <c r="O2100" s="16"/>
      <c r="P2100" s="16"/>
    </row>
    <row r="2101" spans="8:16" ht="15.75" customHeight="1">
      <c r="H2101" s="16"/>
      <c r="I2101" s="16"/>
      <c r="J2101" s="20"/>
      <c r="N2101" s="16"/>
      <c r="O2101" s="16"/>
      <c r="P2101" s="16"/>
    </row>
    <row r="2102" spans="8:16" ht="15.75" customHeight="1">
      <c r="H2102" s="16"/>
      <c r="I2102" s="16"/>
      <c r="J2102" s="20"/>
      <c r="N2102" s="16"/>
      <c r="O2102" s="16"/>
      <c r="P2102" s="16"/>
    </row>
    <row r="2103" spans="8:16" ht="15.75" customHeight="1">
      <c r="H2103" s="16"/>
      <c r="I2103" s="16"/>
      <c r="J2103" s="20"/>
      <c r="N2103" s="16"/>
      <c r="O2103" s="16"/>
      <c r="P2103" s="16"/>
    </row>
    <row r="2104" spans="8:16" ht="15.75" customHeight="1">
      <c r="H2104" s="16"/>
      <c r="I2104" s="16"/>
      <c r="J2104" s="20"/>
      <c r="N2104" s="16"/>
      <c r="O2104" s="16"/>
      <c r="P2104" s="16"/>
    </row>
    <row r="2105" spans="8:16" ht="15.75" customHeight="1">
      <c r="H2105" s="16"/>
      <c r="I2105" s="16"/>
      <c r="J2105" s="20"/>
      <c r="N2105" s="16"/>
      <c r="O2105" s="16"/>
      <c r="P2105" s="16"/>
    </row>
    <row r="2106" spans="8:16" ht="15.75" customHeight="1">
      <c r="H2106" s="16"/>
      <c r="I2106" s="16"/>
      <c r="J2106" s="20"/>
      <c r="N2106" s="16"/>
      <c r="O2106" s="16"/>
      <c r="P2106" s="16"/>
    </row>
    <row r="2107" spans="8:16" ht="15.75" customHeight="1">
      <c r="H2107" s="16"/>
      <c r="I2107" s="16"/>
      <c r="J2107" s="20"/>
      <c r="N2107" s="16"/>
      <c r="O2107" s="16"/>
      <c r="P2107" s="16"/>
    </row>
    <row r="2108" spans="8:16" ht="15.75" customHeight="1">
      <c r="H2108" s="16"/>
      <c r="I2108" s="16"/>
      <c r="J2108" s="20"/>
      <c r="N2108" s="16"/>
      <c r="O2108" s="16"/>
      <c r="P2108" s="16"/>
    </row>
    <row r="2109" spans="8:16" ht="15.75" customHeight="1">
      <c r="H2109" s="16"/>
      <c r="I2109" s="16"/>
      <c r="J2109" s="20"/>
      <c r="N2109" s="16"/>
      <c r="O2109" s="16"/>
      <c r="P2109" s="16"/>
    </row>
    <row r="2110" spans="8:16" ht="15.75" customHeight="1">
      <c r="H2110" s="16"/>
      <c r="I2110" s="16"/>
      <c r="J2110" s="20"/>
      <c r="N2110" s="16"/>
      <c r="O2110" s="16"/>
      <c r="P2110" s="16"/>
    </row>
    <row r="2111" spans="8:16" ht="15.75" customHeight="1">
      <c r="H2111" s="16"/>
      <c r="I2111" s="16"/>
      <c r="J2111" s="20"/>
      <c r="N2111" s="16"/>
      <c r="O2111" s="16"/>
      <c r="P2111" s="16"/>
    </row>
    <row r="2112" spans="8:16" ht="15.75" customHeight="1">
      <c r="H2112" s="16"/>
      <c r="I2112" s="16"/>
      <c r="J2112" s="20"/>
      <c r="N2112" s="16"/>
      <c r="O2112" s="16"/>
      <c r="P2112" s="16"/>
    </row>
    <row r="2113" spans="8:16" ht="15.75" customHeight="1">
      <c r="H2113" s="16"/>
      <c r="I2113" s="16"/>
      <c r="J2113" s="20"/>
      <c r="N2113" s="16"/>
      <c r="O2113" s="16"/>
      <c r="P2113" s="16"/>
    </row>
    <row r="2114" spans="8:16" ht="15.75" customHeight="1">
      <c r="H2114" s="16"/>
      <c r="I2114" s="16"/>
      <c r="J2114" s="20"/>
      <c r="N2114" s="16"/>
      <c r="O2114" s="16"/>
      <c r="P2114" s="16"/>
    </row>
    <row r="2115" spans="8:16" ht="15.75" customHeight="1">
      <c r="H2115" s="16"/>
      <c r="I2115" s="16"/>
      <c r="J2115" s="20"/>
      <c r="N2115" s="16"/>
      <c r="O2115" s="16"/>
      <c r="P2115" s="16"/>
    </row>
    <row r="2116" spans="8:16" ht="15.75" customHeight="1">
      <c r="H2116" s="16"/>
      <c r="I2116" s="16"/>
      <c r="J2116" s="20"/>
      <c r="N2116" s="16"/>
      <c r="O2116" s="16"/>
      <c r="P2116" s="16"/>
    </row>
    <row r="2117" spans="8:16" ht="15.75" customHeight="1">
      <c r="H2117" s="16"/>
      <c r="I2117" s="16"/>
      <c r="J2117" s="20"/>
      <c r="N2117" s="16"/>
      <c r="O2117" s="16"/>
      <c r="P2117" s="16"/>
    </row>
    <row r="2118" spans="8:16" ht="15.75" customHeight="1">
      <c r="H2118" s="16"/>
      <c r="I2118" s="16"/>
      <c r="J2118" s="20"/>
      <c r="N2118" s="16"/>
      <c r="O2118" s="16"/>
      <c r="P2118" s="16"/>
    </row>
    <row r="2119" spans="8:16" ht="15.75" customHeight="1">
      <c r="H2119" s="16"/>
      <c r="I2119" s="16"/>
      <c r="J2119" s="20"/>
      <c r="N2119" s="16"/>
      <c r="O2119" s="16"/>
      <c r="P2119" s="16"/>
    </row>
    <row r="2120" spans="8:16" ht="15.75" customHeight="1">
      <c r="H2120" s="16"/>
      <c r="I2120" s="16"/>
      <c r="J2120" s="20"/>
      <c r="N2120" s="16"/>
      <c r="O2120" s="16"/>
      <c r="P2120" s="16"/>
    </row>
    <row r="2121" spans="8:16" ht="15.75" customHeight="1">
      <c r="H2121" s="16"/>
      <c r="I2121" s="16"/>
      <c r="J2121" s="20"/>
      <c r="N2121" s="16"/>
      <c r="O2121" s="16"/>
      <c r="P2121" s="16"/>
    </row>
    <row r="2122" spans="8:16" ht="15.75" customHeight="1">
      <c r="H2122" s="16"/>
      <c r="I2122" s="16"/>
      <c r="J2122" s="20"/>
      <c r="N2122" s="16"/>
      <c r="O2122" s="16"/>
      <c r="P2122" s="16"/>
    </row>
    <row r="2123" spans="8:16" ht="15.75" customHeight="1">
      <c r="H2123" s="16"/>
      <c r="I2123" s="16"/>
      <c r="J2123" s="20"/>
      <c r="N2123" s="16"/>
      <c r="O2123" s="16"/>
      <c r="P2123" s="16"/>
    </row>
    <row r="2124" spans="8:16" ht="15.75" customHeight="1">
      <c r="H2124" s="16"/>
      <c r="I2124" s="16"/>
      <c r="J2124" s="20"/>
      <c r="N2124" s="16"/>
      <c r="O2124" s="16"/>
      <c r="P2124" s="16"/>
    </row>
    <row r="2125" spans="8:16" ht="15.75" customHeight="1">
      <c r="H2125" s="16"/>
      <c r="I2125" s="16"/>
      <c r="J2125" s="20"/>
      <c r="N2125" s="16"/>
      <c r="O2125" s="16"/>
      <c r="P2125" s="16"/>
    </row>
    <row r="2126" spans="8:16" ht="15.75" customHeight="1">
      <c r="H2126" s="16"/>
      <c r="I2126" s="16"/>
      <c r="J2126" s="20"/>
      <c r="N2126" s="16"/>
      <c r="O2126" s="16"/>
      <c r="P2126" s="16"/>
    </row>
    <row r="2127" spans="8:16" ht="15.75" customHeight="1">
      <c r="H2127" s="16"/>
      <c r="I2127" s="16"/>
      <c r="J2127" s="20"/>
      <c r="N2127" s="16"/>
      <c r="O2127" s="16"/>
      <c r="P2127" s="16"/>
    </row>
    <row r="2128" spans="8:16" ht="15.75" customHeight="1">
      <c r="H2128" s="16"/>
      <c r="I2128" s="16"/>
      <c r="J2128" s="20"/>
      <c r="N2128" s="16"/>
      <c r="O2128" s="16"/>
      <c r="P2128" s="16"/>
    </row>
    <row r="2129" spans="8:16" ht="15.75" customHeight="1">
      <c r="H2129" s="16"/>
      <c r="I2129" s="16"/>
      <c r="J2129" s="20"/>
      <c r="N2129" s="16"/>
      <c r="O2129" s="16"/>
      <c r="P2129" s="16"/>
    </row>
    <row r="2130" spans="8:16" ht="15.75" customHeight="1">
      <c r="H2130" s="16"/>
      <c r="I2130" s="16"/>
      <c r="J2130" s="20"/>
      <c r="N2130" s="16"/>
      <c r="O2130" s="16"/>
      <c r="P2130" s="16"/>
    </row>
    <row r="2131" spans="8:16" ht="15.75" customHeight="1">
      <c r="H2131" s="16"/>
      <c r="I2131" s="16"/>
      <c r="J2131" s="20"/>
      <c r="N2131" s="16"/>
      <c r="O2131" s="16"/>
      <c r="P2131" s="16"/>
    </row>
    <row r="2132" spans="8:16" ht="15.75" customHeight="1">
      <c r="H2132" s="16"/>
      <c r="I2132" s="16"/>
      <c r="J2132" s="20"/>
      <c r="N2132" s="16"/>
      <c r="O2132" s="16"/>
      <c r="P2132" s="16"/>
    </row>
    <row r="2133" spans="8:16" ht="15.75" customHeight="1">
      <c r="H2133" s="16"/>
      <c r="I2133" s="16"/>
      <c r="J2133" s="20"/>
      <c r="N2133" s="16"/>
      <c r="O2133" s="16"/>
      <c r="P2133" s="16"/>
    </row>
    <row r="2134" spans="8:16" ht="15.75" customHeight="1">
      <c r="H2134" s="16"/>
      <c r="I2134" s="16"/>
      <c r="J2134" s="20"/>
      <c r="N2134" s="16"/>
      <c r="O2134" s="16"/>
      <c r="P2134" s="16"/>
    </row>
    <row r="2135" spans="8:16" ht="15.75" customHeight="1">
      <c r="H2135" s="16"/>
      <c r="I2135" s="16"/>
      <c r="J2135" s="20"/>
      <c r="N2135" s="16"/>
      <c r="O2135" s="16"/>
      <c r="P2135" s="16"/>
    </row>
    <row r="2136" spans="8:16" ht="15.75" customHeight="1">
      <c r="H2136" s="16"/>
      <c r="I2136" s="16"/>
      <c r="J2136" s="20"/>
      <c r="N2136" s="16"/>
      <c r="O2136" s="16"/>
      <c r="P2136" s="16"/>
    </row>
    <row r="2137" spans="8:16" ht="15.75" customHeight="1">
      <c r="H2137" s="16"/>
      <c r="I2137" s="16"/>
      <c r="J2137" s="20"/>
      <c r="N2137" s="16"/>
      <c r="O2137" s="16"/>
      <c r="P2137" s="16"/>
    </row>
    <row r="2138" spans="8:16" ht="15.75" customHeight="1">
      <c r="H2138" s="16"/>
      <c r="I2138" s="16"/>
      <c r="J2138" s="20"/>
      <c r="N2138" s="16"/>
      <c r="O2138" s="16"/>
      <c r="P2138" s="16"/>
    </row>
    <row r="2139" spans="8:16" ht="15.75" customHeight="1">
      <c r="H2139" s="16"/>
      <c r="I2139" s="16"/>
      <c r="J2139" s="20"/>
      <c r="N2139" s="16"/>
      <c r="O2139" s="16"/>
      <c r="P2139" s="16"/>
    </row>
    <row r="2140" spans="8:16" ht="15.75" customHeight="1">
      <c r="H2140" s="16"/>
      <c r="I2140" s="16"/>
      <c r="J2140" s="20"/>
      <c r="N2140" s="16"/>
      <c r="O2140" s="16"/>
      <c r="P2140" s="16"/>
    </row>
    <row r="2141" spans="8:16" ht="15.75" customHeight="1">
      <c r="H2141" s="16"/>
      <c r="I2141" s="16"/>
      <c r="J2141" s="20"/>
      <c r="N2141" s="16"/>
      <c r="O2141" s="16"/>
      <c r="P2141" s="16"/>
    </row>
    <row r="2142" spans="8:16" ht="15.75" customHeight="1">
      <c r="H2142" s="16"/>
      <c r="I2142" s="16"/>
      <c r="J2142" s="20"/>
      <c r="N2142" s="16"/>
      <c r="O2142" s="16"/>
      <c r="P2142" s="16"/>
    </row>
    <row r="2143" spans="8:16" ht="15.75" customHeight="1">
      <c r="H2143" s="16"/>
      <c r="I2143" s="16"/>
      <c r="J2143" s="20"/>
      <c r="N2143" s="16"/>
      <c r="O2143" s="16"/>
      <c r="P2143" s="16"/>
    </row>
    <row r="2144" spans="8:16" ht="15.75" customHeight="1">
      <c r="H2144" s="16"/>
      <c r="I2144" s="16"/>
      <c r="J2144" s="20"/>
      <c r="N2144" s="16"/>
      <c r="O2144" s="16"/>
      <c r="P2144" s="16"/>
    </row>
    <row r="2145" spans="8:16" ht="15.75" customHeight="1">
      <c r="H2145" s="16"/>
      <c r="I2145" s="16"/>
      <c r="J2145" s="20"/>
      <c r="N2145" s="16"/>
      <c r="O2145" s="16"/>
      <c r="P2145" s="16"/>
    </row>
    <row r="2146" spans="8:16" ht="15.75" customHeight="1">
      <c r="H2146" s="16"/>
      <c r="I2146" s="16"/>
      <c r="J2146" s="20"/>
      <c r="N2146" s="16"/>
      <c r="O2146" s="16"/>
      <c r="P2146" s="16"/>
    </row>
    <row r="2147" spans="8:16" ht="15.75" customHeight="1">
      <c r="H2147" s="16"/>
      <c r="I2147" s="16"/>
      <c r="J2147" s="20"/>
      <c r="N2147" s="16"/>
      <c r="O2147" s="16"/>
      <c r="P2147" s="16"/>
    </row>
    <row r="2148" spans="8:16" ht="15.75" customHeight="1">
      <c r="H2148" s="16"/>
      <c r="I2148" s="16"/>
      <c r="J2148" s="20"/>
      <c r="N2148" s="16"/>
      <c r="O2148" s="16"/>
      <c r="P2148" s="16"/>
    </row>
    <row r="2149" spans="8:16" ht="15.75" customHeight="1">
      <c r="H2149" s="16"/>
      <c r="I2149" s="16"/>
      <c r="J2149" s="20"/>
      <c r="N2149" s="16"/>
      <c r="O2149" s="16"/>
      <c r="P2149" s="16"/>
    </row>
    <row r="2150" spans="8:16" ht="15.75" customHeight="1">
      <c r="H2150" s="16"/>
      <c r="I2150" s="16"/>
      <c r="J2150" s="20"/>
      <c r="N2150" s="16"/>
      <c r="O2150" s="16"/>
      <c r="P2150" s="16"/>
    </row>
    <row r="2151" spans="8:16" ht="15.75" customHeight="1">
      <c r="H2151" s="16"/>
      <c r="I2151" s="16"/>
      <c r="J2151" s="20"/>
      <c r="N2151" s="16"/>
      <c r="O2151" s="16"/>
      <c r="P2151" s="16"/>
    </row>
    <row r="2152" spans="8:16" ht="15.75" customHeight="1">
      <c r="H2152" s="16"/>
      <c r="I2152" s="16"/>
      <c r="J2152" s="20"/>
      <c r="N2152" s="16"/>
      <c r="O2152" s="16"/>
      <c r="P2152" s="16"/>
    </row>
    <row r="2153" spans="8:16" ht="15.75" customHeight="1">
      <c r="H2153" s="16"/>
      <c r="I2153" s="16"/>
      <c r="J2153" s="20"/>
      <c r="N2153" s="16"/>
      <c r="O2153" s="16"/>
      <c r="P2153" s="16"/>
    </row>
    <row r="2154" spans="8:16" ht="15.75" customHeight="1">
      <c r="H2154" s="16"/>
      <c r="I2154" s="16"/>
      <c r="J2154" s="20"/>
      <c r="N2154" s="16"/>
      <c r="O2154" s="16"/>
      <c r="P2154" s="16"/>
    </row>
    <row r="2155" spans="8:16" ht="15.75" customHeight="1">
      <c r="H2155" s="16"/>
      <c r="I2155" s="16"/>
      <c r="J2155" s="20"/>
      <c r="N2155" s="16"/>
      <c r="O2155" s="16"/>
      <c r="P2155" s="16"/>
    </row>
    <row r="2156" spans="8:16" ht="15.75" customHeight="1">
      <c r="H2156" s="16"/>
      <c r="I2156" s="16"/>
      <c r="J2156" s="20"/>
      <c r="N2156" s="16"/>
      <c r="O2156" s="16"/>
      <c r="P2156" s="16"/>
    </row>
    <row r="2157" spans="8:16" ht="15.75" customHeight="1">
      <c r="H2157" s="16"/>
      <c r="I2157" s="16"/>
      <c r="J2157" s="20"/>
      <c r="N2157" s="16"/>
      <c r="O2157" s="16"/>
      <c r="P2157" s="16"/>
    </row>
    <row r="2158" spans="8:16" ht="15.75" customHeight="1">
      <c r="H2158" s="16"/>
      <c r="I2158" s="16"/>
      <c r="J2158" s="20"/>
      <c r="N2158" s="16"/>
      <c r="O2158" s="16"/>
      <c r="P2158" s="16"/>
    </row>
    <row r="2159" spans="8:16" ht="15.75" customHeight="1">
      <c r="H2159" s="16"/>
      <c r="I2159" s="16"/>
      <c r="J2159" s="20"/>
      <c r="N2159" s="16"/>
      <c r="O2159" s="16"/>
      <c r="P2159" s="16"/>
    </row>
    <row r="2160" spans="8:16" ht="15.75" customHeight="1">
      <c r="H2160" s="16"/>
      <c r="I2160" s="16"/>
      <c r="J2160" s="20"/>
      <c r="N2160" s="16"/>
      <c r="O2160" s="16"/>
      <c r="P2160" s="16"/>
    </row>
    <row r="2161" spans="8:16" ht="15.75" customHeight="1">
      <c r="H2161" s="16"/>
      <c r="I2161" s="16"/>
      <c r="J2161" s="20"/>
      <c r="N2161" s="16"/>
      <c r="O2161" s="16"/>
      <c r="P2161" s="16"/>
    </row>
    <row r="2162" spans="8:16" ht="15.75" customHeight="1">
      <c r="H2162" s="16"/>
      <c r="I2162" s="16"/>
      <c r="J2162" s="20"/>
      <c r="N2162" s="16"/>
      <c r="O2162" s="16"/>
      <c r="P2162" s="16"/>
    </row>
    <row r="2163" spans="8:16" ht="15.75" customHeight="1">
      <c r="H2163" s="16"/>
      <c r="I2163" s="16"/>
      <c r="J2163" s="20"/>
      <c r="N2163" s="16"/>
      <c r="O2163" s="16"/>
      <c r="P2163" s="16"/>
    </row>
    <row r="2164" spans="8:16" ht="15.75" customHeight="1">
      <c r="H2164" s="16"/>
      <c r="I2164" s="16"/>
      <c r="J2164" s="20"/>
      <c r="N2164" s="16"/>
      <c r="O2164" s="16"/>
      <c r="P2164" s="16"/>
    </row>
    <row r="2165" spans="8:16" ht="15.75" customHeight="1">
      <c r="H2165" s="16"/>
      <c r="I2165" s="16"/>
      <c r="J2165" s="20"/>
      <c r="N2165" s="16"/>
      <c r="O2165" s="16"/>
      <c r="P2165" s="16"/>
    </row>
    <row r="2166" spans="8:16" ht="15.75" customHeight="1">
      <c r="H2166" s="16"/>
      <c r="I2166" s="16"/>
      <c r="J2166" s="20"/>
      <c r="N2166" s="16"/>
      <c r="O2166" s="16"/>
      <c r="P2166" s="16"/>
    </row>
    <row r="2167" spans="8:16" ht="15.75" customHeight="1">
      <c r="H2167" s="16"/>
      <c r="I2167" s="16"/>
      <c r="J2167" s="20"/>
      <c r="N2167" s="16"/>
      <c r="O2167" s="16"/>
      <c r="P2167" s="16"/>
    </row>
    <row r="2168" spans="8:16" ht="15.75" customHeight="1">
      <c r="H2168" s="16"/>
      <c r="I2168" s="16"/>
      <c r="J2168" s="20"/>
      <c r="N2168" s="16"/>
      <c r="O2168" s="16"/>
      <c r="P2168" s="16"/>
    </row>
    <row r="2169" spans="8:16" ht="15.75" customHeight="1">
      <c r="H2169" s="16"/>
      <c r="I2169" s="16"/>
      <c r="J2169" s="20"/>
      <c r="N2169" s="16"/>
      <c r="O2169" s="16"/>
      <c r="P2169" s="16"/>
    </row>
    <row r="2170" spans="8:16" ht="15.75" customHeight="1">
      <c r="H2170" s="16"/>
      <c r="I2170" s="16"/>
      <c r="J2170" s="20"/>
      <c r="N2170" s="16"/>
      <c r="O2170" s="16"/>
      <c r="P2170" s="16"/>
    </row>
    <row r="2171" spans="8:16" ht="15.75" customHeight="1">
      <c r="H2171" s="16"/>
      <c r="I2171" s="16"/>
      <c r="J2171" s="20"/>
      <c r="N2171" s="16"/>
      <c r="O2171" s="16"/>
      <c r="P2171" s="16"/>
    </row>
    <row r="2172" spans="8:16" ht="15.75" customHeight="1">
      <c r="H2172" s="16"/>
      <c r="I2172" s="16"/>
      <c r="J2172" s="20"/>
      <c r="N2172" s="16"/>
      <c r="O2172" s="16"/>
      <c r="P2172" s="16"/>
    </row>
    <row r="2173" spans="8:16" ht="15.75" customHeight="1">
      <c r="H2173" s="16"/>
      <c r="I2173" s="16"/>
      <c r="J2173" s="20"/>
      <c r="N2173" s="16"/>
      <c r="O2173" s="16"/>
      <c r="P2173" s="16"/>
    </row>
    <row r="2174" spans="8:16" ht="15.75" customHeight="1">
      <c r="H2174" s="16"/>
      <c r="I2174" s="16"/>
      <c r="J2174" s="20"/>
      <c r="N2174" s="16"/>
      <c r="O2174" s="16"/>
      <c r="P2174" s="16"/>
    </row>
    <row r="2175" spans="8:16" ht="15.75" customHeight="1">
      <c r="H2175" s="16"/>
      <c r="I2175" s="16"/>
      <c r="J2175" s="20"/>
      <c r="N2175" s="16"/>
      <c r="O2175" s="16"/>
      <c r="P2175" s="16"/>
    </row>
    <row r="2176" spans="8:16" ht="15.75" customHeight="1">
      <c r="H2176" s="16"/>
      <c r="I2176" s="16"/>
      <c r="J2176" s="20"/>
      <c r="N2176" s="16"/>
      <c r="O2176" s="16"/>
      <c r="P2176" s="16"/>
    </row>
    <row r="2177" spans="8:16" ht="15.75" customHeight="1">
      <c r="H2177" s="16"/>
      <c r="I2177" s="16"/>
      <c r="J2177" s="20"/>
      <c r="N2177" s="16"/>
      <c r="O2177" s="16"/>
      <c r="P2177" s="16"/>
    </row>
    <row r="2178" spans="8:16" ht="15.75" customHeight="1">
      <c r="H2178" s="16"/>
      <c r="I2178" s="16"/>
      <c r="J2178" s="20"/>
      <c r="N2178" s="16"/>
      <c r="O2178" s="16"/>
      <c r="P2178" s="16"/>
    </row>
    <row r="2179" spans="8:16" ht="15.75" customHeight="1">
      <c r="H2179" s="16"/>
      <c r="I2179" s="16"/>
      <c r="J2179" s="20"/>
      <c r="N2179" s="16"/>
      <c r="O2179" s="16"/>
      <c r="P2179" s="16"/>
    </row>
    <row r="2180" spans="8:16" ht="15.75" customHeight="1">
      <c r="H2180" s="16"/>
      <c r="I2180" s="16"/>
      <c r="J2180" s="20"/>
      <c r="N2180" s="16"/>
      <c r="O2180" s="16"/>
      <c r="P2180" s="16"/>
    </row>
    <row r="2181" spans="8:16" ht="15.75" customHeight="1">
      <c r="H2181" s="16"/>
      <c r="I2181" s="16"/>
      <c r="J2181" s="20"/>
      <c r="N2181" s="16"/>
      <c r="O2181" s="16"/>
      <c r="P2181" s="16"/>
    </row>
    <row r="2182" spans="8:16" ht="15.75" customHeight="1">
      <c r="H2182" s="16"/>
      <c r="I2182" s="16"/>
      <c r="J2182" s="20"/>
      <c r="N2182" s="16"/>
      <c r="O2182" s="16"/>
      <c r="P2182" s="16"/>
    </row>
    <row r="2183" spans="8:16" ht="15.75" customHeight="1">
      <c r="H2183" s="16"/>
      <c r="I2183" s="16"/>
      <c r="J2183" s="20"/>
      <c r="N2183" s="16"/>
      <c r="O2183" s="16"/>
      <c r="P2183" s="16"/>
    </row>
    <row r="2184" spans="8:16" ht="15.75" customHeight="1">
      <c r="H2184" s="16"/>
      <c r="I2184" s="16"/>
      <c r="J2184" s="20"/>
      <c r="N2184" s="16"/>
      <c r="O2184" s="16"/>
      <c r="P2184" s="16"/>
    </row>
    <row r="2185" spans="8:16" ht="15.75" customHeight="1">
      <c r="H2185" s="16"/>
      <c r="I2185" s="16"/>
      <c r="J2185" s="20"/>
      <c r="N2185" s="16"/>
      <c r="O2185" s="16"/>
      <c r="P2185" s="16"/>
    </row>
    <row r="2186" spans="8:16" ht="15.75" customHeight="1">
      <c r="H2186" s="16"/>
      <c r="I2186" s="16"/>
      <c r="J2186" s="20"/>
      <c r="N2186" s="16"/>
      <c r="O2186" s="16"/>
      <c r="P2186" s="16"/>
    </row>
    <row r="2187" spans="8:16" ht="15.75" customHeight="1">
      <c r="H2187" s="16"/>
      <c r="I2187" s="16"/>
      <c r="J2187" s="20"/>
      <c r="N2187" s="16"/>
      <c r="O2187" s="16"/>
      <c r="P2187" s="16"/>
    </row>
    <row r="2188" spans="8:16" ht="15.75" customHeight="1">
      <c r="H2188" s="16"/>
      <c r="I2188" s="16"/>
      <c r="J2188" s="20"/>
      <c r="N2188" s="16"/>
      <c r="O2188" s="16"/>
      <c r="P2188" s="16"/>
    </row>
    <row r="2189" spans="8:16" ht="15.75" customHeight="1">
      <c r="H2189" s="16"/>
      <c r="I2189" s="16"/>
      <c r="J2189" s="20"/>
      <c r="N2189" s="16"/>
      <c r="O2189" s="16"/>
      <c r="P2189" s="16"/>
    </row>
    <row r="2190" spans="8:16" ht="15.75" customHeight="1">
      <c r="H2190" s="16"/>
      <c r="I2190" s="16"/>
      <c r="J2190" s="20"/>
      <c r="N2190" s="16"/>
      <c r="O2190" s="16"/>
      <c r="P2190" s="16"/>
    </row>
    <row r="2191" spans="8:16" ht="15.75" customHeight="1">
      <c r="H2191" s="16"/>
      <c r="I2191" s="16"/>
      <c r="J2191" s="20"/>
      <c r="N2191" s="16"/>
      <c r="O2191" s="16"/>
      <c r="P2191" s="16"/>
    </row>
    <row r="2192" spans="8:16" ht="15.75" customHeight="1">
      <c r="H2192" s="16"/>
      <c r="I2192" s="16"/>
      <c r="J2192" s="20"/>
      <c r="N2192" s="16"/>
      <c r="O2192" s="16"/>
      <c r="P2192" s="16"/>
    </row>
    <row r="2193" spans="8:16" ht="15.75" customHeight="1">
      <c r="H2193" s="16"/>
      <c r="I2193" s="16"/>
      <c r="J2193" s="20"/>
      <c r="N2193" s="16"/>
      <c r="O2193" s="16"/>
      <c r="P2193" s="16"/>
    </row>
    <row r="2194" spans="8:16" ht="15.75" customHeight="1">
      <c r="H2194" s="16"/>
      <c r="I2194" s="16"/>
      <c r="J2194" s="20"/>
      <c r="N2194" s="16"/>
      <c r="O2194" s="16"/>
      <c r="P2194" s="16"/>
    </row>
    <row r="2195" spans="8:16" ht="15.75" customHeight="1">
      <c r="H2195" s="16"/>
      <c r="I2195" s="16"/>
      <c r="J2195" s="20"/>
      <c r="N2195" s="16"/>
      <c r="O2195" s="16"/>
      <c r="P2195" s="16"/>
    </row>
    <row r="2196" spans="8:16" ht="15.75" customHeight="1">
      <c r="H2196" s="16"/>
      <c r="I2196" s="16"/>
      <c r="J2196" s="20"/>
      <c r="N2196" s="16"/>
      <c r="O2196" s="16"/>
      <c r="P2196" s="16"/>
    </row>
    <row r="2197" spans="8:16" ht="15.75" customHeight="1">
      <c r="H2197" s="16"/>
      <c r="I2197" s="16"/>
      <c r="J2197" s="20"/>
      <c r="N2197" s="16"/>
      <c r="O2197" s="16"/>
      <c r="P2197" s="16"/>
    </row>
    <row r="2198" spans="8:16" ht="15.75" customHeight="1">
      <c r="H2198" s="16"/>
      <c r="I2198" s="16"/>
      <c r="J2198" s="20"/>
      <c r="N2198" s="16"/>
      <c r="O2198" s="16"/>
      <c r="P2198" s="16"/>
    </row>
    <row r="2199" spans="8:16" ht="15.75" customHeight="1">
      <c r="H2199" s="16"/>
      <c r="I2199" s="16"/>
      <c r="J2199" s="20"/>
      <c r="N2199" s="16"/>
      <c r="O2199" s="16"/>
      <c r="P2199" s="16"/>
    </row>
    <row r="2200" spans="8:16" ht="15.75" customHeight="1">
      <c r="H2200" s="16"/>
      <c r="I2200" s="16"/>
      <c r="J2200" s="20"/>
      <c r="N2200" s="16"/>
      <c r="O2200" s="16"/>
      <c r="P2200" s="16"/>
    </row>
    <row r="2201" spans="8:16" ht="15.75" customHeight="1">
      <c r="H2201" s="16"/>
      <c r="I2201" s="16"/>
      <c r="J2201" s="20"/>
      <c r="N2201" s="16"/>
      <c r="O2201" s="16"/>
      <c r="P2201" s="16"/>
    </row>
    <row r="2202" spans="8:16" ht="15.75" customHeight="1">
      <c r="H2202" s="16"/>
      <c r="I2202" s="16"/>
      <c r="J2202" s="20"/>
      <c r="N2202" s="16"/>
      <c r="O2202" s="16"/>
      <c r="P2202" s="16"/>
    </row>
    <row r="2203" spans="8:16" ht="15.75" customHeight="1">
      <c r="H2203" s="16"/>
      <c r="I2203" s="16"/>
      <c r="J2203" s="20"/>
      <c r="N2203" s="16"/>
      <c r="O2203" s="16"/>
      <c r="P2203" s="16"/>
    </row>
    <row r="2204" spans="8:16" ht="15.75" customHeight="1">
      <c r="H2204" s="16"/>
      <c r="I2204" s="16"/>
      <c r="J2204" s="20"/>
      <c r="N2204" s="16"/>
      <c r="O2204" s="16"/>
      <c r="P2204" s="16"/>
    </row>
    <row r="2205" spans="8:16" ht="15.75" customHeight="1">
      <c r="H2205" s="16"/>
      <c r="I2205" s="16"/>
      <c r="J2205" s="20"/>
      <c r="N2205" s="16"/>
      <c r="O2205" s="16"/>
      <c r="P2205" s="16"/>
    </row>
    <row r="2206" spans="8:16" ht="15.75" customHeight="1">
      <c r="H2206" s="16"/>
      <c r="I2206" s="16"/>
      <c r="J2206" s="20"/>
      <c r="N2206" s="16"/>
      <c r="O2206" s="16"/>
      <c r="P2206" s="16"/>
    </row>
    <row r="2207" spans="8:16" ht="15.75" customHeight="1">
      <c r="H2207" s="16"/>
      <c r="I2207" s="16"/>
      <c r="J2207" s="20"/>
      <c r="N2207" s="16"/>
      <c r="O2207" s="16"/>
      <c r="P2207" s="16"/>
    </row>
    <row r="2208" spans="8:16" ht="15.75" customHeight="1">
      <c r="H2208" s="16"/>
      <c r="I2208" s="16"/>
      <c r="J2208" s="20"/>
      <c r="N2208" s="16"/>
      <c r="O2208" s="16"/>
      <c r="P2208" s="16"/>
    </row>
    <row r="2209" spans="8:16" ht="15.75" customHeight="1">
      <c r="H2209" s="16"/>
      <c r="I2209" s="16"/>
      <c r="J2209" s="20"/>
      <c r="N2209" s="16"/>
      <c r="O2209" s="16"/>
      <c r="P2209" s="16"/>
    </row>
    <row r="2210" spans="8:16" ht="15.75" customHeight="1">
      <c r="H2210" s="16"/>
      <c r="I2210" s="16"/>
      <c r="J2210" s="20"/>
      <c r="N2210" s="16"/>
      <c r="O2210" s="16"/>
      <c r="P2210" s="16"/>
    </row>
    <row r="2211" spans="8:16" ht="15.75" customHeight="1">
      <c r="H2211" s="16"/>
      <c r="I2211" s="16"/>
      <c r="J2211" s="20"/>
      <c r="N2211" s="16"/>
      <c r="O2211" s="16"/>
      <c r="P2211" s="16"/>
    </row>
    <row r="2212" spans="8:16" ht="15.75" customHeight="1">
      <c r="H2212" s="16"/>
      <c r="I2212" s="16"/>
      <c r="J2212" s="20"/>
      <c r="N2212" s="16"/>
      <c r="O2212" s="16"/>
      <c r="P2212" s="16"/>
    </row>
    <row r="2213" spans="8:16" ht="15.75" customHeight="1">
      <c r="H2213" s="16"/>
      <c r="I2213" s="16"/>
      <c r="J2213" s="20"/>
      <c r="N2213" s="16"/>
      <c r="O2213" s="16"/>
      <c r="P2213" s="16"/>
    </row>
    <row r="2214" spans="8:16" ht="15.75" customHeight="1">
      <c r="H2214" s="16"/>
      <c r="I2214" s="16"/>
      <c r="J2214" s="20"/>
      <c r="N2214" s="16"/>
      <c r="O2214" s="16"/>
      <c r="P2214" s="16"/>
    </row>
    <row r="2215" spans="8:16" ht="15.75" customHeight="1">
      <c r="H2215" s="16"/>
      <c r="I2215" s="16"/>
      <c r="J2215" s="20"/>
      <c r="N2215" s="16"/>
      <c r="O2215" s="16"/>
      <c r="P2215" s="16"/>
    </row>
    <row r="2216" spans="8:16" ht="15.75" customHeight="1">
      <c r="H2216" s="16"/>
      <c r="I2216" s="16"/>
      <c r="J2216" s="20"/>
      <c r="N2216" s="16"/>
      <c r="O2216" s="16"/>
      <c r="P2216" s="16"/>
    </row>
    <row r="2217" spans="8:16" ht="15.75" customHeight="1">
      <c r="H2217" s="16"/>
      <c r="I2217" s="16"/>
      <c r="J2217" s="20"/>
      <c r="N2217" s="16"/>
      <c r="O2217" s="16"/>
      <c r="P2217" s="16"/>
    </row>
    <row r="2218" spans="8:16" ht="15.75" customHeight="1">
      <c r="H2218" s="16"/>
      <c r="I2218" s="16"/>
      <c r="J2218" s="20"/>
      <c r="N2218" s="16"/>
      <c r="O2218" s="16"/>
      <c r="P2218" s="16"/>
    </row>
    <row r="2219" spans="8:16" ht="15.75" customHeight="1">
      <c r="H2219" s="16"/>
      <c r="I2219" s="16"/>
      <c r="J2219" s="20"/>
      <c r="N2219" s="16"/>
      <c r="O2219" s="16"/>
      <c r="P2219" s="16"/>
    </row>
    <row r="2220" spans="8:16" ht="15.75" customHeight="1">
      <c r="H2220" s="16"/>
      <c r="I2220" s="16"/>
      <c r="J2220" s="20"/>
      <c r="N2220" s="16"/>
      <c r="O2220" s="16"/>
      <c r="P2220" s="16"/>
    </row>
    <row r="2221" spans="8:16" ht="15.75" customHeight="1">
      <c r="H2221" s="16"/>
      <c r="I2221" s="16"/>
      <c r="J2221" s="20"/>
      <c r="N2221" s="16"/>
      <c r="O2221" s="16"/>
      <c r="P2221" s="16"/>
    </row>
    <row r="2222" spans="8:16" ht="15.75" customHeight="1">
      <c r="H2222" s="16"/>
      <c r="I2222" s="16"/>
      <c r="J2222" s="20"/>
      <c r="N2222" s="16"/>
      <c r="O2222" s="16"/>
      <c r="P2222" s="16"/>
    </row>
    <row r="2223" spans="8:16" ht="15.75" customHeight="1">
      <c r="H2223" s="16"/>
      <c r="I2223" s="16"/>
      <c r="J2223" s="20"/>
      <c r="N2223" s="16"/>
      <c r="O2223" s="16"/>
      <c r="P2223" s="16"/>
    </row>
    <row r="2224" spans="8:16" ht="15.75" customHeight="1">
      <c r="H2224" s="16"/>
      <c r="I2224" s="16"/>
      <c r="J2224" s="20"/>
      <c r="N2224" s="16"/>
      <c r="O2224" s="16"/>
      <c r="P2224" s="16"/>
    </row>
    <row r="2225" spans="8:16" ht="15.75" customHeight="1">
      <c r="H2225" s="16"/>
      <c r="I2225" s="16"/>
      <c r="J2225" s="20"/>
      <c r="N2225" s="16"/>
      <c r="O2225" s="16"/>
      <c r="P2225" s="16"/>
    </row>
    <row r="2226" spans="8:16" ht="15.75" customHeight="1">
      <c r="H2226" s="16"/>
      <c r="I2226" s="16"/>
      <c r="J2226" s="20"/>
      <c r="N2226" s="16"/>
      <c r="O2226" s="16"/>
      <c r="P2226" s="16"/>
    </row>
    <row r="2227" spans="8:16" ht="15.75" customHeight="1">
      <c r="H2227" s="16"/>
      <c r="I2227" s="16"/>
      <c r="J2227" s="20"/>
      <c r="N2227" s="16"/>
      <c r="O2227" s="16"/>
      <c r="P2227" s="16"/>
    </row>
    <row r="2228" spans="8:16" ht="15.75" customHeight="1">
      <c r="H2228" s="16"/>
      <c r="I2228" s="16"/>
      <c r="J2228" s="20"/>
      <c r="N2228" s="16"/>
      <c r="O2228" s="16"/>
      <c r="P2228" s="16"/>
    </row>
    <row r="2229" spans="8:16" ht="15.75" customHeight="1">
      <c r="H2229" s="16"/>
      <c r="I2229" s="16"/>
      <c r="J2229" s="20"/>
      <c r="N2229" s="16"/>
      <c r="O2229" s="16"/>
      <c r="P2229" s="16"/>
    </row>
    <row r="2230" spans="8:16" ht="15.75" customHeight="1">
      <c r="H2230" s="16"/>
      <c r="I2230" s="16"/>
      <c r="J2230" s="20"/>
      <c r="N2230" s="16"/>
      <c r="O2230" s="16"/>
      <c r="P2230" s="16"/>
    </row>
    <row r="2231" spans="8:16" ht="15.75" customHeight="1">
      <c r="H2231" s="16"/>
      <c r="I2231" s="16"/>
      <c r="J2231" s="20"/>
      <c r="N2231" s="16"/>
      <c r="O2231" s="16"/>
      <c r="P2231" s="16"/>
    </row>
    <row r="2232" spans="8:16" ht="15.75" customHeight="1">
      <c r="H2232" s="16"/>
      <c r="I2232" s="16"/>
      <c r="J2232" s="20"/>
      <c r="N2232" s="16"/>
      <c r="O2232" s="16"/>
      <c r="P2232" s="16"/>
    </row>
    <row r="2233" spans="8:16" ht="15.75" customHeight="1">
      <c r="H2233" s="16"/>
      <c r="I2233" s="16"/>
      <c r="J2233" s="20"/>
      <c r="N2233" s="16"/>
      <c r="O2233" s="16"/>
      <c r="P2233" s="16"/>
    </row>
    <row r="2234" spans="8:16" ht="15.75" customHeight="1">
      <c r="H2234" s="16"/>
      <c r="I2234" s="16"/>
      <c r="J2234" s="20"/>
      <c r="N2234" s="16"/>
      <c r="O2234" s="16"/>
      <c r="P2234" s="16"/>
    </row>
    <row r="2235" spans="8:16" ht="15.75" customHeight="1">
      <c r="H2235" s="16"/>
      <c r="I2235" s="16"/>
      <c r="J2235" s="20"/>
      <c r="N2235" s="16"/>
      <c r="O2235" s="16"/>
      <c r="P2235" s="16"/>
    </row>
    <row r="2236" spans="8:16" ht="15.75" customHeight="1">
      <c r="H2236" s="16"/>
      <c r="I2236" s="16"/>
      <c r="J2236" s="20"/>
      <c r="N2236" s="16"/>
      <c r="O2236" s="16"/>
      <c r="P2236" s="16"/>
    </row>
    <row r="2237" spans="8:16" ht="15.75" customHeight="1">
      <c r="H2237" s="16"/>
      <c r="I2237" s="16"/>
      <c r="J2237" s="20"/>
      <c r="N2237" s="16"/>
      <c r="O2237" s="16"/>
      <c r="P2237" s="16"/>
    </row>
    <row r="2238" spans="8:16" ht="15.75" customHeight="1">
      <c r="H2238" s="16"/>
      <c r="I2238" s="16"/>
      <c r="J2238" s="20"/>
      <c r="N2238" s="16"/>
      <c r="O2238" s="16"/>
      <c r="P2238" s="16"/>
    </row>
    <row r="2239" spans="8:16" ht="15.75" customHeight="1">
      <c r="H2239" s="16"/>
      <c r="I2239" s="16"/>
      <c r="J2239" s="20"/>
      <c r="N2239" s="16"/>
      <c r="O2239" s="16"/>
      <c r="P2239" s="16"/>
    </row>
    <row r="2240" spans="8:16" ht="15.75" customHeight="1">
      <c r="H2240" s="16"/>
      <c r="I2240" s="16"/>
      <c r="J2240" s="20"/>
      <c r="N2240" s="16"/>
      <c r="O2240" s="16"/>
      <c r="P2240" s="16"/>
    </row>
    <row r="2241" spans="8:16" ht="15.75" customHeight="1">
      <c r="H2241" s="16"/>
      <c r="I2241" s="16"/>
      <c r="J2241" s="20"/>
      <c r="N2241" s="16"/>
      <c r="O2241" s="16"/>
      <c r="P2241" s="16"/>
    </row>
    <row r="2242" spans="8:16" ht="15.75" customHeight="1">
      <c r="H2242" s="16"/>
      <c r="I2242" s="16"/>
      <c r="J2242" s="20"/>
      <c r="N2242" s="16"/>
      <c r="O2242" s="16"/>
      <c r="P2242" s="16"/>
    </row>
    <row r="2243" spans="8:16" ht="15.75" customHeight="1">
      <c r="H2243" s="16"/>
      <c r="I2243" s="16"/>
      <c r="J2243" s="20"/>
      <c r="N2243" s="16"/>
      <c r="O2243" s="16"/>
      <c r="P2243" s="16"/>
    </row>
    <row r="2244" spans="8:16" ht="15.75" customHeight="1">
      <c r="H2244" s="16"/>
      <c r="I2244" s="16"/>
      <c r="J2244" s="20"/>
      <c r="N2244" s="16"/>
      <c r="O2244" s="16"/>
      <c r="P2244" s="16"/>
    </row>
    <row r="2245" spans="8:16" ht="15.75" customHeight="1">
      <c r="H2245" s="16"/>
      <c r="I2245" s="16"/>
      <c r="J2245" s="20"/>
      <c r="N2245" s="16"/>
      <c r="O2245" s="16"/>
      <c r="P2245" s="16"/>
    </row>
    <row r="2246" spans="8:16" ht="15.75" customHeight="1">
      <c r="H2246" s="16"/>
      <c r="I2246" s="16"/>
      <c r="J2246" s="20"/>
      <c r="N2246" s="16"/>
      <c r="O2246" s="16"/>
      <c r="P2246" s="16"/>
    </row>
    <row r="2247" spans="8:16" ht="15.75" customHeight="1">
      <c r="H2247" s="16"/>
      <c r="I2247" s="16"/>
      <c r="J2247" s="20"/>
      <c r="N2247" s="16"/>
      <c r="O2247" s="16"/>
      <c r="P2247" s="16"/>
    </row>
    <row r="2248" spans="8:16" ht="15.75" customHeight="1">
      <c r="H2248" s="16"/>
      <c r="I2248" s="16"/>
      <c r="J2248" s="20"/>
      <c r="N2248" s="16"/>
      <c r="O2248" s="16"/>
      <c r="P2248" s="16"/>
    </row>
    <row r="2249" spans="8:16" ht="15.75" customHeight="1">
      <c r="H2249" s="16"/>
      <c r="I2249" s="16"/>
      <c r="J2249" s="20"/>
      <c r="N2249" s="16"/>
      <c r="O2249" s="16"/>
      <c r="P2249" s="16"/>
    </row>
    <row r="2250" spans="8:16" ht="15.75" customHeight="1">
      <c r="H2250" s="16"/>
      <c r="I2250" s="16"/>
      <c r="J2250" s="20"/>
      <c r="N2250" s="16"/>
      <c r="O2250" s="16"/>
      <c r="P2250" s="16"/>
    </row>
    <row r="2251" spans="8:16" ht="15.75" customHeight="1">
      <c r="H2251" s="16"/>
      <c r="I2251" s="16"/>
      <c r="J2251" s="20"/>
      <c r="N2251" s="16"/>
      <c r="O2251" s="16"/>
      <c r="P2251" s="16"/>
    </row>
    <row r="2252" spans="8:16" ht="15.75" customHeight="1">
      <c r="H2252" s="16"/>
      <c r="I2252" s="16"/>
      <c r="J2252" s="20"/>
      <c r="N2252" s="16"/>
      <c r="O2252" s="16"/>
      <c r="P2252" s="16"/>
    </row>
    <row r="2253" spans="8:16" ht="15.75" customHeight="1">
      <c r="H2253" s="16"/>
      <c r="I2253" s="16"/>
      <c r="J2253" s="20"/>
      <c r="N2253" s="16"/>
      <c r="O2253" s="16"/>
      <c r="P2253" s="16"/>
    </row>
    <row r="2254" spans="8:16" ht="15.75" customHeight="1">
      <c r="H2254" s="16"/>
      <c r="I2254" s="16"/>
      <c r="J2254" s="20"/>
      <c r="N2254" s="16"/>
      <c r="O2254" s="16"/>
      <c r="P2254" s="16"/>
    </row>
    <row r="2255" spans="8:16" ht="15.75" customHeight="1">
      <c r="H2255" s="16"/>
      <c r="I2255" s="16"/>
      <c r="J2255" s="20"/>
      <c r="N2255" s="16"/>
      <c r="O2255" s="16"/>
      <c r="P2255" s="16"/>
    </row>
    <row r="2256" spans="8:16" ht="15.75" customHeight="1">
      <c r="H2256" s="16"/>
      <c r="I2256" s="16"/>
      <c r="J2256" s="20"/>
      <c r="N2256" s="16"/>
      <c r="O2256" s="16"/>
      <c r="P2256" s="16"/>
    </row>
    <row r="2257" spans="8:16" ht="15.75" customHeight="1">
      <c r="H2257" s="16"/>
      <c r="I2257" s="16"/>
      <c r="J2257" s="20"/>
      <c r="N2257" s="16"/>
      <c r="O2257" s="16"/>
      <c r="P2257" s="16"/>
    </row>
    <row r="2258" spans="8:16" ht="15.75" customHeight="1">
      <c r="H2258" s="16"/>
      <c r="I2258" s="16"/>
      <c r="J2258" s="20"/>
      <c r="N2258" s="16"/>
      <c r="O2258" s="16"/>
      <c r="P2258" s="16"/>
    </row>
    <row r="2259" spans="8:16" ht="15.75" customHeight="1">
      <c r="H2259" s="16"/>
      <c r="I2259" s="16"/>
      <c r="J2259" s="20"/>
      <c r="N2259" s="16"/>
      <c r="O2259" s="16"/>
      <c r="P2259" s="16"/>
    </row>
    <row r="2260" spans="8:16" ht="15.75" customHeight="1">
      <c r="H2260" s="16"/>
      <c r="I2260" s="16"/>
      <c r="J2260" s="20"/>
      <c r="N2260" s="16"/>
      <c r="O2260" s="16"/>
      <c r="P2260" s="16"/>
    </row>
    <row r="2261" spans="8:16" ht="15.75" customHeight="1">
      <c r="H2261" s="16"/>
      <c r="I2261" s="16"/>
      <c r="J2261" s="20"/>
      <c r="N2261" s="16"/>
      <c r="O2261" s="16"/>
      <c r="P2261" s="16"/>
    </row>
    <row r="2262" spans="8:16" ht="15.75" customHeight="1">
      <c r="H2262" s="16"/>
      <c r="I2262" s="16"/>
      <c r="J2262" s="20"/>
      <c r="N2262" s="16"/>
      <c r="O2262" s="16"/>
      <c r="P2262" s="16"/>
    </row>
    <row r="2263" spans="8:16" ht="15.75" customHeight="1">
      <c r="H2263" s="16"/>
      <c r="I2263" s="16"/>
      <c r="J2263" s="20"/>
      <c r="N2263" s="16"/>
      <c r="O2263" s="16"/>
      <c r="P2263" s="16"/>
    </row>
    <row r="2264" spans="8:16" ht="15.75" customHeight="1">
      <c r="H2264" s="16"/>
      <c r="I2264" s="16"/>
      <c r="J2264" s="20"/>
      <c r="N2264" s="16"/>
      <c r="O2264" s="16"/>
      <c r="P2264" s="16"/>
    </row>
    <row r="2265" spans="8:16" ht="15.75" customHeight="1">
      <c r="H2265" s="16"/>
      <c r="I2265" s="16"/>
      <c r="J2265" s="20"/>
      <c r="N2265" s="16"/>
      <c r="O2265" s="16"/>
      <c r="P2265" s="16"/>
    </row>
    <row r="2266" spans="8:16" ht="15.75" customHeight="1">
      <c r="H2266" s="16"/>
      <c r="I2266" s="16"/>
      <c r="J2266" s="20"/>
      <c r="N2266" s="16"/>
      <c r="O2266" s="16"/>
      <c r="P2266" s="16"/>
    </row>
    <row r="2267" spans="8:16" ht="15.75" customHeight="1">
      <c r="H2267" s="16"/>
      <c r="I2267" s="16"/>
      <c r="J2267" s="20"/>
      <c r="N2267" s="16"/>
      <c r="O2267" s="16"/>
      <c r="P2267" s="16"/>
    </row>
    <row r="2268" spans="8:16" ht="15.75" customHeight="1">
      <c r="H2268" s="16"/>
      <c r="I2268" s="16"/>
      <c r="J2268" s="20"/>
      <c r="N2268" s="16"/>
      <c r="O2268" s="16"/>
      <c r="P2268" s="16"/>
    </row>
    <row r="2269" spans="8:16" ht="15.75" customHeight="1">
      <c r="H2269" s="16"/>
      <c r="I2269" s="16"/>
      <c r="J2269" s="20"/>
      <c r="N2269" s="16"/>
      <c r="O2269" s="16"/>
      <c r="P2269" s="16"/>
    </row>
    <row r="2270" spans="8:16" ht="15.75" customHeight="1">
      <c r="H2270" s="16"/>
      <c r="I2270" s="16"/>
      <c r="J2270" s="20"/>
      <c r="N2270" s="16"/>
      <c r="O2270" s="16"/>
      <c r="P2270" s="16"/>
    </row>
    <row r="2271" spans="8:16" ht="15.75" customHeight="1">
      <c r="H2271" s="16"/>
      <c r="I2271" s="16"/>
      <c r="J2271" s="20"/>
      <c r="N2271" s="16"/>
      <c r="O2271" s="16"/>
      <c r="P2271" s="16"/>
    </row>
    <row r="2272" spans="8:16" ht="15.75" customHeight="1">
      <c r="H2272" s="16"/>
      <c r="I2272" s="16"/>
      <c r="J2272" s="20"/>
      <c r="N2272" s="16"/>
      <c r="O2272" s="16"/>
      <c r="P2272" s="16"/>
    </row>
    <row r="2273" spans="8:16" ht="15.75" customHeight="1">
      <c r="H2273" s="16"/>
      <c r="I2273" s="16"/>
      <c r="J2273" s="20"/>
      <c r="N2273" s="16"/>
      <c r="O2273" s="16"/>
      <c r="P2273" s="16"/>
    </row>
    <row r="2274" spans="8:16" ht="15.75" customHeight="1">
      <c r="H2274" s="16"/>
      <c r="I2274" s="16"/>
      <c r="J2274" s="20"/>
      <c r="N2274" s="16"/>
      <c r="O2274" s="16"/>
      <c r="P2274" s="16"/>
    </row>
    <row r="2275" spans="8:16" ht="15.75" customHeight="1">
      <c r="H2275" s="16"/>
      <c r="I2275" s="16"/>
      <c r="J2275" s="20"/>
      <c r="N2275" s="16"/>
      <c r="O2275" s="16"/>
      <c r="P2275" s="16"/>
    </row>
    <row r="2276" spans="8:16" ht="15.75" customHeight="1">
      <c r="H2276" s="16"/>
      <c r="I2276" s="16"/>
      <c r="J2276" s="20"/>
      <c r="N2276" s="16"/>
      <c r="O2276" s="16"/>
      <c r="P2276" s="16"/>
    </row>
    <row r="2277" spans="8:16" ht="15.75" customHeight="1">
      <c r="H2277" s="16"/>
      <c r="I2277" s="16"/>
      <c r="J2277" s="20"/>
      <c r="N2277" s="16"/>
      <c r="O2277" s="16"/>
      <c r="P2277" s="16"/>
    </row>
    <row r="2278" spans="8:16" ht="15.75" customHeight="1">
      <c r="H2278" s="16"/>
      <c r="I2278" s="16"/>
      <c r="J2278" s="20"/>
      <c r="N2278" s="16"/>
      <c r="O2278" s="16"/>
      <c r="P2278" s="16"/>
    </row>
    <row r="2279" spans="8:16" ht="15.75" customHeight="1">
      <c r="H2279" s="16"/>
      <c r="I2279" s="16"/>
      <c r="J2279" s="20"/>
      <c r="N2279" s="16"/>
      <c r="O2279" s="16"/>
      <c r="P2279" s="16"/>
    </row>
    <row r="2280" spans="8:16" ht="15.75" customHeight="1">
      <c r="H2280" s="16"/>
      <c r="I2280" s="16"/>
      <c r="J2280" s="20"/>
      <c r="N2280" s="16"/>
      <c r="O2280" s="16"/>
      <c r="P2280" s="16"/>
    </row>
    <row r="2281" spans="8:16" ht="15.75" customHeight="1">
      <c r="H2281" s="16"/>
      <c r="I2281" s="16"/>
      <c r="J2281" s="20"/>
      <c r="N2281" s="16"/>
      <c r="O2281" s="16"/>
      <c r="P2281" s="16"/>
    </row>
    <row r="2282" spans="8:16" ht="15.75" customHeight="1">
      <c r="H2282" s="16"/>
      <c r="I2282" s="16"/>
      <c r="J2282" s="20"/>
      <c r="N2282" s="16"/>
      <c r="O2282" s="16"/>
      <c r="P2282" s="16"/>
    </row>
    <row r="2283" spans="8:16" ht="15.75" customHeight="1">
      <c r="H2283" s="16"/>
      <c r="I2283" s="16"/>
      <c r="J2283" s="20"/>
      <c r="N2283" s="16"/>
      <c r="O2283" s="16"/>
      <c r="P2283" s="16"/>
    </row>
    <row r="2284" spans="8:16" ht="15.75" customHeight="1">
      <c r="H2284" s="16"/>
      <c r="I2284" s="16"/>
      <c r="J2284" s="20"/>
      <c r="N2284" s="16"/>
      <c r="O2284" s="16"/>
      <c r="P2284" s="16"/>
    </row>
    <row r="2285" spans="8:16" ht="15.75" customHeight="1">
      <c r="H2285" s="16"/>
      <c r="I2285" s="16"/>
      <c r="J2285" s="20"/>
      <c r="N2285" s="16"/>
      <c r="O2285" s="16"/>
      <c r="P2285" s="16"/>
    </row>
    <row r="2286" spans="8:16" ht="15.75" customHeight="1">
      <c r="H2286" s="16"/>
      <c r="I2286" s="16"/>
      <c r="J2286" s="20"/>
      <c r="N2286" s="16"/>
      <c r="O2286" s="16"/>
      <c r="P2286" s="16"/>
    </row>
    <row r="2287" spans="8:16" ht="15.75" customHeight="1">
      <c r="H2287" s="16"/>
      <c r="I2287" s="16"/>
      <c r="J2287" s="20"/>
      <c r="N2287" s="16"/>
      <c r="O2287" s="16"/>
      <c r="P2287" s="16"/>
    </row>
    <row r="2288" spans="8:16" ht="15.75" customHeight="1">
      <c r="H2288" s="16"/>
      <c r="I2288" s="16"/>
      <c r="J2288" s="20"/>
      <c r="N2288" s="16"/>
      <c r="O2288" s="16"/>
      <c r="P2288" s="16"/>
    </row>
    <row r="2289" spans="8:16" ht="15.75" customHeight="1">
      <c r="H2289" s="16"/>
      <c r="I2289" s="16"/>
      <c r="J2289" s="20"/>
      <c r="N2289" s="16"/>
      <c r="O2289" s="16"/>
      <c r="P2289" s="16"/>
    </row>
    <row r="2290" spans="8:16" ht="15.75" customHeight="1">
      <c r="H2290" s="16"/>
      <c r="I2290" s="16"/>
      <c r="J2290" s="20"/>
      <c r="N2290" s="16"/>
      <c r="O2290" s="16"/>
      <c r="P2290" s="16"/>
    </row>
    <row r="2291" spans="8:16" ht="15.75" customHeight="1">
      <c r="H2291" s="16"/>
      <c r="I2291" s="16"/>
      <c r="J2291" s="20"/>
      <c r="N2291" s="16"/>
      <c r="O2291" s="16"/>
      <c r="P2291" s="16"/>
    </row>
    <row r="2292" spans="8:16" ht="15.75" customHeight="1">
      <c r="H2292" s="16"/>
      <c r="I2292" s="16"/>
      <c r="J2292" s="20"/>
      <c r="N2292" s="16"/>
      <c r="O2292" s="16"/>
      <c r="P2292" s="16"/>
    </row>
    <row r="2293" spans="8:16" ht="15.75" customHeight="1">
      <c r="H2293" s="16"/>
      <c r="I2293" s="16"/>
      <c r="J2293" s="20"/>
      <c r="N2293" s="16"/>
      <c r="O2293" s="16"/>
      <c r="P2293" s="16"/>
    </row>
    <row r="2294" spans="8:16" ht="15.75" customHeight="1">
      <c r="H2294" s="16"/>
      <c r="I2294" s="16"/>
      <c r="J2294" s="20"/>
      <c r="N2294" s="16"/>
      <c r="O2294" s="16"/>
      <c r="P2294" s="16"/>
    </row>
    <row r="2295" spans="8:16" ht="15.75" customHeight="1">
      <c r="H2295" s="16"/>
      <c r="I2295" s="16"/>
      <c r="J2295" s="20"/>
      <c r="N2295" s="16"/>
      <c r="O2295" s="16"/>
      <c r="P2295" s="16"/>
    </row>
    <row r="2296" spans="8:16" ht="15.75" customHeight="1">
      <c r="H2296" s="16"/>
      <c r="I2296" s="16"/>
      <c r="J2296" s="20"/>
      <c r="N2296" s="16"/>
      <c r="O2296" s="16"/>
      <c r="P2296" s="16"/>
    </row>
    <row r="2297" spans="8:16" ht="15.75" customHeight="1">
      <c r="H2297" s="16"/>
      <c r="I2297" s="16"/>
      <c r="J2297" s="20"/>
      <c r="N2297" s="16"/>
      <c r="O2297" s="16"/>
      <c r="P2297" s="16"/>
    </row>
    <row r="2298" spans="8:16" ht="15.75" customHeight="1">
      <c r="H2298" s="16"/>
      <c r="I2298" s="16"/>
      <c r="J2298" s="20"/>
      <c r="N2298" s="16"/>
      <c r="O2298" s="16"/>
      <c r="P2298" s="16"/>
    </row>
    <row r="2299" spans="8:16" ht="15.75" customHeight="1">
      <c r="H2299" s="16"/>
      <c r="I2299" s="16"/>
      <c r="J2299" s="20"/>
      <c r="N2299" s="16"/>
      <c r="O2299" s="16"/>
      <c r="P2299" s="16"/>
    </row>
    <row r="2300" spans="8:16" ht="15.75" customHeight="1">
      <c r="H2300" s="16"/>
      <c r="I2300" s="16"/>
      <c r="J2300" s="20"/>
      <c r="N2300" s="16"/>
      <c r="O2300" s="16"/>
      <c r="P2300" s="16"/>
    </row>
    <row r="2301" spans="8:16" ht="15.75" customHeight="1">
      <c r="H2301" s="16"/>
      <c r="I2301" s="16"/>
      <c r="J2301" s="20"/>
      <c r="N2301" s="16"/>
      <c r="O2301" s="16"/>
      <c r="P2301" s="16"/>
    </row>
    <row r="2302" spans="8:16" ht="15.75" customHeight="1">
      <c r="H2302" s="16"/>
      <c r="I2302" s="16"/>
      <c r="J2302" s="20"/>
      <c r="N2302" s="16"/>
      <c r="O2302" s="16"/>
      <c r="P2302" s="16"/>
    </row>
    <row r="2303" spans="8:16" ht="15.75" customHeight="1">
      <c r="H2303" s="16"/>
      <c r="I2303" s="16"/>
      <c r="J2303" s="20"/>
      <c r="N2303" s="16"/>
      <c r="O2303" s="16"/>
      <c r="P2303" s="16"/>
    </row>
    <row r="2304" spans="8:16" ht="15.75" customHeight="1">
      <c r="H2304" s="16"/>
      <c r="I2304" s="16"/>
      <c r="J2304" s="20"/>
      <c r="N2304" s="16"/>
      <c r="O2304" s="16"/>
      <c r="P2304" s="16"/>
    </row>
    <row r="2305" spans="8:16" ht="15.75" customHeight="1">
      <c r="H2305" s="16"/>
      <c r="I2305" s="16"/>
      <c r="J2305" s="20"/>
      <c r="N2305" s="16"/>
      <c r="O2305" s="16"/>
      <c r="P2305" s="16"/>
    </row>
    <row r="2306" spans="8:16" ht="15.75" customHeight="1">
      <c r="H2306" s="16"/>
      <c r="I2306" s="16"/>
      <c r="J2306" s="20"/>
      <c r="N2306" s="16"/>
      <c r="O2306" s="16"/>
      <c r="P2306" s="16"/>
    </row>
    <row r="2307" spans="8:16" ht="15.75" customHeight="1">
      <c r="H2307" s="16"/>
      <c r="I2307" s="16"/>
      <c r="J2307" s="20"/>
      <c r="N2307" s="16"/>
      <c r="O2307" s="16"/>
      <c r="P2307" s="16"/>
    </row>
    <row r="2308" spans="8:16" ht="15.75" customHeight="1">
      <c r="H2308" s="16"/>
      <c r="I2308" s="16"/>
      <c r="J2308" s="20"/>
      <c r="N2308" s="16"/>
      <c r="O2308" s="16"/>
      <c r="P2308" s="16"/>
    </row>
    <row r="2309" spans="8:16" ht="15.75" customHeight="1">
      <c r="H2309" s="16"/>
      <c r="I2309" s="16"/>
      <c r="J2309" s="20"/>
      <c r="N2309" s="16"/>
      <c r="O2309" s="16"/>
      <c r="P2309" s="16"/>
    </row>
    <row r="2310" spans="8:16" ht="15.75" customHeight="1">
      <c r="H2310" s="16"/>
      <c r="I2310" s="16"/>
      <c r="J2310" s="20"/>
      <c r="N2310" s="16"/>
      <c r="O2310" s="16"/>
      <c r="P2310" s="16"/>
    </row>
    <row r="2311" spans="8:16" ht="15.75" customHeight="1">
      <c r="H2311" s="16"/>
      <c r="I2311" s="16"/>
      <c r="J2311" s="20"/>
      <c r="N2311" s="16"/>
      <c r="O2311" s="16"/>
      <c r="P2311" s="16"/>
    </row>
    <row r="2312" spans="8:16" ht="15.75" customHeight="1">
      <c r="H2312" s="16"/>
      <c r="I2312" s="16"/>
      <c r="J2312" s="20"/>
      <c r="N2312" s="16"/>
      <c r="O2312" s="16"/>
      <c r="P2312" s="16"/>
    </row>
    <row r="2313" spans="8:16" ht="15.75" customHeight="1">
      <c r="H2313" s="16"/>
      <c r="I2313" s="16"/>
      <c r="J2313" s="20"/>
      <c r="N2313" s="16"/>
      <c r="O2313" s="16"/>
      <c r="P2313" s="16"/>
    </row>
    <row r="2314" spans="8:16" ht="15.75" customHeight="1">
      <c r="H2314" s="16"/>
      <c r="I2314" s="16"/>
      <c r="J2314" s="20"/>
      <c r="N2314" s="16"/>
      <c r="O2314" s="16"/>
      <c r="P2314" s="16"/>
    </row>
    <row r="2315" spans="8:16" ht="15.75" customHeight="1">
      <c r="H2315" s="16"/>
      <c r="I2315" s="16"/>
      <c r="J2315" s="20"/>
      <c r="N2315" s="16"/>
      <c r="O2315" s="16"/>
      <c r="P2315" s="16"/>
    </row>
    <row r="2316" spans="8:16" ht="15.75" customHeight="1">
      <c r="H2316" s="16"/>
      <c r="I2316" s="16"/>
      <c r="J2316" s="20"/>
      <c r="N2316" s="16"/>
      <c r="O2316" s="16"/>
      <c r="P2316" s="16"/>
    </row>
    <row r="2317" spans="8:16" ht="15.75" customHeight="1">
      <c r="H2317" s="16"/>
      <c r="I2317" s="16"/>
      <c r="J2317" s="20"/>
      <c r="N2317" s="16"/>
      <c r="O2317" s="16"/>
      <c r="P2317" s="16"/>
    </row>
    <row r="2318" spans="8:16" ht="15.75" customHeight="1">
      <c r="H2318" s="16"/>
      <c r="I2318" s="16"/>
      <c r="J2318" s="20"/>
      <c r="N2318" s="16"/>
      <c r="O2318" s="16"/>
      <c r="P2318" s="16"/>
    </row>
    <row r="2319" spans="8:16" ht="15.75" customHeight="1">
      <c r="H2319" s="16"/>
      <c r="I2319" s="16"/>
      <c r="J2319" s="20"/>
      <c r="N2319" s="16"/>
      <c r="O2319" s="16"/>
      <c r="P2319" s="16"/>
    </row>
    <row r="2320" spans="8:16" ht="15.75" customHeight="1">
      <c r="H2320" s="16"/>
      <c r="I2320" s="16"/>
      <c r="J2320" s="20"/>
      <c r="N2320" s="16"/>
      <c r="O2320" s="16"/>
      <c r="P2320" s="16"/>
    </row>
    <row r="2321" spans="8:16" ht="15.75" customHeight="1">
      <c r="H2321" s="16"/>
      <c r="I2321" s="16"/>
      <c r="J2321" s="20"/>
      <c r="N2321" s="16"/>
      <c r="O2321" s="16"/>
      <c r="P2321" s="16"/>
    </row>
    <row r="2322" spans="8:16" ht="15.75" customHeight="1">
      <c r="H2322" s="16"/>
      <c r="I2322" s="16"/>
      <c r="J2322" s="20"/>
      <c r="N2322" s="16"/>
      <c r="O2322" s="16"/>
      <c r="P2322" s="16"/>
    </row>
    <row r="2323" spans="8:16" ht="15.75" customHeight="1">
      <c r="H2323" s="16"/>
      <c r="I2323" s="16"/>
      <c r="J2323" s="20"/>
      <c r="N2323" s="16"/>
      <c r="O2323" s="16"/>
      <c r="P2323" s="16"/>
    </row>
    <row r="2324" spans="8:16" ht="15.75" customHeight="1">
      <c r="H2324" s="16"/>
      <c r="I2324" s="16"/>
      <c r="J2324" s="20"/>
      <c r="N2324" s="16"/>
      <c r="O2324" s="16"/>
      <c r="P2324" s="16"/>
    </row>
    <row r="2325" spans="8:16" ht="15.75" customHeight="1">
      <c r="H2325" s="16"/>
      <c r="I2325" s="16"/>
      <c r="J2325" s="20"/>
      <c r="N2325" s="16"/>
      <c r="O2325" s="16"/>
      <c r="P2325" s="16"/>
    </row>
    <row r="2326" spans="8:16" ht="15.75" customHeight="1">
      <c r="H2326" s="16"/>
      <c r="I2326" s="16"/>
      <c r="J2326" s="20"/>
      <c r="N2326" s="16"/>
      <c r="O2326" s="16"/>
      <c r="P2326" s="16"/>
    </row>
    <row r="2327" spans="8:16" ht="15.75" customHeight="1">
      <c r="H2327" s="16"/>
      <c r="I2327" s="16"/>
      <c r="J2327" s="20"/>
      <c r="N2327" s="16"/>
      <c r="O2327" s="16"/>
      <c r="P2327" s="16"/>
    </row>
    <row r="2328" spans="8:16" ht="15.75" customHeight="1">
      <c r="H2328" s="16"/>
      <c r="I2328" s="16"/>
      <c r="J2328" s="20"/>
      <c r="N2328" s="16"/>
      <c r="O2328" s="16"/>
      <c r="P2328" s="16"/>
    </row>
    <row r="2329" spans="8:16" ht="15.75" customHeight="1">
      <c r="H2329" s="16"/>
      <c r="I2329" s="16"/>
      <c r="J2329" s="20"/>
      <c r="N2329" s="16"/>
      <c r="O2329" s="16"/>
      <c r="P2329" s="16"/>
    </row>
    <row r="2330" spans="8:16" ht="15.75" customHeight="1">
      <c r="H2330" s="16"/>
      <c r="I2330" s="16"/>
      <c r="J2330" s="20"/>
      <c r="N2330" s="16"/>
      <c r="O2330" s="16"/>
      <c r="P2330" s="16"/>
    </row>
    <row r="2331" spans="8:16" ht="15.75" customHeight="1">
      <c r="H2331" s="16"/>
      <c r="I2331" s="16"/>
      <c r="J2331" s="20"/>
      <c r="N2331" s="16"/>
      <c r="O2331" s="16"/>
      <c r="P2331" s="16"/>
    </row>
    <row r="2332" spans="8:16" ht="15.75" customHeight="1">
      <c r="H2332" s="16"/>
      <c r="I2332" s="16"/>
      <c r="J2332" s="20"/>
      <c r="N2332" s="16"/>
      <c r="O2332" s="16"/>
      <c r="P2332" s="16"/>
    </row>
    <row r="2333" spans="8:16" ht="15.75" customHeight="1">
      <c r="H2333" s="16"/>
      <c r="I2333" s="16"/>
      <c r="J2333" s="20"/>
      <c r="N2333" s="16"/>
      <c r="O2333" s="16"/>
      <c r="P2333" s="16"/>
    </row>
    <row r="2334" spans="8:16" ht="15.75" customHeight="1">
      <c r="H2334" s="16"/>
      <c r="I2334" s="16"/>
      <c r="J2334" s="20"/>
      <c r="N2334" s="16"/>
      <c r="O2334" s="16"/>
      <c r="P2334" s="16"/>
    </row>
    <row r="2335" spans="8:16" ht="15.75" customHeight="1">
      <c r="H2335" s="16"/>
      <c r="I2335" s="16"/>
      <c r="J2335" s="20"/>
      <c r="N2335" s="16"/>
      <c r="O2335" s="16"/>
      <c r="P2335" s="16"/>
    </row>
    <row r="2336" spans="8:16" ht="15.75" customHeight="1">
      <c r="H2336" s="16"/>
      <c r="I2336" s="16"/>
      <c r="J2336" s="20"/>
      <c r="N2336" s="16"/>
      <c r="O2336" s="16"/>
      <c r="P2336" s="16"/>
    </row>
    <row r="2337" spans="8:16" ht="15.75" customHeight="1">
      <c r="H2337" s="16"/>
      <c r="I2337" s="16"/>
      <c r="J2337" s="20"/>
      <c r="N2337" s="16"/>
      <c r="O2337" s="16"/>
      <c r="P2337" s="16"/>
    </row>
    <row r="2338" spans="8:16" ht="15.75" customHeight="1">
      <c r="H2338" s="16"/>
      <c r="I2338" s="16"/>
      <c r="J2338" s="20"/>
      <c r="N2338" s="16"/>
      <c r="O2338" s="16"/>
      <c r="P2338" s="16"/>
    </row>
    <row r="2339" spans="8:16" ht="15.75" customHeight="1">
      <c r="H2339" s="16"/>
      <c r="I2339" s="16"/>
      <c r="J2339" s="20"/>
      <c r="N2339" s="16"/>
      <c r="O2339" s="16"/>
      <c r="P2339" s="16"/>
    </row>
    <row r="2340" spans="8:16" ht="15.75" customHeight="1">
      <c r="H2340" s="16"/>
      <c r="I2340" s="16"/>
      <c r="J2340" s="20"/>
      <c r="N2340" s="16"/>
      <c r="O2340" s="16"/>
      <c r="P2340" s="16"/>
    </row>
    <row r="2341" spans="8:16" ht="15.75" customHeight="1">
      <c r="H2341" s="16"/>
      <c r="I2341" s="16"/>
      <c r="J2341" s="20"/>
      <c r="N2341" s="16"/>
      <c r="O2341" s="16"/>
      <c r="P2341" s="16"/>
    </row>
    <row r="2342" spans="8:16" ht="15.75" customHeight="1">
      <c r="H2342" s="16"/>
      <c r="I2342" s="16"/>
      <c r="J2342" s="20"/>
      <c r="N2342" s="16"/>
      <c r="O2342" s="16"/>
      <c r="P2342" s="16"/>
    </row>
    <row r="2343" spans="8:16" ht="15.75" customHeight="1">
      <c r="H2343" s="16"/>
      <c r="I2343" s="16"/>
      <c r="J2343" s="20"/>
      <c r="N2343" s="16"/>
      <c r="O2343" s="16"/>
      <c r="P2343" s="16"/>
    </row>
    <row r="2344" spans="8:16" ht="15.75" customHeight="1">
      <c r="H2344" s="16"/>
      <c r="I2344" s="16"/>
      <c r="J2344" s="20"/>
      <c r="N2344" s="16"/>
      <c r="O2344" s="16"/>
      <c r="P2344" s="16"/>
    </row>
    <row r="2345" spans="8:16" ht="15.75" customHeight="1">
      <c r="H2345" s="16"/>
      <c r="I2345" s="16"/>
      <c r="J2345" s="20"/>
      <c r="N2345" s="16"/>
      <c r="O2345" s="16"/>
      <c r="P2345" s="16"/>
    </row>
    <row r="2346" spans="8:16" ht="15.75" customHeight="1">
      <c r="H2346" s="16"/>
      <c r="I2346" s="16"/>
      <c r="J2346" s="20"/>
      <c r="N2346" s="16"/>
      <c r="O2346" s="16"/>
      <c r="P2346" s="16"/>
    </row>
    <row r="2347" spans="8:16" ht="15.75" customHeight="1">
      <c r="H2347" s="16"/>
      <c r="I2347" s="16"/>
      <c r="J2347" s="20"/>
      <c r="N2347" s="16"/>
      <c r="O2347" s="16"/>
      <c r="P2347" s="16"/>
    </row>
    <row r="2348" spans="8:16" ht="15.75" customHeight="1">
      <c r="H2348" s="16"/>
      <c r="I2348" s="16"/>
      <c r="J2348" s="20"/>
      <c r="N2348" s="16"/>
      <c r="O2348" s="16"/>
      <c r="P2348" s="16"/>
    </row>
    <row r="2349" spans="8:16" ht="15.75" customHeight="1">
      <c r="H2349" s="16"/>
      <c r="I2349" s="16"/>
      <c r="J2349" s="20"/>
      <c r="N2349" s="16"/>
      <c r="O2349" s="16"/>
      <c r="P2349" s="16"/>
    </row>
    <row r="2350" spans="8:16" ht="15.75" customHeight="1">
      <c r="H2350" s="16"/>
      <c r="I2350" s="16"/>
      <c r="J2350" s="20"/>
      <c r="N2350" s="16"/>
      <c r="O2350" s="16"/>
      <c r="P2350" s="16"/>
    </row>
    <row r="2351" spans="8:16" ht="15.75" customHeight="1">
      <c r="H2351" s="16"/>
      <c r="I2351" s="16"/>
      <c r="J2351" s="20"/>
      <c r="N2351" s="16"/>
      <c r="O2351" s="16"/>
      <c r="P2351" s="16"/>
    </row>
    <row r="2352" spans="8:16" ht="15.75" customHeight="1">
      <c r="H2352" s="16"/>
      <c r="I2352" s="16"/>
      <c r="J2352" s="20"/>
      <c r="N2352" s="16"/>
      <c r="O2352" s="16"/>
      <c r="P2352" s="16"/>
    </row>
    <row r="2353" spans="8:16" ht="15.75" customHeight="1">
      <c r="H2353" s="16"/>
      <c r="I2353" s="16"/>
      <c r="J2353" s="20"/>
      <c r="N2353" s="16"/>
      <c r="O2353" s="16"/>
      <c r="P2353" s="16"/>
    </row>
    <row r="2354" spans="8:16" ht="15.75" customHeight="1">
      <c r="H2354" s="16"/>
      <c r="I2354" s="16"/>
      <c r="J2354" s="20"/>
      <c r="N2354" s="16"/>
      <c r="O2354" s="16"/>
      <c r="P2354" s="16"/>
    </row>
    <row r="2355" spans="8:16" ht="15.75" customHeight="1">
      <c r="H2355" s="16"/>
      <c r="I2355" s="16"/>
      <c r="J2355" s="20"/>
      <c r="N2355" s="16"/>
      <c r="O2355" s="16"/>
      <c r="P2355" s="16"/>
    </row>
    <row r="2356" spans="8:16" ht="15.75" customHeight="1">
      <c r="H2356" s="16"/>
      <c r="I2356" s="16"/>
      <c r="J2356" s="20"/>
      <c r="N2356" s="16"/>
      <c r="O2356" s="16"/>
      <c r="P2356" s="16"/>
    </row>
    <row r="2357" spans="8:16" ht="15.75" customHeight="1">
      <c r="H2357" s="16"/>
      <c r="I2357" s="16"/>
      <c r="J2357" s="20"/>
      <c r="N2357" s="16"/>
      <c r="O2357" s="16"/>
      <c r="P2357" s="16"/>
    </row>
    <row r="2358" spans="8:16" ht="15.75" customHeight="1">
      <c r="H2358" s="16"/>
      <c r="I2358" s="16"/>
      <c r="J2358" s="20"/>
      <c r="N2358" s="16"/>
      <c r="O2358" s="16"/>
      <c r="P2358" s="16"/>
    </row>
    <row r="2359" spans="8:16" ht="15.75" customHeight="1">
      <c r="H2359" s="16"/>
      <c r="I2359" s="16"/>
      <c r="J2359" s="20"/>
      <c r="N2359" s="16"/>
      <c r="O2359" s="16"/>
      <c r="P2359" s="16"/>
    </row>
    <row r="2360" spans="8:16" ht="15.75" customHeight="1">
      <c r="H2360" s="16"/>
      <c r="I2360" s="16"/>
      <c r="J2360" s="20"/>
      <c r="N2360" s="16"/>
      <c r="O2360" s="16"/>
      <c r="P2360" s="16"/>
    </row>
    <row r="2361" spans="8:16" ht="15.75" customHeight="1">
      <c r="H2361" s="16"/>
      <c r="I2361" s="16"/>
      <c r="J2361" s="20"/>
      <c r="N2361" s="16"/>
      <c r="O2361" s="16"/>
      <c r="P2361" s="16"/>
    </row>
    <row r="2362" spans="8:16" ht="15.75" customHeight="1">
      <c r="H2362" s="16"/>
      <c r="I2362" s="16"/>
      <c r="J2362" s="20"/>
      <c r="N2362" s="16"/>
      <c r="O2362" s="16"/>
      <c r="P2362" s="16"/>
    </row>
    <row r="2363" spans="8:16" ht="15.75" customHeight="1">
      <c r="H2363" s="16"/>
      <c r="I2363" s="16"/>
      <c r="J2363" s="20"/>
      <c r="N2363" s="16"/>
      <c r="O2363" s="16"/>
      <c r="P2363" s="16"/>
    </row>
    <row r="2364" spans="8:16" ht="15.75" customHeight="1">
      <c r="H2364" s="16"/>
      <c r="I2364" s="16"/>
      <c r="J2364" s="20"/>
      <c r="N2364" s="16"/>
      <c r="O2364" s="16"/>
      <c r="P2364" s="16"/>
    </row>
    <row r="2365" spans="8:16" ht="15.75" customHeight="1">
      <c r="H2365" s="16"/>
      <c r="I2365" s="16"/>
      <c r="J2365" s="20"/>
      <c r="N2365" s="16"/>
      <c r="O2365" s="16"/>
      <c r="P2365" s="16"/>
    </row>
    <row r="2366" spans="8:16" ht="15.75" customHeight="1">
      <c r="H2366" s="16"/>
      <c r="I2366" s="16"/>
      <c r="J2366" s="20"/>
      <c r="N2366" s="16"/>
      <c r="O2366" s="16"/>
      <c r="P2366" s="16"/>
    </row>
    <row r="2367" spans="8:16" ht="15.75" customHeight="1">
      <c r="H2367" s="16"/>
      <c r="I2367" s="16"/>
      <c r="J2367" s="20"/>
      <c r="N2367" s="16"/>
      <c r="O2367" s="16"/>
      <c r="P2367" s="16"/>
    </row>
    <row r="2368" spans="8:16" ht="15.75" customHeight="1">
      <c r="H2368" s="16"/>
      <c r="I2368" s="16"/>
      <c r="J2368" s="20"/>
      <c r="N2368" s="16"/>
      <c r="O2368" s="16"/>
      <c r="P2368" s="16"/>
    </row>
    <row r="2369" spans="8:16" ht="15.75" customHeight="1">
      <c r="H2369" s="16"/>
      <c r="I2369" s="16"/>
      <c r="J2369" s="20"/>
      <c r="N2369" s="16"/>
      <c r="O2369" s="16"/>
      <c r="P2369" s="16"/>
    </row>
    <row r="2370" spans="8:16" ht="15.75" customHeight="1">
      <c r="H2370" s="16"/>
      <c r="I2370" s="16"/>
      <c r="J2370" s="20"/>
      <c r="N2370" s="16"/>
      <c r="O2370" s="16"/>
      <c r="P2370" s="16"/>
    </row>
    <row r="2371" spans="8:16" ht="15.75" customHeight="1">
      <c r="H2371" s="16"/>
      <c r="I2371" s="16"/>
      <c r="J2371" s="20"/>
      <c r="N2371" s="16"/>
      <c r="O2371" s="16"/>
      <c r="P2371" s="16"/>
    </row>
    <row r="2372" spans="8:16" ht="15.75" customHeight="1">
      <c r="H2372" s="16"/>
      <c r="I2372" s="16"/>
      <c r="J2372" s="20"/>
      <c r="N2372" s="16"/>
      <c r="O2372" s="16"/>
      <c r="P2372" s="16"/>
    </row>
    <row r="2373" spans="8:16" ht="15.75" customHeight="1">
      <c r="H2373" s="16"/>
      <c r="I2373" s="16"/>
      <c r="J2373" s="20"/>
      <c r="N2373" s="16"/>
      <c r="O2373" s="16"/>
      <c r="P2373" s="16"/>
    </row>
    <row r="2374" spans="8:16" ht="15.75" customHeight="1">
      <c r="H2374" s="16"/>
      <c r="I2374" s="16"/>
      <c r="J2374" s="20"/>
      <c r="N2374" s="16"/>
      <c r="O2374" s="16"/>
      <c r="P2374" s="16"/>
    </row>
    <row r="2375" spans="8:16" ht="15.75" customHeight="1">
      <c r="H2375" s="16"/>
      <c r="I2375" s="16"/>
      <c r="J2375" s="20"/>
      <c r="N2375" s="16"/>
      <c r="O2375" s="16"/>
      <c r="P2375" s="16"/>
    </row>
    <row r="2376" spans="8:16" ht="15.75" customHeight="1">
      <c r="H2376" s="16"/>
      <c r="I2376" s="16"/>
      <c r="J2376" s="20"/>
      <c r="N2376" s="16"/>
      <c r="O2376" s="16"/>
      <c r="P2376" s="16"/>
    </row>
    <row r="2377" spans="8:16" ht="15.75" customHeight="1">
      <c r="H2377" s="16"/>
      <c r="I2377" s="16"/>
      <c r="J2377" s="20"/>
      <c r="N2377" s="16"/>
      <c r="O2377" s="16"/>
      <c r="P2377" s="16"/>
    </row>
    <row r="2378" spans="8:16" ht="15.75" customHeight="1">
      <c r="H2378" s="16"/>
      <c r="I2378" s="16"/>
      <c r="J2378" s="20"/>
      <c r="N2378" s="16"/>
      <c r="O2378" s="16"/>
      <c r="P2378" s="16"/>
    </row>
    <row r="2379" spans="8:16" ht="15.75" customHeight="1">
      <c r="H2379" s="16"/>
      <c r="I2379" s="16"/>
      <c r="J2379" s="20"/>
      <c r="N2379" s="16"/>
      <c r="O2379" s="16"/>
      <c r="P2379" s="16"/>
    </row>
    <row r="2380" spans="8:16" ht="15.75" customHeight="1">
      <c r="H2380" s="16"/>
      <c r="I2380" s="16"/>
      <c r="J2380" s="20"/>
      <c r="N2380" s="16"/>
      <c r="O2380" s="16"/>
      <c r="P2380" s="16"/>
    </row>
    <row r="2381" spans="8:16" ht="15.75" customHeight="1">
      <c r="H2381" s="16"/>
      <c r="I2381" s="16"/>
      <c r="J2381" s="20"/>
      <c r="N2381" s="16"/>
      <c r="O2381" s="16"/>
      <c r="P2381" s="16"/>
    </row>
    <row r="2382" spans="8:16" ht="15.75" customHeight="1">
      <c r="H2382" s="16"/>
      <c r="I2382" s="16"/>
      <c r="J2382" s="20"/>
      <c r="N2382" s="16"/>
      <c r="O2382" s="16"/>
      <c r="P2382" s="16"/>
    </row>
    <row r="2383" spans="8:16" ht="15.75" customHeight="1">
      <c r="H2383" s="16"/>
      <c r="I2383" s="16"/>
      <c r="J2383" s="20"/>
      <c r="N2383" s="16"/>
      <c r="O2383" s="16"/>
      <c r="P2383" s="16"/>
    </row>
    <row r="2384" spans="8:16" ht="15.75" customHeight="1">
      <c r="H2384" s="16"/>
      <c r="I2384" s="16"/>
      <c r="J2384" s="20"/>
      <c r="N2384" s="16"/>
      <c r="O2384" s="16"/>
      <c r="P2384" s="16"/>
    </row>
    <row r="2385" spans="8:16" ht="15.75" customHeight="1">
      <c r="H2385" s="16"/>
      <c r="I2385" s="16"/>
      <c r="J2385" s="20"/>
      <c r="N2385" s="16"/>
      <c r="O2385" s="16"/>
      <c r="P2385" s="16"/>
    </row>
    <row r="2386" spans="8:16" ht="15.75" customHeight="1">
      <c r="H2386" s="16"/>
      <c r="I2386" s="16"/>
      <c r="J2386" s="20"/>
      <c r="N2386" s="16"/>
      <c r="O2386" s="16"/>
      <c r="P2386" s="16"/>
    </row>
    <row r="2387" spans="8:16" ht="15.75" customHeight="1">
      <c r="H2387" s="16"/>
      <c r="I2387" s="16"/>
      <c r="J2387" s="20"/>
      <c r="N2387" s="16"/>
      <c r="O2387" s="16"/>
      <c r="P2387" s="16"/>
    </row>
    <row r="2388" spans="8:16" ht="15.75" customHeight="1">
      <c r="H2388" s="16"/>
      <c r="I2388" s="16"/>
      <c r="J2388" s="20"/>
      <c r="N2388" s="16"/>
      <c r="O2388" s="16"/>
      <c r="P2388" s="16"/>
    </row>
    <row r="2389" spans="8:16" ht="15.75" customHeight="1">
      <c r="H2389" s="16"/>
      <c r="I2389" s="16"/>
      <c r="J2389" s="20"/>
      <c r="N2389" s="16"/>
      <c r="O2389" s="16"/>
      <c r="P2389" s="16"/>
    </row>
    <row r="2390" spans="8:16" ht="15.75" customHeight="1">
      <c r="H2390" s="16"/>
      <c r="I2390" s="16"/>
      <c r="J2390" s="20"/>
      <c r="N2390" s="16"/>
      <c r="O2390" s="16"/>
      <c r="P2390" s="16"/>
    </row>
    <row r="2391" spans="8:16" ht="15.75" customHeight="1">
      <c r="H2391" s="16"/>
      <c r="I2391" s="16"/>
      <c r="J2391" s="20"/>
      <c r="N2391" s="16"/>
      <c r="O2391" s="16"/>
      <c r="P2391" s="16"/>
    </row>
    <row r="2392" spans="8:16" ht="15.75" customHeight="1">
      <c r="H2392" s="16"/>
      <c r="I2392" s="16"/>
      <c r="J2392" s="20"/>
      <c r="N2392" s="16"/>
      <c r="O2392" s="16"/>
      <c r="P2392" s="16"/>
    </row>
    <row r="2393" spans="8:16" ht="15.75" customHeight="1">
      <c r="H2393" s="16"/>
      <c r="I2393" s="16"/>
      <c r="J2393" s="20"/>
      <c r="N2393" s="16"/>
      <c r="O2393" s="16"/>
      <c r="P2393" s="16"/>
    </row>
    <row r="2394" spans="8:16" ht="15.75" customHeight="1">
      <c r="H2394" s="16"/>
      <c r="I2394" s="16"/>
      <c r="J2394" s="20"/>
      <c r="N2394" s="16"/>
      <c r="O2394" s="16"/>
      <c r="P2394" s="16"/>
    </row>
    <row r="2395" spans="8:16" ht="15.75" customHeight="1">
      <c r="H2395" s="16"/>
      <c r="I2395" s="16"/>
      <c r="J2395" s="20"/>
      <c r="N2395" s="16"/>
      <c r="O2395" s="16"/>
      <c r="P2395" s="16"/>
    </row>
    <row r="2396" spans="8:16" ht="15.75" customHeight="1">
      <c r="H2396" s="16"/>
      <c r="I2396" s="16"/>
      <c r="J2396" s="20"/>
      <c r="N2396" s="16"/>
      <c r="O2396" s="16"/>
      <c r="P2396" s="16"/>
    </row>
    <row r="2397" spans="8:16" ht="15.75" customHeight="1">
      <c r="H2397" s="16"/>
      <c r="I2397" s="16"/>
      <c r="J2397" s="20"/>
      <c r="N2397" s="16"/>
      <c r="O2397" s="16"/>
      <c r="P2397" s="16"/>
    </row>
    <row r="2398" spans="8:16" ht="15.75" customHeight="1">
      <c r="H2398" s="16"/>
      <c r="I2398" s="16"/>
      <c r="J2398" s="20"/>
      <c r="N2398" s="16"/>
      <c r="O2398" s="16"/>
      <c r="P2398" s="16"/>
    </row>
    <row r="2399" spans="8:16" ht="15.75" customHeight="1">
      <c r="H2399" s="16"/>
      <c r="I2399" s="16"/>
      <c r="J2399" s="20"/>
      <c r="N2399" s="16"/>
      <c r="O2399" s="16"/>
      <c r="P2399" s="16"/>
    </row>
    <row r="2400" spans="8:16" ht="15.75" customHeight="1">
      <c r="H2400" s="16"/>
      <c r="I2400" s="16"/>
      <c r="J2400" s="20"/>
      <c r="N2400" s="16"/>
      <c r="O2400" s="16"/>
      <c r="P2400" s="16"/>
    </row>
    <row r="2401" spans="8:16" ht="15.75" customHeight="1">
      <c r="H2401" s="16"/>
      <c r="I2401" s="16"/>
      <c r="J2401" s="20"/>
      <c r="N2401" s="16"/>
      <c r="O2401" s="16"/>
      <c r="P2401" s="16"/>
    </row>
    <row r="2402" spans="8:16" ht="15.75" customHeight="1">
      <c r="H2402" s="16"/>
      <c r="I2402" s="16"/>
      <c r="J2402" s="20"/>
      <c r="N2402" s="16"/>
      <c r="O2402" s="16"/>
      <c r="P2402" s="16"/>
    </row>
    <row r="2403" spans="8:16" ht="15.75" customHeight="1">
      <c r="H2403" s="16"/>
      <c r="I2403" s="16"/>
      <c r="J2403" s="20"/>
      <c r="N2403" s="16"/>
      <c r="O2403" s="16"/>
      <c r="P2403" s="16"/>
    </row>
    <row r="2404" spans="8:16" ht="15.75" customHeight="1">
      <c r="H2404" s="16"/>
      <c r="I2404" s="16"/>
      <c r="J2404" s="20"/>
      <c r="N2404" s="16"/>
      <c r="O2404" s="16"/>
      <c r="P2404" s="16"/>
    </row>
    <row r="2405" spans="8:16" ht="15.75" customHeight="1">
      <c r="H2405" s="16"/>
      <c r="I2405" s="16"/>
      <c r="J2405" s="20"/>
      <c r="N2405" s="16"/>
      <c r="O2405" s="16"/>
      <c r="P2405" s="16"/>
    </row>
    <row r="2406" spans="8:16" ht="15.75" customHeight="1">
      <c r="H2406" s="16"/>
      <c r="I2406" s="16"/>
      <c r="J2406" s="20"/>
      <c r="N2406" s="16"/>
      <c r="O2406" s="16"/>
      <c r="P2406" s="16"/>
    </row>
    <row r="2407" spans="8:16" ht="15.75" customHeight="1">
      <c r="H2407" s="16"/>
      <c r="I2407" s="16"/>
      <c r="J2407" s="20"/>
      <c r="N2407" s="16"/>
      <c r="O2407" s="16"/>
      <c r="P2407" s="16"/>
    </row>
    <row r="2408" spans="8:16" ht="15.75" customHeight="1">
      <c r="H2408" s="16"/>
      <c r="I2408" s="16"/>
      <c r="J2408" s="20"/>
      <c r="N2408" s="16"/>
      <c r="O2408" s="16"/>
      <c r="P2408" s="16"/>
    </row>
    <row r="2409" spans="8:16" ht="15.75" customHeight="1">
      <c r="H2409" s="16"/>
      <c r="I2409" s="16"/>
      <c r="J2409" s="20"/>
      <c r="N2409" s="16"/>
      <c r="O2409" s="16"/>
      <c r="P2409" s="16"/>
    </row>
    <row r="2410" spans="8:16" ht="15.75" customHeight="1">
      <c r="H2410" s="16"/>
      <c r="I2410" s="16"/>
      <c r="J2410" s="20"/>
      <c r="N2410" s="16"/>
      <c r="O2410" s="16"/>
      <c r="P2410" s="16"/>
    </row>
    <row r="2411" spans="8:16" ht="15.75" customHeight="1">
      <c r="H2411" s="16"/>
      <c r="I2411" s="16"/>
      <c r="J2411" s="20"/>
      <c r="N2411" s="16"/>
      <c r="O2411" s="16"/>
      <c r="P2411" s="16"/>
    </row>
    <row r="2412" spans="8:16" ht="15.75" customHeight="1">
      <c r="H2412" s="16"/>
      <c r="I2412" s="16"/>
      <c r="J2412" s="20"/>
      <c r="N2412" s="16"/>
      <c r="O2412" s="16"/>
      <c r="P2412" s="16"/>
    </row>
    <row r="2413" spans="8:16" ht="15.75" customHeight="1">
      <c r="H2413" s="16"/>
      <c r="I2413" s="16"/>
      <c r="J2413" s="20"/>
      <c r="N2413" s="16"/>
      <c r="O2413" s="16"/>
      <c r="P2413" s="16"/>
    </row>
    <row r="2414" spans="8:16" ht="15.75" customHeight="1">
      <c r="H2414" s="16"/>
      <c r="I2414" s="16"/>
      <c r="J2414" s="20"/>
      <c r="N2414" s="16"/>
      <c r="O2414" s="16"/>
      <c r="P2414" s="16"/>
    </row>
    <row r="2415" spans="8:16" ht="15.75" customHeight="1">
      <c r="H2415" s="16"/>
      <c r="I2415" s="16"/>
      <c r="J2415" s="20"/>
      <c r="N2415" s="16"/>
      <c r="O2415" s="16"/>
      <c r="P2415" s="16"/>
    </row>
    <row r="2416" spans="8:16" ht="15.75" customHeight="1">
      <c r="H2416" s="16"/>
      <c r="I2416" s="16"/>
      <c r="J2416" s="20"/>
      <c r="N2416" s="16"/>
      <c r="O2416" s="16"/>
      <c r="P2416" s="16"/>
    </row>
    <row r="2417" spans="8:16" ht="15.75" customHeight="1">
      <c r="H2417" s="16"/>
      <c r="I2417" s="16"/>
      <c r="J2417" s="20"/>
      <c r="N2417" s="16"/>
      <c r="O2417" s="16"/>
      <c r="P2417" s="16"/>
    </row>
    <row r="2418" spans="8:16" ht="15.75" customHeight="1">
      <c r="H2418" s="16"/>
      <c r="I2418" s="16"/>
      <c r="J2418" s="20"/>
      <c r="N2418" s="16"/>
      <c r="O2418" s="16"/>
      <c r="P2418" s="16"/>
    </row>
    <row r="2419" spans="8:16" ht="15.75" customHeight="1">
      <c r="H2419" s="16"/>
      <c r="I2419" s="16"/>
      <c r="J2419" s="20"/>
      <c r="N2419" s="16"/>
      <c r="O2419" s="16"/>
      <c r="P2419" s="16"/>
    </row>
    <row r="2420" spans="8:16" ht="15.75" customHeight="1">
      <c r="H2420" s="16"/>
      <c r="I2420" s="16"/>
      <c r="J2420" s="20"/>
      <c r="N2420" s="16"/>
      <c r="O2420" s="16"/>
      <c r="P2420" s="16"/>
    </row>
    <row r="2421" spans="8:16" ht="15.75" customHeight="1">
      <c r="H2421" s="16"/>
      <c r="I2421" s="16"/>
      <c r="J2421" s="20"/>
      <c r="N2421" s="16"/>
      <c r="O2421" s="16"/>
      <c r="P2421" s="16"/>
    </row>
    <row r="2422" spans="8:16" ht="15.75" customHeight="1">
      <c r="H2422" s="16"/>
      <c r="I2422" s="16"/>
      <c r="J2422" s="20"/>
      <c r="N2422" s="16"/>
      <c r="O2422" s="16"/>
      <c r="P2422" s="16"/>
    </row>
    <row r="2423" spans="8:16" ht="15.75" customHeight="1">
      <c r="H2423" s="16"/>
      <c r="I2423" s="16"/>
      <c r="J2423" s="20"/>
      <c r="N2423" s="16"/>
      <c r="O2423" s="16"/>
      <c r="P2423" s="16"/>
    </row>
    <row r="2424" spans="8:16" ht="15.75" customHeight="1">
      <c r="H2424" s="16"/>
      <c r="I2424" s="16"/>
      <c r="J2424" s="20"/>
      <c r="N2424" s="16"/>
      <c r="O2424" s="16"/>
      <c r="P2424" s="16"/>
    </row>
    <row r="2425" spans="8:16" ht="15.75" customHeight="1">
      <c r="H2425" s="16"/>
      <c r="I2425" s="16"/>
      <c r="J2425" s="20"/>
      <c r="N2425" s="16"/>
      <c r="O2425" s="16"/>
      <c r="P2425" s="16"/>
    </row>
    <row r="2426" spans="8:16" ht="15.75" customHeight="1">
      <c r="H2426" s="16"/>
      <c r="I2426" s="16"/>
      <c r="J2426" s="20"/>
      <c r="N2426" s="16"/>
      <c r="O2426" s="16"/>
      <c r="P2426" s="16"/>
    </row>
    <row r="2427" spans="8:16" ht="15.75" customHeight="1">
      <c r="H2427" s="16"/>
      <c r="I2427" s="16"/>
      <c r="J2427" s="20"/>
      <c r="N2427" s="16"/>
      <c r="O2427" s="16"/>
      <c r="P2427" s="16"/>
    </row>
    <row r="2428" spans="8:16" ht="15.75" customHeight="1">
      <c r="H2428" s="16"/>
      <c r="I2428" s="16"/>
      <c r="J2428" s="20"/>
      <c r="N2428" s="16"/>
      <c r="O2428" s="16"/>
      <c r="P2428" s="16"/>
    </row>
    <row r="2429" spans="8:16" ht="15.75" customHeight="1">
      <c r="H2429" s="16"/>
      <c r="I2429" s="16"/>
      <c r="J2429" s="20"/>
      <c r="N2429" s="16"/>
      <c r="O2429" s="16"/>
      <c r="P2429" s="16"/>
    </row>
    <row r="2430" spans="8:16" ht="15.75" customHeight="1">
      <c r="H2430" s="16"/>
      <c r="I2430" s="16"/>
      <c r="J2430" s="20"/>
      <c r="N2430" s="16"/>
      <c r="O2430" s="16"/>
      <c r="P2430" s="16"/>
    </row>
    <row r="2431" spans="8:16" ht="15.75" customHeight="1">
      <c r="H2431" s="16"/>
      <c r="I2431" s="16"/>
      <c r="J2431" s="20"/>
      <c r="N2431" s="16"/>
      <c r="O2431" s="16"/>
      <c r="P2431" s="16"/>
    </row>
    <row r="2432" spans="8:16" ht="15.75" customHeight="1">
      <c r="H2432" s="16"/>
      <c r="I2432" s="16"/>
      <c r="J2432" s="20"/>
      <c r="N2432" s="16"/>
      <c r="O2432" s="16"/>
      <c r="P2432" s="16"/>
    </row>
    <row r="2433" spans="8:16" ht="15.75" customHeight="1">
      <c r="H2433" s="16"/>
      <c r="I2433" s="16"/>
      <c r="J2433" s="20"/>
      <c r="N2433" s="16"/>
      <c r="O2433" s="16"/>
      <c r="P2433" s="16"/>
    </row>
    <row r="2434" spans="8:16" ht="15.75" customHeight="1">
      <c r="H2434" s="16"/>
      <c r="I2434" s="16"/>
      <c r="J2434" s="20"/>
      <c r="N2434" s="16"/>
      <c r="O2434" s="16"/>
      <c r="P2434" s="16"/>
    </row>
    <row r="2435" spans="8:16" ht="15.75" customHeight="1">
      <c r="H2435" s="16"/>
      <c r="I2435" s="16"/>
      <c r="J2435" s="20"/>
      <c r="N2435" s="16"/>
      <c r="O2435" s="16"/>
      <c r="P2435" s="16"/>
    </row>
    <row r="2436" spans="8:16" ht="15.75" customHeight="1">
      <c r="H2436" s="16"/>
      <c r="I2436" s="16"/>
      <c r="J2436" s="20"/>
      <c r="N2436" s="16"/>
      <c r="O2436" s="16"/>
      <c r="P2436" s="16"/>
    </row>
    <row r="2437" spans="8:16" ht="15.75" customHeight="1">
      <c r="H2437" s="16"/>
      <c r="I2437" s="16"/>
      <c r="J2437" s="20"/>
      <c r="N2437" s="16"/>
      <c r="O2437" s="16"/>
      <c r="P2437" s="16"/>
    </row>
    <row r="2438" spans="8:16" ht="15.75" customHeight="1">
      <c r="H2438" s="16"/>
      <c r="I2438" s="16"/>
      <c r="J2438" s="20"/>
      <c r="N2438" s="16"/>
      <c r="O2438" s="16"/>
      <c r="P2438" s="16"/>
    </row>
    <row r="2439" spans="8:16" ht="15.75" customHeight="1">
      <c r="H2439" s="16"/>
      <c r="I2439" s="16"/>
      <c r="J2439" s="20"/>
      <c r="N2439" s="16"/>
      <c r="O2439" s="16"/>
      <c r="P2439" s="16"/>
    </row>
    <row r="2440" spans="8:16" ht="15.75" customHeight="1">
      <c r="H2440" s="16"/>
      <c r="I2440" s="16"/>
      <c r="J2440" s="20"/>
      <c r="N2440" s="16"/>
      <c r="O2440" s="16"/>
      <c r="P2440" s="16"/>
    </row>
    <row r="2441" spans="8:16" ht="15.75" customHeight="1">
      <c r="H2441" s="16"/>
      <c r="I2441" s="16"/>
      <c r="J2441" s="20"/>
      <c r="N2441" s="16"/>
      <c r="O2441" s="16"/>
      <c r="P2441" s="16"/>
    </row>
    <row r="2442" spans="8:16" ht="15.75" customHeight="1">
      <c r="H2442" s="16"/>
      <c r="I2442" s="16"/>
      <c r="J2442" s="20"/>
      <c r="N2442" s="16"/>
      <c r="O2442" s="16"/>
      <c r="P2442" s="16"/>
    </row>
    <row r="2443" spans="8:16" ht="15.75" customHeight="1">
      <c r="H2443" s="16"/>
      <c r="I2443" s="16"/>
      <c r="J2443" s="20"/>
      <c r="N2443" s="16"/>
      <c r="O2443" s="16"/>
      <c r="P2443" s="16"/>
    </row>
    <row r="2444" spans="8:16" ht="15.75" customHeight="1">
      <c r="H2444" s="16"/>
      <c r="I2444" s="16"/>
      <c r="J2444" s="20"/>
      <c r="N2444" s="16"/>
      <c r="O2444" s="16"/>
      <c r="P2444" s="16"/>
    </row>
    <row r="2445" spans="8:16" ht="15.75" customHeight="1">
      <c r="H2445" s="16"/>
      <c r="I2445" s="16"/>
      <c r="J2445" s="20"/>
      <c r="N2445" s="16"/>
      <c r="O2445" s="16"/>
      <c r="P2445" s="16"/>
    </row>
    <row r="2446" spans="8:16" ht="15.75" customHeight="1">
      <c r="H2446" s="16"/>
      <c r="I2446" s="16"/>
      <c r="J2446" s="20"/>
      <c r="N2446" s="16"/>
      <c r="O2446" s="16"/>
      <c r="P2446" s="16"/>
    </row>
    <row r="2447" spans="8:16" ht="15.75" customHeight="1">
      <c r="H2447" s="16"/>
      <c r="I2447" s="16"/>
      <c r="J2447" s="20"/>
      <c r="N2447" s="16"/>
      <c r="O2447" s="16"/>
      <c r="P2447" s="16"/>
    </row>
    <row r="2448" spans="8:16" ht="15.75" customHeight="1">
      <c r="H2448" s="16"/>
      <c r="I2448" s="16"/>
      <c r="J2448" s="20"/>
      <c r="N2448" s="16"/>
      <c r="O2448" s="16"/>
      <c r="P2448" s="16"/>
    </row>
    <row r="2449" spans="8:16" ht="15.75" customHeight="1">
      <c r="H2449" s="16"/>
      <c r="I2449" s="16"/>
      <c r="J2449" s="20"/>
      <c r="N2449" s="16"/>
      <c r="O2449" s="16"/>
      <c r="P2449" s="16"/>
    </row>
    <row r="2450" spans="8:16" ht="15.75" customHeight="1">
      <c r="H2450" s="16"/>
      <c r="I2450" s="16"/>
      <c r="J2450" s="20"/>
      <c r="N2450" s="16"/>
      <c r="O2450" s="16"/>
      <c r="P2450" s="16"/>
    </row>
    <row r="2451" spans="8:16" ht="15.75" customHeight="1">
      <c r="H2451" s="16"/>
      <c r="I2451" s="16"/>
      <c r="J2451" s="20"/>
      <c r="N2451" s="16"/>
      <c r="O2451" s="16"/>
      <c r="P2451" s="16"/>
    </row>
    <row r="2452" spans="8:16" ht="15.75" customHeight="1">
      <c r="H2452" s="16"/>
      <c r="I2452" s="16"/>
      <c r="J2452" s="20"/>
      <c r="N2452" s="16"/>
      <c r="O2452" s="16"/>
      <c r="P2452" s="16"/>
    </row>
    <row r="2453" spans="8:16" ht="15.75" customHeight="1">
      <c r="H2453" s="16"/>
      <c r="I2453" s="16"/>
      <c r="J2453" s="20"/>
      <c r="N2453" s="16"/>
      <c r="O2453" s="16"/>
      <c r="P2453" s="16"/>
    </row>
    <row r="2454" spans="8:16" ht="15.75" customHeight="1">
      <c r="H2454" s="16"/>
      <c r="I2454" s="16"/>
      <c r="J2454" s="20"/>
      <c r="N2454" s="16"/>
      <c r="O2454" s="16"/>
      <c r="P2454" s="16"/>
    </row>
    <row r="2455" spans="8:16" ht="15.75" customHeight="1">
      <c r="H2455" s="16"/>
      <c r="I2455" s="16"/>
      <c r="J2455" s="20"/>
      <c r="N2455" s="16"/>
      <c r="O2455" s="16"/>
      <c r="P2455" s="16"/>
    </row>
    <row r="2456" spans="8:16" ht="15.75" customHeight="1">
      <c r="H2456" s="16"/>
      <c r="I2456" s="16"/>
      <c r="J2456" s="20"/>
      <c r="N2456" s="16"/>
      <c r="O2456" s="16"/>
      <c r="P2456" s="16"/>
    </row>
    <row r="2457" spans="8:16" ht="15.75" customHeight="1">
      <c r="H2457" s="16"/>
      <c r="I2457" s="16"/>
      <c r="J2457" s="20"/>
      <c r="N2457" s="16"/>
      <c r="O2457" s="16"/>
      <c r="P2457" s="16"/>
    </row>
    <row r="2458" spans="8:16" ht="15.75" customHeight="1">
      <c r="H2458" s="16"/>
      <c r="I2458" s="16"/>
      <c r="J2458" s="20"/>
      <c r="N2458" s="16"/>
      <c r="O2458" s="16"/>
      <c r="P2458" s="16"/>
    </row>
    <row r="2459" spans="8:16" ht="15.75" customHeight="1">
      <c r="H2459" s="16"/>
      <c r="I2459" s="16"/>
      <c r="J2459" s="20"/>
      <c r="N2459" s="16"/>
      <c r="O2459" s="16"/>
      <c r="P2459" s="16"/>
    </row>
    <row r="2460" spans="8:16" ht="15.75" customHeight="1">
      <c r="H2460" s="16"/>
      <c r="I2460" s="16"/>
      <c r="J2460" s="20"/>
      <c r="N2460" s="16"/>
      <c r="O2460" s="16"/>
      <c r="P2460" s="16"/>
    </row>
    <row r="2461" spans="8:16" ht="15.75" customHeight="1">
      <c r="H2461" s="16"/>
      <c r="I2461" s="16"/>
      <c r="J2461" s="20"/>
      <c r="N2461" s="16"/>
      <c r="O2461" s="16"/>
      <c r="P2461" s="16"/>
    </row>
    <row r="2462" spans="8:16" ht="15.75" customHeight="1">
      <c r="H2462" s="16"/>
      <c r="I2462" s="16"/>
      <c r="J2462" s="20"/>
      <c r="N2462" s="16"/>
      <c r="O2462" s="16"/>
      <c r="P2462" s="16"/>
    </row>
    <row r="2463" spans="8:16" ht="15.75" customHeight="1">
      <c r="H2463" s="16"/>
      <c r="I2463" s="16"/>
      <c r="J2463" s="20"/>
      <c r="N2463" s="16"/>
      <c r="O2463" s="16"/>
      <c r="P2463" s="16"/>
    </row>
    <row r="2464" spans="8:16" ht="15.75" customHeight="1">
      <c r="H2464" s="16"/>
      <c r="I2464" s="16"/>
      <c r="J2464" s="20"/>
      <c r="N2464" s="16"/>
      <c r="O2464" s="16"/>
      <c r="P2464" s="16"/>
    </row>
    <row r="2465" spans="8:16" ht="15.75" customHeight="1">
      <c r="H2465" s="16"/>
      <c r="I2465" s="16"/>
      <c r="J2465" s="20"/>
      <c r="N2465" s="16"/>
      <c r="O2465" s="16"/>
      <c r="P2465" s="16"/>
    </row>
    <row r="2466" spans="8:16" ht="15.75" customHeight="1">
      <c r="H2466" s="16"/>
      <c r="I2466" s="16"/>
      <c r="J2466" s="20"/>
      <c r="N2466" s="16"/>
      <c r="O2466" s="16"/>
      <c r="P2466" s="16"/>
    </row>
    <row r="2467" spans="8:16" ht="15.75" customHeight="1">
      <c r="H2467" s="16"/>
      <c r="I2467" s="16"/>
      <c r="J2467" s="20"/>
      <c r="N2467" s="16"/>
      <c r="O2467" s="16"/>
      <c r="P2467" s="16"/>
    </row>
    <row r="2468" spans="8:16" ht="15.75" customHeight="1">
      <c r="H2468" s="16"/>
      <c r="I2468" s="16"/>
      <c r="J2468" s="20"/>
      <c r="N2468" s="16"/>
      <c r="O2468" s="16"/>
      <c r="P2468" s="16"/>
    </row>
    <row r="2469" spans="8:16" ht="15.75" customHeight="1">
      <c r="H2469" s="16"/>
      <c r="I2469" s="16"/>
      <c r="J2469" s="20"/>
      <c r="N2469" s="16"/>
      <c r="O2469" s="16"/>
      <c r="P2469" s="16"/>
    </row>
    <row r="2470" spans="8:16" ht="15.75" customHeight="1">
      <c r="H2470" s="16"/>
      <c r="I2470" s="16"/>
      <c r="J2470" s="20"/>
      <c r="N2470" s="16"/>
      <c r="O2470" s="16"/>
      <c r="P2470" s="16"/>
    </row>
    <row r="2471" spans="8:16" ht="15.75" customHeight="1">
      <c r="H2471" s="16"/>
      <c r="I2471" s="16"/>
      <c r="J2471" s="20"/>
      <c r="N2471" s="16"/>
      <c r="O2471" s="16"/>
      <c r="P2471" s="16"/>
    </row>
    <row r="2472" spans="8:16" ht="15.75" customHeight="1">
      <c r="H2472" s="16"/>
      <c r="I2472" s="16"/>
      <c r="J2472" s="20"/>
      <c r="N2472" s="16"/>
      <c r="O2472" s="16"/>
      <c r="P2472" s="16"/>
    </row>
    <row r="2473" spans="8:16" ht="15.75" customHeight="1">
      <c r="H2473" s="16"/>
      <c r="I2473" s="16"/>
      <c r="J2473" s="20"/>
      <c r="N2473" s="16"/>
      <c r="O2473" s="16"/>
      <c r="P2473" s="16"/>
    </row>
    <row r="2474" spans="8:16" ht="15.75" customHeight="1">
      <c r="H2474" s="16"/>
      <c r="I2474" s="16"/>
      <c r="J2474" s="20"/>
      <c r="N2474" s="16"/>
      <c r="O2474" s="16"/>
      <c r="P2474" s="16"/>
    </row>
    <row r="2475" spans="8:16" ht="15.75" customHeight="1">
      <c r="H2475" s="16"/>
      <c r="I2475" s="16"/>
      <c r="J2475" s="20"/>
      <c r="N2475" s="16"/>
      <c r="O2475" s="16"/>
      <c r="P2475" s="16"/>
    </row>
    <row r="2476" spans="8:16" ht="15.75" customHeight="1">
      <c r="H2476" s="16"/>
      <c r="I2476" s="16"/>
      <c r="J2476" s="20"/>
      <c r="N2476" s="16"/>
      <c r="O2476" s="16"/>
      <c r="P2476" s="16"/>
    </row>
    <row r="2477" spans="8:16" ht="15.75" customHeight="1">
      <c r="H2477" s="16"/>
      <c r="I2477" s="16"/>
      <c r="J2477" s="20"/>
      <c r="N2477" s="16"/>
      <c r="O2477" s="16"/>
      <c r="P2477" s="16"/>
    </row>
    <row r="2478" spans="8:16" ht="15.75" customHeight="1">
      <c r="H2478" s="16"/>
      <c r="I2478" s="16"/>
      <c r="J2478" s="20"/>
      <c r="N2478" s="16"/>
      <c r="O2478" s="16"/>
      <c r="P2478" s="16"/>
    </row>
    <row r="2479" spans="8:16" ht="15.75" customHeight="1">
      <c r="H2479" s="16"/>
      <c r="I2479" s="16"/>
      <c r="J2479" s="20"/>
      <c r="N2479" s="16"/>
      <c r="O2479" s="16"/>
      <c r="P2479" s="16"/>
    </row>
    <row r="2480" spans="8:16" ht="15.75" customHeight="1">
      <c r="H2480" s="16"/>
      <c r="I2480" s="16"/>
      <c r="J2480" s="20"/>
      <c r="N2480" s="16"/>
      <c r="O2480" s="16"/>
      <c r="P2480" s="16"/>
    </row>
    <row r="2481" spans="8:16" ht="15.75" customHeight="1">
      <c r="H2481" s="16"/>
      <c r="I2481" s="16"/>
      <c r="J2481" s="20"/>
      <c r="N2481" s="16"/>
      <c r="O2481" s="16"/>
      <c r="P2481" s="16"/>
    </row>
    <row r="2482" spans="8:16" ht="15.75" customHeight="1">
      <c r="H2482" s="16"/>
      <c r="I2482" s="16"/>
      <c r="J2482" s="20"/>
      <c r="N2482" s="16"/>
      <c r="O2482" s="16"/>
      <c r="P2482" s="16"/>
    </row>
    <row r="2483" spans="8:16" ht="15.75" customHeight="1">
      <c r="H2483" s="16"/>
      <c r="I2483" s="16"/>
      <c r="J2483" s="20"/>
      <c r="N2483" s="16"/>
      <c r="O2483" s="16"/>
      <c r="P2483" s="16"/>
    </row>
    <row r="2484" spans="8:16" ht="15.75" customHeight="1">
      <c r="H2484" s="16"/>
      <c r="I2484" s="16"/>
      <c r="J2484" s="20"/>
      <c r="N2484" s="16"/>
      <c r="O2484" s="16"/>
      <c r="P2484" s="16"/>
    </row>
    <row r="2485" spans="8:16" ht="15.75" customHeight="1">
      <c r="H2485" s="16"/>
      <c r="I2485" s="16"/>
      <c r="J2485" s="20"/>
      <c r="N2485" s="16"/>
      <c r="O2485" s="16"/>
      <c r="P2485" s="16"/>
    </row>
    <row r="2486" spans="8:16" ht="15.75" customHeight="1">
      <c r="H2486" s="16"/>
      <c r="I2486" s="16"/>
      <c r="J2486" s="20"/>
      <c r="N2486" s="16"/>
      <c r="O2486" s="16"/>
      <c r="P2486" s="16"/>
    </row>
    <row r="2487" spans="8:16" ht="15.75" customHeight="1">
      <c r="H2487" s="16"/>
      <c r="I2487" s="16"/>
      <c r="J2487" s="20"/>
      <c r="N2487" s="16"/>
      <c r="O2487" s="16"/>
      <c r="P2487" s="16"/>
    </row>
    <row r="2488" spans="8:16" ht="15.75" customHeight="1">
      <c r="H2488" s="16"/>
      <c r="I2488" s="16"/>
      <c r="J2488" s="20"/>
      <c r="N2488" s="16"/>
      <c r="O2488" s="16"/>
      <c r="P2488" s="16"/>
    </row>
    <row r="2489" spans="8:16" ht="15.75" customHeight="1">
      <c r="H2489" s="16"/>
      <c r="I2489" s="16"/>
      <c r="J2489" s="20"/>
      <c r="N2489" s="16"/>
      <c r="O2489" s="16"/>
      <c r="P2489" s="16"/>
    </row>
    <row r="2490" spans="8:16" ht="15.75" customHeight="1">
      <c r="H2490" s="16"/>
      <c r="I2490" s="16"/>
      <c r="J2490" s="20"/>
      <c r="N2490" s="16"/>
      <c r="O2490" s="16"/>
      <c r="P2490" s="16"/>
    </row>
    <row r="2491" spans="8:16" ht="15.75" customHeight="1">
      <c r="H2491" s="16"/>
      <c r="I2491" s="16"/>
      <c r="J2491" s="20"/>
      <c r="N2491" s="16"/>
      <c r="O2491" s="16"/>
      <c r="P2491" s="16"/>
    </row>
    <row r="2492" spans="8:16" ht="15.75" customHeight="1">
      <c r="H2492" s="16"/>
      <c r="I2492" s="16"/>
      <c r="J2492" s="20"/>
      <c r="N2492" s="16"/>
      <c r="O2492" s="16"/>
      <c r="P2492" s="16"/>
    </row>
    <row r="2493" spans="8:16" ht="15.75" customHeight="1">
      <c r="H2493" s="16"/>
      <c r="I2493" s="16"/>
      <c r="J2493" s="20"/>
      <c r="N2493" s="16"/>
      <c r="O2493" s="16"/>
      <c r="P2493" s="16"/>
    </row>
    <row r="2494" spans="8:16" ht="15.75" customHeight="1">
      <c r="H2494" s="16"/>
      <c r="I2494" s="16"/>
      <c r="J2494" s="20"/>
      <c r="N2494" s="16"/>
      <c r="O2494" s="16"/>
      <c r="P2494" s="16"/>
    </row>
    <row r="2495" spans="8:16" ht="15.75" customHeight="1">
      <c r="H2495" s="16"/>
      <c r="I2495" s="16"/>
      <c r="J2495" s="20"/>
      <c r="N2495" s="16"/>
      <c r="O2495" s="16"/>
      <c r="P2495" s="16"/>
    </row>
    <row r="2496" spans="8:16" ht="15.75" customHeight="1">
      <c r="H2496" s="16"/>
      <c r="I2496" s="16"/>
      <c r="J2496" s="20"/>
      <c r="N2496" s="16"/>
      <c r="O2496" s="16"/>
      <c r="P2496" s="16"/>
    </row>
    <row r="2497" spans="8:16" ht="15.75" customHeight="1">
      <c r="H2497" s="16"/>
      <c r="I2497" s="16"/>
      <c r="J2497" s="20"/>
      <c r="N2497" s="16"/>
      <c r="O2497" s="16"/>
      <c r="P2497" s="16"/>
    </row>
    <row r="2498" spans="8:16" ht="15.75" customHeight="1">
      <c r="H2498" s="16"/>
      <c r="I2498" s="16"/>
      <c r="J2498" s="20"/>
      <c r="N2498" s="16"/>
      <c r="O2498" s="16"/>
      <c r="P2498" s="16"/>
    </row>
    <row r="2499" spans="8:16" ht="15.75" customHeight="1">
      <c r="H2499" s="16"/>
      <c r="I2499" s="16"/>
      <c r="J2499" s="20"/>
      <c r="N2499" s="16"/>
      <c r="O2499" s="16"/>
      <c r="P2499" s="16"/>
    </row>
    <row r="2500" spans="8:16" ht="15.75" customHeight="1">
      <c r="H2500" s="16"/>
      <c r="I2500" s="16"/>
      <c r="J2500" s="20"/>
      <c r="N2500" s="16"/>
      <c r="O2500" s="16"/>
      <c r="P2500" s="16"/>
    </row>
    <row r="2501" spans="8:16" ht="15.75" customHeight="1">
      <c r="H2501" s="16"/>
      <c r="I2501" s="16"/>
      <c r="J2501" s="20"/>
      <c r="N2501" s="16"/>
      <c r="O2501" s="16"/>
      <c r="P2501" s="16"/>
    </row>
    <row r="2502" spans="8:16" ht="15.75" customHeight="1">
      <c r="H2502" s="16"/>
      <c r="I2502" s="16"/>
      <c r="J2502" s="20"/>
      <c r="N2502" s="16"/>
      <c r="O2502" s="16"/>
      <c r="P2502" s="16"/>
    </row>
    <row r="2503" spans="8:16" ht="15.75" customHeight="1">
      <c r="H2503" s="16"/>
      <c r="I2503" s="16"/>
      <c r="J2503" s="20"/>
      <c r="N2503" s="16"/>
      <c r="O2503" s="16"/>
      <c r="P2503" s="16"/>
    </row>
    <row r="2504" spans="8:16" ht="15.75" customHeight="1">
      <c r="H2504" s="16"/>
      <c r="I2504" s="16"/>
      <c r="J2504" s="20"/>
      <c r="N2504" s="16"/>
      <c r="O2504" s="16"/>
      <c r="P2504" s="16"/>
    </row>
    <row r="2505" spans="8:16" ht="15.75" customHeight="1">
      <c r="H2505" s="16"/>
      <c r="I2505" s="16"/>
      <c r="J2505" s="20"/>
      <c r="N2505" s="16"/>
      <c r="O2505" s="16"/>
      <c r="P2505" s="16"/>
    </row>
    <row r="2506" spans="8:16" ht="15.75" customHeight="1">
      <c r="H2506" s="16"/>
      <c r="I2506" s="16"/>
      <c r="J2506" s="20"/>
      <c r="N2506" s="16"/>
      <c r="O2506" s="16"/>
      <c r="P2506" s="16"/>
    </row>
    <row r="2507" spans="8:16" ht="15.75" customHeight="1">
      <c r="H2507" s="16"/>
      <c r="I2507" s="16"/>
      <c r="J2507" s="20"/>
      <c r="N2507" s="16"/>
      <c r="O2507" s="16"/>
      <c r="P2507" s="16"/>
    </row>
    <row r="2508" spans="8:16" ht="15.75" customHeight="1">
      <c r="H2508" s="16"/>
      <c r="I2508" s="16"/>
      <c r="J2508" s="20"/>
      <c r="N2508" s="16"/>
      <c r="O2508" s="16"/>
      <c r="P2508" s="16"/>
    </row>
    <row r="2509" spans="8:16" ht="15.75" customHeight="1">
      <c r="H2509" s="16"/>
      <c r="I2509" s="16"/>
      <c r="J2509" s="20"/>
      <c r="N2509" s="16"/>
      <c r="O2509" s="16"/>
      <c r="P2509" s="16"/>
    </row>
    <row r="2510" spans="8:16" ht="15.75" customHeight="1">
      <c r="H2510" s="16"/>
      <c r="I2510" s="16"/>
      <c r="J2510" s="20"/>
      <c r="N2510" s="16"/>
      <c r="O2510" s="16"/>
      <c r="P2510" s="16"/>
    </row>
    <row r="2511" spans="8:16" ht="15.75" customHeight="1">
      <c r="H2511" s="16"/>
      <c r="I2511" s="16"/>
      <c r="J2511" s="20"/>
      <c r="N2511" s="16"/>
      <c r="O2511" s="16"/>
      <c r="P2511" s="16"/>
    </row>
    <row r="2512" spans="8:16" ht="15.75" customHeight="1">
      <c r="H2512" s="16"/>
      <c r="I2512" s="16"/>
      <c r="J2512" s="20"/>
      <c r="N2512" s="16"/>
      <c r="O2512" s="16"/>
      <c r="P2512" s="16"/>
    </row>
    <row r="2513" spans="8:16" ht="15.75" customHeight="1">
      <c r="H2513" s="16"/>
      <c r="I2513" s="16"/>
      <c r="J2513" s="20"/>
      <c r="N2513" s="16"/>
      <c r="O2513" s="16"/>
      <c r="P2513" s="16"/>
    </row>
    <row r="2514" spans="8:16" ht="15.75" customHeight="1">
      <c r="H2514" s="16"/>
      <c r="I2514" s="16"/>
      <c r="J2514" s="20"/>
      <c r="N2514" s="16"/>
      <c r="O2514" s="16"/>
      <c r="P2514" s="16"/>
    </row>
    <row r="2515" spans="8:16" ht="15.75" customHeight="1">
      <c r="H2515" s="16"/>
      <c r="I2515" s="16"/>
      <c r="J2515" s="20"/>
      <c r="N2515" s="16"/>
      <c r="O2515" s="16"/>
      <c r="P2515" s="16"/>
    </row>
    <row r="2516" spans="8:16" ht="15.75" customHeight="1">
      <c r="H2516" s="16"/>
      <c r="I2516" s="16"/>
      <c r="J2516" s="20"/>
      <c r="N2516" s="16"/>
      <c r="O2516" s="16"/>
      <c r="P2516" s="16"/>
    </row>
    <row r="2517" spans="8:16" ht="15.75" customHeight="1">
      <c r="H2517" s="16"/>
      <c r="I2517" s="16"/>
      <c r="J2517" s="20"/>
      <c r="N2517" s="16"/>
      <c r="O2517" s="16"/>
      <c r="P2517" s="16"/>
    </row>
    <row r="2518" spans="8:16" ht="15.75" customHeight="1">
      <c r="H2518" s="16"/>
      <c r="I2518" s="16"/>
      <c r="J2518" s="20"/>
      <c r="N2518" s="16"/>
      <c r="O2518" s="16"/>
      <c r="P2518" s="16"/>
    </row>
    <row r="2519" spans="8:16" ht="15.75" customHeight="1">
      <c r="H2519" s="16"/>
      <c r="I2519" s="16"/>
      <c r="J2519" s="20"/>
      <c r="N2519" s="16"/>
      <c r="O2519" s="16"/>
      <c r="P2519" s="16"/>
    </row>
    <row r="2520" spans="8:16" ht="15.75" customHeight="1">
      <c r="H2520" s="16"/>
      <c r="I2520" s="16"/>
      <c r="J2520" s="20"/>
      <c r="N2520" s="16"/>
      <c r="O2520" s="16"/>
      <c r="P2520" s="16"/>
    </row>
    <row r="2521" spans="8:16" ht="15.75" customHeight="1">
      <c r="H2521" s="16"/>
      <c r="I2521" s="16"/>
      <c r="J2521" s="20"/>
      <c r="N2521" s="16"/>
      <c r="O2521" s="16"/>
      <c r="P2521" s="16"/>
    </row>
    <row r="2522" spans="8:16" ht="15.75" customHeight="1">
      <c r="H2522" s="16"/>
      <c r="I2522" s="16"/>
      <c r="J2522" s="20"/>
      <c r="N2522" s="16"/>
      <c r="O2522" s="16"/>
      <c r="P2522" s="16"/>
    </row>
    <row r="2523" spans="8:16" ht="15.75" customHeight="1">
      <c r="H2523" s="16"/>
      <c r="I2523" s="16"/>
      <c r="J2523" s="20"/>
      <c r="N2523" s="16"/>
      <c r="O2523" s="16"/>
      <c r="P2523" s="16"/>
    </row>
    <row r="2524" spans="8:16" ht="15.75" customHeight="1">
      <c r="H2524" s="16"/>
      <c r="I2524" s="16"/>
      <c r="J2524" s="20"/>
      <c r="N2524" s="16"/>
      <c r="O2524" s="16"/>
      <c r="P2524" s="16"/>
    </row>
    <row r="2525" spans="8:16" ht="15.75" customHeight="1">
      <c r="H2525" s="16"/>
      <c r="I2525" s="16"/>
      <c r="J2525" s="20"/>
      <c r="N2525" s="16"/>
      <c r="O2525" s="16"/>
      <c r="P2525" s="16"/>
    </row>
    <row r="2526" spans="8:16" ht="15.75" customHeight="1">
      <c r="H2526" s="16"/>
      <c r="I2526" s="16"/>
      <c r="J2526" s="20"/>
      <c r="N2526" s="16"/>
      <c r="O2526" s="16"/>
      <c r="P2526" s="16"/>
    </row>
    <row r="2527" spans="8:16" ht="15.75" customHeight="1">
      <c r="H2527" s="16"/>
      <c r="I2527" s="16"/>
      <c r="J2527" s="20"/>
      <c r="N2527" s="16"/>
      <c r="O2527" s="16"/>
      <c r="P2527" s="16"/>
    </row>
    <row r="2528" spans="8:16" ht="15.75" customHeight="1">
      <c r="H2528" s="16"/>
      <c r="I2528" s="16"/>
      <c r="J2528" s="20"/>
      <c r="N2528" s="16"/>
      <c r="O2528" s="16"/>
      <c r="P2528" s="16"/>
    </row>
    <row r="2529" spans="8:16" ht="15.75" customHeight="1">
      <c r="H2529" s="16"/>
      <c r="I2529" s="16"/>
      <c r="J2529" s="20"/>
      <c r="N2529" s="16"/>
      <c r="O2529" s="16"/>
      <c r="P2529" s="16"/>
    </row>
    <row r="2530" spans="8:16" ht="15.75" customHeight="1">
      <c r="H2530" s="16"/>
      <c r="I2530" s="16"/>
      <c r="J2530" s="20"/>
      <c r="N2530" s="16"/>
      <c r="O2530" s="16"/>
      <c r="P2530" s="16"/>
    </row>
    <row r="2531" spans="8:16" ht="15.75" customHeight="1">
      <c r="H2531" s="16"/>
      <c r="I2531" s="16"/>
      <c r="J2531" s="20"/>
      <c r="N2531" s="16"/>
      <c r="O2531" s="16"/>
      <c r="P2531" s="16"/>
    </row>
    <row r="2532" spans="8:16" ht="15.75" customHeight="1">
      <c r="H2532" s="16"/>
      <c r="I2532" s="16"/>
      <c r="J2532" s="20"/>
      <c r="N2532" s="16"/>
      <c r="O2532" s="16"/>
      <c r="P2532" s="16"/>
    </row>
    <row r="2533" spans="8:16" ht="15.75" customHeight="1">
      <c r="H2533" s="16"/>
      <c r="I2533" s="16"/>
      <c r="J2533" s="20"/>
      <c r="N2533" s="16"/>
      <c r="O2533" s="16"/>
      <c r="P2533" s="16"/>
    </row>
    <row r="2534" spans="8:16" ht="15.75" customHeight="1">
      <c r="H2534" s="16"/>
      <c r="I2534" s="16"/>
      <c r="J2534" s="20"/>
      <c r="N2534" s="16"/>
      <c r="O2534" s="16"/>
      <c r="P2534" s="16"/>
    </row>
    <row r="2535" spans="8:16" ht="15.75" customHeight="1">
      <c r="H2535" s="16"/>
      <c r="I2535" s="16"/>
      <c r="J2535" s="20"/>
      <c r="N2535" s="16"/>
      <c r="O2535" s="16"/>
      <c r="P2535" s="16"/>
    </row>
    <row r="2536" spans="8:16" ht="15.75" customHeight="1">
      <c r="H2536" s="16"/>
      <c r="I2536" s="16"/>
      <c r="J2536" s="20"/>
      <c r="N2536" s="16"/>
      <c r="O2536" s="16"/>
      <c r="P2536" s="16"/>
    </row>
    <row r="2537" spans="8:16" ht="15.75" customHeight="1">
      <c r="H2537" s="16"/>
      <c r="I2537" s="16"/>
      <c r="J2537" s="20"/>
      <c r="N2537" s="16"/>
      <c r="O2537" s="16"/>
      <c r="P2537" s="16"/>
    </row>
    <row r="2538" spans="8:16" ht="15.75" customHeight="1">
      <c r="H2538" s="16"/>
      <c r="I2538" s="16"/>
      <c r="J2538" s="20"/>
      <c r="N2538" s="16"/>
      <c r="O2538" s="16"/>
      <c r="P2538" s="16"/>
    </row>
    <row r="2539" spans="8:16" ht="15.75" customHeight="1">
      <c r="H2539" s="16"/>
      <c r="I2539" s="16"/>
      <c r="J2539" s="20"/>
      <c r="N2539" s="16"/>
      <c r="O2539" s="16"/>
      <c r="P2539" s="16"/>
    </row>
    <row r="2540" spans="8:16" ht="15.75" customHeight="1">
      <c r="H2540" s="16"/>
      <c r="I2540" s="16"/>
      <c r="J2540" s="20"/>
      <c r="N2540" s="16"/>
      <c r="O2540" s="16"/>
      <c r="P2540" s="16"/>
    </row>
    <row r="2541" spans="8:16" ht="15.75" customHeight="1">
      <c r="H2541" s="16"/>
      <c r="I2541" s="16"/>
      <c r="J2541" s="20"/>
      <c r="N2541" s="16"/>
      <c r="O2541" s="16"/>
      <c r="P2541" s="16"/>
    </row>
    <row r="2542" spans="8:16" ht="15.75" customHeight="1">
      <c r="H2542" s="16"/>
      <c r="I2542" s="16"/>
      <c r="J2542" s="20"/>
      <c r="N2542" s="16"/>
      <c r="O2542" s="16"/>
      <c r="P2542" s="16"/>
    </row>
    <row r="2543" spans="8:16" ht="15.75" customHeight="1">
      <c r="H2543" s="16"/>
      <c r="I2543" s="16"/>
      <c r="J2543" s="20"/>
      <c r="N2543" s="16"/>
      <c r="O2543" s="16"/>
      <c r="P2543" s="16"/>
    </row>
    <row r="2544" spans="8:16" ht="15.75" customHeight="1">
      <c r="H2544" s="16"/>
      <c r="I2544" s="16"/>
      <c r="J2544" s="20"/>
      <c r="N2544" s="16"/>
      <c r="O2544" s="16"/>
      <c r="P2544" s="16"/>
    </row>
    <row r="2545" spans="8:16" ht="15.75" customHeight="1">
      <c r="H2545" s="16"/>
      <c r="I2545" s="16"/>
      <c r="J2545" s="20"/>
      <c r="N2545" s="16"/>
      <c r="O2545" s="16"/>
      <c r="P2545" s="16"/>
    </row>
    <row r="2546" spans="8:16" ht="15.75" customHeight="1">
      <c r="H2546" s="16"/>
      <c r="I2546" s="16"/>
      <c r="J2546" s="20"/>
      <c r="N2546" s="16"/>
      <c r="O2546" s="16"/>
      <c r="P2546" s="16"/>
    </row>
    <row r="2547" spans="8:16" ht="15.75" customHeight="1">
      <c r="H2547" s="16"/>
      <c r="I2547" s="16"/>
      <c r="J2547" s="20"/>
      <c r="N2547" s="16"/>
      <c r="O2547" s="16"/>
      <c r="P2547" s="16"/>
    </row>
    <row r="2548" spans="8:16" ht="15.75" customHeight="1">
      <c r="H2548" s="16"/>
      <c r="I2548" s="16"/>
      <c r="J2548" s="20"/>
      <c r="N2548" s="16"/>
      <c r="O2548" s="16"/>
      <c r="P2548" s="16"/>
    </row>
    <row r="2549" spans="8:16" ht="15.75" customHeight="1">
      <c r="H2549" s="16"/>
      <c r="I2549" s="16"/>
      <c r="J2549" s="20"/>
      <c r="N2549" s="16"/>
      <c r="O2549" s="16"/>
      <c r="P2549" s="16"/>
    </row>
    <row r="2550" spans="8:16" ht="15.75" customHeight="1">
      <c r="H2550" s="16"/>
      <c r="I2550" s="16"/>
      <c r="J2550" s="20"/>
      <c r="N2550" s="16"/>
      <c r="O2550" s="16"/>
      <c r="P2550" s="16"/>
    </row>
    <row r="2551" spans="8:16" ht="15.75" customHeight="1">
      <c r="H2551" s="16"/>
      <c r="I2551" s="16"/>
      <c r="J2551" s="20"/>
      <c r="N2551" s="16"/>
      <c r="O2551" s="16"/>
      <c r="P2551" s="16"/>
    </row>
    <row r="2552" spans="8:16" ht="15.75" customHeight="1">
      <c r="H2552" s="16"/>
      <c r="I2552" s="16"/>
      <c r="J2552" s="20"/>
      <c r="N2552" s="16"/>
      <c r="O2552" s="16"/>
      <c r="P2552" s="16"/>
    </row>
    <row r="2553" spans="8:16" ht="15.75" customHeight="1">
      <c r="H2553" s="16"/>
      <c r="I2553" s="16"/>
      <c r="J2553" s="20"/>
      <c r="N2553" s="16"/>
      <c r="O2553" s="16"/>
      <c r="P2553" s="16"/>
    </row>
    <row r="2554" spans="8:16" ht="15.75" customHeight="1">
      <c r="H2554" s="16"/>
      <c r="I2554" s="16"/>
      <c r="J2554" s="20"/>
      <c r="N2554" s="16"/>
      <c r="O2554" s="16"/>
      <c r="P2554" s="16"/>
    </row>
    <row r="2555" spans="8:16" ht="15.75" customHeight="1">
      <c r="H2555" s="16"/>
      <c r="I2555" s="16"/>
      <c r="J2555" s="20"/>
      <c r="N2555" s="16"/>
      <c r="O2555" s="16"/>
      <c r="P2555" s="16"/>
    </row>
    <row r="2556" spans="8:16" ht="15.75" customHeight="1">
      <c r="H2556" s="16"/>
      <c r="I2556" s="16"/>
      <c r="J2556" s="20"/>
      <c r="N2556" s="16"/>
      <c r="O2556" s="16"/>
      <c r="P2556" s="16"/>
    </row>
    <row r="2557" spans="8:16" ht="15.75" customHeight="1">
      <c r="H2557" s="16"/>
      <c r="I2557" s="16"/>
      <c r="J2557" s="20"/>
      <c r="N2557" s="16"/>
      <c r="O2557" s="16"/>
      <c r="P2557" s="16"/>
    </row>
    <row r="2558" spans="8:16" ht="15.75" customHeight="1">
      <c r="H2558" s="16"/>
      <c r="I2558" s="16"/>
      <c r="J2558" s="20"/>
      <c r="N2558" s="16"/>
      <c r="O2558" s="16"/>
      <c r="P2558" s="16"/>
    </row>
    <row r="2559" spans="8:16" ht="15.75" customHeight="1">
      <c r="H2559" s="16"/>
      <c r="I2559" s="16"/>
      <c r="J2559" s="20"/>
      <c r="N2559" s="16"/>
      <c r="O2559" s="16"/>
      <c r="P2559" s="16"/>
    </row>
    <row r="2560" spans="8:16" ht="15.75" customHeight="1">
      <c r="H2560" s="16"/>
      <c r="I2560" s="16"/>
      <c r="J2560" s="20"/>
      <c r="N2560" s="16"/>
      <c r="O2560" s="16"/>
      <c r="P2560" s="16"/>
    </row>
    <row r="2561" spans="8:16" ht="15.75" customHeight="1">
      <c r="H2561" s="16"/>
      <c r="I2561" s="16"/>
      <c r="J2561" s="20"/>
      <c r="N2561" s="16"/>
      <c r="O2561" s="16"/>
      <c r="P2561" s="16"/>
    </row>
    <row r="2562" spans="8:16" ht="15.75" customHeight="1">
      <c r="H2562" s="16"/>
      <c r="I2562" s="16"/>
      <c r="J2562" s="20"/>
      <c r="N2562" s="16"/>
      <c r="O2562" s="16"/>
      <c r="P2562" s="16"/>
    </row>
    <row r="2563" spans="8:16" ht="15.75" customHeight="1">
      <c r="H2563" s="16"/>
      <c r="I2563" s="16"/>
      <c r="J2563" s="20"/>
      <c r="N2563" s="16"/>
      <c r="O2563" s="16"/>
      <c r="P2563" s="16"/>
    </row>
    <row r="2564" spans="8:16" ht="15.75" customHeight="1">
      <c r="H2564" s="16"/>
      <c r="I2564" s="16"/>
      <c r="J2564" s="20"/>
      <c r="N2564" s="16"/>
      <c r="O2564" s="16"/>
      <c r="P2564" s="16"/>
    </row>
    <row r="2565" spans="8:16" ht="15.75" customHeight="1">
      <c r="H2565" s="16"/>
      <c r="I2565" s="16"/>
      <c r="J2565" s="20"/>
      <c r="N2565" s="16"/>
      <c r="O2565" s="16"/>
      <c r="P2565" s="16"/>
    </row>
    <row r="2566" spans="8:16" ht="15.75" customHeight="1">
      <c r="H2566" s="16"/>
      <c r="I2566" s="16"/>
      <c r="J2566" s="20"/>
      <c r="N2566" s="16"/>
      <c r="O2566" s="16"/>
      <c r="P2566" s="16"/>
    </row>
    <row r="2567" spans="8:16" ht="15.75" customHeight="1">
      <c r="H2567" s="16"/>
      <c r="I2567" s="16"/>
      <c r="J2567" s="20"/>
      <c r="N2567" s="16"/>
      <c r="O2567" s="16"/>
      <c r="P2567" s="16"/>
    </row>
    <row r="2568" spans="8:16" ht="15.75" customHeight="1">
      <c r="H2568" s="16"/>
      <c r="I2568" s="16"/>
      <c r="J2568" s="20"/>
      <c r="N2568" s="16"/>
      <c r="O2568" s="16"/>
      <c r="P2568" s="16"/>
    </row>
    <row r="2569" spans="8:16" ht="15.75" customHeight="1">
      <c r="H2569" s="16"/>
      <c r="I2569" s="16"/>
      <c r="J2569" s="20"/>
      <c r="N2569" s="16"/>
      <c r="O2569" s="16"/>
      <c r="P2569" s="16"/>
    </row>
    <row r="2570" spans="8:16" ht="15.75" customHeight="1">
      <c r="H2570" s="16"/>
      <c r="I2570" s="16"/>
      <c r="J2570" s="20"/>
      <c r="N2570" s="16"/>
      <c r="O2570" s="16"/>
      <c r="P2570" s="16"/>
    </row>
    <row r="2571" spans="8:16" ht="15.75" customHeight="1">
      <c r="H2571" s="16"/>
      <c r="I2571" s="16"/>
      <c r="J2571" s="20"/>
      <c r="N2571" s="16"/>
      <c r="O2571" s="16"/>
      <c r="P2571" s="16"/>
    </row>
    <row r="2572" spans="8:16" ht="15.75" customHeight="1">
      <c r="H2572" s="16"/>
      <c r="I2572" s="16"/>
      <c r="J2572" s="20"/>
      <c r="N2572" s="16"/>
      <c r="O2572" s="16"/>
      <c r="P2572" s="16"/>
    </row>
    <row r="2573" spans="8:16" ht="15.75" customHeight="1">
      <c r="H2573" s="16"/>
      <c r="I2573" s="16"/>
      <c r="J2573" s="20"/>
      <c r="N2573" s="16"/>
      <c r="O2573" s="16"/>
      <c r="P2573" s="16"/>
    </row>
    <row r="2574" spans="8:16" ht="15.75" customHeight="1">
      <c r="H2574" s="16"/>
      <c r="I2574" s="16"/>
      <c r="J2574" s="20"/>
      <c r="N2574" s="16"/>
      <c r="O2574" s="16"/>
      <c r="P2574" s="16"/>
    </row>
    <row r="2575" spans="8:16" ht="15.75" customHeight="1">
      <c r="H2575" s="16"/>
      <c r="I2575" s="16"/>
      <c r="J2575" s="20"/>
      <c r="N2575" s="16"/>
      <c r="O2575" s="16"/>
      <c r="P2575" s="16"/>
    </row>
    <row r="2576" spans="8:16" ht="15.75" customHeight="1">
      <c r="H2576" s="16"/>
      <c r="I2576" s="16"/>
      <c r="J2576" s="20"/>
      <c r="N2576" s="16"/>
      <c r="O2576" s="16"/>
      <c r="P2576" s="16"/>
    </row>
    <row r="2577" spans="8:16" ht="15.75" customHeight="1">
      <c r="H2577" s="16"/>
      <c r="I2577" s="16"/>
      <c r="J2577" s="20"/>
      <c r="N2577" s="16"/>
      <c r="O2577" s="16"/>
      <c r="P2577" s="16"/>
    </row>
    <row r="2578" spans="8:16" ht="15.75" customHeight="1">
      <c r="H2578" s="16"/>
      <c r="I2578" s="16"/>
      <c r="J2578" s="20"/>
      <c r="N2578" s="16"/>
      <c r="O2578" s="16"/>
      <c r="P2578" s="16"/>
    </row>
    <row r="2579" spans="8:16" ht="15.75" customHeight="1">
      <c r="H2579" s="16"/>
      <c r="I2579" s="16"/>
      <c r="J2579" s="20"/>
      <c r="N2579" s="16"/>
      <c r="O2579" s="16"/>
      <c r="P2579" s="16"/>
    </row>
    <row r="2580" spans="8:16" ht="15.75" customHeight="1">
      <c r="H2580" s="16"/>
      <c r="I2580" s="16"/>
      <c r="J2580" s="20"/>
      <c r="N2580" s="16"/>
      <c r="O2580" s="16"/>
      <c r="P2580" s="16"/>
    </row>
    <row r="2581" spans="8:16" ht="15.75" customHeight="1">
      <c r="H2581" s="16"/>
      <c r="I2581" s="16"/>
      <c r="J2581" s="20"/>
      <c r="N2581" s="16"/>
      <c r="O2581" s="16"/>
      <c r="P2581" s="16"/>
    </row>
    <row r="2582" spans="8:16" ht="15.75" customHeight="1">
      <c r="H2582" s="16"/>
      <c r="I2582" s="16"/>
      <c r="J2582" s="20"/>
      <c r="N2582" s="16"/>
      <c r="O2582" s="16"/>
      <c r="P2582" s="16"/>
    </row>
    <row r="2583" spans="8:16" ht="15.75" customHeight="1">
      <c r="H2583" s="16"/>
      <c r="I2583" s="16"/>
      <c r="J2583" s="20"/>
      <c r="N2583" s="16"/>
      <c r="O2583" s="16"/>
      <c r="P2583" s="16"/>
    </row>
    <row r="2584" spans="8:16" ht="15.75" customHeight="1">
      <c r="H2584" s="16"/>
      <c r="I2584" s="16"/>
      <c r="J2584" s="20"/>
      <c r="N2584" s="16"/>
      <c r="O2584" s="16"/>
      <c r="P2584" s="16"/>
    </row>
    <row r="2585" spans="8:16" ht="15.75" customHeight="1">
      <c r="H2585" s="16"/>
      <c r="I2585" s="16"/>
      <c r="J2585" s="20"/>
      <c r="N2585" s="16"/>
      <c r="O2585" s="16"/>
      <c r="P2585" s="16"/>
    </row>
    <row r="2586" spans="8:16" ht="15.75" customHeight="1">
      <c r="H2586" s="16"/>
      <c r="I2586" s="16"/>
      <c r="J2586" s="20"/>
      <c r="N2586" s="16"/>
      <c r="O2586" s="16"/>
      <c r="P2586" s="16"/>
    </row>
    <row r="2587" spans="8:16" ht="15.75" customHeight="1">
      <c r="H2587" s="16"/>
      <c r="I2587" s="16"/>
      <c r="J2587" s="20"/>
      <c r="N2587" s="16"/>
      <c r="O2587" s="16"/>
      <c r="P2587" s="16"/>
    </row>
    <row r="2588" spans="8:16" ht="15.75" customHeight="1">
      <c r="H2588" s="16"/>
      <c r="I2588" s="16"/>
      <c r="J2588" s="20"/>
      <c r="N2588" s="16"/>
      <c r="O2588" s="16"/>
      <c r="P2588" s="16"/>
    </row>
    <row r="2589" spans="8:16" ht="15.75" customHeight="1">
      <c r="H2589" s="16"/>
      <c r="I2589" s="16"/>
      <c r="J2589" s="20"/>
      <c r="N2589" s="16"/>
      <c r="O2589" s="16"/>
      <c r="P2589" s="16"/>
    </row>
    <row r="2590" spans="8:16" ht="15.75" customHeight="1">
      <c r="H2590" s="16"/>
      <c r="I2590" s="16"/>
      <c r="J2590" s="20"/>
      <c r="N2590" s="16"/>
      <c r="O2590" s="16"/>
      <c r="P2590" s="16"/>
    </row>
    <row r="2591" spans="8:16" ht="15.75" customHeight="1">
      <c r="H2591" s="16"/>
      <c r="I2591" s="16"/>
      <c r="J2591" s="20"/>
      <c r="N2591" s="16"/>
      <c r="O2591" s="16"/>
      <c r="P2591" s="16"/>
    </row>
    <row r="2592" spans="8:16" ht="15.75" customHeight="1">
      <c r="H2592" s="16"/>
      <c r="I2592" s="16"/>
      <c r="J2592" s="20"/>
      <c r="N2592" s="16"/>
      <c r="O2592" s="16"/>
      <c r="P2592" s="16"/>
    </row>
    <row r="2593" spans="8:16" ht="15.75" customHeight="1">
      <c r="H2593" s="16"/>
      <c r="I2593" s="16"/>
      <c r="J2593" s="20"/>
      <c r="N2593" s="16"/>
      <c r="O2593" s="16"/>
      <c r="P2593" s="16"/>
    </row>
    <row r="2594" spans="8:16" ht="15.75" customHeight="1">
      <c r="H2594" s="16"/>
      <c r="I2594" s="16"/>
      <c r="J2594" s="20"/>
      <c r="N2594" s="16"/>
      <c r="O2594" s="16"/>
      <c r="P2594" s="16"/>
    </row>
    <row r="2595" spans="8:16" ht="15.75" customHeight="1">
      <c r="H2595" s="16"/>
      <c r="I2595" s="16"/>
      <c r="J2595" s="20"/>
      <c r="N2595" s="16"/>
      <c r="O2595" s="16"/>
      <c r="P2595" s="16"/>
    </row>
    <row r="2596" spans="8:16" ht="15.75" customHeight="1">
      <c r="H2596" s="16"/>
      <c r="I2596" s="16"/>
      <c r="J2596" s="20"/>
      <c r="N2596" s="16"/>
      <c r="O2596" s="16"/>
      <c r="P2596" s="16"/>
    </row>
    <row r="2597" spans="8:16" ht="15.75" customHeight="1">
      <c r="H2597" s="16"/>
      <c r="I2597" s="16"/>
      <c r="J2597" s="20"/>
      <c r="N2597" s="16"/>
      <c r="O2597" s="16"/>
      <c r="P2597" s="16"/>
    </row>
    <row r="2598" spans="8:16" ht="15.75" customHeight="1">
      <c r="H2598" s="16"/>
      <c r="I2598" s="16"/>
      <c r="J2598" s="20"/>
      <c r="N2598" s="16"/>
      <c r="O2598" s="16"/>
      <c r="P2598" s="16"/>
    </row>
    <row r="2599" spans="8:16" ht="15.75" customHeight="1">
      <c r="H2599" s="16"/>
      <c r="I2599" s="16"/>
      <c r="J2599" s="20"/>
      <c r="N2599" s="16"/>
      <c r="O2599" s="16"/>
      <c r="P2599" s="16"/>
    </row>
    <row r="2600" spans="8:16" ht="15.75" customHeight="1">
      <c r="H2600" s="16"/>
      <c r="I2600" s="16"/>
      <c r="J2600" s="20"/>
      <c r="N2600" s="16"/>
      <c r="O2600" s="16"/>
      <c r="P2600" s="16"/>
    </row>
    <row r="2601" spans="8:16" ht="15.75" customHeight="1">
      <c r="H2601" s="16"/>
      <c r="I2601" s="16"/>
      <c r="J2601" s="20"/>
      <c r="N2601" s="16"/>
      <c r="O2601" s="16"/>
      <c r="P2601" s="16"/>
    </row>
    <row r="2602" spans="8:16" ht="15.75" customHeight="1">
      <c r="H2602" s="16"/>
      <c r="I2602" s="16"/>
      <c r="J2602" s="20"/>
      <c r="N2602" s="16"/>
      <c r="O2602" s="16"/>
      <c r="P2602" s="16"/>
    </row>
    <row r="2603" spans="8:16" ht="15.75" customHeight="1">
      <c r="H2603" s="16"/>
      <c r="I2603" s="16"/>
      <c r="J2603" s="20"/>
      <c r="N2603" s="16"/>
      <c r="O2603" s="16"/>
      <c r="P2603" s="16"/>
    </row>
    <row r="2604" spans="8:16" ht="15.75" customHeight="1">
      <c r="H2604" s="16"/>
      <c r="I2604" s="16"/>
      <c r="J2604" s="20"/>
      <c r="N2604" s="16"/>
      <c r="O2604" s="16"/>
      <c r="P2604" s="16"/>
    </row>
    <row r="2605" spans="8:16" ht="15.75" customHeight="1">
      <c r="H2605" s="16"/>
      <c r="I2605" s="16"/>
      <c r="J2605" s="20"/>
      <c r="N2605" s="16"/>
      <c r="O2605" s="16"/>
      <c r="P2605" s="16"/>
    </row>
    <row r="2606" spans="8:16" ht="15.75" customHeight="1">
      <c r="H2606" s="16"/>
      <c r="I2606" s="16"/>
      <c r="J2606" s="20"/>
      <c r="N2606" s="16"/>
      <c r="O2606" s="16"/>
      <c r="P2606" s="16"/>
    </row>
    <row r="2607" spans="8:16" ht="15.75" customHeight="1">
      <c r="H2607" s="16"/>
      <c r="I2607" s="16"/>
      <c r="J2607" s="20"/>
      <c r="N2607" s="16"/>
      <c r="O2607" s="16"/>
      <c r="P2607" s="16"/>
    </row>
    <row r="2608" spans="8:16" ht="15.75" customHeight="1">
      <c r="H2608" s="16"/>
      <c r="I2608" s="16"/>
      <c r="J2608" s="20"/>
      <c r="N2608" s="16"/>
      <c r="O2608" s="16"/>
      <c r="P2608" s="16"/>
    </row>
    <row r="2609" spans="8:16" ht="15.75" customHeight="1">
      <c r="H2609" s="16"/>
      <c r="I2609" s="16"/>
      <c r="J2609" s="20"/>
      <c r="N2609" s="16"/>
      <c r="O2609" s="16"/>
      <c r="P2609" s="16"/>
    </row>
    <row r="2610" spans="8:16" ht="15.75" customHeight="1">
      <c r="H2610" s="16"/>
      <c r="I2610" s="16"/>
      <c r="J2610" s="20"/>
      <c r="N2610" s="16"/>
      <c r="O2610" s="16"/>
      <c r="P2610" s="16"/>
    </row>
    <row r="2611" spans="8:16" ht="15.75" customHeight="1">
      <c r="H2611" s="16"/>
      <c r="I2611" s="16"/>
      <c r="J2611" s="20"/>
      <c r="N2611" s="16"/>
      <c r="O2611" s="16"/>
      <c r="P2611" s="16"/>
    </row>
    <row r="2612" spans="8:16" ht="15.75" customHeight="1">
      <c r="H2612" s="16"/>
      <c r="I2612" s="16"/>
      <c r="J2612" s="20"/>
      <c r="N2612" s="16"/>
      <c r="O2612" s="16"/>
      <c r="P2612" s="16"/>
    </row>
    <row r="2613" spans="8:16" ht="15.75" customHeight="1">
      <c r="H2613" s="16"/>
      <c r="I2613" s="16"/>
      <c r="J2613" s="20"/>
      <c r="N2613" s="16"/>
      <c r="O2613" s="16"/>
      <c r="P2613" s="16"/>
    </row>
    <row r="2614" spans="8:16" ht="15.75" customHeight="1">
      <c r="H2614" s="16"/>
      <c r="I2614" s="16"/>
      <c r="J2614" s="20"/>
      <c r="N2614" s="16"/>
      <c r="O2614" s="16"/>
      <c r="P2614" s="16"/>
    </row>
    <row r="2615" spans="8:16" ht="15.75" customHeight="1">
      <c r="H2615" s="16"/>
      <c r="I2615" s="16"/>
      <c r="J2615" s="20"/>
      <c r="N2615" s="16"/>
      <c r="O2615" s="16"/>
      <c r="P2615" s="16"/>
    </row>
    <row r="2616" spans="8:16" ht="15.75" customHeight="1">
      <c r="H2616" s="16"/>
      <c r="I2616" s="16"/>
      <c r="J2616" s="20"/>
      <c r="N2616" s="16"/>
      <c r="O2616" s="16"/>
      <c r="P2616" s="16"/>
    </row>
    <row r="2617" spans="8:16" ht="15.75" customHeight="1">
      <c r="H2617" s="16"/>
      <c r="I2617" s="16"/>
      <c r="J2617" s="20"/>
      <c r="N2617" s="16"/>
      <c r="O2617" s="16"/>
      <c r="P2617" s="16"/>
    </row>
    <row r="2618" spans="8:16" ht="15.75" customHeight="1">
      <c r="H2618" s="16"/>
      <c r="I2618" s="16"/>
      <c r="J2618" s="20"/>
      <c r="N2618" s="16"/>
      <c r="O2618" s="16"/>
      <c r="P2618" s="16"/>
    </row>
    <row r="2619" spans="8:16" ht="15.75" customHeight="1">
      <c r="H2619" s="16"/>
      <c r="I2619" s="16"/>
      <c r="J2619" s="20"/>
      <c r="N2619" s="16"/>
      <c r="O2619" s="16"/>
      <c r="P2619" s="16"/>
    </row>
    <row r="2620" spans="8:16" ht="15.75" customHeight="1">
      <c r="H2620" s="16"/>
      <c r="I2620" s="16"/>
      <c r="J2620" s="20"/>
      <c r="N2620" s="16"/>
      <c r="O2620" s="16"/>
      <c r="P2620" s="16"/>
    </row>
    <row r="2621" spans="8:16" ht="15.75" customHeight="1">
      <c r="H2621" s="16"/>
      <c r="I2621" s="16"/>
      <c r="J2621" s="20"/>
      <c r="N2621" s="16"/>
      <c r="O2621" s="16"/>
      <c r="P2621" s="16"/>
    </row>
    <row r="2622" spans="8:16" ht="15.75" customHeight="1">
      <c r="H2622" s="16"/>
      <c r="I2622" s="16"/>
      <c r="J2622" s="20"/>
      <c r="N2622" s="16"/>
      <c r="O2622" s="16"/>
      <c r="P2622" s="16"/>
    </row>
    <row r="2623" spans="8:16" ht="15.75" customHeight="1">
      <c r="H2623" s="16"/>
      <c r="I2623" s="16"/>
      <c r="J2623" s="20"/>
      <c r="N2623" s="16"/>
      <c r="O2623" s="16"/>
      <c r="P2623" s="16"/>
    </row>
    <row r="2624" spans="8:16" ht="15.75" customHeight="1">
      <c r="H2624" s="16"/>
      <c r="I2624" s="16"/>
      <c r="J2624" s="20"/>
      <c r="N2624" s="16"/>
      <c r="O2624" s="16"/>
      <c r="P2624" s="16"/>
    </row>
    <row r="2625" spans="8:16" ht="15.75" customHeight="1">
      <c r="H2625" s="16"/>
      <c r="I2625" s="16"/>
      <c r="J2625" s="20"/>
      <c r="N2625" s="16"/>
      <c r="O2625" s="16"/>
      <c r="P2625" s="16"/>
    </row>
    <row r="2626" spans="8:16" ht="15.75" customHeight="1">
      <c r="H2626" s="16"/>
      <c r="I2626" s="16"/>
      <c r="J2626" s="20"/>
      <c r="N2626" s="16"/>
      <c r="O2626" s="16"/>
      <c r="P2626" s="16"/>
    </row>
    <row r="2627" spans="8:16" ht="15.75" customHeight="1">
      <c r="H2627" s="16"/>
      <c r="I2627" s="16"/>
      <c r="J2627" s="20"/>
      <c r="N2627" s="16"/>
      <c r="O2627" s="16"/>
      <c r="P2627" s="16"/>
    </row>
    <row r="2628" spans="8:16" ht="15.75" customHeight="1">
      <c r="H2628" s="16"/>
      <c r="I2628" s="16"/>
      <c r="J2628" s="20"/>
      <c r="N2628" s="16"/>
      <c r="O2628" s="16"/>
      <c r="P2628" s="16"/>
    </row>
    <row r="2629" spans="8:16" ht="15.75" customHeight="1">
      <c r="H2629" s="16"/>
      <c r="I2629" s="16"/>
      <c r="J2629" s="20"/>
      <c r="N2629" s="16"/>
      <c r="O2629" s="16"/>
      <c r="P2629" s="16"/>
    </row>
    <row r="2630" spans="8:16" ht="15.75" customHeight="1">
      <c r="H2630" s="16"/>
      <c r="I2630" s="16"/>
      <c r="J2630" s="20"/>
      <c r="N2630" s="16"/>
      <c r="O2630" s="16"/>
      <c r="P2630" s="16"/>
    </row>
    <row r="2631" spans="8:16" ht="15.75" customHeight="1">
      <c r="H2631" s="16"/>
      <c r="I2631" s="16"/>
      <c r="J2631" s="20"/>
      <c r="N2631" s="16"/>
      <c r="O2631" s="16"/>
      <c r="P2631" s="16"/>
    </row>
    <row r="2632" spans="8:16" ht="15.75" customHeight="1">
      <c r="H2632" s="16"/>
      <c r="I2632" s="16"/>
      <c r="J2632" s="20"/>
      <c r="N2632" s="16"/>
      <c r="O2632" s="16"/>
      <c r="P2632" s="16"/>
    </row>
    <row r="2633" spans="8:16" ht="15.75" customHeight="1">
      <c r="H2633" s="16"/>
      <c r="I2633" s="16"/>
      <c r="J2633" s="20"/>
      <c r="N2633" s="16"/>
      <c r="O2633" s="16"/>
      <c r="P2633" s="16"/>
    </row>
    <row r="2634" spans="8:16" ht="15.75" customHeight="1">
      <c r="H2634" s="16"/>
      <c r="I2634" s="16"/>
      <c r="J2634" s="20"/>
      <c r="N2634" s="16"/>
      <c r="O2634" s="16"/>
      <c r="P2634" s="16"/>
    </row>
    <row r="2635" spans="8:16" ht="15.75" customHeight="1">
      <c r="H2635" s="16"/>
      <c r="I2635" s="16"/>
      <c r="J2635" s="20"/>
      <c r="N2635" s="16"/>
      <c r="O2635" s="16"/>
      <c r="P2635" s="16"/>
    </row>
    <row r="2636" spans="8:16" ht="15.75" customHeight="1">
      <c r="H2636" s="16"/>
      <c r="I2636" s="16"/>
      <c r="J2636" s="20"/>
      <c r="N2636" s="16"/>
      <c r="O2636" s="16"/>
      <c r="P2636" s="16"/>
    </row>
    <row r="2637" spans="8:16" ht="15.75" customHeight="1">
      <c r="H2637" s="16"/>
      <c r="I2637" s="16"/>
      <c r="J2637" s="20"/>
      <c r="N2637" s="16"/>
      <c r="O2637" s="16"/>
      <c r="P2637" s="16"/>
    </row>
    <row r="2638" spans="8:16" ht="15.75" customHeight="1">
      <c r="H2638" s="16"/>
      <c r="I2638" s="16"/>
      <c r="J2638" s="20"/>
      <c r="N2638" s="16"/>
      <c r="O2638" s="16"/>
      <c r="P2638" s="16"/>
    </row>
    <row r="2639" spans="8:16" ht="15.75" customHeight="1">
      <c r="H2639" s="16"/>
      <c r="I2639" s="16"/>
      <c r="J2639" s="20"/>
      <c r="N2639" s="16"/>
      <c r="O2639" s="16"/>
      <c r="P2639" s="16"/>
    </row>
    <row r="2640" spans="8:16" ht="15.75" customHeight="1">
      <c r="H2640" s="16"/>
      <c r="I2640" s="16"/>
      <c r="J2640" s="20"/>
      <c r="N2640" s="16"/>
      <c r="O2640" s="16"/>
      <c r="P2640" s="16"/>
    </row>
    <row r="2641" spans="8:16" ht="15.75" customHeight="1">
      <c r="H2641" s="16"/>
      <c r="I2641" s="16"/>
      <c r="J2641" s="20"/>
      <c r="N2641" s="16"/>
      <c r="O2641" s="16"/>
      <c r="P2641" s="16"/>
    </row>
    <row r="2642" spans="8:16" ht="15.75" customHeight="1">
      <c r="H2642" s="16"/>
      <c r="I2642" s="16"/>
      <c r="J2642" s="20"/>
      <c r="N2642" s="16"/>
      <c r="O2642" s="16"/>
      <c r="P2642" s="16"/>
    </row>
    <row r="2643" spans="8:16" ht="15.75" customHeight="1">
      <c r="H2643" s="16"/>
      <c r="I2643" s="16"/>
      <c r="J2643" s="20"/>
      <c r="N2643" s="16"/>
      <c r="O2643" s="16"/>
      <c r="P2643" s="16"/>
    </row>
    <row r="2644" spans="8:16" ht="15.75" customHeight="1">
      <c r="H2644" s="16"/>
      <c r="I2644" s="16"/>
      <c r="J2644" s="20"/>
      <c r="N2644" s="16"/>
      <c r="O2644" s="16"/>
      <c r="P2644" s="16"/>
    </row>
    <row r="2645" spans="8:16" ht="15.75" customHeight="1">
      <c r="H2645" s="16"/>
      <c r="I2645" s="16"/>
      <c r="J2645" s="20"/>
      <c r="N2645" s="16"/>
      <c r="O2645" s="16"/>
      <c r="P2645" s="16"/>
    </row>
    <row r="2646" spans="8:16" ht="15.75" customHeight="1">
      <c r="H2646" s="16"/>
      <c r="I2646" s="16"/>
      <c r="J2646" s="20"/>
      <c r="N2646" s="16"/>
      <c r="O2646" s="16"/>
      <c r="P2646" s="16"/>
    </row>
    <row r="2647" spans="8:16" ht="15.75" customHeight="1">
      <c r="H2647" s="16"/>
      <c r="I2647" s="16"/>
      <c r="J2647" s="20"/>
      <c r="N2647" s="16"/>
      <c r="O2647" s="16"/>
      <c r="P2647" s="16"/>
    </row>
    <row r="2648" spans="8:16" ht="15.75" customHeight="1">
      <c r="H2648" s="16"/>
      <c r="I2648" s="16"/>
      <c r="J2648" s="20"/>
      <c r="N2648" s="16"/>
      <c r="O2648" s="16"/>
      <c r="P2648" s="16"/>
    </row>
    <row r="2649" spans="8:16" ht="15.75" customHeight="1">
      <c r="H2649" s="16"/>
      <c r="I2649" s="16"/>
      <c r="J2649" s="20"/>
      <c r="N2649" s="16"/>
      <c r="O2649" s="16"/>
      <c r="P2649" s="16"/>
    </row>
    <row r="2650" spans="8:16" ht="15.75" customHeight="1">
      <c r="H2650" s="16"/>
      <c r="I2650" s="16"/>
      <c r="J2650" s="20"/>
      <c r="N2650" s="16"/>
      <c r="O2650" s="16"/>
      <c r="P2650" s="16"/>
    </row>
    <row r="2651" spans="8:16" ht="15.75" customHeight="1">
      <c r="H2651" s="16"/>
      <c r="I2651" s="16"/>
      <c r="J2651" s="20"/>
      <c r="N2651" s="16"/>
      <c r="O2651" s="16"/>
      <c r="P2651" s="16"/>
    </row>
    <row r="2652" spans="8:16" ht="15.75" customHeight="1">
      <c r="H2652" s="16"/>
      <c r="I2652" s="16"/>
      <c r="J2652" s="20"/>
      <c r="N2652" s="16"/>
      <c r="O2652" s="16"/>
      <c r="P2652" s="16"/>
    </row>
    <row r="2653" spans="8:16" ht="15.75" customHeight="1">
      <c r="H2653" s="16"/>
      <c r="I2653" s="16"/>
      <c r="J2653" s="20"/>
      <c r="N2653" s="16"/>
      <c r="O2653" s="16"/>
      <c r="P2653" s="16"/>
    </row>
    <row r="2654" spans="8:16" ht="15.75" customHeight="1">
      <c r="H2654" s="16"/>
      <c r="I2654" s="16"/>
      <c r="J2654" s="20"/>
      <c r="N2654" s="16"/>
      <c r="O2654" s="16"/>
      <c r="P2654" s="16"/>
    </row>
    <row r="2655" spans="8:16" ht="15.75" customHeight="1">
      <c r="H2655" s="16"/>
      <c r="I2655" s="16"/>
      <c r="J2655" s="20"/>
      <c r="N2655" s="16"/>
      <c r="O2655" s="16"/>
      <c r="P2655" s="16"/>
    </row>
    <row r="2656" spans="8:16" ht="15.75" customHeight="1">
      <c r="H2656" s="16"/>
      <c r="I2656" s="16"/>
      <c r="J2656" s="20"/>
      <c r="N2656" s="16"/>
      <c r="O2656" s="16"/>
      <c r="P2656" s="16"/>
    </row>
    <row r="2657" spans="8:16" ht="15.75" customHeight="1">
      <c r="H2657" s="16"/>
      <c r="I2657" s="16"/>
      <c r="J2657" s="20"/>
      <c r="N2657" s="16"/>
      <c r="O2657" s="16"/>
      <c r="P2657" s="16"/>
    </row>
    <row r="2658" spans="8:16" ht="15.75" customHeight="1">
      <c r="H2658" s="16"/>
      <c r="I2658" s="16"/>
      <c r="J2658" s="20"/>
      <c r="N2658" s="16"/>
      <c r="O2658" s="16"/>
      <c r="P2658" s="16"/>
    </row>
    <row r="2659" spans="8:16" ht="15.75" customHeight="1">
      <c r="H2659" s="16"/>
      <c r="I2659" s="16"/>
      <c r="J2659" s="20"/>
      <c r="N2659" s="16"/>
      <c r="O2659" s="16"/>
      <c r="P2659" s="16"/>
    </row>
    <row r="2660" spans="8:16" ht="15.75" customHeight="1">
      <c r="H2660" s="16"/>
      <c r="I2660" s="16"/>
      <c r="J2660" s="20"/>
      <c r="N2660" s="16"/>
      <c r="O2660" s="16"/>
      <c r="P2660" s="16"/>
    </row>
    <row r="2661" spans="8:16" ht="15.75" customHeight="1">
      <c r="H2661" s="16"/>
      <c r="I2661" s="16"/>
      <c r="J2661" s="20"/>
      <c r="N2661" s="16"/>
      <c r="O2661" s="16"/>
      <c r="P2661" s="16"/>
    </row>
    <row r="2662" spans="8:16" ht="15.75" customHeight="1">
      <c r="H2662" s="16"/>
      <c r="I2662" s="16"/>
      <c r="J2662" s="20"/>
      <c r="N2662" s="16"/>
      <c r="O2662" s="16"/>
      <c r="P2662" s="16"/>
    </row>
    <row r="2663" spans="8:16" ht="15.75" customHeight="1">
      <c r="H2663" s="16"/>
      <c r="I2663" s="16"/>
      <c r="J2663" s="20"/>
      <c r="N2663" s="16"/>
      <c r="O2663" s="16"/>
      <c r="P2663" s="16"/>
    </row>
    <row r="2664" spans="8:16" ht="15.75" customHeight="1">
      <c r="H2664" s="16"/>
      <c r="I2664" s="16"/>
      <c r="J2664" s="20"/>
      <c r="N2664" s="16"/>
      <c r="O2664" s="16"/>
      <c r="P2664" s="16"/>
    </row>
    <row r="2665" spans="8:16" ht="15.75" customHeight="1">
      <c r="H2665" s="16"/>
      <c r="I2665" s="16"/>
      <c r="J2665" s="20"/>
      <c r="N2665" s="16"/>
      <c r="O2665" s="16"/>
      <c r="P2665" s="16"/>
    </row>
    <row r="2666" spans="8:16" ht="15.75" customHeight="1">
      <c r="H2666" s="16"/>
      <c r="I2666" s="16"/>
      <c r="J2666" s="20"/>
      <c r="N2666" s="16"/>
      <c r="O2666" s="16"/>
      <c r="P2666" s="16"/>
    </row>
    <row r="2667" spans="8:16" ht="15.75" customHeight="1">
      <c r="H2667" s="16"/>
      <c r="I2667" s="16"/>
      <c r="J2667" s="20"/>
      <c r="N2667" s="16"/>
      <c r="O2667" s="16"/>
      <c r="P2667" s="16"/>
    </row>
    <row r="2668" spans="8:16" ht="15.75" customHeight="1">
      <c r="H2668" s="16"/>
      <c r="I2668" s="16"/>
      <c r="J2668" s="20"/>
      <c r="N2668" s="16"/>
      <c r="O2668" s="16"/>
      <c r="P2668" s="16"/>
    </row>
    <row r="2669" spans="8:16" ht="15.75" customHeight="1">
      <c r="H2669" s="16"/>
      <c r="I2669" s="16"/>
      <c r="J2669" s="20"/>
      <c r="N2669" s="16"/>
      <c r="O2669" s="16"/>
      <c r="P2669" s="16"/>
    </row>
    <row r="2670" spans="8:16" ht="15.75" customHeight="1">
      <c r="H2670" s="16"/>
      <c r="I2670" s="16"/>
      <c r="J2670" s="20"/>
      <c r="N2670" s="16"/>
      <c r="O2670" s="16"/>
      <c r="P2670" s="16"/>
    </row>
    <row r="2671" spans="8:16" ht="15.75" customHeight="1">
      <c r="H2671" s="16"/>
      <c r="I2671" s="16"/>
      <c r="J2671" s="20"/>
      <c r="N2671" s="16"/>
      <c r="O2671" s="16"/>
      <c r="P2671" s="16"/>
    </row>
    <row r="2672" spans="8:16" ht="15.75" customHeight="1">
      <c r="H2672" s="16"/>
      <c r="I2672" s="16"/>
      <c r="J2672" s="20"/>
      <c r="N2672" s="16"/>
      <c r="O2672" s="16"/>
      <c r="P2672" s="16"/>
    </row>
    <row r="2673" spans="8:16" ht="15.75" customHeight="1">
      <c r="H2673" s="16"/>
      <c r="I2673" s="16"/>
      <c r="J2673" s="20"/>
      <c r="N2673" s="16"/>
      <c r="O2673" s="16"/>
      <c r="P2673" s="16"/>
    </row>
    <row r="2674" spans="8:16" ht="15.75" customHeight="1">
      <c r="H2674" s="16"/>
      <c r="I2674" s="16"/>
      <c r="J2674" s="20"/>
      <c r="N2674" s="16"/>
      <c r="O2674" s="16"/>
      <c r="P2674" s="16"/>
    </row>
    <row r="2675" spans="8:16" ht="15.75" customHeight="1">
      <c r="H2675" s="16"/>
      <c r="I2675" s="16"/>
      <c r="J2675" s="20"/>
      <c r="N2675" s="16"/>
      <c r="O2675" s="16"/>
      <c r="P2675" s="16"/>
    </row>
    <row r="2676" spans="8:16" ht="15.75" customHeight="1">
      <c r="H2676" s="16"/>
      <c r="I2676" s="16"/>
      <c r="J2676" s="20"/>
      <c r="N2676" s="16"/>
      <c r="O2676" s="16"/>
      <c r="P2676" s="16"/>
    </row>
    <row r="2677" spans="8:16" ht="15.75" customHeight="1">
      <c r="H2677" s="16"/>
      <c r="I2677" s="16"/>
      <c r="J2677" s="20"/>
      <c r="N2677" s="16"/>
      <c r="O2677" s="16"/>
      <c r="P2677" s="16"/>
    </row>
    <row r="2678" spans="8:16" ht="15.75" customHeight="1">
      <c r="H2678" s="16"/>
      <c r="I2678" s="16"/>
      <c r="J2678" s="20"/>
      <c r="N2678" s="16"/>
      <c r="O2678" s="16"/>
      <c r="P2678" s="16"/>
    </row>
    <row r="2679" spans="8:16" ht="15.75" customHeight="1">
      <c r="H2679" s="16"/>
      <c r="I2679" s="16"/>
      <c r="J2679" s="20"/>
      <c r="N2679" s="16"/>
      <c r="O2679" s="16"/>
      <c r="P2679" s="16"/>
    </row>
    <row r="2680" spans="8:16" ht="15.75" customHeight="1">
      <c r="H2680" s="16"/>
      <c r="I2680" s="16"/>
      <c r="J2680" s="20"/>
      <c r="N2680" s="16"/>
      <c r="O2680" s="16"/>
      <c r="P2680" s="16"/>
    </row>
    <row r="2681" spans="8:16" ht="15.75" customHeight="1">
      <c r="H2681" s="16"/>
      <c r="I2681" s="16"/>
      <c r="J2681" s="20"/>
      <c r="N2681" s="16"/>
      <c r="O2681" s="16"/>
      <c r="P2681" s="16"/>
    </row>
    <row r="2682" spans="8:16" ht="15.75" customHeight="1">
      <c r="H2682" s="16"/>
      <c r="I2682" s="16"/>
      <c r="J2682" s="20"/>
      <c r="N2682" s="16"/>
      <c r="O2682" s="16"/>
      <c r="P2682" s="16"/>
    </row>
    <row r="2683" spans="8:16" ht="15.75" customHeight="1">
      <c r="H2683" s="16"/>
      <c r="I2683" s="16"/>
      <c r="J2683" s="20"/>
      <c r="N2683" s="16"/>
      <c r="O2683" s="16"/>
      <c r="P2683" s="16"/>
    </row>
    <row r="2684" spans="8:16" ht="15.75" customHeight="1">
      <c r="H2684" s="16"/>
      <c r="I2684" s="16"/>
      <c r="J2684" s="20"/>
      <c r="N2684" s="16"/>
      <c r="O2684" s="16"/>
      <c r="P2684" s="16"/>
    </row>
    <row r="2685" spans="8:16" ht="15.75" customHeight="1">
      <c r="H2685" s="16"/>
      <c r="I2685" s="16"/>
      <c r="J2685" s="20"/>
      <c r="N2685" s="16"/>
      <c r="O2685" s="16"/>
      <c r="P2685" s="16"/>
    </row>
    <row r="2686" spans="8:16" ht="15.75" customHeight="1">
      <c r="H2686" s="16"/>
      <c r="I2686" s="16"/>
      <c r="J2686" s="20"/>
      <c r="N2686" s="16"/>
      <c r="O2686" s="16"/>
      <c r="P2686" s="16"/>
    </row>
    <row r="2687" spans="8:16" ht="15.75" customHeight="1">
      <c r="H2687" s="16"/>
      <c r="I2687" s="16"/>
      <c r="J2687" s="20"/>
      <c r="N2687" s="16"/>
      <c r="O2687" s="16"/>
      <c r="P2687" s="16"/>
    </row>
    <row r="2688" spans="8:16" ht="15.75" customHeight="1">
      <c r="H2688" s="16"/>
      <c r="I2688" s="16"/>
      <c r="J2688" s="20"/>
      <c r="N2688" s="16"/>
      <c r="O2688" s="16"/>
      <c r="P2688" s="16"/>
    </row>
    <row r="2689" spans="8:16" ht="15.75" customHeight="1">
      <c r="H2689" s="16"/>
      <c r="I2689" s="16"/>
      <c r="J2689" s="20"/>
      <c r="N2689" s="16"/>
      <c r="O2689" s="16"/>
      <c r="P2689" s="16"/>
    </row>
    <row r="2690" spans="8:16" ht="15.75" customHeight="1">
      <c r="H2690" s="16"/>
      <c r="I2690" s="16"/>
      <c r="J2690" s="20"/>
      <c r="N2690" s="16"/>
      <c r="O2690" s="16"/>
      <c r="P2690" s="16"/>
    </row>
    <row r="2691" spans="8:16" ht="15.75" customHeight="1">
      <c r="H2691" s="16"/>
      <c r="I2691" s="16"/>
      <c r="J2691" s="20"/>
      <c r="N2691" s="16"/>
      <c r="O2691" s="16"/>
      <c r="P2691" s="16"/>
    </row>
    <row r="2692" spans="8:16" ht="15.75" customHeight="1">
      <c r="H2692" s="16"/>
      <c r="I2692" s="16"/>
      <c r="J2692" s="20"/>
      <c r="N2692" s="16"/>
      <c r="O2692" s="16"/>
      <c r="P2692" s="16"/>
    </row>
    <row r="2693" spans="8:16" ht="15.75" customHeight="1">
      <c r="H2693" s="16"/>
      <c r="I2693" s="16"/>
      <c r="J2693" s="20"/>
      <c r="N2693" s="16"/>
      <c r="O2693" s="16"/>
      <c r="P2693" s="16"/>
    </row>
    <row r="2694" spans="8:16" ht="15.75" customHeight="1">
      <c r="H2694" s="16"/>
      <c r="I2694" s="16"/>
      <c r="J2694" s="20"/>
      <c r="N2694" s="16"/>
      <c r="O2694" s="16"/>
      <c r="P2694" s="16"/>
    </row>
    <row r="2695" spans="8:16" ht="15.75" customHeight="1">
      <c r="H2695" s="16"/>
      <c r="I2695" s="16"/>
      <c r="J2695" s="20"/>
      <c r="N2695" s="16"/>
      <c r="O2695" s="16"/>
      <c r="P2695" s="16"/>
    </row>
    <row r="2696" spans="8:16" ht="15.75" customHeight="1">
      <c r="H2696" s="16"/>
      <c r="I2696" s="16"/>
      <c r="J2696" s="20"/>
      <c r="N2696" s="16"/>
      <c r="O2696" s="16"/>
      <c r="P2696" s="16"/>
    </row>
    <row r="2697" spans="8:16" ht="15.75" customHeight="1">
      <c r="H2697" s="16"/>
      <c r="I2697" s="16"/>
      <c r="J2697" s="20"/>
      <c r="N2697" s="16"/>
      <c r="O2697" s="16"/>
      <c r="P2697" s="16"/>
    </row>
    <row r="2698" spans="8:16" ht="15.75" customHeight="1">
      <c r="H2698" s="16"/>
      <c r="I2698" s="16"/>
      <c r="J2698" s="20"/>
      <c r="N2698" s="16"/>
      <c r="O2698" s="16"/>
      <c r="P2698" s="16"/>
    </row>
    <row r="2699" spans="8:16" ht="15.75" customHeight="1">
      <c r="H2699" s="16"/>
      <c r="I2699" s="16"/>
      <c r="J2699" s="20"/>
      <c r="N2699" s="16"/>
      <c r="O2699" s="16"/>
      <c r="P2699" s="16"/>
    </row>
    <row r="2700" spans="8:16" ht="15.75" customHeight="1">
      <c r="H2700" s="16"/>
      <c r="I2700" s="16"/>
      <c r="J2700" s="20"/>
      <c r="N2700" s="16"/>
      <c r="O2700" s="16"/>
      <c r="P2700" s="16"/>
    </row>
    <row r="2701" spans="8:16" ht="15.75" customHeight="1">
      <c r="H2701" s="16"/>
      <c r="I2701" s="16"/>
      <c r="J2701" s="20"/>
      <c r="N2701" s="16"/>
      <c r="O2701" s="16"/>
      <c r="P2701" s="16"/>
    </row>
    <row r="2702" spans="8:16" ht="15.75" customHeight="1">
      <c r="H2702" s="16"/>
      <c r="I2702" s="16"/>
      <c r="J2702" s="20"/>
      <c r="N2702" s="16"/>
      <c r="O2702" s="16"/>
      <c r="P2702" s="16"/>
    </row>
    <row r="2703" spans="8:16" ht="15.75" customHeight="1">
      <c r="H2703" s="16"/>
      <c r="I2703" s="16"/>
      <c r="J2703" s="20"/>
      <c r="N2703" s="16"/>
      <c r="O2703" s="16"/>
      <c r="P2703" s="16"/>
    </row>
    <row r="2704" spans="8:16" ht="15.75" customHeight="1">
      <c r="H2704" s="16"/>
      <c r="I2704" s="16"/>
      <c r="J2704" s="20"/>
      <c r="N2704" s="16"/>
      <c r="O2704" s="16"/>
      <c r="P2704" s="16"/>
    </row>
    <row r="2705" spans="8:16" ht="15.75" customHeight="1">
      <c r="H2705" s="16"/>
      <c r="I2705" s="16"/>
      <c r="J2705" s="20"/>
      <c r="N2705" s="16"/>
      <c r="O2705" s="16"/>
      <c r="P2705" s="16"/>
    </row>
    <row r="2706" spans="8:16" ht="15.75" customHeight="1">
      <c r="H2706" s="16"/>
      <c r="I2706" s="16"/>
      <c r="J2706" s="20"/>
      <c r="N2706" s="16"/>
      <c r="O2706" s="16"/>
      <c r="P2706" s="16"/>
    </row>
    <row r="2707" spans="8:16" ht="15.75" customHeight="1">
      <c r="H2707" s="16"/>
      <c r="I2707" s="16"/>
      <c r="J2707" s="20"/>
      <c r="N2707" s="16"/>
      <c r="O2707" s="16"/>
      <c r="P2707" s="16"/>
    </row>
    <row r="2708" spans="8:16" ht="15.75" customHeight="1">
      <c r="H2708" s="16"/>
      <c r="I2708" s="16"/>
      <c r="J2708" s="20"/>
      <c r="N2708" s="16"/>
      <c r="O2708" s="16"/>
      <c r="P2708" s="16"/>
    </row>
    <row r="2709" spans="8:16" ht="15.75" customHeight="1">
      <c r="H2709" s="16"/>
      <c r="I2709" s="16"/>
      <c r="J2709" s="20"/>
      <c r="N2709" s="16"/>
      <c r="O2709" s="16"/>
      <c r="P2709" s="16"/>
    </row>
    <row r="2710" spans="8:16" ht="15.75" customHeight="1">
      <c r="H2710" s="16"/>
      <c r="I2710" s="16"/>
      <c r="J2710" s="20"/>
      <c r="N2710" s="16"/>
      <c r="O2710" s="16"/>
      <c r="P2710" s="16"/>
    </row>
    <row r="2711" spans="8:16" ht="15.75" customHeight="1">
      <c r="H2711" s="16"/>
      <c r="I2711" s="16"/>
      <c r="J2711" s="20"/>
      <c r="N2711" s="16"/>
      <c r="O2711" s="16"/>
      <c r="P2711" s="16"/>
    </row>
    <row r="2712" spans="8:16" ht="15.75" customHeight="1">
      <c r="H2712" s="16"/>
      <c r="I2712" s="16"/>
      <c r="J2712" s="20"/>
      <c r="N2712" s="16"/>
      <c r="O2712" s="16"/>
      <c r="P2712" s="16"/>
    </row>
    <row r="2713" spans="8:16" ht="15.75" customHeight="1">
      <c r="H2713" s="16"/>
      <c r="I2713" s="16"/>
      <c r="J2713" s="20"/>
      <c r="N2713" s="16"/>
      <c r="O2713" s="16"/>
      <c r="P2713" s="16"/>
    </row>
    <row r="2714" spans="8:16" ht="15.75" customHeight="1">
      <c r="H2714" s="16"/>
      <c r="I2714" s="16"/>
      <c r="J2714" s="20"/>
      <c r="N2714" s="16"/>
      <c r="O2714" s="16"/>
      <c r="P2714" s="16"/>
    </row>
    <row r="2715" spans="8:16" ht="15.75" customHeight="1">
      <c r="H2715" s="16"/>
      <c r="I2715" s="16"/>
      <c r="J2715" s="20"/>
      <c r="N2715" s="16"/>
      <c r="O2715" s="16"/>
      <c r="P2715" s="16"/>
    </row>
    <row r="2716" spans="8:16" ht="15.75" customHeight="1">
      <c r="H2716" s="16"/>
      <c r="I2716" s="16"/>
      <c r="J2716" s="20"/>
      <c r="N2716" s="16"/>
      <c r="O2716" s="16"/>
      <c r="P2716" s="16"/>
    </row>
    <row r="2717" spans="8:16" ht="15.75" customHeight="1">
      <c r="H2717" s="16"/>
      <c r="I2717" s="16"/>
      <c r="J2717" s="20"/>
      <c r="N2717" s="16"/>
      <c r="O2717" s="16"/>
      <c r="P2717" s="16"/>
    </row>
    <row r="2718" spans="8:16" ht="15.75" customHeight="1">
      <c r="H2718" s="16"/>
      <c r="I2718" s="16"/>
      <c r="J2718" s="20"/>
      <c r="N2718" s="16"/>
      <c r="O2718" s="16"/>
      <c r="P2718" s="16"/>
    </row>
    <row r="2719" spans="8:16" ht="15.75" customHeight="1">
      <c r="H2719" s="16"/>
      <c r="I2719" s="16"/>
      <c r="J2719" s="20"/>
      <c r="N2719" s="16"/>
      <c r="O2719" s="16"/>
      <c r="P2719" s="16"/>
    </row>
    <row r="2720" spans="8:16" ht="15.75" customHeight="1">
      <c r="H2720" s="16"/>
      <c r="I2720" s="16"/>
      <c r="J2720" s="20"/>
      <c r="N2720" s="16"/>
      <c r="O2720" s="16"/>
      <c r="P2720" s="16"/>
    </row>
    <row r="2721" spans="8:16" ht="15.75" customHeight="1">
      <c r="H2721" s="16"/>
      <c r="I2721" s="16"/>
      <c r="J2721" s="20"/>
      <c r="N2721" s="16"/>
      <c r="O2721" s="16"/>
      <c r="P2721" s="16"/>
    </row>
    <row r="2722" spans="8:16" ht="15.75" customHeight="1">
      <c r="H2722" s="16"/>
      <c r="I2722" s="16"/>
      <c r="J2722" s="20"/>
      <c r="N2722" s="16"/>
      <c r="O2722" s="16"/>
      <c r="P2722" s="16"/>
    </row>
    <row r="2723" spans="8:16" ht="15.75" customHeight="1">
      <c r="H2723" s="16"/>
      <c r="I2723" s="16"/>
      <c r="J2723" s="20"/>
      <c r="N2723" s="16"/>
      <c r="O2723" s="16"/>
      <c r="P2723" s="16"/>
    </row>
    <row r="2724" spans="8:16" ht="15.75" customHeight="1">
      <c r="H2724" s="16"/>
      <c r="I2724" s="16"/>
      <c r="J2724" s="20"/>
      <c r="N2724" s="16"/>
      <c r="O2724" s="16"/>
      <c r="P2724" s="16"/>
    </row>
    <row r="2725" spans="8:16" ht="15.75" customHeight="1">
      <c r="H2725" s="16"/>
      <c r="I2725" s="16"/>
      <c r="J2725" s="20"/>
      <c r="N2725" s="16"/>
      <c r="O2725" s="16"/>
      <c r="P2725" s="16"/>
    </row>
    <row r="2726" spans="8:16" ht="15.75" customHeight="1">
      <c r="H2726" s="16"/>
      <c r="I2726" s="16"/>
      <c r="J2726" s="20"/>
      <c r="N2726" s="16"/>
      <c r="O2726" s="16"/>
      <c r="P2726" s="16"/>
    </row>
    <row r="2727" spans="8:16" ht="15.75" customHeight="1">
      <c r="H2727" s="16"/>
      <c r="I2727" s="16"/>
      <c r="J2727" s="20"/>
      <c r="N2727" s="16"/>
      <c r="O2727" s="16"/>
      <c r="P2727" s="16"/>
    </row>
    <row r="2728" spans="8:16" ht="15.75" customHeight="1">
      <c r="H2728" s="16"/>
      <c r="I2728" s="16"/>
      <c r="J2728" s="20"/>
      <c r="N2728" s="16"/>
      <c r="O2728" s="16"/>
      <c r="P2728" s="16"/>
    </row>
    <row r="2729" spans="8:16" ht="15.75" customHeight="1">
      <c r="H2729" s="16"/>
      <c r="I2729" s="16"/>
      <c r="J2729" s="20"/>
      <c r="N2729" s="16"/>
      <c r="O2729" s="16"/>
      <c r="P2729" s="16"/>
    </row>
    <row r="2730" spans="8:16" ht="15.75" customHeight="1">
      <c r="H2730" s="16"/>
      <c r="I2730" s="16"/>
      <c r="J2730" s="20"/>
      <c r="N2730" s="16"/>
      <c r="O2730" s="16"/>
      <c r="P2730" s="16"/>
    </row>
    <row r="2731" spans="8:16" ht="15.75" customHeight="1">
      <c r="H2731" s="16"/>
      <c r="I2731" s="16"/>
      <c r="J2731" s="20"/>
      <c r="N2731" s="16"/>
      <c r="O2731" s="16"/>
      <c r="P2731" s="16"/>
    </row>
    <row r="2732" spans="8:16" ht="15.75" customHeight="1">
      <c r="H2732" s="16"/>
      <c r="I2732" s="16"/>
      <c r="J2732" s="20"/>
      <c r="N2732" s="16"/>
      <c r="O2732" s="16"/>
      <c r="P2732" s="16"/>
    </row>
    <row r="2733" spans="8:16" ht="15.75" customHeight="1">
      <c r="H2733" s="16"/>
      <c r="I2733" s="16"/>
      <c r="J2733" s="20"/>
      <c r="N2733" s="16"/>
      <c r="O2733" s="16"/>
      <c r="P2733" s="16"/>
    </row>
    <row r="2734" spans="8:16" ht="15.75" customHeight="1">
      <c r="H2734" s="16"/>
      <c r="I2734" s="16"/>
      <c r="J2734" s="20"/>
      <c r="N2734" s="16"/>
      <c r="O2734" s="16"/>
      <c r="P2734" s="16"/>
    </row>
    <row r="2735" spans="8:16" ht="15.75" customHeight="1">
      <c r="H2735" s="16"/>
      <c r="I2735" s="16"/>
      <c r="J2735" s="20"/>
      <c r="N2735" s="16"/>
      <c r="O2735" s="16"/>
      <c r="P2735" s="16"/>
    </row>
    <row r="2736" spans="8:16" ht="15.75" customHeight="1">
      <c r="H2736" s="16"/>
      <c r="I2736" s="16"/>
      <c r="J2736" s="20"/>
      <c r="N2736" s="16"/>
      <c r="O2736" s="16"/>
      <c r="P2736" s="16"/>
    </row>
    <row r="2737" spans="8:16" ht="15.75" customHeight="1">
      <c r="H2737" s="16"/>
      <c r="I2737" s="16"/>
      <c r="J2737" s="20"/>
      <c r="N2737" s="16"/>
      <c r="O2737" s="16"/>
      <c r="P2737" s="16"/>
    </row>
    <row r="2738" spans="8:16" ht="15.75" customHeight="1">
      <c r="H2738" s="16"/>
      <c r="I2738" s="16"/>
      <c r="J2738" s="20"/>
      <c r="N2738" s="16"/>
      <c r="O2738" s="16"/>
      <c r="P2738" s="16"/>
    </row>
    <row r="2739" spans="8:16" ht="15.75" customHeight="1">
      <c r="H2739" s="16"/>
      <c r="I2739" s="16"/>
      <c r="J2739" s="20"/>
      <c r="N2739" s="16"/>
      <c r="O2739" s="16"/>
      <c r="P2739" s="16"/>
    </row>
    <row r="2740" spans="8:16" ht="15.75" customHeight="1">
      <c r="H2740" s="16"/>
      <c r="I2740" s="16"/>
      <c r="J2740" s="20"/>
      <c r="N2740" s="16"/>
      <c r="O2740" s="16"/>
      <c r="P2740" s="16"/>
    </row>
    <row r="2741" spans="8:16" ht="15.75" customHeight="1">
      <c r="H2741" s="16"/>
      <c r="I2741" s="16"/>
      <c r="J2741" s="20"/>
      <c r="N2741" s="16"/>
      <c r="O2741" s="16"/>
      <c r="P2741" s="16"/>
    </row>
    <row r="2742" spans="8:16" ht="15.75" customHeight="1">
      <c r="H2742" s="16"/>
      <c r="I2742" s="16"/>
      <c r="J2742" s="20"/>
      <c r="N2742" s="16"/>
      <c r="O2742" s="16"/>
      <c r="P2742" s="16"/>
    </row>
    <row r="2743" spans="8:16" ht="15.75" customHeight="1">
      <c r="H2743" s="16"/>
      <c r="I2743" s="16"/>
      <c r="J2743" s="20"/>
      <c r="N2743" s="16"/>
      <c r="O2743" s="16"/>
      <c r="P2743" s="16"/>
    </row>
    <row r="2744" spans="8:16" ht="15.75" customHeight="1">
      <c r="H2744" s="16"/>
      <c r="I2744" s="16"/>
      <c r="J2744" s="20"/>
      <c r="N2744" s="16"/>
      <c r="O2744" s="16"/>
      <c r="P2744" s="16"/>
    </row>
    <row r="2745" spans="8:16" ht="15.75" customHeight="1">
      <c r="H2745" s="16"/>
      <c r="I2745" s="16"/>
      <c r="J2745" s="20"/>
      <c r="N2745" s="16"/>
      <c r="O2745" s="16"/>
      <c r="P2745" s="16"/>
    </row>
    <row r="2746" spans="8:16" ht="15.75" customHeight="1">
      <c r="H2746" s="16"/>
      <c r="I2746" s="16"/>
      <c r="J2746" s="20"/>
      <c r="N2746" s="16"/>
      <c r="O2746" s="16"/>
      <c r="P2746" s="16"/>
    </row>
    <row r="2747" spans="8:16" ht="15.75" customHeight="1">
      <c r="H2747" s="16"/>
      <c r="I2747" s="16"/>
      <c r="J2747" s="20"/>
      <c r="N2747" s="16"/>
      <c r="O2747" s="16"/>
      <c r="P2747" s="16"/>
    </row>
    <row r="2748" spans="8:16" ht="15.75" customHeight="1">
      <c r="H2748" s="16"/>
      <c r="I2748" s="16"/>
      <c r="J2748" s="20"/>
      <c r="N2748" s="16"/>
      <c r="O2748" s="16"/>
      <c r="P2748" s="16"/>
    </row>
    <row r="2749" spans="8:16" ht="15.75" customHeight="1">
      <c r="H2749" s="16"/>
      <c r="I2749" s="16"/>
      <c r="J2749" s="20"/>
      <c r="N2749" s="16"/>
      <c r="O2749" s="16"/>
      <c r="P2749" s="16"/>
    </row>
    <row r="2750" spans="8:16" ht="15.75" customHeight="1">
      <c r="H2750" s="16"/>
      <c r="I2750" s="16"/>
      <c r="J2750" s="20"/>
      <c r="N2750" s="16"/>
      <c r="O2750" s="16"/>
      <c r="P2750" s="16"/>
    </row>
    <row r="2751" spans="8:16" ht="15.75" customHeight="1">
      <c r="H2751" s="16"/>
      <c r="I2751" s="16"/>
      <c r="J2751" s="20"/>
      <c r="N2751" s="16"/>
      <c r="O2751" s="16"/>
      <c r="P2751" s="16"/>
    </row>
    <row r="2752" spans="8:16" ht="15.75" customHeight="1">
      <c r="H2752" s="16"/>
      <c r="I2752" s="16"/>
      <c r="J2752" s="20"/>
      <c r="N2752" s="16"/>
      <c r="O2752" s="16"/>
      <c r="P2752" s="16"/>
    </row>
    <row r="2753" spans="8:16" ht="15.75" customHeight="1">
      <c r="H2753" s="16"/>
      <c r="I2753" s="16"/>
      <c r="J2753" s="20"/>
      <c r="N2753" s="16"/>
      <c r="O2753" s="16"/>
      <c r="P2753" s="16"/>
    </row>
    <row r="2754" spans="8:16" ht="15.75" customHeight="1">
      <c r="H2754" s="16"/>
      <c r="I2754" s="16"/>
      <c r="J2754" s="20"/>
      <c r="N2754" s="16"/>
      <c r="O2754" s="16"/>
      <c r="P2754" s="16"/>
    </row>
    <row r="2755" spans="8:16" ht="15.75" customHeight="1">
      <c r="H2755" s="16"/>
      <c r="I2755" s="16"/>
      <c r="J2755" s="20"/>
      <c r="N2755" s="16"/>
      <c r="O2755" s="16"/>
      <c r="P2755" s="16"/>
    </row>
    <row r="2756" spans="8:16" ht="15.75" customHeight="1">
      <c r="H2756" s="16"/>
      <c r="I2756" s="16"/>
      <c r="J2756" s="20"/>
      <c r="N2756" s="16"/>
      <c r="O2756" s="16"/>
      <c r="P2756" s="16"/>
    </row>
    <row r="2757" spans="8:16" ht="15.75" customHeight="1">
      <c r="H2757" s="16"/>
      <c r="I2757" s="16"/>
      <c r="J2757" s="20"/>
      <c r="N2757" s="16"/>
      <c r="O2757" s="16"/>
      <c r="P2757" s="16"/>
    </row>
    <row r="2758" spans="8:16" ht="15.75" customHeight="1">
      <c r="H2758" s="16"/>
      <c r="I2758" s="16"/>
      <c r="J2758" s="20"/>
      <c r="N2758" s="16"/>
      <c r="O2758" s="16"/>
      <c r="P2758" s="16"/>
    </row>
    <row r="2759" spans="8:16" ht="15.75" customHeight="1">
      <c r="H2759" s="16"/>
      <c r="I2759" s="16"/>
      <c r="J2759" s="20"/>
      <c r="N2759" s="16"/>
      <c r="O2759" s="16"/>
      <c r="P2759" s="16"/>
    </row>
    <row r="2760" spans="8:16" ht="15.75" customHeight="1">
      <c r="H2760" s="16"/>
      <c r="I2760" s="16"/>
      <c r="J2760" s="20"/>
      <c r="N2760" s="16"/>
      <c r="O2760" s="16"/>
      <c r="P2760" s="16"/>
    </row>
    <row r="2761" spans="8:16" ht="15.75" customHeight="1">
      <c r="H2761" s="16"/>
      <c r="I2761" s="16"/>
      <c r="J2761" s="20"/>
      <c r="N2761" s="16"/>
      <c r="O2761" s="16"/>
      <c r="P2761" s="16"/>
    </row>
    <row r="2762" spans="8:16" ht="15.75" customHeight="1">
      <c r="H2762" s="16"/>
      <c r="I2762" s="16"/>
      <c r="J2762" s="20"/>
      <c r="N2762" s="16"/>
      <c r="O2762" s="16"/>
      <c r="P2762" s="16"/>
    </row>
    <row r="2763" spans="8:16" ht="15.75" customHeight="1">
      <c r="H2763" s="16"/>
      <c r="I2763" s="16"/>
      <c r="J2763" s="20"/>
      <c r="N2763" s="16"/>
      <c r="O2763" s="16"/>
      <c r="P2763" s="16"/>
    </row>
    <row r="2764" spans="8:16" ht="15.75" customHeight="1">
      <c r="H2764" s="16"/>
      <c r="I2764" s="16"/>
      <c r="J2764" s="20"/>
      <c r="N2764" s="16"/>
      <c r="O2764" s="16"/>
      <c r="P2764" s="16"/>
    </row>
    <row r="2765" spans="8:16" ht="15.75" customHeight="1">
      <c r="H2765" s="16"/>
      <c r="I2765" s="16"/>
      <c r="J2765" s="20"/>
      <c r="N2765" s="16"/>
      <c r="O2765" s="16"/>
      <c r="P2765" s="16"/>
    </row>
    <row r="2766" spans="8:16" ht="15.75" customHeight="1">
      <c r="H2766" s="16"/>
      <c r="I2766" s="16"/>
      <c r="J2766" s="20"/>
      <c r="N2766" s="16"/>
      <c r="O2766" s="16"/>
      <c r="P2766" s="16"/>
    </row>
    <row r="2767" spans="8:16" ht="15.75" customHeight="1">
      <c r="H2767" s="16"/>
      <c r="I2767" s="16"/>
      <c r="J2767" s="20"/>
      <c r="N2767" s="16"/>
      <c r="O2767" s="16"/>
      <c r="P2767" s="16"/>
    </row>
    <row r="2768" spans="8:16" ht="15.75" customHeight="1">
      <c r="H2768" s="16"/>
      <c r="I2768" s="16"/>
      <c r="J2768" s="20"/>
      <c r="N2768" s="16"/>
      <c r="O2768" s="16"/>
      <c r="P2768" s="16"/>
    </row>
    <row r="2769" spans="8:16" ht="15.75" customHeight="1">
      <c r="H2769" s="16"/>
      <c r="I2769" s="16"/>
      <c r="J2769" s="20"/>
      <c r="N2769" s="16"/>
      <c r="O2769" s="16"/>
      <c r="P2769" s="16"/>
    </row>
    <row r="2770" spans="8:16" ht="15.75" customHeight="1">
      <c r="H2770" s="16"/>
      <c r="I2770" s="16"/>
      <c r="J2770" s="20"/>
      <c r="N2770" s="16"/>
      <c r="O2770" s="16"/>
      <c r="P2770" s="16"/>
    </row>
    <row r="2771" spans="8:16" ht="15.75" customHeight="1">
      <c r="H2771" s="16"/>
      <c r="I2771" s="16"/>
      <c r="J2771" s="20"/>
      <c r="N2771" s="16"/>
      <c r="O2771" s="16"/>
      <c r="P2771" s="16"/>
    </row>
    <row r="2772" spans="8:16" ht="15.75" customHeight="1">
      <c r="H2772" s="16"/>
      <c r="I2772" s="16"/>
      <c r="J2772" s="20"/>
      <c r="N2772" s="16"/>
      <c r="O2772" s="16"/>
      <c r="P2772" s="16"/>
    </row>
    <row r="2773" spans="8:16" ht="15.75" customHeight="1">
      <c r="H2773" s="16"/>
      <c r="I2773" s="16"/>
      <c r="J2773" s="20"/>
      <c r="N2773" s="16"/>
      <c r="O2773" s="16"/>
      <c r="P2773" s="16"/>
    </row>
    <row r="2774" spans="8:16" ht="15.75" customHeight="1">
      <c r="H2774" s="16"/>
      <c r="I2774" s="16"/>
      <c r="J2774" s="20"/>
      <c r="N2774" s="16"/>
      <c r="O2774" s="16"/>
      <c r="P2774" s="16"/>
    </row>
    <row r="2775" spans="8:16" ht="15.75" customHeight="1">
      <c r="H2775" s="16"/>
      <c r="I2775" s="16"/>
      <c r="J2775" s="20"/>
      <c r="N2775" s="16"/>
      <c r="O2775" s="16"/>
      <c r="P2775" s="16"/>
    </row>
    <row r="2776" spans="8:16" ht="15.75" customHeight="1">
      <c r="H2776" s="16"/>
      <c r="I2776" s="16"/>
      <c r="J2776" s="20"/>
      <c r="N2776" s="16"/>
      <c r="O2776" s="16"/>
      <c r="P2776" s="16"/>
    </row>
    <row r="2777" spans="8:16" ht="15.75" customHeight="1">
      <c r="H2777" s="16"/>
      <c r="I2777" s="16"/>
      <c r="J2777" s="20"/>
      <c r="N2777" s="16"/>
      <c r="O2777" s="16"/>
      <c r="P2777" s="16"/>
    </row>
    <row r="2778" spans="8:16" ht="15.75" customHeight="1">
      <c r="H2778" s="16"/>
      <c r="I2778" s="16"/>
      <c r="J2778" s="20"/>
      <c r="N2778" s="16"/>
      <c r="O2778" s="16"/>
      <c r="P2778" s="16"/>
    </row>
    <row r="2779" spans="8:16" ht="15.75" customHeight="1">
      <c r="H2779" s="16"/>
      <c r="I2779" s="16"/>
      <c r="J2779" s="20"/>
      <c r="N2779" s="16"/>
      <c r="O2779" s="16"/>
      <c r="P2779" s="16"/>
    </row>
    <row r="2780" spans="8:16" ht="15.75" customHeight="1">
      <c r="H2780" s="16"/>
      <c r="I2780" s="16"/>
      <c r="J2780" s="20"/>
      <c r="N2780" s="16"/>
      <c r="O2780" s="16"/>
      <c r="P2780" s="16"/>
    </row>
    <row r="2781" spans="8:16" ht="15.75" customHeight="1">
      <c r="H2781" s="16"/>
      <c r="I2781" s="16"/>
      <c r="J2781" s="20"/>
      <c r="N2781" s="16"/>
      <c r="O2781" s="16"/>
      <c r="P2781" s="16"/>
    </row>
    <row r="2782" spans="8:16" ht="15.75" customHeight="1">
      <c r="H2782" s="16"/>
      <c r="I2782" s="16"/>
      <c r="J2782" s="20"/>
      <c r="N2782" s="16"/>
      <c r="O2782" s="16"/>
      <c r="P2782" s="16"/>
    </row>
    <row r="2783" spans="8:16" ht="15.75" customHeight="1">
      <c r="H2783" s="16"/>
      <c r="I2783" s="16"/>
      <c r="J2783" s="20"/>
      <c r="N2783" s="16"/>
      <c r="O2783" s="16"/>
      <c r="P2783" s="16"/>
    </row>
    <row r="2784" spans="8:16" ht="15.75" customHeight="1">
      <c r="H2784" s="16"/>
      <c r="I2784" s="16"/>
      <c r="J2784" s="20"/>
      <c r="N2784" s="16"/>
      <c r="O2784" s="16"/>
      <c r="P2784" s="16"/>
    </row>
    <row r="2785" spans="8:16" ht="15.75" customHeight="1">
      <c r="H2785" s="16"/>
      <c r="I2785" s="16"/>
      <c r="J2785" s="20"/>
      <c r="N2785" s="16"/>
      <c r="O2785" s="16"/>
      <c r="P2785" s="16"/>
    </row>
    <row r="2786" spans="8:16" ht="15.75" customHeight="1">
      <c r="H2786" s="16"/>
      <c r="I2786" s="16"/>
      <c r="J2786" s="20"/>
      <c r="N2786" s="16"/>
      <c r="O2786" s="16"/>
      <c r="P2786" s="16"/>
    </row>
    <row r="2787" spans="8:16" ht="15.75" customHeight="1">
      <c r="H2787" s="16"/>
      <c r="I2787" s="16"/>
      <c r="J2787" s="20"/>
      <c r="N2787" s="16"/>
      <c r="O2787" s="16"/>
      <c r="P2787" s="16"/>
    </row>
    <row r="2788" spans="8:16" ht="15.75" customHeight="1">
      <c r="H2788" s="16"/>
      <c r="I2788" s="16"/>
      <c r="J2788" s="20"/>
      <c r="N2788" s="16"/>
      <c r="O2788" s="16"/>
      <c r="P2788" s="16"/>
    </row>
    <row r="2789" spans="8:16" ht="15.75" customHeight="1">
      <c r="H2789" s="16"/>
      <c r="I2789" s="16"/>
      <c r="J2789" s="20"/>
      <c r="N2789" s="16"/>
      <c r="O2789" s="16"/>
      <c r="P2789" s="16"/>
    </row>
    <row r="2790" spans="8:16" ht="15.75" customHeight="1">
      <c r="H2790" s="16"/>
      <c r="I2790" s="16"/>
      <c r="J2790" s="20"/>
      <c r="N2790" s="16"/>
      <c r="O2790" s="16"/>
      <c r="P2790" s="16"/>
    </row>
    <row r="2791" spans="8:16" ht="15.75" customHeight="1">
      <c r="H2791" s="16"/>
      <c r="I2791" s="16"/>
      <c r="J2791" s="20"/>
      <c r="N2791" s="16"/>
      <c r="O2791" s="16"/>
      <c r="P2791" s="16"/>
    </row>
    <row r="2792" spans="8:16" ht="15.75" customHeight="1">
      <c r="H2792" s="16"/>
      <c r="I2792" s="16"/>
      <c r="J2792" s="20"/>
      <c r="N2792" s="16"/>
      <c r="O2792" s="16"/>
      <c r="P2792" s="16"/>
    </row>
    <row r="2793" spans="8:16" ht="15.75" customHeight="1">
      <c r="H2793" s="16"/>
      <c r="I2793" s="16"/>
      <c r="J2793" s="20"/>
      <c r="N2793" s="16"/>
      <c r="O2793" s="16"/>
      <c r="P2793" s="16"/>
    </row>
    <row r="2794" spans="8:16" ht="15.75" customHeight="1">
      <c r="H2794" s="16"/>
      <c r="I2794" s="16"/>
      <c r="J2794" s="20"/>
      <c r="N2794" s="16"/>
      <c r="O2794" s="16"/>
      <c r="P2794" s="16"/>
    </row>
    <row r="2795" spans="8:16" ht="15.75" customHeight="1">
      <c r="H2795" s="16"/>
      <c r="I2795" s="16"/>
      <c r="J2795" s="20"/>
      <c r="N2795" s="16"/>
      <c r="O2795" s="16"/>
      <c r="P2795" s="16"/>
    </row>
    <row r="2796" spans="8:16" ht="15.75" customHeight="1">
      <c r="H2796" s="16"/>
      <c r="I2796" s="16"/>
      <c r="J2796" s="20"/>
      <c r="N2796" s="16"/>
      <c r="O2796" s="16"/>
      <c r="P2796" s="16"/>
    </row>
    <row r="2797" spans="8:16" ht="15.75" customHeight="1">
      <c r="H2797" s="16"/>
      <c r="I2797" s="16"/>
      <c r="J2797" s="20"/>
      <c r="N2797" s="16"/>
      <c r="O2797" s="16"/>
      <c r="P2797" s="16"/>
    </row>
    <row r="2798" spans="8:16" ht="15.75" customHeight="1">
      <c r="H2798" s="16"/>
      <c r="I2798" s="16"/>
      <c r="J2798" s="20"/>
      <c r="N2798" s="16"/>
      <c r="O2798" s="16"/>
      <c r="P2798" s="16"/>
    </row>
    <row r="2799" spans="8:16" ht="15.75" customHeight="1">
      <c r="H2799" s="16"/>
      <c r="I2799" s="16"/>
      <c r="J2799" s="20"/>
      <c r="N2799" s="16"/>
      <c r="O2799" s="16"/>
      <c r="P2799" s="16"/>
    </row>
    <row r="2800" spans="8:16" ht="15.75" customHeight="1">
      <c r="H2800" s="16"/>
      <c r="I2800" s="16"/>
      <c r="J2800" s="20"/>
      <c r="N2800" s="16"/>
      <c r="O2800" s="16"/>
      <c r="P2800" s="16"/>
    </row>
    <row r="2801" spans="8:16" ht="15.75" customHeight="1">
      <c r="H2801" s="16"/>
      <c r="I2801" s="16"/>
      <c r="J2801" s="20"/>
      <c r="N2801" s="16"/>
      <c r="O2801" s="16"/>
      <c r="P2801" s="16"/>
    </row>
    <row r="2802" spans="8:16" ht="15.75" customHeight="1">
      <c r="H2802" s="16"/>
      <c r="I2802" s="16"/>
      <c r="J2802" s="20"/>
      <c r="N2802" s="16"/>
      <c r="O2802" s="16"/>
      <c r="P2802" s="16"/>
    </row>
    <row r="2803" spans="8:16" ht="15.75" customHeight="1">
      <c r="H2803" s="16"/>
      <c r="I2803" s="16"/>
      <c r="J2803" s="20"/>
      <c r="N2803" s="16"/>
      <c r="O2803" s="16"/>
      <c r="P2803" s="16"/>
    </row>
    <row r="2804" spans="8:16" ht="15.75" customHeight="1">
      <c r="H2804" s="16"/>
      <c r="I2804" s="16"/>
      <c r="J2804" s="20"/>
      <c r="N2804" s="16"/>
      <c r="O2804" s="16"/>
      <c r="P2804" s="16"/>
    </row>
    <row r="2805" spans="8:16" ht="15.75" customHeight="1">
      <c r="H2805" s="16"/>
      <c r="I2805" s="16"/>
      <c r="J2805" s="20"/>
      <c r="N2805" s="16"/>
      <c r="O2805" s="16"/>
      <c r="P2805" s="16"/>
    </row>
    <row r="2806" spans="8:16" ht="15.75" customHeight="1">
      <c r="H2806" s="16"/>
      <c r="I2806" s="16"/>
      <c r="J2806" s="20"/>
      <c r="N2806" s="16"/>
      <c r="O2806" s="16"/>
      <c r="P2806" s="16"/>
    </row>
    <row r="2807" spans="8:16" ht="15.75" customHeight="1">
      <c r="H2807" s="16"/>
      <c r="I2807" s="16"/>
      <c r="J2807" s="20"/>
      <c r="N2807" s="16"/>
      <c r="O2807" s="16"/>
      <c r="P2807" s="16"/>
    </row>
    <row r="2808" spans="8:16" ht="15.75" customHeight="1">
      <c r="H2808" s="16"/>
      <c r="I2808" s="16"/>
      <c r="J2808" s="20"/>
      <c r="N2808" s="16"/>
      <c r="O2808" s="16"/>
      <c r="P2808" s="16"/>
    </row>
    <row r="2809" spans="8:16" ht="15.75" customHeight="1">
      <c r="H2809" s="16"/>
      <c r="I2809" s="16"/>
      <c r="J2809" s="20"/>
      <c r="N2809" s="16"/>
      <c r="O2809" s="16"/>
      <c r="P2809" s="16"/>
    </row>
    <row r="2810" spans="8:16" ht="15.75" customHeight="1">
      <c r="H2810" s="16"/>
      <c r="I2810" s="16"/>
      <c r="J2810" s="20"/>
      <c r="N2810" s="16"/>
      <c r="O2810" s="16"/>
      <c r="P2810" s="16"/>
    </row>
    <row r="2811" spans="8:16" ht="15.75" customHeight="1">
      <c r="H2811" s="16"/>
      <c r="I2811" s="16"/>
      <c r="J2811" s="20"/>
      <c r="N2811" s="16"/>
      <c r="O2811" s="16"/>
      <c r="P2811" s="16"/>
    </row>
    <row r="2812" spans="8:16" ht="15.75" customHeight="1">
      <c r="H2812" s="16"/>
      <c r="I2812" s="16"/>
      <c r="J2812" s="20"/>
      <c r="N2812" s="16"/>
      <c r="O2812" s="16"/>
      <c r="P2812" s="16"/>
    </row>
    <row r="2813" spans="8:16" ht="15.75" customHeight="1">
      <c r="H2813" s="16"/>
      <c r="I2813" s="16"/>
      <c r="J2813" s="20"/>
      <c r="N2813" s="16"/>
      <c r="O2813" s="16"/>
      <c r="P2813" s="16"/>
    </row>
    <row r="2814" spans="8:16" ht="15.75" customHeight="1">
      <c r="H2814" s="16"/>
      <c r="I2814" s="16"/>
      <c r="J2814" s="20"/>
      <c r="N2814" s="16"/>
      <c r="O2814" s="16"/>
      <c r="P2814" s="16"/>
    </row>
    <row r="2815" spans="8:16" ht="15.75" customHeight="1">
      <c r="H2815" s="16"/>
      <c r="I2815" s="16"/>
      <c r="J2815" s="20"/>
      <c r="N2815" s="16"/>
      <c r="O2815" s="16"/>
      <c r="P2815" s="16"/>
    </row>
    <row r="2816" spans="8:16" ht="15.75" customHeight="1">
      <c r="H2816" s="16"/>
      <c r="I2816" s="16"/>
      <c r="J2816" s="20"/>
      <c r="N2816" s="16"/>
      <c r="O2816" s="16"/>
      <c r="P2816" s="16"/>
    </row>
    <row r="2817" spans="8:16" ht="15.75" customHeight="1">
      <c r="H2817" s="16"/>
      <c r="I2817" s="16"/>
      <c r="J2817" s="20"/>
      <c r="N2817" s="16"/>
      <c r="O2817" s="16"/>
      <c r="P2817" s="16"/>
    </row>
    <row r="2818" spans="8:16" ht="15.75" customHeight="1">
      <c r="H2818" s="16"/>
      <c r="I2818" s="16"/>
      <c r="J2818" s="20"/>
      <c r="N2818" s="16"/>
      <c r="O2818" s="16"/>
      <c r="P2818" s="16"/>
    </row>
    <row r="2819" spans="8:16" ht="15.75" customHeight="1">
      <c r="H2819" s="16"/>
      <c r="I2819" s="16"/>
      <c r="J2819" s="20"/>
      <c r="N2819" s="16"/>
      <c r="O2819" s="16"/>
      <c r="P2819" s="16"/>
    </row>
    <row r="2820" spans="8:16" ht="15.75" customHeight="1">
      <c r="H2820" s="16"/>
      <c r="I2820" s="16"/>
      <c r="J2820" s="20"/>
      <c r="N2820" s="16"/>
      <c r="O2820" s="16"/>
      <c r="P2820" s="16"/>
    </row>
    <row r="2821" spans="8:16" ht="15.75" customHeight="1">
      <c r="H2821" s="16"/>
      <c r="I2821" s="16"/>
      <c r="J2821" s="20"/>
      <c r="N2821" s="16"/>
      <c r="O2821" s="16"/>
      <c r="P2821" s="16"/>
    </row>
    <row r="2822" spans="8:16" ht="15.75" customHeight="1">
      <c r="H2822" s="16"/>
      <c r="I2822" s="16"/>
      <c r="J2822" s="20"/>
      <c r="N2822" s="16"/>
      <c r="O2822" s="16"/>
      <c r="P2822" s="16"/>
    </row>
    <row r="2823" spans="8:16" ht="15.75" customHeight="1">
      <c r="H2823" s="16"/>
      <c r="I2823" s="16"/>
      <c r="J2823" s="20"/>
      <c r="N2823" s="16"/>
      <c r="O2823" s="16"/>
      <c r="P2823" s="16"/>
    </row>
    <row r="2824" spans="8:16" ht="15.75" customHeight="1">
      <c r="H2824" s="16"/>
      <c r="I2824" s="16"/>
      <c r="J2824" s="20"/>
      <c r="N2824" s="16"/>
      <c r="O2824" s="16"/>
      <c r="P2824" s="16"/>
    </row>
    <row r="2825" spans="8:16" ht="15.75" customHeight="1">
      <c r="H2825" s="16"/>
      <c r="I2825" s="16"/>
      <c r="J2825" s="20"/>
      <c r="N2825" s="16"/>
      <c r="O2825" s="16"/>
      <c r="P2825" s="16"/>
    </row>
    <row r="2826" spans="8:16" ht="15.75" customHeight="1">
      <c r="H2826" s="16"/>
      <c r="I2826" s="16"/>
      <c r="J2826" s="20"/>
      <c r="N2826" s="16"/>
      <c r="O2826" s="16"/>
      <c r="P2826" s="16"/>
    </row>
    <row r="2827" spans="8:16" ht="15.75" customHeight="1">
      <c r="H2827" s="16"/>
      <c r="I2827" s="16"/>
      <c r="J2827" s="20"/>
      <c r="N2827" s="16"/>
      <c r="O2827" s="16"/>
      <c r="P2827" s="16"/>
    </row>
    <row r="2828" spans="8:16" ht="15.75" customHeight="1">
      <c r="H2828" s="16"/>
      <c r="I2828" s="16"/>
      <c r="J2828" s="20"/>
      <c r="N2828" s="16"/>
      <c r="O2828" s="16"/>
      <c r="P2828" s="16"/>
    </row>
    <row r="2829" spans="8:16" ht="15.75" customHeight="1">
      <c r="H2829" s="16"/>
      <c r="I2829" s="16"/>
      <c r="J2829" s="20"/>
      <c r="N2829" s="16"/>
      <c r="O2829" s="16"/>
      <c r="P2829" s="16"/>
    </row>
    <row r="2830" spans="8:16" ht="15.75" customHeight="1">
      <c r="H2830" s="16"/>
      <c r="I2830" s="16"/>
      <c r="J2830" s="20"/>
      <c r="N2830" s="16"/>
      <c r="O2830" s="16"/>
      <c r="P2830" s="16"/>
    </row>
    <row r="2831" spans="8:16" ht="15.75" customHeight="1">
      <c r="H2831" s="16"/>
      <c r="I2831" s="16"/>
      <c r="J2831" s="20"/>
      <c r="N2831" s="16"/>
      <c r="O2831" s="16"/>
      <c r="P2831" s="16"/>
    </row>
    <row r="2832" spans="8:16" ht="15.75" customHeight="1">
      <c r="H2832" s="16"/>
      <c r="I2832" s="16"/>
      <c r="J2832" s="20"/>
      <c r="N2832" s="16"/>
      <c r="O2832" s="16"/>
      <c r="P2832" s="16"/>
    </row>
    <row r="2833" spans="8:16" ht="15.75" customHeight="1">
      <c r="H2833" s="16"/>
      <c r="I2833" s="16"/>
      <c r="J2833" s="20"/>
      <c r="N2833" s="16"/>
      <c r="O2833" s="16"/>
      <c r="P2833" s="16"/>
    </row>
    <row r="2834" spans="8:16" ht="15.75" customHeight="1">
      <c r="H2834" s="16"/>
      <c r="I2834" s="16"/>
      <c r="J2834" s="20"/>
      <c r="N2834" s="16"/>
      <c r="O2834" s="16"/>
      <c r="P2834" s="16"/>
    </row>
    <row r="2835" spans="8:16" ht="15.75" customHeight="1">
      <c r="H2835" s="16"/>
      <c r="I2835" s="16"/>
      <c r="J2835" s="20"/>
      <c r="N2835" s="16"/>
      <c r="O2835" s="16"/>
      <c r="P2835" s="16"/>
    </row>
    <row r="2836" spans="8:16" ht="15.75" customHeight="1">
      <c r="H2836" s="16"/>
      <c r="I2836" s="16"/>
      <c r="J2836" s="20"/>
      <c r="N2836" s="16"/>
      <c r="O2836" s="16"/>
      <c r="P2836" s="16"/>
    </row>
    <row r="2837" spans="8:16" ht="15.75" customHeight="1">
      <c r="H2837" s="16"/>
      <c r="I2837" s="16"/>
      <c r="J2837" s="20"/>
      <c r="N2837" s="16"/>
      <c r="O2837" s="16"/>
      <c r="P2837" s="16"/>
    </row>
    <row r="2838" spans="8:16" ht="15.75" customHeight="1">
      <c r="H2838" s="16"/>
      <c r="I2838" s="16"/>
      <c r="J2838" s="20"/>
      <c r="N2838" s="16"/>
      <c r="O2838" s="16"/>
      <c r="P2838" s="16"/>
    </row>
    <row r="2839" spans="8:16" ht="15.75" customHeight="1">
      <c r="H2839" s="16"/>
      <c r="I2839" s="16"/>
      <c r="J2839" s="20"/>
      <c r="N2839" s="16"/>
      <c r="O2839" s="16"/>
      <c r="P2839" s="16"/>
    </row>
    <row r="2840" spans="8:16" ht="15.75" customHeight="1">
      <c r="H2840" s="16"/>
      <c r="I2840" s="16"/>
      <c r="J2840" s="20"/>
      <c r="N2840" s="16"/>
      <c r="O2840" s="16"/>
      <c r="P2840" s="16"/>
    </row>
    <row r="2841" spans="8:16" ht="15.75" customHeight="1">
      <c r="H2841" s="16"/>
      <c r="I2841" s="16"/>
      <c r="J2841" s="20"/>
      <c r="N2841" s="16"/>
      <c r="O2841" s="16"/>
      <c r="P2841" s="16"/>
    </row>
    <row r="2842" spans="8:16" ht="15.75" customHeight="1">
      <c r="H2842" s="16"/>
      <c r="I2842" s="16"/>
      <c r="J2842" s="20"/>
      <c r="N2842" s="16"/>
      <c r="O2842" s="16"/>
      <c r="P2842" s="16"/>
    </row>
    <row r="2843" spans="8:16" ht="15.75" customHeight="1">
      <c r="H2843" s="16"/>
      <c r="I2843" s="16"/>
      <c r="J2843" s="20"/>
      <c r="N2843" s="16"/>
      <c r="O2843" s="16"/>
      <c r="P2843" s="16"/>
    </row>
    <row r="2844" spans="8:16" ht="15.75" customHeight="1">
      <c r="H2844" s="16"/>
      <c r="I2844" s="16"/>
      <c r="J2844" s="20"/>
      <c r="N2844" s="16"/>
      <c r="O2844" s="16"/>
      <c r="P2844" s="16"/>
    </row>
    <row r="2845" spans="8:16" ht="15.75" customHeight="1">
      <c r="H2845" s="16"/>
      <c r="I2845" s="16"/>
      <c r="J2845" s="20"/>
      <c r="N2845" s="16"/>
      <c r="O2845" s="16"/>
      <c r="P2845" s="16"/>
    </row>
    <row r="2846" spans="8:16" ht="15.75" customHeight="1">
      <c r="H2846" s="16"/>
      <c r="I2846" s="16"/>
      <c r="J2846" s="20"/>
      <c r="N2846" s="16"/>
      <c r="O2846" s="16"/>
      <c r="P2846" s="16"/>
    </row>
    <row r="2847" spans="8:16" ht="15.75" customHeight="1">
      <c r="H2847" s="16"/>
      <c r="I2847" s="16"/>
      <c r="J2847" s="20"/>
      <c r="N2847" s="16"/>
      <c r="O2847" s="16"/>
      <c r="P2847" s="16"/>
    </row>
    <row r="2848" spans="8:16" ht="15.75" customHeight="1">
      <c r="H2848" s="16"/>
      <c r="I2848" s="16"/>
      <c r="J2848" s="20"/>
      <c r="N2848" s="16"/>
      <c r="O2848" s="16"/>
      <c r="P2848" s="16"/>
    </row>
    <row r="2849" spans="8:16" ht="15.75" customHeight="1">
      <c r="H2849" s="16"/>
      <c r="I2849" s="16"/>
      <c r="J2849" s="20"/>
      <c r="N2849" s="16"/>
      <c r="O2849" s="16"/>
      <c r="P2849" s="16"/>
    </row>
    <row r="2850" spans="8:16" ht="15.75" customHeight="1">
      <c r="H2850" s="16"/>
      <c r="I2850" s="16"/>
      <c r="J2850" s="20"/>
      <c r="N2850" s="16"/>
      <c r="O2850" s="16"/>
      <c r="P2850" s="16"/>
    </row>
    <row r="2851" spans="8:16" ht="15.75" customHeight="1">
      <c r="H2851" s="16"/>
      <c r="I2851" s="16"/>
      <c r="J2851" s="20"/>
      <c r="N2851" s="16"/>
      <c r="O2851" s="16"/>
      <c r="P2851" s="16"/>
    </row>
    <row r="2852" spans="8:16" ht="15.75" customHeight="1">
      <c r="H2852" s="16"/>
      <c r="I2852" s="16"/>
      <c r="J2852" s="20"/>
      <c r="N2852" s="16"/>
      <c r="O2852" s="16"/>
      <c r="P2852" s="16"/>
    </row>
    <row r="2853" spans="8:16" ht="15.75" customHeight="1">
      <c r="H2853" s="16"/>
      <c r="I2853" s="16"/>
      <c r="J2853" s="20"/>
      <c r="N2853" s="16"/>
      <c r="O2853" s="16"/>
      <c r="P2853" s="16"/>
    </row>
    <row r="2854" spans="8:16" ht="15.75" customHeight="1">
      <c r="H2854" s="16"/>
      <c r="I2854" s="16"/>
      <c r="J2854" s="20"/>
      <c r="N2854" s="16"/>
      <c r="O2854" s="16"/>
      <c r="P2854" s="16"/>
    </row>
    <row r="2855" spans="8:16" ht="15.75" customHeight="1">
      <c r="H2855" s="16"/>
      <c r="I2855" s="16"/>
      <c r="J2855" s="20"/>
      <c r="N2855" s="16"/>
      <c r="O2855" s="16"/>
      <c r="P2855" s="16"/>
    </row>
    <row r="2856" spans="8:16" ht="15.75" customHeight="1">
      <c r="H2856" s="16"/>
      <c r="I2856" s="16"/>
      <c r="J2856" s="20"/>
      <c r="N2856" s="16"/>
      <c r="O2856" s="16"/>
      <c r="P2856" s="16"/>
    </row>
    <row r="2857" spans="8:16" ht="15.75" customHeight="1">
      <c r="H2857" s="16"/>
      <c r="I2857" s="16"/>
      <c r="J2857" s="20"/>
      <c r="N2857" s="16"/>
      <c r="O2857" s="16"/>
      <c r="P2857" s="16"/>
    </row>
    <row r="2858" spans="8:16" ht="15.75" customHeight="1">
      <c r="H2858" s="16"/>
      <c r="I2858" s="16"/>
      <c r="J2858" s="20"/>
      <c r="N2858" s="16"/>
      <c r="O2858" s="16"/>
      <c r="P2858" s="16"/>
    </row>
    <row r="2859" spans="8:16" ht="15.75" customHeight="1">
      <c r="H2859" s="16"/>
      <c r="I2859" s="16"/>
      <c r="J2859" s="20"/>
      <c r="N2859" s="16"/>
      <c r="O2859" s="16"/>
      <c r="P2859" s="16"/>
    </row>
    <row r="2860" spans="8:16" ht="15.75" customHeight="1">
      <c r="H2860" s="16"/>
      <c r="I2860" s="16"/>
      <c r="J2860" s="20"/>
      <c r="N2860" s="16"/>
      <c r="O2860" s="16"/>
      <c r="P2860" s="16"/>
    </row>
    <row r="2861" spans="8:16" ht="15.75" customHeight="1">
      <c r="H2861" s="16"/>
      <c r="I2861" s="16"/>
      <c r="J2861" s="20"/>
      <c r="N2861" s="16"/>
      <c r="O2861" s="16"/>
      <c r="P2861" s="16"/>
    </row>
    <row r="2862" spans="8:16" ht="15.75" customHeight="1">
      <c r="H2862" s="16"/>
      <c r="I2862" s="16"/>
      <c r="J2862" s="20"/>
      <c r="N2862" s="16"/>
      <c r="O2862" s="16"/>
      <c r="P2862" s="16"/>
    </row>
    <row r="2863" spans="8:16" ht="15.75" customHeight="1">
      <c r="H2863" s="16"/>
      <c r="I2863" s="16"/>
      <c r="J2863" s="20"/>
      <c r="N2863" s="16"/>
      <c r="O2863" s="16"/>
      <c r="P2863" s="16"/>
    </row>
    <row r="2864" spans="8:16" ht="15.75" customHeight="1">
      <c r="H2864" s="16"/>
      <c r="I2864" s="16"/>
      <c r="J2864" s="20"/>
      <c r="N2864" s="16"/>
      <c r="O2864" s="16"/>
      <c r="P2864" s="16"/>
    </row>
    <row r="2865" spans="8:16" ht="15.75" customHeight="1">
      <c r="H2865" s="16"/>
      <c r="I2865" s="16"/>
      <c r="J2865" s="20"/>
      <c r="N2865" s="16"/>
      <c r="O2865" s="16"/>
      <c r="P2865" s="16"/>
    </row>
    <row r="2866" spans="8:16" ht="15.75" customHeight="1">
      <c r="H2866" s="16"/>
      <c r="I2866" s="16"/>
      <c r="J2866" s="20"/>
      <c r="N2866" s="16"/>
      <c r="O2866" s="16"/>
      <c r="P2866" s="16"/>
    </row>
    <row r="2867" spans="8:16" ht="15.75" customHeight="1">
      <c r="H2867" s="16"/>
      <c r="I2867" s="16"/>
      <c r="J2867" s="20"/>
      <c r="P2867" s="16"/>
    </row>
    <row r="2868" spans="8:16" ht="15.75" customHeight="1">
      <c r="H2868" s="16"/>
      <c r="I2868" s="16"/>
      <c r="J2868" s="20"/>
      <c r="P2868" s="16"/>
    </row>
    <row r="2869" spans="8:16" ht="15.75" customHeight="1">
      <c r="H2869" s="16"/>
      <c r="I2869" s="16"/>
      <c r="J2869" s="20"/>
      <c r="P2869" s="16"/>
    </row>
    <row r="2870" spans="8:16" ht="15.75" customHeight="1">
      <c r="H2870" s="16"/>
      <c r="I2870" s="16"/>
      <c r="J2870" s="20"/>
      <c r="P2870" s="16"/>
    </row>
    <row r="2871" spans="8:16" ht="15.75" customHeight="1">
      <c r="H2871" s="16"/>
      <c r="I2871" s="16"/>
      <c r="J2871" s="20"/>
      <c r="P2871" s="16"/>
    </row>
    <row r="2872" spans="8:16" ht="15.75" customHeight="1">
      <c r="H2872" s="16"/>
      <c r="I2872" s="16"/>
      <c r="J2872" s="20"/>
      <c r="P2872" s="16"/>
    </row>
    <row r="2873" spans="8:16" ht="15.75" customHeight="1">
      <c r="H2873" s="16"/>
      <c r="I2873" s="16"/>
      <c r="J2873" s="20"/>
      <c r="P2873" s="16"/>
    </row>
    <row r="2874" spans="8:16" ht="15.75" customHeight="1">
      <c r="H2874" s="16"/>
      <c r="I2874" s="16"/>
      <c r="J2874" s="20"/>
      <c r="P2874" s="16"/>
    </row>
    <row r="2875" spans="8:16" ht="15.75" customHeight="1">
      <c r="H2875" s="16"/>
      <c r="I2875" s="16"/>
      <c r="J2875" s="20"/>
      <c r="P2875" s="16"/>
    </row>
    <row r="2876" spans="8:16" ht="15.75" customHeight="1">
      <c r="H2876" s="16"/>
      <c r="I2876" s="16"/>
      <c r="J2876" s="20"/>
      <c r="P2876" s="16"/>
    </row>
    <row r="2877" spans="8:16" ht="15.75" customHeight="1">
      <c r="H2877" s="16"/>
      <c r="I2877" s="16"/>
      <c r="J2877" s="20"/>
      <c r="P2877" s="16"/>
    </row>
    <row r="2878" spans="8:16" ht="15.75" customHeight="1">
      <c r="H2878" s="16"/>
      <c r="I2878" s="16"/>
      <c r="J2878" s="20"/>
      <c r="P2878" s="16"/>
    </row>
    <row r="2879" spans="8:16" ht="15.75" customHeight="1">
      <c r="H2879" s="16"/>
      <c r="I2879" s="16"/>
      <c r="J2879" s="20"/>
      <c r="P2879" s="16"/>
    </row>
    <row r="2880" spans="8:16" ht="15.75" customHeight="1">
      <c r="H2880" s="16"/>
      <c r="I2880" s="16"/>
      <c r="J2880" s="20"/>
    </row>
    <row r="2881" spans="8:10" ht="15.75" customHeight="1">
      <c r="H2881" s="16"/>
      <c r="I2881" s="16"/>
      <c r="J2881" s="20"/>
    </row>
    <row r="2882" spans="8:10" ht="15.75" customHeight="1">
      <c r="H2882" s="16"/>
      <c r="I2882" s="16"/>
      <c r="J2882" s="20"/>
    </row>
    <row r="2883" spans="8:10" ht="15.75" customHeight="1">
      <c r="H2883" s="16"/>
      <c r="I2883" s="16"/>
      <c r="J2883" s="20"/>
    </row>
    <row r="2884" spans="8:10" ht="15.75" customHeight="1">
      <c r="H2884" s="16"/>
      <c r="I2884" s="16"/>
      <c r="J2884" s="20"/>
    </row>
    <row r="2885" spans="8:10" ht="15.75" customHeight="1">
      <c r="H2885" s="16"/>
      <c r="I2885" s="16"/>
      <c r="J2885" s="20"/>
    </row>
    <row r="2886" spans="8:10" ht="15.75" customHeight="1">
      <c r="H2886" s="16"/>
      <c r="I2886" s="16"/>
      <c r="J2886" s="20"/>
    </row>
    <row r="2887" spans="8:10" ht="15.75" customHeight="1">
      <c r="H2887" s="16"/>
      <c r="I2887" s="16"/>
      <c r="J2887" s="20"/>
    </row>
    <row r="2888" spans="8:10" ht="15.75" customHeight="1">
      <c r="H2888" s="16"/>
      <c r="I2888" s="16"/>
      <c r="J2888" s="20"/>
    </row>
    <row r="2889" spans="8:10" ht="15.75" customHeight="1">
      <c r="H2889" s="16"/>
      <c r="I2889" s="16"/>
      <c r="J2889" s="20"/>
    </row>
    <row r="2890" spans="8:10" ht="15.75" customHeight="1">
      <c r="H2890" s="16"/>
      <c r="I2890" s="16"/>
      <c r="J2890" s="20"/>
    </row>
    <row r="2891" spans="8:10" ht="15.75" customHeight="1">
      <c r="H2891" s="16"/>
      <c r="I2891" s="16"/>
      <c r="J2891" s="20"/>
    </row>
    <row r="2892" spans="8:10" ht="15.75" customHeight="1">
      <c r="H2892" s="16"/>
      <c r="I2892" s="16"/>
      <c r="J2892" s="20"/>
    </row>
    <row r="2893" spans="8:10" ht="15.75" customHeight="1">
      <c r="H2893" s="16"/>
      <c r="I2893" s="16"/>
      <c r="J2893" s="20"/>
    </row>
    <row r="2894" spans="8:10" ht="15.75" customHeight="1">
      <c r="H2894" s="16"/>
      <c r="I2894" s="16"/>
      <c r="J2894" s="20"/>
    </row>
    <row r="2895" spans="8:10" ht="15.75" customHeight="1">
      <c r="H2895" s="16"/>
      <c r="I2895" s="16"/>
      <c r="J2895" s="20"/>
    </row>
    <row r="2896" spans="8:10" ht="15.75" customHeight="1">
      <c r="H2896" s="16"/>
      <c r="I2896" s="16"/>
      <c r="J2896" s="20"/>
    </row>
    <row r="2897" spans="8:10" ht="15.75" customHeight="1">
      <c r="H2897" s="16"/>
      <c r="I2897" s="16"/>
      <c r="J2897" s="20"/>
    </row>
    <row r="2898" spans="8:10" ht="15.75" customHeight="1">
      <c r="H2898" s="16"/>
      <c r="I2898" s="16"/>
      <c r="J2898" s="20"/>
    </row>
    <row r="2899" spans="8:10" ht="15.75" customHeight="1">
      <c r="H2899" s="16"/>
      <c r="I2899" s="16"/>
      <c r="J2899" s="20"/>
    </row>
    <row r="2900" spans="8:10" ht="15.75" customHeight="1">
      <c r="H2900" s="16"/>
      <c r="I2900" s="16"/>
      <c r="J2900" s="20"/>
    </row>
    <row r="2901" spans="8:10" ht="15.75" customHeight="1">
      <c r="H2901" s="16"/>
      <c r="I2901" s="16"/>
      <c r="J2901" s="20"/>
    </row>
    <row r="2902" spans="8:10" ht="15.75" customHeight="1">
      <c r="H2902" s="16"/>
      <c r="I2902" s="16"/>
      <c r="J2902" s="20"/>
    </row>
    <row r="2903" spans="8:10" ht="15.75" customHeight="1">
      <c r="H2903" s="16"/>
      <c r="I2903" s="16"/>
      <c r="J2903" s="20"/>
    </row>
    <row r="2904" spans="8:10" ht="15.75" customHeight="1">
      <c r="H2904" s="16"/>
      <c r="I2904" s="16"/>
      <c r="J2904" s="20"/>
    </row>
    <row r="2905" spans="8:10" ht="15.75" customHeight="1">
      <c r="H2905" s="16"/>
      <c r="I2905" s="16"/>
      <c r="J2905" s="20"/>
    </row>
    <row r="2906" spans="8:10" ht="15.75" customHeight="1">
      <c r="H2906" s="16"/>
      <c r="I2906" s="16"/>
      <c r="J2906" s="20"/>
    </row>
    <row r="2907" spans="8:10" ht="15.75" customHeight="1">
      <c r="H2907" s="16"/>
      <c r="I2907" s="16"/>
      <c r="J2907" s="20"/>
    </row>
    <row r="2908" spans="8:10" ht="15.75" customHeight="1">
      <c r="H2908" s="16"/>
      <c r="I2908" s="16"/>
      <c r="J2908" s="20"/>
    </row>
    <row r="2909" spans="8:10" ht="15.75" customHeight="1">
      <c r="H2909" s="16"/>
      <c r="I2909" s="16"/>
      <c r="J2909" s="20"/>
    </row>
    <row r="2910" spans="8:10" ht="15.75" customHeight="1">
      <c r="H2910" s="16"/>
      <c r="I2910" s="16"/>
      <c r="J2910" s="20"/>
    </row>
    <row r="2911" spans="8:10" ht="15.75" customHeight="1">
      <c r="H2911" s="16"/>
      <c r="I2911" s="16"/>
      <c r="J2911" s="20"/>
    </row>
    <row r="2912" spans="8:10" ht="15.75" customHeight="1">
      <c r="H2912" s="16"/>
      <c r="I2912" s="16"/>
      <c r="J2912" s="20"/>
    </row>
    <row r="2913" spans="8:10" ht="15.75" customHeight="1">
      <c r="H2913" s="16"/>
      <c r="I2913" s="16"/>
      <c r="J2913" s="20"/>
    </row>
    <row r="2914" spans="8:10" ht="15.75" customHeight="1">
      <c r="H2914" s="16"/>
      <c r="I2914" s="16"/>
      <c r="J2914" s="20"/>
    </row>
    <row r="2915" spans="8:10" ht="15.75" customHeight="1">
      <c r="H2915" s="16"/>
      <c r="I2915" s="16"/>
      <c r="J2915" s="20"/>
    </row>
    <row r="2916" spans="8:10" ht="15.75" customHeight="1">
      <c r="H2916" s="16"/>
      <c r="I2916" s="16"/>
      <c r="J2916" s="20"/>
    </row>
    <row r="2917" spans="8:10" ht="15.75" customHeight="1">
      <c r="H2917" s="16"/>
      <c r="I2917" s="16"/>
      <c r="J2917" s="20"/>
    </row>
    <row r="2918" spans="8:10" ht="15.75" customHeight="1">
      <c r="H2918" s="16"/>
      <c r="I2918" s="16"/>
      <c r="J2918" s="20"/>
    </row>
    <row r="2919" spans="8:10" ht="15.75" customHeight="1">
      <c r="H2919" s="16"/>
      <c r="I2919" s="16"/>
      <c r="J2919" s="20"/>
    </row>
    <row r="2920" spans="8:10" ht="15.75" customHeight="1">
      <c r="H2920" s="16"/>
      <c r="I2920" s="16"/>
      <c r="J2920" s="20"/>
    </row>
    <row r="2921" spans="8:10" ht="15.75" customHeight="1">
      <c r="H2921" s="16"/>
      <c r="I2921" s="16"/>
      <c r="J2921" s="20"/>
    </row>
    <row r="2922" spans="8:10" ht="15.75" customHeight="1">
      <c r="H2922" s="16"/>
      <c r="I2922" s="16"/>
      <c r="J2922" s="20"/>
    </row>
    <row r="2923" spans="8:10" ht="15.75" customHeight="1">
      <c r="H2923" s="16"/>
      <c r="I2923" s="16"/>
      <c r="J2923" s="20"/>
    </row>
    <row r="2924" spans="8:10" ht="15.75" customHeight="1">
      <c r="H2924" s="16"/>
      <c r="I2924" s="16"/>
      <c r="J2924" s="20"/>
    </row>
    <row r="2925" spans="8:10" ht="15.75" customHeight="1">
      <c r="H2925" s="16"/>
      <c r="I2925" s="16"/>
      <c r="J2925" s="20"/>
    </row>
    <row r="2926" spans="8:10" ht="15.75" customHeight="1">
      <c r="H2926" s="16"/>
      <c r="I2926" s="16"/>
      <c r="J2926" s="20"/>
    </row>
    <row r="2927" spans="8:10" ht="15.75" customHeight="1">
      <c r="H2927" s="16"/>
      <c r="I2927" s="16"/>
      <c r="J2927" s="20"/>
    </row>
    <row r="2928" spans="8:10" ht="15.75" customHeight="1">
      <c r="H2928" s="16"/>
      <c r="I2928" s="16"/>
      <c r="J2928" s="20"/>
    </row>
    <row r="2929" spans="8:10" ht="15.75" customHeight="1">
      <c r="H2929" s="16"/>
      <c r="I2929" s="16"/>
      <c r="J2929" s="20"/>
    </row>
    <row r="2930" spans="8:10" ht="15.75" customHeight="1">
      <c r="H2930" s="16"/>
      <c r="I2930" s="16"/>
      <c r="J2930" s="20"/>
    </row>
    <row r="2931" spans="8:10" ht="15.75" customHeight="1">
      <c r="H2931" s="16"/>
      <c r="I2931" s="16"/>
      <c r="J2931" s="20"/>
    </row>
    <row r="2932" spans="8:10" ht="15.75" customHeight="1">
      <c r="H2932" s="16"/>
      <c r="I2932" s="16"/>
      <c r="J2932" s="20"/>
    </row>
    <row r="2933" spans="8:10" ht="15.75" customHeight="1">
      <c r="H2933" s="16"/>
      <c r="I2933" s="16"/>
      <c r="J2933" s="20"/>
    </row>
    <row r="2934" spans="8:10" ht="15.75" customHeight="1">
      <c r="H2934" s="16"/>
      <c r="I2934" s="16"/>
      <c r="J2934" s="20"/>
    </row>
    <row r="2935" spans="8:10" ht="15.75" customHeight="1">
      <c r="H2935" s="16"/>
      <c r="I2935" s="16"/>
      <c r="J2935" s="20"/>
    </row>
    <row r="2936" spans="8:10" ht="15.75" customHeight="1">
      <c r="H2936" s="16"/>
      <c r="I2936" s="16"/>
      <c r="J2936" s="20"/>
    </row>
    <row r="2937" spans="8:10" ht="15.75" customHeight="1">
      <c r="H2937" s="16"/>
      <c r="I2937" s="16"/>
      <c r="J2937" s="20"/>
    </row>
    <row r="2938" spans="8:10" ht="15.75" customHeight="1">
      <c r="H2938" s="16"/>
      <c r="I2938" s="16"/>
      <c r="J2938" s="20"/>
    </row>
    <row r="2939" spans="8:10" ht="15.75" customHeight="1">
      <c r="H2939" s="16"/>
      <c r="I2939" s="16"/>
      <c r="J2939" s="20"/>
    </row>
    <row r="2940" spans="8:10" ht="15.75" customHeight="1">
      <c r="H2940" s="16"/>
      <c r="I2940" s="16"/>
      <c r="J2940" s="20"/>
    </row>
    <row r="2941" spans="8:10" ht="15.75" customHeight="1">
      <c r="H2941" s="16"/>
      <c r="I2941" s="16"/>
      <c r="J2941" s="20"/>
    </row>
    <row r="2942" spans="8:10" ht="15.75" customHeight="1">
      <c r="H2942" s="16"/>
      <c r="I2942" s="16"/>
      <c r="J2942" s="20"/>
    </row>
    <row r="2943" spans="8:10" ht="15.75" customHeight="1">
      <c r="H2943" s="16"/>
      <c r="I2943" s="16"/>
      <c r="J2943" s="20"/>
    </row>
    <row r="2944" spans="8:10" ht="15.75" customHeight="1">
      <c r="H2944" s="16"/>
      <c r="I2944" s="16"/>
      <c r="J2944" s="20"/>
    </row>
    <row r="2945" spans="8:10" ht="15.75" customHeight="1">
      <c r="H2945" s="16"/>
      <c r="I2945" s="16"/>
      <c r="J2945" s="20"/>
    </row>
    <row r="2946" spans="8:10" ht="15.75" customHeight="1">
      <c r="H2946" s="16"/>
      <c r="I2946" s="16"/>
      <c r="J2946" s="20"/>
    </row>
    <row r="2947" spans="8:10" ht="15.75" customHeight="1">
      <c r="H2947" s="16"/>
      <c r="I2947" s="16"/>
      <c r="J2947" s="20"/>
    </row>
    <row r="2948" spans="8:10" ht="15.75" customHeight="1">
      <c r="H2948" s="16"/>
      <c r="I2948" s="16"/>
      <c r="J2948" s="20"/>
    </row>
    <row r="2949" spans="8:10" ht="15.75" customHeight="1">
      <c r="H2949" s="16"/>
      <c r="I2949" s="16"/>
      <c r="J2949" s="20"/>
    </row>
    <row r="2950" spans="8:10" ht="15.75" customHeight="1">
      <c r="H2950" s="16"/>
      <c r="I2950" s="16"/>
      <c r="J2950" s="20"/>
    </row>
    <row r="2951" spans="8:10" ht="15.75" customHeight="1">
      <c r="H2951" s="16"/>
      <c r="I2951" s="16"/>
      <c r="J2951" s="20"/>
    </row>
    <row r="2952" spans="8:10" ht="15.75" customHeight="1">
      <c r="H2952" s="16"/>
      <c r="I2952" s="16"/>
      <c r="J2952" s="20"/>
    </row>
    <row r="2953" spans="8:10" ht="15.75" customHeight="1">
      <c r="H2953" s="16"/>
      <c r="I2953" s="16"/>
      <c r="J2953" s="20"/>
    </row>
    <row r="2954" spans="8:10" ht="15.75" customHeight="1">
      <c r="H2954" s="16"/>
      <c r="I2954" s="16"/>
      <c r="J2954" s="20"/>
    </row>
    <row r="2955" spans="8:10" ht="15.75" customHeight="1">
      <c r="H2955" s="16"/>
      <c r="I2955" s="16"/>
      <c r="J2955" s="20"/>
    </row>
    <row r="2956" spans="8:10" ht="15.75" customHeight="1">
      <c r="H2956" s="16"/>
      <c r="I2956" s="16"/>
      <c r="J2956" s="20"/>
    </row>
    <row r="2957" spans="8:10" ht="15.75" customHeight="1">
      <c r="H2957" s="16"/>
      <c r="I2957" s="16"/>
      <c r="J2957" s="20"/>
    </row>
    <row r="2958" spans="8:10" ht="15.75" customHeight="1">
      <c r="H2958" s="16"/>
      <c r="I2958" s="16"/>
      <c r="J2958" s="20"/>
    </row>
    <row r="2959" spans="8:10" ht="15.75" customHeight="1">
      <c r="H2959" s="16"/>
      <c r="I2959" s="16"/>
      <c r="J2959" s="20"/>
    </row>
    <row r="2960" spans="8:10" ht="15.75" customHeight="1">
      <c r="H2960" s="16"/>
      <c r="I2960" s="16"/>
      <c r="J2960" s="20"/>
    </row>
    <row r="2961" spans="8:10" ht="15.75" customHeight="1">
      <c r="H2961" s="16"/>
      <c r="I2961" s="16"/>
      <c r="J2961" s="20"/>
    </row>
    <row r="2962" spans="8:10" ht="15.75" customHeight="1">
      <c r="H2962" s="16"/>
      <c r="I2962" s="16"/>
      <c r="J2962" s="20"/>
    </row>
    <row r="2963" spans="8:10" ht="15.75" customHeight="1">
      <c r="H2963" s="16"/>
      <c r="I2963" s="16"/>
      <c r="J2963" s="20"/>
    </row>
    <row r="2964" spans="8:10" ht="15.75" customHeight="1">
      <c r="H2964" s="16"/>
      <c r="I2964" s="16"/>
      <c r="J2964" s="20"/>
    </row>
    <row r="2965" spans="8:10" ht="15.75" customHeight="1">
      <c r="H2965" s="16"/>
      <c r="I2965" s="16"/>
      <c r="J2965" s="20"/>
    </row>
    <row r="2966" spans="8:10" ht="15.75" customHeight="1">
      <c r="H2966" s="16"/>
      <c r="I2966" s="16"/>
      <c r="J2966" s="20"/>
    </row>
    <row r="2967" spans="8:10" ht="15.75" customHeight="1">
      <c r="H2967" s="16"/>
      <c r="I2967" s="16"/>
      <c r="J2967" s="20"/>
    </row>
    <row r="2968" spans="8:10" ht="15.75" customHeight="1">
      <c r="H2968" s="16"/>
      <c r="I2968" s="16"/>
      <c r="J2968" s="20"/>
    </row>
    <row r="2969" spans="8:10" ht="15.75" customHeight="1">
      <c r="H2969" s="16"/>
      <c r="I2969" s="16"/>
      <c r="J2969" s="20"/>
    </row>
    <row r="2970" spans="8:10" ht="15.75" customHeight="1">
      <c r="H2970" s="16"/>
      <c r="I2970" s="16"/>
      <c r="J2970" s="20"/>
    </row>
    <row r="2971" spans="8:10" ht="15.75" customHeight="1">
      <c r="H2971" s="16"/>
      <c r="I2971" s="16"/>
      <c r="J2971" s="20"/>
    </row>
    <row r="2972" spans="8:10" ht="15.75" customHeight="1">
      <c r="H2972" s="16"/>
      <c r="I2972" s="16"/>
      <c r="J2972" s="20"/>
    </row>
    <row r="2973" spans="8:10" ht="15.75" customHeight="1">
      <c r="H2973" s="16"/>
      <c r="I2973" s="16"/>
      <c r="J2973" s="20"/>
    </row>
    <row r="2974" spans="8:10" ht="15.75" customHeight="1">
      <c r="H2974" s="16"/>
      <c r="I2974" s="16"/>
      <c r="J2974" s="20"/>
    </row>
    <row r="2975" spans="8:10" ht="15.75" customHeight="1">
      <c r="H2975" s="16"/>
      <c r="I2975" s="16"/>
      <c r="J2975" s="20"/>
    </row>
    <row r="2976" spans="8:10" ht="15.75" customHeight="1">
      <c r="H2976" s="16"/>
      <c r="I2976" s="16"/>
      <c r="J2976" s="20"/>
    </row>
    <row r="2977" spans="8:10" ht="15.75" customHeight="1">
      <c r="H2977" s="16"/>
      <c r="I2977" s="16"/>
      <c r="J2977" s="20"/>
    </row>
    <row r="2978" spans="8:10" ht="15.75" customHeight="1">
      <c r="H2978" s="16"/>
      <c r="I2978" s="16"/>
      <c r="J2978" s="20"/>
    </row>
    <row r="2979" spans="8:10" ht="15.75" customHeight="1">
      <c r="H2979" s="16"/>
      <c r="I2979" s="16"/>
      <c r="J2979" s="20"/>
    </row>
    <row r="2980" spans="8:10" ht="15.75" customHeight="1">
      <c r="H2980" s="16"/>
      <c r="I2980" s="16"/>
      <c r="J2980" s="20"/>
    </row>
    <row r="2981" spans="8:10" ht="15.75" customHeight="1">
      <c r="H2981" s="16"/>
      <c r="I2981" s="16"/>
      <c r="J2981" s="20"/>
    </row>
    <row r="2982" spans="8:10" ht="15.75" customHeight="1">
      <c r="H2982" s="16"/>
      <c r="I2982" s="16"/>
      <c r="J2982" s="20"/>
    </row>
    <row r="2983" spans="8:10" ht="15.75" customHeight="1">
      <c r="H2983" s="16"/>
      <c r="I2983" s="16"/>
      <c r="J2983" s="20"/>
    </row>
    <row r="2984" spans="8:10" ht="15.75" customHeight="1">
      <c r="H2984" s="16"/>
      <c r="I2984" s="16"/>
      <c r="J2984" s="20"/>
    </row>
    <row r="2985" spans="8:10" ht="15.75" customHeight="1">
      <c r="H2985" s="16"/>
      <c r="I2985" s="16"/>
      <c r="J2985" s="20"/>
    </row>
    <row r="2986" spans="8:10" ht="15.75" customHeight="1">
      <c r="H2986" s="16"/>
      <c r="I2986" s="16"/>
      <c r="J2986" s="20"/>
    </row>
    <row r="2987" spans="8:10" ht="15.75" customHeight="1">
      <c r="H2987" s="16"/>
      <c r="I2987" s="16"/>
      <c r="J2987" s="20"/>
    </row>
    <row r="2988" spans="8:10" ht="15.75" customHeight="1">
      <c r="H2988" s="16"/>
      <c r="I2988" s="16"/>
      <c r="J2988" s="20"/>
    </row>
    <row r="2989" spans="8:10" ht="15.75" customHeight="1">
      <c r="H2989" s="16"/>
      <c r="I2989" s="16"/>
      <c r="J2989" s="20"/>
    </row>
    <row r="2990" spans="8:10" ht="15.75" customHeight="1">
      <c r="H2990" s="16"/>
      <c r="I2990" s="16"/>
      <c r="J2990" s="20"/>
    </row>
    <row r="2991" spans="8:10" ht="15.75" customHeight="1">
      <c r="H2991" s="16"/>
      <c r="I2991" s="16"/>
      <c r="J2991" s="20"/>
    </row>
    <row r="2992" spans="8:10" ht="15.75" customHeight="1">
      <c r="H2992" s="16"/>
      <c r="I2992" s="16"/>
      <c r="J2992" s="20"/>
    </row>
    <row r="2993" spans="8:10" ht="15.75" customHeight="1">
      <c r="H2993" s="16"/>
      <c r="I2993" s="16"/>
      <c r="J2993" s="20"/>
    </row>
    <row r="2994" spans="8:10" ht="15.75" customHeight="1">
      <c r="H2994" s="16"/>
      <c r="I2994" s="16"/>
      <c r="J2994" s="20"/>
    </row>
    <row r="2995" spans="8:10" ht="15.75" customHeight="1">
      <c r="H2995" s="16"/>
      <c r="I2995" s="16"/>
      <c r="J2995" s="20"/>
    </row>
    <row r="2996" spans="8:10" ht="15.75" customHeight="1">
      <c r="H2996" s="16"/>
      <c r="I2996" s="16"/>
      <c r="J2996" s="20"/>
    </row>
    <row r="2997" spans="8:10" ht="15.75" customHeight="1">
      <c r="H2997" s="16"/>
      <c r="I2997" s="16"/>
      <c r="J2997" s="20"/>
    </row>
    <row r="2998" spans="8:10" ht="15.75" customHeight="1">
      <c r="H2998" s="16"/>
      <c r="I2998" s="16"/>
      <c r="J2998" s="20"/>
    </row>
    <row r="2999" spans="8:10" ht="15.75" customHeight="1">
      <c r="H2999" s="16"/>
      <c r="I2999" s="16"/>
      <c r="J2999" s="20"/>
    </row>
    <row r="3000" spans="8:10" ht="15.75" customHeight="1">
      <c r="H3000" s="16"/>
      <c r="I3000" s="16"/>
      <c r="J3000" s="20"/>
    </row>
    <row r="3001" spans="8:10" ht="15.75" customHeight="1">
      <c r="H3001" s="16"/>
      <c r="I3001" s="16"/>
      <c r="J3001" s="20"/>
    </row>
    <row r="3002" spans="8:10" ht="15.75" customHeight="1">
      <c r="H3002" s="16"/>
      <c r="I3002" s="16"/>
      <c r="J3002" s="20"/>
    </row>
    <row r="3003" spans="8:10" ht="15.75" customHeight="1">
      <c r="H3003" s="16"/>
      <c r="I3003" s="16"/>
      <c r="J3003" s="20"/>
    </row>
    <row r="3004" spans="8:10" ht="15.75" customHeight="1">
      <c r="H3004" s="16"/>
      <c r="I3004" s="16"/>
      <c r="J3004" s="20"/>
    </row>
    <row r="3005" spans="8:10" ht="15.75" customHeight="1">
      <c r="H3005" s="16"/>
      <c r="I3005" s="16"/>
      <c r="J3005" s="20"/>
    </row>
    <row r="3006" spans="8:10" ht="15.75" customHeight="1">
      <c r="H3006" s="16"/>
      <c r="I3006" s="16"/>
      <c r="J3006" s="20"/>
    </row>
    <row r="3007" spans="8:10" ht="15.75" customHeight="1">
      <c r="H3007" s="16"/>
      <c r="I3007" s="16"/>
      <c r="J3007" s="20"/>
    </row>
    <row r="3008" spans="8:10" ht="15.75" customHeight="1">
      <c r="H3008" s="16"/>
      <c r="I3008" s="16"/>
      <c r="J3008" s="20"/>
    </row>
    <row r="3009" spans="8:10" ht="15.75" customHeight="1">
      <c r="H3009" s="16"/>
      <c r="I3009" s="16"/>
      <c r="J3009" s="20"/>
    </row>
    <row r="3010" spans="8:10" ht="15.75" customHeight="1">
      <c r="H3010" s="16"/>
      <c r="I3010" s="16"/>
      <c r="J3010" s="20"/>
    </row>
    <row r="3011" spans="8:10" ht="15.75" customHeight="1">
      <c r="H3011" s="16"/>
      <c r="I3011" s="16"/>
      <c r="J3011" s="20"/>
    </row>
    <row r="3012" spans="8:10" ht="15.75" customHeight="1">
      <c r="H3012" s="16"/>
      <c r="I3012" s="16"/>
      <c r="J3012" s="20"/>
    </row>
    <row r="3013" spans="8:10" ht="15.75" customHeight="1">
      <c r="H3013" s="16"/>
      <c r="I3013" s="16"/>
      <c r="J3013" s="20"/>
    </row>
    <row r="3014" spans="8:10" ht="15.75" customHeight="1">
      <c r="H3014" s="16"/>
      <c r="I3014" s="16"/>
      <c r="J3014" s="20"/>
    </row>
    <row r="3015" spans="8:10" ht="15.75" customHeight="1">
      <c r="H3015" s="16"/>
      <c r="I3015" s="16"/>
      <c r="J3015" s="20"/>
    </row>
    <row r="3016" spans="8:10" ht="15.75" customHeight="1">
      <c r="H3016" s="16"/>
      <c r="I3016" s="16"/>
      <c r="J3016" s="20"/>
    </row>
    <row r="3017" spans="8:10" ht="15.75" customHeight="1">
      <c r="H3017" s="16"/>
      <c r="I3017" s="16"/>
      <c r="J3017" s="20"/>
    </row>
    <row r="3018" spans="8:10" ht="15.75" customHeight="1">
      <c r="H3018" s="16"/>
      <c r="I3018" s="16"/>
      <c r="J3018" s="20"/>
    </row>
    <row r="3019" spans="8:10" ht="15.75" customHeight="1">
      <c r="H3019" s="16"/>
      <c r="I3019" s="16"/>
      <c r="J3019" s="20"/>
    </row>
    <row r="3020" spans="8:10" ht="15.75" customHeight="1">
      <c r="H3020" s="16"/>
      <c r="I3020" s="16"/>
      <c r="J3020" s="20"/>
    </row>
    <row r="3021" spans="8:10" ht="15.75" customHeight="1">
      <c r="H3021" s="16"/>
      <c r="I3021" s="16"/>
      <c r="J3021" s="20"/>
    </row>
    <row r="3022" spans="8:10" ht="15.75" customHeight="1">
      <c r="H3022" s="16"/>
      <c r="I3022" s="16"/>
      <c r="J3022" s="20"/>
    </row>
    <row r="3023" spans="8:10" ht="15.75" customHeight="1">
      <c r="H3023" s="16"/>
      <c r="I3023" s="16"/>
      <c r="J3023" s="20"/>
    </row>
    <row r="3024" spans="8:10" ht="15.75" customHeight="1">
      <c r="H3024" s="16"/>
      <c r="I3024" s="16"/>
      <c r="J3024" s="20"/>
    </row>
    <row r="3025" spans="8:10" ht="15.75" customHeight="1">
      <c r="H3025" s="16"/>
      <c r="I3025" s="16"/>
      <c r="J3025" s="20"/>
    </row>
    <row r="3026" spans="8:10" ht="15.75" customHeight="1">
      <c r="H3026" s="16"/>
      <c r="I3026" s="16"/>
      <c r="J3026" s="20"/>
    </row>
    <row r="3027" spans="8:10" ht="15.75" customHeight="1">
      <c r="H3027" s="16"/>
      <c r="I3027" s="16"/>
      <c r="J3027" s="20"/>
    </row>
    <row r="3028" spans="8:10" ht="15.75" customHeight="1">
      <c r="H3028" s="16"/>
      <c r="I3028" s="16"/>
      <c r="J3028" s="20"/>
    </row>
    <row r="3029" spans="8:10" ht="15.75" customHeight="1">
      <c r="H3029" s="16"/>
      <c r="I3029" s="16"/>
      <c r="J3029" s="20"/>
    </row>
    <row r="3030" spans="8:10" ht="15.75" customHeight="1">
      <c r="H3030" s="16"/>
      <c r="I3030" s="16"/>
      <c r="J3030" s="20"/>
    </row>
    <row r="3031" spans="8:10" ht="15.75" customHeight="1">
      <c r="H3031" s="16"/>
      <c r="I3031" s="16"/>
      <c r="J3031" s="20"/>
    </row>
    <row r="3032" spans="8:10" ht="15.75" customHeight="1">
      <c r="H3032" s="16"/>
      <c r="I3032" s="16"/>
      <c r="J3032" s="20"/>
    </row>
    <row r="3033" spans="8:10" ht="15.75" customHeight="1">
      <c r="H3033" s="16"/>
      <c r="I3033" s="16"/>
      <c r="J3033" s="20"/>
    </row>
    <row r="3034" spans="8:10" ht="15.75" customHeight="1">
      <c r="H3034" s="16"/>
      <c r="I3034" s="16"/>
      <c r="J3034" s="20"/>
    </row>
    <row r="3035" spans="8:10" ht="15.75" customHeight="1">
      <c r="H3035" s="16"/>
      <c r="I3035" s="16"/>
      <c r="J3035" s="20"/>
    </row>
    <row r="3036" spans="8:10" ht="15.75" customHeight="1">
      <c r="H3036" s="16"/>
      <c r="I3036" s="16"/>
      <c r="J3036" s="20"/>
    </row>
    <row r="3037" spans="8:10" ht="15.75" customHeight="1">
      <c r="H3037" s="16"/>
      <c r="I3037" s="16"/>
      <c r="J3037" s="20"/>
    </row>
    <row r="3038" spans="8:10" ht="15.75" customHeight="1">
      <c r="H3038" s="16"/>
      <c r="I3038" s="16"/>
      <c r="J3038" s="20"/>
    </row>
    <row r="3039" spans="8:10" ht="15.75" customHeight="1">
      <c r="H3039" s="16"/>
      <c r="I3039" s="16"/>
      <c r="J3039" s="20"/>
    </row>
    <row r="3040" spans="8:10" ht="15.75" customHeight="1">
      <c r="H3040" s="16"/>
      <c r="I3040" s="16"/>
      <c r="J3040" s="20"/>
    </row>
    <row r="3041" spans="1:10" ht="15.75" customHeight="1">
      <c r="H3041" s="16"/>
      <c r="I3041" s="16"/>
      <c r="J3041" s="20"/>
    </row>
    <row r="3042" spans="1:10" ht="15.75" customHeight="1">
      <c r="H3042" s="16"/>
      <c r="I3042" s="16"/>
      <c r="J3042" s="20"/>
    </row>
    <row r="3043" spans="1:10" ht="15.75" customHeight="1">
      <c r="H3043" s="16"/>
      <c r="I3043" s="16"/>
      <c r="J3043" s="20"/>
    </row>
    <row r="3044" spans="1:10" ht="15.75" customHeight="1">
      <c r="H3044" s="16"/>
      <c r="I3044" s="16"/>
      <c r="J3044" s="20"/>
    </row>
    <row r="3045" spans="1:10" ht="15.75" customHeight="1">
      <c r="H3045" s="16"/>
      <c r="I3045" s="16"/>
      <c r="J3045" s="20"/>
    </row>
    <row r="3046" spans="1:10" ht="15.75" customHeight="1">
      <c r="H3046" s="16"/>
      <c r="I3046" s="16"/>
      <c r="J3046" s="20"/>
    </row>
    <row r="3047" spans="1:10" ht="15.75" customHeight="1">
      <c r="H3047" s="16"/>
      <c r="I3047" s="16"/>
      <c r="J3047" s="20"/>
    </row>
    <row r="3048" spans="1:10" ht="15.75" customHeight="1">
      <c r="H3048" s="16"/>
      <c r="I3048" s="16"/>
      <c r="J3048" s="20"/>
    </row>
    <row r="3049" spans="1:10" ht="15.75" customHeight="1">
      <c r="H3049" s="16"/>
      <c r="I3049" s="16"/>
      <c r="J3049" s="20"/>
    </row>
    <row r="3050" spans="1:10" ht="15.75" customHeight="1">
      <c r="H3050" s="16"/>
      <c r="I3050" s="16"/>
      <c r="J3050" s="20"/>
    </row>
    <row r="3051" spans="1:10" ht="15.75" customHeight="1">
      <c r="A3051" s="8"/>
      <c r="C3051" s="8"/>
      <c r="F3051" s="8"/>
      <c r="H3051" s="16"/>
      <c r="I3051" s="16"/>
      <c r="J3051" s="20"/>
    </row>
    <row r="3052" spans="1:10" ht="15.75" customHeight="1">
      <c r="A3052" s="8"/>
      <c r="C3052" s="8"/>
      <c r="F3052" s="8"/>
      <c r="H3052" s="16"/>
      <c r="I3052" s="16"/>
      <c r="J3052" s="20"/>
    </row>
    <row r="3053" spans="1:10" ht="15.75" customHeight="1">
      <c r="A3053" s="8"/>
      <c r="C3053" s="8"/>
      <c r="F3053" s="8"/>
      <c r="H3053" s="16"/>
      <c r="I3053" s="16"/>
      <c r="J3053" s="20"/>
    </row>
    <row r="3054" spans="1:10" ht="15.75" customHeight="1">
      <c r="A3054" s="8"/>
      <c r="C3054" s="8"/>
      <c r="F3054" s="8"/>
      <c r="H3054" s="16"/>
      <c r="I3054" s="16"/>
      <c r="J3054" s="20"/>
    </row>
    <row r="3055" spans="1:10" ht="15.75" customHeight="1">
      <c r="A3055" s="8"/>
      <c r="C3055" s="8"/>
      <c r="F3055" s="8"/>
      <c r="H3055" s="16"/>
      <c r="I3055" s="16"/>
      <c r="J3055" s="20"/>
    </row>
    <row r="3056" spans="1:10" ht="15.75" customHeight="1">
      <c r="A3056" s="8"/>
      <c r="C3056" s="8"/>
      <c r="F3056" s="8"/>
      <c r="H3056" s="16"/>
      <c r="I3056" s="16"/>
      <c r="J3056" s="20"/>
    </row>
    <row r="3057" spans="1:10" ht="15.75" customHeight="1">
      <c r="A3057" s="8"/>
      <c r="C3057" s="8"/>
      <c r="F3057" s="8"/>
      <c r="H3057" s="16"/>
      <c r="I3057" s="16"/>
      <c r="J3057" s="20"/>
    </row>
    <row r="3058" spans="1:10" ht="15.75" customHeight="1">
      <c r="A3058" s="8"/>
      <c r="C3058" s="8"/>
      <c r="F3058" s="8"/>
      <c r="H3058" s="16"/>
      <c r="I3058" s="16"/>
      <c r="J3058" s="20"/>
    </row>
    <row r="3059" spans="1:10" ht="15.75" customHeight="1">
      <c r="A3059" s="8"/>
      <c r="C3059" s="8"/>
      <c r="F3059" s="8"/>
      <c r="H3059" s="16"/>
      <c r="I3059" s="16"/>
      <c r="J3059" s="20"/>
    </row>
    <row r="3060" spans="1:10" ht="15.75" customHeight="1">
      <c r="A3060" s="8"/>
      <c r="C3060" s="8"/>
      <c r="F3060" s="8"/>
      <c r="H3060" s="16"/>
      <c r="I3060" s="16"/>
      <c r="J3060" s="20"/>
    </row>
    <row r="3061" spans="1:10" ht="15.75" customHeight="1">
      <c r="A3061" s="8"/>
      <c r="C3061" s="8"/>
      <c r="F3061" s="8"/>
      <c r="H3061" s="16"/>
      <c r="I3061" s="16"/>
      <c r="J3061" s="20"/>
    </row>
    <row r="3062" spans="1:10" ht="15.75" customHeight="1">
      <c r="A3062" s="8"/>
      <c r="C3062" s="8"/>
      <c r="F3062" s="8"/>
      <c r="H3062" s="16"/>
      <c r="I3062" s="16"/>
      <c r="J3062" s="20"/>
    </row>
    <row r="3063" spans="1:10" ht="15.75" customHeight="1">
      <c r="A3063" s="8"/>
      <c r="C3063" s="8"/>
      <c r="F3063" s="8"/>
      <c r="H3063" s="16"/>
      <c r="I3063" s="16"/>
      <c r="J3063" s="20"/>
    </row>
    <row r="3064" spans="1:10" ht="15.75" customHeight="1">
      <c r="A3064" s="8"/>
      <c r="C3064" s="8"/>
      <c r="F3064" s="8"/>
      <c r="H3064" s="16"/>
      <c r="I3064" s="16"/>
      <c r="J3064" s="20"/>
    </row>
    <row r="3065" spans="1:10" ht="15.75" customHeight="1">
      <c r="A3065" s="8"/>
      <c r="C3065" s="8"/>
      <c r="F3065" s="8"/>
      <c r="H3065" s="16"/>
      <c r="I3065" s="16"/>
      <c r="J3065" s="20"/>
    </row>
    <row r="3066" spans="1:10" ht="15.75" customHeight="1">
      <c r="A3066" s="8"/>
      <c r="C3066" s="8"/>
      <c r="F3066" s="8"/>
      <c r="H3066" s="16"/>
      <c r="I3066" s="16"/>
      <c r="J3066" s="20"/>
    </row>
    <row r="3067" spans="1:10" ht="15.75" customHeight="1">
      <c r="A3067" s="8"/>
      <c r="C3067" s="8"/>
      <c r="F3067" s="8"/>
      <c r="H3067" s="16"/>
      <c r="I3067" s="16"/>
      <c r="J3067" s="20"/>
    </row>
    <row r="3068" spans="1:10" ht="15.75" customHeight="1">
      <c r="A3068" s="8"/>
      <c r="C3068" s="8"/>
      <c r="F3068" s="8"/>
      <c r="H3068" s="16"/>
      <c r="I3068" s="16"/>
      <c r="J3068" s="20"/>
    </row>
    <row r="3069" spans="1:10" ht="15.75" customHeight="1">
      <c r="A3069" s="8"/>
      <c r="C3069" s="8"/>
      <c r="F3069" s="8"/>
      <c r="H3069" s="16"/>
      <c r="I3069" s="16"/>
      <c r="J3069" s="20"/>
    </row>
    <row r="3070" spans="1:10" ht="15.75" customHeight="1">
      <c r="A3070" s="8"/>
      <c r="C3070" s="8"/>
      <c r="F3070" s="8"/>
      <c r="H3070" s="16"/>
      <c r="I3070" s="16"/>
      <c r="J3070" s="20"/>
    </row>
    <row r="3071" spans="1:10" ht="15.75" customHeight="1">
      <c r="A3071" s="8"/>
      <c r="C3071" s="8"/>
      <c r="F3071" s="8"/>
      <c r="H3071" s="16"/>
      <c r="I3071" s="16"/>
      <c r="J3071" s="20"/>
    </row>
    <row r="3072" spans="1:10" ht="15.75" customHeight="1">
      <c r="A3072" s="8"/>
      <c r="C3072" s="8"/>
      <c r="F3072" s="8"/>
      <c r="H3072" s="16"/>
      <c r="I3072" s="16"/>
      <c r="J3072" s="20"/>
    </row>
    <row r="3073" spans="1:10" ht="15.75" customHeight="1">
      <c r="A3073" s="8"/>
      <c r="C3073" s="8"/>
      <c r="F3073" s="8"/>
      <c r="H3073" s="16"/>
      <c r="I3073" s="16"/>
      <c r="J3073" s="20"/>
    </row>
    <row r="3074" spans="1:10" ht="15.75" customHeight="1">
      <c r="A3074" s="8"/>
      <c r="C3074" s="8"/>
      <c r="F3074" s="8"/>
      <c r="H3074" s="16"/>
      <c r="I3074" s="16"/>
      <c r="J3074" s="20"/>
    </row>
    <row r="3075" spans="1:10" ht="15.75" customHeight="1">
      <c r="A3075" s="8"/>
      <c r="C3075" s="8"/>
      <c r="F3075" s="8"/>
      <c r="H3075" s="16"/>
      <c r="I3075" s="16"/>
      <c r="J3075" s="20"/>
    </row>
    <row r="3076" spans="1:10" ht="15.75" customHeight="1">
      <c r="A3076" s="8"/>
      <c r="C3076" s="8"/>
      <c r="F3076" s="8"/>
      <c r="H3076" s="16"/>
      <c r="I3076" s="16"/>
      <c r="J3076" s="20"/>
    </row>
    <row r="3077" spans="1:10" ht="15.75" customHeight="1">
      <c r="A3077" s="8"/>
      <c r="C3077" s="8"/>
      <c r="F3077" s="8"/>
      <c r="H3077" s="16"/>
      <c r="I3077" s="16"/>
      <c r="J3077" s="20"/>
    </row>
    <row r="3078" spans="1:10" ht="15.75" customHeight="1">
      <c r="A3078" s="8"/>
      <c r="C3078" s="8"/>
      <c r="F3078" s="8"/>
      <c r="H3078" s="16"/>
      <c r="I3078" s="16"/>
      <c r="J3078" s="20"/>
    </row>
    <row r="3079" spans="1:10" ht="15.75" customHeight="1">
      <c r="A3079" s="8"/>
      <c r="C3079" s="8"/>
      <c r="F3079" s="8"/>
      <c r="H3079" s="16"/>
      <c r="I3079" s="16"/>
      <c r="J3079" s="20"/>
    </row>
    <row r="3080" spans="1:10" ht="15.75" customHeight="1">
      <c r="A3080" s="8"/>
      <c r="C3080" s="8"/>
      <c r="F3080" s="8"/>
      <c r="H3080" s="16"/>
      <c r="I3080" s="16"/>
      <c r="J3080" s="20"/>
    </row>
    <row r="3081" spans="1:10" ht="15.75" customHeight="1">
      <c r="A3081" s="8"/>
      <c r="C3081" s="8"/>
      <c r="F3081" s="8"/>
      <c r="H3081" s="16"/>
      <c r="I3081" s="16"/>
      <c r="J3081" s="20"/>
    </row>
    <row r="3082" spans="1:10" ht="15.75" customHeight="1">
      <c r="A3082" s="8"/>
      <c r="C3082" s="8"/>
      <c r="F3082" s="8"/>
      <c r="H3082" s="16"/>
      <c r="I3082" s="16"/>
      <c r="J3082" s="20"/>
    </row>
    <row r="3083" spans="1:10" ht="15.75" customHeight="1">
      <c r="A3083" s="8"/>
      <c r="C3083" s="8"/>
      <c r="F3083" s="8"/>
      <c r="H3083" s="16"/>
      <c r="I3083" s="16"/>
      <c r="J3083" s="20"/>
    </row>
    <row r="3084" spans="1:10" ht="15.75" customHeight="1">
      <c r="A3084" s="8"/>
      <c r="C3084" s="8"/>
      <c r="F3084" s="8"/>
      <c r="H3084" s="16"/>
      <c r="I3084" s="16"/>
      <c r="J3084" s="20"/>
    </row>
    <row r="3085" spans="1:10" ht="15.75" customHeight="1">
      <c r="A3085" s="8"/>
      <c r="C3085" s="8"/>
      <c r="F3085" s="8"/>
      <c r="H3085" s="16"/>
      <c r="I3085" s="16"/>
      <c r="J3085" s="20"/>
    </row>
    <row r="3086" spans="1:10" ht="15.75" customHeight="1">
      <c r="A3086" s="8"/>
      <c r="C3086" s="8"/>
      <c r="F3086" s="8"/>
      <c r="H3086" s="16"/>
      <c r="I3086" s="16"/>
      <c r="J3086" s="20"/>
    </row>
    <row r="3087" spans="1:10" ht="15.75" customHeight="1">
      <c r="A3087" s="8"/>
      <c r="C3087" s="8"/>
      <c r="F3087" s="8"/>
      <c r="H3087" s="16"/>
      <c r="I3087" s="16"/>
      <c r="J3087" s="20"/>
    </row>
    <row r="3088" spans="1:10" ht="15.75" customHeight="1">
      <c r="A3088" s="8"/>
      <c r="C3088" s="8"/>
      <c r="F3088" s="8"/>
      <c r="H3088" s="16"/>
      <c r="I3088" s="16"/>
      <c r="J3088" s="20"/>
    </row>
    <row r="3089" spans="1:10" ht="15.75" customHeight="1">
      <c r="A3089" s="8"/>
      <c r="C3089" s="8"/>
      <c r="F3089" s="8"/>
      <c r="H3089" s="16"/>
      <c r="I3089" s="16"/>
      <c r="J3089" s="20"/>
    </row>
    <row r="3090" spans="1:10" ht="15.75" customHeight="1">
      <c r="A3090" s="8"/>
      <c r="C3090" s="8"/>
      <c r="F3090" s="8"/>
      <c r="H3090" s="16"/>
      <c r="I3090" s="16"/>
      <c r="J3090" s="20"/>
    </row>
    <row r="3091" spans="1:10" ht="15.75" customHeight="1">
      <c r="A3091" s="8"/>
      <c r="C3091" s="8"/>
      <c r="F3091" s="8"/>
      <c r="H3091" s="16"/>
      <c r="I3091" s="16"/>
      <c r="J3091" s="20"/>
    </row>
    <row r="3092" spans="1:10" ht="15.75" customHeight="1">
      <c r="A3092" s="8"/>
      <c r="C3092" s="8"/>
      <c r="F3092" s="8"/>
      <c r="H3092" s="16"/>
      <c r="I3092" s="16"/>
      <c r="J3092" s="20"/>
    </row>
    <row r="3093" spans="1:10" ht="15.75" customHeight="1">
      <c r="A3093" s="8"/>
      <c r="C3093" s="8"/>
      <c r="F3093" s="8"/>
      <c r="H3093" s="16"/>
      <c r="I3093" s="16"/>
      <c r="J3093" s="20"/>
    </row>
    <row r="3094" spans="1:10" ht="15.75" customHeight="1">
      <c r="A3094" s="8"/>
      <c r="C3094" s="8"/>
      <c r="F3094" s="8"/>
      <c r="H3094" s="16"/>
      <c r="I3094" s="16"/>
      <c r="J3094" s="20"/>
    </row>
    <row r="3095" spans="1:10" ht="15.75" customHeight="1">
      <c r="A3095" s="8"/>
      <c r="C3095" s="8"/>
      <c r="F3095" s="8"/>
      <c r="H3095" s="16"/>
      <c r="I3095" s="16"/>
      <c r="J3095" s="20"/>
    </row>
    <row r="3096" spans="1:10" ht="15.75" customHeight="1">
      <c r="A3096" s="8"/>
      <c r="C3096" s="8"/>
      <c r="F3096" s="8"/>
      <c r="H3096" s="16"/>
      <c r="I3096" s="16"/>
      <c r="J3096" s="20"/>
    </row>
    <row r="3097" spans="1:10" ht="15.75" customHeight="1">
      <c r="A3097" s="8"/>
      <c r="C3097" s="8"/>
      <c r="F3097" s="8"/>
      <c r="H3097" s="16"/>
      <c r="I3097" s="16"/>
      <c r="J3097" s="20"/>
    </row>
    <row r="3098" spans="1:10" ht="15.75" customHeight="1">
      <c r="A3098" s="8"/>
      <c r="C3098" s="8"/>
      <c r="F3098" s="8"/>
      <c r="H3098" s="16"/>
      <c r="I3098" s="16"/>
      <c r="J3098" s="20"/>
    </row>
    <row r="3099" spans="1:10" ht="15.75" customHeight="1">
      <c r="A3099" s="8"/>
      <c r="C3099" s="8"/>
      <c r="F3099" s="8"/>
      <c r="H3099" s="16"/>
      <c r="I3099" s="16"/>
      <c r="J3099" s="20"/>
    </row>
    <row r="3100" spans="1:10" ht="15.75" customHeight="1">
      <c r="A3100" s="8"/>
      <c r="C3100" s="8"/>
      <c r="F3100" s="8"/>
      <c r="H3100" s="16"/>
      <c r="I3100" s="16"/>
      <c r="J3100" s="20"/>
    </row>
    <row r="3101" spans="1:10" ht="15.75" customHeight="1">
      <c r="A3101" s="8"/>
      <c r="C3101" s="8"/>
      <c r="F3101" s="8"/>
      <c r="H3101" s="16"/>
      <c r="I3101" s="16"/>
      <c r="J3101" s="20"/>
    </row>
    <row r="3102" spans="1:10" ht="15.75" customHeight="1">
      <c r="A3102" s="8"/>
      <c r="C3102" s="8"/>
      <c r="F3102" s="8"/>
      <c r="H3102" s="16"/>
      <c r="I3102" s="16"/>
      <c r="J3102" s="20"/>
    </row>
    <row r="3103" spans="1:10" ht="15.75" customHeight="1">
      <c r="A3103" s="8"/>
      <c r="C3103" s="8"/>
      <c r="F3103" s="8"/>
      <c r="H3103" s="16"/>
      <c r="I3103" s="16"/>
      <c r="J3103" s="20"/>
    </row>
    <row r="3104" spans="1:10" ht="15.75" customHeight="1">
      <c r="A3104" s="8"/>
      <c r="C3104" s="8"/>
      <c r="F3104" s="8"/>
      <c r="H3104" s="16"/>
      <c r="I3104" s="16"/>
      <c r="J3104" s="20"/>
    </row>
    <row r="3105" spans="1:10" ht="15.75" customHeight="1">
      <c r="A3105" s="8"/>
      <c r="C3105" s="8"/>
      <c r="F3105" s="8"/>
      <c r="H3105" s="16"/>
      <c r="I3105" s="16"/>
      <c r="J3105" s="20"/>
    </row>
    <row r="3106" spans="1:10" ht="15.75" customHeight="1">
      <c r="A3106" s="8"/>
      <c r="C3106" s="8"/>
      <c r="F3106" s="8"/>
      <c r="H3106" s="16"/>
      <c r="I3106" s="16"/>
      <c r="J3106" s="20"/>
    </row>
    <row r="3107" spans="1:10" ht="15.75" customHeight="1">
      <c r="A3107" s="8"/>
      <c r="C3107" s="8"/>
      <c r="F3107" s="8"/>
      <c r="H3107" s="16"/>
      <c r="I3107" s="16"/>
      <c r="J3107" s="20"/>
    </row>
    <row r="3108" spans="1:10" ht="15.75" customHeight="1">
      <c r="A3108" s="8"/>
      <c r="C3108" s="8"/>
      <c r="F3108" s="8"/>
      <c r="H3108" s="16"/>
      <c r="I3108" s="16"/>
      <c r="J3108" s="20"/>
    </row>
    <row r="3109" spans="1:10" ht="15.75" customHeight="1">
      <c r="A3109" s="8"/>
      <c r="C3109" s="8"/>
      <c r="F3109" s="8"/>
      <c r="H3109" s="16"/>
      <c r="I3109" s="16"/>
      <c r="J3109" s="20"/>
    </row>
    <row r="3110" spans="1:10" ht="15.75" customHeight="1">
      <c r="A3110" s="8"/>
      <c r="C3110" s="8"/>
      <c r="F3110" s="8"/>
      <c r="H3110" s="16"/>
      <c r="I3110" s="16"/>
      <c r="J3110" s="20"/>
    </row>
    <row r="3111" spans="1:10" ht="15.75" customHeight="1">
      <c r="A3111" s="8"/>
      <c r="C3111" s="8"/>
      <c r="F3111" s="8"/>
      <c r="H3111" s="16"/>
      <c r="I3111" s="16"/>
      <c r="J3111" s="20"/>
    </row>
    <row r="3112" spans="1:10" ht="15.75" customHeight="1">
      <c r="A3112" s="8"/>
      <c r="C3112" s="8"/>
      <c r="F3112" s="8"/>
      <c r="H3112" s="16"/>
      <c r="I3112" s="16"/>
      <c r="J3112" s="20"/>
    </row>
    <row r="3113" spans="1:10" ht="15.75" customHeight="1">
      <c r="A3113" s="8"/>
      <c r="C3113" s="8"/>
      <c r="F3113" s="8"/>
      <c r="H3113" s="16"/>
      <c r="I3113" s="16"/>
      <c r="J3113" s="20"/>
    </row>
    <row r="3114" spans="1:10" ht="15.75" customHeight="1">
      <c r="A3114" s="8"/>
      <c r="C3114" s="8"/>
      <c r="F3114" s="8"/>
      <c r="H3114" s="16"/>
      <c r="I3114" s="16"/>
      <c r="J3114" s="20"/>
    </row>
    <row r="3115" spans="1:10" ht="15.75" customHeight="1">
      <c r="A3115" s="8"/>
      <c r="C3115" s="8"/>
      <c r="F3115" s="8"/>
      <c r="H3115" s="16"/>
      <c r="I3115" s="16"/>
      <c r="J3115" s="20"/>
    </row>
    <row r="3116" spans="1:10" ht="15.75" customHeight="1">
      <c r="A3116" s="8"/>
      <c r="C3116" s="8"/>
      <c r="F3116" s="8"/>
      <c r="H3116" s="16"/>
      <c r="I3116" s="16"/>
      <c r="J3116" s="20"/>
    </row>
    <row r="3117" spans="1:10" ht="15.75" customHeight="1">
      <c r="A3117" s="8"/>
      <c r="C3117" s="8"/>
      <c r="F3117" s="8"/>
      <c r="H3117" s="16"/>
      <c r="I3117" s="16"/>
      <c r="J3117" s="20"/>
    </row>
    <row r="3118" spans="1:10" ht="15.75" customHeight="1">
      <c r="A3118" s="8"/>
      <c r="C3118" s="8"/>
      <c r="F3118" s="8"/>
      <c r="H3118" s="16"/>
      <c r="I3118" s="16"/>
      <c r="J3118" s="20"/>
    </row>
    <row r="3119" spans="1:10" ht="15.75" customHeight="1">
      <c r="A3119" s="8"/>
      <c r="C3119" s="8"/>
      <c r="F3119" s="8"/>
      <c r="H3119" s="16"/>
      <c r="I3119" s="16"/>
      <c r="J3119" s="20"/>
    </row>
    <row r="3120" spans="1:10" ht="15.75" customHeight="1">
      <c r="A3120" s="8"/>
      <c r="C3120" s="8"/>
      <c r="F3120" s="8"/>
      <c r="H3120" s="16"/>
      <c r="I3120" s="16"/>
      <c r="J3120" s="20"/>
    </row>
    <row r="3121" spans="1:10" ht="15.75" customHeight="1">
      <c r="A3121" s="8"/>
      <c r="C3121" s="8"/>
      <c r="F3121" s="8"/>
      <c r="H3121" s="16"/>
      <c r="I3121" s="16"/>
      <c r="J3121" s="20"/>
    </row>
    <row r="3122" spans="1:10" ht="15.75" customHeight="1">
      <c r="A3122" s="8"/>
      <c r="C3122" s="8"/>
      <c r="F3122" s="8"/>
      <c r="H3122" s="16"/>
      <c r="I3122" s="16"/>
      <c r="J3122" s="20"/>
    </row>
    <row r="3123" spans="1:10" ht="15.75" customHeight="1">
      <c r="A3123" s="8"/>
      <c r="C3123" s="8"/>
      <c r="F3123" s="8"/>
      <c r="H3123" s="16"/>
      <c r="I3123" s="16"/>
      <c r="J3123" s="20"/>
    </row>
    <row r="3124" spans="1:10" ht="15.75" customHeight="1">
      <c r="A3124" s="8"/>
      <c r="C3124" s="8"/>
      <c r="F3124" s="8"/>
      <c r="H3124" s="16"/>
      <c r="I3124" s="16"/>
      <c r="J3124" s="20"/>
    </row>
    <row r="3125" spans="1:10" ht="15.75" customHeight="1">
      <c r="A3125" s="8"/>
      <c r="C3125" s="8"/>
      <c r="F3125" s="8"/>
      <c r="H3125" s="16"/>
      <c r="I3125" s="16"/>
      <c r="J3125" s="20"/>
    </row>
    <row r="3126" spans="1:10" ht="15.75" customHeight="1">
      <c r="A3126" s="8"/>
      <c r="C3126" s="8"/>
      <c r="F3126" s="8"/>
      <c r="H3126" s="16"/>
      <c r="I3126" s="16"/>
      <c r="J3126" s="20"/>
    </row>
    <row r="3127" spans="1:10" ht="15.75" customHeight="1">
      <c r="A3127" s="8"/>
      <c r="C3127" s="8"/>
      <c r="F3127" s="8"/>
      <c r="H3127" s="16"/>
      <c r="I3127" s="16"/>
      <c r="J3127" s="20"/>
    </row>
    <row r="3128" spans="1:10" ht="15.75" customHeight="1">
      <c r="A3128" s="8"/>
      <c r="C3128" s="8"/>
      <c r="F3128" s="8"/>
      <c r="H3128" s="16"/>
      <c r="I3128" s="16"/>
      <c r="J3128" s="20"/>
    </row>
    <row r="3129" spans="1:10" ht="15.75" customHeight="1">
      <c r="A3129" s="8"/>
      <c r="C3129" s="8"/>
      <c r="F3129" s="8"/>
      <c r="H3129" s="16"/>
      <c r="I3129" s="16"/>
      <c r="J3129" s="20"/>
    </row>
    <row r="3130" spans="1:10" ht="15.75" customHeight="1">
      <c r="A3130" s="8"/>
      <c r="C3130" s="8"/>
      <c r="F3130" s="8"/>
      <c r="H3130" s="16"/>
      <c r="I3130" s="16"/>
      <c r="J3130" s="20"/>
    </row>
    <row r="3131" spans="1:10" ht="15.75" customHeight="1">
      <c r="A3131" s="8"/>
      <c r="C3131" s="8"/>
      <c r="F3131" s="8"/>
      <c r="H3131" s="16"/>
      <c r="I3131" s="16"/>
      <c r="J3131" s="20"/>
    </row>
    <row r="3132" spans="1:10" ht="15.75" customHeight="1">
      <c r="A3132" s="8"/>
      <c r="C3132" s="8"/>
      <c r="F3132" s="8"/>
      <c r="H3132" s="16"/>
      <c r="I3132" s="16"/>
      <c r="J3132" s="20"/>
    </row>
    <row r="3133" spans="1:10" ht="15.75" customHeight="1">
      <c r="A3133" s="8"/>
      <c r="C3133" s="8"/>
      <c r="F3133" s="8"/>
      <c r="H3133" s="16"/>
      <c r="I3133" s="16"/>
      <c r="J3133" s="20"/>
    </row>
    <row r="3134" spans="1:10" ht="15.75" customHeight="1">
      <c r="A3134" s="8"/>
      <c r="C3134" s="8"/>
      <c r="F3134" s="8"/>
      <c r="H3134" s="16"/>
      <c r="I3134" s="16"/>
      <c r="J3134" s="20"/>
    </row>
    <row r="3135" spans="1:10" ht="15.75" customHeight="1">
      <c r="A3135" s="8"/>
      <c r="C3135" s="8"/>
      <c r="F3135" s="8"/>
      <c r="H3135" s="16"/>
      <c r="I3135" s="16"/>
      <c r="J3135" s="20"/>
    </row>
    <row r="3136" spans="1:10" ht="15.75" customHeight="1">
      <c r="A3136" s="8"/>
      <c r="C3136" s="8"/>
      <c r="F3136" s="8"/>
      <c r="H3136" s="16"/>
      <c r="I3136" s="16"/>
      <c r="J3136" s="20"/>
    </row>
    <row r="3137" spans="1:10" ht="15.75" customHeight="1">
      <c r="A3137" s="8"/>
      <c r="C3137" s="8"/>
      <c r="F3137" s="8"/>
      <c r="H3137" s="16"/>
      <c r="I3137" s="16"/>
      <c r="J3137" s="20"/>
    </row>
    <row r="3138" spans="1:10" ht="15.75" customHeight="1">
      <c r="A3138" s="8"/>
      <c r="C3138" s="8"/>
      <c r="F3138" s="8"/>
      <c r="H3138" s="16"/>
      <c r="I3138" s="16"/>
      <c r="J3138" s="20"/>
    </row>
    <row r="3139" spans="1:10" ht="15.75" customHeight="1">
      <c r="A3139" s="8"/>
      <c r="C3139" s="8"/>
      <c r="F3139" s="8"/>
      <c r="H3139" s="16"/>
      <c r="I3139" s="16"/>
      <c r="J3139" s="20"/>
    </row>
    <row r="3140" spans="1:10" ht="15.75" customHeight="1">
      <c r="A3140" s="8"/>
      <c r="C3140" s="8"/>
      <c r="F3140" s="8"/>
      <c r="H3140" s="16"/>
      <c r="I3140" s="16"/>
      <c r="J3140" s="20"/>
    </row>
    <row r="3141" spans="1:10" ht="15.75" customHeight="1">
      <c r="A3141" s="8"/>
      <c r="C3141" s="8"/>
      <c r="F3141" s="8"/>
      <c r="H3141" s="16"/>
      <c r="I3141" s="16"/>
      <c r="J3141" s="20"/>
    </row>
    <row r="3142" spans="1:10" ht="15.75" customHeight="1">
      <c r="A3142" s="8"/>
      <c r="C3142" s="8"/>
      <c r="F3142" s="8"/>
      <c r="H3142" s="16"/>
      <c r="I3142" s="16"/>
      <c r="J3142" s="20"/>
    </row>
    <row r="3143" spans="1:10" ht="15.75" customHeight="1">
      <c r="A3143" s="8"/>
      <c r="C3143" s="8"/>
      <c r="F3143" s="8"/>
      <c r="H3143" s="16"/>
      <c r="I3143" s="16"/>
      <c r="J3143" s="20"/>
    </row>
    <row r="3144" spans="1:10" ht="15.75" customHeight="1">
      <c r="A3144" s="8"/>
      <c r="C3144" s="8"/>
      <c r="F3144" s="8"/>
      <c r="H3144" s="16"/>
      <c r="I3144" s="16"/>
      <c r="J3144" s="20"/>
    </row>
    <row r="3145" spans="1:10" ht="15.75" customHeight="1">
      <c r="A3145" s="8"/>
      <c r="C3145" s="8"/>
      <c r="F3145" s="8"/>
      <c r="H3145" s="16"/>
      <c r="I3145" s="16"/>
      <c r="J3145" s="20"/>
    </row>
    <row r="3146" spans="1:10" ht="15.75" customHeight="1">
      <c r="A3146" s="8"/>
      <c r="C3146" s="8"/>
      <c r="F3146" s="8"/>
      <c r="H3146" s="16"/>
      <c r="I3146" s="16"/>
      <c r="J3146" s="20"/>
    </row>
    <row r="3147" spans="1:10" ht="15.75" customHeight="1">
      <c r="A3147" s="8"/>
      <c r="C3147" s="8"/>
      <c r="F3147" s="8"/>
      <c r="H3147" s="16"/>
      <c r="I3147" s="16"/>
      <c r="J3147" s="20"/>
    </row>
    <row r="3148" spans="1:10" ht="15.75" customHeight="1">
      <c r="A3148" s="8"/>
      <c r="C3148" s="8"/>
      <c r="F3148" s="8"/>
      <c r="H3148" s="16"/>
      <c r="I3148" s="16"/>
      <c r="J3148" s="20"/>
    </row>
    <row r="3149" spans="1:10" ht="15.75" customHeight="1">
      <c r="A3149" s="8"/>
      <c r="C3149" s="8"/>
      <c r="F3149" s="8"/>
      <c r="H3149" s="16"/>
      <c r="I3149" s="16"/>
      <c r="J3149" s="20"/>
    </row>
    <row r="3150" spans="1:10" ht="15.75" customHeight="1">
      <c r="A3150" s="8"/>
      <c r="C3150" s="8"/>
      <c r="F3150" s="8"/>
      <c r="H3150" s="16"/>
      <c r="I3150" s="16"/>
      <c r="J3150" s="20"/>
    </row>
    <row r="3151" spans="1:10" ht="15.75" customHeight="1">
      <c r="A3151" s="8"/>
      <c r="C3151" s="8"/>
      <c r="F3151" s="8"/>
      <c r="H3151" s="16"/>
      <c r="I3151" s="16"/>
      <c r="J3151" s="20"/>
    </row>
    <row r="3152" spans="1:10" ht="15.75" customHeight="1">
      <c r="A3152" s="8"/>
      <c r="C3152" s="8"/>
      <c r="F3152" s="8"/>
      <c r="H3152" s="16"/>
      <c r="I3152" s="16"/>
      <c r="J3152" s="20"/>
    </row>
    <row r="3153" spans="1:10" ht="15.75" customHeight="1">
      <c r="A3153" s="8"/>
      <c r="C3153" s="8"/>
      <c r="F3153" s="8"/>
      <c r="H3153" s="16"/>
      <c r="I3153" s="16"/>
      <c r="J3153" s="20"/>
    </row>
    <row r="3154" spans="1:10" ht="15.75" customHeight="1">
      <c r="A3154" s="8"/>
      <c r="C3154" s="8"/>
      <c r="F3154" s="8"/>
      <c r="H3154" s="16"/>
      <c r="I3154" s="16"/>
      <c r="J3154" s="20"/>
    </row>
    <row r="3155" spans="1:10" ht="15.75" customHeight="1">
      <c r="A3155" s="8"/>
      <c r="C3155" s="8"/>
      <c r="F3155" s="8"/>
      <c r="H3155" s="16"/>
      <c r="I3155" s="16"/>
      <c r="J3155" s="20"/>
    </row>
    <row r="3156" spans="1:10" ht="15.75" customHeight="1">
      <c r="A3156" s="8"/>
      <c r="C3156" s="8"/>
      <c r="F3156" s="8"/>
      <c r="H3156" s="16"/>
      <c r="I3156" s="16"/>
      <c r="J3156" s="20"/>
    </row>
    <row r="3157" spans="1:10" ht="15.75" customHeight="1">
      <c r="A3157" s="8"/>
      <c r="C3157" s="8"/>
      <c r="F3157" s="8"/>
      <c r="H3157" s="16"/>
      <c r="I3157" s="16"/>
      <c r="J3157" s="20"/>
    </row>
    <row r="3158" spans="1:10" ht="15.75" customHeight="1">
      <c r="A3158" s="8"/>
      <c r="C3158" s="8"/>
      <c r="F3158" s="8"/>
      <c r="H3158" s="16"/>
      <c r="I3158" s="16"/>
      <c r="J3158" s="20"/>
    </row>
    <row r="3159" spans="1:10" ht="15.75" customHeight="1">
      <c r="A3159" s="8"/>
      <c r="C3159" s="8"/>
      <c r="F3159" s="8"/>
      <c r="H3159" s="16"/>
      <c r="I3159" s="16"/>
      <c r="J3159" s="20"/>
    </row>
    <row r="3160" spans="1:10" ht="15.75" customHeight="1">
      <c r="A3160" s="8"/>
      <c r="C3160" s="8"/>
      <c r="F3160" s="8"/>
      <c r="H3160" s="16"/>
      <c r="I3160" s="16"/>
      <c r="J3160" s="20"/>
    </row>
    <row r="3161" spans="1:10" ht="15.75" customHeight="1">
      <c r="A3161" s="8"/>
      <c r="C3161" s="8"/>
      <c r="F3161" s="8"/>
      <c r="H3161" s="16"/>
      <c r="I3161" s="16"/>
      <c r="J3161" s="20"/>
    </row>
    <row r="3162" spans="1:10" ht="15.75" customHeight="1">
      <c r="A3162" s="8"/>
      <c r="C3162" s="8"/>
      <c r="F3162" s="8"/>
      <c r="H3162" s="16"/>
      <c r="I3162" s="16"/>
      <c r="J3162" s="20"/>
    </row>
    <row r="3163" spans="1:10" ht="15.75" customHeight="1">
      <c r="A3163" s="8"/>
      <c r="C3163" s="8"/>
      <c r="F3163" s="8"/>
      <c r="H3163" s="16"/>
      <c r="I3163" s="16"/>
      <c r="J3163" s="20"/>
    </row>
    <row r="3164" spans="1:10" ht="15.75" customHeight="1">
      <c r="A3164" s="8"/>
      <c r="C3164" s="8"/>
      <c r="F3164" s="8"/>
      <c r="H3164" s="16"/>
      <c r="I3164" s="16"/>
      <c r="J3164" s="20"/>
    </row>
    <row r="3165" spans="1:10" ht="15.75" customHeight="1">
      <c r="A3165" s="8"/>
      <c r="C3165" s="8"/>
      <c r="F3165" s="8"/>
      <c r="H3165" s="16"/>
      <c r="I3165" s="16"/>
      <c r="J3165" s="20"/>
    </row>
    <row r="3166" spans="1:10" ht="15.75" customHeight="1">
      <c r="A3166" s="8"/>
      <c r="C3166" s="8"/>
      <c r="F3166" s="8"/>
      <c r="H3166" s="16"/>
      <c r="I3166" s="16"/>
      <c r="J3166" s="20"/>
    </row>
    <row r="3167" spans="1:10" ht="15.75" customHeight="1">
      <c r="A3167" s="8"/>
      <c r="C3167" s="8"/>
      <c r="F3167" s="8"/>
      <c r="H3167" s="16"/>
      <c r="I3167" s="16"/>
      <c r="J3167" s="20"/>
    </row>
    <row r="3168" spans="1:10" ht="15.75" customHeight="1">
      <c r="A3168" s="8"/>
      <c r="C3168" s="8"/>
      <c r="F3168" s="8"/>
      <c r="H3168" s="16"/>
      <c r="I3168" s="16"/>
      <c r="J3168" s="20"/>
    </row>
    <row r="3169" spans="1:10" ht="15.75" customHeight="1">
      <c r="A3169" s="8"/>
      <c r="C3169" s="8"/>
      <c r="F3169" s="8"/>
      <c r="H3169" s="16"/>
      <c r="I3169" s="16"/>
      <c r="J3169" s="20"/>
    </row>
    <row r="3170" spans="1:10" ht="15.75" customHeight="1">
      <c r="A3170" s="8"/>
      <c r="C3170" s="8"/>
      <c r="F3170" s="8"/>
      <c r="H3170" s="16"/>
      <c r="I3170" s="16"/>
      <c r="J3170" s="20"/>
    </row>
    <row r="3171" spans="1:10" ht="15.75" customHeight="1">
      <c r="A3171" s="8"/>
      <c r="C3171" s="8"/>
      <c r="F3171" s="8"/>
      <c r="H3171" s="16"/>
      <c r="I3171" s="16"/>
      <c r="J3171" s="20"/>
    </row>
    <row r="3172" spans="1:10" ht="15.75" customHeight="1">
      <c r="A3172" s="8"/>
      <c r="C3172" s="8"/>
      <c r="F3172" s="8"/>
      <c r="H3172" s="16"/>
      <c r="I3172" s="16"/>
      <c r="J3172" s="20"/>
    </row>
    <row r="3173" spans="1:10" ht="15.75" customHeight="1">
      <c r="A3173" s="8"/>
      <c r="C3173" s="8"/>
      <c r="F3173" s="8"/>
      <c r="H3173" s="16"/>
      <c r="I3173" s="16"/>
      <c r="J3173" s="20"/>
    </row>
    <row r="3174" spans="1:10" ht="15.75" customHeight="1">
      <c r="A3174" s="8"/>
      <c r="C3174" s="8"/>
      <c r="F3174" s="8"/>
      <c r="H3174" s="16"/>
      <c r="I3174" s="16"/>
      <c r="J3174" s="20"/>
    </row>
    <row r="3175" spans="1:10" ht="15.75" customHeight="1">
      <c r="A3175" s="8"/>
      <c r="C3175" s="8"/>
      <c r="F3175" s="8"/>
      <c r="H3175" s="16"/>
      <c r="I3175" s="16"/>
      <c r="J3175" s="20"/>
    </row>
    <row r="3176" spans="1:10" ht="15.75" customHeight="1">
      <c r="A3176" s="8"/>
      <c r="C3176" s="8"/>
      <c r="F3176" s="8"/>
      <c r="H3176" s="16"/>
      <c r="I3176" s="16"/>
      <c r="J3176" s="20"/>
    </row>
    <row r="3177" spans="1:10" ht="15.75" customHeight="1">
      <c r="A3177" s="8"/>
      <c r="C3177" s="8"/>
      <c r="F3177" s="8"/>
      <c r="H3177" s="16"/>
      <c r="I3177" s="16"/>
      <c r="J3177" s="20"/>
    </row>
    <row r="3178" spans="1:10" ht="15.75" customHeight="1">
      <c r="A3178" s="8"/>
      <c r="C3178" s="8"/>
      <c r="F3178" s="8"/>
      <c r="H3178" s="16"/>
      <c r="I3178" s="16"/>
      <c r="J3178" s="20"/>
    </row>
    <row r="3179" spans="1:10" ht="15.75" customHeight="1">
      <c r="A3179" s="8"/>
      <c r="C3179" s="8"/>
      <c r="F3179" s="8"/>
      <c r="H3179" s="16"/>
      <c r="I3179" s="16"/>
      <c r="J3179" s="20"/>
    </row>
    <row r="3180" spans="1:10" ht="15.75" customHeight="1">
      <c r="A3180" s="8"/>
      <c r="C3180" s="8"/>
      <c r="F3180" s="8"/>
      <c r="H3180" s="16"/>
      <c r="I3180" s="16"/>
      <c r="J3180" s="20"/>
    </row>
    <row r="3181" spans="1:10" ht="15.75" customHeight="1">
      <c r="A3181" s="8"/>
      <c r="C3181" s="8"/>
      <c r="F3181" s="8"/>
      <c r="H3181" s="16"/>
      <c r="I3181" s="16"/>
      <c r="J3181" s="20"/>
    </row>
    <row r="3182" spans="1:10" ht="15.75" customHeight="1">
      <c r="A3182" s="8"/>
      <c r="C3182" s="8"/>
      <c r="F3182" s="8"/>
      <c r="H3182" s="16"/>
      <c r="I3182" s="16"/>
      <c r="J3182" s="20"/>
    </row>
    <row r="3183" spans="1:10" ht="15.75" customHeight="1">
      <c r="A3183" s="8"/>
      <c r="C3183" s="8"/>
      <c r="F3183" s="8"/>
      <c r="H3183" s="16"/>
      <c r="I3183" s="16"/>
      <c r="J3183" s="20"/>
    </row>
    <row r="3184" spans="1:10" ht="15.75" customHeight="1">
      <c r="A3184" s="8"/>
      <c r="C3184" s="8"/>
      <c r="F3184" s="8"/>
      <c r="H3184" s="16"/>
      <c r="I3184" s="16"/>
      <c r="J3184" s="20"/>
    </row>
    <row r="3185" spans="1:10" ht="15.75" customHeight="1">
      <c r="A3185" s="8"/>
      <c r="C3185" s="8"/>
      <c r="F3185" s="8"/>
      <c r="H3185" s="16"/>
      <c r="I3185" s="16"/>
      <c r="J3185" s="20"/>
    </row>
    <row r="3186" spans="1:10" ht="15.75" customHeight="1">
      <c r="A3186" s="8"/>
      <c r="C3186" s="8"/>
      <c r="F3186" s="8"/>
      <c r="H3186" s="16"/>
      <c r="I3186" s="16"/>
      <c r="J3186" s="20"/>
    </row>
    <row r="3187" spans="1:10" ht="15.75" customHeight="1">
      <c r="A3187" s="8"/>
      <c r="C3187" s="8"/>
      <c r="F3187" s="8"/>
      <c r="H3187" s="16"/>
      <c r="I3187" s="16"/>
      <c r="J3187" s="20"/>
    </row>
    <row r="3188" spans="1:10" ht="15.75" customHeight="1">
      <c r="A3188" s="8"/>
      <c r="C3188" s="8"/>
      <c r="F3188" s="8"/>
      <c r="H3188" s="16"/>
      <c r="I3188" s="16"/>
      <c r="J3188" s="20"/>
    </row>
    <row r="3189" spans="1:10" ht="15.75" customHeight="1">
      <c r="A3189" s="8"/>
      <c r="C3189" s="8"/>
      <c r="F3189" s="8"/>
      <c r="H3189" s="16"/>
      <c r="I3189" s="16"/>
      <c r="J3189" s="20"/>
    </row>
    <row r="3190" spans="1:10" ht="15.75" customHeight="1">
      <c r="A3190" s="8"/>
      <c r="C3190" s="8"/>
      <c r="F3190" s="8"/>
      <c r="H3190" s="16"/>
      <c r="I3190" s="16"/>
      <c r="J3190" s="20"/>
    </row>
    <row r="3191" spans="1:10" ht="15.75" customHeight="1">
      <c r="A3191" s="8"/>
      <c r="C3191" s="8"/>
      <c r="F3191" s="8"/>
      <c r="H3191" s="16"/>
      <c r="I3191" s="16"/>
      <c r="J3191" s="20"/>
    </row>
    <row r="3192" spans="1:10" ht="15.75" customHeight="1">
      <c r="A3192" s="8"/>
      <c r="C3192" s="8"/>
      <c r="F3192" s="8"/>
      <c r="H3192" s="16"/>
      <c r="I3192" s="16"/>
      <c r="J3192" s="20"/>
    </row>
    <row r="3193" spans="1:10" ht="15.75" customHeight="1">
      <c r="A3193" s="8"/>
      <c r="C3193" s="8"/>
      <c r="F3193" s="8"/>
      <c r="H3193" s="16"/>
      <c r="I3193" s="16"/>
      <c r="J3193" s="20"/>
    </row>
    <row r="3194" spans="1:10" ht="15.75" customHeight="1">
      <c r="A3194" s="8"/>
      <c r="C3194" s="8"/>
      <c r="F3194" s="8"/>
      <c r="H3194" s="16"/>
      <c r="I3194" s="16"/>
      <c r="J3194" s="20"/>
    </row>
    <row r="3195" spans="1:10" ht="15.75" customHeight="1">
      <c r="A3195" s="8"/>
      <c r="C3195" s="8"/>
      <c r="F3195" s="8"/>
      <c r="H3195" s="16"/>
      <c r="I3195" s="16"/>
      <c r="J3195" s="20"/>
    </row>
    <row r="3196" spans="1:10" ht="15.75" customHeight="1">
      <c r="A3196" s="8"/>
      <c r="C3196" s="8"/>
      <c r="F3196" s="8"/>
      <c r="H3196" s="16"/>
      <c r="I3196" s="16"/>
      <c r="J3196" s="20"/>
    </row>
    <row r="3197" spans="1:10" ht="15.75" customHeight="1">
      <c r="A3197" s="8"/>
      <c r="C3197" s="8"/>
      <c r="F3197" s="8"/>
      <c r="H3197" s="16"/>
      <c r="I3197" s="16"/>
      <c r="J3197" s="20"/>
    </row>
    <row r="3198" spans="1:10" ht="15.75" customHeight="1">
      <c r="A3198" s="8"/>
      <c r="C3198" s="8"/>
      <c r="F3198" s="8"/>
      <c r="H3198" s="16"/>
      <c r="I3198" s="16"/>
      <c r="J3198" s="20"/>
    </row>
    <row r="3199" spans="1:10" ht="15.75" customHeight="1">
      <c r="A3199" s="8"/>
      <c r="C3199" s="8"/>
      <c r="F3199" s="8"/>
      <c r="H3199" s="16"/>
      <c r="I3199" s="16"/>
      <c r="J3199" s="20"/>
    </row>
    <row r="3200" spans="1:10" ht="15.75" customHeight="1">
      <c r="A3200" s="8"/>
      <c r="C3200" s="8"/>
      <c r="F3200" s="8"/>
      <c r="H3200" s="16"/>
      <c r="I3200" s="16"/>
      <c r="J3200" s="20"/>
    </row>
    <row r="3201" spans="1:10" ht="15.75" customHeight="1">
      <c r="A3201" s="8"/>
      <c r="C3201" s="8"/>
      <c r="F3201" s="8"/>
      <c r="H3201" s="16"/>
      <c r="I3201" s="16"/>
      <c r="J3201" s="20"/>
    </row>
    <row r="3202" spans="1:10" ht="15.75" customHeight="1">
      <c r="A3202" s="8"/>
      <c r="C3202" s="8"/>
      <c r="F3202" s="8"/>
      <c r="H3202" s="16"/>
      <c r="I3202" s="16"/>
      <c r="J3202" s="20"/>
    </row>
    <row r="3203" spans="1:10" ht="15.75" customHeight="1">
      <c r="A3203" s="8"/>
      <c r="C3203" s="8"/>
      <c r="F3203" s="8"/>
      <c r="H3203" s="16"/>
      <c r="I3203" s="16"/>
      <c r="J3203" s="20"/>
    </row>
    <row r="3204" spans="1:10" ht="15.75" customHeight="1">
      <c r="A3204" s="8"/>
      <c r="C3204" s="8"/>
      <c r="F3204" s="8"/>
      <c r="H3204" s="16"/>
      <c r="I3204" s="16"/>
      <c r="J3204" s="20"/>
    </row>
    <row r="3205" spans="1:10" ht="15.75" customHeight="1">
      <c r="A3205" s="8"/>
      <c r="C3205" s="8"/>
      <c r="F3205" s="8"/>
      <c r="H3205" s="16"/>
      <c r="I3205" s="16"/>
      <c r="J3205" s="20"/>
    </row>
    <row r="3206" spans="1:10" ht="15.75" customHeight="1">
      <c r="A3206" s="8"/>
      <c r="C3206" s="8"/>
      <c r="F3206" s="8"/>
      <c r="H3206" s="16"/>
      <c r="I3206" s="16"/>
      <c r="J3206" s="20"/>
    </row>
    <row r="3207" spans="1:10" ht="15.75" customHeight="1">
      <c r="A3207" s="8"/>
      <c r="C3207" s="8"/>
      <c r="F3207" s="8"/>
      <c r="H3207" s="16"/>
      <c r="I3207" s="16"/>
      <c r="J3207" s="20"/>
    </row>
    <row r="3208" spans="1:10" ht="15.75" customHeight="1">
      <c r="A3208" s="8"/>
      <c r="C3208" s="8"/>
      <c r="F3208" s="8"/>
      <c r="H3208" s="16"/>
      <c r="I3208" s="16"/>
      <c r="J3208" s="20"/>
    </row>
    <row r="3209" spans="1:10" ht="15.75" customHeight="1">
      <c r="A3209" s="8"/>
      <c r="C3209" s="8"/>
      <c r="F3209" s="8"/>
      <c r="H3209" s="16"/>
      <c r="I3209" s="16"/>
      <c r="J3209" s="20"/>
    </row>
    <row r="3210" spans="1:10" ht="15.75" customHeight="1">
      <c r="A3210" s="8"/>
      <c r="C3210" s="8"/>
      <c r="F3210" s="8"/>
      <c r="H3210" s="16"/>
      <c r="I3210" s="16"/>
      <c r="J3210" s="20"/>
    </row>
    <row r="3211" spans="1:10" ht="15.75" customHeight="1">
      <c r="A3211" s="8"/>
      <c r="C3211" s="8"/>
      <c r="F3211" s="8"/>
      <c r="H3211" s="16"/>
      <c r="I3211" s="16"/>
      <c r="J3211" s="20"/>
    </row>
    <row r="3212" spans="1:10" ht="15.75" customHeight="1">
      <c r="A3212" s="8"/>
      <c r="C3212" s="8"/>
      <c r="F3212" s="8"/>
      <c r="H3212" s="16"/>
      <c r="I3212" s="16"/>
      <c r="J3212" s="20"/>
    </row>
    <row r="3213" spans="1:10" ht="15.75" customHeight="1">
      <c r="A3213" s="8"/>
      <c r="C3213" s="8"/>
      <c r="F3213" s="8"/>
      <c r="H3213" s="16"/>
      <c r="I3213" s="16"/>
      <c r="J3213" s="20"/>
    </row>
    <row r="3214" spans="1:10" ht="15.75" customHeight="1">
      <c r="A3214" s="8"/>
      <c r="C3214" s="8"/>
      <c r="F3214" s="8"/>
      <c r="H3214" s="16"/>
      <c r="I3214" s="16"/>
      <c r="J3214" s="20"/>
    </row>
    <row r="3215" spans="1:10" ht="15.75" customHeight="1">
      <c r="A3215" s="8"/>
      <c r="C3215" s="8"/>
      <c r="F3215" s="8"/>
      <c r="H3215" s="16"/>
      <c r="I3215" s="16"/>
      <c r="J3215" s="20"/>
    </row>
    <row r="3216" spans="1:10" ht="15.75" customHeight="1">
      <c r="A3216" s="8"/>
      <c r="C3216" s="8"/>
      <c r="F3216" s="8"/>
      <c r="H3216" s="16"/>
      <c r="I3216" s="16"/>
      <c r="J3216" s="20"/>
    </row>
    <row r="3217" spans="1:10" ht="15.75" customHeight="1">
      <c r="A3217" s="8"/>
      <c r="C3217" s="8"/>
      <c r="F3217" s="8"/>
      <c r="H3217" s="16"/>
      <c r="I3217" s="16"/>
      <c r="J3217" s="20"/>
    </row>
    <row r="3218" spans="1:10" ht="15.75" customHeight="1">
      <c r="A3218" s="8"/>
      <c r="C3218" s="8"/>
      <c r="F3218" s="8"/>
      <c r="H3218" s="16"/>
      <c r="I3218" s="16"/>
      <c r="J3218" s="20"/>
    </row>
    <row r="3219" spans="1:10" ht="15.75" customHeight="1">
      <c r="A3219" s="8"/>
      <c r="C3219" s="8"/>
      <c r="F3219" s="8"/>
      <c r="H3219" s="16"/>
      <c r="I3219" s="16"/>
      <c r="J3219" s="20"/>
    </row>
    <row r="3220" spans="1:10" ht="15.75" customHeight="1">
      <c r="A3220" s="8"/>
      <c r="C3220" s="8"/>
      <c r="F3220" s="8"/>
      <c r="H3220" s="16"/>
      <c r="I3220" s="16"/>
      <c r="J3220" s="20"/>
    </row>
    <row r="3221" spans="1:10" ht="15.75" customHeight="1">
      <c r="A3221" s="8"/>
      <c r="C3221" s="8"/>
      <c r="F3221" s="8"/>
      <c r="H3221" s="16"/>
      <c r="I3221" s="16"/>
      <c r="J3221" s="20"/>
    </row>
    <row r="3222" spans="1:10" ht="15.75" customHeight="1">
      <c r="A3222" s="8"/>
      <c r="C3222" s="8"/>
      <c r="F3222" s="8"/>
      <c r="H3222" s="16"/>
      <c r="I3222" s="16"/>
      <c r="J3222" s="20"/>
    </row>
    <row r="3223" spans="1:10" ht="15.75" customHeight="1">
      <c r="A3223" s="8"/>
      <c r="C3223" s="8"/>
      <c r="F3223" s="8"/>
      <c r="H3223" s="16"/>
      <c r="I3223" s="16"/>
      <c r="J3223" s="20"/>
    </row>
    <row r="3224" spans="1:10" ht="15.75" customHeight="1">
      <c r="A3224" s="8"/>
      <c r="C3224" s="8"/>
      <c r="F3224" s="8"/>
      <c r="H3224" s="16"/>
      <c r="I3224" s="16"/>
      <c r="J3224" s="20"/>
    </row>
    <row r="3225" spans="1:10" ht="15.75" customHeight="1">
      <c r="A3225" s="8"/>
      <c r="C3225" s="8"/>
      <c r="F3225" s="8"/>
      <c r="H3225" s="16"/>
      <c r="I3225" s="16"/>
      <c r="J3225" s="20"/>
    </row>
    <row r="3226" spans="1:10" ht="15.75" customHeight="1">
      <c r="A3226" s="8"/>
      <c r="C3226" s="8"/>
      <c r="F3226" s="8"/>
      <c r="H3226" s="16"/>
      <c r="I3226" s="16"/>
      <c r="J3226" s="20"/>
    </row>
    <row r="3227" spans="1:10" ht="15.75" customHeight="1">
      <c r="A3227" s="8"/>
      <c r="C3227" s="8"/>
      <c r="F3227" s="8"/>
      <c r="H3227" s="16"/>
      <c r="I3227" s="16"/>
      <c r="J3227" s="20"/>
    </row>
    <row r="3228" spans="1:10" ht="15.75" customHeight="1">
      <c r="A3228" s="8"/>
      <c r="C3228" s="8"/>
      <c r="F3228" s="8"/>
      <c r="H3228" s="16"/>
      <c r="I3228" s="16"/>
      <c r="J3228" s="20"/>
    </row>
    <row r="3229" spans="1:10" ht="15.75" customHeight="1">
      <c r="A3229" s="8"/>
      <c r="C3229" s="8"/>
      <c r="F3229" s="8"/>
      <c r="H3229" s="16"/>
      <c r="I3229" s="16"/>
      <c r="J3229" s="20"/>
    </row>
    <row r="3230" spans="1:10" ht="15.75" customHeight="1">
      <c r="A3230" s="8"/>
      <c r="C3230" s="8"/>
      <c r="F3230" s="8"/>
      <c r="H3230" s="16"/>
      <c r="I3230" s="16"/>
      <c r="J3230" s="20"/>
    </row>
    <row r="3231" spans="1:10" ht="15.75" customHeight="1">
      <c r="A3231" s="8"/>
      <c r="C3231" s="8"/>
      <c r="F3231" s="8"/>
      <c r="H3231" s="16"/>
      <c r="I3231" s="16"/>
      <c r="J3231" s="20"/>
    </row>
    <row r="3232" spans="1:10" ht="15.75" customHeight="1">
      <c r="A3232" s="8"/>
      <c r="C3232" s="8"/>
      <c r="F3232" s="8"/>
      <c r="H3232" s="16"/>
      <c r="I3232" s="16"/>
      <c r="J3232" s="20"/>
    </row>
    <row r="3233" spans="1:10" ht="15.75" customHeight="1">
      <c r="A3233" s="8"/>
      <c r="C3233" s="8"/>
      <c r="F3233" s="8"/>
      <c r="H3233" s="16"/>
      <c r="I3233" s="16"/>
      <c r="J3233" s="20"/>
    </row>
    <row r="3234" spans="1:10" ht="15.75" customHeight="1">
      <c r="A3234" s="8"/>
      <c r="C3234" s="8"/>
      <c r="F3234" s="8"/>
      <c r="H3234" s="16"/>
      <c r="I3234" s="16"/>
      <c r="J3234" s="20"/>
    </row>
    <row r="3235" spans="1:10" ht="15.75" customHeight="1">
      <c r="A3235" s="8"/>
      <c r="C3235" s="8"/>
      <c r="F3235" s="8"/>
      <c r="H3235" s="16"/>
      <c r="I3235" s="16"/>
      <c r="J3235" s="20"/>
    </row>
    <row r="3236" spans="1:10" ht="15.75" customHeight="1">
      <c r="A3236" s="8"/>
      <c r="C3236" s="8"/>
      <c r="F3236" s="8"/>
      <c r="H3236" s="16"/>
      <c r="I3236" s="16"/>
      <c r="J3236" s="20"/>
    </row>
    <row r="3237" spans="1:10" ht="15.75" customHeight="1">
      <c r="A3237" s="8"/>
      <c r="C3237" s="8"/>
      <c r="F3237" s="8"/>
      <c r="H3237" s="16"/>
      <c r="I3237" s="16"/>
      <c r="J3237" s="20"/>
    </row>
    <row r="3238" spans="1:10" ht="15.75" customHeight="1">
      <c r="A3238" s="8"/>
      <c r="C3238" s="8"/>
      <c r="F3238" s="8"/>
      <c r="H3238" s="16"/>
      <c r="I3238" s="16"/>
      <c r="J3238" s="20"/>
    </row>
    <row r="3239" spans="1:10" ht="15.75" customHeight="1">
      <c r="A3239" s="8"/>
      <c r="C3239" s="8"/>
      <c r="F3239" s="8"/>
      <c r="H3239" s="16"/>
      <c r="I3239" s="16"/>
      <c r="J3239" s="20"/>
    </row>
    <row r="3240" spans="1:10" ht="15.75" customHeight="1">
      <c r="A3240" s="8"/>
      <c r="C3240" s="8"/>
      <c r="F3240" s="8"/>
      <c r="H3240" s="16"/>
      <c r="I3240" s="16"/>
      <c r="J3240" s="20"/>
    </row>
    <row r="3241" spans="1:10" ht="15.75" customHeight="1">
      <c r="A3241" s="8"/>
      <c r="C3241" s="8"/>
      <c r="F3241" s="8"/>
      <c r="H3241" s="16"/>
      <c r="I3241" s="16"/>
      <c r="J3241" s="20"/>
    </row>
    <row r="3242" spans="1:10" ht="15.75" customHeight="1">
      <c r="A3242" s="8"/>
      <c r="C3242" s="8"/>
      <c r="F3242" s="8"/>
      <c r="H3242" s="16"/>
      <c r="I3242" s="16"/>
      <c r="J3242" s="20"/>
    </row>
    <row r="3243" spans="1:10" ht="15.75" customHeight="1">
      <c r="A3243" s="8"/>
      <c r="C3243" s="8"/>
      <c r="F3243" s="8"/>
      <c r="H3243" s="16"/>
      <c r="I3243" s="16"/>
      <c r="J3243" s="20"/>
    </row>
    <row r="3244" spans="1:10" ht="15.75" customHeight="1">
      <c r="A3244" s="8"/>
      <c r="C3244" s="8"/>
      <c r="F3244" s="8"/>
      <c r="H3244" s="16"/>
      <c r="I3244" s="16"/>
      <c r="J3244" s="20"/>
    </row>
    <row r="3245" spans="1:10" ht="15.75" customHeight="1">
      <c r="A3245" s="8"/>
      <c r="C3245" s="8"/>
      <c r="F3245" s="8"/>
      <c r="H3245" s="16"/>
      <c r="I3245" s="16"/>
      <c r="J3245" s="20"/>
    </row>
    <row r="3246" spans="1:10" ht="15.75" customHeight="1">
      <c r="A3246" s="8"/>
      <c r="C3246" s="8"/>
      <c r="F3246" s="8"/>
      <c r="H3246" s="16"/>
      <c r="I3246" s="16"/>
      <c r="J3246" s="20"/>
    </row>
    <row r="3247" spans="1:10" ht="15.75" customHeight="1">
      <c r="A3247" s="8"/>
      <c r="C3247" s="8"/>
      <c r="F3247" s="8"/>
      <c r="H3247" s="16"/>
      <c r="I3247" s="16"/>
      <c r="J3247" s="20"/>
    </row>
    <row r="3248" spans="1:10" ht="15.75" customHeight="1">
      <c r="A3248" s="8"/>
      <c r="C3248" s="8"/>
      <c r="F3248" s="8"/>
      <c r="H3248" s="16"/>
      <c r="I3248" s="16"/>
      <c r="J3248" s="20"/>
    </row>
    <row r="3249" spans="1:10" ht="15.75" customHeight="1">
      <c r="A3249" s="8"/>
      <c r="C3249" s="8"/>
      <c r="F3249" s="8"/>
      <c r="H3249" s="16"/>
      <c r="I3249" s="16"/>
      <c r="J3249" s="20"/>
    </row>
    <row r="3250" spans="1:10" ht="15.75" customHeight="1">
      <c r="A3250" s="8"/>
      <c r="C3250" s="8"/>
      <c r="F3250" s="8"/>
      <c r="H3250" s="16"/>
      <c r="I3250" s="16"/>
      <c r="J3250" s="20"/>
    </row>
    <row r="3251" spans="1:10" ht="15.75" customHeight="1">
      <c r="A3251" s="8"/>
      <c r="C3251" s="8"/>
      <c r="F3251" s="8"/>
      <c r="H3251" s="16"/>
      <c r="I3251" s="16"/>
      <c r="J3251" s="20"/>
    </row>
    <row r="3252" spans="1:10" ht="15.75" customHeight="1">
      <c r="A3252" s="8"/>
      <c r="C3252" s="8"/>
      <c r="F3252" s="8"/>
      <c r="H3252" s="16"/>
      <c r="I3252" s="16"/>
      <c r="J3252" s="20"/>
    </row>
    <row r="3253" spans="1:10" ht="15.75" customHeight="1">
      <c r="A3253" s="8"/>
      <c r="C3253" s="8"/>
      <c r="F3253" s="8"/>
      <c r="H3253" s="16"/>
      <c r="I3253" s="16"/>
      <c r="J3253" s="20"/>
    </row>
    <row r="3254" spans="1:10" ht="15.75" customHeight="1">
      <c r="A3254" s="8"/>
      <c r="C3254" s="8"/>
      <c r="F3254" s="8"/>
      <c r="H3254" s="16"/>
      <c r="I3254" s="16"/>
      <c r="J3254" s="20"/>
    </row>
    <row r="3255" spans="1:10" ht="15.75" customHeight="1">
      <c r="A3255" s="8"/>
      <c r="C3255" s="8"/>
      <c r="F3255" s="8"/>
      <c r="H3255" s="16"/>
      <c r="I3255" s="16"/>
      <c r="J3255" s="20"/>
    </row>
    <row r="3256" spans="1:10" ht="15.75" customHeight="1">
      <c r="A3256" s="8"/>
      <c r="C3256" s="8"/>
      <c r="F3256" s="8"/>
      <c r="H3256" s="16"/>
      <c r="I3256" s="16"/>
      <c r="J3256" s="20"/>
    </row>
    <row r="3257" spans="1:10" ht="15.75" customHeight="1">
      <c r="A3257" s="8"/>
      <c r="C3257" s="8"/>
      <c r="F3257" s="8"/>
      <c r="H3257" s="16"/>
      <c r="I3257" s="16"/>
      <c r="J3257" s="20"/>
    </row>
    <row r="3258" spans="1:10" ht="15.75" customHeight="1">
      <c r="A3258" s="8"/>
      <c r="C3258" s="8"/>
      <c r="F3258" s="8"/>
      <c r="H3258" s="16"/>
      <c r="I3258" s="16"/>
      <c r="J3258" s="20"/>
    </row>
    <row r="3259" spans="1:10" ht="15.75" customHeight="1">
      <c r="A3259" s="8"/>
      <c r="C3259" s="8"/>
      <c r="F3259" s="8"/>
      <c r="H3259" s="16"/>
      <c r="I3259" s="16"/>
      <c r="J3259" s="20"/>
    </row>
    <row r="3260" spans="1:10" ht="15.75" customHeight="1">
      <c r="A3260" s="8"/>
      <c r="C3260" s="8"/>
      <c r="F3260" s="8"/>
      <c r="H3260" s="16"/>
      <c r="I3260" s="16"/>
      <c r="J3260" s="20"/>
    </row>
    <row r="3261" spans="1:10" ht="15.75" customHeight="1">
      <c r="A3261" s="8"/>
      <c r="C3261" s="8"/>
      <c r="F3261" s="8"/>
      <c r="H3261" s="16"/>
      <c r="I3261" s="16"/>
      <c r="J3261" s="20"/>
    </row>
    <row r="3262" spans="1:10" ht="15.75" customHeight="1">
      <c r="A3262" s="8"/>
      <c r="C3262" s="8"/>
      <c r="F3262" s="8"/>
      <c r="H3262" s="16"/>
      <c r="I3262" s="16"/>
      <c r="J3262" s="20"/>
    </row>
    <row r="3263" spans="1:10" ht="15.75" customHeight="1">
      <c r="A3263" s="8"/>
      <c r="C3263" s="8"/>
      <c r="F3263" s="8"/>
      <c r="H3263" s="16"/>
      <c r="I3263" s="16"/>
      <c r="J3263" s="20"/>
    </row>
    <row r="3264" spans="1:10" ht="15.75" customHeight="1">
      <c r="A3264" s="8"/>
      <c r="C3264" s="8"/>
      <c r="F3264" s="8"/>
      <c r="H3264" s="16"/>
      <c r="I3264" s="16"/>
      <c r="J3264" s="20"/>
    </row>
    <row r="3265" spans="1:10" ht="15.75" customHeight="1">
      <c r="A3265" s="8"/>
      <c r="C3265" s="8"/>
      <c r="F3265" s="8"/>
      <c r="H3265" s="16"/>
      <c r="I3265" s="16"/>
      <c r="J3265" s="20"/>
    </row>
    <row r="3266" spans="1:10" ht="15.75" customHeight="1">
      <c r="A3266" s="8"/>
      <c r="C3266" s="8"/>
      <c r="F3266" s="8"/>
      <c r="H3266" s="16"/>
      <c r="I3266" s="16"/>
      <c r="J3266" s="20"/>
    </row>
    <row r="3267" spans="1:10" ht="15.75" customHeight="1">
      <c r="A3267" s="8"/>
      <c r="C3267" s="8"/>
      <c r="F3267" s="8"/>
      <c r="H3267" s="16"/>
      <c r="I3267" s="16"/>
      <c r="J3267" s="20"/>
    </row>
    <row r="3268" spans="1:10" ht="15.75" customHeight="1">
      <c r="A3268" s="8"/>
      <c r="C3268" s="8"/>
      <c r="F3268" s="8"/>
      <c r="H3268" s="16"/>
      <c r="I3268" s="16"/>
      <c r="J3268" s="20"/>
    </row>
    <row r="3269" spans="1:10" ht="15.75" customHeight="1">
      <c r="A3269" s="8"/>
      <c r="C3269" s="8"/>
      <c r="F3269" s="8"/>
      <c r="H3269" s="16"/>
      <c r="I3269" s="16"/>
      <c r="J3269" s="20"/>
    </row>
    <row r="3270" spans="1:10" ht="15.75" customHeight="1">
      <c r="A3270" s="8"/>
      <c r="C3270" s="8"/>
      <c r="F3270" s="8"/>
      <c r="H3270" s="16"/>
      <c r="I3270" s="16"/>
      <c r="J3270" s="20"/>
    </row>
    <row r="3271" spans="1:10" ht="15.75" customHeight="1">
      <c r="A3271" s="8"/>
      <c r="C3271" s="8"/>
      <c r="F3271" s="8"/>
      <c r="H3271" s="16"/>
      <c r="I3271" s="16"/>
      <c r="J3271" s="20"/>
    </row>
    <row r="3272" spans="1:10" ht="15.75" customHeight="1">
      <c r="A3272" s="8"/>
      <c r="C3272" s="8"/>
      <c r="F3272" s="8"/>
      <c r="H3272" s="16"/>
      <c r="I3272" s="16"/>
      <c r="J3272" s="20"/>
    </row>
    <row r="3273" spans="1:10" ht="15.75" customHeight="1">
      <c r="A3273" s="8"/>
      <c r="C3273" s="8"/>
      <c r="F3273" s="8"/>
      <c r="H3273" s="16"/>
      <c r="I3273" s="16"/>
      <c r="J3273" s="20"/>
    </row>
    <row r="3274" spans="1:10" ht="15.75" customHeight="1">
      <c r="A3274" s="8"/>
      <c r="C3274" s="8"/>
      <c r="F3274" s="8"/>
      <c r="H3274" s="16"/>
      <c r="I3274" s="16"/>
      <c r="J3274" s="20"/>
    </row>
    <row r="3275" spans="1:10" ht="15.75" customHeight="1">
      <c r="A3275" s="8"/>
      <c r="C3275" s="8"/>
      <c r="F3275" s="8"/>
      <c r="H3275" s="16"/>
      <c r="I3275" s="16"/>
      <c r="J3275" s="20"/>
    </row>
    <row r="3276" spans="1:10" ht="15.75" customHeight="1">
      <c r="A3276" s="8"/>
      <c r="C3276" s="8"/>
      <c r="F3276" s="8"/>
      <c r="H3276" s="16"/>
      <c r="I3276" s="16"/>
      <c r="J3276" s="20"/>
    </row>
    <row r="3277" spans="1:10" ht="15.75" customHeight="1">
      <c r="A3277" s="8"/>
      <c r="C3277" s="8"/>
      <c r="F3277" s="8"/>
      <c r="H3277" s="16"/>
      <c r="I3277" s="16"/>
      <c r="J3277" s="20"/>
    </row>
    <row r="3278" spans="1:10" ht="15.75" customHeight="1">
      <c r="A3278" s="8"/>
      <c r="C3278" s="8"/>
      <c r="F3278" s="8"/>
      <c r="H3278" s="16"/>
      <c r="I3278" s="16"/>
      <c r="J3278" s="20"/>
    </row>
    <row r="3279" spans="1:10" ht="15.75" customHeight="1">
      <c r="A3279" s="8"/>
      <c r="C3279" s="8"/>
      <c r="F3279" s="8"/>
      <c r="H3279" s="16"/>
      <c r="I3279" s="16"/>
      <c r="J3279" s="20"/>
    </row>
    <row r="3280" spans="1:10" ht="15.75" customHeight="1">
      <c r="A3280" s="8"/>
      <c r="C3280" s="8"/>
      <c r="F3280" s="8"/>
      <c r="H3280" s="16"/>
      <c r="I3280" s="16"/>
      <c r="J3280" s="20"/>
    </row>
    <row r="3281" spans="1:10" ht="15.75" customHeight="1">
      <c r="A3281" s="8"/>
      <c r="C3281" s="8"/>
      <c r="F3281" s="8"/>
      <c r="H3281" s="16"/>
      <c r="I3281" s="16"/>
      <c r="J3281" s="20"/>
    </row>
    <row r="3282" spans="1:10" ht="15.75" customHeight="1">
      <c r="A3282" s="8"/>
      <c r="C3282" s="8"/>
      <c r="F3282" s="8"/>
      <c r="H3282" s="16"/>
      <c r="I3282" s="16"/>
      <c r="J3282" s="20"/>
    </row>
    <row r="3283" spans="1:10" ht="15.75" customHeight="1">
      <c r="A3283" s="8"/>
      <c r="C3283" s="8"/>
      <c r="F3283" s="8"/>
      <c r="H3283" s="16"/>
      <c r="I3283" s="16"/>
      <c r="J3283" s="20"/>
    </row>
    <row r="3284" spans="1:10" ht="15.75" customHeight="1">
      <c r="A3284" s="8"/>
      <c r="C3284" s="8"/>
      <c r="F3284" s="8"/>
      <c r="H3284" s="16"/>
      <c r="I3284" s="16"/>
      <c r="J3284" s="20"/>
    </row>
    <row r="3285" spans="1:10" ht="15.75" customHeight="1">
      <c r="A3285" s="8"/>
      <c r="C3285" s="8"/>
      <c r="F3285" s="8"/>
      <c r="H3285" s="16"/>
      <c r="I3285" s="16"/>
      <c r="J3285" s="20"/>
    </row>
    <row r="3286" spans="1:10" ht="15.75" customHeight="1">
      <c r="A3286" s="8"/>
      <c r="C3286" s="8"/>
      <c r="F3286" s="8"/>
      <c r="H3286" s="16"/>
      <c r="I3286" s="16"/>
      <c r="J3286" s="20"/>
    </row>
    <row r="3287" spans="1:10" ht="15.75" customHeight="1">
      <c r="A3287" s="8"/>
      <c r="C3287" s="8"/>
      <c r="F3287" s="8"/>
      <c r="H3287" s="16"/>
      <c r="I3287" s="16"/>
      <c r="J3287" s="20"/>
    </row>
    <row r="3288" spans="1:10" ht="15.75" customHeight="1">
      <c r="A3288" s="8"/>
      <c r="C3288" s="8"/>
      <c r="F3288" s="8"/>
      <c r="H3288" s="16"/>
      <c r="I3288" s="16"/>
      <c r="J3288" s="20"/>
    </row>
    <row r="3289" spans="1:10" ht="15.75" customHeight="1">
      <c r="A3289" s="8"/>
      <c r="C3289" s="8"/>
      <c r="F3289" s="8"/>
      <c r="H3289" s="16"/>
      <c r="I3289" s="16"/>
      <c r="J3289" s="20"/>
    </row>
    <row r="3290" spans="1:10" ht="15.75" customHeight="1">
      <c r="A3290" s="8"/>
      <c r="C3290" s="8"/>
      <c r="F3290" s="8"/>
      <c r="H3290" s="16"/>
      <c r="I3290" s="16"/>
      <c r="J3290" s="20"/>
    </row>
    <row r="3291" spans="1:10" ht="15.75" customHeight="1">
      <c r="A3291" s="8"/>
      <c r="C3291" s="8"/>
      <c r="F3291" s="8"/>
      <c r="H3291" s="16"/>
      <c r="I3291" s="16"/>
      <c r="J3291" s="20"/>
    </row>
    <row r="3292" spans="1:10" ht="15.75" customHeight="1">
      <c r="A3292" s="8"/>
      <c r="C3292" s="8"/>
      <c r="F3292" s="8"/>
      <c r="H3292" s="16"/>
      <c r="I3292" s="16"/>
      <c r="J3292" s="20"/>
    </row>
    <row r="3293" spans="1:10" ht="15.75" customHeight="1">
      <c r="A3293" s="8"/>
      <c r="C3293" s="8"/>
      <c r="F3293" s="8"/>
      <c r="H3293" s="16"/>
      <c r="I3293" s="16"/>
      <c r="J3293" s="20"/>
    </row>
    <row r="3294" spans="1:10" ht="15.75" customHeight="1">
      <c r="A3294" s="8"/>
      <c r="C3294" s="8"/>
      <c r="F3294" s="8"/>
      <c r="H3294" s="16"/>
      <c r="I3294" s="16"/>
      <c r="J3294" s="20"/>
    </row>
    <row r="3295" spans="1:10" ht="15.75" customHeight="1">
      <c r="A3295" s="8"/>
      <c r="C3295" s="8"/>
      <c r="F3295" s="8"/>
      <c r="H3295" s="16"/>
      <c r="I3295" s="16"/>
      <c r="J3295" s="20"/>
    </row>
    <row r="3296" spans="1:10" ht="15.75" customHeight="1">
      <c r="A3296" s="8"/>
      <c r="C3296" s="8"/>
      <c r="F3296" s="8"/>
      <c r="H3296" s="16"/>
      <c r="I3296" s="16"/>
      <c r="J3296" s="20"/>
    </row>
    <row r="3297" spans="1:10" ht="15.75" customHeight="1">
      <c r="A3297" s="8"/>
      <c r="C3297" s="8"/>
      <c r="F3297" s="8"/>
      <c r="H3297" s="16"/>
      <c r="I3297" s="16"/>
      <c r="J3297" s="20"/>
    </row>
    <row r="3298" spans="1:10" ht="15.75" customHeight="1">
      <c r="A3298" s="8"/>
      <c r="C3298" s="8"/>
      <c r="F3298" s="8"/>
      <c r="H3298" s="16"/>
      <c r="I3298" s="16"/>
      <c r="J3298" s="20"/>
    </row>
    <row r="3299" spans="1:10" ht="15.75" customHeight="1">
      <c r="A3299" s="8"/>
      <c r="C3299" s="8"/>
      <c r="F3299" s="8"/>
      <c r="H3299" s="16"/>
      <c r="I3299" s="16"/>
      <c r="J3299" s="20"/>
    </row>
    <row r="3300" spans="1:10" ht="15.75" customHeight="1">
      <c r="A3300" s="8"/>
      <c r="C3300" s="8"/>
      <c r="F3300" s="8"/>
      <c r="H3300" s="16"/>
      <c r="I3300" s="16"/>
      <c r="J3300" s="20"/>
    </row>
    <row r="3301" spans="1:10" ht="15.75" customHeight="1">
      <c r="A3301" s="8"/>
      <c r="C3301" s="8"/>
      <c r="F3301" s="8"/>
      <c r="H3301" s="16"/>
      <c r="I3301" s="16"/>
      <c r="J3301" s="20"/>
    </row>
    <row r="3302" spans="1:10" ht="15.75" customHeight="1">
      <c r="A3302" s="8"/>
      <c r="C3302" s="8"/>
      <c r="F3302" s="8"/>
      <c r="H3302" s="16"/>
      <c r="I3302" s="16"/>
      <c r="J3302" s="20"/>
    </row>
    <row r="3303" spans="1:10" ht="15.75" customHeight="1">
      <c r="A3303" s="8"/>
      <c r="C3303" s="8"/>
      <c r="F3303" s="8"/>
      <c r="H3303" s="16"/>
      <c r="I3303" s="16"/>
      <c r="J3303" s="20"/>
    </row>
    <row r="3304" spans="1:10" ht="15.75" customHeight="1">
      <c r="A3304" s="8"/>
      <c r="C3304" s="8"/>
      <c r="F3304" s="8"/>
      <c r="H3304" s="16"/>
      <c r="I3304" s="16"/>
      <c r="J3304" s="20"/>
    </row>
    <row r="3305" spans="1:10" ht="15.75" customHeight="1">
      <c r="A3305" s="8"/>
      <c r="C3305" s="8"/>
      <c r="F3305" s="8"/>
      <c r="H3305" s="16"/>
      <c r="I3305" s="16"/>
      <c r="J3305" s="20"/>
    </row>
    <row r="3306" spans="1:10" ht="15.75" customHeight="1">
      <c r="A3306" s="8"/>
      <c r="C3306" s="8"/>
      <c r="F3306" s="8"/>
      <c r="H3306" s="16"/>
      <c r="I3306" s="16"/>
      <c r="J3306" s="20"/>
    </row>
    <row r="3307" spans="1:10" ht="15.75" customHeight="1">
      <c r="A3307" s="8"/>
      <c r="C3307" s="8"/>
      <c r="F3307" s="8"/>
      <c r="H3307" s="16"/>
      <c r="I3307" s="16"/>
      <c r="J3307" s="20"/>
    </row>
    <row r="3308" spans="1:10" ht="15.75" customHeight="1">
      <c r="A3308" s="8"/>
      <c r="C3308" s="8"/>
      <c r="F3308" s="8"/>
      <c r="H3308" s="16"/>
      <c r="I3308" s="16"/>
      <c r="J3308" s="20"/>
    </row>
    <row r="3309" spans="1:10" ht="15.75" customHeight="1">
      <c r="A3309" s="8"/>
      <c r="C3309" s="8"/>
      <c r="F3309" s="8"/>
      <c r="H3309" s="16"/>
      <c r="I3309" s="16"/>
      <c r="J3309" s="20"/>
    </row>
    <row r="3310" spans="1:10" ht="15.75" customHeight="1">
      <c r="A3310" s="8"/>
      <c r="C3310" s="8"/>
      <c r="F3310" s="8"/>
      <c r="H3310" s="16"/>
      <c r="I3310" s="16"/>
      <c r="J3310" s="20"/>
    </row>
    <row r="3311" spans="1:10" ht="15.75" customHeight="1">
      <c r="A3311" s="8"/>
      <c r="C3311" s="8"/>
      <c r="F3311" s="8"/>
      <c r="H3311" s="16"/>
      <c r="I3311" s="16"/>
      <c r="J3311" s="20"/>
    </row>
    <row r="3312" spans="1:10" ht="15.75" customHeight="1">
      <c r="A3312" s="8"/>
      <c r="C3312" s="8"/>
      <c r="F3312" s="8"/>
      <c r="H3312" s="16"/>
      <c r="I3312" s="16"/>
      <c r="J3312" s="20"/>
    </row>
    <row r="3313" spans="1:10" ht="15.75" customHeight="1">
      <c r="A3313" s="8"/>
      <c r="C3313" s="8"/>
      <c r="F3313" s="8"/>
      <c r="H3313" s="16"/>
      <c r="I3313" s="16"/>
      <c r="J3313" s="20"/>
    </row>
    <row r="3314" spans="1:10" ht="15.75" customHeight="1">
      <c r="A3314" s="8"/>
      <c r="C3314" s="8"/>
      <c r="F3314" s="8"/>
      <c r="H3314" s="16"/>
      <c r="I3314" s="16"/>
      <c r="J3314" s="20"/>
    </row>
    <row r="3315" spans="1:10" ht="15.75" customHeight="1">
      <c r="A3315" s="8"/>
      <c r="C3315" s="8"/>
      <c r="F3315" s="8"/>
      <c r="H3315" s="16"/>
      <c r="I3315" s="16"/>
      <c r="J3315" s="20"/>
    </row>
    <row r="3316" spans="1:10" ht="15.75" customHeight="1">
      <c r="A3316" s="8"/>
      <c r="C3316" s="8"/>
      <c r="F3316" s="8"/>
      <c r="H3316" s="16"/>
      <c r="I3316" s="16"/>
      <c r="J3316" s="20"/>
    </row>
    <row r="3317" spans="1:10" ht="15.75" customHeight="1">
      <c r="A3317" s="8"/>
      <c r="C3317" s="8"/>
      <c r="F3317" s="8"/>
      <c r="H3317" s="16"/>
      <c r="I3317" s="16"/>
      <c r="J3317" s="20"/>
    </row>
    <row r="3318" spans="1:10" ht="15.75" customHeight="1">
      <c r="A3318" s="8"/>
      <c r="C3318" s="8"/>
      <c r="F3318" s="8"/>
      <c r="H3318" s="16"/>
      <c r="I3318" s="16"/>
      <c r="J3318" s="20"/>
    </row>
    <row r="3319" spans="1:10" ht="15.75" customHeight="1">
      <c r="A3319" s="8"/>
      <c r="C3319" s="8"/>
      <c r="F3319" s="8"/>
      <c r="H3319" s="16"/>
      <c r="I3319" s="16"/>
      <c r="J3319" s="20"/>
    </row>
    <row r="3320" spans="1:10" ht="15.75" customHeight="1">
      <c r="A3320" s="8"/>
      <c r="C3320" s="8"/>
      <c r="F3320" s="8"/>
      <c r="H3320" s="16"/>
      <c r="I3320" s="16"/>
      <c r="J3320" s="20"/>
    </row>
    <row r="3321" spans="1:10" ht="15.75" customHeight="1">
      <c r="A3321" s="8"/>
      <c r="C3321" s="8"/>
      <c r="F3321" s="8"/>
      <c r="H3321" s="16"/>
      <c r="I3321" s="16"/>
      <c r="J3321" s="20"/>
    </row>
    <row r="3322" spans="1:10" ht="15.75" customHeight="1">
      <c r="A3322" s="8"/>
      <c r="C3322" s="8"/>
      <c r="F3322" s="8"/>
      <c r="H3322" s="16"/>
      <c r="I3322" s="16"/>
      <c r="J3322" s="20"/>
    </row>
    <row r="3323" spans="1:10" ht="15.75" customHeight="1">
      <c r="A3323" s="8"/>
      <c r="C3323" s="8"/>
      <c r="F3323" s="8"/>
      <c r="H3323" s="16"/>
      <c r="I3323" s="16"/>
      <c r="J3323" s="20"/>
    </row>
    <row r="3324" spans="1:10" ht="15.75" customHeight="1">
      <c r="A3324" s="8"/>
      <c r="C3324" s="8"/>
      <c r="F3324" s="8"/>
      <c r="H3324" s="16"/>
      <c r="I3324" s="16"/>
      <c r="J3324" s="20"/>
    </row>
    <row r="3325" spans="1:10" ht="15.75" customHeight="1">
      <c r="A3325" s="8"/>
      <c r="C3325" s="8"/>
      <c r="F3325" s="8"/>
      <c r="H3325" s="16"/>
      <c r="I3325" s="16"/>
      <c r="J3325" s="20"/>
    </row>
    <row r="3326" spans="1:10" ht="15.75" customHeight="1">
      <c r="A3326" s="8"/>
      <c r="C3326" s="8"/>
      <c r="F3326" s="8"/>
      <c r="H3326" s="16"/>
      <c r="I3326" s="16"/>
      <c r="J3326" s="20"/>
    </row>
    <row r="3327" spans="1:10" ht="15.75" customHeight="1">
      <c r="A3327" s="8"/>
      <c r="C3327" s="8"/>
      <c r="F3327" s="8"/>
      <c r="H3327" s="16"/>
      <c r="I3327" s="16"/>
      <c r="J3327" s="20"/>
    </row>
    <row r="3328" spans="1:10" ht="15.75" customHeight="1">
      <c r="A3328" s="8"/>
      <c r="C3328" s="8"/>
      <c r="F3328" s="8"/>
      <c r="H3328" s="16"/>
      <c r="I3328" s="16"/>
      <c r="J3328" s="20"/>
    </row>
    <row r="3329" spans="1:10" ht="15.75" customHeight="1">
      <c r="A3329" s="8"/>
      <c r="C3329" s="8"/>
      <c r="F3329" s="8"/>
      <c r="H3329" s="16"/>
      <c r="I3329" s="16"/>
      <c r="J3329" s="20"/>
    </row>
    <row r="3330" spans="1:10" ht="15.75" customHeight="1">
      <c r="A3330" s="8"/>
      <c r="C3330" s="8"/>
      <c r="F3330" s="8"/>
      <c r="H3330" s="16"/>
      <c r="I3330" s="16"/>
      <c r="J3330" s="20"/>
    </row>
    <row r="3331" spans="1:10" ht="15.75" customHeight="1">
      <c r="A3331" s="8"/>
      <c r="C3331" s="8"/>
      <c r="F3331" s="8"/>
      <c r="H3331" s="16"/>
      <c r="I3331" s="16"/>
      <c r="J3331" s="20"/>
    </row>
    <row r="3332" spans="1:10" ht="15.75" customHeight="1">
      <c r="A3332" s="8"/>
      <c r="C3332" s="8"/>
      <c r="F3332" s="8"/>
      <c r="H3332" s="16"/>
      <c r="I3332" s="16"/>
      <c r="J3332" s="20"/>
    </row>
    <row r="3333" spans="1:10" ht="15.75" customHeight="1">
      <c r="A3333" s="8"/>
      <c r="C3333" s="8"/>
      <c r="F3333" s="8"/>
      <c r="H3333" s="16"/>
      <c r="I3333" s="16"/>
      <c r="J3333" s="20"/>
    </row>
    <row r="3334" spans="1:10" ht="15.75" customHeight="1">
      <c r="A3334" s="8"/>
      <c r="C3334" s="8"/>
      <c r="F3334" s="8"/>
      <c r="H3334" s="16"/>
      <c r="I3334" s="16"/>
      <c r="J3334" s="20"/>
    </row>
    <row r="3335" spans="1:10" ht="15.75" customHeight="1">
      <c r="A3335" s="8"/>
      <c r="C3335" s="8"/>
      <c r="F3335" s="8"/>
      <c r="H3335" s="16"/>
      <c r="I3335" s="16"/>
      <c r="J3335" s="20"/>
    </row>
    <row r="3336" spans="1:10" ht="15.75" customHeight="1">
      <c r="A3336" s="8"/>
      <c r="C3336" s="8"/>
      <c r="F3336" s="8"/>
      <c r="H3336" s="16"/>
      <c r="I3336" s="16"/>
      <c r="J3336" s="20"/>
    </row>
    <row r="3337" spans="1:10" ht="15.75" customHeight="1">
      <c r="A3337" s="8"/>
      <c r="C3337" s="8"/>
      <c r="F3337" s="8"/>
      <c r="H3337" s="16"/>
      <c r="I3337" s="16"/>
      <c r="J3337" s="20"/>
    </row>
    <row r="3338" spans="1:10" ht="15.75" customHeight="1">
      <c r="A3338" s="8"/>
      <c r="C3338" s="8"/>
      <c r="F3338" s="8"/>
      <c r="H3338" s="16"/>
      <c r="I3338" s="16"/>
      <c r="J3338" s="20"/>
    </row>
    <row r="3339" spans="1:10" ht="15.75" customHeight="1">
      <c r="A3339" s="8"/>
      <c r="C3339" s="8"/>
      <c r="F3339" s="8"/>
      <c r="H3339" s="16"/>
      <c r="I3339" s="16"/>
      <c r="J3339" s="20"/>
    </row>
    <row r="3340" spans="1:10" ht="15.75" customHeight="1">
      <c r="A3340" s="8"/>
      <c r="C3340" s="8"/>
      <c r="F3340" s="8"/>
      <c r="H3340" s="16"/>
      <c r="I3340" s="16"/>
      <c r="J3340" s="20"/>
    </row>
    <row r="3341" spans="1:10" ht="15.75" customHeight="1">
      <c r="A3341" s="8"/>
      <c r="C3341" s="8"/>
      <c r="F3341" s="8"/>
      <c r="H3341" s="16"/>
      <c r="I3341" s="16"/>
      <c r="J3341" s="20"/>
    </row>
    <row r="3342" spans="1:10" ht="15.75" customHeight="1">
      <c r="A3342" s="8"/>
      <c r="C3342" s="8"/>
      <c r="F3342" s="8"/>
      <c r="H3342" s="16"/>
      <c r="I3342" s="16"/>
      <c r="J3342" s="20"/>
    </row>
    <row r="3343" spans="1:10" ht="15.75" customHeight="1">
      <c r="A3343" s="8"/>
      <c r="C3343" s="8"/>
      <c r="F3343" s="8"/>
      <c r="H3343" s="16"/>
      <c r="I3343" s="16"/>
      <c r="J3343" s="20"/>
    </row>
    <row r="3344" spans="1:10" ht="15.75" customHeight="1">
      <c r="A3344" s="8"/>
      <c r="C3344" s="8"/>
      <c r="F3344" s="8"/>
      <c r="H3344" s="16"/>
      <c r="I3344" s="16"/>
      <c r="J3344" s="20"/>
    </row>
    <row r="3345" spans="1:10" ht="15.75" customHeight="1">
      <c r="A3345" s="8"/>
      <c r="C3345" s="8"/>
      <c r="F3345" s="8"/>
      <c r="H3345" s="16"/>
      <c r="I3345" s="16"/>
      <c r="J3345" s="20"/>
    </row>
    <row r="3346" spans="1:10" ht="15.75" customHeight="1">
      <c r="A3346" s="8"/>
      <c r="C3346" s="8"/>
      <c r="F3346" s="8"/>
      <c r="H3346" s="16"/>
      <c r="I3346" s="16"/>
      <c r="J3346" s="20"/>
    </row>
    <row r="3347" spans="1:10" ht="15.75" customHeight="1">
      <c r="A3347" s="8"/>
      <c r="C3347" s="8"/>
      <c r="F3347" s="8"/>
      <c r="H3347" s="16"/>
      <c r="I3347" s="16"/>
      <c r="J3347" s="20"/>
    </row>
    <row r="3348" spans="1:10" ht="15.75" customHeight="1">
      <c r="A3348" s="8"/>
      <c r="C3348" s="8"/>
      <c r="F3348" s="8"/>
      <c r="H3348" s="16"/>
      <c r="I3348" s="16"/>
      <c r="J3348" s="20"/>
    </row>
    <row r="3349" spans="1:10" ht="15.75" customHeight="1">
      <c r="A3349" s="8"/>
      <c r="C3349" s="8"/>
      <c r="F3349" s="8"/>
      <c r="H3349" s="16"/>
      <c r="I3349" s="16"/>
      <c r="J3349" s="20"/>
    </row>
    <row r="3350" spans="1:10" ht="15.75" customHeight="1">
      <c r="A3350" s="8"/>
      <c r="C3350" s="8"/>
      <c r="F3350" s="8"/>
      <c r="H3350" s="16"/>
      <c r="I3350" s="16"/>
      <c r="J3350" s="20"/>
    </row>
    <row r="3351" spans="1:10" ht="15.75" customHeight="1">
      <c r="A3351" s="8"/>
      <c r="C3351" s="8"/>
      <c r="F3351" s="8"/>
      <c r="H3351" s="16"/>
      <c r="I3351" s="16"/>
      <c r="J3351" s="20"/>
    </row>
    <row r="3352" spans="1:10" ht="15.75" customHeight="1">
      <c r="A3352" s="8"/>
      <c r="C3352" s="8"/>
      <c r="F3352" s="8"/>
      <c r="H3352" s="16"/>
      <c r="I3352" s="16"/>
      <c r="J3352" s="20"/>
    </row>
    <row r="3353" spans="1:10" ht="15.75" customHeight="1">
      <c r="A3353" s="8"/>
      <c r="C3353" s="8"/>
      <c r="F3353" s="8"/>
      <c r="H3353" s="16"/>
      <c r="I3353" s="16"/>
      <c r="J3353" s="20"/>
    </row>
    <row r="3354" spans="1:10" ht="15.75" customHeight="1">
      <c r="A3354" s="8"/>
      <c r="C3354" s="8"/>
      <c r="F3354" s="8"/>
      <c r="H3354" s="16"/>
      <c r="I3354" s="16"/>
      <c r="J3354" s="20"/>
    </row>
    <row r="3355" spans="1:10" ht="15.75" customHeight="1">
      <c r="A3355" s="8"/>
      <c r="C3355" s="8"/>
      <c r="F3355" s="8"/>
      <c r="H3355" s="16"/>
      <c r="I3355" s="16"/>
      <c r="J3355" s="20"/>
    </row>
    <row r="3356" spans="1:10" ht="15.75" customHeight="1">
      <c r="A3356" s="8"/>
      <c r="C3356" s="8"/>
      <c r="F3356" s="8"/>
      <c r="H3356" s="16"/>
      <c r="I3356" s="16"/>
      <c r="J3356" s="20"/>
    </row>
    <row r="3357" spans="1:10" ht="15.75" customHeight="1">
      <c r="A3357" s="8"/>
      <c r="C3357" s="8"/>
      <c r="F3357" s="8"/>
      <c r="H3357" s="16"/>
      <c r="I3357" s="16"/>
      <c r="J3357" s="20"/>
    </row>
    <row r="3358" spans="1:10" ht="15.75" customHeight="1">
      <c r="A3358" s="8"/>
      <c r="C3358" s="8"/>
      <c r="F3358" s="8"/>
      <c r="H3358" s="16"/>
      <c r="I3358" s="16"/>
      <c r="J3358" s="20"/>
    </row>
    <row r="3359" spans="1:10" ht="15.75" customHeight="1">
      <c r="A3359" s="8"/>
      <c r="C3359" s="8"/>
      <c r="F3359" s="8"/>
      <c r="H3359" s="16"/>
      <c r="I3359" s="16"/>
      <c r="J3359" s="20"/>
    </row>
    <row r="3360" spans="1:10" ht="15.75" customHeight="1">
      <c r="A3360" s="8"/>
      <c r="C3360" s="8"/>
      <c r="F3360" s="8"/>
      <c r="H3360" s="16"/>
      <c r="I3360" s="16"/>
      <c r="J3360" s="20"/>
    </row>
    <row r="3361" spans="1:10" ht="15.75" customHeight="1">
      <c r="A3361" s="8"/>
      <c r="C3361" s="8"/>
      <c r="F3361" s="8"/>
      <c r="H3361" s="16"/>
      <c r="I3361" s="16"/>
      <c r="J3361" s="20"/>
    </row>
    <row r="3362" spans="1:10" ht="15.75" customHeight="1">
      <c r="A3362" s="8"/>
      <c r="C3362" s="8"/>
      <c r="F3362" s="8"/>
      <c r="H3362" s="16"/>
      <c r="I3362" s="16"/>
      <c r="J3362" s="20"/>
    </row>
    <row r="3363" spans="1:10" ht="15.75" customHeight="1">
      <c r="A3363" s="8"/>
      <c r="C3363" s="8"/>
      <c r="F3363" s="8"/>
      <c r="H3363" s="16"/>
      <c r="I3363" s="16"/>
      <c r="J3363" s="20"/>
    </row>
    <row r="3364" spans="1:10" ht="15.75" customHeight="1">
      <c r="A3364" s="8"/>
      <c r="C3364" s="8"/>
      <c r="F3364" s="8"/>
      <c r="H3364" s="16"/>
      <c r="I3364" s="16"/>
      <c r="J3364" s="20"/>
    </row>
    <row r="3365" spans="1:10" ht="15.75" customHeight="1">
      <c r="A3365" s="8"/>
      <c r="C3365" s="8"/>
      <c r="F3365" s="8"/>
      <c r="H3365" s="16"/>
      <c r="I3365" s="16"/>
      <c r="J3365" s="20"/>
    </row>
    <row r="3366" spans="1:10" ht="15.75" customHeight="1">
      <c r="A3366" s="8"/>
      <c r="C3366" s="8"/>
      <c r="F3366" s="8"/>
      <c r="H3366" s="16"/>
      <c r="I3366" s="16"/>
      <c r="J3366" s="20"/>
    </row>
    <row r="3367" spans="1:10" ht="15.75" customHeight="1">
      <c r="A3367" s="8"/>
      <c r="C3367" s="8"/>
      <c r="F3367" s="8"/>
      <c r="H3367" s="16"/>
      <c r="I3367" s="16"/>
      <c r="J3367" s="20"/>
    </row>
    <row r="3368" spans="1:10" ht="15.75" customHeight="1">
      <c r="A3368" s="8"/>
      <c r="C3368" s="8"/>
      <c r="F3368" s="8"/>
      <c r="H3368" s="16"/>
      <c r="I3368" s="16"/>
      <c r="J3368" s="20"/>
    </row>
    <row r="3369" spans="1:10" ht="15.75" customHeight="1">
      <c r="A3369" s="8"/>
      <c r="C3369" s="8"/>
      <c r="F3369" s="8"/>
      <c r="H3369" s="16"/>
      <c r="I3369" s="16"/>
      <c r="J3369" s="20"/>
    </row>
    <row r="3370" spans="1:10" ht="15.75" customHeight="1">
      <c r="A3370" s="8"/>
      <c r="C3370" s="8"/>
      <c r="F3370" s="8"/>
      <c r="H3370" s="16"/>
      <c r="I3370" s="16"/>
      <c r="J3370" s="20"/>
    </row>
    <row r="3371" spans="1:10" ht="15.75" customHeight="1">
      <c r="A3371" s="8"/>
      <c r="C3371" s="8"/>
      <c r="F3371" s="8"/>
      <c r="H3371" s="16"/>
      <c r="I3371" s="16"/>
      <c r="J3371" s="20"/>
    </row>
    <row r="3372" spans="1:10" ht="15.75" customHeight="1">
      <c r="A3372" s="8"/>
      <c r="C3372" s="8"/>
      <c r="F3372" s="8"/>
      <c r="H3372" s="16"/>
      <c r="I3372" s="16"/>
      <c r="J3372" s="20"/>
    </row>
    <row r="3373" spans="1:10" ht="15.75" customHeight="1">
      <c r="A3373" s="8"/>
      <c r="C3373" s="8"/>
      <c r="F3373" s="8"/>
      <c r="H3373" s="16"/>
      <c r="I3373" s="16"/>
      <c r="J3373" s="20"/>
    </row>
    <row r="3374" spans="1:10" ht="15.75" customHeight="1">
      <c r="A3374" s="8"/>
      <c r="C3374" s="8"/>
      <c r="F3374" s="8"/>
      <c r="H3374" s="16"/>
      <c r="I3374" s="16"/>
      <c r="J3374" s="20"/>
    </row>
    <row r="3375" spans="1:10" ht="15.75" customHeight="1">
      <c r="A3375" s="8"/>
      <c r="C3375" s="8"/>
      <c r="F3375" s="8"/>
      <c r="H3375" s="16"/>
      <c r="I3375" s="16"/>
      <c r="J3375" s="20"/>
    </row>
    <row r="3376" spans="1:10" ht="15.75" customHeight="1">
      <c r="A3376" s="8"/>
      <c r="C3376" s="8"/>
      <c r="F3376" s="8"/>
      <c r="H3376" s="16"/>
      <c r="I3376" s="16"/>
      <c r="J3376" s="20"/>
    </row>
    <row r="3377" spans="1:10" ht="15.75" customHeight="1">
      <c r="A3377" s="8"/>
      <c r="C3377" s="8"/>
      <c r="F3377" s="8"/>
      <c r="H3377" s="16"/>
      <c r="I3377" s="16"/>
      <c r="J3377" s="20"/>
    </row>
    <row r="3378" spans="1:10" ht="15.75" customHeight="1">
      <c r="A3378" s="8"/>
      <c r="C3378" s="8"/>
      <c r="F3378" s="8"/>
      <c r="H3378" s="16"/>
      <c r="I3378" s="16"/>
      <c r="J3378" s="20"/>
    </row>
    <row r="3379" spans="1:10" ht="15.75" customHeight="1">
      <c r="A3379" s="8"/>
      <c r="C3379" s="8"/>
      <c r="F3379" s="8"/>
      <c r="H3379" s="16"/>
      <c r="I3379" s="16"/>
      <c r="J3379" s="20"/>
    </row>
    <row r="3380" spans="1:10" ht="15.75" customHeight="1">
      <c r="A3380" s="8"/>
      <c r="C3380" s="8"/>
      <c r="F3380" s="8"/>
      <c r="H3380" s="16"/>
      <c r="I3380" s="16"/>
      <c r="J3380" s="20"/>
    </row>
    <row r="3381" spans="1:10" ht="15.75" customHeight="1">
      <c r="A3381" s="8"/>
      <c r="C3381" s="8"/>
      <c r="F3381" s="8"/>
      <c r="H3381" s="16"/>
      <c r="I3381" s="16"/>
      <c r="J3381" s="20"/>
    </row>
    <row r="3382" spans="1:10" ht="15.75" customHeight="1">
      <c r="A3382" s="8"/>
      <c r="C3382" s="8"/>
      <c r="F3382" s="8"/>
      <c r="H3382" s="16"/>
      <c r="I3382" s="16"/>
      <c r="J3382" s="20"/>
    </row>
    <row r="3383" spans="1:10" ht="15.75" customHeight="1">
      <c r="A3383" s="8"/>
      <c r="C3383" s="8"/>
      <c r="F3383" s="8"/>
      <c r="H3383" s="16"/>
      <c r="I3383" s="16"/>
      <c r="J3383" s="20"/>
    </row>
    <row r="3384" spans="1:10" ht="15.75" customHeight="1">
      <c r="A3384" s="8"/>
      <c r="C3384" s="8"/>
      <c r="F3384" s="8"/>
      <c r="H3384" s="16"/>
      <c r="I3384" s="16"/>
      <c r="J3384" s="20"/>
    </row>
    <row r="3385" spans="1:10" ht="15.75" customHeight="1">
      <c r="A3385" s="8"/>
      <c r="C3385" s="8"/>
      <c r="F3385" s="8"/>
      <c r="H3385" s="16"/>
      <c r="I3385" s="16"/>
      <c r="J3385" s="20"/>
    </row>
    <row r="3386" spans="1:10" ht="15.75" customHeight="1">
      <c r="A3386" s="8"/>
      <c r="C3386" s="8"/>
      <c r="F3386" s="8"/>
      <c r="H3386" s="16"/>
      <c r="I3386" s="16"/>
      <c r="J3386" s="20"/>
    </row>
    <row r="3387" spans="1:10" ht="15.75" customHeight="1">
      <c r="A3387" s="8"/>
      <c r="C3387" s="8"/>
      <c r="F3387" s="8"/>
      <c r="H3387" s="16"/>
      <c r="I3387" s="16"/>
      <c r="J3387" s="20"/>
    </row>
    <row r="3388" spans="1:10" ht="15.75" customHeight="1">
      <c r="A3388" s="8"/>
      <c r="C3388" s="8"/>
      <c r="F3388" s="8"/>
      <c r="H3388" s="16"/>
      <c r="I3388" s="16"/>
      <c r="J3388" s="20"/>
    </row>
    <row r="3389" spans="1:10" ht="15.75" customHeight="1">
      <c r="A3389" s="8"/>
      <c r="C3389" s="8"/>
      <c r="F3389" s="8"/>
      <c r="H3389" s="16"/>
      <c r="I3389" s="16"/>
      <c r="J3389" s="20"/>
    </row>
    <row r="3390" spans="1:10" ht="15.75" customHeight="1">
      <c r="A3390" s="8"/>
      <c r="C3390" s="8"/>
      <c r="F3390" s="8"/>
      <c r="H3390" s="16"/>
      <c r="I3390" s="16"/>
      <c r="J3390" s="20"/>
    </row>
    <row r="3391" spans="1:10" ht="15.75" customHeight="1">
      <c r="A3391" s="8"/>
      <c r="C3391" s="8"/>
      <c r="F3391" s="8"/>
      <c r="H3391" s="16"/>
      <c r="I3391" s="16"/>
      <c r="J3391" s="20"/>
    </row>
    <row r="3392" spans="1:10" ht="15.75" customHeight="1">
      <c r="A3392" s="8"/>
      <c r="C3392" s="8"/>
      <c r="F3392" s="8"/>
      <c r="H3392" s="16"/>
      <c r="I3392" s="16"/>
      <c r="J3392" s="20"/>
    </row>
    <row r="3393" spans="1:10" ht="15.75" customHeight="1">
      <c r="A3393" s="8"/>
      <c r="C3393" s="8"/>
      <c r="F3393" s="8"/>
      <c r="H3393" s="16"/>
      <c r="I3393" s="16"/>
      <c r="J3393" s="20"/>
    </row>
    <row r="3394" spans="1:10" ht="15.75" customHeight="1">
      <c r="A3394" s="8"/>
      <c r="C3394" s="8"/>
      <c r="F3394" s="8"/>
      <c r="H3394" s="16"/>
      <c r="I3394" s="16"/>
      <c r="J3394" s="20"/>
    </row>
    <row r="3395" spans="1:10" ht="15.75" customHeight="1">
      <c r="A3395" s="8"/>
      <c r="C3395" s="8"/>
      <c r="F3395" s="8"/>
      <c r="H3395" s="16"/>
      <c r="I3395" s="16"/>
      <c r="J3395" s="20"/>
    </row>
    <row r="3396" spans="1:10" ht="15.75" customHeight="1">
      <c r="A3396" s="8"/>
      <c r="C3396" s="8"/>
      <c r="F3396" s="8"/>
      <c r="H3396" s="16"/>
      <c r="I3396" s="16"/>
      <c r="J3396" s="20"/>
    </row>
    <row r="3397" spans="1:10" ht="15.75" customHeight="1">
      <c r="A3397" s="8"/>
      <c r="C3397" s="8"/>
      <c r="F3397" s="8"/>
      <c r="H3397" s="16"/>
      <c r="I3397" s="16"/>
      <c r="J3397" s="20"/>
    </row>
    <row r="3398" spans="1:10" ht="15.75" customHeight="1">
      <c r="A3398" s="8"/>
      <c r="C3398" s="8"/>
      <c r="F3398" s="8"/>
      <c r="H3398" s="16"/>
      <c r="I3398" s="16"/>
      <c r="J3398" s="20"/>
    </row>
    <row r="3399" spans="1:10" ht="15.75" customHeight="1">
      <c r="A3399" s="8"/>
      <c r="C3399" s="8"/>
      <c r="F3399" s="8"/>
      <c r="H3399" s="16"/>
      <c r="I3399" s="16"/>
      <c r="J3399" s="20"/>
    </row>
    <row r="3400" spans="1:10" ht="15.75" customHeight="1">
      <c r="A3400" s="8"/>
      <c r="C3400" s="8"/>
      <c r="F3400" s="8"/>
      <c r="H3400" s="16"/>
      <c r="I3400" s="16"/>
      <c r="J3400" s="20"/>
    </row>
    <row r="3401" spans="1:10" ht="15.75" customHeight="1">
      <c r="A3401" s="8"/>
      <c r="C3401" s="8"/>
      <c r="F3401" s="8"/>
      <c r="H3401" s="16"/>
      <c r="I3401" s="16"/>
      <c r="J3401" s="20"/>
    </row>
    <row r="3402" spans="1:10" ht="15.75" customHeight="1">
      <c r="A3402" s="8"/>
      <c r="C3402" s="8"/>
      <c r="F3402" s="8"/>
      <c r="H3402" s="16"/>
      <c r="I3402" s="16"/>
      <c r="J3402" s="20"/>
    </row>
    <row r="3403" spans="1:10" ht="15.75" customHeight="1">
      <c r="A3403" s="8"/>
      <c r="C3403" s="8"/>
      <c r="F3403" s="8"/>
      <c r="H3403" s="16"/>
      <c r="I3403" s="16"/>
      <c r="J3403" s="20"/>
    </row>
    <row r="3404" spans="1:10" ht="15.75" customHeight="1">
      <c r="A3404" s="8"/>
      <c r="C3404" s="8"/>
      <c r="F3404" s="8"/>
      <c r="H3404" s="16"/>
      <c r="I3404" s="16"/>
      <c r="J3404" s="20"/>
    </row>
    <row r="3405" spans="1:10" ht="15.75" customHeight="1">
      <c r="A3405" s="8"/>
      <c r="C3405" s="8"/>
      <c r="F3405" s="8"/>
      <c r="H3405" s="16"/>
      <c r="I3405" s="16"/>
      <c r="J3405" s="20"/>
    </row>
    <row r="3406" spans="1:10" ht="15.75" customHeight="1">
      <c r="A3406" s="8"/>
      <c r="C3406" s="8"/>
      <c r="F3406" s="8"/>
      <c r="H3406" s="16"/>
      <c r="I3406" s="16"/>
      <c r="J3406" s="20"/>
    </row>
    <row r="3407" spans="1:10" ht="15.75" customHeight="1">
      <c r="A3407" s="8"/>
      <c r="C3407" s="8"/>
      <c r="F3407" s="8"/>
      <c r="H3407" s="16"/>
      <c r="I3407" s="16"/>
      <c r="J3407" s="20"/>
    </row>
    <row r="3408" spans="1:10" ht="15.75" customHeight="1">
      <c r="A3408" s="8"/>
      <c r="C3408" s="8"/>
      <c r="F3408" s="8"/>
      <c r="H3408" s="16"/>
      <c r="I3408" s="16"/>
      <c r="J3408" s="20"/>
    </row>
    <row r="3409" spans="1:10" ht="15.75" customHeight="1">
      <c r="A3409" s="8"/>
      <c r="C3409" s="8"/>
      <c r="F3409" s="8"/>
      <c r="H3409" s="16"/>
      <c r="I3409" s="16"/>
      <c r="J3409" s="20"/>
    </row>
    <row r="3410" spans="1:10" ht="15.75" customHeight="1">
      <c r="A3410" s="8"/>
      <c r="C3410" s="8"/>
      <c r="F3410" s="8"/>
      <c r="H3410" s="16"/>
      <c r="I3410" s="16"/>
      <c r="J3410" s="20"/>
    </row>
    <row r="3411" spans="1:10" ht="15.75" customHeight="1">
      <c r="A3411" s="8"/>
      <c r="C3411" s="8"/>
      <c r="F3411" s="8"/>
      <c r="H3411" s="16"/>
      <c r="I3411" s="16"/>
      <c r="J3411" s="20"/>
    </row>
    <row r="3412" spans="1:10" ht="15.75" customHeight="1">
      <c r="A3412" s="8"/>
      <c r="C3412" s="8"/>
      <c r="F3412" s="8"/>
      <c r="H3412" s="16"/>
      <c r="I3412" s="16"/>
      <c r="J3412" s="20"/>
    </row>
    <row r="3413" spans="1:10" ht="15.75" customHeight="1">
      <c r="A3413" s="8"/>
      <c r="C3413" s="8"/>
      <c r="F3413" s="8"/>
      <c r="H3413" s="16"/>
      <c r="I3413" s="16"/>
      <c r="J3413" s="20"/>
    </row>
    <row r="3414" spans="1:10" ht="15.75" customHeight="1">
      <c r="A3414" s="8"/>
      <c r="C3414" s="8"/>
      <c r="F3414" s="8"/>
      <c r="H3414" s="16"/>
      <c r="I3414" s="16"/>
      <c r="J3414" s="20"/>
    </row>
    <row r="3415" spans="1:10" ht="15.75" customHeight="1">
      <c r="A3415" s="8"/>
      <c r="C3415" s="8"/>
      <c r="F3415" s="8"/>
      <c r="H3415" s="16"/>
      <c r="I3415" s="16"/>
      <c r="J3415" s="20"/>
    </row>
    <row r="3416" spans="1:10" ht="15.75" customHeight="1">
      <c r="A3416" s="8"/>
      <c r="C3416" s="8"/>
      <c r="F3416" s="8"/>
      <c r="H3416" s="16"/>
      <c r="I3416" s="16"/>
      <c r="J3416" s="20"/>
    </row>
    <row r="3417" spans="1:10" ht="15.75" customHeight="1">
      <c r="A3417" s="8"/>
      <c r="C3417" s="8"/>
      <c r="F3417" s="8"/>
      <c r="H3417" s="16"/>
      <c r="I3417" s="16"/>
      <c r="J3417" s="20"/>
    </row>
    <row r="3418" spans="1:10" ht="15.75" customHeight="1">
      <c r="A3418" s="8"/>
      <c r="C3418" s="8"/>
      <c r="F3418" s="8"/>
      <c r="H3418" s="16"/>
      <c r="I3418" s="16"/>
      <c r="J3418" s="20"/>
    </row>
    <row r="3419" spans="1:10" ht="15.75" customHeight="1">
      <c r="A3419" s="8"/>
      <c r="C3419" s="8"/>
      <c r="F3419" s="8"/>
      <c r="H3419" s="16"/>
      <c r="I3419" s="16"/>
      <c r="J3419" s="20"/>
    </row>
    <row r="3420" spans="1:10" ht="15.75" customHeight="1">
      <c r="A3420" s="8"/>
      <c r="C3420" s="8"/>
      <c r="F3420" s="8"/>
      <c r="H3420" s="16"/>
      <c r="I3420" s="16"/>
      <c r="J3420" s="20"/>
    </row>
    <row r="3421" spans="1:10" ht="15.75" customHeight="1">
      <c r="A3421" s="8"/>
      <c r="C3421" s="8"/>
      <c r="F3421" s="8"/>
      <c r="H3421" s="16"/>
      <c r="I3421" s="16"/>
      <c r="J3421" s="20"/>
    </row>
    <row r="3422" spans="1:10" ht="15.75" customHeight="1">
      <c r="A3422" s="8"/>
      <c r="C3422" s="8"/>
      <c r="F3422" s="8"/>
      <c r="H3422" s="16"/>
      <c r="I3422" s="16"/>
      <c r="J3422" s="20"/>
    </row>
    <row r="3423" spans="1:10" ht="15.75" customHeight="1">
      <c r="A3423" s="8"/>
      <c r="C3423" s="8"/>
      <c r="F3423" s="8"/>
      <c r="H3423" s="16"/>
      <c r="I3423" s="16"/>
      <c r="J3423" s="20"/>
    </row>
    <row r="3424" spans="1:10" ht="15.75" customHeight="1">
      <c r="A3424" s="8"/>
      <c r="C3424" s="8"/>
      <c r="F3424" s="8"/>
      <c r="H3424" s="16"/>
      <c r="I3424" s="16"/>
      <c r="J3424" s="20"/>
    </row>
    <row r="3425" spans="1:10" ht="15.75" customHeight="1">
      <c r="A3425" s="8"/>
      <c r="C3425" s="8"/>
      <c r="F3425" s="8"/>
      <c r="H3425" s="16"/>
      <c r="I3425" s="16"/>
      <c r="J3425" s="20"/>
    </row>
    <row r="3426" spans="1:10" ht="15.75" customHeight="1">
      <c r="A3426" s="8"/>
      <c r="C3426" s="8"/>
      <c r="F3426" s="8"/>
      <c r="H3426" s="16"/>
      <c r="I3426" s="16"/>
      <c r="J3426" s="20"/>
    </row>
    <row r="3427" spans="1:10" ht="15.75" customHeight="1">
      <c r="A3427" s="8"/>
      <c r="C3427" s="8"/>
      <c r="F3427" s="8"/>
      <c r="H3427" s="16"/>
      <c r="I3427" s="16"/>
      <c r="J3427" s="20"/>
    </row>
    <row r="3428" spans="1:10" ht="15.75" customHeight="1">
      <c r="A3428" s="8"/>
      <c r="C3428" s="8"/>
      <c r="F3428" s="8"/>
      <c r="H3428" s="16"/>
      <c r="I3428" s="16"/>
      <c r="J3428" s="20"/>
    </row>
    <row r="3429" spans="1:10" ht="15.75" customHeight="1">
      <c r="A3429" s="8"/>
      <c r="C3429" s="8"/>
      <c r="F3429" s="8"/>
      <c r="H3429" s="16"/>
      <c r="I3429" s="16"/>
      <c r="J3429" s="20"/>
    </row>
    <row r="3430" spans="1:10" ht="15.75" customHeight="1">
      <c r="A3430" s="8"/>
      <c r="C3430" s="8"/>
      <c r="F3430" s="8"/>
      <c r="H3430" s="16"/>
      <c r="I3430" s="16"/>
      <c r="J3430" s="20"/>
    </row>
    <row r="3431" spans="1:10" ht="15.75" customHeight="1">
      <c r="A3431" s="8"/>
      <c r="C3431" s="8"/>
      <c r="F3431" s="8"/>
      <c r="H3431" s="16"/>
      <c r="I3431" s="16"/>
      <c r="J3431" s="20"/>
    </row>
    <row r="3432" spans="1:10" ht="15.75" customHeight="1">
      <c r="A3432" s="8"/>
      <c r="C3432" s="8"/>
      <c r="F3432" s="8"/>
      <c r="H3432" s="16"/>
      <c r="I3432" s="16"/>
      <c r="J3432" s="20"/>
    </row>
    <row r="3433" spans="1:10" ht="15.75" customHeight="1">
      <c r="A3433" s="8"/>
      <c r="C3433" s="8"/>
      <c r="F3433" s="8"/>
      <c r="H3433" s="16"/>
      <c r="I3433" s="16"/>
      <c r="J3433" s="20"/>
    </row>
    <row r="3434" spans="1:10" ht="15.75" customHeight="1">
      <c r="A3434" s="8"/>
      <c r="C3434" s="8"/>
      <c r="F3434" s="8"/>
      <c r="H3434" s="16"/>
      <c r="I3434" s="16"/>
      <c r="J3434" s="20"/>
    </row>
    <row r="3435" spans="1:10" ht="15.75" customHeight="1">
      <c r="A3435" s="8"/>
      <c r="C3435" s="8"/>
      <c r="F3435" s="8"/>
      <c r="H3435" s="16"/>
      <c r="I3435" s="16"/>
      <c r="J3435" s="20"/>
    </row>
    <row r="3436" spans="1:10" ht="15.75" customHeight="1">
      <c r="A3436" s="8"/>
      <c r="C3436" s="8"/>
      <c r="F3436" s="8"/>
      <c r="H3436" s="16"/>
      <c r="I3436" s="16"/>
      <c r="J3436" s="20"/>
    </row>
    <row r="3437" spans="1:10" ht="15.75" customHeight="1">
      <c r="A3437" s="8"/>
      <c r="C3437" s="8"/>
      <c r="F3437" s="8"/>
      <c r="H3437" s="16"/>
      <c r="I3437" s="16"/>
      <c r="J3437" s="20"/>
    </row>
    <row r="3438" spans="1:10" ht="15.75" customHeight="1">
      <c r="A3438" s="8"/>
      <c r="C3438" s="8"/>
      <c r="F3438" s="8"/>
      <c r="H3438" s="16"/>
      <c r="I3438" s="16"/>
      <c r="J3438" s="20"/>
    </row>
    <row r="3439" spans="1:10" ht="15.75" customHeight="1">
      <c r="A3439" s="8"/>
      <c r="C3439" s="8"/>
      <c r="F3439" s="8"/>
      <c r="H3439" s="16"/>
      <c r="I3439" s="16"/>
      <c r="J3439" s="20"/>
    </row>
    <row r="3440" spans="1:10" ht="15.75" customHeight="1">
      <c r="A3440" s="8"/>
      <c r="C3440" s="8"/>
      <c r="F3440" s="8"/>
      <c r="H3440" s="16"/>
      <c r="I3440" s="16"/>
      <c r="J3440" s="20"/>
    </row>
    <row r="3441" spans="1:10" ht="15.75" customHeight="1">
      <c r="A3441" s="8"/>
      <c r="C3441" s="8"/>
      <c r="F3441" s="8"/>
      <c r="H3441" s="16"/>
      <c r="I3441" s="16"/>
      <c r="J3441" s="20"/>
    </row>
    <row r="3442" spans="1:10" ht="15.75" customHeight="1">
      <c r="A3442" s="8"/>
      <c r="C3442" s="8"/>
      <c r="F3442" s="8"/>
      <c r="H3442" s="16"/>
      <c r="I3442" s="16"/>
      <c r="J3442" s="20"/>
    </row>
    <row r="3443" spans="1:10" ht="15.75" customHeight="1">
      <c r="A3443" s="8"/>
      <c r="C3443" s="8"/>
      <c r="F3443" s="8"/>
      <c r="H3443" s="16"/>
      <c r="I3443" s="16"/>
      <c r="J3443" s="20"/>
    </row>
    <row r="3444" spans="1:10" ht="15.75" customHeight="1">
      <c r="A3444" s="8"/>
      <c r="C3444" s="8"/>
      <c r="F3444" s="8"/>
      <c r="H3444" s="16"/>
      <c r="I3444" s="16"/>
      <c r="J3444" s="20"/>
    </row>
    <row r="3445" spans="1:10" ht="15.75" customHeight="1">
      <c r="A3445" s="8"/>
      <c r="C3445" s="8"/>
      <c r="F3445" s="8"/>
      <c r="H3445" s="16"/>
      <c r="I3445" s="16"/>
      <c r="J3445" s="20"/>
    </row>
    <row r="3446" spans="1:10" ht="15.75" customHeight="1">
      <c r="A3446" s="8"/>
      <c r="C3446" s="8"/>
      <c r="F3446" s="8"/>
      <c r="H3446" s="16"/>
      <c r="I3446" s="16"/>
      <c r="J3446" s="20"/>
    </row>
    <row r="3447" spans="1:10" ht="15.75" customHeight="1">
      <c r="A3447" s="8"/>
      <c r="C3447" s="8"/>
      <c r="F3447" s="8"/>
      <c r="H3447" s="16"/>
      <c r="I3447" s="16"/>
      <c r="J3447" s="20"/>
    </row>
    <row r="3448" spans="1:10" ht="15.75" customHeight="1">
      <c r="A3448" s="8"/>
      <c r="C3448" s="8"/>
      <c r="F3448" s="8"/>
      <c r="H3448" s="16"/>
      <c r="I3448" s="16"/>
      <c r="J3448" s="20"/>
    </row>
    <row r="3449" spans="1:10" ht="15.75" customHeight="1">
      <c r="A3449" s="8"/>
      <c r="C3449" s="8"/>
      <c r="F3449" s="8"/>
      <c r="H3449" s="16"/>
      <c r="I3449" s="16"/>
      <c r="J3449" s="20"/>
    </row>
    <row r="3450" spans="1:10" ht="15.75" customHeight="1">
      <c r="A3450" s="8"/>
      <c r="C3450" s="8"/>
      <c r="F3450" s="8"/>
      <c r="H3450" s="16"/>
      <c r="I3450" s="16"/>
      <c r="J3450" s="20"/>
    </row>
    <row r="3451" spans="1:10" ht="15.75" customHeight="1">
      <c r="A3451" s="8"/>
      <c r="C3451" s="8"/>
      <c r="F3451" s="8"/>
      <c r="H3451" s="16"/>
      <c r="I3451" s="16"/>
      <c r="J3451" s="20"/>
    </row>
    <row r="3452" spans="1:10" ht="15.75" customHeight="1">
      <c r="A3452" s="8"/>
      <c r="C3452" s="8"/>
      <c r="F3452" s="8"/>
      <c r="H3452" s="16"/>
      <c r="I3452" s="16"/>
      <c r="J3452" s="20"/>
    </row>
    <row r="3453" spans="1:10" ht="15.75" customHeight="1">
      <c r="A3453" s="8"/>
      <c r="C3453" s="8"/>
      <c r="F3453" s="8"/>
      <c r="H3453" s="16"/>
      <c r="I3453" s="16"/>
      <c r="J3453" s="20"/>
    </row>
    <row r="3454" spans="1:10" ht="15.75" customHeight="1">
      <c r="A3454" s="8"/>
      <c r="C3454" s="8"/>
      <c r="F3454" s="8"/>
      <c r="H3454" s="16"/>
      <c r="I3454" s="16"/>
      <c r="J3454" s="20"/>
    </row>
    <row r="3455" spans="1:10" ht="15.75" customHeight="1">
      <c r="A3455" s="8"/>
      <c r="C3455" s="8"/>
      <c r="F3455" s="8"/>
      <c r="H3455" s="16"/>
      <c r="I3455" s="16"/>
      <c r="J3455" s="20"/>
    </row>
    <row r="3456" spans="1:10" ht="15.75" customHeight="1">
      <c r="A3456" s="8"/>
      <c r="C3456" s="8"/>
      <c r="F3456" s="8"/>
      <c r="H3456" s="16"/>
      <c r="I3456" s="16"/>
      <c r="J3456" s="20"/>
    </row>
    <row r="3457" spans="1:10" ht="15.75" customHeight="1">
      <c r="A3457" s="8"/>
      <c r="C3457" s="8"/>
      <c r="F3457" s="8"/>
      <c r="H3457" s="16"/>
      <c r="I3457" s="16"/>
      <c r="J3457" s="20"/>
    </row>
    <row r="3458" spans="1:10" ht="15.75" customHeight="1">
      <c r="A3458" s="8"/>
      <c r="C3458" s="8"/>
      <c r="F3458" s="8"/>
      <c r="H3458" s="16"/>
      <c r="I3458" s="16"/>
      <c r="J3458" s="20"/>
    </row>
    <row r="3459" spans="1:10" ht="15.75" customHeight="1">
      <c r="A3459" s="8"/>
      <c r="C3459" s="8"/>
      <c r="F3459" s="8"/>
      <c r="H3459" s="16"/>
      <c r="I3459" s="16"/>
      <c r="J3459" s="20"/>
    </row>
    <row r="3460" spans="1:10" ht="15.75" customHeight="1">
      <c r="A3460" s="8"/>
      <c r="C3460" s="8"/>
      <c r="F3460" s="8"/>
      <c r="H3460" s="16"/>
      <c r="I3460" s="16"/>
      <c r="J3460" s="20"/>
    </row>
    <row r="3461" spans="1:10" ht="15.75" customHeight="1">
      <c r="A3461" s="8"/>
      <c r="C3461" s="8"/>
      <c r="F3461" s="8"/>
      <c r="H3461" s="16"/>
      <c r="I3461" s="16"/>
      <c r="J3461" s="20"/>
    </row>
    <row r="3462" spans="1:10" ht="15.75" customHeight="1">
      <c r="A3462" s="8"/>
      <c r="C3462" s="8"/>
      <c r="F3462" s="8"/>
      <c r="H3462" s="16"/>
      <c r="I3462" s="16"/>
      <c r="J3462" s="20"/>
    </row>
    <row r="3463" spans="1:10" ht="15.75" customHeight="1">
      <c r="A3463" s="8"/>
      <c r="C3463" s="8"/>
      <c r="F3463" s="8"/>
      <c r="H3463" s="16"/>
      <c r="I3463" s="16"/>
      <c r="J3463" s="20"/>
    </row>
    <row r="3464" spans="1:10" ht="15.75" customHeight="1">
      <c r="A3464" s="8"/>
      <c r="C3464" s="8"/>
      <c r="F3464" s="8"/>
      <c r="H3464" s="16"/>
      <c r="I3464" s="16"/>
      <c r="J3464" s="20"/>
    </row>
    <row r="3465" spans="1:10" ht="15.75" customHeight="1">
      <c r="A3465" s="8"/>
      <c r="C3465" s="8"/>
      <c r="F3465" s="8"/>
      <c r="H3465" s="16"/>
      <c r="I3465" s="16"/>
      <c r="J3465" s="20"/>
    </row>
    <row r="3466" spans="1:10" ht="15.75" customHeight="1">
      <c r="A3466" s="8"/>
      <c r="C3466" s="8"/>
      <c r="F3466" s="8"/>
      <c r="H3466" s="16"/>
      <c r="I3466" s="16"/>
      <c r="J3466" s="20"/>
    </row>
    <row r="3467" spans="1:10" ht="15.75" customHeight="1">
      <c r="A3467" s="8"/>
      <c r="C3467" s="8"/>
      <c r="F3467" s="8"/>
      <c r="H3467" s="16"/>
      <c r="I3467" s="16"/>
      <c r="J3467" s="20"/>
    </row>
    <row r="3468" spans="1:10" ht="15.75" customHeight="1">
      <c r="A3468" s="8"/>
      <c r="C3468" s="8"/>
      <c r="F3468" s="8"/>
      <c r="H3468" s="16"/>
      <c r="I3468" s="16"/>
      <c r="J3468" s="20"/>
    </row>
    <row r="3469" spans="1:10" ht="15.75" customHeight="1">
      <c r="A3469" s="8"/>
      <c r="C3469" s="8"/>
      <c r="F3469" s="8"/>
      <c r="H3469" s="16"/>
      <c r="I3469" s="16"/>
      <c r="J3469" s="20"/>
    </row>
    <row r="3470" spans="1:10" ht="15.75" customHeight="1">
      <c r="A3470" s="8"/>
      <c r="C3470" s="8"/>
      <c r="F3470" s="8"/>
      <c r="H3470" s="16"/>
      <c r="I3470" s="16"/>
      <c r="J3470" s="20"/>
    </row>
    <row r="3471" spans="1:10" ht="15.75" customHeight="1">
      <c r="A3471" s="8"/>
      <c r="C3471" s="8"/>
      <c r="F3471" s="8"/>
      <c r="H3471" s="16"/>
      <c r="I3471" s="16"/>
      <c r="J3471" s="20"/>
    </row>
    <row r="3472" spans="1:10" ht="15.75" customHeight="1">
      <c r="A3472" s="8"/>
      <c r="C3472" s="8"/>
      <c r="F3472" s="8"/>
      <c r="H3472" s="16"/>
      <c r="I3472" s="16"/>
      <c r="J3472" s="20"/>
    </row>
    <row r="3473" spans="1:10" ht="15.75" customHeight="1">
      <c r="A3473" s="8"/>
      <c r="C3473" s="8"/>
      <c r="F3473" s="8"/>
      <c r="H3473" s="16"/>
      <c r="I3473" s="16"/>
      <c r="J3473" s="20"/>
    </row>
    <row r="3474" spans="1:10" ht="15.75" customHeight="1">
      <c r="A3474" s="8"/>
      <c r="C3474" s="8"/>
      <c r="F3474" s="8"/>
      <c r="H3474" s="16"/>
      <c r="I3474" s="16"/>
      <c r="J3474" s="20"/>
    </row>
    <row r="3475" spans="1:10" ht="15.75" customHeight="1">
      <c r="A3475" s="8"/>
      <c r="C3475" s="8"/>
      <c r="F3475" s="8"/>
      <c r="H3475" s="16"/>
      <c r="I3475" s="16"/>
      <c r="J3475" s="20"/>
    </row>
    <row r="3476" spans="1:10" ht="15.75" customHeight="1">
      <c r="A3476" s="8"/>
      <c r="C3476" s="8"/>
      <c r="F3476" s="8"/>
      <c r="H3476" s="16"/>
      <c r="I3476" s="16"/>
      <c r="J3476" s="20"/>
    </row>
    <row r="3477" spans="1:10" ht="15.75" customHeight="1">
      <c r="A3477" s="8"/>
      <c r="C3477" s="8"/>
      <c r="F3477" s="8"/>
      <c r="H3477" s="16"/>
      <c r="I3477" s="16"/>
      <c r="J3477" s="20"/>
    </row>
    <row r="3478" spans="1:10" ht="15.75" customHeight="1">
      <c r="A3478" s="8"/>
      <c r="C3478" s="8"/>
      <c r="F3478" s="8"/>
      <c r="H3478" s="16"/>
      <c r="I3478" s="16"/>
      <c r="J3478" s="20"/>
    </row>
    <row r="3479" spans="1:10" ht="15.75" customHeight="1">
      <c r="A3479" s="8"/>
      <c r="C3479" s="8"/>
      <c r="F3479" s="8"/>
      <c r="H3479" s="16"/>
      <c r="I3479" s="16"/>
      <c r="J3479" s="20"/>
    </row>
    <row r="3480" spans="1:10" ht="15.75" customHeight="1">
      <c r="A3480" s="8"/>
      <c r="C3480" s="8"/>
      <c r="F3480" s="8"/>
      <c r="H3480" s="16"/>
      <c r="I3480" s="16"/>
      <c r="J3480" s="20"/>
    </row>
    <row r="3481" spans="1:10" ht="15.75" customHeight="1">
      <c r="A3481" s="8"/>
      <c r="C3481" s="8"/>
      <c r="F3481" s="8"/>
      <c r="H3481" s="16"/>
      <c r="I3481" s="16"/>
      <c r="J3481" s="20"/>
    </row>
    <row r="3482" spans="1:10" ht="15.75" customHeight="1">
      <c r="A3482" s="8"/>
      <c r="C3482" s="8"/>
      <c r="F3482" s="8"/>
      <c r="H3482" s="16"/>
      <c r="I3482" s="16"/>
      <c r="J3482" s="20"/>
    </row>
    <row r="3483" spans="1:10" ht="15.75" customHeight="1">
      <c r="A3483" s="8"/>
      <c r="C3483" s="8"/>
      <c r="F3483" s="8"/>
      <c r="H3483" s="16"/>
      <c r="I3483" s="16"/>
      <c r="J3483" s="20"/>
    </row>
    <row r="3484" spans="1:10" ht="15.75" customHeight="1">
      <c r="A3484" s="8"/>
      <c r="C3484" s="8"/>
      <c r="F3484" s="8"/>
      <c r="H3484" s="16"/>
      <c r="I3484" s="16"/>
      <c r="J3484" s="20"/>
    </row>
    <row r="3485" spans="1:10" ht="15.75" customHeight="1">
      <c r="A3485" s="8"/>
      <c r="C3485" s="8"/>
      <c r="F3485" s="8"/>
      <c r="H3485" s="16"/>
      <c r="I3485" s="16"/>
      <c r="J3485" s="20"/>
    </row>
    <row r="3486" spans="1:10" ht="15.75" customHeight="1">
      <c r="A3486" s="8"/>
      <c r="C3486" s="8"/>
      <c r="F3486" s="8"/>
      <c r="H3486" s="16"/>
      <c r="I3486" s="16"/>
      <c r="J3486" s="20"/>
    </row>
    <row r="3487" spans="1:10" ht="15.75" customHeight="1">
      <c r="A3487" s="8"/>
      <c r="C3487" s="8"/>
      <c r="F3487" s="8"/>
      <c r="H3487" s="16"/>
      <c r="I3487" s="16"/>
      <c r="J3487" s="20"/>
    </row>
    <row r="3488" spans="1:10" ht="15.75" customHeight="1">
      <c r="A3488" s="8"/>
      <c r="C3488" s="8"/>
      <c r="F3488" s="8"/>
      <c r="H3488" s="16"/>
      <c r="I3488" s="16"/>
      <c r="J3488" s="20"/>
    </row>
    <row r="3489" spans="1:10" ht="15.75" customHeight="1">
      <c r="A3489" s="8"/>
      <c r="C3489" s="8"/>
      <c r="F3489" s="8"/>
      <c r="H3489" s="16"/>
      <c r="I3489" s="16"/>
      <c r="J3489" s="20"/>
    </row>
    <row r="3490" spans="1:10" ht="15.75" customHeight="1">
      <c r="A3490" s="8"/>
      <c r="C3490" s="8"/>
      <c r="F3490" s="8"/>
      <c r="H3490" s="16"/>
      <c r="I3490" s="16"/>
      <c r="J3490" s="20"/>
    </row>
    <row r="3491" spans="1:10" ht="15.75" customHeight="1">
      <c r="A3491" s="8"/>
      <c r="C3491" s="8"/>
      <c r="F3491" s="8"/>
      <c r="H3491" s="16"/>
      <c r="I3491" s="16"/>
      <c r="J3491" s="20"/>
    </row>
    <row r="3492" spans="1:10" ht="15.75" customHeight="1">
      <c r="A3492" s="8"/>
      <c r="C3492" s="8"/>
      <c r="F3492" s="8"/>
      <c r="H3492" s="16"/>
      <c r="I3492" s="16"/>
      <c r="J3492" s="20"/>
    </row>
    <row r="3493" spans="1:10" ht="15.75" customHeight="1">
      <c r="A3493" s="8"/>
      <c r="C3493" s="8"/>
      <c r="F3493" s="8"/>
      <c r="H3493" s="16"/>
      <c r="I3493" s="16"/>
      <c r="J3493" s="20"/>
    </row>
    <row r="3494" spans="1:10" ht="15.75" customHeight="1">
      <c r="A3494" s="8"/>
      <c r="C3494" s="8"/>
      <c r="F3494" s="8"/>
      <c r="H3494" s="16"/>
      <c r="I3494" s="16"/>
      <c r="J3494" s="20"/>
    </row>
    <row r="3495" spans="1:10" ht="15.75" customHeight="1">
      <c r="A3495" s="8"/>
      <c r="C3495" s="8"/>
      <c r="F3495" s="8"/>
      <c r="H3495" s="16"/>
      <c r="I3495" s="16"/>
      <c r="J3495" s="20"/>
    </row>
    <row r="3496" spans="1:10" ht="15.75" customHeight="1">
      <c r="A3496" s="8"/>
      <c r="C3496" s="8"/>
      <c r="F3496" s="8"/>
      <c r="H3496" s="16"/>
      <c r="I3496" s="16"/>
      <c r="J3496" s="20"/>
    </row>
    <row r="3497" spans="1:10" ht="15.75" customHeight="1">
      <c r="A3497" s="8"/>
      <c r="C3497" s="8"/>
      <c r="F3497" s="8"/>
      <c r="H3497" s="16"/>
      <c r="I3497" s="16"/>
      <c r="J3497" s="20"/>
    </row>
    <row r="3498" spans="1:10" ht="15.75" customHeight="1">
      <c r="A3498" s="8"/>
      <c r="C3498" s="8"/>
      <c r="F3498" s="8"/>
      <c r="H3498" s="16"/>
      <c r="I3498" s="16"/>
      <c r="J3498" s="20"/>
    </row>
    <row r="3499" spans="1:10" ht="15.75" customHeight="1">
      <c r="A3499" s="8"/>
      <c r="C3499" s="8"/>
      <c r="F3499" s="8"/>
      <c r="H3499" s="16"/>
      <c r="I3499" s="16"/>
      <c r="J3499" s="20"/>
    </row>
    <row r="3500" spans="1:10" ht="15.75" customHeight="1">
      <c r="A3500" s="8"/>
      <c r="C3500" s="8"/>
      <c r="F3500" s="8"/>
      <c r="H3500" s="16"/>
      <c r="I3500" s="16"/>
      <c r="J3500" s="20"/>
    </row>
    <row r="3501" spans="1:10" ht="15.75" customHeight="1">
      <c r="A3501" s="8"/>
      <c r="C3501" s="8"/>
      <c r="F3501" s="8"/>
      <c r="H3501" s="16"/>
      <c r="I3501" s="16"/>
      <c r="J3501" s="20"/>
    </row>
    <row r="3502" spans="1:10" ht="15.75" customHeight="1">
      <c r="A3502" s="8"/>
      <c r="C3502" s="8"/>
      <c r="F3502" s="8"/>
      <c r="H3502" s="16"/>
      <c r="I3502" s="16"/>
      <c r="J3502" s="20"/>
    </row>
    <row r="3503" spans="1:10" ht="15.75" customHeight="1">
      <c r="A3503" s="8"/>
      <c r="C3503" s="8"/>
      <c r="F3503" s="8"/>
      <c r="H3503" s="16"/>
      <c r="I3503" s="16"/>
      <c r="J3503" s="20"/>
    </row>
    <row r="3504" spans="1:10" ht="15.75" customHeight="1">
      <c r="A3504" s="8"/>
      <c r="C3504" s="8"/>
      <c r="F3504" s="8"/>
      <c r="H3504" s="16"/>
      <c r="I3504" s="16"/>
      <c r="J3504" s="20"/>
    </row>
    <row r="3505" spans="1:10" ht="15.75" customHeight="1">
      <c r="A3505" s="8"/>
      <c r="C3505" s="8"/>
      <c r="F3505" s="8"/>
      <c r="H3505" s="16"/>
      <c r="I3505" s="16"/>
      <c r="J3505" s="20"/>
    </row>
    <row r="3506" spans="1:10" ht="15.75" customHeight="1">
      <c r="A3506" s="8"/>
      <c r="C3506" s="8"/>
      <c r="F3506" s="8"/>
      <c r="H3506" s="16"/>
      <c r="I3506" s="16"/>
      <c r="J3506" s="20"/>
    </row>
    <row r="3507" spans="1:10" ht="15.75" customHeight="1">
      <c r="A3507" s="8"/>
      <c r="C3507" s="8"/>
      <c r="F3507" s="8"/>
      <c r="H3507" s="16"/>
      <c r="I3507" s="16"/>
      <c r="J3507" s="20"/>
    </row>
    <row r="3508" spans="1:10" ht="15.75" customHeight="1">
      <c r="A3508" s="8"/>
      <c r="C3508" s="8"/>
      <c r="F3508" s="8"/>
      <c r="H3508" s="16"/>
      <c r="I3508" s="16"/>
      <c r="J3508" s="20"/>
    </row>
    <row r="3509" spans="1:10" ht="15.75" customHeight="1">
      <c r="A3509" s="8"/>
      <c r="C3509" s="8"/>
      <c r="F3509" s="8"/>
      <c r="H3509" s="16"/>
      <c r="I3509" s="16"/>
      <c r="J3509" s="20"/>
    </row>
    <row r="3510" spans="1:10" ht="15.75" customHeight="1">
      <c r="A3510" s="8"/>
      <c r="C3510" s="8"/>
      <c r="F3510" s="8"/>
      <c r="H3510" s="16"/>
      <c r="I3510" s="16"/>
      <c r="J3510" s="20"/>
    </row>
    <row r="3511" spans="1:10" ht="15.75" customHeight="1">
      <c r="A3511" s="8"/>
      <c r="C3511" s="8"/>
      <c r="F3511" s="8"/>
      <c r="H3511" s="16"/>
      <c r="I3511" s="16"/>
      <c r="J3511" s="20"/>
    </row>
    <row r="3512" spans="1:10" ht="15.75" customHeight="1">
      <c r="A3512" s="8"/>
      <c r="C3512" s="8"/>
      <c r="F3512" s="8"/>
      <c r="H3512" s="16"/>
      <c r="I3512" s="16"/>
      <c r="J3512" s="20"/>
    </row>
    <row r="3513" spans="1:10" ht="15.75" customHeight="1">
      <c r="A3513" s="8"/>
      <c r="C3513" s="8"/>
      <c r="F3513" s="8"/>
      <c r="H3513" s="16"/>
      <c r="I3513" s="16"/>
      <c r="J3513" s="20"/>
    </row>
    <row r="3514" spans="1:10" ht="15.75" customHeight="1">
      <c r="A3514" s="8"/>
      <c r="C3514" s="8"/>
      <c r="F3514" s="8"/>
      <c r="H3514" s="16"/>
      <c r="I3514" s="16"/>
      <c r="J3514" s="20"/>
    </row>
    <row r="3515" spans="1:10" ht="15.75" customHeight="1">
      <c r="A3515" s="8"/>
      <c r="C3515" s="8"/>
      <c r="F3515" s="8"/>
      <c r="H3515" s="16"/>
      <c r="I3515" s="16"/>
      <c r="J3515" s="20"/>
    </row>
    <row r="3516" spans="1:10" ht="15.75" customHeight="1">
      <c r="A3516" s="8"/>
      <c r="C3516" s="8"/>
      <c r="F3516" s="8"/>
      <c r="H3516" s="16"/>
      <c r="I3516" s="16"/>
      <c r="J3516" s="20"/>
    </row>
    <row r="3517" spans="1:10" ht="15.75" customHeight="1">
      <c r="A3517" s="8"/>
      <c r="C3517" s="8"/>
      <c r="F3517" s="8"/>
      <c r="H3517" s="16"/>
      <c r="I3517" s="16"/>
      <c r="J3517" s="20"/>
    </row>
    <row r="3518" spans="1:10" ht="15.75" customHeight="1">
      <c r="A3518" s="8"/>
      <c r="C3518" s="8"/>
      <c r="F3518" s="8"/>
      <c r="H3518" s="16"/>
      <c r="I3518" s="16"/>
      <c r="J3518" s="20"/>
    </row>
    <row r="3519" spans="1:10" ht="15.75" customHeight="1">
      <c r="A3519" s="8"/>
      <c r="C3519" s="8"/>
      <c r="F3519" s="8"/>
      <c r="H3519" s="16"/>
      <c r="I3519" s="16"/>
      <c r="J3519" s="20"/>
    </row>
    <row r="3520" spans="1:10" ht="15.75" customHeight="1">
      <c r="A3520" s="8"/>
      <c r="C3520" s="8"/>
      <c r="F3520" s="8"/>
      <c r="H3520" s="16"/>
      <c r="I3520" s="16"/>
      <c r="J3520" s="20"/>
    </row>
    <row r="3521" spans="1:10" ht="15.75" customHeight="1">
      <c r="A3521" s="8"/>
      <c r="C3521" s="8"/>
      <c r="F3521" s="8"/>
      <c r="H3521" s="16"/>
      <c r="I3521" s="16"/>
      <c r="J3521" s="20"/>
    </row>
    <row r="3522" spans="1:10" ht="15.75" customHeight="1">
      <c r="A3522" s="8"/>
      <c r="C3522" s="8"/>
      <c r="F3522" s="8"/>
      <c r="H3522" s="16"/>
      <c r="I3522" s="16"/>
      <c r="J3522" s="20"/>
    </row>
    <row r="3523" spans="1:10" ht="15.75" customHeight="1">
      <c r="A3523" s="8"/>
      <c r="C3523" s="8"/>
      <c r="F3523" s="8"/>
      <c r="H3523" s="16"/>
      <c r="I3523" s="16"/>
      <c r="J3523" s="20"/>
    </row>
    <row r="3524" spans="1:10" ht="15.75" customHeight="1">
      <c r="A3524" s="8"/>
      <c r="C3524" s="8"/>
      <c r="F3524" s="8"/>
      <c r="H3524" s="16"/>
      <c r="I3524" s="16"/>
      <c r="J3524" s="20"/>
    </row>
    <row r="3525" spans="1:10" ht="15.75" customHeight="1">
      <c r="A3525" s="8"/>
      <c r="C3525" s="8"/>
      <c r="F3525" s="8"/>
      <c r="H3525" s="16"/>
      <c r="I3525" s="16"/>
      <c r="J3525" s="20"/>
    </row>
    <row r="3526" spans="1:10" ht="15.75" customHeight="1">
      <c r="A3526" s="8"/>
      <c r="C3526" s="8"/>
      <c r="F3526" s="8"/>
      <c r="H3526" s="16"/>
      <c r="I3526" s="16"/>
      <c r="J3526" s="20"/>
    </row>
    <row r="3527" spans="1:10" ht="15.75" customHeight="1">
      <c r="A3527" s="8"/>
      <c r="C3527" s="8"/>
      <c r="F3527" s="8"/>
      <c r="H3527" s="16"/>
      <c r="I3527" s="16"/>
      <c r="J3527" s="20"/>
    </row>
    <row r="3528" spans="1:10" ht="15.75" customHeight="1">
      <c r="A3528" s="8"/>
      <c r="C3528" s="8"/>
      <c r="F3528" s="8"/>
      <c r="H3528" s="16"/>
      <c r="I3528" s="16"/>
      <c r="J3528" s="20"/>
    </row>
    <row r="3529" spans="1:10" ht="15.75" customHeight="1">
      <c r="A3529" s="8"/>
      <c r="C3529" s="8"/>
      <c r="F3529" s="8"/>
      <c r="H3529" s="16"/>
      <c r="I3529" s="16"/>
      <c r="J3529" s="20"/>
    </row>
    <row r="3530" spans="1:10" ht="15.75" customHeight="1">
      <c r="A3530" s="8"/>
      <c r="C3530" s="8"/>
      <c r="F3530" s="8"/>
      <c r="H3530" s="16"/>
      <c r="I3530" s="16"/>
      <c r="J3530" s="20"/>
    </row>
    <row r="3531" spans="1:10" ht="15.75" customHeight="1">
      <c r="A3531" s="8"/>
      <c r="C3531" s="8"/>
      <c r="F3531" s="8"/>
      <c r="H3531" s="16"/>
      <c r="I3531" s="16"/>
      <c r="J3531" s="20"/>
    </row>
    <row r="3532" spans="1:10" ht="15.75" customHeight="1">
      <c r="A3532" s="8"/>
      <c r="C3532" s="8"/>
      <c r="F3532" s="8"/>
      <c r="H3532" s="16"/>
      <c r="I3532" s="16"/>
      <c r="J3532" s="20"/>
    </row>
    <row r="3533" spans="1:10" ht="15.75" customHeight="1">
      <c r="A3533" s="8"/>
      <c r="C3533" s="8"/>
      <c r="F3533" s="8"/>
      <c r="H3533" s="16"/>
      <c r="I3533" s="16"/>
      <c r="J3533" s="20"/>
    </row>
    <row r="3534" spans="1:10" ht="15.75" customHeight="1">
      <c r="A3534" s="8"/>
      <c r="C3534" s="8"/>
      <c r="F3534" s="8"/>
      <c r="H3534" s="16"/>
      <c r="I3534" s="16"/>
      <c r="J3534" s="20"/>
    </row>
    <row r="3535" spans="1:10" ht="15.75" customHeight="1">
      <c r="A3535" s="8"/>
      <c r="C3535" s="8"/>
      <c r="F3535" s="8"/>
      <c r="H3535" s="16"/>
      <c r="I3535" s="16"/>
      <c r="J3535" s="20"/>
    </row>
    <row r="3536" spans="1:10" ht="15.75" customHeight="1">
      <c r="A3536" s="8"/>
      <c r="C3536" s="8"/>
      <c r="F3536" s="8"/>
      <c r="H3536" s="16"/>
      <c r="I3536" s="16"/>
      <c r="J3536" s="20"/>
    </row>
    <row r="3537" spans="1:10" ht="15.75" customHeight="1">
      <c r="A3537" s="8"/>
      <c r="C3537" s="8"/>
      <c r="F3537" s="8"/>
      <c r="H3537" s="16"/>
      <c r="I3537" s="16"/>
      <c r="J3537" s="20"/>
    </row>
    <row r="3538" spans="1:10" ht="15.75" customHeight="1">
      <c r="A3538" s="8"/>
      <c r="C3538" s="8"/>
      <c r="F3538" s="8"/>
      <c r="H3538" s="16"/>
      <c r="I3538" s="16"/>
      <c r="J3538" s="20"/>
    </row>
    <row r="3539" spans="1:10" ht="15.75" customHeight="1">
      <c r="A3539" s="8"/>
      <c r="C3539" s="8"/>
      <c r="F3539" s="8"/>
      <c r="H3539" s="16"/>
      <c r="I3539" s="16"/>
      <c r="J3539" s="20"/>
    </row>
    <row r="3540" spans="1:10" ht="15.75" customHeight="1">
      <c r="A3540" s="8"/>
      <c r="C3540" s="8"/>
      <c r="F3540" s="8"/>
      <c r="H3540" s="16"/>
      <c r="I3540" s="16"/>
      <c r="J3540" s="20"/>
    </row>
    <row r="3541" spans="1:10" ht="15.75" customHeight="1">
      <c r="A3541" s="8"/>
      <c r="C3541" s="8"/>
      <c r="F3541" s="8"/>
      <c r="H3541" s="16"/>
      <c r="I3541" s="16"/>
      <c r="J3541" s="20"/>
    </row>
    <row r="3542" spans="1:10" ht="15.75" customHeight="1">
      <c r="A3542" s="8"/>
      <c r="C3542" s="8"/>
      <c r="F3542" s="8"/>
      <c r="H3542" s="16"/>
      <c r="I3542" s="16"/>
      <c r="J3542" s="20"/>
    </row>
    <row r="3543" spans="1:10" ht="15.75" customHeight="1">
      <c r="A3543" s="8"/>
      <c r="C3543" s="8"/>
      <c r="F3543" s="8"/>
      <c r="H3543" s="16"/>
      <c r="I3543" s="16"/>
      <c r="J3543" s="20"/>
    </row>
    <row r="3544" spans="1:10" ht="15.75" customHeight="1">
      <c r="A3544" s="8"/>
      <c r="C3544" s="8"/>
      <c r="F3544" s="8"/>
      <c r="H3544" s="16"/>
      <c r="I3544" s="16"/>
      <c r="J3544" s="20"/>
    </row>
    <row r="3545" spans="1:10" ht="15.75" customHeight="1">
      <c r="A3545" s="8"/>
      <c r="C3545" s="8"/>
      <c r="F3545" s="8"/>
      <c r="H3545" s="16"/>
      <c r="I3545" s="16"/>
      <c r="J3545" s="20"/>
    </row>
    <row r="3546" spans="1:10" ht="15.75" customHeight="1">
      <c r="A3546" s="8"/>
      <c r="C3546" s="8"/>
      <c r="F3546" s="8"/>
      <c r="H3546" s="16"/>
      <c r="I3546" s="16"/>
      <c r="J3546" s="20"/>
    </row>
    <row r="3547" spans="1:10" ht="15.75" customHeight="1">
      <c r="A3547" s="8"/>
      <c r="C3547" s="8"/>
      <c r="F3547" s="8"/>
      <c r="H3547" s="16"/>
      <c r="I3547" s="16"/>
      <c r="J3547" s="20"/>
    </row>
    <row r="3548" spans="1:10" ht="15.75" customHeight="1">
      <c r="A3548" s="8"/>
      <c r="C3548" s="8"/>
      <c r="F3548" s="8"/>
      <c r="H3548" s="16"/>
      <c r="I3548" s="16"/>
      <c r="J3548" s="20"/>
    </row>
    <row r="3549" spans="1:10" ht="15.75" customHeight="1">
      <c r="A3549" s="8"/>
      <c r="C3549" s="8"/>
      <c r="F3549" s="8"/>
      <c r="H3549" s="16"/>
      <c r="I3549" s="16"/>
      <c r="J3549" s="20"/>
    </row>
    <row r="3550" spans="1:10" ht="15.75" customHeight="1">
      <c r="A3550" s="8"/>
      <c r="C3550" s="8"/>
      <c r="F3550" s="8"/>
      <c r="H3550" s="16"/>
      <c r="I3550" s="16"/>
      <c r="J3550" s="20"/>
    </row>
    <row r="3551" spans="1:10" ht="15.75" customHeight="1">
      <c r="A3551" s="8"/>
      <c r="C3551" s="8"/>
      <c r="F3551" s="8"/>
      <c r="H3551" s="16"/>
      <c r="I3551" s="16"/>
      <c r="J3551" s="20"/>
    </row>
    <row r="3552" spans="1:10" ht="15.75" customHeight="1">
      <c r="A3552" s="8"/>
      <c r="C3552" s="8"/>
      <c r="F3552" s="8"/>
      <c r="H3552" s="16"/>
      <c r="I3552" s="16"/>
      <c r="J3552" s="20"/>
    </row>
    <row r="3553" spans="1:10" ht="15.75" customHeight="1">
      <c r="A3553" s="8"/>
      <c r="C3553" s="8"/>
      <c r="F3553" s="8"/>
      <c r="H3553" s="16"/>
      <c r="I3553" s="16"/>
      <c r="J3553" s="20"/>
    </row>
    <row r="3554" spans="1:10" ht="15.75" customHeight="1">
      <c r="A3554" s="8"/>
      <c r="C3554" s="8"/>
      <c r="F3554" s="8"/>
      <c r="H3554" s="16"/>
      <c r="I3554" s="16"/>
      <c r="J3554" s="20"/>
    </row>
    <row r="3555" spans="1:10" ht="15.75" customHeight="1">
      <c r="A3555" s="8"/>
      <c r="C3555" s="8"/>
      <c r="F3555" s="8"/>
      <c r="H3555" s="16"/>
      <c r="I3555" s="16"/>
      <c r="J3555" s="20"/>
    </row>
    <row r="3556" spans="1:10" ht="15.75" customHeight="1">
      <c r="A3556" s="8"/>
      <c r="C3556" s="8"/>
      <c r="F3556" s="8"/>
      <c r="H3556" s="16"/>
      <c r="I3556" s="16"/>
      <c r="J3556" s="20"/>
    </row>
    <row r="3557" spans="1:10" ht="15.75" customHeight="1">
      <c r="A3557" s="8"/>
      <c r="C3557" s="8"/>
      <c r="F3557" s="8"/>
      <c r="H3557" s="16"/>
      <c r="I3557" s="16"/>
      <c r="J3557" s="20"/>
    </row>
    <row r="3558" spans="1:10" ht="15.75" customHeight="1">
      <c r="A3558" s="8"/>
      <c r="C3558" s="8"/>
      <c r="F3558" s="8"/>
      <c r="H3558" s="16"/>
      <c r="I3558" s="16"/>
      <c r="J3558" s="20"/>
    </row>
    <row r="3559" spans="1:10" ht="15.75" customHeight="1">
      <c r="A3559" s="8"/>
      <c r="C3559" s="8"/>
      <c r="F3559" s="8"/>
      <c r="H3559" s="16"/>
      <c r="I3559" s="16"/>
      <c r="J3559" s="20"/>
    </row>
    <row r="3560" spans="1:10" ht="15.75" customHeight="1">
      <c r="A3560" s="8"/>
      <c r="C3560" s="8"/>
      <c r="F3560" s="8"/>
      <c r="H3560" s="16"/>
      <c r="I3560" s="16"/>
      <c r="J3560" s="20"/>
    </row>
    <row r="3561" spans="1:10" ht="15.75" customHeight="1">
      <c r="A3561" s="8"/>
      <c r="C3561" s="8"/>
      <c r="F3561" s="8"/>
      <c r="H3561" s="16"/>
      <c r="I3561" s="16"/>
      <c r="J3561" s="20"/>
    </row>
    <row r="3562" spans="1:10" ht="15.75" customHeight="1">
      <c r="A3562" s="8"/>
      <c r="C3562" s="8"/>
      <c r="F3562" s="8"/>
      <c r="H3562" s="16"/>
      <c r="I3562" s="16"/>
      <c r="J3562" s="20"/>
    </row>
    <row r="3563" spans="1:10" ht="15.75" customHeight="1">
      <c r="A3563" s="8"/>
      <c r="C3563" s="8"/>
      <c r="F3563" s="8"/>
      <c r="H3563" s="16"/>
      <c r="I3563" s="16"/>
      <c r="J3563" s="20"/>
    </row>
    <row r="3564" spans="1:10" ht="15.75" customHeight="1">
      <c r="A3564" s="8"/>
      <c r="C3564" s="8"/>
      <c r="F3564" s="8"/>
      <c r="H3564" s="16"/>
      <c r="I3564" s="16"/>
      <c r="J3564" s="20"/>
    </row>
    <row r="3565" spans="1:10" ht="15.75" customHeight="1">
      <c r="A3565" s="8"/>
      <c r="C3565" s="8"/>
      <c r="F3565" s="8"/>
      <c r="H3565" s="16"/>
      <c r="I3565" s="16"/>
      <c r="J3565" s="20"/>
    </row>
    <row r="3566" spans="1:10" ht="15.75" customHeight="1">
      <c r="A3566" s="8"/>
      <c r="C3566" s="8"/>
      <c r="F3566" s="8"/>
      <c r="H3566" s="16"/>
      <c r="I3566" s="16"/>
      <c r="J3566" s="20"/>
    </row>
    <row r="3567" spans="1:10" ht="15.75" customHeight="1">
      <c r="A3567" s="8"/>
      <c r="C3567" s="8"/>
      <c r="F3567" s="8"/>
      <c r="H3567" s="16"/>
      <c r="I3567" s="16"/>
      <c r="J3567" s="20"/>
    </row>
    <row r="3568" spans="1:10" ht="15.75" customHeight="1">
      <c r="A3568" s="8"/>
      <c r="C3568" s="8"/>
      <c r="F3568" s="8"/>
      <c r="H3568" s="16"/>
      <c r="I3568" s="16"/>
      <c r="J3568" s="20"/>
    </row>
    <row r="3569" spans="1:10" ht="15.75" customHeight="1">
      <c r="A3569" s="8"/>
      <c r="C3569" s="8"/>
      <c r="F3569" s="8"/>
      <c r="H3569" s="16"/>
      <c r="I3569" s="16"/>
      <c r="J3569" s="20"/>
    </row>
    <row r="3570" spans="1:10" ht="15.75" customHeight="1">
      <c r="A3570" s="8"/>
      <c r="C3570" s="8"/>
      <c r="F3570" s="8"/>
      <c r="H3570" s="16"/>
      <c r="I3570" s="16"/>
      <c r="J3570" s="20"/>
    </row>
    <row r="3571" spans="1:10" ht="15.75" customHeight="1">
      <c r="A3571" s="8"/>
      <c r="C3571" s="8"/>
      <c r="F3571" s="8"/>
      <c r="H3571" s="16"/>
      <c r="I3571" s="16"/>
      <c r="J3571" s="20"/>
    </row>
    <row r="3572" spans="1:10" ht="15.75" customHeight="1">
      <c r="A3572" s="8"/>
      <c r="C3572" s="8"/>
      <c r="F3572" s="8"/>
      <c r="H3572" s="16"/>
      <c r="I3572" s="16"/>
      <c r="J3572" s="20"/>
    </row>
    <row r="3573" spans="1:10" ht="15.75" customHeight="1">
      <c r="A3573" s="8"/>
      <c r="C3573" s="8"/>
      <c r="F3573" s="8"/>
      <c r="H3573" s="16"/>
      <c r="I3573" s="16"/>
      <c r="J3573" s="20"/>
    </row>
    <row r="3574" spans="1:10" ht="15.75" customHeight="1">
      <c r="A3574" s="8"/>
      <c r="C3574" s="8"/>
      <c r="F3574" s="8"/>
      <c r="H3574" s="16"/>
      <c r="I3574" s="16"/>
      <c r="J3574" s="20"/>
    </row>
    <row r="3575" spans="1:10" ht="15.75" customHeight="1">
      <c r="A3575" s="8"/>
      <c r="C3575" s="8"/>
      <c r="F3575" s="8"/>
      <c r="H3575" s="16"/>
      <c r="I3575" s="16"/>
      <c r="J3575" s="20"/>
    </row>
    <row r="3576" spans="1:10" ht="15.75" customHeight="1">
      <c r="A3576" s="8"/>
      <c r="C3576" s="8"/>
      <c r="F3576" s="8"/>
      <c r="H3576" s="16"/>
      <c r="I3576" s="16"/>
      <c r="J3576" s="20"/>
    </row>
    <row r="3577" spans="1:10" ht="15.75" customHeight="1">
      <c r="A3577" s="8"/>
      <c r="C3577" s="8"/>
      <c r="F3577" s="8"/>
      <c r="H3577" s="16"/>
      <c r="I3577" s="16"/>
      <c r="J3577" s="20"/>
    </row>
    <row r="3578" spans="1:10" ht="15.75" customHeight="1">
      <c r="A3578" s="8"/>
      <c r="C3578" s="8"/>
      <c r="F3578" s="8"/>
      <c r="H3578" s="16"/>
      <c r="I3578" s="16"/>
      <c r="J3578" s="20"/>
    </row>
    <row r="3579" spans="1:10" ht="15.75" customHeight="1">
      <c r="A3579" s="8"/>
      <c r="C3579" s="8"/>
      <c r="F3579" s="8"/>
      <c r="H3579" s="16"/>
      <c r="I3579" s="16"/>
      <c r="J3579" s="20"/>
    </row>
    <row r="3580" spans="1:10" ht="15.75" customHeight="1">
      <c r="A3580" s="8"/>
      <c r="C3580" s="8"/>
      <c r="F3580" s="8"/>
      <c r="H3580" s="16"/>
      <c r="I3580" s="16"/>
      <c r="J3580" s="20"/>
    </row>
    <row r="3581" spans="1:10" ht="15.75" customHeight="1">
      <c r="A3581" s="8"/>
      <c r="C3581" s="8"/>
      <c r="F3581" s="8"/>
      <c r="H3581" s="16"/>
      <c r="I3581" s="16"/>
      <c r="J3581" s="20"/>
    </row>
    <row r="3582" spans="1:10" ht="15.75" customHeight="1">
      <c r="A3582" s="8"/>
      <c r="C3582" s="8"/>
      <c r="F3582" s="8"/>
      <c r="H3582" s="16"/>
      <c r="I3582" s="16"/>
      <c r="J3582" s="20"/>
    </row>
    <row r="3583" spans="1:10" ht="15.75" customHeight="1">
      <c r="A3583" s="8"/>
      <c r="C3583" s="8"/>
      <c r="F3583" s="8"/>
      <c r="H3583" s="16"/>
      <c r="I3583" s="16"/>
      <c r="J3583" s="20"/>
    </row>
    <row r="3584" spans="1:10" ht="15.75" customHeight="1">
      <c r="A3584" s="8"/>
      <c r="C3584" s="8"/>
      <c r="F3584" s="8"/>
      <c r="H3584" s="16"/>
      <c r="I3584" s="16"/>
      <c r="J3584" s="20"/>
    </row>
    <row r="3585" spans="1:10" ht="15.75" customHeight="1">
      <c r="A3585" s="8"/>
      <c r="C3585" s="8"/>
      <c r="F3585" s="8"/>
      <c r="H3585" s="16"/>
      <c r="I3585" s="16"/>
      <c r="J3585" s="20"/>
    </row>
    <row r="3586" spans="1:10" ht="15.75" customHeight="1">
      <c r="A3586" s="8"/>
      <c r="C3586" s="8"/>
      <c r="F3586" s="8"/>
      <c r="H3586" s="16"/>
      <c r="I3586" s="16"/>
      <c r="J3586" s="20"/>
    </row>
    <row r="3587" spans="1:10" ht="15.75" customHeight="1">
      <c r="A3587" s="8"/>
      <c r="C3587" s="8"/>
      <c r="F3587" s="8"/>
      <c r="H3587" s="16"/>
      <c r="I3587" s="16"/>
      <c r="J3587" s="20"/>
    </row>
    <row r="3588" spans="1:10" ht="15.75" customHeight="1">
      <c r="A3588" s="8"/>
      <c r="C3588" s="8"/>
      <c r="F3588" s="8"/>
      <c r="H3588" s="16"/>
      <c r="I3588" s="16"/>
      <c r="J3588" s="20"/>
    </row>
    <row r="3589" spans="1:10" ht="15.75" customHeight="1">
      <c r="A3589" s="8"/>
      <c r="C3589" s="8"/>
      <c r="F3589" s="8"/>
      <c r="H3589" s="16"/>
      <c r="I3589" s="16"/>
      <c r="J3589" s="20"/>
    </row>
    <row r="3590" spans="1:10" ht="15.75" customHeight="1">
      <c r="A3590" s="8"/>
      <c r="C3590" s="8"/>
      <c r="F3590" s="8"/>
      <c r="H3590" s="16"/>
      <c r="I3590" s="16"/>
      <c r="J3590" s="20"/>
    </row>
    <row r="3591" spans="1:10" ht="15.75" customHeight="1">
      <c r="A3591" s="8"/>
      <c r="C3591" s="8"/>
      <c r="F3591" s="8"/>
      <c r="H3591" s="16"/>
      <c r="I3591" s="16"/>
      <c r="J3591" s="20"/>
    </row>
    <row r="3592" spans="1:10" ht="15.75" customHeight="1">
      <c r="A3592" s="8"/>
      <c r="C3592" s="8"/>
      <c r="F3592" s="8"/>
      <c r="H3592" s="16"/>
      <c r="I3592" s="16"/>
      <c r="J3592" s="20"/>
    </row>
    <row r="3593" spans="1:10" ht="15.75" customHeight="1">
      <c r="A3593" s="8"/>
      <c r="C3593" s="8"/>
      <c r="F3593" s="8"/>
      <c r="H3593" s="16"/>
      <c r="I3593" s="16"/>
      <c r="J3593" s="20"/>
    </row>
    <row r="3594" spans="1:10" ht="15.75" customHeight="1">
      <c r="A3594" s="8"/>
      <c r="C3594" s="8"/>
      <c r="F3594" s="8"/>
      <c r="H3594" s="16"/>
      <c r="I3594" s="16"/>
      <c r="J3594" s="20"/>
    </row>
    <row r="3595" spans="1:10" ht="15.75" customHeight="1">
      <c r="A3595" s="8"/>
      <c r="C3595" s="8"/>
      <c r="F3595" s="8"/>
      <c r="H3595" s="16"/>
      <c r="I3595" s="16"/>
      <c r="J3595" s="20"/>
    </row>
    <row r="3596" spans="1:10" ht="15.75" customHeight="1">
      <c r="A3596" s="8"/>
      <c r="C3596" s="8"/>
      <c r="F3596" s="8"/>
      <c r="H3596" s="16"/>
      <c r="I3596" s="16"/>
      <c r="J3596" s="20"/>
    </row>
    <row r="3597" spans="1:10" ht="15.75" customHeight="1">
      <c r="A3597" s="8"/>
      <c r="C3597" s="8"/>
      <c r="F3597" s="8"/>
      <c r="H3597" s="16"/>
      <c r="I3597" s="16"/>
      <c r="J3597" s="20"/>
    </row>
    <row r="3598" spans="1:10" ht="15.75" customHeight="1">
      <c r="A3598" s="8"/>
      <c r="C3598" s="8"/>
      <c r="F3598" s="8"/>
      <c r="H3598" s="16"/>
      <c r="I3598" s="16"/>
      <c r="J3598" s="20"/>
    </row>
    <row r="3599" spans="1:10" ht="15.75" customHeight="1">
      <c r="A3599" s="8"/>
      <c r="C3599" s="8"/>
      <c r="F3599" s="8"/>
      <c r="H3599" s="16"/>
      <c r="I3599" s="16"/>
      <c r="J3599" s="20"/>
    </row>
    <row r="3600" spans="1:10" ht="15.75" customHeight="1">
      <c r="A3600" s="8"/>
      <c r="C3600" s="8"/>
      <c r="F3600" s="8"/>
      <c r="H3600" s="16"/>
      <c r="I3600" s="16"/>
      <c r="J3600" s="20"/>
    </row>
    <row r="3601" spans="1:10" ht="15.75" customHeight="1">
      <c r="A3601" s="8"/>
      <c r="C3601" s="8"/>
      <c r="F3601" s="8"/>
      <c r="H3601" s="16"/>
      <c r="I3601" s="16"/>
      <c r="J3601" s="20"/>
    </row>
    <row r="3602" spans="1:10" ht="15.75" customHeight="1">
      <c r="A3602" s="8"/>
      <c r="C3602" s="8"/>
      <c r="F3602" s="8"/>
      <c r="H3602" s="16"/>
      <c r="I3602" s="16"/>
      <c r="J3602" s="20"/>
    </row>
    <row r="3603" spans="1:10" ht="15.75" customHeight="1">
      <c r="A3603" s="8"/>
      <c r="C3603" s="8"/>
      <c r="F3603" s="8"/>
      <c r="H3603" s="16"/>
      <c r="I3603" s="16"/>
      <c r="J3603" s="20"/>
    </row>
    <row r="3604" spans="1:10" ht="15.75" customHeight="1">
      <c r="A3604" s="8"/>
      <c r="C3604" s="8"/>
      <c r="F3604" s="8"/>
      <c r="H3604" s="16"/>
      <c r="I3604" s="16"/>
      <c r="J3604" s="20"/>
    </row>
    <row r="3605" spans="1:10" ht="15.75" customHeight="1">
      <c r="A3605" s="8"/>
      <c r="C3605" s="8"/>
      <c r="F3605" s="8"/>
      <c r="H3605" s="16"/>
      <c r="I3605" s="16"/>
      <c r="J3605" s="20"/>
    </row>
    <row r="3606" spans="1:10" ht="15.75" customHeight="1">
      <c r="A3606" s="8"/>
      <c r="C3606" s="8"/>
      <c r="F3606" s="8"/>
      <c r="H3606" s="16"/>
      <c r="I3606" s="16"/>
      <c r="J3606" s="20"/>
    </row>
    <row r="3607" spans="1:10" ht="15.75" customHeight="1">
      <c r="A3607" s="8"/>
      <c r="C3607" s="8"/>
      <c r="F3607" s="8"/>
      <c r="H3607" s="16"/>
      <c r="I3607" s="16"/>
      <c r="J3607" s="20"/>
    </row>
    <row r="3608" spans="1:10" ht="15.75" customHeight="1">
      <c r="A3608" s="8"/>
      <c r="C3608" s="8"/>
      <c r="F3608" s="8"/>
      <c r="H3608" s="16"/>
      <c r="I3608" s="16"/>
      <c r="J3608" s="20"/>
    </row>
    <row r="3609" spans="1:10" ht="15.75" customHeight="1">
      <c r="A3609" s="8"/>
      <c r="C3609" s="8"/>
      <c r="F3609" s="8"/>
      <c r="H3609" s="16"/>
      <c r="I3609" s="16"/>
      <c r="J3609" s="20"/>
    </row>
    <row r="3610" spans="1:10" ht="15.75" customHeight="1">
      <c r="A3610" s="8"/>
      <c r="C3610" s="8"/>
      <c r="F3610" s="8"/>
      <c r="H3610" s="16"/>
      <c r="I3610" s="16"/>
      <c r="J3610" s="20"/>
    </row>
    <row r="3611" spans="1:10" ht="15.75" customHeight="1">
      <c r="A3611" s="8"/>
      <c r="C3611" s="8"/>
      <c r="F3611" s="8"/>
      <c r="H3611" s="16"/>
      <c r="I3611" s="16"/>
      <c r="J3611" s="20"/>
    </row>
    <row r="3612" spans="1:10" ht="15.75" customHeight="1">
      <c r="A3612" s="8"/>
      <c r="C3612" s="8"/>
      <c r="F3612" s="8"/>
      <c r="H3612" s="16"/>
      <c r="I3612" s="16"/>
      <c r="J3612" s="20"/>
    </row>
    <row r="3613" spans="1:10" ht="15.75" customHeight="1">
      <c r="A3613" s="8"/>
      <c r="C3613" s="8"/>
      <c r="F3613" s="8"/>
      <c r="H3613" s="16"/>
      <c r="I3613" s="16"/>
      <c r="J3613" s="20"/>
    </row>
    <row r="3614" spans="1:10" ht="15.75" customHeight="1">
      <c r="A3614" s="8"/>
      <c r="C3614" s="8"/>
      <c r="F3614" s="8"/>
      <c r="H3614" s="16"/>
      <c r="I3614" s="16"/>
      <c r="J3614" s="20"/>
    </row>
    <row r="3615" spans="1:10" ht="15.75" customHeight="1">
      <c r="A3615" s="8"/>
      <c r="C3615" s="8"/>
      <c r="F3615" s="8"/>
      <c r="H3615" s="16"/>
      <c r="I3615" s="16"/>
      <c r="J3615" s="20"/>
    </row>
    <row r="3616" spans="1:10" ht="15.75" customHeight="1">
      <c r="A3616" s="8"/>
      <c r="C3616" s="8"/>
      <c r="F3616" s="8"/>
      <c r="H3616" s="16"/>
      <c r="I3616" s="16"/>
      <c r="J3616" s="20"/>
    </row>
    <row r="3617" spans="1:10" ht="15.75" customHeight="1">
      <c r="A3617" s="8"/>
      <c r="C3617" s="8"/>
      <c r="F3617" s="8"/>
      <c r="H3617" s="16"/>
      <c r="I3617" s="16"/>
      <c r="J3617" s="20"/>
    </row>
    <row r="3618" spans="1:10" ht="15.75" customHeight="1">
      <c r="A3618" s="8"/>
      <c r="C3618" s="8"/>
      <c r="F3618" s="8"/>
      <c r="H3618" s="16"/>
      <c r="I3618" s="16"/>
      <c r="J3618" s="20"/>
    </row>
    <row r="3619" spans="1:10" ht="15.75" customHeight="1">
      <c r="A3619" s="8"/>
      <c r="C3619" s="8"/>
      <c r="F3619" s="8"/>
      <c r="H3619" s="16"/>
      <c r="I3619" s="16"/>
      <c r="J3619" s="20"/>
    </row>
    <row r="3620" spans="1:10" ht="15.75" customHeight="1">
      <c r="A3620" s="8"/>
      <c r="C3620" s="8"/>
      <c r="F3620" s="8"/>
      <c r="H3620" s="16"/>
      <c r="I3620" s="16"/>
      <c r="J3620" s="20"/>
    </row>
    <row r="3621" spans="1:10" ht="15.75" customHeight="1">
      <c r="A3621" s="8"/>
      <c r="C3621" s="8"/>
      <c r="F3621" s="8"/>
      <c r="H3621" s="16"/>
      <c r="I3621" s="16"/>
      <c r="J3621" s="20"/>
    </row>
    <row r="3622" spans="1:10" ht="15.75" customHeight="1">
      <c r="A3622" s="8"/>
      <c r="C3622" s="8"/>
      <c r="F3622" s="8"/>
      <c r="H3622" s="16"/>
      <c r="I3622" s="16"/>
      <c r="J3622" s="20"/>
    </row>
    <row r="3623" spans="1:10" ht="15.75" customHeight="1">
      <c r="A3623" s="8"/>
      <c r="C3623" s="8"/>
      <c r="F3623" s="8"/>
      <c r="H3623" s="16"/>
      <c r="I3623" s="16"/>
      <c r="J3623" s="20"/>
    </row>
    <row r="3624" spans="1:10" ht="15.75" customHeight="1">
      <c r="A3624" s="8"/>
      <c r="C3624" s="8"/>
      <c r="F3624" s="8"/>
      <c r="H3624" s="16"/>
      <c r="I3624" s="16"/>
      <c r="J3624" s="20"/>
    </row>
    <row r="3625" spans="1:10" ht="15.75" customHeight="1">
      <c r="A3625" s="8"/>
      <c r="C3625" s="8"/>
      <c r="F3625" s="8"/>
      <c r="H3625" s="16"/>
      <c r="I3625" s="16"/>
      <c r="J3625" s="20"/>
    </row>
    <row r="3626" spans="1:10" ht="15.75" customHeight="1">
      <c r="A3626" s="8"/>
      <c r="C3626" s="8"/>
      <c r="F3626" s="8"/>
      <c r="H3626" s="16"/>
      <c r="I3626" s="16"/>
      <c r="J3626" s="20"/>
    </row>
    <row r="3627" spans="1:10" ht="15.75" customHeight="1">
      <c r="A3627" s="8"/>
      <c r="C3627" s="8"/>
      <c r="F3627" s="8"/>
      <c r="H3627" s="16"/>
      <c r="I3627" s="16"/>
      <c r="J3627" s="20"/>
    </row>
    <row r="3628" spans="1:10" ht="15.75" customHeight="1">
      <c r="A3628" s="8"/>
      <c r="C3628" s="8"/>
      <c r="F3628" s="8"/>
      <c r="H3628" s="16"/>
      <c r="I3628" s="16"/>
      <c r="J3628" s="20"/>
    </row>
    <row r="3629" spans="1:10" ht="15.75" customHeight="1">
      <c r="A3629" s="8"/>
      <c r="C3629" s="8"/>
      <c r="F3629" s="8"/>
      <c r="H3629" s="16"/>
      <c r="I3629" s="16"/>
      <c r="J3629" s="20"/>
    </row>
    <row r="3630" spans="1:10" ht="15.75" customHeight="1">
      <c r="A3630" s="8"/>
      <c r="C3630" s="8"/>
      <c r="F3630" s="8"/>
      <c r="H3630" s="16"/>
      <c r="I3630" s="16"/>
      <c r="J3630" s="20"/>
    </row>
    <row r="3631" spans="1:10" ht="15.75" customHeight="1">
      <c r="A3631" s="8"/>
      <c r="C3631" s="8"/>
      <c r="F3631" s="8"/>
      <c r="H3631" s="16"/>
      <c r="I3631" s="16"/>
      <c r="J3631" s="20"/>
    </row>
    <row r="3632" spans="1:10" ht="15.75" customHeight="1">
      <c r="A3632" s="8"/>
      <c r="C3632" s="8"/>
      <c r="F3632" s="8"/>
      <c r="H3632" s="16"/>
      <c r="I3632" s="16"/>
      <c r="J3632" s="20"/>
    </row>
    <row r="3633" spans="1:10" ht="15.75" customHeight="1">
      <c r="A3633" s="8"/>
      <c r="C3633" s="8"/>
      <c r="F3633" s="8"/>
      <c r="H3633" s="16"/>
      <c r="I3633" s="16"/>
      <c r="J3633" s="20"/>
    </row>
    <row r="3634" spans="1:10" ht="15.75" customHeight="1">
      <c r="A3634" s="8"/>
      <c r="C3634" s="8"/>
      <c r="F3634" s="8"/>
      <c r="H3634" s="16"/>
      <c r="I3634" s="16"/>
      <c r="J3634" s="20"/>
    </row>
    <row r="3635" spans="1:10" ht="15.75" customHeight="1">
      <c r="A3635" s="8"/>
      <c r="C3635" s="8"/>
      <c r="F3635" s="8"/>
      <c r="H3635" s="16"/>
      <c r="I3635" s="16"/>
      <c r="J3635" s="20"/>
    </row>
    <row r="3636" spans="1:10" ht="15.75" customHeight="1">
      <c r="A3636" s="8"/>
      <c r="C3636" s="8"/>
      <c r="F3636" s="8"/>
      <c r="H3636" s="16"/>
      <c r="I3636" s="16"/>
      <c r="J3636" s="20"/>
    </row>
    <row r="3637" spans="1:10" ht="15.75" customHeight="1">
      <c r="A3637" s="8"/>
      <c r="C3637" s="8"/>
      <c r="F3637" s="8"/>
      <c r="H3637" s="16"/>
      <c r="I3637" s="16"/>
      <c r="J3637" s="20"/>
    </row>
    <row r="3638" spans="1:10" ht="15.75" customHeight="1">
      <c r="A3638" s="8"/>
      <c r="C3638" s="8"/>
      <c r="F3638" s="8"/>
      <c r="H3638" s="16"/>
      <c r="I3638" s="16"/>
      <c r="J3638" s="20"/>
    </row>
    <row r="3639" spans="1:10" ht="15.75" customHeight="1">
      <c r="A3639" s="8"/>
      <c r="C3639" s="8"/>
      <c r="F3639" s="8"/>
      <c r="H3639" s="16"/>
      <c r="I3639" s="16"/>
      <c r="J3639" s="20"/>
    </row>
    <row r="3640" spans="1:10" ht="15.75" customHeight="1">
      <c r="A3640" s="8"/>
      <c r="C3640" s="8"/>
      <c r="F3640" s="8"/>
      <c r="H3640" s="16"/>
      <c r="I3640" s="16"/>
      <c r="J3640" s="20"/>
    </row>
    <row r="3641" spans="1:10" ht="15.75" customHeight="1">
      <c r="A3641" s="8"/>
      <c r="C3641" s="8"/>
      <c r="F3641" s="8"/>
      <c r="H3641" s="16"/>
      <c r="I3641" s="16"/>
      <c r="J3641" s="20"/>
    </row>
    <row r="3642" spans="1:10" ht="15.75" customHeight="1">
      <c r="A3642" s="8"/>
      <c r="C3642" s="8"/>
      <c r="F3642" s="8"/>
      <c r="H3642" s="16"/>
      <c r="I3642" s="16"/>
      <c r="J3642" s="20"/>
    </row>
    <row r="3643" spans="1:10" ht="15.75" customHeight="1">
      <c r="A3643" s="8"/>
      <c r="C3643" s="8"/>
      <c r="F3643" s="8"/>
      <c r="H3643" s="16"/>
      <c r="I3643" s="16"/>
      <c r="J3643" s="20"/>
    </row>
    <row r="3644" spans="1:10" ht="15.75" customHeight="1">
      <c r="A3644" s="8"/>
      <c r="C3644" s="8"/>
      <c r="F3644" s="8"/>
      <c r="H3644" s="16"/>
      <c r="I3644" s="16"/>
      <c r="J3644" s="20"/>
    </row>
    <row r="3645" spans="1:10" ht="15.75" customHeight="1">
      <c r="A3645" s="8"/>
      <c r="C3645" s="8"/>
      <c r="F3645" s="8"/>
      <c r="H3645" s="16"/>
      <c r="I3645" s="16"/>
      <c r="J3645" s="20"/>
    </row>
    <row r="3646" spans="1:10" ht="15.75" customHeight="1">
      <c r="A3646" s="8"/>
      <c r="C3646" s="8"/>
      <c r="F3646" s="8"/>
      <c r="H3646" s="16"/>
      <c r="I3646" s="16"/>
      <c r="J3646" s="20"/>
    </row>
    <row r="3647" spans="1:10" ht="15.75" customHeight="1">
      <c r="A3647" s="8"/>
      <c r="C3647" s="8"/>
      <c r="F3647" s="8"/>
      <c r="H3647" s="16"/>
      <c r="I3647" s="16"/>
      <c r="J3647" s="20"/>
    </row>
    <row r="3648" spans="1:10" ht="15.75" customHeight="1">
      <c r="A3648" s="8"/>
      <c r="C3648" s="8"/>
      <c r="F3648" s="8"/>
      <c r="H3648" s="16"/>
      <c r="I3648" s="16"/>
      <c r="J3648" s="20"/>
    </row>
    <row r="3649" spans="1:10" ht="15.75" customHeight="1">
      <c r="A3649" s="8"/>
      <c r="C3649" s="8"/>
      <c r="F3649" s="8"/>
      <c r="H3649" s="16"/>
      <c r="I3649" s="16"/>
      <c r="J3649" s="20"/>
    </row>
    <row r="3650" spans="1:10" ht="15.75" customHeight="1">
      <c r="A3650" s="8"/>
      <c r="C3650" s="8"/>
      <c r="F3650" s="8"/>
      <c r="H3650" s="16"/>
      <c r="I3650" s="16"/>
      <c r="J3650" s="20"/>
    </row>
    <row r="3651" spans="1:10" ht="15.75" customHeight="1">
      <c r="A3651" s="8"/>
      <c r="C3651" s="8"/>
      <c r="F3651" s="8"/>
      <c r="H3651" s="16"/>
      <c r="I3651" s="16"/>
      <c r="J3651" s="20"/>
    </row>
    <row r="3652" spans="1:10" ht="15.75" customHeight="1">
      <c r="A3652" s="8"/>
      <c r="C3652" s="8"/>
      <c r="F3652" s="8"/>
      <c r="H3652" s="16"/>
      <c r="I3652" s="16"/>
      <c r="J3652" s="20"/>
    </row>
    <row r="3653" spans="1:10" ht="15.75" customHeight="1">
      <c r="A3653" s="8"/>
      <c r="C3653" s="8"/>
      <c r="F3653" s="8"/>
      <c r="H3653" s="16"/>
      <c r="I3653" s="16"/>
      <c r="J3653" s="20"/>
    </row>
    <row r="3654" spans="1:10" ht="15.75" customHeight="1">
      <c r="A3654" s="8"/>
      <c r="C3654" s="8"/>
      <c r="F3654" s="8"/>
      <c r="H3654" s="16"/>
      <c r="I3654" s="16"/>
      <c r="J3654" s="20"/>
    </row>
    <row r="3655" spans="1:10" ht="15.75" customHeight="1">
      <c r="A3655" s="8"/>
      <c r="C3655" s="8"/>
      <c r="F3655" s="8"/>
      <c r="H3655" s="16"/>
      <c r="I3655" s="16"/>
      <c r="J3655" s="20"/>
    </row>
    <row r="3656" spans="1:10" ht="15.75" customHeight="1">
      <c r="A3656" s="8"/>
      <c r="C3656" s="8"/>
      <c r="F3656" s="8"/>
      <c r="H3656" s="16"/>
      <c r="I3656" s="16"/>
      <c r="J3656" s="20"/>
    </row>
    <row r="3657" spans="1:10" ht="15.75" customHeight="1">
      <c r="A3657" s="8"/>
      <c r="C3657" s="8"/>
      <c r="F3657" s="8"/>
      <c r="H3657" s="16"/>
      <c r="I3657" s="16"/>
      <c r="J3657" s="20"/>
    </row>
    <row r="3658" spans="1:10" ht="15.75" customHeight="1">
      <c r="A3658" s="8"/>
      <c r="C3658" s="8"/>
      <c r="F3658" s="8"/>
      <c r="H3658" s="16"/>
      <c r="I3658" s="16"/>
      <c r="J3658" s="20"/>
    </row>
    <row r="3659" spans="1:10" ht="15.75" customHeight="1">
      <c r="A3659" s="8"/>
      <c r="C3659" s="8"/>
      <c r="F3659" s="8"/>
      <c r="H3659" s="16"/>
      <c r="I3659" s="16"/>
      <c r="J3659" s="20"/>
    </row>
    <row r="3660" spans="1:10" ht="15.75" customHeight="1">
      <c r="A3660" s="8"/>
      <c r="C3660" s="8"/>
      <c r="F3660" s="8"/>
      <c r="H3660" s="16"/>
      <c r="I3660" s="16"/>
      <c r="J3660" s="20"/>
    </row>
    <row r="3661" spans="1:10" ht="15.75" customHeight="1">
      <c r="A3661" s="8"/>
      <c r="C3661" s="8"/>
      <c r="F3661" s="8"/>
      <c r="H3661" s="16"/>
      <c r="I3661" s="16"/>
      <c r="J3661" s="20"/>
    </row>
    <row r="3662" spans="1:10" ht="15.75" customHeight="1">
      <c r="A3662" s="8"/>
      <c r="C3662" s="8"/>
      <c r="F3662" s="8"/>
      <c r="H3662" s="16"/>
      <c r="I3662" s="16"/>
      <c r="J3662" s="20"/>
    </row>
    <row r="3663" spans="1:10" ht="15.75" customHeight="1">
      <c r="A3663" s="8"/>
      <c r="C3663" s="8"/>
      <c r="F3663" s="8"/>
      <c r="H3663" s="16"/>
      <c r="I3663" s="16"/>
      <c r="J3663" s="20"/>
    </row>
    <row r="3664" spans="1:10" ht="15.75" customHeight="1">
      <c r="A3664" s="8"/>
      <c r="C3664" s="8"/>
      <c r="F3664" s="8"/>
      <c r="H3664" s="16"/>
      <c r="I3664" s="16"/>
      <c r="J3664" s="20"/>
    </row>
    <row r="3665" spans="1:10" ht="15.75" customHeight="1">
      <c r="A3665" s="8"/>
      <c r="C3665" s="8"/>
      <c r="F3665" s="8"/>
      <c r="H3665" s="16"/>
      <c r="I3665" s="16"/>
      <c r="J3665" s="20"/>
    </row>
    <row r="3666" spans="1:10" ht="15.75" customHeight="1">
      <c r="A3666" s="8"/>
      <c r="C3666" s="8"/>
      <c r="F3666" s="8"/>
      <c r="H3666" s="16"/>
      <c r="I3666" s="16"/>
      <c r="J3666" s="20"/>
    </row>
    <row r="3667" spans="1:10" ht="15.75" customHeight="1">
      <c r="A3667" s="8"/>
      <c r="C3667" s="8"/>
      <c r="F3667" s="8"/>
      <c r="H3667" s="16"/>
      <c r="I3667" s="16"/>
      <c r="J3667" s="20"/>
    </row>
    <row r="3668" spans="1:10" ht="15.75" customHeight="1">
      <c r="A3668" s="8"/>
      <c r="C3668" s="8"/>
      <c r="F3668" s="8"/>
      <c r="H3668" s="16"/>
      <c r="I3668" s="16"/>
      <c r="J3668" s="20"/>
    </row>
    <row r="3669" spans="1:10" ht="15.75" customHeight="1">
      <c r="A3669" s="8"/>
      <c r="C3669" s="8"/>
      <c r="F3669" s="8"/>
      <c r="H3669" s="16"/>
      <c r="I3669" s="16"/>
      <c r="J3669" s="20"/>
    </row>
    <row r="3670" spans="1:10" ht="15.75" customHeight="1">
      <c r="A3670" s="8"/>
      <c r="C3670" s="8"/>
      <c r="F3670" s="8"/>
      <c r="H3670" s="16"/>
      <c r="I3670" s="16"/>
      <c r="J3670" s="20"/>
    </row>
    <row r="3671" spans="1:10" ht="15.75" customHeight="1">
      <c r="A3671" s="8"/>
      <c r="C3671" s="8"/>
      <c r="F3671" s="8"/>
      <c r="H3671" s="16"/>
      <c r="I3671" s="16"/>
      <c r="J3671" s="20"/>
    </row>
    <row r="3672" spans="1:10" ht="15.75" customHeight="1">
      <c r="A3672" s="8"/>
      <c r="C3672" s="8"/>
      <c r="F3672" s="8"/>
      <c r="H3672" s="16"/>
      <c r="I3672" s="16"/>
      <c r="J3672" s="20"/>
    </row>
    <row r="3673" spans="1:10" ht="15.75" customHeight="1">
      <c r="A3673" s="8"/>
      <c r="C3673" s="8"/>
      <c r="F3673" s="8"/>
      <c r="H3673" s="16"/>
      <c r="I3673" s="16"/>
      <c r="J3673" s="20"/>
    </row>
    <row r="3674" spans="1:10" ht="15.75" customHeight="1">
      <c r="A3674" s="8"/>
      <c r="C3674" s="8"/>
      <c r="F3674" s="8"/>
      <c r="H3674" s="16"/>
      <c r="I3674" s="16"/>
      <c r="J3674" s="20"/>
    </row>
    <row r="3675" spans="1:10" ht="15.75" customHeight="1">
      <c r="A3675" s="8"/>
      <c r="C3675" s="8"/>
      <c r="F3675" s="8"/>
      <c r="H3675" s="16"/>
      <c r="I3675" s="16"/>
      <c r="J3675" s="20"/>
    </row>
    <row r="3676" spans="1:10" ht="15.75" customHeight="1">
      <c r="A3676" s="8"/>
      <c r="C3676" s="8"/>
      <c r="F3676" s="8"/>
      <c r="H3676" s="16"/>
      <c r="I3676" s="16"/>
      <c r="J3676" s="20"/>
    </row>
    <row r="3677" spans="1:10" ht="15.75" customHeight="1">
      <c r="A3677" s="8"/>
      <c r="C3677" s="8"/>
      <c r="F3677" s="8"/>
      <c r="H3677" s="16"/>
      <c r="I3677" s="16"/>
      <c r="J3677" s="20"/>
    </row>
    <row r="3678" spans="1:10" ht="15.75" customHeight="1">
      <c r="A3678" s="8"/>
      <c r="C3678" s="8"/>
      <c r="F3678" s="8"/>
      <c r="H3678" s="16"/>
      <c r="I3678" s="16"/>
      <c r="J3678" s="20"/>
    </row>
    <row r="3679" spans="1:10" ht="15.75" customHeight="1">
      <c r="A3679" s="8"/>
      <c r="C3679" s="8"/>
      <c r="F3679" s="8"/>
      <c r="H3679" s="16"/>
      <c r="I3679" s="16"/>
      <c r="J3679" s="20"/>
    </row>
    <row r="3680" spans="1:10" ht="15.75" customHeight="1">
      <c r="A3680" s="8"/>
      <c r="C3680" s="8"/>
      <c r="F3680" s="8"/>
      <c r="H3680" s="16"/>
      <c r="I3680" s="16"/>
      <c r="J3680" s="20"/>
    </row>
    <row r="3681" spans="1:10" ht="15.75" customHeight="1">
      <c r="A3681" s="8"/>
      <c r="C3681" s="8"/>
      <c r="F3681" s="8"/>
      <c r="H3681" s="16"/>
      <c r="I3681" s="16"/>
      <c r="J3681" s="20"/>
    </row>
    <row r="3682" spans="1:10" ht="15.75" customHeight="1">
      <c r="A3682" s="8"/>
      <c r="C3682" s="8"/>
      <c r="F3682" s="8"/>
      <c r="H3682" s="16"/>
      <c r="I3682" s="16"/>
      <c r="J3682" s="20"/>
    </row>
    <row r="3683" spans="1:10" ht="15.75" customHeight="1">
      <c r="A3683" s="8"/>
      <c r="C3683" s="8"/>
      <c r="F3683" s="8"/>
      <c r="H3683" s="16"/>
      <c r="I3683" s="16"/>
      <c r="J3683" s="20"/>
    </row>
    <row r="3684" spans="1:10" ht="15.75" customHeight="1">
      <c r="A3684" s="8"/>
      <c r="C3684" s="8"/>
      <c r="F3684" s="8"/>
      <c r="H3684" s="16"/>
      <c r="I3684" s="16"/>
      <c r="J3684" s="20"/>
    </row>
    <row r="3685" spans="1:10" ht="15.75" customHeight="1">
      <c r="A3685" s="8"/>
      <c r="C3685" s="8"/>
      <c r="F3685" s="8"/>
      <c r="H3685" s="16"/>
      <c r="I3685" s="16"/>
      <c r="J3685" s="20"/>
    </row>
    <row r="3686" spans="1:10" ht="15.75" customHeight="1">
      <c r="A3686" s="8"/>
      <c r="C3686" s="8"/>
      <c r="F3686" s="8"/>
      <c r="H3686" s="16"/>
      <c r="I3686" s="16"/>
      <c r="J3686" s="20"/>
    </row>
    <row r="3687" spans="1:10" ht="15.75" customHeight="1">
      <c r="A3687" s="8"/>
      <c r="C3687" s="8"/>
      <c r="F3687" s="8"/>
      <c r="H3687" s="16"/>
      <c r="I3687" s="16"/>
      <c r="J3687" s="20"/>
    </row>
    <row r="3688" spans="1:10" ht="15.75" customHeight="1">
      <c r="A3688" s="8"/>
      <c r="C3688" s="8"/>
      <c r="F3688" s="8"/>
      <c r="H3688" s="16"/>
      <c r="I3688" s="16"/>
      <c r="J3688" s="20"/>
    </row>
    <row r="3689" spans="1:10" ht="15.75" customHeight="1">
      <c r="A3689" s="8"/>
      <c r="C3689" s="8"/>
      <c r="F3689" s="8"/>
      <c r="H3689" s="16"/>
      <c r="I3689" s="16"/>
      <c r="J3689" s="20"/>
    </row>
    <row r="3690" spans="1:10" ht="15.75" customHeight="1">
      <c r="A3690" s="8"/>
      <c r="C3690" s="8"/>
      <c r="F3690" s="8"/>
      <c r="H3690" s="16"/>
      <c r="I3690" s="16"/>
      <c r="J3690" s="20"/>
    </row>
    <row r="3691" spans="1:10" ht="15.75" customHeight="1">
      <c r="A3691" s="8"/>
      <c r="C3691" s="8"/>
      <c r="F3691" s="8"/>
      <c r="H3691" s="16"/>
      <c r="I3691" s="16"/>
      <c r="J3691" s="20"/>
    </row>
    <row r="3692" spans="1:10" ht="15.75" customHeight="1">
      <c r="A3692" s="8"/>
      <c r="C3692" s="8"/>
      <c r="F3692" s="8"/>
      <c r="H3692" s="16"/>
      <c r="I3692" s="16"/>
      <c r="J3692" s="20"/>
    </row>
    <row r="3693" spans="1:10" ht="15.75" customHeight="1">
      <c r="A3693" s="8"/>
      <c r="C3693" s="8"/>
      <c r="F3693" s="8"/>
      <c r="H3693" s="16"/>
      <c r="I3693" s="16"/>
      <c r="J3693" s="20"/>
    </row>
    <row r="3694" spans="1:10" ht="15.75" customHeight="1">
      <c r="A3694" s="8"/>
      <c r="C3694" s="8"/>
      <c r="F3694" s="8"/>
      <c r="H3694" s="16"/>
      <c r="I3694" s="16"/>
      <c r="J3694" s="20"/>
    </row>
    <row r="3695" spans="1:10" ht="15.75" customHeight="1">
      <c r="A3695" s="8"/>
      <c r="C3695" s="8"/>
      <c r="F3695" s="8"/>
      <c r="H3695" s="16"/>
      <c r="I3695" s="16"/>
      <c r="J3695" s="20"/>
    </row>
    <row r="3696" spans="1:10" ht="15.75" customHeight="1">
      <c r="A3696" s="8"/>
      <c r="C3696" s="8"/>
      <c r="F3696" s="8"/>
      <c r="H3696" s="16"/>
      <c r="I3696" s="16"/>
      <c r="J3696" s="20"/>
    </row>
    <row r="3697" spans="1:10" ht="15.75" customHeight="1">
      <c r="A3697" s="8"/>
      <c r="C3697" s="8"/>
      <c r="F3697" s="8"/>
      <c r="H3697" s="16"/>
      <c r="I3697" s="16"/>
      <c r="J3697" s="20"/>
    </row>
    <row r="3698" spans="1:10" ht="15.75" customHeight="1">
      <c r="A3698" s="8"/>
      <c r="C3698" s="8"/>
      <c r="F3698" s="8"/>
      <c r="H3698" s="16"/>
      <c r="I3698" s="16"/>
      <c r="J3698" s="20"/>
    </row>
    <row r="3699" spans="1:10" ht="15.75" customHeight="1">
      <c r="A3699" s="8"/>
      <c r="C3699" s="8"/>
      <c r="F3699" s="8"/>
      <c r="H3699" s="16"/>
      <c r="I3699" s="16"/>
      <c r="J3699" s="20"/>
    </row>
    <row r="3700" spans="1:10" ht="15.75" customHeight="1">
      <c r="A3700" s="8"/>
      <c r="C3700" s="8"/>
      <c r="F3700" s="8"/>
      <c r="H3700" s="16"/>
      <c r="I3700" s="16"/>
      <c r="J3700" s="20"/>
    </row>
    <row r="3701" spans="1:10" ht="15.75" customHeight="1">
      <c r="A3701" s="8"/>
      <c r="C3701" s="8"/>
      <c r="F3701" s="8"/>
      <c r="H3701" s="16"/>
      <c r="I3701" s="16"/>
      <c r="J3701" s="20"/>
    </row>
    <row r="3702" spans="1:10" ht="15.75" customHeight="1">
      <c r="A3702" s="8"/>
      <c r="C3702" s="8"/>
      <c r="F3702" s="8"/>
      <c r="H3702" s="16"/>
      <c r="I3702" s="16"/>
      <c r="J3702" s="20"/>
    </row>
    <row r="3703" spans="1:10" ht="15.75" customHeight="1">
      <c r="A3703" s="8"/>
      <c r="C3703" s="8"/>
      <c r="F3703" s="8"/>
      <c r="H3703" s="16"/>
      <c r="I3703" s="16"/>
      <c r="J3703" s="20"/>
    </row>
    <row r="3704" spans="1:10" ht="15.75" customHeight="1">
      <c r="A3704" s="8"/>
      <c r="C3704" s="8"/>
      <c r="F3704" s="8"/>
      <c r="H3704" s="16"/>
      <c r="I3704" s="16"/>
      <c r="J3704" s="20"/>
    </row>
    <row r="3705" spans="1:10" ht="15.75" customHeight="1">
      <c r="A3705" s="8"/>
      <c r="C3705" s="8"/>
      <c r="F3705" s="8"/>
      <c r="H3705" s="16"/>
      <c r="I3705" s="16"/>
      <c r="J3705" s="20"/>
    </row>
    <row r="3706" spans="1:10" ht="15.75" customHeight="1">
      <c r="A3706" s="8"/>
      <c r="C3706" s="8"/>
      <c r="F3706" s="8"/>
      <c r="H3706" s="16"/>
      <c r="I3706" s="16"/>
      <c r="J3706" s="20"/>
    </row>
    <row r="3707" spans="1:10" ht="15.75" customHeight="1">
      <c r="A3707" s="8"/>
      <c r="C3707" s="8"/>
      <c r="F3707" s="8"/>
      <c r="H3707" s="16"/>
      <c r="I3707" s="16"/>
      <c r="J3707" s="20"/>
    </row>
    <row r="3708" spans="1:10" ht="15.75" customHeight="1">
      <c r="A3708" s="8"/>
      <c r="C3708" s="8"/>
      <c r="F3708" s="8"/>
      <c r="H3708" s="16"/>
      <c r="I3708" s="16"/>
      <c r="J3708" s="20"/>
    </row>
    <row r="3709" spans="1:10" ht="15.75" customHeight="1">
      <c r="A3709" s="8"/>
      <c r="C3709" s="8"/>
      <c r="F3709" s="8"/>
      <c r="H3709" s="16"/>
      <c r="I3709" s="16"/>
      <c r="J3709" s="20"/>
    </row>
    <row r="3710" spans="1:10" ht="15.75" customHeight="1">
      <c r="A3710" s="8"/>
      <c r="C3710" s="8"/>
      <c r="F3710" s="8"/>
      <c r="H3710" s="16"/>
      <c r="I3710" s="16"/>
      <c r="J3710" s="20"/>
    </row>
    <row r="3711" spans="1:10" ht="15.75" customHeight="1">
      <c r="A3711" s="8"/>
      <c r="C3711" s="8"/>
      <c r="F3711" s="8"/>
      <c r="H3711" s="16"/>
      <c r="I3711" s="16"/>
      <c r="J3711" s="20"/>
    </row>
    <row r="3712" spans="1:10" ht="15.75" customHeight="1">
      <c r="A3712" s="8"/>
      <c r="C3712" s="8"/>
      <c r="F3712" s="8"/>
      <c r="H3712" s="16"/>
      <c r="I3712" s="16"/>
      <c r="J3712" s="20"/>
    </row>
    <row r="3713" spans="1:10" ht="15.75" customHeight="1">
      <c r="A3713" s="8"/>
      <c r="C3713" s="8"/>
      <c r="F3713" s="8"/>
      <c r="H3713" s="16"/>
      <c r="I3713" s="16"/>
      <c r="J3713" s="20"/>
    </row>
    <row r="3714" spans="1:10" ht="15.75" customHeight="1">
      <c r="A3714" s="8"/>
      <c r="C3714" s="8"/>
      <c r="F3714" s="8"/>
      <c r="H3714" s="16"/>
      <c r="I3714" s="16"/>
      <c r="J3714" s="20"/>
    </row>
    <row r="3715" spans="1:10" ht="15.75" customHeight="1">
      <c r="A3715" s="8"/>
      <c r="C3715" s="8"/>
      <c r="F3715" s="8"/>
      <c r="H3715" s="16"/>
      <c r="I3715" s="16"/>
      <c r="J3715" s="20"/>
    </row>
    <row r="3716" spans="1:10" ht="15.75" customHeight="1">
      <c r="A3716" s="8"/>
      <c r="C3716" s="8"/>
      <c r="F3716" s="8"/>
      <c r="H3716" s="16"/>
      <c r="I3716" s="16"/>
      <c r="J3716" s="20"/>
    </row>
    <row r="3717" spans="1:10" ht="15.75" customHeight="1">
      <c r="A3717" s="8"/>
      <c r="C3717" s="8"/>
      <c r="F3717" s="8"/>
      <c r="H3717" s="16"/>
      <c r="I3717" s="16"/>
      <c r="J3717" s="20"/>
    </row>
    <row r="3718" spans="1:10" ht="15.75" customHeight="1">
      <c r="A3718" s="8"/>
      <c r="C3718" s="8"/>
      <c r="F3718" s="8"/>
      <c r="H3718" s="16"/>
      <c r="I3718" s="16"/>
      <c r="J3718" s="20"/>
    </row>
    <row r="3719" spans="1:10" ht="15.75" customHeight="1">
      <c r="A3719" s="8"/>
      <c r="C3719" s="8"/>
      <c r="F3719" s="8"/>
      <c r="H3719" s="16"/>
      <c r="I3719" s="16"/>
      <c r="J3719" s="20"/>
    </row>
    <row r="3720" spans="1:10" ht="15.75" customHeight="1">
      <c r="A3720" s="8"/>
      <c r="C3720" s="8"/>
      <c r="F3720" s="8"/>
      <c r="H3720" s="16"/>
      <c r="I3720" s="16"/>
      <c r="J3720" s="20"/>
    </row>
    <row r="3721" spans="1:10" ht="15.75" customHeight="1">
      <c r="A3721" s="8"/>
      <c r="C3721" s="8"/>
      <c r="F3721" s="8"/>
      <c r="H3721" s="16"/>
      <c r="I3721" s="16"/>
      <c r="J3721" s="20"/>
    </row>
    <row r="3722" spans="1:10" ht="15.75" customHeight="1">
      <c r="A3722" s="8"/>
      <c r="C3722" s="8"/>
      <c r="F3722" s="8"/>
      <c r="H3722" s="16"/>
      <c r="I3722" s="16"/>
      <c r="J3722" s="20"/>
    </row>
    <row r="3723" spans="1:10" ht="15.75" customHeight="1">
      <c r="A3723" s="8"/>
      <c r="C3723" s="8"/>
      <c r="F3723" s="8"/>
      <c r="H3723" s="16"/>
      <c r="I3723" s="16"/>
      <c r="J3723" s="20"/>
    </row>
    <row r="3724" spans="1:10" ht="15.75" customHeight="1">
      <c r="A3724" s="8"/>
      <c r="C3724" s="8"/>
      <c r="F3724" s="8"/>
      <c r="H3724" s="16"/>
      <c r="I3724" s="16"/>
      <c r="J3724" s="20"/>
    </row>
    <row r="3725" spans="1:10" ht="15.75" customHeight="1">
      <c r="A3725" s="8"/>
      <c r="C3725" s="8"/>
      <c r="F3725" s="8"/>
      <c r="H3725" s="16"/>
      <c r="I3725" s="16"/>
      <c r="J3725" s="20"/>
    </row>
    <row r="3726" spans="1:10" ht="15.75" customHeight="1">
      <c r="A3726" s="8"/>
      <c r="C3726" s="8"/>
      <c r="F3726" s="8"/>
      <c r="H3726" s="16"/>
      <c r="I3726" s="16"/>
      <c r="J3726" s="20"/>
    </row>
    <row r="3727" spans="1:10" ht="15.75" customHeight="1">
      <c r="A3727" s="8"/>
      <c r="C3727" s="8"/>
      <c r="F3727" s="8"/>
      <c r="H3727" s="16"/>
      <c r="I3727" s="16"/>
      <c r="J3727" s="20"/>
    </row>
    <row r="3728" spans="1:10" ht="15.75" customHeight="1">
      <c r="A3728" s="8"/>
      <c r="C3728" s="8"/>
      <c r="F3728" s="8"/>
      <c r="H3728" s="16"/>
      <c r="I3728" s="16"/>
      <c r="J3728" s="20"/>
    </row>
    <row r="3729" spans="1:10" ht="15.75" customHeight="1">
      <c r="A3729" s="8"/>
      <c r="C3729" s="8"/>
      <c r="F3729" s="8"/>
      <c r="H3729" s="16"/>
      <c r="I3729" s="16"/>
      <c r="J3729" s="20"/>
    </row>
    <row r="3730" spans="1:10" ht="15.75" customHeight="1">
      <c r="A3730" s="8"/>
      <c r="C3730" s="8"/>
      <c r="F3730" s="8"/>
      <c r="H3730" s="16"/>
      <c r="I3730" s="16"/>
      <c r="J3730" s="20"/>
    </row>
    <row r="3731" spans="1:10" ht="15.75" customHeight="1">
      <c r="A3731" s="8"/>
      <c r="C3731" s="8"/>
      <c r="F3731" s="8"/>
      <c r="H3731" s="16"/>
      <c r="I3731" s="16"/>
      <c r="J3731" s="20"/>
    </row>
    <row r="3732" spans="1:10" ht="15.75" customHeight="1">
      <c r="A3732" s="8"/>
      <c r="C3732" s="8"/>
      <c r="F3732" s="8"/>
      <c r="H3732" s="16"/>
      <c r="I3732" s="16"/>
      <c r="J3732" s="20"/>
    </row>
    <row r="3733" spans="1:10" ht="15.75" customHeight="1">
      <c r="A3733" s="8"/>
      <c r="C3733" s="8"/>
      <c r="F3733" s="8"/>
      <c r="H3733" s="16"/>
      <c r="I3733" s="16"/>
      <c r="J3733" s="20"/>
    </row>
    <row r="3734" spans="1:10" ht="15.75" customHeight="1">
      <c r="A3734" s="8"/>
      <c r="C3734" s="8"/>
      <c r="F3734" s="8"/>
      <c r="H3734" s="16"/>
      <c r="I3734" s="16"/>
      <c r="J3734" s="20"/>
    </row>
    <row r="3735" spans="1:10" ht="15.75" customHeight="1">
      <c r="A3735" s="8"/>
      <c r="C3735" s="8"/>
      <c r="F3735" s="8"/>
      <c r="H3735" s="16"/>
      <c r="I3735" s="16"/>
      <c r="J3735" s="20"/>
    </row>
    <row r="3736" spans="1:10" ht="15.75" customHeight="1">
      <c r="A3736" s="8"/>
      <c r="C3736" s="8"/>
      <c r="F3736" s="8"/>
      <c r="H3736" s="16"/>
      <c r="I3736" s="16"/>
      <c r="J3736" s="20"/>
    </row>
    <row r="3737" spans="1:10" ht="15.75" customHeight="1">
      <c r="A3737" s="8"/>
      <c r="C3737" s="8"/>
      <c r="F3737" s="8"/>
      <c r="H3737" s="16"/>
      <c r="I3737" s="16"/>
      <c r="J3737" s="20"/>
    </row>
    <row r="3738" spans="1:10" ht="15.75" customHeight="1">
      <c r="A3738" s="8"/>
      <c r="C3738" s="8"/>
      <c r="F3738" s="8"/>
      <c r="H3738" s="16"/>
      <c r="I3738" s="16"/>
      <c r="J3738" s="20"/>
    </row>
    <row r="3739" spans="1:10" ht="15.75" customHeight="1">
      <c r="A3739" s="8"/>
      <c r="C3739" s="8"/>
      <c r="F3739" s="8"/>
      <c r="H3739" s="16"/>
      <c r="I3739" s="16"/>
      <c r="J3739" s="20"/>
    </row>
    <row r="3740" spans="1:10" ht="15.75" customHeight="1">
      <c r="A3740" s="8"/>
      <c r="C3740" s="8"/>
      <c r="F3740" s="8"/>
      <c r="H3740" s="16"/>
      <c r="I3740" s="16"/>
      <c r="J3740" s="20"/>
    </row>
    <row r="3741" spans="1:10" ht="15.75" customHeight="1">
      <c r="A3741" s="8"/>
      <c r="C3741" s="8"/>
      <c r="F3741" s="8"/>
      <c r="H3741" s="16"/>
      <c r="I3741" s="16"/>
      <c r="J3741" s="20"/>
    </row>
    <row r="3742" spans="1:10" ht="15.75" customHeight="1">
      <c r="A3742" s="8"/>
      <c r="C3742" s="8"/>
      <c r="F3742" s="8"/>
      <c r="H3742" s="16"/>
      <c r="I3742" s="16"/>
      <c r="J3742" s="20"/>
    </row>
    <row r="3743" spans="1:10" ht="15.75" customHeight="1">
      <c r="A3743" s="8"/>
      <c r="C3743" s="8"/>
      <c r="F3743" s="8"/>
      <c r="H3743" s="16"/>
      <c r="I3743" s="16"/>
      <c r="J3743" s="20"/>
    </row>
    <row r="3744" spans="1:10" ht="15.75" customHeight="1">
      <c r="A3744" s="8"/>
      <c r="C3744" s="8"/>
      <c r="F3744" s="8"/>
      <c r="H3744" s="16"/>
      <c r="I3744" s="16"/>
      <c r="J3744" s="20"/>
    </row>
    <row r="3745" spans="1:10" ht="15.75" customHeight="1">
      <c r="A3745" s="8"/>
      <c r="C3745" s="8"/>
      <c r="F3745" s="8"/>
      <c r="H3745" s="16"/>
      <c r="I3745" s="16"/>
      <c r="J3745" s="20"/>
    </row>
    <row r="3746" spans="1:10" ht="15.75" customHeight="1">
      <c r="A3746" s="8"/>
      <c r="C3746" s="8"/>
      <c r="F3746" s="8"/>
      <c r="H3746" s="16"/>
      <c r="I3746" s="16"/>
      <c r="J3746" s="20"/>
    </row>
    <row r="3747" spans="1:10" ht="15.75" customHeight="1">
      <c r="A3747" s="8"/>
      <c r="C3747" s="8"/>
      <c r="F3747" s="8"/>
      <c r="H3747" s="16"/>
      <c r="I3747" s="16"/>
      <c r="J3747" s="20"/>
    </row>
    <row r="3748" spans="1:10" ht="15.75" customHeight="1">
      <c r="A3748" s="8"/>
      <c r="C3748" s="8"/>
      <c r="F3748" s="8"/>
      <c r="H3748" s="16"/>
      <c r="I3748" s="16"/>
      <c r="J3748" s="20"/>
    </row>
    <row r="3749" spans="1:10" ht="15.75" customHeight="1">
      <c r="A3749" s="8"/>
      <c r="C3749" s="8"/>
      <c r="F3749" s="8"/>
      <c r="H3749" s="16"/>
      <c r="I3749" s="16"/>
      <c r="J3749" s="20"/>
    </row>
    <row r="3750" spans="1:10" ht="15.75" customHeight="1">
      <c r="A3750" s="8"/>
      <c r="C3750" s="8"/>
      <c r="F3750" s="8"/>
      <c r="H3750" s="16"/>
      <c r="I3750" s="16"/>
      <c r="J3750" s="20"/>
    </row>
    <row r="3751" spans="1:10" ht="15.75" customHeight="1">
      <c r="A3751" s="8"/>
      <c r="C3751" s="8"/>
      <c r="F3751" s="8"/>
      <c r="H3751" s="16"/>
      <c r="I3751" s="16"/>
      <c r="J3751" s="20"/>
    </row>
    <row r="3752" spans="1:10" ht="15.75" customHeight="1">
      <c r="A3752" s="8"/>
      <c r="C3752" s="8"/>
      <c r="F3752" s="8"/>
      <c r="H3752" s="16"/>
      <c r="I3752" s="16"/>
      <c r="J3752" s="20"/>
    </row>
    <row r="3753" spans="1:10" ht="15.75" customHeight="1">
      <c r="A3753" s="8"/>
      <c r="C3753" s="8"/>
      <c r="F3753" s="8"/>
      <c r="H3753" s="16"/>
      <c r="I3753" s="16"/>
      <c r="J3753" s="20"/>
    </row>
    <row r="3754" spans="1:10" ht="15.75" customHeight="1">
      <c r="A3754" s="8"/>
      <c r="C3754" s="8"/>
      <c r="F3754" s="8"/>
      <c r="H3754" s="16"/>
      <c r="I3754" s="16"/>
      <c r="J3754" s="20"/>
    </row>
    <row r="3755" spans="1:10" ht="15.75" customHeight="1">
      <c r="A3755" s="8"/>
      <c r="C3755" s="8"/>
      <c r="F3755" s="8"/>
      <c r="H3755" s="16"/>
      <c r="I3755" s="16"/>
      <c r="J3755" s="20"/>
    </row>
    <row r="3756" spans="1:10" ht="15.75" customHeight="1">
      <c r="A3756" s="8"/>
      <c r="C3756" s="8"/>
      <c r="F3756" s="8"/>
      <c r="H3756" s="16"/>
      <c r="I3756" s="16"/>
      <c r="J3756" s="20"/>
    </row>
    <row r="3757" spans="1:10" ht="15.75" customHeight="1">
      <c r="A3757" s="8"/>
      <c r="C3757" s="8"/>
      <c r="F3757" s="8"/>
      <c r="H3757" s="16"/>
      <c r="I3757" s="16"/>
      <c r="J3757" s="20"/>
    </row>
    <row r="3758" spans="1:10" ht="15.75" customHeight="1">
      <c r="A3758" s="8"/>
      <c r="C3758" s="8"/>
      <c r="F3758" s="8"/>
      <c r="H3758" s="16"/>
      <c r="I3758" s="16"/>
      <c r="J3758" s="20"/>
    </row>
    <row r="3759" spans="1:10" ht="15.75" customHeight="1">
      <c r="A3759" s="8"/>
      <c r="C3759" s="8"/>
      <c r="F3759" s="8"/>
      <c r="H3759" s="16"/>
      <c r="I3759" s="16"/>
      <c r="J3759" s="20"/>
    </row>
    <row r="3760" spans="1:10" ht="15.75" customHeight="1">
      <c r="A3760" s="8"/>
      <c r="C3760" s="8"/>
      <c r="F3760" s="8"/>
      <c r="H3760" s="16"/>
      <c r="I3760" s="16"/>
      <c r="J3760" s="20"/>
    </row>
    <row r="3761" spans="1:10" ht="15.75" customHeight="1">
      <c r="A3761" s="8"/>
      <c r="C3761" s="8"/>
      <c r="F3761" s="8"/>
      <c r="H3761" s="16"/>
      <c r="I3761" s="16"/>
      <c r="J3761" s="20"/>
    </row>
    <row r="3762" spans="1:10" ht="15.75" customHeight="1">
      <c r="A3762" s="8"/>
      <c r="C3762" s="8"/>
      <c r="F3762" s="8"/>
      <c r="H3762" s="16"/>
      <c r="I3762" s="16"/>
      <c r="J3762" s="20"/>
    </row>
    <row r="3763" spans="1:10" ht="15.75" customHeight="1">
      <c r="A3763" s="8"/>
      <c r="C3763" s="8"/>
      <c r="F3763" s="8"/>
      <c r="H3763" s="16"/>
      <c r="I3763" s="16"/>
      <c r="J3763" s="20"/>
    </row>
    <row r="3764" spans="1:10" ht="15.75" customHeight="1">
      <c r="A3764" s="8"/>
      <c r="C3764" s="8"/>
      <c r="F3764" s="8"/>
      <c r="H3764" s="16"/>
      <c r="I3764" s="16"/>
      <c r="J3764" s="20"/>
    </row>
    <row r="3765" spans="1:10" ht="15.75" customHeight="1">
      <c r="A3765" s="8"/>
      <c r="C3765" s="8"/>
      <c r="F3765" s="8"/>
      <c r="H3765" s="16"/>
      <c r="I3765" s="16"/>
      <c r="J3765" s="20"/>
    </row>
    <row r="3766" spans="1:10" ht="15.75" customHeight="1">
      <c r="A3766" s="8"/>
      <c r="C3766" s="8"/>
      <c r="F3766" s="8"/>
      <c r="H3766" s="16"/>
      <c r="I3766" s="16"/>
      <c r="J3766" s="20"/>
    </row>
    <row r="3767" spans="1:10" ht="15.75" customHeight="1">
      <c r="A3767" s="8"/>
      <c r="C3767" s="8"/>
      <c r="F3767" s="8"/>
      <c r="H3767" s="16"/>
      <c r="I3767" s="16"/>
      <c r="J3767" s="20"/>
    </row>
    <row r="3768" spans="1:10" ht="15.75" customHeight="1">
      <c r="A3768" s="8"/>
      <c r="C3768" s="8"/>
      <c r="F3768" s="8"/>
      <c r="H3768" s="16"/>
      <c r="I3768" s="16"/>
      <c r="J3768" s="20"/>
    </row>
    <row r="3769" spans="1:10" ht="15.75" customHeight="1">
      <c r="A3769" s="8"/>
      <c r="C3769" s="8"/>
      <c r="F3769" s="8"/>
      <c r="H3769" s="16"/>
      <c r="I3769" s="16"/>
      <c r="J3769" s="20"/>
    </row>
    <row r="3770" spans="1:10" ht="15.75" customHeight="1">
      <c r="A3770" s="8"/>
      <c r="C3770" s="8"/>
      <c r="F3770" s="8"/>
      <c r="H3770" s="16"/>
      <c r="I3770" s="16"/>
      <c r="J3770" s="20"/>
    </row>
    <row r="3771" spans="1:10" ht="15.75" customHeight="1">
      <c r="A3771" s="8"/>
      <c r="C3771" s="8"/>
      <c r="F3771" s="8"/>
      <c r="H3771" s="16"/>
      <c r="I3771" s="16"/>
      <c r="J3771" s="20"/>
    </row>
    <row r="3772" spans="1:10" ht="15.75" customHeight="1">
      <c r="A3772" s="8"/>
      <c r="C3772" s="8"/>
      <c r="F3772" s="8"/>
      <c r="H3772" s="16"/>
      <c r="I3772" s="16"/>
      <c r="J3772" s="20"/>
    </row>
    <row r="3773" spans="1:10" ht="15.75" customHeight="1">
      <c r="A3773" s="8"/>
      <c r="C3773" s="8"/>
      <c r="F3773" s="8"/>
      <c r="H3773" s="16"/>
      <c r="I3773" s="16"/>
      <c r="J3773" s="20"/>
    </row>
    <row r="3774" spans="1:10" ht="15.75" customHeight="1">
      <c r="A3774" s="8"/>
      <c r="C3774" s="8"/>
      <c r="F3774" s="8"/>
      <c r="H3774" s="16"/>
      <c r="I3774" s="16"/>
      <c r="J3774" s="20"/>
    </row>
    <row r="3775" spans="1:10" ht="15.75" customHeight="1">
      <c r="A3775" s="8"/>
      <c r="C3775" s="8"/>
      <c r="F3775" s="8"/>
      <c r="H3775" s="16"/>
      <c r="I3775" s="16"/>
      <c r="J3775" s="20"/>
    </row>
    <row r="3776" spans="1:10" ht="15.75" customHeight="1">
      <c r="A3776" s="8"/>
      <c r="C3776" s="8"/>
      <c r="F3776" s="8"/>
      <c r="H3776" s="16"/>
      <c r="I3776" s="16"/>
      <c r="J3776" s="20"/>
    </row>
    <row r="3777" spans="1:10" ht="15.75" customHeight="1">
      <c r="A3777" s="8"/>
      <c r="C3777" s="8"/>
      <c r="F3777" s="8"/>
      <c r="H3777" s="16"/>
      <c r="I3777" s="16"/>
      <c r="J3777" s="20"/>
    </row>
    <row r="3778" spans="1:10" ht="15.75" customHeight="1">
      <c r="A3778" s="8"/>
      <c r="C3778" s="8"/>
      <c r="F3778" s="8"/>
      <c r="H3778" s="16"/>
      <c r="I3778" s="16"/>
      <c r="J3778" s="20"/>
    </row>
    <row r="3779" spans="1:10" ht="15.75" customHeight="1">
      <c r="A3779" s="8"/>
      <c r="C3779" s="8"/>
      <c r="F3779" s="8"/>
      <c r="H3779" s="16"/>
      <c r="I3779" s="16"/>
      <c r="J3779" s="20"/>
    </row>
    <row r="3780" spans="1:10" ht="15.75" customHeight="1">
      <c r="A3780" s="8"/>
      <c r="C3780" s="8"/>
      <c r="F3780" s="8"/>
      <c r="H3780" s="16"/>
      <c r="I3780" s="16"/>
      <c r="J3780" s="20"/>
    </row>
    <row r="3781" spans="1:10" ht="15.75" customHeight="1">
      <c r="A3781" s="8"/>
      <c r="C3781" s="8"/>
      <c r="F3781" s="8"/>
      <c r="H3781" s="16"/>
      <c r="I3781" s="16"/>
      <c r="J3781" s="20"/>
    </row>
    <row r="3782" spans="1:10" ht="15.75" customHeight="1">
      <c r="A3782" s="8"/>
      <c r="C3782" s="8"/>
      <c r="F3782" s="8"/>
      <c r="H3782" s="16"/>
      <c r="I3782" s="16"/>
      <c r="J3782" s="20"/>
    </row>
    <row r="3783" spans="1:10" ht="15.75" customHeight="1">
      <c r="A3783" s="8"/>
      <c r="C3783" s="8"/>
      <c r="F3783" s="8"/>
      <c r="H3783" s="16"/>
      <c r="I3783" s="16"/>
      <c r="J3783" s="20"/>
    </row>
    <row r="3784" spans="1:10" ht="15.75" customHeight="1">
      <c r="A3784" s="8"/>
      <c r="C3784" s="8"/>
      <c r="F3784" s="8"/>
      <c r="H3784" s="16"/>
      <c r="I3784" s="16"/>
      <c r="J3784" s="20"/>
    </row>
    <row r="3785" spans="1:10" ht="15.75" customHeight="1">
      <c r="A3785" s="8"/>
      <c r="C3785" s="8"/>
      <c r="F3785" s="8"/>
      <c r="H3785" s="16"/>
      <c r="I3785" s="16"/>
      <c r="J3785" s="20"/>
    </row>
    <row r="3786" spans="1:10" ht="15.75" customHeight="1">
      <c r="A3786" s="8"/>
      <c r="C3786" s="8"/>
      <c r="F3786" s="8"/>
      <c r="H3786" s="16"/>
      <c r="I3786" s="16"/>
      <c r="J3786" s="20"/>
    </row>
    <row r="3787" spans="1:10" ht="15.75" customHeight="1">
      <c r="A3787" s="8"/>
      <c r="C3787" s="8"/>
      <c r="F3787" s="8"/>
      <c r="H3787" s="16"/>
      <c r="I3787" s="16"/>
      <c r="J3787" s="20"/>
    </row>
    <row r="3788" spans="1:10" ht="15.75" customHeight="1">
      <c r="A3788" s="8"/>
      <c r="C3788" s="8"/>
      <c r="F3788" s="8"/>
      <c r="H3788" s="16"/>
      <c r="I3788" s="16"/>
      <c r="J3788" s="20"/>
    </row>
    <row r="3789" spans="1:10" ht="15.75" customHeight="1">
      <c r="A3789" s="8"/>
      <c r="C3789" s="8"/>
      <c r="F3789" s="8"/>
      <c r="H3789" s="16"/>
      <c r="I3789" s="16"/>
      <c r="J3789" s="20"/>
    </row>
    <row r="3790" spans="1:10" ht="15.75" customHeight="1">
      <c r="A3790" s="8"/>
      <c r="C3790" s="8"/>
      <c r="F3790" s="8"/>
      <c r="H3790" s="16"/>
      <c r="I3790" s="16"/>
      <c r="J3790" s="20"/>
    </row>
    <row r="3791" spans="1:10" ht="15.75" customHeight="1">
      <c r="A3791" s="8"/>
      <c r="C3791" s="8"/>
      <c r="F3791" s="8"/>
      <c r="H3791" s="16"/>
      <c r="I3791" s="16"/>
      <c r="J3791" s="20"/>
    </row>
    <row r="3792" spans="1:10" ht="15.75" customHeight="1">
      <c r="A3792" s="8"/>
      <c r="C3792" s="8"/>
      <c r="F3792" s="8"/>
      <c r="H3792" s="16"/>
      <c r="I3792" s="16"/>
      <c r="J3792" s="20"/>
    </row>
    <row r="3793" spans="1:10" ht="15.75" customHeight="1">
      <c r="A3793" s="8"/>
      <c r="C3793" s="8"/>
      <c r="F3793" s="8"/>
      <c r="H3793" s="16"/>
      <c r="I3793" s="16"/>
      <c r="J3793" s="20"/>
    </row>
    <row r="3794" spans="1:10" ht="15.75" customHeight="1">
      <c r="A3794" s="8"/>
      <c r="C3794" s="8"/>
      <c r="F3794" s="8"/>
      <c r="H3794" s="16"/>
      <c r="I3794" s="16"/>
      <c r="J3794" s="20"/>
    </row>
    <row r="3795" spans="1:10" ht="15.75" customHeight="1">
      <c r="A3795" s="8"/>
      <c r="C3795" s="8"/>
      <c r="F3795" s="8"/>
      <c r="H3795" s="16"/>
      <c r="I3795" s="16"/>
      <c r="J3795" s="20"/>
    </row>
    <row r="3796" spans="1:10" ht="15.75" customHeight="1">
      <c r="A3796" s="8"/>
      <c r="C3796" s="8"/>
      <c r="F3796" s="8"/>
      <c r="H3796" s="16"/>
      <c r="I3796" s="16"/>
      <c r="J3796" s="20"/>
    </row>
    <row r="3797" spans="1:10" ht="15.75" customHeight="1">
      <c r="A3797" s="8"/>
      <c r="C3797" s="8"/>
      <c r="F3797" s="8"/>
      <c r="H3797" s="16"/>
      <c r="I3797" s="16"/>
      <c r="J3797" s="20"/>
    </row>
    <row r="3798" spans="1:10" ht="15.75" customHeight="1">
      <c r="A3798" s="8"/>
      <c r="C3798" s="8"/>
      <c r="F3798" s="8"/>
      <c r="H3798" s="16"/>
      <c r="I3798" s="16"/>
      <c r="J3798" s="20"/>
    </row>
    <row r="3799" spans="1:10" ht="15.75" customHeight="1">
      <c r="A3799" s="8"/>
      <c r="C3799" s="8"/>
      <c r="F3799" s="8"/>
      <c r="H3799" s="16"/>
      <c r="I3799" s="16"/>
      <c r="J3799" s="20"/>
    </row>
    <row r="3800" spans="1:10" ht="15.75" customHeight="1">
      <c r="A3800" s="8"/>
      <c r="C3800" s="8"/>
      <c r="F3800" s="8"/>
      <c r="H3800" s="16"/>
      <c r="I3800" s="16"/>
      <c r="J3800" s="20"/>
    </row>
    <row r="3801" spans="1:10" ht="15.75" customHeight="1">
      <c r="A3801" s="8"/>
      <c r="C3801" s="8"/>
      <c r="F3801" s="8"/>
      <c r="H3801" s="16"/>
      <c r="I3801" s="16"/>
      <c r="J3801" s="20"/>
    </row>
    <row r="3802" spans="1:10" ht="15.75" customHeight="1">
      <c r="A3802" s="8"/>
      <c r="C3802" s="8"/>
      <c r="F3802" s="8"/>
      <c r="H3802" s="16"/>
      <c r="I3802" s="16"/>
      <c r="J3802" s="20"/>
    </row>
    <row r="3803" spans="1:10" ht="15.75" customHeight="1">
      <c r="A3803" s="8"/>
      <c r="C3803" s="8"/>
      <c r="F3803" s="8"/>
      <c r="H3803" s="16"/>
      <c r="I3803" s="16"/>
      <c r="J3803" s="20"/>
    </row>
    <row r="3804" spans="1:10" ht="15.75" customHeight="1">
      <c r="A3804" s="8"/>
      <c r="C3804" s="8"/>
      <c r="F3804" s="8"/>
      <c r="H3804" s="16"/>
      <c r="I3804" s="16"/>
      <c r="J3804" s="20"/>
    </row>
    <row r="3805" spans="1:10" ht="15.75" customHeight="1">
      <c r="A3805" s="8"/>
      <c r="C3805" s="8"/>
      <c r="F3805" s="8"/>
      <c r="H3805" s="16"/>
      <c r="I3805" s="16"/>
      <c r="J3805" s="20"/>
    </row>
    <row r="3806" spans="1:10" ht="15.75" customHeight="1">
      <c r="A3806" s="8"/>
      <c r="C3806" s="8"/>
      <c r="F3806" s="8"/>
      <c r="H3806" s="16"/>
      <c r="I3806" s="16"/>
      <c r="J3806" s="20"/>
    </row>
    <row r="3807" spans="1:10" ht="15.75" customHeight="1">
      <c r="A3807" s="8"/>
      <c r="C3807" s="8"/>
      <c r="F3807" s="8"/>
      <c r="H3807" s="16"/>
      <c r="I3807" s="16"/>
      <c r="J3807" s="20"/>
    </row>
    <row r="3808" spans="1:10" ht="15.75" customHeight="1">
      <c r="A3808" s="8"/>
      <c r="C3808" s="8"/>
      <c r="F3808" s="8"/>
      <c r="H3808" s="16"/>
      <c r="I3808" s="16"/>
      <c r="J3808" s="20"/>
    </row>
    <row r="3809" spans="1:10" ht="15.75" customHeight="1">
      <c r="A3809" s="8"/>
      <c r="C3809" s="8"/>
      <c r="F3809" s="8"/>
      <c r="H3809" s="16"/>
      <c r="I3809" s="16"/>
      <c r="J3809" s="20"/>
    </row>
    <row r="3810" spans="1:10" ht="15.75" customHeight="1">
      <c r="A3810" s="8"/>
      <c r="C3810" s="8"/>
      <c r="F3810" s="8"/>
      <c r="H3810" s="16"/>
      <c r="I3810" s="16"/>
      <c r="J3810" s="20"/>
    </row>
    <row r="3811" spans="1:10" ht="15.75" customHeight="1">
      <c r="A3811" s="8"/>
      <c r="C3811" s="8"/>
      <c r="F3811" s="8"/>
      <c r="H3811" s="16"/>
      <c r="I3811" s="16"/>
      <c r="J3811" s="20"/>
    </row>
    <row r="3812" spans="1:10" ht="15.75" customHeight="1">
      <c r="A3812" s="8"/>
      <c r="C3812" s="8"/>
      <c r="F3812" s="8"/>
      <c r="H3812" s="16"/>
      <c r="I3812" s="16"/>
      <c r="J3812" s="20"/>
    </row>
    <row r="3813" spans="1:10" ht="15.75" customHeight="1">
      <c r="A3813" s="8"/>
      <c r="C3813" s="8"/>
      <c r="F3813" s="8"/>
      <c r="H3813" s="16"/>
      <c r="I3813" s="16"/>
      <c r="J3813" s="20"/>
    </row>
    <row r="3814" spans="1:10" ht="15.75" customHeight="1">
      <c r="A3814" s="8"/>
      <c r="C3814" s="8"/>
      <c r="F3814" s="8"/>
      <c r="H3814" s="16"/>
      <c r="I3814" s="16"/>
      <c r="J3814" s="20"/>
    </row>
    <row r="3815" spans="1:10" ht="15.75" customHeight="1">
      <c r="A3815" s="8"/>
      <c r="C3815" s="8"/>
      <c r="F3815" s="8"/>
      <c r="H3815" s="16"/>
      <c r="I3815" s="16"/>
      <c r="J3815" s="20"/>
    </row>
    <row r="3816" spans="1:10" ht="15.75" customHeight="1">
      <c r="A3816" s="8"/>
      <c r="C3816" s="8"/>
      <c r="F3816" s="8"/>
      <c r="H3816" s="16"/>
      <c r="I3816" s="16"/>
      <c r="J3816" s="20"/>
    </row>
    <row r="3817" spans="1:10" ht="15.75" customHeight="1">
      <c r="A3817" s="8"/>
      <c r="C3817" s="8"/>
      <c r="F3817" s="8"/>
      <c r="H3817" s="16"/>
      <c r="I3817" s="16"/>
      <c r="J3817" s="20"/>
    </row>
    <row r="3818" spans="1:10" ht="15.75" customHeight="1">
      <c r="A3818" s="8"/>
      <c r="C3818" s="8"/>
      <c r="F3818" s="8"/>
      <c r="H3818" s="16"/>
      <c r="I3818" s="16"/>
      <c r="J3818" s="20"/>
    </row>
    <row r="3819" spans="1:10" ht="15.75" customHeight="1">
      <c r="A3819" s="8"/>
      <c r="C3819" s="8"/>
      <c r="F3819" s="8"/>
      <c r="H3819" s="16"/>
      <c r="I3819" s="16"/>
      <c r="J3819" s="20"/>
    </row>
    <row r="3820" spans="1:10" ht="15.75" customHeight="1">
      <c r="A3820" s="8"/>
      <c r="C3820" s="8"/>
      <c r="F3820" s="8"/>
      <c r="H3820" s="16"/>
      <c r="I3820" s="16"/>
      <c r="J3820" s="20"/>
    </row>
    <row r="3821" spans="1:10" ht="15.75" customHeight="1">
      <c r="A3821" s="8"/>
      <c r="C3821" s="8"/>
      <c r="F3821" s="8"/>
      <c r="H3821" s="16"/>
      <c r="I3821" s="16"/>
      <c r="J3821" s="20"/>
    </row>
    <row r="3822" spans="1:10" ht="15.75" customHeight="1">
      <c r="A3822" s="8"/>
      <c r="C3822" s="8"/>
      <c r="F3822" s="8"/>
      <c r="H3822" s="16"/>
      <c r="I3822" s="16"/>
      <c r="J3822" s="20"/>
    </row>
    <row r="3823" spans="1:10" ht="15.75" customHeight="1">
      <c r="A3823" s="8"/>
      <c r="C3823" s="8"/>
      <c r="F3823" s="8"/>
      <c r="H3823" s="16"/>
      <c r="I3823" s="16"/>
      <c r="J3823" s="20"/>
    </row>
    <row r="3824" spans="1:10" ht="15.75" customHeight="1">
      <c r="A3824" s="8"/>
      <c r="C3824" s="8"/>
      <c r="F3824" s="8"/>
      <c r="H3824" s="16"/>
      <c r="I3824" s="16"/>
      <c r="J3824" s="20"/>
    </row>
    <row r="3825" spans="1:10" ht="15.75" customHeight="1">
      <c r="A3825" s="8"/>
      <c r="C3825" s="8"/>
      <c r="F3825" s="8"/>
      <c r="H3825" s="16"/>
      <c r="I3825" s="16"/>
      <c r="J3825" s="20"/>
    </row>
    <row r="3826" spans="1:10" ht="15.75" customHeight="1">
      <c r="A3826" s="8"/>
      <c r="C3826" s="8"/>
      <c r="F3826" s="8"/>
      <c r="H3826" s="16"/>
      <c r="I3826" s="16"/>
      <c r="J3826" s="20"/>
    </row>
    <row r="3827" spans="1:10" ht="15.75" customHeight="1">
      <c r="A3827" s="8"/>
      <c r="C3827" s="8"/>
      <c r="F3827" s="8"/>
      <c r="H3827" s="16"/>
      <c r="I3827" s="16"/>
      <c r="J3827" s="20"/>
    </row>
    <row r="3828" spans="1:10" ht="15.75" customHeight="1">
      <c r="A3828" s="8"/>
      <c r="C3828" s="8"/>
      <c r="F3828" s="8"/>
      <c r="H3828" s="16"/>
      <c r="I3828" s="16"/>
      <c r="J3828" s="20"/>
    </row>
    <row r="3829" spans="1:10" ht="15.75" customHeight="1">
      <c r="A3829" s="8"/>
      <c r="C3829" s="8"/>
      <c r="F3829" s="8"/>
      <c r="H3829" s="16"/>
      <c r="I3829" s="16"/>
      <c r="J3829" s="20"/>
    </row>
    <row r="3830" spans="1:10" ht="15.75" customHeight="1">
      <c r="A3830" s="8"/>
      <c r="C3830" s="8"/>
      <c r="F3830" s="8"/>
      <c r="H3830" s="16"/>
      <c r="I3830" s="16"/>
      <c r="J3830" s="20"/>
    </row>
    <row r="3831" spans="1:10" ht="15.75" customHeight="1">
      <c r="A3831" s="8"/>
      <c r="C3831" s="8"/>
      <c r="F3831" s="8"/>
      <c r="H3831" s="16"/>
      <c r="I3831" s="16"/>
      <c r="J3831" s="20"/>
    </row>
    <row r="3832" spans="1:10" ht="15.75" customHeight="1">
      <c r="A3832" s="8"/>
      <c r="C3832" s="8"/>
      <c r="F3832" s="8"/>
      <c r="H3832" s="16"/>
      <c r="I3832" s="16"/>
      <c r="J3832" s="20"/>
    </row>
    <row r="3833" spans="1:10" ht="15.75" customHeight="1">
      <c r="A3833" s="8"/>
      <c r="C3833" s="8"/>
      <c r="F3833" s="8"/>
      <c r="H3833" s="16"/>
      <c r="I3833" s="16"/>
      <c r="J3833" s="20"/>
    </row>
    <row r="3834" spans="1:10" ht="15.75" customHeight="1">
      <c r="A3834" s="8"/>
      <c r="C3834" s="8"/>
      <c r="F3834" s="8"/>
      <c r="H3834" s="16"/>
      <c r="I3834" s="16"/>
      <c r="J3834" s="20"/>
    </row>
    <row r="3835" spans="1:10" ht="15.75" customHeight="1">
      <c r="A3835" s="8"/>
      <c r="C3835" s="8"/>
      <c r="F3835" s="8"/>
      <c r="H3835" s="16"/>
      <c r="I3835" s="16"/>
      <c r="J3835" s="20"/>
    </row>
    <row r="3836" spans="1:10" ht="15.75" customHeight="1">
      <c r="A3836" s="8"/>
      <c r="C3836" s="8"/>
      <c r="F3836" s="8"/>
      <c r="H3836" s="16"/>
      <c r="I3836" s="16"/>
      <c r="J3836" s="20"/>
    </row>
    <row r="3837" spans="1:10" ht="15.75" customHeight="1">
      <c r="A3837" s="8"/>
      <c r="C3837" s="8"/>
      <c r="F3837" s="8"/>
      <c r="H3837" s="16"/>
      <c r="I3837" s="16"/>
      <c r="J3837" s="20"/>
    </row>
    <row r="3838" spans="1:10" ht="15.75" customHeight="1">
      <c r="A3838" s="8"/>
      <c r="C3838" s="8"/>
      <c r="F3838" s="8"/>
      <c r="H3838" s="16"/>
      <c r="I3838" s="16"/>
      <c r="J3838" s="20"/>
    </row>
    <row r="3839" spans="1:10" ht="15.75" customHeight="1">
      <c r="A3839" s="8"/>
      <c r="C3839" s="8"/>
      <c r="F3839" s="8"/>
      <c r="H3839" s="16"/>
      <c r="I3839" s="16"/>
      <c r="J3839" s="20"/>
    </row>
    <row r="3840" spans="1:10" ht="15.75" customHeight="1">
      <c r="A3840" s="8"/>
      <c r="C3840" s="8"/>
      <c r="F3840" s="8"/>
      <c r="H3840" s="16"/>
      <c r="I3840" s="16"/>
      <c r="J3840" s="20"/>
    </row>
    <row r="3841" spans="1:10" ht="15.75" customHeight="1">
      <c r="A3841" s="8"/>
      <c r="C3841" s="8"/>
      <c r="F3841" s="8"/>
      <c r="H3841" s="16"/>
      <c r="I3841" s="16"/>
      <c r="J3841" s="20"/>
    </row>
    <row r="3842" spans="1:10" ht="15.75" customHeight="1">
      <c r="A3842" s="8"/>
      <c r="C3842" s="8"/>
      <c r="F3842" s="8"/>
      <c r="H3842" s="16"/>
      <c r="I3842" s="16"/>
      <c r="J3842" s="20"/>
    </row>
    <row r="3843" spans="1:10" ht="15.75" customHeight="1">
      <c r="A3843" s="8"/>
      <c r="C3843" s="8"/>
      <c r="F3843" s="8"/>
      <c r="H3843" s="16"/>
      <c r="I3843" s="16"/>
      <c r="J3843" s="20"/>
    </row>
    <row r="3844" spans="1:10" ht="15.75" customHeight="1">
      <c r="A3844" s="8"/>
      <c r="C3844" s="8"/>
      <c r="F3844" s="8"/>
      <c r="H3844" s="16"/>
      <c r="I3844" s="16"/>
      <c r="J3844" s="20"/>
    </row>
    <row r="3845" spans="1:10" ht="15.75" customHeight="1">
      <c r="A3845" s="8"/>
      <c r="C3845" s="8"/>
      <c r="F3845" s="8"/>
      <c r="H3845" s="16"/>
      <c r="I3845" s="16"/>
      <c r="J3845" s="20"/>
    </row>
    <row r="3846" spans="1:10" ht="15.75" customHeight="1">
      <c r="A3846" s="8"/>
      <c r="C3846" s="8"/>
      <c r="F3846" s="8"/>
      <c r="H3846" s="16"/>
      <c r="I3846" s="16"/>
      <c r="J3846" s="20"/>
    </row>
    <row r="3847" spans="1:10" ht="15.75" customHeight="1">
      <c r="A3847" s="8"/>
      <c r="C3847" s="8"/>
      <c r="F3847" s="8"/>
      <c r="H3847" s="16"/>
      <c r="I3847" s="16"/>
      <c r="J3847" s="20"/>
    </row>
    <row r="3848" spans="1:10" ht="15.75" customHeight="1">
      <c r="A3848" s="8"/>
      <c r="C3848" s="8"/>
      <c r="F3848" s="8"/>
      <c r="H3848" s="16"/>
      <c r="I3848" s="16"/>
      <c r="J3848" s="20"/>
    </row>
    <row r="3849" spans="1:10" ht="15.75" customHeight="1">
      <c r="A3849" s="8"/>
      <c r="C3849" s="8"/>
      <c r="F3849" s="8"/>
      <c r="H3849" s="16"/>
      <c r="I3849" s="16"/>
      <c r="J3849" s="20"/>
    </row>
    <row r="3850" spans="1:10" ht="15.75" customHeight="1">
      <c r="A3850" s="8"/>
      <c r="C3850" s="8"/>
      <c r="F3850" s="8"/>
      <c r="H3850" s="16"/>
      <c r="I3850" s="16"/>
      <c r="J3850" s="20"/>
    </row>
    <row r="3851" spans="1:10" ht="15.75" customHeight="1">
      <c r="A3851" s="8"/>
      <c r="C3851" s="8"/>
      <c r="F3851" s="8"/>
      <c r="H3851" s="16"/>
      <c r="I3851" s="16"/>
      <c r="J3851" s="20"/>
    </row>
    <row r="3852" spans="1:10" ht="15.75" customHeight="1">
      <c r="A3852" s="8"/>
      <c r="C3852" s="8"/>
      <c r="F3852" s="8"/>
      <c r="H3852" s="16"/>
      <c r="I3852" s="16"/>
      <c r="J3852" s="20"/>
    </row>
    <row r="3853" spans="1:10" ht="15.75" customHeight="1">
      <c r="A3853" s="8"/>
      <c r="C3853" s="8"/>
      <c r="F3853" s="8"/>
      <c r="H3853" s="16"/>
      <c r="I3853" s="16"/>
      <c r="J3853" s="20"/>
    </row>
    <row r="3854" spans="1:10" ht="15.75" customHeight="1">
      <c r="A3854" s="8"/>
      <c r="C3854" s="8"/>
      <c r="F3854" s="8"/>
      <c r="H3854" s="16"/>
      <c r="I3854" s="16"/>
      <c r="J3854" s="20"/>
    </row>
    <row r="3855" spans="1:10" ht="15.75" customHeight="1">
      <c r="A3855" s="8"/>
      <c r="C3855" s="8"/>
      <c r="F3855" s="8"/>
      <c r="H3855" s="16"/>
      <c r="I3855" s="16"/>
      <c r="J3855" s="20"/>
    </row>
    <row r="3856" spans="1:10" ht="15.75" customHeight="1">
      <c r="A3856" s="8"/>
      <c r="C3856" s="8"/>
      <c r="F3856" s="8"/>
      <c r="H3856" s="16"/>
      <c r="I3856" s="16"/>
      <c r="J3856" s="20"/>
    </row>
    <row r="3857" spans="1:10" ht="15.75" customHeight="1">
      <c r="A3857" s="8"/>
      <c r="C3857" s="8"/>
      <c r="F3857" s="8"/>
      <c r="H3857" s="16"/>
      <c r="I3857" s="16"/>
      <c r="J3857" s="20"/>
    </row>
    <row r="3858" spans="1:10" ht="15.75" customHeight="1">
      <c r="A3858" s="8"/>
      <c r="C3858" s="8"/>
      <c r="F3858" s="8"/>
      <c r="H3858" s="16"/>
      <c r="I3858" s="16"/>
      <c r="J3858" s="20"/>
    </row>
    <row r="3859" spans="1:10" ht="15.75" customHeight="1">
      <c r="A3859" s="8"/>
      <c r="C3859" s="8"/>
      <c r="F3859" s="8"/>
      <c r="H3859" s="16"/>
      <c r="I3859" s="16"/>
      <c r="J3859" s="20"/>
    </row>
    <row r="3860" spans="1:10" ht="15.75" customHeight="1">
      <c r="A3860" s="8"/>
      <c r="C3860" s="8"/>
      <c r="F3860" s="8"/>
      <c r="H3860" s="16"/>
      <c r="I3860" s="16"/>
      <c r="J3860" s="20"/>
    </row>
    <row r="3861" spans="1:10" ht="15.75" customHeight="1">
      <c r="A3861" s="8"/>
      <c r="C3861" s="8"/>
      <c r="F3861" s="8"/>
      <c r="H3861" s="16"/>
      <c r="I3861" s="16"/>
      <c r="J3861" s="20"/>
    </row>
    <row r="3862" spans="1:10" ht="15.75" customHeight="1">
      <c r="A3862" s="8"/>
      <c r="C3862" s="8"/>
      <c r="F3862" s="8"/>
      <c r="H3862" s="16"/>
      <c r="I3862" s="16"/>
      <c r="J3862" s="20"/>
    </row>
    <row r="3863" spans="1:10" ht="15.75" customHeight="1">
      <c r="A3863" s="8"/>
      <c r="C3863" s="8"/>
      <c r="F3863" s="8"/>
      <c r="H3863" s="16"/>
      <c r="I3863" s="16"/>
      <c r="J3863" s="20"/>
    </row>
    <row r="3864" spans="1:10" ht="15.75" customHeight="1">
      <c r="A3864" s="8"/>
      <c r="C3864" s="8"/>
      <c r="F3864" s="8"/>
      <c r="H3864" s="16"/>
      <c r="I3864" s="16"/>
      <c r="J3864" s="20"/>
    </row>
    <row r="3865" spans="1:10" ht="15.75" customHeight="1">
      <c r="A3865" s="8"/>
      <c r="C3865" s="8"/>
      <c r="F3865" s="8"/>
      <c r="H3865" s="16"/>
      <c r="I3865" s="16"/>
      <c r="J3865" s="20"/>
    </row>
    <row r="3866" spans="1:10" ht="15.75" customHeight="1">
      <c r="A3866" s="8"/>
      <c r="C3866" s="8"/>
      <c r="F3866" s="8"/>
      <c r="H3866" s="16"/>
      <c r="I3866" s="16"/>
      <c r="J3866" s="20"/>
    </row>
    <row r="3867" spans="1:10" ht="15.75" customHeight="1">
      <c r="A3867" s="8"/>
      <c r="C3867" s="8"/>
      <c r="F3867" s="8"/>
      <c r="H3867" s="16"/>
      <c r="I3867" s="16"/>
      <c r="J3867" s="20"/>
    </row>
    <row r="3868" spans="1:10" ht="15.75" customHeight="1">
      <c r="A3868" s="8"/>
      <c r="C3868" s="8"/>
      <c r="F3868" s="8"/>
      <c r="H3868" s="16"/>
      <c r="I3868" s="16"/>
      <c r="J3868" s="20"/>
    </row>
    <row r="3869" spans="1:10" ht="15.75" customHeight="1">
      <c r="A3869" s="8"/>
      <c r="C3869" s="8"/>
      <c r="F3869" s="8"/>
      <c r="H3869" s="16"/>
      <c r="I3869" s="16"/>
      <c r="J3869" s="20"/>
    </row>
    <row r="3870" spans="1:10" ht="15.75" customHeight="1">
      <c r="A3870" s="8"/>
      <c r="C3870" s="8"/>
      <c r="F3870" s="8"/>
      <c r="H3870" s="16"/>
      <c r="I3870" s="16"/>
      <c r="J3870" s="20"/>
    </row>
    <row r="3871" spans="1:10" ht="15.75" customHeight="1">
      <c r="A3871" s="8"/>
      <c r="C3871" s="8"/>
      <c r="F3871" s="8"/>
      <c r="H3871" s="16"/>
      <c r="I3871" s="16"/>
      <c r="J3871" s="20"/>
    </row>
    <row r="3872" spans="1:10" ht="15.75" customHeight="1">
      <c r="A3872" s="8"/>
      <c r="C3872" s="8"/>
      <c r="F3872" s="8"/>
      <c r="H3872" s="16"/>
      <c r="I3872" s="16"/>
      <c r="J3872" s="20"/>
    </row>
    <row r="3873" spans="1:10" ht="15.75" customHeight="1">
      <c r="A3873" s="8"/>
      <c r="C3873" s="8"/>
      <c r="F3873" s="8"/>
      <c r="H3873" s="16"/>
      <c r="I3873" s="16"/>
      <c r="J3873" s="20"/>
    </row>
    <row r="3874" spans="1:10" ht="15.75" customHeight="1">
      <c r="A3874" s="8"/>
      <c r="C3874" s="8"/>
      <c r="F3874" s="8"/>
      <c r="H3874" s="16"/>
      <c r="I3874" s="16"/>
      <c r="J3874" s="20"/>
    </row>
    <row r="3875" spans="1:10" ht="15.75" customHeight="1">
      <c r="A3875" s="8"/>
      <c r="C3875" s="8"/>
      <c r="F3875" s="8"/>
      <c r="H3875" s="16"/>
      <c r="I3875" s="16"/>
      <c r="J3875" s="20"/>
    </row>
    <row r="3876" spans="1:10" ht="15.75" customHeight="1">
      <c r="A3876" s="8"/>
      <c r="C3876" s="8"/>
      <c r="F3876" s="8"/>
      <c r="H3876" s="16"/>
      <c r="I3876" s="16"/>
      <c r="J3876" s="20"/>
    </row>
    <row r="3877" spans="1:10" ht="15.75" customHeight="1">
      <c r="A3877" s="8"/>
      <c r="C3877" s="8"/>
      <c r="F3877" s="8"/>
      <c r="H3877" s="16"/>
      <c r="I3877" s="16"/>
      <c r="J3877" s="20"/>
    </row>
    <row r="3878" spans="1:10" ht="15.75" customHeight="1">
      <c r="A3878" s="8"/>
      <c r="C3878" s="8"/>
      <c r="F3878" s="8"/>
      <c r="H3878" s="16"/>
      <c r="I3878" s="16"/>
      <c r="J3878" s="20"/>
    </row>
    <row r="3879" spans="1:10" ht="15.75" customHeight="1">
      <c r="A3879" s="8"/>
      <c r="C3879" s="8"/>
      <c r="F3879" s="8"/>
      <c r="H3879" s="16"/>
      <c r="I3879" s="16"/>
      <c r="J3879" s="20"/>
    </row>
    <row r="3880" spans="1:10" ht="15.75" customHeight="1">
      <c r="A3880" s="8"/>
      <c r="C3880" s="8"/>
      <c r="F3880" s="8"/>
      <c r="H3880" s="16"/>
      <c r="I3880" s="16"/>
      <c r="J3880" s="20"/>
    </row>
    <row r="3881" spans="1:10" ht="15.75" customHeight="1">
      <c r="A3881" s="8"/>
      <c r="C3881" s="8"/>
      <c r="F3881" s="8"/>
      <c r="H3881" s="16"/>
      <c r="I3881" s="16"/>
      <c r="J3881" s="20"/>
    </row>
    <row r="3882" spans="1:10" ht="15.75" customHeight="1">
      <c r="A3882" s="8"/>
      <c r="C3882" s="8"/>
      <c r="F3882" s="8"/>
      <c r="H3882" s="16"/>
      <c r="I3882" s="16"/>
      <c r="J3882" s="20"/>
    </row>
    <row r="3883" spans="1:10" ht="15.75" customHeight="1">
      <c r="A3883" s="8"/>
      <c r="C3883" s="8"/>
      <c r="F3883" s="8"/>
      <c r="H3883" s="16"/>
      <c r="I3883" s="16"/>
      <c r="J3883" s="20"/>
    </row>
    <row r="3884" spans="1:10" ht="15.75" customHeight="1">
      <c r="A3884" s="8"/>
      <c r="C3884" s="8"/>
      <c r="F3884" s="8"/>
      <c r="H3884" s="16"/>
      <c r="I3884" s="16"/>
      <c r="J3884" s="20"/>
    </row>
    <row r="3885" spans="1:10" ht="15.75" customHeight="1">
      <c r="A3885" s="8"/>
      <c r="C3885" s="8"/>
      <c r="F3885" s="8"/>
      <c r="H3885" s="16"/>
      <c r="I3885" s="16"/>
      <c r="J3885" s="20"/>
    </row>
    <row r="3886" spans="1:10" ht="15.75" customHeight="1">
      <c r="A3886" s="8"/>
      <c r="C3886" s="8"/>
      <c r="F3886" s="8"/>
      <c r="H3886" s="16"/>
      <c r="I3886" s="16"/>
      <c r="J3886" s="20"/>
    </row>
    <row r="3887" spans="1:10" ht="15.75" customHeight="1">
      <c r="A3887" s="8"/>
      <c r="C3887" s="8"/>
      <c r="F3887" s="8"/>
      <c r="H3887" s="16"/>
      <c r="I3887" s="16"/>
      <c r="J3887" s="20"/>
    </row>
    <row r="3888" spans="1:10" ht="15.75" customHeight="1">
      <c r="A3888" s="8"/>
      <c r="C3888" s="8"/>
      <c r="F3888" s="8"/>
      <c r="H3888" s="16"/>
      <c r="I3888" s="16"/>
      <c r="J3888" s="20"/>
    </row>
    <row r="3889" spans="1:10" ht="15.75" customHeight="1">
      <c r="A3889" s="8"/>
      <c r="C3889" s="8"/>
      <c r="F3889" s="8"/>
      <c r="H3889" s="16"/>
      <c r="I3889" s="16"/>
      <c r="J3889" s="20"/>
    </row>
    <row r="3890" spans="1:10" ht="15.75" customHeight="1">
      <c r="A3890" s="8"/>
      <c r="C3890" s="8"/>
      <c r="F3890" s="8"/>
      <c r="H3890" s="16"/>
      <c r="I3890" s="16"/>
      <c r="J3890" s="20"/>
    </row>
    <row r="3891" spans="1:10" ht="15.75" customHeight="1">
      <c r="A3891" s="8"/>
      <c r="C3891" s="8"/>
      <c r="F3891" s="8"/>
      <c r="H3891" s="16"/>
      <c r="I3891" s="16"/>
      <c r="J3891" s="20"/>
    </row>
    <row r="3892" spans="1:10" ht="15.75" customHeight="1">
      <c r="A3892" s="8"/>
      <c r="C3892" s="8"/>
      <c r="F3892" s="8"/>
      <c r="H3892" s="16"/>
      <c r="I3892" s="16"/>
      <c r="J3892" s="20"/>
    </row>
    <row r="3893" spans="1:10" ht="15.75" customHeight="1">
      <c r="A3893" s="8"/>
      <c r="C3893" s="8"/>
      <c r="F3893" s="8"/>
      <c r="H3893" s="16"/>
      <c r="I3893" s="16"/>
      <c r="J3893" s="20"/>
    </row>
    <row r="3894" spans="1:10" ht="15.75" customHeight="1">
      <c r="A3894" s="8"/>
      <c r="C3894" s="8"/>
      <c r="F3894" s="8"/>
      <c r="H3894" s="16"/>
      <c r="I3894" s="16"/>
      <c r="J3894" s="20"/>
    </row>
    <row r="3895" spans="1:10" ht="15.75" customHeight="1">
      <c r="A3895" s="8"/>
      <c r="C3895" s="8"/>
      <c r="F3895" s="8"/>
      <c r="H3895" s="16"/>
      <c r="I3895" s="16"/>
      <c r="J3895" s="20"/>
    </row>
    <row r="3896" spans="1:10" ht="15.75" customHeight="1">
      <c r="A3896" s="8"/>
      <c r="C3896" s="8"/>
      <c r="F3896" s="8"/>
      <c r="H3896" s="16"/>
      <c r="I3896" s="16"/>
      <c r="J3896" s="20"/>
    </row>
    <row r="3897" spans="1:10" ht="15.75" customHeight="1">
      <c r="A3897" s="8"/>
      <c r="C3897" s="8"/>
      <c r="F3897" s="8"/>
      <c r="H3897" s="16"/>
      <c r="I3897" s="16"/>
      <c r="J3897" s="20"/>
    </row>
    <row r="3898" spans="1:10" ht="15.75" customHeight="1">
      <c r="A3898" s="8"/>
      <c r="C3898" s="8"/>
      <c r="F3898" s="8"/>
      <c r="H3898" s="16"/>
      <c r="I3898" s="16"/>
      <c r="J3898" s="20"/>
    </row>
    <row r="3899" spans="1:10" ht="15.75" customHeight="1">
      <c r="A3899" s="8"/>
      <c r="C3899" s="8"/>
      <c r="F3899" s="8"/>
      <c r="H3899" s="16"/>
      <c r="I3899" s="16"/>
      <c r="J3899" s="20"/>
    </row>
    <row r="3900" spans="1:10" ht="15.75" customHeight="1">
      <c r="A3900" s="8"/>
      <c r="C3900" s="8"/>
      <c r="F3900" s="8"/>
      <c r="H3900" s="16"/>
      <c r="I3900" s="16"/>
      <c r="J3900" s="20"/>
    </row>
    <row r="3901" spans="1:10" ht="15.75" customHeight="1">
      <c r="A3901" s="8"/>
      <c r="C3901" s="8"/>
      <c r="F3901" s="8"/>
      <c r="H3901" s="16"/>
      <c r="I3901" s="16"/>
      <c r="J3901" s="20"/>
    </row>
    <row r="3902" spans="1:10" ht="15.75" customHeight="1">
      <c r="A3902" s="8"/>
      <c r="C3902" s="8"/>
      <c r="F3902" s="8"/>
      <c r="H3902" s="16"/>
      <c r="I3902" s="16"/>
      <c r="J3902" s="20"/>
    </row>
    <row r="3903" spans="1:10" ht="15.75" customHeight="1">
      <c r="A3903" s="8"/>
      <c r="C3903" s="8"/>
      <c r="F3903" s="8"/>
      <c r="H3903" s="16"/>
      <c r="I3903" s="16"/>
      <c r="J3903" s="20"/>
    </row>
    <row r="3904" spans="1:10" ht="15.75" customHeight="1">
      <c r="A3904" s="8"/>
      <c r="C3904" s="8"/>
      <c r="F3904" s="8"/>
      <c r="H3904" s="16"/>
      <c r="I3904" s="16"/>
      <c r="J3904" s="20"/>
    </row>
    <row r="3905" spans="1:10" ht="15.75" customHeight="1">
      <c r="A3905" s="8"/>
      <c r="C3905" s="8"/>
      <c r="F3905" s="8"/>
      <c r="H3905" s="16"/>
      <c r="I3905" s="16"/>
      <c r="J3905" s="20"/>
    </row>
    <row r="3906" spans="1:10" ht="15.75" customHeight="1">
      <c r="A3906" s="8"/>
      <c r="C3906" s="8"/>
      <c r="F3906" s="8"/>
      <c r="H3906" s="16"/>
      <c r="I3906" s="16"/>
      <c r="J3906" s="20"/>
    </row>
    <row r="3907" spans="1:10" ht="15.75" customHeight="1">
      <c r="A3907" s="8"/>
      <c r="C3907" s="8"/>
      <c r="F3907" s="8"/>
      <c r="H3907" s="16"/>
      <c r="I3907" s="16"/>
      <c r="J3907" s="20"/>
    </row>
    <row r="3908" spans="1:10" ht="15.75" customHeight="1">
      <c r="A3908" s="8"/>
      <c r="C3908" s="8"/>
      <c r="F3908" s="8"/>
      <c r="H3908" s="16"/>
      <c r="I3908" s="16"/>
      <c r="J3908" s="20"/>
    </row>
    <row r="3909" spans="1:10" ht="15.75" customHeight="1">
      <c r="A3909" s="8"/>
      <c r="C3909" s="8"/>
      <c r="F3909" s="8"/>
      <c r="H3909" s="16"/>
      <c r="I3909" s="16"/>
      <c r="J3909" s="20"/>
    </row>
    <row r="3910" spans="1:10" ht="15.75" customHeight="1">
      <c r="A3910" s="8"/>
      <c r="C3910" s="8"/>
      <c r="F3910" s="8"/>
      <c r="H3910" s="16"/>
      <c r="I3910" s="16"/>
      <c r="J3910" s="20"/>
    </row>
    <row r="3911" spans="1:10" ht="15.75" customHeight="1">
      <c r="A3911" s="8"/>
      <c r="C3911" s="8"/>
      <c r="F3911" s="8"/>
      <c r="H3911" s="16"/>
      <c r="I3911" s="16"/>
      <c r="J3911" s="20"/>
    </row>
    <row r="3912" spans="1:10" ht="15.75" customHeight="1">
      <c r="A3912" s="8"/>
      <c r="C3912" s="8"/>
      <c r="F3912" s="8"/>
      <c r="H3912" s="16"/>
      <c r="I3912" s="16"/>
      <c r="J3912" s="20"/>
    </row>
    <row r="3913" spans="1:10" ht="15.75" customHeight="1">
      <c r="A3913" s="8"/>
      <c r="C3913" s="8"/>
      <c r="F3913" s="8"/>
      <c r="H3913" s="16"/>
      <c r="I3913" s="16"/>
      <c r="J3913" s="20"/>
    </row>
    <row r="3914" spans="1:10" ht="15.75" customHeight="1">
      <c r="A3914" s="8"/>
      <c r="C3914" s="8"/>
      <c r="F3914" s="8"/>
      <c r="H3914" s="16"/>
      <c r="I3914" s="16"/>
      <c r="J3914" s="20"/>
    </row>
    <row r="3915" spans="1:10" ht="15.75" customHeight="1">
      <c r="A3915" s="8"/>
      <c r="C3915" s="8"/>
      <c r="F3915" s="8"/>
      <c r="H3915" s="16"/>
      <c r="I3915" s="16"/>
      <c r="J3915" s="20"/>
    </row>
    <row r="3916" spans="1:10" ht="15.75" customHeight="1">
      <c r="A3916" s="8"/>
      <c r="C3916" s="8"/>
      <c r="F3916" s="8"/>
      <c r="H3916" s="16"/>
      <c r="I3916" s="16"/>
      <c r="J3916" s="20"/>
    </row>
    <row r="3917" spans="1:10" ht="15.75" customHeight="1">
      <c r="A3917" s="8"/>
      <c r="C3917" s="8"/>
      <c r="F3917" s="8"/>
      <c r="H3917" s="16"/>
      <c r="I3917" s="16"/>
      <c r="J3917" s="20"/>
    </row>
    <row r="3918" spans="1:10" ht="15.75" customHeight="1">
      <c r="A3918" s="8"/>
      <c r="C3918" s="8"/>
      <c r="F3918" s="8"/>
      <c r="H3918" s="16"/>
      <c r="I3918" s="16"/>
      <c r="J3918" s="20"/>
    </row>
    <row r="3919" spans="1:10" ht="15.75" customHeight="1">
      <c r="A3919" s="8"/>
      <c r="C3919" s="8"/>
      <c r="F3919" s="8"/>
      <c r="H3919" s="16"/>
      <c r="I3919" s="16"/>
      <c r="J3919" s="20"/>
    </row>
    <row r="3920" spans="1:10" ht="15.75" customHeight="1">
      <c r="A3920" s="8"/>
      <c r="C3920" s="8"/>
      <c r="F3920" s="8"/>
      <c r="H3920" s="16"/>
      <c r="I3920" s="16"/>
      <c r="J3920" s="20"/>
    </row>
    <row r="3921" spans="1:10" ht="15.75" customHeight="1">
      <c r="A3921" s="8"/>
      <c r="C3921" s="8"/>
      <c r="F3921" s="8"/>
      <c r="H3921" s="16"/>
      <c r="I3921" s="16"/>
      <c r="J3921" s="20"/>
    </row>
    <row r="3922" spans="1:10" ht="15.75" customHeight="1">
      <c r="A3922" s="8"/>
      <c r="C3922" s="8"/>
      <c r="F3922" s="8"/>
      <c r="H3922" s="16"/>
      <c r="I3922" s="16"/>
      <c r="J3922" s="20"/>
    </row>
    <row r="3923" spans="1:10" ht="15.75" customHeight="1">
      <c r="A3923" s="8"/>
      <c r="C3923" s="8"/>
      <c r="F3923" s="8"/>
      <c r="H3923" s="16"/>
      <c r="I3923" s="16"/>
      <c r="J3923" s="20"/>
    </row>
    <row r="3924" spans="1:10" ht="15.75" customHeight="1">
      <c r="A3924" s="8"/>
      <c r="C3924" s="8"/>
      <c r="F3924" s="8"/>
      <c r="H3924" s="16"/>
      <c r="I3924" s="16"/>
      <c r="J3924" s="20"/>
    </row>
    <row r="3925" spans="1:10" ht="15.75" customHeight="1">
      <c r="A3925" s="8"/>
      <c r="C3925" s="8"/>
      <c r="F3925" s="8"/>
      <c r="H3925" s="16"/>
      <c r="I3925" s="16"/>
      <c r="J3925" s="20"/>
    </row>
    <row r="3926" spans="1:10" ht="15.75" customHeight="1">
      <c r="A3926" s="8"/>
      <c r="C3926" s="8"/>
      <c r="F3926" s="8"/>
      <c r="H3926" s="16"/>
      <c r="I3926" s="16"/>
      <c r="J3926" s="20"/>
    </row>
    <row r="3927" spans="1:10" ht="15.75" customHeight="1">
      <c r="A3927" s="8"/>
      <c r="C3927" s="8"/>
      <c r="F3927" s="8"/>
      <c r="H3927" s="16"/>
      <c r="I3927" s="16"/>
      <c r="J3927" s="20"/>
    </row>
    <row r="3928" spans="1:10" ht="15.75" customHeight="1">
      <c r="A3928" s="8"/>
      <c r="C3928" s="8"/>
      <c r="F3928" s="8"/>
      <c r="H3928" s="16"/>
      <c r="I3928" s="16"/>
      <c r="J3928" s="20"/>
    </row>
    <row r="3929" spans="1:10" ht="15.75" customHeight="1">
      <c r="A3929" s="8"/>
      <c r="C3929" s="8"/>
      <c r="F3929" s="8"/>
      <c r="H3929" s="16"/>
      <c r="I3929" s="16"/>
      <c r="J3929" s="20"/>
    </row>
    <row r="3930" spans="1:10" ht="15.75" customHeight="1">
      <c r="A3930" s="8"/>
      <c r="C3930" s="8"/>
      <c r="F3930" s="8"/>
      <c r="H3930" s="16"/>
      <c r="I3930" s="16"/>
      <c r="J3930" s="20"/>
    </row>
    <row r="3931" spans="1:10" ht="15.75" customHeight="1">
      <c r="A3931" s="8"/>
      <c r="C3931" s="8"/>
      <c r="F3931" s="8"/>
      <c r="H3931" s="16"/>
      <c r="I3931" s="16"/>
      <c r="J3931" s="20"/>
    </row>
    <row r="3932" spans="1:10" ht="15.75" customHeight="1">
      <c r="A3932" s="8"/>
      <c r="C3932" s="8"/>
      <c r="F3932" s="8"/>
      <c r="H3932" s="16"/>
      <c r="I3932" s="16"/>
      <c r="J3932" s="20"/>
    </row>
    <row r="3933" spans="1:10" ht="15.75" customHeight="1">
      <c r="A3933" s="8"/>
      <c r="C3933" s="8"/>
      <c r="F3933" s="8"/>
      <c r="H3933" s="16"/>
      <c r="I3933" s="16"/>
      <c r="J3933" s="20"/>
    </row>
    <row r="3934" spans="1:10" ht="15.75" customHeight="1">
      <c r="A3934" s="8"/>
      <c r="C3934" s="8"/>
      <c r="F3934" s="8"/>
      <c r="H3934" s="16"/>
      <c r="I3934" s="16"/>
      <c r="J3934" s="20"/>
    </row>
    <row r="3935" spans="1:10" ht="15.75" customHeight="1">
      <c r="A3935" s="8"/>
      <c r="C3935" s="8"/>
      <c r="F3935" s="8"/>
      <c r="H3935" s="16"/>
      <c r="I3935" s="16"/>
      <c r="J3935" s="20"/>
    </row>
    <row r="3936" spans="1:10" ht="15.75" customHeight="1">
      <c r="A3936" s="8"/>
      <c r="C3936" s="8"/>
      <c r="F3936" s="8"/>
      <c r="H3936" s="16"/>
      <c r="I3936" s="16"/>
      <c r="J3936" s="20"/>
    </row>
    <row r="3937" spans="1:10" ht="15.75" customHeight="1">
      <c r="A3937" s="8"/>
      <c r="C3937" s="8"/>
      <c r="F3937" s="8"/>
      <c r="H3937" s="16"/>
      <c r="I3937" s="16"/>
      <c r="J3937" s="20"/>
    </row>
    <row r="3938" spans="1:10" ht="15.75" customHeight="1">
      <c r="A3938" s="8"/>
      <c r="C3938" s="8"/>
      <c r="F3938" s="8"/>
      <c r="H3938" s="16"/>
      <c r="I3938" s="16"/>
      <c r="J3938" s="20"/>
    </row>
    <row r="3939" spans="1:10" ht="15.75" customHeight="1">
      <c r="A3939" s="8"/>
      <c r="C3939" s="8"/>
      <c r="F3939" s="8"/>
      <c r="H3939" s="16"/>
      <c r="I3939" s="16"/>
      <c r="J3939" s="20"/>
    </row>
    <row r="3940" spans="1:10" ht="15.75" customHeight="1">
      <c r="A3940" s="8"/>
      <c r="C3940" s="8"/>
      <c r="F3940" s="8"/>
      <c r="H3940" s="16"/>
      <c r="I3940" s="16"/>
      <c r="J3940" s="20"/>
    </row>
    <row r="3941" spans="1:10" ht="15.75" customHeight="1">
      <c r="A3941" s="8"/>
      <c r="C3941" s="8"/>
      <c r="F3941" s="8"/>
      <c r="H3941" s="16"/>
      <c r="I3941" s="16"/>
      <c r="J3941" s="20"/>
    </row>
    <row r="3942" spans="1:10" ht="15.75" customHeight="1">
      <c r="A3942" s="8"/>
      <c r="C3942" s="8"/>
      <c r="F3942" s="8"/>
      <c r="H3942" s="16"/>
      <c r="I3942" s="16"/>
      <c r="J3942" s="20"/>
    </row>
    <row r="3943" spans="1:10" ht="15.75" customHeight="1">
      <c r="A3943" s="8"/>
      <c r="C3943" s="8"/>
      <c r="F3943" s="8"/>
      <c r="H3943" s="16"/>
      <c r="I3943" s="16"/>
      <c r="J3943" s="20"/>
    </row>
    <row r="3944" spans="1:10" ht="15.75" customHeight="1">
      <c r="A3944" s="8"/>
      <c r="C3944" s="8"/>
      <c r="F3944" s="8"/>
      <c r="H3944" s="16"/>
      <c r="I3944" s="16"/>
      <c r="J3944" s="20"/>
    </row>
    <row r="3945" spans="1:10" ht="15.75" customHeight="1">
      <c r="A3945" s="8"/>
      <c r="C3945" s="8"/>
      <c r="F3945" s="8"/>
      <c r="H3945" s="16"/>
      <c r="I3945" s="16"/>
      <c r="J3945" s="20"/>
    </row>
    <row r="3946" spans="1:10" ht="15.75" customHeight="1">
      <c r="A3946" s="8"/>
      <c r="C3946" s="8"/>
      <c r="F3946" s="8"/>
      <c r="H3946" s="16"/>
      <c r="I3946" s="16"/>
      <c r="J3946" s="20"/>
    </row>
    <row r="3947" spans="1:10" ht="15.75" customHeight="1">
      <c r="A3947" s="8"/>
      <c r="C3947" s="8"/>
      <c r="F3947" s="8"/>
      <c r="H3947" s="16"/>
      <c r="I3947" s="16"/>
      <c r="J3947" s="20"/>
    </row>
    <row r="3948" spans="1:10" ht="15.75" customHeight="1">
      <c r="A3948" s="8"/>
      <c r="C3948" s="8"/>
      <c r="F3948" s="8"/>
      <c r="H3948" s="16"/>
      <c r="I3948" s="16"/>
      <c r="J3948" s="20"/>
    </row>
    <row r="3949" spans="1:10" ht="15.75" customHeight="1">
      <c r="A3949" s="8"/>
      <c r="C3949" s="8"/>
      <c r="F3949" s="8"/>
      <c r="H3949" s="16"/>
      <c r="I3949" s="16"/>
      <c r="J3949" s="20"/>
    </row>
    <row r="3950" spans="1:10" ht="15.75" customHeight="1">
      <c r="A3950" s="8"/>
      <c r="C3950" s="8"/>
      <c r="F3950" s="8"/>
      <c r="H3950" s="16"/>
      <c r="I3950" s="16"/>
      <c r="J3950" s="20"/>
    </row>
    <row r="3951" spans="1:10" ht="15.75" customHeight="1">
      <c r="A3951" s="8"/>
      <c r="C3951" s="8"/>
      <c r="F3951" s="8"/>
      <c r="H3951" s="16"/>
      <c r="I3951" s="16"/>
      <c r="J3951" s="20"/>
    </row>
    <row r="3952" spans="1:10" ht="15.75" customHeight="1">
      <c r="A3952" s="8"/>
      <c r="C3952" s="8"/>
      <c r="F3952" s="8"/>
      <c r="H3952" s="16"/>
      <c r="I3952" s="16"/>
      <c r="J3952" s="20"/>
    </row>
    <row r="3953" spans="1:10" ht="15.75" customHeight="1">
      <c r="A3953" s="8"/>
      <c r="C3953" s="8"/>
      <c r="F3953" s="8"/>
      <c r="H3953" s="16"/>
      <c r="I3953" s="16"/>
      <c r="J3953" s="20"/>
    </row>
    <row r="3954" spans="1:10" ht="15.75" customHeight="1">
      <c r="A3954" s="8"/>
      <c r="C3954" s="8"/>
      <c r="F3954" s="8"/>
      <c r="H3954" s="16"/>
      <c r="I3954" s="16"/>
      <c r="J3954" s="20"/>
    </row>
    <row r="3955" spans="1:10" ht="15.75" customHeight="1">
      <c r="A3955" s="8"/>
      <c r="C3955" s="8"/>
      <c r="F3955" s="8"/>
      <c r="H3955" s="16"/>
      <c r="I3955" s="16"/>
      <c r="J3955" s="20"/>
    </row>
    <row r="3956" spans="1:10" ht="15.75" customHeight="1">
      <c r="A3956" s="8"/>
      <c r="C3956" s="8"/>
      <c r="F3956" s="8"/>
      <c r="H3956" s="16"/>
      <c r="I3956" s="16"/>
      <c r="J3956" s="20"/>
    </row>
    <row r="3957" spans="1:10" ht="15.75" customHeight="1">
      <c r="A3957" s="8"/>
      <c r="C3957" s="8"/>
      <c r="F3957" s="8"/>
      <c r="H3957" s="16"/>
      <c r="I3957" s="16"/>
      <c r="J3957" s="20"/>
    </row>
    <row r="3958" spans="1:10" ht="15.75" customHeight="1">
      <c r="A3958" s="8"/>
      <c r="C3958" s="8"/>
      <c r="F3958" s="8"/>
      <c r="H3958" s="16"/>
      <c r="I3958" s="16"/>
      <c r="J3958" s="20"/>
    </row>
    <row r="3959" spans="1:10" ht="15.75" customHeight="1">
      <c r="A3959" s="8"/>
      <c r="C3959" s="8"/>
      <c r="F3959" s="8"/>
      <c r="H3959" s="16"/>
      <c r="I3959" s="16"/>
      <c r="J3959" s="20"/>
    </row>
    <row r="3960" spans="1:10" ht="15.75" customHeight="1">
      <c r="A3960" s="8"/>
      <c r="C3960" s="8"/>
      <c r="F3960" s="8"/>
      <c r="H3960" s="16"/>
      <c r="I3960" s="16"/>
      <c r="J3960" s="20"/>
    </row>
    <row r="3961" spans="1:10" ht="15.75" customHeight="1">
      <c r="A3961" s="8"/>
      <c r="C3961" s="8"/>
      <c r="F3961" s="8"/>
      <c r="H3961" s="16"/>
      <c r="I3961" s="16"/>
      <c r="J3961" s="20"/>
    </row>
    <row r="3962" spans="1:10" ht="15.75" customHeight="1">
      <c r="A3962" s="8"/>
      <c r="C3962" s="8"/>
      <c r="F3962" s="8"/>
      <c r="H3962" s="16"/>
      <c r="I3962" s="16"/>
      <c r="J3962" s="20"/>
    </row>
    <row r="3963" spans="1:10" ht="15.75" customHeight="1">
      <c r="A3963" s="8"/>
      <c r="C3963" s="8"/>
      <c r="F3963" s="8"/>
      <c r="H3963" s="16"/>
      <c r="I3963" s="16"/>
      <c r="J3963" s="20"/>
    </row>
    <row r="3964" spans="1:10" ht="15.75" customHeight="1">
      <c r="A3964" s="8"/>
      <c r="C3964" s="8"/>
      <c r="F3964" s="8"/>
      <c r="H3964" s="16"/>
      <c r="I3964" s="16"/>
      <c r="J3964" s="20"/>
    </row>
    <row r="3965" spans="1:10" ht="15.75" customHeight="1">
      <c r="A3965" s="8"/>
      <c r="C3965" s="8"/>
      <c r="F3965" s="8"/>
      <c r="H3965" s="16"/>
      <c r="I3965" s="16"/>
      <c r="J3965" s="20"/>
    </row>
    <row r="3966" spans="1:10" ht="15.75" customHeight="1">
      <c r="A3966" s="8"/>
      <c r="C3966" s="8"/>
      <c r="F3966" s="8"/>
      <c r="H3966" s="16"/>
      <c r="I3966" s="16"/>
      <c r="J3966" s="20"/>
    </row>
    <row r="3967" spans="1:10" ht="15.75" customHeight="1">
      <c r="A3967" s="8"/>
      <c r="C3967" s="8"/>
      <c r="F3967" s="8"/>
      <c r="H3967" s="16"/>
      <c r="I3967" s="16"/>
      <c r="J3967" s="20"/>
    </row>
    <row r="3968" spans="1:10" ht="15.75" customHeight="1">
      <c r="A3968" s="8"/>
      <c r="C3968" s="8"/>
      <c r="F3968" s="8"/>
      <c r="H3968" s="16"/>
      <c r="I3968" s="16"/>
      <c r="J3968" s="20"/>
    </row>
    <row r="3969" spans="1:10" ht="15.75" customHeight="1">
      <c r="A3969" s="8"/>
      <c r="C3969" s="8"/>
      <c r="F3969" s="8"/>
      <c r="H3969" s="16"/>
      <c r="I3969" s="16"/>
      <c r="J3969" s="20"/>
    </row>
    <row r="3970" spans="1:10" ht="15.75" customHeight="1">
      <c r="A3970" s="8"/>
      <c r="C3970" s="8"/>
      <c r="F3970" s="8"/>
      <c r="H3970" s="16"/>
      <c r="I3970" s="16"/>
      <c r="J3970" s="20"/>
    </row>
    <row r="3971" spans="1:10" ht="15.75" customHeight="1">
      <c r="A3971" s="8"/>
      <c r="C3971" s="8"/>
      <c r="F3971" s="8"/>
      <c r="H3971" s="16"/>
      <c r="I3971" s="16"/>
      <c r="J3971" s="20"/>
    </row>
    <row r="3972" spans="1:10" ht="15.75" customHeight="1">
      <c r="A3972" s="8"/>
      <c r="C3972" s="8"/>
      <c r="F3972" s="8"/>
      <c r="H3972" s="16"/>
      <c r="I3972" s="16"/>
      <c r="J3972" s="20"/>
    </row>
    <row r="3973" spans="1:10" ht="15.75" customHeight="1">
      <c r="A3973" s="8"/>
      <c r="C3973" s="8"/>
      <c r="F3973" s="8"/>
      <c r="H3973" s="16"/>
      <c r="I3973" s="16"/>
      <c r="J3973" s="20"/>
    </row>
    <row r="3974" spans="1:10" ht="15.75" customHeight="1">
      <c r="A3974" s="8"/>
      <c r="C3974" s="8"/>
      <c r="F3974" s="8"/>
      <c r="H3974" s="16"/>
      <c r="I3974" s="16"/>
      <c r="J3974" s="20"/>
    </row>
    <row r="3975" spans="1:10" ht="15.75" customHeight="1">
      <c r="A3975" s="8"/>
      <c r="C3975" s="8"/>
      <c r="F3975" s="8"/>
      <c r="H3975" s="16"/>
      <c r="I3975" s="16"/>
      <c r="J3975" s="20"/>
    </row>
    <row r="3976" spans="1:10" ht="15.75" customHeight="1">
      <c r="A3976" s="8"/>
      <c r="C3976" s="8"/>
      <c r="F3976" s="8"/>
      <c r="H3976" s="16"/>
      <c r="I3976" s="16"/>
      <c r="J3976" s="20"/>
    </row>
    <row r="3977" spans="1:10" ht="15.75" customHeight="1">
      <c r="A3977" s="8"/>
      <c r="C3977" s="8"/>
      <c r="F3977" s="8"/>
      <c r="H3977" s="16"/>
      <c r="I3977" s="16"/>
      <c r="J3977" s="20"/>
    </row>
    <row r="3978" spans="1:10" ht="15.75" customHeight="1">
      <c r="A3978" s="8"/>
      <c r="C3978" s="8"/>
      <c r="F3978" s="8"/>
      <c r="H3978" s="16"/>
      <c r="I3978" s="16"/>
      <c r="J3978" s="20"/>
    </row>
    <row r="3979" spans="1:10" ht="15.75" customHeight="1">
      <c r="A3979" s="8"/>
      <c r="C3979" s="8"/>
      <c r="F3979" s="8"/>
      <c r="H3979" s="16"/>
      <c r="I3979" s="16"/>
      <c r="J3979" s="20"/>
    </row>
    <row r="3980" spans="1:10" ht="15.75" customHeight="1">
      <c r="A3980" s="8"/>
      <c r="C3980" s="8"/>
      <c r="F3980" s="8"/>
      <c r="H3980" s="16"/>
      <c r="I3980" s="16"/>
      <c r="J3980" s="20"/>
    </row>
    <row r="3981" spans="1:10" ht="15.75" customHeight="1">
      <c r="A3981" s="8"/>
      <c r="C3981" s="8"/>
      <c r="F3981" s="8"/>
      <c r="H3981" s="16"/>
      <c r="I3981" s="16"/>
      <c r="J3981" s="20"/>
    </row>
    <row r="3982" spans="1:10" ht="15.75" customHeight="1">
      <c r="A3982" s="8"/>
      <c r="C3982" s="8"/>
      <c r="F3982" s="8"/>
      <c r="H3982" s="16"/>
      <c r="I3982" s="16"/>
      <c r="J3982" s="20"/>
    </row>
    <row r="3983" spans="1:10" ht="15.75" customHeight="1">
      <c r="A3983" s="8"/>
      <c r="C3983" s="8"/>
      <c r="F3983" s="8"/>
      <c r="H3983" s="16"/>
      <c r="I3983" s="16"/>
      <c r="J3983" s="20"/>
    </row>
    <row r="3984" spans="1:10" ht="15.75" customHeight="1">
      <c r="A3984" s="8"/>
      <c r="C3984" s="8"/>
      <c r="F3984" s="8"/>
      <c r="H3984" s="16"/>
      <c r="I3984" s="16"/>
      <c r="J3984" s="20"/>
    </row>
    <row r="3985" spans="1:10" ht="15.75" customHeight="1">
      <c r="A3985" s="8"/>
      <c r="C3985" s="8"/>
      <c r="F3985" s="8"/>
      <c r="H3985" s="16"/>
      <c r="I3985" s="16"/>
      <c r="J3985" s="20"/>
    </row>
    <row r="3986" spans="1:10" ht="15.75" customHeight="1">
      <c r="A3986" s="8"/>
      <c r="C3986" s="8"/>
      <c r="F3986" s="8"/>
      <c r="H3986" s="16"/>
      <c r="I3986" s="16"/>
      <c r="J3986" s="20"/>
    </row>
    <row r="3987" spans="1:10" ht="15.75" customHeight="1">
      <c r="A3987" s="8"/>
      <c r="C3987" s="8"/>
      <c r="F3987" s="8"/>
      <c r="H3987" s="16"/>
      <c r="I3987" s="16"/>
      <c r="J3987" s="20"/>
    </row>
    <row r="3988" spans="1:10" ht="15.75" customHeight="1">
      <c r="A3988" s="8"/>
      <c r="C3988" s="8"/>
      <c r="F3988" s="8"/>
      <c r="H3988" s="16"/>
      <c r="I3988" s="16"/>
      <c r="J3988" s="20"/>
    </row>
    <row r="3989" spans="1:10" ht="15.75" customHeight="1">
      <c r="A3989" s="8"/>
      <c r="C3989" s="8"/>
      <c r="F3989" s="8"/>
      <c r="H3989" s="16"/>
      <c r="I3989" s="16"/>
      <c r="J3989" s="20"/>
    </row>
    <row r="3990" spans="1:10" ht="15.75" customHeight="1">
      <c r="A3990" s="8"/>
      <c r="C3990" s="8"/>
      <c r="F3990" s="8"/>
      <c r="H3990" s="16"/>
      <c r="I3990" s="16"/>
      <c r="J3990" s="20"/>
    </row>
    <row r="3991" spans="1:10" ht="15.75" customHeight="1">
      <c r="A3991" s="8"/>
      <c r="C3991" s="8"/>
      <c r="F3991" s="8"/>
      <c r="H3991" s="16"/>
      <c r="I3991" s="16"/>
      <c r="J3991" s="20"/>
    </row>
    <row r="3992" spans="1:10" ht="15.75" customHeight="1">
      <c r="A3992" s="8"/>
      <c r="C3992" s="8"/>
      <c r="F3992" s="8"/>
      <c r="H3992" s="16"/>
      <c r="I3992" s="16"/>
      <c r="J3992" s="20"/>
    </row>
    <row r="3993" spans="1:10" ht="15.75" customHeight="1">
      <c r="A3993" s="8"/>
      <c r="C3993" s="8"/>
      <c r="F3993" s="8"/>
      <c r="H3993" s="16"/>
      <c r="I3993" s="16"/>
      <c r="J3993" s="20"/>
    </row>
    <row r="3994" spans="1:10" ht="15.75" customHeight="1">
      <c r="A3994" s="8"/>
      <c r="C3994" s="8"/>
      <c r="F3994" s="8"/>
      <c r="H3994" s="16"/>
      <c r="I3994" s="16"/>
      <c r="J3994" s="20"/>
    </row>
    <row r="3995" spans="1:10" ht="15.75" customHeight="1">
      <c r="A3995" s="8"/>
      <c r="C3995" s="8"/>
      <c r="F3995" s="8"/>
      <c r="H3995" s="16"/>
      <c r="I3995" s="16"/>
      <c r="J3995" s="20"/>
    </row>
    <row r="3996" spans="1:10" ht="15.75" customHeight="1">
      <c r="A3996" s="8"/>
      <c r="C3996" s="8"/>
      <c r="F3996" s="8"/>
      <c r="H3996" s="16"/>
      <c r="I3996" s="16"/>
      <c r="J3996" s="20"/>
    </row>
    <row r="3997" spans="1:10" ht="15.75" customHeight="1">
      <c r="A3997" s="8"/>
      <c r="C3997" s="8"/>
      <c r="F3997" s="8"/>
      <c r="H3997" s="16"/>
      <c r="I3997" s="16"/>
      <c r="J3997" s="20"/>
    </row>
    <row r="3998" spans="1:10" ht="15.75" customHeight="1">
      <c r="A3998" s="8"/>
      <c r="C3998" s="8"/>
      <c r="F3998" s="8"/>
      <c r="H3998" s="16"/>
      <c r="I3998" s="16"/>
      <c r="J3998" s="20"/>
    </row>
    <row r="3999" spans="1:10" ht="15.75" customHeight="1">
      <c r="A3999" s="8"/>
      <c r="C3999" s="8"/>
      <c r="F3999" s="8"/>
      <c r="H3999" s="16"/>
      <c r="I3999" s="16"/>
      <c r="J3999" s="20"/>
    </row>
    <row r="4000" spans="1:10" ht="15.75" customHeight="1">
      <c r="A4000" s="8"/>
      <c r="C4000" s="8"/>
      <c r="F4000" s="8"/>
      <c r="H4000" s="16"/>
      <c r="I4000" s="16"/>
      <c r="J4000" s="20"/>
    </row>
    <row r="4001" spans="1:10" ht="15.75" customHeight="1">
      <c r="A4001" s="8"/>
      <c r="C4001" s="8"/>
      <c r="F4001" s="8"/>
      <c r="H4001" s="16"/>
      <c r="I4001" s="16"/>
      <c r="J4001" s="20"/>
    </row>
    <row r="4002" spans="1:10" ht="15.75" customHeight="1">
      <c r="A4002" s="8"/>
      <c r="C4002" s="8"/>
      <c r="F4002" s="8"/>
      <c r="H4002" s="16"/>
      <c r="I4002" s="16"/>
      <c r="J4002" s="20"/>
    </row>
    <row r="4003" spans="1:10" ht="15.75" customHeight="1">
      <c r="A4003" s="8"/>
      <c r="C4003" s="8"/>
      <c r="F4003" s="8"/>
      <c r="H4003" s="16"/>
      <c r="I4003" s="16"/>
      <c r="J4003" s="20"/>
    </row>
    <row r="4004" spans="1:10" ht="15.75" customHeight="1">
      <c r="A4004" s="8"/>
      <c r="C4004" s="8"/>
      <c r="F4004" s="8"/>
      <c r="H4004" s="16"/>
      <c r="I4004" s="16"/>
      <c r="J4004" s="20"/>
    </row>
    <row r="4005" spans="1:10" ht="15.75" customHeight="1">
      <c r="A4005" s="8"/>
      <c r="C4005" s="8"/>
      <c r="F4005" s="8"/>
      <c r="H4005" s="16"/>
      <c r="I4005" s="16"/>
      <c r="J4005" s="20"/>
    </row>
    <row r="4006" spans="1:10" ht="15.75" customHeight="1">
      <c r="A4006" s="8"/>
      <c r="C4006" s="8"/>
      <c r="F4006" s="8"/>
      <c r="H4006" s="16"/>
      <c r="I4006" s="16"/>
      <c r="J4006" s="20"/>
    </row>
    <row r="4007" spans="1:10" ht="15.75" customHeight="1">
      <c r="A4007" s="8"/>
      <c r="C4007" s="8"/>
      <c r="F4007" s="8"/>
      <c r="H4007" s="16"/>
      <c r="I4007" s="16"/>
      <c r="J4007" s="20"/>
    </row>
    <row r="4008" spans="1:10" ht="15.75" customHeight="1">
      <c r="A4008" s="8"/>
      <c r="C4008" s="8"/>
      <c r="F4008" s="8"/>
      <c r="H4008" s="16"/>
      <c r="I4008" s="16"/>
      <c r="J4008" s="20"/>
    </row>
    <row r="4009" spans="1:10" ht="15.75" customHeight="1">
      <c r="A4009" s="8"/>
      <c r="C4009" s="8"/>
      <c r="F4009" s="8"/>
      <c r="H4009" s="16"/>
      <c r="I4009" s="16"/>
      <c r="J4009" s="20"/>
    </row>
    <row r="4010" spans="1:10" ht="15.75" customHeight="1">
      <c r="A4010" s="8"/>
      <c r="C4010" s="8"/>
      <c r="F4010" s="8"/>
      <c r="H4010" s="16"/>
      <c r="I4010" s="16"/>
      <c r="J4010" s="20"/>
    </row>
    <row r="4011" spans="1:10" ht="15.75" customHeight="1">
      <c r="A4011" s="8"/>
      <c r="C4011" s="8"/>
      <c r="F4011" s="8"/>
      <c r="H4011" s="16"/>
      <c r="I4011" s="16"/>
      <c r="J4011" s="20"/>
    </row>
    <row r="4012" spans="1:10" ht="15.75" customHeight="1">
      <c r="A4012" s="8"/>
      <c r="C4012" s="8"/>
      <c r="F4012" s="8"/>
      <c r="H4012" s="16"/>
      <c r="I4012" s="16"/>
      <c r="J4012" s="20"/>
    </row>
    <row r="4013" spans="1:10" ht="15.75" customHeight="1">
      <c r="A4013" s="8"/>
      <c r="C4013" s="8"/>
      <c r="F4013" s="8"/>
      <c r="H4013" s="16"/>
      <c r="I4013" s="16"/>
      <c r="J4013" s="20"/>
    </row>
    <row r="4014" spans="1:10" ht="15.75" customHeight="1">
      <c r="A4014" s="8"/>
      <c r="C4014" s="8"/>
      <c r="F4014" s="8"/>
      <c r="H4014" s="16"/>
      <c r="I4014" s="16"/>
      <c r="J4014" s="20"/>
    </row>
    <row r="4015" spans="1:10" ht="15.75" customHeight="1">
      <c r="A4015" s="8"/>
      <c r="C4015" s="8"/>
      <c r="F4015" s="8"/>
      <c r="H4015" s="16"/>
      <c r="I4015" s="16"/>
      <c r="J4015" s="20"/>
    </row>
    <row r="4016" spans="1:10" ht="15.75" customHeight="1">
      <c r="A4016" s="8"/>
      <c r="C4016" s="8"/>
      <c r="F4016" s="8"/>
      <c r="H4016" s="16"/>
      <c r="I4016" s="16"/>
      <c r="J4016" s="20"/>
    </row>
    <row r="4017" spans="1:10" ht="15.75" customHeight="1">
      <c r="A4017" s="8"/>
      <c r="C4017" s="8"/>
      <c r="F4017" s="8"/>
      <c r="H4017" s="16"/>
      <c r="I4017" s="16"/>
      <c r="J4017" s="20"/>
    </row>
    <row r="4018" spans="1:10" ht="15.75" customHeight="1">
      <c r="A4018" s="8"/>
      <c r="C4018" s="8"/>
      <c r="F4018" s="8"/>
      <c r="H4018" s="16"/>
      <c r="I4018" s="16"/>
      <c r="J4018" s="20"/>
    </row>
    <row r="4019" spans="1:10" ht="15.75" customHeight="1">
      <c r="A4019" s="8"/>
      <c r="C4019" s="8"/>
      <c r="F4019" s="8"/>
      <c r="H4019" s="16"/>
      <c r="I4019" s="16"/>
      <c r="J4019" s="20"/>
    </row>
    <row r="4020" spans="1:10" ht="15.75" customHeight="1">
      <c r="A4020" s="8"/>
      <c r="C4020" s="8"/>
      <c r="F4020" s="8"/>
      <c r="H4020" s="16"/>
      <c r="I4020" s="16"/>
      <c r="J4020" s="20"/>
    </row>
    <row r="4021" spans="1:10" ht="15.75" customHeight="1">
      <c r="A4021" s="8"/>
      <c r="C4021" s="8"/>
      <c r="F4021" s="8"/>
      <c r="H4021" s="16"/>
      <c r="I4021" s="16"/>
      <c r="J4021" s="20"/>
    </row>
    <row r="4022" spans="1:10" ht="15.75" customHeight="1">
      <c r="A4022" s="8"/>
      <c r="C4022" s="8"/>
      <c r="F4022" s="8"/>
      <c r="H4022" s="16"/>
      <c r="I4022" s="16"/>
      <c r="J4022" s="20"/>
    </row>
    <row r="4023" spans="1:10" ht="15.75" customHeight="1">
      <c r="A4023" s="8"/>
      <c r="C4023" s="8"/>
      <c r="F4023" s="8"/>
      <c r="H4023" s="16"/>
      <c r="I4023" s="16"/>
      <c r="J4023" s="20"/>
    </row>
    <row r="4024" spans="1:10" ht="15.75" customHeight="1">
      <c r="A4024" s="8"/>
      <c r="C4024" s="8"/>
      <c r="F4024" s="8"/>
      <c r="H4024" s="16"/>
      <c r="I4024" s="16"/>
      <c r="J4024" s="20"/>
    </row>
    <row r="4025" spans="1:10" ht="15.75" customHeight="1">
      <c r="A4025" s="8"/>
      <c r="C4025" s="8"/>
      <c r="F4025" s="8"/>
      <c r="H4025" s="16"/>
      <c r="I4025" s="16"/>
      <c r="J4025" s="20"/>
    </row>
    <row r="4026" spans="1:10" ht="15.75" customHeight="1">
      <c r="A4026" s="8"/>
      <c r="C4026" s="8"/>
      <c r="F4026" s="8"/>
      <c r="H4026" s="16"/>
      <c r="I4026" s="16"/>
      <c r="J4026" s="20"/>
    </row>
    <row r="4027" spans="1:10" ht="15.75" customHeight="1">
      <c r="A4027" s="8"/>
      <c r="C4027" s="8"/>
      <c r="F4027" s="8"/>
      <c r="H4027" s="16"/>
      <c r="I4027" s="16"/>
      <c r="J4027" s="20"/>
    </row>
    <row r="4028" spans="1:10" ht="15.75" customHeight="1">
      <c r="A4028" s="8"/>
      <c r="C4028" s="8"/>
      <c r="F4028" s="8"/>
      <c r="H4028" s="16"/>
      <c r="I4028" s="16"/>
      <c r="J4028" s="20"/>
    </row>
    <row r="4029" spans="1:10" ht="15.75" customHeight="1">
      <c r="A4029" s="8"/>
      <c r="C4029" s="8"/>
      <c r="F4029" s="8"/>
      <c r="H4029" s="16"/>
      <c r="I4029" s="16"/>
      <c r="J4029" s="20"/>
    </row>
    <row r="4030" spans="1:10" ht="15.75" customHeight="1">
      <c r="A4030" s="8"/>
      <c r="C4030" s="8"/>
      <c r="F4030" s="8"/>
      <c r="H4030" s="16"/>
      <c r="I4030" s="16"/>
      <c r="J4030" s="20"/>
    </row>
    <row r="4031" spans="1:10" ht="15.75" customHeight="1">
      <c r="A4031" s="8"/>
      <c r="C4031" s="8"/>
      <c r="F4031" s="8"/>
      <c r="H4031" s="16"/>
      <c r="I4031" s="16"/>
      <c r="J4031" s="20"/>
    </row>
    <row r="4032" spans="1:10" ht="15.75" customHeight="1">
      <c r="A4032" s="8"/>
      <c r="C4032" s="8"/>
      <c r="F4032" s="8"/>
      <c r="H4032" s="16"/>
      <c r="I4032" s="16"/>
      <c r="J4032" s="20"/>
    </row>
    <row r="4033" spans="1:10" ht="15.75" customHeight="1">
      <c r="A4033" s="8"/>
      <c r="C4033" s="8"/>
      <c r="F4033" s="8"/>
      <c r="H4033" s="16"/>
      <c r="I4033" s="16"/>
      <c r="J4033" s="20"/>
    </row>
    <row r="4034" spans="1:10" ht="15.75" customHeight="1">
      <c r="A4034" s="8"/>
      <c r="C4034" s="8"/>
      <c r="F4034" s="8"/>
      <c r="H4034" s="16"/>
      <c r="I4034" s="16"/>
      <c r="J4034" s="20"/>
    </row>
    <row r="4035" spans="1:10" ht="15.75" customHeight="1">
      <c r="A4035" s="8"/>
      <c r="C4035" s="8"/>
      <c r="F4035" s="8"/>
      <c r="H4035" s="16"/>
      <c r="I4035" s="16"/>
      <c r="J4035" s="20"/>
    </row>
  </sheetData>
  <autoFilter ref="A2:BD406" xr:uid="{00000000-0009-0000-0000-000002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F1:BI1"/>
    <mergeCell ref="A1:BD1"/>
    <mergeCell ref="AT2:AV2"/>
    <mergeCell ref="N2:P2"/>
    <mergeCell ref="T2:V2"/>
    <mergeCell ref="W2:Y2"/>
    <mergeCell ref="Z2:AB2"/>
    <mergeCell ref="AC2:AE2"/>
    <mergeCell ref="AN2:AP2"/>
    <mergeCell ref="AQ2:AS2"/>
    <mergeCell ref="BA2:BC2"/>
  </mergeCells>
  <phoneticPr fontId="0" type="noConversion"/>
  <conditionalFormatting sqref="BF5:BG5 BI5 BF7:BG7 BF9:BG9 BF11:BG11 BF13:BG13 BF15:BG15 BF17:BG17 BF19:BG19 BF21:BG21 BF23:BG23 BF25:BG25 BF27:BG27 BF29:BG29 BF31:BG31 BF33:BG33 BF35:BG35 BF37:BG37 BF39:BG39 BF41:BG41 BF43:BG43 BF45:BG45 BF47:BG47 BF49:BG49 BF51:BG51 BF53:BG53 BF55:BG55 BF57:BG57 BF59:BG59 BF61:BG61 BF63:BG63 BF65:BG65 BF67:BG67 BF69:BG69 BF71:BG71 BF73:BG73 BF75:BG75 BF77:BG77 BF79:BG79 BF81:BG81 BF83:BG83 BF85:BG85 BF87:BG87 BF89:BG89 BF91:BG91 BF93:BG93 BF95:BG95 BF97:BG97 BF99:BG99 BF101:BG101 BF103:BG103 BF105:BG105 BF107:BG107 BF109:BG109 BF117:BG117 BF119:BG119 BF121:BG121 BF123:BG123 BF125:BG125 BF127:BG127 BF129:BG129 BF131:BG131 BF133:BG133 BF135:BG135 BF137:BG137 BF139:BG139 BF141:BG141 BF143:BG143 BF145:BG145 BF147:BG147 BF149:BG149 BF151:BG151 BF153:BG153 BF155:BG155 BF157:BG157 BF159:BG159 BF161:BG161 BF163:BG163 BF165:BG165 BF167:BG167 BF169:BG169 BF171:BG171 BF173:BG173 BF175:BG175 BF177:BG177 BF179:BG179 BF181:BG181 BF183:BG183 BF185:BG185 BF187:BG187 BF189:BG189 BF191:BG191 BF193:BG193 BF195:BG195 BF197:BG197 BF199:BG199 BF201:BG201 BF203:BG203 BF205:BG205 BF207:BG207 BF209:BG209 BF211:BG211 BF213:BG213 BF215:BG215 BF217:BG217 BF219:BG219 BF221:BG221 BF223:BG223 BF225:BG225 BF227:BG227 BF229:BG229 BF231:BG231 BF233:BG233 BF235:BG235 BF237:BG237 BF239:BG239 BF241:BG241 BF243:BG243 BF245:BG245 BF247:BG247 BF249:BG249 BF251:BG251 BF253:BG253 BF255:BG255 BF257:BG257 BF259:BG259 BF261:BG261 BF263:BG263 BF265:BG265 BF267:BG267 BF269:BG269 BF271:BG271 BF273:BG273 BF275:BG275 BF277:BG277 BF279:BG279 BF281:BG281 BF283:BG283 BF285:BG285 BF287:BG287 BF289:BG289 BF291:BG291 BF293:BG293 BF295:BG295 BF297:BG297 BF299:BG299 BF301:BG301 BF303:BG303 BF305:BG305 BF307:BG307 BF309:BG309 BF311:BG311 BF313:BG313 BF315:BG315 BF317:BG317 BF319:BG319 BF321:BG321 BF323:BG323 BF325:BG325 BF327:BG327 BF329:BG329 BF331:BG331 BF333:BG333 BF335:BG335 BF337:BG337 BF339:BG339 BF341:BG341 BF343:BG343 BF345:BG345 BF347:BG347 BF349:BG349 BF351:BG351 BF353:BG353 BF355:BG355 BF357:BG357 BF359:BG359 BF361:BG361 BF363:BG363 BF365:BG365 BF367:BG367 BF369:BG369 BF371:BG371 BF373:BG373 BF375:BG375 BF377:BG377 BF379:BG379 BF381:BG381 BF383:BG383 BF385:BG385 BF387:BG387 BF389:BG389 BF391:BG391 BF393:BG393 BF395:BG395 BF397:BG397 BF399:BG399 BF401:BG401 BF403:BG403 BF405:BG405 BI7 BI9 BI11 BI13 BI15 BI17 BI19 BI21 BI23 BI25 BI27 BI29 BI31 BI33 BI35 BI37 BI39 BI41 BI43 BI45 BI47 BI49 BI51 BI53 BI55 BI57 BI59 BI61 BI63 BI65 BI67 BI69 BI71 BI73 BI75 BI77 BI79 BI81 BI83 BI85 BI87 BI89 BI91 BI93 BI95 BI97 BI99 BI101 BI103 BI105 BI107 BI109 BI117 BI119 BI121 BI123 BI125 BI127 BI129 BI131 BI133 BI135 BI137 BI139 BI141 BI143 BI145 BI147 BI149 BI151 BI153 BI155 BI157 BI159 BI161 BI163 BI165 BI167 BI169 BI171 BI173 BI175 BI177 BI179 BI181 BI183 BI185 BI187 BI189 BI191 BI193 BI195 BI197 BI199 BI201 BI203 BI205 BI207 BI209 BI211 BI213 BI215 BI217 BI219 BI221 BI223 BI225 BI227 BI229 BI231 BI233 BI235 BI237 BI239 BI241 BI243 BI245 BI247 BI249 BI251 BI253 BI255 BI257 BI259 BI261 BI263 BI265 BI267 BI269 BI271 BI273 BI275 BI277 BI279 BI281 BI283 BI285 BI287 BI289 BI291 BI293 BI295 BI297 BI299 BI301 BI303 BI305 BI307 BI309 BI311 BI313 BI315 BI317 BI319 BI321 BI323 BI325 BI327 BI329 BI331 BI333 BI335 BI337 BI339 BI341 BI343 BI345 BI347 BI349 BI351 BI353 BI355 BI357 BI359 BI361 BI363 BI365 BI367 BI369 BI371 BI373 BI375 BI377 BI379 BI381 BI383 BI385 BI387 BI389 BI391 BI393 BI395 BI397 BI399 BI401 BI403 BI405 BF111:BG111 BF113:BG113 BF115:BG115 BI111 BI113 BI115">
    <cfRule type="containsBlanks" dxfId="9117" priority="2509">
      <formula>LEN(TRIM(BF5))=0</formula>
    </cfRule>
  </conditionalFormatting>
  <conditionalFormatting sqref="BE4">
    <cfRule type="expression" dxfId="9116" priority="2507">
      <formula>$M4="NON DEFINED"</formula>
    </cfRule>
    <cfRule type="expression" dxfId="9115" priority="2508">
      <formula>$AY4="N.D."</formula>
    </cfRule>
  </conditionalFormatting>
  <conditionalFormatting sqref="BE4">
    <cfRule type="cellIs" dxfId="9114" priority="2506" operator="equal">
      <formula>0</formula>
    </cfRule>
  </conditionalFormatting>
  <conditionalFormatting sqref="BA4:BC4">
    <cfRule type="expression" dxfId="9113" priority="2470">
      <formula>$BE4="R"</formula>
    </cfRule>
  </conditionalFormatting>
  <conditionalFormatting sqref="B4:E4 J4 AG4 AN4:AS4 AY4:BC4 G4:H4">
    <cfRule type="expression" dxfId="9112" priority="2468">
      <formula>$M4="NON DEFINED"</formula>
    </cfRule>
    <cfRule type="expression" dxfId="9111" priority="2469">
      <formula>$AY4="N.D."</formula>
    </cfRule>
  </conditionalFormatting>
  <conditionalFormatting sqref="A4:E4 J4 AG4 AN4:AS4 AY4:BD4 G4:H4">
    <cfRule type="cellIs" dxfId="9110" priority="2467" operator="equal">
      <formula>0</formula>
    </cfRule>
  </conditionalFormatting>
  <conditionalFormatting sqref="I4">
    <cfRule type="expression" dxfId="9109" priority="2448">
      <formula>$M4="NON DEFINED"</formula>
    </cfRule>
    <cfRule type="expression" dxfId="9108" priority="2449">
      <formula>$AY4="N.D."</formula>
    </cfRule>
  </conditionalFormatting>
  <conditionalFormatting sqref="I4">
    <cfRule type="cellIs" dxfId="9107" priority="2447" operator="equal">
      <formula>0</formula>
    </cfRule>
  </conditionalFormatting>
  <conditionalFormatting sqref="K4">
    <cfRule type="expression" dxfId="9106" priority="2431">
      <formula>$M4="NON DEFINED"</formula>
    </cfRule>
    <cfRule type="expression" dxfId="9105" priority="2432">
      <formula>$AY4="N.D."</formula>
    </cfRule>
  </conditionalFormatting>
  <conditionalFormatting sqref="K4">
    <cfRule type="cellIs" dxfId="9104" priority="2430" operator="equal">
      <formula>0</formula>
    </cfRule>
  </conditionalFormatting>
  <conditionalFormatting sqref="L4">
    <cfRule type="expression" dxfId="9103" priority="2414">
      <formula>$M4="NON DEFINED"</formula>
    </cfRule>
    <cfRule type="expression" dxfId="9102" priority="2415">
      <formula>$AY4="N.D."</formula>
    </cfRule>
  </conditionalFormatting>
  <conditionalFormatting sqref="L4">
    <cfRule type="cellIs" dxfId="9101" priority="2413" operator="equal">
      <formula>0</formula>
    </cfRule>
  </conditionalFormatting>
  <conditionalFormatting sqref="M4">
    <cfRule type="expression" dxfId="9100" priority="2397">
      <formula>$M4="NON DEFINED"</formula>
    </cfRule>
    <cfRule type="expression" dxfId="9099" priority="2398">
      <formula>$AY4="N.D."</formula>
    </cfRule>
  </conditionalFormatting>
  <conditionalFormatting sqref="M4">
    <cfRule type="cellIs" dxfId="9098" priority="2396" operator="equal">
      <formula>0</formula>
    </cfRule>
  </conditionalFormatting>
  <conditionalFormatting sqref="N4">
    <cfRule type="expression" dxfId="9097" priority="2377">
      <formula>$M4="NON DEFINED"</formula>
    </cfRule>
    <cfRule type="expression" dxfId="9096" priority="2378">
      <formula>$AY4="N.D."</formula>
    </cfRule>
  </conditionalFormatting>
  <conditionalFormatting sqref="N4">
    <cfRule type="cellIs" dxfId="9095" priority="2376" operator="equal">
      <formula>0</formula>
    </cfRule>
  </conditionalFormatting>
  <conditionalFormatting sqref="O4">
    <cfRule type="expression" dxfId="9094" priority="2360">
      <formula>$M4="NON DEFINED"</formula>
    </cfRule>
    <cfRule type="expression" dxfId="9093" priority="2361">
      <formula>$AY4="N.D."</formula>
    </cfRule>
  </conditionalFormatting>
  <conditionalFormatting sqref="O4">
    <cfRule type="cellIs" dxfId="9092" priority="2359" operator="equal">
      <formula>0</formula>
    </cfRule>
  </conditionalFormatting>
  <conditionalFormatting sqref="P4">
    <cfRule type="expression" dxfId="9091" priority="2343">
      <formula>$M4="NON DEFINED"</formula>
    </cfRule>
    <cfRule type="expression" dxfId="9090" priority="2344">
      <formula>$AY4="N.D."</formula>
    </cfRule>
  </conditionalFormatting>
  <conditionalFormatting sqref="P4">
    <cfRule type="cellIs" dxfId="9089" priority="2342" operator="equal">
      <formula>0</formula>
    </cfRule>
  </conditionalFormatting>
  <conditionalFormatting sqref="AC4">
    <cfRule type="expression" dxfId="9088" priority="2309">
      <formula>$M4="NON DEFINED"</formula>
    </cfRule>
    <cfRule type="expression" dxfId="9087" priority="2310">
      <formula>$AY4="N.D."</formula>
    </cfRule>
  </conditionalFormatting>
  <conditionalFormatting sqref="AC4">
    <cfRule type="cellIs" dxfId="9086" priority="2308" operator="equal">
      <formula>0</formula>
    </cfRule>
  </conditionalFormatting>
  <conditionalFormatting sqref="AD4">
    <cfRule type="expression" dxfId="9085" priority="2292">
      <formula>$M4="NON DEFINED"</formula>
    </cfRule>
    <cfRule type="expression" dxfId="9084" priority="2293">
      <formula>$AY4="N.D."</formula>
    </cfRule>
  </conditionalFormatting>
  <conditionalFormatting sqref="AD4">
    <cfRule type="cellIs" dxfId="9083" priority="2291" operator="equal">
      <formula>0</formula>
    </cfRule>
  </conditionalFormatting>
  <conditionalFormatting sqref="AE4">
    <cfRule type="expression" dxfId="9082" priority="2275">
      <formula>$M4="NON DEFINED"</formula>
    </cfRule>
    <cfRule type="expression" dxfId="9081" priority="2276">
      <formula>$AY4="N.D."</formula>
    </cfRule>
  </conditionalFormatting>
  <conditionalFormatting sqref="AE4">
    <cfRule type="cellIs" dxfId="9080" priority="2274" operator="equal">
      <formula>0</formula>
    </cfRule>
  </conditionalFormatting>
  <conditionalFormatting sqref="AJ4">
    <cfRule type="expression" dxfId="9079" priority="2258">
      <formula>$M4="NON DEFINED"</formula>
    </cfRule>
    <cfRule type="expression" dxfId="9078" priority="2259">
      <formula>$AY4="N.D."</formula>
    </cfRule>
  </conditionalFormatting>
  <conditionalFormatting sqref="AJ4">
    <cfRule type="cellIs" dxfId="9077" priority="2257" operator="equal">
      <formula>0</formula>
    </cfRule>
  </conditionalFormatting>
  <conditionalFormatting sqref="AK4">
    <cfRule type="expression" dxfId="9076" priority="2241">
      <formula>$M4="NON DEFINED"</formula>
    </cfRule>
    <cfRule type="expression" dxfId="9075" priority="2242">
      <formula>$AY4="N.D."</formula>
    </cfRule>
  </conditionalFormatting>
  <conditionalFormatting sqref="AK4">
    <cfRule type="cellIs" dxfId="9074" priority="2240" operator="equal">
      <formula>0</formula>
    </cfRule>
  </conditionalFormatting>
  <conditionalFormatting sqref="AL4">
    <cfRule type="expression" dxfId="9073" priority="2224">
      <formula>$M4="NON DEFINED"</formula>
    </cfRule>
    <cfRule type="expression" dxfId="9072" priority="2225">
      <formula>$AY4="N.D."</formula>
    </cfRule>
  </conditionalFormatting>
  <conditionalFormatting sqref="AL4">
    <cfRule type="cellIs" dxfId="9071" priority="2223" operator="equal">
      <formula>0</formula>
    </cfRule>
  </conditionalFormatting>
  <conditionalFormatting sqref="AM4">
    <cfRule type="expression" dxfId="9070" priority="2207">
      <formula>$M4="NON DEFINED"</formula>
    </cfRule>
    <cfRule type="expression" dxfId="9069" priority="2208">
      <formula>$AY4="N.D."</formula>
    </cfRule>
  </conditionalFormatting>
  <conditionalFormatting sqref="AM4">
    <cfRule type="cellIs" dxfId="9068" priority="2206" operator="equal">
      <formula>0</formula>
    </cfRule>
  </conditionalFormatting>
  <conditionalFormatting sqref="AT4">
    <cfRule type="expression" dxfId="9067" priority="2190">
      <formula>$M4="NON DEFINED"</formula>
    </cfRule>
    <cfRule type="expression" dxfId="9066" priority="2191">
      <formula>$AY4="N.D."</formula>
    </cfRule>
  </conditionalFormatting>
  <conditionalFormatting sqref="AT4">
    <cfRule type="cellIs" dxfId="9065" priority="2189" operator="equal">
      <formula>0</formula>
    </cfRule>
  </conditionalFormatting>
  <conditionalFormatting sqref="AU4">
    <cfRule type="expression" dxfId="9064" priority="2173">
      <formula>$M4="NON DEFINED"</formula>
    </cfRule>
    <cfRule type="expression" dxfId="9063" priority="2174">
      <formula>$AY4="N.D."</formula>
    </cfRule>
  </conditionalFormatting>
  <conditionalFormatting sqref="AU4">
    <cfRule type="cellIs" dxfId="9062" priority="2172" operator="equal">
      <formula>0</formula>
    </cfRule>
  </conditionalFormatting>
  <conditionalFormatting sqref="AV4">
    <cfRule type="expression" dxfId="9061" priority="2156">
      <formula>$M4="NON DEFINED"</formula>
    </cfRule>
    <cfRule type="expression" dxfId="9060" priority="2157">
      <formula>$AY4="N.D."</formula>
    </cfRule>
  </conditionalFormatting>
  <conditionalFormatting sqref="AV4">
    <cfRule type="cellIs" dxfId="9059" priority="2155" operator="equal">
      <formula>0</formula>
    </cfRule>
  </conditionalFormatting>
  <conditionalFormatting sqref="AW4">
    <cfRule type="expression" dxfId="9058" priority="2139">
      <formula>$M4="NON DEFINED"</formula>
    </cfRule>
    <cfRule type="expression" dxfId="9057" priority="2140">
      <formula>$AY4="N.D."</formula>
    </cfRule>
  </conditionalFormatting>
  <conditionalFormatting sqref="AW4">
    <cfRule type="cellIs" dxfId="9056" priority="2138" operator="equal">
      <formula>0</formula>
    </cfRule>
  </conditionalFormatting>
  <conditionalFormatting sqref="AX4">
    <cfRule type="expression" dxfId="9055" priority="2122">
      <formula>$M4="NON DEFINED"</formula>
    </cfRule>
    <cfRule type="expression" dxfId="9054" priority="2123">
      <formula>$AY4="N.D."</formula>
    </cfRule>
  </conditionalFormatting>
  <conditionalFormatting sqref="AX4">
    <cfRule type="cellIs" dxfId="9053" priority="2121" operator="equal">
      <formula>0</formula>
    </cfRule>
  </conditionalFormatting>
  <conditionalFormatting sqref="F4">
    <cfRule type="expression" dxfId="9052" priority="2105">
      <formula>$M4="NON DEFINED"</formula>
    </cfRule>
    <cfRule type="expression" dxfId="9051" priority="2106">
      <formula>$AY4="N.D."</formula>
    </cfRule>
  </conditionalFormatting>
  <conditionalFormatting sqref="F4">
    <cfRule type="cellIs" dxfId="9050" priority="2104" operator="equal">
      <formula>0</formula>
    </cfRule>
  </conditionalFormatting>
  <conditionalFormatting sqref="Q4">
    <cfRule type="expression" dxfId="9049" priority="2088">
      <formula>$M4="NON DEFINED"</formula>
    </cfRule>
    <cfRule type="expression" dxfId="9048" priority="2089">
      <formula>$AY4="N.D."</formula>
    </cfRule>
  </conditionalFormatting>
  <conditionalFormatting sqref="Q4">
    <cfRule type="cellIs" dxfId="9047" priority="2087" operator="equal">
      <formula>0</formula>
    </cfRule>
  </conditionalFormatting>
  <conditionalFormatting sqref="T4">
    <cfRule type="expression" dxfId="9046" priority="2071">
      <formula>$M4="NON DEFINED"</formula>
    </cfRule>
    <cfRule type="expression" dxfId="9045" priority="2072">
      <formula>$AY4="N.D."</formula>
    </cfRule>
  </conditionalFormatting>
  <conditionalFormatting sqref="T4">
    <cfRule type="cellIs" dxfId="9044" priority="2070" operator="equal">
      <formula>0</formula>
    </cfRule>
  </conditionalFormatting>
  <conditionalFormatting sqref="U4">
    <cfRule type="expression" dxfId="9043" priority="2054">
      <formula>$M4="NON DEFINED"</formula>
    </cfRule>
    <cfRule type="expression" dxfId="9042" priority="2055">
      <formula>$AY4="N.D."</formula>
    </cfRule>
  </conditionalFormatting>
  <conditionalFormatting sqref="U4">
    <cfRule type="cellIs" dxfId="9041" priority="2053" operator="equal">
      <formula>0</formula>
    </cfRule>
  </conditionalFormatting>
  <conditionalFormatting sqref="V4">
    <cfRule type="expression" dxfId="9040" priority="2037">
      <formula>$M4="NON DEFINED"</formula>
    </cfRule>
    <cfRule type="expression" dxfId="9039" priority="2038">
      <formula>$AY4="N.D."</formula>
    </cfRule>
  </conditionalFormatting>
  <conditionalFormatting sqref="V4">
    <cfRule type="cellIs" dxfId="9038" priority="2036" operator="equal">
      <formula>0</formula>
    </cfRule>
  </conditionalFormatting>
  <conditionalFormatting sqref="AF4">
    <cfRule type="expression" dxfId="9037" priority="2020">
      <formula>$M4="NON DEFINED"</formula>
    </cfRule>
    <cfRule type="expression" dxfId="9036" priority="2021">
      <formula>$AY4="N.D."</formula>
    </cfRule>
  </conditionalFormatting>
  <conditionalFormatting sqref="AF4">
    <cfRule type="cellIs" dxfId="9035" priority="2019" operator="equal">
      <formula>0</formula>
    </cfRule>
  </conditionalFormatting>
  <conditionalFormatting sqref="AH4">
    <cfRule type="expression" dxfId="9034" priority="2003">
      <formula>$M4="NON DEFINED"</formula>
    </cfRule>
    <cfRule type="expression" dxfId="9033" priority="2004">
      <formula>$AY4="N.D."</formula>
    </cfRule>
  </conditionalFormatting>
  <conditionalFormatting sqref="AH4">
    <cfRule type="cellIs" dxfId="9032" priority="2002" operator="equal">
      <formula>0</formula>
    </cfRule>
  </conditionalFormatting>
  <conditionalFormatting sqref="AI4">
    <cfRule type="expression" dxfId="9031" priority="1986">
      <formula>$M4="NON DEFINED"</formula>
    </cfRule>
    <cfRule type="expression" dxfId="9030" priority="1987">
      <formula>$AY4="N.D."</formula>
    </cfRule>
  </conditionalFormatting>
  <conditionalFormatting sqref="AI4">
    <cfRule type="cellIs" dxfId="9029" priority="1985" operator="equal">
      <formula>0</formula>
    </cfRule>
  </conditionalFormatting>
  <conditionalFormatting sqref="R4">
    <cfRule type="expression" dxfId="9028" priority="1969">
      <formula>$M4="NON DEFINED"</formula>
    </cfRule>
    <cfRule type="expression" dxfId="9027" priority="1970">
      <formula>$AY4="N.D."</formula>
    </cfRule>
  </conditionalFormatting>
  <conditionalFormatting sqref="R4">
    <cfRule type="cellIs" dxfId="9026" priority="1968" operator="equal">
      <formula>0</formula>
    </cfRule>
  </conditionalFormatting>
  <conditionalFormatting sqref="S4">
    <cfRule type="expression" dxfId="9025" priority="1952">
      <formula>$M4="NON DEFINED"</formula>
    </cfRule>
    <cfRule type="expression" dxfId="9024" priority="1953">
      <formula>$AY4="N.D."</formula>
    </cfRule>
  </conditionalFormatting>
  <conditionalFormatting sqref="S4">
    <cfRule type="cellIs" dxfId="9023" priority="1951" operator="equal">
      <formula>0</formula>
    </cfRule>
  </conditionalFormatting>
  <conditionalFormatting sqref="W4">
    <cfRule type="expression" dxfId="9022" priority="1935">
      <formula>$M4="NON DEFINED"</formula>
    </cfRule>
    <cfRule type="expression" dxfId="9021" priority="1936">
      <formula>$AY4="N.D."</formula>
    </cfRule>
  </conditionalFormatting>
  <conditionalFormatting sqref="W4">
    <cfRule type="cellIs" dxfId="9020" priority="1934" operator="equal">
      <formula>0</formula>
    </cfRule>
  </conditionalFormatting>
  <conditionalFormatting sqref="X4">
    <cfRule type="expression" dxfId="9019" priority="1901">
      <formula>$M4="NON DEFINED"</formula>
    </cfRule>
    <cfRule type="expression" dxfId="9018" priority="1902">
      <formula>$AY4="N.D."</formula>
    </cfRule>
  </conditionalFormatting>
  <conditionalFormatting sqref="X4">
    <cfRule type="cellIs" dxfId="9017" priority="1900" operator="equal">
      <formula>0</formula>
    </cfRule>
  </conditionalFormatting>
  <conditionalFormatting sqref="Y4">
    <cfRule type="expression" dxfId="9016" priority="1884">
      <formula>$M4="NON DEFINED"</formula>
    </cfRule>
    <cfRule type="expression" dxfId="9015" priority="1885">
      <formula>$AY4="N.D."</formula>
    </cfRule>
  </conditionalFormatting>
  <conditionalFormatting sqref="Y4">
    <cfRule type="cellIs" dxfId="9014" priority="1883" operator="equal">
      <formula>0</formula>
    </cfRule>
  </conditionalFormatting>
  <conditionalFormatting sqref="Z4">
    <cfRule type="expression" dxfId="9013" priority="1867">
      <formula>$M4="NON DEFINED"</formula>
    </cfRule>
    <cfRule type="expression" dxfId="9012" priority="1868">
      <formula>$AY4="N.D."</formula>
    </cfRule>
  </conditionalFormatting>
  <conditionalFormatting sqref="Z4">
    <cfRule type="cellIs" dxfId="9011" priority="1866" operator="equal">
      <formula>0</formula>
    </cfRule>
  </conditionalFormatting>
  <conditionalFormatting sqref="AA4">
    <cfRule type="expression" dxfId="9010" priority="1850">
      <formula>$M4="NON DEFINED"</formula>
    </cfRule>
    <cfRule type="expression" dxfId="9009" priority="1851">
      <formula>$AY4="N.D."</formula>
    </cfRule>
  </conditionalFormatting>
  <conditionalFormatting sqref="AA4">
    <cfRule type="cellIs" dxfId="9008" priority="1849" operator="equal">
      <formula>0</formula>
    </cfRule>
  </conditionalFormatting>
  <conditionalFormatting sqref="AB4">
    <cfRule type="expression" dxfId="9007" priority="1833">
      <formula>$M4="NON DEFINED"</formula>
    </cfRule>
    <cfRule type="expression" dxfId="9006" priority="1834">
      <formula>$AY4="N.D."</formula>
    </cfRule>
  </conditionalFormatting>
  <conditionalFormatting sqref="AB4">
    <cfRule type="cellIs" dxfId="9005" priority="1832" operator="equal">
      <formula>0</formula>
    </cfRule>
  </conditionalFormatting>
  <conditionalFormatting sqref="J14:J32 J35:J36 J92:J100 J110:J120 J134:J389 G12:H355 G356 G357:H406 I392:K406 L73:AZ73 L72:AB72 AE72:AZ72 L71:AZ71 L70:AC70 AE70:AZ70 L75:AZ75 L74:AC74 AE74:AZ74 L76:AB76 AD76:AZ76 L251:AZ251 L250:AC250 AE250:AZ250 L256:AB256 AD256:AZ256 L253:AZ253 L252:AB252 AD252:AZ252 L255:AZ255 L254:AB254 AE254:AZ254 B12:F406 L117:AZ249 L116:AV116 L257:AZ406 J38:J84 L12:AZ69 L77:AZ115">
    <cfRule type="expression" dxfId="9004" priority="1314">
      <formula>$M12="NON DEFINED"</formula>
    </cfRule>
    <cfRule type="expression" dxfId="9003" priority="1315">
      <formula>$AZ12="N.D."</formula>
    </cfRule>
    <cfRule type="expression" dxfId="9002" priority="1316">
      <formula>$AY12="N.D."</formula>
    </cfRule>
  </conditionalFormatting>
  <conditionalFormatting sqref="A12:E103 J14:J32 J35:J36 J92:J100 J110:J120 B104:E104 J134:J389 G12:H355 G356 A105:E406 G357:H406 I392:K406 L73:AZ73 L72:AB72 AE72:AZ72 L71:AZ71 L70:AC70 AE70:AZ70 L75:AZ75 L74:AC74 AE74:AZ74 L76:AB76 AD76:AZ76 L251:AZ251 L250:AC250 AE250:AZ250 L256:AB256 AD256:AZ256 L253:AZ253 L252:AB252 AD252:AZ252 L255:AZ255 L254:AB254 AE254:AZ254 F12:F406 L117:AZ249 L116:AV116 L257:AZ406 J38:J84 L12:AZ69 L77:AZ115">
    <cfRule type="expression" dxfId="9001" priority="1294">
      <formula>$A12="Overhead Cable"</formula>
    </cfRule>
    <cfRule type="expression" dxfId="9000" priority="1295">
      <formula>$A12="Level Crossing"</formula>
    </cfRule>
    <cfRule type="expression" dxfId="8999" priority="1296">
      <formula>$A12="Neutral Section"</formula>
    </cfRule>
    <cfRule type="expression" dxfId="8998" priority="1297">
      <formula>$A12="Tunnel"</formula>
    </cfRule>
    <cfRule type="expression" dxfId="8997" priority="1298">
      <formula>$A12="Bridge"</formula>
    </cfRule>
    <cfRule type="expression" dxfId="8996" priority="1299">
      <formula>$A12="Drainage Works"</formula>
    </cfRule>
    <cfRule type="expression" dxfId="8995" priority="1300">
      <formula>$A12="Underpass"</formula>
    </cfRule>
    <cfRule type="expression" dxfId="8994" priority="1301">
      <formula>$A12="Overcrossing"</formula>
    </cfRule>
    <cfRule type="expression" dxfId="8993" priority="1302">
      <formula>$A12="Overpass"</formula>
    </cfRule>
    <cfRule type="expression" dxfId="8992" priority="1303">
      <formula>$A12="Station"</formula>
    </cfRule>
    <cfRule type="expression" dxfId="8991" priority="1304">
      <formula>$A12="Overlap between sections"</formula>
    </cfRule>
  </conditionalFormatting>
  <conditionalFormatting sqref="AN12:AP406">
    <cfRule type="cellIs" dxfId="8990" priority="1293" operator="notEqual">
      <formula>5.5</formula>
    </cfRule>
  </conditionalFormatting>
  <conditionalFormatting sqref="B12:B406">
    <cfRule type="expression" dxfId="8989" priority="1292">
      <formula>AND($AH12&gt;2499,$AH12&lt;2901)</formula>
    </cfRule>
  </conditionalFormatting>
  <conditionalFormatting sqref="I12:I32 I79:I84 I92:I100 I110:I120 I134:I269 I281:I299 I311:I349 I357:I389 I351:I355 I35:I67">
    <cfRule type="expression" dxfId="8988" priority="1289">
      <formula>$M12="NON DEFINED"</formula>
    </cfRule>
    <cfRule type="expression" dxfId="8987" priority="1290">
      <formula>$AZ12="N.D."</formula>
    </cfRule>
    <cfRule type="expression" dxfId="8986" priority="1291">
      <formula>$AY12="N.D."</formula>
    </cfRule>
  </conditionalFormatting>
  <conditionalFormatting sqref="I12:I32 I79:I84 I92:I100 I110:I120 I134:I269 I281:I299 I311:I349 I357:I389 I351:I355 I35:I67">
    <cfRule type="expression" dxfId="8985" priority="1278">
      <formula>$A12="Overhead Cable"</formula>
    </cfRule>
    <cfRule type="expression" dxfId="8984" priority="1279">
      <formula>$A12="Level Crossing"</formula>
    </cfRule>
    <cfRule type="expression" dxfId="8983" priority="1280">
      <formula>$A12="Neutral Section"</formula>
    </cfRule>
    <cfRule type="expression" dxfId="8982" priority="1281">
      <formula>$A12="Tunnel"</formula>
    </cfRule>
    <cfRule type="expression" dxfId="8981" priority="1282">
      <formula>$A12="Bridge"</formula>
    </cfRule>
    <cfRule type="expression" dxfId="8980" priority="1283">
      <formula>$A12="Drainage Works"</formula>
    </cfRule>
    <cfRule type="expression" dxfId="8979" priority="1284">
      <formula>$A12="Underpass"</formula>
    </cfRule>
    <cfRule type="expression" dxfId="8978" priority="1285">
      <formula>$A12="Overcrossing"</formula>
    </cfRule>
    <cfRule type="expression" dxfId="8977" priority="1286">
      <formula>$A12="Overpass"</formula>
    </cfRule>
    <cfRule type="expression" dxfId="8976" priority="1287">
      <formula>$A12="Station"</formula>
    </cfRule>
    <cfRule type="expression" dxfId="8975" priority="1288">
      <formula>$A12="Overlap between sections"</formula>
    </cfRule>
  </conditionalFormatting>
  <conditionalFormatting sqref="K14:K32 K35:K36 K92:K100 K110:K120 K134:K269 K281:K317 K271:K279 K323:K349 K353:K355 K351 K357:K389 K38:K84">
    <cfRule type="expression" dxfId="8974" priority="1275">
      <formula>$M14="NON DEFINED"</formula>
    </cfRule>
    <cfRule type="expression" dxfId="8973" priority="1276">
      <formula>$AZ14="N.D."</formula>
    </cfRule>
    <cfRule type="expression" dxfId="8972" priority="1277">
      <formula>$AY14="N.D."</formula>
    </cfRule>
  </conditionalFormatting>
  <conditionalFormatting sqref="K14:K32 K35:K36 K92:K100 K110:K120 K134:K269 K281:K317 K271:K279 K323:K349 K353:K355 K351 K357:K389 K38:K84">
    <cfRule type="expression" dxfId="8971" priority="1264">
      <formula>$A14="Overhead Cable"</formula>
    </cfRule>
    <cfRule type="expression" dxfId="8970" priority="1265">
      <formula>$A14="Level Crossing"</formula>
    </cfRule>
    <cfRule type="expression" dxfId="8969" priority="1266">
      <formula>$A14="Neutral Section"</formula>
    </cfRule>
    <cfRule type="expression" dxfId="8968" priority="1267">
      <formula>$A14="Tunnel"</formula>
    </cfRule>
    <cfRule type="expression" dxfId="8967" priority="1268">
      <formula>$A14="Bridge"</formula>
    </cfRule>
    <cfRule type="expression" dxfId="8966" priority="1269">
      <formula>$A14="Drainage Works"</formula>
    </cfRule>
    <cfRule type="expression" dxfId="8965" priority="1270">
      <formula>$A14="Underpass"</formula>
    </cfRule>
    <cfRule type="expression" dxfId="8964" priority="1271">
      <formula>$A14="Overcrossing"</formula>
    </cfRule>
    <cfRule type="expression" dxfId="8963" priority="1272">
      <formula>$A14="Overpass"</formula>
    </cfRule>
    <cfRule type="expression" dxfId="8962" priority="1273">
      <formula>$A14="Station"</formula>
    </cfRule>
    <cfRule type="expression" dxfId="8961" priority="1274">
      <formula>$A14="Overlap between sections"</formula>
    </cfRule>
  </conditionalFormatting>
  <conditionalFormatting sqref="BE5:BE406">
    <cfRule type="containsText" dxfId="8960" priority="776" operator="containsText" text="a">
      <formula>NOT(ISERROR(SEARCH("a",BE5)))</formula>
    </cfRule>
    <cfRule type="containsText" dxfId="8959" priority="777" operator="containsText" text="R">
      <formula>NOT(ISERROR(SEARCH("R",BE5)))</formula>
    </cfRule>
  </conditionalFormatting>
  <conditionalFormatting sqref="BA5:BC5">
    <cfRule type="expression" dxfId="8958" priority="775">
      <formula>$BE5="R"</formula>
    </cfRule>
  </conditionalFormatting>
  <conditionalFormatting sqref="B5:E11 J5:J11 AG5:AG11 AN5:AS11 AY5:BC5 G5:H11 AY6:AZ11">
    <cfRule type="expression" dxfId="8957" priority="773">
      <formula>$M5="NON DEFINED"</formula>
    </cfRule>
    <cfRule type="expression" dxfId="8956" priority="774">
      <formula>$AY5="N.D."</formula>
    </cfRule>
  </conditionalFormatting>
  <conditionalFormatting sqref="A5:E11 J5:J11 AG5:AG11 AN5:AS11 AY5:BD5 G5:H11 AY6:AZ11">
    <cfRule type="cellIs" dxfId="8955" priority="772" operator="equal">
      <formula>0</formula>
    </cfRule>
  </conditionalFormatting>
  <conditionalFormatting sqref="I5:I11">
    <cfRule type="expression" dxfId="8954" priority="770">
      <formula>$M5="NON DEFINED"</formula>
    </cfRule>
    <cfRule type="expression" dxfId="8953" priority="771">
      <formula>$AY5="N.D."</formula>
    </cfRule>
  </conditionalFormatting>
  <conditionalFormatting sqref="I5:I11">
    <cfRule type="cellIs" dxfId="8952" priority="769" operator="equal">
      <formula>0</formula>
    </cfRule>
  </conditionalFormatting>
  <conditionalFormatting sqref="K5:K11">
    <cfRule type="expression" dxfId="8951" priority="767">
      <formula>$M5="NON DEFINED"</formula>
    </cfRule>
    <cfRule type="expression" dxfId="8950" priority="768">
      <formula>$AY5="N.D."</formula>
    </cfRule>
  </conditionalFormatting>
  <conditionalFormatting sqref="K5:K11">
    <cfRule type="cellIs" dxfId="8949" priority="766" operator="equal">
      <formula>0</formula>
    </cfRule>
  </conditionalFormatting>
  <conditionalFormatting sqref="L5:L11">
    <cfRule type="expression" dxfId="8948" priority="764">
      <formula>$M5="NON DEFINED"</formula>
    </cfRule>
    <cfRule type="expression" dxfId="8947" priority="765">
      <formula>$AY5="N.D."</formula>
    </cfRule>
  </conditionalFormatting>
  <conditionalFormatting sqref="L5:L11">
    <cfRule type="cellIs" dxfId="8946" priority="763" operator="equal">
      <formula>0</formula>
    </cfRule>
  </conditionalFormatting>
  <conditionalFormatting sqref="M5:M11">
    <cfRule type="expression" dxfId="8945" priority="761">
      <formula>$M5="NON DEFINED"</formula>
    </cfRule>
    <cfRule type="expression" dxfId="8944" priority="762">
      <formula>$AY5="N.D."</formula>
    </cfRule>
  </conditionalFormatting>
  <conditionalFormatting sqref="M5:M11">
    <cfRule type="cellIs" dxfId="8943" priority="760" operator="equal">
      <formula>0</formula>
    </cfRule>
  </conditionalFormatting>
  <conditionalFormatting sqref="N5:N11">
    <cfRule type="expression" dxfId="8942" priority="758">
      <formula>$M5="NON DEFINED"</formula>
    </cfRule>
    <cfRule type="expression" dxfId="8941" priority="759">
      <formula>$AY5="N.D."</formula>
    </cfRule>
  </conditionalFormatting>
  <conditionalFormatting sqref="N5:N11">
    <cfRule type="cellIs" dxfId="8940" priority="757" operator="equal">
      <formula>0</formula>
    </cfRule>
  </conditionalFormatting>
  <conditionalFormatting sqref="O5:O11">
    <cfRule type="expression" dxfId="8939" priority="755">
      <formula>$M5="NON DEFINED"</formula>
    </cfRule>
    <cfRule type="expression" dxfId="8938" priority="756">
      <formula>$AY5="N.D."</formula>
    </cfRule>
  </conditionalFormatting>
  <conditionalFormatting sqref="O5:O11">
    <cfRule type="cellIs" dxfId="8937" priority="754" operator="equal">
      <formula>0</formula>
    </cfRule>
  </conditionalFormatting>
  <conditionalFormatting sqref="P5:P11">
    <cfRule type="expression" dxfId="8936" priority="752">
      <formula>$M5="NON DEFINED"</formula>
    </cfRule>
    <cfRule type="expression" dxfId="8935" priority="753">
      <formula>$AY5="N.D."</formula>
    </cfRule>
  </conditionalFormatting>
  <conditionalFormatting sqref="P5:P11">
    <cfRule type="cellIs" dxfId="8934" priority="751" operator="equal">
      <formula>0</formula>
    </cfRule>
  </conditionalFormatting>
  <conditionalFormatting sqref="AC5:AC11">
    <cfRule type="expression" dxfId="8933" priority="749">
      <formula>$M5="NON DEFINED"</formula>
    </cfRule>
    <cfRule type="expression" dxfId="8932" priority="750">
      <formula>$AY5="N.D."</formula>
    </cfRule>
  </conditionalFormatting>
  <conditionalFormatting sqref="AC5:AC11">
    <cfRule type="cellIs" dxfId="8931" priority="748" operator="equal">
      <formula>0</formula>
    </cfRule>
  </conditionalFormatting>
  <conditionalFormatting sqref="AD5:AD11">
    <cfRule type="expression" dxfId="8930" priority="746">
      <formula>$M5="NON DEFINED"</formula>
    </cfRule>
    <cfRule type="expression" dxfId="8929" priority="747">
      <formula>$AY5="N.D."</formula>
    </cfRule>
  </conditionalFormatting>
  <conditionalFormatting sqref="AD5:AD11">
    <cfRule type="cellIs" dxfId="8928" priority="745" operator="equal">
      <formula>0</formula>
    </cfRule>
  </conditionalFormatting>
  <conditionalFormatting sqref="AE5:AE11">
    <cfRule type="expression" dxfId="8927" priority="743">
      <formula>$M5="NON DEFINED"</formula>
    </cfRule>
    <cfRule type="expression" dxfId="8926" priority="744">
      <formula>$AY5="N.D."</formula>
    </cfRule>
  </conditionalFormatting>
  <conditionalFormatting sqref="AE5:AE11">
    <cfRule type="cellIs" dxfId="8925" priority="742" operator="equal">
      <formula>0</formula>
    </cfRule>
  </conditionalFormatting>
  <conditionalFormatting sqref="AJ5:AJ11">
    <cfRule type="expression" dxfId="8924" priority="740">
      <formula>$M5="NON DEFINED"</formula>
    </cfRule>
    <cfRule type="expression" dxfId="8923" priority="741">
      <formula>$AY5="N.D."</formula>
    </cfRule>
  </conditionalFormatting>
  <conditionalFormatting sqref="AJ5:AJ11">
    <cfRule type="cellIs" dxfId="8922" priority="739" operator="equal">
      <formula>0</formula>
    </cfRule>
  </conditionalFormatting>
  <conditionalFormatting sqref="AK5:AK11">
    <cfRule type="expression" dxfId="8921" priority="737">
      <formula>$M5="NON DEFINED"</formula>
    </cfRule>
    <cfRule type="expression" dxfId="8920" priority="738">
      <formula>$AY5="N.D."</formula>
    </cfRule>
  </conditionalFormatting>
  <conditionalFormatting sqref="AK5:AK11">
    <cfRule type="cellIs" dxfId="8919" priority="736" operator="equal">
      <formula>0</formula>
    </cfRule>
  </conditionalFormatting>
  <conditionalFormatting sqref="AL5:AL11">
    <cfRule type="expression" dxfId="8918" priority="734">
      <formula>$M5="NON DEFINED"</formula>
    </cfRule>
    <cfRule type="expression" dxfId="8917" priority="735">
      <formula>$AY5="N.D."</formula>
    </cfRule>
  </conditionalFormatting>
  <conditionalFormatting sqref="AL5:AL11">
    <cfRule type="cellIs" dxfId="8916" priority="733" operator="equal">
      <formula>0</formula>
    </cfRule>
  </conditionalFormatting>
  <conditionalFormatting sqref="AM5:AM11">
    <cfRule type="expression" dxfId="8915" priority="731">
      <formula>$M5="NON DEFINED"</formula>
    </cfRule>
    <cfRule type="expression" dxfId="8914" priority="732">
      <formula>$AY5="N.D."</formula>
    </cfRule>
  </conditionalFormatting>
  <conditionalFormatting sqref="AM5:AM11">
    <cfRule type="cellIs" dxfId="8913" priority="730" operator="equal">
      <formula>0</formula>
    </cfRule>
  </conditionalFormatting>
  <conditionalFormatting sqref="AT5:AT11">
    <cfRule type="expression" dxfId="8912" priority="728">
      <formula>$M5="NON DEFINED"</formula>
    </cfRule>
    <cfRule type="expression" dxfId="8911" priority="729">
      <formula>$AY5="N.D."</formula>
    </cfRule>
  </conditionalFormatting>
  <conditionalFormatting sqref="AT5:AT11">
    <cfRule type="cellIs" dxfId="8910" priority="727" operator="equal">
      <formula>0</formula>
    </cfRule>
  </conditionalFormatting>
  <conditionalFormatting sqref="AU5:AU11">
    <cfRule type="expression" dxfId="8909" priority="725">
      <formula>$M5="NON DEFINED"</formula>
    </cfRule>
    <cfRule type="expression" dxfId="8908" priority="726">
      <formula>$AY5="N.D."</formula>
    </cfRule>
  </conditionalFormatting>
  <conditionalFormatting sqref="AU5:AU11">
    <cfRule type="cellIs" dxfId="8907" priority="724" operator="equal">
      <formula>0</formula>
    </cfRule>
  </conditionalFormatting>
  <conditionalFormatting sqref="AV5:AV11">
    <cfRule type="expression" dxfId="8906" priority="722">
      <formula>$M5="NON DEFINED"</formula>
    </cfRule>
    <cfRule type="expression" dxfId="8905" priority="723">
      <formula>$AY5="N.D."</formula>
    </cfRule>
  </conditionalFormatting>
  <conditionalFormatting sqref="AV5:AV11">
    <cfRule type="cellIs" dxfId="8904" priority="721" operator="equal">
      <formula>0</formula>
    </cfRule>
  </conditionalFormatting>
  <conditionalFormatting sqref="AW5:AW11">
    <cfRule type="expression" dxfId="8903" priority="719">
      <formula>$M5="NON DEFINED"</formula>
    </cfRule>
    <cfRule type="expression" dxfId="8902" priority="720">
      <formula>$AY5="N.D."</formula>
    </cfRule>
  </conditionalFormatting>
  <conditionalFormatting sqref="AW5:AW11">
    <cfRule type="cellIs" dxfId="8901" priority="718" operator="equal">
      <formula>0</formula>
    </cfRule>
  </conditionalFormatting>
  <conditionalFormatting sqref="AX5:AX11">
    <cfRule type="expression" dxfId="8900" priority="716">
      <formula>$M5="NON DEFINED"</formula>
    </cfRule>
    <cfRule type="expression" dxfId="8899" priority="717">
      <formula>$AY5="N.D."</formula>
    </cfRule>
  </conditionalFormatting>
  <conditionalFormatting sqref="AX5:AX11">
    <cfRule type="cellIs" dxfId="8898" priority="715" operator="equal">
      <formula>0</formula>
    </cfRule>
  </conditionalFormatting>
  <conditionalFormatting sqref="F5:F11">
    <cfRule type="expression" dxfId="8897" priority="713">
      <formula>$M5="NON DEFINED"</formula>
    </cfRule>
    <cfRule type="expression" dxfId="8896" priority="714">
      <formula>$AY5="N.D."</formula>
    </cfRule>
  </conditionalFormatting>
  <conditionalFormatting sqref="F5:F11">
    <cfRule type="cellIs" dxfId="8895" priority="712" operator="equal">
      <formula>0</formula>
    </cfRule>
  </conditionalFormatting>
  <conditionalFormatting sqref="Q5:Q11">
    <cfRule type="expression" dxfId="8894" priority="710">
      <formula>$M5="NON DEFINED"</formula>
    </cfRule>
    <cfRule type="expression" dxfId="8893" priority="711">
      <formula>$AY5="N.D."</formula>
    </cfRule>
  </conditionalFormatting>
  <conditionalFormatting sqref="Q5:Q11">
    <cfRule type="cellIs" dxfId="8892" priority="709" operator="equal">
      <formula>0</formula>
    </cfRule>
  </conditionalFormatting>
  <conditionalFormatting sqref="T5:T11">
    <cfRule type="expression" dxfId="8891" priority="707">
      <formula>$M5="NON DEFINED"</formula>
    </cfRule>
    <cfRule type="expression" dxfId="8890" priority="708">
      <formula>$AY5="N.D."</formula>
    </cfRule>
  </conditionalFormatting>
  <conditionalFormatting sqref="T5:T11">
    <cfRule type="cellIs" dxfId="8889" priority="706" operator="equal">
      <formula>0</formula>
    </cfRule>
  </conditionalFormatting>
  <conditionalFormatting sqref="U5:U11">
    <cfRule type="expression" dxfId="8888" priority="704">
      <formula>$M5="NON DEFINED"</formula>
    </cfRule>
    <cfRule type="expression" dxfId="8887" priority="705">
      <formula>$AY5="N.D."</formula>
    </cfRule>
  </conditionalFormatting>
  <conditionalFormatting sqref="U5:U11">
    <cfRule type="cellIs" dxfId="8886" priority="703" operator="equal">
      <formula>0</formula>
    </cfRule>
  </conditionalFormatting>
  <conditionalFormatting sqref="V5:V11">
    <cfRule type="expression" dxfId="8885" priority="701">
      <formula>$M5="NON DEFINED"</formula>
    </cfRule>
    <cfRule type="expression" dxfId="8884" priority="702">
      <formula>$AY5="N.D."</formula>
    </cfRule>
  </conditionalFormatting>
  <conditionalFormatting sqref="V5:V11">
    <cfRule type="cellIs" dxfId="8883" priority="700" operator="equal">
      <formula>0</formula>
    </cfRule>
  </conditionalFormatting>
  <conditionalFormatting sqref="AF5:AF11">
    <cfRule type="expression" dxfId="8882" priority="698">
      <formula>$M5="NON DEFINED"</formula>
    </cfRule>
    <cfRule type="expression" dxfId="8881" priority="699">
      <formula>$AY5="N.D."</formula>
    </cfRule>
  </conditionalFormatting>
  <conditionalFormatting sqref="AF5:AF11">
    <cfRule type="cellIs" dxfId="8880" priority="697" operator="equal">
      <formula>0</formula>
    </cfRule>
  </conditionalFormatting>
  <conditionalFormatting sqref="AH5:AH11">
    <cfRule type="expression" dxfId="8879" priority="695">
      <formula>$M5="NON DEFINED"</formula>
    </cfRule>
    <cfRule type="expression" dxfId="8878" priority="696">
      <formula>$AY5="N.D."</formula>
    </cfRule>
  </conditionalFormatting>
  <conditionalFormatting sqref="AH5:AH11">
    <cfRule type="cellIs" dxfId="8877" priority="694" operator="equal">
      <formula>0</formula>
    </cfRule>
  </conditionalFormatting>
  <conditionalFormatting sqref="AI5:AI11">
    <cfRule type="expression" dxfId="8876" priority="692">
      <formula>$M5="NON DEFINED"</formula>
    </cfRule>
    <cfRule type="expression" dxfId="8875" priority="693">
      <formula>$AY5="N.D."</formula>
    </cfRule>
  </conditionalFormatting>
  <conditionalFormatting sqref="AI5:AI11">
    <cfRule type="cellIs" dxfId="8874" priority="691" operator="equal">
      <formula>0</formula>
    </cfRule>
  </conditionalFormatting>
  <conditionalFormatting sqref="R5:R11">
    <cfRule type="expression" dxfId="8873" priority="689">
      <formula>$M5="NON DEFINED"</formula>
    </cfRule>
    <cfRule type="expression" dxfId="8872" priority="690">
      <formula>$AY5="N.D."</formula>
    </cfRule>
  </conditionalFormatting>
  <conditionalFormatting sqref="R5:R11">
    <cfRule type="cellIs" dxfId="8871" priority="688" operator="equal">
      <formula>0</formula>
    </cfRule>
  </conditionalFormatting>
  <conditionalFormatting sqref="S5:S11">
    <cfRule type="expression" dxfId="8870" priority="686">
      <formula>$M5="NON DEFINED"</formula>
    </cfRule>
    <cfRule type="expression" dxfId="8869" priority="687">
      <formula>$AY5="N.D."</formula>
    </cfRule>
  </conditionalFormatting>
  <conditionalFormatting sqref="S5:S11">
    <cfRule type="cellIs" dxfId="8868" priority="685" operator="equal">
      <formula>0</formula>
    </cfRule>
  </conditionalFormatting>
  <conditionalFormatting sqref="W5:W11">
    <cfRule type="expression" dxfId="8867" priority="683">
      <formula>$M5="NON DEFINED"</formula>
    </cfRule>
    <cfRule type="expression" dxfId="8866" priority="684">
      <formula>$AY5="N.D."</formula>
    </cfRule>
  </conditionalFormatting>
  <conditionalFormatting sqref="W5:W11">
    <cfRule type="cellIs" dxfId="8865" priority="682" operator="equal">
      <formula>0</formula>
    </cfRule>
  </conditionalFormatting>
  <conditionalFormatting sqref="X5:X11">
    <cfRule type="expression" dxfId="8864" priority="680">
      <formula>$M5="NON DEFINED"</formula>
    </cfRule>
    <cfRule type="expression" dxfId="8863" priority="681">
      <formula>$AY5="N.D."</formula>
    </cfRule>
  </conditionalFormatting>
  <conditionalFormatting sqref="X5:X11">
    <cfRule type="cellIs" dxfId="8862" priority="679" operator="equal">
      <formula>0</formula>
    </cfRule>
  </conditionalFormatting>
  <conditionalFormatting sqref="Y5:Y11">
    <cfRule type="expression" dxfId="8861" priority="677">
      <formula>$M5="NON DEFINED"</formula>
    </cfRule>
    <cfRule type="expression" dxfId="8860" priority="678">
      <formula>$AY5="N.D."</formula>
    </cfRule>
  </conditionalFormatting>
  <conditionalFormatting sqref="Y5:Y11">
    <cfRule type="cellIs" dxfId="8859" priority="676" operator="equal">
      <formula>0</formula>
    </cfRule>
  </conditionalFormatting>
  <conditionalFormatting sqref="Z5:Z11">
    <cfRule type="expression" dxfId="8858" priority="674">
      <formula>$M5="NON DEFINED"</formula>
    </cfRule>
    <cfRule type="expression" dxfId="8857" priority="675">
      <formula>$AY5="N.D."</formula>
    </cfRule>
  </conditionalFormatting>
  <conditionalFormatting sqref="Z5:Z11">
    <cfRule type="cellIs" dxfId="8856" priority="673" operator="equal">
      <formula>0</formula>
    </cfRule>
  </conditionalFormatting>
  <conditionalFormatting sqref="AA5:AA11">
    <cfRule type="expression" dxfId="8855" priority="671">
      <formula>$M5="NON DEFINED"</formula>
    </cfRule>
    <cfRule type="expression" dxfId="8854" priority="672">
      <formula>$AY5="N.D."</formula>
    </cfRule>
  </conditionalFormatting>
  <conditionalFormatting sqref="AA5:AA11">
    <cfRule type="cellIs" dxfId="8853" priority="670" operator="equal">
      <formula>0</formula>
    </cfRule>
  </conditionalFormatting>
  <conditionalFormatting sqref="AB5:AB11">
    <cfRule type="expression" dxfId="8852" priority="668">
      <formula>$M5="NON DEFINED"</formula>
    </cfRule>
    <cfRule type="expression" dxfId="8851" priority="669">
      <formula>$AY5="N.D."</formula>
    </cfRule>
  </conditionalFormatting>
  <conditionalFormatting sqref="AB5:AB11">
    <cfRule type="cellIs" dxfId="8850" priority="667" operator="equal">
      <formula>0</formula>
    </cfRule>
  </conditionalFormatting>
  <conditionalFormatting sqref="J11:J13">
    <cfRule type="expression" dxfId="8849" priority="664">
      <formula>$M11="NON DEFINED"</formula>
    </cfRule>
    <cfRule type="expression" dxfId="8848" priority="665">
      <formula>$AZ11="N.D."</formula>
    </cfRule>
    <cfRule type="expression" dxfId="8847" priority="666">
      <formula>$AY11="N.D."</formula>
    </cfRule>
  </conditionalFormatting>
  <conditionalFormatting sqref="J11:J13">
    <cfRule type="expression" dxfId="8846" priority="653">
      <formula>$A11="Overhead Cable"</formula>
    </cfRule>
    <cfRule type="expression" dxfId="8845" priority="654">
      <formula>$A11="Level Crossing"</formula>
    </cfRule>
    <cfRule type="expression" dxfId="8844" priority="655">
      <formula>$A11="Neutral Section"</formula>
    </cfRule>
    <cfRule type="expression" dxfId="8843" priority="656">
      <formula>$A11="Tunnel"</formula>
    </cfRule>
    <cfRule type="expression" dxfId="8842" priority="657">
      <formula>$A11="Bridge"</formula>
    </cfRule>
    <cfRule type="expression" dxfId="8841" priority="658">
      <formula>$A11="Drainage Works"</formula>
    </cfRule>
    <cfRule type="expression" dxfId="8840" priority="659">
      <formula>$A11="Underpass"</formula>
    </cfRule>
    <cfRule type="expression" dxfId="8839" priority="660">
      <formula>$A11="Overcrossing"</formula>
    </cfRule>
    <cfRule type="expression" dxfId="8838" priority="661">
      <formula>$A11="Overpass"</formula>
    </cfRule>
    <cfRule type="expression" dxfId="8837" priority="662">
      <formula>$A11="Station"</formula>
    </cfRule>
    <cfRule type="expression" dxfId="8836" priority="663">
      <formula>$A11="Overlap between sections"</formula>
    </cfRule>
  </conditionalFormatting>
  <conditionalFormatting sqref="K11:K13">
    <cfRule type="expression" dxfId="8835" priority="650">
      <formula>$M11="NON DEFINED"</formula>
    </cfRule>
    <cfRule type="expression" dxfId="8834" priority="651">
      <formula>$AZ11="N.D."</formula>
    </cfRule>
    <cfRule type="expression" dxfId="8833" priority="652">
      <formula>$AY11="N.D."</formula>
    </cfRule>
  </conditionalFormatting>
  <conditionalFormatting sqref="K11:K13">
    <cfRule type="expression" dxfId="8832" priority="639">
      <formula>$A11="Overhead Cable"</formula>
    </cfRule>
    <cfRule type="expression" dxfId="8831" priority="640">
      <formula>$A11="Level Crossing"</formula>
    </cfRule>
    <cfRule type="expression" dxfId="8830" priority="641">
      <formula>$A11="Neutral Section"</formula>
    </cfRule>
    <cfRule type="expression" dxfId="8829" priority="642">
      <formula>$A11="Tunnel"</formula>
    </cfRule>
    <cfRule type="expression" dxfId="8828" priority="643">
      <formula>$A11="Bridge"</formula>
    </cfRule>
    <cfRule type="expression" dxfId="8827" priority="644">
      <formula>$A11="Drainage Works"</formula>
    </cfRule>
    <cfRule type="expression" dxfId="8826" priority="645">
      <formula>$A11="Underpass"</formula>
    </cfRule>
    <cfRule type="expression" dxfId="8825" priority="646">
      <formula>$A11="Overcrossing"</formula>
    </cfRule>
    <cfRule type="expression" dxfId="8824" priority="647">
      <formula>$A11="Overpass"</formula>
    </cfRule>
    <cfRule type="expression" dxfId="8823" priority="648">
      <formula>$A11="Station"</formula>
    </cfRule>
    <cfRule type="expression" dxfId="8822" priority="649">
      <formula>$A11="Overlap between sections"</formula>
    </cfRule>
  </conditionalFormatting>
  <conditionalFormatting sqref="J33:J34">
    <cfRule type="expression" dxfId="8821" priority="636">
      <formula>$M33="NON DEFINED"</formula>
    </cfRule>
    <cfRule type="expression" dxfId="8820" priority="637">
      <formula>$AZ33="N.D."</formula>
    </cfRule>
    <cfRule type="expression" dxfId="8819" priority="638">
      <formula>$AY33="N.D."</formula>
    </cfRule>
  </conditionalFormatting>
  <conditionalFormatting sqref="J33:J34">
    <cfRule type="expression" dxfId="8818" priority="625">
      <formula>$A33="Overhead Cable"</formula>
    </cfRule>
    <cfRule type="expression" dxfId="8817" priority="626">
      <formula>$A33="Level Crossing"</formula>
    </cfRule>
    <cfRule type="expression" dxfId="8816" priority="627">
      <formula>$A33="Neutral Section"</formula>
    </cfRule>
    <cfRule type="expression" dxfId="8815" priority="628">
      <formula>$A33="Tunnel"</formula>
    </cfRule>
    <cfRule type="expression" dxfId="8814" priority="629">
      <formula>$A33="Bridge"</formula>
    </cfRule>
    <cfRule type="expression" dxfId="8813" priority="630">
      <formula>$A33="Drainage Works"</formula>
    </cfRule>
    <cfRule type="expression" dxfId="8812" priority="631">
      <formula>$A33="Underpass"</formula>
    </cfRule>
    <cfRule type="expression" dxfId="8811" priority="632">
      <formula>$A33="Overcrossing"</formula>
    </cfRule>
    <cfRule type="expression" dxfId="8810" priority="633">
      <formula>$A33="Overpass"</formula>
    </cfRule>
    <cfRule type="expression" dxfId="8809" priority="634">
      <formula>$A33="Station"</formula>
    </cfRule>
    <cfRule type="expression" dxfId="8808" priority="635">
      <formula>$A33="Overlap between sections"</formula>
    </cfRule>
  </conditionalFormatting>
  <conditionalFormatting sqref="I33:I34">
    <cfRule type="expression" dxfId="8807" priority="622">
      <formula>$M33="NON DEFINED"</formula>
    </cfRule>
    <cfRule type="expression" dxfId="8806" priority="623">
      <formula>$AZ33="N.D."</formula>
    </cfRule>
    <cfRule type="expression" dxfId="8805" priority="624">
      <formula>$AY33="N.D."</formula>
    </cfRule>
  </conditionalFormatting>
  <conditionalFormatting sqref="I33:I34">
    <cfRule type="expression" dxfId="8804" priority="611">
      <formula>$A33="Overhead Cable"</formula>
    </cfRule>
    <cfRule type="expression" dxfId="8803" priority="612">
      <formula>$A33="Level Crossing"</formula>
    </cfRule>
    <cfRule type="expression" dxfId="8802" priority="613">
      <formula>$A33="Neutral Section"</formula>
    </cfRule>
    <cfRule type="expression" dxfId="8801" priority="614">
      <formula>$A33="Tunnel"</formula>
    </cfRule>
    <cfRule type="expression" dxfId="8800" priority="615">
      <formula>$A33="Bridge"</formula>
    </cfRule>
    <cfRule type="expression" dxfId="8799" priority="616">
      <formula>$A33="Drainage Works"</formula>
    </cfRule>
    <cfRule type="expression" dxfId="8798" priority="617">
      <formula>$A33="Underpass"</formula>
    </cfRule>
    <cfRule type="expression" dxfId="8797" priority="618">
      <formula>$A33="Overcrossing"</formula>
    </cfRule>
    <cfRule type="expression" dxfId="8796" priority="619">
      <formula>$A33="Overpass"</formula>
    </cfRule>
    <cfRule type="expression" dxfId="8795" priority="620">
      <formula>$A33="Station"</formula>
    </cfRule>
    <cfRule type="expression" dxfId="8794" priority="621">
      <formula>$A33="Overlap between sections"</formula>
    </cfRule>
  </conditionalFormatting>
  <conditionalFormatting sqref="K33:K34">
    <cfRule type="expression" dxfId="8793" priority="608">
      <formula>$M33="NON DEFINED"</formula>
    </cfRule>
    <cfRule type="expression" dxfId="8792" priority="609">
      <formula>$AZ33="N.D."</formula>
    </cfRule>
    <cfRule type="expression" dxfId="8791" priority="610">
      <formula>$AY33="N.D."</formula>
    </cfRule>
  </conditionalFormatting>
  <conditionalFormatting sqref="K33:K34">
    <cfRule type="expression" dxfId="8790" priority="597">
      <formula>$A33="Overhead Cable"</formula>
    </cfRule>
    <cfRule type="expression" dxfId="8789" priority="598">
      <formula>$A33="Level Crossing"</formula>
    </cfRule>
    <cfRule type="expression" dxfId="8788" priority="599">
      <formula>$A33="Neutral Section"</formula>
    </cfRule>
    <cfRule type="expression" dxfId="8787" priority="600">
      <formula>$A33="Tunnel"</formula>
    </cfRule>
    <cfRule type="expression" dxfId="8786" priority="601">
      <formula>$A33="Bridge"</formula>
    </cfRule>
    <cfRule type="expression" dxfId="8785" priority="602">
      <formula>$A33="Drainage Works"</formula>
    </cfRule>
    <cfRule type="expression" dxfId="8784" priority="603">
      <formula>$A33="Underpass"</formula>
    </cfRule>
    <cfRule type="expression" dxfId="8783" priority="604">
      <formula>$A33="Overcrossing"</formula>
    </cfRule>
    <cfRule type="expression" dxfId="8782" priority="605">
      <formula>$A33="Overpass"</formula>
    </cfRule>
    <cfRule type="expression" dxfId="8781" priority="606">
      <formula>$A33="Station"</formula>
    </cfRule>
    <cfRule type="expression" dxfId="8780" priority="607">
      <formula>$A33="Overlap between sections"</formula>
    </cfRule>
  </conditionalFormatting>
  <conditionalFormatting sqref="I68:I78">
    <cfRule type="expression" dxfId="8779" priority="594">
      <formula>$M68="NON DEFINED"</formula>
    </cfRule>
    <cfRule type="expression" dxfId="8778" priority="595">
      <formula>$AZ68="N.D."</formula>
    </cfRule>
    <cfRule type="expression" dxfId="8777" priority="596">
      <formula>$AY68="N.D."</formula>
    </cfRule>
  </conditionalFormatting>
  <conditionalFormatting sqref="I68:I78">
    <cfRule type="expression" dxfId="8776" priority="583">
      <formula>$A68="Overhead Cable"</formula>
    </cfRule>
    <cfRule type="expression" dxfId="8775" priority="584">
      <formula>$A68="Level Crossing"</formula>
    </cfRule>
    <cfRule type="expression" dxfId="8774" priority="585">
      <formula>$A68="Neutral Section"</formula>
    </cfRule>
    <cfRule type="expression" dxfId="8773" priority="586">
      <formula>$A68="Tunnel"</formula>
    </cfRule>
    <cfRule type="expression" dxfId="8772" priority="587">
      <formula>$A68="Bridge"</formula>
    </cfRule>
    <cfRule type="expression" dxfId="8771" priority="588">
      <formula>$A68="Drainage Works"</formula>
    </cfRule>
    <cfRule type="expression" dxfId="8770" priority="589">
      <formula>$A68="Underpass"</formula>
    </cfRule>
    <cfRule type="expression" dxfId="8769" priority="590">
      <formula>$A68="Overcrossing"</formula>
    </cfRule>
    <cfRule type="expression" dxfId="8768" priority="591">
      <formula>$A68="Overpass"</formula>
    </cfRule>
    <cfRule type="expression" dxfId="8767" priority="592">
      <formula>$A68="Station"</formula>
    </cfRule>
    <cfRule type="expression" dxfId="8766" priority="593">
      <formula>$A68="Overlap between sections"</formula>
    </cfRule>
  </conditionalFormatting>
  <conditionalFormatting sqref="J85:J91">
    <cfRule type="expression" dxfId="8765" priority="580">
      <formula>$M85="NON DEFINED"</formula>
    </cfRule>
    <cfRule type="expression" dxfId="8764" priority="581">
      <formula>$AZ85="N.D."</formula>
    </cfRule>
    <cfRule type="expression" dxfId="8763" priority="582">
      <formula>$AY85="N.D."</formula>
    </cfRule>
  </conditionalFormatting>
  <conditionalFormatting sqref="J85:J91">
    <cfRule type="expression" dxfId="8762" priority="569">
      <formula>$A85="Overhead Cable"</formula>
    </cfRule>
    <cfRule type="expression" dxfId="8761" priority="570">
      <formula>$A85="Level Crossing"</formula>
    </cfRule>
    <cfRule type="expression" dxfId="8760" priority="571">
      <formula>$A85="Neutral Section"</formula>
    </cfRule>
    <cfRule type="expression" dxfId="8759" priority="572">
      <formula>$A85="Tunnel"</formula>
    </cfRule>
    <cfRule type="expression" dxfId="8758" priority="573">
      <formula>$A85="Bridge"</formula>
    </cfRule>
    <cfRule type="expression" dxfId="8757" priority="574">
      <formula>$A85="Drainage Works"</formula>
    </cfRule>
    <cfRule type="expression" dxfId="8756" priority="575">
      <formula>$A85="Underpass"</formula>
    </cfRule>
    <cfRule type="expression" dxfId="8755" priority="576">
      <formula>$A85="Overcrossing"</formula>
    </cfRule>
    <cfRule type="expression" dxfId="8754" priority="577">
      <formula>$A85="Overpass"</formula>
    </cfRule>
    <cfRule type="expression" dxfId="8753" priority="578">
      <formula>$A85="Station"</formula>
    </cfRule>
    <cfRule type="expression" dxfId="8752" priority="579">
      <formula>$A85="Overlap between sections"</formula>
    </cfRule>
  </conditionalFormatting>
  <conditionalFormatting sqref="I85:I91">
    <cfRule type="expression" dxfId="8751" priority="566">
      <formula>$M85="NON DEFINED"</formula>
    </cfRule>
    <cfRule type="expression" dxfId="8750" priority="567">
      <formula>$AZ85="N.D."</formula>
    </cfRule>
    <cfRule type="expression" dxfId="8749" priority="568">
      <formula>$AY85="N.D."</formula>
    </cfRule>
  </conditionalFormatting>
  <conditionalFormatting sqref="I85:I91">
    <cfRule type="expression" dxfId="8748" priority="555">
      <formula>$A85="Overhead Cable"</formula>
    </cfRule>
    <cfRule type="expression" dxfId="8747" priority="556">
      <formula>$A85="Level Crossing"</formula>
    </cfRule>
    <cfRule type="expression" dxfId="8746" priority="557">
      <formula>$A85="Neutral Section"</formula>
    </cfRule>
    <cfRule type="expression" dxfId="8745" priority="558">
      <formula>$A85="Tunnel"</formula>
    </cfRule>
    <cfRule type="expression" dxfId="8744" priority="559">
      <formula>$A85="Bridge"</formula>
    </cfRule>
    <cfRule type="expression" dxfId="8743" priority="560">
      <formula>$A85="Drainage Works"</formula>
    </cfRule>
    <cfRule type="expression" dxfId="8742" priority="561">
      <formula>$A85="Underpass"</formula>
    </cfRule>
    <cfRule type="expression" dxfId="8741" priority="562">
      <formula>$A85="Overcrossing"</formula>
    </cfRule>
    <cfRule type="expression" dxfId="8740" priority="563">
      <formula>$A85="Overpass"</formula>
    </cfRule>
    <cfRule type="expression" dxfId="8739" priority="564">
      <formula>$A85="Station"</formula>
    </cfRule>
    <cfRule type="expression" dxfId="8738" priority="565">
      <formula>$A85="Overlap between sections"</formula>
    </cfRule>
  </conditionalFormatting>
  <conditionalFormatting sqref="K85:K91">
    <cfRule type="expression" dxfId="8737" priority="552">
      <formula>$M85="NON DEFINED"</formula>
    </cfRule>
    <cfRule type="expression" dxfId="8736" priority="553">
      <formula>$AZ85="N.D."</formula>
    </cfRule>
    <cfRule type="expression" dxfId="8735" priority="554">
      <formula>$AY85="N.D."</formula>
    </cfRule>
  </conditionalFormatting>
  <conditionalFormatting sqref="K85:K91">
    <cfRule type="expression" dxfId="8734" priority="541">
      <formula>$A85="Overhead Cable"</formula>
    </cfRule>
    <cfRule type="expression" dxfId="8733" priority="542">
      <formula>$A85="Level Crossing"</formula>
    </cfRule>
    <cfRule type="expression" dxfId="8732" priority="543">
      <formula>$A85="Neutral Section"</formula>
    </cfRule>
    <cfRule type="expression" dxfId="8731" priority="544">
      <formula>$A85="Tunnel"</formula>
    </cfRule>
    <cfRule type="expression" dxfId="8730" priority="545">
      <formula>$A85="Bridge"</formula>
    </cfRule>
    <cfRule type="expression" dxfId="8729" priority="546">
      <formula>$A85="Drainage Works"</formula>
    </cfRule>
    <cfRule type="expression" dxfId="8728" priority="547">
      <formula>$A85="Underpass"</formula>
    </cfRule>
    <cfRule type="expression" dxfId="8727" priority="548">
      <formula>$A85="Overcrossing"</formula>
    </cfRule>
    <cfRule type="expression" dxfId="8726" priority="549">
      <formula>$A85="Overpass"</formula>
    </cfRule>
    <cfRule type="expression" dxfId="8725" priority="550">
      <formula>$A85="Station"</formula>
    </cfRule>
    <cfRule type="expression" dxfId="8724" priority="551">
      <formula>$A85="Overlap between sections"</formula>
    </cfRule>
  </conditionalFormatting>
  <conditionalFormatting sqref="J101:J107 J109">
    <cfRule type="expression" dxfId="8723" priority="538">
      <formula>$M101="NON DEFINED"</formula>
    </cfRule>
    <cfRule type="expression" dxfId="8722" priority="539">
      <formula>$AZ101="N.D."</formula>
    </cfRule>
    <cfRule type="expression" dxfId="8721" priority="540">
      <formula>$AY101="N.D."</formula>
    </cfRule>
  </conditionalFormatting>
  <conditionalFormatting sqref="J101:J107 J109">
    <cfRule type="expression" dxfId="8720" priority="527">
      <formula>$A101="Overhead Cable"</formula>
    </cfRule>
    <cfRule type="expression" dxfId="8719" priority="528">
      <formula>$A101="Level Crossing"</formula>
    </cfRule>
    <cfRule type="expression" dxfId="8718" priority="529">
      <formula>$A101="Neutral Section"</formula>
    </cfRule>
    <cfRule type="expression" dxfId="8717" priority="530">
      <formula>$A101="Tunnel"</formula>
    </cfRule>
    <cfRule type="expression" dxfId="8716" priority="531">
      <formula>$A101="Bridge"</formula>
    </cfRule>
    <cfRule type="expression" dxfId="8715" priority="532">
      <formula>$A101="Drainage Works"</formula>
    </cfRule>
    <cfRule type="expression" dxfId="8714" priority="533">
      <formula>$A101="Underpass"</formula>
    </cfRule>
    <cfRule type="expression" dxfId="8713" priority="534">
      <formula>$A101="Overcrossing"</formula>
    </cfRule>
    <cfRule type="expression" dxfId="8712" priority="535">
      <formula>$A101="Overpass"</formula>
    </cfRule>
    <cfRule type="expression" dxfId="8711" priority="536">
      <formula>$A101="Station"</formula>
    </cfRule>
    <cfRule type="expression" dxfId="8710" priority="537">
      <formula>$A101="Overlap between sections"</formula>
    </cfRule>
  </conditionalFormatting>
  <conditionalFormatting sqref="I101:I109">
    <cfRule type="expression" dxfId="8709" priority="524">
      <formula>$M101="NON DEFINED"</formula>
    </cfRule>
    <cfRule type="expression" dxfId="8708" priority="525">
      <formula>$AZ101="N.D."</formula>
    </cfRule>
    <cfRule type="expression" dxfId="8707" priority="526">
      <formula>$AY101="N.D."</formula>
    </cfRule>
  </conditionalFormatting>
  <conditionalFormatting sqref="I101:I109">
    <cfRule type="expression" dxfId="8706" priority="513">
      <formula>$A101="Overhead Cable"</formula>
    </cfRule>
    <cfRule type="expression" dxfId="8705" priority="514">
      <formula>$A101="Level Crossing"</formula>
    </cfRule>
    <cfRule type="expression" dxfId="8704" priority="515">
      <formula>$A101="Neutral Section"</formula>
    </cfRule>
    <cfRule type="expression" dxfId="8703" priority="516">
      <formula>$A101="Tunnel"</formula>
    </cfRule>
    <cfRule type="expression" dxfId="8702" priority="517">
      <formula>$A101="Bridge"</formula>
    </cfRule>
    <cfRule type="expression" dxfId="8701" priority="518">
      <formula>$A101="Drainage Works"</formula>
    </cfRule>
    <cfRule type="expression" dxfId="8700" priority="519">
      <formula>$A101="Underpass"</formula>
    </cfRule>
    <cfRule type="expression" dxfId="8699" priority="520">
      <formula>$A101="Overcrossing"</formula>
    </cfRule>
    <cfRule type="expression" dxfId="8698" priority="521">
      <formula>$A101="Overpass"</formula>
    </cfRule>
    <cfRule type="expression" dxfId="8697" priority="522">
      <formula>$A101="Station"</formula>
    </cfRule>
    <cfRule type="expression" dxfId="8696" priority="523">
      <formula>$A101="Overlap between sections"</formula>
    </cfRule>
  </conditionalFormatting>
  <conditionalFormatting sqref="K101:K107 K109">
    <cfRule type="expression" dxfId="8695" priority="510">
      <formula>$M101="NON DEFINED"</formula>
    </cfRule>
    <cfRule type="expression" dxfId="8694" priority="511">
      <formula>$AZ101="N.D."</formula>
    </cfRule>
    <cfRule type="expression" dxfId="8693" priority="512">
      <formula>$AY101="N.D."</formula>
    </cfRule>
  </conditionalFormatting>
  <conditionalFormatting sqref="K101:K107 K109">
    <cfRule type="expression" dxfId="8692" priority="499">
      <formula>$A101="Overhead Cable"</formula>
    </cfRule>
    <cfRule type="expression" dxfId="8691" priority="500">
      <formula>$A101="Level Crossing"</formula>
    </cfRule>
    <cfRule type="expression" dxfId="8690" priority="501">
      <formula>$A101="Neutral Section"</formula>
    </cfRule>
    <cfRule type="expression" dxfId="8689" priority="502">
      <formula>$A101="Tunnel"</formula>
    </cfRule>
    <cfRule type="expression" dxfId="8688" priority="503">
      <formula>$A101="Bridge"</formula>
    </cfRule>
    <cfRule type="expression" dxfId="8687" priority="504">
      <formula>$A101="Drainage Works"</formula>
    </cfRule>
    <cfRule type="expression" dxfId="8686" priority="505">
      <formula>$A101="Underpass"</formula>
    </cfRule>
    <cfRule type="expression" dxfId="8685" priority="506">
      <formula>$A101="Overcrossing"</formula>
    </cfRule>
    <cfRule type="expression" dxfId="8684" priority="507">
      <formula>$A101="Overpass"</formula>
    </cfRule>
    <cfRule type="expression" dxfId="8683" priority="508">
      <formula>$A101="Station"</formula>
    </cfRule>
    <cfRule type="expression" dxfId="8682" priority="509">
      <formula>$A101="Overlap between sections"</formula>
    </cfRule>
  </conditionalFormatting>
  <conditionalFormatting sqref="A104">
    <cfRule type="expression" dxfId="8681" priority="488">
      <formula>$A104="Overhead Cable"</formula>
    </cfRule>
    <cfRule type="expression" dxfId="8680" priority="489">
      <formula>$A104="Level Crossing"</formula>
    </cfRule>
    <cfRule type="expression" dxfId="8679" priority="490">
      <formula>$A104="Neutral Section"</formula>
    </cfRule>
    <cfRule type="expression" dxfId="8678" priority="491">
      <formula>$A104="Tunnel"</formula>
    </cfRule>
    <cfRule type="expression" dxfId="8677" priority="492">
      <formula>$A104="Bridge"</formula>
    </cfRule>
    <cfRule type="expression" dxfId="8676" priority="493">
      <formula>$A104="Drainage Works"</formula>
    </cfRule>
    <cfRule type="expression" dxfId="8675" priority="494">
      <formula>$A104="Underpass"</formula>
    </cfRule>
    <cfRule type="expression" dxfId="8674" priority="495">
      <formula>$A104="Overcrossing"</formula>
    </cfRule>
    <cfRule type="expression" dxfId="8673" priority="496">
      <formula>$A104="Overpass"</formula>
    </cfRule>
    <cfRule type="expression" dxfId="8672" priority="497">
      <formula>$A104="Station"</formula>
    </cfRule>
    <cfRule type="expression" dxfId="8671" priority="498">
      <formula>$A104="Overlap between sections"</formula>
    </cfRule>
  </conditionalFormatting>
  <conditionalFormatting sqref="J121:J133">
    <cfRule type="expression" dxfId="8670" priority="485">
      <formula>$M121="NON DEFINED"</formula>
    </cfRule>
    <cfRule type="expression" dxfId="8669" priority="486">
      <formula>$AZ121="N.D."</formula>
    </cfRule>
    <cfRule type="expression" dxfId="8668" priority="487">
      <formula>$AY121="N.D."</formula>
    </cfRule>
  </conditionalFormatting>
  <conditionalFormatting sqref="J121:J133">
    <cfRule type="expression" dxfId="8667" priority="474">
      <formula>$A121="Overhead Cable"</formula>
    </cfRule>
    <cfRule type="expression" dxfId="8666" priority="475">
      <formula>$A121="Level Crossing"</formula>
    </cfRule>
    <cfRule type="expression" dxfId="8665" priority="476">
      <formula>$A121="Neutral Section"</formula>
    </cfRule>
    <cfRule type="expression" dxfId="8664" priority="477">
      <formula>$A121="Tunnel"</formula>
    </cfRule>
    <cfRule type="expression" dxfId="8663" priority="478">
      <formula>$A121="Bridge"</formula>
    </cfRule>
    <cfRule type="expression" dxfId="8662" priority="479">
      <formula>$A121="Drainage Works"</formula>
    </cfRule>
    <cfRule type="expression" dxfId="8661" priority="480">
      <formula>$A121="Underpass"</formula>
    </cfRule>
    <cfRule type="expression" dxfId="8660" priority="481">
      <formula>$A121="Overcrossing"</formula>
    </cfRule>
    <cfRule type="expression" dxfId="8659" priority="482">
      <formula>$A121="Overpass"</formula>
    </cfRule>
    <cfRule type="expression" dxfId="8658" priority="483">
      <formula>$A121="Station"</formula>
    </cfRule>
    <cfRule type="expression" dxfId="8657" priority="484">
      <formula>$A121="Overlap between sections"</formula>
    </cfRule>
  </conditionalFormatting>
  <conditionalFormatting sqref="I121:I133">
    <cfRule type="expression" dxfId="8656" priority="471">
      <formula>$M121="NON DEFINED"</formula>
    </cfRule>
    <cfRule type="expression" dxfId="8655" priority="472">
      <formula>$AZ121="N.D."</formula>
    </cfRule>
    <cfRule type="expression" dxfId="8654" priority="473">
      <formula>$AY121="N.D."</formula>
    </cfRule>
  </conditionalFormatting>
  <conditionalFormatting sqref="I121:I133">
    <cfRule type="expression" dxfId="8653" priority="460">
      <formula>$A121="Overhead Cable"</formula>
    </cfRule>
    <cfRule type="expression" dxfId="8652" priority="461">
      <formula>$A121="Level Crossing"</formula>
    </cfRule>
    <cfRule type="expression" dxfId="8651" priority="462">
      <formula>$A121="Neutral Section"</formula>
    </cfRule>
    <cfRule type="expression" dxfId="8650" priority="463">
      <formula>$A121="Tunnel"</formula>
    </cfRule>
    <cfRule type="expression" dxfId="8649" priority="464">
      <formula>$A121="Bridge"</formula>
    </cfRule>
    <cfRule type="expression" dxfId="8648" priority="465">
      <formula>$A121="Drainage Works"</formula>
    </cfRule>
    <cfRule type="expression" dxfId="8647" priority="466">
      <formula>$A121="Underpass"</formula>
    </cfRule>
    <cfRule type="expression" dxfId="8646" priority="467">
      <formula>$A121="Overcrossing"</formula>
    </cfRule>
    <cfRule type="expression" dxfId="8645" priority="468">
      <formula>$A121="Overpass"</formula>
    </cfRule>
    <cfRule type="expression" dxfId="8644" priority="469">
      <formula>$A121="Station"</formula>
    </cfRule>
    <cfRule type="expression" dxfId="8643" priority="470">
      <formula>$A121="Overlap between sections"</formula>
    </cfRule>
  </conditionalFormatting>
  <conditionalFormatting sqref="K121:K133">
    <cfRule type="expression" dxfId="8642" priority="457">
      <formula>$M121="NON DEFINED"</formula>
    </cfRule>
    <cfRule type="expression" dxfId="8641" priority="458">
      <formula>$AZ121="N.D."</formula>
    </cfRule>
    <cfRule type="expression" dxfId="8640" priority="459">
      <formula>$AY121="N.D."</formula>
    </cfRule>
  </conditionalFormatting>
  <conditionalFormatting sqref="K121:K133">
    <cfRule type="expression" dxfId="8639" priority="446">
      <formula>$A121="Overhead Cable"</formula>
    </cfRule>
    <cfRule type="expression" dxfId="8638" priority="447">
      <formula>$A121="Level Crossing"</formula>
    </cfRule>
    <cfRule type="expression" dxfId="8637" priority="448">
      <formula>$A121="Neutral Section"</formula>
    </cfRule>
    <cfRule type="expression" dxfId="8636" priority="449">
      <formula>$A121="Tunnel"</formula>
    </cfRule>
    <cfRule type="expression" dxfId="8635" priority="450">
      <formula>$A121="Bridge"</formula>
    </cfRule>
    <cfRule type="expression" dxfId="8634" priority="451">
      <formula>$A121="Drainage Works"</formula>
    </cfRule>
    <cfRule type="expression" dxfId="8633" priority="452">
      <formula>$A121="Underpass"</formula>
    </cfRule>
    <cfRule type="expression" dxfId="8632" priority="453">
      <formula>$A121="Overcrossing"</formula>
    </cfRule>
    <cfRule type="expression" dxfId="8631" priority="454">
      <formula>$A121="Overpass"</formula>
    </cfRule>
    <cfRule type="expression" dxfId="8630" priority="455">
      <formula>$A121="Station"</formula>
    </cfRule>
    <cfRule type="expression" dxfId="8629" priority="456">
      <formula>$A121="Overlap between sections"</formula>
    </cfRule>
  </conditionalFormatting>
  <conditionalFormatting sqref="I270:I280">
    <cfRule type="expression" dxfId="8628" priority="443">
      <formula>$M270="NON DEFINED"</formula>
    </cfRule>
    <cfRule type="expression" dxfId="8627" priority="444">
      <formula>$AZ270="N.D."</formula>
    </cfRule>
    <cfRule type="expression" dxfId="8626" priority="445">
      <formula>$AY270="N.D."</formula>
    </cfRule>
  </conditionalFormatting>
  <conditionalFormatting sqref="I270:I280">
    <cfRule type="expression" dxfId="8625" priority="432">
      <formula>$A270="Overhead Cable"</formula>
    </cfRule>
    <cfRule type="expression" dxfId="8624" priority="433">
      <formula>$A270="Level Crossing"</formula>
    </cfRule>
    <cfRule type="expression" dxfId="8623" priority="434">
      <formula>$A270="Neutral Section"</formula>
    </cfRule>
    <cfRule type="expression" dxfId="8622" priority="435">
      <formula>$A270="Tunnel"</formula>
    </cfRule>
    <cfRule type="expression" dxfId="8621" priority="436">
      <formula>$A270="Bridge"</formula>
    </cfRule>
    <cfRule type="expression" dxfId="8620" priority="437">
      <formula>$A270="Drainage Works"</formula>
    </cfRule>
    <cfRule type="expression" dxfId="8619" priority="438">
      <formula>$A270="Underpass"</formula>
    </cfRule>
    <cfRule type="expression" dxfId="8618" priority="439">
      <formula>$A270="Overcrossing"</formula>
    </cfRule>
    <cfRule type="expression" dxfId="8617" priority="440">
      <formula>$A270="Overpass"</formula>
    </cfRule>
    <cfRule type="expression" dxfId="8616" priority="441">
      <formula>$A270="Station"</formula>
    </cfRule>
    <cfRule type="expression" dxfId="8615" priority="442">
      <formula>$A270="Overlap between sections"</formula>
    </cfRule>
  </conditionalFormatting>
  <conditionalFormatting sqref="K280">
    <cfRule type="expression" dxfId="8614" priority="429">
      <formula>$M280="NON DEFINED"</formula>
    </cfRule>
    <cfRule type="expression" dxfId="8613" priority="430">
      <formula>$AZ280="N.D."</formula>
    </cfRule>
    <cfRule type="expression" dxfId="8612" priority="431">
      <formula>$AY280="N.D."</formula>
    </cfRule>
  </conditionalFormatting>
  <conditionalFormatting sqref="K280">
    <cfRule type="expression" dxfId="8611" priority="418">
      <formula>$A280="Overhead Cable"</formula>
    </cfRule>
    <cfRule type="expression" dxfId="8610" priority="419">
      <formula>$A280="Level Crossing"</formula>
    </cfRule>
    <cfRule type="expression" dxfId="8609" priority="420">
      <formula>$A280="Neutral Section"</formula>
    </cfRule>
    <cfRule type="expression" dxfId="8608" priority="421">
      <formula>$A280="Tunnel"</formula>
    </cfRule>
    <cfRule type="expression" dxfId="8607" priority="422">
      <formula>$A280="Bridge"</formula>
    </cfRule>
    <cfRule type="expression" dxfId="8606" priority="423">
      <formula>$A280="Drainage Works"</formula>
    </cfRule>
    <cfRule type="expression" dxfId="8605" priority="424">
      <formula>$A280="Underpass"</formula>
    </cfRule>
    <cfRule type="expression" dxfId="8604" priority="425">
      <formula>$A280="Overcrossing"</formula>
    </cfRule>
    <cfRule type="expression" dxfId="8603" priority="426">
      <formula>$A280="Overpass"</formula>
    </cfRule>
    <cfRule type="expression" dxfId="8602" priority="427">
      <formula>$A280="Station"</formula>
    </cfRule>
    <cfRule type="expression" dxfId="8601" priority="428">
      <formula>$A280="Overlap between sections"</formula>
    </cfRule>
  </conditionalFormatting>
  <conditionalFormatting sqref="K270">
    <cfRule type="expression" dxfId="8600" priority="415">
      <formula>$M270="NON DEFINED"</formula>
    </cfRule>
    <cfRule type="expression" dxfId="8599" priority="416">
      <formula>$AZ270="N.D."</formula>
    </cfRule>
    <cfRule type="expression" dxfId="8598" priority="417">
      <formula>$AY270="N.D."</formula>
    </cfRule>
  </conditionalFormatting>
  <conditionalFormatting sqref="K270">
    <cfRule type="expression" dxfId="8597" priority="404">
      <formula>$A270="Overhead Cable"</formula>
    </cfRule>
    <cfRule type="expression" dxfId="8596" priority="405">
      <formula>$A270="Level Crossing"</formula>
    </cfRule>
    <cfRule type="expression" dxfId="8595" priority="406">
      <formula>$A270="Neutral Section"</formula>
    </cfRule>
    <cfRule type="expression" dxfId="8594" priority="407">
      <formula>$A270="Tunnel"</formula>
    </cfRule>
    <cfRule type="expression" dxfId="8593" priority="408">
      <formula>$A270="Bridge"</formula>
    </cfRule>
    <cfRule type="expression" dxfId="8592" priority="409">
      <formula>$A270="Drainage Works"</formula>
    </cfRule>
    <cfRule type="expression" dxfId="8591" priority="410">
      <formula>$A270="Underpass"</formula>
    </cfRule>
    <cfRule type="expression" dxfId="8590" priority="411">
      <formula>$A270="Overcrossing"</formula>
    </cfRule>
    <cfRule type="expression" dxfId="8589" priority="412">
      <formula>$A270="Overpass"</formula>
    </cfRule>
    <cfRule type="expression" dxfId="8588" priority="413">
      <formula>$A270="Station"</formula>
    </cfRule>
    <cfRule type="expression" dxfId="8587" priority="414">
      <formula>$A270="Overlap between sections"</formula>
    </cfRule>
  </conditionalFormatting>
  <conditionalFormatting sqref="I300:I310">
    <cfRule type="expression" dxfId="8586" priority="401">
      <formula>$M300="NON DEFINED"</formula>
    </cfRule>
    <cfRule type="expression" dxfId="8585" priority="402">
      <formula>$AZ300="N.D."</formula>
    </cfRule>
    <cfRule type="expression" dxfId="8584" priority="403">
      <formula>$AY300="N.D."</formula>
    </cfRule>
  </conditionalFormatting>
  <conditionalFormatting sqref="I300:I310">
    <cfRule type="expression" dxfId="8583" priority="390">
      <formula>$A300="Overhead Cable"</formula>
    </cfRule>
    <cfRule type="expression" dxfId="8582" priority="391">
      <formula>$A300="Level Crossing"</formula>
    </cfRule>
    <cfRule type="expression" dxfId="8581" priority="392">
      <formula>$A300="Neutral Section"</formula>
    </cfRule>
    <cfRule type="expression" dxfId="8580" priority="393">
      <formula>$A300="Tunnel"</formula>
    </cfRule>
    <cfRule type="expression" dxfId="8579" priority="394">
      <formula>$A300="Bridge"</formula>
    </cfRule>
    <cfRule type="expression" dxfId="8578" priority="395">
      <formula>$A300="Drainage Works"</formula>
    </cfRule>
    <cfRule type="expression" dxfId="8577" priority="396">
      <formula>$A300="Underpass"</formula>
    </cfRule>
    <cfRule type="expression" dxfId="8576" priority="397">
      <formula>$A300="Overcrossing"</formula>
    </cfRule>
    <cfRule type="expression" dxfId="8575" priority="398">
      <formula>$A300="Overpass"</formula>
    </cfRule>
    <cfRule type="expression" dxfId="8574" priority="399">
      <formula>$A300="Station"</formula>
    </cfRule>
    <cfRule type="expression" dxfId="8573" priority="400">
      <formula>$A300="Overlap between sections"</formula>
    </cfRule>
  </conditionalFormatting>
  <conditionalFormatting sqref="K319:K321">
    <cfRule type="expression" dxfId="8572" priority="387">
      <formula>$M319="NON DEFINED"</formula>
    </cfRule>
    <cfRule type="expression" dxfId="8571" priority="388">
      <formula>$AZ319="N.D."</formula>
    </cfRule>
    <cfRule type="expression" dxfId="8570" priority="389">
      <formula>$AY319="N.D."</formula>
    </cfRule>
  </conditionalFormatting>
  <conditionalFormatting sqref="K319:K321">
    <cfRule type="expression" dxfId="8569" priority="376">
      <formula>$A319="Overhead Cable"</formula>
    </cfRule>
    <cfRule type="expression" dxfId="8568" priority="377">
      <formula>$A319="Level Crossing"</formula>
    </cfRule>
    <cfRule type="expression" dxfId="8567" priority="378">
      <formula>$A319="Neutral Section"</formula>
    </cfRule>
    <cfRule type="expression" dxfId="8566" priority="379">
      <formula>$A319="Tunnel"</formula>
    </cfRule>
    <cfRule type="expression" dxfId="8565" priority="380">
      <formula>$A319="Bridge"</formula>
    </cfRule>
    <cfRule type="expression" dxfId="8564" priority="381">
      <formula>$A319="Drainage Works"</formula>
    </cfRule>
    <cfRule type="expression" dxfId="8563" priority="382">
      <formula>$A319="Underpass"</formula>
    </cfRule>
    <cfRule type="expression" dxfId="8562" priority="383">
      <formula>$A319="Overcrossing"</formula>
    </cfRule>
    <cfRule type="expression" dxfId="8561" priority="384">
      <formula>$A319="Overpass"</formula>
    </cfRule>
    <cfRule type="expression" dxfId="8560" priority="385">
      <formula>$A319="Station"</formula>
    </cfRule>
    <cfRule type="expression" dxfId="8559" priority="386">
      <formula>$A319="Overlap between sections"</formula>
    </cfRule>
  </conditionalFormatting>
  <conditionalFormatting sqref="K318">
    <cfRule type="expression" dxfId="8558" priority="373">
      <formula>$M318="NON DEFINED"</formula>
    </cfRule>
    <cfRule type="expression" dxfId="8557" priority="374">
      <formula>$AZ318="N.D."</formula>
    </cfRule>
    <cfRule type="expression" dxfId="8556" priority="375">
      <formula>$AY318="N.D."</formula>
    </cfRule>
  </conditionalFormatting>
  <conditionalFormatting sqref="K318">
    <cfRule type="expression" dxfId="8555" priority="362">
      <formula>$A318="Overhead Cable"</formula>
    </cfRule>
    <cfRule type="expression" dxfId="8554" priority="363">
      <formula>$A318="Level Crossing"</formula>
    </cfRule>
    <cfRule type="expression" dxfId="8553" priority="364">
      <formula>$A318="Neutral Section"</formula>
    </cfRule>
    <cfRule type="expression" dxfId="8552" priority="365">
      <formula>$A318="Tunnel"</formula>
    </cfRule>
    <cfRule type="expression" dxfId="8551" priority="366">
      <formula>$A318="Bridge"</formula>
    </cfRule>
    <cfRule type="expression" dxfId="8550" priority="367">
      <formula>$A318="Drainage Works"</formula>
    </cfRule>
    <cfRule type="expression" dxfId="8549" priority="368">
      <formula>$A318="Underpass"</formula>
    </cfRule>
    <cfRule type="expression" dxfId="8548" priority="369">
      <formula>$A318="Overcrossing"</formula>
    </cfRule>
    <cfRule type="expression" dxfId="8547" priority="370">
      <formula>$A318="Overpass"</formula>
    </cfRule>
    <cfRule type="expression" dxfId="8546" priority="371">
      <formula>$A318="Station"</formula>
    </cfRule>
    <cfRule type="expression" dxfId="8545" priority="372">
      <formula>$A318="Overlap between sections"</formula>
    </cfRule>
  </conditionalFormatting>
  <conditionalFormatting sqref="K322">
    <cfRule type="expression" dxfId="8544" priority="359">
      <formula>$M322="NON DEFINED"</formula>
    </cfRule>
    <cfRule type="expression" dxfId="8543" priority="360">
      <formula>$AZ322="N.D."</formula>
    </cfRule>
    <cfRule type="expression" dxfId="8542" priority="361">
      <formula>$AY322="N.D."</formula>
    </cfRule>
  </conditionalFormatting>
  <conditionalFormatting sqref="K322">
    <cfRule type="expression" dxfId="8541" priority="348">
      <formula>$A322="Overhead Cable"</formula>
    </cfRule>
    <cfRule type="expression" dxfId="8540" priority="349">
      <formula>$A322="Level Crossing"</formula>
    </cfRule>
    <cfRule type="expression" dxfId="8539" priority="350">
      <formula>$A322="Neutral Section"</formula>
    </cfRule>
    <cfRule type="expression" dxfId="8538" priority="351">
      <formula>$A322="Tunnel"</formula>
    </cfRule>
    <cfRule type="expression" dxfId="8537" priority="352">
      <formula>$A322="Bridge"</formula>
    </cfRule>
    <cfRule type="expression" dxfId="8536" priority="353">
      <formula>$A322="Drainage Works"</formula>
    </cfRule>
    <cfRule type="expression" dxfId="8535" priority="354">
      <formula>$A322="Underpass"</formula>
    </cfRule>
    <cfRule type="expression" dxfId="8534" priority="355">
      <formula>$A322="Overcrossing"</formula>
    </cfRule>
    <cfRule type="expression" dxfId="8533" priority="356">
      <formula>$A322="Overpass"</formula>
    </cfRule>
    <cfRule type="expression" dxfId="8532" priority="357">
      <formula>$A322="Station"</formula>
    </cfRule>
    <cfRule type="expression" dxfId="8531" priority="358">
      <formula>$A322="Overlap between sections"</formula>
    </cfRule>
  </conditionalFormatting>
  <conditionalFormatting sqref="K352">
    <cfRule type="expression" dxfId="8530" priority="345">
      <formula>$M352="NON DEFINED"</formula>
    </cfRule>
    <cfRule type="expression" dxfId="8529" priority="346">
      <formula>$AZ352="N.D."</formula>
    </cfRule>
    <cfRule type="expression" dxfId="8528" priority="347">
      <formula>$AY352="N.D."</formula>
    </cfRule>
  </conditionalFormatting>
  <conditionalFormatting sqref="K352">
    <cfRule type="expression" dxfId="8527" priority="334">
      <formula>$A352="Overhead Cable"</formula>
    </cfRule>
    <cfRule type="expression" dxfId="8526" priority="335">
      <formula>$A352="Level Crossing"</formula>
    </cfRule>
    <cfRule type="expression" dxfId="8525" priority="336">
      <formula>$A352="Neutral Section"</formula>
    </cfRule>
    <cfRule type="expression" dxfId="8524" priority="337">
      <formula>$A352="Tunnel"</formula>
    </cfRule>
    <cfRule type="expression" dxfId="8523" priority="338">
      <formula>$A352="Bridge"</formula>
    </cfRule>
    <cfRule type="expression" dxfId="8522" priority="339">
      <formula>$A352="Drainage Works"</formula>
    </cfRule>
    <cfRule type="expression" dxfId="8521" priority="340">
      <formula>$A352="Underpass"</formula>
    </cfRule>
    <cfRule type="expression" dxfId="8520" priority="341">
      <formula>$A352="Overcrossing"</formula>
    </cfRule>
    <cfRule type="expression" dxfId="8519" priority="342">
      <formula>$A352="Overpass"</formula>
    </cfRule>
    <cfRule type="expression" dxfId="8518" priority="343">
      <formula>$A352="Station"</formula>
    </cfRule>
    <cfRule type="expression" dxfId="8517" priority="344">
      <formula>$A352="Overlap between sections"</formula>
    </cfRule>
  </conditionalFormatting>
  <conditionalFormatting sqref="H356">
    <cfRule type="expression" dxfId="8516" priority="331">
      <formula>$M356="NON DEFINED"</formula>
    </cfRule>
    <cfRule type="expression" dxfId="8515" priority="332">
      <formula>$AZ356="N.D."</formula>
    </cfRule>
    <cfRule type="expression" dxfId="8514" priority="333">
      <formula>$AY356="N.D."</formula>
    </cfRule>
  </conditionalFormatting>
  <conditionalFormatting sqref="H356">
    <cfRule type="expression" dxfId="8513" priority="320">
      <formula>$A356="Overhead Cable"</formula>
    </cfRule>
    <cfRule type="expression" dxfId="8512" priority="321">
      <formula>$A356="Level Crossing"</formula>
    </cfRule>
    <cfRule type="expression" dxfId="8511" priority="322">
      <formula>$A356="Neutral Section"</formula>
    </cfRule>
    <cfRule type="expression" dxfId="8510" priority="323">
      <formula>$A356="Tunnel"</formula>
    </cfRule>
    <cfRule type="expression" dxfId="8509" priority="324">
      <formula>$A356="Bridge"</formula>
    </cfRule>
    <cfRule type="expression" dxfId="8508" priority="325">
      <formula>$A356="Drainage Works"</formula>
    </cfRule>
    <cfRule type="expression" dxfId="8507" priority="326">
      <formula>$A356="Underpass"</formula>
    </cfRule>
    <cfRule type="expression" dxfId="8506" priority="327">
      <formula>$A356="Overcrossing"</formula>
    </cfRule>
    <cfRule type="expression" dxfId="8505" priority="328">
      <formula>$A356="Overpass"</formula>
    </cfRule>
    <cfRule type="expression" dxfId="8504" priority="329">
      <formula>$A356="Station"</formula>
    </cfRule>
    <cfRule type="expression" dxfId="8503" priority="330">
      <formula>$A356="Overlap between sections"</formula>
    </cfRule>
  </conditionalFormatting>
  <conditionalFormatting sqref="I356">
    <cfRule type="expression" dxfId="8502" priority="317">
      <formula>$M356="NON DEFINED"</formula>
    </cfRule>
    <cfRule type="expression" dxfId="8501" priority="318">
      <formula>$AZ356="N.D."</formula>
    </cfRule>
    <cfRule type="expression" dxfId="8500" priority="319">
      <formula>$AY356="N.D."</formula>
    </cfRule>
  </conditionalFormatting>
  <conditionalFormatting sqref="I356">
    <cfRule type="expression" dxfId="8499" priority="306">
      <formula>$A356="Overhead Cable"</formula>
    </cfRule>
    <cfRule type="expression" dxfId="8498" priority="307">
      <formula>$A356="Level Crossing"</formula>
    </cfRule>
    <cfRule type="expression" dxfId="8497" priority="308">
      <formula>$A356="Neutral Section"</formula>
    </cfRule>
    <cfRule type="expression" dxfId="8496" priority="309">
      <formula>$A356="Tunnel"</formula>
    </cfRule>
    <cfRule type="expression" dxfId="8495" priority="310">
      <formula>$A356="Bridge"</formula>
    </cfRule>
    <cfRule type="expression" dxfId="8494" priority="311">
      <formula>$A356="Drainage Works"</formula>
    </cfRule>
    <cfRule type="expression" dxfId="8493" priority="312">
      <formula>$A356="Underpass"</formula>
    </cfRule>
    <cfRule type="expression" dxfId="8492" priority="313">
      <formula>$A356="Overcrossing"</formula>
    </cfRule>
    <cfRule type="expression" dxfId="8491" priority="314">
      <formula>$A356="Overpass"</formula>
    </cfRule>
    <cfRule type="expression" dxfId="8490" priority="315">
      <formula>$A356="Station"</formula>
    </cfRule>
    <cfRule type="expression" dxfId="8489" priority="316">
      <formula>$A356="Overlap between sections"</formula>
    </cfRule>
  </conditionalFormatting>
  <conditionalFormatting sqref="K356">
    <cfRule type="expression" dxfId="8488" priority="303">
      <formula>$M356="NON DEFINED"</formula>
    </cfRule>
    <cfRule type="expression" dxfId="8487" priority="304">
      <formula>$AZ356="N.D."</formula>
    </cfRule>
    <cfRule type="expression" dxfId="8486" priority="305">
      <formula>$AY356="N.D."</formula>
    </cfRule>
  </conditionalFormatting>
  <conditionalFormatting sqref="K356">
    <cfRule type="expression" dxfId="8485" priority="292">
      <formula>$A356="Overhead Cable"</formula>
    </cfRule>
    <cfRule type="expression" dxfId="8484" priority="293">
      <formula>$A356="Level Crossing"</formula>
    </cfRule>
    <cfRule type="expression" dxfId="8483" priority="294">
      <formula>$A356="Neutral Section"</formula>
    </cfRule>
    <cfRule type="expression" dxfId="8482" priority="295">
      <formula>$A356="Tunnel"</formula>
    </cfRule>
    <cfRule type="expression" dxfId="8481" priority="296">
      <formula>$A356="Bridge"</formula>
    </cfRule>
    <cfRule type="expression" dxfId="8480" priority="297">
      <formula>$A356="Drainage Works"</formula>
    </cfRule>
    <cfRule type="expression" dxfId="8479" priority="298">
      <formula>$A356="Underpass"</formula>
    </cfRule>
    <cfRule type="expression" dxfId="8478" priority="299">
      <formula>$A356="Overcrossing"</formula>
    </cfRule>
    <cfRule type="expression" dxfId="8477" priority="300">
      <formula>$A356="Overpass"</formula>
    </cfRule>
    <cfRule type="expression" dxfId="8476" priority="301">
      <formula>$A356="Station"</formula>
    </cfRule>
    <cfRule type="expression" dxfId="8475" priority="302">
      <formula>$A356="Overlap between sections"</formula>
    </cfRule>
  </conditionalFormatting>
  <conditionalFormatting sqref="I350">
    <cfRule type="expression" dxfId="8474" priority="289">
      <formula>$M350="NON DEFINED"</formula>
    </cfRule>
    <cfRule type="expression" dxfId="8473" priority="290">
      <formula>$AZ350="N.D."</formula>
    </cfRule>
    <cfRule type="expression" dxfId="8472" priority="291">
      <formula>$AY350="N.D."</formula>
    </cfRule>
  </conditionalFormatting>
  <conditionalFormatting sqref="I350">
    <cfRule type="expression" dxfId="8471" priority="278">
      <formula>$A350="Overhead Cable"</formula>
    </cfRule>
    <cfRule type="expression" dxfId="8470" priority="279">
      <formula>$A350="Level Crossing"</formula>
    </cfRule>
    <cfRule type="expression" dxfId="8469" priority="280">
      <formula>$A350="Neutral Section"</formula>
    </cfRule>
    <cfRule type="expression" dxfId="8468" priority="281">
      <formula>$A350="Tunnel"</formula>
    </cfRule>
    <cfRule type="expression" dxfId="8467" priority="282">
      <formula>$A350="Bridge"</formula>
    </cfRule>
    <cfRule type="expression" dxfId="8466" priority="283">
      <formula>$A350="Drainage Works"</formula>
    </cfRule>
    <cfRule type="expression" dxfId="8465" priority="284">
      <formula>$A350="Underpass"</formula>
    </cfRule>
    <cfRule type="expression" dxfId="8464" priority="285">
      <formula>$A350="Overcrossing"</formula>
    </cfRule>
    <cfRule type="expression" dxfId="8463" priority="286">
      <formula>$A350="Overpass"</formula>
    </cfRule>
    <cfRule type="expression" dxfId="8462" priority="287">
      <formula>$A350="Station"</formula>
    </cfRule>
    <cfRule type="expression" dxfId="8461" priority="288">
      <formula>$A350="Overlap between sections"</formula>
    </cfRule>
  </conditionalFormatting>
  <conditionalFormatting sqref="K350">
    <cfRule type="expression" dxfId="8460" priority="275">
      <formula>$M350="NON DEFINED"</formula>
    </cfRule>
    <cfRule type="expression" dxfId="8459" priority="276">
      <formula>$AZ350="N.D."</formula>
    </cfRule>
    <cfRule type="expression" dxfId="8458" priority="277">
      <formula>$AY350="N.D."</formula>
    </cfRule>
  </conditionalFormatting>
  <conditionalFormatting sqref="K350">
    <cfRule type="expression" dxfId="8457" priority="264">
      <formula>$A350="Overhead Cable"</formula>
    </cfRule>
    <cfRule type="expression" dxfId="8456" priority="265">
      <formula>$A350="Level Crossing"</formula>
    </cfRule>
    <cfRule type="expression" dxfId="8455" priority="266">
      <formula>$A350="Neutral Section"</formula>
    </cfRule>
    <cfRule type="expression" dxfId="8454" priority="267">
      <formula>$A350="Tunnel"</formula>
    </cfRule>
    <cfRule type="expression" dxfId="8453" priority="268">
      <formula>$A350="Bridge"</formula>
    </cfRule>
    <cfRule type="expression" dxfId="8452" priority="269">
      <formula>$A350="Drainage Works"</formula>
    </cfRule>
    <cfRule type="expression" dxfId="8451" priority="270">
      <formula>$A350="Underpass"</formula>
    </cfRule>
    <cfRule type="expression" dxfId="8450" priority="271">
      <formula>$A350="Overcrossing"</formula>
    </cfRule>
    <cfRule type="expression" dxfId="8449" priority="272">
      <formula>$A350="Overpass"</formula>
    </cfRule>
    <cfRule type="expression" dxfId="8448" priority="273">
      <formula>$A350="Station"</formula>
    </cfRule>
    <cfRule type="expression" dxfId="8447" priority="274">
      <formula>$A350="Overlap between sections"</formula>
    </cfRule>
  </conditionalFormatting>
  <conditionalFormatting sqref="J390:J391">
    <cfRule type="expression" dxfId="8446" priority="261">
      <formula>$M390="NON DEFINED"</formula>
    </cfRule>
    <cfRule type="expression" dxfId="8445" priority="262">
      <formula>$AZ390="N.D."</formula>
    </cfRule>
    <cfRule type="expression" dxfId="8444" priority="263">
      <formula>$AY390="N.D."</formula>
    </cfRule>
  </conditionalFormatting>
  <conditionalFormatting sqref="J390:J391">
    <cfRule type="expression" dxfId="8443" priority="250">
      <formula>$A390="Overhead Cable"</formula>
    </cfRule>
    <cfRule type="expression" dxfId="8442" priority="251">
      <formula>$A390="Level Crossing"</formula>
    </cfRule>
    <cfRule type="expression" dxfId="8441" priority="252">
      <formula>$A390="Neutral Section"</formula>
    </cfRule>
    <cfRule type="expression" dxfId="8440" priority="253">
      <formula>$A390="Tunnel"</formula>
    </cfRule>
    <cfRule type="expression" dxfId="8439" priority="254">
      <formula>$A390="Bridge"</formula>
    </cfRule>
    <cfRule type="expression" dxfId="8438" priority="255">
      <formula>$A390="Drainage Works"</formula>
    </cfRule>
    <cfRule type="expression" dxfId="8437" priority="256">
      <formula>$A390="Underpass"</formula>
    </cfRule>
    <cfRule type="expression" dxfId="8436" priority="257">
      <formula>$A390="Overcrossing"</formula>
    </cfRule>
    <cfRule type="expression" dxfId="8435" priority="258">
      <formula>$A390="Overpass"</formula>
    </cfRule>
    <cfRule type="expression" dxfId="8434" priority="259">
      <formula>$A390="Station"</formula>
    </cfRule>
    <cfRule type="expression" dxfId="8433" priority="260">
      <formula>$A390="Overlap between sections"</formula>
    </cfRule>
  </conditionalFormatting>
  <conditionalFormatting sqref="I390:I391">
    <cfRule type="expression" dxfId="8432" priority="247">
      <formula>$M390="NON DEFINED"</formula>
    </cfRule>
    <cfRule type="expression" dxfId="8431" priority="248">
      <formula>$AZ390="N.D."</formula>
    </cfRule>
    <cfRule type="expression" dxfId="8430" priority="249">
      <formula>$AY390="N.D."</formula>
    </cfRule>
  </conditionalFormatting>
  <conditionalFormatting sqref="I390:I391">
    <cfRule type="expression" dxfId="8429" priority="236">
      <formula>$A390="Overhead Cable"</formula>
    </cfRule>
    <cfRule type="expression" dxfId="8428" priority="237">
      <formula>$A390="Level Crossing"</formula>
    </cfRule>
    <cfRule type="expression" dxfId="8427" priority="238">
      <formula>$A390="Neutral Section"</formula>
    </cfRule>
    <cfRule type="expression" dxfId="8426" priority="239">
      <formula>$A390="Tunnel"</formula>
    </cfRule>
    <cfRule type="expression" dxfId="8425" priority="240">
      <formula>$A390="Bridge"</formula>
    </cfRule>
    <cfRule type="expression" dxfId="8424" priority="241">
      <formula>$A390="Drainage Works"</formula>
    </cfRule>
    <cfRule type="expression" dxfId="8423" priority="242">
      <formula>$A390="Underpass"</formula>
    </cfRule>
    <cfRule type="expression" dxfId="8422" priority="243">
      <formula>$A390="Overcrossing"</formula>
    </cfRule>
    <cfRule type="expression" dxfId="8421" priority="244">
      <formula>$A390="Overpass"</formula>
    </cfRule>
    <cfRule type="expression" dxfId="8420" priority="245">
      <formula>$A390="Station"</formula>
    </cfRule>
    <cfRule type="expression" dxfId="8419" priority="246">
      <formula>$A390="Overlap between sections"</formula>
    </cfRule>
  </conditionalFormatting>
  <conditionalFormatting sqref="K390:K391">
    <cfRule type="expression" dxfId="8418" priority="233">
      <formula>$M390="NON DEFINED"</formula>
    </cfRule>
    <cfRule type="expression" dxfId="8417" priority="234">
      <formula>$AZ390="N.D."</formula>
    </cfRule>
    <cfRule type="expression" dxfId="8416" priority="235">
      <formula>$AY390="N.D."</formula>
    </cfRule>
  </conditionalFormatting>
  <conditionalFormatting sqref="K390:K391">
    <cfRule type="expression" dxfId="8415" priority="222">
      <formula>$A390="Overhead Cable"</formula>
    </cfRule>
    <cfRule type="expression" dxfId="8414" priority="223">
      <formula>$A390="Level Crossing"</formula>
    </cfRule>
    <cfRule type="expression" dxfId="8413" priority="224">
      <formula>$A390="Neutral Section"</formula>
    </cfRule>
    <cfRule type="expression" dxfId="8412" priority="225">
      <formula>$A390="Tunnel"</formula>
    </cfRule>
    <cfRule type="expression" dxfId="8411" priority="226">
      <formula>$A390="Bridge"</formula>
    </cfRule>
    <cfRule type="expression" dxfId="8410" priority="227">
      <formula>$A390="Drainage Works"</formula>
    </cfRule>
    <cfRule type="expression" dxfId="8409" priority="228">
      <formula>$A390="Underpass"</formula>
    </cfRule>
    <cfRule type="expression" dxfId="8408" priority="229">
      <formula>$A390="Overcrossing"</formula>
    </cfRule>
    <cfRule type="expression" dxfId="8407" priority="230">
      <formula>$A390="Overpass"</formula>
    </cfRule>
    <cfRule type="expression" dxfId="8406" priority="231">
      <formula>$A390="Station"</formula>
    </cfRule>
    <cfRule type="expression" dxfId="8405" priority="232">
      <formula>$A390="Overlap between sections"</formula>
    </cfRule>
  </conditionalFormatting>
  <conditionalFormatting sqref="BA117:BC406 BA6:BC115">
    <cfRule type="expression" dxfId="8404" priority="220">
      <formula>$BE6="A"</formula>
    </cfRule>
    <cfRule type="expression" dxfId="8403" priority="221">
      <formula>$BE6="R"</formula>
    </cfRule>
  </conditionalFormatting>
  <conditionalFormatting sqref="BD6:BD406">
    <cfRule type="containsText" dxfId="8402" priority="219" operator="containsText" text="Poner a mano">
      <formula>NOT(ISERROR(SEARCH("Poner a mano",BD6)))</formula>
    </cfRule>
  </conditionalFormatting>
  <conditionalFormatting sqref="BC117:BC406 BC6:BC115">
    <cfRule type="expression" dxfId="8401" priority="218">
      <formula>$M6="U.S. N.D."</formula>
    </cfRule>
  </conditionalFormatting>
  <conditionalFormatting sqref="BB6:BB115 BB117:BB406">
    <cfRule type="expression" dxfId="8400" priority="216">
      <formula>$AZ6="N.D."</formula>
    </cfRule>
  </conditionalFormatting>
  <conditionalFormatting sqref="BA6:BA115 BA117:BA406">
    <cfRule type="expression" dxfId="8399" priority="217">
      <formula>$AY6="N.D."</formula>
    </cfRule>
  </conditionalFormatting>
  <conditionalFormatting sqref="AC72">
    <cfRule type="expression" dxfId="8398" priority="205">
      <formula>$A72="Overhead Cable"</formula>
    </cfRule>
    <cfRule type="expression" dxfId="8397" priority="206">
      <formula>$A72="Level Crossing"</formula>
    </cfRule>
    <cfRule type="expression" dxfId="8396" priority="207">
      <formula>$A72="Neutral Section"</formula>
    </cfRule>
    <cfRule type="expression" dxfId="8395" priority="208">
      <formula>$A72="Tunnel"</formula>
    </cfRule>
    <cfRule type="expression" dxfId="8394" priority="209">
      <formula>$A72="Bridge"</formula>
    </cfRule>
    <cfRule type="expression" dxfId="8393" priority="210">
      <formula>$A72="Drainage Works"</formula>
    </cfRule>
    <cfRule type="expression" dxfId="8392" priority="211">
      <formula>$A72="Underpass"</formula>
    </cfRule>
    <cfRule type="expression" dxfId="8391" priority="212">
      <formula>$A72="Overcrossing"</formula>
    </cfRule>
    <cfRule type="expression" dxfId="8390" priority="213">
      <formula>$A72="Overpass"</formula>
    </cfRule>
    <cfRule type="expression" dxfId="8389" priority="214">
      <formula>$A72="Station"</formula>
    </cfRule>
    <cfRule type="expression" dxfId="8388" priority="215">
      <formula>$A72="Overlap between sections"</formula>
    </cfRule>
  </conditionalFormatting>
  <conditionalFormatting sqref="AC72">
    <cfRule type="expression" dxfId="8387" priority="202">
      <formula>$M72="NON DEFINED"</formula>
    </cfRule>
    <cfRule type="expression" dxfId="8386" priority="203">
      <formula>$AZ72="N.D."</formula>
    </cfRule>
    <cfRule type="expression" dxfId="8385" priority="204">
      <formula>$AY72="N.D."</formula>
    </cfRule>
  </conditionalFormatting>
  <conditionalFormatting sqref="AD72">
    <cfRule type="expression" dxfId="8384" priority="191">
      <formula>$A72="Overhead Cable"</formula>
    </cfRule>
    <cfRule type="expression" dxfId="8383" priority="192">
      <formula>$A72="Level Crossing"</formula>
    </cfRule>
    <cfRule type="expression" dxfId="8382" priority="193">
      <formula>$A72="Neutral Section"</formula>
    </cfRule>
    <cfRule type="expression" dxfId="8381" priority="194">
      <formula>$A72="Tunnel"</formula>
    </cfRule>
    <cfRule type="expression" dxfId="8380" priority="195">
      <formula>$A72="Bridge"</formula>
    </cfRule>
    <cfRule type="expression" dxfId="8379" priority="196">
      <formula>$A72="Drainage Works"</formula>
    </cfRule>
    <cfRule type="expression" dxfId="8378" priority="197">
      <formula>$A72="Underpass"</formula>
    </cfRule>
    <cfRule type="expression" dxfId="8377" priority="198">
      <formula>$A72="Overcrossing"</formula>
    </cfRule>
    <cfRule type="expression" dxfId="8376" priority="199">
      <formula>$A72="Overpass"</formula>
    </cfRule>
    <cfRule type="expression" dxfId="8375" priority="200">
      <formula>$A72="Station"</formula>
    </cfRule>
    <cfRule type="expression" dxfId="8374" priority="201">
      <formula>$A72="Overlap between sections"</formula>
    </cfRule>
  </conditionalFormatting>
  <conditionalFormatting sqref="AD72">
    <cfRule type="expression" dxfId="8373" priority="188">
      <formula>$M72="NON DEFINED"</formula>
    </cfRule>
    <cfRule type="expression" dxfId="8372" priority="189">
      <formula>$AZ72="N.D."</formula>
    </cfRule>
    <cfRule type="expression" dxfId="8371" priority="190">
      <formula>$AY72="N.D."</formula>
    </cfRule>
  </conditionalFormatting>
  <conditionalFormatting sqref="AD70">
    <cfRule type="expression" dxfId="8370" priority="177">
      <formula>$A70="Overhead Cable"</formula>
    </cfRule>
    <cfRule type="expression" dxfId="8369" priority="178">
      <formula>$A70="Level Crossing"</formula>
    </cfRule>
    <cfRule type="expression" dxfId="8368" priority="179">
      <formula>$A70="Neutral Section"</formula>
    </cfRule>
    <cfRule type="expression" dxfId="8367" priority="180">
      <formula>$A70="Tunnel"</formula>
    </cfRule>
    <cfRule type="expression" dxfId="8366" priority="181">
      <formula>$A70="Bridge"</formula>
    </cfRule>
    <cfRule type="expression" dxfId="8365" priority="182">
      <formula>$A70="Drainage Works"</formula>
    </cfRule>
    <cfRule type="expression" dxfId="8364" priority="183">
      <formula>$A70="Underpass"</formula>
    </cfRule>
    <cfRule type="expression" dxfId="8363" priority="184">
      <formula>$A70="Overcrossing"</formula>
    </cfRule>
    <cfRule type="expression" dxfId="8362" priority="185">
      <formula>$A70="Overpass"</formula>
    </cfRule>
    <cfRule type="expression" dxfId="8361" priority="186">
      <formula>$A70="Station"</formula>
    </cfRule>
    <cfRule type="expression" dxfId="8360" priority="187">
      <formula>$A70="Overlap between sections"</formula>
    </cfRule>
  </conditionalFormatting>
  <conditionalFormatting sqref="AD70">
    <cfRule type="expression" dxfId="8359" priority="174">
      <formula>$M70="NON DEFINED"</formula>
    </cfRule>
    <cfRule type="expression" dxfId="8358" priority="175">
      <formula>$AZ70="N.D."</formula>
    </cfRule>
    <cfRule type="expression" dxfId="8357" priority="176">
      <formula>$AY70="N.D."</formula>
    </cfRule>
  </conditionalFormatting>
  <conditionalFormatting sqref="AD74">
    <cfRule type="expression" dxfId="8356" priority="163">
      <formula>$A74="Overhead Cable"</formula>
    </cfRule>
    <cfRule type="expression" dxfId="8355" priority="164">
      <formula>$A74="Level Crossing"</formula>
    </cfRule>
    <cfRule type="expression" dxfId="8354" priority="165">
      <formula>$A74="Neutral Section"</formula>
    </cfRule>
    <cfRule type="expression" dxfId="8353" priority="166">
      <formula>$A74="Tunnel"</formula>
    </cfRule>
    <cfRule type="expression" dxfId="8352" priority="167">
      <formula>$A74="Bridge"</formula>
    </cfRule>
    <cfRule type="expression" dxfId="8351" priority="168">
      <formula>$A74="Drainage Works"</formula>
    </cfRule>
    <cfRule type="expression" dxfId="8350" priority="169">
      <formula>$A74="Underpass"</formula>
    </cfRule>
    <cfRule type="expression" dxfId="8349" priority="170">
      <formula>$A74="Overcrossing"</formula>
    </cfRule>
    <cfRule type="expression" dxfId="8348" priority="171">
      <formula>$A74="Overpass"</formula>
    </cfRule>
    <cfRule type="expression" dxfId="8347" priority="172">
      <formula>$A74="Station"</formula>
    </cfRule>
    <cfRule type="expression" dxfId="8346" priority="173">
      <formula>$A74="Overlap between sections"</formula>
    </cfRule>
  </conditionalFormatting>
  <conditionalFormatting sqref="AD74">
    <cfRule type="expression" dxfId="8345" priority="160">
      <formula>$M74="NON DEFINED"</formula>
    </cfRule>
    <cfRule type="expression" dxfId="8344" priority="161">
      <formula>$AZ74="N.D."</formula>
    </cfRule>
    <cfRule type="expression" dxfId="8343" priority="162">
      <formula>$AY74="N.D."</formula>
    </cfRule>
  </conditionalFormatting>
  <conditionalFormatting sqref="AC76">
    <cfRule type="expression" dxfId="8342" priority="149">
      <formula>$A76="Overhead Cable"</formula>
    </cfRule>
    <cfRule type="expression" dxfId="8341" priority="150">
      <formula>$A76="Level Crossing"</formula>
    </cfRule>
    <cfRule type="expression" dxfId="8340" priority="151">
      <formula>$A76="Neutral Section"</formula>
    </cfRule>
    <cfRule type="expression" dxfId="8339" priority="152">
      <formula>$A76="Tunnel"</formula>
    </cfRule>
    <cfRule type="expression" dxfId="8338" priority="153">
      <formula>$A76="Bridge"</formula>
    </cfRule>
    <cfRule type="expression" dxfId="8337" priority="154">
      <formula>$A76="Drainage Works"</formula>
    </cfRule>
    <cfRule type="expression" dxfId="8336" priority="155">
      <formula>$A76="Underpass"</formula>
    </cfRule>
    <cfRule type="expression" dxfId="8335" priority="156">
      <formula>$A76="Overcrossing"</formula>
    </cfRule>
    <cfRule type="expression" dxfId="8334" priority="157">
      <formula>$A76="Overpass"</formula>
    </cfRule>
    <cfRule type="expression" dxfId="8333" priority="158">
      <formula>$A76="Station"</formula>
    </cfRule>
    <cfRule type="expression" dxfId="8332" priority="159">
      <formula>$A76="Overlap between sections"</formula>
    </cfRule>
  </conditionalFormatting>
  <conditionalFormatting sqref="AC76">
    <cfRule type="expression" dxfId="8331" priority="146">
      <formula>$M76="NON DEFINED"</formula>
    </cfRule>
    <cfRule type="expression" dxfId="8330" priority="147">
      <formula>$AZ76="N.D."</formula>
    </cfRule>
    <cfRule type="expression" dxfId="8329" priority="148">
      <formula>$AY76="N.D."</formula>
    </cfRule>
  </conditionalFormatting>
  <conditionalFormatting sqref="AD250">
    <cfRule type="expression" dxfId="8328" priority="135">
      <formula>$A250="Overhead Cable"</formula>
    </cfRule>
    <cfRule type="expression" dxfId="8327" priority="136">
      <formula>$A250="Level Crossing"</formula>
    </cfRule>
    <cfRule type="expression" dxfId="8326" priority="137">
      <formula>$A250="Neutral Section"</formula>
    </cfRule>
    <cfRule type="expression" dxfId="8325" priority="138">
      <formula>$A250="Tunnel"</formula>
    </cfRule>
    <cfRule type="expression" dxfId="8324" priority="139">
      <formula>$A250="Bridge"</formula>
    </cfRule>
    <cfRule type="expression" dxfId="8323" priority="140">
      <formula>$A250="Drainage Works"</formula>
    </cfRule>
    <cfRule type="expression" dxfId="8322" priority="141">
      <formula>$A250="Underpass"</formula>
    </cfRule>
    <cfRule type="expression" dxfId="8321" priority="142">
      <formula>$A250="Overcrossing"</formula>
    </cfRule>
    <cfRule type="expression" dxfId="8320" priority="143">
      <formula>$A250="Overpass"</formula>
    </cfRule>
    <cfRule type="expression" dxfId="8319" priority="144">
      <formula>$A250="Station"</formula>
    </cfRule>
    <cfRule type="expression" dxfId="8318" priority="145">
      <formula>$A250="Overlap between sections"</formula>
    </cfRule>
  </conditionalFormatting>
  <conditionalFormatting sqref="AD250">
    <cfRule type="expression" dxfId="8317" priority="132">
      <formula>$M250="NON DEFINED"</formula>
    </cfRule>
    <cfRule type="expression" dxfId="8316" priority="133">
      <formula>$AZ250="N.D."</formula>
    </cfRule>
    <cfRule type="expression" dxfId="8315" priority="134">
      <formula>$AY250="N.D."</formula>
    </cfRule>
  </conditionalFormatting>
  <conditionalFormatting sqref="AC256">
    <cfRule type="expression" dxfId="8314" priority="121">
      <formula>$A256="Overhead Cable"</formula>
    </cfRule>
    <cfRule type="expression" dxfId="8313" priority="122">
      <formula>$A256="Level Crossing"</formula>
    </cfRule>
    <cfRule type="expression" dxfId="8312" priority="123">
      <formula>$A256="Neutral Section"</formula>
    </cfRule>
    <cfRule type="expression" dxfId="8311" priority="124">
      <formula>$A256="Tunnel"</formula>
    </cfRule>
    <cfRule type="expression" dxfId="8310" priority="125">
      <formula>$A256="Bridge"</formula>
    </cfRule>
    <cfRule type="expression" dxfId="8309" priority="126">
      <formula>$A256="Drainage Works"</formula>
    </cfRule>
    <cfRule type="expression" dxfId="8308" priority="127">
      <formula>$A256="Underpass"</formula>
    </cfRule>
    <cfRule type="expression" dxfId="8307" priority="128">
      <formula>$A256="Overcrossing"</formula>
    </cfRule>
    <cfRule type="expression" dxfId="8306" priority="129">
      <formula>$A256="Overpass"</formula>
    </cfRule>
    <cfRule type="expression" dxfId="8305" priority="130">
      <formula>$A256="Station"</formula>
    </cfRule>
    <cfRule type="expression" dxfId="8304" priority="131">
      <formula>$A256="Overlap between sections"</formula>
    </cfRule>
  </conditionalFormatting>
  <conditionalFormatting sqref="AC256">
    <cfRule type="expression" dxfId="8303" priority="118">
      <formula>$M256="NON DEFINED"</formula>
    </cfRule>
    <cfRule type="expression" dxfId="8302" priority="119">
      <formula>$AZ256="N.D."</formula>
    </cfRule>
    <cfRule type="expression" dxfId="8301" priority="120">
      <formula>$AY256="N.D."</formula>
    </cfRule>
  </conditionalFormatting>
  <conditionalFormatting sqref="AC252">
    <cfRule type="expression" dxfId="8300" priority="107">
      <formula>$A252="Overhead Cable"</formula>
    </cfRule>
    <cfRule type="expression" dxfId="8299" priority="108">
      <formula>$A252="Level Crossing"</formula>
    </cfRule>
    <cfRule type="expression" dxfId="8298" priority="109">
      <formula>$A252="Neutral Section"</formula>
    </cfRule>
    <cfRule type="expression" dxfId="8297" priority="110">
      <formula>$A252="Tunnel"</formula>
    </cfRule>
    <cfRule type="expression" dxfId="8296" priority="111">
      <formula>$A252="Bridge"</formula>
    </cfRule>
    <cfRule type="expression" dxfId="8295" priority="112">
      <formula>$A252="Drainage Works"</formula>
    </cfRule>
    <cfRule type="expression" dxfId="8294" priority="113">
      <formula>$A252="Underpass"</formula>
    </cfRule>
    <cfRule type="expression" dxfId="8293" priority="114">
      <formula>$A252="Overcrossing"</formula>
    </cfRule>
    <cfRule type="expression" dxfId="8292" priority="115">
      <formula>$A252="Overpass"</formula>
    </cfRule>
    <cfRule type="expression" dxfId="8291" priority="116">
      <formula>$A252="Station"</formula>
    </cfRule>
    <cfRule type="expression" dxfId="8290" priority="117">
      <formula>$A252="Overlap between sections"</formula>
    </cfRule>
  </conditionalFormatting>
  <conditionalFormatting sqref="AC252">
    <cfRule type="expression" dxfId="8289" priority="104">
      <formula>$M252="NON DEFINED"</formula>
    </cfRule>
    <cfRule type="expression" dxfId="8288" priority="105">
      <formula>$AZ252="N.D."</formula>
    </cfRule>
    <cfRule type="expression" dxfId="8287" priority="106">
      <formula>$AY252="N.D."</formula>
    </cfRule>
  </conditionalFormatting>
  <conditionalFormatting sqref="AC254">
    <cfRule type="expression" dxfId="8286" priority="93">
      <formula>$A254="Overhead Cable"</formula>
    </cfRule>
    <cfRule type="expression" dxfId="8285" priority="94">
      <formula>$A254="Level Crossing"</formula>
    </cfRule>
    <cfRule type="expression" dxfId="8284" priority="95">
      <formula>$A254="Neutral Section"</formula>
    </cfRule>
    <cfRule type="expression" dxfId="8283" priority="96">
      <formula>$A254="Tunnel"</formula>
    </cfRule>
    <cfRule type="expression" dxfId="8282" priority="97">
      <formula>$A254="Bridge"</formula>
    </cfRule>
    <cfRule type="expression" dxfId="8281" priority="98">
      <formula>$A254="Drainage Works"</formula>
    </cfRule>
    <cfRule type="expression" dxfId="8280" priority="99">
      <formula>$A254="Underpass"</formula>
    </cfRule>
    <cfRule type="expression" dxfId="8279" priority="100">
      <formula>$A254="Overcrossing"</formula>
    </cfRule>
    <cfRule type="expression" dxfId="8278" priority="101">
      <formula>$A254="Overpass"</formula>
    </cfRule>
    <cfRule type="expression" dxfId="8277" priority="102">
      <formula>$A254="Station"</formula>
    </cfRule>
    <cfRule type="expression" dxfId="8276" priority="103">
      <formula>$A254="Overlap between sections"</formula>
    </cfRule>
  </conditionalFormatting>
  <conditionalFormatting sqref="AC254">
    <cfRule type="expression" dxfId="8275" priority="90">
      <formula>$M254="NON DEFINED"</formula>
    </cfRule>
    <cfRule type="expression" dxfId="8274" priority="91">
      <formula>$AZ254="N.D."</formula>
    </cfRule>
    <cfRule type="expression" dxfId="8273" priority="92">
      <formula>$AY254="N.D."</formula>
    </cfRule>
  </conditionalFormatting>
  <conditionalFormatting sqref="AD254">
    <cfRule type="expression" dxfId="8272" priority="79">
      <formula>$A254="Overhead Cable"</formula>
    </cfRule>
    <cfRule type="expression" dxfId="8271" priority="80">
      <formula>$A254="Level Crossing"</formula>
    </cfRule>
    <cfRule type="expression" dxfId="8270" priority="81">
      <formula>$A254="Neutral Section"</formula>
    </cfRule>
    <cfRule type="expression" dxfId="8269" priority="82">
      <formula>$A254="Tunnel"</formula>
    </cfRule>
    <cfRule type="expression" dxfId="8268" priority="83">
      <formula>$A254="Bridge"</formula>
    </cfRule>
    <cfRule type="expression" dxfId="8267" priority="84">
      <formula>$A254="Drainage Works"</formula>
    </cfRule>
    <cfRule type="expression" dxfId="8266" priority="85">
      <formula>$A254="Underpass"</formula>
    </cfRule>
    <cfRule type="expression" dxfId="8265" priority="86">
      <formula>$A254="Overcrossing"</formula>
    </cfRule>
    <cfRule type="expression" dxfId="8264" priority="87">
      <formula>$A254="Overpass"</formula>
    </cfRule>
    <cfRule type="expression" dxfId="8263" priority="88">
      <formula>$A254="Station"</formula>
    </cfRule>
    <cfRule type="expression" dxfId="8262" priority="89">
      <formula>$A254="Overlap between sections"</formula>
    </cfRule>
  </conditionalFormatting>
  <conditionalFormatting sqref="AD254">
    <cfRule type="expression" dxfId="8261" priority="76">
      <formula>$M254="NON DEFINED"</formula>
    </cfRule>
    <cfRule type="expression" dxfId="8260" priority="77">
      <formula>$AZ254="N.D."</formula>
    </cfRule>
    <cfRule type="expression" dxfId="8259" priority="78">
      <formula>$AY254="N.D."</formula>
    </cfRule>
  </conditionalFormatting>
  <conditionalFormatting sqref="AW116:AZ116">
    <cfRule type="expression" dxfId="8258" priority="73">
      <formula>$M116="NON DEFINED"</formula>
    </cfRule>
    <cfRule type="expression" dxfId="8257" priority="74">
      <formula>$AZ116="N.D."</formula>
    </cfRule>
    <cfRule type="expression" dxfId="8256" priority="75">
      <formula>$AY116="N.D."</formula>
    </cfRule>
  </conditionalFormatting>
  <conditionalFormatting sqref="AW116:AZ116">
    <cfRule type="expression" dxfId="8255" priority="62">
      <formula>$A116="Overhead Cable"</formula>
    </cfRule>
    <cfRule type="expression" dxfId="8254" priority="63">
      <formula>$A116="Level Crossing"</formula>
    </cfRule>
    <cfRule type="expression" dxfId="8253" priority="64">
      <formula>$A116="Neutral Section"</formula>
    </cfRule>
    <cfRule type="expression" dxfId="8252" priority="65">
      <formula>$A116="Tunnel"</formula>
    </cfRule>
    <cfRule type="expression" dxfId="8251" priority="66">
      <formula>$A116="Bridge"</formula>
    </cfRule>
    <cfRule type="expression" dxfId="8250" priority="67">
      <formula>$A116="Drainage Works"</formula>
    </cfRule>
    <cfRule type="expression" dxfId="8249" priority="68">
      <formula>$A116="Underpass"</formula>
    </cfRule>
    <cfRule type="expression" dxfId="8248" priority="69">
      <formula>$A116="Overcrossing"</formula>
    </cfRule>
    <cfRule type="expression" dxfId="8247" priority="70">
      <formula>$A116="Overpass"</formula>
    </cfRule>
    <cfRule type="expression" dxfId="8246" priority="71">
      <formula>$A116="Station"</formula>
    </cfRule>
    <cfRule type="expression" dxfId="8245" priority="72">
      <formula>$A116="Overlap between sections"</formula>
    </cfRule>
  </conditionalFormatting>
  <conditionalFormatting sqref="BA116:BC116">
    <cfRule type="expression" dxfId="8244" priority="60">
      <formula>$BE116="A"</formula>
    </cfRule>
    <cfRule type="expression" dxfId="8243" priority="61">
      <formula>$BE116="R"</formula>
    </cfRule>
  </conditionalFormatting>
  <conditionalFormatting sqref="BC116">
    <cfRule type="expression" dxfId="8242" priority="59">
      <formula>$M116="U.S. N.D."</formula>
    </cfRule>
  </conditionalFormatting>
  <conditionalFormatting sqref="BB116">
    <cfRule type="expression" dxfId="8241" priority="57">
      <formula>$AZ116="N.D."</formula>
    </cfRule>
  </conditionalFormatting>
  <conditionalFormatting sqref="BA116">
    <cfRule type="expression" dxfId="8240" priority="58">
      <formula>$AY116="N.D."</formula>
    </cfRule>
  </conditionalFormatting>
  <conditionalFormatting sqref="J108">
    <cfRule type="expression" dxfId="8239" priority="54">
      <formula>$M108="NON DEFINED"</formula>
    </cfRule>
    <cfRule type="expression" dxfId="8238" priority="55">
      <formula>$AZ108="N.D."</formula>
    </cfRule>
    <cfRule type="expression" dxfId="8237" priority="56">
      <formula>$AY108="N.D."</formula>
    </cfRule>
  </conditionalFormatting>
  <conditionalFormatting sqref="J108">
    <cfRule type="expression" dxfId="8236" priority="43">
      <formula>$A108="Overhead Cable"</formula>
    </cfRule>
    <cfRule type="expression" dxfId="8235" priority="44">
      <formula>$A108="Level Crossing"</formula>
    </cfRule>
    <cfRule type="expression" dxfId="8234" priority="45">
      <formula>$A108="Neutral Section"</formula>
    </cfRule>
    <cfRule type="expression" dxfId="8233" priority="46">
      <formula>$A108="Tunnel"</formula>
    </cfRule>
    <cfRule type="expression" dxfId="8232" priority="47">
      <formula>$A108="Bridge"</formula>
    </cfRule>
    <cfRule type="expression" dxfId="8231" priority="48">
      <formula>$A108="Drainage Works"</formula>
    </cfRule>
    <cfRule type="expression" dxfId="8230" priority="49">
      <formula>$A108="Underpass"</formula>
    </cfRule>
    <cfRule type="expression" dxfId="8229" priority="50">
      <formula>$A108="Overcrossing"</formula>
    </cfRule>
    <cfRule type="expression" dxfId="8228" priority="51">
      <formula>$A108="Overpass"</formula>
    </cfRule>
    <cfRule type="expression" dxfId="8227" priority="52">
      <formula>$A108="Station"</formula>
    </cfRule>
    <cfRule type="expression" dxfId="8226" priority="53">
      <formula>$A108="Overlap between sections"</formula>
    </cfRule>
  </conditionalFormatting>
  <conditionalFormatting sqref="K108">
    <cfRule type="expression" dxfId="8225" priority="40">
      <formula>$M108="NON DEFINED"</formula>
    </cfRule>
    <cfRule type="expression" dxfId="8224" priority="41">
      <formula>$AZ108="N.D."</formula>
    </cfRule>
    <cfRule type="expression" dxfId="8223" priority="42">
      <formula>$AY108="N.D."</formula>
    </cfRule>
  </conditionalFormatting>
  <conditionalFormatting sqref="K108">
    <cfRule type="expression" dxfId="8222" priority="29">
      <formula>$A108="Overhead Cable"</formula>
    </cfRule>
    <cfRule type="expression" dxfId="8221" priority="30">
      <formula>$A108="Level Crossing"</formula>
    </cfRule>
    <cfRule type="expression" dxfId="8220" priority="31">
      <formula>$A108="Neutral Section"</formula>
    </cfRule>
    <cfRule type="expression" dxfId="8219" priority="32">
      <formula>$A108="Tunnel"</formula>
    </cfRule>
    <cfRule type="expression" dxfId="8218" priority="33">
      <formula>$A108="Bridge"</formula>
    </cfRule>
    <cfRule type="expression" dxfId="8217" priority="34">
      <formula>$A108="Drainage Works"</formula>
    </cfRule>
    <cfRule type="expression" dxfId="8216" priority="35">
      <formula>$A108="Underpass"</formula>
    </cfRule>
    <cfRule type="expression" dxfId="8215" priority="36">
      <formula>$A108="Overcrossing"</formula>
    </cfRule>
    <cfRule type="expression" dxfId="8214" priority="37">
      <formula>$A108="Overpass"</formula>
    </cfRule>
    <cfRule type="expression" dxfId="8213" priority="38">
      <formula>$A108="Station"</formula>
    </cfRule>
    <cfRule type="expression" dxfId="8212" priority="39">
      <formula>$A108="Overlap between sections"</formula>
    </cfRule>
  </conditionalFormatting>
  <conditionalFormatting sqref="J37">
    <cfRule type="expression" dxfId="8211" priority="26">
      <formula>$M37="NON DEFINED"</formula>
    </cfRule>
    <cfRule type="expression" dxfId="8210" priority="27">
      <formula>$AZ37="N.D."</formula>
    </cfRule>
    <cfRule type="expression" dxfId="8209" priority="28">
      <formula>$AY37="N.D."</formula>
    </cfRule>
  </conditionalFormatting>
  <conditionalFormatting sqref="J37">
    <cfRule type="expression" dxfId="8208" priority="15">
      <formula>$A37="Overhead Cable"</formula>
    </cfRule>
    <cfRule type="expression" dxfId="8207" priority="16">
      <formula>$A37="Level Crossing"</formula>
    </cfRule>
    <cfRule type="expression" dxfId="8206" priority="17">
      <formula>$A37="Neutral Section"</formula>
    </cfRule>
    <cfRule type="expression" dxfId="8205" priority="18">
      <formula>$A37="Tunnel"</formula>
    </cfRule>
    <cfRule type="expression" dxfId="8204" priority="19">
      <formula>$A37="Bridge"</formula>
    </cfRule>
    <cfRule type="expression" dxfId="8203" priority="20">
      <formula>$A37="Drainage Works"</formula>
    </cfRule>
    <cfRule type="expression" dxfId="8202" priority="21">
      <formula>$A37="Underpass"</formula>
    </cfRule>
    <cfRule type="expression" dxfId="8201" priority="22">
      <formula>$A37="Overcrossing"</formula>
    </cfRule>
    <cfRule type="expression" dxfId="8200" priority="23">
      <formula>$A37="Overpass"</formula>
    </cfRule>
    <cfRule type="expression" dxfId="8199" priority="24">
      <formula>$A37="Station"</formula>
    </cfRule>
    <cfRule type="expression" dxfId="8198" priority="25">
      <formula>$A37="Overlap between sections"</formula>
    </cfRule>
  </conditionalFormatting>
  <conditionalFormatting sqref="K37">
    <cfRule type="expression" dxfId="8197" priority="12">
      <formula>$M37="NON DEFINED"</formula>
    </cfRule>
    <cfRule type="expression" dxfId="8196" priority="13">
      <formula>$AZ37="N.D."</formula>
    </cfRule>
    <cfRule type="expression" dxfId="8195" priority="14">
      <formula>$AY37="N.D."</formula>
    </cfRule>
  </conditionalFormatting>
  <conditionalFormatting sqref="K37">
    <cfRule type="expression" dxfId="8194" priority="1">
      <formula>$A37="Overhead Cable"</formula>
    </cfRule>
    <cfRule type="expression" dxfId="8193" priority="2">
      <formula>$A37="Level Crossing"</formula>
    </cfRule>
    <cfRule type="expression" dxfId="8192" priority="3">
      <formula>$A37="Neutral Section"</formula>
    </cfRule>
    <cfRule type="expression" dxfId="8191" priority="4">
      <formula>$A37="Tunnel"</formula>
    </cfRule>
    <cfRule type="expression" dxfId="8190" priority="5">
      <formula>$A37="Bridge"</formula>
    </cfRule>
    <cfRule type="expression" dxfId="8189" priority="6">
      <formula>$A37="Drainage Works"</formula>
    </cfRule>
    <cfRule type="expression" dxfId="8188" priority="7">
      <formula>$A37="Underpass"</formula>
    </cfRule>
    <cfRule type="expression" dxfId="8187" priority="8">
      <formula>$A37="Overcrossing"</formula>
    </cfRule>
    <cfRule type="expression" dxfId="8186" priority="9">
      <formula>$A37="Overpass"</formula>
    </cfRule>
    <cfRule type="expression" dxfId="8185" priority="10">
      <formula>$A37="Station"</formula>
    </cfRule>
    <cfRule type="expression" dxfId="8184" priority="11">
      <formula>$A37="Overlap between sections"</formula>
    </cfRule>
  </conditionalFormatting>
  <printOptions horizontalCentered="1" gridLines="1"/>
  <pageMargins left="0.39370078740157483" right="0.39370078740157483" top="0.78740157480314965" bottom="0.78740157480314965" header="0.31496062992125984" footer="0.31496062992125984"/>
  <pageSetup paperSize="9" scale="52" fitToHeight="0" orientation="landscape" cellComments="asDisplayed" r:id="rId1"/>
  <headerFooter alignWithMargins="0">
    <oddHeader>&amp;L&amp;G&amp;C
LAYOUT AND EQUIPMENT
EP 11A TRACK 2
KP -00+096 to 07+860
&amp;R&amp;G</oddHeader>
    <oddFooter>&amp;L&amp;G
&amp;F&amp;C&amp;D&amp;RPag &amp;P of &amp;N</oddFooter>
  </headerFooter>
  <legacy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theme="3" tint="0.59999389629810485"/>
    <pageSetUpPr fitToPage="1"/>
  </sheetPr>
  <dimension ref="A1:BK800"/>
  <sheetViews>
    <sheetView showGridLines="0" tabSelected="1" view="pageBreakPreview" zoomScale="80" zoomScaleNormal="80" zoomScaleSheetLayoutView="80" workbookViewId="0">
      <pane xSplit="3" ySplit="3" topLeftCell="F26" activePane="bottomRight" state="frozen"/>
      <selection activeCell="C42" sqref="C42"/>
      <selection pane="topRight" activeCell="C42" sqref="C42"/>
      <selection pane="bottomLeft" activeCell="C42" sqref="C42"/>
      <selection pane="bottomRight" activeCell="K32" sqref="K32"/>
    </sheetView>
  </sheetViews>
  <sheetFormatPr baseColWidth="10" defaultColWidth="11.44140625" defaultRowHeight="15.75" customHeight="1"/>
  <cols>
    <col min="1" max="1" width="20.6640625" style="16" customWidth="1"/>
    <col min="2" max="2" width="12.6640625" style="16" customWidth="1"/>
    <col min="3" max="3" width="12.6640625" style="20" customWidth="1"/>
    <col min="4" max="5" width="12.6640625" style="16" hidden="1" customWidth="1"/>
    <col min="6" max="7" width="12.6640625" style="16" customWidth="1"/>
    <col min="8" max="8" width="18.6640625" style="16" customWidth="1"/>
    <col min="9" max="9" width="12.6640625" style="16" customWidth="1"/>
    <col min="10" max="10" width="12.6640625" style="20" customWidth="1"/>
    <col min="11" max="11" width="12.6640625" style="16" customWidth="1"/>
    <col min="12" max="13" width="14.6640625" style="16" customWidth="1"/>
    <col min="14" max="16" width="8.6640625" style="16" hidden="1" customWidth="1"/>
    <col min="17" max="19" width="12.6640625" style="16" hidden="1" customWidth="1"/>
    <col min="20" max="28" width="8.6640625" style="16" hidden="1" customWidth="1"/>
    <col min="29" max="31" width="10.6640625" style="16" hidden="1" customWidth="1"/>
    <col min="32" max="36" width="12.6640625" style="16" hidden="1" customWidth="1"/>
    <col min="37" max="38" width="12.6640625" style="16" customWidth="1"/>
    <col min="39" max="39" width="12.6640625" style="16" hidden="1" customWidth="1"/>
    <col min="40" max="45" width="8.6640625" style="8" hidden="1" customWidth="1"/>
    <col min="46" max="46" width="8.6640625" style="18" hidden="1" customWidth="1"/>
    <col min="47" max="48" width="8.6640625" style="8" hidden="1" customWidth="1"/>
    <col min="49" max="52" width="12.6640625" style="8" customWidth="1"/>
    <col min="53" max="55" width="4.6640625" style="8" customWidth="1"/>
    <col min="56" max="56" width="21.6640625" style="16" customWidth="1"/>
    <col min="57" max="57" width="16.33203125" style="8" customWidth="1"/>
    <col min="58" max="61" width="14" style="8" customWidth="1"/>
    <col min="62" max="16384" width="11.44140625" style="16"/>
  </cols>
  <sheetData>
    <row r="1" spans="1:63" s="454" customFormat="1" ht="36" customHeight="1" thickBot="1">
      <c r="A1" s="717" t="s">
        <v>2389</v>
      </c>
      <c r="B1" s="718"/>
      <c r="C1" s="718"/>
      <c r="D1" s="718"/>
      <c r="E1" s="718"/>
      <c r="F1" s="718"/>
      <c r="G1" s="718"/>
      <c r="H1" s="718"/>
      <c r="I1" s="718"/>
      <c r="J1" s="718"/>
      <c r="K1" s="718"/>
      <c r="L1" s="718"/>
      <c r="M1" s="718"/>
      <c r="N1" s="718"/>
      <c r="O1" s="718"/>
      <c r="P1" s="718"/>
      <c r="Q1" s="718"/>
      <c r="R1" s="718"/>
      <c r="S1" s="718"/>
      <c r="T1" s="718"/>
      <c r="U1" s="718"/>
      <c r="V1" s="718"/>
      <c r="W1" s="718"/>
      <c r="X1" s="718"/>
      <c r="Y1" s="718"/>
      <c r="Z1" s="718"/>
      <c r="AA1" s="718"/>
      <c r="AB1" s="718"/>
      <c r="AC1" s="718"/>
      <c r="AD1" s="718"/>
      <c r="AE1" s="718"/>
      <c r="AF1" s="718"/>
      <c r="AG1" s="718"/>
      <c r="AH1" s="718"/>
      <c r="AI1" s="718"/>
      <c r="AJ1" s="718"/>
      <c r="AK1" s="718"/>
      <c r="AL1" s="718"/>
      <c r="AM1" s="718"/>
      <c r="AN1" s="718"/>
      <c r="AO1" s="718"/>
      <c r="AP1" s="718"/>
      <c r="AQ1" s="718"/>
      <c r="AR1" s="718"/>
      <c r="AS1" s="718"/>
      <c r="AT1" s="718"/>
      <c r="AU1" s="718"/>
      <c r="AV1" s="718"/>
      <c r="AW1" s="718"/>
      <c r="AX1" s="718"/>
      <c r="AY1" s="718"/>
      <c r="AZ1" s="718"/>
      <c r="BA1" s="718"/>
      <c r="BB1" s="718"/>
      <c r="BC1" s="718"/>
      <c r="BD1" s="719"/>
      <c r="BE1" s="449" t="s">
        <v>1596</v>
      </c>
      <c r="BF1" s="695" t="s">
        <v>1598</v>
      </c>
      <c r="BG1" s="695"/>
      <c r="BH1" s="695"/>
      <c r="BI1" s="695"/>
    </row>
    <row r="2" spans="1:63" s="454" customFormat="1" ht="41.25" customHeight="1" thickBot="1">
      <c r="A2" s="486" t="s">
        <v>1321</v>
      </c>
      <c r="B2" s="486" t="s">
        <v>1322</v>
      </c>
      <c r="C2" s="486" t="s">
        <v>1325</v>
      </c>
      <c r="D2" s="486" t="s">
        <v>1323</v>
      </c>
      <c r="E2" s="486" t="s">
        <v>1327</v>
      </c>
      <c r="F2" s="486" t="s">
        <v>1328</v>
      </c>
      <c r="G2" s="486" t="s">
        <v>1326</v>
      </c>
      <c r="H2" s="486" t="s">
        <v>46</v>
      </c>
      <c r="I2" s="486" t="s">
        <v>45</v>
      </c>
      <c r="J2" s="486" t="s">
        <v>1493</v>
      </c>
      <c r="K2" s="486" t="s">
        <v>185</v>
      </c>
      <c r="L2" s="486" t="s">
        <v>47</v>
      </c>
      <c r="M2" s="486" t="s">
        <v>44</v>
      </c>
      <c r="N2" s="720" t="s">
        <v>48</v>
      </c>
      <c r="O2" s="721"/>
      <c r="P2" s="722"/>
      <c r="Q2" s="486" t="s">
        <v>1329</v>
      </c>
      <c r="R2" s="486" t="s">
        <v>1330</v>
      </c>
      <c r="S2" s="486" t="s">
        <v>1331</v>
      </c>
      <c r="T2" s="720" t="s">
        <v>1332</v>
      </c>
      <c r="U2" s="721"/>
      <c r="V2" s="722"/>
      <c r="W2" s="720" t="s">
        <v>1333</v>
      </c>
      <c r="X2" s="721"/>
      <c r="Y2" s="722"/>
      <c r="Z2" s="720" t="s">
        <v>1334</v>
      </c>
      <c r="AA2" s="721"/>
      <c r="AB2" s="722"/>
      <c r="AC2" s="720" t="s">
        <v>186</v>
      </c>
      <c r="AD2" s="721"/>
      <c r="AE2" s="722"/>
      <c r="AF2" s="486" t="s">
        <v>1494</v>
      </c>
      <c r="AG2" s="486" t="s">
        <v>1324</v>
      </c>
      <c r="AH2" s="486" t="s">
        <v>1335</v>
      </c>
      <c r="AI2" s="486" t="s">
        <v>1336</v>
      </c>
      <c r="AJ2" s="486" t="s">
        <v>187</v>
      </c>
      <c r="AK2" s="486" t="s">
        <v>49</v>
      </c>
      <c r="AL2" s="486" t="s">
        <v>50</v>
      </c>
      <c r="AM2" s="549" t="s">
        <v>872</v>
      </c>
      <c r="AN2" s="720" t="s">
        <v>1337</v>
      </c>
      <c r="AO2" s="721"/>
      <c r="AP2" s="722"/>
      <c r="AQ2" s="720" t="s">
        <v>52</v>
      </c>
      <c r="AR2" s="721"/>
      <c r="AS2" s="722"/>
      <c r="AT2" s="720" t="s">
        <v>188</v>
      </c>
      <c r="AU2" s="721"/>
      <c r="AV2" s="722"/>
      <c r="AW2" s="486" t="s">
        <v>875</v>
      </c>
      <c r="AX2" s="486" t="s">
        <v>1495</v>
      </c>
      <c r="AY2" s="549" t="s">
        <v>1338</v>
      </c>
      <c r="AZ2" s="549" t="s">
        <v>1339</v>
      </c>
      <c r="BA2" s="720" t="s">
        <v>753</v>
      </c>
      <c r="BB2" s="721"/>
      <c r="BC2" s="722"/>
      <c r="BD2" s="486" t="s">
        <v>873</v>
      </c>
      <c r="BE2" s="449" t="s">
        <v>1597</v>
      </c>
      <c r="BF2" s="450" t="s">
        <v>44</v>
      </c>
      <c r="BG2" s="450" t="s">
        <v>1599</v>
      </c>
      <c r="BH2" s="450" t="s">
        <v>1600</v>
      </c>
      <c r="BI2" s="450" t="s">
        <v>48</v>
      </c>
    </row>
    <row r="3" spans="1:63" s="454" customFormat="1" ht="15.75" customHeight="1" thickBot="1">
      <c r="A3" s="455"/>
      <c r="B3" s="476"/>
      <c r="C3" s="456"/>
      <c r="D3" s="456"/>
      <c r="E3" s="456"/>
      <c r="F3" s="456"/>
      <c r="G3" s="456"/>
      <c r="H3" s="476"/>
      <c r="I3" s="476"/>
      <c r="J3" s="456"/>
      <c r="K3" s="487"/>
      <c r="L3" s="476"/>
      <c r="M3" s="476"/>
      <c r="N3" s="488" t="s">
        <v>11</v>
      </c>
      <c r="O3" s="488" t="s">
        <v>12</v>
      </c>
      <c r="P3" s="488" t="s">
        <v>13</v>
      </c>
      <c r="Q3" s="456"/>
      <c r="R3" s="456"/>
      <c r="S3" s="456"/>
      <c r="T3" s="464" t="s">
        <v>14</v>
      </c>
      <c r="U3" s="464" t="s">
        <v>15</v>
      </c>
      <c r="V3" s="464" t="s">
        <v>16</v>
      </c>
      <c r="W3" s="464" t="s">
        <v>17</v>
      </c>
      <c r="X3" s="464" t="s">
        <v>18</v>
      </c>
      <c r="Y3" s="464" t="s">
        <v>19</v>
      </c>
      <c r="Z3" s="464" t="s">
        <v>20</v>
      </c>
      <c r="AA3" s="464" t="s">
        <v>21</v>
      </c>
      <c r="AB3" s="464" t="s">
        <v>22</v>
      </c>
      <c r="AC3" s="488" t="s">
        <v>23</v>
      </c>
      <c r="AD3" s="488" t="s">
        <v>24</v>
      </c>
      <c r="AE3" s="488" t="s">
        <v>25</v>
      </c>
      <c r="AF3" s="456"/>
      <c r="AG3" s="456"/>
      <c r="AH3" s="456"/>
      <c r="AI3" s="456"/>
      <c r="AJ3" s="476"/>
      <c r="AK3" s="476"/>
      <c r="AL3" s="476"/>
      <c r="AM3" s="476"/>
      <c r="AN3" s="464" t="s">
        <v>17</v>
      </c>
      <c r="AO3" s="464" t="s">
        <v>18</v>
      </c>
      <c r="AP3" s="464" t="s">
        <v>19</v>
      </c>
      <c r="AQ3" s="464" t="s">
        <v>173</v>
      </c>
      <c r="AR3" s="464" t="s">
        <v>174</v>
      </c>
      <c r="AS3" s="464" t="s">
        <v>175</v>
      </c>
      <c r="AT3" s="652" t="s">
        <v>176</v>
      </c>
      <c r="AU3" s="464" t="s">
        <v>177</v>
      </c>
      <c r="AV3" s="464" t="s">
        <v>178</v>
      </c>
      <c r="AW3" s="476"/>
      <c r="AX3" s="476"/>
      <c r="AY3" s="456"/>
      <c r="AZ3" s="456"/>
      <c r="BA3" s="488" t="s">
        <v>1624</v>
      </c>
      <c r="BB3" s="488" t="s">
        <v>180</v>
      </c>
      <c r="BC3" s="488" t="s">
        <v>1625</v>
      </c>
      <c r="BD3" s="479"/>
      <c r="BE3" s="448"/>
      <c r="BF3" s="453"/>
      <c r="BG3" s="453"/>
      <c r="BH3" s="453"/>
      <c r="BI3" s="453"/>
    </row>
    <row r="4" spans="1:63" ht="16.2" customHeight="1" thickTop="1">
      <c r="A4" s="561"/>
      <c r="B4" s="562"/>
      <c r="C4" s="563"/>
      <c r="D4" s="564"/>
      <c r="E4" s="565"/>
      <c r="F4" s="565"/>
      <c r="G4" s="566"/>
      <c r="H4" s="567"/>
      <c r="I4" s="567"/>
      <c r="J4" s="568"/>
      <c r="K4" s="567"/>
      <c r="L4" s="567"/>
      <c r="M4" s="567"/>
      <c r="N4" s="567"/>
      <c r="O4" s="567"/>
      <c r="P4" s="567"/>
      <c r="Q4" s="565"/>
      <c r="R4" s="566"/>
      <c r="S4" s="566"/>
      <c r="T4" s="565"/>
      <c r="U4" s="565"/>
      <c r="V4" s="565"/>
      <c r="W4" s="569"/>
      <c r="X4" s="569"/>
      <c r="Y4" s="569"/>
      <c r="Z4" s="569"/>
      <c r="AA4" s="569"/>
      <c r="AB4" s="569"/>
      <c r="AC4" s="567"/>
      <c r="AD4" s="567"/>
      <c r="AE4" s="567"/>
      <c r="AF4" s="565"/>
      <c r="AG4" s="564"/>
      <c r="AH4" s="565"/>
      <c r="AI4" s="565"/>
      <c r="AJ4" s="567"/>
      <c r="AK4" s="567"/>
      <c r="AL4" s="567"/>
      <c r="AM4" s="567"/>
      <c r="AN4" s="569"/>
      <c r="AO4" s="567"/>
      <c r="AP4" s="567"/>
      <c r="AQ4" s="569"/>
      <c r="AR4" s="569"/>
      <c r="AS4" s="569"/>
      <c r="AT4" s="569"/>
      <c r="AU4" s="570"/>
      <c r="AV4" s="570"/>
      <c r="AW4" s="567"/>
      <c r="AX4" s="567"/>
      <c r="AY4" s="569"/>
      <c r="AZ4" s="569"/>
      <c r="BA4" s="517"/>
      <c r="BB4" s="517"/>
      <c r="BC4" s="517"/>
      <c r="BD4" s="571"/>
      <c r="BE4" s="557"/>
      <c r="BF4" s="308"/>
      <c r="BG4" s="308"/>
      <c r="BH4" s="308"/>
      <c r="BI4" s="308"/>
      <c r="BK4" s="309"/>
    </row>
    <row r="5" spans="1:63" ht="16.2" customHeight="1">
      <c r="A5" s="573" t="s">
        <v>383</v>
      </c>
      <c r="B5" s="469"/>
      <c r="C5" s="3"/>
      <c r="D5" s="88"/>
      <c r="E5" s="4"/>
      <c r="F5" s="4"/>
      <c r="G5" s="6"/>
      <c r="H5" s="468"/>
      <c r="I5" s="468" t="s">
        <v>485</v>
      </c>
      <c r="J5" s="3">
        <f>C6</f>
        <v>-10.009999999999998</v>
      </c>
      <c r="K5" s="468" t="s">
        <v>451</v>
      </c>
      <c r="L5" s="468"/>
      <c r="M5" s="468" t="str">
        <f>IF(L5="","",
IF(AX5="PT",VLOOKUP(L5,Foundation_Calc!$V$4:$X$37,VLOOKUP(AX5,Foundation_Calc!$I$10:$J$13,2,FALSE),0),
IF(AX5="K",VLOOKUP(L5,Foundation_Calc!$V$41:$X$74,VLOOKUP(AX5,Foundation_Calc!$I$10:$J$13,2,FALSE),0),"")))</f>
        <v/>
      </c>
      <c r="N5" s="468"/>
      <c r="O5" s="468"/>
      <c r="P5" s="468"/>
      <c r="Q5" s="4"/>
      <c r="R5" s="6"/>
      <c r="S5" s="6"/>
      <c r="T5" s="4"/>
      <c r="U5" s="4"/>
      <c r="V5" s="4"/>
      <c r="W5" s="9"/>
      <c r="X5" s="9"/>
      <c r="Y5" s="9"/>
      <c r="Z5" s="9"/>
      <c r="AA5" s="9"/>
      <c r="AB5" s="9"/>
      <c r="AC5" s="468" t="str">
        <f t="shared" ref="AC5" si="0">IF(OR(AT5&gt;8,AT5&lt;-8),"PH",
IF(OR(AT5&gt;5,AT5&lt;-5),"PHQ",
IF(OR(AT5&gt;1,AT5&lt;-1),
"PHC","")))</f>
        <v/>
      </c>
      <c r="AD5" s="468"/>
      <c r="AE5" s="468"/>
      <c r="AF5" s="4"/>
      <c r="AG5" s="88"/>
      <c r="AH5" s="4"/>
      <c r="AI5" s="4"/>
      <c r="AJ5" s="468"/>
      <c r="AK5" s="468"/>
      <c r="AL5" s="468"/>
      <c r="AM5" s="468"/>
      <c r="AN5" s="10"/>
      <c r="AO5" s="9"/>
      <c r="AP5" s="9"/>
      <c r="AQ5" s="9"/>
      <c r="AR5" s="9"/>
      <c r="AS5" s="9"/>
      <c r="AT5" s="9"/>
      <c r="AU5" s="447"/>
      <c r="AV5" s="447"/>
      <c r="AW5" s="468"/>
      <c r="AX5" s="468"/>
      <c r="AY5" s="10"/>
      <c r="AZ5" s="10"/>
      <c r="BA5" s="553" t="str">
        <f t="shared" ref="BA5:BB63" si="1">IF(AY5="","",IF(AY5&gt;0,"ü",""))</f>
        <v/>
      </c>
      <c r="BB5" s="553" t="str">
        <f t="shared" si="1"/>
        <v/>
      </c>
      <c r="BC5" s="553" t="str">
        <f t="shared" ref="BC5:BC63" si="2">IF(M5="","",IF(M5="U.S.","ü",IF(M5="U.S. N.D.","ü","")))</f>
        <v/>
      </c>
      <c r="BD5" s="572"/>
      <c r="BE5" s="448" t="s">
        <v>1726</v>
      </c>
      <c r="BF5" s="305"/>
      <c r="BG5" s="305"/>
      <c r="BH5" s="306"/>
      <c r="BI5" s="305"/>
    </row>
    <row r="6" spans="1:63" ht="16.2" customHeight="1">
      <c r="A6" s="624" t="s">
        <v>383</v>
      </c>
      <c r="B6" s="469" t="s">
        <v>2092</v>
      </c>
      <c r="C6" s="3">
        <f>C8-G7</f>
        <v>-10.009999999999998</v>
      </c>
      <c r="D6" s="88"/>
      <c r="E6" s="4"/>
      <c r="F6" s="4">
        <v>0</v>
      </c>
      <c r="G6" s="6"/>
      <c r="H6" s="468" t="s">
        <v>26</v>
      </c>
      <c r="I6" s="468" t="s">
        <v>1155</v>
      </c>
      <c r="J6" s="3">
        <f>C6</f>
        <v>-10.009999999999998</v>
      </c>
      <c r="K6" s="468" t="s">
        <v>447</v>
      </c>
      <c r="L6" s="468"/>
      <c r="M6" s="468" t="str">
        <f>IF(L6="","",
IF(AX6="PT",VLOOKUP(L6,Foundation_Calc!$V$4:$X$37,VLOOKUP(AX6,Foundation_Calc!$I$10:$J$13,2,FALSE),0),
IF(AX6="K",VLOOKUP(L6,Foundation_Calc!$V$41:$X$74,VLOOKUP(AX6,Foundation_Calc!$I$10:$J$13,2,FALSE),0),"")))</f>
        <v/>
      </c>
      <c r="N6" s="468"/>
      <c r="O6" s="468"/>
      <c r="P6" s="468"/>
      <c r="Q6" s="4"/>
      <c r="R6" s="6"/>
      <c r="S6" s="6"/>
      <c r="T6" s="4">
        <v>0</v>
      </c>
      <c r="U6" s="4"/>
      <c r="V6" s="4"/>
      <c r="W6" s="9"/>
      <c r="X6" s="9"/>
      <c r="Y6" s="9"/>
      <c r="Z6" s="9"/>
      <c r="AA6" s="9"/>
      <c r="AB6" s="9"/>
      <c r="AC6" s="468" t="str">
        <f t="shared" ref="AC6:AC69" si="3">IF(OR(AT6&gt;8,AT6&lt;-8),"PH",
IF(OR(AT6&gt;5,AT6&lt;-5),"PHQ",
IF(OR(AT6&gt;1,AT6&lt;-1),
"PHC","")))</f>
        <v/>
      </c>
      <c r="AD6" s="468"/>
      <c r="AE6" s="468"/>
      <c r="AF6" s="4"/>
      <c r="AG6" s="88"/>
      <c r="AH6" s="4"/>
      <c r="AI6" s="4"/>
      <c r="AJ6" s="468"/>
      <c r="AK6" s="468"/>
      <c r="AL6" s="468"/>
      <c r="AM6" s="468"/>
      <c r="AN6" s="10"/>
      <c r="AO6" s="9"/>
      <c r="AP6" s="9"/>
      <c r="AQ6" s="9"/>
      <c r="AR6" s="9"/>
      <c r="AS6" s="9"/>
      <c r="AT6" s="9"/>
      <c r="AU6" s="447"/>
      <c r="AV6" s="447"/>
      <c r="AW6" s="468" t="s">
        <v>199</v>
      </c>
      <c r="AX6" s="468" t="s">
        <v>199</v>
      </c>
      <c r="AY6" s="10"/>
      <c r="AZ6" s="10"/>
      <c r="BA6" s="553" t="str">
        <f t="shared" si="1"/>
        <v/>
      </c>
      <c r="BB6" s="553" t="str">
        <f t="shared" si="1"/>
        <v/>
      </c>
      <c r="BC6" s="553" t="str">
        <f t="shared" si="2"/>
        <v/>
      </c>
      <c r="BD6" s="572"/>
      <c r="BE6" s="448" t="s">
        <v>1726</v>
      </c>
      <c r="BF6" s="306"/>
      <c r="BG6" s="306"/>
      <c r="BH6" s="306"/>
      <c r="BI6" s="306"/>
    </row>
    <row r="7" spans="1:63" ht="16.2" customHeight="1">
      <c r="A7" s="624" t="s">
        <v>383</v>
      </c>
      <c r="B7" s="469"/>
      <c r="C7" s="3"/>
      <c r="D7" s="88"/>
      <c r="E7" s="4"/>
      <c r="F7" s="4"/>
      <c r="G7" s="6">
        <v>31.7</v>
      </c>
      <c r="H7" s="468"/>
      <c r="I7" s="468"/>
      <c r="J7" s="3"/>
      <c r="K7" s="468"/>
      <c r="L7" s="468"/>
      <c r="M7" s="468" t="str">
        <f>IF(L7="","",
IF(AX7="PT",VLOOKUP(L7,Foundation_Calc!$V$4:$X$37,VLOOKUP(AX7,Foundation_Calc!$I$10:$J$13,2,FALSE),0),
IF(AX7="K",VLOOKUP(L7,Foundation_Calc!$V$41:$X$74,VLOOKUP(AX7,Foundation_Calc!$I$10:$J$13,2,FALSE),0),"")))</f>
        <v/>
      </c>
      <c r="N7" s="468"/>
      <c r="O7" s="468"/>
      <c r="P7" s="468"/>
      <c r="Q7" s="4"/>
      <c r="R7" s="6"/>
      <c r="S7" s="6"/>
      <c r="T7" s="4"/>
      <c r="U7" s="4"/>
      <c r="V7" s="4"/>
      <c r="W7" s="9"/>
      <c r="X7" s="9"/>
      <c r="Y7" s="9"/>
      <c r="Z7" s="9"/>
      <c r="AA7" s="9"/>
      <c r="AB7" s="9"/>
      <c r="AC7" s="468" t="str">
        <f t="shared" si="3"/>
        <v/>
      </c>
      <c r="AD7" s="468"/>
      <c r="AE7" s="468"/>
      <c r="AF7" s="4"/>
      <c r="AG7" s="88"/>
      <c r="AH7" s="4"/>
      <c r="AI7" s="4"/>
      <c r="AJ7" s="468"/>
      <c r="AK7" s="468"/>
      <c r="AL7" s="468"/>
      <c r="AM7" s="468"/>
      <c r="AN7" s="10"/>
      <c r="AO7" s="9"/>
      <c r="AP7" s="9"/>
      <c r="AQ7" s="9"/>
      <c r="AR7" s="9"/>
      <c r="AS7" s="9"/>
      <c r="AT7" s="9"/>
      <c r="AU7" s="447"/>
      <c r="AV7" s="447"/>
      <c r="AW7" s="468"/>
      <c r="AX7" s="468"/>
      <c r="AY7" s="10"/>
      <c r="AZ7" s="10"/>
      <c r="BA7" s="553" t="str">
        <f t="shared" si="1"/>
        <v/>
      </c>
      <c r="BB7" s="553" t="str">
        <f t="shared" si="1"/>
        <v/>
      </c>
      <c r="BC7" s="553" t="str">
        <f t="shared" si="2"/>
        <v/>
      </c>
      <c r="BD7" s="572"/>
      <c r="BE7" s="448" t="s">
        <v>1726</v>
      </c>
      <c r="BF7" s="305"/>
      <c r="BG7" s="305"/>
      <c r="BH7" s="306"/>
      <c r="BI7" s="305"/>
    </row>
    <row r="8" spans="1:63" ht="16.2" customHeight="1">
      <c r="A8" s="624" t="s">
        <v>383</v>
      </c>
      <c r="B8" s="469" t="s">
        <v>2091</v>
      </c>
      <c r="C8" s="3">
        <v>21.69</v>
      </c>
      <c r="D8" s="88"/>
      <c r="E8" s="4"/>
      <c r="F8" s="4">
        <v>0</v>
      </c>
      <c r="G8" s="6"/>
      <c r="H8" s="468"/>
      <c r="I8" s="468"/>
      <c r="J8" s="3"/>
      <c r="K8" s="468"/>
      <c r="L8" s="468"/>
      <c r="M8" s="468" t="str">
        <f>IF(L8="","",
IF(AX8="PT",VLOOKUP(L8,Foundation_Calc!$V$4:$X$37,VLOOKUP(AX8,Foundation_Calc!$I$10:$J$13,2,FALSE),0),
IF(AX8="K",VLOOKUP(L8,Foundation_Calc!$V$41:$X$74,VLOOKUP(AX8,Foundation_Calc!$I$10:$J$13,2,FALSE),0),"")))</f>
        <v/>
      </c>
      <c r="N8" s="468" t="s">
        <v>191</v>
      </c>
      <c r="O8" s="468"/>
      <c r="P8" s="468"/>
      <c r="Q8" s="4"/>
      <c r="R8" s="6"/>
      <c r="S8" s="6"/>
      <c r="T8" s="4">
        <v>-25</v>
      </c>
      <c r="U8" s="4"/>
      <c r="V8" s="4"/>
      <c r="W8" s="9">
        <v>1</v>
      </c>
      <c r="X8" s="9"/>
      <c r="Y8" s="9"/>
      <c r="Z8" s="9"/>
      <c r="AA8" s="9"/>
      <c r="AB8" s="9"/>
      <c r="AC8" s="468" t="s">
        <v>630</v>
      </c>
      <c r="AD8" s="468"/>
      <c r="AE8" s="468"/>
      <c r="AF8" s="4"/>
      <c r="AG8" s="88"/>
      <c r="AH8" s="4"/>
      <c r="AI8" s="4"/>
      <c r="AJ8" s="468"/>
      <c r="AK8" s="468" t="s">
        <v>41</v>
      </c>
      <c r="AL8" s="468"/>
      <c r="AM8" s="468" t="s">
        <v>2458</v>
      </c>
      <c r="AN8" s="10">
        <v>5.15</v>
      </c>
      <c r="AO8" s="9"/>
      <c r="AP8" s="9"/>
      <c r="AQ8" s="9"/>
      <c r="AR8" s="9"/>
      <c r="AS8" s="9"/>
      <c r="AT8" s="9"/>
      <c r="AU8" s="447"/>
      <c r="AV8" s="447"/>
      <c r="AW8" s="468" t="s">
        <v>199</v>
      </c>
      <c r="AX8" s="468" t="s">
        <v>199</v>
      </c>
      <c r="AY8" s="10"/>
      <c r="AZ8" s="10"/>
      <c r="BA8" s="553" t="str">
        <f t="shared" si="1"/>
        <v/>
      </c>
      <c r="BB8" s="553" t="str">
        <f t="shared" si="1"/>
        <v/>
      </c>
      <c r="BC8" s="553" t="str">
        <f t="shared" si="2"/>
        <v/>
      </c>
      <c r="BD8" s="572"/>
      <c r="BE8" s="448" t="s">
        <v>1726</v>
      </c>
      <c r="BF8" s="306"/>
      <c r="BG8" s="306"/>
      <c r="BH8" s="306"/>
      <c r="BI8" s="306"/>
    </row>
    <row r="9" spans="1:63" ht="16.2" customHeight="1">
      <c r="A9" s="614" t="s">
        <v>2386</v>
      </c>
      <c r="B9" s="615"/>
      <c r="C9" s="616"/>
      <c r="D9" s="617"/>
      <c r="E9" s="618"/>
      <c r="F9" s="618"/>
      <c r="G9" s="619">
        <v>27</v>
      </c>
      <c r="H9" s="620"/>
      <c r="I9" s="620"/>
      <c r="J9" s="616"/>
      <c r="K9" s="620"/>
      <c r="L9" s="620"/>
      <c r="M9" s="620" t="str">
        <f>IF(L9="","",
IF(AX9="PT",VLOOKUP(L9,Foundation_Calc!$V$4:$X$37,VLOOKUP(AX9,Foundation_Calc!$I$10:$J$13,2,FALSE),0),
IF(AX9="K",VLOOKUP(L9,Foundation_Calc!$V$41:$X$74,VLOOKUP(AX9,Foundation_Calc!$I$10:$J$13,2,FALSE),0),"")))</f>
        <v/>
      </c>
      <c r="N9" s="620"/>
      <c r="O9" s="620"/>
      <c r="P9" s="620"/>
      <c r="Q9" s="618"/>
      <c r="R9" s="619"/>
      <c r="S9" s="619"/>
      <c r="T9" s="618"/>
      <c r="U9" s="618"/>
      <c r="V9" s="618"/>
      <c r="W9" s="621"/>
      <c r="X9" s="621"/>
      <c r="Y9" s="621"/>
      <c r="Z9" s="621"/>
      <c r="AA9" s="621"/>
      <c r="AB9" s="621"/>
      <c r="AC9" s="620" t="s">
        <v>195</v>
      </c>
      <c r="AD9" s="620"/>
      <c r="AE9" s="620"/>
      <c r="AF9" s="618"/>
      <c r="AG9" s="617"/>
      <c r="AH9" s="618"/>
      <c r="AI9" s="618"/>
      <c r="AJ9" s="620" t="s">
        <v>594</v>
      </c>
      <c r="AK9" s="620"/>
      <c r="AL9" s="620"/>
      <c r="AM9" s="620"/>
      <c r="AN9" s="622"/>
      <c r="AO9" s="621"/>
      <c r="AP9" s="621"/>
      <c r="AQ9" s="621"/>
      <c r="AR9" s="621"/>
      <c r="AS9" s="621"/>
      <c r="AT9" s="621"/>
      <c r="AU9" s="623"/>
      <c r="AV9" s="623"/>
      <c r="AW9" s="620"/>
      <c r="AX9" s="620"/>
      <c r="AY9" s="622"/>
      <c r="AZ9" s="622"/>
      <c r="BA9" s="553" t="str">
        <f t="shared" si="1"/>
        <v/>
      </c>
      <c r="BB9" s="553" t="str">
        <f t="shared" si="1"/>
        <v/>
      </c>
      <c r="BC9" s="553" t="str">
        <f t="shared" si="2"/>
        <v/>
      </c>
      <c r="BD9" s="572"/>
      <c r="BE9" s="448" t="s">
        <v>1726</v>
      </c>
      <c r="BF9" s="305"/>
      <c r="BG9" s="305"/>
      <c r="BH9" s="306"/>
      <c r="BI9" s="305"/>
    </row>
    <row r="10" spans="1:63" ht="16.2" customHeight="1">
      <c r="A10" s="624" t="s">
        <v>383</v>
      </c>
      <c r="B10" s="469" t="s">
        <v>2090</v>
      </c>
      <c r="C10" s="3">
        <f>+$C$8+$G$9</f>
        <v>48.69</v>
      </c>
      <c r="D10" s="88"/>
      <c r="E10" s="4"/>
      <c r="F10" s="4">
        <v>300</v>
      </c>
      <c r="G10" s="6"/>
      <c r="H10" s="468"/>
      <c r="I10" s="468"/>
      <c r="J10" s="3"/>
      <c r="K10" s="468"/>
      <c r="L10" s="468"/>
      <c r="M10" s="468" t="str">
        <f>IF(L10="","",
IF(AX10="PT",VLOOKUP(L10,Foundation_Calc!$V$4:$X$37,VLOOKUP(AX10,Foundation_Calc!$I$10:$J$13,2,FALSE),0),
IF(AX10="K",VLOOKUP(L10,Foundation_Calc!$V$41:$X$74,VLOOKUP(AX10,Foundation_Calc!$I$10:$J$13,2,FALSE),0),"")))</f>
        <v/>
      </c>
      <c r="N10" s="468" t="s">
        <v>191</v>
      </c>
      <c r="O10" s="468"/>
      <c r="P10" s="468"/>
      <c r="Q10" s="4"/>
      <c r="R10" s="6"/>
      <c r="S10" s="6"/>
      <c r="T10" s="4">
        <v>-25</v>
      </c>
      <c r="U10" s="4"/>
      <c r="V10" s="4"/>
      <c r="W10" s="9">
        <v>1</v>
      </c>
      <c r="X10" s="9"/>
      <c r="Y10" s="9"/>
      <c r="Z10" s="9"/>
      <c r="AA10" s="9"/>
      <c r="AB10" s="9"/>
      <c r="AC10" s="468" t="s">
        <v>1341</v>
      </c>
      <c r="AD10" s="468"/>
      <c r="AE10" s="468"/>
      <c r="AF10" s="4"/>
      <c r="AG10" s="88"/>
      <c r="AH10" s="4"/>
      <c r="AI10" s="4"/>
      <c r="AJ10" s="468"/>
      <c r="AK10" s="468" t="s">
        <v>41</v>
      </c>
      <c r="AL10" s="468"/>
      <c r="AM10" s="468" t="s">
        <v>2458</v>
      </c>
      <c r="AN10" s="10">
        <v>5.15</v>
      </c>
      <c r="AO10" s="9"/>
      <c r="AP10" s="9"/>
      <c r="AQ10" s="9"/>
      <c r="AR10" s="9"/>
      <c r="AS10" s="9"/>
      <c r="AT10" s="9"/>
      <c r="AU10" s="447"/>
      <c r="AV10" s="447"/>
      <c r="AW10" s="468" t="s">
        <v>199</v>
      </c>
      <c r="AX10" s="468" t="s">
        <v>199</v>
      </c>
      <c r="AY10" s="10"/>
      <c r="AZ10" s="10"/>
      <c r="BA10" s="553" t="str">
        <f t="shared" si="1"/>
        <v/>
      </c>
      <c r="BB10" s="553" t="str">
        <f t="shared" si="1"/>
        <v/>
      </c>
      <c r="BC10" s="553" t="str">
        <f t="shared" si="2"/>
        <v/>
      </c>
      <c r="BD10" s="572"/>
      <c r="BE10" s="448" t="s">
        <v>1726</v>
      </c>
      <c r="BF10" s="306"/>
      <c r="BG10" s="306"/>
      <c r="BH10" s="306"/>
      <c r="BI10" s="306"/>
    </row>
    <row r="11" spans="1:63" ht="16.2" customHeight="1">
      <c r="A11" s="624" t="s">
        <v>383</v>
      </c>
      <c r="B11" s="469"/>
      <c r="C11" s="3"/>
      <c r="D11" s="88"/>
      <c r="E11" s="4"/>
      <c r="F11" s="4"/>
      <c r="G11" s="6">
        <v>27</v>
      </c>
      <c r="H11" s="468"/>
      <c r="I11" s="468"/>
      <c r="J11" s="3"/>
      <c r="K11" s="468"/>
      <c r="L11" s="468"/>
      <c r="M11" s="468" t="str">
        <f>IF(L11="","",
IF(AX11="PT",VLOOKUP(L11,Foundation_Calc!$V$4:$X$37,VLOOKUP(AX11,Foundation_Calc!$I$10:$J$13,2,FALSE),0),
IF(AX11="K",VLOOKUP(L11,Foundation_Calc!$V$41:$X$74,VLOOKUP(AX11,Foundation_Calc!$I$10:$J$13,2,FALSE),0),"")))</f>
        <v/>
      </c>
      <c r="N11" s="468"/>
      <c r="O11" s="468"/>
      <c r="P11" s="468"/>
      <c r="Q11" s="4"/>
      <c r="R11" s="6"/>
      <c r="S11" s="6"/>
      <c r="T11" s="4"/>
      <c r="U11" s="4"/>
      <c r="V11" s="4"/>
      <c r="W11" s="9"/>
      <c r="X11" s="9"/>
      <c r="Y11" s="9"/>
      <c r="Z11" s="9"/>
      <c r="AA11" s="9"/>
      <c r="AB11" s="9"/>
      <c r="AC11" s="468" t="s">
        <v>195</v>
      </c>
      <c r="AD11" s="468"/>
      <c r="AE11" s="468"/>
      <c r="AF11" s="4"/>
      <c r="AG11" s="88"/>
      <c r="AH11" s="4"/>
      <c r="AI11" s="4"/>
      <c r="AJ11" s="468"/>
      <c r="AK11" s="468"/>
      <c r="AL11" s="468"/>
      <c r="AM11" s="468"/>
      <c r="AN11" s="10"/>
      <c r="AO11" s="9"/>
      <c r="AP11" s="9"/>
      <c r="AQ11" s="9"/>
      <c r="AR11" s="9"/>
      <c r="AS11" s="9"/>
      <c r="AT11" s="9"/>
      <c r="AU11" s="447"/>
      <c r="AV11" s="447"/>
      <c r="AW11" s="468"/>
      <c r="AX11" s="468"/>
      <c r="AY11" s="10"/>
      <c r="AZ11" s="10"/>
      <c r="BA11" s="553" t="str">
        <f t="shared" si="1"/>
        <v/>
      </c>
      <c r="BB11" s="553" t="str">
        <f t="shared" si="1"/>
        <v/>
      </c>
      <c r="BC11" s="553" t="str">
        <f t="shared" si="2"/>
        <v/>
      </c>
      <c r="BD11" s="572"/>
      <c r="BE11" s="448" t="s">
        <v>1726</v>
      </c>
      <c r="BF11" s="305"/>
      <c r="BG11" s="305"/>
      <c r="BH11" s="306"/>
      <c r="BI11" s="305"/>
    </row>
    <row r="12" spans="1:63" ht="16.2" customHeight="1">
      <c r="A12" s="624" t="s">
        <v>383</v>
      </c>
      <c r="B12" s="469" t="s">
        <v>2089</v>
      </c>
      <c r="C12" s="3">
        <f>+$C$10+$G$11</f>
        <v>75.69</v>
      </c>
      <c r="D12" s="88"/>
      <c r="E12" s="4"/>
      <c r="F12" s="4">
        <v>0</v>
      </c>
      <c r="G12" s="6"/>
      <c r="H12" s="468" t="s">
        <v>1739</v>
      </c>
      <c r="I12" s="468"/>
      <c r="J12" s="3"/>
      <c r="K12" s="468"/>
      <c r="L12" s="468"/>
      <c r="M12" s="468" t="str">
        <f>IF(L12="","",
IF(AX12="PT",VLOOKUP(L12,Foundation_Calc!$V$4:$X$37,VLOOKUP(AX12,Foundation_Calc!$I$10:$J$13,2,FALSE),0),
IF(AX12="K",VLOOKUP(L12,Foundation_Calc!$V$41:$X$74,VLOOKUP(AX12,Foundation_Calc!$I$10:$J$13,2,FALSE),0),"")))</f>
        <v/>
      </c>
      <c r="N12" s="468" t="s">
        <v>191</v>
      </c>
      <c r="O12" s="669" t="s">
        <v>192</v>
      </c>
      <c r="P12" s="468"/>
      <c r="Q12" s="4"/>
      <c r="R12" s="6"/>
      <c r="S12" s="6"/>
      <c r="T12" s="4">
        <v>-35</v>
      </c>
      <c r="U12" s="4">
        <v>-20</v>
      </c>
      <c r="V12" s="4"/>
      <c r="W12" s="9">
        <v>1</v>
      </c>
      <c r="X12" s="9">
        <v>0.9</v>
      </c>
      <c r="Y12" s="9"/>
      <c r="Z12" s="9"/>
      <c r="AA12" s="9"/>
      <c r="AB12" s="9"/>
      <c r="AC12" s="468" t="s">
        <v>647</v>
      </c>
      <c r="AD12" s="468" t="s">
        <v>1068</v>
      </c>
      <c r="AE12" s="468"/>
      <c r="AF12" s="4"/>
      <c r="AG12" s="88"/>
      <c r="AH12" s="4"/>
      <c r="AI12" s="4"/>
      <c r="AJ12" s="468" t="s">
        <v>364</v>
      </c>
      <c r="AK12" s="468" t="s">
        <v>42</v>
      </c>
      <c r="AL12" s="468"/>
      <c r="AM12" s="468" t="s">
        <v>2458</v>
      </c>
      <c r="AN12" s="10">
        <v>5.15</v>
      </c>
      <c r="AO12" s="9"/>
      <c r="AP12" s="9"/>
      <c r="AQ12" s="9"/>
      <c r="AR12" s="9"/>
      <c r="AS12" s="9"/>
      <c r="AT12" s="9"/>
      <c r="AU12" s="447"/>
      <c r="AV12" s="447"/>
      <c r="AW12" s="468" t="s">
        <v>199</v>
      </c>
      <c r="AX12" s="468" t="s">
        <v>199</v>
      </c>
      <c r="AY12" s="10"/>
      <c r="AZ12" s="10"/>
      <c r="BA12" s="553" t="str">
        <f t="shared" si="1"/>
        <v/>
      </c>
      <c r="BB12" s="553" t="str">
        <f t="shared" si="1"/>
        <v/>
      </c>
      <c r="BC12" s="553" t="str">
        <f t="shared" si="2"/>
        <v/>
      </c>
      <c r="BD12" s="572"/>
      <c r="BE12" s="448" t="s">
        <v>1726</v>
      </c>
      <c r="BF12" s="306"/>
      <c r="BG12" s="306"/>
      <c r="BH12" s="306"/>
      <c r="BI12" s="306"/>
    </row>
    <row r="13" spans="1:63" ht="16.2" customHeight="1">
      <c r="A13" s="624" t="s">
        <v>383</v>
      </c>
      <c r="B13" s="469"/>
      <c r="C13" s="3"/>
      <c r="D13" s="88"/>
      <c r="E13" s="4"/>
      <c r="F13" s="4"/>
      <c r="G13" s="6">
        <v>23.8</v>
      </c>
      <c r="H13" s="468"/>
      <c r="I13" s="468"/>
      <c r="J13" s="3"/>
      <c r="K13" s="468"/>
      <c r="L13" s="468"/>
      <c r="M13" s="468" t="str">
        <f>IF(L13="","",
IF(AX13="PT",VLOOKUP(L13,Foundation_Calc!$V$4:$X$37,VLOOKUP(AX13,Foundation_Calc!$I$10:$J$13,2,FALSE),0),
IF(AX13="K",VLOOKUP(L13,Foundation_Calc!$V$41:$X$74,VLOOKUP(AX13,Foundation_Calc!$I$10:$J$13,2,FALSE),0),"")))</f>
        <v/>
      </c>
      <c r="N13" s="468"/>
      <c r="O13" s="468"/>
      <c r="P13" s="468"/>
      <c r="Q13" s="4"/>
      <c r="R13" s="6"/>
      <c r="S13" s="6"/>
      <c r="T13" s="4"/>
      <c r="U13" s="4"/>
      <c r="V13" s="4"/>
      <c r="W13" s="9"/>
      <c r="X13" s="9"/>
      <c r="Y13" s="9"/>
      <c r="Z13" s="9"/>
      <c r="AA13" s="9"/>
      <c r="AB13" s="9"/>
      <c r="AC13" s="468" t="s">
        <v>195</v>
      </c>
      <c r="AD13" s="468"/>
      <c r="AE13" s="468"/>
      <c r="AF13" s="4"/>
      <c r="AG13" s="88"/>
      <c r="AH13" s="4"/>
      <c r="AI13" s="4"/>
      <c r="AJ13" s="468"/>
      <c r="AK13" s="468"/>
      <c r="AL13" s="468"/>
      <c r="AM13" s="468"/>
      <c r="AN13" s="10"/>
      <c r="AO13" s="9"/>
      <c r="AP13" s="9"/>
      <c r="AQ13" s="9"/>
      <c r="AR13" s="9"/>
      <c r="AS13" s="9"/>
      <c r="AT13" s="9"/>
      <c r="AU13" s="447"/>
      <c r="AV13" s="447"/>
      <c r="AW13" s="468"/>
      <c r="AX13" s="468"/>
      <c r="AY13" s="10"/>
      <c r="AZ13" s="10"/>
      <c r="BA13" s="553" t="str">
        <f t="shared" si="1"/>
        <v/>
      </c>
      <c r="BB13" s="553" t="str">
        <f t="shared" si="1"/>
        <v/>
      </c>
      <c r="BC13" s="553" t="str">
        <f t="shared" si="2"/>
        <v/>
      </c>
      <c r="BD13" s="572"/>
      <c r="BE13" s="448" t="s">
        <v>1726</v>
      </c>
      <c r="BF13" s="305"/>
      <c r="BG13" s="305"/>
      <c r="BH13" s="306"/>
      <c r="BI13" s="305"/>
    </row>
    <row r="14" spans="1:63" ht="16.2" customHeight="1">
      <c r="A14" s="624" t="s">
        <v>383</v>
      </c>
      <c r="B14" s="469" t="s">
        <v>2088</v>
      </c>
      <c r="C14" s="3">
        <f>+$C$12+$G$13</f>
        <v>99.49</v>
      </c>
      <c r="D14" s="88"/>
      <c r="E14" s="4"/>
      <c r="F14" s="4">
        <v>-430.29</v>
      </c>
      <c r="G14" s="6"/>
      <c r="H14" s="468" t="s">
        <v>179</v>
      </c>
      <c r="I14" s="468"/>
      <c r="J14" s="3"/>
      <c r="K14" s="468"/>
      <c r="L14" s="468"/>
      <c r="M14" s="468" t="str">
        <f>IF(L14="","",
IF(AX14="PT",VLOOKUP(L14,Foundation_Calc!$V$4:$X$37,VLOOKUP(AX14,Foundation_Calc!$I$10:$J$13,2,FALSE),0),
IF(AX14="K",VLOOKUP(L14,Foundation_Calc!$V$41:$X$74,VLOOKUP(AX14,Foundation_Calc!$I$10:$J$13,2,FALSE),0),"")))</f>
        <v/>
      </c>
      <c r="N14" s="468" t="s">
        <v>192</v>
      </c>
      <c r="O14" s="669" t="s">
        <v>193</v>
      </c>
      <c r="P14" s="468"/>
      <c r="Q14" s="4"/>
      <c r="R14" s="6"/>
      <c r="S14" s="6"/>
      <c r="T14" s="4">
        <v>30</v>
      </c>
      <c r="U14" s="4">
        <v>15</v>
      </c>
      <c r="V14" s="4"/>
      <c r="W14" s="9">
        <v>0.9</v>
      </c>
      <c r="X14" s="9">
        <v>1</v>
      </c>
      <c r="Y14" s="9"/>
      <c r="Z14" s="9"/>
      <c r="AA14" s="9">
        <v>0.15</v>
      </c>
      <c r="AB14" s="9"/>
      <c r="AC14" s="468" t="s">
        <v>1341</v>
      </c>
      <c r="AD14" s="468"/>
      <c r="AE14" s="468"/>
      <c r="AF14" s="4"/>
      <c r="AG14" s="88"/>
      <c r="AH14" s="4"/>
      <c r="AI14" s="4"/>
      <c r="AJ14" s="468"/>
      <c r="AK14" s="468" t="s">
        <v>42</v>
      </c>
      <c r="AL14" s="468"/>
      <c r="AM14" s="468" t="s">
        <v>2458</v>
      </c>
      <c r="AN14" s="10">
        <v>5.15</v>
      </c>
      <c r="AO14" s="9"/>
      <c r="AP14" s="9"/>
      <c r="AQ14" s="9"/>
      <c r="AR14" s="9"/>
      <c r="AS14" s="9"/>
      <c r="AT14" s="9"/>
      <c r="AU14" s="447"/>
      <c r="AV14" s="447"/>
      <c r="AW14" s="468" t="s">
        <v>199</v>
      </c>
      <c r="AX14" s="468" t="s">
        <v>199</v>
      </c>
      <c r="AY14" s="10"/>
      <c r="AZ14" s="10"/>
      <c r="BA14" s="553" t="str">
        <f t="shared" si="1"/>
        <v/>
      </c>
      <c r="BB14" s="553" t="str">
        <f t="shared" si="1"/>
        <v/>
      </c>
      <c r="BC14" s="553" t="str">
        <f t="shared" si="2"/>
        <v/>
      </c>
      <c r="BD14" s="572"/>
      <c r="BE14" s="448" t="s">
        <v>1726</v>
      </c>
      <c r="BF14" s="306"/>
      <c r="BG14" s="306"/>
      <c r="BH14" s="306"/>
      <c r="BI14" s="306"/>
    </row>
    <row r="15" spans="1:63" ht="16.2" customHeight="1">
      <c r="A15" s="624" t="s">
        <v>383</v>
      </c>
      <c r="B15" s="469"/>
      <c r="C15" s="3"/>
      <c r="D15" s="88"/>
      <c r="E15" s="4"/>
      <c r="F15" s="4"/>
      <c r="G15" s="6">
        <v>24</v>
      </c>
      <c r="H15" s="468"/>
      <c r="I15" s="468"/>
      <c r="J15" s="3"/>
      <c r="K15" s="468"/>
      <c r="L15" s="468"/>
      <c r="M15" s="468" t="str">
        <f>IF(L15="","",
IF(AX15="PT",VLOOKUP(L15,Foundation_Calc!$V$4:$X$37,VLOOKUP(AX15,Foundation_Calc!$I$10:$J$13,2,FALSE),0),
IF(AX15="K",VLOOKUP(L15,Foundation_Calc!$V$41:$X$74,VLOOKUP(AX15,Foundation_Calc!$I$10:$J$13,2,FALSE),0),"")))</f>
        <v/>
      </c>
      <c r="N15" s="468"/>
      <c r="O15" s="468"/>
      <c r="P15" s="468"/>
      <c r="Q15" s="4"/>
      <c r="R15" s="6"/>
      <c r="S15" s="6"/>
      <c r="T15" s="4"/>
      <c r="U15" s="4"/>
      <c r="V15" s="4"/>
      <c r="W15" s="9"/>
      <c r="X15" s="9"/>
      <c r="Y15" s="9"/>
      <c r="Z15" s="9"/>
      <c r="AA15" s="9"/>
      <c r="AB15" s="9"/>
      <c r="AC15" s="468" t="s">
        <v>195</v>
      </c>
      <c r="AD15" s="468"/>
      <c r="AE15" s="468"/>
      <c r="AF15" s="4"/>
      <c r="AG15" s="88"/>
      <c r="AH15" s="4"/>
      <c r="AI15" s="4"/>
      <c r="AJ15" s="468"/>
      <c r="AK15" s="468"/>
      <c r="AL15" s="468"/>
      <c r="AM15" s="468"/>
      <c r="AN15" s="10"/>
      <c r="AO15" s="9"/>
      <c r="AP15" s="9"/>
      <c r="AQ15" s="9"/>
      <c r="AR15" s="9"/>
      <c r="AS15" s="9"/>
      <c r="AT15" s="9"/>
      <c r="AU15" s="447"/>
      <c r="AV15" s="447"/>
      <c r="AW15" s="468"/>
      <c r="AX15" s="468"/>
      <c r="AY15" s="10"/>
      <c r="AZ15" s="10"/>
      <c r="BA15" s="553" t="str">
        <f t="shared" si="1"/>
        <v/>
      </c>
      <c r="BB15" s="553" t="str">
        <f t="shared" si="1"/>
        <v/>
      </c>
      <c r="BC15" s="553" t="str">
        <f t="shared" si="2"/>
        <v/>
      </c>
      <c r="BD15" s="572"/>
      <c r="BE15" s="448" t="s">
        <v>1726</v>
      </c>
      <c r="BF15" s="305"/>
      <c r="BG15" s="305"/>
      <c r="BH15" s="306"/>
      <c r="BI15" s="305"/>
    </row>
    <row r="16" spans="1:63" ht="16.2" customHeight="1">
      <c r="A16" s="624" t="s">
        <v>383</v>
      </c>
      <c r="B16" s="469" t="s">
        <v>2087</v>
      </c>
      <c r="C16" s="3">
        <f>+$C$14+$G$15</f>
        <v>123.49</v>
      </c>
      <c r="D16" s="88"/>
      <c r="E16" s="4"/>
      <c r="F16" s="4">
        <v>-271</v>
      </c>
      <c r="G16" s="6"/>
      <c r="H16" s="468" t="s">
        <v>179</v>
      </c>
      <c r="I16" s="468"/>
      <c r="J16" s="3"/>
      <c r="K16" s="468"/>
      <c r="L16" s="468"/>
      <c r="M16" s="468" t="str">
        <f>IF(L16="","",
IF(AX16="PT",VLOOKUP(L16,Foundation_Calc!$V$4:$X$37,VLOOKUP(AX16,Foundation_Calc!$I$10:$J$13,2,FALSE),0),
IF(AX16="K",VLOOKUP(L16,Foundation_Calc!$V$41:$X$74,VLOOKUP(AX16,Foundation_Calc!$I$10:$J$13,2,FALSE),0),"")))</f>
        <v/>
      </c>
      <c r="N16" s="468" t="s">
        <v>192</v>
      </c>
      <c r="O16" s="669" t="s">
        <v>193</v>
      </c>
      <c r="P16" s="468"/>
      <c r="Q16" s="4"/>
      <c r="R16" s="6"/>
      <c r="S16" s="6"/>
      <c r="T16" s="4">
        <v>30</v>
      </c>
      <c r="U16" s="4">
        <v>-55</v>
      </c>
      <c r="V16" s="4"/>
      <c r="W16" s="9">
        <v>0.9</v>
      </c>
      <c r="X16" s="9">
        <v>1</v>
      </c>
      <c r="Y16" s="9"/>
      <c r="Z16" s="9"/>
      <c r="AA16" s="9">
        <v>0.3</v>
      </c>
      <c r="AB16" s="9"/>
      <c r="AC16" s="468" t="s">
        <v>1341</v>
      </c>
      <c r="AD16" s="468"/>
      <c r="AE16" s="468"/>
      <c r="AF16" s="4"/>
      <c r="AG16" s="88"/>
      <c r="AH16" s="4"/>
      <c r="AI16" s="4"/>
      <c r="AJ16" s="468"/>
      <c r="AK16" s="468" t="s">
        <v>42</v>
      </c>
      <c r="AL16" s="468"/>
      <c r="AM16" s="468" t="s">
        <v>2458</v>
      </c>
      <c r="AN16" s="10">
        <v>5.15</v>
      </c>
      <c r="AO16" s="9"/>
      <c r="AP16" s="9"/>
      <c r="AQ16" s="9"/>
      <c r="AR16" s="9"/>
      <c r="AS16" s="9"/>
      <c r="AT16" s="9"/>
      <c r="AU16" s="447"/>
      <c r="AV16" s="447"/>
      <c r="AW16" s="468" t="s">
        <v>199</v>
      </c>
      <c r="AX16" s="468" t="s">
        <v>199</v>
      </c>
      <c r="AY16" s="10"/>
      <c r="AZ16" s="10"/>
      <c r="BA16" s="553" t="str">
        <f t="shared" si="1"/>
        <v/>
      </c>
      <c r="BB16" s="553" t="str">
        <f t="shared" si="1"/>
        <v/>
      </c>
      <c r="BC16" s="553" t="str">
        <f t="shared" si="2"/>
        <v/>
      </c>
      <c r="BD16" s="572"/>
      <c r="BE16" s="448" t="s">
        <v>1726</v>
      </c>
      <c r="BF16" s="306"/>
      <c r="BG16" s="306"/>
      <c r="BH16" s="306"/>
      <c r="BI16" s="306"/>
    </row>
    <row r="17" spans="1:61" ht="16.2" customHeight="1">
      <c r="A17" s="573" t="s">
        <v>383</v>
      </c>
      <c r="B17" s="469"/>
      <c r="C17" s="3"/>
      <c r="D17" s="88"/>
      <c r="E17" s="4"/>
      <c r="F17" s="4"/>
      <c r="G17" s="6">
        <v>23.3</v>
      </c>
      <c r="H17" s="468"/>
      <c r="I17" s="468">
        <v>216</v>
      </c>
      <c r="J17" s="3"/>
      <c r="K17" s="468"/>
      <c r="L17" s="468"/>
      <c r="M17" s="468" t="str">
        <f>IF(L17="","",
IF(AX17="PT",VLOOKUP(L17,Foundation_Calc!$V$4:$X$37,VLOOKUP(AX17,Foundation_Calc!$I$10:$J$13,2,FALSE),0),
IF(AX17="K",VLOOKUP(L17,Foundation_Calc!$V$41:$X$74,VLOOKUP(AX17,Foundation_Calc!$I$10:$J$13,2,FALSE),0),"")))</f>
        <v/>
      </c>
      <c r="N17" s="468"/>
      <c r="O17" s="468"/>
      <c r="P17" s="468"/>
      <c r="Q17" s="4"/>
      <c r="R17" s="6"/>
      <c r="S17" s="6"/>
      <c r="T17" s="4"/>
      <c r="U17" s="4"/>
      <c r="V17" s="4"/>
      <c r="W17" s="9"/>
      <c r="X17" s="9"/>
      <c r="Y17" s="9"/>
      <c r="Z17" s="9"/>
      <c r="AA17" s="9"/>
      <c r="AB17" s="9"/>
      <c r="AC17" s="468" t="str">
        <f t="shared" si="3"/>
        <v/>
      </c>
      <c r="AD17" s="468"/>
      <c r="AE17" s="468"/>
      <c r="AF17" s="4"/>
      <c r="AG17" s="88"/>
      <c r="AH17" s="4"/>
      <c r="AI17" s="4"/>
      <c r="AJ17" s="468"/>
      <c r="AK17" s="468"/>
      <c r="AL17" s="468"/>
      <c r="AM17" s="468"/>
      <c r="AN17" s="10"/>
      <c r="AO17" s="9"/>
      <c r="AP17" s="9"/>
      <c r="AQ17" s="9">
        <f>+FL_1($T$18,$T$16,$G$17,1200,9.28,-1*$F$18)</f>
        <v>0.30000000000000004</v>
      </c>
      <c r="AR17" s="9"/>
      <c r="AS17" s="9"/>
      <c r="AT17" s="9"/>
      <c r="AU17" s="447"/>
      <c r="AV17" s="447"/>
      <c r="AW17" s="468"/>
      <c r="AX17" s="468"/>
      <c r="AY17" s="10"/>
      <c r="AZ17" s="10"/>
      <c r="BA17" s="553" t="str">
        <f t="shared" si="1"/>
        <v/>
      </c>
      <c r="BB17" s="553" t="str">
        <f t="shared" si="1"/>
        <v/>
      </c>
      <c r="BC17" s="553" t="str">
        <f t="shared" si="2"/>
        <v/>
      </c>
      <c r="BD17" s="572"/>
      <c r="BE17" s="448" t="s">
        <v>1726</v>
      </c>
      <c r="BF17" s="305"/>
      <c r="BG17" s="305"/>
      <c r="BH17" s="306"/>
      <c r="BI17" s="305"/>
    </row>
    <row r="18" spans="1:61" ht="16.2" customHeight="1">
      <c r="A18" s="573"/>
      <c r="B18" s="638" t="s">
        <v>2086</v>
      </c>
      <c r="C18" s="3">
        <f>+$C$16+$G$17</f>
        <v>146.79</v>
      </c>
      <c r="D18" s="88"/>
      <c r="E18" s="4"/>
      <c r="F18" s="4">
        <v>-271</v>
      </c>
      <c r="G18" s="6"/>
      <c r="H18" s="468" t="s">
        <v>388</v>
      </c>
      <c r="I18" s="468" t="s">
        <v>182</v>
      </c>
      <c r="J18" s="3">
        <f>C18+7.5</f>
        <v>154.29</v>
      </c>
      <c r="K18" s="468" t="s">
        <v>1095</v>
      </c>
      <c r="L18" s="468" t="s">
        <v>323</v>
      </c>
      <c r="M18" s="468" t="str">
        <f>IF(L18="","",
IF(AX18="PT",VLOOKUP(L18,Foundation_Calc!$V$4:$X$37,VLOOKUP(AX18,Foundation_Calc!$I$10:$J$13,2,FALSE),0),
IF(AX18="K",VLOOKUP(L18,Foundation_Calc!$V$41:$X$74,VLOOKUP(AX18,Foundation_Calc!$I$10:$J$13,2,FALSE),0),"")))</f>
        <v>C5SR</v>
      </c>
      <c r="N18" s="468" t="s">
        <v>33</v>
      </c>
      <c r="O18" s="468"/>
      <c r="P18" s="468"/>
      <c r="Q18" s="4"/>
      <c r="R18" s="6"/>
      <c r="S18" s="6"/>
      <c r="T18" s="4">
        <v>30</v>
      </c>
      <c r="U18" s="4"/>
      <c r="V18" s="4"/>
      <c r="W18" s="9">
        <v>1</v>
      </c>
      <c r="X18" s="9"/>
      <c r="Y18" s="9"/>
      <c r="Z18" s="9"/>
      <c r="AA18" s="9"/>
      <c r="AB18" s="9"/>
      <c r="AC18" s="468" t="str">
        <f t="shared" si="3"/>
        <v>PHC</v>
      </c>
      <c r="AD18" s="468"/>
      <c r="AE18" s="468"/>
      <c r="AF18" s="4"/>
      <c r="AG18" s="88"/>
      <c r="AH18" s="4"/>
      <c r="AI18" s="4"/>
      <c r="AJ18" s="468"/>
      <c r="AK18" s="468"/>
      <c r="AL18" s="468" t="s">
        <v>1111</v>
      </c>
      <c r="AM18" s="468" t="s">
        <v>486</v>
      </c>
      <c r="AN18" s="10">
        <v>5.15</v>
      </c>
      <c r="AO18" s="9"/>
      <c r="AP18" s="9"/>
      <c r="AQ18" s="9"/>
      <c r="AR18" s="9"/>
      <c r="AS18" s="9"/>
      <c r="AT18" s="9">
        <f>+ab($T$18,$T$16,$T$20,$G$17,$G$19,-1*$F$18,1200)</f>
        <v>2.2117905689090813</v>
      </c>
      <c r="AU18" s="447"/>
      <c r="AV18" s="447"/>
      <c r="AW18" s="468" t="str">
        <f>IF(C18&gt;0,VLOOKUP(C18,Foundation_Calc!$A$2:$C$13,3,1),
IF(J18&gt;0,VLOOKUP(J18,Foundation_Calc!$A$2:$C$13,3,1),""))</f>
        <v>MultiSoil</v>
      </c>
      <c r="AX18" s="468" t="str">
        <f>IF(C18&gt;0,VLOOKUP(C18,Foundation_Calc!$E$2:$G$13,3,1),
IF(J18&gt;0,VLOOKUP(J18,Foundation_Calc!$E$2:$G$13,3,1),""))</f>
        <v>PT</v>
      </c>
      <c r="AY18" s="10">
        <f>IF(L18="","",
IF(AX18="PT",VLOOKUP(L18,Foundation_Calc!$K$4:$R$37,VLOOKUP(AW18,Foundation_Calc!$I$2:$J$8,2,FALSE),0),
IF(AX18="K",VLOOKUP(L18,Foundation_Calc!$K$41:$R$74,VLOOKUP(AW18,Foundation_Calc!$I$2:$J$8,2,FALSE),0),"")))</f>
        <v>3.9</v>
      </c>
      <c r="AZ18" s="10">
        <f>IF(K18="","",
IF(AX18="PT",VLOOKUP(K18,Foundation_Calc!$K$4:$R$37,VLOOKUP(AW18,Foundation_Calc!$I$2:$J$8,2,FALSE),0),
IF(AX18="K",VLOOKUP(K18,Foundation_Calc!$K$41:$R$74,VLOOKUP(AW18,Foundation_Calc!$I$2:$J$8,2,FALSE),0),"")))</f>
        <v>3.9</v>
      </c>
      <c r="BA18" s="553" t="str">
        <f t="shared" si="1"/>
        <v>ü</v>
      </c>
      <c r="BB18" s="553" t="str">
        <f t="shared" si="1"/>
        <v>ü</v>
      </c>
      <c r="BC18" s="553" t="str">
        <f t="shared" si="2"/>
        <v/>
      </c>
      <c r="BD18" s="572" t="str">
        <f>Pole_Calc!A$251</f>
        <v>App.8-V08H-P10.3</v>
      </c>
      <c r="BE18" s="448" t="s">
        <v>1726</v>
      </c>
      <c r="BF18" s="306"/>
      <c r="BG18" s="306"/>
      <c r="BH18" s="306"/>
      <c r="BI18" s="306"/>
    </row>
    <row r="19" spans="1:61" ht="16.2" customHeight="1">
      <c r="A19" s="573"/>
      <c r="B19" s="469"/>
      <c r="C19" s="3"/>
      <c r="D19" s="88"/>
      <c r="E19" s="4"/>
      <c r="F19" s="4"/>
      <c r="G19" s="6">
        <v>23.7</v>
      </c>
      <c r="H19" s="468"/>
      <c r="I19" s="468"/>
      <c r="J19" s="3">
        <f>C20-7.5</f>
        <v>162.98999999999998</v>
      </c>
      <c r="K19" s="468" t="s">
        <v>1095</v>
      </c>
      <c r="L19" s="468"/>
      <c r="M19" s="468" t="str">
        <f>IF(L19="","",
IF(AX19="PT",VLOOKUP(L19,Foundation_Calc!$V$4:$X$37,VLOOKUP(AX19,Foundation_Calc!$I$10:$J$13,2,FALSE),0),
IF(AX19="K",VLOOKUP(L19,Foundation_Calc!$V$41:$X$74,VLOOKUP(AX19,Foundation_Calc!$I$10:$J$13,2,FALSE),0),"")))</f>
        <v/>
      </c>
      <c r="N19" s="468"/>
      <c r="O19" s="468"/>
      <c r="P19" s="468"/>
      <c r="Q19" s="4"/>
      <c r="R19" s="6"/>
      <c r="S19" s="6"/>
      <c r="T19" s="4"/>
      <c r="U19" s="4"/>
      <c r="V19" s="4"/>
      <c r="W19" s="9"/>
      <c r="X19" s="9"/>
      <c r="Y19" s="9"/>
      <c r="Z19" s="9"/>
      <c r="AA19" s="9"/>
      <c r="AB19" s="9"/>
      <c r="AC19" s="468" t="str">
        <f t="shared" si="3"/>
        <v/>
      </c>
      <c r="AD19" s="468"/>
      <c r="AE19" s="468"/>
      <c r="AF19" s="4"/>
      <c r="AG19" s="88"/>
      <c r="AH19" s="4"/>
      <c r="AI19" s="4"/>
      <c r="AJ19" s="468"/>
      <c r="AK19" s="468"/>
      <c r="AL19" s="468"/>
      <c r="AM19" s="468"/>
      <c r="AN19" s="10"/>
      <c r="AO19" s="9"/>
      <c r="AP19" s="9"/>
      <c r="AQ19" s="9">
        <f>+FL_1($T$20,$T$18,$G$19,1200,9.28,-1*$F$20)</f>
        <v>0.3</v>
      </c>
      <c r="AR19" s="9"/>
      <c r="AS19" s="9"/>
      <c r="AT19" s="9"/>
      <c r="AU19" s="447"/>
      <c r="AV19" s="447"/>
      <c r="AW19" s="468" t="str">
        <f>IF(C19&gt;0,VLOOKUP(C19,Foundation_Calc!$A$2:$C$13,3,1),
IF(J19&gt;0,VLOOKUP(J19,Foundation_Calc!$A$2:$C$13,3,1),""))</f>
        <v>MultiSoil</v>
      </c>
      <c r="AX19" s="468" t="str">
        <f>IF(C19&gt;0,VLOOKUP(C19,Foundation_Calc!$E$2:$G$13,3,1),
IF(J19&gt;0,VLOOKUP(J19,Foundation_Calc!$E$2:$G$13,3,1),""))</f>
        <v>PT</v>
      </c>
      <c r="AY19" s="10" t="str">
        <f>IF(L19="","",
IF(AX19="PT",VLOOKUP(L19,Foundation_Calc!$K$4:$R$37,VLOOKUP(AW19,Foundation_Calc!$I$2:$J$8,2,FALSE),0),
IF(AX19="K",VLOOKUP(L19,Foundation_Calc!$K$41:$R$74,VLOOKUP(AW19,Foundation_Calc!$I$2:$J$8,2,FALSE),0),"")))</f>
        <v/>
      </c>
      <c r="AZ19" s="10">
        <f>IF(K19="","",
IF(AX19="PT",VLOOKUP(K19,Foundation_Calc!$K$4:$R$37,VLOOKUP(AW19,Foundation_Calc!$I$2:$J$8,2,FALSE),0),
IF(AX19="K",VLOOKUP(K19,Foundation_Calc!$K$41:$R$74,VLOOKUP(AW19,Foundation_Calc!$I$2:$J$8,2,FALSE),0),"")))</f>
        <v>3.9</v>
      </c>
      <c r="BA19" s="553" t="str">
        <f t="shared" si="1"/>
        <v/>
      </c>
      <c r="BB19" s="553" t="str">
        <f t="shared" si="1"/>
        <v>ü</v>
      </c>
      <c r="BC19" s="553" t="str">
        <f t="shared" si="2"/>
        <v/>
      </c>
      <c r="BD19" s="572" t="str">
        <f>IF(AND(L19="",H19=""),"",
IF(H19="",Pole_Calc!A23,
IF(H19="MP",Pole_Calc!A24,
IF(H19="AnMP",Pole_Calc!A25,
IF(H19="A",Pole_Calc!A26,
IF(H19="S/A",Pole_Calc!A27,
IF(H19="A/S",Pole_Calc!A28,"Poner a mano")))))))</f>
        <v/>
      </c>
      <c r="BE19" s="448" t="s">
        <v>1726</v>
      </c>
      <c r="BF19" s="305"/>
      <c r="BG19" s="305"/>
      <c r="BH19" s="306"/>
      <c r="BI19" s="305"/>
    </row>
    <row r="20" spans="1:61" ht="16.2" customHeight="1">
      <c r="A20" s="573"/>
      <c r="B20" s="638" t="s">
        <v>2093</v>
      </c>
      <c r="C20" s="3">
        <f>+$C$18+$G$19</f>
        <v>170.48999999999998</v>
      </c>
      <c r="D20" s="88"/>
      <c r="E20" s="4"/>
      <c r="F20" s="4">
        <v>-271</v>
      </c>
      <c r="G20" s="6"/>
      <c r="H20" s="468" t="s">
        <v>26</v>
      </c>
      <c r="I20" s="3" t="s">
        <v>182</v>
      </c>
      <c r="J20" s="3"/>
      <c r="K20" s="468"/>
      <c r="L20" s="468" t="s">
        <v>323</v>
      </c>
      <c r="M20" s="468" t="str">
        <f>IF(L20="","",
IF(AX20="PT",VLOOKUP(L20,Foundation_Calc!$V$4:$X$37,VLOOKUP(AX20,Foundation_Calc!$I$10:$J$13,2,FALSE),0),
IF(AX20="K",VLOOKUP(L20,Foundation_Calc!$V$41:$X$74,VLOOKUP(AX20,Foundation_Calc!$I$10:$J$13,2,FALSE),0),"")))</f>
        <v>C5SR</v>
      </c>
      <c r="N20" s="468" t="s">
        <v>33</v>
      </c>
      <c r="O20" s="468"/>
      <c r="P20" s="468"/>
      <c r="Q20" s="4"/>
      <c r="R20" s="6"/>
      <c r="S20" s="6"/>
      <c r="T20" s="4">
        <v>30</v>
      </c>
      <c r="U20" s="4"/>
      <c r="V20" s="4"/>
      <c r="W20" s="9">
        <v>1.2</v>
      </c>
      <c r="X20" s="9"/>
      <c r="Y20" s="9"/>
      <c r="Z20" s="9"/>
      <c r="AA20" s="9"/>
      <c r="AB20" s="9"/>
      <c r="AC20" s="468" t="str">
        <f t="shared" si="3"/>
        <v>PHC</v>
      </c>
      <c r="AD20" s="468"/>
      <c r="AE20" s="468"/>
      <c r="AF20" s="4"/>
      <c r="AG20" s="88"/>
      <c r="AH20" s="4"/>
      <c r="AI20" s="4"/>
      <c r="AJ20" s="468"/>
      <c r="AK20" s="468"/>
      <c r="AL20" s="468" t="s">
        <v>1111</v>
      </c>
      <c r="AM20" s="468" t="s">
        <v>486</v>
      </c>
      <c r="AN20" s="10">
        <v>5.15</v>
      </c>
      <c r="AO20" s="9"/>
      <c r="AP20" s="9"/>
      <c r="AQ20" s="9"/>
      <c r="AR20" s="9"/>
      <c r="AS20" s="9"/>
      <c r="AT20" s="9">
        <f>+ab($T$20,$T$18,$U$22,$G$19,$G$21,-1*$F$20,1200)</f>
        <v>2.2024278239590283</v>
      </c>
      <c r="AU20" s="447"/>
      <c r="AV20" s="447"/>
      <c r="AW20" s="468" t="str">
        <f>IF(C20&gt;0,VLOOKUP(C20,Foundation_Calc!$A$2:$C$13,3,1),
IF(J20&gt;0,VLOOKUP(J20,Foundation_Calc!$A$2:$C$13,3,1),""))</f>
        <v>MultiSoil</v>
      </c>
      <c r="AX20" s="468" t="str">
        <f>IF(C20&gt;0,VLOOKUP(C20,Foundation_Calc!$E$2:$G$13,3,1),
IF(J20&gt;0,VLOOKUP(J20,Foundation_Calc!$E$2:$G$13,3,1),""))</f>
        <v>PT</v>
      </c>
      <c r="AY20" s="10">
        <f>IF(L20="","",
IF(AX20="PT",VLOOKUP(L20,Foundation_Calc!$K$4:$R$37,VLOOKUP(AW20,Foundation_Calc!$I$2:$J$8,2,FALSE),0),
IF(AX20="K",VLOOKUP(L20,Foundation_Calc!$K$41:$R$74,VLOOKUP(AW20,Foundation_Calc!$I$2:$J$8,2,FALSE),0),"")))</f>
        <v>3.9</v>
      </c>
      <c r="AZ20" s="10" t="str">
        <f>IF(K20="","",
IF(AX20="PT",VLOOKUP(K20,Foundation_Calc!$K$4:$R$37,VLOOKUP(AW20,Foundation_Calc!$I$2:$J$8,2,FALSE),0),
IF(AX20="K",VLOOKUP(K20,Foundation_Calc!$K$41:$R$74,VLOOKUP(AW20,Foundation_Calc!$I$2:$J$8,2,FALSE),0),"")))</f>
        <v/>
      </c>
      <c r="BA20" s="553" t="str">
        <f t="shared" si="1"/>
        <v>ü</v>
      </c>
      <c r="BB20" s="553" t="str">
        <f t="shared" si="1"/>
        <v/>
      </c>
      <c r="BC20" s="553" t="str">
        <f t="shared" si="2"/>
        <v/>
      </c>
      <c r="BD20" s="572" t="str">
        <f>Pole_Calc!A$251</f>
        <v>App.8-V08H-P10.3</v>
      </c>
      <c r="BE20" s="448" t="s">
        <v>1726</v>
      </c>
      <c r="BF20" s="306"/>
      <c r="BG20" s="306"/>
      <c r="BH20" s="306"/>
      <c r="BI20" s="306"/>
    </row>
    <row r="21" spans="1:61" ht="16.2" customHeight="1">
      <c r="A21" s="573"/>
      <c r="B21" s="469"/>
      <c r="C21" s="3"/>
      <c r="D21" s="88"/>
      <c r="E21" s="4"/>
      <c r="F21" s="4"/>
      <c r="G21" s="6">
        <v>23.5</v>
      </c>
      <c r="H21" s="468"/>
      <c r="I21" s="468"/>
      <c r="J21" s="3"/>
      <c r="K21" s="468"/>
      <c r="L21" s="468"/>
      <c r="M21" s="468" t="str">
        <f>IF(L21="","",
IF(AX21="PT",VLOOKUP(L21,Foundation_Calc!$V$4:$X$37,VLOOKUP(AX21,Foundation_Calc!$I$10:$J$13,2,FALSE),0),
IF(AX21="K",VLOOKUP(L21,Foundation_Calc!$V$41:$X$74,VLOOKUP(AX21,Foundation_Calc!$I$10:$J$13,2,FALSE),0),"")))</f>
        <v/>
      </c>
      <c r="N21" s="468"/>
      <c r="O21" s="468"/>
      <c r="P21" s="468"/>
      <c r="Q21" s="4"/>
      <c r="R21" s="6"/>
      <c r="S21" s="6"/>
      <c r="T21" s="4"/>
      <c r="U21" s="4"/>
      <c r="V21" s="4"/>
      <c r="W21" s="9"/>
      <c r="X21" s="9"/>
      <c r="Y21" s="9"/>
      <c r="Z21" s="9"/>
      <c r="AA21" s="9"/>
      <c r="AB21" s="9"/>
      <c r="AC21" s="468" t="str">
        <f t="shared" si="3"/>
        <v/>
      </c>
      <c r="AD21" s="468"/>
      <c r="AE21" s="468"/>
      <c r="AF21" s="4"/>
      <c r="AG21" s="88"/>
      <c r="AH21" s="4"/>
      <c r="AI21" s="4"/>
      <c r="AJ21" s="468"/>
      <c r="AK21" s="468"/>
      <c r="AL21" s="468"/>
      <c r="AM21" s="468"/>
      <c r="AN21" s="10"/>
      <c r="AO21" s="9"/>
      <c r="AP21" s="9"/>
      <c r="AQ21" s="9">
        <f>+FL_1($U$22,$T$20,$G$21,1200,9.28,-1*$F$22)</f>
        <v>0.3</v>
      </c>
      <c r="AR21" s="9"/>
      <c r="AS21" s="9"/>
      <c r="AT21" s="9"/>
      <c r="AU21" s="447"/>
      <c r="AV21" s="447"/>
      <c r="AW21" s="468" t="str">
        <f>IF(C21&gt;0,VLOOKUP(C21,Foundation_Calc!$A$2:$C$13,3,1),
IF(J21&gt;0,VLOOKUP(J21,Foundation_Calc!$A$2:$C$13,3,1),""))</f>
        <v/>
      </c>
      <c r="AX21" s="468" t="str">
        <f>IF(C21&gt;0,VLOOKUP(C21,Foundation_Calc!$E$2:$G$13,3,1),
IF(J21&gt;0,VLOOKUP(J21,Foundation_Calc!$E$2:$G$13,3,1),""))</f>
        <v/>
      </c>
      <c r="AY21" s="10" t="str">
        <f>IF(L21="","",
IF(AX21="PT",VLOOKUP(L21,Foundation_Calc!$K$4:$R$37,VLOOKUP(AW21,Foundation_Calc!$I$2:$J$8,2,FALSE),0),
IF(AX21="K",VLOOKUP(L21,Foundation_Calc!$K$41:$R$74,VLOOKUP(AW21,Foundation_Calc!$I$2:$J$8,2,FALSE),0),"")))</f>
        <v/>
      </c>
      <c r="AZ21" s="10" t="str">
        <f>IF(K21="","",
IF(AX21="PT",VLOOKUP(K21,Foundation_Calc!$K$4:$R$37,VLOOKUP(AW21,Foundation_Calc!$I$2:$J$8,2,FALSE),0),
IF(AX21="K",VLOOKUP(K21,Foundation_Calc!$K$41:$R$74,VLOOKUP(AW21,Foundation_Calc!$I$2:$J$8,2,FALSE),0),"")))</f>
        <v/>
      </c>
      <c r="BA21" s="553" t="str">
        <f t="shared" si="1"/>
        <v/>
      </c>
      <c r="BB21" s="553" t="str">
        <f t="shared" si="1"/>
        <v/>
      </c>
      <c r="BC21" s="553" t="str">
        <f t="shared" si="2"/>
        <v/>
      </c>
      <c r="BD21" s="572" t="str">
        <f>IF(AND(L21="",H21=""),"",
IF(H21="",Pole_Calc!A25,
IF(H21="MP",Pole_Calc!A26,
IF(H21="AnMP",Pole_Calc!A27,
IF(H21="A",Pole_Calc!A28,
IF(H21="S/A",Pole_Calc!A29,
IF(H21="A/S",Pole_Calc!A30,"Poner a mano")))))))</f>
        <v/>
      </c>
      <c r="BE21" s="448" t="s">
        <v>1726</v>
      </c>
      <c r="BF21" s="305"/>
      <c r="BG21" s="305"/>
      <c r="BH21" s="306"/>
      <c r="BI21" s="305"/>
    </row>
    <row r="22" spans="1:61" ht="16.2" customHeight="1">
      <c r="A22" s="573"/>
      <c r="B22" s="638" t="s">
        <v>2094</v>
      </c>
      <c r="C22" s="3">
        <f>+$C$20+$G$21</f>
        <v>193.98999999999998</v>
      </c>
      <c r="D22" s="88"/>
      <c r="E22" s="4"/>
      <c r="F22" s="4">
        <v>-271</v>
      </c>
      <c r="G22" s="6"/>
      <c r="H22" s="468" t="s">
        <v>179</v>
      </c>
      <c r="I22" s="468"/>
      <c r="J22" s="3"/>
      <c r="K22" s="468"/>
      <c r="L22" s="468" t="s">
        <v>323</v>
      </c>
      <c r="M22" s="468" t="str">
        <f>IF(L22="","",
IF(AX22="PT",VLOOKUP(L22,Foundation_Calc!$V$4:$X$37,VLOOKUP(AX22,Foundation_Calc!$I$10:$J$13,2,FALSE),0),
IF(AX22="K",VLOOKUP(L22,Foundation_Calc!$V$41:$X$74,VLOOKUP(AX22,Foundation_Calc!$I$10:$J$13,2,FALSE),0),"")))</f>
        <v>C5SR</v>
      </c>
      <c r="N22" s="468" t="s">
        <v>28</v>
      </c>
      <c r="O22" s="468" t="s">
        <v>33</v>
      </c>
      <c r="P22" s="468"/>
      <c r="Q22" s="4"/>
      <c r="R22" s="6"/>
      <c r="S22" s="6"/>
      <c r="T22" s="4">
        <v>75</v>
      </c>
      <c r="U22" s="4">
        <v>30</v>
      </c>
      <c r="V22" s="4"/>
      <c r="W22" s="9">
        <v>1.2</v>
      </c>
      <c r="X22" s="9">
        <v>1.4</v>
      </c>
      <c r="Y22" s="9"/>
      <c r="Z22" s="9">
        <v>0.4</v>
      </c>
      <c r="AA22" s="9"/>
      <c r="AB22" s="9"/>
      <c r="AC22" s="468"/>
      <c r="AD22" s="468"/>
      <c r="AE22" s="468"/>
      <c r="AF22" s="4"/>
      <c r="AG22" s="88"/>
      <c r="AH22" s="4"/>
      <c r="AI22" s="4"/>
      <c r="AJ22" s="468"/>
      <c r="AK22" s="468"/>
      <c r="AL22" s="468" t="s">
        <v>1111</v>
      </c>
      <c r="AM22" s="468" t="s">
        <v>486</v>
      </c>
      <c r="AN22" s="10">
        <v>5.15</v>
      </c>
      <c r="AO22" s="9"/>
      <c r="AP22" s="9"/>
      <c r="AQ22" s="9"/>
      <c r="AR22" s="9"/>
      <c r="AS22" s="9"/>
      <c r="AT22" s="9">
        <f>+ab($U$22,$T$20,$T$24,$G$21,$G$23,-1*$F$22,1200)</f>
        <v>2.2117905689090813</v>
      </c>
      <c r="AU22" s="447"/>
      <c r="AV22" s="447"/>
      <c r="AW22" s="468" t="str">
        <f>IF(C22&gt;0,VLOOKUP(C22,Foundation_Calc!$A$2:$C$13,3,1),
IF(J22&gt;0,VLOOKUP(J22,Foundation_Calc!$A$2:$C$13,3,1),""))</f>
        <v>MultiSoil</v>
      </c>
      <c r="AX22" s="468" t="str">
        <f>IF(C22&gt;0,VLOOKUP(C22,Foundation_Calc!$E$2:$G$13,3,1),
IF(J22&gt;0,VLOOKUP(J22,Foundation_Calc!$E$2:$G$13,3,1),""))</f>
        <v>PT</v>
      </c>
      <c r="AY22" s="10">
        <f>IF(L22="","",
IF(AX22="PT",VLOOKUP(L22,Foundation_Calc!$K$4:$R$37,VLOOKUP(AW22,Foundation_Calc!$I$2:$J$8,2,FALSE),0),
IF(AX22="K",VLOOKUP(L22,Foundation_Calc!$K$41:$R$74,VLOOKUP(AW22,Foundation_Calc!$I$2:$J$8,2,FALSE),0),"")))</f>
        <v>3.9</v>
      </c>
      <c r="AZ22" s="10" t="str">
        <f>IF(K22="","",
IF(AX22="PT",VLOOKUP(K22,Foundation_Calc!$K$4:$R$37,VLOOKUP(AW22,Foundation_Calc!$I$2:$J$8,2,FALSE),0),
IF(AX22="K",VLOOKUP(K22,Foundation_Calc!$K$41:$R$74,VLOOKUP(AW22,Foundation_Calc!$I$2:$J$8,2,FALSE),0),"")))</f>
        <v/>
      </c>
      <c r="BA22" s="553" t="str">
        <f t="shared" si="1"/>
        <v>ü</v>
      </c>
      <c r="BB22" s="553" t="str">
        <f t="shared" si="1"/>
        <v/>
      </c>
      <c r="BC22" s="553" t="str">
        <f t="shared" si="2"/>
        <v/>
      </c>
      <c r="BD22" s="572" t="str">
        <f>Pole_Calc!A$251</f>
        <v>App.8-V08H-P10.3</v>
      </c>
      <c r="BE22" s="448" t="s">
        <v>1726</v>
      </c>
      <c r="BF22" s="306"/>
      <c r="BG22" s="306"/>
      <c r="BH22" s="306"/>
      <c r="BI22" s="306"/>
    </row>
    <row r="23" spans="1:61" ht="16.2" customHeight="1">
      <c r="A23" s="573"/>
      <c r="B23" s="469"/>
      <c r="C23" s="3"/>
      <c r="D23" s="88"/>
      <c r="E23" s="4"/>
      <c r="F23" s="4"/>
      <c r="G23" s="6">
        <v>23.5</v>
      </c>
      <c r="H23" s="468"/>
      <c r="I23" s="468"/>
      <c r="J23" s="3"/>
      <c r="K23" s="468"/>
      <c r="L23" s="468"/>
      <c r="M23" s="468" t="str">
        <f>IF(L23="","",
IF(AX23="PT",VLOOKUP(L23,Foundation_Calc!$V$4:$X$37,VLOOKUP(AX23,Foundation_Calc!$I$10:$J$13,2,FALSE),0),
IF(AX23="K",VLOOKUP(L23,Foundation_Calc!$V$41:$X$74,VLOOKUP(AX23,Foundation_Calc!$I$10:$J$13,2,FALSE),0),"")))</f>
        <v/>
      </c>
      <c r="N23" s="468"/>
      <c r="O23" s="468"/>
      <c r="P23" s="468"/>
      <c r="Q23" s="4"/>
      <c r="R23" s="6"/>
      <c r="S23" s="6"/>
      <c r="T23" s="4"/>
      <c r="U23" s="4"/>
      <c r="V23" s="4"/>
      <c r="W23" s="9"/>
      <c r="X23" s="9"/>
      <c r="Y23" s="9"/>
      <c r="Z23" s="9"/>
      <c r="AA23" s="9"/>
      <c r="AB23" s="9"/>
      <c r="AC23" s="468" t="str">
        <f t="shared" si="3"/>
        <v/>
      </c>
      <c r="AD23" s="468"/>
      <c r="AE23" s="468"/>
      <c r="AF23" s="4"/>
      <c r="AG23" s="88"/>
      <c r="AH23" s="4"/>
      <c r="AI23" s="4"/>
      <c r="AJ23" s="468"/>
      <c r="AK23" s="468"/>
      <c r="AL23" s="468"/>
      <c r="AM23" s="468"/>
      <c r="AN23" s="10"/>
      <c r="AO23" s="9"/>
      <c r="AP23" s="9"/>
      <c r="AQ23" s="9">
        <f>+FL_1($T$24,$U$22,$G$23,1200,9.28,-1*$F$24)</f>
        <v>0.3</v>
      </c>
      <c r="AR23" s="9"/>
      <c r="AS23" s="9"/>
      <c r="AT23" s="9"/>
      <c r="AU23" s="447"/>
      <c r="AV23" s="447"/>
      <c r="AW23" s="468" t="str">
        <f>IF(C23&gt;0,VLOOKUP(C23,Foundation_Calc!$A$2:$C$13,3,1),
IF(J23&gt;0,VLOOKUP(J23,Foundation_Calc!$A$2:$C$13,3,1),""))</f>
        <v/>
      </c>
      <c r="AX23" s="468" t="str">
        <f>IF(C23&gt;0,VLOOKUP(C23,Foundation_Calc!$E$2:$G$13,3,1),
IF(J23&gt;0,VLOOKUP(J23,Foundation_Calc!$E$2:$G$13,3,1),""))</f>
        <v/>
      </c>
      <c r="AY23" s="10" t="str">
        <f>IF(L23="","",
IF(AX23="PT",VLOOKUP(L23,Foundation_Calc!$K$4:$R$37,VLOOKUP(AW23,Foundation_Calc!$I$2:$J$8,2,FALSE),0),
IF(AX23="K",VLOOKUP(L23,Foundation_Calc!$K$41:$R$74,VLOOKUP(AW23,Foundation_Calc!$I$2:$J$8,2,FALSE),0),"")))</f>
        <v/>
      </c>
      <c r="AZ23" s="10" t="str">
        <f>IF(K23="","",
IF(AX23="PT",VLOOKUP(K23,Foundation_Calc!$K$4:$R$37,VLOOKUP(AW23,Foundation_Calc!$I$2:$J$8,2,FALSE),0),
IF(AX23="K",VLOOKUP(K23,Foundation_Calc!$K$41:$R$74,VLOOKUP(AW23,Foundation_Calc!$I$2:$J$8,2,FALSE),0),"")))</f>
        <v/>
      </c>
      <c r="BA23" s="553" t="str">
        <f t="shared" si="1"/>
        <v/>
      </c>
      <c r="BB23" s="553" t="str">
        <f t="shared" si="1"/>
        <v/>
      </c>
      <c r="BC23" s="553" t="str">
        <f t="shared" si="2"/>
        <v/>
      </c>
      <c r="BD23" s="572" t="str">
        <f>IF(AND(L23="",H23=""),"",
IF(H23="",Pole_Calc!A27,
IF(H23="MP",Pole_Calc!A28,
IF(H23="AnMP",Pole_Calc!A29,
IF(H23="A",Pole_Calc!A30,
IF(H23="S/A",Pole_Calc!A31,
IF(H23="A/S",Pole_Calc!A32,"Poner a mano")))))))</f>
        <v/>
      </c>
      <c r="BE23" s="448" t="s">
        <v>1726</v>
      </c>
      <c r="BF23" s="305"/>
      <c r="BG23" s="305"/>
      <c r="BH23" s="306"/>
      <c r="BI23" s="305"/>
    </row>
    <row r="24" spans="1:61" ht="16.2" customHeight="1">
      <c r="A24" s="573"/>
      <c r="B24" s="638" t="s">
        <v>2095</v>
      </c>
      <c r="C24" s="3">
        <f>+$C$22+$G$23</f>
        <v>217.48999999999998</v>
      </c>
      <c r="D24" s="88"/>
      <c r="E24" s="4"/>
      <c r="F24" s="4">
        <v>-271</v>
      </c>
      <c r="G24" s="6"/>
      <c r="H24" s="468"/>
      <c r="I24" s="468"/>
      <c r="J24" s="3"/>
      <c r="K24" s="468"/>
      <c r="L24" s="468" t="s">
        <v>323</v>
      </c>
      <c r="M24" s="468" t="str">
        <f>IF(L24="","",
IF(AX24="PT",VLOOKUP(L24,Foundation_Calc!$V$4:$X$37,VLOOKUP(AX24,Foundation_Calc!$I$10:$J$13,2,FALSE),0),
IF(AX24="K",VLOOKUP(L24,Foundation_Calc!$V$41:$X$74,VLOOKUP(AX24,Foundation_Calc!$I$10:$J$13,2,FALSE),0),"")))</f>
        <v>C5SR</v>
      </c>
      <c r="N24" s="468" t="s">
        <v>33</v>
      </c>
      <c r="O24" s="468"/>
      <c r="P24" s="468"/>
      <c r="Q24" s="4"/>
      <c r="R24" s="6"/>
      <c r="S24" s="6"/>
      <c r="T24" s="4">
        <v>30</v>
      </c>
      <c r="U24" s="4"/>
      <c r="V24" s="4"/>
      <c r="W24" s="9">
        <v>1.4</v>
      </c>
      <c r="X24" s="9"/>
      <c r="Y24" s="9"/>
      <c r="Z24" s="9"/>
      <c r="AA24" s="9"/>
      <c r="AB24" s="9"/>
      <c r="AC24" s="468" t="str">
        <f t="shared" si="3"/>
        <v>PHC</v>
      </c>
      <c r="AD24" s="468"/>
      <c r="AE24" s="468"/>
      <c r="AF24" s="4"/>
      <c r="AG24" s="88"/>
      <c r="AH24" s="4"/>
      <c r="AI24" s="4"/>
      <c r="AJ24" s="468"/>
      <c r="AK24" s="468"/>
      <c r="AL24" s="468" t="s">
        <v>1111</v>
      </c>
      <c r="AM24" s="468" t="s">
        <v>486</v>
      </c>
      <c r="AN24" s="10">
        <v>5.15</v>
      </c>
      <c r="AO24" s="9"/>
      <c r="AP24" s="9"/>
      <c r="AQ24" s="9"/>
      <c r="AR24" s="9"/>
      <c r="AS24" s="9"/>
      <c r="AT24" s="9">
        <f>+ab($T$24,$U$22,$T$26,$G$23,$G$25,-1*$F$24,1200)</f>
        <v>2.2165018415321214</v>
      </c>
      <c r="AU24" s="447"/>
      <c r="AV24" s="447"/>
      <c r="AW24" s="468" t="str">
        <f>IF(C24&gt;0,VLOOKUP(C24,Foundation_Calc!$A$2:$C$13,3,1),
IF(J24&gt;0,VLOOKUP(J24,Foundation_Calc!$A$2:$C$13,3,1),""))</f>
        <v>MultiSoil</v>
      </c>
      <c r="AX24" s="468" t="str">
        <f>IF(C24&gt;0,VLOOKUP(C24,Foundation_Calc!$E$2:$G$13,3,1),
IF(J24&gt;0,VLOOKUP(J24,Foundation_Calc!$E$2:$G$13,3,1),""))</f>
        <v>PT</v>
      </c>
      <c r="AY24" s="10">
        <f>IF(L24="","",
IF(AX24="PT",VLOOKUP(L24,Foundation_Calc!$K$4:$R$37,VLOOKUP(AW24,Foundation_Calc!$I$2:$J$8,2,FALSE),0),
IF(AX24="K",VLOOKUP(L24,Foundation_Calc!$K$41:$R$74,VLOOKUP(AW24,Foundation_Calc!$I$2:$J$8,2,FALSE),0),"")))</f>
        <v>3.9</v>
      </c>
      <c r="AZ24" s="10" t="str">
        <f>IF(K24="","",
IF(AX24="PT",VLOOKUP(K24,Foundation_Calc!$K$4:$R$37,VLOOKUP(AW24,Foundation_Calc!$I$2:$J$8,2,FALSE),0),
IF(AX24="K",VLOOKUP(K24,Foundation_Calc!$K$41:$R$74,VLOOKUP(AW24,Foundation_Calc!$I$2:$J$8,2,FALSE),0),"")))</f>
        <v/>
      </c>
      <c r="BA24" s="553" t="str">
        <f t="shared" si="1"/>
        <v>ü</v>
      </c>
      <c r="BB24" s="553" t="str">
        <f t="shared" si="1"/>
        <v/>
      </c>
      <c r="BC24" s="553" t="str">
        <f t="shared" si="2"/>
        <v/>
      </c>
      <c r="BD24" s="572" t="str">
        <f>Pole_Calc!A$251</f>
        <v>App.8-V08H-P10.3</v>
      </c>
      <c r="BE24" s="448" t="s">
        <v>1726</v>
      </c>
      <c r="BF24" s="306"/>
      <c r="BG24" s="306"/>
      <c r="BH24" s="306"/>
      <c r="BI24" s="306"/>
    </row>
    <row r="25" spans="1:61" ht="16.2" customHeight="1">
      <c r="A25" s="573" t="s">
        <v>2448</v>
      </c>
      <c r="B25" s="469"/>
      <c r="C25" s="3"/>
      <c r="D25" s="88"/>
      <c r="E25" s="4"/>
      <c r="F25" s="4"/>
      <c r="G25" s="6">
        <v>23.4</v>
      </c>
      <c r="H25" s="468"/>
      <c r="I25" s="468"/>
      <c r="J25" s="3"/>
      <c r="K25" s="468"/>
      <c r="L25" s="468"/>
      <c r="M25" s="468" t="str">
        <f>IF(L25="","",
IF(AX25="PT",VLOOKUP(L25,Foundation_Calc!$V$4:$X$37,VLOOKUP(AX25,Foundation_Calc!$I$10:$J$13,2,FALSE),0),
IF(AX25="K",VLOOKUP(L25,Foundation_Calc!$V$41:$X$74,VLOOKUP(AX25,Foundation_Calc!$I$10:$J$13,2,FALSE),0),"")))</f>
        <v/>
      </c>
      <c r="N25" s="468"/>
      <c r="O25" s="468"/>
      <c r="P25" s="468"/>
      <c r="Q25" s="4"/>
      <c r="R25" s="6"/>
      <c r="S25" s="6"/>
      <c r="T25" s="4"/>
      <c r="U25" s="4"/>
      <c r="V25" s="4"/>
      <c r="W25" s="9"/>
      <c r="X25" s="9"/>
      <c r="Y25" s="9"/>
      <c r="Z25" s="9"/>
      <c r="AA25" s="9"/>
      <c r="AB25" s="9"/>
      <c r="AC25" s="468" t="str">
        <f t="shared" si="3"/>
        <v/>
      </c>
      <c r="AD25" s="468"/>
      <c r="AE25" s="468"/>
      <c r="AF25" s="4"/>
      <c r="AG25" s="88"/>
      <c r="AH25" s="4"/>
      <c r="AI25" s="4"/>
      <c r="AJ25" s="468"/>
      <c r="AK25" s="468"/>
      <c r="AL25" s="468"/>
      <c r="AM25" s="468"/>
      <c r="AN25" s="10"/>
      <c r="AO25" s="9"/>
      <c r="AP25" s="9"/>
      <c r="AQ25" s="9">
        <f>+FL_1($T$26,$T$24,$G$25,1200,9.28,-1*$F$26)</f>
        <v>0.3</v>
      </c>
      <c r="AR25" s="9"/>
      <c r="AS25" s="9"/>
      <c r="AT25" s="9"/>
      <c r="AU25" s="447"/>
      <c r="AV25" s="447"/>
      <c r="AW25" s="468" t="str">
        <f>IF(C25&gt;0,VLOOKUP(C25,Foundation_Calc!$A$2:$C$13,3,1),
IF(J25&gt;0,VLOOKUP(J25,Foundation_Calc!$A$2:$C$13,3,1),""))</f>
        <v/>
      </c>
      <c r="AX25" s="468" t="str">
        <f>IF(C25&gt;0,VLOOKUP(C25,Foundation_Calc!$E$2:$G$13,3,1),
IF(J25&gt;0,VLOOKUP(J25,Foundation_Calc!$E$2:$G$13,3,1),""))</f>
        <v/>
      </c>
      <c r="AY25" s="10" t="str">
        <f>IF(L25="","",
IF(AX25="PT",VLOOKUP(L25,Foundation_Calc!$K$4:$R$37,VLOOKUP(AW25,Foundation_Calc!$I$2:$J$8,2,FALSE),0),
IF(AX25="K",VLOOKUP(L25,Foundation_Calc!$K$41:$R$74,VLOOKUP(AW25,Foundation_Calc!$I$2:$J$8,2,FALSE),0),"")))</f>
        <v/>
      </c>
      <c r="AZ25" s="10" t="str">
        <f>IF(K25="","",
IF(AX25="PT",VLOOKUP(K25,Foundation_Calc!$K$4:$R$37,VLOOKUP(AW25,Foundation_Calc!$I$2:$J$8,2,FALSE),0),
IF(AX25="K",VLOOKUP(K25,Foundation_Calc!$K$41:$R$74,VLOOKUP(AW25,Foundation_Calc!$I$2:$J$8,2,FALSE),0),"")))</f>
        <v/>
      </c>
      <c r="BA25" s="553" t="str">
        <f t="shared" si="1"/>
        <v/>
      </c>
      <c r="BB25" s="553" t="str">
        <f t="shared" si="1"/>
        <v/>
      </c>
      <c r="BC25" s="553" t="str">
        <f t="shared" si="2"/>
        <v/>
      </c>
      <c r="BD25" s="572" t="str">
        <f>IF(AND(L25="",H25=""),"",
IF(H25="",Pole_Calc!A29,
IF(H25="MP",Pole_Calc!A30,
IF(H25="AnMP",Pole_Calc!A31,
IF(H25="A",Pole_Calc!A32,
IF(H25="S/A",Pole_Calc!A33,
IF(H25="A/S",Pole_Calc!A34,"Poner a mano")))))))</f>
        <v/>
      </c>
      <c r="BE25" s="448" t="s">
        <v>1726</v>
      </c>
      <c r="BF25" s="305"/>
      <c r="BG25" s="305"/>
      <c r="BH25" s="306"/>
      <c r="BI25" s="305"/>
    </row>
    <row r="26" spans="1:61" ht="16.2" customHeight="1">
      <c r="A26" s="573"/>
      <c r="B26" s="638" t="s">
        <v>2096</v>
      </c>
      <c r="C26" s="3">
        <f>+$C$24+$G$25</f>
        <v>240.89</v>
      </c>
      <c r="D26" s="88"/>
      <c r="E26" s="4"/>
      <c r="F26" s="4">
        <v>-271</v>
      </c>
      <c r="G26" s="6"/>
      <c r="H26" s="468"/>
      <c r="I26" s="468"/>
      <c r="J26" s="3"/>
      <c r="K26" s="468"/>
      <c r="L26" s="468" t="s">
        <v>998</v>
      </c>
      <c r="M26" s="468" t="str">
        <f>IF(L26="","",
IF(AX26="PT",VLOOKUP(L26,Foundation_Calc!$V$4:$X$37,VLOOKUP(AX26,Foundation_Calc!$I$10:$J$13,2,FALSE),0),
IF(AX26="K",VLOOKUP(L26,Foundation_Calc!$V$41:$X$74,VLOOKUP(AX26,Foundation_Calc!$I$10:$J$13,2,FALSE),0),"")))</f>
        <v>2C4SR</v>
      </c>
      <c r="N26" s="468" t="s">
        <v>33</v>
      </c>
      <c r="O26" s="468"/>
      <c r="P26" s="468"/>
      <c r="Q26" s="4"/>
      <c r="R26" s="6"/>
      <c r="S26" s="6"/>
      <c r="T26" s="4">
        <v>30</v>
      </c>
      <c r="U26" s="4"/>
      <c r="V26" s="4"/>
      <c r="W26" s="9">
        <v>1.4</v>
      </c>
      <c r="X26" s="9"/>
      <c r="Y26" s="9"/>
      <c r="Z26" s="9"/>
      <c r="AA26" s="9"/>
      <c r="AB26" s="9"/>
      <c r="AC26" s="468" t="str">
        <f t="shared" si="3"/>
        <v>PHC</v>
      </c>
      <c r="AD26" s="468"/>
      <c r="AE26" s="468"/>
      <c r="AF26" s="4"/>
      <c r="AG26" s="88"/>
      <c r="AH26" s="4"/>
      <c r="AI26" s="4"/>
      <c r="AJ26" s="468"/>
      <c r="AK26" s="468"/>
      <c r="AL26" s="468" t="s">
        <v>1111</v>
      </c>
      <c r="AM26" s="468" t="s">
        <v>486</v>
      </c>
      <c r="AN26" s="10">
        <v>5.15</v>
      </c>
      <c r="AO26" s="9"/>
      <c r="AP26" s="9"/>
      <c r="AQ26" s="9"/>
      <c r="AR26" s="9"/>
      <c r="AS26" s="9"/>
      <c r="AT26" s="9">
        <f>+ab($T$26,$T$24,$T$28,$G$25,$G$27,-1*$F$26,1200)</f>
        <v>2.2165018415321214</v>
      </c>
      <c r="AU26" s="447"/>
      <c r="AV26" s="447"/>
      <c r="AW26" s="468" t="str">
        <f>IF(C26&gt;0,VLOOKUP(C26,Foundation_Calc!$A$2:$C$13,3,1),
IF(J26&gt;0,VLOOKUP(J26,Foundation_Calc!$A$2:$C$13,3,1),""))</f>
        <v>MultiSoil</v>
      </c>
      <c r="AX26" s="468" t="str">
        <f>IF(C26&gt;0,VLOOKUP(C26,Foundation_Calc!$E$2:$G$13,3,1),
IF(J26&gt;0,VLOOKUP(J26,Foundation_Calc!$E$2:$G$13,3,1),""))</f>
        <v>PT</v>
      </c>
      <c r="AY26" s="10">
        <f>IF(L26="","",
IF(AX26="PT",VLOOKUP(L26,Foundation_Calc!$K$4:$R$37,VLOOKUP(AW26,Foundation_Calc!$I$2:$J$8,2,FALSE),0),
IF(AX26="K",VLOOKUP(L26,Foundation_Calc!$K$41:$R$74,VLOOKUP(AW26,Foundation_Calc!$I$2:$J$8,2,FALSE),0),"")))</f>
        <v>5.6</v>
      </c>
      <c r="AZ26" s="10" t="str">
        <f>IF(K26="","",
IF(AX26="PT",VLOOKUP(K26,Foundation_Calc!$K$4:$R$37,VLOOKUP(AW26,Foundation_Calc!$I$2:$J$8,2,FALSE),0),
IF(AX26="K",VLOOKUP(K26,Foundation_Calc!$K$41:$R$74,VLOOKUP(AW26,Foundation_Calc!$I$2:$J$8,2,FALSE),0),"")))</f>
        <v/>
      </c>
      <c r="BA26" s="553" t="str">
        <f t="shared" si="1"/>
        <v>ü</v>
      </c>
      <c r="BB26" s="553" t="str">
        <f t="shared" si="1"/>
        <v/>
      </c>
      <c r="BC26" s="553" t="str">
        <f t="shared" si="2"/>
        <v/>
      </c>
      <c r="BD26" s="572" t="str">
        <f>Pole_Calc!A$251</f>
        <v>App.8-V08H-P10.3</v>
      </c>
      <c r="BE26" s="448" t="s">
        <v>1726</v>
      </c>
      <c r="BF26" s="306"/>
      <c r="BG26" s="306"/>
      <c r="BH26" s="306"/>
      <c r="BI26" s="306"/>
    </row>
    <row r="27" spans="1:61" ht="16.2" customHeight="1">
      <c r="A27" s="573"/>
      <c r="B27" s="469"/>
      <c r="C27" s="3"/>
      <c r="D27" s="88"/>
      <c r="E27" s="4"/>
      <c r="F27" s="4"/>
      <c r="G27" s="6">
        <v>23.5</v>
      </c>
      <c r="H27" s="468"/>
      <c r="I27" s="4"/>
      <c r="J27" s="3"/>
      <c r="K27" s="468"/>
      <c r="L27" s="468"/>
      <c r="M27" s="468" t="str">
        <f>IF(L27="","",
IF(AX27="PT",VLOOKUP(L27,Foundation_Calc!$V$4:$X$37,VLOOKUP(AX27,Foundation_Calc!$I$10:$J$13,2,FALSE),0),
IF(AX27="K",VLOOKUP(L27,Foundation_Calc!$V$41:$X$74,VLOOKUP(AX27,Foundation_Calc!$I$10:$J$13,2,FALSE),0),"")))</f>
        <v/>
      </c>
      <c r="N27" s="468"/>
      <c r="O27" s="468"/>
      <c r="P27" s="468"/>
      <c r="Q27" s="4"/>
      <c r="R27" s="6"/>
      <c r="S27" s="6"/>
      <c r="T27" s="4"/>
      <c r="U27" s="4"/>
      <c r="V27" s="4"/>
      <c r="W27" s="9"/>
      <c r="X27" s="9"/>
      <c r="Y27" s="9"/>
      <c r="Z27" s="9"/>
      <c r="AA27" s="9"/>
      <c r="AB27" s="9"/>
      <c r="AC27" s="468" t="str">
        <f t="shared" si="3"/>
        <v/>
      </c>
      <c r="AD27" s="468"/>
      <c r="AE27" s="468"/>
      <c r="AF27" s="4"/>
      <c r="AG27" s="88"/>
      <c r="AH27" s="4"/>
      <c r="AI27" s="4"/>
      <c r="AJ27" s="468"/>
      <c r="AK27" s="468"/>
      <c r="AL27" s="468"/>
      <c r="AM27" s="468"/>
      <c r="AN27" s="10"/>
      <c r="AO27" s="9"/>
      <c r="AP27" s="9"/>
      <c r="AQ27" s="9">
        <f>+FL_1($T$28,$T$26,$G$27,1200,9.28,-1*$F$28)</f>
        <v>0.3</v>
      </c>
      <c r="AR27" s="9"/>
      <c r="AS27" s="9"/>
      <c r="AT27" s="9"/>
      <c r="AU27" s="447"/>
      <c r="AV27" s="447"/>
      <c r="AW27" s="468" t="str">
        <f>IF(C27&gt;0,VLOOKUP(C27,Foundation_Calc!$A$2:$C$13,3,1),
IF(J27&gt;0,VLOOKUP(J27,Foundation_Calc!$A$2:$C$13,3,1),""))</f>
        <v/>
      </c>
      <c r="AX27" s="468" t="str">
        <f>IF(C27&gt;0,VLOOKUP(C27,Foundation_Calc!$E$2:$G$13,3,1),
IF(J27&gt;0,VLOOKUP(J27,Foundation_Calc!$E$2:$G$13,3,1),""))</f>
        <v/>
      </c>
      <c r="AY27" s="10" t="str">
        <f>IF(L27="","",
IF(AX27="PT",VLOOKUP(L27,Foundation_Calc!$K$4:$R$37,VLOOKUP(AW27,Foundation_Calc!$I$2:$J$8,2,FALSE),0),
IF(AX27="K",VLOOKUP(L27,Foundation_Calc!$K$41:$R$74,VLOOKUP(AW27,Foundation_Calc!$I$2:$J$8,2,FALSE),0),"")))</f>
        <v/>
      </c>
      <c r="AZ27" s="10" t="str">
        <f>IF(K27="","",
IF(AX27="PT",VLOOKUP(K27,Foundation_Calc!$K$4:$R$37,VLOOKUP(AW27,Foundation_Calc!$I$2:$J$8,2,FALSE),0),
IF(AX27="K",VLOOKUP(K27,Foundation_Calc!$K$41:$R$74,VLOOKUP(AW27,Foundation_Calc!$I$2:$J$8,2,FALSE),0),"")))</f>
        <v/>
      </c>
      <c r="BA27" s="553" t="str">
        <f t="shared" si="1"/>
        <v/>
      </c>
      <c r="BB27" s="553" t="str">
        <f t="shared" si="1"/>
        <v/>
      </c>
      <c r="BC27" s="553" t="str">
        <f t="shared" si="2"/>
        <v/>
      </c>
      <c r="BD27" s="572" t="str">
        <f>IF(AND(L27="",H27=""),"",
IF(H27="",Pole_Calc!A31,
IF(H27="MP",Pole_Calc!A32,
IF(H27="AnMP",Pole_Calc!A33,
IF(H27="A",Pole_Calc!A34,
IF(H27="S/A",Pole_Calc!A35,
IF(H27="A/S",Pole_Calc!A36,"Poner a mano")))))))</f>
        <v/>
      </c>
      <c r="BE27" s="448" t="s">
        <v>1726</v>
      </c>
      <c r="BF27" s="305"/>
      <c r="BG27" s="305"/>
      <c r="BH27" s="306"/>
      <c r="BI27" s="305"/>
    </row>
    <row r="28" spans="1:61" ht="16.2" customHeight="1">
      <c r="A28" s="573"/>
      <c r="B28" s="638" t="s">
        <v>2097</v>
      </c>
      <c r="C28" s="3">
        <f>+$C$26+$G$27</f>
        <v>264.39</v>
      </c>
      <c r="D28" s="88"/>
      <c r="E28" s="4"/>
      <c r="F28" s="4">
        <v>-271</v>
      </c>
      <c r="G28" s="6"/>
      <c r="H28" s="468"/>
      <c r="I28" s="468"/>
      <c r="J28" s="3"/>
      <c r="K28" s="468"/>
      <c r="L28" s="468" t="s">
        <v>323</v>
      </c>
      <c r="M28" s="468" t="str">
        <f>IF(L28="","",
IF(AX28="PT",VLOOKUP(L28,Foundation_Calc!$V$4:$X$37,VLOOKUP(AX28,Foundation_Calc!$I$10:$J$13,2,FALSE),0),
IF(AX28="K",VLOOKUP(L28,Foundation_Calc!$V$41:$X$74,VLOOKUP(AX28,Foundation_Calc!$I$10:$J$13,2,FALSE),0),"")))</f>
        <v>C5SR</v>
      </c>
      <c r="N28" s="468" t="s">
        <v>33</v>
      </c>
      <c r="O28" s="468"/>
      <c r="P28" s="468"/>
      <c r="Q28" s="4"/>
      <c r="R28" s="6"/>
      <c r="S28" s="6"/>
      <c r="T28" s="4">
        <v>30</v>
      </c>
      <c r="U28" s="4"/>
      <c r="V28" s="4"/>
      <c r="W28" s="9">
        <v>1.4</v>
      </c>
      <c r="X28" s="9"/>
      <c r="Y28" s="9"/>
      <c r="Z28" s="9"/>
      <c r="AA28" s="9"/>
      <c r="AB28" s="9"/>
      <c r="AC28" s="468" t="str">
        <f t="shared" si="3"/>
        <v>PHC</v>
      </c>
      <c r="AD28" s="468"/>
      <c r="AE28" s="468"/>
      <c r="AF28" s="4"/>
      <c r="AG28" s="88"/>
      <c r="AH28" s="4"/>
      <c r="AI28" s="4"/>
      <c r="AJ28" s="468"/>
      <c r="AK28" s="468"/>
      <c r="AL28" s="468" t="s">
        <v>1111</v>
      </c>
      <c r="AM28" s="468" t="s">
        <v>486</v>
      </c>
      <c r="AN28" s="10">
        <v>5.15</v>
      </c>
      <c r="AO28" s="9"/>
      <c r="AP28" s="9"/>
      <c r="AQ28" s="9"/>
      <c r="AR28" s="9"/>
      <c r="AS28" s="9"/>
      <c r="AT28" s="9">
        <f>+ab($T$28,$T$26,$T$30,$G$27,$G$29,-1*$F$28,1200)</f>
        <v>2.2117905689090813</v>
      </c>
      <c r="AU28" s="447"/>
      <c r="AV28" s="447"/>
      <c r="AW28" s="468" t="str">
        <f>IF(C28&gt;0,VLOOKUP(C28,Foundation_Calc!$A$2:$C$13,3,1),
IF(J28&gt;0,VLOOKUP(J28,Foundation_Calc!$A$2:$C$13,3,1),""))</f>
        <v>MultiSoil</v>
      </c>
      <c r="AX28" s="468" t="str">
        <f>IF(C28&gt;0,VLOOKUP(C28,Foundation_Calc!$E$2:$G$13,3,1),
IF(J28&gt;0,VLOOKUP(J28,Foundation_Calc!$E$2:$G$13,3,1),""))</f>
        <v>PT</v>
      </c>
      <c r="AY28" s="10">
        <f>IF(L28="","",
IF(AX28="PT",VLOOKUP(L28,Foundation_Calc!$K$4:$R$37,VLOOKUP(AW28,Foundation_Calc!$I$2:$J$8,2,FALSE),0),
IF(AX28="K",VLOOKUP(L28,Foundation_Calc!$K$41:$R$74,VLOOKUP(AW28,Foundation_Calc!$I$2:$J$8,2,FALSE),0),"")))</f>
        <v>3.9</v>
      </c>
      <c r="AZ28" s="10" t="str">
        <f>IF(K28="","",
IF(AX28="PT",VLOOKUP(K28,Foundation_Calc!$K$4:$R$37,VLOOKUP(AW28,Foundation_Calc!$I$2:$J$8,2,FALSE),0),
IF(AX28="K",VLOOKUP(K28,Foundation_Calc!$K$41:$R$74,VLOOKUP(AW28,Foundation_Calc!$I$2:$J$8,2,FALSE),0),"")))</f>
        <v/>
      </c>
      <c r="BA28" s="553" t="str">
        <f t="shared" si="1"/>
        <v>ü</v>
      </c>
      <c r="BB28" s="553" t="str">
        <f t="shared" si="1"/>
        <v/>
      </c>
      <c r="BC28" s="553" t="str">
        <f t="shared" si="2"/>
        <v/>
      </c>
      <c r="BD28" s="572" t="str">
        <f>Pole_Calc!A$251</f>
        <v>App.8-V08H-P10.3</v>
      </c>
      <c r="BE28" s="448" t="s">
        <v>1726</v>
      </c>
      <c r="BF28" s="306"/>
      <c r="BG28" s="306"/>
      <c r="BH28" s="306"/>
      <c r="BI28" s="306"/>
    </row>
    <row r="29" spans="1:61" ht="16.2" customHeight="1">
      <c r="A29" s="573"/>
      <c r="B29" s="469"/>
      <c r="C29" s="3"/>
      <c r="D29" s="88"/>
      <c r="E29" s="4"/>
      <c r="F29" s="4"/>
      <c r="G29" s="6">
        <v>23.5</v>
      </c>
      <c r="H29" s="468"/>
      <c r="I29" s="4"/>
      <c r="J29" s="3"/>
      <c r="K29" s="468"/>
      <c r="L29" s="468"/>
      <c r="M29" s="468" t="str">
        <f>IF(L29="","",
IF(AX29="PT",VLOOKUP(L29,Foundation_Calc!$V$4:$X$37,VLOOKUP(AX29,Foundation_Calc!$I$10:$J$13,2,FALSE),0),
IF(AX29="K",VLOOKUP(L29,Foundation_Calc!$V$41:$X$74,VLOOKUP(AX29,Foundation_Calc!$I$10:$J$13,2,FALSE),0),"")))</f>
        <v/>
      </c>
      <c r="N29" s="468"/>
      <c r="O29" s="468"/>
      <c r="P29" s="468"/>
      <c r="Q29" s="4"/>
      <c r="R29" s="6"/>
      <c r="S29" s="6"/>
      <c r="T29" s="4"/>
      <c r="U29" s="4"/>
      <c r="V29" s="4"/>
      <c r="W29" s="9"/>
      <c r="X29" s="9"/>
      <c r="Y29" s="9"/>
      <c r="Z29" s="9"/>
      <c r="AA29" s="9"/>
      <c r="AB29" s="9"/>
      <c r="AC29" s="468" t="str">
        <f t="shared" si="3"/>
        <v/>
      </c>
      <c r="AD29" s="468"/>
      <c r="AE29" s="468"/>
      <c r="AF29" s="4"/>
      <c r="AG29" s="88"/>
      <c r="AH29" s="4"/>
      <c r="AI29" s="4"/>
      <c r="AJ29" s="468"/>
      <c r="AK29" s="468"/>
      <c r="AL29" s="468"/>
      <c r="AM29" s="468"/>
      <c r="AN29" s="10"/>
      <c r="AO29" s="9"/>
      <c r="AP29" s="9"/>
      <c r="AQ29" s="9">
        <f>+FL_1($T$30,$T$28,$G$29,1200,9.28,-1*$F$30)</f>
        <v>0.3</v>
      </c>
      <c r="AR29" s="9"/>
      <c r="AS29" s="9"/>
      <c r="AT29" s="9"/>
      <c r="AU29" s="447"/>
      <c r="AV29" s="447"/>
      <c r="AW29" s="468" t="str">
        <f>IF(C29&gt;0,VLOOKUP(C29,Foundation_Calc!$A$2:$C$13,3,1),
IF(J29&gt;0,VLOOKUP(J29,Foundation_Calc!$A$2:$C$13,3,1),""))</f>
        <v/>
      </c>
      <c r="AX29" s="468" t="str">
        <f>IF(C29&gt;0,VLOOKUP(C29,Foundation_Calc!$E$2:$G$13,3,1),
IF(J29&gt;0,VLOOKUP(J29,Foundation_Calc!$E$2:$G$13,3,1),""))</f>
        <v/>
      </c>
      <c r="AY29" s="10" t="str">
        <f>IF(L29="","",
IF(AX29="PT",VLOOKUP(L29,Foundation_Calc!$K$4:$R$37,VLOOKUP(AW29,Foundation_Calc!$I$2:$J$8,2,FALSE),0),
IF(AX29="K",VLOOKUP(L29,Foundation_Calc!$K$41:$R$74,VLOOKUP(AW29,Foundation_Calc!$I$2:$J$8,2,FALSE),0),"")))</f>
        <v/>
      </c>
      <c r="AZ29" s="10" t="str">
        <f>IF(K29="","",
IF(AX29="PT",VLOOKUP(K29,Foundation_Calc!$K$4:$R$37,VLOOKUP(AW29,Foundation_Calc!$I$2:$J$8,2,FALSE),0),
IF(AX29="K",VLOOKUP(K29,Foundation_Calc!$K$41:$R$74,VLOOKUP(AW29,Foundation_Calc!$I$2:$J$8,2,FALSE),0),"")))</f>
        <v/>
      </c>
      <c r="BA29" s="553" t="str">
        <f t="shared" si="1"/>
        <v/>
      </c>
      <c r="BB29" s="553" t="str">
        <f t="shared" si="1"/>
        <v/>
      </c>
      <c r="BC29" s="553" t="str">
        <f t="shared" si="2"/>
        <v/>
      </c>
      <c r="BD29" s="572" t="str">
        <f>IF(AND(L29="",H29=""),"",
IF(H29="",Pole_Calc!A33,
IF(H29="MP",Pole_Calc!A34,
IF(H29="AnMP",Pole_Calc!A35,
IF(H29="A",Pole_Calc!A36,
IF(H29="S/A",Pole_Calc!A37,
IF(H29="A/S",Pole_Calc!A38,"Poner a mano")))))))</f>
        <v/>
      </c>
      <c r="BE29" s="448" t="s">
        <v>1726</v>
      </c>
      <c r="BF29" s="305"/>
      <c r="BG29" s="305"/>
      <c r="BH29" s="306"/>
      <c r="BI29" s="305"/>
    </row>
    <row r="30" spans="1:61" ht="16.2" customHeight="1">
      <c r="A30" s="573"/>
      <c r="B30" s="638" t="s">
        <v>2098</v>
      </c>
      <c r="C30" s="3">
        <f>+$C$28+$G$29</f>
        <v>287.89</v>
      </c>
      <c r="D30" s="88"/>
      <c r="E30" s="4"/>
      <c r="F30" s="4">
        <v>-271</v>
      </c>
      <c r="G30" s="6"/>
      <c r="H30" s="468"/>
      <c r="I30" s="468"/>
      <c r="J30" s="3"/>
      <c r="K30" s="468"/>
      <c r="L30" s="468" t="s">
        <v>998</v>
      </c>
      <c r="M30" s="468" t="str">
        <f>IF(L30="","",
IF(AX30="PT",VLOOKUP(L30,Foundation_Calc!$V$4:$X$37,VLOOKUP(AX30,Foundation_Calc!$I$10:$J$13,2,FALSE),0),
IF(AX30="K",VLOOKUP(L30,Foundation_Calc!$V$41:$X$74,VLOOKUP(AX30,Foundation_Calc!$I$10:$J$13,2,FALSE),0),"")))</f>
        <v>2C4SR</v>
      </c>
      <c r="N30" s="468" t="s">
        <v>33</v>
      </c>
      <c r="O30" s="468"/>
      <c r="P30" s="468"/>
      <c r="Q30" s="4"/>
      <c r="R30" s="6"/>
      <c r="S30" s="6"/>
      <c r="T30" s="4">
        <v>30</v>
      </c>
      <c r="U30" s="4"/>
      <c r="V30" s="4"/>
      <c r="W30" s="9">
        <v>1.4</v>
      </c>
      <c r="X30" s="9"/>
      <c r="Y30" s="9"/>
      <c r="Z30" s="9"/>
      <c r="AA30" s="9"/>
      <c r="AB30" s="9"/>
      <c r="AC30" s="468" t="str">
        <f t="shared" si="3"/>
        <v>PHC</v>
      </c>
      <c r="AD30" s="468"/>
      <c r="AE30" s="468"/>
      <c r="AF30" s="4"/>
      <c r="AG30" s="88"/>
      <c r="AH30" s="4"/>
      <c r="AI30" s="4"/>
      <c r="AJ30" s="468"/>
      <c r="AK30" s="468"/>
      <c r="AL30" s="468" t="s">
        <v>1111</v>
      </c>
      <c r="AM30" s="468" t="s">
        <v>486</v>
      </c>
      <c r="AN30" s="10">
        <v>5.15</v>
      </c>
      <c r="AO30" s="9"/>
      <c r="AP30" s="9"/>
      <c r="AQ30" s="9"/>
      <c r="AR30" s="9"/>
      <c r="AS30" s="9"/>
      <c r="AT30" s="9">
        <f>+ab($T$30,$T$28,$T$32,$G$29,$G$31,-1*$F$30,1200)</f>
        <v>2.2165018415321214</v>
      </c>
      <c r="AU30" s="447"/>
      <c r="AV30" s="447"/>
      <c r="AW30" s="468" t="str">
        <f>IF(C30&gt;0,VLOOKUP(C30,Foundation_Calc!$A$2:$C$13,3,1),
IF(J30&gt;0,VLOOKUP(J30,Foundation_Calc!$A$2:$C$13,3,1),""))</f>
        <v>MultiSoil</v>
      </c>
      <c r="AX30" s="468" t="str">
        <f>IF(C30&gt;0,VLOOKUP(C30,Foundation_Calc!$E$2:$G$13,3,1),
IF(J30&gt;0,VLOOKUP(J30,Foundation_Calc!$E$2:$G$13,3,1),""))</f>
        <v>PT</v>
      </c>
      <c r="AY30" s="10">
        <f>IF(L30="","",
IF(AX30="PT",VLOOKUP(L30,Foundation_Calc!$K$4:$R$37,VLOOKUP(AW30,Foundation_Calc!$I$2:$J$8,2,FALSE),0),
IF(AX30="K",VLOOKUP(L30,Foundation_Calc!$K$41:$R$74,VLOOKUP(AW30,Foundation_Calc!$I$2:$J$8,2,FALSE),0),"")))</f>
        <v>5.6</v>
      </c>
      <c r="AZ30" s="10" t="str">
        <f>IF(K30="","",
IF(AX30="PT",VLOOKUP(K30,Foundation_Calc!$K$4:$R$37,VLOOKUP(AW30,Foundation_Calc!$I$2:$J$8,2,FALSE),0),
IF(AX30="K",VLOOKUP(K30,Foundation_Calc!$K$41:$R$74,VLOOKUP(AW30,Foundation_Calc!$I$2:$J$8,2,FALSE),0),"")))</f>
        <v/>
      </c>
      <c r="BA30" s="553" t="str">
        <f t="shared" si="1"/>
        <v>ü</v>
      </c>
      <c r="BB30" s="553" t="str">
        <f t="shared" si="1"/>
        <v/>
      </c>
      <c r="BC30" s="553" t="str">
        <f t="shared" si="2"/>
        <v/>
      </c>
      <c r="BD30" s="572" t="str">
        <f>Pole_Calc!A$251</f>
        <v>App.8-V08H-P10.3</v>
      </c>
      <c r="BE30" s="448" t="s">
        <v>1726</v>
      </c>
      <c r="BF30" s="306"/>
      <c r="BG30" s="306"/>
      <c r="BH30" s="306"/>
      <c r="BI30" s="306"/>
    </row>
    <row r="31" spans="1:61" ht="16.2" customHeight="1">
      <c r="A31" s="573"/>
      <c r="B31" s="469"/>
      <c r="C31" s="3"/>
      <c r="D31" s="88"/>
      <c r="E31" s="4"/>
      <c r="F31" s="4"/>
      <c r="G31" s="6">
        <v>23.4</v>
      </c>
      <c r="H31" s="468"/>
      <c r="I31" s="468"/>
      <c r="J31" s="3"/>
      <c r="K31" s="468"/>
      <c r="L31" s="468"/>
      <c r="M31" s="468" t="str">
        <f>IF(L31="","",
IF(AX31="PT",VLOOKUP(L31,Foundation_Calc!$V$4:$X$37,VLOOKUP(AX31,Foundation_Calc!$I$10:$J$13,2,FALSE),0),
IF(AX31="K",VLOOKUP(L31,Foundation_Calc!$V$41:$X$74,VLOOKUP(AX31,Foundation_Calc!$I$10:$J$13,2,FALSE),0),"")))</f>
        <v/>
      </c>
      <c r="N31" s="468"/>
      <c r="O31" s="468"/>
      <c r="P31" s="468"/>
      <c r="Q31" s="4"/>
      <c r="R31" s="6"/>
      <c r="S31" s="6"/>
      <c r="T31" s="4"/>
      <c r="U31" s="4"/>
      <c r="V31" s="4"/>
      <c r="W31" s="9"/>
      <c r="X31" s="9"/>
      <c r="Y31" s="9"/>
      <c r="Z31" s="9"/>
      <c r="AA31" s="9"/>
      <c r="AB31" s="9"/>
      <c r="AC31" s="468" t="str">
        <f t="shared" si="3"/>
        <v/>
      </c>
      <c r="AD31" s="468"/>
      <c r="AE31" s="468"/>
      <c r="AF31" s="4"/>
      <c r="AG31" s="88"/>
      <c r="AH31" s="4"/>
      <c r="AI31" s="4"/>
      <c r="AJ31" s="468"/>
      <c r="AK31" s="468"/>
      <c r="AL31" s="468"/>
      <c r="AM31" s="468"/>
      <c r="AN31" s="10"/>
      <c r="AO31" s="9"/>
      <c r="AP31" s="9"/>
      <c r="AQ31" s="9">
        <f>+FL_1($T$32,$T$30,$G$31,1200,9.28,-1*$F$32)</f>
        <v>0.3</v>
      </c>
      <c r="AR31" s="9"/>
      <c r="AS31" s="9"/>
      <c r="AT31" s="9"/>
      <c r="AU31" s="447"/>
      <c r="AV31" s="447"/>
      <c r="AW31" s="468" t="str">
        <f>IF(C31&gt;0,VLOOKUP(C31,Foundation_Calc!$A$2:$C$13,3,1),
IF(J31&gt;0,VLOOKUP(J31,Foundation_Calc!$A$2:$C$13,3,1),""))</f>
        <v/>
      </c>
      <c r="AX31" s="468" t="str">
        <f>IF(C31&gt;0,VLOOKUP(C31,Foundation_Calc!$E$2:$G$13,3,1),
IF(J31&gt;0,VLOOKUP(J31,Foundation_Calc!$E$2:$G$13,3,1),""))</f>
        <v/>
      </c>
      <c r="AY31" s="10" t="str">
        <f>IF(L31="","",
IF(AX31="PT",VLOOKUP(L31,Foundation_Calc!$K$4:$R$37,VLOOKUP(AW31,Foundation_Calc!$I$2:$J$8,2,FALSE),0),
IF(AX31="K",VLOOKUP(L31,Foundation_Calc!$K$41:$R$74,VLOOKUP(AW31,Foundation_Calc!$I$2:$J$8,2,FALSE),0),"")))</f>
        <v/>
      </c>
      <c r="AZ31" s="10" t="str">
        <f>IF(K31="","",
IF(AX31="PT",VLOOKUP(K31,Foundation_Calc!$K$4:$R$37,VLOOKUP(AW31,Foundation_Calc!$I$2:$J$8,2,FALSE),0),
IF(AX31="K",VLOOKUP(K31,Foundation_Calc!$K$41:$R$74,VLOOKUP(AW31,Foundation_Calc!$I$2:$J$8,2,FALSE),0),"")))</f>
        <v/>
      </c>
      <c r="BA31" s="553" t="str">
        <f t="shared" si="1"/>
        <v/>
      </c>
      <c r="BB31" s="553" t="str">
        <f t="shared" si="1"/>
        <v/>
      </c>
      <c r="BC31" s="553" t="str">
        <f t="shared" si="2"/>
        <v/>
      </c>
      <c r="BD31" s="572" t="str">
        <f>IF(AND(L31="",H31=""),"",
IF(H31="",Pole_Calc!A35,
IF(H31="MP",Pole_Calc!A36,
IF(H31="AnMP",Pole_Calc!A37,
IF(H31="A",Pole_Calc!A38,
IF(H31="S/A",Pole_Calc!A39,
IF(H31="A/S",Pole_Calc!A40,"Poner a mano")))))))</f>
        <v/>
      </c>
      <c r="BE31" s="448" t="s">
        <v>1726</v>
      </c>
      <c r="BF31" s="305"/>
      <c r="BG31" s="305"/>
      <c r="BH31" s="306"/>
      <c r="BI31" s="305"/>
    </row>
    <row r="32" spans="1:61" ht="16.2" customHeight="1">
      <c r="A32" s="573"/>
      <c r="B32" s="638" t="s">
        <v>2099</v>
      </c>
      <c r="C32" s="3">
        <f>+$C$30+$G$31</f>
        <v>311.28999999999996</v>
      </c>
      <c r="D32" s="88"/>
      <c r="E32" s="4"/>
      <c r="F32" s="4">
        <v>-271</v>
      </c>
      <c r="G32" s="6"/>
      <c r="H32" s="468" t="s">
        <v>179</v>
      </c>
      <c r="I32" s="468"/>
      <c r="J32" s="3"/>
      <c r="K32" s="468"/>
      <c r="L32" s="468" t="s">
        <v>323</v>
      </c>
      <c r="M32" s="468" t="str">
        <f>IF(L32="","",
IF(AX32="PT",VLOOKUP(L32,Foundation_Calc!$V$4:$X$37,VLOOKUP(AX32,Foundation_Calc!$I$10:$J$13,2,FALSE),0),
IF(AX32="K",VLOOKUP(L32,Foundation_Calc!$V$41:$X$74,VLOOKUP(AX32,Foundation_Calc!$I$10:$J$13,2,FALSE),0),"")))</f>
        <v>C5SR</v>
      </c>
      <c r="N32" s="468" t="s">
        <v>33</v>
      </c>
      <c r="O32" s="468" t="s">
        <v>28</v>
      </c>
      <c r="P32" s="468"/>
      <c r="Q32" s="4"/>
      <c r="R32" s="6"/>
      <c r="S32" s="6"/>
      <c r="T32" s="4">
        <v>30</v>
      </c>
      <c r="U32" s="4">
        <v>50</v>
      </c>
      <c r="V32" s="4"/>
      <c r="W32" s="9">
        <v>1.4</v>
      </c>
      <c r="X32" s="9">
        <v>1.2</v>
      </c>
      <c r="Y32" s="9"/>
      <c r="Z32" s="9"/>
      <c r="AA32" s="9">
        <v>0.4</v>
      </c>
      <c r="AB32" s="9"/>
      <c r="AC32" s="468" t="str">
        <f t="shared" si="3"/>
        <v>PHC</v>
      </c>
      <c r="AD32" s="468"/>
      <c r="AE32" s="468"/>
      <c r="AF32" s="4"/>
      <c r="AG32" s="88"/>
      <c r="AH32" s="4"/>
      <c r="AI32" s="4"/>
      <c r="AJ32" s="468"/>
      <c r="AK32" s="468"/>
      <c r="AL32" s="468" t="s">
        <v>1111</v>
      </c>
      <c r="AM32" s="468" t="s">
        <v>486</v>
      </c>
      <c r="AN32" s="10">
        <v>5.15</v>
      </c>
      <c r="AO32" s="9"/>
      <c r="AP32" s="9"/>
      <c r="AQ32" s="9"/>
      <c r="AR32" s="9"/>
      <c r="AS32" s="9"/>
      <c r="AT32" s="9">
        <f>+ab($T$32,$T$30,$T$34,$G$31,$G$33,-1*$F$32,1200)</f>
        <v>2.2212332176184066</v>
      </c>
      <c r="AU32" s="447"/>
      <c r="AV32" s="447"/>
      <c r="AW32" s="468" t="str">
        <f>IF(C32&gt;0,VLOOKUP(C32,Foundation_Calc!$A$2:$C$13,3,1),
IF(J32&gt;0,VLOOKUP(J32,Foundation_Calc!$A$2:$C$13,3,1),""))</f>
        <v>MultiSoil</v>
      </c>
      <c r="AX32" s="468" t="str">
        <f>IF(C32&gt;0,VLOOKUP(C32,Foundation_Calc!$E$2:$G$13,3,1),
IF(J32&gt;0,VLOOKUP(J32,Foundation_Calc!$E$2:$G$13,3,1),""))</f>
        <v>PT</v>
      </c>
      <c r="AY32" s="10">
        <f>IF(L32="","",
IF(AX32="PT",VLOOKUP(L32,Foundation_Calc!$K$4:$R$37,VLOOKUP(AW32,Foundation_Calc!$I$2:$J$8,2,FALSE),0),
IF(AX32="K",VLOOKUP(L32,Foundation_Calc!$K$41:$R$74,VLOOKUP(AW32,Foundation_Calc!$I$2:$J$8,2,FALSE),0),"")))</f>
        <v>3.9</v>
      </c>
      <c r="AZ32" s="10" t="str">
        <f>IF(K32="","",
IF(AX32="PT",VLOOKUP(K32,Foundation_Calc!$K$4:$R$37,VLOOKUP(AW32,Foundation_Calc!$I$2:$J$8,2,FALSE),0),
IF(AX32="K",VLOOKUP(K32,Foundation_Calc!$K$41:$R$74,VLOOKUP(AW32,Foundation_Calc!$I$2:$J$8,2,FALSE),0),"")))</f>
        <v/>
      </c>
      <c r="BA32" s="553" t="str">
        <f t="shared" si="1"/>
        <v>ü</v>
      </c>
      <c r="BB32" s="553" t="str">
        <f t="shared" si="1"/>
        <v/>
      </c>
      <c r="BC32" s="553" t="str">
        <f t="shared" si="2"/>
        <v/>
      </c>
      <c r="BD32" s="572" t="str">
        <f>Pole_Calc!A$251</f>
        <v>App.8-V08H-P10.3</v>
      </c>
      <c r="BE32" s="448" t="s">
        <v>1726</v>
      </c>
      <c r="BF32" s="306"/>
      <c r="BG32" s="306"/>
      <c r="BH32" s="306"/>
      <c r="BI32" s="306"/>
    </row>
    <row r="33" spans="1:61" ht="16.2" customHeight="1">
      <c r="A33" s="573"/>
      <c r="B33" s="469"/>
      <c r="C33" s="3"/>
      <c r="D33" s="88"/>
      <c r="E33" s="4"/>
      <c r="F33" s="4"/>
      <c r="G33" s="6">
        <v>23.4</v>
      </c>
      <c r="H33" s="468"/>
      <c r="I33" s="468"/>
      <c r="J33" s="3"/>
      <c r="K33" s="468"/>
      <c r="L33" s="468"/>
      <c r="M33" s="468" t="str">
        <f>IF(L33="","",
IF(AX33="PT",VLOOKUP(L33,Foundation_Calc!$V$4:$X$37,VLOOKUP(AX33,Foundation_Calc!$I$10:$J$13,2,FALSE),0),
IF(AX33="K",VLOOKUP(L33,Foundation_Calc!$V$41:$X$74,VLOOKUP(AX33,Foundation_Calc!$I$10:$J$13,2,FALSE),0),"")))</f>
        <v/>
      </c>
      <c r="N33" s="468"/>
      <c r="O33" s="468"/>
      <c r="P33" s="468"/>
      <c r="Q33" s="4"/>
      <c r="R33" s="6"/>
      <c r="S33" s="6"/>
      <c r="T33" s="4"/>
      <c r="U33" s="4"/>
      <c r="V33" s="4"/>
      <c r="W33" s="9"/>
      <c r="X33" s="9"/>
      <c r="Y33" s="9"/>
      <c r="Z33" s="9"/>
      <c r="AA33" s="9"/>
      <c r="AB33" s="9"/>
      <c r="AC33" s="468" t="str">
        <f t="shared" si="3"/>
        <v/>
      </c>
      <c r="AD33" s="468"/>
      <c r="AE33" s="468"/>
      <c r="AF33" s="4"/>
      <c r="AG33" s="88"/>
      <c r="AH33" s="4"/>
      <c r="AI33" s="4"/>
      <c r="AJ33" s="468"/>
      <c r="AK33" s="468"/>
      <c r="AL33" s="468"/>
      <c r="AM33" s="468"/>
      <c r="AN33" s="10"/>
      <c r="AO33" s="9"/>
      <c r="AP33" s="9"/>
      <c r="AQ33" s="9">
        <f>+FL_1($T$34,$T$32,$G$33,1200,9.28,-1*$F$34)</f>
        <v>0.3</v>
      </c>
      <c r="AR33" s="9"/>
      <c r="AS33" s="9"/>
      <c r="AT33" s="9"/>
      <c r="AU33" s="447"/>
      <c r="AV33" s="447"/>
      <c r="AW33" s="468" t="str">
        <f>IF(C33&gt;0,VLOOKUP(C33,Foundation_Calc!$A$2:$C$13,3,1),
IF(J33&gt;0,VLOOKUP(J33,Foundation_Calc!$A$2:$C$13,3,1),""))</f>
        <v/>
      </c>
      <c r="AX33" s="468" t="str">
        <f>IF(C33&gt;0,VLOOKUP(C33,Foundation_Calc!$E$2:$G$13,3,1),
IF(J33&gt;0,VLOOKUP(J33,Foundation_Calc!$E$2:$G$13,3,1),""))</f>
        <v/>
      </c>
      <c r="AY33" s="10" t="str">
        <f>IF(L33="","",
IF(AX33="PT",VLOOKUP(L33,Foundation_Calc!$K$4:$R$37,VLOOKUP(AW33,Foundation_Calc!$I$2:$J$8,2,FALSE),0),
IF(AX33="K",VLOOKUP(L33,Foundation_Calc!$K$41:$R$74,VLOOKUP(AW33,Foundation_Calc!$I$2:$J$8,2,FALSE),0),"")))</f>
        <v/>
      </c>
      <c r="AZ33" s="10" t="str">
        <f>IF(K33="","",
IF(AX33="PT",VLOOKUP(K33,Foundation_Calc!$K$4:$R$37,VLOOKUP(AW33,Foundation_Calc!$I$2:$J$8,2,FALSE),0),
IF(AX33="K",VLOOKUP(K33,Foundation_Calc!$K$41:$R$74,VLOOKUP(AW33,Foundation_Calc!$I$2:$J$8,2,FALSE),0),"")))</f>
        <v/>
      </c>
      <c r="BA33" s="553" t="str">
        <f t="shared" si="1"/>
        <v/>
      </c>
      <c r="BB33" s="553" t="str">
        <f t="shared" si="1"/>
        <v/>
      </c>
      <c r="BC33" s="553" t="str">
        <f t="shared" si="2"/>
        <v/>
      </c>
      <c r="BD33" s="572" t="str">
        <f>IF(AND(L33="",H33=""),"",
IF(H33="",Pole_Calc!A37,
IF(H33="MP",Pole_Calc!A38,
IF(H33="AnMP",Pole_Calc!A39,
IF(H33="A",Pole_Calc!A40,
IF(H33="S/A",Pole_Calc!A41,
IF(H33="A/S",Pole_Calc!A42,"Poner a mano")))))))</f>
        <v/>
      </c>
      <c r="BE33" s="448" t="s">
        <v>1726</v>
      </c>
      <c r="BF33" s="305"/>
      <c r="BG33" s="305"/>
      <c r="BH33" s="306"/>
      <c r="BI33" s="305"/>
    </row>
    <row r="34" spans="1:61" ht="16.2" customHeight="1">
      <c r="A34" s="573"/>
      <c r="B34" s="638" t="s">
        <v>2100</v>
      </c>
      <c r="C34" s="3">
        <f>+$C$32+$G$33</f>
        <v>334.68999999999994</v>
      </c>
      <c r="D34" s="88"/>
      <c r="E34" s="4"/>
      <c r="F34" s="4">
        <v>-271</v>
      </c>
      <c r="G34" s="6"/>
      <c r="H34" s="468" t="s">
        <v>26</v>
      </c>
      <c r="I34" s="468" t="s">
        <v>1159</v>
      </c>
      <c r="J34" s="3"/>
      <c r="K34" s="468"/>
      <c r="L34" s="468" t="s">
        <v>747</v>
      </c>
      <c r="M34" s="468" t="str">
        <f>IF(L34="","",
IF(AX34="PT",VLOOKUP(L34,Foundation_Calc!$V$4:$X$37,VLOOKUP(AX34,Foundation_Calc!$I$10:$J$13,2,FALSE),0),
IF(AX34="K",VLOOKUP(L34,Foundation_Calc!$V$41:$X$74,VLOOKUP(AX34,Foundation_Calc!$I$10:$J$13,2,FALSE),0),"")))</f>
        <v>C8SR</v>
      </c>
      <c r="N34" s="468" t="s">
        <v>33</v>
      </c>
      <c r="O34" s="468"/>
      <c r="P34" s="468"/>
      <c r="Q34" s="4"/>
      <c r="R34" s="6"/>
      <c r="S34" s="6"/>
      <c r="T34" s="4">
        <v>30</v>
      </c>
      <c r="U34" s="4"/>
      <c r="V34" s="4"/>
      <c r="W34" s="9">
        <v>1</v>
      </c>
      <c r="X34" s="9"/>
      <c r="Y34" s="9"/>
      <c r="Z34" s="9"/>
      <c r="AA34" s="9"/>
      <c r="AB34" s="9"/>
      <c r="AC34" s="468" t="str">
        <f t="shared" si="3"/>
        <v>PHC</v>
      </c>
      <c r="AD34" s="468"/>
      <c r="AE34" s="468"/>
      <c r="AF34" s="4"/>
      <c r="AG34" s="88"/>
      <c r="AH34" s="4"/>
      <c r="AI34" s="4"/>
      <c r="AJ34" s="468"/>
      <c r="AK34" s="468"/>
      <c r="AL34" s="468"/>
      <c r="AM34" s="468" t="s">
        <v>486</v>
      </c>
      <c r="AN34" s="10">
        <v>5.15</v>
      </c>
      <c r="AO34" s="9"/>
      <c r="AP34" s="9"/>
      <c r="AQ34" s="9"/>
      <c r="AR34" s="9"/>
      <c r="AS34" s="9"/>
      <c r="AT34" s="9">
        <f>+ab($T$34,$T$32,$T$36,$G$33,$G$35,-1*$F$34,1200)</f>
        <v>1.7476314144035079</v>
      </c>
      <c r="AU34" s="447"/>
      <c r="AV34" s="447"/>
      <c r="AW34" s="468" t="str">
        <f>IF(C34&gt;0,VLOOKUP(C34,Foundation_Calc!$A$2:$C$13,3,1),
IF(J34&gt;0,VLOOKUP(J34,Foundation_Calc!$A$2:$C$13,3,1),""))</f>
        <v>MultiSoil</v>
      </c>
      <c r="AX34" s="468" t="str">
        <f>IF(C34&gt;0,VLOOKUP(C34,Foundation_Calc!$E$2:$G$13,3,1),
IF(J34&gt;0,VLOOKUP(J34,Foundation_Calc!$E$2:$G$13,3,1),""))</f>
        <v>PT</v>
      </c>
      <c r="AY34" s="10" t="str">
        <f>IF(L34="","",
IF(AX34="PT",VLOOKUP(L34,Foundation_Calc!$K$4:$R$37,VLOOKUP(AW34,Foundation_Calc!$I$2:$J$8,2,FALSE),0),
IF(AX34="K",VLOOKUP(L34,Foundation_Calc!$K$41:$R$74,VLOOKUP(AW34,Foundation_Calc!$I$2:$J$8,2,FALSE),0),"")))</f>
        <v>N.D.</v>
      </c>
      <c r="AZ34" s="10" t="str">
        <f>IF(K34="","",
IF(AX34="PT",VLOOKUP(K34,Foundation_Calc!$K$4:$R$37,VLOOKUP(AW34,Foundation_Calc!$I$2:$J$8,2,FALSE),0),
IF(AX34="K",VLOOKUP(K34,Foundation_Calc!$K$41:$R$74,VLOOKUP(AW34,Foundation_Calc!$I$2:$J$8,2,FALSE),0),"")))</f>
        <v/>
      </c>
      <c r="BA34" s="553" t="str">
        <f t="shared" si="1"/>
        <v>ü</v>
      </c>
      <c r="BB34" s="553" t="str">
        <f t="shared" si="1"/>
        <v/>
      </c>
      <c r="BC34" s="553" t="str">
        <f t="shared" si="2"/>
        <v/>
      </c>
      <c r="BD34" s="572" t="str">
        <f>Pole_Calc!A$27</f>
        <v>App.7-V11H-P9.5.2.6</v>
      </c>
      <c r="BE34" s="448" t="s">
        <v>1726</v>
      </c>
      <c r="BF34" s="306"/>
      <c r="BG34" s="306"/>
      <c r="BH34" s="306"/>
      <c r="BI34" s="306"/>
    </row>
    <row r="35" spans="1:61" ht="16.2" customHeight="1">
      <c r="A35" s="573"/>
      <c r="B35" s="469"/>
      <c r="C35" s="3"/>
      <c r="D35" s="88"/>
      <c r="E35" s="4"/>
      <c r="F35" s="4"/>
      <c r="G35" s="6">
        <v>23.3</v>
      </c>
      <c r="H35" s="468"/>
      <c r="I35" s="468"/>
      <c r="J35" s="3">
        <f>C34+7.5</f>
        <v>342.18999999999994</v>
      </c>
      <c r="K35" s="468" t="s">
        <v>1095</v>
      </c>
      <c r="L35" s="468"/>
      <c r="M35" s="468" t="str">
        <f>IF(L35="","",
IF(AX35="PT",VLOOKUP(L35,Foundation_Calc!$V$4:$X$37,VLOOKUP(AX35,Foundation_Calc!$I$10:$J$13,2,FALSE),0),
IF(AX35="K",VLOOKUP(L35,Foundation_Calc!$V$41:$X$74,VLOOKUP(AX35,Foundation_Calc!$I$10:$J$13,2,FALSE),0),"")))</f>
        <v/>
      </c>
      <c r="N35" s="468"/>
      <c r="O35" s="468"/>
      <c r="P35" s="468"/>
      <c r="Q35" s="4"/>
      <c r="R35" s="6"/>
      <c r="S35" s="6"/>
      <c r="T35" s="4"/>
      <c r="U35" s="4"/>
      <c r="V35" s="4"/>
      <c r="W35" s="9"/>
      <c r="X35" s="9"/>
      <c r="Y35" s="9"/>
      <c r="Z35" s="9"/>
      <c r="AA35" s="9"/>
      <c r="AB35" s="9"/>
      <c r="AC35" s="468" t="str">
        <f t="shared" si="3"/>
        <v/>
      </c>
      <c r="AD35" s="468"/>
      <c r="AE35" s="468"/>
      <c r="AF35" s="4"/>
      <c r="AG35" s="88"/>
      <c r="AH35" s="4"/>
      <c r="AI35" s="4"/>
      <c r="AJ35" s="468"/>
      <c r="AK35" s="468"/>
      <c r="AL35" s="468"/>
      <c r="AM35" s="468"/>
      <c r="AN35" s="10"/>
      <c r="AO35" s="9"/>
      <c r="AP35" s="9"/>
      <c r="AQ35" s="9">
        <f>+FL_1($T$36,$T$34,$G$35,1200,9.28,-1*$F$36)</f>
        <v>0.30000000000001231</v>
      </c>
      <c r="AR35" s="9"/>
      <c r="AS35" s="9"/>
      <c r="AT35" s="9"/>
      <c r="AU35" s="447"/>
      <c r="AV35" s="447"/>
      <c r="AW35" s="468" t="str">
        <f>IF(C35&gt;0,VLOOKUP(C35,Foundation_Calc!$A$2:$C$13,3,1),
IF(J35&gt;0,VLOOKUP(J35,Foundation_Calc!$A$2:$C$13,3,1),""))</f>
        <v>MultiSoil</v>
      </c>
      <c r="AX35" s="468" t="str">
        <f>IF(C35&gt;0,VLOOKUP(C35,Foundation_Calc!$E$2:$G$13,3,1),
IF(J35&gt;0,VLOOKUP(J35,Foundation_Calc!$E$2:$G$13,3,1),""))</f>
        <v>PT</v>
      </c>
      <c r="AY35" s="10" t="str">
        <f>IF(L35="","",
IF(AX35="PT",VLOOKUP(L35,Foundation_Calc!$K$4:$R$37,VLOOKUP(AW35,Foundation_Calc!$I$2:$J$8,2,FALSE),0),
IF(AX35="K",VLOOKUP(L35,Foundation_Calc!$K$41:$R$74,VLOOKUP(AW35,Foundation_Calc!$I$2:$J$8,2,FALSE),0),"")))</f>
        <v/>
      </c>
      <c r="AZ35" s="10">
        <f>IF(K35="","",
IF(AX35="PT",VLOOKUP(K35,Foundation_Calc!$K$4:$R$37,VLOOKUP(AW35,Foundation_Calc!$I$2:$J$8,2,FALSE),0),
IF(AX35="K",VLOOKUP(K35,Foundation_Calc!$K$41:$R$74,VLOOKUP(AW35,Foundation_Calc!$I$2:$J$8,2,FALSE),0),"")))</f>
        <v>3.9</v>
      </c>
      <c r="BA35" s="553" t="str">
        <f t="shared" si="1"/>
        <v/>
      </c>
      <c r="BB35" s="553" t="str">
        <f t="shared" si="1"/>
        <v>ü</v>
      </c>
      <c r="BC35" s="553" t="str">
        <f t="shared" si="2"/>
        <v/>
      </c>
      <c r="BD35" s="572" t="str">
        <f>IF(AND(L35="",H35=""),"",
IF(H35="",Pole_Calc!A39,
IF(H35="MP",Pole_Calc!A40,
IF(H35="AnMP",Pole_Calc!A41,
IF(H35="A",Pole_Calc!A42,
IF(H35="S/A",Pole_Calc!A43,
IF(H35="A/S",Pole_Calc!A44,"Poner a mano")))))))</f>
        <v/>
      </c>
      <c r="BE35" s="448" t="s">
        <v>1726</v>
      </c>
      <c r="BF35" s="305"/>
      <c r="BG35" s="305"/>
      <c r="BH35" s="306"/>
      <c r="BI35" s="305"/>
    </row>
    <row r="36" spans="1:61" ht="16.2" customHeight="1">
      <c r="A36" s="573" t="s">
        <v>383</v>
      </c>
      <c r="B36" s="469" t="s">
        <v>2101</v>
      </c>
      <c r="C36" s="3">
        <f>+$C$34+$G$35</f>
        <v>357.98999999999995</v>
      </c>
      <c r="D36" s="88"/>
      <c r="E36" s="4"/>
      <c r="F36" s="4">
        <v>-271</v>
      </c>
      <c r="G36" s="6"/>
      <c r="H36" s="468"/>
      <c r="I36" s="468" t="s">
        <v>485</v>
      </c>
      <c r="J36" s="3">
        <f>C34+10</f>
        <v>344.68999999999994</v>
      </c>
      <c r="K36" s="468" t="s">
        <v>451</v>
      </c>
      <c r="L36" s="468"/>
      <c r="M36" s="468" t="str">
        <f>IF(L36="","",
IF(AX36="PT",VLOOKUP(L36,Foundation_Calc!$V$4:$X$37,VLOOKUP(AX36,Foundation_Calc!$I$10:$J$13,2,FALSE),0),
IF(AX36="K",VLOOKUP(L36,Foundation_Calc!$V$41:$X$74,VLOOKUP(AX36,Foundation_Calc!$I$10:$J$13,2,FALSE),0),"")))</f>
        <v/>
      </c>
      <c r="N36" s="468" t="s">
        <v>191</v>
      </c>
      <c r="O36" s="468"/>
      <c r="P36" s="468"/>
      <c r="Q36" s="4"/>
      <c r="R36" s="6"/>
      <c r="S36" s="6"/>
      <c r="T36" s="4">
        <v>-25</v>
      </c>
      <c r="U36" s="4"/>
      <c r="V36" s="4"/>
      <c r="W36" s="9">
        <v>1</v>
      </c>
      <c r="X36" s="9"/>
      <c r="Y36" s="9"/>
      <c r="Z36" s="9"/>
      <c r="AA36" s="9"/>
      <c r="AB36" s="9"/>
      <c r="AC36" s="468" t="s">
        <v>1341</v>
      </c>
      <c r="AD36" s="468"/>
      <c r="AE36" s="468"/>
      <c r="AF36" s="4"/>
      <c r="AG36" s="88"/>
      <c r="AH36" s="4"/>
      <c r="AI36" s="4"/>
      <c r="AJ36" s="468"/>
      <c r="AK36" s="468" t="s">
        <v>773</v>
      </c>
      <c r="AL36" s="468"/>
      <c r="AM36" s="468"/>
      <c r="AN36" s="10">
        <v>5.15</v>
      </c>
      <c r="AO36" s="9"/>
      <c r="AP36" s="9"/>
      <c r="AQ36" s="9"/>
      <c r="AR36" s="9"/>
      <c r="AS36" s="9"/>
      <c r="AT36" s="9">
        <f>+ab($T$36,$T$34,$T$38,$G$35,$G$37,-1*$F$36,1200)</f>
        <v>3.2259786827936487</v>
      </c>
      <c r="AU36" s="447"/>
      <c r="AV36" s="447"/>
      <c r="AW36" s="468" t="s">
        <v>199</v>
      </c>
      <c r="AX36" s="468" t="s">
        <v>199</v>
      </c>
      <c r="AY36" s="10"/>
      <c r="AZ36" s="10"/>
      <c r="BA36" s="553" t="str">
        <f t="shared" si="1"/>
        <v/>
      </c>
      <c r="BB36" s="553" t="str">
        <f t="shared" si="1"/>
        <v/>
      </c>
      <c r="BC36" s="553" t="str">
        <f t="shared" si="2"/>
        <v/>
      </c>
      <c r="BD36" s="572"/>
      <c r="BE36" s="448" t="s">
        <v>1726</v>
      </c>
      <c r="BF36" s="306"/>
      <c r="BG36" s="306"/>
      <c r="BH36" s="306"/>
      <c r="BI36" s="306"/>
    </row>
    <row r="37" spans="1:61" ht="16.2" customHeight="1">
      <c r="A37" s="624" t="s">
        <v>383</v>
      </c>
      <c r="B37" s="469"/>
      <c r="C37" s="3"/>
      <c r="D37" s="88"/>
      <c r="E37" s="4"/>
      <c r="F37" s="4"/>
      <c r="G37" s="6">
        <v>21.7</v>
      </c>
      <c r="H37" s="468"/>
      <c r="I37" s="468"/>
      <c r="J37" s="3"/>
      <c r="K37" s="468"/>
      <c r="L37" s="468"/>
      <c r="M37" s="468" t="str">
        <f>IF(L37="","",
IF(AX37="PT",VLOOKUP(L37,Foundation_Calc!$V$4:$X$37,VLOOKUP(AX37,Foundation_Calc!$I$10:$J$13,2,FALSE),0),
IF(AX37="K",VLOOKUP(L37,Foundation_Calc!$V$41:$X$74,VLOOKUP(AX37,Foundation_Calc!$I$10:$J$13,2,FALSE),0),"")))</f>
        <v/>
      </c>
      <c r="N37" s="468"/>
      <c r="O37" s="468"/>
      <c r="P37" s="468"/>
      <c r="Q37" s="4"/>
      <c r="R37" s="6"/>
      <c r="S37" s="6"/>
      <c r="T37" s="4"/>
      <c r="U37" s="4"/>
      <c r="V37" s="4"/>
      <c r="W37" s="9"/>
      <c r="X37" s="9"/>
      <c r="Y37" s="9"/>
      <c r="Z37" s="9"/>
      <c r="AA37" s="9"/>
      <c r="AB37" s="9"/>
      <c r="AC37" s="468" t="s">
        <v>195</v>
      </c>
      <c r="AD37" s="468"/>
      <c r="AE37" s="468"/>
      <c r="AF37" s="4"/>
      <c r="AG37" s="88"/>
      <c r="AH37" s="4"/>
      <c r="AI37" s="4"/>
      <c r="AJ37" s="468"/>
      <c r="AK37" s="468"/>
      <c r="AL37" s="468"/>
      <c r="AM37" s="468"/>
      <c r="AN37" s="10"/>
      <c r="AO37" s="9"/>
      <c r="AP37" s="9"/>
      <c r="AQ37" s="9"/>
      <c r="AR37" s="9"/>
      <c r="AS37" s="9"/>
      <c r="AT37" s="9"/>
      <c r="AU37" s="447"/>
      <c r="AV37" s="447"/>
      <c r="AW37" s="468"/>
      <c r="AX37" s="468"/>
      <c r="AY37" s="10"/>
      <c r="AZ37" s="10"/>
      <c r="BA37" s="553" t="str">
        <f t="shared" si="1"/>
        <v/>
      </c>
      <c r="BB37" s="553" t="str">
        <f t="shared" si="1"/>
        <v/>
      </c>
      <c r="BC37" s="553" t="str">
        <f t="shared" si="2"/>
        <v/>
      </c>
      <c r="BD37" s="572"/>
      <c r="BE37" s="448" t="s">
        <v>1726</v>
      </c>
      <c r="BF37" s="305"/>
      <c r="BG37" s="305"/>
      <c r="BH37" s="306"/>
      <c r="BI37" s="305"/>
    </row>
    <row r="38" spans="1:61" ht="16.2" customHeight="1">
      <c r="A38" s="624" t="s">
        <v>383</v>
      </c>
      <c r="B38" s="469" t="s">
        <v>2102</v>
      </c>
      <c r="C38" s="3">
        <f>+$C$36+$G$37</f>
        <v>379.68999999999994</v>
      </c>
      <c r="D38" s="88"/>
      <c r="E38" s="4"/>
      <c r="F38" s="4">
        <v>-271</v>
      </c>
      <c r="G38" s="6"/>
      <c r="H38" s="468" t="s">
        <v>26</v>
      </c>
      <c r="I38" s="468" t="s">
        <v>339</v>
      </c>
      <c r="J38" s="3">
        <f>C38+10</f>
        <v>389.68999999999994</v>
      </c>
      <c r="K38" s="468" t="s">
        <v>447</v>
      </c>
      <c r="L38" s="468"/>
      <c r="M38" s="468" t="str">
        <f>IF(L38="","",
IF(AX38="PT",VLOOKUP(L38,Foundation_Calc!$V$4:$X$37,VLOOKUP(AX38,Foundation_Calc!$I$10:$J$13,2,FALSE),0),
IF(AX38="K",VLOOKUP(L38,Foundation_Calc!$V$41:$X$74,VLOOKUP(AX38,Foundation_Calc!$I$10:$J$13,2,FALSE),0),"")))</f>
        <v/>
      </c>
      <c r="N38" s="468" t="s">
        <v>191</v>
      </c>
      <c r="O38" s="468"/>
      <c r="P38" s="468"/>
      <c r="Q38" s="4"/>
      <c r="R38" s="6"/>
      <c r="S38" s="6"/>
      <c r="T38" s="4">
        <v>-25</v>
      </c>
      <c r="U38" s="4"/>
      <c r="V38" s="4"/>
      <c r="W38" s="9">
        <v>1</v>
      </c>
      <c r="X38" s="9"/>
      <c r="Y38" s="9"/>
      <c r="Z38" s="9"/>
      <c r="AA38" s="9"/>
      <c r="AB38" s="9"/>
      <c r="AC38" s="468" t="s">
        <v>1341</v>
      </c>
      <c r="AD38" s="468"/>
      <c r="AE38" s="468"/>
      <c r="AF38" s="4"/>
      <c r="AG38" s="88"/>
      <c r="AH38" s="4"/>
      <c r="AI38" s="4"/>
      <c r="AJ38" s="468"/>
      <c r="AK38" s="468" t="s">
        <v>773</v>
      </c>
      <c r="AL38" s="468"/>
      <c r="AM38" s="468"/>
      <c r="AN38" s="10">
        <v>5.15</v>
      </c>
      <c r="AO38" s="9"/>
      <c r="AP38" s="9"/>
      <c r="AQ38" s="9"/>
      <c r="AR38" s="9"/>
      <c r="AS38" s="9"/>
      <c r="AT38" s="9"/>
      <c r="AU38" s="447"/>
      <c r="AV38" s="447"/>
      <c r="AW38" s="468" t="s">
        <v>199</v>
      </c>
      <c r="AX38" s="468" t="s">
        <v>199</v>
      </c>
      <c r="AY38" s="10"/>
      <c r="AZ38" s="10"/>
      <c r="BA38" s="553" t="str">
        <f t="shared" si="1"/>
        <v/>
      </c>
      <c r="BB38" s="553" t="str">
        <f t="shared" si="1"/>
        <v/>
      </c>
      <c r="BC38" s="553" t="str">
        <f t="shared" si="2"/>
        <v/>
      </c>
      <c r="BD38" s="572"/>
      <c r="BE38" s="448" t="s">
        <v>1726</v>
      </c>
      <c r="BF38" s="306"/>
      <c r="BG38" s="306"/>
      <c r="BH38" s="306"/>
      <c r="BI38" s="306"/>
    </row>
    <row r="39" spans="1:61" ht="16.2" customHeight="1">
      <c r="A39" s="624" t="s">
        <v>383</v>
      </c>
      <c r="B39" s="469"/>
      <c r="C39" s="3"/>
      <c r="D39" s="88"/>
      <c r="E39" s="4"/>
      <c r="F39" s="4"/>
      <c r="G39" s="6">
        <v>21.5</v>
      </c>
      <c r="H39" s="468"/>
      <c r="I39" s="468"/>
      <c r="J39" s="3"/>
      <c r="K39" s="468"/>
      <c r="L39" s="468"/>
      <c r="M39" s="468" t="str">
        <f>IF(L39="","",
IF(AX39="PT",VLOOKUP(L39,Foundation_Calc!$V$4:$X$37,VLOOKUP(AX39,Foundation_Calc!$I$10:$J$13,2,FALSE),0),
IF(AX39="K",VLOOKUP(L39,Foundation_Calc!$V$41:$X$74,VLOOKUP(AX39,Foundation_Calc!$I$10:$J$13,2,FALSE),0),"")))</f>
        <v/>
      </c>
      <c r="N39" s="468"/>
      <c r="O39" s="468"/>
      <c r="P39" s="468"/>
      <c r="Q39" s="4"/>
      <c r="R39" s="6"/>
      <c r="S39" s="6"/>
      <c r="T39" s="4"/>
      <c r="U39" s="4"/>
      <c r="V39" s="4"/>
      <c r="W39" s="9"/>
      <c r="X39" s="9"/>
      <c r="Y39" s="9"/>
      <c r="Z39" s="9"/>
      <c r="AA39" s="9"/>
      <c r="AB39" s="9"/>
      <c r="AC39" s="468" t="s">
        <v>195</v>
      </c>
      <c r="AD39" s="468"/>
      <c r="AE39" s="468"/>
      <c r="AF39" s="4"/>
      <c r="AG39" s="88"/>
      <c r="AH39" s="4"/>
      <c r="AI39" s="4"/>
      <c r="AJ39" s="468"/>
      <c r="AK39" s="468"/>
      <c r="AL39" s="468"/>
      <c r="AM39" s="468"/>
      <c r="AN39" s="10"/>
      <c r="AO39" s="9"/>
      <c r="AP39" s="9"/>
      <c r="AQ39" s="9"/>
      <c r="AR39" s="9"/>
      <c r="AS39" s="9"/>
      <c r="AT39" s="9"/>
      <c r="AU39" s="447"/>
      <c r="AV39" s="447"/>
      <c r="AW39" s="468"/>
      <c r="AX39" s="468"/>
      <c r="AY39" s="10"/>
      <c r="AZ39" s="10"/>
      <c r="BA39" s="553" t="str">
        <f t="shared" si="1"/>
        <v/>
      </c>
      <c r="BB39" s="553" t="str">
        <f t="shared" si="1"/>
        <v/>
      </c>
      <c r="BC39" s="553" t="str">
        <f t="shared" si="2"/>
        <v/>
      </c>
      <c r="BD39" s="572"/>
      <c r="BE39" s="448" t="s">
        <v>1726</v>
      </c>
      <c r="BF39" s="305"/>
      <c r="BG39" s="305"/>
      <c r="BH39" s="306"/>
      <c r="BI39" s="305"/>
    </row>
    <row r="40" spans="1:61" ht="16.2" customHeight="1">
      <c r="A40" s="624" t="s">
        <v>383</v>
      </c>
      <c r="B40" s="469" t="s">
        <v>2103</v>
      </c>
      <c r="C40" s="3">
        <f>+$C$38+$G$39</f>
        <v>401.18999999999994</v>
      </c>
      <c r="D40" s="88"/>
      <c r="E40" s="4"/>
      <c r="F40" s="4">
        <v>-271</v>
      </c>
      <c r="G40" s="6"/>
      <c r="H40" s="468" t="s">
        <v>179</v>
      </c>
      <c r="I40" s="468"/>
      <c r="J40" s="3"/>
      <c r="K40" s="468"/>
      <c r="L40" s="468"/>
      <c r="M40" s="468" t="str">
        <f>IF(L40="","",
IF(AX40="PT",VLOOKUP(L40,Foundation_Calc!$V$4:$X$37,VLOOKUP(AX40,Foundation_Calc!$I$10:$J$13,2,FALSE),0),
IF(AX40="K",VLOOKUP(L40,Foundation_Calc!$V$41:$X$74,VLOOKUP(AX40,Foundation_Calc!$I$10:$J$13,2,FALSE),0),"")))</f>
        <v/>
      </c>
      <c r="N40" s="468" t="s">
        <v>193</v>
      </c>
      <c r="O40" s="468" t="s">
        <v>192</v>
      </c>
      <c r="P40" s="468"/>
      <c r="Q40" s="4"/>
      <c r="R40" s="6"/>
      <c r="S40" s="6"/>
      <c r="T40" s="4">
        <v>-10</v>
      </c>
      <c r="U40" s="4">
        <v>-30</v>
      </c>
      <c r="V40" s="4"/>
      <c r="W40" s="9">
        <v>0.8</v>
      </c>
      <c r="X40" s="9">
        <v>1</v>
      </c>
      <c r="Y40" s="9"/>
      <c r="Z40" s="9">
        <v>0.3</v>
      </c>
      <c r="AA40" s="9"/>
      <c r="AB40" s="9"/>
      <c r="AC40" s="468"/>
      <c r="AD40" s="468"/>
      <c r="AE40" s="468"/>
      <c r="AF40" s="4"/>
      <c r="AG40" s="88"/>
      <c r="AH40" s="4"/>
      <c r="AI40" s="4"/>
      <c r="AJ40" s="468"/>
      <c r="AK40" s="468" t="s">
        <v>42</v>
      </c>
      <c r="AL40" s="468"/>
      <c r="AM40" s="468"/>
      <c r="AN40" s="10">
        <v>5.15</v>
      </c>
      <c r="AO40" s="9"/>
      <c r="AP40" s="9"/>
      <c r="AQ40" s="9"/>
      <c r="AR40" s="9"/>
      <c r="AS40" s="9"/>
      <c r="AT40" s="9"/>
      <c r="AU40" s="447"/>
      <c r="AV40" s="447"/>
      <c r="AW40" s="468" t="s">
        <v>199</v>
      </c>
      <c r="AX40" s="468" t="s">
        <v>199</v>
      </c>
      <c r="AY40" s="10"/>
      <c r="AZ40" s="10"/>
      <c r="BA40" s="553" t="str">
        <f t="shared" si="1"/>
        <v/>
      </c>
      <c r="BB40" s="553" t="str">
        <f t="shared" si="1"/>
        <v/>
      </c>
      <c r="BC40" s="553" t="str">
        <f t="shared" si="2"/>
        <v/>
      </c>
      <c r="BD40" s="572"/>
      <c r="BE40" s="448" t="s">
        <v>1726</v>
      </c>
      <c r="BF40" s="306"/>
      <c r="BG40" s="306"/>
      <c r="BH40" s="306"/>
      <c r="BI40" s="306"/>
    </row>
    <row r="41" spans="1:61" ht="16.2" customHeight="1">
      <c r="A41" s="624" t="s">
        <v>383</v>
      </c>
      <c r="B41" s="469"/>
      <c r="C41" s="3"/>
      <c r="D41" s="88"/>
      <c r="E41" s="4"/>
      <c r="F41" s="4"/>
      <c r="G41" s="6">
        <v>20</v>
      </c>
      <c r="H41" s="468"/>
      <c r="I41" s="468"/>
      <c r="J41" s="3"/>
      <c r="K41" s="468"/>
      <c r="L41" s="468"/>
      <c r="M41" s="468" t="str">
        <f>IF(L41="","",
IF(AX41="PT",VLOOKUP(L41,Foundation_Calc!$V$4:$X$37,VLOOKUP(AX41,Foundation_Calc!$I$10:$J$13,2,FALSE),0),
IF(AX41="K",VLOOKUP(L41,Foundation_Calc!$V$41:$X$74,VLOOKUP(AX41,Foundation_Calc!$I$10:$J$13,2,FALSE),0),"")))</f>
        <v/>
      </c>
      <c r="N41" s="468"/>
      <c r="O41" s="468"/>
      <c r="P41" s="468"/>
      <c r="Q41" s="4"/>
      <c r="R41" s="6"/>
      <c r="S41" s="6"/>
      <c r="T41" s="4"/>
      <c r="U41" s="4"/>
      <c r="V41" s="4"/>
      <c r="W41" s="9"/>
      <c r="X41" s="9"/>
      <c r="Y41" s="9"/>
      <c r="Z41" s="9"/>
      <c r="AA41" s="9"/>
      <c r="AB41" s="9"/>
      <c r="AC41" s="468"/>
      <c r="AD41" s="468"/>
      <c r="AE41" s="468"/>
      <c r="AF41" s="4"/>
      <c r="AG41" s="88"/>
      <c r="AH41" s="4"/>
      <c r="AI41" s="4"/>
      <c r="AJ41" s="468"/>
      <c r="AK41" s="468"/>
      <c r="AL41" s="468"/>
      <c r="AM41" s="468"/>
      <c r="AN41" s="10"/>
      <c r="AO41" s="9"/>
      <c r="AP41" s="9"/>
      <c r="AQ41" s="9"/>
      <c r="AR41" s="9"/>
      <c r="AS41" s="9"/>
      <c r="AT41" s="9"/>
      <c r="AU41" s="447"/>
      <c r="AV41" s="447"/>
      <c r="AW41" s="468"/>
      <c r="AX41" s="468"/>
      <c r="AY41" s="10"/>
      <c r="AZ41" s="10"/>
      <c r="BA41" s="553" t="str">
        <f t="shared" si="1"/>
        <v/>
      </c>
      <c r="BB41" s="553" t="str">
        <f t="shared" si="1"/>
        <v/>
      </c>
      <c r="BC41" s="553" t="str">
        <f t="shared" si="2"/>
        <v/>
      </c>
      <c r="BD41" s="572"/>
      <c r="BE41" s="448" t="s">
        <v>1726</v>
      </c>
      <c r="BF41" s="305"/>
      <c r="BG41" s="305"/>
      <c r="BH41" s="306"/>
      <c r="BI41" s="305"/>
    </row>
    <row r="42" spans="1:61" ht="16.2" customHeight="1">
      <c r="A42" s="624" t="s">
        <v>383</v>
      </c>
      <c r="B42" s="469" t="s">
        <v>2104</v>
      </c>
      <c r="C42" s="3">
        <f>+$C$40+$G$41</f>
        <v>421.18999999999994</v>
      </c>
      <c r="D42" s="88"/>
      <c r="E42" s="4"/>
      <c r="F42" s="4">
        <v>-271</v>
      </c>
      <c r="G42" s="6"/>
      <c r="H42" s="468" t="s">
        <v>180</v>
      </c>
      <c r="I42" s="468"/>
      <c r="J42" s="3"/>
      <c r="K42" s="468"/>
      <c r="L42" s="468"/>
      <c r="M42" s="468" t="str">
        <f>IF(L42="","",
IF(AX42="PT",VLOOKUP(L42,Foundation_Calc!$V$4:$X$37,VLOOKUP(AX42,Foundation_Calc!$I$10:$J$13,2,FALSE),0),
IF(AX42="K",VLOOKUP(L42,Foundation_Calc!$V$41:$X$74,VLOOKUP(AX42,Foundation_Calc!$I$10:$J$13,2,FALSE),0),"")))</f>
        <v/>
      </c>
      <c r="N42" s="468" t="s">
        <v>192</v>
      </c>
      <c r="O42" s="468" t="s">
        <v>192</v>
      </c>
      <c r="P42" s="468"/>
      <c r="Q42" s="4"/>
      <c r="R42" s="6"/>
      <c r="S42" s="6"/>
      <c r="T42" s="4">
        <v>-10</v>
      </c>
      <c r="U42" s="4">
        <v>-30</v>
      </c>
      <c r="V42" s="4"/>
      <c r="W42" s="9">
        <v>0.8</v>
      </c>
      <c r="X42" s="9">
        <v>1</v>
      </c>
      <c r="Y42" s="9"/>
      <c r="Z42" s="9">
        <v>0.1</v>
      </c>
      <c r="AA42" s="9"/>
      <c r="AB42" s="9"/>
      <c r="AC42" s="468"/>
      <c r="AD42" s="468"/>
      <c r="AE42" s="468"/>
      <c r="AF42" s="4"/>
      <c r="AG42" s="88"/>
      <c r="AH42" s="4"/>
      <c r="AI42" s="4"/>
      <c r="AJ42" s="468"/>
      <c r="AK42" s="468" t="s">
        <v>42</v>
      </c>
      <c r="AL42" s="468"/>
      <c r="AM42" s="468"/>
      <c r="AN42" s="10">
        <v>5.15</v>
      </c>
      <c r="AO42" s="9"/>
      <c r="AP42" s="9"/>
      <c r="AQ42" s="9"/>
      <c r="AR42" s="9"/>
      <c r="AS42" s="9"/>
      <c r="AT42" s="9"/>
      <c r="AU42" s="447"/>
      <c r="AV42" s="447"/>
      <c r="AW42" s="468" t="s">
        <v>199</v>
      </c>
      <c r="AX42" s="468" t="s">
        <v>199</v>
      </c>
      <c r="AY42" s="10"/>
      <c r="AZ42" s="10"/>
      <c r="BA42" s="553" t="str">
        <f t="shared" si="1"/>
        <v/>
      </c>
      <c r="BB42" s="553" t="str">
        <f t="shared" si="1"/>
        <v/>
      </c>
      <c r="BC42" s="553" t="str">
        <f t="shared" si="2"/>
        <v/>
      </c>
      <c r="BD42" s="572"/>
      <c r="BE42" s="448" t="s">
        <v>1726</v>
      </c>
      <c r="BF42" s="306"/>
      <c r="BG42" s="306"/>
      <c r="BH42" s="306"/>
      <c r="BI42" s="306"/>
    </row>
    <row r="43" spans="1:61" ht="16.2" customHeight="1">
      <c r="A43" s="624" t="s">
        <v>383</v>
      </c>
      <c r="B43" s="469"/>
      <c r="C43" s="3"/>
      <c r="D43" s="88"/>
      <c r="E43" s="4"/>
      <c r="F43" s="4"/>
      <c r="G43" s="6">
        <v>21.7</v>
      </c>
      <c r="H43" s="468"/>
      <c r="I43" s="468"/>
      <c r="J43" s="3"/>
      <c r="K43" s="468"/>
      <c r="L43" s="468"/>
      <c r="M43" s="468" t="str">
        <f>IF(L43="","",
IF(AX43="PT",VLOOKUP(L43,Foundation_Calc!$V$4:$X$37,VLOOKUP(AX43,Foundation_Calc!$I$10:$J$13,2,FALSE),0),
IF(AX43="K",VLOOKUP(L43,Foundation_Calc!$V$41:$X$74,VLOOKUP(AX43,Foundation_Calc!$I$10:$J$13,2,FALSE),0),"")))</f>
        <v/>
      </c>
      <c r="N43" s="468"/>
      <c r="O43" s="468"/>
      <c r="P43" s="468"/>
      <c r="Q43" s="4"/>
      <c r="R43" s="6"/>
      <c r="S43" s="6"/>
      <c r="T43" s="4"/>
      <c r="U43" s="4"/>
      <c r="V43" s="4"/>
      <c r="W43" s="9"/>
      <c r="X43" s="9"/>
      <c r="Y43" s="9"/>
      <c r="Z43" s="9"/>
      <c r="AA43" s="9"/>
      <c r="AB43" s="9"/>
      <c r="AC43" s="468"/>
      <c r="AD43" s="468"/>
      <c r="AE43" s="468"/>
      <c r="AF43" s="4"/>
      <c r="AG43" s="88"/>
      <c r="AH43" s="4"/>
      <c r="AI43" s="4"/>
      <c r="AJ43" s="468"/>
      <c r="AK43" s="468"/>
      <c r="AL43" s="468"/>
      <c r="AM43" s="468"/>
      <c r="AN43" s="10"/>
      <c r="AO43" s="9"/>
      <c r="AP43" s="9"/>
      <c r="AQ43" s="9"/>
      <c r="AR43" s="9"/>
      <c r="AS43" s="9"/>
      <c r="AT43" s="9"/>
      <c r="AU43" s="447"/>
      <c r="AV43" s="447"/>
      <c r="AW43" s="468"/>
      <c r="AX43" s="468"/>
      <c r="AY43" s="10"/>
      <c r="AZ43" s="10"/>
      <c r="BA43" s="553" t="str">
        <f t="shared" si="1"/>
        <v/>
      </c>
      <c r="BB43" s="553" t="str">
        <f t="shared" si="1"/>
        <v/>
      </c>
      <c r="BC43" s="553" t="str">
        <f t="shared" si="2"/>
        <v/>
      </c>
      <c r="BD43" s="572"/>
      <c r="BE43" s="448" t="s">
        <v>1726</v>
      </c>
      <c r="BF43" s="305"/>
      <c r="BG43" s="305"/>
      <c r="BH43" s="306"/>
      <c r="BI43" s="305"/>
    </row>
    <row r="44" spans="1:61" ht="16.2" customHeight="1">
      <c r="A44" s="624" t="s">
        <v>383</v>
      </c>
      <c r="B44" s="469" t="s">
        <v>2105</v>
      </c>
      <c r="C44" s="3">
        <f>+$C$42+$G$43</f>
        <v>442.88999999999993</v>
      </c>
      <c r="D44" s="88"/>
      <c r="E44" s="4"/>
      <c r="F44" s="4">
        <v>-1022.31</v>
      </c>
      <c r="G44" s="6"/>
      <c r="H44" s="468" t="s">
        <v>180</v>
      </c>
      <c r="I44" s="468"/>
      <c r="J44" s="3"/>
      <c r="K44" s="468"/>
      <c r="L44" s="468"/>
      <c r="M44" s="468" t="str">
        <f>IF(L44="","",
IF(AX44="PT",VLOOKUP(L44,Foundation_Calc!$V$4:$X$37,VLOOKUP(AX44,Foundation_Calc!$I$10:$J$13,2,FALSE),0),
IF(AX44="K",VLOOKUP(L44,Foundation_Calc!$V$41:$X$74,VLOOKUP(AX44,Foundation_Calc!$I$10:$J$13,2,FALSE),0),"")))</f>
        <v/>
      </c>
      <c r="N44" s="468" t="s">
        <v>192</v>
      </c>
      <c r="O44" s="468" t="s">
        <v>192</v>
      </c>
      <c r="P44" s="468"/>
      <c r="Q44" s="4"/>
      <c r="R44" s="6"/>
      <c r="S44" s="6"/>
      <c r="T44" s="4">
        <v>-10</v>
      </c>
      <c r="U44" s="4">
        <v>-30</v>
      </c>
      <c r="V44" s="4"/>
      <c r="W44" s="9">
        <v>0.8</v>
      </c>
      <c r="X44" s="9">
        <v>1</v>
      </c>
      <c r="Y44" s="9"/>
      <c r="Z44" s="9"/>
      <c r="AA44" s="9">
        <v>0.1</v>
      </c>
      <c r="AB44" s="9"/>
      <c r="AC44" s="468" t="s">
        <v>1340</v>
      </c>
      <c r="AD44" s="468"/>
      <c r="AE44" s="468"/>
      <c r="AF44" s="4"/>
      <c r="AG44" s="88"/>
      <c r="AH44" s="4"/>
      <c r="AI44" s="4"/>
      <c r="AJ44" s="468"/>
      <c r="AK44" s="468" t="s">
        <v>42</v>
      </c>
      <c r="AL44" s="468"/>
      <c r="AM44" s="468"/>
      <c r="AN44" s="10">
        <v>5.15</v>
      </c>
      <c r="AO44" s="9"/>
      <c r="AP44" s="9"/>
      <c r="AQ44" s="9"/>
      <c r="AR44" s="9"/>
      <c r="AS44" s="9"/>
      <c r="AT44" s="9"/>
      <c r="AU44" s="447"/>
      <c r="AV44" s="447"/>
      <c r="AW44" s="468" t="s">
        <v>199</v>
      </c>
      <c r="AX44" s="468" t="s">
        <v>199</v>
      </c>
      <c r="AY44" s="10"/>
      <c r="AZ44" s="10"/>
      <c r="BA44" s="553" t="str">
        <f t="shared" si="1"/>
        <v/>
      </c>
      <c r="BB44" s="553" t="str">
        <f t="shared" si="1"/>
        <v/>
      </c>
      <c r="BC44" s="553" t="str">
        <f t="shared" si="2"/>
        <v/>
      </c>
      <c r="BD44" s="572"/>
      <c r="BE44" s="448" t="s">
        <v>1726</v>
      </c>
      <c r="BF44" s="306"/>
      <c r="BG44" s="306"/>
      <c r="BH44" s="306"/>
      <c r="BI44" s="306"/>
    </row>
    <row r="45" spans="1:61" ht="16.2" customHeight="1">
      <c r="A45" s="624" t="s">
        <v>383</v>
      </c>
      <c r="B45" s="469"/>
      <c r="C45" s="3"/>
      <c r="D45" s="88"/>
      <c r="E45" s="4"/>
      <c r="F45" s="4"/>
      <c r="G45" s="6">
        <v>22.9</v>
      </c>
      <c r="H45" s="468"/>
      <c r="I45" s="468"/>
      <c r="J45" s="3"/>
      <c r="K45" s="468"/>
      <c r="L45" s="468"/>
      <c r="M45" s="468" t="str">
        <f>IF(L45="","",
IF(AX45="PT",VLOOKUP(L45,Foundation_Calc!$V$4:$X$37,VLOOKUP(AX45,Foundation_Calc!$I$10:$J$13,2,FALSE),0),
IF(AX45="K",VLOOKUP(L45,Foundation_Calc!$V$41:$X$74,VLOOKUP(AX45,Foundation_Calc!$I$10:$J$13,2,FALSE),0),"")))</f>
        <v/>
      </c>
      <c r="N45" s="468"/>
      <c r="O45" s="468"/>
      <c r="P45" s="468"/>
      <c r="Q45" s="4"/>
      <c r="R45" s="6"/>
      <c r="S45" s="6"/>
      <c r="T45" s="4"/>
      <c r="U45" s="4"/>
      <c r="V45" s="4"/>
      <c r="W45" s="9"/>
      <c r="X45" s="9"/>
      <c r="Y45" s="9"/>
      <c r="Z45" s="9"/>
      <c r="AA45" s="9"/>
      <c r="AB45" s="9"/>
      <c r="AC45" s="468" t="s">
        <v>195</v>
      </c>
      <c r="AD45" s="468"/>
      <c r="AE45" s="468"/>
      <c r="AF45" s="4"/>
      <c r="AG45" s="88"/>
      <c r="AH45" s="4"/>
      <c r="AI45" s="4"/>
      <c r="AJ45" s="468"/>
      <c r="AK45" s="468"/>
      <c r="AL45" s="468"/>
      <c r="AM45" s="468"/>
      <c r="AN45" s="10"/>
      <c r="AO45" s="9"/>
      <c r="AP45" s="9"/>
      <c r="AQ45" s="9"/>
      <c r="AR45" s="9"/>
      <c r="AS45" s="9"/>
      <c r="AT45" s="9"/>
      <c r="AU45" s="447"/>
      <c r="AV45" s="447"/>
      <c r="AW45" s="468"/>
      <c r="AX45" s="468"/>
      <c r="AY45" s="10"/>
      <c r="AZ45" s="10"/>
      <c r="BA45" s="553" t="str">
        <f t="shared" si="1"/>
        <v/>
      </c>
      <c r="BB45" s="553" t="str">
        <f t="shared" si="1"/>
        <v/>
      </c>
      <c r="BC45" s="553" t="str">
        <f t="shared" si="2"/>
        <v/>
      </c>
      <c r="BD45" s="572"/>
      <c r="BE45" s="448" t="s">
        <v>1726</v>
      </c>
      <c r="BF45" s="305"/>
      <c r="BG45" s="305"/>
      <c r="BH45" s="306"/>
      <c r="BI45" s="305"/>
    </row>
    <row r="46" spans="1:61" ht="16.2" customHeight="1">
      <c r="A46" s="573" t="s">
        <v>2452</v>
      </c>
      <c r="B46" s="469" t="s">
        <v>2106</v>
      </c>
      <c r="C46" s="3">
        <f>+$C$44+$G$45</f>
        <v>465.78999999999991</v>
      </c>
      <c r="D46" s="88"/>
      <c r="E46" s="4"/>
      <c r="F46" s="4">
        <v>0</v>
      </c>
      <c r="G46" s="6"/>
      <c r="H46" s="468" t="s">
        <v>179</v>
      </c>
      <c r="I46" s="468"/>
      <c r="J46" s="3"/>
      <c r="K46" s="468"/>
      <c r="L46" s="468"/>
      <c r="M46" s="468" t="str">
        <f>IF(L46="","",
IF(AX46="PT",VLOOKUP(L46,Foundation_Calc!$V$4:$X$37,VLOOKUP(AX46,Foundation_Calc!$I$10:$J$13,2,FALSE),0),
IF(AX46="K",VLOOKUP(L46,Foundation_Calc!$V$41:$X$74,VLOOKUP(AX46,Foundation_Calc!$I$10:$J$13,2,FALSE),0),"")))</f>
        <v/>
      </c>
      <c r="N46" s="468" t="s">
        <v>191</v>
      </c>
      <c r="O46" s="468" t="s">
        <v>193</v>
      </c>
      <c r="P46" s="468"/>
      <c r="Q46" s="4"/>
      <c r="R46" s="6"/>
      <c r="S46" s="6"/>
      <c r="T46" s="4">
        <v>20</v>
      </c>
      <c r="U46" s="4">
        <v>0</v>
      </c>
      <c r="V46" s="4"/>
      <c r="W46" s="9">
        <v>0.8</v>
      </c>
      <c r="X46" s="9">
        <v>1</v>
      </c>
      <c r="Y46" s="9"/>
      <c r="Z46" s="9"/>
      <c r="AA46" s="9">
        <v>0.3</v>
      </c>
      <c r="AB46" s="9"/>
      <c r="AC46" s="468" t="s">
        <v>1340</v>
      </c>
      <c r="AD46" s="468"/>
      <c r="AE46" s="468"/>
      <c r="AF46" s="4"/>
      <c r="AG46" s="88"/>
      <c r="AH46" s="4"/>
      <c r="AI46" s="4"/>
      <c r="AJ46" s="468"/>
      <c r="AK46" s="468" t="s">
        <v>42</v>
      </c>
      <c r="AL46" s="468"/>
      <c r="AM46" s="468"/>
      <c r="AN46" s="10">
        <v>5.15</v>
      </c>
      <c r="AO46" s="9"/>
      <c r="AP46" s="9"/>
      <c r="AQ46" s="9"/>
      <c r="AR46" s="9"/>
      <c r="AS46" s="9"/>
      <c r="AT46" s="9"/>
      <c r="AU46" s="447"/>
      <c r="AV46" s="447"/>
      <c r="AW46" s="468" t="s">
        <v>199</v>
      </c>
      <c r="AX46" s="468" t="s">
        <v>199</v>
      </c>
      <c r="AY46" s="10"/>
      <c r="AZ46" s="10"/>
      <c r="BA46" s="553" t="str">
        <f t="shared" si="1"/>
        <v/>
      </c>
      <c r="BB46" s="553" t="str">
        <f t="shared" si="1"/>
        <v/>
      </c>
      <c r="BC46" s="553" t="str">
        <f t="shared" si="2"/>
        <v/>
      </c>
      <c r="BD46" s="572"/>
      <c r="BE46" s="448" t="s">
        <v>1726</v>
      </c>
      <c r="BF46" s="306"/>
      <c r="BG46" s="306"/>
      <c r="BH46" s="306"/>
      <c r="BI46" s="306"/>
    </row>
    <row r="47" spans="1:61" ht="16.2" customHeight="1">
      <c r="A47" s="579" t="s">
        <v>2452</v>
      </c>
      <c r="B47" s="469"/>
      <c r="C47" s="3"/>
      <c r="D47" s="88"/>
      <c r="E47" s="4"/>
      <c r="F47" s="4"/>
      <c r="G47" s="6">
        <v>30</v>
      </c>
      <c r="H47" s="468"/>
      <c r="I47" s="4">
        <f>SUM(G7:G47)</f>
        <v>505.7999999999999</v>
      </c>
      <c r="J47" s="3"/>
      <c r="K47" s="468"/>
      <c r="L47" s="468"/>
      <c r="M47" s="468" t="str">
        <f>IF(L47="","",
IF(AX47="PT",VLOOKUP(L47,Foundation_Calc!$V$4:$X$37,VLOOKUP(AX47,Foundation_Calc!$I$10:$J$13,2,FALSE),0),
IF(AX47="K",VLOOKUP(L47,Foundation_Calc!$V$41:$X$74,VLOOKUP(AX47,Foundation_Calc!$I$10:$J$13,2,FALSE),0),"")))</f>
        <v/>
      </c>
      <c r="N47" s="468"/>
      <c r="O47" s="468"/>
      <c r="P47" s="468"/>
      <c r="Q47" s="4"/>
      <c r="R47" s="6"/>
      <c r="S47" s="6"/>
      <c r="T47" s="4"/>
      <c r="U47" s="4"/>
      <c r="V47" s="4"/>
      <c r="W47" s="9"/>
      <c r="X47" s="9"/>
      <c r="Y47" s="9"/>
      <c r="Z47" s="9"/>
      <c r="AA47" s="9"/>
      <c r="AB47" s="9"/>
      <c r="AC47" s="468" t="s">
        <v>195</v>
      </c>
      <c r="AD47" s="468"/>
      <c r="AE47" s="468"/>
      <c r="AF47" s="4"/>
      <c r="AG47" s="88"/>
      <c r="AH47" s="4"/>
      <c r="AI47" s="4"/>
      <c r="AJ47" s="468"/>
      <c r="AK47" s="468"/>
      <c r="AL47" s="468"/>
      <c r="AM47" s="468"/>
      <c r="AN47" s="10"/>
      <c r="AO47" s="9"/>
      <c r="AP47" s="9"/>
      <c r="AQ47" s="9"/>
      <c r="AR47" s="9"/>
      <c r="AS47" s="9"/>
      <c r="AT47" s="9"/>
      <c r="AU47" s="447"/>
      <c r="AV47" s="447"/>
      <c r="AW47" s="468"/>
      <c r="AX47" s="468"/>
      <c r="AY47" s="10"/>
      <c r="AZ47" s="10"/>
      <c r="BA47" s="553" t="str">
        <f t="shared" si="1"/>
        <v/>
      </c>
      <c r="BB47" s="553" t="str">
        <f t="shared" si="1"/>
        <v/>
      </c>
      <c r="BC47" s="553" t="str">
        <f t="shared" si="2"/>
        <v/>
      </c>
      <c r="BD47" s="572"/>
      <c r="BE47" s="448" t="s">
        <v>1726</v>
      </c>
      <c r="BF47" s="305"/>
      <c r="BG47" s="305"/>
      <c r="BH47" s="306"/>
      <c r="BI47" s="305"/>
    </row>
    <row r="48" spans="1:61" ht="16.2" customHeight="1">
      <c r="A48" s="579" t="s">
        <v>2452</v>
      </c>
      <c r="B48" s="469" t="s">
        <v>2107</v>
      </c>
      <c r="C48" s="3">
        <f>+$C$46+$G$47</f>
        <v>495.78999999999991</v>
      </c>
      <c r="D48" s="88"/>
      <c r="E48" s="4"/>
      <c r="F48" s="4">
        <v>0</v>
      </c>
      <c r="G48" s="6"/>
      <c r="H48" s="468" t="s">
        <v>26</v>
      </c>
      <c r="I48" s="468" t="s">
        <v>339</v>
      </c>
      <c r="J48" s="3">
        <f>C48-10</f>
        <v>485.78999999999991</v>
      </c>
      <c r="K48" s="468" t="s">
        <v>447</v>
      </c>
      <c r="L48" s="468"/>
      <c r="M48" s="468" t="str">
        <f>IF(L48="","",
IF(AX48="PT",VLOOKUP(L48,Foundation_Calc!$V$4:$X$37,VLOOKUP(AX48,Foundation_Calc!$I$10:$J$13,2,FALSE),0),
IF(AX48="K",VLOOKUP(L48,Foundation_Calc!$V$41:$X$74,VLOOKUP(AX48,Foundation_Calc!$I$10:$J$13,2,FALSE),0),"")))</f>
        <v/>
      </c>
      <c r="N48" s="468" t="s">
        <v>191</v>
      </c>
      <c r="O48" s="468"/>
      <c r="P48" s="468"/>
      <c r="Q48" s="4"/>
      <c r="R48" s="6"/>
      <c r="S48" s="6"/>
      <c r="T48" s="4">
        <v>25</v>
      </c>
      <c r="U48" s="4"/>
      <c r="V48" s="4"/>
      <c r="W48" s="9">
        <v>1</v>
      </c>
      <c r="X48" s="9"/>
      <c r="Y48" s="9"/>
      <c r="Z48" s="9"/>
      <c r="AA48" s="9"/>
      <c r="AB48" s="9"/>
      <c r="AC48" s="468" t="s">
        <v>1340</v>
      </c>
      <c r="AD48" s="468"/>
      <c r="AE48" s="468"/>
      <c r="AF48" s="4"/>
      <c r="AG48" s="88"/>
      <c r="AH48" s="4"/>
      <c r="AI48" s="4"/>
      <c r="AJ48" s="468"/>
      <c r="AK48" s="468" t="s">
        <v>41</v>
      </c>
      <c r="AL48" s="468"/>
      <c r="AM48" s="468"/>
      <c r="AN48" s="10">
        <v>5.15</v>
      </c>
      <c r="AO48" s="9"/>
      <c r="AP48" s="9"/>
      <c r="AQ48" s="9"/>
      <c r="AR48" s="9"/>
      <c r="AS48" s="9"/>
      <c r="AT48" s="9"/>
      <c r="AU48" s="447"/>
      <c r="AV48" s="447"/>
      <c r="AW48" s="468" t="s">
        <v>199</v>
      </c>
      <c r="AX48" s="468" t="s">
        <v>199</v>
      </c>
      <c r="AY48" s="10"/>
      <c r="AZ48" s="10"/>
      <c r="BA48" s="553" t="str">
        <f t="shared" si="1"/>
        <v/>
      </c>
      <c r="BB48" s="553" t="str">
        <f t="shared" si="1"/>
        <v/>
      </c>
      <c r="BC48" s="553" t="str">
        <f t="shared" si="2"/>
        <v/>
      </c>
      <c r="BD48" s="572"/>
      <c r="BE48" s="448" t="s">
        <v>1726</v>
      </c>
      <c r="BF48" s="306"/>
      <c r="BG48" s="306"/>
      <c r="BH48" s="306"/>
      <c r="BI48" s="306"/>
    </row>
    <row r="49" spans="1:61" ht="16.2" customHeight="1">
      <c r="A49" s="579" t="s">
        <v>2452</v>
      </c>
      <c r="B49" s="469"/>
      <c r="C49" s="3"/>
      <c r="D49" s="88"/>
      <c r="E49" s="4"/>
      <c r="F49" s="4"/>
      <c r="G49" s="6">
        <v>34</v>
      </c>
      <c r="H49" s="468"/>
      <c r="I49" s="468"/>
      <c r="J49" s="3"/>
      <c r="K49" s="468"/>
      <c r="L49" s="468"/>
      <c r="M49" s="468" t="str">
        <f>IF(L49="","",
IF(AX49="PT",VLOOKUP(L49,Foundation_Calc!$V$4:$X$37,VLOOKUP(AX49,Foundation_Calc!$I$10:$J$13,2,FALSE),0),
IF(AX49="K",VLOOKUP(L49,Foundation_Calc!$V$41:$X$74,VLOOKUP(AX49,Foundation_Calc!$I$10:$J$13,2,FALSE),0),"")))</f>
        <v/>
      </c>
      <c r="N49" s="468"/>
      <c r="O49" s="468"/>
      <c r="P49" s="468"/>
      <c r="Q49" s="4"/>
      <c r="R49" s="6"/>
      <c r="S49" s="6"/>
      <c r="T49" s="4"/>
      <c r="U49" s="4"/>
      <c r="V49" s="4"/>
      <c r="W49" s="9"/>
      <c r="X49" s="9"/>
      <c r="Y49" s="9"/>
      <c r="Z49" s="9"/>
      <c r="AA49" s="9"/>
      <c r="AB49" s="9"/>
      <c r="AC49" s="468" t="s">
        <v>195</v>
      </c>
      <c r="AD49" s="468"/>
      <c r="AE49" s="468"/>
      <c r="AF49" s="4"/>
      <c r="AG49" s="88"/>
      <c r="AH49" s="4"/>
      <c r="AI49" s="4"/>
      <c r="AJ49" s="468"/>
      <c r="AK49" s="468"/>
      <c r="AL49" s="468"/>
      <c r="AM49" s="468"/>
      <c r="AN49" s="10"/>
      <c r="AO49" s="9"/>
      <c r="AP49" s="9"/>
      <c r="AQ49" s="9"/>
      <c r="AR49" s="9"/>
      <c r="AS49" s="9"/>
      <c r="AT49" s="9"/>
      <c r="AU49" s="447"/>
      <c r="AV49" s="447"/>
      <c r="AW49" s="468"/>
      <c r="AX49" s="468"/>
      <c r="AY49" s="10"/>
      <c r="AZ49" s="10"/>
      <c r="BA49" s="553" t="str">
        <f t="shared" si="1"/>
        <v/>
      </c>
      <c r="BB49" s="553" t="str">
        <f t="shared" si="1"/>
        <v/>
      </c>
      <c r="BC49" s="553" t="str">
        <f t="shared" si="2"/>
        <v/>
      </c>
      <c r="BD49" s="572"/>
      <c r="BE49" s="448" t="s">
        <v>1726</v>
      </c>
      <c r="BF49" s="305"/>
      <c r="BG49" s="305"/>
      <c r="BH49" s="306"/>
      <c r="BI49" s="305"/>
    </row>
    <row r="50" spans="1:61" ht="16.2" customHeight="1">
      <c r="A50" s="579" t="s">
        <v>2452</v>
      </c>
      <c r="B50" s="469" t="s">
        <v>2108</v>
      </c>
      <c r="C50" s="3">
        <f>+$C$48+$G$49</f>
        <v>529.79</v>
      </c>
      <c r="D50" s="88"/>
      <c r="E50" s="4"/>
      <c r="F50" s="4">
        <v>0</v>
      </c>
      <c r="G50" s="6"/>
      <c r="H50" s="468"/>
      <c r="I50" s="468"/>
      <c r="J50" s="3"/>
      <c r="K50" s="468"/>
      <c r="L50" s="468"/>
      <c r="M50" s="468" t="str">
        <f>IF(L50="","",
IF(AX50="PT",VLOOKUP(L50,Foundation_Calc!$V$4:$X$37,VLOOKUP(AX50,Foundation_Calc!$I$10:$J$13,2,FALSE),0),
IF(AX50="K",VLOOKUP(L50,Foundation_Calc!$V$41:$X$74,VLOOKUP(AX50,Foundation_Calc!$I$10:$J$13,2,FALSE),0),"")))</f>
        <v/>
      </c>
      <c r="N50" s="468" t="s">
        <v>191</v>
      </c>
      <c r="O50" s="468"/>
      <c r="P50" s="468"/>
      <c r="Q50" s="4"/>
      <c r="R50" s="6"/>
      <c r="S50" s="6"/>
      <c r="T50" s="4">
        <v>-25</v>
      </c>
      <c r="U50" s="4"/>
      <c r="V50" s="4"/>
      <c r="W50" s="9">
        <v>1</v>
      </c>
      <c r="X50" s="9"/>
      <c r="Y50" s="9"/>
      <c r="Z50" s="9"/>
      <c r="AA50" s="9"/>
      <c r="AB50" s="9"/>
      <c r="AC50" s="468" t="s">
        <v>1340</v>
      </c>
      <c r="AD50" s="468"/>
      <c r="AE50" s="468"/>
      <c r="AF50" s="4"/>
      <c r="AG50" s="88"/>
      <c r="AH50" s="4"/>
      <c r="AI50" s="4"/>
      <c r="AJ50" s="468"/>
      <c r="AK50" s="468" t="s">
        <v>41</v>
      </c>
      <c r="AL50" s="468"/>
      <c r="AM50" s="468"/>
      <c r="AN50" s="10">
        <v>5.15</v>
      </c>
      <c r="AO50" s="9"/>
      <c r="AP50" s="9"/>
      <c r="AQ50" s="9"/>
      <c r="AR50" s="9"/>
      <c r="AS50" s="9"/>
      <c r="AT50" s="9"/>
      <c r="AU50" s="447"/>
      <c r="AV50" s="447"/>
      <c r="AW50" s="468" t="s">
        <v>199</v>
      </c>
      <c r="AX50" s="468" t="s">
        <v>199</v>
      </c>
      <c r="AY50" s="10"/>
      <c r="AZ50" s="10"/>
      <c r="BA50" s="553" t="str">
        <f t="shared" si="1"/>
        <v/>
      </c>
      <c r="BB50" s="553" t="str">
        <f t="shared" si="1"/>
        <v/>
      </c>
      <c r="BC50" s="553" t="str">
        <f t="shared" si="2"/>
        <v/>
      </c>
      <c r="BD50" s="572"/>
      <c r="BE50" s="448" t="s">
        <v>1726</v>
      </c>
      <c r="BF50" s="306"/>
      <c r="BG50" s="306"/>
      <c r="BH50" s="306"/>
      <c r="BI50" s="306"/>
    </row>
    <row r="51" spans="1:61" ht="16.2" customHeight="1">
      <c r="A51" s="579"/>
      <c r="B51" s="469"/>
      <c r="C51" s="3"/>
      <c r="D51" s="88"/>
      <c r="E51" s="4"/>
      <c r="F51" s="4"/>
      <c r="G51" s="6">
        <v>34</v>
      </c>
      <c r="H51" s="468"/>
      <c r="I51" s="468"/>
      <c r="J51" s="3"/>
      <c r="K51" s="468"/>
      <c r="L51" s="468"/>
      <c r="M51" s="468" t="str">
        <f>IF(L51="","",
IF(AX51="PT",VLOOKUP(L51,Foundation_Calc!$V$4:$X$37,VLOOKUP(AX51,Foundation_Calc!$I$10:$J$13,2,FALSE),0),
IF(AX51="K",VLOOKUP(L51,Foundation_Calc!$V$41:$X$74,VLOOKUP(AX51,Foundation_Calc!$I$10:$J$13,2,FALSE),0),"")))</f>
        <v/>
      </c>
      <c r="N51" s="468"/>
      <c r="O51" s="468"/>
      <c r="P51" s="468"/>
      <c r="Q51" s="4"/>
      <c r="R51" s="6"/>
      <c r="S51" s="6"/>
      <c r="T51" s="4"/>
      <c r="U51" s="4"/>
      <c r="V51" s="4"/>
      <c r="W51" s="9"/>
      <c r="X51" s="9"/>
      <c r="Y51" s="9"/>
      <c r="Z51" s="9"/>
      <c r="AA51" s="9"/>
      <c r="AB51" s="9"/>
      <c r="AC51" s="468" t="s">
        <v>195</v>
      </c>
      <c r="AD51" s="468"/>
      <c r="AE51" s="468"/>
      <c r="AF51" s="4"/>
      <c r="AG51" s="88"/>
      <c r="AH51" s="4"/>
      <c r="AI51" s="4"/>
      <c r="AJ51" s="468"/>
      <c r="AK51" s="468"/>
      <c r="AL51" s="468"/>
      <c r="AM51" s="468"/>
      <c r="AN51" s="10"/>
      <c r="AO51" s="9"/>
      <c r="AP51" s="9"/>
      <c r="AQ51" s="9"/>
      <c r="AR51" s="9"/>
      <c r="AS51" s="9"/>
      <c r="AT51" s="9"/>
      <c r="AU51" s="447"/>
      <c r="AV51" s="447"/>
      <c r="AW51" s="468"/>
      <c r="AX51" s="468"/>
      <c r="AY51" s="10"/>
      <c r="AZ51" s="10"/>
      <c r="BA51" s="553" t="str">
        <f t="shared" si="1"/>
        <v/>
      </c>
      <c r="BB51" s="553" t="str">
        <f t="shared" si="1"/>
        <v/>
      </c>
      <c r="BC51" s="553" t="str">
        <f t="shared" si="2"/>
        <v/>
      </c>
      <c r="BD51" s="572"/>
      <c r="BE51" s="448" t="s">
        <v>1726</v>
      </c>
      <c r="BF51" s="305"/>
      <c r="BG51" s="305"/>
      <c r="BH51" s="306"/>
      <c r="BI51" s="305"/>
    </row>
    <row r="52" spans="1:61" ht="16.2" customHeight="1">
      <c r="A52" s="579" t="s">
        <v>2452</v>
      </c>
      <c r="B52" s="469" t="s">
        <v>2109</v>
      </c>
      <c r="C52" s="3">
        <f>+$C$50+$G$51</f>
        <v>563.79</v>
      </c>
      <c r="D52" s="88"/>
      <c r="E52" s="4"/>
      <c r="F52" s="4">
        <v>0</v>
      </c>
      <c r="G52" s="6"/>
      <c r="H52" s="468"/>
      <c r="I52" s="468"/>
      <c r="J52" s="3"/>
      <c r="K52" s="468"/>
      <c r="L52" s="468"/>
      <c r="M52" s="468" t="str">
        <f>IF(L52="","",
IF(AX52="PT",VLOOKUP(L52,Foundation_Calc!$V$4:$X$37,VLOOKUP(AX52,Foundation_Calc!$I$10:$J$13,2,FALSE),0),
IF(AX52="K",VLOOKUP(L52,Foundation_Calc!$V$41:$X$74,VLOOKUP(AX52,Foundation_Calc!$I$10:$J$13,2,FALSE),0),"")))</f>
        <v/>
      </c>
      <c r="N52" s="468" t="s">
        <v>192</v>
      </c>
      <c r="O52" s="468"/>
      <c r="P52" s="468"/>
      <c r="Q52" s="4"/>
      <c r="R52" s="6"/>
      <c r="S52" s="6"/>
      <c r="T52" s="4">
        <v>25</v>
      </c>
      <c r="U52" s="4"/>
      <c r="V52" s="4"/>
      <c r="W52" s="9">
        <v>1</v>
      </c>
      <c r="X52" s="9"/>
      <c r="Y52" s="9"/>
      <c r="Z52" s="9"/>
      <c r="AA52" s="9"/>
      <c r="AB52" s="9"/>
      <c r="AC52" s="468" t="s">
        <v>1340</v>
      </c>
      <c r="AD52" s="468"/>
      <c r="AE52" s="468"/>
      <c r="AF52" s="4"/>
      <c r="AG52" s="88"/>
      <c r="AH52" s="4"/>
      <c r="AI52" s="4"/>
      <c r="AJ52" s="468"/>
      <c r="AK52" s="468" t="s">
        <v>763</v>
      </c>
      <c r="AL52" s="468"/>
      <c r="AM52" s="468"/>
      <c r="AN52" s="10">
        <v>5.15</v>
      </c>
      <c r="AO52" s="9"/>
      <c r="AP52" s="9"/>
      <c r="AQ52" s="9"/>
      <c r="AR52" s="9"/>
      <c r="AS52" s="9"/>
      <c r="AT52" s="9"/>
      <c r="AU52" s="447"/>
      <c r="AV52" s="447"/>
      <c r="AW52" s="468" t="s">
        <v>2578</v>
      </c>
      <c r="AX52" s="468" t="s">
        <v>199</v>
      </c>
      <c r="AY52" s="10"/>
      <c r="AZ52" s="10"/>
      <c r="BA52" s="553" t="str">
        <f t="shared" si="1"/>
        <v/>
      </c>
      <c r="BB52" s="553" t="str">
        <f t="shared" si="1"/>
        <v/>
      </c>
      <c r="BC52" s="553" t="str">
        <f t="shared" si="2"/>
        <v/>
      </c>
      <c r="BD52" s="572"/>
      <c r="BE52" s="448" t="s">
        <v>1726</v>
      </c>
      <c r="BF52" s="306"/>
      <c r="BG52" s="306"/>
      <c r="BH52" s="306"/>
      <c r="BI52" s="306"/>
    </row>
    <row r="53" spans="1:61" ht="16.2" customHeight="1">
      <c r="A53" s="580" t="s">
        <v>2452</v>
      </c>
      <c r="B53" s="469"/>
      <c r="C53" s="3"/>
      <c r="D53" s="88"/>
      <c r="E53" s="4"/>
      <c r="F53" s="4"/>
      <c r="G53" s="6">
        <v>34</v>
      </c>
      <c r="H53" s="468"/>
      <c r="I53" s="468"/>
      <c r="J53" s="3"/>
      <c r="K53" s="468"/>
      <c r="L53" s="468"/>
      <c r="M53" s="468" t="str">
        <f>IF(L53="","",
IF(AX53="PT",VLOOKUP(L53,Foundation_Calc!$V$4:$X$37,VLOOKUP(AX53,Foundation_Calc!$I$10:$J$13,2,FALSE),0),
IF(AX53="K",VLOOKUP(L53,Foundation_Calc!$V$41:$X$74,VLOOKUP(AX53,Foundation_Calc!$I$10:$J$13,2,FALSE),0),"")))</f>
        <v/>
      </c>
      <c r="N53" s="468"/>
      <c r="O53" s="468"/>
      <c r="P53" s="468"/>
      <c r="Q53" s="4"/>
      <c r="R53" s="6"/>
      <c r="S53" s="6"/>
      <c r="T53" s="4"/>
      <c r="U53" s="4"/>
      <c r="V53" s="4"/>
      <c r="W53" s="9"/>
      <c r="X53" s="9"/>
      <c r="Y53" s="9"/>
      <c r="Z53" s="9"/>
      <c r="AA53" s="9"/>
      <c r="AB53" s="9"/>
      <c r="AC53" s="468" t="s">
        <v>195</v>
      </c>
      <c r="AD53" s="468"/>
      <c r="AE53" s="468"/>
      <c r="AF53" s="4"/>
      <c r="AG53" s="88"/>
      <c r="AH53" s="4"/>
      <c r="AI53" s="4"/>
      <c r="AJ53" s="468"/>
      <c r="AK53" s="468"/>
      <c r="AL53" s="468"/>
      <c r="AM53" s="468"/>
      <c r="AN53" s="10"/>
      <c r="AO53" s="9"/>
      <c r="AP53" s="9"/>
      <c r="AQ53" s="9"/>
      <c r="AR53" s="9"/>
      <c r="AS53" s="9"/>
      <c r="AT53" s="9"/>
      <c r="AU53" s="447"/>
      <c r="AV53" s="447"/>
      <c r="AW53" s="468"/>
      <c r="AX53" s="468"/>
      <c r="AY53" s="10"/>
      <c r="AZ53" s="10"/>
      <c r="BA53" s="553" t="str">
        <f t="shared" si="1"/>
        <v/>
      </c>
      <c r="BB53" s="553" t="str">
        <f t="shared" si="1"/>
        <v/>
      </c>
      <c r="BC53" s="553" t="str">
        <f t="shared" si="2"/>
        <v/>
      </c>
      <c r="BD53" s="572"/>
      <c r="BE53" s="448" t="s">
        <v>1726</v>
      </c>
      <c r="BF53" s="305"/>
      <c r="BG53" s="305"/>
      <c r="BH53" s="306"/>
      <c r="BI53" s="305"/>
    </row>
    <row r="54" spans="1:61" ht="16.2" customHeight="1">
      <c r="A54" s="581" t="s">
        <v>2453</v>
      </c>
      <c r="B54" s="527" t="s">
        <v>2110</v>
      </c>
      <c r="C54" s="528">
        <f>+$C$52+$G$53</f>
        <v>597.79</v>
      </c>
      <c r="D54" s="529"/>
      <c r="E54" s="530"/>
      <c r="F54" s="530">
        <v>0</v>
      </c>
      <c r="G54" s="531"/>
      <c r="H54" s="532"/>
      <c r="I54" s="532"/>
      <c r="J54" s="528"/>
      <c r="K54" s="532"/>
      <c r="L54" s="532"/>
      <c r="M54" s="532" t="str">
        <f>IF(L54="","",
IF(AX54="PT",VLOOKUP(L54,Foundation_Calc!$V$4:$X$37,VLOOKUP(AX54,Foundation_Calc!$I$10:$J$13,2,FALSE),0),
IF(AX54="K",VLOOKUP(L54,Foundation_Calc!$V$41:$X$74,VLOOKUP(AX54,Foundation_Calc!$I$10:$J$13,2,FALSE),0),"")))</f>
        <v/>
      </c>
      <c r="N54" s="532" t="s">
        <v>191</v>
      </c>
      <c r="O54" s="532"/>
      <c r="P54" s="532"/>
      <c r="Q54" s="530"/>
      <c r="R54" s="531"/>
      <c r="S54" s="531"/>
      <c r="T54" s="530">
        <v>-25</v>
      </c>
      <c r="U54" s="530"/>
      <c r="V54" s="530"/>
      <c r="W54" s="533">
        <v>1</v>
      </c>
      <c r="X54" s="533"/>
      <c r="Y54" s="533"/>
      <c r="Z54" s="533"/>
      <c r="AA54" s="533"/>
      <c r="AB54" s="533"/>
      <c r="AC54" s="532" t="s">
        <v>1340</v>
      </c>
      <c r="AD54" s="532"/>
      <c r="AE54" s="532"/>
      <c r="AF54" s="530"/>
      <c r="AG54" s="529"/>
      <c r="AH54" s="530"/>
      <c r="AI54" s="530"/>
      <c r="AJ54" s="532"/>
      <c r="AK54" s="532" t="s">
        <v>763</v>
      </c>
      <c r="AL54" s="532"/>
      <c r="AM54" s="532"/>
      <c r="AN54" s="534">
        <v>5.15</v>
      </c>
      <c r="AO54" s="533"/>
      <c r="AP54" s="533"/>
      <c r="AQ54" s="533"/>
      <c r="AR54" s="533"/>
      <c r="AS54" s="533"/>
      <c r="AT54" s="533"/>
      <c r="AU54" s="535"/>
      <c r="AV54" s="535"/>
      <c r="AW54" s="532" t="s">
        <v>2578</v>
      </c>
      <c r="AX54" s="532" t="s">
        <v>199</v>
      </c>
      <c r="AY54" s="534"/>
      <c r="AZ54" s="534"/>
      <c r="BA54" s="553" t="str">
        <f t="shared" si="1"/>
        <v/>
      </c>
      <c r="BB54" s="553" t="str">
        <f t="shared" si="1"/>
        <v/>
      </c>
      <c r="BC54" s="553" t="str">
        <f t="shared" si="2"/>
        <v/>
      </c>
      <c r="BD54" s="572"/>
      <c r="BE54" s="448" t="s">
        <v>1726</v>
      </c>
      <c r="BF54" s="306"/>
      <c r="BG54" s="306"/>
      <c r="BH54" s="306"/>
      <c r="BI54" s="306"/>
    </row>
    <row r="55" spans="1:61" ht="16.2" customHeight="1">
      <c r="A55" s="579" t="s">
        <v>2452</v>
      </c>
      <c r="B55" s="469"/>
      <c r="C55" s="3"/>
      <c r="D55" s="88"/>
      <c r="E55" s="4"/>
      <c r="F55" s="4"/>
      <c r="G55" s="6">
        <v>34.200000000000003</v>
      </c>
      <c r="H55" s="468"/>
      <c r="I55" s="468"/>
      <c r="J55" s="3"/>
      <c r="K55" s="468"/>
      <c r="L55" s="468"/>
      <c r="M55" s="468" t="str">
        <f>IF(L55="","",
IF(AX55="PT",VLOOKUP(L55,Foundation_Calc!$V$4:$X$37,VLOOKUP(AX55,Foundation_Calc!$I$10:$J$13,2,FALSE),0),
IF(AX55="K",VLOOKUP(L55,Foundation_Calc!$V$41:$X$74,VLOOKUP(AX55,Foundation_Calc!$I$10:$J$13,2,FALSE),0),"")))</f>
        <v/>
      </c>
      <c r="N55" s="468"/>
      <c r="O55" s="468"/>
      <c r="P55" s="468"/>
      <c r="Q55" s="4"/>
      <c r="R55" s="6"/>
      <c r="S55" s="6"/>
      <c r="T55" s="4"/>
      <c r="U55" s="4"/>
      <c r="V55" s="4"/>
      <c r="W55" s="9"/>
      <c r="X55" s="9"/>
      <c r="Y55" s="9"/>
      <c r="Z55" s="9"/>
      <c r="AA55" s="9"/>
      <c r="AB55" s="9"/>
      <c r="AC55" s="468" t="s">
        <v>195</v>
      </c>
      <c r="AD55" s="468"/>
      <c r="AE55" s="468"/>
      <c r="AF55" s="4"/>
      <c r="AG55" s="88"/>
      <c r="AH55" s="4"/>
      <c r="AI55" s="4"/>
      <c r="AJ55" s="468"/>
      <c r="AK55" s="468"/>
      <c r="AL55" s="468"/>
      <c r="AM55" s="468"/>
      <c r="AN55" s="10"/>
      <c r="AO55" s="9"/>
      <c r="AP55" s="9"/>
      <c r="AQ55" s="9"/>
      <c r="AR55" s="9"/>
      <c r="AS55" s="9"/>
      <c r="AT55" s="9"/>
      <c r="AU55" s="447"/>
      <c r="AV55" s="447"/>
      <c r="AW55" s="468"/>
      <c r="AX55" s="468"/>
      <c r="AY55" s="10"/>
      <c r="AZ55" s="10"/>
      <c r="BA55" s="553" t="str">
        <f t="shared" si="1"/>
        <v/>
      </c>
      <c r="BB55" s="553" t="str">
        <f t="shared" si="1"/>
        <v/>
      </c>
      <c r="BC55" s="553" t="str">
        <f t="shared" si="2"/>
        <v/>
      </c>
      <c r="BD55" s="572"/>
      <c r="BE55" s="448" t="s">
        <v>1726</v>
      </c>
      <c r="BF55" s="305"/>
      <c r="BG55" s="305"/>
      <c r="BH55" s="306"/>
      <c r="BI55" s="305"/>
    </row>
    <row r="56" spans="1:61" ht="16.2" customHeight="1">
      <c r="A56" s="579" t="s">
        <v>2452</v>
      </c>
      <c r="B56" s="469" t="s">
        <v>2111</v>
      </c>
      <c r="C56" s="3">
        <f>+$C$54+$G$55</f>
        <v>631.99</v>
      </c>
      <c r="D56" s="88"/>
      <c r="E56" s="4"/>
      <c r="F56" s="4">
        <v>0</v>
      </c>
      <c r="G56" s="6"/>
      <c r="H56" s="468"/>
      <c r="I56" s="468"/>
      <c r="J56" s="3"/>
      <c r="K56" s="468"/>
      <c r="L56" s="468"/>
      <c r="M56" s="468" t="str">
        <f>IF(L56="","",
IF(AX56="PT",VLOOKUP(L56,Foundation_Calc!$V$4:$X$37,VLOOKUP(AX56,Foundation_Calc!$I$10:$J$13,2,FALSE),0),
IF(AX56="K",VLOOKUP(L56,Foundation_Calc!$V$41:$X$74,VLOOKUP(AX56,Foundation_Calc!$I$10:$J$13,2,FALSE),0),"")))</f>
        <v/>
      </c>
      <c r="N56" s="468" t="s">
        <v>192</v>
      </c>
      <c r="O56" s="468"/>
      <c r="P56" s="468"/>
      <c r="Q56" s="4"/>
      <c r="R56" s="6"/>
      <c r="S56" s="6"/>
      <c r="T56" s="4">
        <v>25</v>
      </c>
      <c r="U56" s="4"/>
      <c r="V56" s="4"/>
      <c r="W56" s="9">
        <v>1</v>
      </c>
      <c r="X56" s="9"/>
      <c r="Y56" s="9"/>
      <c r="Z56" s="9"/>
      <c r="AA56" s="9"/>
      <c r="AB56" s="9"/>
      <c r="AC56" s="468" t="s">
        <v>1340</v>
      </c>
      <c r="AD56" s="468"/>
      <c r="AE56" s="468"/>
      <c r="AF56" s="4"/>
      <c r="AG56" s="88"/>
      <c r="AH56" s="4"/>
      <c r="AI56" s="4"/>
      <c r="AJ56" s="468"/>
      <c r="AK56" s="468" t="s">
        <v>763</v>
      </c>
      <c r="AL56" s="468"/>
      <c r="AM56" s="468"/>
      <c r="AN56" s="10">
        <v>5.15</v>
      </c>
      <c r="AO56" s="9"/>
      <c r="AP56" s="9"/>
      <c r="AQ56" s="9"/>
      <c r="AR56" s="9"/>
      <c r="AS56" s="9"/>
      <c r="AT56" s="9"/>
      <c r="AU56" s="447"/>
      <c r="AV56" s="447"/>
      <c r="AW56" s="468" t="s">
        <v>2578</v>
      </c>
      <c r="AX56" s="468" t="s">
        <v>199</v>
      </c>
      <c r="AY56" s="10"/>
      <c r="AZ56" s="10"/>
      <c r="BA56" s="553" t="str">
        <f t="shared" si="1"/>
        <v/>
      </c>
      <c r="BB56" s="553" t="str">
        <f t="shared" si="1"/>
        <v/>
      </c>
      <c r="BC56" s="553" t="str">
        <f t="shared" si="2"/>
        <v/>
      </c>
      <c r="BD56" s="572"/>
      <c r="BE56" s="448" t="s">
        <v>1726</v>
      </c>
      <c r="BF56" s="306"/>
      <c r="BG56" s="306"/>
      <c r="BH56" s="306"/>
      <c r="BI56" s="306"/>
    </row>
    <row r="57" spans="1:61" ht="16.2" customHeight="1">
      <c r="A57" s="579"/>
      <c r="B57" s="469"/>
      <c r="C57" s="3"/>
      <c r="D57" s="88"/>
      <c r="E57" s="4"/>
      <c r="F57" s="4"/>
      <c r="G57" s="6">
        <v>40.200000000000003</v>
      </c>
      <c r="H57" s="468"/>
      <c r="I57" s="468"/>
      <c r="J57" s="3"/>
      <c r="K57" s="468"/>
      <c r="L57" s="468"/>
      <c r="M57" s="468" t="str">
        <f>IF(L57="","",
IF(AX57="PT",VLOOKUP(L57,Foundation_Calc!$V$4:$X$37,VLOOKUP(AX57,Foundation_Calc!$I$10:$J$13,2,FALSE),0),
IF(AX57="K",VLOOKUP(L57,Foundation_Calc!$V$41:$X$74,VLOOKUP(AX57,Foundation_Calc!$I$10:$J$13,2,FALSE),0),"")))</f>
        <v/>
      </c>
      <c r="N57" s="468"/>
      <c r="O57" s="468"/>
      <c r="P57" s="468"/>
      <c r="Q57" s="4"/>
      <c r="R57" s="6"/>
      <c r="S57" s="6"/>
      <c r="T57" s="4"/>
      <c r="U57" s="4"/>
      <c r="V57" s="4"/>
      <c r="W57" s="9"/>
      <c r="X57" s="9"/>
      <c r="Y57" s="9"/>
      <c r="Z57" s="9"/>
      <c r="AA57" s="9"/>
      <c r="AB57" s="9"/>
      <c r="AC57" s="468" t="s">
        <v>195</v>
      </c>
      <c r="AD57" s="468"/>
      <c r="AE57" s="468"/>
      <c r="AF57" s="4"/>
      <c r="AG57" s="88"/>
      <c r="AH57" s="4"/>
      <c r="AI57" s="4"/>
      <c r="AJ57" s="468"/>
      <c r="AK57" s="468"/>
      <c r="AL57" s="468"/>
      <c r="AM57" s="468"/>
      <c r="AN57" s="10"/>
      <c r="AO57" s="9"/>
      <c r="AP57" s="9"/>
      <c r="AQ57" s="9"/>
      <c r="AR57" s="9"/>
      <c r="AS57" s="9"/>
      <c r="AT57" s="9"/>
      <c r="AU57" s="447"/>
      <c r="AV57" s="447"/>
      <c r="AW57" s="468"/>
      <c r="AX57" s="468"/>
      <c r="AY57" s="10"/>
      <c r="AZ57" s="10"/>
      <c r="BA57" s="553" t="str">
        <f t="shared" si="1"/>
        <v/>
      </c>
      <c r="BB57" s="553" t="str">
        <f t="shared" si="1"/>
        <v/>
      </c>
      <c r="BC57" s="553" t="str">
        <f t="shared" si="2"/>
        <v/>
      </c>
      <c r="BD57" s="572"/>
      <c r="BE57" s="448" t="s">
        <v>1726</v>
      </c>
      <c r="BF57" s="305"/>
      <c r="BG57" s="305"/>
      <c r="BH57" s="306"/>
      <c r="BI57" s="305"/>
    </row>
    <row r="58" spans="1:61" ht="16.2" customHeight="1">
      <c r="A58" s="579" t="s">
        <v>2452</v>
      </c>
      <c r="B58" s="469" t="s">
        <v>2112</v>
      </c>
      <c r="C58" s="3">
        <f>+$C$56+$G$57</f>
        <v>672.19</v>
      </c>
      <c r="D58" s="88"/>
      <c r="E58" s="4"/>
      <c r="F58" s="4">
        <v>0</v>
      </c>
      <c r="G58" s="6"/>
      <c r="H58" s="468"/>
      <c r="I58" s="468"/>
      <c r="J58" s="3"/>
      <c r="K58" s="468"/>
      <c r="L58" s="468"/>
      <c r="M58" s="468" t="str">
        <f>IF(L58="","",
IF(AX58="PT",VLOOKUP(L58,Foundation_Calc!$V$4:$X$37,VLOOKUP(AX58,Foundation_Calc!$I$10:$J$13,2,FALSE),0),
IF(AX58="K",VLOOKUP(L58,Foundation_Calc!$V$41:$X$74,VLOOKUP(AX58,Foundation_Calc!$I$10:$J$13,2,FALSE),0),"")))</f>
        <v/>
      </c>
      <c r="N58" s="468" t="s">
        <v>191</v>
      </c>
      <c r="O58" s="468"/>
      <c r="P58" s="468"/>
      <c r="Q58" s="4"/>
      <c r="R58" s="6"/>
      <c r="S58" s="6"/>
      <c r="T58" s="4">
        <v>-25</v>
      </c>
      <c r="U58" s="4"/>
      <c r="V58" s="4"/>
      <c r="W58" s="9">
        <v>1</v>
      </c>
      <c r="X58" s="9"/>
      <c r="Y58" s="9"/>
      <c r="Z58" s="9"/>
      <c r="AA58" s="9"/>
      <c r="AB58" s="9"/>
      <c r="AC58" s="468" t="s">
        <v>1340</v>
      </c>
      <c r="AD58" s="468"/>
      <c r="AE58" s="468"/>
      <c r="AF58" s="4"/>
      <c r="AG58" s="88"/>
      <c r="AH58" s="4"/>
      <c r="AI58" s="4"/>
      <c r="AJ58" s="468"/>
      <c r="AK58" s="468" t="s">
        <v>763</v>
      </c>
      <c r="AL58" s="468"/>
      <c r="AM58" s="468"/>
      <c r="AN58" s="10">
        <v>5.15</v>
      </c>
      <c r="AO58" s="9"/>
      <c r="AP58" s="9"/>
      <c r="AQ58" s="9"/>
      <c r="AR58" s="9"/>
      <c r="AS58" s="9"/>
      <c r="AT58" s="9"/>
      <c r="AU58" s="447"/>
      <c r="AV58" s="447"/>
      <c r="AW58" s="468" t="s">
        <v>2578</v>
      </c>
      <c r="AX58" s="468" t="s">
        <v>199</v>
      </c>
      <c r="AY58" s="10"/>
      <c r="AZ58" s="10"/>
      <c r="BA58" s="553" t="str">
        <f t="shared" si="1"/>
        <v/>
      </c>
      <c r="BB58" s="553" t="str">
        <f t="shared" si="1"/>
        <v/>
      </c>
      <c r="BC58" s="553" t="str">
        <f t="shared" si="2"/>
        <v/>
      </c>
      <c r="BD58" s="572"/>
      <c r="BE58" s="448" t="s">
        <v>1726</v>
      </c>
      <c r="BF58" s="306"/>
      <c r="BG58" s="306"/>
      <c r="BH58" s="306"/>
      <c r="BI58" s="306"/>
    </row>
    <row r="59" spans="1:61" ht="16.2" customHeight="1">
      <c r="A59" s="579" t="s">
        <v>2452</v>
      </c>
      <c r="B59" s="469"/>
      <c r="C59" s="3"/>
      <c r="D59" s="88"/>
      <c r="E59" s="4"/>
      <c r="F59" s="4"/>
      <c r="G59" s="6">
        <v>30.7</v>
      </c>
      <c r="H59" s="468"/>
      <c r="I59" s="468"/>
      <c r="J59" s="3"/>
      <c r="K59" s="468"/>
      <c r="L59" s="468"/>
      <c r="M59" s="468" t="str">
        <f>IF(L59="","",
IF(AX59="PT",VLOOKUP(L59,Foundation_Calc!$V$4:$X$37,VLOOKUP(AX59,Foundation_Calc!$I$10:$J$13,2,FALSE),0),
IF(AX59="K",VLOOKUP(L59,Foundation_Calc!$V$41:$X$74,VLOOKUP(AX59,Foundation_Calc!$I$10:$J$13,2,FALSE),0),"")))</f>
        <v/>
      </c>
      <c r="N59" s="468"/>
      <c r="O59" s="468"/>
      <c r="P59" s="468"/>
      <c r="Q59" s="4"/>
      <c r="R59" s="6"/>
      <c r="S59" s="6"/>
      <c r="T59" s="4"/>
      <c r="U59" s="4"/>
      <c r="V59" s="4"/>
      <c r="W59" s="9"/>
      <c r="X59" s="9"/>
      <c r="Y59" s="9"/>
      <c r="Z59" s="9"/>
      <c r="AA59" s="9"/>
      <c r="AB59" s="9"/>
      <c r="AC59" s="468" t="s">
        <v>195</v>
      </c>
      <c r="AD59" s="468"/>
      <c r="AE59" s="468"/>
      <c r="AF59" s="4"/>
      <c r="AG59" s="88"/>
      <c r="AH59" s="4"/>
      <c r="AI59" s="4"/>
      <c r="AJ59" s="468"/>
      <c r="AK59" s="468"/>
      <c r="AL59" s="468"/>
      <c r="AM59" s="468"/>
      <c r="AN59" s="10"/>
      <c r="AO59" s="9"/>
      <c r="AP59" s="9"/>
      <c r="AQ59" s="9"/>
      <c r="AR59" s="9"/>
      <c r="AS59" s="9"/>
      <c r="AT59" s="9"/>
      <c r="AU59" s="447"/>
      <c r="AV59" s="447"/>
      <c r="AW59" s="468"/>
      <c r="AX59" s="468"/>
      <c r="AY59" s="10"/>
      <c r="AZ59" s="10"/>
      <c r="BA59" s="553" t="str">
        <f t="shared" si="1"/>
        <v/>
      </c>
      <c r="BB59" s="553" t="str">
        <f t="shared" si="1"/>
        <v/>
      </c>
      <c r="BC59" s="553" t="str">
        <f t="shared" si="2"/>
        <v/>
      </c>
      <c r="BD59" s="572"/>
      <c r="BE59" s="448" t="s">
        <v>1726</v>
      </c>
      <c r="BF59" s="305"/>
      <c r="BG59" s="305"/>
      <c r="BH59" s="306"/>
      <c r="BI59" s="305"/>
    </row>
    <row r="60" spans="1:61" ht="16.2" customHeight="1">
      <c r="A60" s="579" t="s">
        <v>2452</v>
      </c>
      <c r="B60" s="469" t="s">
        <v>2113</v>
      </c>
      <c r="C60" s="3">
        <f>+$C$58+$G$59</f>
        <v>702.8900000000001</v>
      </c>
      <c r="D60" s="88"/>
      <c r="E60" s="4"/>
      <c r="F60" s="4">
        <v>0</v>
      </c>
      <c r="G60" s="6"/>
      <c r="H60" s="468"/>
      <c r="I60" s="4">
        <f>SUM(G39:G61)</f>
        <v>351.09999999999997</v>
      </c>
      <c r="J60" s="3"/>
      <c r="K60" s="468"/>
      <c r="L60" s="468"/>
      <c r="M60" s="468" t="str">
        <f>IF(L60="","",
IF(AX60="PT",VLOOKUP(L60,Foundation_Calc!$V$4:$X$37,VLOOKUP(AX60,Foundation_Calc!$I$10:$J$13,2,FALSE),0),
IF(AX60="K",VLOOKUP(L60,Foundation_Calc!$V$41:$X$74,VLOOKUP(AX60,Foundation_Calc!$I$10:$J$13,2,FALSE),0),"")))</f>
        <v/>
      </c>
      <c r="N60" s="468" t="s">
        <v>192</v>
      </c>
      <c r="O60" s="468"/>
      <c r="P60" s="468"/>
      <c r="Q60" s="4"/>
      <c r="R60" s="6"/>
      <c r="S60" s="6"/>
      <c r="T60" s="4">
        <v>25</v>
      </c>
      <c r="U60" s="4"/>
      <c r="V60" s="4"/>
      <c r="W60" s="9">
        <v>1</v>
      </c>
      <c r="X60" s="9"/>
      <c r="Y60" s="9"/>
      <c r="Z60" s="9"/>
      <c r="AA60" s="9"/>
      <c r="AB60" s="9"/>
      <c r="AC60" s="468" t="s">
        <v>1340</v>
      </c>
      <c r="AD60" s="468"/>
      <c r="AE60" s="468"/>
      <c r="AF60" s="4"/>
      <c r="AG60" s="88"/>
      <c r="AH60" s="4"/>
      <c r="AI60" s="4"/>
      <c r="AJ60" s="468"/>
      <c r="AK60" s="468" t="s">
        <v>763</v>
      </c>
      <c r="AL60" s="468"/>
      <c r="AM60" s="468"/>
      <c r="AN60" s="10">
        <v>5.15</v>
      </c>
      <c r="AO60" s="9"/>
      <c r="AP60" s="9"/>
      <c r="AQ60" s="9"/>
      <c r="AR60" s="9"/>
      <c r="AS60" s="9"/>
      <c r="AT60" s="9"/>
      <c r="AU60" s="447"/>
      <c r="AV60" s="447"/>
      <c r="AW60" s="468" t="s">
        <v>2578</v>
      </c>
      <c r="AX60" s="468" t="s">
        <v>199</v>
      </c>
      <c r="AY60" s="10"/>
      <c r="AZ60" s="10"/>
      <c r="BA60" s="553" t="str">
        <f t="shared" si="1"/>
        <v/>
      </c>
      <c r="BB60" s="553" t="str">
        <f t="shared" si="1"/>
        <v/>
      </c>
      <c r="BC60" s="553" t="str">
        <f t="shared" si="2"/>
        <v/>
      </c>
      <c r="BD60" s="572"/>
      <c r="BE60" s="448" t="s">
        <v>1726</v>
      </c>
      <c r="BF60" s="306"/>
      <c r="BG60" s="306"/>
      <c r="BH60" s="306"/>
      <c r="BI60" s="306"/>
    </row>
    <row r="61" spans="1:61" ht="16.2" customHeight="1">
      <c r="A61" s="584" t="s">
        <v>2542</v>
      </c>
      <c r="B61" s="527"/>
      <c r="C61" s="528"/>
      <c r="D61" s="529"/>
      <c r="E61" s="530"/>
      <c r="F61" s="530"/>
      <c r="G61" s="531">
        <v>27.9</v>
      </c>
      <c r="H61" s="532"/>
      <c r="I61" s="530" t="s">
        <v>485</v>
      </c>
      <c r="J61" s="528">
        <f>J62</f>
        <v>730.79000000000008</v>
      </c>
      <c r="K61" s="532" t="s">
        <v>451</v>
      </c>
      <c r="L61" s="532"/>
      <c r="M61" s="532" t="str">
        <f>IF(L61="","",
IF(AX61="PT",VLOOKUP(L61,Foundation_Calc!$V$4:$X$37,VLOOKUP(AX61,Foundation_Calc!$I$10:$J$13,2,FALSE),0),
IF(AX61="K",VLOOKUP(L61,Foundation_Calc!$V$41:$X$74,VLOOKUP(AX61,Foundation_Calc!$I$10:$J$13,2,FALSE),0),"")))</f>
        <v/>
      </c>
      <c r="N61" s="532"/>
      <c r="O61" s="532"/>
      <c r="P61" s="532"/>
      <c r="Q61" s="530"/>
      <c r="R61" s="531"/>
      <c r="S61" s="531"/>
      <c r="T61" s="530"/>
      <c r="U61" s="530"/>
      <c r="V61" s="530"/>
      <c r="W61" s="533"/>
      <c r="X61" s="533"/>
      <c r="Y61" s="533"/>
      <c r="Z61" s="533"/>
      <c r="AA61" s="533"/>
      <c r="AB61" s="533"/>
      <c r="AC61" s="532" t="str">
        <f t="shared" si="3"/>
        <v/>
      </c>
      <c r="AD61" s="532"/>
      <c r="AE61" s="532"/>
      <c r="AF61" s="530"/>
      <c r="AG61" s="529"/>
      <c r="AH61" s="530"/>
      <c r="AI61" s="530"/>
      <c r="AJ61" s="532" t="s">
        <v>369</v>
      </c>
      <c r="AK61" s="532"/>
      <c r="AL61" s="532"/>
      <c r="AM61" s="532"/>
      <c r="AN61" s="534"/>
      <c r="AO61" s="533"/>
      <c r="AP61" s="533"/>
      <c r="AQ61" s="533"/>
      <c r="AR61" s="533"/>
      <c r="AS61" s="533"/>
      <c r="AT61" s="533"/>
      <c r="AU61" s="535"/>
      <c r="AV61" s="535"/>
      <c r="AW61" s="532"/>
      <c r="AX61" s="532"/>
      <c r="AY61" s="534"/>
      <c r="AZ61" s="534"/>
      <c r="BA61" s="553" t="str">
        <f t="shared" si="1"/>
        <v/>
      </c>
      <c r="BB61" s="553" t="str">
        <f t="shared" si="1"/>
        <v/>
      </c>
      <c r="BC61" s="553" t="str">
        <f t="shared" si="2"/>
        <v/>
      </c>
      <c r="BD61" s="572"/>
      <c r="BE61" s="448" t="s">
        <v>1726</v>
      </c>
      <c r="BF61" s="305"/>
      <c r="BG61" s="305"/>
      <c r="BH61" s="306"/>
      <c r="BI61" s="305"/>
    </row>
    <row r="62" spans="1:61" ht="16.2" customHeight="1">
      <c r="A62" s="573" t="s">
        <v>383</v>
      </c>
      <c r="B62" s="469" t="s">
        <v>2114</v>
      </c>
      <c r="C62" s="3">
        <f>+$C$60+$G$61</f>
        <v>730.79000000000008</v>
      </c>
      <c r="D62" s="88"/>
      <c r="E62" s="4"/>
      <c r="F62" s="4">
        <v>0</v>
      </c>
      <c r="G62" s="6"/>
      <c r="H62" s="468" t="s">
        <v>26</v>
      </c>
      <c r="I62" s="468" t="s">
        <v>1155</v>
      </c>
      <c r="J62" s="3">
        <f>C62</f>
        <v>730.79000000000008</v>
      </c>
      <c r="K62" s="468" t="s">
        <v>447</v>
      </c>
      <c r="L62" s="468"/>
      <c r="M62" s="468" t="str">
        <f>IF(L62="","",
IF(AX62="PT",VLOOKUP(L62,Foundation_Calc!$V$4:$X$37,VLOOKUP(AX62,Foundation_Calc!$I$10:$J$13,2,FALSE),0),
IF(AX62="K",VLOOKUP(L62,Foundation_Calc!$V$41:$X$74,VLOOKUP(AX62,Foundation_Calc!$I$10:$J$13,2,FALSE),0),"")))</f>
        <v/>
      </c>
      <c r="N62" s="468"/>
      <c r="O62" s="468"/>
      <c r="P62" s="468"/>
      <c r="Q62" s="4"/>
      <c r="R62" s="6"/>
      <c r="S62" s="6"/>
      <c r="T62" s="4"/>
      <c r="U62" s="4"/>
      <c r="V62" s="4"/>
      <c r="W62" s="9"/>
      <c r="X62" s="9"/>
      <c r="Y62" s="9"/>
      <c r="Z62" s="9"/>
      <c r="AA62" s="9"/>
      <c r="AB62" s="9"/>
      <c r="AC62" s="468"/>
      <c r="AD62" s="468"/>
      <c r="AE62" s="468"/>
      <c r="AF62" s="4"/>
      <c r="AG62" s="88"/>
      <c r="AH62" s="4"/>
      <c r="AI62" s="4"/>
      <c r="AJ62" s="468" t="s">
        <v>595</v>
      </c>
      <c r="AK62" s="468"/>
      <c r="AL62" s="468"/>
      <c r="AM62" s="468"/>
      <c r="AN62" s="10"/>
      <c r="AO62" s="9"/>
      <c r="AP62" s="9"/>
      <c r="AQ62" s="9"/>
      <c r="AR62" s="9"/>
      <c r="AS62" s="9"/>
      <c r="AT62" s="9"/>
      <c r="AU62" s="447"/>
      <c r="AV62" s="447"/>
      <c r="AW62" s="468" t="s">
        <v>199</v>
      </c>
      <c r="AX62" s="468" t="s">
        <v>199</v>
      </c>
      <c r="AY62" s="10"/>
      <c r="AZ62" s="10"/>
      <c r="BA62" s="553" t="str">
        <f t="shared" si="1"/>
        <v/>
      </c>
      <c r="BB62" s="553" t="str">
        <f t="shared" si="1"/>
        <v/>
      </c>
      <c r="BC62" s="553" t="str">
        <f t="shared" si="2"/>
        <v/>
      </c>
      <c r="BD62" s="572"/>
      <c r="BE62" s="448" t="s">
        <v>1726</v>
      </c>
      <c r="BF62" s="306"/>
      <c r="BG62" s="306"/>
      <c r="BH62" s="306"/>
      <c r="BI62" s="306"/>
    </row>
    <row r="63" spans="1:61" ht="16.2" customHeight="1" thickBot="1">
      <c r="A63" s="585"/>
      <c r="B63" s="586"/>
      <c r="C63" s="587"/>
      <c r="D63" s="588"/>
      <c r="E63" s="589"/>
      <c r="F63" s="589"/>
      <c r="G63" s="590"/>
      <c r="H63" s="591"/>
      <c r="I63" s="591"/>
      <c r="J63" s="587"/>
      <c r="K63" s="591"/>
      <c r="L63" s="591"/>
      <c r="M63" s="591" t="str">
        <f>IF(L63="","",
IF(AX63="PT",VLOOKUP(L63,Foundation_Calc!$V$4:$X$37,VLOOKUP(AX63,Foundation_Calc!$I$10:$J$13,2,FALSE),0),
IF(AX63="K",VLOOKUP(L63,Foundation_Calc!$V$41:$X$74,VLOOKUP(AX63,Foundation_Calc!$I$10:$J$13,2,FALSE),0),"")))</f>
        <v/>
      </c>
      <c r="N63" s="591"/>
      <c r="O63" s="591"/>
      <c r="P63" s="591"/>
      <c r="Q63" s="589"/>
      <c r="R63" s="590"/>
      <c r="S63" s="590"/>
      <c r="T63" s="589"/>
      <c r="U63" s="589"/>
      <c r="V63" s="589"/>
      <c r="W63" s="592"/>
      <c r="X63" s="592"/>
      <c r="Y63" s="592"/>
      <c r="Z63" s="592"/>
      <c r="AA63" s="592"/>
      <c r="AB63" s="592"/>
      <c r="AC63" s="591" t="str">
        <f t="shared" si="3"/>
        <v/>
      </c>
      <c r="AD63" s="591"/>
      <c r="AE63" s="591"/>
      <c r="AF63" s="589"/>
      <c r="AG63" s="588"/>
      <c r="AH63" s="589"/>
      <c r="AI63" s="589"/>
      <c r="AJ63" s="591"/>
      <c r="AK63" s="591"/>
      <c r="AL63" s="591"/>
      <c r="AM63" s="591"/>
      <c r="AN63" s="593"/>
      <c r="AO63" s="592"/>
      <c r="AP63" s="592"/>
      <c r="AQ63" s="592"/>
      <c r="AR63" s="592"/>
      <c r="AS63" s="592"/>
      <c r="AT63" s="592"/>
      <c r="AU63" s="594"/>
      <c r="AV63" s="594"/>
      <c r="AW63" s="591"/>
      <c r="AX63" s="591"/>
      <c r="AY63" s="593"/>
      <c r="AZ63" s="593"/>
      <c r="BA63" s="595" t="str">
        <f t="shared" si="1"/>
        <v/>
      </c>
      <c r="BB63" s="595" t="str">
        <f t="shared" si="1"/>
        <v/>
      </c>
      <c r="BC63" s="595" t="str">
        <f t="shared" si="2"/>
        <v/>
      </c>
      <c r="BD63" s="596" t="str">
        <f>IF(AND(L63="",H63=""),"",
IF(H63="",Pole_Calc!A67,
IF(H63="MP",Pole_Calc!A68,
IF(H63="AnMP",Pole_Calc!A69,
IF(H63="A",Pole_Calc!A70,
IF(H63="S/A",Pole_Calc!A71,
IF(H63="A/S",Pole_Calc!A72,"Poner a mano")))))))</f>
        <v/>
      </c>
      <c r="BE63" s="448" t="s">
        <v>1726</v>
      </c>
      <c r="BF63" s="629"/>
      <c r="BG63" s="629"/>
      <c r="BH63" s="630"/>
      <c r="BI63" s="629"/>
    </row>
    <row r="64" spans="1:61" ht="16.2" customHeight="1">
      <c r="A64" s="12"/>
      <c r="B64" s="446"/>
      <c r="C64" s="89"/>
      <c r="D64" s="13"/>
      <c r="E64" s="14"/>
      <c r="F64" s="14"/>
      <c r="G64" s="15"/>
      <c r="H64" s="8"/>
      <c r="I64" s="8"/>
      <c r="J64" s="89"/>
      <c r="K64" s="8"/>
      <c r="L64" s="8"/>
      <c r="M64" s="8" t="str">
        <f>IF(L64="","",
IF(AX64="PT",VLOOKUP(L64,Foundation_Calc!$V$4:$X$37,VLOOKUP(AX64,Foundation_Calc!$I$10:$J$13,2,FALSE),0),
IF(AX64="K",VLOOKUP(L64,Foundation_Calc!$V$41:$X$74,VLOOKUP(AX64,Foundation_Calc!$I$10:$J$13,2,FALSE),0),"")))</f>
        <v/>
      </c>
      <c r="N64" s="8"/>
      <c r="O64" s="8"/>
      <c r="P64" s="8"/>
      <c r="Q64" s="14"/>
      <c r="R64" s="15"/>
      <c r="S64" s="15"/>
      <c r="T64" s="14"/>
      <c r="U64" s="14"/>
      <c r="V64" s="14"/>
      <c r="W64" s="18"/>
      <c r="X64" s="18"/>
      <c r="Y64" s="18"/>
      <c r="Z64" s="18"/>
      <c r="AA64" s="18"/>
      <c r="AB64" s="18"/>
      <c r="AC64" s="8" t="str">
        <f t="shared" si="3"/>
        <v/>
      </c>
      <c r="AD64" s="8"/>
      <c r="AE64" s="8"/>
      <c r="AF64" s="14"/>
      <c r="AG64" s="13"/>
      <c r="AH64" s="14"/>
      <c r="AI64" s="14"/>
      <c r="AJ64" s="8"/>
      <c r="AK64" s="8"/>
      <c r="AL64" s="8"/>
      <c r="AM64" s="8"/>
      <c r="AN64" s="631"/>
      <c r="AO64" s="18"/>
      <c r="AP64" s="18"/>
      <c r="AQ64" s="18"/>
      <c r="AR64" s="18"/>
      <c r="AS64" s="18"/>
      <c r="AU64" s="448"/>
      <c r="AV64" s="448"/>
      <c r="AY64" s="631"/>
      <c r="AZ64" s="631"/>
      <c r="BA64" s="632" t="str">
        <f t="shared" ref="BA64:BA69" si="4">IF(AY64="","",IF(AY64&gt;0,"ü",""))</f>
        <v/>
      </c>
      <c r="BB64" s="632" t="str">
        <f t="shared" ref="BB64:BB69" si="5">IF(AZ64="","",IF(AZ64&gt;0,"ü",""))</f>
        <v/>
      </c>
      <c r="BC64" s="632" t="str">
        <f t="shared" ref="BC64:BC69" si="6">IF(M64="","",IF(M64="Unique Solution","ü",""))</f>
        <v/>
      </c>
      <c r="BD64" s="633" t="str">
        <f>IF(AND(L64="",H64=""),"",
IF(H64="",Pole_Calc!A68,
IF(H64="MP",Pole_Calc!A69,
IF(H64="AnMP",Pole_Calc!A70,
IF(H64="A",Pole_Calc!A71,
IF(H64="S/A",Pole_Calc!A72,
IF(H64="A/S",Pole_Calc!A73,"Poner a mano")))))))</f>
        <v/>
      </c>
      <c r="BE64" s="448" t="s">
        <v>1726</v>
      </c>
      <c r="BF64" s="634"/>
      <c r="BG64" s="634"/>
      <c r="BH64" s="634"/>
      <c r="BI64" s="634"/>
    </row>
    <row r="65" spans="1:61" ht="16.2" customHeight="1">
      <c r="A65" s="12"/>
      <c r="B65" s="446"/>
      <c r="C65" s="89"/>
      <c r="D65" s="13"/>
      <c r="E65" s="14"/>
      <c r="F65" s="14"/>
      <c r="G65" s="15"/>
      <c r="H65" s="8"/>
      <c r="I65" s="8"/>
      <c r="J65" s="89"/>
      <c r="K65" s="8"/>
      <c r="L65" s="8"/>
      <c r="M65" s="8" t="str">
        <f>IF(L65="","",
IF(AX65="PT",VLOOKUP(L65,Foundation_Calc!$V$4:$X$37,VLOOKUP(AX65,Foundation_Calc!$I$10:$J$13,2,FALSE),0),
IF(AX65="K",VLOOKUP(L65,Foundation_Calc!$V$41:$X$74,VLOOKUP(AX65,Foundation_Calc!$I$10:$J$13,2,FALSE),0),"")))</f>
        <v/>
      </c>
      <c r="N65" s="8"/>
      <c r="O65" s="8"/>
      <c r="P65" s="8"/>
      <c r="Q65" s="14"/>
      <c r="R65" s="15"/>
      <c r="S65" s="15"/>
      <c r="T65" s="14"/>
      <c r="U65" s="14"/>
      <c r="V65" s="14"/>
      <c r="W65" s="18"/>
      <c r="X65" s="18"/>
      <c r="Y65" s="18"/>
      <c r="Z65" s="18"/>
      <c r="AA65" s="18"/>
      <c r="AB65" s="18"/>
      <c r="AC65" s="8" t="str">
        <f t="shared" si="3"/>
        <v/>
      </c>
      <c r="AD65" s="8"/>
      <c r="AE65" s="8"/>
      <c r="AF65" s="14"/>
      <c r="AG65" s="13"/>
      <c r="AH65" s="14"/>
      <c r="AI65" s="14"/>
      <c r="AJ65" s="8"/>
      <c r="AK65" s="8"/>
      <c r="AL65" s="8"/>
      <c r="AM65" s="8"/>
      <c r="AN65" s="631"/>
      <c r="AO65" s="18"/>
      <c r="AP65" s="18"/>
      <c r="AQ65" s="18"/>
      <c r="AR65" s="18"/>
      <c r="AS65" s="18"/>
      <c r="AU65" s="448"/>
      <c r="AV65" s="448"/>
      <c r="AY65" s="631"/>
      <c r="AZ65" s="631"/>
      <c r="BA65" s="632" t="str">
        <f t="shared" si="4"/>
        <v/>
      </c>
      <c r="BB65" s="632" t="str">
        <f t="shared" si="5"/>
        <v/>
      </c>
      <c r="BC65" s="632" t="str">
        <f t="shared" si="6"/>
        <v/>
      </c>
      <c r="BD65" s="633" t="str">
        <f>IF(AND(L65="",H65=""),"",
IF(H65="",Pole_Calc!A69,
IF(H65="MP",Pole_Calc!A70,
IF(H65="AnMP",Pole_Calc!A71,
IF(H65="A",Pole_Calc!A72,
IF(H65="S/A",Pole_Calc!A73,
IF(H65="A/S",Pole_Calc!A74,"Poner a mano")))))))</f>
        <v/>
      </c>
      <c r="BE65" s="448" t="s">
        <v>1726</v>
      </c>
      <c r="BF65" s="635"/>
      <c r="BG65" s="635"/>
      <c r="BH65" s="634"/>
      <c r="BI65" s="635"/>
    </row>
    <row r="66" spans="1:61" ht="16.2" customHeight="1">
      <c r="A66" s="12"/>
      <c r="B66" s="446"/>
      <c r="C66" s="89"/>
      <c r="D66" s="13"/>
      <c r="E66" s="14"/>
      <c r="F66" s="14"/>
      <c r="G66" s="15"/>
      <c r="H66" s="8"/>
      <c r="I66" s="8"/>
      <c r="J66" s="89"/>
      <c r="K66" s="8"/>
      <c r="L66" s="8"/>
      <c r="M66" s="8" t="str">
        <f>IF(L66="","",
IF(AX66="PT",VLOOKUP(L66,Foundation_Calc!$V$4:$X$37,VLOOKUP(AX66,Foundation_Calc!$I$10:$J$13,2,FALSE),0),
IF(AX66="K",VLOOKUP(L66,Foundation_Calc!$V$41:$X$74,VLOOKUP(AX66,Foundation_Calc!$I$10:$J$13,2,FALSE),0),"")))</f>
        <v/>
      </c>
      <c r="N66" s="8"/>
      <c r="O66" s="8"/>
      <c r="P66" s="8"/>
      <c r="Q66" s="14"/>
      <c r="R66" s="15"/>
      <c r="S66" s="15"/>
      <c r="T66" s="14"/>
      <c r="U66" s="14"/>
      <c r="V66" s="14"/>
      <c r="W66" s="18"/>
      <c r="X66" s="18"/>
      <c r="Y66" s="18"/>
      <c r="Z66" s="18"/>
      <c r="AA66" s="18"/>
      <c r="AB66" s="18"/>
      <c r="AC66" s="8" t="str">
        <f t="shared" si="3"/>
        <v/>
      </c>
      <c r="AD66" s="8"/>
      <c r="AE66" s="8"/>
      <c r="AF66" s="14"/>
      <c r="AG66" s="13"/>
      <c r="AH66" s="14"/>
      <c r="AI66" s="14"/>
      <c r="AJ66" s="8"/>
      <c r="AK66" s="8"/>
      <c r="AL66" s="8"/>
      <c r="AM66" s="8"/>
      <c r="AN66" s="631"/>
      <c r="AO66" s="18"/>
      <c r="AP66" s="18"/>
      <c r="AQ66" s="18"/>
      <c r="AR66" s="18"/>
      <c r="AS66" s="18"/>
      <c r="AU66" s="448"/>
      <c r="AV66" s="448"/>
      <c r="AY66" s="631"/>
      <c r="AZ66" s="631"/>
      <c r="BA66" s="632" t="str">
        <f t="shared" si="4"/>
        <v/>
      </c>
      <c r="BB66" s="632" t="str">
        <f t="shared" si="5"/>
        <v/>
      </c>
      <c r="BC66" s="632" t="str">
        <f t="shared" si="6"/>
        <v/>
      </c>
      <c r="BD66" s="633" t="str">
        <f>IF(AND(L66="",H66=""),"",
IF(H66="",Pole_Calc!A70,
IF(H66="MP",Pole_Calc!A71,
IF(H66="AnMP",Pole_Calc!A72,
IF(H66="A",Pole_Calc!A73,
IF(H66="S/A",Pole_Calc!A74,
IF(H66="A/S",Pole_Calc!A75,"Poner a mano")))))))</f>
        <v/>
      </c>
      <c r="BE66" s="448" t="s">
        <v>1726</v>
      </c>
      <c r="BF66" s="634"/>
      <c r="BG66" s="634"/>
      <c r="BH66" s="634"/>
      <c r="BI66" s="634"/>
    </row>
    <row r="67" spans="1:61" ht="16.2" customHeight="1">
      <c r="A67" s="12"/>
      <c r="B67" s="446"/>
      <c r="C67" s="89"/>
      <c r="D67" s="13"/>
      <c r="E67" s="14"/>
      <c r="F67" s="14"/>
      <c r="G67" s="15"/>
      <c r="H67" s="8"/>
      <c r="I67" s="8"/>
      <c r="J67" s="89"/>
      <c r="K67" s="8"/>
      <c r="L67" s="8"/>
      <c r="M67" s="8" t="str">
        <f>IF(L67="","",
IF(AX67="PT",VLOOKUP(L67,Foundation_Calc!$V$4:$X$37,VLOOKUP(AX67,Foundation_Calc!$I$10:$J$13,2,FALSE),0),
IF(AX67="K",VLOOKUP(L67,Foundation_Calc!$V$41:$X$74,VLOOKUP(AX67,Foundation_Calc!$I$10:$J$13,2,FALSE),0),"")))</f>
        <v/>
      </c>
      <c r="N67" s="8"/>
      <c r="O67" s="8"/>
      <c r="P67" s="8"/>
      <c r="Q67" s="14"/>
      <c r="R67" s="15"/>
      <c r="S67" s="15"/>
      <c r="T67" s="14"/>
      <c r="U67" s="14"/>
      <c r="V67" s="14"/>
      <c r="W67" s="18"/>
      <c r="X67" s="18"/>
      <c r="Y67" s="18"/>
      <c r="Z67" s="18"/>
      <c r="AA67" s="18"/>
      <c r="AB67" s="18"/>
      <c r="AC67" s="8" t="str">
        <f t="shared" si="3"/>
        <v/>
      </c>
      <c r="AD67" s="8"/>
      <c r="AE67" s="8"/>
      <c r="AF67" s="14"/>
      <c r="AG67" s="13"/>
      <c r="AH67" s="14"/>
      <c r="AI67" s="14"/>
      <c r="AJ67" s="8"/>
      <c r="AK67" s="8"/>
      <c r="AL67" s="8"/>
      <c r="AM67" s="8"/>
      <c r="AN67" s="631"/>
      <c r="AO67" s="18"/>
      <c r="AP67" s="18"/>
      <c r="AQ67" s="18"/>
      <c r="AR67" s="18"/>
      <c r="AS67" s="18"/>
      <c r="AU67" s="448"/>
      <c r="AV67" s="448"/>
      <c r="AW67" s="8" t="str">
        <f>IF(C67&gt;0,VLOOKUP(C67,Foundation_Calc!$A$2:$C$986,3,1),
IF(J67&gt;0,VLOOKUP(J67,Foundation_Calc!$A$2:$C$986,3,1),""))</f>
        <v/>
      </c>
      <c r="AX67" s="8" t="str">
        <f>IF(C67&gt;0,VLOOKUP(C67,Foundation_Calc!$E$2:$G$986,3,1),
IF(J67&gt;0,VLOOKUP(J67,Foundation_Calc!$E$2:$G$986,3,1),""))</f>
        <v/>
      </c>
      <c r="AY67" s="631" t="str">
        <f>IF(L67="","",
IF(AX67="PT",VLOOKUP(L67,Foundation_Calc!$K$4:$R$37,VLOOKUP(AW67,Foundation_Calc!$I$2:$J$8,2,FALSE),0),
IF(AX67="K",VLOOKUP(L67,Foundation_Calc!$K$41:$R$74,VLOOKUP(AW67,Foundation_Calc!$I$2:$J$8,2,FALSE),0),"")))</f>
        <v/>
      </c>
      <c r="AZ67" s="631" t="str">
        <f>IF(K67="","",
IF(AX67="PT",VLOOKUP(K67,Foundation_Calc!$K$4:$R$37,VLOOKUP(AW67,Foundation_Calc!$I$2:$J$8,2,FALSE),0),
IF(AX67="K",VLOOKUP(K67,Foundation_Calc!$K$41:$R$74,VLOOKUP(AW67,Foundation_Calc!$I$2:$J$8,2,FALSE),0),"")))</f>
        <v/>
      </c>
      <c r="BA67" s="632" t="str">
        <f t="shared" si="4"/>
        <v/>
      </c>
      <c r="BB67" s="632" t="str">
        <f t="shared" si="5"/>
        <v/>
      </c>
      <c r="BC67" s="632" t="str">
        <f t="shared" si="6"/>
        <v/>
      </c>
      <c r="BD67" s="633" t="str">
        <f>IF(AND(L67="",H67=""),"",
IF(H67="",Pole_Calc!A71,
IF(H67="MP",Pole_Calc!A72,
IF(H67="AnMP",Pole_Calc!A73,
IF(H67="A",Pole_Calc!A74,
IF(H67="S/A",Pole_Calc!A75,
IF(H67="A/S",Pole_Calc!A76,"Poner a mano")))))))</f>
        <v/>
      </c>
      <c r="BE67" s="448" t="s">
        <v>1726</v>
      </c>
      <c r="BF67" s="635"/>
      <c r="BG67" s="635"/>
      <c r="BH67" s="634"/>
      <c r="BI67" s="635"/>
    </row>
    <row r="68" spans="1:61" ht="16.2" customHeight="1">
      <c r="A68" s="12"/>
      <c r="B68" s="446"/>
      <c r="C68" s="89"/>
      <c r="D68" s="13"/>
      <c r="E68" s="14"/>
      <c r="F68" s="14"/>
      <c r="G68" s="15"/>
      <c r="H68" s="8"/>
      <c r="I68" s="8"/>
      <c r="J68" s="89"/>
      <c r="K68" s="8"/>
      <c r="L68" s="8"/>
      <c r="M68" s="8" t="str">
        <f>IF(L68="","",
IF(AX68="PT",VLOOKUP(L68,Foundation_Calc!$V$4:$X$37,VLOOKUP(AX68,Foundation_Calc!$I$10:$J$13,2,FALSE),0),
IF(AX68="K",VLOOKUP(L68,Foundation_Calc!$V$41:$X$74,VLOOKUP(AX68,Foundation_Calc!$I$10:$J$13,2,FALSE),0),"")))</f>
        <v/>
      </c>
      <c r="N68" s="8"/>
      <c r="O68" s="8"/>
      <c r="P68" s="8"/>
      <c r="Q68" s="14"/>
      <c r="R68" s="15"/>
      <c r="S68" s="15"/>
      <c r="T68" s="14"/>
      <c r="U68" s="14"/>
      <c r="V68" s="14"/>
      <c r="W68" s="18"/>
      <c r="X68" s="18"/>
      <c r="Y68" s="18"/>
      <c r="Z68" s="18"/>
      <c r="AA68" s="18"/>
      <c r="AB68" s="18"/>
      <c r="AC68" s="8" t="str">
        <f t="shared" si="3"/>
        <v/>
      </c>
      <c r="AD68" s="8"/>
      <c r="AE68" s="8"/>
      <c r="AF68" s="14"/>
      <c r="AG68" s="13"/>
      <c r="AH68" s="14"/>
      <c r="AI68" s="14"/>
      <c r="AJ68" s="8"/>
      <c r="AK68" s="8"/>
      <c r="AL68" s="8"/>
      <c r="AM68" s="8"/>
      <c r="AN68" s="631"/>
      <c r="AO68" s="18"/>
      <c r="AP68" s="18"/>
      <c r="AQ68" s="18"/>
      <c r="AR68" s="18"/>
      <c r="AS68" s="18"/>
      <c r="AU68" s="448"/>
      <c r="AV68" s="448"/>
      <c r="AW68" s="8" t="str">
        <f>IF(C68&gt;0,VLOOKUP(C68,Foundation_Calc!$A$2:$C$986,3,1),
IF(J68&gt;0,VLOOKUP(J68,Foundation_Calc!$A$2:$C$986,3,1),""))</f>
        <v/>
      </c>
      <c r="AX68" s="8" t="str">
        <f>IF(C68&gt;0,VLOOKUP(C68,Foundation_Calc!$E$2:$G$986,3,1),
IF(J68&gt;0,VLOOKUP(J68,Foundation_Calc!$E$2:$G$986,3,1),""))</f>
        <v/>
      </c>
      <c r="AY68" s="631" t="str">
        <f>IF(L68="","",
IF(AX68="PT",VLOOKUP(L68,Foundation_Calc!$K$4:$R$37,VLOOKUP(AW68,Foundation_Calc!$I$2:$J$8,2,FALSE),0),
IF(AX68="K",VLOOKUP(L68,Foundation_Calc!$K$41:$R$74,VLOOKUP(AW68,Foundation_Calc!$I$2:$J$8,2,FALSE),0),"")))</f>
        <v/>
      </c>
      <c r="AZ68" s="631" t="str">
        <f>IF(K68="","",
IF(AX68="PT",VLOOKUP(K68,Foundation_Calc!$K$4:$R$37,VLOOKUP(AW68,Foundation_Calc!$I$2:$J$8,2,FALSE),0),
IF(AX68="K",VLOOKUP(K68,Foundation_Calc!$K$41:$R$74,VLOOKUP(AW68,Foundation_Calc!$I$2:$J$8,2,FALSE),0),"")))</f>
        <v/>
      </c>
      <c r="BA68" s="632" t="str">
        <f t="shared" si="4"/>
        <v/>
      </c>
      <c r="BB68" s="632" t="str">
        <f t="shared" si="5"/>
        <v/>
      </c>
      <c r="BC68" s="632" t="str">
        <f t="shared" si="6"/>
        <v/>
      </c>
      <c r="BD68" s="633" t="str">
        <f>IF(AND(L68="",H68=""),"",
IF(H68="",Pole_Calc!A72,
IF(H68="MP",Pole_Calc!A73,
IF(H68="AnMP",Pole_Calc!A74,
IF(H68="A",Pole_Calc!A75,
IF(H68="S/A",Pole_Calc!A76,
IF(H68="A/S",Pole_Calc!A77,"Poner a mano")))))))</f>
        <v/>
      </c>
      <c r="BE68" s="448" t="s">
        <v>1726</v>
      </c>
      <c r="BF68" s="634"/>
      <c r="BG68" s="634"/>
      <c r="BH68" s="634"/>
      <c r="BI68" s="634"/>
    </row>
    <row r="69" spans="1:61" ht="16.2" customHeight="1">
      <c r="A69" s="12"/>
      <c r="B69" s="446"/>
      <c r="C69" s="89"/>
      <c r="D69" s="13"/>
      <c r="E69" s="14"/>
      <c r="F69" s="14"/>
      <c r="G69" s="15"/>
      <c r="H69" s="8"/>
      <c r="I69" s="8"/>
      <c r="J69" s="89"/>
      <c r="K69" s="8"/>
      <c r="L69" s="8"/>
      <c r="M69" s="8" t="str">
        <f>IF(L69="","",
IF(AX69="PT",VLOOKUP(L69,Foundation_Calc!$V$4:$X$37,VLOOKUP(AX69,Foundation_Calc!$I$10:$J$13,2,FALSE),0),
IF(AX69="K",VLOOKUP(L69,Foundation_Calc!$V$41:$X$74,VLOOKUP(AX69,Foundation_Calc!$I$10:$J$13,2,FALSE),0),"")))</f>
        <v/>
      </c>
      <c r="N69" s="8"/>
      <c r="O69" s="8"/>
      <c r="P69" s="8"/>
      <c r="Q69" s="14"/>
      <c r="R69" s="15"/>
      <c r="S69" s="15"/>
      <c r="T69" s="14"/>
      <c r="U69" s="14"/>
      <c r="V69" s="14"/>
      <c r="W69" s="18"/>
      <c r="X69" s="18"/>
      <c r="Y69" s="18"/>
      <c r="Z69" s="18"/>
      <c r="AA69" s="18"/>
      <c r="AB69" s="18"/>
      <c r="AC69" s="8" t="str">
        <f t="shared" si="3"/>
        <v/>
      </c>
      <c r="AD69" s="8"/>
      <c r="AE69" s="8"/>
      <c r="AF69" s="14"/>
      <c r="AG69" s="13"/>
      <c r="AH69" s="14"/>
      <c r="AI69" s="14"/>
      <c r="AJ69" s="8"/>
      <c r="AK69" s="8"/>
      <c r="AL69" s="8"/>
      <c r="AM69" s="8"/>
      <c r="AN69" s="631"/>
      <c r="AO69" s="18"/>
      <c r="AP69" s="18"/>
      <c r="AQ69" s="18"/>
      <c r="AR69" s="18"/>
      <c r="AS69" s="18"/>
      <c r="AU69" s="448"/>
      <c r="AV69" s="448"/>
      <c r="AW69" s="8" t="str">
        <f>IF(C69&gt;0,VLOOKUP(C69,Foundation_Calc!$A$2:$C$986,3,1),
IF(J69&gt;0,VLOOKUP(J69,Foundation_Calc!$A$2:$C$986,3,1),""))</f>
        <v/>
      </c>
      <c r="AX69" s="8" t="str">
        <f>IF(C69&gt;0,VLOOKUP(C69,Foundation_Calc!$E$2:$G$986,3,1),
IF(J69&gt;0,VLOOKUP(J69,Foundation_Calc!$E$2:$G$986,3,1),""))</f>
        <v/>
      </c>
      <c r="AY69" s="631" t="str">
        <f>IF(L69="","",
IF(AX69="PT",VLOOKUP(L69,Foundation_Calc!$K$4:$R$37,VLOOKUP(AW69,Foundation_Calc!$I$2:$J$8,2,FALSE),0),
IF(AX69="K",VLOOKUP(L69,Foundation_Calc!$K$41:$R$74,VLOOKUP(AW69,Foundation_Calc!$I$2:$J$8,2,FALSE),0),"")))</f>
        <v/>
      </c>
      <c r="AZ69" s="631" t="str">
        <f>IF(K69="","",
IF(AX69="PT",VLOOKUP(K69,Foundation_Calc!$K$4:$R$37,VLOOKUP(AW69,Foundation_Calc!$I$2:$J$8,2,FALSE),0),
IF(AX69="K",VLOOKUP(K69,Foundation_Calc!$K$41:$R$74,VLOOKUP(AW69,Foundation_Calc!$I$2:$J$8,2,FALSE),0),"")))</f>
        <v/>
      </c>
      <c r="BA69" s="632" t="str">
        <f t="shared" si="4"/>
        <v/>
      </c>
      <c r="BB69" s="632" t="str">
        <f t="shared" si="5"/>
        <v/>
      </c>
      <c r="BC69" s="632" t="str">
        <f t="shared" si="6"/>
        <v/>
      </c>
      <c r="BD69" s="633" t="str">
        <f>IF(AND(L69="",H69=""),"",
IF(H69="",Pole_Calc!A73,
IF(H69="MP",Pole_Calc!A74,
IF(H69="AnMP",Pole_Calc!A75,
IF(H69="A",Pole_Calc!A76,
IF(H69="S/A",Pole_Calc!A77,
IF(H69="A/S",Pole_Calc!A78,"Poner a mano")))))))</f>
        <v/>
      </c>
      <c r="BE69" s="448" t="s">
        <v>1726</v>
      </c>
      <c r="BF69" s="635"/>
      <c r="BG69" s="635"/>
      <c r="BH69" s="634"/>
      <c r="BI69" s="635"/>
    </row>
    <row r="70" spans="1:61" ht="16.2" customHeight="1">
      <c r="A70" s="12"/>
      <c r="B70" s="446"/>
      <c r="C70" s="89"/>
      <c r="D70" s="13"/>
      <c r="E70" s="14"/>
      <c r="F70" s="14"/>
      <c r="G70" s="15"/>
      <c r="H70" s="8"/>
      <c r="I70" s="8"/>
      <c r="J70" s="89"/>
      <c r="K70" s="8"/>
      <c r="L70" s="8"/>
      <c r="M70" s="8" t="str">
        <f>IF(L70="","",
IF(AX70="PT",VLOOKUP(L70,Foundation_Calc!$V$4:$X$37,VLOOKUP(AX70,Foundation_Calc!$I$10:$J$13,2,FALSE),0),
IF(AX70="K",VLOOKUP(L70,Foundation_Calc!$V$41:$X$74,VLOOKUP(AX70,Foundation_Calc!$I$10:$J$13,2,FALSE),0),"")))</f>
        <v/>
      </c>
      <c r="N70" s="8"/>
      <c r="O70" s="8"/>
      <c r="P70" s="8"/>
      <c r="Q70" s="14"/>
      <c r="R70" s="15"/>
      <c r="S70" s="15"/>
      <c r="T70" s="14"/>
      <c r="U70" s="14"/>
      <c r="V70" s="14"/>
      <c r="W70" s="18"/>
      <c r="X70" s="18"/>
      <c r="Y70" s="18"/>
      <c r="Z70" s="18"/>
      <c r="AA70" s="18"/>
      <c r="AB70" s="18"/>
      <c r="AC70" s="8" t="str">
        <f t="shared" ref="AC70:AC133" si="7">IF(OR(AT70&gt;8,AT70&lt;-8),"PH",
IF(OR(AT70&gt;5,AT70&lt;-5),"PHQ",
IF(OR(AT70&gt;1,AT70&lt;-1),
"PHC","")))</f>
        <v/>
      </c>
      <c r="AD70" s="8"/>
      <c r="AE70" s="8"/>
      <c r="AF70" s="14"/>
      <c r="AG70" s="13"/>
      <c r="AH70" s="14"/>
      <c r="AI70" s="14"/>
      <c r="AJ70" s="8"/>
      <c r="AK70" s="8"/>
      <c r="AL70" s="8"/>
      <c r="AM70" s="8"/>
      <c r="AN70" s="631"/>
      <c r="AO70" s="18"/>
      <c r="AP70" s="18"/>
      <c r="AQ70" s="18"/>
      <c r="AR70" s="18"/>
      <c r="AS70" s="18"/>
      <c r="AU70" s="448"/>
      <c r="AV70" s="448"/>
      <c r="AW70" s="8" t="str">
        <f>IF(C70&gt;0,VLOOKUP(C70,Foundation_Calc!$A$2:$C$986,3,1),
IF(J70&gt;0,VLOOKUP(J70,Foundation_Calc!$A$2:$C$986,3,1),""))</f>
        <v/>
      </c>
      <c r="AX70" s="8" t="str">
        <f>IF(C70&gt;0,VLOOKUP(C70,Foundation_Calc!$E$2:$G$986,3,1),
IF(J70&gt;0,VLOOKUP(J70,Foundation_Calc!$E$2:$G$986,3,1),""))</f>
        <v/>
      </c>
      <c r="AY70" s="631" t="str">
        <f>IF(L70="","",
IF(AX70="PT",VLOOKUP(L70,Foundation_Calc!$K$4:$R$37,VLOOKUP(AW70,Foundation_Calc!$I$2:$J$8,2,FALSE),0),
IF(AX70="K",VLOOKUP(L70,Foundation_Calc!$K$41:$R$74,VLOOKUP(AW70,Foundation_Calc!$I$2:$J$8,2,FALSE),0),"")))</f>
        <v/>
      </c>
      <c r="AZ70" s="631" t="str">
        <f>IF(K70="","",
IF(AX70="PT",VLOOKUP(K70,Foundation_Calc!$K$4:$R$37,VLOOKUP(AW70,Foundation_Calc!$I$2:$J$8,2,FALSE),0),
IF(AX70="K",VLOOKUP(K70,Foundation_Calc!$K$41:$R$74,VLOOKUP(AW70,Foundation_Calc!$I$2:$J$8,2,FALSE),0),"")))</f>
        <v/>
      </c>
      <c r="BA70" s="632" t="str">
        <f t="shared" ref="BA70:BA133" si="8">IF(AY70="","",IF(AY70&gt;0,"ü",""))</f>
        <v/>
      </c>
      <c r="BB70" s="632" t="str">
        <f t="shared" ref="BB70:BB133" si="9">IF(AZ70="","",IF(AZ70&gt;0,"ü",""))</f>
        <v/>
      </c>
      <c r="BC70" s="632" t="str">
        <f t="shared" ref="BC70:BC133" si="10">IF(M70="","",IF(M70="Unique Solution","ü",""))</f>
        <v/>
      </c>
      <c r="BD70" s="633" t="str">
        <f>IF(AND(L70="",H70=""),"",
IF(H70="",Pole_Calc!A74,
IF(H70="MP",Pole_Calc!A75,
IF(H70="AnMP",Pole_Calc!A76,
IF(H70="A",Pole_Calc!A77,
IF(H70="S/A",Pole_Calc!A78,
IF(H70="A/S",Pole_Calc!A79,"Poner a mano")))))))</f>
        <v/>
      </c>
      <c r="BE70" s="448" t="s">
        <v>1726</v>
      </c>
      <c r="BF70" s="634"/>
      <c r="BG70" s="634"/>
      <c r="BH70" s="634"/>
      <c r="BI70" s="634"/>
    </row>
    <row r="71" spans="1:61" ht="16.2" customHeight="1">
      <c r="A71" s="12"/>
      <c r="B71" s="446"/>
      <c r="C71" s="89"/>
      <c r="D71" s="13"/>
      <c r="E71" s="14"/>
      <c r="F71" s="14"/>
      <c r="G71" s="15"/>
      <c r="H71" s="8"/>
      <c r="I71" s="8"/>
      <c r="J71" s="89"/>
      <c r="K71" s="8"/>
      <c r="L71" s="8"/>
      <c r="M71" s="8" t="str">
        <f>IF(L71="","",
IF(AX71="PT",VLOOKUP(L71,Foundation_Calc!$V$4:$X$37,VLOOKUP(AX71,Foundation_Calc!$I$10:$J$13,2,FALSE),0),
IF(AX71="K",VLOOKUP(L71,Foundation_Calc!$V$41:$X$74,VLOOKUP(AX71,Foundation_Calc!$I$10:$J$13,2,FALSE),0),"")))</f>
        <v/>
      </c>
      <c r="N71" s="8"/>
      <c r="O71" s="8"/>
      <c r="P71" s="8"/>
      <c r="Q71" s="14"/>
      <c r="R71" s="15"/>
      <c r="S71" s="15"/>
      <c r="T71" s="14"/>
      <c r="U71" s="14"/>
      <c r="V71" s="14"/>
      <c r="W71" s="18"/>
      <c r="X71" s="18"/>
      <c r="Y71" s="18"/>
      <c r="Z71" s="18"/>
      <c r="AA71" s="18"/>
      <c r="AB71" s="18"/>
      <c r="AC71" s="8" t="str">
        <f t="shared" si="7"/>
        <v/>
      </c>
      <c r="AD71" s="8"/>
      <c r="AE71" s="8"/>
      <c r="AF71" s="14"/>
      <c r="AG71" s="13"/>
      <c r="AH71" s="14"/>
      <c r="AI71" s="14"/>
      <c r="AJ71" s="8"/>
      <c r="AK71" s="8"/>
      <c r="AL71" s="8"/>
      <c r="AM71" s="8"/>
      <c r="AN71" s="631"/>
      <c r="AO71" s="18"/>
      <c r="AP71" s="18"/>
      <c r="AQ71" s="18"/>
      <c r="AR71" s="18"/>
      <c r="AS71" s="18"/>
      <c r="AU71" s="448"/>
      <c r="AV71" s="448"/>
      <c r="AW71" s="8" t="str">
        <f>IF(C71&gt;0,VLOOKUP(C71,Foundation_Calc!$A$2:$C$986,3,1),
IF(J71&gt;0,VLOOKUP(J71,Foundation_Calc!$A$2:$C$986,3,1),""))</f>
        <v/>
      </c>
      <c r="AX71" s="8" t="str">
        <f>IF(C71&gt;0,VLOOKUP(C71,Foundation_Calc!$E$2:$G$986,3,1),
IF(J71&gt;0,VLOOKUP(J71,Foundation_Calc!$E$2:$G$986,3,1),""))</f>
        <v/>
      </c>
      <c r="AY71" s="631" t="str">
        <f>IF(L71="","",
IF(AX71="PT",VLOOKUP(L71,Foundation_Calc!$K$4:$R$37,VLOOKUP(AW71,Foundation_Calc!$I$2:$J$8,2,FALSE),0),
IF(AX71="K",VLOOKUP(L71,Foundation_Calc!$K$41:$R$74,VLOOKUP(AW71,Foundation_Calc!$I$2:$J$8,2,FALSE),0),"")))</f>
        <v/>
      </c>
      <c r="AZ71" s="631" t="str">
        <f>IF(K71="","",
IF(AX71="PT",VLOOKUP(K71,Foundation_Calc!$K$4:$R$37,VLOOKUP(AW71,Foundation_Calc!$I$2:$J$8,2,FALSE),0),
IF(AX71="K",VLOOKUP(K71,Foundation_Calc!$K$41:$R$74,VLOOKUP(AW71,Foundation_Calc!$I$2:$J$8,2,FALSE),0),"")))</f>
        <v/>
      </c>
      <c r="BA71" s="632" t="str">
        <f t="shared" si="8"/>
        <v/>
      </c>
      <c r="BB71" s="632" t="str">
        <f t="shared" si="9"/>
        <v/>
      </c>
      <c r="BC71" s="632" t="str">
        <f t="shared" si="10"/>
        <v/>
      </c>
      <c r="BD71" s="633" t="str">
        <f>IF(AND(L71="",H71=""),"",
IF(H71="",Pole_Calc!A75,
IF(H71="MP",Pole_Calc!A76,
IF(H71="AnMP",Pole_Calc!A77,
IF(H71="A",Pole_Calc!A78,
IF(H71="S/A",Pole_Calc!A79,
IF(H71="A/S",Pole_Calc!A80,"Poner a mano")))))))</f>
        <v/>
      </c>
      <c r="BE71" s="448" t="s">
        <v>1726</v>
      </c>
      <c r="BF71" s="635"/>
      <c r="BG71" s="635"/>
      <c r="BH71" s="634"/>
      <c r="BI71" s="635"/>
    </row>
    <row r="72" spans="1:61" ht="16.2" customHeight="1">
      <c r="A72" s="12"/>
      <c r="B72" s="446"/>
      <c r="C72" s="89"/>
      <c r="D72" s="13"/>
      <c r="E72" s="14"/>
      <c r="F72" s="14"/>
      <c r="G72" s="15"/>
      <c r="H72" s="8"/>
      <c r="I72" s="8"/>
      <c r="J72" s="89"/>
      <c r="K72" s="8"/>
      <c r="L72" s="8"/>
      <c r="M72" s="8" t="str">
        <f>IF(L72="","",
IF(AX72="PT",VLOOKUP(L72,Foundation_Calc!$V$4:$X$37,VLOOKUP(AX72,Foundation_Calc!$I$10:$J$13,2,FALSE),0),
IF(AX72="K",VLOOKUP(L72,Foundation_Calc!$V$41:$X$74,VLOOKUP(AX72,Foundation_Calc!$I$10:$J$13,2,FALSE),0),"")))</f>
        <v/>
      </c>
      <c r="N72" s="8"/>
      <c r="O72" s="8"/>
      <c r="P72" s="8"/>
      <c r="Q72" s="14"/>
      <c r="R72" s="15"/>
      <c r="S72" s="15"/>
      <c r="T72" s="14"/>
      <c r="U72" s="14"/>
      <c r="V72" s="14"/>
      <c r="W72" s="18"/>
      <c r="X72" s="18"/>
      <c r="Y72" s="18"/>
      <c r="Z72" s="18"/>
      <c r="AA72" s="18"/>
      <c r="AB72" s="18"/>
      <c r="AC72" s="8" t="str">
        <f t="shared" si="7"/>
        <v/>
      </c>
      <c r="AD72" s="8"/>
      <c r="AE72" s="8"/>
      <c r="AF72" s="14"/>
      <c r="AG72" s="13"/>
      <c r="AH72" s="14"/>
      <c r="AI72" s="14"/>
      <c r="AJ72" s="8"/>
      <c r="AK72" s="8"/>
      <c r="AL72" s="8"/>
      <c r="AM72" s="8"/>
      <c r="AN72" s="631"/>
      <c r="AO72" s="18"/>
      <c r="AP72" s="18"/>
      <c r="AQ72" s="18"/>
      <c r="AR72" s="18"/>
      <c r="AS72" s="18"/>
      <c r="AU72" s="448"/>
      <c r="AV72" s="448"/>
      <c r="AW72" s="8" t="str">
        <f>IF(C72&gt;0,VLOOKUP(C72,Foundation_Calc!$A$2:$C$986,3,1),
IF(J72&gt;0,VLOOKUP(J72,Foundation_Calc!$A$2:$C$986,3,1),""))</f>
        <v/>
      </c>
      <c r="AX72" s="8" t="str">
        <f>IF(C72&gt;0,VLOOKUP(C72,Foundation_Calc!$E$2:$G$986,3,1),
IF(J72&gt;0,VLOOKUP(J72,Foundation_Calc!$E$2:$G$986,3,1),""))</f>
        <v/>
      </c>
      <c r="AY72" s="631" t="str">
        <f>IF(L72="","",
IF(AX72="PT",VLOOKUP(L72,Foundation_Calc!$K$4:$R$37,VLOOKUP(AW72,Foundation_Calc!$I$2:$J$8,2,FALSE),0),
IF(AX72="K",VLOOKUP(L72,Foundation_Calc!$K$41:$R$74,VLOOKUP(AW72,Foundation_Calc!$I$2:$J$8,2,FALSE),0),"")))</f>
        <v/>
      </c>
      <c r="AZ72" s="631" t="str">
        <f>IF(K72="","",
IF(AX72="PT",VLOOKUP(K72,Foundation_Calc!$K$4:$R$37,VLOOKUP(AW72,Foundation_Calc!$I$2:$J$8,2,FALSE),0),
IF(AX72="K",VLOOKUP(K72,Foundation_Calc!$K$41:$R$74,VLOOKUP(AW72,Foundation_Calc!$I$2:$J$8,2,FALSE),0),"")))</f>
        <v/>
      </c>
      <c r="BA72" s="632" t="str">
        <f t="shared" si="8"/>
        <v/>
      </c>
      <c r="BB72" s="632" t="str">
        <f t="shared" si="9"/>
        <v/>
      </c>
      <c r="BC72" s="632" t="str">
        <f t="shared" si="10"/>
        <v/>
      </c>
      <c r="BD72" s="633" t="str">
        <f>IF(AND(L72="",H72=""),"",
IF(H72="",Pole_Calc!A76,
IF(H72="MP",Pole_Calc!A77,
IF(H72="AnMP",Pole_Calc!A78,
IF(H72="A",Pole_Calc!A79,
IF(H72="S/A",Pole_Calc!A80,
IF(H72="A/S",Pole_Calc!A81,"Poner a mano")))))))</f>
        <v/>
      </c>
      <c r="BE72" s="448" t="s">
        <v>1726</v>
      </c>
      <c r="BF72" s="634"/>
      <c r="BG72" s="634"/>
      <c r="BH72" s="634"/>
      <c r="BI72" s="634"/>
    </row>
    <row r="73" spans="1:61" ht="16.2" customHeight="1">
      <c r="A73" s="12"/>
      <c r="B73" s="446"/>
      <c r="C73" s="89"/>
      <c r="D73" s="13"/>
      <c r="E73" s="14"/>
      <c r="F73" s="14"/>
      <c r="G73" s="15"/>
      <c r="H73" s="8"/>
      <c r="I73" s="8"/>
      <c r="J73" s="89"/>
      <c r="K73" s="8"/>
      <c r="L73" s="8"/>
      <c r="M73" s="8" t="str">
        <f>IF(L73="","",
IF(AX73="PT",VLOOKUP(L73,Foundation_Calc!$V$4:$X$37,VLOOKUP(AX73,Foundation_Calc!$I$10:$J$13,2,FALSE),0),
IF(AX73="K",VLOOKUP(L73,Foundation_Calc!$V$41:$X$74,VLOOKUP(AX73,Foundation_Calc!$I$10:$J$13,2,FALSE),0),"")))</f>
        <v/>
      </c>
      <c r="N73" s="8"/>
      <c r="O73" s="8"/>
      <c r="P73" s="8"/>
      <c r="Q73" s="14"/>
      <c r="R73" s="15"/>
      <c r="S73" s="15"/>
      <c r="T73" s="14"/>
      <c r="U73" s="14"/>
      <c r="V73" s="14"/>
      <c r="W73" s="18"/>
      <c r="X73" s="18"/>
      <c r="Y73" s="18"/>
      <c r="Z73" s="18"/>
      <c r="AA73" s="18"/>
      <c r="AB73" s="18"/>
      <c r="AC73" s="8" t="str">
        <f t="shared" si="7"/>
        <v/>
      </c>
      <c r="AD73" s="8"/>
      <c r="AE73" s="8"/>
      <c r="AF73" s="14"/>
      <c r="AG73" s="13"/>
      <c r="AH73" s="14"/>
      <c r="AI73" s="14"/>
      <c r="AJ73" s="8"/>
      <c r="AK73" s="8"/>
      <c r="AL73" s="8"/>
      <c r="AM73" s="8"/>
      <c r="AN73" s="631"/>
      <c r="AO73" s="18"/>
      <c r="AP73" s="18"/>
      <c r="AQ73" s="18"/>
      <c r="AR73" s="18"/>
      <c r="AS73" s="18"/>
      <c r="AU73" s="448"/>
      <c r="AV73" s="448"/>
      <c r="AW73" s="8" t="str">
        <f>IF(C73&gt;0,VLOOKUP(C73,Foundation_Calc!$A$2:$C$986,3,1),
IF(J73&gt;0,VLOOKUP(J73,Foundation_Calc!$A$2:$C$986,3,1),""))</f>
        <v/>
      </c>
      <c r="AX73" s="8" t="str">
        <f>IF(C73&gt;0,VLOOKUP(C73,Foundation_Calc!$E$2:$G$986,3,1),
IF(J73&gt;0,VLOOKUP(J73,Foundation_Calc!$E$2:$G$986,3,1),""))</f>
        <v/>
      </c>
      <c r="AY73" s="631" t="str">
        <f>IF(L73="","",
IF(AX73="PT",VLOOKUP(L73,Foundation_Calc!$K$4:$R$37,VLOOKUP(AW73,Foundation_Calc!$I$2:$J$8,2,FALSE),0),
IF(AX73="K",VLOOKUP(L73,Foundation_Calc!$K$41:$R$74,VLOOKUP(AW73,Foundation_Calc!$I$2:$J$8,2,FALSE),0),"")))</f>
        <v/>
      </c>
      <c r="AZ73" s="631" t="str">
        <f>IF(K73="","",
IF(AX73="PT",VLOOKUP(K73,Foundation_Calc!$K$4:$R$37,VLOOKUP(AW73,Foundation_Calc!$I$2:$J$8,2,FALSE),0),
IF(AX73="K",VLOOKUP(K73,Foundation_Calc!$K$41:$R$74,VLOOKUP(AW73,Foundation_Calc!$I$2:$J$8,2,FALSE),0),"")))</f>
        <v/>
      </c>
      <c r="BA73" s="632" t="str">
        <f t="shared" si="8"/>
        <v/>
      </c>
      <c r="BB73" s="632" t="str">
        <f t="shared" si="9"/>
        <v/>
      </c>
      <c r="BC73" s="632" t="str">
        <f t="shared" si="10"/>
        <v/>
      </c>
      <c r="BD73" s="633" t="str">
        <f>IF(AND(L73="",H73=""),"",
IF(H73="",Pole_Calc!A77,
IF(H73="MP",Pole_Calc!A78,
IF(H73="AnMP",Pole_Calc!A79,
IF(H73="A",Pole_Calc!A80,
IF(H73="S/A",Pole_Calc!A81,
IF(H73="A/S",Pole_Calc!A82,"Poner a mano")))))))</f>
        <v/>
      </c>
      <c r="BE73" s="448" t="s">
        <v>1726</v>
      </c>
      <c r="BF73" s="635"/>
      <c r="BG73" s="635"/>
      <c r="BH73" s="634"/>
      <c r="BI73" s="635"/>
    </row>
    <row r="74" spans="1:61" ht="16.2" customHeight="1">
      <c r="A74" s="12"/>
      <c r="B74" s="446"/>
      <c r="C74" s="89"/>
      <c r="D74" s="13"/>
      <c r="E74" s="14"/>
      <c r="F74" s="14"/>
      <c r="G74" s="15"/>
      <c r="H74" s="8"/>
      <c r="I74" s="8"/>
      <c r="J74" s="89"/>
      <c r="K74" s="8"/>
      <c r="L74" s="8"/>
      <c r="M74" s="8" t="str">
        <f>IF(L74="","",
IF(AX74="PT",VLOOKUP(L74,Foundation_Calc!$V$4:$X$37,VLOOKUP(AX74,Foundation_Calc!$I$10:$J$13,2,FALSE),0),
IF(AX74="K",VLOOKUP(L74,Foundation_Calc!$V$41:$X$74,VLOOKUP(AX74,Foundation_Calc!$I$10:$J$13,2,FALSE),0),"")))</f>
        <v/>
      </c>
      <c r="N74" s="8"/>
      <c r="O74" s="8"/>
      <c r="P74" s="8"/>
      <c r="Q74" s="14"/>
      <c r="R74" s="15"/>
      <c r="S74" s="15"/>
      <c r="T74" s="14"/>
      <c r="U74" s="14"/>
      <c r="V74" s="14"/>
      <c r="W74" s="18"/>
      <c r="X74" s="18"/>
      <c r="Y74" s="18"/>
      <c r="Z74" s="18"/>
      <c r="AA74" s="18"/>
      <c r="AB74" s="18"/>
      <c r="AC74" s="8" t="str">
        <f t="shared" si="7"/>
        <v/>
      </c>
      <c r="AD74" s="8"/>
      <c r="AE74" s="8"/>
      <c r="AF74" s="14"/>
      <c r="AG74" s="13"/>
      <c r="AH74" s="14"/>
      <c r="AI74" s="14"/>
      <c r="AJ74" s="8"/>
      <c r="AK74" s="8"/>
      <c r="AL74" s="8"/>
      <c r="AM74" s="8"/>
      <c r="AN74" s="631"/>
      <c r="AO74" s="18"/>
      <c r="AP74" s="18"/>
      <c r="AQ74" s="18"/>
      <c r="AR74" s="18"/>
      <c r="AS74" s="18"/>
      <c r="AU74" s="448"/>
      <c r="AV74" s="448"/>
      <c r="AW74" s="8" t="str">
        <f>IF(C74&gt;0,VLOOKUP(C74,Foundation_Calc!$A$2:$C$986,3,1),
IF(J74&gt;0,VLOOKUP(J74,Foundation_Calc!$A$2:$C$986,3,1),""))</f>
        <v/>
      </c>
      <c r="AX74" s="8" t="str">
        <f>IF(C74&gt;0,VLOOKUP(C74,Foundation_Calc!$E$2:$G$986,3,1),
IF(J74&gt;0,VLOOKUP(J74,Foundation_Calc!$E$2:$G$986,3,1),""))</f>
        <v/>
      </c>
      <c r="AY74" s="631" t="str">
        <f>IF(L74="","",
IF(AX74="PT",VLOOKUP(L74,Foundation_Calc!$K$4:$R$37,VLOOKUP(AW74,Foundation_Calc!$I$2:$J$8,2,FALSE),0),
IF(AX74="K",VLOOKUP(L74,Foundation_Calc!$K$41:$R$74,VLOOKUP(AW74,Foundation_Calc!$I$2:$J$8,2,FALSE),0),"")))</f>
        <v/>
      </c>
      <c r="AZ74" s="631" t="str">
        <f>IF(K74="","",
IF(AX74="PT",VLOOKUP(K74,Foundation_Calc!$K$4:$R$37,VLOOKUP(AW74,Foundation_Calc!$I$2:$J$8,2,FALSE),0),
IF(AX74="K",VLOOKUP(K74,Foundation_Calc!$K$41:$R$74,VLOOKUP(AW74,Foundation_Calc!$I$2:$J$8,2,FALSE),0),"")))</f>
        <v/>
      </c>
      <c r="BA74" s="632" t="str">
        <f t="shared" si="8"/>
        <v/>
      </c>
      <c r="BB74" s="632" t="str">
        <f t="shared" si="9"/>
        <v/>
      </c>
      <c r="BC74" s="632" t="str">
        <f t="shared" si="10"/>
        <v/>
      </c>
      <c r="BD74" s="633" t="str">
        <f>IF(AND(L74="",H74=""),"",
IF(H74="",Pole_Calc!A78,
IF(H74="MP",Pole_Calc!A79,
IF(H74="AnMP",Pole_Calc!A80,
IF(H74="A",Pole_Calc!A81,
IF(H74="S/A",Pole_Calc!A82,
IF(H74="A/S",Pole_Calc!A83,"Poner a mano")))))))</f>
        <v/>
      </c>
      <c r="BE74" s="448" t="s">
        <v>1726</v>
      </c>
      <c r="BF74" s="634"/>
      <c r="BG74" s="634"/>
      <c r="BH74" s="634"/>
      <c r="BI74" s="634"/>
    </row>
    <row r="75" spans="1:61" ht="16.2" customHeight="1">
      <c r="A75" s="12"/>
      <c r="B75" s="446"/>
      <c r="C75" s="89"/>
      <c r="D75" s="13"/>
      <c r="E75" s="14"/>
      <c r="F75" s="14"/>
      <c r="G75" s="15"/>
      <c r="H75" s="8"/>
      <c r="I75" s="8"/>
      <c r="J75" s="89"/>
      <c r="K75" s="8"/>
      <c r="L75" s="8"/>
      <c r="M75" s="8" t="str">
        <f>IF(L75="","",
IF(AX75="PT",VLOOKUP(L75,Foundation_Calc!$V$4:$X$37,VLOOKUP(AX75,Foundation_Calc!$I$10:$J$13,2,FALSE),0),
IF(AX75="K",VLOOKUP(L75,Foundation_Calc!$V$41:$X$74,VLOOKUP(AX75,Foundation_Calc!$I$10:$J$13,2,FALSE),0),"")))</f>
        <v/>
      </c>
      <c r="N75" s="8"/>
      <c r="O75" s="8"/>
      <c r="P75" s="8"/>
      <c r="Q75" s="14"/>
      <c r="R75" s="15"/>
      <c r="S75" s="15"/>
      <c r="T75" s="14"/>
      <c r="U75" s="14"/>
      <c r="V75" s="14"/>
      <c r="W75" s="18"/>
      <c r="X75" s="18"/>
      <c r="Y75" s="18"/>
      <c r="Z75" s="18"/>
      <c r="AA75" s="18"/>
      <c r="AB75" s="18"/>
      <c r="AC75" s="8" t="str">
        <f t="shared" si="7"/>
        <v/>
      </c>
      <c r="AD75" s="8"/>
      <c r="AE75" s="8"/>
      <c r="AF75" s="14"/>
      <c r="AG75" s="13"/>
      <c r="AH75" s="14"/>
      <c r="AI75" s="14"/>
      <c r="AJ75" s="8"/>
      <c r="AK75" s="8"/>
      <c r="AL75" s="8"/>
      <c r="AM75" s="8"/>
      <c r="AN75" s="631"/>
      <c r="AO75" s="18"/>
      <c r="AP75" s="18"/>
      <c r="AQ75" s="18"/>
      <c r="AR75" s="18"/>
      <c r="AS75" s="18"/>
      <c r="AU75" s="448"/>
      <c r="AV75" s="448"/>
      <c r="AW75" s="8" t="str">
        <f>IF(C75&gt;0,VLOOKUP(C75,Foundation_Calc!$A$2:$C$986,3,1),
IF(J75&gt;0,VLOOKUP(J75,Foundation_Calc!$A$2:$C$986,3,1),""))</f>
        <v/>
      </c>
      <c r="AX75" s="8" t="str">
        <f>IF(C75&gt;0,VLOOKUP(C75,Foundation_Calc!$E$2:$G$986,3,1),
IF(J75&gt;0,VLOOKUP(J75,Foundation_Calc!$E$2:$G$986,3,1),""))</f>
        <v/>
      </c>
      <c r="AY75" s="631" t="str">
        <f>IF(L75="","",
IF(AX75="PT",VLOOKUP(L75,Foundation_Calc!$K$4:$R$37,VLOOKUP(AW75,Foundation_Calc!$I$2:$J$8,2,FALSE),0),
IF(AX75="K",VLOOKUP(L75,Foundation_Calc!$K$41:$R$74,VLOOKUP(AW75,Foundation_Calc!$I$2:$J$8,2,FALSE),0),"")))</f>
        <v/>
      </c>
      <c r="AZ75" s="631" t="str">
        <f>IF(K75="","",
IF(AX75="PT",VLOOKUP(K75,Foundation_Calc!$K$4:$R$37,VLOOKUP(AW75,Foundation_Calc!$I$2:$J$8,2,FALSE),0),
IF(AX75="K",VLOOKUP(K75,Foundation_Calc!$K$41:$R$74,VLOOKUP(AW75,Foundation_Calc!$I$2:$J$8,2,FALSE),0),"")))</f>
        <v/>
      </c>
      <c r="BA75" s="632" t="str">
        <f t="shared" si="8"/>
        <v/>
      </c>
      <c r="BB75" s="632" t="str">
        <f t="shared" si="9"/>
        <v/>
      </c>
      <c r="BC75" s="632" t="str">
        <f t="shared" si="10"/>
        <v/>
      </c>
      <c r="BD75" s="633" t="str">
        <f>IF(AND(L75="",H75=""),"",
IF(H75="",Pole_Calc!A79,
IF(H75="MP",Pole_Calc!A80,
IF(H75="AnMP",Pole_Calc!A81,
IF(H75="A",Pole_Calc!A82,
IF(H75="S/A",Pole_Calc!A83,
IF(H75="A/S",Pole_Calc!A84,"Poner a mano")))))))</f>
        <v/>
      </c>
      <c r="BE75" s="448" t="s">
        <v>1726</v>
      </c>
      <c r="BF75" s="635"/>
      <c r="BG75" s="635"/>
      <c r="BH75" s="634"/>
      <c r="BI75" s="635"/>
    </row>
    <row r="76" spans="1:61" ht="16.2" customHeight="1">
      <c r="A76" s="12"/>
      <c r="B76" s="446"/>
      <c r="C76" s="89"/>
      <c r="D76" s="13"/>
      <c r="E76" s="14"/>
      <c r="F76" s="14"/>
      <c r="G76" s="15"/>
      <c r="H76" s="8"/>
      <c r="I76" s="8"/>
      <c r="J76" s="89"/>
      <c r="K76" s="8"/>
      <c r="L76" s="8"/>
      <c r="M76" s="8" t="str">
        <f>IF(L76="","",
IF(AX76="PT",VLOOKUP(L76,Foundation_Calc!$V$4:$X$37,VLOOKUP(AX76,Foundation_Calc!$I$10:$J$13,2,FALSE),0),
IF(AX76="K",VLOOKUP(L76,Foundation_Calc!$V$41:$X$74,VLOOKUP(AX76,Foundation_Calc!$I$10:$J$13,2,FALSE),0),"")))</f>
        <v/>
      </c>
      <c r="N76" s="8"/>
      <c r="O76" s="8"/>
      <c r="P76" s="8"/>
      <c r="Q76" s="14"/>
      <c r="R76" s="15"/>
      <c r="S76" s="15"/>
      <c r="T76" s="14"/>
      <c r="U76" s="14"/>
      <c r="V76" s="14"/>
      <c r="W76" s="18"/>
      <c r="X76" s="18"/>
      <c r="Y76" s="18"/>
      <c r="Z76" s="18"/>
      <c r="AA76" s="18"/>
      <c r="AB76" s="18"/>
      <c r="AC76" s="8" t="str">
        <f t="shared" si="7"/>
        <v/>
      </c>
      <c r="AD76" s="8"/>
      <c r="AE76" s="8"/>
      <c r="AF76" s="14"/>
      <c r="AG76" s="13"/>
      <c r="AH76" s="14"/>
      <c r="AI76" s="14"/>
      <c r="AJ76" s="8"/>
      <c r="AK76" s="8"/>
      <c r="AL76" s="8"/>
      <c r="AM76" s="8"/>
      <c r="AN76" s="631"/>
      <c r="AO76" s="18"/>
      <c r="AP76" s="18"/>
      <c r="AQ76" s="18"/>
      <c r="AR76" s="18"/>
      <c r="AS76" s="18"/>
      <c r="AU76" s="448"/>
      <c r="AV76" s="448"/>
      <c r="AW76" s="8" t="str">
        <f>IF(C76&gt;0,VLOOKUP(C76,Foundation_Calc!$A$2:$C$986,3,1),
IF(J76&gt;0,VLOOKUP(J76,Foundation_Calc!$A$2:$C$986,3,1),""))</f>
        <v/>
      </c>
      <c r="AX76" s="8" t="str">
        <f>IF(C76&gt;0,VLOOKUP(C76,Foundation_Calc!$E$2:$G$986,3,1),
IF(J76&gt;0,VLOOKUP(J76,Foundation_Calc!$E$2:$G$986,3,1),""))</f>
        <v/>
      </c>
      <c r="AY76" s="631" t="str">
        <f>IF(L76="","",
IF(AX76="PT",VLOOKUP(L76,Foundation_Calc!$K$4:$R$37,VLOOKUP(AW76,Foundation_Calc!$I$2:$J$8,2,FALSE),0),
IF(AX76="K",VLOOKUP(L76,Foundation_Calc!$K$41:$R$74,VLOOKUP(AW76,Foundation_Calc!$I$2:$J$8,2,FALSE),0),"")))</f>
        <v/>
      </c>
      <c r="AZ76" s="631" t="str">
        <f>IF(K76="","",
IF(AX76="PT",VLOOKUP(K76,Foundation_Calc!$K$4:$R$37,VLOOKUP(AW76,Foundation_Calc!$I$2:$J$8,2,FALSE),0),
IF(AX76="K",VLOOKUP(K76,Foundation_Calc!$K$41:$R$74,VLOOKUP(AW76,Foundation_Calc!$I$2:$J$8,2,FALSE),0),"")))</f>
        <v/>
      </c>
      <c r="BA76" s="632" t="str">
        <f t="shared" si="8"/>
        <v/>
      </c>
      <c r="BB76" s="632" t="str">
        <f t="shared" si="9"/>
        <v/>
      </c>
      <c r="BC76" s="632" t="str">
        <f t="shared" si="10"/>
        <v/>
      </c>
      <c r="BD76" s="633" t="str">
        <f>IF(AND(L76="",H76=""),"",
IF(H76="",Pole_Calc!A80,
IF(H76="MP",Pole_Calc!A81,
IF(H76="AnMP",Pole_Calc!A82,
IF(H76="A",Pole_Calc!A83,
IF(H76="S/A",Pole_Calc!A84,
IF(H76="A/S",Pole_Calc!A85,"Poner a mano")))))))</f>
        <v/>
      </c>
      <c r="BE76" s="448" t="s">
        <v>1726</v>
      </c>
      <c r="BF76" s="634"/>
      <c r="BG76" s="634"/>
      <c r="BH76" s="634"/>
      <c r="BI76" s="634"/>
    </row>
    <row r="77" spans="1:61" ht="16.2" customHeight="1">
      <c r="A77" s="12"/>
      <c r="B77" s="446"/>
      <c r="C77" s="89"/>
      <c r="D77" s="13"/>
      <c r="E77" s="14"/>
      <c r="F77" s="14"/>
      <c r="G77" s="15"/>
      <c r="H77" s="8"/>
      <c r="I77" s="8"/>
      <c r="J77" s="89"/>
      <c r="K77" s="8"/>
      <c r="L77" s="8"/>
      <c r="M77" s="8" t="str">
        <f>IF(L77="","",
IF(AX77="PT",VLOOKUP(L77,Foundation_Calc!$V$4:$X$37,VLOOKUP(AX77,Foundation_Calc!$I$10:$J$13,2,FALSE),0),
IF(AX77="K",VLOOKUP(L77,Foundation_Calc!$V$41:$X$74,VLOOKUP(AX77,Foundation_Calc!$I$10:$J$13,2,FALSE),0),"")))</f>
        <v/>
      </c>
      <c r="N77" s="8"/>
      <c r="O77" s="8"/>
      <c r="P77" s="8"/>
      <c r="Q77" s="14"/>
      <c r="R77" s="15"/>
      <c r="S77" s="15"/>
      <c r="T77" s="14"/>
      <c r="U77" s="14"/>
      <c r="V77" s="14"/>
      <c r="W77" s="18"/>
      <c r="X77" s="18"/>
      <c r="Y77" s="18"/>
      <c r="Z77" s="18"/>
      <c r="AA77" s="18"/>
      <c r="AB77" s="18"/>
      <c r="AC77" s="8" t="str">
        <f t="shared" si="7"/>
        <v/>
      </c>
      <c r="AD77" s="8"/>
      <c r="AE77" s="8"/>
      <c r="AF77" s="14"/>
      <c r="AG77" s="13"/>
      <c r="AH77" s="14"/>
      <c r="AI77" s="14"/>
      <c r="AJ77" s="8"/>
      <c r="AK77" s="8"/>
      <c r="AL77" s="8"/>
      <c r="AM77" s="8"/>
      <c r="AN77" s="631"/>
      <c r="AO77" s="18"/>
      <c r="AP77" s="18"/>
      <c r="AQ77" s="18"/>
      <c r="AR77" s="18"/>
      <c r="AS77" s="18"/>
      <c r="AU77" s="448"/>
      <c r="AV77" s="448"/>
      <c r="AW77" s="8" t="str">
        <f>IF(C77&gt;0,VLOOKUP(C77,Foundation_Calc!$A$2:$C$986,3,1),
IF(J77&gt;0,VLOOKUP(J77,Foundation_Calc!$A$2:$C$986,3,1),""))</f>
        <v/>
      </c>
      <c r="AX77" s="8" t="str">
        <f>IF(C77&gt;0,VLOOKUP(C77,Foundation_Calc!$E$2:$G$986,3,1),
IF(J77&gt;0,VLOOKUP(J77,Foundation_Calc!$E$2:$G$986,3,1),""))</f>
        <v/>
      </c>
      <c r="AY77" s="631" t="str">
        <f>IF(L77="","",
IF(AX77="PT",VLOOKUP(L77,Foundation_Calc!$K$4:$R$37,VLOOKUP(AW77,Foundation_Calc!$I$2:$J$8,2,FALSE),0),
IF(AX77="K",VLOOKUP(L77,Foundation_Calc!$K$41:$R$74,VLOOKUP(AW77,Foundation_Calc!$I$2:$J$8,2,FALSE),0),"")))</f>
        <v/>
      </c>
      <c r="AZ77" s="631" t="str">
        <f>IF(K77="","",
IF(AX77="PT",VLOOKUP(K77,Foundation_Calc!$K$4:$R$37,VLOOKUP(AW77,Foundation_Calc!$I$2:$J$8,2,FALSE),0),
IF(AX77="K",VLOOKUP(K77,Foundation_Calc!$K$41:$R$74,VLOOKUP(AW77,Foundation_Calc!$I$2:$J$8,2,FALSE),0),"")))</f>
        <v/>
      </c>
      <c r="BA77" s="632" t="str">
        <f t="shared" si="8"/>
        <v/>
      </c>
      <c r="BB77" s="632" t="str">
        <f t="shared" si="9"/>
        <v/>
      </c>
      <c r="BC77" s="632" t="str">
        <f t="shared" si="10"/>
        <v/>
      </c>
      <c r="BD77" s="633" t="str">
        <f>IF(AND(L77="",H77=""),"",
IF(H77="",Pole_Calc!A81,
IF(H77="MP",Pole_Calc!A82,
IF(H77="AnMP",Pole_Calc!A83,
IF(H77="A",Pole_Calc!A84,
IF(H77="S/A",Pole_Calc!A85,
IF(H77="A/S",Pole_Calc!A86,"Poner a mano")))))))</f>
        <v/>
      </c>
      <c r="BE77" s="448" t="s">
        <v>1726</v>
      </c>
      <c r="BF77" s="635"/>
      <c r="BG77" s="635"/>
      <c r="BH77" s="634"/>
      <c r="BI77" s="635"/>
    </row>
    <row r="78" spans="1:61" ht="16.2" customHeight="1">
      <c r="A78" s="12"/>
      <c r="B78" s="446"/>
      <c r="C78" s="89"/>
      <c r="D78" s="13"/>
      <c r="E78" s="14"/>
      <c r="F78" s="14"/>
      <c r="G78" s="15"/>
      <c r="H78" s="8"/>
      <c r="I78" s="8"/>
      <c r="J78" s="89"/>
      <c r="K78" s="8"/>
      <c r="L78" s="8"/>
      <c r="M78" s="8" t="str">
        <f>IF(L78="","",
IF(AX78="PT",VLOOKUP(L78,Foundation_Calc!$V$4:$X$37,VLOOKUP(AX78,Foundation_Calc!$I$10:$J$13,2,FALSE),0),
IF(AX78="K",VLOOKUP(L78,Foundation_Calc!$V$41:$X$74,VLOOKUP(AX78,Foundation_Calc!$I$10:$J$13,2,FALSE),0),"")))</f>
        <v/>
      </c>
      <c r="N78" s="8"/>
      <c r="O78" s="8"/>
      <c r="P78" s="8"/>
      <c r="Q78" s="14"/>
      <c r="R78" s="15"/>
      <c r="S78" s="15"/>
      <c r="T78" s="14"/>
      <c r="U78" s="14"/>
      <c r="V78" s="14"/>
      <c r="W78" s="18"/>
      <c r="X78" s="18"/>
      <c r="Y78" s="18"/>
      <c r="Z78" s="18"/>
      <c r="AA78" s="18"/>
      <c r="AB78" s="18"/>
      <c r="AC78" s="8" t="str">
        <f t="shared" si="7"/>
        <v/>
      </c>
      <c r="AD78" s="8"/>
      <c r="AE78" s="8"/>
      <c r="AF78" s="14"/>
      <c r="AG78" s="13"/>
      <c r="AH78" s="14"/>
      <c r="AI78" s="14"/>
      <c r="AJ78" s="8"/>
      <c r="AK78" s="8"/>
      <c r="AL78" s="8"/>
      <c r="AM78" s="8"/>
      <c r="AN78" s="631"/>
      <c r="AO78" s="18"/>
      <c r="AP78" s="18"/>
      <c r="AQ78" s="18"/>
      <c r="AR78" s="18"/>
      <c r="AS78" s="18"/>
      <c r="AU78" s="448"/>
      <c r="AV78" s="448"/>
      <c r="AW78" s="8" t="str">
        <f>IF(C78&gt;0,VLOOKUP(C78,Foundation_Calc!$A$2:$C$986,3,1),
IF(J78&gt;0,VLOOKUP(J78,Foundation_Calc!$A$2:$C$986,3,1),""))</f>
        <v/>
      </c>
      <c r="AX78" s="8" t="str">
        <f>IF(C78&gt;0,VLOOKUP(C78,Foundation_Calc!$E$2:$G$986,3,1),
IF(J78&gt;0,VLOOKUP(J78,Foundation_Calc!$E$2:$G$986,3,1),""))</f>
        <v/>
      </c>
      <c r="AY78" s="631" t="str">
        <f>IF(L78="","",
IF(AX78="PT",VLOOKUP(L78,Foundation_Calc!$K$4:$R$37,VLOOKUP(AW78,Foundation_Calc!$I$2:$J$8,2,FALSE),0),
IF(AX78="K",VLOOKUP(L78,Foundation_Calc!$K$41:$R$74,VLOOKUP(AW78,Foundation_Calc!$I$2:$J$8,2,FALSE),0),"")))</f>
        <v/>
      </c>
      <c r="AZ78" s="631" t="str">
        <f>IF(K78="","",
IF(AX78="PT",VLOOKUP(K78,Foundation_Calc!$K$4:$R$37,VLOOKUP(AW78,Foundation_Calc!$I$2:$J$8,2,FALSE),0),
IF(AX78="K",VLOOKUP(K78,Foundation_Calc!$K$41:$R$74,VLOOKUP(AW78,Foundation_Calc!$I$2:$J$8,2,FALSE),0),"")))</f>
        <v/>
      </c>
      <c r="BA78" s="632" t="str">
        <f t="shared" si="8"/>
        <v/>
      </c>
      <c r="BB78" s="632" t="str">
        <f t="shared" si="9"/>
        <v/>
      </c>
      <c r="BC78" s="632" t="str">
        <f t="shared" si="10"/>
        <v/>
      </c>
      <c r="BD78" s="633" t="str">
        <f>IF(AND(L78="",H78=""),"",
IF(H78="",Pole_Calc!A82,
IF(H78="MP",Pole_Calc!A83,
IF(H78="AnMP",Pole_Calc!A84,
IF(H78="A",Pole_Calc!A85,
IF(H78="S/A",Pole_Calc!A86,
IF(H78="A/S",Pole_Calc!A87,"Poner a mano")))))))</f>
        <v/>
      </c>
      <c r="BE78" s="448" t="s">
        <v>1726</v>
      </c>
      <c r="BF78" s="634"/>
      <c r="BG78" s="634"/>
      <c r="BH78" s="634"/>
      <c r="BI78" s="634"/>
    </row>
    <row r="79" spans="1:61" ht="16.2" customHeight="1">
      <c r="A79" s="12"/>
      <c r="B79" s="446"/>
      <c r="C79" s="89"/>
      <c r="D79" s="13"/>
      <c r="E79" s="14"/>
      <c r="F79" s="14"/>
      <c r="G79" s="15"/>
      <c r="H79" s="8"/>
      <c r="I79" s="8"/>
      <c r="J79" s="89"/>
      <c r="K79" s="8"/>
      <c r="L79" s="8"/>
      <c r="M79" s="8" t="str">
        <f>IF(L79="","",
IF(AX79="PT",VLOOKUP(L79,Foundation_Calc!$V$4:$X$37,VLOOKUP(AX79,Foundation_Calc!$I$10:$J$13,2,FALSE),0),
IF(AX79="K",VLOOKUP(L79,Foundation_Calc!$V$41:$X$74,VLOOKUP(AX79,Foundation_Calc!$I$10:$J$13,2,FALSE),0),"")))</f>
        <v/>
      </c>
      <c r="N79" s="8"/>
      <c r="O79" s="8"/>
      <c r="P79" s="8"/>
      <c r="Q79" s="14"/>
      <c r="R79" s="15"/>
      <c r="S79" s="15"/>
      <c r="T79" s="14"/>
      <c r="U79" s="14"/>
      <c r="V79" s="14"/>
      <c r="W79" s="18"/>
      <c r="X79" s="18"/>
      <c r="Y79" s="18"/>
      <c r="Z79" s="18"/>
      <c r="AA79" s="18"/>
      <c r="AB79" s="18"/>
      <c r="AC79" s="8" t="str">
        <f t="shared" si="7"/>
        <v/>
      </c>
      <c r="AD79" s="8"/>
      <c r="AE79" s="8"/>
      <c r="AF79" s="14"/>
      <c r="AG79" s="13"/>
      <c r="AH79" s="14"/>
      <c r="AI79" s="14"/>
      <c r="AJ79" s="8"/>
      <c r="AK79" s="8"/>
      <c r="AL79" s="8"/>
      <c r="AM79" s="8"/>
      <c r="AN79" s="631"/>
      <c r="AO79" s="18"/>
      <c r="AP79" s="18"/>
      <c r="AQ79" s="18"/>
      <c r="AR79" s="18"/>
      <c r="AS79" s="18"/>
      <c r="AU79" s="448"/>
      <c r="AV79" s="448"/>
      <c r="AW79" s="8" t="str">
        <f>IF(C79&gt;0,VLOOKUP(C79,Foundation_Calc!$A$2:$C$986,3,1),
IF(J79&gt;0,VLOOKUP(J79,Foundation_Calc!$A$2:$C$986,3,1),""))</f>
        <v/>
      </c>
      <c r="AX79" s="8" t="str">
        <f>IF(C79&gt;0,VLOOKUP(C79,Foundation_Calc!$E$2:$G$986,3,1),
IF(J79&gt;0,VLOOKUP(J79,Foundation_Calc!$E$2:$G$986,3,1),""))</f>
        <v/>
      </c>
      <c r="AY79" s="631" t="str">
        <f>IF(L79="","",
IF(AX79="PT",VLOOKUP(L79,Foundation_Calc!$K$4:$R$37,VLOOKUP(AW79,Foundation_Calc!$I$2:$J$8,2,FALSE),0),
IF(AX79="K",VLOOKUP(L79,Foundation_Calc!$K$41:$R$74,VLOOKUP(AW79,Foundation_Calc!$I$2:$J$8,2,FALSE),0),"")))</f>
        <v/>
      </c>
      <c r="AZ79" s="631" t="str">
        <f>IF(K79="","",
IF(AX79="PT",VLOOKUP(K79,Foundation_Calc!$K$4:$R$37,VLOOKUP(AW79,Foundation_Calc!$I$2:$J$8,2,FALSE),0),
IF(AX79="K",VLOOKUP(K79,Foundation_Calc!$K$41:$R$74,VLOOKUP(AW79,Foundation_Calc!$I$2:$J$8,2,FALSE),0),"")))</f>
        <v/>
      </c>
      <c r="BA79" s="632" t="str">
        <f t="shared" si="8"/>
        <v/>
      </c>
      <c r="BB79" s="632" t="str">
        <f t="shared" si="9"/>
        <v/>
      </c>
      <c r="BC79" s="632" t="str">
        <f t="shared" si="10"/>
        <v/>
      </c>
      <c r="BD79" s="633" t="str">
        <f>IF(AND(L79="",H79=""),"",
IF(H79="",Pole_Calc!A83,
IF(H79="MP",Pole_Calc!A84,
IF(H79="AnMP",Pole_Calc!A85,
IF(H79="A",Pole_Calc!A86,
IF(H79="S/A",Pole_Calc!A87,
IF(H79="A/S",Pole_Calc!A88,"Poner a mano")))))))</f>
        <v/>
      </c>
      <c r="BE79" s="448" t="s">
        <v>1726</v>
      </c>
      <c r="BF79" s="635"/>
      <c r="BG79" s="635"/>
      <c r="BH79" s="634"/>
      <c r="BI79" s="635"/>
    </row>
    <row r="80" spans="1:61" ht="16.2" customHeight="1">
      <c r="A80" s="12"/>
      <c r="B80" s="446"/>
      <c r="C80" s="89"/>
      <c r="D80" s="13"/>
      <c r="E80" s="14"/>
      <c r="F80" s="14"/>
      <c r="G80" s="15"/>
      <c r="H80" s="8"/>
      <c r="I80" s="8"/>
      <c r="J80" s="89"/>
      <c r="K80" s="8"/>
      <c r="L80" s="8"/>
      <c r="M80" s="8" t="str">
        <f>IF(L80="","",
IF(AX80="PT",VLOOKUP(L80,Foundation_Calc!$V$4:$X$37,VLOOKUP(AX80,Foundation_Calc!$I$10:$J$13,2,FALSE),0),
IF(AX80="K",VLOOKUP(L80,Foundation_Calc!$V$41:$X$74,VLOOKUP(AX80,Foundation_Calc!$I$10:$J$13,2,FALSE),0),"")))</f>
        <v/>
      </c>
      <c r="N80" s="8"/>
      <c r="O80" s="8"/>
      <c r="P80" s="8"/>
      <c r="Q80" s="14"/>
      <c r="R80" s="15"/>
      <c r="S80" s="15"/>
      <c r="T80" s="14"/>
      <c r="U80" s="14"/>
      <c r="V80" s="14"/>
      <c r="W80" s="18"/>
      <c r="X80" s="18"/>
      <c r="Y80" s="18"/>
      <c r="Z80" s="18"/>
      <c r="AA80" s="18"/>
      <c r="AB80" s="18"/>
      <c r="AC80" s="8" t="str">
        <f t="shared" si="7"/>
        <v/>
      </c>
      <c r="AD80" s="8"/>
      <c r="AE80" s="8"/>
      <c r="AF80" s="14"/>
      <c r="AG80" s="13"/>
      <c r="AH80" s="14"/>
      <c r="AI80" s="14"/>
      <c r="AJ80" s="8"/>
      <c r="AK80" s="8"/>
      <c r="AL80" s="8"/>
      <c r="AM80" s="8"/>
      <c r="AN80" s="631"/>
      <c r="AO80" s="18"/>
      <c r="AP80" s="18"/>
      <c r="AQ80" s="18"/>
      <c r="AR80" s="18"/>
      <c r="AS80" s="18"/>
      <c r="AU80" s="448"/>
      <c r="AV80" s="448"/>
      <c r="AW80" s="8" t="str">
        <f>IF(C80&gt;0,VLOOKUP(C80,Foundation_Calc!$A$2:$C$986,3,1),
IF(J80&gt;0,VLOOKUP(J80,Foundation_Calc!$A$2:$C$986,3,1),""))</f>
        <v/>
      </c>
      <c r="AX80" s="8" t="str">
        <f>IF(C80&gt;0,VLOOKUP(C80,Foundation_Calc!$E$2:$G$986,3,1),
IF(J80&gt;0,VLOOKUP(J80,Foundation_Calc!$E$2:$G$986,3,1),""))</f>
        <v/>
      </c>
      <c r="AY80" s="631" t="str">
        <f>IF(L80="","",
IF(AX80="PT",VLOOKUP(L80,Foundation_Calc!$K$4:$R$37,VLOOKUP(AW80,Foundation_Calc!$I$2:$J$8,2,FALSE),0),
IF(AX80="K",VLOOKUP(L80,Foundation_Calc!$K$41:$R$74,VLOOKUP(AW80,Foundation_Calc!$I$2:$J$8,2,FALSE),0),"")))</f>
        <v/>
      </c>
      <c r="AZ80" s="631" t="str">
        <f>IF(K80="","",
IF(AX80="PT",VLOOKUP(K80,Foundation_Calc!$K$4:$R$37,VLOOKUP(AW80,Foundation_Calc!$I$2:$J$8,2,FALSE),0),
IF(AX80="K",VLOOKUP(K80,Foundation_Calc!$K$41:$R$74,VLOOKUP(AW80,Foundation_Calc!$I$2:$J$8,2,FALSE),0),"")))</f>
        <v/>
      </c>
      <c r="BA80" s="632" t="str">
        <f t="shared" si="8"/>
        <v/>
      </c>
      <c r="BB80" s="632" t="str">
        <f t="shared" si="9"/>
        <v/>
      </c>
      <c r="BC80" s="632" t="str">
        <f t="shared" si="10"/>
        <v/>
      </c>
      <c r="BD80" s="633" t="str">
        <f>IF(AND(L80="",H80=""),"",
IF(H80="",Pole_Calc!A84,
IF(H80="MP",Pole_Calc!A85,
IF(H80="AnMP",Pole_Calc!A86,
IF(H80="A",Pole_Calc!A87,
IF(H80="S/A",Pole_Calc!A88,
IF(H80="A/S",Pole_Calc!A89,"Poner a mano")))))))</f>
        <v/>
      </c>
      <c r="BE80" s="448" t="s">
        <v>1726</v>
      </c>
      <c r="BF80" s="634"/>
      <c r="BG80" s="634"/>
      <c r="BH80" s="634"/>
      <c r="BI80" s="634"/>
    </row>
    <row r="81" spans="1:61" ht="16.2" customHeight="1">
      <c r="A81" s="12"/>
      <c r="B81" s="446"/>
      <c r="C81" s="89"/>
      <c r="D81" s="13"/>
      <c r="E81" s="14"/>
      <c r="F81" s="14"/>
      <c r="G81" s="15"/>
      <c r="H81" s="8"/>
      <c r="I81" s="8"/>
      <c r="J81" s="89"/>
      <c r="K81" s="8"/>
      <c r="L81" s="8"/>
      <c r="M81" s="8" t="str">
        <f>IF(L81="","",
IF(AX81="PT",VLOOKUP(L81,Foundation_Calc!$V$4:$X$37,VLOOKUP(AX81,Foundation_Calc!$I$10:$J$13,2,FALSE),0),
IF(AX81="K",VLOOKUP(L81,Foundation_Calc!$V$41:$X$74,VLOOKUP(AX81,Foundation_Calc!$I$10:$J$13,2,FALSE),0),"")))</f>
        <v/>
      </c>
      <c r="N81" s="8"/>
      <c r="O81" s="8"/>
      <c r="P81" s="8"/>
      <c r="Q81" s="14"/>
      <c r="R81" s="15"/>
      <c r="S81" s="15"/>
      <c r="T81" s="14"/>
      <c r="U81" s="14"/>
      <c r="V81" s="14"/>
      <c r="W81" s="18"/>
      <c r="X81" s="18"/>
      <c r="Y81" s="18"/>
      <c r="Z81" s="18"/>
      <c r="AA81" s="18"/>
      <c r="AB81" s="18"/>
      <c r="AC81" s="8" t="str">
        <f t="shared" si="7"/>
        <v/>
      </c>
      <c r="AD81" s="8"/>
      <c r="AE81" s="8"/>
      <c r="AF81" s="14"/>
      <c r="AG81" s="13"/>
      <c r="AH81" s="14"/>
      <c r="AI81" s="14"/>
      <c r="AJ81" s="8"/>
      <c r="AK81" s="8"/>
      <c r="AL81" s="8"/>
      <c r="AM81" s="8"/>
      <c r="AN81" s="631"/>
      <c r="AO81" s="18"/>
      <c r="AP81" s="18"/>
      <c r="AQ81" s="18"/>
      <c r="AR81" s="18"/>
      <c r="AS81" s="18"/>
      <c r="AU81" s="448"/>
      <c r="AV81" s="448"/>
      <c r="AW81" s="8" t="str">
        <f>IF(C81&gt;0,VLOOKUP(C81,Foundation_Calc!$A$2:$C$986,3,1),
IF(J81&gt;0,VLOOKUP(J81,Foundation_Calc!$A$2:$C$986,3,1),""))</f>
        <v/>
      </c>
      <c r="AX81" s="8" t="str">
        <f>IF(C81&gt;0,VLOOKUP(C81,Foundation_Calc!$E$2:$G$986,3,1),
IF(J81&gt;0,VLOOKUP(J81,Foundation_Calc!$E$2:$G$986,3,1),""))</f>
        <v/>
      </c>
      <c r="AY81" s="631" t="str">
        <f>IF(L81="","",
IF(AX81="PT",VLOOKUP(L81,Foundation_Calc!$K$4:$R$37,VLOOKUP(AW81,Foundation_Calc!$I$2:$J$8,2,FALSE),0),
IF(AX81="K",VLOOKUP(L81,Foundation_Calc!$K$41:$R$74,VLOOKUP(AW81,Foundation_Calc!$I$2:$J$8,2,FALSE),0),"")))</f>
        <v/>
      </c>
      <c r="AZ81" s="631" t="str">
        <f>IF(K81="","",
IF(AX81="PT",VLOOKUP(K81,Foundation_Calc!$K$4:$R$37,VLOOKUP(AW81,Foundation_Calc!$I$2:$J$8,2,FALSE),0),
IF(AX81="K",VLOOKUP(K81,Foundation_Calc!$K$41:$R$74,VLOOKUP(AW81,Foundation_Calc!$I$2:$J$8,2,FALSE),0),"")))</f>
        <v/>
      </c>
      <c r="BA81" s="632" t="str">
        <f t="shared" si="8"/>
        <v/>
      </c>
      <c r="BB81" s="632" t="str">
        <f t="shared" si="9"/>
        <v/>
      </c>
      <c r="BC81" s="632" t="str">
        <f t="shared" si="10"/>
        <v/>
      </c>
      <c r="BD81" s="633" t="str">
        <f>IF(AND(L81="",H81=""),"",
IF(H81="",Pole_Calc!A85,
IF(H81="MP",Pole_Calc!A86,
IF(H81="AnMP",Pole_Calc!A87,
IF(H81="A",Pole_Calc!A88,
IF(H81="S/A",Pole_Calc!A89,
IF(H81="A/S",Pole_Calc!A90,"Poner a mano")))))))</f>
        <v/>
      </c>
      <c r="BE81" s="448" t="s">
        <v>1726</v>
      </c>
      <c r="BF81" s="635"/>
      <c r="BG81" s="635"/>
      <c r="BH81" s="634"/>
      <c r="BI81" s="635"/>
    </row>
    <row r="82" spans="1:61" ht="16.2" customHeight="1">
      <c r="A82" s="12"/>
      <c r="B82" s="446"/>
      <c r="C82" s="89"/>
      <c r="D82" s="13"/>
      <c r="E82" s="14"/>
      <c r="F82" s="14"/>
      <c r="G82" s="15"/>
      <c r="H82" s="8"/>
      <c r="I82" s="8"/>
      <c r="J82" s="89"/>
      <c r="K82" s="8"/>
      <c r="L82" s="8"/>
      <c r="M82" s="8" t="str">
        <f>IF(L82="","",
IF(AX82="PT",VLOOKUP(L82,Foundation_Calc!$V$4:$X$37,VLOOKUP(AX82,Foundation_Calc!$I$10:$J$13,2,FALSE),0),
IF(AX82="K",VLOOKUP(L82,Foundation_Calc!$V$41:$X$74,VLOOKUP(AX82,Foundation_Calc!$I$10:$J$13,2,FALSE),0),"")))</f>
        <v/>
      </c>
      <c r="N82" s="8"/>
      <c r="O82" s="8"/>
      <c r="P82" s="8"/>
      <c r="Q82" s="14"/>
      <c r="R82" s="15"/>
      <c r="S82" s="15"/>
      <c r="T82" s="14"/>
      <c r="U82" s="14"/>
      <c r="V82" s="14"/>
      <c r="W82" s="18"/>
      <c r="X82" s="18"/>
      <c r="Y82" s="18"/>
      <c r="Z82" s="18"/>
      <c r="AA82" s="18"/>
      <c r="AB82" s="18"/>
      <c r="AC82" s="8" t="str">
        <f t="shared" si="7"/>
        <v/>
      </c>
      <c r="AD82" s="8"/>
      <c r="AE82" s="8"/>
      <c r="AF82" s="14"/>
      <c r="AG82" s="13"/>
      <c r="AH82" s="14"/>
      <c r="AI82" s="14"/>
      <c r="AJ82" s="8"/>
      <c r="AK82" s="8"/>
      <c r="AL82" s="8"/>
      <c r="AM82" s="8"/>
      <c r="AN82" s="631"/>
      <c r="AO82" s="18"/>
      <c r="AP82" s="18"/>
      <c r="AQ82" s="18"/>
      <c r="AR82" s="18"/>
      <c r="AS82" s="18"/>
      <c r="AU82" s="448"/>
      <c r="AV82" s="448"/>
      <c r="AW82" s="8" t="str">
        <f>IF(C82&gt;0,VLOOKUP(C82,Foundation_Calc!$A$2:$C$986,3,1),
IF(J82&gt;0,VLOOKUP(J82,Foundation_Calc!$A$2:$C$986,3,1),""))</f>
        <v/>
      </c>
      <c r="AX82" s="8" t="str">
        <f>IF(C82&gt;0,VLOOKUP(C82,Foundation_Calc!$E$2:$G$986,3,1),
IF(J82&gt;0,VLOOKUP(J82,Foundation_Calc!$E$2:$G$986,3,1),""))</f>
        <v/>
      </c>
      <c r="AY82" s="631" t="str">
        <f>IF(L82="","",
IF(AX82="PT",VLOOKUP(L82,Foundation_Calc!$K$4:$R$37,VLOOKUP(AW82,Foundation_Calc!$I$2:$J$8,2,FALSE),0),
IF(AX82="K",VLOOKUP(L82,Foundation_Calc!$K$41:$R$74,VLOOKUP(AW82,Foundation_Calc!$I$2:$J$8,2,FALSE),0),"")))</f>
        <v/>
      </c>
      <c r="AZ82" s="631" t="str">
        <f>IF(K82="","",
IF(AX82="PT",VLOOKUP(K82,Foundation_Calc!$K$4:$R$37,VLOOKUP(AW82,Foundation_Calc!$I$2:$J$8,2,FALSE),0),
IF(AX82="K",VLOOKUP(K82,Foundation_Calc!$K$41:$R$74,VLOOKUP(AW82,Foundation_Calc!$I$2:$J$8,2,FALSE),0),"")))</f>
        <v/>
      </c>
      <c r="BA82" s="632" t="str">
        <f t="shared" si="8"/>
        <v/>
      </c>
      <c r="BB82" s="632" t="str">
        <f t="shared" si="9"/>
        <v/>
      </c>
      <c r="BC82" s="632" t="str">
        <f t="shared" si="10"/>
        <v/>
      </c>
      <c r="BD82" s="633" t="str">
        <f>IF(AND(L82="",H82=""),"",
IF(H82="",Pole_Calc!A86,
IF(H82="MP",Pole_Calc!A87,
IF(H82="AnMP",Pole_Calc!A88,
IF(H82="A",Pole_Calc!A89,
IF(H82="S/A",Pole_Calc!A90,
IF(H82="A/S",Pole_Calc!A91,"Poner a mano")))))))</f>
        <v/>
      </c>
      <c r="BE82" s="448" t="s">
        <v>1726</v>
      </c>
      <c r="BF82" s="634"/>
      <c r="BG82" s="634"/>
      <c r="BH82" s="634"/>
      <c r="BI82" s="634"/>
    </row>
    <row r="83" spans="1:61" ht="16.2" customHeight="1">
      <c r="A83" s="12"/>
      <c r="B83" s="446"/>
      <c r="C83" s="89"/>
      <c r="D83" s="13"/>
      <c r="E83" s="14"/>
      <c r="F83" s="14"/>
      <c r="G83" s="15"/>
      <c r="H83" s="8"/>
      <c r="I83" s="8"/>
      <c r="J83" s="89"/>
      <c r="K83" s="8"/>
      <c r="L83" s="8"/>
      <c r="M83" s="8" t="str">
        <f>IF(L83="","",
IF(AX83="PT",VLOOKUP(L83,Foundation_Calc!$V$4:$X$37,VLOOKUP(AX83,Foundation_Calc!$I$10:$J$13,2,FALSE),0),
IF(AX83="K",VLOOKUP(L83,Foundation_Calc!$V$41:$X$74,VLOOKUP(AX83,Foundation_Calc!$I$10:$J$13,2,FALSE),0),"")))</f>
        <v/>
      </c>
      <c r="N83" s="8"/>
      <c r="O83" s="8"/>
      <c r="P83" s="8"/>
      <c r="Q83" s="14"/>
      <c r="R83" s="15"/>
      <c r="S83" s="15"/>
      <c r="T83" s="14"/>
      <c r="U83" s="14"/>
      <c r="V83" s="14"/>
      <c r="W83" s="18"/>
      <c r="X83" s="18"/>
      <c r="Y83" s="18"/>
      <c r="Z83" s="18"/>
      <c r="AA83" s="18"/>
      <c r="AB83" s="18"/>
      <c r="AC83" s="8" t="str">
        <f t="shared" si="7"/>
        <v/>
      </c>
      <c r="AD83" s="8"/>
      <c r="AE83" s="8"/>
      <c r="AF83" s="14"/>
      <c r="AG83" s="13"/>
      <c r="AH83" s="14"/>
      <c r="AI83" s="14"/>
      <c r="AJ83" s="8"/>
      <c r="AK83" s="8"/>
      <c r="AL83" s="8"/>
      <c r="AM83" s="8"/>
      <c r="AN83" s="631"/>
      <c r="AO83" s="18"/>
      <c r="AP83" s="18"/>
      <c r="AQ83" s="18"/>
      <c r="AR83" s="18"/>
      <c r="AS83" s="18"/>
      <c r="AU83" s="448"/>
      <c r="AV83" s="448"/>
      <c r="AW83" s="8" t="str">
        <f>IF(C83&gt;0,VLOOKUP(C83,Foundation_Calc!$A$2:$C$986,3,1),
IF(J83&gt;0,VLOOKUP(J83,Foundation_Calc!$A$2:$C$986,3,1),""))</f>
        <v/>
      </c>
      <c r="AX83" s="8" t="str">
        <f>IF(C83&gt;0,VLOOKUP(C83,Foundation_Calc!$E$2:$G$986,3,1),
IF(J83&gt;0,VLOOKUP(J83,Foundation_Calc!$E$2:$G$986,3,1),""))</f>
        <v/>
      </c>
      <c r="AY83" s="631" t="str">
        <f>IF(L83="","",
IF(AX83="PT",VLOOKUP(L83,Foundation_Calc!$K$4:$R$37,VLOOKUP(AW83,Foundation_Calc!$I$2:$J$8,2,FALSE),0),
IF(AX83="K",VLOOKUP(L83,Foundation_Calc!$K$41:$R$74,VLOOKUP(AW83,Foundation_Calc!$I$2:$J$8,2,FALSE),0),"")))</f>
        <v/>
      </c>
      <c r="AZ83" s="631" t="str">
        <f>IF(K83="","",
IF(AX83="PT",VLOOKUP(K83,Foundation_Calc!$K$4:$R$37,VLOOKUP(AW83,Foundation_Calc!$I$2:$J$8,2,FALSE),0),
IF(AX83="K",VLOOKUP(K83,Foundation_Calc!$K$41:$R$74,VLOOKUP(AW83,Foundation_Calc!$I$2:$J$8,2,FALSE),0),"")))</f>
        <v/>
      </c>
      <c r="BA83" s="632" t="str">
        <f t="shared" si="8"/>
        <v/>
      </c>
      <c r="BB83" s="632" t="str">
        <f t="shared" si="9"/>
        <v/>
      </c>
      <c r="BC83" s="632" t="str">
        <f t="shared" si="10"/>
        <v/>
      </c>
      <c r="BD83" s="633" t="str">
        <f>IF(AND(L83="",H83=""),"",
IF(H83="",Pole_Calc!A87,
IF(H83="MP",Pole_Calc!A88,
IF(H83="AnMP",Pole_Calc!A89,
IF(H83="A",Pole_Calc!A90,
IF(H83="S/A",Pole_Calc!A91,
IF(H83="A/S",Pole_Calc!A92,"Poner a mano")))))))</f>
        <v/>
      </c>
      <c r="BE83" s="448" t="s">
        <v>1726</v>
      </c>
      <c r="BF83" s="635"/>
      <c r="BG83" s="635"/>
      <c r="BH83" s="634"/>
      <c r="BI83" s="635"/>
    </row>
    <row r="84" spans="1:61" ht="16.2" customHeight="1">
      <c r="A84" s="12"/>
      <c r="B84" s="446"/>
      <c r="C84" s="89"/>
      <c r="D84" s="13"/>
      <c r="E84" s="14"/>
      <c r="F84" s="14"/>
      <c r="G84" s="15"/>
      <c r="H84" s="8"/>
      <c r="I84" s="8"/>
      <c r="J84" s="89"/>
      <c r="K84" s="8"/>
      <c r="L84" s="8"/>
      <c r="M84" s="8" t="str">
        <f>IF(L84="","",
IF(AX84="PT",VLOOKUP(L84,Foundation_Calc!$V$4:$X$37,VLOOKUP(AX84,Foundation_Calc!$I$10:$J$13,2,FALSE),0),
IF(AX84="K",VLOOKUP(L84,Foundation_Calc!$V$41:$X$74,VLOOKUP(AX84,Foundation_Calc!$I$10:$J$13,2,FALSE),0),"")))</f>
        <v/>
      </c>
      <c r="N84" s="8"/>
      <c r="O84" s="8"/>
      <c r="P84" s="8"/>
      <c r="Q84" s="14"/>
      <c r="R84" s="15"/>
      <c r="S84" s="15"/>
      <c r="T84" s="14"/>
      <c r="U84" s="14"/>
      <c r="V84" s="14"/>
      <c r="W84" s="18"/>
      <c r="X84" s="18"/>
      <c r="Y84" s="18"/>
      <c r="Z84" s="18"/>
      <c r="AA84" s="18"/>
      <c r="AB84" s="18"/>
      <c r="AC84" s="8" t="str">
        <f t="shared" si="7"/>
        <v/>
      </c>
      <c r="AD84" s="8"/>
      <c r="AE84" s="8"/>
      <c r="AF84" s="14"/>
      <c r="AG84" s="13"/>
      <c r="AH84" s="14"/>
      <c r="AI84" s="14"/>
      <c r="AJ84" s="8"/>
      <c r="AK84" s="8"/>
      <c r="AL84" s="8"/>
      <c r="AM84" s="8"/>
      <c r="AN84" s="631"/>
      <c r="AO84" s="18"/>
      <c r="AP84" s="18"/>
      <c r="AQ84" s="18"/>
      <c r="AR84" s="18"/>
      <c r="AS84" s="18"/>
      <c r="AU84" s="448"/>
      <c r="AV84" s="448"/>
      <c r="AW84" s="8" t="str">
        <f>IF(C84&gt;0,VLOOKUP(C84,Foundation_Calc!$A$2:$C$986,3,1),
IF(J84&gt;0,VLOOKUP(J84,Foundation_Calc!$A$2:$C$986,3,1),""))</f>
        <v/>
      </c>
      <c r="AX84" s="8" t="str">
        <f>IF(C84&gt;0,VLOOKUP(C84,Foundation_Calc!$E$2:$G$986,3,1),
IF(J84&gt;0,VLOOKUP(J84,Foundation_Calc!$E$2:$G$986,3,1),""))</f>
        <v/>
      </c>
      <c r="AY84" s="631" t="str">
        <f>IF(L84="","",
IF(AX84="PT",VLOOKUP(L84,Foundation_Calc!$K$4:$R$37,VLOOKUP(AW84,Foundation_Calc!$I$2:$J$8,2,FALSE),0),
IF(AX84="K",VLOOKUP(L84,Foundation_Calc!$K$41:$R$74,VLOOKUP(AW84,Foundation_Calc!$I$2:$J$8,2,FALSE),0),"")))</f>
        <v/>
      </c>
      <c r="AZ84" s="631" t="str">
        <f>IF(K84="","",
IF(AX84="PT",VLOOKUP(K84,Foundation_Calc!$K$4:$R$37,VLOOKUP(AW84,Foundation_Calc!$I$2:$J$8,2,FALSE),0),
IF(AX84="K",VLOOKUP(K84,Foundation_Calc!$K$41:$R$74,VLOOKUP(AW84,Foundation_Calc!$I$2:$J$8,2,FALSE),0),"")))</f>
        <v/>
      </c>
      <c r="BA84" s="632" t="str">
        <f t="shared" si="8"/>
        <v/>
      </c>
      <c r="BB84" s="632" t="str">
        <f t="shared" si="9"/>
        <v/>
      </c>
      <c r="BC84" s="632" t="str">
        <f t="shared" si="10"/>
        <v/>
      </c>
      <c r="BD84" s="633" t="str">
        <f>IF(AND(L84="",H84=""),"",
IF(H84="",Pole_Calc!A88,
IF(H84="MP",Pole_Calc!A89,
IF(H84="AnMP",Pole_Calc!A90,
IF(H84="A",Pole_Calc!A91,
IF(H84="S/A",Pole_Calc!A92,
IF(H84="A/S",Pole_Calc!A93,"Poner a mano")))))))</f>
        <v/>
      </c>
      <c r="BE84" s="448" t="s">
        <v>1726</v>
      </c>
      <c r="BF84" s="634"/>
      <c r="BG84" s="634"/>
      <c r="BH84" s="634"/>
      <c r="BI84" s="634"/>
    </row>
    <row r="85" spans="1:61" ht="16.2" customHeight="1">
      <c r="A85" s="12"/>
      <c r="B85" s="446"/>
      <c r="C85" s="89"/>
      <c r="D85" s="13"/>
      <c r="E85" s="14"/>
      <c r="F85" s="14"/>
      <c r="G85" s="15"/>
      <c r="H85" s="8"/>
      <c r="I85" s="8"/>
      <c r="J85" s="89"/>
      <c r="K85" s="8"/>
      <c r="L85" s="8"/>
      <c r="M85" s="8" t="str">
        <f>IF(L85="","",
IF(AX85="PT",VLOOKUP(L85,Foundation_Calc!$V$4:$X$37,VLOOKUP(AX85,Foundation_Calc!$I$10:$J$13,2,FALSE),0),
IF(AX85="K",VLOOKUP(L85,Foundation_Calc!$V$41:$X$74,VLOOKUP(AX85,Foundation_Calc!$I$10:$J$13,2,FALSE),0),"")))</f>
        <v/>
      </c>
      <c r="N85" s="8"/>
      <c r="O85" s="8"/>
      <c r="P85" s="8"/>
      <c r="Q85" s="14"/>
      <c r="R85" s="15"/>
      <c r="S85" s="15"/>
      <c r="T85" s="14"/>
      <c r="U85" s="14"/>
      <c r="V85" s="14"/>
      <c r="W85" s="18"/>
      <c r="X85" s="18"/>
      <c r="Y85" s="18"/>
      <c r="Z85" s="18"/>
      <c r="AA85" s="18"/>
      <c r="AB85" s="18"/>
      <c r="AC85" s="8" t="str">
        <f t="shared" si="7"/>
        <v/>
      </c>
      <c r="AD85" s="8"/>
      <c r="AE85" s="8"/>
      <c r="AF85" s="14"/>
      <c r="AG85" s="13"/>
      <c r="AH85" s="14"/>
      <c r="AI85" s="14"/>
      <c r="AJ85" s="8"/>
      <c r="AK85" s="8"/>
      <c r="AL85" s="8"/>
      <c r="AM85" s="8"/>
      <c r="AN85" s="631"/>
      <c r="AO85" s="18"/>
      <c r="AP85" s="18"/>
      <c r="AQ85" s="18"/>
      <c r="AR85" s="18"/>
      <c r="AS85" s="18"/>
      <c r="AU85" s="448"/>
      <c r="AV85" s="448"/>
      <c r="AW85" s="8" t="str">
        <f>IF(C85&gt;0,VLOOKUP(C85,Foundation_Calc!$A$2:$C$986,3,1),
IF(J85&gt;0,VLOOKUP(J85,Foundation_Calc!$A$2:$C$986,3,1),""))</f>
        <v/>
      </c>
      <c r="AX85" s="8" t="str">
        <f>IF(C85&gt;0,VLOOKUP(C85,Foundation_Calc!$E$2:$G$986,3,1),
IF(J85&gt;0,VLOOKUP(J85,Foundation_Calc!$E$2:$G$986,3,1),""))</f>
        <v/>
      </c>
      <c r="AY85" s="631" t="str">
        <f>IF(L85="","",
IF(AX85="PT",VLOOKUP(L85,Foundation_Calc!$K$4:$R$37,VLOOKUP(AW85,Foundation_Calc!$I$2:$J$8,2,FALSE),0),
IF(AX85="K",VLOOKUP(L85,Foundation_Calc!$K$41:$R$74,VLOOKUP(AW85,Foundation_Calc!$I$2:$J$8,2,FALSE),0),"")))</f>
        <v/>
      </c>
      <c r="AZ85" s="631" t="str">
        <f>IF(K85="","",
IF(AX85="PT",VLOOKUP(K85,Foundation_Calc!$K$4:$R$37,VLOOKUP(AW85,Foundation_Calc!$I$2:$J$8,2,FALSE),0),
IF(AX85="K",VLOOKUP(K85,Foundation_Calc!$K$41:$R$74,VLOOKUP(AW85,Foundation_Calc!$I$2:$J$8,2,FALSE),0),"")))</f>
        <v/>
      </c>
      <c r="BA85" s="632" t="str">
        <f t="shared" si="8"/>
        <v/>
      </c>
      <c r="BB85" s="632" t="str">
        <f t="shared" si="9"/>
        <v/>
      </c>
      <c r="BC85" s="632" t="str">
        <f t="shared" si="10"/>
        <v/>
      </c>
      <c r="BD85" s="633" t="str">
        <f>IF(AND(L85="",H85=""),"",
IF(H85="",Pole_Calc!A89,
IF(H85="MP",Pole_Calc!A90,
IF(H85="AnMP",Pole_Calc!A91,
IF(H85="A",Pole_Calc!A92,
IF(H85="S/A",Pole_Calc!A93,
IF(H85="A/S",Pole_Calc!A94,"Poner a mano")))))))</f>
        <v/>
      </c>
      <c r="BE85" s="448" t="s">
        <v>1726</v>
      </c>
      <c r="BF85" s="635"/>
      <c r="BG85" s="635"/>
      <c r="BH85" s="634"/>
      <c r="BI85" s="635"/>
    </row>
    <row r="86" spans="1:61" ht="16.2" customHeight="1">
      <c r="A86" s="12"/>
      <c r="B86" s="446"/>
      <c r="C86" s="89"/>
      <c r="D86" s="13"/>
      <c r="E86" s="14"/>
      <c r="F86" s="14"/>
      <c r="G86" s="15"/>
      <c r="H86" s="8"/>
      <c r="I86" s="8"/>
      <c r="J86" s="89"/>
      <c r="K86" s="8"/>
      <c r="L86" s="8"/>
      <c r="M86" s="8" t="str">
        <f>IF(L86="","",
IF(AX86="PT",VLOOKUP(L86,Foundation_Calc!$V$4:$X$37,VLOOKUP(AX86,Foundation_Calc!$I$10:$J$13,2,FALSE),0),
IF(AX86="K",VLOOKUP(L86,Foundation_Calc!$V$41:$X$74,VLOOKUP(AX86,Foundation_Calc!$I$10:$J$13,2,FALSE),0),"")))</f>
        <v/>
      </c>
      <c r="N86" s="8"/>
      <c r="O86" s="8"/>
      <c r="P86" s="8"/>
      <c r="Q86" s="14"/>
      <c r="R86" s="15"/>
      <c r="S86" s="15"/>
      <c r="T86" s="14"/>
      <c r="U86" s="14"/>
      <c r="V86" s="14"/>
      <c r="W86" s="18"/>
      <c r="X86" s="18"/>
      <c r="Y86" s="18"/>
      <c r="Z86" s="18"/>
      <c r="AA86" s="18"/>
      <c r="AB86" s="18"/>
      <c r="AC86" s="8" t="str">
        <f t="shared" si="7"/>
        <v/>
      </c>
      <c r="AD86" s="8"/>
      <c r="AE86" s="8"/>
      <c r="AF86" s="14"/>
      <c r="AG86" s="13"/>
      <c r="AH86" s="14"/>
      <c r="AI86" s="14"/>
      <c r="AJ86" s="8"/>
      <c r="AK86" s="8"/>
      <c r="AL86" s="8"/>
      <c r="AM86" s="8"/>
      <c r="AN86" s="631"/>
      <c r="AO86" s="18"/>
      <c r="AP86" s="18"/>
      <c r="AQ86" s="18"/>
      <c r="AR86" s="18"/>
      <c r="AS86" s="18"/>
      <c r="AU86" s="448"/>
      <c r="AV86" s="448"/>
      <c r="AW86" s="8" t="str">
        <f>IF(C86&gt;0,VLOOKUP(C86,Foundation_Calc!$A$2:$C$986,3,1),
IF(J86&gt;0,VLOOKUP(J86,Foundation_Calc!$A$2:$C$986,3,1),""))</f>
        <v/>
      </c>
      <c r="AX86" s="8" t="str">
        <f>IF(C86&gt;0,VLOOKUP(C86,Foundation_Calc!$E$2:$G$986,3,1),
IF(J86&gt;0,VLOOKUP(J86,Foundation_Calc!$E$2:$G$986,3,1),""))</f>
        <v/>
      </c>
      <c r="AY86" s="631" t="str">
        <f>IF(L86="","",
IF(AX86="PT",VLOOKUP(L86,Foundation_Calc!$K$4:$R$37,VLOOKUP(AW86,Foundation_Calc!$I$2:$J$8,2,FALSE),0),
IF(AX86="K",VLOOKUP(L86,Foundation_Calc!$K$41:$R$74,VLOOKUP(AW86,Foundation_Calc!$I$2:$J$8,2,FALSE),0),"")))</f>
        <v/>
      </c>
      <c r="AZ86" s="631" t="str">
        <f>IF(K86="","",
IF(AX86="PT",VLOOKUP(K86,Foundation_Calc!$K$4:$R$37,VLOOKUP(AW86,Foundation_Calc!$I$2:$J$8,2,FALSE),0),
IF(AX86="K",VLOOKUP(K86,Foundation_Calc!$K$41:$R$74,VLOOKUP(AW86,Foundation_Calc!$I$2:$J$8,2,FALSE),0),"")))</f>
        <v/>
      </c>
      <c r="BA86" s="632" t="str">
        <f t="shared" si="8"/>
        <v/>
      </c>
      <c r="BB86" s="632" t="str">
        <f t="shared" si="9"/>
        <v/>
      </c>
      <c r="BC86" s="632" t="str">
        <f t="shared" si="10"/>
        <v/>
      </c>
      <c r="BD86" s="633" t="str">
        <f>IF(AND(L86="",H86=""),"",
IF(H86="",Pole_Calc!A90,
IF(H86="MP",Pole_Calc!A91,
IF(H86="AnMP",Pole_Calc!A92,
IF(H86="A",Pole_Calc!A93,
IF(H86="S/A",Pole_Calc!A94,
IF(H86="A/S",Pole_Calc!A95,"Poner a mano")))))))</f>
        <v/>
      </c>
      <c r="BE86" s="448" t="s">
        <v>1726</v>
      </c>
      <c r="BF86" s="634"/>
      <c r="BG86" s="634"/>
      <c r="BH86" s="634"/>
      <c r="BI86" s="634"/>
    </row>
    <row r="87" spans="1:61" ht="16.2" customHeight="1">
      <c r="A87" s="12"/>
      <c r="B87" s="446"/>
      <c r="C87" s="89"/>
      <c r="D87" s="13"/>
      <c r="E87" s="14"/>
      <c r="F87" s="14"/>
      <c r="G87" s="15"/>
      <c r="H87" s="8"/>
      <c r="I87" s="8"/>
      <c r="J87" s="89"/>
      <c r="K87" s="8"/>
      <c r="L87" s="8"/>
      <c r="M87" s="8" t="str">
        <f>IF(L87="","",
IF(AX87="PT",VLOOKUP(L87,Foundation_Calc!$V$4:$X$37,VLOOKUP(AX87,Foundation_Calc!$I$10:$J$13,2,FALSE),0),
IF(AX87="K",VLOOKUP(L87,Foundation_Calc!$V$41:$X$74,VLOOKUP(AX87,Foundation_Calc!$I$10:$J$13,2,FALSE),0),"")))</f>
        <v/>
      </c>
      <c r="N87" s="8"/>
      <c r="O87" s="8"/>
      <c r="P87" s="8"/>
      <c r="Q87" s="14"/>
      <c r="R87" s="15"/>
      <c r="S87" s="15"/>
      <c r="T87" s="14"/>
      <c r="U87" s="14"/>
      <c r="V87" s="14"/>
      <c r="W87" s="18"/>
      <c r="X87" s="18"/>
      <c r="Y87" s="18"/>
      <c r="Z87" s="18"/>
      <c r="AA87" s="18"/>
      <c r="AB87" s="18"/>
      <c r="AC87" s="8" t="str">
        <f t="shared" si="7"/>
        <v/>
      </c>
      <c r="AD87" s="8"/>
      <c r="AE87" s="8"/>
      <c r="AF87" s="14"/>
      <c r="AG87" s="13"/>
      <c r="AH87" s="14"/>
      <c r="AI87" s="14"/>
      <c r="AJ87" s="8"/>
      <c r="AK87" s="8"/>
      <c r="AL87" s="8"/>
      <c r="AM87" s="8"/>
      <c r="AN87" s="631"/>
      <c r="AO87" s="18"/>
      <c r="AP87" s="18"/>
      <c r="AQ87" s="18"/>
      <c r="AR87" s="18"/>
      <c r="AS87" s="18"/>
      <c r="AU87" s="448"/>
      <c r="AV87" s="448"/>
      <c r="AW87" s="8" t="str">
        <f>IF(C87&gt;0,VLOOKUP(C87,Foundation_Calc!$A$2:$C$986,3,1),
IF(J87&gt;0,VLOOKUP(J87,Foundation_Calc!$A$2:$C$986,3,1),""))</f>
        <v/>
      </c>
      <c r="AX87" s="8" t="str">
        <f>IF(C87&gt;0,VLOOKUP(C87,Foundation_Calc!$E$2:$G$986,3,1),
IF(J87&gt;0,VLOOKUP(J87,Foundation_Calc!$E$2:$G$986,3,1),""))</f>
        <v/>
      </c>
      <c r="AY87" s="631" t="str">
        <f>IF(L87="","",
IF(AX87="PT",VLOOKUP(L87,Foundation_Calc!$K$4:$R$37,VLOOKUP(AW87,Foundation_Calc!$I$2:$J$8,2,FALSE),0),
IF(AX87="K",VLOOKUP(L87,Foundation_Calc!$K$41:$R$74,VLOOKUP(AW87,Foundation_Calc!$I$2:$J$8,2,FALSE),0),"")))</f>
        <v/>
      </c>
      <c r="AZ87" s="631" t="str">
        <f>IF(K87="","",
IF(AX87="PT",VLOOKUP(K87,Foundation_Calc!$K$4:$R$37,VLOOKUP(AW87,Foundation_Calc!$I$2:$J$8,2,FALSE),0),
IF(AX87="K",VLOOKUP(K87,Foundation_Calc!$K$41:$R$74,VLOOKUP(AW87,Foundation_Calc!$I$2:$J$8,2,FALSE),0),"")))</f>
        <v/>
      </c>
      <c r="BA87" s="632" t="str">
        <f t="shared" si="8"/>
        <v/>
      </c>
      <c r="BB87" s="632" t="str">
        <f t="shared" si="9"/>
        <v/>
      </c>
      <c r="BC87" s="632" t="str">
        <f t="shared" si="10"/>
        <v/>
      </c>
      <c r="BD87" s="633" t="str">
        <f>IF(AND(L87="",H87=""),"",
IF(H87="",Pole_Calc!A91,
IF(H87="MP",Pole_Calc!A92,
IF(H87="AnMP",Pole_Calc!A93,
IF(H87="A",Pole_Calc!A94,
IF(H87="S/A",Pole_Calc!A95,
IF(H87="A/S",Pole_Calc!A96,"Poner a mano")))))))</f>
        <v/>
      </c>
      <c r="BE87" s="448" t="s">
        <v>1726</v>
      </c>
      <c r="BF87" s="635"/>
      <c r="BG87" s="635"/>
      <c r="BH87" s="634"/>
      <c r="BI87" s="635"/>
    </row>
    <row r="88" spans="1:61" ht="16.2" customHeight="1">
      <c r="A88" s="12"/>
      <c r="B88" s="446"/>
      <c r="C88" s="89"/>
      <c r="D88" s="13"/>
      <c r="E88" s="14"/>
      <c r="F88" s="14"/>
      <c r="G88" s="15"/>
      <c r="H88" s="8"/>
      <c r="I88" s="8"/>
      <c r="J88" s="89"/>
      <c r="K88" s="8"/>
      <c r="L88" s="8"/>
      <c r="M88" s="8" t="str">
        <f>IF(L88="","",
IF(AX88="PT",VLOOKUP(L88,Foundation_Calc!$V$4:$X$37,VLOOKUP(AX88,Foundation_Calc!$I$10:$J$13,2,FALSE),0),
IF(AX88="K",VLOOKUP(L88,Foundation_Calc!$V$41:$X$74,VLOOKUP(AX88,Foundation_Calc!$I$10:$J$13,2,FALSE),0),"")))</f>
        <v/>
      </c>
      <c r="N88" s="8"/>
      <c r="O88" s="8"/>
      <c r="P88" s="8"/>
      <c r="Q88" s="14"/>
      <c r="R88" s="15"/>
      <c r="S88" s="15"/>
      <c r="T88" s="14"/>
      <c r="U88" s="14"/>
      <c r="V88" s="14"/>
      <c r="W88" s="18"/>
      <c r="X88" s="18"/>
      <c r="Y88" s="18"/>
      <c r="Z88" s="18"/>
      <c r="AA88" s="18"/>
      <c r="AB88" s="18"/>
      <c r="AC88" s="8" t="str">
        <f t="shared" si="7"/>
        <v/>
      </c>
      <c r="AD88" s="8"/>
      <c r="AE88" s="8"/>
      <c r="AF88" s="14"/>
      <c r="AG88" s="13"/>
      <c r="AH88" s="14"/>
      <c r="AI88" s="14"/>
      <c r="AJ88" s="8"/>
      <c r="AK88" s="8"/>
      <c r="AL88" s="8"/>
      <c r="AM88" s="8"/>
      <c r="AN88" s="631"/>
      <c r="AO88" s="18"/>
      <c r="AP88" s="18"/>
      <c r="AQ88" s="18"/>
      <c r="AR88" s="18"/>
      <c r="AS88" s="18"/>
      <c r="AU88" s="448"/>
      <c r="AV88" s="448"/>
      <c r="AW88" s="8" t="str">
        <f>IF(C88&gt;0,VLOOKUP(C88,Foundation_Calc!$A$2:$C$986,3,1),
IF(J88&gt;0,VLOOKUP(J88,Foundation_Calc!$A$2:$C$986,3,1),""))</f>
        <v/>
      </c>
      <c r="AX88" s="8" t="str">
        <f>IF(C88&gt;0,VLOOKUP(C88,Foundation_Calc!$E$2:$G$986,3,1),
IF(J88&gt;0,VLOOKUP(J88,Foundation_Calc!$E$2:$G$986,3,1),""))</f>
        <v/>
      </c>
      <c r="AY88" s="631" t="str">
        <f>IF(L88="","",
IF(AX88="PT",VLOOKUP(L88,Foundation_Calc!$K$4:$R$37,VLOOKUP(AW88,Foundation_Calc!$I$2:$J$8,2,FALSE),0),
IF(AX88="K",VLOOKUP(L88,Foundation_Calc!$K$41:$R$74,VLOOKUP(AW88,Foundation_Calc!$I$2:$J$8,2,FALSE),0),"")))</f>
        <v/>
      </c>
      <c r="AZ88" s="631" t="str">
        <f>IF(K88="","",
IF(AX88="PT",VLOOKUP(K88,Foundation_Calc!$K$4:$R$37,VLOOKUP(AW88,Foundation_Calc!$I$2:$J$8,2,FALSE),0),
IF(AX88="K",VLOOKUP(K88,Foundation_Calc!$K$41:$R$74,VLOOKUP(AW88,Foundation_Calc!$I$2:$J$8,2,FALSE),0),"")))</f>
        <v/>
      </c>
      <c r="BA88" s="632" t="str">
        <f t="shared" si="8"/>
        <v/>
      </c>
      <c r="BB88" s="632" t="str">
        <f t="shared" si="9"/>
        <v/>
      </c>
      <c r="BC88" s="632" t="str">
        <f t="shared" si="10"/>
        <v/>
      </c>
      <c r="BD88" s="633" t="str">
        <f>IF(AND(L88="",H88=""),"",
IF(H88="",Pole_Calc!A92,
IF(H88="MP",Pole_Calc!A93,
IF(H88="AnMP",Pole_Calc!A94,
IF(H88="A",Pole_Calc!A95,
IF(H88="S/A",Pole_Calc!A96,
IF(H88="A/S",Pole_Calc!A97,"Poner a mano")))))))</f>
        <v/>
      </c>
      <c r="BE88" s="448" t="s">
        <v>1726</v>
      </c>
      <c r="BF88" s="634"/>
      <c r="BG88" s="634"/>
      <c r="BH88" s="634"/>
      <c r="BI88" s="634"/>
    </row>
    <row r="89" spans="1:61" ht="16.2" customHeight="1">
      <c r="A89" s="12"/>
      <c r="B89" s="446"/>
      <c r="C89" s="89"/>
      <c r="D89" s="13"/>
      <c r="E89" s="14"/>
      <c r="F89" s="14"/>
      <c r="G89" s="15"/>
      <c r="H89" s="8"/>
      <c r="I89" s="8"/>
      <c r="J89" s="89"/>
      <c r="K89" s="8"/>
      <c r="L89" s="8"/>
      <c r="M89" s="8" t="str">
        <f>IF(L89="","",
IF(AX89="PT",VLOOKUP(L89,Foundation_Calc!$V$4:$X$37,VLOOKUP(AX89,Foundation_Calc!$I$10:$J$13,2,FALSE),0),
IF(AX89="K",VLOOKUP(L89,Foundation_Calc!$V$41:$X$74,VLOOKUP(AX89,Foundation_Calc!$I$10:$J$13,2,FALSE),0),"")))</f>
        <v/>
      </c>
      <c r="N89" s="8"/>
      <c r="O89" s="8"/>
      <c r="P89" s="8"/>
      <c r="Q89" s="14"/>
      <c r="R89" s="15"/>
      <c r="S89" s="15"/>
      <c r="T89" s="14"/>
      <c r="U89" s="14"/>
      <c r="V89" s="14"/>
      <c r="W89" s="18"/>
      <c r="X89" s="18"/>
      <c r="Y89" s="18"/>
      <c r="Z89" s="18"/>
      <c r="AA89" s="18"/>
      <c r="AB89" s="18"/>
      <c r="AC89" s="8" t="str">
        <f t="shared" si="7"/>
        <v/>
      </c>
      <c r="AD89" s="8"/>
      <c r="AE89" s="8"/>
      <c r="AF89" s="14"/>
      <c r="AG89" s="13"/>
      <c r="AH89" s="14"/>
      <c r="AI89" s="14"/>
      <c r="AJ89" s="8"/>
      <c r="AK89" s="8"/>
      <c r="AL89" s="8"/>
      <c r="AM89" s="8"/>
      <c r="AN89" s="631"/>
      <c r="AO89" s="18"/>
      <c r="AP89" s="18"/>
      <c r="AQ89" s="18"/>
      <c r="AR89" s="18"/>
      <c r="AS89" s="18"/>
      <c r="AU89" s="448"/>
      <c r="AV89" s="448"/>
      <c r="AW89" s="8" t="str">
        <f>IF(C89&gt;0,VLOOKUP(C89,Foundation_Calc!$A$2:$C$986,3,1),
IF(J89&gt;0,VLOOKUP(J89,Foundation_Calc!$A$2:$C$986,3,1),""))</f>
        <v/>
      </c>
      <c r="AX89" s="8" t="str">
        <f>IF(C89&gt;0,VLOOKUP(C89,Foundation_Calc!$E$2:$G$986,3,1),
IF(J89&gt;0,VLOOKUP(J89,Foundation_Calc!$E$2:$G$986,3,1),""))</f>
        <v/>
      </c>
      <c r="AY89" s="631" t="str">
        <f>IF(L89="","",
IF(AX89="PT",VLOOKUP(L89,Foundation_Calc!$K$4:$R$37,VLOOKUP(AW89,Foundation_Calc!$I$2:$J$8,2,FALSE),0),
IF(AX89="K",VLOOKUP(L89,Foundation_Calc!$K$41:$R$74,VLOOKUP(AW89,Foundation_Calc!$I$2:$J$8,2,FALSE),0),"")))</f>
        <v/>
      </c>
      <c r="AZ89" s="631" t="str">
        <f>IF(K89="","",
IF(AX89="PT",VLOOKUP(K89,Foundation_Calc!$K$4:$R$37,VLOOKUP(AW89,Foundation_Calc!$I$2:$J$8,2,FALSE),0),
IF(AX89="K",VLOOKUP(K89,Foundation_Calc!$K$41:$R$74,VLOOKUP(AW89,Foundation_Calc!$I$2:$J$8,2,FALSE),0),"")))</f>
        <v/>
      </c>
      <c r="BA89" s="632" t="str">
        <f t="shared" si="8"/>
        <v/>
      </c>
      <c r="BB89" s="632" t="str">
        <f t="shared" si="9"/>
        <v/>
      </c>
      <c r="BC89" s="632" t="str">
        <f t="shared" si="10"/>
        <v/>
      </c>
      <c r="BD89" s="633" t="str">
        <f>IF(AND(L89="",H89=""),"",
IF(H89="",Pole_Calc!A93,
IF(H89="MP",Pole_Calc!A94,
IF(H89="AnMP",Pole_Calc!A95,
IF(H89="A",Pole_Calc!A96,
IF(H89="S/A",Pole_Calc!A97,
IF(H89="A/S",Pole_Calc!A98,"Poner a mano")))))))</f>
        <v/>
      </c>
      <c r="BE89" s="448" t="s">
        <v>1726</v>
      </c>
      <c r="BF89" s="635"/>
      <c r="BG89" s="635"/>
      <c r="BH89" s="634"/>
      <c r="BI89" s="635"/>
    </row>
    <row r="90" spans="1:61" ht="16.2" customHeight="1">
      <c r="A90" s="12"/>
      <c r="B90" s="446"/>
      <c r="C90" s="89"/>
      <c r="D90" s="13"/>
      <c r="E90" s="14"/>
      <c r="F90" s="14"/>
      <c r="G90" s="15"/>
      <c r="H90" s="8"/>
      <c r="I90" s="8"/>
      <c r="J90" s="89"/>
      <c r="K90" s="8"/>
      <c r="L90" s="8"/>
      <c r="M90" s="8" t="str">
        <f>IF(L90="","",
IF(AX90="PT",VLOOKUP(L90,Foundation_Calc!$V$4:$X$37,VLOOKUP(AX90,Foundation_Calc!$I$10:$J$13,2,FALSE),0),
IF(AX90="K",VLOOKUP(L90,Foundation_Calc!$V$41:$X$74,VLOOKUP(AX90,Foundation_Calc!$I$10:$J$13,2,FALSE),0),"")))</f>
        <v/>
      </c>
      <c r="N90" s="8"/>
      <c r="O90" s="8"/>
      <c r="P90" s="8"/>
      <c r="Q90" s="14"/>
      <c r="R90" s="15"/>
      <c r="S90" s="15"/>
      <c r="T90" s="14"/>
      <c r="U90" s="14"/>
      <c r="V90" s="14"/>
      <c r="W90" s="18"/>
      <c r="X90" s="18"/>
      <c r="Y90" s="18"/>
      <c r="Z90" s="18"/>
      <c r="AA90" s="18"/>
      <c r="AB90" s="18"/>
      <c r="AC90" s="8" t="str">
        <f t="shared" si="7"/>
        <v/>
      </c>
      <c r="AD90" s="8"/>
      <c r="AE90" s="8"/>
      <c r="AF90" s="14"/>
      <c r="AG90" s="13"/>
      <c r="AH90" s="14"/>
      <c r="AI90" s="14"/>
      <c r="AJ90" s="8"/>
      <c r="AK90" s="8"/>
      <c r="AL90" s="8"/>
      <c r="AM90" s="8"/>
      <c r="AN90" s="631"/>
      <c r="AO90" s="18"/>
      <c r="AP90" s="18"/>
      <c r="AQ90" s="18"/>
      <c r="AR90" s="18"/>
      <c r="AS90" s="18"/>
      <c r="AU90" s="448"/>
      <c r="AV90" s="448"/>
      <c r="AW90" s="8" t="str">
        <f>IF(C90&gt;0,VLOOKUP(C90,Foundation_Calc!$A$2:$C$986,3,1),
IF(J90&gt;0,VLOOKUP(J90,Foundation_Calc!$A$2:$C$986,3,1),""))</f>
        <v/>
      </c>
      <c r="AX90" s="8" t="str">
        <f>IF(C90&gt;0,VLOOKUP(C90,Foundation_Calc!$E$2:$G$986,3,1),
IF(J90&gt;0,VLOOKUP(J90,Foundation_Calc!$E$2:$G$986,3,1),""))</f>
        <v/>
      </c>
      <c r="AY90" s="631" t="str">
        <f>IF(L90="","",
IF(AX90="PT",VLOOKUP(L90,Foundation_Calc!$K$4:$R$37,VLOOKUP(AW90,Foundation_Calc!$I$2:$J$8,2,FALSE),0),
IF(AX90="K",VLOOKUP(L90,Foundation_Calc!$K$41:$R$74,VLOOKUP(AW90,Foundation_Calc!$I$2:$J$8,2,FALSE),0),"")))</f>
        <v/>
      </c>
      <c r="AZ90" s="631" t="str">
        <f>IF(K90="","",
IF(AX90="PT",VLOOKUP(K90,Foundation_Calc!$K$4:$R$37,VLOOKUP(AW90,Foundation_Calc!$I$2:$J$8,2,FALSE),0),
IF(AX90="K",VLOOKUP(K90,Foundation_Calc!$K$41:$R$74,VLOOKUP(AW90,Foundation_Calc!$I$2:$J$8,2,FALSE),0),"")))</f>
        <v/>
      </c>
      <c r="BA90" s="632" t="str">
        <f t="shared" si="8"/>
        <v/>
      </c>
      <c r="BB90" s="632" t="str">
        <f t="shared" si="9"/>
        <v/>
      </c>
      <c r="BC90" s="632" t="str">
        <f t="shared" si="10"/>
        <v/>
      </c>
      <c r="BD90" s="633" t="str">
        <f>IF(AND(L90="",H90=""),"",
IF(H90="",Pole_Calc!A94,
IF(H90="MP",Pole_Calc!A95,
IF(H90="AnMP",Pole_Calc!A96,
IF(H90="A",Pole_Calc!A97,
IF(H90="S/A",Pole_Calc!A98,
IF(H90="A/S",Pole_Calc!A99,"Poner a mano")))))))</f>
        <v/>
      </c>
      <c r="BE90" s="448" t="s">
        <v>1726</v>
      </c>
      <c r="BF90" s="634"/>
      <c r="BG90" s="634"/>
      <c r="BH90" s="634"/>
      <c r="BI90" s="634"/>
    </row>
    <row r="91" spans="1:61" ht="16.2" customHeight="1">
      <c r="A91" s="12"/>
      <c r="B91" s="446"/>
      <c r="C91" s="89"/>
      <c r="D91" s="13"/>
      <c r="E91" s="14"/>
      <c r="F91" s="14"/>
      <c r="G91" s="15"/>
      <c r="H91" s="8"/>
      <c r="I91" s="8"/>
      <c r="J91" s="89"/>
      <c r="K91" s="8"/>
      <c r="L91" s="8"/>
      <c r="M91" s="8" t="str">
        <f>IF(L91="","",
IF(AX91="PT",VLOOKUP(L91,Foundation_Calc!$V$4:$X$37,VLOOKUP(AX91,Foundation_Calc!$I$10:$J$13,2,FALSE),0),
IF(AX91="K",VLOOKUP(L91,Foundation_Calc!$V$41:$X$74,VLOOKUP(AX91,Foundation_Calc!$I$10:$J$13,2,FALSE),0),"")))</f>
        <v/>
      </c>
      <c r="N91" s="8"/>
      <c r="O91" s="8"/>
      <c r="P91" s="8"/>
      <c r="Q91" s="14"/>
      <c r="R91" s="15"/>
      <c r="S91" s="15"/>
      <c r="T91" s="14"/>
      <c r="U91" s="14"/>
      <c r="V91" s="14"/>
      <c r="W91" s="18"/>
      <c r="X91" s="18"/>
      <c r="Y91" s="18"/>
      <c r="Z91" s="18"/>
      <c r="AA91" s="18"/>
      <c r="AB91" s="18"/>
      <c r="AC91" s="8" t="str">
        <f t="shared" si="7"/>
        <v/>
      </c>
      <c r="AD91" s="8"/>
      <c r="AE91" s="8"/>
      <c r="AF91" s="14"/>
      <c r="AG91" s="13"/>
      <c r="AH91" s="14"/>
      <c r="AI91" s="14"/>
      <c r="AJ91" s="8"/>
      <c r="AK91" s="8"/>
      <c r="AL91" s="8"/>
      <c r="AM91" s="8"/>
      <c r="AN91" s="631"/>
      <c r="AO91" s="18"/>
      <c r="AP91" s="18"/>
      <c r="AQ91" s="18"/>
      <c r="AR91" s="18"/>
      <c r="AS91" s="18"/>
      <c r="AU91" s="448"/>
      <c r="AV91" s="448"/>
      <c r="AW91" s="8" t="str">
        <f>IF(C91&gt;0,VLOOKUP(C91,Foundation_Calc!$A$2:$C$986,3,1),
IF(J91&gt;0,VLOOKUP(J91,Foundation_Calc!$A$2:$C$986,3,1),""))</f>
        <v/>
      </c>
      <c r="AX91" s="8" t="str">
        <f>IF(C91&gt;0,VLOOKUP(C91,Foundation_Calc!$E$2:$G$986,3,1),
IF(J91&gt;0,VLOOKUP(J91,Foundation_Calc!$E$2:$G$986,3,1),""))</f>
        <v/>
      </c>
      <c r="AY91" s="631" t="str">
        <f>IF(L91="","",
IF(AX91="PT",VLOOKUP(L91,Foundation_Calc!$K$4:$R$37,VLOOKUP(AW91,Foundation_Calc!$I$2:$J$8,2,FALSE),0),
IF(AX91="K",VLOOKUP(L91,Foundation_Calc!$K$41:$R$74,VLOOKUP(AW91,Foundation_Calc!$I$2:$J$8,2,FALSE),0),"")))</f>
        <v/>
      </c>
      <c r="AZ91" s="631" t="str">
        <f>IF(K91="","",
IF(AX91="PT",VLOOKUP(K91,Foundation_Calc!$K$4:$R$37,VLOOKUP(AW91,Foundation_Calc!$I$2:$J$8,2,FALSE),0),
IF(AX91="K",VLOOKUP(K91,Foundation_Calc!$K$41:$R$74,VLOOKUP(AW91,Foundation_Calc!$I$2:$J$8,2,FALSE),0),"")))</f>
        <v/>
      </c>
      <c r="BA91" s="632" t="str">
        <f t="shared" si="8"/>
        <v/>
      </c>
      <c r="BB91" s="632" t="str">
        <f t="shared" si="9"/>
        <v/>
      </c>
      <c r="BC91" s="632" t="str">
        <f t="shared" si="10"/>
        <v/>
      </c>
      <c r="BD91" s="633" t="str">
        <f>IF(AND(L91="",H91=""),"",
IF(H91="",Pole_Calc!A95,
IF(H91="MP",Pole_Calc!A96,
IF(H91="AnMP",Pole_Calc!A97,
IF(H91="A",Pole_Calc!A98,
IF(H91="S/A",Pole_Calc!A99,
IF(H91="A/S",Pole_Calc!A100,"Poner a mano")))))))</f>
        <v/>
      </c>
      <c r="BE91" s="448" t="s">
        <v>1726</v>
      </c>
      <c r="BF91" s="635"/>
      <c r="BG91" s="635"/>
      <c r="BH91" s="634"/>
      <c r="BI91" s="635"/>
    </row>
    <row r="92" spans="1:61" ht="16.2" customHeight="1">
      <c r="A92" s="12"/>
      <c r="B92" s="446"/>
      <c r="C92" s="89"/>
      <c r="D92" s="13"/>
      <c r="E92" s="14"/>
      <c r="F92" s="14"/>
      <c r="G92" s="15"/>
      <c r="H92" s="8"/>
      <c r="I92" s="8"/>
      <c r="J92" s="89"/>
      <c r="K92" s="8"/>
      <c r="L92" s="8"/>
      <c r="M92" s="8" t="str">
        <f>IF(L92="","",
IF(AX92="PT",VLOOKUP(L92,Foundation_Calc!$V$4:$X$37,VLOOKUP(AX92,Foundation_Calc!$I$10:$J$13,2,FALSE),0),
IF(AX92="K",VLOOKUP(L92,Foundation_Calc!$V$41:$X$74,VLOOKUP(AX92,Foundation_Calc!$I$10:$J$13,2,FALSE),0),"")))</f>
        <v/>
      </c>
      <c r="N92" s="8"/>
      <c r="O92" s="8"/>
      <c r="P92" s="8"/>
      <c r="Q92" s="14"/>
      <c r="R92" s="15"/>
      <c r="S92" s="15"/>
      <c r="T92" s="14"/>
      <c r="U92" s="14"/>
      <c r="V92" s="14"/>
      <c r="W92" s="18"/>
      <c r="X92" s="18"/>
      <c r="Y92" s="18"/>
      <c r="Z92" s="18"/>
      <c r="AA92" s="18"/>
      <c r="AB92" s="18"/>
      <c r="AC92" s="8" t="str">
        <f t="shared" si="7"/>
        <v/>
      </c>
      <c r="AD92" s="8"/>
      <c r="AE92" s="8"/>
      <c r="AF92" s="14"/>
      <c r="AG92" s="13"/>
      <c r="AH92" s="14"/>
      <c r="AI92" s="14"/>
      <c r="AJ92" s="8"/>
      <c r="AK92" s="8"/>
      <c r="AL92" s="8"/>
      <c r="AM92" s="8"/>
      <c r="AN92" s="631"/>
      <c r="AO92" s="18"/>
      <c r="AP92" s="18"/>
      <c r="AQ92" s="18"/>
      <c r="AR92" s="18"/>
      <c r="AS92" s="18"/>
      <c r="AU92" s="448"/>
      <c r="AV92" s="448"/>
      <c r="AW92" s="8" t="str">
        <f>IF(C92&gt;0,VLOOKUP(C92,Foundation_Calc!$A$2:$C$986,3,1),
IF(J92&gt;0,VLOOKUP(J92,Foundation_Calc!$A$2:$C$986,3,1),""))</f>
        <v/>
      </c>
      <c r="AX92" s="8" t="str">
        <f>IF(C92&gt;0,VLOOKUP(C92,Foundation_Calc!$E$2:$G$986,3,1),
IF(J92&gt;0,VLOOKUP(J92,Foundation_Calc!$E$2:$G$986,3,1),""))</f>
        <v/>
      </c>
      <c r="AY92" s="631" t="str">
        <f>IF(L92="","",
IF(AX92="PT",VLOOKUP(L92,Foundation_Calc!$K$4:$R$37,VLOOKUP(AW92,Foundation_Calc!$I$2:$J$8,2,FALSE),0),
IF(AX92="K",VLOOKUP(L92,Foundation_Calc!$K$41:$R$74,VLOOKUP(AW92,Foundation_Calc!$I$2:$J$8,2,FALSE),0),"")))</f>
        <v/>
      </c>
      <c r="AZ92" s="631" t="str">
        <f>IF(K92="","",
IF(AX92="PT",VLOOKUP(K92,Foundation_Calc!$K$4:$R$37,VLOOKUP(AW92,Foundation_Calc!$I$2:$J$8,2,FALSE),0),
IF(AX92="K",VLOOKUP(K92,Foundation_Calc!$K$41:$R$74,VLOOKUP(AW92,Foundation_Calc!$I$2:$J$8,2,FALSE),0),"")))</f>
        <v/>
      </c>
      <c r="BA92" s="632" t="str">
        <f t="shared" si="8"/>
        <v/>
      </c>
      <c r="BB92" s="632" t="str">
        <f t="shared" si="9"/>
        <v/>
      </c>
      <c r="BC92" s="632" t="str">
        <f t="shared" si="10"/>
        <v/>
      </c>
      <c r="BD92" s="633" t="str">
        <f>IF(AND(L92="",H92=""),"",
IF(H92="",Pole_Calc!A96,
IF(H92="MP",Pole_Calc!A97,
IF(H92="AnMP",Pole_Calc!A98,
IF(H92="A",Pole_Calc!A99,
IF(H92="S/A",Pole_Calc!A100,
IF(H92="A/S",Pole_Calc!A101,"Poner a mano")))))))</f>
        <v/>
      </c>
      <c r="BE92" s="448" t="s">
        <v>1726</v>
      </c>
      <c r="BF92" s="634"/>
      <c r="BG92" s="634"/>
      <c r="BH92" s="634"/>
      <c r="BI92" s="634"/>
    </row>
    <row r="93" spans="1:61" ht="16.2" customHeight="1">
      <c r="A93" s="12"/>
      <c r="B93" s="446"/>
      <c r="C93" s="89"/>
      <c r="D93" s="13"/>
      <c r="E93" s="14"/>
      <c r="F93" s="14"/>
      <c r="G93" s="15"/>
      <c r="H93" s="8"/>
      <c r="I93" s="8"/>
      <c r="J93" s="89"/>
      <c r="K93" s="8"/>
      <c r="L93" s="8"/>
      <c r="M93" s="8" t="str">
        <f>IF(L93="","",
IF(AX93="PT",VLOOKUP(L93,Foundation_Calc!$V$4:$X$37,VLOOKUP(AX93,Foundation_Calc!$I$10:$J$13,2,FALSE),0),
IF(AX93="K",VLOOKUP(L93,Foundation_Calc!$V$41:$X$74,VLOOKUP(AX93,Foundation_Calc!$I$10:$J$13,2,FALSE),0),"")))</f>
        <v/>
      </c>
      <c r="N93" s="8"/>
      <c r="O93" s="8"/>
      <c r="P93" s="8"/>
      <c r="Q93" s="14"/>
      <c r="R93" s="15"/>
      <c r="S93" s="15"/>
      <c r="T93" s="14"/>
      <c r="U93" s="14"/>
      <c r="V93" s="14"/>
      <c r="W93" s="18"/>
      <c r="X93" s="18"/>
      <c r="Y93" s="18"/>
      <c r="Z93" s="18"/>
      <c r="AA93" s="18"/>
      <c r="AB93" s="18"/>
      <c r="AC93" s="8" t="str">
        <f t="shared" si="7"/>
        <v/>
      </c>
      <c r="AD93" s="8"/>
      <c r="AE93" s="8"/>
      <c r="AF93" s="14"/>
      <c r="AG93" s="13"/>
      <c r="AH93" s="14"/>
      <c r="AI93" s="14"/>
      <c r="AJ93" s="8"/>
      <c r="AK93" s="8"/>
      <c r="AL93" s="8"/>
      <c r="AM93" s="8"/>
      <c r="AN93" s="631"/>
      <c r="AO93" s="18"/>
      <c r="AP93" s="18"/>
      <c r="AQ93" s="18"/>
      <c r="AR93" s="18"/>
      <c r="AS93" s="18"/>
      <c r="AU93" s="448"/>
      <c r="AV93" s="448"/>
      <c r="AW93" s="8" t="str">
        <f>IF(C93&gt;0,VLOOKUP(C93,Foundation_Calc!$A$2:$C$986,3,1),
IF(J93&gt;0,VLOOKUP(J93,Foundation_Calc!$A$2:$C$986,3,1),""))</f>
        <v/>
      </c>
      <c r="AX93" s="8" t="str">
        <f>IF(C93&gt;0,VLOOKUP(C93,Foundation_Calc!$E$2:$G$986,3,1),
IF(J93&gt;0,VLOOKUP(J93,Foundation_Calc!$E$2:$G$986,3,1),""))</f>
        <v/>
      </c>
      <c r="AY93" s="631" t="str">
        <f>IF(L93="","",
IF(AX93="PT",VLOOKUP(L93,Foundation_Calc!$K$4:$R$37,VLOOKUP(AW93,Foundation_Calc!$I$2:$J$8,2,FALSE),0),
IF(AX93="K",VLOOKUP(L93,Foundation_Calc!$K$41:$R$74,VLOOKUP(AW93,Foundation_Calc!$I$2:$J$8,2,FALSE),0),"")))</f>
        <v/>
      </c>
      <c r="AZ93" s="631" t="str">
        <f>IF(K93="","",
IF(AX93="PT",VLOOKUP(K93,Foundation_Calc!$K$4:$R$37,VLOOKUP(AW93,Foundation_Calc!$I$2:$J$8,2,FALSE),0),
IF(AX93="K",VLOOKUP(K93,Foundation_Calc!$K$41:$R$74,VLOOKUP(AW93,Foundation_Calc!$I$2:$J$8,2,FALSE),0),"")))</f>
        <v/>
      </c>
      <c r="BA93" s="632" t="str">
        <f t="shared" si="8"/>
        <v/>
      </c>
      <c r="BB93" s="632" t="str">
        <f t="shared" si="9"/>
        <v/>
      </c>
      <c r="BC93" s="632" t="str">
        <f t="shared" si="10"/>
        <v/>
      </c>
      <c r="BD93" s="633" t="str">
        <f>IF(AND(L93="",H93=""),"",
IF(H93="",Pole_Calc!A97,
IF(H93="MP",Pole_Calc!A98,
IF(H93="AnMP",Pole_Calc!A99,
IF(H93="A",Pole_Calc!A100,
IF(H93="S/A",Pole_Calc!A101,
IF(H93="A/S",Pole_Calc!A102,"Poner a mano")))))))</f>
        <v/>
      </c>
      <c r="BE93" s="448" t="s">
        <v>1726</v>
      </c>
      <c r="BF93" s="635"/>
      <c r="BG93" s="635"/>
      <c r="BH93" s="634"/>
      <c r="BI93" s="635"/>
    </row>
    <row r="94" spans="1:61" ht="16.2" customHeight="1">
      <c r="A94" s="12"/>
      <c r="B94" s="446"/>
      <c r="C94" s="89"/>
      <c r="D94" s="13"/>
      <c r="E94" s="14"/>
      <c r="F94" s="14"/>
      <c r="G94" s="15"/>
      <c r="H94" s="8"/>
      <c r="I94" s="8"/>
      <c r="J94" s="89"/>
      <c r="K94" s="8"/>
      <c r="L94" s="8"/>
      <c r="M94" s="8" t="str">
        <f>IF(L94="","",
IF(AX94="PT",VLOOKUP(L94,Foundation_Calc!$V$4:$X$37,VLOOKUP(AX94,Foundation_Calc!$I$10:$J$13,2,FALSE),0),
IF(AX94="K",VLOOKUP(L94,Foundation_Calc!$V$41:$X$74,VLOOKUP(AX94,Foundation_Calc!$I$10:$J$13,2,FALSE),0),"")))</f>
        <v/>
      </c>
      <c r="N94" s="8"/>
      <c r="O94" s="8"/>
      <c r="P94" s="8"/>
      <c r="Q94" s="14"/>
      <c r="R94" s="15"/>
      <c r="S94" s="15"/>
      <c r="T94" s="14"/>
      <c r="U94" s="14"/>
      <c r="V94" s="14"/>
      <c r="W94" s="18"/>
      <c r="X94" s="18"/>
      <c r="Y94" s="18"/>
      <c r="Z94" s="18"/>
      <c r="AA94" s="18"/>
      <c r="AB94" s="18"/>
      <c r="AC94" s="8" t="str">
        <f t="shared" si="7"/>
        <v/>
      </c>
      <c r="AD94" s="8"/>
      <c r="AE94" s="8"/>
      <c r="AF94" s="14"/>
      <c r="AG94" s="13"/>
      <c r="AH94" s="14"/>
      <c r="AI94" s="14"/>
      <c r="AJ94" s="8"/>
      <c r="AK94" s="8"/>
      <c r="AL94" s="8"/>
      <c r="AM94" s="8"/>
      <c r="AN94" s="631"/>
      <c r="AO94" s="18"/>
      <c r="AP94" s="18"/>
      <c r="AQ94" s="18"/>
      <c r="AR94" s="18"/>
      <c r="AS94" s="18"/>
      <c r="AU94" s="448"/>
      <c r="AV94" s="448"/>
      <c r="AW94" s="8" t="str">
        <f>IF(C94&gt;0,VLOOKUP(C94,Foundation_Calc!$A$2:$C$986,3,1),
IF(J94&gt;0,VLOOKUP(J94,Foundation_Calc!$A$2:$C$986,3,1),""))</f>
        <v/>
      </c>
      <c r="AX94" s="8" t="str">
        <f>IF(C94&gt;0,VLOOKUP(C94,Foundation_Calc!$E$2:$G$986,3,1),
IF(J94&gt;0,VLOOKUP(J94,Foundation_Calc!$E$2:$G$986,3,1),""))</f>
        <v/>
      </c>
      <c r="AY94" s="631" t="str">
        <f>IF(L94="","",
IF(AX94="PT",VLOOKUP(L94,Foundation_Calc!$K$4:$R$37,VLOOKUP(AW94,Foundation_Calc!$I$2:$J$8,2,FALSE),0),
IF(AX94="K",VLOOKUP(L94,Foundation_Calc!$K$41:$R$74,VLOOKUP(AW94,Foundation_Calc!$I$2:$J$8,2,FALSE),0),"")))</f>
        <v/>
      </c>
      <c r="AZ94" s="631" t="str">
        <f>IF(K94="","",
IF(AX94="PT",VLOOKUP(K94,Foundation_Calc!$K$4:$R$37,VLOOKUP(AW94,Foundation_Calc!$I$2:$J$8,2,FALSE),0),
IF(AX94="K",VLOOKUP(K94,Foundation_Calc!$K$41:$R$74,VLOOKUP(AW94,Foundation_Calc!$I$2:$J$8,2,FALSE),0),"")))</f>
        <v/>
      </c>
      <c r="BA94" s="632" t="str">
        <f t="shared" si="8"/>
        <v/>
      </c>
      <c r="BB94" s="632" t="str">
        <f t="shared" si="9"/>
        <v/>
      </c>
      <c r="BC94" s="632" t="str">
        <f t="shared" si="10"/>
        <v/>
      </c>
      <c r="BD94" s="633" t="str">
        <f>IF(AND(L94="",H94=""),"",
IF(H94="",Pole_Calc!A98,
IF(H94="MP",Pole_Calc!A99,
IF(H94="AnMP",Pole_Calc!A100,
IF(H94="A",Pole_Calc!A101,
IF(H94="S/A",Pole_Calc!A102,
IF(H94="A/S",Pole_Calc!A103,"Poner a mano")))))))</f>
        <v/>
      </c>
      <c r="BE94" s="448" t="s">
        <v>1726</v>
      </c>
      <c r="BF94" s="634"/>
      <c r="BG94" s="634"/>
      <c r="BH94" s="634"/>
      <c r="BI94" s="634"/>
    </row>
    <row r="95" spans="1:61" ht="16.2" customHeight="1">
      <c r="A95" s="12"/>
      <c r="B95" s="446"/>
      <c r="C95" s="89"/>
      <c r="D95" s="13"/>
      <c r="E95" s="14"/>
      <c r="F95" s="14"/>
      <c r="G95" s="15"/>
      <c r="H95" s="8"/>
      <c r="I95" s="8"/>
      <c r="J95" s="89"/>
      <c r="K95" s="8"/>
      <c r="L95" s="8"/>
      <c r="M95" s="8" t="str">
        <f>IF(L95="","",
IF(AX95="PT",VLOOKUP(L95,Foundation_Calc!$V$4:$X$37,VLOOKUP(AX95,Foundation_Calc!$I$10:$J$13,2,FALSE),0),
IF(AX95="K",VLOOKUP(L95,Foundation_Calc!$V$41:$X$74,VLOOKUP(AX95,Foundation_Calc!$I$10:$J$13,2,FALSE),0),"")))</f>
        <v/>
      </c>
      <c r="N95" s="8"/>
      <c r="O95" s="8"/>
      <c r="P95" s="8"/>
      <c r="Q95" s="14"/>
      <c r="R95" s="15"/>
      <c r="S95" s="15"/>
      <c r="T95" s="14"/>
      <c r="U95" s="14"/>
      <c r="V95" s="14"/>
      <c r="W95" s="18"/>
      <c r="X95" s="18"/>
      <c r="Y95" s="18"/>
      <c r="Z95" s="18"/>
      <c r="AA95" s="18"/>
      <c r="AB95" s="18"/>
      <c r="AC95" s="8" t="str">
        <f t="shared" si="7"/>
        <v/>
      </c>
      <c r="AD95" s="8"/>
      <c r="AE95" s="8"/>
      <c r="AF95" s="14"/>
      <c r="AG95" s="13"/>
      <c r="AH95" s="14"/>
      <c r="AI95" s="14"/>
      <c r="AJ95" s="8"/>
      <c r="AK95" s="8"/>
      <c r="AL95" s="8"/>
      <c r="AM95" s="8"/>
      <c r="AN95" s="631"/>
      <c r="AO95" s="18"/>
      <c r="AP95" s="18"/>
      <c r="AQ95" s="18"/>
      <c r="AR95" s="18"/>
      <c r="AS95" s="18"/>
      <c r="AU95" s="448"/>
      <c r="AV95" s="448"/>
      <c r="AW95" s="8" t="str">
        <f>IF(C95&gt;0,VLOOKUP(C95,Foundation_Calc!$A$2:$C$986,3,1),
IF(J95&gt;0,VLOOKUP(J95,Foundation_Calc!$A$2:$C$986,3,1),""))</f>
        <v/>
      </c>
      <c r="AX95" s="8" t="str">
        <f>IF(C95&gt;0,VLOOKUP(C95,Foundation_Calc!$E$2:$G$986,3,1),
IF(J95&gt;0,VLOOKUP(J95,Foundation_Calc!$E$2:$G$986,3,1),""))</f>
        <v/>
      </c>
      <c r="AY95" s="631" t="str">
        <f>IF(L95="","",
IF(AX95="PT",VLOOKUP(L95,Foundation_Calc!$K$4:$R$37,VLOOKUP(AW95,Foundation_Calc!$I$2:$J$8,2,FALSE),0),
IF(AX95="K",VLOOKUP(L95,Foundation_Calc!$K$41:$R$74,VLOOKUP(AW95,Foundation_Calc!$I$2:$J$8,2,FALSE),0),"")))</f>
        <v/>
      </c>
      <c r="AZ95" s="631" t="str">
        <f>IF(K95="","",
IF(AX95="PT",VLOOKUP(K95,Foundation_Calc!$K$4:$R$37,VLOOKUP(AW95,Foundation_Calc!$I$2:$J$8,2,FALSE),0),
IF(AX95="K",VLOOKUP(K95,Foundation_Calc!$K$41:$R$74,VLOOKUP(AW95,Foundation_Calc!$I$2:$J$8,2,FALSE),0),"")))</f>
        <v/>
      </c>
      <c r="BA95" s="632" t="str">
        <f t="shared" si="8"/>
        <v/>
      </c>
      <c r="BB95" s="632" t="str">
        <f t="shared" si="9"/>
        <v/>
      </c>
      <c r="BC95" s="632" t="str">
        <f t="shared" si="10"/>
        <v/>
      </c>
      <c r="BD95" s="633" t="str">
        <f>IF(AND(L95="",H95=""),"",
IF(H95="",Pole_Calc!A99,
IF(H95="MP",Pole_Calc!A100,
IF(H95="AnMP",Pole_Calc!A101,
IF(H95="A",Pole_Calc!A102,
IF(H95="S/A",Pole_Calc!A103,
IF(H95="A/S",Pole_Calc!A104,"Poner a mano")))))))</f>
        <v/>
      </c>
      <c r="BE95" s="448" t="s">
        <v>1726</v>
      </c>
      <c r="BF95" s="635"/>
      <c r="BG95" s="635"/>
      <c r="BH95" s="634"/>
      <c r="BI95" s="635"/>
    </row>
    <row r="96" spans="1:61" ht="16.2" customHeight="1">
      <c r="A96" s="12"/>
      <c r="B96" s="446"/>
      <c r="C96" s="89"/>
      <c r="D96" s="13"/>
      <c r="E96" s="14"/>
      <c r="F96" s="14"/>
      <c r="G96" s="15"/>
      <c r="H96" s="8"/>
      <c r="I96" s="8"/>
      <c r="J96" s="89"/>
      <c r="K96" s="8"/>
      <c r="L96" s="8"/>
      <c r="M96" s="8" t="str">
        <f>IF(L96="","",
IF(AX96="PT",VLOOKUP(L96,Foundation_Calc!$V$4:$X$37,VLOOKUP(AX96,Foundation_Calc!$I$10:$J$13,2,FALSE),0),
IF(AX96="K",VLOOKUP(L96,Foundation_Calc!$V$41:$X$74,VLOOKUP(AX96,Foundation_Calc!$I$10:$J$13,2,FALSE),0),"")))</f>
        <v/>
      </c>
      <c r="N96" s="8"/>
      <c r="O96" s="8"/>
      <c r="P96" s="8"/>
      <c r="Q96" s="14"/>
      <c r="R96" s="15"/>
      <c r="S96" s="15"/>
      <c r="T96" s="14"/>
      <c r="U96" s="14"/>
      <c r="V96" s="14"/>
      <c r="W96" s="18"/>
      <c r="X96" s="18"/>
      <c r="Y96" s="18"/>
      <c r="Z96" s="18"/>
      <c r="AA96" s="18"/>
      <c r="AB96" s="18"/>
      <c r="AC96" s="8" t="str">
        <f t="shared" si="7"/>
        <v/>
      </c>
      <c r="AD96" s="8"/>
      <c r="AE96" s="8"/>
      <c r="AF96" s="14"/>
      <c r="AG96" s="13"/>
      <c r="AH96" s="14"/>
      <c r="AI96" s="14"/>
      <c r="AJ96" s="8"/>
      <c r="AK96" s="8"/>
      <c r="AL96" s="8"/>
      <c r="AM96" s="8"/>
      <c r="AN96" s="631"/>
      <c r="AO96" s="18"/>
      <c r="AP96" s="18"/>
      <c r="AQ96" s="18"/>
      <c r="AR96" s="18"/>
      <c r="AS96" s="18"/>
      <c r="AU96" s="448"/>
      <c r="AV96" s="448"/>
      <c r="AW96" s="8" t="str">
        <f>IF(C96&gt;0,VLOOKUP(C96,Foundation_Calc!$A$2:$C$986,3,1),
IF(J96&gt;0,VLOOKUP(J96,Foundation_Calc!$A$2:$C$986,3,1),""))</f>
        <v/>
      </c>
      <c r="AX96" s="8" t="str">
        <f>IF(C96&gt;0,VLOOKUP(C96,Foundation_Calc!$E$2:$G$986,3,1),
IF(J96&gt;0,VLOOKUP(J96,Foundation_Calc!$E$2:$G$986,3,1),""))</f>
        <v/>
      </c>
      <c r="AY96" s="631" t="str">
        <f>IF(L96="","",
IF(AX96="PT",VLOOKUP(L96,Foundation_Calc!$K$4:$R$37,VLOOKUP(AW96,Foundation_Calc!$I$2:$J$8,2,FALSE),0),
IF(AX96="K",VLOOKUP(L96,Foundation_Calc!$K$41:$R$74,VLOOKUP(AW96,Foundation_Calc!$I$2:$J$8,2,FALSE),0),"")))</f>
        <v/>
      </c>
      <c r="AZ96" s="631" t="str">
        <f>IF(K96="","",
IF(AX96="PT",VLOOKUP(K96,Foundation_Calc!$K$4:$R$37,VLOOKUP(AW96,Foundation_Calc!$I$2:$J$8,2,FALSE),0),
IF(AX96="K",VLOOKUP(K96,Foundation_Calc!$K$41:$R$74,VLOOKUP(AW96,Foundation_Calc!$I$2:$J$8,2,FALSE),0),"")))</f>
        <v/>
      </c>
      <c r="BA96" s="632" t="str">
        <f t="shared" si="8"/>
        <v/>
      </c>
      <c r="BB96" s="632" t="str">
        <f t="shared" si="9"/>
        <v/>
      </c>
      <c r="BC96" s="632" t="str">
        <f t="shared" si="10"/>
        <v/>
      </c>
      <c r="BD96" s="633" t="str">
        <f>IF(AND(L96="",H96=""),"",
IF(H96="",Pole_Calc!A100,
IF(H96="MP",Pole_Calc!A101,
IF(H96="AnMP",Pole_Calc!A102,
IF(H96="A",Pole_Calc!A103,
IF(H96="S/A",Pole_Calc!A104,
IF(H96="A/S",Pole_Calc!A105,"Poner a mano")))))))</f>
        <v/>
      </c>
      <c r="BE96" s="448" t="s">
        <v>1726</v>
      </c>
      <c r="BF96" s="634"/>
      <c r="BG96" s="634"/>
      <c r="BH96" s="634"/>
      <c r="BI96" s="634"/>
    </row>
    <row r="97" spans="1:61" ht="16.2" customHeight="1">
      <c r="A97" s="12"/>
      <c r="B97" s="446"/>
      <c r="C97" s="89"/>
      <c r="D97" s="13"/>
      <c r="E97" s="14"/>
      <c r="F97" s="14"/>
      <c r="G97" s="15"/>
      <c r="H97" s="8"/>
      <c r="I97" s="8"/>
      <c r="J97" s="89"/>
      <c r="K97" s="8"/>
      <c r="L97" s="8"/>
      <c r="M97" s="8" t="str">
        <f>IF(L97="","",
IF(AX97="PT",VLOOKUP(L97,Foundation_Calc!$V$4:$X$37,VLOOKUP(AX97,Foundation_Calc!$I$10:$J$13,2,FALSE),0),
IF(AX97="K",VLOOKUP(L97,Foundation_Calc!$V$41:$X$74,VLOOKUP(AX97,Foundation_Calc!$I$10:$J$13,2,FALSE),0),"")))</f>
        <v/>
      </c>
      <c r="N97" s="8"/>
      <c r="O97" s="8"/>
      <c r="P97" s="8"/>
      <c r="Q97" s="14"/>
      <c r="R97" s="15"/>
      <c r="S97" s="15"/>
      <c r="T97" s="14"/>
      <c r="U97" s="14"/>
      <c r="V97" s="14"/>
      <c r="W97" s="18"/>
      <c r="X97" s="18"/>
      <c r="Y97" s="18"/>
      <c r="Z97" s="18"/>
      <c r="AA97" s="18"/>
      <c r="AB97" s="18"/>
      <c r="AC97" s="8" t="str">
        <f t="shared" si="7"/>
        <v/>
      </c>
      <c r="AD97" s="8"/>
      <c r="AE97" s="8"/>
      <c r="AF97" s="14"/>
      <c r="AG97" s="13"/>
      <c r="AH97" s="14"/>
      <c r="AI97" s="14"/>
      <c r="AJ97" s="8"/>
      <c r="AK97" s="8"/>
      <c r="AL97" s="8"/>
      <c r="AM97" s="8"/>
      <c r="AN97" s="631"/>
      <c r="AO97" s="18"/>
      <c r="AP97" s="18"/>
      <c r="AQ97" s="18"/>
      <c r="AR97" s="18"/>
      <c r="AS97" s="18"/>
      <c r="AU97" s="448"/>
      <c r="AV97" s="448"/>
      <c r="AW97" s="8" t="str">
        <f>IF(C97&gt;0,VLOOKUP(C97,Foundation_Calc!$A$2:$C$986,3,1),
IF(J97&gt;0,VLOOKUP(J97,Foundation_Calc!$A$2:$C$986,3,1),""))</f>
        <v/>
      </c>
      <c r="AX97" s="8" t="str">
        <f>IF(C97&gt;0,VLOOKUP(C97,Foundation_Calc!$E$2:$G$986,3,1),
IF(J97&gt;0,VLOOKUP(J97,Foundation_Calc!$E$2:$G$986,3,1),""))</f>
        <v/>
      </c>
      <c r="AY97" s="631" t="str">
        <f>IF(L97="","",
IF(AX97="PT",VLOOKUP(L97,Foundation_Calc!$K$4:$R$37,VLOOKUP(AW97,Foundation_Calc!$I$2:$J$8,2,FALSE),0),
IF(AX97="K",VLOOKUP(L97,Foundation_Calc!$K$41:$R$74,VLOOKUP(AW97,Foundation_Calc!$I$2:$J$8,2,FALSE),0),"")))</f>
        <v/>
      </c>
      <c r="AZ97" s="631" t="str">
        <f>IF(K97="","",
IF(AX97="PT",VLOOKUP(K97,Foundation_Calc!$K$4:$R$37,VLOOKUP(AW97,Foundation_Calc!$I$2:$J$8,2,FALSE),0),
IF(AX97="K",VLOOKUP(K97,Foundation_Calc!$K$41:$R$74,VLOOKUP(AW97,Foundation_Calc!$I$2:$J$8,2,FALSE),0),"")))</f>
        <v/>
      </c>
      <c r="BA97" s="632" t="str">
        <f t="shared" si="8"/>
        <v/>
      </c>
      <c r="BB97" s="632" t="str">
        <f t="shared" si="9"/>
        <v/>
      </c>
      <c r="BC97" s="632" t="str">
        <f t="shared" si="10"/>
        <v/>
      </c>
      <c r="BD97" s="633" t="str">
        <f>IF(AND(L97="",H97=""),"",
IF(H97="",Pole_Calc!A101,
IF(H97="MP",Pole_Calc!A102,
IF(H97="AnMP",Pole_Calc!A103,
IF(H97="A",Pole_Calc!A104,
IF(H97="S/A",Pole_Calc!A105,
IF(H97="A/S",Pole_Calc!A106,"Poner a mano")))))))</f>
        <v/>
      </c>
      <c r="BE97" s="448" t="s">
        <v>1726</v>
      </c>
      <c r="BF97" s="635"/>
      <c r="BG97" s="635"/>
      <c r="BH97" s="634"/>
      <c r="BI97" s="635"/>
    </row>
    <row r="98" spans="1:61" ht="16.2" customHeight="1">
      <c r="A98" s="12"/>
      <c r="B98" s="446"/>
      <c r="C98" s="89"/>
      <c r="D98" s="13"/>
      <c r="E98" s="14"/>
      <c r="F98" s="14"/>
      <c r="G98" s="15"/>
      <c r="H98" s="8"/>
      <c r="I98" s="8"/>
      <c r="J98" s="89"/>
      <c r="K98" s="8"/>
      <c r="L98" s="8"/>
      <c r="M98" s="8" t="str">
        <f>IF(L98="","",
IF(AX98="PT",VLOOKUP(L98,Foundation_Calc!$V$4:$X$37,VLOOKUP(AX98,Foundation_Calc!$I$10:$J$13,2,FALSE),0),
IF(AX98="K",VLOOKUP(L98,Foundation_Calc!$V$41:$X$74,VLOOKUP(AX98,Foundation_Calc!$I$10:$J$13,2,FALSE),0),"")))</f>
        <v/>
      </c>
      <c r="N98" s="8"/>
      <c r="O98" s="8"/>
      <c r="P98" s="8"/>
      <c r="Q98" s="14"/>
      <c r="R98" s="15"/>
      <c r="S98" s="15"/>
      <c r="T98" s="14"/>
      <c r="U98" s="14"/>
      <c r="V98" s="14"/>
      <c r="W98" s="18"/>
      <c r="X98" s="18"/>
      <c r="Y98" s="18"/>
      <c r="Z98" s="18"/>
      <c r="AA98" s="18"/>
      <c r="AB98" s="18"/>
      <c r="AC98" s="8" t="str">
        <f t="shared" si="7"/>
        <v/>
      </c>
      <c r="AD98" s="8"/>
      <c r="AE98" s="8"/>
      <c r="AF98" s="14"/>
      <c r="AG98" s="13"/>
      <c r="AH98" s="14"/>
      <c r="AI98" s="14"/>
      <c r="AJ98" s="8"/>
      <c r="AK98" s="8"/>
      <c r="AL98" s="8"/>
      <c r="AM98" s="8"/>
      <c r="AN98" s="631"/>
      <c r="AO98" s="18"/>
      <c r="AP98" s="18"/>
      <c r="AQ98" s="18"/>
      <c r="AR98" s="18"/>
      <c r="AS98" s="18"/>
      <c r="AU98" s="448"/>
      <c r="AV98" s="448"/>
      <c r="AW98" s="8" t="str">
        <f>IF(C98&gt;0,VLOOKUP(C98,Foundation_Calc!$A$2:$C$986,3,1),
IF(J98&gt;0,VLOOKUP(J98,Foundation_Calc!$A$2:$C$986,3,1),""))</f>
        <v/>
      </c>
      <c r="AX98" s="8" t="str">
        <f>IF(C98&gt;0,VLOOKUP(C98,Foundation_Calc!$E$2:$G$986,3,1),
IF(J98&gt;0,VLOOKUP(J98,Foundation_Calc!$E$2:$G$986,3,1),""))</f>
        <v/>
      </c>
      <c r="AY98" s="631" t="str">
        <f>IF(L98="","",
IF(AX98="PT",VLOOKUP(L98,Foundation_Calc!$K$4:$R$37,VLOOKUP(AW98,Foundation_Calc!$I$2:$J$8,2,FALSE),0),
IF(AX98="K",VLOOKUP(L98,Foundation_Calc!$K$41:$R$74,VLOOKUP(AW98,Foundation_Calc!$I$2:$J$8,2,FALSE),0),"")))</f>
        <v/>
      </c>
      <c r="AZ98" s="631" t="str">
        <f>IF(K98="","",
IF(AX98="PT",VLOOKUP(K98,Foundation_Calc!$K$4:$R$37,VLOOKUP(AW98,Foundation_Calc!$I$2:$J$8,2,FALSE),0),
IF(AX98="K",VLOOKUP(K98,Foundation_Calc!$K$41:$R$74,VLOOKUP(AW98,Foundation_Calc!$I$2:$J$8,2,FALSE),0),"")))</f>
        <v/>
      </c>
      <c r="BA98" s="632" t="str">
        <f t="shared" si="8"/>
        <v/>
      </c>
      <c r="BB98" s="632" t="str">
        <f t="shared" si="9"/>
        <v/>
      </c>
      <c r="BC98" s="632" t="str">
        <f t="shared" si="10"/>
        <v/>
      </c>
      <c r="BD98" s="633" t="str">
        <f>IF(AND(L98="",H98=""),"",
IF(H98="",Pole_Calc!A102,
IF(H98="MP",Pole_Calc!A103,
IF(H98="AnMP",Pole_Calc!A104,
IF(H98="A",Pole_Calc!A105,
IF(H98="S/A",Pole_Calc!A106,
IF(H98="A/S",Pole_Calc!A107,"Poner a mano")))))))</f>
        <v/>
      </c>
      <c r="BE98" s="448" t="s">
        <v>1726</v>
      </c>
      <c r="BF98" s="634"/>
      <c r="BG98" s="634"/>
      <c r="BH98" s="634"/>
      <c r="BI98" s="634"/>
    </row>
    <row r="99" spans="1:61" ht="16.2" customHeight="1">
      <c r="A99" s="12"/>
      <c r="B99" s="446"/>
      <c r="C99" s="89"/>
      <c r="D99" s="13"/>
      <c r="E99" s="14"/>
      <c r="F99" s="14"/>
      <c r="G99" s="15"/>
      <c r="H99" s="8"/>
      <c r="I99" s="8"/>
      <c r="J99" s="89"/>
      <c r="K99" s="8"/>
      <c r="L99" s="8"/>
      <c r="M99" s="8" t="str">
        <f>IF(L99="","",
IF(AX99="PT",VLOOKUP(L99,Foundation_Calc!$V$4:$X$37,VLOOKUP(AX99,Foundation_Calc!$I$10:$J$13,2,FALSE),0),
IF(AX99="K",VLOOKUP(L99,Foundation_Calc!$V$41:$X$74,VLOOKUP(AX99,Foundation_Calc!$I$10:$J$13,2,FALSE),0),"")))</f>
        <v/>
      </c>
      <c r="N99" s="8"/>
      <c r="O99" s="8"/>
      <c r="P99" s="8"/>
      <c r="Q99" s="14"/>
      <c r="R99" s="15"/>
      <c r="S99" s="15"/>
      <c r="T99" s="14"/>
      <c r="U99" s="14"/>
      <c r="V99" s="14"/>
      <c r="W99" s="18"/>
      <c r="X99" s="18"/>
      <c r="Y99" s="18"/>
      <c r="Z99" s="18"/>
      <c r="AA99" s="18"/>
      <c r="AB99" s="18"/>
      <c r="AC99" s="8" t="str">
        <f t="shared" si="7"/>
        <v/>
      </c>
      <c r="AD99" s="8"/>
      <c r="AE99" s="8"/>
      <c r="AF99" s="14"/>
      <c r="AG99" s="13"/>
      <c r="AH99" s="14"/>
      <c r="AI99" s="14"/>
      <c r="AJ99" s="8"/>
      <c r="AK99" s="8"/>
      <c r="AL99" s="8"/>
      <c r="AM99" s="8"/>
      <c r="AN99" s="631"/>
      <c r="AO99" s="18"/>
      <c r="AP99" s="18"/>
      <c r="AQ99" s="18"/>
      <c r="AR99" s="18"/>
      <c r="AS99" s="18"/>
      <c r="AU99" s="448"/>
      <c r="AV99" s="448"/>
      <c r="AW99" s="8" t="str">
        <f>IF(C99&gt;0,VLOOKUP(C99,Foundation_Calc!$A$2:$C$986,3,1),
IF(J99&gt;0,VLOOKUP(J99,Foundation_Calc!$A$2:$C$986,3,1),""))</f>
        <v/>
      </c>
      <c r="AX99" s="8" t="str">
        <f>IF(C99&gt;0,VLOOKUP(C99,Foundation_Calc!$E$2:$G$986,3,1),
IF(J99&gt;0,VLOOKUP(J99,Foundation_Calc!$E$2:$G$986,3,1),""))</f>
        <v/>
      </c>
      <c r="AY99" s="631" t="str">
        <f>IF(L99="","",
IF(AX99="PT",VLOOKUP(L99,Foundation_Calc!$K$4:$R$37,VLOOKUP(AW99,Foundation_Calc!$I$2:$J$8,2,FALSE),0),
IF(AX99="K",VLOOKUP(L99,Foundation_Calc!$K$41:$R$74,VLOOKUP(AW99,Foundation_Calc!$I$2:$J$8,2,FALSE),0),"")))</f>
        <v/>
      </c>
      <c r="AZ99" s="631" t="str">
        <f>IF(K99="","",
IF(AX99="PT",VLOOKUP(K99,Foundation_Calc!$K$4:$R$37,VLOOKUP(AW99,Foundation_Calc!$I$2:$J$8,2,FALSE),0),
IF(AX99="K",VLOOKUP(K99,Foundation_Calc!$K$41:$R$74,VLOOKUP(AW99,Foundation_Calc!$I$2:$J$8,2,FALSE),0),"")))</f>
        <v/>
      </c>
      <c r="BA99" s="632" t="str">
        <f t="shared" si="8"/>
        <v/>
      </c>
      <c r="BB99" s="632" t="str">
        <f t="shared" si="9"/>
        <v/>
      </c>
      <c r="BC99" s="632" t="str">
        <f t="shared" si="10"/>
        <v/>
      </c>
      <c r="BD99" s="633" t="str">
        <f>IF(AND(L99="",H99=""),"",
IF(H99="",Pole_Calc!A103,
IF(H99="MP",Pole_Calc!A104,
IF(H99="AnMP",Pole_Calc!A105,
IF(H99="A",Pole_Calc!A106,
IF(H99="S/A",Pole_Calc!A107,
IF(H99="A/S",Pole_Calc!A108,"Poner a mano")))))))</f>
        <v/>
      </c>
      <c r="BE99" s="448" t="s">
        <v>1726</v>
      </c>
      <c r="BF99" s="635"/>
      <c r="BG99" s="635"/>
      <c r="BH99" s="634"/>
      <c r="BI99" s="635"/>
    </row>
    <row r="100" spans="1:61" ht="16.2" customHeight="1">
      <c r="A100" s="12"/>
      <c r="B100" s="446"/>
      <c r="C100" s="89"/>
      <c r="D100" s="13"/>
      <c r="E100" s="14"/>
      <c r="F100" s="14"/>
      <c r="G100" s="15"/>
      <c r="H100" s="8"/>
      <c r="I100" s="8"/>
      <c r="J100" s="89"/>
      <c r="K100" s="8"/>
      <c r="L100" s="8"/>
      <c r="M100" s="8" t="str">
        <f>IF(L100="","",
IF(AX100="PT",VLOOKUP(L100,Foundation_Calc!$V$4:$X$37,VLOOKUP(AX100,Foundation_Calc!$I$10:$J$13,2,FALSE),0),
IF(AX100="K",VLOOKUP(L100,Foundation_Calc!$V$41:$X$74,VLOOKUP(AX100,Foundation_Calc!$I$10:$J$13,2,FALSE),0),"")))</f>
        <v/>
      </c>
      <c r="N100" s="8"/>
      <c r="O100" s="8"/>
      <c r="P100" s="8"/>
      <c r="Q100" s="14"/>
      <c r="R100" s="15"/>
      <c r="S100" s="15"/>
      <c r="T100" s="14"/>
      <c r="U100" s="14"/>
      <c r="V100" s="14"/>
      <c r="W100" s="18"/>
      <c r="X100" s="18"/>
      <c r="Y100" s="18"/>
      <c r="Z100" s="18"/>
      <c r="AA100" s="18"/>
      <c r="AB100" s="18"/>
      <c r="AC100" s="8" t="str">
        <f t="shared" si="7"/>
        <v/>
      </c>
      <c r="AD100" s="8"/>
      <c r="AE100" s="8"/>
      <c r="AF100" s="14"/>
      <c r="AG100" s="13"/>
      <c r="AH100" s="14"/>
      <c r="AI100" s="14"/>
      <c r="AJ100" s="8"/>
      <c r="AK100" s="8"/>
      <c r="AL100" s="8"/>
      <c r="AM100" s="8"/>
      <c r="AN100" s="631"/>
      <c r="AO100" s="18"/>
      <c r="AP100" s="18"/>
      <c r="AQ100" s="18"/>
      <c r="AR100" s="18"/>
      <c r="AS100" s="18"/>
      <c r="AU100" s="448"/>
      <c r="AV100" s="448"/>
      <c r="AW100" s="8" t="str">
        <f>IF(C100&gt;0,VLOOKUP(C100,Foundation_Calc!$A$2:$C$986,3,1),
IF(J100&gt;0,VLOOKUP(J100,Foundation_Calc!$A$2:$C$986,3,1),""))</f>
        <v/>
      </c>
      <c r="AX100" s="8" t="str">
        <f>IF(C100&gt;0,VLOOKUP(C100,Foundation_Calc!$E$2:$G$986,3,1),
IF(J100&gt;0,VLOOKUP(J100,Foundation_Calc!$E$2:$G$986,3,1),""))</f>
        <v/>
      </c>
      <c r="AY100" s="631" t="str">
        <f>IF(L100="","",
IF(AX100="PT",VLOOKUP(L100,Foundation_Calc!$K$4:$R$37,VLOOKUP(AW100,Foundation_Calc!$I$2:$J$8,2,FALSE),0),
IF(AX100="K",VLOOKUP(L100,Foundation_Calc!$K$41:$R$74,VLOOKUP(AW100,Foundation_Calc!$I$2:$J$8,2,FALSE),0),"")))</f>
        <v/>
      </c>
      <c r="AZ100" s="631" t="str">
        <f>IF(K100="","",
IF(AX100="PT",VLOOKUP(K100,Foundation_Calc!$K$4:$R$37,VLOOKUP(AW100,Foundation_Calc!$I$2:$J$8,2,FALSE),0),
IF(AX100="K",VLOOKUP(K100,Foundation_Calc!$K$41:$R$74,VLOOKUP(AW100,Foundation_Calc!$I$2:$J$8,2,FALSE),0),"")))</f>
        <v/>
      </c>
      <c r="BA100" s="632" t="str">
        <f t="shared" si="8"/>
        <v/>
      </c>
      <c r="BB100" s="632" t="str">
        <f t="shared" si="9"/>
        <v/>
      </c>
      <c r="BC100" s="632" t="str">
        <f t="shared" si="10"/>
        <v/>
      </c>
      <c r="BD100" s="633" t="str">
        <f>IF(AND(L100="",H100=""),"",
IF(H100="",Pole_Calc!A104,
IF(H100="MP",Pole_Calc!A105,
IF(H100="AnMP",Pole_Calc!A106,
IF(H100="A",Pole_Calc!A107,
IF(H100="S/A",Pole_Calc!A108,
IF(H100="A/S",Pole_Calc!A109,"Poner a mano")))))))</f>
        <v/>
      </c>
      <c r="BE100" s="448" t="s">
        <v>1726</v>
      </c>
      <c r="BF100" s="634"/>
      <c r="BG100" s="634"/>
      <c r="BH100" s="634"/>
      <c r="BI100" s="634"/>
    </row>
    <row r="101" spans="1:61" ht="16.2" customHeight="1">
      <c r="A101" s="12"/>
      <c r="B101" s="446"/>
      <c r="C101" s="89"/>
      <c r="D101" s="13"/>
      <c r="E101" s="14"/>
      <c r="F101" s="14"/>
      <c r="G101" s="15"/>
      <c r="H101" s="8"/>
      <c r="I101" s="8"/>
      <c r="J101" s="89"/>
      <c r="K101" s="8"/>
      <c r="L101" s="8"/>
      <c r="M101" s="8" t="str">
        <f>IF(L101="","",
IF(AX101="PT",VLOOKUP(L101,Foundation_Calc!$V$4:$X$37,VLOOKUP(AX101,Foundation_Calc!$I$10:$J$13,2,FALSE),0),
IF(AX101="K",VLOOKUP(L101,Foundation_Calc!$V$41:$X$74,VLOOKUP(AX101,Foundation_Calc!$I$10:$J$13,2,FALSE),0),"")))</f>
        <v/>
      </c>
      <c r="N101" s="8"/>
      <c r="O101" s="8"/>
      <c r="P101" s="8"/>
      <c r="Q101" s="14"/>
      <c r="R101" s="15"/>
      <c r="S101" s="15"/>
      <c r="T101" s="14"/>
      <c r="U101" s="14"/>
      <c r="V101" s="14"/>
      <c r="W101" s="18"/>
      <c r="X101" s="18"/>
      <c r="Y101" s="18"/>
      <c r="Z101" s="18"/>
      <c r="AA101" s="18"/>
      <c r="AB101" s="18"/>
      <c r="AC101" s="8" t="str">
        <f t="shared" si="7"/>
        <v/>
      </c>
      <c r="AD101" s="8"/>
      <c r="AE101" s="8"/>
      <c r="AF101" s="14"/>
      <c r="AG101" s="13"/>
      <c r="AH101" s="14"/>
      <c r="AI101" s="14"/>
      <c r="AJ101" s="8"/>
      <c r="AK101" s="8"/>
      <c r="AL101" s="8"/>
      <c r="AM101" s="8"/>
      <c r="AN101" s="631"/>
      <c r="AO101" s="18"/>
      <c r="AP101" s="18"/>
      <c r="AQ101" s="18"/>
      <c r="AR101" s="18"/>
      <c r="AS101" s="18"/>
      <c r="AU101" s="448"/>
      <c r="AV101" s="448"/>
      <c r="AW101" s="8" t="str">
        <f>IF(C101&gt;0,VLOOKUP(C101,Foundation_Calc!$A$2:$C$986,3,1),
IF(J101&gt;0,VLOOKUP(J101,Foundation_Calc!$A$2:$C$986,3,1),""))</f>
        <v/>
      </c>
      <c r="AX101" s="8" t="str">
        <f>IF(C101&gt;0,VLOOKUP(C101,Foundation_Calc!$E$2:$G$986,3,1),
IF(J101&gt;0,VLOOKUP(J101,Foundation_Calc!$E$2:$G$986,3,1),""))</f>
        <v/>
      </c>
      <c r="AY101" s="631" t="str">
        <f>IF(L101="","",
IF(AX101="PT",VLOOKUP(L101,Foundation_Calc!$K$4:$R$37,VLOOKUP(AW101,Foundation_Calc!$I$2:$J$8,2,FALSE),0),
IF(AX101="K",VLOOKUP(L101,Foundation_Calc!$K$41:$R$74,VLOOKUP(AW101,Foundation_Calc!$I$2:$J$8,2,FALSE),0),"")))</f>
        <v/>
      </c>
      <c r="AZ101" s="631" t="str">
        <f>IF(K101="","",
IF(AX101="PT",VLOOKUP(K101,Foundation_Calc!$K$4:$R$37,VLOOKUP(AW101,Foundation_Calc!$I$2:$J$8,2,FALSE),0),
IF(AX101="K",VLOOKUP(K101,Foundation_Calc!$K$41:$R$74,VLOOKUP(AW101,Foundation_Calc!$I$2:$J$8,2,FALSE),0),"")))</f>
        <v/>
      </c>
      <c r="BA101" s="632" t="str">
        <f t="shared" si="8"/>
        <v/>
      </c>
      <c r="BB101" s="632" t="str">
        <f t="shared" si="9"/>
        <v/>
      </c>
      <c r="BC101" s="632" t="str">
        <f t="shared" si="10"/>
        <v/>
      </c>
      <c r="BD101" s="633" t="str">
        <f>IF(AND(L101="",H101=""),"",
IF(H101="",Pole_Calc!A105,
IF(H101="MP",Pole_Calc!A106,
IF(H101="AnMP",Pole_Calc!A107,
IF(H101="A",Pole_Calc!A108,
IF(H101="S/A",Pole_Calc!A109,
IF(H101="A/S",Pole_Calc!A110,"Poner a mano")))))))</f>
        <v/>
      </c>
      <c r="BE101" s="448" t="s">
        <v>1726</v>
      </c>
      <c r="BF101" s="635"/>
      <c r="BG101" s="635"/>
      <c r="BH101" s="634"/>
      <c r="BI101" s="635"/>
    </row>
    <row r="102" spans="1:61" ht="16.2" customHeight="1">
      <c r="A102" s="12"/>
      <c r="B102" s="446"/>
      <c r="C102" s="89"/>
      <c r="D102" s="13"/>
      <c r="E102" s="14"/>
      <c r="F102" s="14"/>
      <c r="G102" s="15"/>
      <c r="H102" s="8"/>
      <c r="I102" s="8"/>
      <c r="J102" s="89"/>
      <c r="K102" s="8"/>
      <c r="L102" s="8"/>
      <c r="M102" s="8" t="str">
        <f>IF(L102="","",
IF(AX102="PT",VLOOKUP(L102,Foundation_Calc!$V$4:$X$37,VLOOKUP(AX102,Foundation_Calc!$I$10:$J$13,2,FALSE),0),
IF(AX102="K",VLOOKUP(L102,Foundation_Calc!$V$41:$X$74,VLOOKUP(AX102,Foundation_Calc!$I$10:$J$13,2,FALSE),0),"")))</f>
        <v/>
      </c>
      <c r="N102" s="8"/>
      <c r="O102" s="8"/>
      <c r="P102" s="8"/>
      <c r="Q102" s="14"/>
      <c r="R102" s="15"/>
      <c r="S102" s="15"/>
      <c r="T102" s="14"/>
      <c r="U102" s="14"/>
      <c r="V102" s="14"/>
      <c r="W102" s="18"/>
      <c r="X102" s="18"/>
      <c r="Y102" s="18"/>
      <c r="Z102" s="18"/>
      <c r="AA102" s="18"/>
      <c r="AB102" s="18"/>
      <c r="AC102" s="8" t="str">
        <f t="shared" si="7"/>
        <v/>
      </c>
      <c r="AD102" s="8"/>
      <c r="AE102" s="8"/>
      <c r="AF102" s="14"/>
      <c r="AG102" s="13"/>
      <c r="AH102" s="14"/>
      <c r="AI102" s="14"/>
      <c r="AJ102" s="8"/>
      <c r="AK102" s="8"/>
      <c r="AL102" s="8"/>
      <c r="AM102" s="8"/>
      <c r="AN102" s="631"/>
      <c r="AO102" s="18"/>
      <c r="AP102" s="18"/>
      <c r="AQ102" s="18"/>
      <c r="AR102" s="18"/>
      <c r="AS102" s="18"/>
      <c r="AU102" s="448"/>
      <c r="AV102" s="448"/>
      <c r="AW102" s="8" t="str">
        <f>IF(C102&gt;0,VLOOKUP(C102,Foundation_Calc!$A$2:$C$986,3,1),
IF(J102&gt;0,VLOOKUP(J102,Foundation_Calc!$A$2:$C$986,3,1),""))</f>
        <v/>
      </c>
      <c r="AX102" s="8" t="str">
        <f>IF(C102&gt;0,VLOOKUP(C102,Foundation_Calc!$E$2:$G$986,3,1),
IF(J102&gt;0,VLOOKUP(J102,Foundation_Calc!$E$2:$G$986,3,1),""))</f>
        <v/>
      </c>
      <c r="AY102" s="631" t="str">
        <f>IF(L102="","",
IF(AX102="PT",VLOOKUP(L102,Foundation_Calc!$K$4:$R$37,VLOOKUP(AW102,Foundation_Calc!$I$2:$J$8,2,FALSE),0),
IF(AX102="K",VLOOKUP(L102,Foundation_Calc!$K$41:$R$74,VLOOKUP(AW102,Foundation_Calc!$I$2:$J$8,2,FALSE),0),"")))</f>
        <v/>
      </c>
      <c r="AZ102" s="631" t="str">
        <f>IF(K102="","",
IF(AX102="PT",VLOOKUP(K102,Foundation_Calc!$K$4:$R$37,VLOOKUP(AW102,Foundation_Calc!$I$2:$J$8,2,FALSE),0),
IF(AX102="K",VLOOKUP(K102,Foundation_Calc!$K$41:$R$74,VLOOKUP(AW102,Foundation_Calc!$I$2:$J$8,2,FALSE),0),"")))</f>
        <v/>
      </c>
      <c r="BA102" s="632" t="str">
        <f t="shared" si="8"/>
        <v/>
      </c>
      <c r="BB102" s="632" t="str">
        <f t="shared" si="9"/>
        <v/>
      </c>
      <c r="BC102" s="632" t="str">
        <f t="shared" si="10"/>
        <v/>
      </c>
      <c r="BD102" s="633" t="str">
        <f>IF(AND(L102="",H102=""),"",
IF(H102="",Pole_Calc!A106,
IF(H102="MP",Pole_Calc!A107,
IF(H102="AnMP",Pole_Calc!A108,
IF(H102="A",Pole_Calc!A109,
IF(H102="S/A",Pole_Calc!A110,
IF(H102="A/S",Pole_Calc!A111,"Poner a mano")))))))</f>
        <v/>
      </c>
      <c r="BE102" s="448" t="s">
        <v>1726</v>
      </c>
      <c r="BF102" s="634"/>
      <c r="BG102" s="634"/>
      <c r="BH102" s="634"/>
      <c r="BI102" s="634"/>
    </row>
    <row r="103" spans="1:61" ht="16.2" customHeight="1">
      <c r="A103" s="12"/>
      <c r="B103" s="446"/>
      <c r="C103" s="89"/>
      <c r="D103" s="13"/>
      <c r="E103" s="14"/>
      <c r="F103" s="14"/>
      <c r="G103" s="15"/>
      <c r="H103" s="8"/>
      <c r="I103" s="8"/>
      <c r="J103" s="89"/>
      <c r="K103" s="8"/>
      <c r="L103" s="8"/>
      <c r="M103" s="8" t="str">
        <f>IF(L103="","",
IF(AX103="PT",VLOOKUP(L103,Foundation_Calc!$V$4:$X$37,VLOOKUP(AX103,Foundation_Calc!$I$10:$J$13,2,FALSE),0),
IF(AX103="K",VLOOKUP(L103,Foundation_Calc!$V$41:$X$74,VLOOKUP(AX103,Foundation_Calc!$I$10:$J$13,2,FALSE),0),"")))</f>
        <v/>
      </c>
      <c r="N103" s="8"/>
      <c r="O103" s="8"/>
      <c r="P103" s="8"/>
      <c r="Q103" s="14"/>
      <c r="R103" s="15"/>
      <c r="S103" s="15"/>
      <c r="T103" s="14"/>
      <c r="U103" s="14"/>
      <c r="V103" s="14"/>
      <c r="W103" s="18"/>
      <c r="X103" s="18"/>
      <c r="Y103" s="18"/>
      <c r="Z103" s="18"/>
      <c r="AA103" s="18"/>
      <c r="AB103" s="18"/>
      <c r="AC103" s="8" t="str">
        <f t="shared" si="7"/>
        <v/>
      </c>
      <c r="AD103" s="8"/>
      <c r="AE103" s="8"/>
      <c r="AF103" s="14"/>
      <c r="AG103" s="13"/>
      <c r="AH103" s="14"/>
      <c r="AI103" s="14"/>
      <c r="AJ103" s="8"/>
      <c r="AK103" s="8"/>
      <c r="AL103" s="8"/>
      <c r="AM103" s="8"/>
      <c r="AN103" s="631"/>
      <c r="AO103" s="18"/>
      <c r="AP103" s="18"/>
      <c r="AQ103" s="18"/>
      <c r="AR103" s="18"/>
      <c r="AS103" s="18"/>
      <c r="AU103" s="448"/>
      <c r="AV103" s="448"/>
      <c r="AW103" s="8" t="str">
        <f>IF(C103&gt;0,VLOOKUP(C103,Foundation_Calc!$A$2:$C$986,3,1),
IF(J103&gt;0,VLOOKUP(J103,Foundation_Calc!$A$2:$C$986,3,1),""))</f>
        <v/>
      </c>
      <c r="AX103" s="8" t="str">
        <f>IF(C103&gt;0,VLOOKUP(C103,Foundation_Calc!$E$2:$G$986,3,1),
IF(J103&gt;0,VLOOKUP(J103,Foundation_Calc!$E$2:$G$986,3,1),""))</f>
        <v/>
      </c>
      <c r="AY103" s="631" t="str">
        <f>IF(L103="","",
IF(AX103="PT",VLOOKUP(L103,Foundation_Calc!$K$4:$R$37,VLOOKUP(AW103,Foundation_Calc!$I$2:$J$8,2,FALSE),0),
IF(AX103="K",VLOOKUP(L103,Foundation_Calc!$K$41:$R$74,VLOOKUP(AW103,Foundation_Calc!$I$2:$J$8,2,FALSE),0),"")))</f>
        <v/>
      </c>
      <c r="AZ103" s="631" t="str">
        <f>IF(K103="","",
IF(AX103="PT",VLOOKUP(K103,Foundation_Calc!$K$4:$R$37,VLOOKUP(AW103,Foundation_Calc!$I$2:$J$8,2,FALSE),0),
IF(AX103="K",VLOOKUP(K103,Foundation_Calc!$K$41:$R$74,VLOOKUP(AW103,Foundation_Calc!$I$2:$J$8,2,FALSE),0),"")))</f>
        <v/>
      </c>
      <c r="BA103" s="632" t="str">
        <f t="shared" si="8"/>
        <v/>
      </c>
      <c r="BB103" s="632" t="str">
        <f t="shared" si="9"/>
        <v/>
      </c>
      <c r="BC103" s="632" t="str">
        <f t="shared" si="10"/>
        <v/>
      </c>
      <c r="BD103" s="633" t="str">
        <f>IF(AND(L103="",H103=""),"",
IF(H103="",Pole_Calc!A107,
IF(H103="MP",Pole_Calc!A108,
IF(H103="AnMP",Pole_Calc!A109,
IF(H103="A",Pole_Calc!A110,
IF(H103="S/A",Pole_Calc!A111,
IF(H103="A/S",Pole_Calc!A112,"Poner a mano")))))))</f>
        <v/>
      </c>
      <c r="BE103" s="448" t="s">
        <v>1726</v>
      </c>
      <c r="BF103" s="635"/>
      <c r="BG103" s="635"/>
      <c r="BH103" s="634"/>
      <c r="BI103" s="635"/>
    </row>
    <row r="104" spans="1:61" ht="16.2" customHeight="1">
      <c r="A104" s="12"/>
      <c r="B104" s="446"/>
      <c r="C104" s="89"/>
      <c r="D104" s="13"/>
      <c r="E104" s="14"/>
      <c r="F104" s="14"/>
      <c r="G104" s="15"/>
      <c r="H104" s="8"/>
      <c r="I104" s="8"/>
      <c r="J104" s="89"/>
      <c r="K104" s="8"/>
      <c r="L104" s="8"/>
      <c r="M104" s="8" t="str">
        <f>IF(L104="","",
IF(AX104="PT",VLOOKUP(L104,Foundation_Calc!$V$4:$X$37,VLOOKUP(AX104,Foundation_Calc!$I$10:$J$13,2,FALSE),0),
IF(AX104="K",VLOOKUP(L104,Foundation_Calc!$V$41:$X$74,VLOOKUP(AX104,Foundation_Calc!$I$10:$J$13,2,FALSE),0),"")))</f>
        <v/>
      </c>
      <c r="N104" s="8"/>
      <c r="O104" s="8"/>
      <c r="P104" s="8"/>
      <c r="Q104" s="14"/>
      <c r="R104" s="15"/>
      <c r="S104" s="15"/>
      <c r="T104" s="14"/>
      <c r="U104" s="14"/>
      <c r="V104" s="14"/>
      <c r="W104" s="18"/>
      <c r="X104" s="18"/>
      <c r="Y104" s="18"/>
      <c r="Z104" s="18"/>
      <c r="AA104" s="18"/>
      <c r="AB104" s="18"/>
      <c r="AC104" s="8" t="str">
        <f t="shared" si="7"/>
        <v/>
      </c>
      <c r="AD104" s="8"/>
      <c r="AE104" s="8"/>
      <c r="AF104" s="14"/>
      <c r="AG104" s="13"/>
      <c r="AH104" s="14"/>
      <c r="AI104" s="14"/>
      <c r="AJ104" s="8"/>
      <c r="AK104" s="8"/>
      <c r="AL104" s="8"/>
      <c r="AM104" s="8"/>
      <c r="AN104" s="631"/>
      <c r="AO104" s="18"/>
      <c r="AP104" s="18"/>
      <c r="AQ104" s="18"/>
      <c r="AR104" s="18"/>
      <c r="AS104" s="18"/>
      <c r="AU104" s="448"/>
      <c r="AV104" s="448"/>
      <c r="AW104" s="8" t="str">
        <f>IF(C104&gt;0,VLOOKUP(C104,Foundation_Calc!$A$2:$C$986,3,1),
IF(J104&gt;0,VLOOKUP(J104,Foundation_Calc!$A$2:$C$986,3,1),""))</f>
        <v/>
      </c>
      <c r="AX104" s="8" t="str">
        <f>IF(C104&gt;0,VLOOKUP(C104,Foundation_Calc!$E$2:$G$986,3,1),
IF(J104&gt;0,VLOOKUP(J104,Foundation_Calc!$E$2:$G$986,3,1),""))</f>
        <v/>
      </c>
      <c r="AY104" s="631" t="str">
        <f>IF(L104="","",
IF(AX104="PT",VLOOKUP(L104,Foundation_Calc!$K$4:$R$37,VLOOKUP(AW104,Foundation_Calc!$I$2:$J$8,2,FALSE),0),
IF(AX104="K",VLOOKUP(L104,Foundation_Calc!$K$41:$R$74,VLOOKUP(AW104,Foundation_Calc!$I$2:$J$8,2,FALSE),0),"")))</f>
        <v/>
      </c>
      <c r="AZ104" s="631" t="str">
        <f>IF(K104="","",
IF(AX104="PT",VLOOKUP(K104,Foundation_Calc!$K$4:$R$37,VLOOKUP(AW104,Foundation_Calc!$I$2:$J$8,2,FALSE),0),
IF(AX104="K",VLOOKUP(K104,Foundation_Calc!$K$41:$R$74,VLOOKUP(AW104,Foundation_Calc!$I$2:$J$8,2,FALSE),0),"")))</f>
        <v/>
      </c>
      <c r="BA104" s="632" t="str">
        <f t="shared" si="8"/>
        <v/>
      </c>
      <c r="BB104" s="632" t="str">
        <f t="shared" si="9"/>
        <v/>
      </c>
      <c r="BC104" s="632" t="str">
        <f t="shared" si="10"/>
        <v/>
      </c>
      <c r="BD104" s="633" t="str">
        <f>IF(AND(L104="",H104=""),"",
IF(H104="",Pole_Calc!A108,
IF(H104="MP",Pole_Calc!A109,
IF(H104="AnMP",Pole_Calc!A110,
IF(H104="A",Pole_Calc!A111,
IF(H104="S/A",Pole_Calc!A112,
IF(H104="A/S",Pole_Calc!A113,"Poner a mano")))))))</f>
        <v/>
      </c>
      <c r="BE104" s="448" t="s">
        <v>1726</v>
      </c>
      <c r="BF104" s="634"/>
      <c r="BG104" s="634"/>
      <c r="BH104" s="634"/>
      <c r="BI104" s="634"/>
    </row>
    <row r="105" spans="1:61" ht="16.2" customHeight="1">
      <c r="A105" s="12"/>
      <c r="B105" s="446"/>
      <c r="C105" s="89"/>
      <c r="D105" s="13"/>
      <c r="E105" s="14"/>
      <c r="F105" s="14"/>
      <c r="G105" s="15"/>
      <c r="H105" s="8"/>
      <c r="I105" s="8"/>
      <c r="J105" s="89"/>
      <c r="K105" s="8"/>
      <c r="L105" s="8"/>
      <c r="M105" s="8" t="str">
        <f>IF(L105="","",
IF(AX105="PT",VLOOKUP(L105,Foundation_Calc!$V$4:$X$37,VLOOKUP(AX105,Foundation_Calc!$I$10:$J$13,2,FALSE),0),
IF(AX105="K",VLOOKUP(L105,Foundation_Calc!$V$41:$X$74,VLOOKUP(AX105,Foundation_Calc!$I$10:$J$13,2,FALSE),0),"")))</f>
        <v/>
      </c>
      <c r="N105" s="8"/>
      <c r="O105" s="8"/>
      <c r="P105" s="8"/>
      <c r="Q105" s="14"/>
      <c r="R105" s="15"/>
      <c r="S105" s="15"/>
      <c r="T105" s="14"/>
      <c r="U105" s="14"/>
      <c r="V105" s="14"/>
      <c r="W105" s="18"/>
      <c r="X105" s="18"/>
      <c r="Y105" s="18"/>
      <c r="Z105" s="18"/>
      <c r="AA105" s="18"/>
      <c r="AB105" s="18"/>
      <c r="AC105" s="8" t="str">
        <f t="shared" si="7"/>
        <v/>
      </c>
      <c r="AD105" s="8"/>
      <c r="AE105" s="8"/>
      <c r="AF105" s="14"/>
      <c r="AG105" s="13"/>
      <c r="AH105" s="14"/>
      <c r="AI105" s="14"/>
      <c r="AJ105" s="8"/>
      <c r="AK105" s="8"/>
      <c r="AL105" s="8"/>
      <c r="AM105" s="8"/>
      <c r="AN105" s="631"/>
      <c r="AO105" s="18"/>
      <c r="AP105" s="18"/>
      <c r="AQ105" s="18"/>
      <c r="AR105" s="18"/>
      <c r="AS105" s="18"/>
      <c r="AU105" s="448"/>
      <c r="AV105" s="448"/>
      <c r="AW105" s="8" t="str">
        <f>IF(C105&gt;0,VLOOKUP(C105,Foundation_Calc!$A$2:$C$986,3,1),
IF(J105&gt;0,VLOOKUP(J105,Foundation_Calc!$A$2:$C$986,3,1),""))</f>
        <v/>
      </c>
      <c r="AX105" s="8" t="str">
        <f>IF(C105&gt;0,VLOOKUP(C105,Foundation_Calc!$E$2:$G$986,3,1),
IF(J105&gt;0,VLOOKUP(J105,Foundation_Calc!$E$2:$G$986,3,1),""))</f>
        <v/>
      </c>
      <c r="AY105" s="631" t="str">
        <f>IF(L105="","",
IF(AX105="PT",VLOOKUP(L105,Foundation_Calc!$K$4:$R$37,VLOOKUP(AW105,Foundation_Calc!$I$2:$J$8,2,FALSE),0),
IF(AX105="K",VLOOKUP(L105,Foundation_Calc!$K$41:$R$74,VLOOKUP(AW105,Foundation_Calc!$I$2:$J$8,2,FALSE),0),"")))</f>
        <v/>
      </c>
      <c r="AZ105" s="631" t="str">
        <f>IF(K105="","",
IF(AX105="PT",VLOOKUP(K105,Foundation_Calc!$K$4:$R$37,VLOOKUP(AW105,Foundation_Calc!$I$2:$J$8,2,FALSE),0),
IF(AX105="K",VLOOKUP(K105,Foundation_Calc!$K$41:$R$74,VLOOKUP(AW105,Foundation_Calc!$I$2:$J$8,2,FALSE),0),"")))</f>
        <v/>
      </c>
      <c r="BA105" s="632" t="str">
        <f t="shared" si="8"/>
        <v/>
      </c>
      <c r="BB105" s="632" t="str">
        <f t="shared" si="9"/>
        <v/>
      </c>
      <c r="BC105" s="632" t="str">
        <f t="shared" si="10"/>
        <v/>
      </c>
      <c r="BD105" s="633" t="str">
        <f>IF(AND(L105="",H105=""),"",
IF(H105="",Pole_Calc!A109,
IF(H105="MP",Pole_Calc!A110,
IF(H105="AnMP",Pole_Calc!A111,
IF(H105="A",Pole_Calc!A112,
IF(H105="S/A",Pole_Calc!A113,
IF(H105="A/S",Pole_Calc!A114,"Poner a mano")))))))</f>
        <v/>
      </c>
      <c r="BE105" s="448" t="s">
        <v>1726</v>
      </c>
      <c r="BF105" s="635"/>
      <c r="BG105" s="635"/>
      <c r="BH105" s="634"/>
      <c r="BI105" s="635"/>
    </row>
    <row r="106" spans="1:61" ht="16.2" customHeight="1">
      <c r="A106" s="12"/>
      <c r="B106" s="446"/>
      <c r="C106" s="89"/>
      <c r="D106" s="13"/>
      <c r="E106" s="14"/>
      <c r="F106" s="14"/>
      <c r="G106" s="15"/>
      <c r="H106" s="8"/>
      <c r="I106" s="8"/>
      <c r="J106" s="89"/>
      <c r="K106" s="8"/>
      <c r="L106" s="8"/>
      <c r="M106" s="8" t="str">
        <f>IF(L106="","",
IF(AX106="PT",VLOOKUP(L106,Foundation_Calc!$V$4:$X$37,VLOOKUP(AX106,Foundation_Calc!$I$10:$J$13,2,FALSE),0),
IF(AX106="K",VLOOKUP(L106,Foundation_Calc!$V$41:$X$74,VLOOKUP(AX106,Foundation_Calc!$I$10:$J$13,2,FALSE),0),"")))</f>
        <v/>
      </c>
      <c r="N106" s="8"/>
      <c r="O106" s="8"/>
      <c r="P106" s="8"/>
      <c r="Q106" s="14"/>
      <c r="R106" s="15"/>
      <c r="S106" s="15"/>
      <c r="T106" s="14"/>
      <c r="U106" s="14"/>
      <c r="V106" s="14"/>
      <c r="W106" s="18"/>
      <c r="X106" s="18"/>
      <c r="Y106" s="18"/>
      <c r="Z106" s="18"/>
      <c r="AA106" s="18"/>
      <c r="AB106" s="18"/>
      <c r="AC106" s="8" t="str">
        <f t="shared" si="7"/>
        <v/>
      </c>
      <c r="AD106" s="8"/>
      <c r="AE106" s="8"/>
      <c r="AF106" s="14"/>
      <c r="AG106" s="13"/>
      <c r="AH106" s="14"/>
      <c r="AI106" s="14"/>
      <c r="AJ106" s="8"/>
      <c r="AK106" s="8"/>
      <c r="AL106" s="8"/>
      <c r="AM106" s="8"/>
      <c r="AN106" s="631"/>
      <c r="AO106" s="18"/>
      <c r="AP106" s="18"/>
      <c r="AQ106" s="18"/>
      <c r="AR106" s="18"/>
      <c r="AS106" s="18"/>
      <c r="AU106" s="448"/>
      <c r="AV106" s="448"/>
      <c r="AW106" s="8" t="str">
        <f>IF(C106&gt;0,VLOOKUP(C106,Foundation_Calc!$A$2:$C$986,3,1),
IF(J106&gt;0,VLOOKUP(J106,Foundation_Calc!$A$2:$C$986,3,1),""))</f>
        <v/>
      </c>
      <c r="AX106" s="8" t="str">
        <f>IF(C106&gt;0,VLOOKUP(C106,Foundation_Calc!$E$2:$G$986,3,1),
IF(J106&gt;0,VLOOKUP(J106,Foundation_Calc!$E$2:$G$986,3,1),""))</f>
        <v/>
      </c>
      <c r="AY106" s="631" t="str">
        <f>IF(L106="","",
IF(AX106="PT",VLOOKUP(L106,Foundation_Calc!$K$4:$R$37,VLOOKUP(AW106,Foundation_Calc!$I$2:$J$8,2,FALSE),0),
IF(AX106="K",VLOOKUP(L106,Foundation_Calc!$K$41:$R$74,VLOOKUP(AW106,Foundation_Calc!$I$2:$J$8,2,FALSE),0),"")))</f>
        <v/>
      </c>
      <c r="AZ106" s="631" t="str">
        <f>IF(K106="","",
IF(AX106="PT",VLOOKUP(K106,Foundation_Calc!$K$4:$R$37,VLOOKUP(AW106,Foundation_Calc!$I$2:$J$8,2,FALSE),0),
IF(AX106="K",VLOOKUP(K106,Foundation_Calc!$K$41:$R$74,VLOOKUP(AW106,Foundation_Calc!$I$2:$J$8,2,FALSE),0),"")))</f>
        <v/>
      </c>
      <c r="BA106" s="632" t="str">
        <f t="shared" si="8"/>
        <v/>
      </c>
      <c r="BB106" s="632" t="str">
        <f t="shared" si="9"/>
        <v/>
      </c>
      <c r="BC106" s="632" t="str">
        <f t="shared" si="10"/>
        <v/>
      </c>
      <c r="BD106" s="633" t="str">
        <f>IF(AND(L106="",H106=""),"",
IF(H106="",Pole_Calc!A110,
IF(H106="MP",Pole_Calc!A111,
IF(H106="AnMP",Pole_Calc!A112,
IF(H106="A",Pole_Calc!A113,
IF(H106="S/A",Pole_Calc!A114,
IF(H106="A/S",Pole_Calc!A115,"Poner a mano")))))))</f>
        <v/>
      </c>
      <c r="BE106" s="448" t="s">
        <v>1726</v>
      </c>
      <c r="BF106" s="634"/>
      <c r="BG106" s="634"/>
      <c r="BH106" s="634"/>
      <c r="BI106" s="634"/>
    </row>
    <row r="107" spans="1:61" ht="16.2" customHeight="1">
      <c r="A107" s="12"/>
      <c r="B107" s="446"/>
      <c r="C107" s="89"/>
      <c r="D107" s="13"/>
      <c r="E107" s="14"/>
      <c r="F107" s="14"/>
      <c r="G107" s="15"/>
      <c r="H107" s="8"/>
      <c r="I107" s="8"/>
      <c r="J107" s="89"/>
      <c r="K107" s="8"/>
      <c r="L107" s="8"/>
      <c r="M107" s="8" t="str">
        <f>IF(L107="","",
IF(AX107="PT",VLOOKUP(L107,Foundation_Calc!$V$4:$X$37,VLOOKUP(AX107,Foundation_Calc!$I$10:$J$13,2,FALSE),0),
IF(AX107="K",VLOOKUP(L107,Foundation_Calc!$V$41:$X$74,VLOOKUP(AX107,Foundation_Calc!$I$10:$J$13,2,FALSE),0),"")))</f>
        <v/>
      </c>
      <c r="N107" s="8"/>
      <c r="O107" s="8"/>
      <c r="P107" s="8"/>
      <c r="Q107" s="14"/>
      <c r="R107" s="15"/>
      <c r="S107" s="15"/>
      <c r="T107" s="14"/>
      <c r="U107" s="14"/>
      <c r="V107" s="14"/>
      <c r="W107" s="18"/>
      <c r="X107" s="18"/>
      <c r="Y107" s="18"/>
      <c r="Z107" s="18"/>
      <c r="AA107" s="18"/>
      <c r="AB107" s="18"/>
      <c r="AC107" s="8" t="str">
        <f t="shared" si="7"/>
        <v/>
      </c>
      <c r="AD107" s="8"/>
      <c r="AE107" s="8"/>
      <c r="AF107" s="14"/>
      <c r="AG107" s="13"/>
      <c r="AH107" s="14"/>
      <c r="AI107" s="14"/>
      <c r="AJ107" s="8"/>
      <c r="AK107" s="8"/>
      <c r="AL107" s="8"/>
      <c r="AM107" s="8"/>
      <c r="AN107" s="631"/>
      <c r="AO107" s="18"/>
      <c r="AP107" s="18"/>
      <c r="AQ107" s="18"/>
      <c r="AR107" s="18"/>
      <c r="AS107" s="18"/>
      <c r="AU107" s="448"/>
      <c r="AV107" s="448"/>
      <c r="AW107" s="8" t="str">
        <f>IF(C107&gt;0,VLOOKUP(C107,Foundation_Calc!$A$2:$C$986,3,1),
IF(J107&gt;0,VLOOKUP(J107,Foundation_Calc!$A$2:$C$986,3,1),""))</f>
        <v/>
      </c>
      <c r="AX107" s="8" t="str">
        <f>IF(C107&gt;0,VLOOKUP(C107,Foundation_Calc!$E$2:$G$986,3,1),
IF(J107&gt;0,VLOOKUP(J107,Foundation_Calc!$E$2:$G$986,3,1),""))</f>
        <v/>
      </c>
      <c r="AY107" s="631" t="str">
        <f>IF(L107="","",
IF(AX107="PT",VLOOKUP(L107,Foundation_Calc!$K$4:$R$37,VLOOKUP(AW107,Foundation_Calc!$I$2:$J$8,2,FALSE),0),
IF(AX107="K",VLOOKUP(L107,Foundation_Calc!$K$41:$R$74,VLOOKUP(AW107,Foundation_Calc!$I$2:$J$8,2,FALSE),0),"")))</f>
        <v/>
      </c>
      <c r="AZ107" s="631" t="str">
        <f>IF(K107="","",
IF(AX107="PT",VLOOKUP(K107,Foundation_Calc!$K$4:$R$37,VLOOKUP(AW107,Foundation_Calc!$I$2:$J$8,2,FALSE),0),
IF(AX107="K",VLOOKUP(K107,Foundation_Calc!$K$41:$R$74,VLOOKUP(AW107,Foundation_Calc!$I$2:$J$8,2,FALSE),0),"")))</f>
        <v/>
      </c>
      <c r="BA107" s="632" t="str">
        <f t="shared" si="8"/>
        <v/>
      </c>
      <c r="BB107" s="632" t="str">
        <f t="shared" si="9"/>
        <v/>
      </c>
      <c r="BC107" s="632" t="str">
        <f t="shared" si="10"/>
        <v/>
      </c>
      <c r="BD107" s="633" t="str">
        <f>IF(AND(L107="",H107=""),"",
IF(H107="",Pole_Calc!A111,
IF(H107="MP",Pole_Calc!A112,
IF(H107="AnMP",Pole_Calc!A113,
IF(H107="A",Pole_Calc!A114,
IF(H107="S/A",Pole_Calc!A115,
IF(H107="A/S",Pole_Calc!A116,"Poner a mano")))))))</f>
        <v/>
      </c>
      <c r="BE107" s="448" t="s">
        <v>1726</v>
      </c>
      <c r="BF107" s="635"/>
      <c r="BG107" s="635"/>
      <c r="BH107" s="634"/>
      <c r="BI107" s="635"/>
    </row>
    <row r="108" spans="1:61" ht="16.2" customHeight="1">
      <c r="A108" s="12"/>
      <c r="B108" s="446"/>
      <c r="C108" s="89"/>
      <c r="D108" s="13"/>
      <c r="E108" s="14"/>
      <c r="F108" s="14"/>
      <c r="G108" s="15"/>
      <c r="H108" s="8"/>
      <c r="I108" s="8"/>
      <c r="J108" s="89"/>
      <c r="K108" s="8"/>
      <c r="L108" s="8"/>
      <c r="M108" s="8" t="str">
        <f>IF(L108="","",
IF(AX108="PT",VLOOKUP(L108,Foundation_Calc!$V$4:$X$37,VLOOKUP(AX108,Foundation_Calc!$I$10:$J$13,2,FALSE),0),
IF(AX108="K",VLOOKUP(L108,Foundation_Calc!$V$41:$X$74,VLOOKUP(AX108,Foundation_Calc!$I$10:$J$13,2,FALSE),0),"")))</f>
        <v/>
      </c>
      <c r="N108" s="8"/>
      <c r="O108" s="8"/>
      <c r="P108" s="8"/>
      <c r="Q108" s="14"/>
      <c r="R108" s="15"/>
      <c r="S108" s="15"/>
      <c r="T108" s="14"/>
      <c r="U108" s="14"/>
      <c r="V108" s="14"/>
      <c r="W108" s="18"/>
      <c r="X108" s="18"/>
      <c r="Y108" s="18"/>
      <c r="Z108" s="18"/>
      <c r="AA108" s="18"/>
      <c r="AB108" s="18"/>
      <c r="AC108" s="8" t="str">
        <f t="shared" si="7"/>
        <v/>
      </c>
      <c r="AD108" s="8"/>
      <c r="AE108" s="8"/>
      <c r="AF108" s="14"/>
      <c r="AG108" s="13"/>
      <c r="AH108" s="14"/>
      <c r="AI108" s="14"/>
      <c r="AJ108" s="8"/>
      <c r="AK108" s="8"/>
      <c r="AL108" s="8"/>
      <c r="AM108" s="8"/>
      <c r="AN108" s="631"/>
      <c r="AO108" s="18"/>
      <c r="AP108" s="18"/>
      <c r="AQ108" s="18"/>
      <c r="AR108" s="18"/>
      <c r="AS108" s="18"/>
      <c r="AU108" s="448"/>
      <c r="AV108" s="448"/>
      <c r="AW108" s="8" t="str">
        <f>IF(C108&gt;0,VLOOKUP(C108,Foundation_Calc!$A$2:$C$986,3,1),
IF(J108&gt;0,VLOOKUP(J108,Foundation_Calc!$A$2:$C$986,3,1),""))</f>
        <v/>
      </c>
      <c r="AX108" s="8" t="str">
        <f>IF(C108&gt;0,VLOOKUP(C108,Foundation_Calc!$E$2:$G$986,3,1),
IF(J108&gt;0,VLOOKUP(J108,Foundation_Calc!$E$2:$G$986,3,1),""))</f>
        <v/>
      </c>
      <c r="AY108" s="631" t="str">
        <f>IF(L108="","",
IF(AX108="PT",VLOOKUP(L108,Foundation_Calc!$K$4:$R$37,VLOOKUP(AW108,Foundation_Calc!$I$2:$J$8,2,FALSE),0),
IF(AX108="K",VLOOKUP(L108,Foundation_Calc!$K$41:$R$74,VLOOKUP(AW108,Foundation_Calc!$I$2:$J$8,2,FALSE),0),"")))</f>
        <v/>
      </c>
      <c r="AZ108" s="631" t="str">
        <f>IF(K108="","",
IF(AX108="PT",VLOOKUP(K108,Foundation_Calc!$K$4:$R$37,VLOOKUP(AW108,Foundation_Calc!$I$2:$J$8,2,FALSE),0),
IF(AX108="K",VLOOKUP(K108,Foundation_Calc!$K$41:$R$74,VLOOKUP(AW108,Foundation_Calc!$I$2:$J$8,2,FALSE),0),"")))</f>
        <v/>
      </c>
      <c r="BA108" s="632" t="str">
        <f t="shared" si="8"/>
        <v/>
      </c>
      <c r="BB108" s="632" t="str">
        <f t="shared" si="9"/>
        <v/>
      </c>
      <c r="BC108" s="632" t="str">
        <f t="shared" si="10"/>
        <v/>
      </c>
      <c r="BD108" s="633" t="str">
        <f>IF(AND(L108="",H108=""),"",
IF(H108="",Pole_Calc!A112,
IF(H108="MP",Pole_Calc!A113,
IF(H108="AnMP",Pole_Calc!A114,
IF(H108="A",Pole_Calc!A115,
IF(H108="S/A",Pole_Calc!A116,
IF(H108="A/S",Pole_Calc!A117,"Poner a mano")))))))</f>
        <v/>
      </c>
      <c r="BE108" s="448" t="s">
        <v>1726</v>
      </c>
      <c r="BF108" s="634"/>
      <c r="BG108" s="634"/>
      <c r="BH108" s="634"/>
      <c r="BI108" s="634"/>
    </row>
    <row r="109" spans="1:61" ht="16.2" customHeight="1">
      <c r="A109" s="12"/>
      <c r="B109" s="446"/>
      <c r="C109" s="89"/>
      <c r="D109" s="13"/>
      <c r="E109" s="14"/>
      <c r="F109" s="14"/>
      <c r="G109" s="15"/>
      <c r="H109" s="8"/>
      <c r="I109" s="8"/>
      <c r="J109" s="89"/>
      <c r="K109" s="8"/>
      <c r="L109" s="8"/>
      <c r="M109" s="8" t="str">
        <f>IF(L109="","",
IF(AX109="PT",VLOOKUP(L109,Foundation_Calc!$V$4:$X$37,VLOOKUP(AX109,Foundation_Calc!$I$10:$J$13,2,FALSE),0),
IF(AX109="K",VLOOKUP(L109,Foundation_Calc!$V$41:$X$74,VLOOKUP(AX109,Foundation_Calc!$I$10:$J$13,2,FALSE),0),"")))</f>
        <v/>
      </c>
      <c r="N109" s="8"/>
      <c r="O109" s="8"/>
      <c r="P109" s="8"/>
      <c r="Q109" s="14"/>
      <c r="R109" s="15"/>
      <c r="S109" s="15"/>
      <c r="T109" s="14"/>
      <c r="U109" s="14"/>
      <c r="V109" s="14"/>
      <c r="W109" s="18"/>
      <c r="X109" s="18"/>
      <c r="Y109" s="18"/>
      <c r="Z109" s="18"/>
      <c r="AA109" s="18"/>
      <c r="AB109" s="18"/>
      <c r="AC109" s="8" t="str">
        <f t="shared" si="7"/>
        <v/>
      </c>
      <c r="AD109" s="8"/>
      <c r="AE109" s="8"/>
      <c r="AF109" s="14"/>
      <c r="AG109" s="13"/>
      <c r="AH109" s="14"/>
      <c r="AI109" s="14"/>
      <c r="AJ109" s="8"/>
      <c r="AK109" s="8"/>
      <c r="AL109" s="8"/>
      <c r="AM109" s="8"/>
      <c r="AN109" s="631"/>
      <c r="AO109" s="18"/>
      <c r="AP109" s="18"/>
      <c r="AQ109" s="18"/>
      <c r="AR109" s="18"/>
      <c r="AS109" s="18"/>
      <c r="AU109" s="448"/>
      <c r="AV109" s="448"/>
      <c r="AW109" s="8" t="str">
        <f>IF(C109&gt;0,VLOOKUP(C109,Foundation_Calc!$A$2:$C$986,3,1),
IF(J109&gt;0,VLOOKUP(J109,Foundation_Calc!$A$2:$C$986,3,1),""))</f>
        <v/>
      </c>
      <c r="AX109" s="8" t="str">
        <f>IF(C109&gt;0,VLOOKUP(C109,Foundation_Calc!$E$2:$G$986,3,1),
IF(J109&gt;0,VLOOKUP(J109,Foundation_Calc!$E$2:$G$986,3,1),""))</f>
        <v/>
      </c>
      <c r="AY109" s="631" t="str">
        <f>IF(L109="","",
IF(AX109="PT",VLOOKUP(L109,Foundation_Calc!$K$4:$R$37,VLOOKUP(AW109,Foundation_Calc!$I$2:$J$8,2,FALSE),0),
IF(AX109="K",VLOOKUP(L109,Foundation_Calc!$K$41:$R$74,VLOOKUP(AW109,Foundation_Calc!$I$2:$J$8,2,FALSE),0),"")))</f>
        <v/>
      </c>
      <c r="AZ109" s="631" t="str">
        <f>IF(K109="","",
IF(AX109="PT",VLOOKUP(K109,Foundation_Calc!$K$4:$R$37,VLOOKUP(AW109,Foundation_Calc!$I$2:$J$8,2,FALSE),0),
IF(AX109="K",VLOOKUP(K109,Foundation_Calc!$K$41:$R$74,VLOOKUP(AW109,Foundation_Calc!$I$2:$J$8,2,FALSE),0),"")))</f>
        <v/>
      </c>
      <c r="BA109" s="632" t="str">
        <f t="shared" si="8"/>
        <v/>
      </c>
      <c r="BB109" s="632" t="str">
        <f t="shared" si="9"/>
        <v/>
      </c>
      <c r="BC109" s="632" t="str">
        <f t="shared" si="10"/>
        <v/>
      </c>
      <c r="BD109" s="633" t="str">
        <f>IF(AND(L109="",H109=""),"",
IF(H109="",Pole_Calc!A113,
IF(H109="MP",Pole_Calc!A114,
IF(H109="AnMP",Pole_Calc!A115,
IF(H109="A",Pole_Calc!A116,
IF(H109="S/A",Pole_Calc!A117,
IF(H109="A/S",Pole_Calc!A118,"Poner a mano")))))))</f>
        <v/>
      </c>
      <c r="BE109" s="448" t="s">
        <v>1726</v>
      </c>
      <c r="BF109" s="635"/>
      <c r="BG109" s="635"/>
      <c r="BH109" s="634"/>
      <c r="BI109" s="635"/>
    </row>
    <row r="110" spans="1:61" ht="16.2" customHeight="1">
      <c r="A110" s="12"/>
      <c r="B110" s="446"/>
      <c r="C110" s="89"/>
      <c r="D110" s="13"/>
      <c r="E110" s="14"/>
      <c r="F110" s="14"/>
      <c r="G110" s="15"/>
      <c r="H110" s="8"/>
      <c r="I110" s="8"/>
      <c r="J110" s="89"/>
      <c r="K110" s="8"/>
      <c r="L110" s="8"/>
      <c r="M110" s="8" t="str">
        <f>IF(L110="","",
IF(AX110="PT",VLOOKUP(L110,Foundation_Calc!$V$4:$X$37,VLOOKUP(AX110,Foundation_Calc!$I$10:$J$13,2,FALSE),0),
IF(AX110="K",VLOOKUP(L110,Foundation_Calc!$V$41:$X$74,VLOOKUP(AX110,Foundation_Calc!$I$10:$J$13,2,FALSE),0),"")))</f>
        <v/>
      </c>
      <c r="N110" s="8"/>
      <c r="O110" s="8"/>
      <c r="P110" s="8"/>
      <c r="Q110" s="14"/>
      <c r="R110" s="15"/>
      <c r="S110" s="15"/>
      <c r="T110" s="14"/>
      <c r="U110" s="14"/>
      <c r="V110" s="14"/>
      <c r="W110" s="18"/>
      <c r="X110" s="18"/>
      <c r="Y110" s="18"/>
      <c r="Z110" s="18"/>
      <c r="AA110" s="18"/>
      <c r="AB110" s="18"/>
      <c r="AC110" s="8" t="str">
        <f t="shared" si="7"/>
        <v/>
      </c>
      <c r="AD110" s="8"/>
      <c r="AE110" s="8"/>
      <c r="AF110" s="14"/>
      <c r="AG110" s="13"/>
      <c r="AH110" s="14"/>
      <c r="AI110" s="14"/>
      <c r="AJ110" s="8"/>
      <c r="AK110" s="8"/>
      <c r="AL110" s="8"/>
      <c r="AM110" s="8"/>
      <c r="AN110" s="631"/>
      <c r="AO110" s="18"/>
      <c r="AP110" s="18"/>
      <c r="AQ110" s="18"/>
      <c r="AR110" s="18"/>
      <c r="AS110" s="18"/>
      <c r="AU110" s="448"/>
      <c r="AV110" s="448"/>
      <c r="AW110" s="8" t="str">
        <f>IF(C110&gt;0,VLOOKUP(C110,Foundation_Calc!$A$2:$C$986,3,1),
IF(J110&gt;0,VLOOKUP(J110,Foundation_Calc!$A$2:$C$986,3,1),""))</f>
        <v/>
      </c>
      <c r="AX110" s="8" t="str">
        <f>IF(C110&gt;0,VLOOKUP(C110,Foundation_Calc!$E$2:$G$986,3,1),
IF(J110&gt;0,VLOOKUP(J110,Foundation_Calc!$E$2:$G$986,3,1),""))</f>
        <v/>
      </c>
      <c r="AY110" s="631" t="str">
        <f>IF(L110="","",
IF(AX110="PT",VLOOKUP(L110,Foundation_Calc!$K$4:$R$37,VLOOKUP(AW110,Foundation_Calc!$I$2:$J$8,2,FALSE),0),
IF(AX110="K",VLOOKUP(L110,Foundation_Calc!$K$41:$R$74,VLOOKUP(AW110,Foundation_Calc!$I$2:$J$8,2,FALSE),0),"")))</f>
        <v/>
      </c>
      <c r="AZ110" s="631" t="str">
        <f>IF(K110="","",
IF(AX110="PT",VLOOKUP(K110,Foundation_Calc!$K$4:$R$37,VLOOKUP(AW110,Foundation_Calc!$I$2:$J$8,2,FALSE),0),
IF(AX110="K",VLOOKUP(K110,Foundation_Calc!$K$41:$R$74,VLOOKUP(AW110,Foundation_Calc!$I$2:$J$8,2,FALSE),0),"")))</f>
        <v/>
      </c>
      <c r="BA110" s="632" t="str">
        <f t="shared" si="8"/>
        <v/>
      </c>
      <c r="BB110" s="632" t="str">
        <f t="shared" si="9"/>
        <v/>
      </c>
      <c r="BC110" s="632" t="str">
        <f t="shared" si="10"/>
        <v/>
      </c>
      <c r="BD110" s="633" t="str">
        <f>IF(AND(L110="",H110=""),"",
IF(H110="",Pole_Calc!A114,
IF(H110="MP",Pole_Calc!A115,
IF(H110="AnMP",Pole_Calc!A116,
IF(H110="A",Pole_Calc!A117,
IF(H110="S/A",Pole_Calc!A118,
IF(H110="A/S",Pole_Calc!A119,"Poner a mano")))))))</f>
        <v/>
      </c>
      <c r="BE110" s="448" t="s">
        <v>1726</v>
      </c>
      <c r="BF110" s="634"/>
      <c r="BG110" s="634"/>
      <c r="BH110" s="634"/>
      <c r="BI110" s="634"/>
    </row>
    <row r="111" spans="1:61" ht="16.2" customHeight="1">
      <c r="A111" s="12"/>
      <c r="B111" s="446"/>
      <c r="C111" s="89"/>
      <c r="D111" s="13"/>
      <c r="E111" s="14"/>
      <c r="F111" s="14"/>
      <c r="G111" s="15"/>
      <c r="H111" s="8"/>
      <c r="I111" s="8"/>
      <c r="J111" s="89"/>
      <c r="K111" s="8"/>
      <c r="L111" s="8"/>
      <c r="M111" s="8" t="str">
        <f>IF(L111="","",
IF(AX111="PT",VLOOKUP(L111,Foundation_Calc!$V$4:$X$37,VLOOKUP(AX111,Foundation_Calc!$I$10:$J$13,2,FALSE),0),
IF(AX111="K",VLOOKUP(L111,Foundation_Calc!$V$41:$X$74,VLOOKUP(AX111,Foundation_Calc!$I$10:$J$13,2,FALSE),0),"")))</f>
        <v/>
      </c>
      <c r="N111" s="8"/>
      <c r="O111" s="8"/>
      <c r="P111" s="8"/>
      <c r="Q111" s="14"/>
      <c r="R111" s="15"/>
      <c r="S111" s="15"/>
      <c r="T111" s="14"/>
      <c r="U111" s="14"/>
      <c r="V111" s="14"/>
      <c r="W111" s="18"/>
      <c r="X111" s="18"/>
      <c r="Y111" s="18"/>
      <c r="Z111" s="18"/>
      <c r="AA111" s="18"/>
      <c r="AB111" s="18"/>
      <c r="AC111" s="8" t="str">
        <f t="shared" si="7"/>
        <v/>
      </c>
      <c r="AD111" s="8"/>
      <c r="AE111" s="8"/>
      <c r="AF111" s="14"/>
      <c r="AG111" s="13"/>
      <c r="AH111" s="14"/>
      <c r="AI111" s="14"/>
      <c r="AJ111" s="8"/>
      <c r="AK111" s="8"/>
      <c r="AL111" s="8"/>
      <c r="AM111" s="8"/>
      <c r="AN111" s="631"/>
      <c r="AO111" s="18"/>
      <c r="AP111" s="18"/>
      <c r="AQ111" s="18"/>
      <c r="AR111" s="18"/>
      <c r="AS111" s="18"/>
      <c r="AU111" s="448"/>
      <c r="AV111" s="448"/>
      <c r="AW111" s="8" t="str">
        <f>IF(C111&gt;0,VLOOKUP(C111,Foundation_Calc!$A$2:$C$986,3,1),
IF(J111&gt;0,VLOOKUP(J111,Foundation_Calc!$A$2:$C$986,3,1),""))</f>
        <v/>
      </c>
      <c r="AX111" s="8" t="str">
        <f>IF(C111&gt;0,VLOOKUP(C111,Foundation_Calc!$E$2:$G$986,3,1),
IF(J111&gt;0,VLOOKUP(J111,Foundation_Calc!$E$2:$G$986,3,1),""))</f>
        <v/>
      </c>
      <c r="AY111" s="631" t="str">
        <f>IF(L111="","",
IF(AX111="PT",VLOOKUP(L111,Foundation_Calc!$K$4:$R$37,VLOOKUP(AW111,Foundation_Calc!$I$2:$J$8,2,FALSE),0),
IF(AX111="K",VLOOKUP(L111,Foundation_Calc!$K$41:$R$74,VLOOKUP(AW111,Foundation_Calc!$I$2:$J$8,2,FALSE),0),"")))</f>
        <v/>
      </c>
      <c r="AZ111" s="631" t="str">
        <f>IF(K111="","",
IF(AX111="PT",VLOOKUP(K111,Foundation_Calc!$K$4:$R$37,VLOOKUP(AW111,Foundation_Calc!$I$2:$J$8,2,FALSE),0),
IF(AX111="K",VLOOKUP(K111,Foundation_Calc!$K$41:$R$74,VLOOKUP(AW111,Foundation_Calc!$I$2:$J$8,2,FALSE),0),"")))</f>
        <v/>
      </c>
      <c r="BA111" s="632" t="str">
        <f t="shared" si="8"/>
        <v/>
      </c>
      <c r="BB111" s="632" t="str">
        <f t="shared" si="9"/>
        <v/>
      </c>
      <c r="BC111" s="632" t="str">
        <f t="shared" si="10"/>
        <v/>
      </c>
      <c r="BD111" s="633" t="str">
        <f>IF(AND(L111="",H111=""),"",
IF(H111="",Pole_Calc!A115,
IF(H111="MP",Pole_Calc!A116,
IF(H111="AnMP",Pole_Calc!A117,
IF(H111="A",Pole_Calc!A118,
IF(H111="S/A",Pole_Calc!A119,
IF(H111="A/S",Pole_Calc!A120,"Poner a mano")))))))</f>
        <v/>
      </c>
      <c r="BE111" s="448" t="s">
        <v>1726</v>
      </c>
      <c r="BF111" s="635"/>
      <c r="BG111" s="635"/>
      <c r="BH111" s="634"/>
      <c r="BI111" s="635"/>
    </row>
    <row r="112" spans="1:61" ht="16.2" customHeight="1">
      <c r="A112" s="12"/>
      <c r="B112" s="446"/>
      <c r="C112" s="89"/>
      <c r="D112" s="13"/>
      <c r="E112" s="14"/>
      <c r="F112" s="14"/>
      <c r="G112" s="15"/>
      <c r="H112" s="8"/>
      <c r="I112" s="8"/>
      <c r="J112" s="89"/>
      <c r="K112" s="8"/>
      <c r="L112" s="8"/>
      <c r="M112" s="8" t="str">
        <f>IF(L112="","",
IF(AX112="PT",VLOOKUP(L112,Foundation_Calc!$V$4:$X$37,VLOOKUP(AX112,Foundation_Calc!$I$10:$J$13,2,FALSE),0),
IF(AX112="K",VLOOKUP(L112,Foundation_Calc!$V$41:$X$74,VLOOKUP(AX112,Foundation_Calc!$I$10:$J$13,2,FALSE),0),"")))</f>
        <v/>
      </c>
      <c r="N112" s="8"/>
      <c r="O112" s="8"/>
      <c r="P112" s="8"/>
      <c r="Q112" s="14"/>
      <c r="R112" s="15"/>
      <c r="S112" s="15"/>
      <c r="T112" s="14"/>
      <c r="U112" s="14"/>
      <c r="V112" s="14"/>
      <c r="W112" s="18"/>
      <c r="X112" s="18"/>
      <c r="Y112" s="18"/>
      <c r="Z112" s="18"/>
      <c r="AA112" s="18"/>
      <c r="AB112" s="18"/>
      <c r="AC112" s="8" t="str">
        <f t="shared" si="7"/>
        <v/>
      </c>
      <c r="AD112" s="8"/>
      <c r="AE112" s="8"/>
      <c r="AF112" s="14"/>
      <c r="AG112" s="13"/>
      <c r="AH112" s="14"/>
      <c r="AI112" s="14"/>
      <c r="AJ112" s="8"/>
      <c r="AK112" s="8"/>
      <c r="AL112" s="8"/>
      <c r="AM112" s="8"/>
      <c r="AN112" s="631"/>
      <c r="AO112" s="18"/>
      <c r="AP112" s="18"/>
      <c r="AQ112" s="18"/>
      <c r="AR112" s="18"/>
      <c r="AS112" s="18"/>
      <c r="AU112" s="448"/>
      <c r="AV112" s="448"/>
      <c r="AW112" s="8" t="str">
        <f>IF(C112&gt;0,VLOOKUP(C112,Foundation_Calc!$A$2:$C$986,3,1),
IF(J112&gt;0,VLOOKUP(J112,Foundation_Calc!$A$2:$C$986,3,1),""))</f>
        <v/>
      </c>
      <c r="AX112" s="8" t="str">
        <f>IF(C112&gt;0,VLOOKUP(C112,Foundation_Calc!$E$2:$G$986,3,1),
IF(J112&gt;0,VLOOKUP(J112,Foundation_Calc!$E$2:$G$986,3,1),""))</f>
        <v/>
      </c>
      <c r="AY112" s="631" t="str">
        <f>IF(L112="","",
IF(AX112="PT",VLOOKUP(L112,Foundation_Calc!$K$4:$R$37,VLOOKUP(AW112,Foundation_Calc!$I$2:$J$8,2,FALSE),0),
IF(AX112="K",VLOOKUP(L112,Foundation_Calc!$K$41:$R$74,VLOOKUP(AW112,Foundation_Calc!$I$2:$J$8,2,FALSE),0),"")))</f>
        <v/>
      </c>
      <c r="AZ112" s="631" t="str">
        <f>IF(K112="","",
IF(AX112="PT",VLOOKUP(K112,Foundation_Calc!$K$4:$R$37,VLOOKUP(AW112,Foundation_Calc!$I$2:$J$8,2,FALSE),0),
IF(AX112="K",VLOOKUP(K112,Foundation_Calc!$K$41:$R$74,VLOOKUP(AW112,Foundation_Calc!$I$2:$J$8,2,FALSE),0),"")))</f>
        <v/>
      </c>
      <c r="BA112" s="632" t="str">
        <f t="shared" si="8"/>
        <v/>
      </c>
      <c r="BB112" s="632" t="str">
        <f t="shared" si="9"/>
        <v/>
      </c>
      <c r="BC112" s="632" t="str">
        <f t="shared" si="10"/>
        <v/>
      </c>
      <c r="BD112" s="633" t="str">
        <f>IF(AND(L112="",H112=""),"",
IF(H112="",Pole_Calc!A116,
IF(H112="MP",Pole_Calc!A117,
IF(H112="AnMP",Pole_Calc!A118,
IF(H112="A",Pole_Calc!A119,
IF(H112="S/A",Pole_Calc!A120,
IF(H112="A/S",Pole_Calc!A121,"Poner a mano")))))))</f>
        <v/>
      </c>
      <c r="BE112" s="448" t="s">
        <v>1726</v>
      </c>
      <c r="BF112" s="634"/>
      <c r="BG112" s="634"/>
      <c r="BH112" s="634"/>
      <c r="BI112" s="634"/>
    </row>
    <row r="113" spans="1:61" ht="16.2" customHeight="1">
      <c r="A113" s="12"/>
      <c r="B113" s="446"/>
      <c r="C113" s="89"/>
      <c r="D113" s="13"/>
      <c r="E113" s="14"/>
      <c r="F113" s="14"/>
      <c r="G113" s="15"/>
      <c r="H113" s="8"/>
      <c r="I113" s="8"/>
      <c r="J113" s="89"/>
      <c r="K113" s="8"/>
      <c r="L113" s="8"/>
      <c r="M113" s="8" t="str">
        <f>IF(L113="","",
IF(AX113="PT",VLOOKUP(L113,Foundation_Calc!$V$4:$X$37,VLOOKUP(AX113,Foundation_Calc!$I$10:$J$13,2,FALSE),0),
IF(AX113="K",VLOOKUP(L113,Foundation_Calc!$V$41:$X$74,VLOOKUP(AX113,Foundation_Calc!$I$10:$J$13,2,FALSE),0),"")))</f>
        <v/>
      </c>
      <c r="N113" s="8"/>
      <c r="O113" s="8"/>
      <c r="P113" s="8"/>
      <c r="Q113" s="14"/>
      <c r="R113" s="15"/>
      <c r="S113" s="15"/>
      <c r="T113" s="14"/>
      <c r="U113" s="14"/>
      <c r="V113" s="14"/>
      <c r="W113" s="18"/>
      <c r="X113" s="18"/>
      <c r="Y113" s="18"/>
      <c r="Z113" s="18"/>
      <c r="AA113" s="18"/>
      <c r="AB113" s="18"/>
      <c r="AC113" s="8" t="str">
        <f t="shared" si="7"/>
        <v/>
      </c>
      <c r="AD113" s="8"/>
      <c r="AE113" s="8"/>
      <c r="AF113" s="14"/>
      <c r="AG113" s="13"/>
      <c r="AH113" s="14"/>
      <c r="AI113" s="14"/>
      <c r="AJ113" s="8"/>
      <c r="AK113" s="8"/>
      <c r="AL113" s="8"/>
      <c r="AM113" s="8"/>
      <c r="AN113" s="631"/>
      <c r="AO113" s="18"/>
      <c r="AP113" s="18"/>
      <c r="AQ113" s="18"/>
      <c r="AR113" s="18"/>
      <c r="AS113" s="18"/>
      <c r="AU113" s="448"/>
      <c r="AV113" s="448"/>
      <c r="AW113" s="8" t="str">
        <f>IF(C113&gt;0,VLOOKUP(C113,Foundation_Calc!$A$2:$C$986,3,1),
IF(J113&gt;0,VLOOKUP(J113,Foundation_Calc!$A$2:$C$986,3,1),""))</f>
        <v/>
      </c>
      <c r="AX113" s="8" t="str">
        <f>IF(C113&gt;0,VLOOKUP(C113,Foundation_Calc!$E$2:$G$986,3,1),
IF(J113&gt;0,VLOOKUP(J113,Foundation_Calc!$E$2:$G$986,3,1),""))</f>
        <v/>
      </c>
      <c r="AY113" s="631" t="str">
        <f>IF(L113="","",
IF(AX113="PT",VLOOKUP(L113,Foundation_Calc!$K$4:$R$37,VLOOKUP(AW113,Foundation_Calc!$I$2:$J$8,2,FALSE),0),
IF(AX113="K",VLOOKUP(L113,Foundation_Calc!$K$41:$R$74,VLOOKUP(AW113,Foundation_Calc!$I$2:$J$8,2,FALSE),0),"")))</f>
        <v/>
      </c>
      <c r="AZ113" s="631" t="str">
        <f>IF(K113="","",
IF(AX113="PT",VLOOKUP(K113,Foundation_Calc!$K$4:$R$37,VLOOKUP(AW113,Foundation_Calc!$I$2:$J$8,2,FALSE),0),
IF(AX113="K",VLOOKUP(K113,Foundation_Calc!$K$41:$R$74,VLOOKUP(AW113,Foundation_Calc!$I$2:$J$8,2,FALSE),0),"")))</f>
        <v/>
      </c>
      <c r="BA113" s="632" t="str">
        <f t="shared" si="8"/>
        <v/>
      </c>
      <c r="BB113" s="632" t="str">
        <f t="shared" si="9"/>
        <v/>
      </c>
      <c r="BC113" s="632" t="str">
        <f t="shared" si="10"/>
        <v/>
      </c>
      <c r="BD113" s="633" t="str">
        <f>IF(AND(L113="",H113=""),"",
IF(H113="",Pole_Calc!A117,
IF(H113="MP",Pole_Calc!A118,
IF(H113="AnMP",Pole_Calc!A119,
IF(H113="A",Pole_Calc!A120,
IF(H113="S/A",Pole_Calc!A121,
IF(H113="A/S",Pole_Calc!A122,"Poner a mano")))))))</f>
        <v/>
      </c>
      <c r="BE113" s="448" t="s">
        <v>1726</v>
      </c>
      <c r="BF113" s="635"/>
      <c r="BG113" s="635"/>
      <c r="BH113" s="634"/>
      <c r="BI113" s="635"/>
    </row>
    <row r="114" spans="1:61" ht="16.2" customHeight="1">
      <c r="A114" s="12"/>
      <c r="B114" s="446"/>
      <c r="C114" s="89"/>
      <c r="D114" s="13"/>
      <c r="E114" s="14"/>
      <c r="F114" s="14"/>
      <c r="G114" s="15"/>
      <c r="H114" s="8"/>
      <c r="I114" s="8"/>
      <c r="J114" s="89"/>
      <c r="K114" s="8"/>
      <c r="L114" s="8"/>
      <c r="M114" s="8" t="str">
        <f>IF(L114="","",
IF(AX114="PT",VLOOKUP(L114,Foundation_Calc!$V$4:$X$37,VLOOKUP(AX114,Foundation_Calc!$I$10:$J$13,2,FALSE),0),
IF(AX114="K",VLOOKUP(L114,Foundation_Calc!$V$41:$X$74,VLOOKUP(AX114,Foundation_Calc!$I$10:$J$13,2,FALSE),0),"")))</f>
        <v/>
      </c>
      <c r="N114" s="8"/>
      <c r="O114" s="8"/>
      <c r="P114" s="8"/>
      <c r="Q114" s="14"/>
      <c r="R114" s="15"/>
      <c r="S114" s="15"/>
      <c r="T114" s="14"/>
      <c r="U114" s="14"/>
      <c r="V114" s="14"/>
      <c r="W114" s="18"/>
      <c r="X114" s="18"/>
      <c r="Y114" s="18"/>
      <c r="Z114" s="18"/>
      <c r="AA114" s="18"/>
      <c r="AB114" s="18"/>
      <c r="AC114" s="8" t="str">
        <f t="shared" si="7"/>
        <v/>
      </c>
      <c r="AD114" s="8"/>
      <c r="AE114" s="8"/>
      <c r="AF114" s="14"/>
      <c r="AG114" s="13"/>
      <c r="AH114" s="14"/>
      <c r="AI114" s="14"/>
      <c r="AJ114" s="8"/>
      <c r="AK114" s="8"/>
      <c r="AL114" s="8"/>
      <c r="AM114" s="8"/>
      <c r="AN114" s="631"/>
      <c r="AO114" s="18"/>
      <c r="AP114" s="18"/>
      <c r="AQ114" s="18"/>
      <c r="AR114" s="18"/>
      <c r="AS114" s="18"/>
      <c r="AU114" s="448"/>
      <c r="AV114" s="448"/>
      <c r="AW114" s="8" t="str">
        <f>IF(C114&gt;0,VLOOKUP(C114,Foundation_Calc!$A$2:$C$986,3,1),
IF(J114&gt;0,VLOOKUP(J114,Foundation_Calc!$A$2:$C$986,3,1),""))</f>
        <v/>
      </c>
      <c r="AX114" s="8" t="str">
        <f>IF(C114&gt;0,VLOOKUP(C114,Foundation_Calc!$E$2:$G$986,3,1),
IF(J114&gt;0,VLOOKUP(J114,Foundation_Calc!$E$2:$G$986,3,1),""))</f>
        <v/>
      </c>
      <c r="AY114" s="631" t="str">
        <f>IF(L114="","",
IF(AX114="PT",VLOOKUP(L114,Foundation_Calc!$K$4:$R$37,VLOOKUP(AW114,Foundation_Calc!$I$2:$J$8,2,FALSE),0),
IF(AX114="K",VLOOKUP(L114,Foundation_Calc!$K$41:$R$74,VLOOKUP(AW114,Foundation_Calc!$I$2:$J$8,2,FALSE),0),"")))</f>
        <v/>
      </c>
      <c r="AZ114" s="631" t="str">
        <f>IF(K114="","",
IF(AX114="PT",VLOOKUP(K114,Foundation_Calc!$K$4:$R$37,VLOOKUP(AW114,Foundation_Calc!$I$2:$J$8,2,FALSE),0),
IF(AX114="K",VLOOKUP(K114,Foundation_Calc!$K$41:$R$74,VLOOKUP(AW114,Foundation_Calc!$I$2:$J$8,2,FALSE),0),"")))</f>
        <v/>
      </c>
      <c r="BA114" s="632" t="str">
        <f t="shared" si="8"/>
        <v/>
      </c>
      <c r="BB114" s="632" t="str">
        <f t="shared" si="9"/>
        <v/>
      </c>
      <c r="BC114" s="632" t="str">
        <f t="shared" si="10"/>
        <v/>
      </c>
      <c r="BD114" s="633" t="str">
        <f>IF(AND(L114="",H114=""),"",
IF(H114="",Pole_Calc!A118,
IF(H114="MP",Pole_Calc!A119,
IF(H114="AnMP",Pole_Calc!A120,
IF(H114="A",Pole_Calc!A121,
IF(H114="S/A",Pole_Calc!A122,
IF(H114="A/S",Pole_Calc!A123,"Poner a mano")))))))</f>
        <v/>
      </c>
      <c r="BE114" s="448" t="s">
        <v>1726</v>
      </c>
      <c r="BF114" s="634"/>
      <c r="BG114" s="634"/>
      <c r="BH114" s="634"/>
      <c r="BI114" s="634"/>
    </row>
    <row r="115" spans="1:61" ht="16.2" customHeight="1">
      <c r="A115" s="12"/>
      <c r="B115" s="446"/>
      <c r="C115" s="89"/>
      <c r="D115" s="13"/>
      <c r="E115" s="14"/>
      <c r="F115" s="14"/>
      <c r="G115" s="15"/>
      <c r="H115" s="8"/>
      <c r="I115" s="8"/>
      <c r="J115" s="89"/>
      <c r="K115" s="8"/>
      <c r="L115" s="8"/>
      <c r="M115" s="8" t="str">
        <f>IF(L115="","",
IF(AX115="PT",VLOOKUP(L115,Foundation_Calc!$V$4:$X$37,VLOOKUP(AX115,Foundation_Calc!$I$10:$J$13,2,FALSE),0),
IF(AX115="K",VLOOKUP(L115,Foundation_Calc!$V$41:$X$74,VLOOKUP(AX115,Foundation_Calc!$I$10:$J$13,2,FALSE),0),"")))</f>
        <v/>
      </c>
      <c r="N115" s="8"/>
      <c r="O115" s="8"/>
      <c r="P115" s="8"/>
      <c r="Q115" s="14"/>
      <c r="R115" s="15"/>
      <c r="S115" s="15"/>
      <c r="T115" s="14"/>
      <c r="U115" s="14"/>
      <c r="V115" s="14"/>
      <c r="W115" s="18"/>
      <c r="X115" s="18"/>
      <c r="Y115" s="18"/>
      <c r="Z115" s="18"/>
      <c r="AA115" s="18"/>
      <c r="AB115" s="18"/>
      <c r="AC115" s="8" t="str">
        <f t="shared" si="7"/>
        <v/>
      </c>
      <c r="AD115" s="8"/>
      <c r="AE115" s="8"/>
      <c r="AF115" s="14"/>
      <c r="AG115" s="13"/>
      <c r="AH115" s="14"/>
      <c r="AI115" s="14"/>
      <c r="AJ115" s="8"/>
      <c r="AK115" s="8"/>
      <c r="AL115" s="8"/>
      <c r="AM115" s="8"/>
      <c r="AN115" s="631"/>
      <c r="AO115" s="18"/>
      <c r="AP115" s="18"/>
      <c r="AQ115" s="18"/>
      <c r="AR115" s="18"/>
      <c r="AS115" s="18"/>
      <c r="AU115" s="448"/>
      <c r="AV115" s="448"/>
      <c r="AW115" s="8" t="str">
        <f>IF(C115&gt;0,VLOOKUP(C115,Foundation_Calc!$A$2:$C$986,3,1),
IF(J115&gt;0,VLOOKUP(J115,Foundation_Calc!$A$2:$C$986,3,1),""))</f>
        <v/>
      </c>
      <c r="AX115" s="8" t="str">
        <f>IF(C115&gt;0,VLOOKUP(C115,Foundation_Calc!$E$2:$G$986,3,1),
IF(J115&gt;0,VLOOKUP(J115,Foundation_Calc!$E$2:$G$986,3,1),""))</f>
        <v/>
      </c>
      <c r="AY115" s="631" t="str">
        <f>IF(L115="","",
IF(AX115="PT",VLOOKUP(L115,Foundation_Calc!$K$4:$R$37,VLOOKUP(AW115,Foundation_Calc!$I$2:$J$8,2,FALSE),0),
IF(AX115="K",VLOOKUP(L115,Foundation_Calc!$K$41:$R$74,VLOOKUP(AW115,Foundation_Calc!$I$2:$J$8,2,FALSE),0),"")))</f>
        <v/>
      </c>
      <c r="AZ115" s="631" t="str">
        <f>IF(K115="","",
IF(AX115="PT",VLOOKUP(K115,Foundation_Calc!$K$4:$R$37,VLOOKUP(AW115,Foundation_Calc!$I$2:$J$8,2,FALSE),0),
IF(AX115="K",VLOOKUP(K115,Foundation_Calc!$K$41:$R$74,VLOOKUP(AW115,Foundation_Calc!$I$2:$J$8,2,FALSE),0),"")))</f>
        <v/>
      </c>
      <c r="BA115" s="632" t="str">
        <f t="shared" si="8"/>
        <v/>
      </c>
      <c r="BB115" s="632" t="str">
        <f t="shared" si="9"/>
        <v/>
      </c>
      <c r="BC115" s="632" t="str">
        <f t="shared" si="10"/>
        <v/>
      </c>
      <c r="BD115" s="633" t="str">
        <f>IF(AND(L115="",H115=""),"",
IF(H115="",Pole_Calc!A119,
IF(H115="MP",Pole_Calc!A120,
IF(H115="AnMP",Pole_Calc!A121,
IF(H115="A",Pole_Calc!A122,
IF(H115="S/A",Pole_Calc!A123,
IF(H115="A/S",Pole_Calc!A124,"Poner a mano")))))))</f>
        <v/>
      </c>
      <c r="BE115" s="448" t="s">
        <v>1726</v>
      </c>
      <c r="BF115" s="635"/>
      <c r="BG115" s="635"/>
      <c r="BH115" s="634"/>
      <c r="BI115" s="635"/>
    </row>
    <row r="116" spans="1:61" ht="16.2" customHeight="1">
      <c r="A116" s="12"/>
      <c r="B116" s="446"/>
      <c r="C116" s="89"/>
      <c r="D116" s="13"/>
      <c r="E116" s="14"/>
      <c r="F116" s="14"/>
      <c r="G116" s="15"/>
      <c r="H116" s="8"/>
      <c r="I116" s="8"/>
      <c r="J116" s="89"/>
      <c r="K116" s="8"/>
      <c r="L116" s="8"/>
      <c r="M116" s="8" t="str">
        <f>IF(L116="","",
IF(AX116="PT",VLOOKUP(L116,Foundation_Calc!$V$4:$X$37,VLOOKUP(AX116,Foundation_Calc!$I$10:$J$13,2,FALSE),0),
IF(AX116="K",VLOOKUP(L116,Foundation_Calc!$V$41:$X$74,VLOOKUP(AX116,Foundation_Calc!$I$10:$J$13,2,FALSE),0),"")))</f>
        <v/>
      </c>
      <c r="N116" s="8"/>
      <c r="O116" s="8"/>
      <c r="P116" s="8"/>
      <c r="Q116" s="14"/>
      <c r="R116" s="15"/>
      <c r="S116" s="15"/>
      <c r="T116" s="14"/>
      <c r="U116" s="14"/>
      <c r="V116" s="14"/>
      <c r="W116" s="18"/>
      <c r="X116" s="18"/>
      <c r="Y116" s="18"/>
      <c r="Z116" s="18"/>
      <c r="AA116" s="18"/>
      <c r="AB116" s="18"/>
      <c r="AC116" s="8" t="str">
        <f t="shared" si="7"/>
        <v/>
      </c>
      <c r="AD116" s="8"/>
      <c r="AE116" s="8"/>
      <c r="AF116" s="14"/>
      <c r="AG116" s="13"/>
      <c r="AH116" s="14"/>
      <c r="AI116" s="14"/>
      <c r="AJ116" s="8"/>
      <c r="AK116" s="8"/>
      <c r="AL116" s="8"/>
      <c r="AM116" s="8"/>
      <c r="AN116" s="631"/>
      <c r="AO116" s="18"/>
      <c r="AP116" s="18"/>
      <c r="AQ116" s="18"/>
      <c r="AR116" s="18"/>
      <c r="AS116" s="18"/>
      <c r="AU116" s="448"/>
      <c r="AV116" s="448"/>
      <c r="AW116" s="8" t="str">
        <f>IF(C116&gt;0,VLOOKUP(C116,Foundation_Calc!$A$2:$C$986,3,1),
IF(J116&gt;0,VLOOKUP(J116,Foundation_Calc!$A$2:$C$986,3,1),""))</f>
        <v/>
      </c>
      <c r="AX116" s="8" t="str">
        <f>IF(C116&gt;0,VLOOKUP(C116,Foundation_Calc!$E$2:$G$986,3,1),
IF(J116&gt;0,VLOOKUP(J116,Foundation_Calc!$E$2:$G$986,3,1),""))</f>
        <v/>
      </c>
      <c r="AY116" s="631" t="str">
        <f>IF(L116="","",
IF(AX116="PT",VLOOKUP(L116,Foundation_Calc!$K$4:$R$37,VLOOKUP(AW116,Foundation_Calc!$I$2:$J$8,2,FALSE),0),
IF(AX116="K",VLOOKUP(L116,Foundation_Calc!$K$41:$R$74,VLOOKUP(AW116,Foundation_Calc!$I$2:$J$8,2,FALSE),0),"")))</f>
        <v/>
      </c>
      <c r="AZ116" s="631" t="str">
        <f>IF(K116="","",
IF(AX116="PT",VLOOKUP(K116,Foundation_Calc!$K$4:$R$37,VLOOKUP(AW116,Foundation_Calc!$I$2:$J$8,2,FALSE),0),
IF(AX116="K",VLOOKUP(K116,Foundation_Calc!$K$41:$R$74,VLOOKUP(AW116,Foundation_Calc!$I$2:$J$8,2,FALSE),0),"")))</f>
        <v/>
      </c>
      <c r="BA116" s="632" t="str">
        <f t="shared" si="8"/>
        <v/>
      </c>
      <c r="BB116" s="632" t="str">
        <f t="shared" si="9"/>
        <v/>
      </c>
      <c r="BC116" s="632" t="str">
        <f t="shared" si="10"/>
        <v/>
      </c>
      <c r="BD116" s="633" t="str">
        <f>IF(AND(L116="",H116=""),"",
IF(H116="",Pole_Calc!A120,
IF(H116="MP",Pole_Calc!A121,
IF(H116="AnMP",Pole_Calc!A122,
IF(H116="A",Pole_Calc!A123,
IF(H116="S/A",Pole_Calc!A124,
IF(H116="A/S",Pole_Calc!A125,"Poner a mano")))))))</f>
        <v/>
      </c>
      <c r="BE116" s="448" t="s">
        <v>1726</v>
      </c>
      <c r="BF116" s="634"/>
      <c r="BG116" s="634"/>
      <c r="BH116" s="634"/>
      <c r="BI116" s="634"/>
    </row>
    <row r="117" spans="1:61" ht="16.2" customHeight="1">
      <c r="A117" s="12"/>
      <c r="B117" s="446"/>
      <c r="C117" s="89"/>
      <c r="D117" s="13"/>
      <c r="E117" s="14"/>
      <c r="F117" s="14"/>
      <c r="G117" s="15"/>
      <c r="H117" s="8"/>
      <c r="I117" s="8"/>
      <c r="J117" s="89"/>
      <c r="K117" s="8"/>
      <c r="L117" s="8"/>
      <c r="M117" s="8" t="str">
        <f>IF(L117="","",
IF(AX117="PT",VLOOKUP(L117,Foundation_Calc!$V$4:$X$37,VLOOKUP(AX117,Foundation_Calc!$I$10:$J$13,2,FALSE),0),
IF(AX117="K",VLOOKUP(L117,Foundation_Calc!$V$41:$X$74,VLOOKUP(AX117,Foundation_Calc!$I$10:$J$13,2,FALSE),0),"")))</f>
        <v/>
      </c>
      <c r="N117" s="8"/>
      <c r="O117" s="8"/>
      <c r="P117" s="8"/>
      <c r="Q117" s="14"/>
      <c r="R117" s="15"/>
      <c r="S117" s="15"/>
      <c r="T117" s="14"/>
      <c r="U117" s="14"/>
      <c r="V117" s="14"/>
      <c r="W117" s="18"/>
      <c r="X117" s="18"/>
      <c r="Y117" s="18"/>
      <c r="Z117" s="18"/>
      <c r="AA117" s="18"/>
      <c r="AB117" s="18"/>
      <c r="AC117" s="8" t="str">
        <f t="shared" si="7"/>
        <v/>
      </c>
      <c r="AD117" s="8"/>
      <c r="AE117" s="8"/>
      <c r="AF117" s="14"/>
      <c r="AG117" s="13"/>
      <c r="AH117" s="14"/>
      <c r="AI117" s="14"/>
      <c r="AJ117" s="8"/>
      <c r="AK117" s="8"/>
      <c r="AL117" s="8"/>
      <c r="AM117" s="8"/>
      <c r="AN117" s="631"/>
      <c r="AO117" s="18"/>
      <c r="AP117" s="18"/>
      <c r="AQ117" s="18"/>
      <c r="AR117" s="18"/>
      <c r="AS117" s="18"/>
      <c r="AU117" s="448"/>
      <c r="AV117" s="448"/>
      <c r="AW117" s="8" t="str">
        <f>IF(C117&gt;0,VLOOKUP(C117,Foundation_Calc!$A$2:$C$986,3,1),
IF(J117&gt;0,VLOOKUP(J117,Foundation_Calc!$A$2:$C$986,3,1),""))</f>
        <v/>
      </c>
      <c r="AX117" s="8" t="str">
        <f>IF(C117&gt;0,VLOOKUP(C117,Foundation_Calc!$E$2:$G$986,3,1),
IF(J117&gt;0,VLOOKUP(J117,Foundation_Calc!$E$2:$G$986,3,1),""))</f>
        <v/>
      </c>
      <c r="AY117" s="631" t="str">
        <f>IF(L117="","",
IF(AX117="PT",VLOOKUP(L117,Foundation_Calc!$K$4:$R$37,VLOOKUP(AW117,Foundation_Calc!$I$2:$J$8,2,FALSE),0),
IF(AX117="K",VLOOKUP(L117,Foundation_Calc!$K$41:$R$74,VLOOKUP(AW117,Foundation_Calc!$I$2:$J$8,2,FALSE),0),"")))</f>
        <v/>
      </c>
      <c r="AZ117" s="631" t="str">
        <f>IF(K117="","",
IF(AX117="PT",VLOOKUP(K117,Foundation_Calc!$K$4:$R$37,VLOOKUP(AW117,Foundation_Calc!$I$2:$J$8,2,FALSE),0),
IF(AX117="K",VLOOKUP(K117,Foundation_Calc!$K$41:$R$74,VLOOKUP(AW117,Foundation_Calc!$I$2:$J$8,2,FALSE),0),"")))</f>
        <v/>
      </c>
      <c r="BA117" s="632" t="str">
        <f t="shared" si="8"/>
        <v/>
      </c>
      <c r="BB117" s="632" t="str">
        <f t="shared" si="9"/>
        <v/>
      </c>
      <c r="BC117" s="632" t="str">
        <f t="shared" si="10"/>
        <v/>
      </c>
      <c r="BD117" s="633" t="str">
        <f>IF(AND(L117="",H117=""),"",
IF(H117="",Pole_Calc!A121,
IF(H117="MP",Pole_Calc!A122,
IF(H117="AnMP",Pole_Calc!A123,
IF(H117="A",Pole_Calc!A124,
IF(H117="S/A",Pole_Calc!A125,
IF(H117="A/S",Pole_Calc!A126,"Poner a mano")))))))</f>
        <v/>
      </c>
      <c r="BE117" s="448" t="s">
        <v>1726</v>
      </c>
      <c r="BF117" s="635"/>
      <c r="BG117" s="635"/>
      <c r="BH117" s="634"/>
      <c r="BI117" s="635"/>
    </row>
    <row r="118" spans="1:61" ht="16.2" customHeight="1">
      <c r="A118" s="12"/>
      <c r="B118" s="446"/>
      <c r="C118" s="89"/>
      <c r="D118" s="13"/>
      <c r="E118" s="14"/>
      <c r="F118" s="14"/>
      <c r="G118" s="15"/>
      <c r="H118" s="8"/>
      <c r="I118" s="8"/>
      <c r="J118" s="89"/>
      <c r="K118" s="8"/>
      <c r="L118" s="8"/>
      <c r="M118" s="8" t="str">
        <f>IF(L118="","",
IF(AX118="PT",VLOOKUP(L118,Foundation_Calc!$V$4:$X$37,VLOOKUP(AX118,Foundation_Calc!$I$10:$J$13,2,FALSE),0),
IF(AX118="K",VLOOKUP(L118,Foundation_Calc!$V$41:$X$74,VLOOKUP(AX118,Foundation_Calc!$I$10:$J$13,2,FALSE),0),"")))</f>
        <v/>
      </c>
      <c r="N118" s="8"/>
      <c r="O118" s="8"/>
      <c r="P118" s="8"/>
      <c r="Q118" s="14"/>
      <c r="R118" s="15"/>
      <c r="S118" s="15"/>
      <c r="T118" s="14"/>
      <c r="U118" s="14"/>
      <c r="V118" s="14"/>
      <c r="W118" s="18"/>
      <c r="X118" s="18"/>
      <c r="Y118" s="18"/>
      <c r="Z118" s="18"/>
      <c r="AA118" s="18"/>
      <c r="AB118" s="18"/>
      <c r="AC118" s="8" t="str">
        <f t="shared" si="7"/>
        <v/>
      </c>
      <c r="AD118" s="8"/>
      <c r="AE118" s="8"/>
      <c r="AF118" s="14"/>
      <c r="AG118" s="13"/>
      <c r="AH118" s="14"/>
      <c r="AI118" s="14"/>
      <c r="AJ118" s="8"/>
      <c r="AK118" s="8"/>
      <c r="AL118" s="8"/>
      <c r="AM118" s="8"/>
      <c r="AN118" s="631"/>
      <c r="AO118" s="18"/>
      <c r="AP118" s="18"/>
      <c r="AQ118" s="18"/>
      <c r="AR118" s="18"/>
      <c r="AS118" s="18"/>
      <c r="AU118" s="448"/>
      <c r="AV118" s="448"/>
      <c r="AW118" s="8" t="str">
        <f>IF(C118&gt;0,VLOOKUP(C118,Foundation_Calc!$A$2:$C$986,3,1),
IF(J118&gt;0,VLOOKUP(J118,Foundation_Calc!$A$2:$C$986,3,1),""))</f>
        <v/>
      </c>
      <c r="AX118" s="8" t="str">
        <f>IF(C118&gt;0,VLOOKUP(C118,Foundation_Calc!$E$2:$G$986,3,1),
IF(J118&gt;0,VLOOKUP(J118,Foundation_Calc!$E$2:$G$986,3,1),""))</f>
        <v/>
      </c>
      <c r="AY118" s="631" t="str">
        <f>IF(L118="","",
IF(AX118="PT",VLOOKUP(L118,Foundation_Calc!$K$4:$R$37,VLOOKUP(AW118,Foundation_Calc!$I$2:$J$8,2,FALSE),0),
IF(AX118="K",VLOOKUP(L118,Foundation_Calc!$K$41:$R$74,VLOOKUP(AW118,Foundation_Calc!$I$2:$J$8,2,FALSE),0),"")))</f>
        <v/>
      </c>
      <c r="AZ118" s="631" t="str">
        <f>IF(K118="","",
IF(AX118="PT",VLOOKUP(K118,Foundation_Calc!$K$4:$R$37,VLOOKUP(AW118,Foundation_Calc!$I$2:$J$8,2,FALSE),0),
IF(AX118="K",VLOOKUP(K118,Foundation_Calc!$K$41:$R$74,VLOOKUP(AW118,Foundation_Calc!$I$2:$J$8,2,FALSE),0),"")))</f>
        <v/>
      </c>
      <c r="BA118" s="632" t="str">
        <f t="shared" si="8"/>
        <v/>
      </c>
      <c r="BB118" s="632" t="str">
        <f t="shared" si="9"/>
        <v/>
      </c>
      <c r="BC118" s="632" t="str">
        <f t="shared" si="10"/>
        <v/>
      </c>
      <c r="BD118" s="633" t="str">
        <f>IF(AND(L118="",H118=""),"",
IF(H118="",Pole_Calc!A122,
IF(H118="MP",Pole_Calc!A123,
IF(H118="AnMP",Pole_Calc!A124,
IF(H118="A",Pole_Calc!A125,
IF(H118="S/A",Pole_Calc!A126,
IF(H118="A/S",Pole_Calc!A127,"Poner a mano")))))))</f>
        <v/>
      </c>
      <c r="BE118" s="448" t="s">
        <v>1726</v>
      </c>
      <c r="BF118" s="634"/>
      <c r="BG118" s="634"/>
      <c r="BH118" s="634"/>
      <c r="BI118" s="634"/>
    </row>
    <row r="119" spans="1:61" ht="16.2" customHeight="1">
      <c r="A119" s="12"/>
      <c r="B119" s="446"/>
      <c r="C119" s="89"/>
      <c r="D119" s="13"/>
      <c r="E119" s="14"/>
      <c r="F119" s="14"/>
      <c r="G119" s="15"/>
      <c r="H119" s="8"/>
      <c r="I119" s="8"/>
      <c r="J119" s="89"/>
      <c r="K119" s="8"/>
      <c r="L119" s="8"/>
      <c r="M119" s="8" t="str">
        <f>IF(L119="","",
IF(AX119="PT",VLOOKUP(L119,Foundation_Calc!$V$4:$X$37,VLOOKUP(AX119,Foundation_Calc!$I$10:$J$13,2,FALSE),0),
IF(AX119="K",VLOOKUP(L119,Foundation_Calc!$V$41:$X$74,VLOOKUP(AX119,Foundation_Calc!$I$10:$J$13,2,FALSE),0),"")))</f>
        <v/>
      </c>
      <c r="N119" s="8"/>
      <c r="O119" s="8"/>
      <c r="P119" s="8"/>
      <c r="Q119" s="14"/>
      <c r="R119" s="15"/>
      <c r="S119" s="15"/>
      <c r="T119" s="14"/>
      <c r="U119" s="14"/>
      <c r="V119" s="14"/>
      <c r="W119" s="18"/>
      <c r="X119" s="18"/>
      <c r="Y119" s="18"/>
      <c r="Z119" s="18"/>
      <c r="AA119" s="18"/>
      <c r="AB119" s="18"/>
      <c r="AC119" s="8" t="str">
        <f t="shared" si="7"/>
        <v/>
      </c>
      <c r="AD119" s="8"/>
      <c r="AE119" s="8"/>
      <c r="AF119" s="14"/>
      <c r="AG119" s="13"/>
      <c r="AH119" s="14"/>
      <c r="AI119" s="14"/>
      <c r="AJ119" s="8"/>
      <c r="AK119" s="8"/>
      <c r="AL119" s="8"/>
      <c r="AM119" s="8"/>
      <c r="AN119" s="631"/>
      <c r="AO119" s="18"/>
      <c r="AP119" s="18"/>
      <c r="AQ119" s="18"/>
      <c r="AR119" s="18"/>
      <c r="AS119" s="18"/>
      <c r="AU119" s="448"/>
      <c r="AV119" s="448"/>
      <c r="AW119" s="8" t="str">
        <f>IF(C119&gt;0,VLOOKUP(C119,Foundation_Calc!$A$2:$C$986,3,1),
IF(J119&gt;0,VLOOKUP(J119,Foundation_Calc!$A$2:$C$986,3,1),""))</f>
        <v/>
      </c>
      <c r="AX119" s="8" t="str">
        <f>IF(C119&gt;0,VLOOKUP(C119,Foundation_Calc!$E$2:$G$986,3,1),
IF(J119&gt;0,VLOOKUP(J119,Foundation_Calc!$E$2:$G$986,3,1),""))</f>
        <v/>
      </c>
      <c r="AY119" s="631" t="str">
        <f>IF(L119="","",
IF(AX119="PT",VLOOKUP(L119,Foundation_Calc!$K$4:$R$37,VLOOKUP(AW119,Foundation_Calc!$I$2:$J$8,2,FALSE),0),
IF(AX119="K",VLOOKUP(L119,Foundation_Calc!$K$41:$R$74,VLOOKUP(AW119,Foundation_Calc!$I$2:$J$8,2,FALSE),0),"")))</f>
        <v/>
      </c>
      <c r="AZ119" s="631" t="str">
        <f>IF(K119="","",
IF(AX119="PT",VLOOKUP(K119,Foundation_Calc!$K$4:$R$37,VLOOKUP(AW119,Foundation_Calc!$I$2:$J$8,2,FALSE),0),
IF(AX119="K",VLOOKUP(K119,Foundation_Calc!$K$41:$R$74,VLOOKUP(AW119,Foundation_Calc!$I$2:$J$8,2,FALSE),0),"")))</f>
        <v/>
      </c>
      <c r="BA119" s="632" t="str">
        <f t="shared" si="8"/>
        <v/>
      </c>
      <c r="BB119" s="632" t="str">
        <f t="shared" si="9"/>
        <v/>
      </c>
      <c r="BC119" s="632" t="str">
        <f t="shared" si="10"/>
        <v/>
      </c>
      <c r="BD119" s="633" t="str">
        <f>IF(AND(L119="",H119=""),"",
IF(H119="",Pole_Calc!A123,
IF(H119="MP",Pole_Calc!A124,
IF(H119="AnMP",Pole_Calc!A125,
IF(H119="A",Pole_Calc!A126,
IF(H119="S/A",Pole_Calc!A127,
IF(H119="A/S",Pole_Calc!A128,"Poner a mano")))))))</f>
        <v/>
      </c>
      <c r="BE119" s="448" t="s">
        <v>1726</v>
      </c>
      <c r="BF119" s="635"/>
      <c r="BG119" s="635"/>
      <c r="BH119" s="634"/>
      <c r="BI119" s="635"/>
    </row>
    <row r="120" spans="1:61" ht="16.2" customHeight="1">
      <c r="A120" s="12"/>
      <c r="B120" s="446"/>
      <c r="C120" s="89"/>
      <c r="D120" s="13"/>
      <c r="E120" s="14"/>
      <c r="F120" s="14"/>
      <c r="G120" s="15"/>
      <c r="H120" s="8"/>
      <c r="I120" s="8"/>
      <c r="J120" s="89"/>
      <c r="K120" s="8"/>
      <c r="L120" s="8"/>
      <c r="M120" s="8" t="str">
        <f>IF(L120="","",
IF(AX120="PT",VLOOKUP(L120,Foundation_Calc!$V$4:$X$37,VLOOKUP(AX120,Foundation_Calc!$I$10:$J$13,2,FALSE),0),
IF(AX120="K",VLOOKUP(L120,Foundation_Calc!$V$41:$X$74,VLOOKUP(AX120,Foundation_Calc!$I$10:$J$13,2,FALSE),0),"")))</f>
        <v/>
      </c>
      <c r="N120" s="8"/>
      <c r="O120" s="8"/>
      <c r="P120" s="8"/>
      <c r="Q120" s="14"/>
      <c r="R120" s="15"/>
      <c r="S120" s="15"/>
      <c r="T120" s="14"/>
      <c r="U120" s="14"/>
      <c r="V120" s="14"/>
      <c r="W120" s="18"/>
      <c r="X120" s="18"/>
      <c r="Y120" s="18"/>
      <c r="Z120" s="18"/>
      <c r="AA120" s="18"/>
      <c r="AB120" s="18"/>
      <c r="AC120" s="8" t="str">
        <f t="shared" si="7"/>
        <v/>
      </c>
      <c r="AD120" s="8"/>
      <c r="AE120" s="8"/>
      <c r="AF120" s="14"/>
      <c r="AG120" s="13"/>
      <c r="AH120" s="14"/>
      <c r="AI120" s="14"/>
      <c r="AJ120" s="8"/>
      <c r="AK120" s="8"/>
      <c r="AL120" s="8"/>
      <c r="AM120" s="8"/>
      <c r="AN120" s="631"/>
      <c r="AO120" s="18"/>
      <c r="AP120" s="18"/>
      <c r="AQ120" s="18"/>
      <c r="AR120" s="18"/>
      <c r="AS120" s="18"/>
      <c r="AU120" s="448"/>
      <c r="AV120" s="448"/>
      <c r="AW120" s="8" t="str">
        <f>IF(C120&gt;0,VLOOKUP(C120,Foundation_Calc!$A$2:$C$986,3,1),
IF(J120&gt;0,VLOOKUP(J120,Foundation_Calc!$A$2:$C$986,3,1),""))</f>
        <v/>
      </c>
      <c r="AX120" s="8" t="str">
        <f>IF(C120&gt;0,VLOOKUP(C120,Foundation_Calc!$E$2:$G$986,3,1),
IF(J120&gt;0,VLOOKUP(J120,Foundation_Calc!$E$2:$G$986,3,1),""))</f>
        <v/>
      </c>
      <c r="AY120" s="631" t="str">
        <f>IF(L120="","",
IF(AX120="PT",VLOOKUP(L120,Foundation_Calc!$K$4:$R$37,VLOOKUP(AW120,Foundation_Calc!$I$2:$J$8,2,FALSE),0),
IF(AX120="K",VLOOKUP(L120,Foundation_Calc!$K$41:$R$74,VLOOKUP(AW120,Foundation_Calc!$I$2:$J$8,2,FALSE),0),"")))</f>
        <v/>
      </c>
      <c r="AZ120" s="631" t="str">
        <f>IF(K120="","",
IF(AX120="PT",VLOOKUP(K120,Foundation_Calc!$K$4:$R$37,VLOOKUP(AW120,Foundation_Calc!$I$2:$J$8,2,FALSE),0),
IF(AX120="K",VLOOKUP(K120,Foundation_Calc!$K$41:$R$74,VLOOKUP(AW120,Foundation_Calc!$I$2:$J$8,2,FALSE),0),"")))</f>
        <v/>
      </c>
      <c r="BA120" s="632" t="str">
        <f t="shared" si="8"/>
        <v/>
      </c>
      <c r="BB120" s="632" t="str">
        <f t="shared" si="9"/>
        <v/>
      </c>
      <c r="BC120" s="632" t="str">
        <f t="shared" si="10"/>
        <v/>
      </c>
      <c r="BD120" s="633" t="str">
        <f>IF(AND(L120="",H120=""),"",
IF(H120="",Pole_Calc!A124,
IF(H120="MP",Pole_Calc!A125,
IF(H120="AnMP",Pole_Calc!A126,
IF(H120="A",Pole_Calc!A127,
IF(H120="S/A",Pole_Calc!A128,
IF(H120="A/S",Pole_Calc!A129,"Poner a mano")))))))</f>
        <v/>
      </c>
      <c r="BE120" s="448" t="s">
        <v>1726</v>
      </c>
      <c r="BF120" s="634"/>
      <c r="BG120" s="634"/>
      <c r="BH120" s="634"/>
      <c r="BI120" s="634"/>
    </row>
    <row r="121" spans="1:61" ht="16.2" customHeight="1">
      <c r="A121" s="12"/>
      <c r="B121" s="446"/>
      <c r="C121" s="89"/>
      <c r="D121" s="13"/>
      <c r="E121" s="14"/>
      <c r="F121" s="14"/>
      <c r="G121" s="15"/>
      <c r="H121" s="8"/>
      <c r="I121" s="8"/>
      <c r="J121" s="89"/>
      <c r="K121" s="8"/>
      <c r="L121" s="8"/>
      <c r="M121" s="8" t="str">
        <f>IF(L121="","",
IF(AX121="PT",VLOOKUP(L121,Foundation_Calc!$V$4:$X$37,VLOOKUP(AX121,Foundation_Calc!$I$10:$J$13,2,FALSE),0),
IF(AX121="K",VLOOKUP(L121,Foundation_Calc!$V$41:$X$74,VLOOKUP(AX121,Foundation_Calc!$I$10:$J$13,2,FALSE),0),"")))</f>
        <v/>
      </c>
      <c r="N121" s="8"/>
      <c r="O121" s="8"/>
      <c r="P121" s="8"/>
      <c r="Q121" s="14"/>
      <c r="R121" s="15"/>
      <c r="S121" s="15"/>
      <c r="T121" s="14"/>
      <c r="U121" s="14"/>
      <c r="V121" s="14"/>
      <c r="W121" s="18"/>
      <c r="X121" s="18"/>
      <c r="Y121" s="18"/>
      <c r="Z121" s="18"/>
      <c r="AA121" s="18"/>
      <c r="AB121" s="18"/>
      <c r="AC121" s="8" t="str">
        <f t="shared" si="7"/>
        <v/>
      </c>
      <c r="AD121" s="8"/>
      <c r="AE121" s="8"/>
      <c r="AF121" s="14"/>
      <c r="AG121" s="13"/>
      <c r="AH121" s="14"/>
      <c r="AI121" s="14"/>
      <c r="AJ121" s="8"/>
      <c r="AK121" s="8"/>
      <c r="AL121" s="8"/>
      <c r="AM121" s="8"/>
      <c r="AN121" s="631"/>
      <c r="AO121" s="18"/>
      <c r="AP121" s="18"/>
      <c r="AQ121" s="18"/>
      <c r="AR121" s="18"/>
      <c r="AS121" s="18"/>
      <c r="AU121" s="448"/>
      <c r="AV121" s="448"/>
      <c r="AW121" s="8" t="str">
        <f>IF(C121&gt;0,VLOOKUP(C121,Foundation_Calc!$A$2:$C$986,3,1),
IF(J121&gt;0,VLOOKUP(J121,Foundation_Calc!$A$2:$C$986,3,1),""))</f>
        <v/>
      </c>
      <c r="AX121" s="8" t="str">
        <f>IF(C121&gt;0,VLOOKUP(C121,Foundation_Calc!$E$2:$G$986,3,1),
IF(J121&gt;0,VLOOKUP(J121,Foundation_Calc!$E$2:$G$986,3,1),""))</f>
        <v/>
      </c>
      <c r="AY121" s="631" t="str">
        <f>IF(L121="","",
IF(AX121="PT",VLOOKUP(L121,Foundation_Calc!$K$4:$R$37,VLOOKUP(AW121,Foundation_Calc!$I$2:$J$8,2,FALSE),0),
IF(AX121="K",VLOOKUP(L121,Foundation_Calc!$K$41:$R$74,VLOOKUP(AW121,Foundation_Calc!$I$2:$J$8,2,FALSE),0),"")))</f>
        <v/>
      </c>
      <c r="AZ121" s="631" t="str">
        <f>IF(K121="","",
IF(AX121="PT",VLOOKUP(K121,Foundation_Calc!$K$4:$R$37,VLOOKUP(AW121,Foundation_Calc!$I$2:$J$8,2,FALSE),0),
IF(AX121="K",VLOOKUP(K121,Foundation_Calc!$K$41:$R$74,VLOOKUP(AW121,Foundation_Calc!$I$2:$J$8,2,FALSE),0),"")))</f>
        <v/>
      </c>
      <c r="BA121" s="632" t="str">
        <f t="shared" si="8"/>
        <v/>
      </c>
      <c r="BB121" s="632" t="str">
        <f t="shared" si="9"/>
        <v/>
      </c>
      <c r="BC121" s="632" t="str">
        <f t="shared" si="10"/>
        <v/>
      </c>
      <c r="BD121" s="633" t="str">
        <f>IF(AND(L121="",H121=""),"",
IF(H121="",Pole_Calc!A125,
IF(H121="MP",Pole_Calc!A126,
IF(H121="AnMP",Pole_Calc!A127,
IF(H121="A",Pole_Calc!A128,
IF(H121="S/A",Pole_Calc!A129,
IF(H121="A/S",Pole_Calc!A130,"Poner a mano")))))))</f>
        <v/>
      </c>
      <c r="BE121" s="448" t="s">
        <v>1726</v>
      </c>
      <c r="BF121" s="635"/>
      <c r="BG121" s="635"/>
      <c r="BH121" s="634"/>
      <c r="BI121" s="635"/>
    </row>
    <row r="122" spans="1:61" ht="16.2" customHeight="1">
      <c r="A122" s="12"/>
      <c r="B122" s="446"/>
      <c r="C122" s="89"/>
      <c r="D122" s="13"/>
      <c r="E122" s="14"/>
      <c r="F122" s="14"/>
      <c r="G122" s="15"/>
      <c r="H122" s="8"/>
      <c r="I122" s="8"/>
      <c r="J122" s="89"/>
      <c r="K122" s="8"/>
      <c r="L122" s="8"/>
      <c r="M122" s="8" t="str">
        <f>IF(L122="","",
IF(AX122="PT",VLOOKUP(L122,Foundation_Calc!$V$4:$X$37,VLOOKUP(AX122,Foundation_Calc!$I$10:$J$13,2,FALSE),0),
IF(AX122="K",VLOOKUP(L122,Foundation_Calc!$V$41:$X$74,VLOOKUP(AX122,Foundation_Calc!$I$10:$J$13,2,FALSE),0),"")))</f>
        <v/>
      </c>
      <c r="N122" s="8"/>
      <c r="O122" s="8"/>
      <c r="P122" s="8"/>
      <c r="Q122" s="14"/>
      <c r="R122" s="15"/>
      <c r="S122" s="15"/>
      <c r="T122" s="14"/>
      <c r="U122" s="14"/>
      <c r="V122" s="14"/>
      <c r="W122" s="18"/>
      <c r="X122" s="18"/>
      <c r="Y122" s="18"/>
      <c r="Z122" s="18"/>
      <c r="AA122" s="18"/>
      <c r="AB122" s="18"/>
      <c r="AC122" s="8" t="str">
        <f t="shared" si="7"/>
        <v/>
      </c>
      <c r="AD122" s="8"/>
      <c r="AE122" s="8"/>
      <c r="AF122" s="14"/>
      <c r="AG122" s="13"/>
      <c r="AH122" s="14"/>
      <c r="AI122" s="14"/>
      <c r="AJ122" s="8"/>
      <c r="AK122" s="8"/>
      <c r="AL122" s="8"/>
      <c r="AM122" s="8"/>
      <c r="AN122" s="631"/>
      <c r="AO122" s="18"/>
      <c r="AP122" s="18"/>
      <c r="AQ122" s="18"/>
      <c r="AR122" s="18"/>
      <c r="AS122" s="18"/>
      <c r="AU122" s="448"/>
      <c r="AV122" s="448"/>
      <c r="AW122" s="8" t="str">
        <f>IF(C122&gt;0,VLOOKUP(C122,Foundation_Calc!$A$2:$C$986,3,1),
IF(J122&gt;0,VLOOKUP(J122,Foundation_Calc!$A$2:$C$986,3,1),""))</f>
        <v/>
      </c>
      <c r="AX122" s="8" t="str">
        <f>IF(C122&gt;0,VLOOKUP(C122,Foundation_Calc!$E$2:$G$986,3,1),
IF(J122&gt;0,VLOOKUP(J122,Foundation_Calc!$E$2:$G$986,3,1),""))</f>
        <v/>
      </c>
      <c r="AY122" s="631" t="str">
        <f>IF(L122="","",
IF(AX122="PT",VLOOKUP(L122,Foundation_Calc!$K$4:$R$37,VLOOKUP(AW122,Foundation_Calc!$I$2:$J$8,2,FALSE),0),
IF(AX122="K",VLOOKUP(L122,Foundation_Calc!$K$41:$R$74,VLOOKUP(AW122,Foundation_Calc!$I$2:$J$8,2,FALSE),0),"")))</f>
        <v/>
      </c>
      <c r="AZ122" s="631" t="str">
        <f>IF(K122="","",
IF(AX122="PT",VLOOKUP(K122,Foundation_Calc!$K$4:$R$37,VLOOKUP(AW122,Foundation_Calc!$I$2:$J$8,2,FALSE),0),
IF(AX122="K",VLOOKUP(K122,Foundation_Calc!$K$41:$R$74,VLOOKUP(AW122,Foundation_Calc!$I$2:$J$8,2,FALSE),0),"")))</f>
        <v/>
      </c>
      <c r="BA122" s="632" t="str">
        <f t="shared" si="8"/>
        <v/>
      </c>
      <c r="BB122" s="632" t="str">
        <f t="shared" si="9"/>
        <v/>
      </c>
      <c r="BC122" s="632" t="str">
        <f t="shared" si="10"/>
        <v/>
      </c>
      <c r="BD122" s="633" t="str">
        <f>IF(AND(L122="",H122=""),"",
IF(H122="",Pole_Calc!A126,
IF(H122="MP",Pole_Calc!A127,
IF(H122="AnMP",Pole_Calc!A128,
IF(H122="A",Pole_Calc!A129,
IF(H122="S/A",Pole_Calc!A130,
IF(H122="A/S",Pole_Calc!A131,"Poner a mano")))))))</f>
        <v/>
      </c>
      <c r="BE122" s="448" t="s">
        <v>1726</v>
      </c>
      <c r="BF122" s="634"/>
      <c r="BG122" s="634"/>
      <c r="BH122" s="634"/>
      <c r="BI122" s="634"/>
    </row>
    <row r="123" spans="1:61" ht="16.2" customHeight="1">
      <c r="A123" s="12"/>
      <c r="B123" s="446"/>
      <c r="C123" s="89"/>
      <c r="D123" s="13"/>
      <c r="E123" s="14"/>
      <c r="F123" s="14"/>
      <c r="G123" s="15"/>
      <c r="H123" s="8"/>
      <c r="I123" s="8"/>
      <c r="J123" s="89"/>
      <c r="K123" s="8"/>
      <c r="L123" s="8"/>
      <c r="M123" s="8" t="str">
        <f>IF(L123="","",
IF(AX123="PT",VLOOKUP(L123,Foundation_Calc!$V$4:$X$37,VLOOKUP(AX123,Foundation_Calc!$I$10:$J$13,2,FALSE),0),
IF(AX123="K",VLOOKUP(L123,Foundation_Calc!$V$41:$X$74,VLOOKUP(AX123,Foundation_Calc!$I$10:$J$13,2,FALSE),0),"")))</f>
        <v/>
      </c>
      <c r="N123" s="8"/>
      <c r="O123" s="8"/>
      <c r="P123" s="8"/>
      <c r="Q123" s="14"/>
      <c r="R123" s="15"/>
      <c r="S123" s="15"/>
      <c r="T123" s="14"/>
      <c r="U123" s="14"/>
      <c r="V123" s="14"/>
      <c r="W123" s="18"/>
      <c r="X123" s="18"/>
      <c r="Y123" s="18"/>
      <c r="Z123" s="18"/>
      <c r="AA123" s="18"/>
      <c r="AB123" s="18"/>
      <c r="AC123" s="8" t="str">
        <f t="shared" si="7"/>
        <v/>
      </c>
      <c r="AD123" s="8"/>
      <c r="AE123" s="8"/>
      <c r="AF123" s="14"/>
      <c r="AG123" s="13"/>
      <c r="AH123" s="14"/>
      <c r="AI123" s="14"/>
      <c r="AJ123" s="8"/>
      <c r="AK123" s="8"/>
      <c r="AL123" s="8"/>
      <c r="AM123" s="8"/>
      <c r="AN123" s="631"/>
      <c r="AO123" s="18"/>
      <c r="AP123" s="18"/>
      <c r="AQ123" s="18"/>
      <c r="AR123" s="18"/>
      <c r="AS123" s="18"/>
      <c r="AU123" s="448"/>
      <c r="AV123" s="448"/>
      <c r="AW123" s="8" t="str">
        <f>IF(C123&gt;0,VLOOKUP(C123,Foundation_Calc!$A$2:$C$986,3,1),
IF(J123&gt;0,VLOOKUP(J123,Foundation_Calc!$A$2:$C$986,3,1),""))</f>
        <v/>
      </c>
      <c r="AX123" s="8" t="str">
        <f>IF(C123&gt;0,VLOOKUP(C123,Foundation_Calc!$E$2:$G$986,3,1),
IF(J123&gt;0,VLOOKUP(J123,Foundation_Calc!$E$2:$G$986,3,1),""))</f>
        <v/>
      </c>
      <c r="AY123" s="631" t="str">
        <f>IF(L123="","",
IF(AX123="PT",VLOOKUP(L123,Foundation_Calc!$K$4:$R$37,VLOOKUP(AW123,Foundation_Calc!$I$2:$J$8,2,FALSE),0),
IF(AX123="K",VLOOKUP(L123,Foundation_Calc!$K$41:$R$74,VLOOKUP(AW123,Foundation_Calc!$I$2:$J$8,2,FALSE),0),"")))</f>
        <v/>
      </c>
      <c r="AZ123" s="631" t="str">
        <f>IF(K123="","",
IF(AX123="PT",VLOOKUP(K123,Foundation_Calc!$K$4:$R$37,VLOOKUP(AW123,Foundation_Calc!$I$2:$J$8,2,FALSE),0),
IF(AX123="K",VLOOKUP(K123,Foundation_Calc!$K$41:$R$74,VLOOKUP(AW123,Foundation_Calc!$I$2:$J$8,2,FALSE),0),"")))</f>
        <v/>
      </c>
      <c r="BA123" s="632" t="str">
        <f t="shared" si="8"/>
        <v/>
      </c>
      <c r="BB123" s="632" t="str">
        <f t="shared" si="9"/>
        <v/>
      </c>
      <c r="BC123" s="632" t="str">
        <f t="shared" si="10"/>
        <v/>
      </c>
      <c r="BD123" s="633" t="str">
        <f>IF(AND(L123="",H123=""),"",
IF(H123="",Pole_Calc!A127,
IF(H123="MP",Pole_Calc!A128,
IF(H123="AnMP",Pole_Calc!A129,
IF(H123="A",Pole_Calc!A130,
IF(H123="S/A",Pole_Calc!A131,
IF(H123="A/S",Pole_Calc!A132,"Poner a mano")))))))</f>
        <v/>
      </c>
      <c r="BE123" s="448" t="s">
        <v>1726</v>
      </c>
      <c r="BF123" s="635"/>
      <c r="BG123" s="635"/>
      <c r="BH123" s="634"/>
      <c r="BI123" s="635"/>
    </row>
    <row r="124" spans="1:61" ht="16.2" customHeight="1">
      <c r="A124" s="12"/>
      <c r="B124" s="446"/>
      <c r="C124" s="89"/>
      <c r="D124" s="13"/>
      <c r="E124" s="14"/>
      <c r="F124" s="14"/>
      <c r="G124" s="15"/>
      <c r="H124" s="8"/>
      <c r="I124" s="8"/>
      <c r="J124" s="89"/>
      <c r="K124" s="8"/>
      <c r="L124" s="8"/>
      <c r="M124" s="8" t="str">
        <f>IF(L124="","",
IF(AX124="PT",VLOOKUP(L124,Foundation_Calc!$V$4:$X$37,VLOOKUP(AX124,Foundation_Calc!$I$10:$J$13,2,FALSE),0),
IF(AX124="K",VLOOKUP(L124,Foundation_Calc!$V$41:$X$74,VLOOKUP(AX124,Foundation_Calc!$I$10:$J$13,2,FALSE),0),"")))</f>
        <v/>
      </c>
      <c r="N124" s="8"/>
      <c r="O124" s="8"/>
      <c r="P124" s="8"/>
      <c r="Q124" s="14"/>
      <c r="R124" s="15"/>
      <c r="S124" s="15"/>
      <c r="T124" s="14"/>
      <c r="U124" s="14"/>
      <c r="V124" s="14"/>
      <c r="W124" s="18"/>
      <c r="X124" s="18"/>
      <c r="Y124" s="18"/>
      <c r="Z124" s="18"/>
      <c r="AA124" s="18"/>
      <c r="AB124" s="18"/>
      <c r="AC124" s="8" t="str">
        <f t="shared" si="7"/>
        <v/>
      </c>
      <c r="AD124" s="8"/>
      <c r="AE124" s="8"/>
      <c r="AF124" s="14"/>
      <c r="AG124" s="13"/>
      <c r="AH124" s="14"/>
      <c r="AI124" s="14"/>
      <c r="AJ124" s="8"/>
      <c r="AK124" s="8"/>
      <c r="AL124" s="8"/>
      <c r="AM124" s="8"/>
      <c r="AN124" s="631"/>
      <c r="AO124" s="18"/>
      <c r="AP124" s="18"/>
      <c r="AQ124" s="18"/>
      <c r="AR124" s="18"/>
      <c r="AS124" s="18"/>
      <c r="AU124" s="448"/>
      <c r="AV124" s="448"/>
      <c r="AW124" s="8" t="str">
        <f>IF(C124&gt;0,VLOOKUP(C124,Foundation_Calc!$A$2:$C$986,3,1),
IF(J124&gt;0,VLOOKUP(J124,Foundation_Calc!$A$2:$C$986,3,1),""))</f>
        <v/>
      </c>
      <c r="AX124" s="8" t="str">
        <f>IF(C124&gt;0,VLOOKUP(C124,Foundation_Calc!$E$2:$G$986,3,1),
IF(J124&gt;0,VLOOKUP(J124,Foundation_Calc!$E$2:$G$986,3,1),""))</f>
        <v/>
      </c>
      <c r="AY124" s="631" t="str">
        <f>IF(L124="","",
IF(AX124="PT",VLOOKUP(L124,Foundation_Calc!$K$4:$R$37,VLOOKUP(AW124,Foundation_Calc!$I$2:$J$8,2,FALSE),0),
IF(AX124="K",VLOOKUP(L124,Foundation_Calc!$K$41:$R$74,VLOOKUP(AW124,Foundation_Calc!$I$2:$J$8,2,FALSE),0),"")))</f>
        <v/>
      </c>
      <c r="AZ124" s="631" t="str">
        <f>IF(K124="","",
IF(AX124="PT",VLOOKUP(K124,Foundation_Calc!$K$4:$R$37,VLOOKUP(AW124,Foundation_Calc!$I$2:$J$8,2,FALSE),0),
IF(AX124="K",VLOOKUP(K124,Foundation_Calc!$K$41:$R$74,VLOOKUP(AW124,Foundation_Calc!$I$2:$J$8,2,FALSE),0),"")))</f>
        <v/>
      </c>
      <c r="BA124" s="632" t="str">
        <f t="shared" si="8"/>
        <v/>
      </c>
      <c r="BB124" s="632" t="str">
        <f t="shared" si="9"/>
        <v/>
      </c>
      <c r="BC124" s="632" t="str">
        <f t="shared" si="10"/>
        <v/>
      </c>
      <c r="BD124" s="633" t="str">
        <f>IF(AND(L124="",H124=""),"",
IF(H124="",Pole_Calc!A128,
IF(H124="MP",Pole_Calc!A129,
IF(H124="AnMP",Pole_Calc!A130,
IF(H124="A",Pole_Calc!A131,
IF(H124="S/A",Pole_Calc!A132,
IF(H124="A/S",Pole_Calc!A133,"Poner a mano")))))))</f>
        <v/>
      </c>
      <c r="BE124" s="448" t="s">
        <v>1726</v>
      </c>
      <c r="BF124" s="634"/>
      <c r="BG124" s="634"/>
      <c r="BH124" s="634"/>
      <c r="BI124" s="634"/>
    </row>
    <row r="125" spans="1:61" ht="16.2" customHeight="1">
      <c r="A125" s="12"/>
      <c r="B125" s="446"/>
      <c r="C125" s="89"/>
      <c r="D125" s="13"/>
      <c r="E125" s="14"/>
      <c r="F125" s="14"/>
      <c r="G125" s="15"/>
      <c r="H125" s="8"/>
      <c r="I125" s="8"/>
      <c r="J125" s="89"/>
      <c r="K125" s="8"/>
      <c r="L125" s="8"/>
      <c r="M125" s="8" t="str">
        <f>IF(L125="","",
IF(AX125="PT",VLOOKUP(L125,Foundation_Calc!$V$4:$X$37,VLOOKUP(AX125,Foundation_Calc!$I$10:$J$13,2,FALSE),0),
IF(AX125="K",VLOOKUP(L125,Foundation_Calc!$V$41:$X$74,VLOOKUP(AX125,Foundation_Calc!$I$10:$J$13,2,FALSE),0),"")))</f>
        <v/>
      </c>
      <c r="N125" s="8"/>
      <c r="O125" s="8"/>
      <c r="P125" s="8"/>
      <c r="Q125" s="14"/>
      <c r="R125" s="15"/>
      <c r="S125" s="15"/>
      <c r="T125" s="14"/>
      <c r="U125" s="14"/>
      <c r="V125" s="14"/>
      <c r="W125" s="18"/>
      <c r="X125" s="18"/>
      <c r="Y125" s="18"/>
      <c r="Z125" s="18"/>
      <c r="AA125" s="18"/>
      <c r="AB125" s="18"/>
      <c r="AC125" s="8" t="str">
        <f t="shared" si="7"/>
        <v/>
      </c>
      <c r="AD125" s="8"/>
      <c r="AE125" s="8"/>
      <c r="AF125" s="14"/>
      <c r="AG125" s="13"/>
      <c r="AH125" s="14"/>
      <c r="AI125" s="14"/>
      <c r="AJ125" s="8"/>
      <c r="AK125" s="8"/>
      <c r="AL125" s="8"/>
      <c r="AM125" s="8"/>
      <c r="AN125" s="631"/>
      <c r="AO125" s="18"/>
      <c r="AP125" s="18"/>
      <c r="AQ125" s="18"/>
      <c r="AR125" s="18"/>
      <c r="AS125" s="18"/>
      <c r="AU125" s="448"/>
      <c r="AV125" s="448"/>
      <c r="AW125" s="8" t="str">
        <f>IF(C125&gt;0,VLOOKUP(C125,Foundation_Calc!$A$2:$C$986,3,1),
IF(J125&gt;0,VLOOKUP(J125,Foundation_Calc!$A$2:$C$986,3,1),""))</f>
        <v/>
      </c>
      <c r="AX125" s="8" t="str">
        <f>IF(C125&gt;0,VLOOKUP(C125,Foundation_Calc!$E$2:$G$986,3,1),
IF(J125&gt;0,VLOOKUP(J125,Foundation_Calc!$E$2:$G$986,3,1),""))</f>
        <v/>
      </c>
      <c r="AY125" s="631" t="str">
        <f>IF(L125="","",
IF(AX125="PT",VLOOKUP(L125,Foundation_Calc!$K$4:$R$37,VLOOKUP(AW125,Foundation_Calc!$I$2:$J$8,2,FALSE),0),
IF(AX125="K",VLOOKUP(L125,Foundation_Calc!$K$41:$R$74,VLOOKUP(AW125,Foundation_Calc!$I$2:$J$8,2,FALSE),0),"")))</f>
        <v/>
      </c>
      <c r="AZ125" s="631" t="str">
        <f>IF(K125="","",
IF(AX125="PT",VLOOKUP(K125,Foundation_Calc!$K$4:$R$37,VLOOKUP(AW125,Foundation_Calc!$I$2:$J$8,2,FALSE),0),
IF(AX125="K",VLOOKUP(K125,Foundation_Calc!$K$41:$R$74,VLOOKUP(AW125,Foundation_Calc!$I$2:$J$8,2,FALSE),0),"")))</f>
        <v/>
      </c>
      <c r="BA125" s="632" t="str">
        <f t="shared" si="8"/>
        <v/>
      </c>
      <c r="BB125" s="632" t="str">
        <f t="shared" si="9"/>
        <v/>
      </c>
      <c r="BC125" s="632" t="str">
        <f t="shared" si="10"/>
        <v/>
      </c>
      <c r="BD125" s="633" t="str">
        <f>IF(AND(L125="",H125=""),"",
IF(H125="",Pole_Calc!A129,
IF(H125="MP",Pole_Calc!A130,
IF(H125="AnMP",Pole_Calc!A131,
IF(H125="A",Pole_Calc!A132,
IF(H125="S/A",Pole_Calc!A133,
IF(H125="A/S",Pole_Calc!A134,"Poner a mano")))))))</f>
        <v/>
      </c>
      <c r="BE125" s="448" t="s">
        <v>1726</v>
      </c>
      <c r="BF125" s="635"/>
      <c r="BG125" s="635"/>
      <c r="BH125" s="634"/>
      <c r="BI125" s="635"/>
    </row>
    <row r="126" spans="1:61" ht="16.2" customHeight="1">
      <c r="A126" s="12"/>
      <c r="B126" s="446"/>
      <c r="C126" s="89"/>
      <c r="D126" s="13"/>
      <c r="E126" s="14"/>
      <c r="F126" s="14"/>
      <c r="G126" s="15"/>
      <c r="H126" s="8"/>
      <c r="I126" s="8"/>
      <c r="J126" s="89"/>
      <c r="K126" s="8"/>
      <c r="L126" s="8"/>
      <c r="M126" s="8" t="str">
        <f>IF(L126="","",
IF(AX126="PT",VLOOKUP(L126,Foundation_Calc!$V$4:$X$37,VLOOKUP(AX126,Foundation_Calc!$I$10:$J$13,2,FALSE),0),
IF(AX126="K",VLOOKUP(L126,Foundation_Calc!$V$41:$X$74,VLOOKUP(AX126,Foundation_Calc!$I$10:$J$13,2,FALSE),0),"")))</f>
        <v/>
      </c>
      <c r="N126" s="8"/>
      <c r="O126" s="8"/>
      <c r="P126" s="8"/>
      <c r="Q126" s="14"/>
      <c r="R126" s="15"/>
      <c r="S126" s="15"/>
      <c r="T126" s="14"/>
      <c r="U126" s="14"/>
      <c r="V126" s="14"/>
      <c r="W126" s="18"/>
      <c r="X126" s="18"/>
      <c r="Y126" s="18"/>
      <c r="Z126" s="18"/>
      <c r="AA126" s="18"/>
      <c r="AB126" s="18"/>
      <c r="AC126" s="8" t="str">
        <f t="shared" si="7"/>
        <v/>
      </c>
      <c r="AD126" s="8"/>
      <c r="AE126" s="8"/>
      <c r="AF126" s="14"/>
      <c r="AG126" s="13"/>
      <c r="AH126" s="14"/>
      <c r="AI126" s="14"/>
      <c r="AJ126" s="8"/>
      <c r="AK126" s="8"/>
      <c r="AL126" s="8"/>
      <c r="AM126" s="8"/>
      <c r="AN126" s="631"/>
      <c r="AO126" s="18"/>
      <c r="AP126" s="18"/>
      <c r="AQ126" s="18"/>
      <c r="AR126" s="18"/>
      <c r="AS126" s="18"/>
      <c r="AU126" s="448"/>
      <c r="AV126" s="448"/>
      <c r="AW126" s="8" t="str">
        <f>IF(C126&gt;0,VLOOKUP(C126,Foundation_Calc!$A$2:$C$986,3,1),
IF(J126&gt;0,VLOOKUP(J126,Foundation_Calc!$A$2:$C$986,3,1),""))</f>
        <v/>
      </c>
      <c r="AX126" s="8" t="str">
        <f>IF(C126&gt;0,VLOOKUP(C126,Foundation_Calc!$E$2:$G$986,3,1),
IF(J126&gt;0,VLOOKUP(J126,Foundation_Calc!$E$2:$G$986,3,1),""))</f>
        <v/>
      </c>
      <c r="AY126" s="631" t="str">
        <f>IF(L126="","",
IF(AX126="PT",VLOOKUP(L126,Foundation_Calc!$K$4:$R$37,VLOOKUP(AW126,Foundation_Calc!$I$2:$J$8,2,FALSE),0),
IF(AX126="K",VLOOKUP(L126,Foundation_Calc!$K$41:$R$74,VLOOKUP(AW126,Foundation_Calc!$I$2:$J$8,2,FALSE),0),"")))</f>
        <v/>
      </c>
      <c r="AZ126" s="631" t="str">
        <f>IF(K126="","",
IF(AX126="PT",VLOOKUP(K126,Foundation_Calc!$K$4:$R$37,VLOOKUP(AW126,Foundation_Calc!$I$2:$J$8,2,FALSE),0),
IF(AX126="K",VLOOKUP(K126,Foundation_Calc!$K$41:$R$74,VLOOKUP(AW126,Foundation_Calc!$I$2:$J$8,2,FALSE),0),"")))</f>
        <v/>
      </c>
      <c r="BA126" s="632" t="str">
        <f t="shared" si="8"/>
        <v/>
      </c>
      <c r="BB126" s="632" t="str">
        <f t="shared" si="9"/>
        <v/>
      </c>
      <c r="BC126" s="632" t="str">
        <f t="shared" si="10"/>
        <v/>
      </c>
      <c r="BD126" s="633" t="str">
        <f>IF(AND(L126="",H126=""),"",
IF(H126="",Pole_Calc!A130,
IF(H126="MP",Pole_Calc!A131,
IF(H126="AnMP",Pole_Calc!A132,
IF(H126="A",Pole_Calc!A133,
IF(H126="S/A",Pole_Calc!A134,
IF(H126="A/S",Pole_Calc!A135,"Poner a mano")))))))</f>
        <v/>
      </c>
      <c r="BE126" s="448" t="s">
        <v>1726</v>
      </c>
      <c r="BF126" s="634"/>
      <c r="BG126" s="634"/>
      <c r="BH126" s="634"/>
      <c r="BI126" s="634"/>
    </row>
    <row r="127" spans="1:61" ht="16.2" customHeight="1">
      <c r="A127" s="12"/>
      <c r="B127" s="446"/>
      <c r="C127" s="89"/>
      <c r="D127" s="13"/>
      <c r="E127" s="14"/>
      <c r="F127" s="14"/>
      <c r="G127" s="15"/>
      <c r="H127" s="8"/>
      <c r="I127" s="8"/>
      <c r="J127" s="89"/>
      <c r="K127" s="8"/>
      <c r="L127" s="8"/>
      <c r="M127" s="8" t="str">
        <f>IF(L127="","",
IF(AX127="PT",VLOOKUP(L127,Foundation_Calc!$V$4:$X$37,VLOOKUP(AX127,Foundation_Calc!$I$10:$J$13,2,FALSE),0),
IF(AX127="K",VLOOKUP(L127,Foundation_Calc!$V$41:$X$74,VLOOKUP(AX127,Foundation_Calc!$I$10:$J$13,2,FALSE),0),"")))</f>
        <v/>
      </c>
      <c r="N127" s="8"/>
      <c r="O127" s="8"/>
      <c r="P127" s="8"/>
      <c r="Q127" s="14"/>
      <c r="R127" s="15"/>
      <c r="S127" s="15"/>
      <c r="T127" s="14"/>
      <c r="U127" s="14"/>
      <c r="V127" s="14"/>
      <c r="W127" s="18"/>
      <c r="X127" s="18"/>
      <c r="Y127" s="18"/>
      <c r="Z127" s="18"/>
      <c r="AA127" s="18"/>
      <c r="AB127" s="18"/>
      <c r="AC127" s="8" t="str">
        <f t="shared" si="7"/>
        <v/>
      </c>
      <c r="AD127" s="8"/>
      <c r="AE127" s="8"/>
      <c r="AF127" s="14"/>
      <c r="AG127" s="13"/>
      <c r="AH127" s="14"/>
      <c r="AI127" s="14"/>
      <c r="AJ127" s="8"/>
      <c r="AK127" s="8"/>
      <c r="AL127" s="8"/>
      <c r="AM127" s="8"/>
      <c r="AN127" s="631"/>
      <c r="AO127" s="18"/>
      <c r="AP127" s="18"/>
      <c r="AQ127" s="18"/>
      <c r="AR127" s="18"/>
      <c r="AS127" s="18"/>
      <c r="AU127" s="448"/>
      <c r="AV127" s="448"/>
      <c r="AW127" s="8" t="str">
        <f>IF(C127&gt;0,VLOOKUP(C127,Foundation_Calc!$A$2:$C$986,3,1),
IF(J127&gt;0,VLOOKUP(J127,Foundation_Calc!$A$2:$C$986,3,1),""))</f>
        <v/>
      </c>
      <c r="AX127" s="8" t="str">
        <f>IF(C127&gt;0,VLOOKUP(C127,Foundation_Calc!$E$2:$G$986,3,1),
IF(J127&gt;0,VLOOKUP(J127,Foundation_Calc!$E$2:$G$986,3,1),""))</f>
        <v/>
      </c>
      <c r="AY127" s="631" t="str">
        <f>IF(L127="","",
IF(AX127="PT",VLOOKUP(L127,Foundation_Calc!$K$4:$R$37,VLOOKUP(AW127,Foundation_Calc!$I$2:$J$8,2,FALSE),0),
IF(AX127="K",VLOOKUP(L127,Foundation_Calc!$K$41:$R$74,VLOOKUP(AW127,Foundation_Calc!$I$2:$J$8,2,FALSE),0),"")))</f>
        <v/>
      </c>
      <c r="AZ127" s="631" t="str">
        <f>IF(K127="","",
IF(AX127="PT",VLOOKUP(K127,Foundation_Calc!$K$4:$R$37,VLOOKUP(AW127,Foundation_Calc!$I$2:$J$8,2,FALSE),0),
IF(AX127="K",VLOOKUP(K127,Foundation_Calc!$K$41:$R$74,VLOOKUP(AW127,Foundation_Calc!$I$2:$J$8,2,FALSE),0),"")))</f>
        <v/>
      </c>
      <c r="BA127" s="632" t="str">
        <f t="shared" si="8"/>
        <v/>
      </c>
      <c r="BB127" s="632" t="str">
        <f t="shared" si="9"/>
        <v/>
      </c>
      <c r="BC127" s="632" t="str">
        <f t="shared" si="10"/>
        <v/>
      </c>
      <c r="BD127" s="633" t="str">
        <f>IF(AND(L127="",H127=""),"",
IF(H127="",Pole_Calc!A131,
IF(H127="MP",Pole_Calc!A132,
IF(H127="AnMP",Pole_Calc!A133,
IF(H127="A",Pole_Calc!A134,
IF(H127="S/A",Pole_Calc!A135,
IF(H127="A/S",Pole_Calc!A136,"Poner a mano")))))))</f>
        <v/>
      </c>
      <c r="BE127" s="448" t="s">
        <v>1726</v>
      </c>
      <c r="BF127" s="635"/>
      <c r="BG127" s="635"/>
      <c r="BH127" s="634"/>
      <c r="BI127" s="635"/>
    </row>
    <row r="128" spans="1:61" ht="16.2" customHeight="1">
      <c r="A128" s="12"/>
      <c r="B128" s="446"/>
      <c r="C128" s="89"/>
      <c r="D128" s="13"/>
      <c r="E128" s="14"/>
      <c r="F128" s="14"/>
      <c r="G128" s="15"/>
      <c r="H128" s="8"/>
      <c r="I128" s="8"/>
      <c r="J128" s="89"/>
      <c r="K128" s="8"/>
      <c r="L128" s="8"/>
      <c r="M128" s="8" t="str">
        <f>IF(L128="","",
IF(AX128="PT",VLOOKUP(L128,Foundation_Calc!$V$4:$X$37,VLOOKUP(AX128,Foundation_Calc!$I$10:$J$13,2,FALSE),0),
IF(AX128="K",VLOOKUP(L128,Foundation_Calc!$V$41:$X$74,VLOOKUP(AX128,Foundation_Calc!$I$10:$J$13,2,FALSE),0),"")))</f>
        <v/>
      </c>
      <c r="N128" s="8"/>
      <c r="O128" s="8"/>
      <c r="P128" s="8"/>
      <c r="Q128" s="14"/>
      <c r="R128" s="15"/>
      <c r="S128" s="15"/>
      <c r="T128" s="14"/>
      <c r="U128" s="14"/>
      <c r="V128" s="14"/>
      <c r="W128" s="18"/>
      <c r="X128" s="18"/>
      <c r="Y128" s="18"/>
      <c r="Z128" s="18"/>
      <c r="AA128" s="18"/>
      <c r="AB128" s="18"/>
      <c r="AC128" s="8" t="str">
        <f t="shared" si="7"/>
        <v/>
      </c>
      <c r="AD128" s="8"/>
      <c r="AE128" s="8"/>
      <c r="AF128" s="14"/>
      <c r="AG128" s="13"/>
      <c r="AH128" s="14"/>
      <c r="AI128" s="14"/>
      <c r="AJ128" s="8"/>
      <c r="AK128" s="8"/>
      <c r="AL128" s="8"/>
      <c r="AM128" s="8"/>
      <c r="AN128" s="631"/>
      <c r="AO128" s="18"/>
      <c r="AP128" s="18"/>
      <c r="AQ128" s="18"/>
      <c r="AR128" s="18"/>
      <c r="AS128" s="18"/>
      <c r="AU128" s="448"/>
      <c r="AV128" s="448"/>
      <c r="AW128" s="8" t="str">
        <f>IF(C128&gt;0,VLOOKUP(C128,Foundation_Calc!$A$2:$C$986,3,1),
IF(J128&gt;0,VLOOKUP(J128,Foundation_Calc!$A$2:$C$986,3,1),""))</f>
        <v/>
      </c>
      <c r="AX128" s="8" t="str">
        <f>IF(C128&gt;0,VLOOKUP(C128,Foundation_Calc!$E$2:$G$986,3,1),
IF(J128&gt;0,VLOOKUP(J128,Foundation_Calc!$E$2:$G$986,3,1),""))</f>
        <v/>
      </c>
      <c r="AY128" s="631" t="str">
        <f>IF(L128="","",
IF(AX128="PT",VLOOKUP(L128,Foundation_Calc!$K$4:$R$37,VLOOKUP(AW128,Foundation_Calc!$I$2:$J$8,2,FALSE),0),
IF(AX128="K",VLOOKUP(L128,Foundation_Calc!$K$41:$R$74,VLOOKUP(AW128,Foundation_Calc!$I$2:$J$8,2,FALSE),0),"")))</f>
        <v/>
      </c>
      <c r="AZ128" s="631" t="str">
        <f>IF(K128="","",
IF(AX128="PT",VLOOKUP(K128,Foundation_Calc!$K$4:$R$37,VLOOKUP(AW128,Foundation_Calc!$I$2:$J$8,2,FALSE),0),
IF(AX128="K",VLOOKUP(K128,Foundation_Calc!$K$41:$R$74,VLOOKUP(AW128,Foundation_Calc!$I$2:$J$8,2,FALSE),0),"")))</f>
        <v/>
      </c>
      <c r="BA128" s="632" t="str">
        <f t="shared" si="8"/>
        <v/>
      </c>
      <c r="BB128" s="632" t="str">
        <f t="shared" si="9"/>
        <v/>
      </c>
      <c r="BC128" s="632" t="str">
        <f t="shared" si="10"/>
        <v/>
      </c>
      <c r="BD128" s="633" t="str">
        <f>IF(AND(L128="",H128=""),"",
IF(H128="",Pole_Calc!A132,
IF(H128="MP",Pole_Calc!A133,
IF(H128="AnMP",Pole_Calc!A134,
IF(H128="A",Pole_Calc!A135,
IF(H128="S/A",Pole_Calc!A136,
IF(H128="A/S",Pole_Calc!A137,"Poner a mano")))))))</f>
        <v/>
      </c>
      <c r="BE128" s="448" t="s">
        <v>1726</v>
      </c>
      <c r="BF128" s="634"/>
      <c r="BG128" s="634"/>
      <c r="BH128" s="634"/>
      <c r="BI128" s="634"/>
    </row>
    <row r="129" spans="1:61" ht="16.2" customHeight="1">
      <c r="A129" s="12"/>
      <c r="B129" s="446"/>
      <c r="C129" s="89"/>
      <c r="D129" s="13"/>
      <c r="E129" s="14"/>
      <c r="F129" s="14"/>
      <c r="G129" s="15"/>
      <c r="H129" s="8"/>
      <c r="I129" s="8"/>
      <c r="J129" s="89"/>
      <c r="K129" s="8"/>
      <c r="L129" s="8"/>
      <c r="M129" s="8" t="str">
        <f>IF(L129="","",
IF(AX129="PT",VLOOKUP(L129,Foundation_Calc!$V$4:$X$37,VLOOKUP(AX129,Foundation_Calc!$I$10:$J$13,2,FALSE),0),
IF(AX129="K",VLOOKUP(L129,Foundation_Calc!$V$41:$X$74,VLOOKUP(AX129,Foundation_Calc!$I$10:$J$13,2,FALSE),0),"")))</f>
        <v/>
      </c>
      <c r="N129" s="8"/>
      <c r="O129" s="8"/>
      <c r="P129" s="8"/>
      <c r="Q129" s="14"/>
      <c r="R129" s="15"/>
      <c r="S129" s="15"/>
      <c r="T129" s="14"/>
      <c r="U129" s="14"/>
      <c r="V129" s="14"/>
      <c r="W129" s="18"/>
      <c r="X129" s="18"/>
      <c r="Y129" s="18"/>
      <c r="Z129" s="18"/>
      <c r="AA129" s="18"/>
      <c r="AB129" s="18"/>
      <c r="AC129" s="8" t="str">
        <f t="shared" si="7"/>
        <v/>
      </c>
      <c r="AD129" s="8"/>
      <c r="AE129" s="8"/>
      <c r="AF129" s="14"/>
      <c r="AG129" s="13"/>
      <c r="AH129" s="14"/>
      <c r="AI129" s="14"/>
      <c r="AJ129" s="8"/>
      <c r="AK129" s="8"/>
      <c r="AL129" s="8"/>
      <c r="AM129" s="8"/>
      <c r="AN129" s="631"/>
      <c r="AO129" s="18"/>
      <c r="AP129" s="18"/>
      <c r="AQ129" s="18"/>
      <c r="AR129" s="18"/>
      <c r="AS129" s="18"/>
      <c r="AU129" s="448"/>
      <c r="AV129" s="448"/>
      <c r="AW129" s="8" t="str">
        <f>IF(C129&gt;0,VLOOKUP(C129,Foundation_Calc!$A$2:$C$986,3,1),
IF(J129&gt;0,VLOOKUP(J129,Foundation_Calc!$A$2:$C$986,3,1),""))</f>
        <v/>
      </c>
      <c r="AX129" s="8" t="str">
        <f>IF(C129&gt;0,VLOOKUP(C129,Foundation_Calc!$E$2:$G$986,3,1),
IF(J129&gt;0,VLOOKUP(J129,Foundation_Calc!$E$2:$G$986,3,1),""))</f>
        <v/>
      </c>
      <c r="AY129" s="631" t="str">
        <f>IF(L129="","",
IF(AX129="PT",VLOOKUP(L129,Foundation_Calc!$K$4:$R$37,VLOOKUP(AW129,Foundation_Calc!$I$2:$J$8,2,FALSE),0),
IF(AX129="K",VLOOKUP(L129,Foundation_Calc!$K$41:$R$74,VLOOKUP(AW129,Foundation_Calc!$I$2:$J$8,2,FALSE),0),"")))</f>
        <v/>
      </c>
      <c r="AZ129" s="631" t="str">
        <f>IF(K129="","",
IF(AX129="PT",VLOOKUP(K129,Foundation_Calc!$K$4:$R$37,VLOOKUP(AW129,Foundation_Calc!$I$2:$J$8,2,FALSE),0),
IF(AX129="K",VLOOKUP(K129,Foundation_Calc!$K$41:$R$74,VLOOKUP(AW129,Foundation_Calc!$I$2:$J$8,2,FALSE),0),"")))</f>
        <v/>
      </c>
      <c r="BA129" s="632" t="str">
        <f t="shared" si="8"/>
        <v/>
      </c>
      <c r="BB129" s="632" t="str">
        <f t="shared" si="9"/>
        <v/>
      </c>
      <c r="BC129" s="632" t="str">
        <f t="shared" si="10"/>
        <v/>
      </c>
      <c r="BD129" s="633" t="str">
        <f>IF(AND(L129="",H129=""),"",
IF(H129="",Pole_Calc!A133,
IF(H129="MP",Pole_Calc!A134,
IF(H129="AnMP",Pole_Calc!A135,
IF(H129="A",Pole_Calc!A136,
IF(H129="S/A",Pole_Calc!A137,
IF(H129="A/S",Pole_Calc!A138,"Poner a mano")))))))</f>
        <v/>
      </c>
      <c r="BE129" s="448" t="s">
        <v>1726</v>
      </c>
      <c r="BF129" s="635"/>
      <c r="BG129" s="635"/>
      <c r="BH129" s="634"/>
      <c r="BI129" s="635"/>
    </row>
    <row r="130" spans="1:61" ht="16.2" customHeight="1">
      <c r="A130" s="12"/>
      <c r="B130" s="446"/>
      <c r="C130" s="89"/>
      <c r="D130" s="13"/>
      <c r="E130" s="14"/>
      <c r="F130" s="14"/>
      <c r="G130" s="15"/>
      <c r="H130" s="8"/>
      <c r="I130" s="8"/>
      <c r="J130" s="89"/>
      <c r="K130" s="8"/>
      <c r="L130" s="8"/>
      <c r="M130" s="8" t="str">
        <f>IF(L130="","",
IF(AX130="PT",VLOOKUP(L130,Foundation_Calc!$V$4:$X$37,VLOOKUP(AX130,Foundation_Calc!$I$10:$J$13,2,FALSE),0),
IF(AX130="K",VLOOKUP(L130,Foundation_Calc!$V$41:$X$74,VLOOKUP(AX130,Foundation_Calc!$I$10:$J$13,2,FALSE),0),"")))</f>
        <v/>
      </c>
      <c r="N130" s="8"/>
      <c r="O130" s="8"/>
      <c r="P130" s="8"/>
      <c r="Q130" s="14"/>
      <c r="R130" s="15"/>
      <c r="S130" s="15"/>
      <c r="T130" s="14"/>
      <c r="U130" s="14"/>
      <c r="V130" s="14"/>
      <c r="W130" s="18"/>
      <c r="X130" s="18"/>
      <c r="Y130" s="18"/>
      <c r="Z130" s="18"/>
      <c r="AA130" s="18"/>
      <c r="AB130" s="18"/>
      <c r="AC130" s="8" t="str">
        <f t="shared" si="7"/>
        <v/>
      </c>
      <c r="AD130" s="8"/>
      <c r="AE130" s="8"/>
      <c r="AF130" s="14"/>
      <c r="AG130" s="13"/>
      <c r="AH130" s="14"/>
      <c r="AI130" s="14"/>
      <c r="AJ130" s="8"/>
      <c r="AK130" s="8"/>
      <c r="AL130" s="8"/>
      <c r="AM130" s="8"/>
      <c r="AN130" s="631"/>
      <c r="AO130" s="18"/>
      <c r="AP130" s="18"/>
      <c r="AQ130" s="18"/>
      <c r="AR130" s="18"/>
      <c r="AS130" s="18"/>
      <c r="AU130" s="448"/>
      <c r="AV130" s="448"/>
      <c r="AW130" s="8" t="str">
        <f>IF(C130&gt;0,VLOOKUP(C130,Foundation_Calc!$A$2:$C$986,3,1),
IF(J130&gt;0,VLOOKUP(J130,Foundation_Calc!$A$2:$C$986,3,1),""))</f>
        <v/>
      </c>
      <c r="AX130" s="8" t="str">
        <f>IF(C130&gt;0,VLOOKUP(C130,Foundation_Calc!$E$2:$G$986,3,1),
IF(J130&gt;0,VLOOKUP(J130,Foundation_Calc!$E$2:$G$986,3,1),""))</f>
        <v/>
      </c>
      <c r="AY130" s="631" t="str">
        <f>IF(L130="","",
IF(AX130="PT",VLOOKUP(L130,Foundation_Calc!$K$4:$R$37,VLOOKUP(AW130,Foundation_Calc!$I$2:$J$8,2,FALSE),0),
IF(AX130="K",VLOOKUP(L130,Foundation_Calc!$K$41:$R$74,VLOOKUP(AW130,Foundation_Calc!$I$2:$J$8,2,FALSE),0),"")))</f>
        <v/>
      </c>
      <c r="AZ130" s="631" t="str">
        <f>IF(K130="","",
IF(AX130="PT",VLOOKUP(K130,Foundation_Calc!$K$4:$R$37,VLOOKUP(AW130,Foundation_Calc!$I$2:$J$8,2,FALSE),0),
IF(AX130="K",VLOOKUP(K130,Foundation_Calc!$K$41:$R$74,VLOOKUP(AW130,Foundation_Calc!$I$2:$J$8,2,FALSE),0),"")))</f>
        <v/>
      </c>
      <c r="BA130" s="632" t="str">
        <f t="shared" si="8"/>
        <v/>
      </c>
      <c r="BB130" s="632" t="str">
        <f t="shared" si="9"/>
        <v/>
      </c>
      <c r="BC130" s="632" t="str">
        <f t="shared" si="10"/>
        <v/>
      </c>
      <c r="BD130" s="633" t="str">
        <f>IF(AND(L130="",H130=""),"",
IF(H130="",Pole_Calc!A134,
IF(H130="MP",Pole_Calc!A135,
IF(H130="AnMP",Pole_Calc!A136,
IF(H130="A",Pole_Calc!A137,
IF(H130="S/A",Pole_Calc!A138,
IF(H130="A/S",Pole_Calc!A139,"Poner a mano")))))))</f>
        <v/>
      </c>
      <c r="BE130" s="448" t="s">
        <v>1726</v>
      </c>
      <c r="BF130" s="634"/>
      <c r="BG130" s="634"/>
      <c r="BH130" s="634"/>
      <c r="BI130" s="634"/>
    </row>
    <row r="131" spans="1:61" ht="16.2" customHeight="1">
      <c r="A131" s="12"/>
      <c r="B131" s="446"/>
      <c r="C131" s="89"/>
      <c r="D131" s="13"/>
      <c r="E131" s="14"/>
      <c r="F131" s="14"/>
      <c r="G131" s="15"/>
      <c r="H131" s="8"/>
      <c r="I131" s="8"/>
      <c r="J131" s="89"/>
      <c r="K131" s="8"/>
      <c r="L131" s="8"/>
      <c r="M131" s="8" t="str">
        <f>IF(L131="","",
IF(AX131="PT",VLOOKUP(L131,Foundation_Calc!$V$4:$X$37,VLOOKUP(AX131,Foundation_Calc!$I$10:$J$13,2,FALSE),0),
IF(AX131="K",VLOOKUP(L131,Foundation_Calc!$V$41:$X$74,VLOOKUP(AX131,Foundation_Calc!$I$10:$J$13,2,FALSE),0),"")))</f>
        <v/>
      </c>
      <c r="N131" s="8"/>
      <c r="O131" s="8"/>
      <c r="P131" s="8"/>
      <c r="Q131" s="14"/>
      <c r="R131" s="15"/>
      <c r="S131" s="15"/>
      <c r="T131" s="14"/>
      <c r="U131" s="14"/>
      <c r="V131" s="14"/>
      <c r="W131" s="18"/>
      <c r="X131" s="18"/>
      <c r="Y131" s="18"/>
      <c r="Z131" s="18"/>
      <c r="AA131" s="18"/>
      <c r="AB131" s="18"/>
      <c r="AC131" s="8" t="str">
        <f t="shared" si="7"/>
        <v/>
      </c>
      <c r="AD131" s="8"/>
      <c r="AE131" s="8"/>
      <c r="AF131" s="14"/>
      <c r="AG131" s="13"/>
      <c r="AH131" s="14"/>
      <c r="AI131" s="14"/>
      <c r="AJ131" s="8"/>
      <c r="AK131" s="8"/>
      <c r="AL131" s="8"/>
      <c r="AM131" s="8"/>
      <c r="AN131" s="631"/>
      <c r="AO131" s="18"/>
      <c r="AP131" s="18"/>
      <c r="AQ131" s="18"/>
      <c r="AR131" s="18"/>
      <c r="AS131" s="18"/>
      <c r="AU131" s="448"/>
      <c r="AV131" s="448"/>
      <c r="AW131" s="8" t="str">
        <f>IF(C131&gt;0,VLOOKUP(C131,Foundation_Calc!$A$2:$C$986,3,1),
IF(J131&gt;0,VLOOKUP(J131,Foundation_Calc!$A$2:$C$986,3,1),""))</f>
        <v/>
      </c>
      <c r="AX131" s="8" t="str">
        <f>IF(C131&gt;0,VLOOKUP(C131,Foundation_Calc!$E$2:$G$986,3,1),
IF(J131&gt;0,VLOOKUP(J131,Foundation_Calc!$E$2:$G$986,3,1),""))</f>
        <v/>
      </c>
      <c r="AY131" s="631" t="str">
        <f>IF(L131="","",
IF(AX131="PT",VLOOKUP(L131,Foundation_Calc!$K$4:$R$37,VLOOKUP(AW131,Foundation_Calc!$I$2:$J$8,2,FALSE),0),
IF(AX131="K",VLOOKUP(L131,Foundation_Calc!$K$41:$R$74,VLOOKUP(AW131,Foundation_Calc!$I$2:$J$8,2,FALSE),0),"")))</f>
        <v/>
      </c>
      <c r="AZ131" s="631" t="str">
        <f>IF(K131="","",
IF(AX131="PT",VLOOKUP(K131,Foundation_Calc!$K$4:$R$37,VLOOKUP(AW131,Foundation_Calc!$I$2:$J$8,2,FALSE),0),
IF(AX131="K",VLOOKUP(K131,Foundation_Calc!$K$41:$R$74,VLOOKUP(AW131,Foundation_Calc!$I$2:$J$8,2,FALSE),0),"")))</f>
        <v/>
      </c>
      <c r="BA131" s="632" t="str">
        <f t="shared" si="8"/>
        <v/>
      </c>
      <c r="BB131" s="632" t="str">
        <f t="shared" si="9"/>
        <v/>
      </c>
      <c r="BC131" s="632" t="str">
        <f t="shared" si="10"/>
        <v/>
      </c>
      <c r="BD131" s="633" t="str">
        <f>IF(AND(L131="",H131=""),"",
IF(H131="",Pole_Calc!A135,
IF(H131="MP",Pole_Calc!A136,
IF(H131="AnMP",Pole_Calc!A137,
IF(H131="A",Pole_Calc!A138,
IF(H131="S/A",Pole_Calc!A139,
IF(H131="A/S",Pole_Calc!A140,"Poner a mano")))))))</f>
        <v/>
      </c>
      <c r="BE131" s="448" t="s">
        <v>1726</v>
      </c>
      <c r="BF131" s="635"/>
      <c r="BG131" s="635"/>
      <c r="BH131" s="634"/>
      <c r="BI131" s="635"/>
    </row>
    <row r="132" spans="1:61" ht="16.2" customHeight="1">
      <c r="A132" s="12"/>
      <c r="B132" s="446"/>
      <c r="C132" s="89"/>
      <c r="D132" s="13"/>
      <c r="E132" s="14"/>
      <c r="F132" s="14"/>
      <c r="G132" s="15"/>
      <c r="H132" s="8"/>
      <c r="I132" s="8"/>
      <c r="J132" s="89"/>
      <c r="K132" s="8"/>
      <c r="L132" s="8"/>
      <c r="M132" s="8" t="str">
        <f>IF(L132="","",
IF(AX132="PT",VLOOKUP(L132,Foundation_Calc!$V$4:$X$37,VLOOKUP(AX132,Foundation_Calc!$I$10:$J$13,2,FALSE),0),
IF(AX132="K",VLOOKUP(L132,Foundation_Calc!$V$41:$X$74,VLOOKUP(AX132,Foundation_Calc!$I$10:$J$13,2,FALSE),0),"")))</f>
        <v/>
      </c>
      <c r="N132" s="8"/>
      <c r="O132" s="8"/>
      <c r="P132" s="8"/>
      <c r="Q132" s="14"/>
      <c r="R132" s="15"/>
      <c r="S132" s="15"/>
      <c r="T132" s="14"/>
      <c r="U132" s="14"/>
      <c r="V132" s="14"/>
      <c r="W132" s="18"/>
      <c r="X132" s="18"/>
      <c r="Y132" s="18"/>
      <c r="Z132" s="18"/>
      <c r="AA132" s="18"/>
      <c r="AB132" s="18"/>
      <c r="AC132" s="8" t="str">
        <f t="shared" si="7"/>
        <v/>
      </c>
      <c r="AD132" s="8"/>
      <c r="AE132" s="8"/>
      <c r="AF132" s="14"/>
      <c r="AG132" s="13"/>
      <c r="AH132" s="14"/>
      <c r="AI132" s="14"/>
      <c r="AJ132" s="8"/>
      <c r="AK132" s="8"/>
      <c r="AL132" s="8"/>
      <c r="AM132" s="8"/>
      <c r="AN132" s="631"/>
      <c r="AO132" s="18"/>
      <c r="AP132" s="18"/>
      <c r="AQ132" s="18"/>
      <c r="AR132" s="18"/>
      <c r="AS132" s="18"/>
      <c r="AU132" s="448"/>
      <c r="AV132" s="448"/>
      <c r="AW132" s="8" t="str">
        <f>IF(C132&gt;0,VLOOKUP(C132,Foundation_Calc!$A$2:$C$986,3,1),
IF(J132&gt;0,VLOOKUP(J132,Foundation_Calc!$A$2:$C$986,3,1),""))</f>
        <v/>
      </c>
      <c r="AX132" s="8" t="str">
        <f>IF(C132&gt;0,VLOOKUP(C132,Foundation_Calc!$E$2:$G$986,3,1),
IF(J132&gt;0,VLOOKUP(J132,Foundation_Calc!$E$2:$G$986,3,1),""))</f>
        <v/>
      </c>
      <c r="AY132" s="631" t="str">
        <f>IF(L132="","",
IF(AX132="PT",VLOOKUP(L132,Foundation_Calc!$K$4:$R$37,VLOOKUP(AW132,Foundation_Calc!$I$2:$J$8,2,FALSE),0),
IF(AX132="K",VLOOKUP(L132,Foundation_Calc!$K$41:$R$74,VLOOKUP(AW132,Foundation_Calc!$I$2:$J$8,2,FALSE),0),"")))</f>
        <v/>
      </c>
      <c r="AZ132" s="631" t="str">
        <f>IF(K132="","",
IF(AX132="PT",VLOOKUP(K132,Foundation_Calc!$K$4:$R$37,VLOOKUP(AW132,Foundation_Calc!$I$2:$J$8,2,FALSE),0),
IF(AX132="K",VLOOKUP(K132,Foundation_Calc!$K$41:$R$74,VLOOKUP(AW132,Foundation_Calc!$I$2:$J$8,2,FALSE),0),"")))</f>
        <v/>
      </c>
      <c r="BA132" s="632" t="str">
        <f t="shared" si="8"/>
        <v/>
      </c>
      <c r="BB132" s="632" t="str">
        <f t="shared" si="9"/>
        <v/>
      </c>
      <c r="BC132" s="632" t="str">
        <f t="shared" si="10"/>
        <v/>
      </c>
      <c r="BD132" s="633" t="str">
        <f>IF(AND(L132="",H132=""),"",
IF(H132="",Pole_Calc!A136,
IF(H132="MP",Pole_Calc!A137,
IF(H132="AnMP",Pole_Calc!A138,
IF(H132="A",Pole_Calc!A139,
IF(H132="S/A",Pole_Calc!A140,
IF(H132="A/S",Pole_Calc!A141,"Poner a mano")))))))</f>
        <v/>
      </c>
      <c r="BE132" s="448" t="s">
        <v>1726</v>
      </c>
      <c r="BF132" s="634"/>
      <c r="BG132" s="634"/>
      <c r="BH132" s="634"/>
      <c r="BI132" s="634"/>
    </row>
    <row r="133" spans="1:61" ht="16.2" customHeight="1">
      <c r="A133" s="12"/>
      <c r="B133" s="446"/>
      <c r="C133" s="89"/>
      <c r="D133" s="13"/>
      <c r="E133" s="14"/>
      <c r="F133" s="14"/>
      <c r="G133" s="15"/>
      <c r="H133" s="8"/>
      <c r="I133" s="8"/>
      <c r="J133" s="89"/>
      <c r="K133" s="8"/>
      <c r="L133" s="8"/>
      <c r="M133" s="8" t="str">
        <f>IF(L133="","",
IF(AX133="PT",VLOOKUP(L133,Foundation_Calc!$V$4:$X$37,VLOOKUP(AX133,Foundation_Calc!$I$10:$J$13,2,FALSE),0),
IF(AX133="K",VLOOKUP(L133,Foundation_Calc!$V$41:$X$74,VLOOKUP(AX133,Foundation_Calc!$I$10:$J$13,2,FALSE),0),"")))</f>
        <v/>
      </c>
      <c r="N133" s="8"/>
      <c r="O133" s="8"/>
      <c r="P133" s="8"/>
      <c r="Q133" s="14"/>
      <c r="R133" s="15"/>
      <c r="S133" s="15"/>
      <c r="T133" s="14"/>
      <c r="U133" s="14"/>
      <c r="V133" s="14"/>
      <c r="W133" s="18"/>
      <c r="X133" s="18"/>
      <c r="Y133" s="18"/>
      <c r="Z133" s="18"/>
      <c r="AA133" s="18"/>
      <c r="AB133" s="18"/>
      <c r="AC133" s="8" t="str">
        <f t="shared" si="7"/>
        <v/>
      </c>
      <c r="AD133" s="8"/>
      <c r="AE133" s="8"/>
      <c r="AF133" s="14"/>
      <c r="AG133" s="13"/>
      <c r="AH133" s="14"/>
      <c r="AI133" s="14"/>
      <c r="AJ133" s="8"/>
      <c r="AK133" s="8"/>
      <c r="AL133" s="8"/>
      <c r="AM133" s="8"/>
      <c r="AN133" s="631"/>
      <c r="AO133" s="18"/>
      <c r="AP133" s="18"/>
      <c r="AQ133" s="18"/>
      <c r="AR133" s="18"/>
      <c r="AS133" s="18"/>
      <c r="AU133" s="448"/>
      <c r="AV133" s="448"/>
      <c r="AW133" s="8" t="str">
        <f>IF(C133&gt;0,VLOOKUP(C133,Foundation_Calc!$A$2:$C$986,3,1),
IF(J133&gt;0,VLOOKUP(J133,Foundation_Calc!$A$2:$C$986,3,1),""))</f>
        <v/>
      </c>
      <c r="AX133" s="8" t="str">
        <f>IF(C133&gt;0,VLOOKUP(C133,Foundation_Calc!$E$2:$G$986,3,1),
IF(J133&gt;0,VLOOKUP(J133,Foundation_Calc!$E$2:$G$986,3,1),""))</f>
        <v/>
      </c>
      <c r="AY133" s="631" t="str">
        <f>IF(L133="","",
IF(AX133="PT",VLOOKUP(L133,Foundation_Calc!$K$4:$R$37,VLOOKUP(AW133,Foundation_Calc!$I$2:$J$8,2,FALSE),0),
IF(AX133="K",VLOOKUP(L133,Foundation_Calc!$K$41:$R$74,VLOOKUP(AW133,Foundation_Calc!$I$2:$J$8,2,FALSE),0),"")))</f>
        <v/>
      </c>
      <c r="AZ133" s="631" t="str">
        <f>IF(K133="","",
IF(AX133="PT",VLOOKUP(K133,Foundation_Calc!$K$4:$R$37,VLOOKUP(AW133,Foundation_Calc!$I$2:$J$8,2,FALSE),0),
IF(AX133="K",VLOOKUP(K133,Foundation_Calc!$K$41:$R$74,VLOOKUP(AW133,Foundation_Calc!$I$2:$J$8,2,FALSE),0),"")))</f>
        <v/>
      </c>
      <c r="BA133" s="632" t="str">
        <f t="shared" si="8"/>
        <v/>
      </c>
      <c r="BB133" s="632" t="str">
        <f t="shared" si="9"/>
        <v/>
      </c>
      <c r="BC133" s="632" t="str">
        <f t="shared" si="10"/>
        <v/>
      </c>
      <c r="BD133" s="633" t="str">
        <f>IF(AND(L133="",H133=""),"",
IF(H133="",Pole_Calc!A137,
IF(H133="MP",Pole_Calc!A138,
IF(H133="AnMP",Pole_Calc!A139,
IF(H133="A",Pole_Calc!A140,
IF(H133="S/A",Pole_Calc!A141,
IF(H133="A/S",Pole_Calc!A142,"Poner a mano")))))))</f>
        <v/>
      </c>
      <c r="BE133" s="448" t="s">
        <v>1726</v>
      </c>
      <c r="BF133" s="635"/>
      <c r="BG133" s="635"/>
      <c r="BH133" s="634"/>
      <c r="BI133" s="635"/>
    </row>
    <row r="134" spans="1:61" ht="16.2" customHeight="1">
      <c r="A134" s="12"/>
      <c r="B134" s="446"/>
      <c r="C134" s="89"/>
      <c r="D134" s="13"/>
      <c r="E134" s="14"/>
      <c r="F134" s="14"/>
      <c r="G134" s="15"/>
      <c r="H134" s="8"/>
      <c r="I134" s="8"/>
      <c r="J134" s="89"/>
      <c r="K134" s="8"/>
      <c r="L134" s="8"/>
      <c r="M134" s="8" t="str">
        <f>IF(L134="","",
IF(AX134="PT",VLOOKUP(L134,Foundation_Calc!$V$4:$X$37,VLOOKUP(AX134,Foundation_Calc!$I$10:$J$13,2,FALSE),0),
IF(AX134="K",VLOOKUP(L134,Foundation_Calc!$V$41:$X$74,VLOOKUP(AX134,Foundation_Calc!$I$10:$J$13,2,FALSE),0),"")))</f>
        <v/>
      </c>
      <c r="N134" s="8"/>
      <c r="O134" s="8"/>
      <c r="P134" s="8"/>
      <c r="Q134" s="14"/>
      <c r="R134" s="15"/>
      <c r="S134" s="15"/>
      <c r="T134" s="14"/>
      <c r="U134" s="14"/>
      <c r="V134" s="14"/>
      <c r="W134" s="18"/>
      <c r="X134" s="18"/>
      <c r="Y134" s="18"/>
      <c r="Z134" s="18"/>
      <c r="AA134" s="18"/>
      <c r="AB134" s="18"/>
      <c r="AC134" s="8" t="str">
        <f t="shared" ref="AC134:AC197" si="11">IF(OR(AT134&gt;8,AT134&lt;-8),"PH",
IF(OR(AT134&gt;5,AT134&lt;-5),"PHQ",
IF(OR(AT134&gt;1,AT134&lt;-1),
"PHC","")))</f>
        <v/>
      </c>
      <c r="AD134" s="8"/>
      <c r="AE134" s="8"/>
      <c r="AF134" s="14"/>
      <c r="AG134" s="13"/>
      <c r="AH134" s="14"/>
      <c r="AI134" s="14"/>
      <c r="AJ134" s="8"/>
      <c r="AK134" s="8"/>
      <c r="AL134" s="8"/>
      <c r="AM134" s="8"/>
      <c r="AN134" s="631"/>
      <c r="AO134" s="18"/>
      <c r="AP134" s="18"/>
      <c r="AQ134" s="18"/>
      <c r="AR134" s="18"/>
      <c r="AS134" s="18"/>
      <c r="AU134" s="448"/>
      <c r="AV134" s="448"/>
      <c r="AW134" s="8" t="str">
        <f>IF(C134&gt;0,VLOOKUP(C134,Foundation_Calc!$A$2:$C$986,3,1),
IF(J134&gt;0,VLOOKUP(J134,Foundation_Calc!$A$2:$C$986,3,1),""))</f>
        <v/>
      </c>
      <c r="AX134" s="8" t="str">
        <f>IF(C134&gt;0,VLOOKUP(C134,Foundation_Calc!$E$2:$G$986,3,1),
IF(J134&gt;0,VLOOKUP(J134,Foundation_Calc!$E$2:$G$986,3,1),""))</f>
        <v/>
      </c>
      <c r="AY134" s="631" t="str">
        <f>IF(L134="","",
IF(AX134="PT",VLOOKUP(L134,Foundation_Calc!$K$4:$R$37,VLOOKUP(AW134,Foundation_Calc!$I$2:$J$8,2,FALSE),0),
IF(AX134="K",VLOOKUP(L134,Foundation_Calc!$K$41:$R$74,VLOOKUP(AW134,Foundation_Calc!$I$2:$J$8,2,FALSE),0),"")))</f>
        <v/>
      </c>
      <c r="AZ134" s="631" t="str">
        <f>IF(K134="","",
IF(AX134="PT",VLOOKUP(K134,Foundation_Calc!$K$4:$R$37,VLOOKUP(AW134,Foundation_Calc!$I$2:$J$8,2,FALSE),0),
IF(AX134="K",VLOOKUP(K134,Foundation_Calc!$K$41:$R$74,VLOOKUP(AW134,Foundation_Calc!$I$2:$J$8,2,FALSE),0),"")))</f>
        <v/>
      </c>
      <c r="BA134" s="632" t="str">
        <f t="shared" ref="BA134:BA197" si="12">IF(AY134="","",IF(AY134&gt;0,"ü",""))</f>
        <v/>
      </c>
      <c r="BB134" s="632" t="str">
        <f t="shared" ref="BB134:BB197" si="13">IF(AZ134="","",IF(AZ134&gt;0,"ü",""))</f>
        <v/>
      </c>
      <c r="BC134" s="632" t="str">
        <f t="shared" ref="BC134:BC197" si="14">IF(M134="","",IF(M134="Unique Solution","ü",""))</f>
        <v/>
      </c>
      <c r="BD134" s="633" t="str">
        <f>IF(AND(L134="",H134=""),"",
IF(H134="",Pole_Calc!A138,
IF(H134="MP",Pole_Calc!A139,
IF(H134="AnMP",Pole_Calc!A140,
IF(H134="A",Pole_Calc!A141,
IF(H134="S/A",Pole_Calc!A142,
IF(H134="A/S",Pole_Calc!A143,"Poner a mano")))))))</f>
        <v/>
      </c>
      <c r="BE134" s="448" t="s">
        <v>1726</v>
      </c>
      <c r="BF134" s="634"/>
      <c r="BG134" s="634"/>
      <c r="BH134" s="634"/>
      <c r="BI134" s="634"/>
    </row>
    <row r="135" spans="1:61" ht="16.2" customHeight="1">
      <c r="A135" s="12"/>
      <c r="B135" s="446"/>
      <c r="C135" s="89"/>
      <c r="D135" s="13"/>
      <c r="E135" s="14"/>
      <c r="F135" s="14"/>
      <c r="G135" s="15"/>
      <c r="H135" s="8"/>
      <c r="I135" s="8"/>
      <c r="J135" s="89"/>
      <c r="K135" s="8"/>
      <c r="L135" s="8"/>
      <c r="M135" s="8" t="str">
        <f>IF(L135="","",
IF(AX135="PT",VLOOKUP(L135,Foundation_Calc!$V$4:$X$37,VLOOKUP(AX135,Foundation_Calc!$I$10:$J$13,2,FALSE),0),
IF(AX135="K",VLOOKUP(L135,Foundation_Calc!$V$41:$X$74,VLOOKUP(AX135,Foundation_Calc!$I$10:$J$13,2,FALSE),0),"")))</f>
        <v/>
      </c>
      <c r="N135" s="8"/>
      <c r="O135" s="8"/>
      <c r="P135" s="8"/>
      <c r="Q135" s="14"/>
      <c r="R135" s="15"/>
      <c r="S135" s="15"/>
      <c r="T135" s="14"/>
      <c r="U135" s="14"/>
      <c r="V135" s="14"/>
      <c r="W135" s="18"/>
      <c r="X135" s="18"/>
      <c r="Y135" s="18"/>
      <c r="Z135" s="18"/>
      <c r="AA135" s="18"/>
      <c r="AB135" s="18"/>
      <c r="AC135" s="8" t="str">
        <f t="shared" si="11"/>
        <v/>
      </c>
      <c r="AD135" s="8"/>
      <c r="AE135" s="8"/>
      <c r="AF135" s="14"/>
      <c r="AG135" s="13"/>
      <c r="AH135" s="14"/>
      <c r="AI135" s="14"/>
      <c r="AJ135" s="8"/>
      <c r="AK135" s="8"/>
      <c r="AL135" s="8"/>
      <c r="AM135" s="8"/>
      <c r="AN135" s="631"/>
      <c r="AO135" s="18"/>
      <c r="AP135" s="18"/>
      <c r="AQ135" s="18"/>
      <c r="AR135" s="18"/>
      <c r="AS135" s="18"/>
      <c r="AU135" s="448"/>
      <c r="AV135" s="448"/>
      <c r="AW135" s="8" t="str">
        <f>IF(C135&gt;0,VLOOKUP(C135,Foundation_Calc!$A$2:$C$986,3,1),
IF(J135&gt;0,VLOOKUP(J135,Foundation_Calc!$A$2:$C$986,3,1),""))</f>
        <v/>
      </c>
      <c r="AX135" s="8" t="str">
        <f>IF(C135&gt;0,VLOOKUP(C135,Foundation_Calc!$E$2:$G$986,3,1),
IF(J135&gt;0,VLOOKUP(J135,Foundation_Calc!$E$2:$G$986,3,1),""))</f>
        <v/>
      </c>
      <c r="AY135" s="631" t="str">
        <f>IF(L135="","",
IF(AX135="PT",VLOOKUP(L135,Foundation_Calc!$K$4:$R$37,VLOOKUP(AW135,Foundation_Calc!$I$2:$J$8,2,FALSE),0),
IF(AX135="K",VLOOKUP(L135,Foundation_Calc!$K$41:$R$74,VLOOKUP(AW135,Foundation_Calc!$I$2:$J$8,2,FALSE),0),"")))</f>
        <v/>
      </c>
      <c r="AZ135" s="631" t="str">
        <f>IF(K135="","",
IF(AX135="PT",VLOOKUP(K135,Foundation_Calc!$K$4:$R$37,VLOOKUP(AW135,Foundation_Calc!$I$2:$J$8,2,FALSE),0),
IF(AX135="K",VLOOKUP(K135,Foundation_Calc!$K$41:$R$74,VLOOKUP(AW135,Foundation_Calc!$I$2:$J$8,2,FALSE),0),"")))</f>
        <v/>
      </c>
      <c r="BA135" s="632" t="str">
        <f t="shared" si="12"/>
        <v/>
      </c>
      <c r="BB135" s="632" t="str">
        <f t="shared" si="13"/>
        <v/>
      </c>
      <c r="BC135" s="632" t="str">
        <f t="shared" si="14"/>
        <v/>
      </c>
      <c r="BD135" s="633" t="str">
        <f>IF(AND(L135="",H135=""),"",
IF(H135="",Pole_Calc!A139,
IF(H135="MP",Pole_Calc!A140,
IF(H135="AnMP",Pole_Calc!A141,
IF(H135="A",Pole_Calc!A142,
IF(H135="S/A",Pole_Calc!A143,
IF(H135="A/S",Pole_Calc!A144,"Poner a mano")))))))</f>
        <v/>
      </c>
      <c r="BE135" s="448" t="s">
        <v>1726</v>
      </c>
      <c r="BF135" s="635"/>
      <c r="BG135" s="635"/>
      <c r="BH135" s="634"/>
      <c r="BI135" s="635"/>
    </row>
    <row r="136" spans="1:61" ht="16.2" customHeight="1">
      <c r="A136" s="12"/>
      <c r="B136" s="446"/>
      <c r="C136" s="89"/>
      <c r="D136" s="13"/>
      <c r="E136" s="14"/>
      <c r="F136" s="14"/>
      <c r="G136" s="15"/>
      <c r="H136" s="8"/>
      <c r="I136" s="8"/>
      <c r="J136" s="89"/>
      <c r="K136" s="8"/>
      <c r="L136" s="8"/>
      <c r="M136" s="8" t="str">
        <f>IF(L136="","",
IF(AX136="PT",VLOOKUP(L136,Foundation_Calc!$V$4:$X$37,VLOOKUP(AX136,Foundation_Calc!$I$10:$J$13,2,FALSE),0),
IF(AX136="K",VLOOKUP(L136,Foundation_Calc!$V$41:$X$74,VLOOKUP(AX136,Foundation_Calc!$I$10:$J$13,2,FALSE),0),"")))</f>
        <v/>
      </c>
      <c r="N136" s="8"/>
      <c r="O136" s="8"/>
      <c r="P136" s="8"/>
      <c r="Q136" s="14"/>
      <c r="R136" s="15"/>
      <c r="S136" s="15"/>
      <c r="T136" s="14"/>
      <c r="U136" s="14"/>
      <c r="V136" s="14"/>
      <c r="W136" s="18"/>
      <c r="X136" s="18"/>
      <c r="Y136" s="18"/>
      <c r="Z136" s="18"/>
      <c r="AA136" s="18"/>
      <c r="AB136" s="18"/>
      <c r="AC136" s="8" t="str">
        <f t="shared" si="11"/>
        <v/>
      </c>
      <c r="AD136" s="8"/>
      <c r="AE136" s="8"/>
      <c r="AF136" s="14"/>
      <c r="AG136" s="13"/>
      <c r="AH136" s="14"/>
      <c r="AI136" s="14"/>
      <c r="AJ136" s="8"/>
      <c r="AK136" s="8"/>
      <c r="AL136" s="8"/>
      <c r="AM136" s="8"/>
      <c r="AN136" s="631"/>
      <c r="AO136" s="18"/>
      <c r="AP136" s="18"/>
      <c r="AQ136" s="18"/>
      <c r="AR136" s="18"/>
      <c r="AS136" s="18"/>
      <c r="AU136" s="448"/>
      <c r="AV136" s="448"/>
      <c r="AW136" s="8" t="str">
        <f>IF(C136&gt;0,VLOOKUP(C136,Foundation_Calc!$A$2:$C$986,3,1),
IF(J136&gt;0,VLOOKUP(J136,Foundation_Calc!$A$2:$C$986,3,1),""))</f>
        <v/>
      </c>
      <c r="AX136" s="8" t="str">
        <f>IF(C136&gt;0,VLOOKUP(C136,Foundation_Calc!$E$2:$G$986,3,1),
IF(J136&gt;0,VLOOKUP(J136,Foundation_Calc!$E$2:$G$986,3,1),""))</f>
        <v/>
      </c>
      <c r="AY136" s="631" t="str">
        <f>IF(L136="","",
IF(AX136="PT",VLOOKUP(L136,Foundation_Calc!$K$4:$R$37,VLOOKUP(AW136,Foundation_Calc!$I$2:$J$8,2,FALSE),0),
IF(AX136="K",VLOOKUP(L136,Foundation_Calc!$K$41:$R$74,VLOOKUP(AW136,Foundation_Calc!$I$2:$J$8,2,FALSE),0),"")))</f>
        <v/>
      </c>
      <c r="AZ136" s="631" t="str">
        <f>IF(K136="","",
IF(AX136="PT",VLOOKUP(K136,Foundation_Calc!$K$4:$R$37,VLOOKUP(AW136,Foundation_Calc!$I$2:$J$8,2,FALSE),0),
IF(AX136="K",VLOOKUP(K136,Foundation_Calc!$K$41:$R$74,VLOOKUP(AW136,Foundation_Calc!$I$2:$J$8,2,FALSE),0),"")))</f>
        <v/>
      </c>
      <c r="BA136" s="632" t="str">
        <f t="shared" si="12"/>
        <v/>
      </c>
      <c r="BB136" s="632" t="str">
        <f t="shared" si="13"/>
        <v/>
      </c>
      <c r="BC136" s="632" t="str">
        <f t="shared" si="14"/>
        <v/>
      </c>
      <c r="BD136" s="633" t="str">
        <f>IF(AND(L136="",H136=""),"",
IF(H136="",Pole_Calc!A140,
IF(H136="MP",Pole_Calc!A141,
IF(H136="AnMP",Pole_Calc!A142,
IF(H136="A",Pole_Calc!A143,
IF(H136="S/A",Pole_Calc!A144,
IF(H136="A/S",Pole_Calc!A145,"Poner a mano")))))))</f>
        <v/>
      </c>
      <c r="BE136" s="448" t="s">
        <v>1726</v>
      </c>
      <c r="BF136" s="634"/>
      <c r="BG136" s="634"/>
      <c r="BH136" s="634"/>
      <c r="BI136" s="634"/>
    </row>
    <row r="137" spans="1:61" ht="16.2" customHeight="1">
      <c r="A137" s="12"/>
      <c r="B137" s="446"/>
      <c r="C137" s="89"/>
      <c r="D137" s="13"/>
      <c r="E137" s="14"/>
      <c r="F137" s="14"/>
      <c r="G137" s="15"/>
      <c r="H137" s="8"/>
      <c r="I137" s="8"/>
      <c r="J137" s="89"/>
      <c r="K137" s="8"/>
      <c r="L137" s="8"/>
      <c r="M137" s="8" t="str">
        <f>IF(L137="","",
IF(AX137="PT",VLOOKUP(L137,Foundation_Calc!$V$4:$X$37,VLOOKUP(AX137,Foundation_Calc!$I$10:$J$13,2,FALSE),0),
IF(AX137="K",VLOOKUP(L137,Foundation_Calc!$V$41:$X$74,VLOOKUP(AX137,Foundation_Calc!$I$10:$J$13,2,FALSE),0),"")))</f>
        <v/>
      </c>
      <c r="N137" s="8"/>
      <c r="O137" s="8"/>
      <c r="P137" s="8"/>
      <c r="Q137" s="14"/>
      <c r="R137" s="15"/>
      <c r="S137" s="15"/>
      <c r="T137" s="14"/>
      <c r="U137" s="14"/>
      <c r="V137" s="14"/>
      <c r="W137" s="18"/>
      <c r="X137" s="18"/>
      <c r="Y137" s="18"/>
      <c r="Z137" s="18"/>
      <c r="AA137" s="18"/>
      <c r="AB137" s="18"/>
      <c r="AC137" s="8" t="str">
        <f t="shared" si="11"/>
        <v/>
      </c>
      <c r="AD137" s="8"/>
      <c r="AE137" s="8"/>
      <c r="AF137" s="14"/>
      <c r="AG137" s="13"/>
      <c r="AH137" s="14"/>
      <c r="AI137" s="14"/>
      <c r="AJ137" s="8"/>
      <c r="AK137" s="8"/>
      <c r="AL137" s="8"/>
      <c r="AM137" s="8"/>
      <c r="AN137" s="631"/>
      <c r="AO137" s="18"/>
      <c r="AP137" s="18"/>
      <c r="AQ137" s="18"/>
      <c r="AR137" s="18"/>
      <c r="AS137" s="18"/>
      <c r="AU137" s="448"/>
      <c r="AV137" s="448"/>
      <c r="AW137" s="8" t="str">
        <f>IF(C137&gt;0,VLOOKUP(C137,Foundation_Calc!$A$2:$C$986,3,1),
IF(J137&gt;0,VLOOKUP(J137,Foundation_Calc!$A$2:$C$986,3,1),""))</f>
        <v/>
      </c>
      <c r="AX137" s="8" t="str">
        <f>IF(C137&gt;0,VLOOKUP(C137,Foundation_Calc!$E$2:$G$986,3,1),
IF(J137&gt;0,VLOOKUP(J137,Foundation_Calc!$E$2:$G$986,3,1),""))</f>
        <v/>
      </c>
      <c r="AY137" s="631" t="str">
        <f>IF(L137="","",
IF(AX137="PT",VLOOKUP(L137,Foundation_Calc!$K$4:$R$37,VLOOKUP(AW137,Foundation_Calc!$I$2:$J$8,2,FALSE),0),
IF(AX137="K",VLOOKUP(L137,Foundation_Calc!$K$41:$R$74,VLOOKUP(AW137,Foundation_Calc!$I$2:$J$8,2,FALSE),0),"")))</f>
        <v/>
      </c>
      <c r="AZ137" s="631" t="str">
        <f>IF(K137="","",
IF(AX137="PT",VLOOKUP(K137,Foundation_Calc!$K$4:$R$37,VLOOKUP(AW137,Foundation_Calc!$I$2:$J$8,2,FALSE),0),
IF(AX137="K",VLOOKUP(K137,Foundation_Calc!$K$41:$R$74,VLOOKUP(AW137,Foundation_Calc!$I$2:$J$8,2,FALSE),0),"")))</f>
        <v/>
      </c>
      <c r="BA137" s="632" t="str">
        <f t="shared" si="12"/>
        <v/>
      </c>
      <c r="BB137" s="632" t="str">
        <f t="shared" si="13"/>
        <v/>
      </c>
      <c r="BC137" s="632" t="str">
        <f t="shared" si="14"/>
        <v/>
      </c>
      <c r="BD137" s="633" t="str">
        <f>IF(AND(L137="",H137=""),"",
IF(H137="",Pole_Calc!A141,
IF(H137="MP",Pole_Calc!A142,
IF(H137="AnMP",Pole_Calc!A143,
IF(H137="A",Pole_Calc!A144,
IF(H137="S/A",Pole_Calc!A145,
IF(H137="A/S",Pole_Calc!A146,"Poner a mano")))))))</f>
        <v/>
      </c>
      <c r="BE137" s="448" t="s">
        <v>1726</v>
      </c>
      <c r="BF137" s="635"/>
      <c r="BG137" s="635"/>
      <c r="BH137" s="634"/>
      <c r="BI137" s="635"/>
    </row>
    <row r="138" spans="1:61" ht="16.2" customHeight="1">
      <c r="A138" s="12"/>
      <c r="B138" s="446"/>
      <c r="C138" s="89"/>
      <c r="D138" s="13"/>
      <c r="E138" s="14"/>
      <c r="F138" s="14"/>
      <c r="G138" s="15"/>
      <c r="H138" s="8"/>
      <c r="I138" s="8"/>
      <c r="J138" s="89"/>
      <c r="K138" s="8"/>
      <c r="L138" s="8"/>
      <c r="M138" s="8" t="str">
        <f>IF(L138="","",
IF(AX138="PT",VLOOKUP(L138,Foundation_Calc!$V$4:$X$37,VLOOKUP(AX138,Foundation_Calc!$I$10:$J$13,2,FALSE),0),
IF(AX138="K",VLOOKUP(L138,Foundation_Calc!$V$41:$X$74,VLOOKUP(AX138,Foundation_Calc!$I$10:$J$13,2,FALSE),0),"")))</f>
        <v/>
      </c>
      <c r="N138" s="8"/>
      <c r="O138" s="8"/>
      <c r="P138" s="8"/>
      <c r="Q138" s="14"/>
      <c r="R138" s="15"/>
      <c r="S138" s="15"/>
      <c r="T138" s="14"/>
      <c r="U138" s="14"/>
      <c r="V138" s="14"/>
      <c r="W138" s="18"/>
      <c r="X138" s="18"/>
      <c r="Y138" s="18"/>
      <c r="Z138" s="18"/>
      <c r="AA138" s="18"/>
      <c r="AB138" s="18"/>
      <c r="AC138" s="8" t="str">
        <f t="shared" si="11"/>
        <v/>
      </c>
      <c r="AD138" s="8"/>
      <c r="AE138" s="8"/>
      <c r="AF138" s="14"/>
      <c r="AG138" s="13"/>
      <c r="AH138" s="14"/>
      <c r="AI138" s="14"/>
      <c r="AJ138" s="8"/>
      <c r="AK138" s="8"/>
      <c r="AL138" s="8"/>
      <c r="AM138" s="8"/>
      <c r="AN138" s="631"/>
      <c r="AO138" s="18"/>
      <c r="AP138" s="18"/>
      <c r="AQ138" s="18"/>
      <c r="AR138" s="18"/>
      <c r="AS138" s="18"/>
      <c r="AU138" s="448"/>
      <c r="AV138" s="448"/>
      <c r="AW138" s="8" t="str">
        <f>IF(C138&gt;0,VLOOKUP(C138,Foundation_Calc!$A$2:$C$986,3,1),
IF(J138&gt;0,VLOOKUP(J138,Foundation_Calc!$A$2:$C$986,3,1),""))</f>
        <v/>
      </c>
      <c r="AX138" s="8" t="str">
        <f>IF(C138&gt;0,VLOOKUP(C138,Foundation_Calc!$E$2:$G$986,3,1),
IF(J138&gt;0,VLOOKUP(J138,Foundation_Calc!$E$2:$G$986,3,1),""))</f>
        <v/>
      </c>
      <c r="AY138" s="631" t="str">
        <f>IF(L138="","",
IF(AX138="PT",VLOOKUP(L138,Foundation_Calc!$K$4:$R$37,VLOOKUP(AW138,Foundation_Calc!$I$2:$J$8,2,FALSE),0),
IF(AX138="K",VLOOKUP(L138,Foundation_Calc!$K$41:$R$74,VLOOKUP(AW138,Foundation_Calc!$I$2:$J$8,2,FALSE),0),"")))</f>
        <v/>
      </c>
      <c r="AZ138" s="631" t="str">
        <f>IF(K138="","",
IF(AX138="PT",VLOOKUP(K138,Foundation_Calc!$K$4:$R$37,VLOOKUP(AW138,Foundation_Calc!$I$2:$J$8,2,FALSE),0),
IF(AX138="K",VLOOKUP(K138,Foundation_Calc!$K$41:$R$74,VLOOKUP(AW138,Foundation_Calc!$I$2:$J$8,2,FALSE),0),"")))</f>
        <v/>
      </c>
      <c r="BA138" s="632" t="str">
        <f t="shared" si="12"/>
        <v/>
      </c>
      <c r="BB138" s="632" t="str">
        <f t="shared" si="13"/>
        <v/>
      </c>
      <c r="BC138" s="632" t="str">
        <f t="shared" si="14"/>
        <v/>
      </c>
      <c r="BD138" s="633" t="str">
        <f>IF(AND(L138="",H138=""),"",
IF(H138="",Pole_Calc!A142,
IF(H138="MP",Pole_Calc!A143,
IF(H138="AnMP",Pole_Calc!A144,
IF(H138="A",Pole_Calc!A145,
IF(H138="S/A",Pole_Calc!A146,
IF(H138="A/S",Pole_Calc!A147,"Poner a mano")))))))</f>
        <v/>
      </c>
      <c r="BE138" s="448" t="s">
        <v>1726</v>
      </c>
      <c r="BF138" s="634"/>
      <c r="BG138" s="634"/>
      <c r="BH138" s="634"/>
      <c r="BI138" s="634"/>
    </row>
    <row r="139" spans="1:61" ht="16.2" customHeight="1">
      <c r="A139" s="12"/>
      <c r="B139" s="446"/>
      <c r="C139" s="89"/>
      <c r="D139" s="13"/>
      <c r="E139" s="14"/>
      <c r="F139" s="14"/>
      <c r="G139" s="15"/>
      <c r="H139" s="8"/>
      <c r="I139" s="8"/>
      <c r="J139" s="89"/>
      <c r="K139" s="8"/>
      <c r="L139" s="8"/>
      <c r="M139" s="8" t="str">
        <f>IF(L139="","",
IF(AX139="PT",VLOOKUP(L139,Foundation_Calc!$V$4:$X$37,VLOOKUP(AX139,Foundation_Calc!$I$10:$J$13,2,FALSE),0),
IF(AX139="K",VLOOKUP(L139,Foundation_Calc!$V$41:$X$74,VLOOKUP(AX139,Foundation_Calc!$I$10:$J$13,2,FALSE),0),"")))</f>
        <v/>
      </c>
      <c r="N139" s="8"/>
      <c r="O139" s="8"/>
      <c r="P139" s="8"/>
      <c r="Q139" s="14"/>
      <c r="R139" s="15"/>
      <c r="S139" s="15"/>
      <c r="T139" s="14"/>
      <c r="U139" s="14"/>
      <c r="V139" s="14"/>
      <c r="W139" s="18"/>
      <c r="X139" s="18"/>
      <c r="Y139" s="18"/>
      <c r="Z139" s="18"/>
      <c r="AA139" s="18"/>
      <c r="AB139" s="18"/>
      <c r="AC139" s="8" t="str">
        <f t="shared" si="11"/>
        <v/>
      </c>
      <c r="AD139" s="8"/>
      <c r="AE139" s="8"/>
      <c r="AF139" s="14"/>
      <c r="AG139" s="13"/>
      <c r="AH139" s="14"/>
      <c r="AI139" s="14"/>
      <c r="AJ139" s="8"/>
      <c r="AK139" s="8"/>
      <c r="AL139" s="8"/>
      <c r="AM139" s="8"/>
      <c r="AN139" s="631"/>
      <c r="AO139" s="18"/>
      <c r="AP139" s="18"/>
      <c r="AQ139" s="18"/>
      <c r="AR139" s="18"/>
      <c r="AS139" s="18"/>
      <c r="AU139" s="448"/>
      <c r="AV139" s="448"/>
      <c r="AW139" s="8" t="str">
        <f>IF(C139&gt;0,VLOOKUP(C139,Foundation_Calc!$A$2:$C$986,3,1),
IF(J139&gt;0,VLOOKUP(J139,Foundation_Calc!$A$2:$C$986,3,1),""))</f>
        <v/>
      </c>
      <c r="AX139" s="8" t="str">
        <f>IF(C139&gt;0,VLOOKUP(C139,Foundation_Calc!$E$2:$G$986,3,1),
IF(J139&gt;0,VLOOKUP(J139,Foundation_Calc!$E$2:$G$986,3,1),""))</f>
        <v/>
      </c>
      <c r="AY139" s="631" t="str">
        <f>IF(L139="","",
IF(AX139="PT",VLOOKUP(L139,Foundation_Calc!$K$4:$R$37,VLOOKUP(AW139,Foundation_Calc!$I$2:$J$8,2,FALSE),0),
IF(AX139="K",VLOOKUP(L139,Foundation_Calc!$K$41:$R$74,VLOOKUP(AW139,Foundation_Calc!$I$2:$J$8,2,FALSE),0),"")))</f>
        <v/>
      </c>
      <c r="AZ139" s="631" t="str">
        <f>IF(K139="","",
IF(AX139="PT",VLOOKUP(K139,Foundation_Calc!$K$4:$R$37,VLOOKUP(AW139,Foundation_Calc!$I$2:$J$8,2,FALSE),0),
IF(AX139="K",VLOOKUP(K139,Foundation_Calc!$K$41:$R$74,VLOOKUP(AW139,Foundation_Calc!$I$2:$J$8,2,FALSE),0),"")))</f>
        <v/>
      </c>
      <c r="BA139" s="632" t="str">
        <f t="shared" si="12"/>
        <v/>
      </c>
      <c r="BB139" s="632" t="str">
        <f t="shared" si="13"/>
        <v/>
      </c>
      <c r="BC139" s="632" t="str">
        <f t="shared" si="14"/>
        <v/>
      </c>
      <c r="BD139" s="633" t="str">
        <f>IF(AND(L139="",H139=""),"",
IF(H139="",Pole_Calc!A143,
IF(H139="MP",Pole_Calc!A144,
IF(H139="AnMP",Pole_Calc!A145,
IF(H139="A",Pole_Calc!A146,
IF(H139="S/A",Pole_Calc!A147,
IF(H139="A/S",Pole_Calc!A148,"Poner a mano")))))))</f>
        <v/>
      </c>
      <c r="BE139" s="448" t="s">
        <v>1726</v>
      </c>
      <c r="BF139" s="635"/>
      <c r="BG139" s="635"/>
      <c r="BH139" s="634"/>
      <c r="BI139" s="635"/>
    </row>
    <row r="140" spans="1:61" ht="16.2" customHeight="1">
      <c r="A140" s="12"/>
      <c r="B140" s="446"/>
      <c r="C140" s="89"/>
      <c r="D140" s="13"/>
      <c r="E140" s="14"/>
      <c r="F140" s="14"/>
      <c r="G140" s="15"/>
      <c r="H140" s="8"/>
      <c r="I140" s="8"/>
      <c r="J140" s="89"/>
      <c r="K140" s="8"/>
      <c r="L140" s="8"/>
      <c r="M140" s="8" t="str">
        <f>IF(L140="","",
IF(AX140="PT",VLOOKUP(L140,Foundation_Calc!$V$4:$X$37,VLOOKUP(AX140,Foundation_Calc!$I$10:$J$13,2,FALSE),0),
IF(AX140="K",VLOOKUP(L140,Foundation_Calc!$V$41:$X$74,VLOOKUP(AX140,Foundation_Calc!$I$10:$J$13,2,FALSE),0),"")))</f>
        <v/>
      </c>
      <c r="N140" s="8"/>
      <c r="O140" s="8"/>
      <c r="P140" s="8"/>
      <c r="Q140" s="14"/>
      <c r="R140" s="15"/>
      <c r="S140" s="15"/>
      <c r="T140" s="14"/>
      <c r="U140" s="14"/>
      <c r="V140" s="14"/>
      <c r="W140" s="18"/>
      <c r="X140" s="18"/>
      <c r="Y140" s="18"/>
      <c r="Z140" s="18"/>
      <c r="AA140" s="18"/>
      <c r="AB140" s="18"/>
      <c r="AC140" s="8" t="str">
        <f t="shared" si="11"/>
        <v/>
      </c>
      <c r="AD140" s="8"/>
      <c r="AE140" s="8"/>
      <c r="AF140" s="14"/>
      <c r="AG140" s="13"/>
      <c r="AH140" s="14"/>
      <c r="AI140" s="14"/>
      <c r="AJ140" s="8"/>
      <c r="AK140" s="8"/>
      <c r="AL140" s="8"/>
      <c r="AM140" s="8"/>
      <c r="AN140" s="631"/>
      <c r="AO140" s="18"/>
      <c r="AP140" s="18"/>
      <c r="AQ140" s="18"/>
      <c r="AR140" s="18"/>
      <c r="AS140" s="18"/>
      <c r="AU140" s="448"/>
      <c r="AV140" s="448"/>
      <c r="AW140" s="8" t="str">
        <f>IF(C140&gt;0,VLOOKUP(C140,Foundation_Calc!$A$2:$C$986,3,1),
IF(J140&gt;0,VLOOKUP(J140,Foundation_Calc!$A$2:$C$986,3,1),""))</f>
        <v/>
      </c>
      <c r="AX140" s="8" t="str">
        <f>IF(C140&gt;0,VLOOKUP(C140,Foundation_Calc!$E$2:$G$986,3,1),
IF(J140&gt;0,VLOOKUP(J140,Foundation_Calc!$E$2:$G$986,3,1),""))</f>
        <v/>
      </c>
      <c r="AY140" s="631" t="str">
        <f>IF(L140="","",
IF(AX140="PT",VLOOKUP(L140,Foundation_Calc!$K$4:$R$37,VLOOKUP(AW140,Foundation_Calc!$I$2:$J$8,2,FALSE),0),
IF(AX140="K",VLOOKUP(L140,Foundation_Calc!$K$41:$R$74,VLOOKUP(AW140,Foundation_Calc!$I$2:$J$8,2,FALSE),0),"")))</f>
        <v/>
      </c>
      <c r="AZ140" s="631" t="str">
        <f>IF(K140="","",
IF(AX140="PT",VLOOKUP(K140,Foundation_Calc!$K$4:$R$37,VLOOKUP(AW140,Foundation_Calc!$I$2:$J$8,2,FALSE),0),
IF(AX140="K",VLOOKUP(K140,Foundation_Calc!$K$41:$R$74,VLOOKUP(AW140,Foundation_Calc!$I$2:$J$8,2,FALSE),0),"")))</f>
        <v/>
      </c>
      <c r="BA140" s="632" t="str">
        <f t="shared" si="12"/>
        <v/>
      </c>
      <c r="BB140" s="632" t="str">
        <f t="shared" si="13"/>
        <v/>
      </c>
      <c r="BC140" s="632" t="str">
        <f t="shared" si="14"/>
        <v/>
      </c>
      <c r="BD140" s="633" t="str">
        <f>IF(AND(L140="",H140=""),"",
IF(H140="",Pole_Calc!A144,
IF(H140="MP",Pole_Calc!A145,
IF(H140="AnMP",Pole_Calc!A146,
IF(H140="A",Pole_Calc!A147,
IF(H140="S/A",Pole_Calc!A148,
IF(H140="A/S",Pole_Calc!A149,"Poner a mano")))))))</f>
        <v/>
      </c>
      <c r="BE140" s="448" t="s">
        <v>1726</v>
      </c>
      <c r="BF140" s="634"/>
      <c r="BG140" s="634"/>
      <c r="BH140" s="634"/>
      <c r="BI140" s="634"/>
    </row>
    <row r="141" spans="1:61" ht="16.2" customHeight="1">
      <c r="A141" s="12"/>
      <c r="B141" s="446"/>
      <c r="C141" s="89"/>
      <c r="D141" s="13"/>
      <c r="E141" s="14"/>
      <c r="F141" s="14"/>
      <c r="G141" s="15"/>
      <c r="H141" s="8"/>
      <c r="I141" s="8"/>
      <c r="J141" s="89"/>
      <c r="K141" s="8"/>
      <c r="L141" s="8"/>
      <c r="M141" s="8" t="str">
        <f>IF(L141="","",
IF(AX141="PT",VLOOKUP(L141,Foundation_Calc!$V$4:$X$37,VLOOKUP(AX141,Foundation_Calc!$I$10:$J$13,2,FALSE),0),
IF(AX141="K",VLOOKUP(L141,Foundation_Calc!$V$41:$X$74,VLOOKUP(AX141,Foundation_Calc!$I$10:$J$13,2,FALSE),0),"")))</f>
        <v/>
      </c>
      <c r="N141" s="8"/>
      <c r="O141" s="8"/>
      <c r="P141" s="8"/>
      <c r="Q141" s="14"/>
      <c r="R141" s="15"/>
      <c r="S141" s="15"/>
      <c r="T141" s="14"/>
      <c r="U141" s="14"/>
      <c r="V141" s="14"/>
      <c r="W141" s="18"/>
      <c r="X141" s="18"/>
      <c r="Y141" s="18"/>
      <c r="Z141" s="18"/>
      <c r="AA141" s="18"/>
      <c r="AB141" s="18"/>
      <c r="AC141" s="8" t="str">
        <f t="shared" si="11"/>
        <v/>
      </c>
      <c r="AD141" s="8"/>
      <c r="AE141" s="8"/>
      <c r="AF141" s="14"/>
      <c r="AG141" s="13"/>
      <c r="AH141" s="14"/>
      <c r="AI141" s="14"/>
      <c r="AJ141" s="8"/>
      <c r="AK141" s="8"/>
      <c r="AL141" s="8"/>
      <c r="AM141" s="8"/>
      <c r="AN141" s="631"/>
      <c r="AO141" s="18"/>
      <c r="AP141" s="18"/>
      <c r="AQ141" s="18"/>
      <c r="AR141" s="18"/>
      <c r="AS141" s="18"/>
      <c r="AU141" s="448"/>
      <c r="AV141" s="448"/>
      <c r="AW141" s="8" t="str">
        <f>IF(C141&gt;0,VLOOKUP(C141,Foundation_Calc!$A$2:$C$986,3,1),
IF(J141&gt;0,VLOOKUP(J141,Foundation_Calc!$A$2:$C$986,3,1),""))</f>
        <v/>
      </c>
      <c r="AX141" s="8" t="str">
        <f>IF(C141&gt;0,VLOOKUP(C141,Foundation_Calc!$E$2:$G$986,3,1),
IF(J141&gt;0,VLOOKUP(J141,Foundation_Calc!$E$2:$G$986,3,1),""))</f>
        <v/>
      </c>
      <c r="AY141" s="631" t="str">
        <f>IF(L141="","",
IF(AX141="PT",VLOOKUP(L141,Foundation_Calc!$K$4:$R$37,VLOOKUP(AW141,Foundation_Calc!$I$2:$J$8,2,FALSE),0),
IF(AX141="K",VLOOKUP(L141,Foundation_Calc!$K$41:$R$74,VLOOKUP(AW141,Foundation_Calc!$I$2:$J$8,2,FALSE),0),"")))</f>
        <v/>
      </c>
      <c r="AZ141" s="631" t="str">
        <f>IF(K141="","",
IF(AX141="PT",VLOOKUP(K141,Foundation_Calc!$K$4:$R$37,VLOOKUP(AW141,Foundation_Calc!$I$2:$J$8,2,FALSE),0),
IF(AX141="K",VLOOKUP(K141,Foundation_Calc!$K$41:$R$74,VLOOKUP(AW141,Foundation_Calc!$I$2:$J$8,2,FALSE),0),"")))</f>
        <v/>
      </c>
      <c r="BA141" s="632" t="str">
        <f t="shared" si="12"/>
        <v/>
      </c>
      <c r="BB141" s="632" t="str">
        <f t="shared" si="13"/>
        <v/>
      </c>
      <c r="BC141" s="632" t="str">
        <f t="shared" si="14"/>
        <v/>
      </c>
      <c r="BD141" s="633" t="str">
        <f>IF(AND(L141="",H141=""),"",
IF(H141="",Pole_Calc!A145,
IF(H141="MP",Pole_Calc!A146,
IF(H141="AnMP",Pole_Calc!A147,
IF(H141="A",Pole_Calc!A148,
IF(H141="S/A",Pole_Calc!A149,
IF(H141="A/S",Pole_Calc!A150,"Poner a mano")))))))</f>
        <v/>
      </c>
      <c r="BE141" s="448" t="s">
        <v>1726</v>
      </c>
      <c r="BF141" s="635"/>
      <c r="BG141" s="635"/>
      <c r="BH141" s="634"/>
      <c r="BI141" s="635"/>
    </row>
    <row r="142" spans="1:61" ht="16.2" customHeight="1">
      <c r="A142" s="12"/>
      <c r="B142" s="446"/>
      <c r="C142" s="89"/>
      <c r="D142" s="13"/>
      <c r="E142" s="14"/>
      <c r="F142" s="14"/>
      <c r="G142" s="15"/>
      <c r="H142" s="8"/>
      <c r="I142" s="8"/>
      <c r="J142" s="89"/>
      <c r="K142" s="8"/>
      <c r="L142" s="8"/>
      <c r="M142" s="8" t="str">
        <f>IF(L142="","",
IF(AX142="PT",VLOOKUP(L142,Foundation_Calc!$V$4:$X$37,VLOOKUP(AX142,Foundation_Calc!$I$10:$J$13,2,FALSE),0),
IF(AX142="K",VLOOKUP(L142,Foundation_Calc!$V$41:$X$74,VLOOKUP(AX142,Foundation_Calc!$I$10:$J$13,2,FALSE),0),"")))</f>
        <v/>
      </c>
      <c r="N142" s="8"/>
      <c r="O142" s="8"/>
      <c r="P142" s="8"/>
      <c r="Q142" s="14"/>
      <c r="R142" s="15"/>
      <c r="S142" s="15"/>
      <c r="T142" s="14"/>
      <c r="U142" s="14"/>
      <c r="V142" s="14"/>
      <c r="W142" s="18"/>
      <c r="X142" s="18"/>
      <c r="Y142" s="18"/>
      <c r="Z142" s="18"/>
      <c r="AA142" s="18"/>
      <c r="AB142" s="18"/>
      <c r="AC142" s="8" t="str">
        <f t="shared" si="11"/>
        <v/>
      </c>
      <c r="AD142" s="8"/>
      <c r="AE142" s="8"/>
      <c r="AF142" s="14"/>
      <c r="AG142" s="13"/>
      <c r="AH142" s="14"/>
      <c r="AI142" s="14"/>
      <c r="AJ142" s="8"/>
      <c r="AK142" s="8"/>
      <c r="AL142" s="8"/>
      <c r="AM142" s="8"/>
      <c r="AN142" s="631"/>
      <c r="AO142" s="18"/>
      <c r="AP142" s="18"/>
      <c r="AQ142" s="18"/>
      <c r="AR142" s="18"/>
      <c r="AS142" s="18"/>
      <c r="AU142" s="448"/>
      <c r="AV142" s="448"/>
      <c r="AW142" s="8" t="str">
        <f>IF(C142&gt;0,VLOOKUP(C142,Foundation_Calc!$A$2:$C$986,3,1),
IF(J142&gt;0,VLOOKUP(J142,Foundation_Calc!$A$2:$C$986,3,1),""))</f>
        <v/>
      </c>
      <c r="AX142" s="8" t="str">
        <f>IF(C142&gt;0,VLOOKUP(C142,Foundation_Calc!$E$2:$G$986,3,1),
IF(J142&gt;0,VLOOKUP(J142,Foundation_Calc!$E$2:$G$986,3,1),""))</f>
        <v/>
      </c>
      <c r="AY142" s="631" t="str">
        <f>IF(L142="","",
IF(AX142="PT",VLOOKUP(L142,Foundation_Calc!$K$4:$R$37,VLOOKUP(AW142,Foundation_Calc!$I$2:$J$8,2,FALSE),0),
IF(AX142="K",VLOOKUP(L142,Foundation_Calc!$K$41:$R$74,VLOOKUP(AW142,Foundation_Calc!$I$2:$J$8,2,FALSE),0),"")))</f>
        <v/>
      </c>
      <c r="AZ142" s="631" t="str">
        <f>IF(K142="","",
IF(AX142="PT",VLOOKUP(K142,Foundation_Calc!$K$4:$R$37,VLOOKUP(AW142,Foundation_Calc!$I$2:$J$8,2,FALSE),0),
IF(AX142="K",VLOOKUP(K142,Foundation_Calc!$K$41:$R$74,VLOOKUP(AW142,Foundation_Calc!$I$2:$J$8,2,FALSE),0),"")))</f>
        <v/>
      </c>
      <c r="BA142" s="632" t="str">
        <f t="shared" si="12"/>
        <v/>
      </c>
      <c r="BB142" s="632" t="str">
        <f t="shared" si="13"/>
        <v/>
      </c>
      <c r="BC142" s="632" t="str">
        <f t="shared" si="14"/>
        <v/>
      </c>
      <c r="BD142" s="633" t="str">
        <f>IF(AND(L142="",H142=""),"",
IF(H142="",Pole_Calc!A146,
IF(H142="MP",Pole_Calc!A147,
IF(H142="AnMP",Pole_Calc!A148,
IF(H142="A",Pole_Calc!A149,
IF(H142="S/A",Pole_Calc!A150,
IF(H142="A/S",Pole_Calc!A151,"Poner a mano")))))))</f>
        <v/>
      </c>
      <c r="BE142" s="448" t="s">
        <v>1726</v>
      </c>
      <c r="BF142" s="634"/>
      <c r="BG142" s="634"/>
      <c r="BH142" s="634"/>
      <c r="BI142" s="634"/>
    </row>
    <row r="143" spans="1:61" ht="16.2" customHeight="1">
      <c r="A143" s="12"/>
      <c r="B143" s="446"/>
      <c r="C143" s="89"/>
      <c r="D143" s="13"/>
      <c r="E143" s="14"/>
      <c r="F143" s="14"/>
      <c r="G143" s="15"/>
      <c r="H143" s="8"/>
      <c r="I143" s="8"/>
      <c r="J143" s="89"/>
      <c r="K143" s="8"/>
      <c r="L143" s="8"/>
      <c r="M143" s="8" t="str">
        <f>IF(L143="","",
IF(AX143="PT",VLOOKUP(L143,Foundation_Calc!$V$4:$X$37,VLOOKUP(AX143,Foundation_Calc!$I$10:$J$13,2,FALSE),0),
IF(AX143="K",VLOOKUP(L143,Foundation_Calc!$V$41:$X$74,VLOOKUP(AX143,Foundation_Calc!$I$10:$J$13,2,FALSE),0),"")))</f>
        <v/>
      </c>
      <c r="N143" s="8"/>
      <c r="O143" s="8"/>
      <c r="P143" s="8"/>
      <c r="Q143" s="14"/>
      <c r="R143" s="15"/>
      <c r="S143" s="15"/>
      <c r="T143" s="14"/>
      <c r="U143" s="14"/>
      <c r="V143" s="14"/>
      <c r="W143" s="18"/>
      <c r="X143" s="18"/>
      <c r="Y143" s="18"/>
      <c r="Z143" s="18"/>
      <c r="AA143" s="18"/>
      <c r="AB143" s="18"/>
      <c r="AC143" s="8" t="str">
        <f t="shared" si="11"/>
        <v/>
      </c>
      <c r="AD143" s="8"/>
      <c r="AE143" s="8"/>
      <c r="AF143" s="14"/>
      <c r="AG143" s="13"/>
      <c r="AH143" s="14"/>
      <c r="AI143" s="14"/>
      <c r="AJ143" s="8"/>
      <c r="AK143" s="8"/>
      <c r="AL143" s="8"/>
      <c r="AM143" s="8"/>
      <c r="AN143" s="631"/>
      <c r="AO143" s="18"/>
      <c r="AP143" s="18"/>
      <c r="AQ143" s="18"/>
      <c r="AR143" s="18"/>
      <c r="AS143" s="18"/>
      <c r="AU143" s="448"/>
      <c r="AV143" s="448"/>
      <c r="AW143" s="8" t="str">
        <f>IF(C143&gt;0,VLOOKUP(C143,Foundation_Calc!$A$2:$C$986,3,1),
IF(J143&gt;0,VLOOKUP(J143,Foundation_Calc!$A$2:$C$986,3,1),""))</f>
        <v/>
      </c>
      <c r="AX143" s="8" t="str">
        <f>IF(C143&gt;0,VLOOKUP(C143,Foundation_Calc!$E$2:$G$986,3,1),
IF(J143&gt;0,VLOOKUP(J143,Foundation_Calc!$E$2:$G$986,3,1),""))</f>
        <v/>
      </c>
      <c r="AY143" s="631" t="str">
        <f>IF(L143="","",
IF(AX143="PT",VLOOKUP(L143,Foundation_Calc!$K$4:$R$37,VLOOKUP(AW143,Foundation_Calc!$I$2:$J$8,2,FALSE),0),
IF(AX143="K",VLOOKUP(L143,Foundation_Calc!$K$41:$R$74,VLOOKUP(AW143,Foundation_Calc!$I$2:$J$8,2,FALSE),0),"")))</f>
        <v/>
      </c>
      <c r="AZ143" s="631" t="str">
        <f>IF(K143="","",
IF(AX143="PT",VLOOKUP(K143,Foundation_Calc!$K$4:$R$37,VLOOKUP(AW143,Foundation_Calc!$I$2:$J$8,2,FALSE),0),
IF(AX143="K",VLOOKUP(K143,Foundation_Calc!$K$41:$R$74,VLOOKUP(AW143,Foundation_Calc!$I$2:$J$8,2,FALSE),0),"")))</f>
        <v/>
      </c>
      <c r="BA143" s="632" t="str">
        <f t="shared" si="12"/>
        <v/>
      </c>
      <c r="BB143" s="632" t="str">
        <f t="shared" si="13"/>
        <v/>
      </c>
      <c r="BC143" s="632" t="str">
        <f t="shared" si="14"/>
        <v/>
      </c>
      <c r="BD143" s="633" t="str">
        <f>IF(AND(L143="",H143=""),"",
IF(H143="",Pole_Calc!A147,
IF(H143="MP",Pole_Calc!A148,
IF(H143="AnMP",Pole_Calc!A149,
IF(H143="A",Pole_Calc!A150,
IF(H143="S/A",Pole_Calc!A151,
IF(H143="A/S",Pole_Calc!A152,"Poner a mano")))))))</f>
        <v/>
      </c>
      <c r="BE143" s="448" t="s">
        <v>1726</v>
      </c>
      <c r="BF143" s="635"/>
      <c r="BG143" s="635"/>
      <c r="BH143" s="634"/>
      <c r="BI143" s="635"/>
    </row>
    <row r="144" spans="1:61" ht="16.2" customHeight="1">
      <c r="A144" s="12"/>
      <c r="B144" s="446"/>
      <c r="C144" s="89"/>
      <c r="D144" s="13"/>
      <c r="E144" s="14"/>
      <c r="F144" s="14"/>
      <c r="G144" s="15"/>
      <c r="H144" s="8"/>
      <c r="I144" s="8"/>
      <c r="J144" s="89"/>
      <c r="K144" s="8"/>
      <c r="L144" s="8"/>
      <c r="M144" s="8" t="str">
        <f>IF(L144="","",
IF(AX144="PT",VLOOKUP(L144,Foundation_Calc!$V$4:$X$37,VLOOKUP(AX144,Foundation_Calc!$I$10:$J$13,2,FALSE),0),
IF(AX144="K",VLOOKUP(L144,Foundation_Calc!$V$41:$X$74,VLOOKUP(AX144,Foundation_Calc!$I$10:$J$13,2,FALSE),0),"")))</f>
        <v/>
      </c>
      <c r="N144" s="8"/>
      <c r="O144" s="8"/>
      <c r="P144" s="8"/>
      <c r="Q144" s="14"/>
      <c r="R144" s="15"/>
      <c r="S144" s="15"/>
      <c r="T144" s="14"/>
      <c r="U144" s="14"/>
      <c r="V144" s="14"/>
      <c r="W144" s="18"/>
      <c r="X144" s="18"/>
      <c r="Y144" s="18"/>
      <c r="Z144" s="18"/>
      <c r="AA144" s="18"/>
      <c r="AB144" s="18"/>
      <c r="AC144" s="8" t="str">
        <f t="shared" si="11"/>
        <v/>
      </c>
      <c r="AD144" s="8"/>
      <c r="AE144" s="8"/>
      <c r="AF144" s="14"/>
      <c r="AG144" s="13"/>
      <c r="AH144" s="14"/>
      <c r="AI144" s="14"/>
      <c r="AJ144" s="8"/>
      <c r="AK144" s="8"/>
      <c r="AL144" s="8"/>
      <c r="AM144" s="8"/>
      <c r="AN144" s="631"/>
      <c r="AO144" s="18"/>
      <c r="AP144" s="18"/>
      <c r="AQ144" s="18"/>
      <c r="AR144" s="18"/>
      <c r="AS144" s="18"/>
      <c r="AU144" s="448"/>
      <c r="AV144" s="448"/>
      <c r="AW144" s="8" t="str">
        <f>IF(C144&gt;0,VLOOKUP(C144,Foundation_Calc!$A$2:$C$986,3,1),
IF(J144&gt;0,VLOOKUP(J144,Foundation_Calc!$A$2:$C$986,3,1),""))</f>
        <v/>
      </c>
      <c r="AX144" s="8" t="str">
        <f>IF(C144&gt;0,VLOOKUP(C144,Foundation_Calc!$E$2:$G$986,3,1),
IF(J144&gt;0,VLOOKUP(J144,Foundation_Calc!$E$2:$G$986,3,1),""))</f>
        <v/>
      </c>
      <c r="AY144" s="631" t="str">
        <f>IF(L144="","",
IF(AX144="PT",VLOOKUP(L144,Foundation_Calc!$K$4:$R$37,VLOOKUP(AW144,Foundation_Calc!$I$2:$J$8,2,FALSE),0),
IF(AX144="K",VLOOKUP(L144,Foundation_Calc!$K$41:$R$74,VLOOKUP(AW144,Foundation_Calc!$I$2:$J$8,2,FALSE),0),"")))</f>
        <v/>
      </c>
      <c r="AZ144" s="631" t="str">
        <f>IF(K144="","",
IF(AX144="PT",VLOOKUP(K144,Foundation_Calc!$K$4:$R$37,VLOOKUP(AW144,Foundation_Calc!$I$2:$J$8,2,FALSE),0),
IF(AX144="K",VLOOKUP(K144,Foundation_Calc!$K$41:$R$74,VLOOKUP(AW144,Foundation_Calc!$I$2:$J$8,2,FALSE),0),"")))</f>
        <v/>
      </c>
      <c r="BA144" s="632" t="str">
        <f t="shared" si="12"/>
        <v/>
      </c>
      <c r="BB144" s="632" t="str">
        <f t="shared" si="13"/>
        <v/>
      </c>
      <c r="BC144" s="632" t="str">
        <f t="shared" si="14"/>
        <v/>
      </c>
      <c r="BD144" s="633" t="str">
        <f>IF(AND(L144="",H144=""),"",
IF(H144="",Pole_Calc!A148,
IF(H144="MP",Pole_Calc!A149,
IF(H144="AnMP",Pole_Calc!A150,
IF(H144="A",Pole_Calc!A151,
IF(H144="S/A",Pole_Calc!A152,
IF(H144="A/S",Pole_Calc!A153,"Poner a mano")))))))</f>
        <v/>
      </c>
      <c r="BE144" s="448" t="s">
        <v>1726</v>
      </c>
      <c r="BF144" s="634"/>
      <c r="BG144" s="634"/>
      <c r="BH144" s="634"/>
      <c r="BI144" s="634"/>
    </row>
    <row r="145" spans="1:61" ht="16.2" customHeight="1">
      <c r="A145" s="12"/>
      <c r="B145" s="446"/>
      <c r="C145" s="89"/>
      <c r="D145" s="13"/>
      <c r="E145" s="14"/>
      <c r="F145" s="14"/>
      <c r="G145" s="15"/>
      <c r="H145" s="8"/>
      <c r="I145" s="8"/>
      <c r="J145" s="89"/>
      <c r="K145" s="8"/>
      <c r="L145" s="8"/>
      <c r="M145" s="8" t="str">
        <f>IF(L145="","",
IF(AX145="PT",VLOOKUP(L145,Foundation_Calc!$V$4:$X$37,VLOOKUP(AX145,Foundation_Calc!$I$10:$J$13,2,FALSE),0),
IF(AX145="K",VLOOKUP(L145,Foundation_Calc!$V$41:$X$74,VLOOKUP(AX145,Foundation_Calc!$I$10:$J$13,2,FALSE),0),"")))</f>
        <v/>
      </c>
      <c r="N145" s="8"/>
      <c r="O145" s="8"/>
      <c r="P145" s="8"/>
      <c r="Q145" s="14"/>
      <c r="R145" s="15"/>
      <c r="S145" s="15"/>
      <c r="T145" s="14"/>
      <c r="U145" s="14"/>
      <c r="V145" s="14"/>
      <c r="W145" s="18"/>
      <c r="X145" s="18"/>
      <c r="Y145" s="18"/>
      <c r="Z145" s="18"/>
      <c r="AA145" s="18"/>
      <c r="AB145" s="18"/>
      <c r="AC145" s="8" t="str">
        <f t="shared" si="11"/>
        <v/>
      </c>
      <c r="AD145" s="8"/>
      <c r="AE145" s="8"/>
      <c r="AF145" s="14"/>
      <c r="AG145" s="13"/>
      <c r="AH145" s="14"/>
      <c r="AI145" s="14"/>
      <c r="AJ145" s="8"/>
      <c r="AK145" s="8"/>
      <c r="AL145" s="8"/>
      <c r="AM145" s="8"/>
      <c r="AN145" s="631"/>
      <c r="AO145" s="18"/>
      <c r="AP145" s="18"/>
      <c r="AQ145" s="18"/>
      <c r="AR145" s="18"/>
      <c r="AS145" s="18"/>
      <c r="AU145" s="448"/>
      <c r="AV145" s="448"/>
      <c r="AW145" s="8" t="str">
        <f>IF(C145&gt;0,VLOOKUP(C145,Foundation_Calc!$A$2:$C$986,3,1),
IF(J145&gt;0,VLOOKUP(J145,Foundation_Calc!$A$2:$C$986,3,1),""))</f>
        <v/>
      </c>
      <c r="AX145" s="8" t="str">
        <f>IF(C145&gt;0,VLOOKUP(C145,Foundation_Calc!$E$2:$G$986,3,1),
IF(J145&gt;0,VLOOKUP(J145,Foundation_Calc!$E$2:$G$986,3,1),""))</f>
        <v/>
      </c>
      <c r="AY145" s="631" t="str">
        <f>IF(L145="","",
IF(AX145="PT",VLOOKUP(L145,Foundation_Calc!$K$4:$R$37,VLOOKUP(AW145,Foundation_Calc!$I$2:$J$8,2,FALSE),0),
IF(AX145="K",VLOOKUP(L145,Foundation_Calc!$K$41:$R$74,VLOOKUP(AW145,Foundation_Calc!$I$2:$J$8,2,FALSE),0),"")))</f>
        <v/>
      </c>
      <c r="AZ145" s="631" t="str">
        <f>IF(K145="","",
IF(AX145="PT",VLOOKUP(K145,Foundation_Calc!$K$4:$R$37,VLOOKUP(AW145,Foundation_Calc!$I$2:$J$8,2,FALSE),0),
IF(AX145="K",VLOOKUP(K145,Foundation_Calc!$K$41:$R$74,VLOOKUP(AW145,Foundation_Calc!$I$2:$J$8,2,FALSE),0),"")))</f>
        <v/>
      </c>
      <c r="BA145" s="632" t="str">
        <f t="shared" si="12"/>
        <v/>
      </c>
      <c r="BB145" s="632" t="str">
        <f t="shared" si="13"/>
        <v/>
      </c>
      <c r="BC145" s="632" t="str">
        <f t="shared" si="14"/>
        <v/>
      </c>
      <c r="BD145" s="633" t="str">
        <f>IF(AND(L145="",H145=""),"",
IF(H145="",Pole_Calc!A149,
IF(H145="MP",Pole_Calc!A150,
IF(H145="AnMP",Pole_Calc!A151,
IF(H145="A",Pole_Calc!A152,
IF(H145="S/A",Pole_Calc!A153,
IF(H145="A/S",Pole_Calc!A154,"Poner a mano")))))))</f>
        <v/>
      </c>
      <c r="BE145" s="448" t="s">
        <v>1726</v>
      </c>
      <c r="BF145" s="635"/>
      <c r="BG145" s="635"/>
      <c r="BH145" s="634"/>
      <c r="BI145" s="635"/>
    </row>
    <row r="146" spans="1:61" ht="16.2" customHeight="1">
      <c r="A146" s="12"/>
      <c r="B146" s="446"/>
      <c r="C146" s="89"/>
      <c r="D146" s="13"/>
      <c r="E146" s="14"/>
      <c r="F146" s="14"/>
      <c r="G146" s="15"/>
      <c r="H146" s="8"/>
      <c r="I146" s="8"/>
      <c r="J146" s="89"/>
      <c r="K146" s="8"/>
      <c r="L146" s="8"/>
      <c r="M146" s="8" t="str">
        <f>IF(L146="","",
IF(AX146="PT",VLOOKUP(L146,Foundation_Calc!$V$4:$X$37,VLOOKUP(AX146,Foundation_Calc!$I$10:$J$13,2,FALSE),0),
IF(AX146="K",VLOOKUP(L146,Foundation_Calc!$V$41:$X$74,VLOOKUP(AX146,Foundation_Calc!$I$10:$J$13,2,FALSE),0),"")))</f>
        <v/>
      </c>
      <c r="N146" s="8"/>
      <c r="O146" s="8"/>
      <c r="P146" s="8"/>
      <c r="Q146" s="14"/>
      <c r="R146" s="15"/>
      <c r="S146" s="15"/>
      <c r="T146" s="14"/>
      <c r="U146" s="14"/>
      <c r="V146" s="14"/>
      <c r="W146" s="18"/>
      <c r="X146" s="18"/>
      <c r="Y146" s="18"/>
      <c r="Z146" s="18"/>
      <c r="AA146" s="18"/>
      <c r="AB146" s="18"/>
      <c r="AC146" s="8" t="str">
        <f t="shared" si="11"/>
        <v/>
      </c>
      <c r="AD146" s="8"/>
      <c r="AE146" s="8"/>
      <c r="AF146" s="14"/>
      <c r="AG146" s="13"/>
      <c r="AH146" s="14"/>
      <c r="AI146" s="14"/>
      <c r="AJ146" s="8"/>
      <c r="AK146" s="8"/>
      <c r="AL146" s="8"/>
      <c r="AM146" s="8"/>
      <c r="AN146" s="631"/>
      <c r="AO146" s="18"/>
      <c r="AP146" s="18"/>
      <c r="AQ146" s="18"/>
      <c r="AR146" s="18"/>
      <c r="AS146" s="18"/>
      <c r="AU146" s="448"/>
      <c r="AV146" s="448"/>
      <c r="AW146" s="8" t="str">
        <f>IF(C146&gt;0,VLOOKUP(C146,Foundation_Calc!$A$2:$C$986,3,1),
IF(J146&gt;0,VLOOKUP(J146,Foundation_Calc!$A$2:$C$986,3,1),""))</f>
        <v/>
      </c>
      <c r="AX146" s="8" t="str">
        <f>IF(C146&gt;0,VLOOKUP(C146,Foundation_Calc!$E$2:$G$986,3,1),
IF(J146&gt;0,VLOOKUP(J146,Foundation_Calc!$E$2:$G$986,3,1),""))</f>
        <v/>
      </c>
      <c r="AY146" s="631" t="str">
        <f>IF(L146="","",
IF(AX146="PT",VLOOKUP(L146,Foundation_Calc!$K$4:$R$37,VLOOKUP(AW146,Foundation_Calc!$I$2:$J$8,2,FALSE),0),
IF(AX146="K",VLOOKUP(L146,Foundation_Calc!$K$41:$R$74,VLOOKUP(AW146,Foundation_Calc!$I$2:$J$8,2,FALSE),0),"")))</f>
        <v/>
      </c>
      <c r="AZ146" s="631" t="str">
        <f>IF(K146="","",
IF(AX146="PT",VLOOKUP(K146,Foundation_Calc!$K$4:$R$37,VLOOKUP(AW146,Foundation_Calc!$I$2:$J$8,2,FALSE),0),
IF(AX146="K",VLOOKUP(K146,Foundation_Calc!$K$41:$R$74,VLOOKUP(AW146,Foundation_Calc!$I$2:$J$8,2,FALSE),0),"")))</f>
        <v/>
      </c>
      <c r="BA146" s="632" t="str">
        <f t="shared" si="12"/>
        <v/>
      </c>
      <c r="BB146" s="632" t="str">
        <f t="shared" si="13"/>
        <v/>
      </c>
      <c r="BC146" s="632" t="str">
        <f t="shared" si="14"/>
        <v/>
      </c>
      <c r="BD146" s="633" t="str">
        <f>IF(AND(L146="",H146=""),"",
IF(H146="",Pole_Calc!A150,
IF(H146="MP",Pole_Calc!A151,
IF(H146="AnMP",Pole_Calc!A152,
IF(H146="A",Pole_Calc!A153,
IF(H146="S/A",Pole_Calc!A154,
IF(H146="A/S",Pole_Calc!A155,"Poner a mano")))))))</f>
        <v/>
      </c>
      <c r="BE146" s="448" t="s">
        <v>1726</v>
      </c>
      <c r="BF146" s="634"/>
      <c r="BG146" s="634"/>
      <c r="BH146" s="634"/>
      <c r="BI146" s="634"/>
    </row>
    <row r="147" spans="1:61" ht="16.2" customHeight="1">
      <c r="A147" s="12"/>
      <c r="B147" s="446"/>
      <c r="C147" s="89"/>
      <c r="D147" s="13"/>
      <c r="E147" s="14"/>
      <c r="F147" s="14"/>
      <c r="G147" s="15"/>
      <c r="H147" s="8"/>
      <c r="I147" s="8"/>
      <c r="J147" s="89"/>
      <c r="K147" s="8"/>
      <c r="L147" s="8"/>
      <c r="M147" s="8" t="str">
        <f>IF(L147="","",
IF(AX147="PT",VLOOKUP(L147,Foundation_Calc!$V$4:$X$37,VLOOKUP(AX147,Foundation_Calc!$I$10:$J$13,2,FALSE),0),
IF(AX147="K",VLOOKUP(L147,Foundation_Calc!$V$41:$X$74,VLOOKUP(AX147,Foundation_Calc!$I$10:$J$13,2,FALSE),0),"")))</f>
        <v/>
      </c>
      <c r="N147" s="8"/>
      <c r="O147" s="8"/>
      <c r="P147" s="8"/>
      <c r="Q147" s="14"/>
      <c r="R147" s="15"/>
      <c r="S147" s="15"/>
      <c r="T147" s="14"/>
      <c r="U147" s="14"/>
      <c r="V147" s="14"/>
      <c r="W147" s="18"/>
      <c r="X147" s="18"/>
      <c r="Y147" s="18"/>
      <c r="Z147" s="18"/>
      <c r="AA147" s="18"/>
      <c r="AB147" s="18"/>
      <c r="AC147" s="8" t="str">
        <f t="shared" si="11"/>
        <v/>
      </c>
      <c r="AD147" s="8"/>
      <c r="AE147" s="8"/>
      <c r="AF147" s="14"/>
      <c r="AG147" s="13"/>
      <c r="AH147" s="14"/>
      <c r="AI147" s="14"/>
      <c r="AJ147" s="8"/>
      <c r="AK147" s="8"/>
      <c r="AL147" s="8"/>
      <c r="AM147" s="8"/>
      <c r="AN147" s="631"/>
      <c r="AO147" s="18"/>
      <c r="AP147" s="18"/>
      <c r="AQ147" s="18"/>
      <c r="AR147" s="18"/>
      <c r="AS147" s="18"/>
      <c r="AU147" s="448"/>
      <c r="AV147" s="448"/>
      <c r="AW147" s="8" t="str">
        <f>IF(C147&gt;0,VLOOKUP(C147,Foundation_Calc!$A$2:$C$986,3,1),
IF(J147&gt;0,VLOOKUP(J147,Foundation_Calc!$A$2:$C$986,3,1),""))</f>
        <v/>
      </c>
      <c r="AX147" s="8" t="str">
        <f>IF(C147&gt;0,VLOOKUP(C147,Foundation_Calc!$E$2:$G$986,3,1),
IF(J147&gt;0,VLOOKUP(J147,Foundation_Calc!$E$2:$G$986,3,1),""))</f>
        <v/>
      </c>
      <c r="AY147" s="631" t="str">
        <f>IF(L147="","",
IF(AX147="PT",VLOOKUP(L147,Foundation_Calc!$K$4:$R$37,VLOOKUP(AW147,Foundation_Calc!$I$2:$J$8,2,FALSE),0),
IF(AX147="K",VLOOKUP(L147,Foundation_Calc!$K$41:$R$74,VLOOKUP(AW147,Foundation_Calc!$I$2:$J$8,2,FALSE),0),"")))</f>
        <v/>
      </c>
      <c r="AZ147" s="631" t="str">
        <f>IF(K147="","",
IF(AX147="PT",VLOOKUP(K147,Foundation_Calc!$K$4:$R$37,VLOOKUP(AW147,Foundation_Calc!$I$2:$J$8,2,FALSE),0),
IF(AX147="K",VLOOKUP(K147,Foundation_Calc!$K$41:$R$74,VLOOKUP(AW147,Foundation_Calc!$I$2:$J$8,2,FALSE),0),"")))</f>
        <v/>
      </c>
      <c r="BA147" s="632" t="str">
        <f t="shared" si="12"/>
        <v/>
      </c>
      <c r="BB147" s="632" t="str">
        <f t="shared" si="13"/>
        <v/>
      </c>
      <c r="BC147" s="632" t="str">
        <f t="shared" si="14"/>
        <v/>
      </c>
      <c r="BD147" s="633" t="str">
        <f>IF(AND(L147="",H147=""),"",
IF(H147="",Pole_Calc!A151,
IF(H147="MP",Pole_Calc!A152,
IF(H147="AnMP",Pole_Calc!A153,
IF(H147="A",Pole_Calc!A154,
IF(H147="S/A",Pole_Calc!A155,
IF(H147="A/S",Pole_Calc!A156,"Poner a mano")))))))</f>
        <v/>
      </c>
      <c r="BE147" s="448" t="s">
        <v>1726</v>
      </c>
      <c r="BF147" s="635"/>
      <c r="BG147" s="635"/>
      <c r="BH147" s="634"/>
      <c r="BI147" s="635"/>
    </row>
    <row r="148" spans="1:61" ht="16.2" customHeight="1">
      <c r="A148" s="12"/>
      <c r="B148" s="446"/>
      <c r="C148" s="89"/>
      <c r="D148" s="13"/>
      <c r="E148" s="14"/>
      <c r="F148" s="14"/>
      <c r="G148" s="15"/>
      <c r="H148" s="8"/>
      <c r="I148" s="8"/>
      <c r="J148" s="89"/>
      <c r="K148" s="8"/>
      <c r="L148" s="8"/>
      <c r="M148" s="8" t="str">
        <f>IF(L148="","",
IF(AX148="PT",VLOOKUP(L148,Foundation_Calc!$V$4:$X$37,VLOOKUP(AX148,Foundation_Calc!$I$10:$J$13,2,FALSE),0),
IF(AX148="K",VLOOKUP(L148,Foundation_Calc!$V$41:$X$74,VLOOKUP(AX148,Foundation_Calc!$I$10:$J$13,2,FALSE),0),"")))</f>
        <v/>
      </c>
      <c r="N148" s="8"/>
      <c r="O148" s="8"/>
      <c r="P148" s="8"/>
      <c r="Q148" s="14"/>
      <c r="R148" s="15"/>
      <c r="S148" s="15"/>
      <c r="T148" s="14"/>
      <c r="U148" s="14"/>
      <c r="V148" s="14"/>
      <c r="W148" s="18"/>
      <c r="X148" s="18"/>
      <c r="Y148" s="18"/>
      <c r="Z148" s="18"/>
      <c r="AA148" s="18"/>
      <c r="AB148" s="18"/>
      <c r="AC148" s="8" t="str">
        <f t="shared" si="11"/>
        <v/>
      </c>
      <c r="AD148" s="8"/>
      <c r="AE148" s="8"/>
      <c r="AF148" s="14"/>
      <c r="AG148" s="13"/>
      <c r="AH148" s="14"/>
      <c r="AI148" s="14"/>
      <c r="AJ148" s="8"/>
      <c r="AK148" s="8"/>
      <c r="AL148" s="8"/>
      <c r="AM148" s="8"/>
      <c r="AN148" s="631"/>
      <c r="AO148" s="18"/>
      <c r="AP148" s="18"/>
      <c r="AQ148" s="18"/>
      <c r="AR148" s="18"/>
      <c r="AS148" s="18"/>
      <c r="AU148" s="448"/>
      <c r="AV148" s="448"/>
      <c r="AW148" s="8" t="str">
        <f>IF(C148&gt;0,VLOOKUP(C148,Foundation_Calc!$A$2:$C$986,3,1),
IF(J148&gt;0,VLOOKUP(J148,Foundation_Calc!$A$2:$C$986,3,1),""))</f>
        <v/>
      </c>
      <c r="AX148" s="8" t="str">
        <f>IF(C148&gt;0,VLOOKUP(C148,Foundation_Calc!$E$2:$G$986,3,1),
IF(J148&gt;0,VLOOKUP(J148,Foundation_Calc!$E$2:$G$986,3,1),""))</f>
        <v/>
      </c>
      <c r="AY148" s="631" t="str">
        <f>IF(L148="","",
IF(AX148="PT",VLOOKUP(L148,Foundation_Calc!$K$4:$R$37,VLOOKUP(AW148,Foundation_Calc!$I$2:$J$8,2,FALSE),0),
IF(AX148="K",VLOOKUP(L148,Foundation_Calc!$K$41:$R$74,VLOOKUP(AW148,Foundation_Calc!$I$2:$J$8,2,FALSE),0),"")))</f>
        <v/>
      </c>
      <c r="AZ148" s="631" t="str">
        <f>IF(K148="","",
IF(AX148="PT",VLOOKUP(K148,Foundation_Calc!$K$4:$R$37,VLOOKUP(AW148,Foundation_Calc!$I$2:$J$8,2,FALSE),0),
IF(AX148="K",VLOOKUP(K148,Foundation_Calc!$K$41:$R$74,VLOOKUP(AW148,Foundation_Calc!$I$2:$J$8,2,FALSE),0),"")))</f>
        <v/>
      </c>
      <c r="BA148" s="632" t="str">
        <f t="shared" si="12"/>
        <v/>
      </c>
      <c r="BB148" s="632" t="str">
        <f t="shared" si="13"/>
        <v/>
      </c>
      <c r="BC148" s="632" t="str">
        <f t="shared" si="14"/>
        <v/>
      </c>
      <c r="BD148" s="633" t="str">
        <f>IF(AND(L148="",H148=""),"",
IF(H148="",Pole_Calc!A152,
IF(H148="MP",Pole_Calc!A153,
IF(H148="AnMP",Pole_Calc!A154,
IF(H148="A",Pole_Calc!A155,
IF(H148="S/A",Pole_Calc!A156,
IF(H148="A/S",Pole_Calc!A157,"Poner a mano")))))))</f>
        <v/>
      </c>
      <c r="BE148" s="448" t="s">
        <v>1726</v>
      </c>
      <c r="BF148" s="634"/>
      <c r="BG148" s="634"/>
      <c r="BH148" s="634"/>
      <c r="BI148" s="634"/>
    </row>
    <row r="149" spans="1:61" ht="16.2" customHeight="1">
      <c r="A149" s="12"/>
      <c r="B149" s="446"/>
      <c r="C149" s="89"/>
      <c r="D149" s="13"/>
      <c r="E149" s="14"/>
      <c r="F149" s="14"/>
      <c r="G149" s="15"/>
      <c r="H149" s="8"/>
      <c r="I149" s="8"/>
      <c r="J149" s="89"/>
      <c r="K149" s="8"/>
      <c r="L149" s="8"/>
      <c r="M149" s="8" t="str">
        <f>IF(L149="","",
IF(AX149="PT",VLOOKUP(L149,Foundation_Calc!$V$4:$X$37,VLOOKUP(AX149,Foundation_Calc!$I$10:$J$13,2,FALSE),0),
IF(AX149="K",VLOOKUP(L149,Foundation_Calc!$V$41:$X$74,VLOOKUP(AX149,Foundation_Calc!$I$10:$J$13,2,FALSE),0),"")))</f>
        <v/>
      </c>
      <c r="N149" s="8"/>
      <c r="O149" s="8"/>
      <c r="P149" s="8"/>
      <c r="Q149" s="14"/>
      <c r="R149" s="15"/>
      <c r="S149" s="15"/>
      <c r="T149" s="14"/>
      <c r="U149" s="14"/>
      <c r="V149" s="14"/>
      <c r="W149" s="18"/>
      <c r="X149" s="18"/>
      <c r="Y149" s="18"/>
      <c r="Z149" s="18"/>
      <c r="AA149" s="18"/>
      <c r="AB149" s="18"/>
      <c r="AC149" s="8" t="str">
        <f t="shared" si="11"/>
        <v/>
      </c>
      <c r="AD149" s="8"/>
      <c r="AE149" s="8"/>
      <c r="AF149" s="14"/>
      <c r="AG149" s="13"/>
      <c r="AH149" s="14"/>
      <c r="AI149" s="14"/>
      <c r="AJ149" s="8"/>
      <c r="AK149" s="8"/>
      <c r="AL149" s="8"/>
      <c r="AM149" s="8"/>
      <c r="AN149" s="631"/>
      <c r="AO149" s="18"/>
      <c r="AP149" s="18"/>
      <c r="AQ149" s="18"/>
      <c r="AR149" s="18"/>
      <c r="AS149" s="18"/>
      <c r="AU149" s="448"/>
      <c r="AV149" s="448"/>
      <c r="AW149" s="8" t="str">
        <f>IF(C149&gt;0,VLOOKUP(C149,Foundation_Calc!$A$2:$C$986,3,1),
IF(J149&gt;0,VLOOKUP(J149,Foundation_Calc!$A$2:$C$986,3,1),""))</f>
        <v/>
      </c>
      <c r="AX149" s="8" t="str">
        <f>IF(C149&gt;0,VLOOKUP(C149,Foundation_Calc!$E$2:$G$986,3,1),
IF(J149&gt;0,VLOOKUP(J149,Foundation_Calc!$E$2:$G$986,3,1),""))</f>
        <v/>
      </c>
      <c r="AY149" s="631" t="str">
        <f>IF(L149="","",
IF(AX149="PT",VLOOKUP(L149,Foundation_Calc!$K$4:$R$37,VLOOKUP(AW149,Foundation_Calc!$I$2:$J$8,2,FALSE),0),
IF(AX149="K",VLOOKUP(L149,Foundation_Calc!$K$41:$R$74,VLOOKUP(AW149,Foundation_Calc!$I$2:$J$8,2,FALSE),0),"")))</f>
        <v/>
      </c>
      <c r="AZ149" s="631" t="str">
        <f>IF(K149="","",
IF(AX149="PT",VLOOKUP(K149,Foundation_Calc!$K$4:$R$37,VLOOKUP(AW149,Foundation_Calc!$I$2:$J$8,2,FALSE),0),
IF(AX149="K",VLOOKUP(K149,Foundation_Calc!$K$41:$R$74,VLOOKUP(AW149,Foundation_Calc!$I$2:$J$8,2,FALSE),0),"")))</f>
        <v/>
      </c>
      <c r="BA149" s="632" t="str">
        <f t="shared" si="12"/>
        <v/>
      </c>
      <c r="BB149" s="632" t="str">
        <f t="shared" si="13"/>
        <v/>
      </c>
      <c r="BC149" s="632" t="str">
        <f t="shared" si="14"/>
        <v/>
      </c>
      <c r="BD149" s="633" t="str">
        <f>IF(AND(L149="",H149=""),"",
IF(H149="",Pole_Calc!A153,
IF(H149="MP",Pole_Calc!A154,
IF(H149="AnMP",Pole_Calc!A155,
IF(H149="A",Pole_Calc!A156,
IF(H149="S/A",Pole_Calc!A157,
IF(H149="A/S",Pole_Calc!A158,"Poner a mano")))))))</f>
        <v/>
      </c>
      <c r="BE149" s="448" t="s">
        <v>1726</v>
      </c>
      <c r="BF149" s="635"/>
      <c r="BG149" s="635"/>
      <c r="BH149" s="634"/>
      <c r="BI149" s="635"/>
    </row>
    <row r="150" spans="1:61" ht="16.2" customHeight="1">
      <c r="A150" s="12"/>
      <c r="B150" s="446"/>
      <c r="C150" s="89"/>
      <c r="D150" s="13"/>
      <c r="E150" s="14"/>
      <c r="F150" s="14"/>
      <c r="G150" s="15"/>
      <c r="H150" s="8"/>
      <c r="I150" s="8"/>
      <c r="J150" s="89"/>
      <c r="K150" s="8"/>
      <c r="L150" s="8"/>
      <c r="M150" s="8" t="str">
        <f>IF(L150="","",
IF(AX150="PT",VLOOKUP(L150,Foundation_Calc!$V$4:$X$37,VLOOKUP(AX150,Foundation_Calc!$I$10:$J$13,2,FALSE),0),
IF(AX150="K",VLOOKUP(L150,Foundation_Calc!$V$41:$X$74,VLOOKUP(AX150,Foundation_Calc!$I$10:$J$13,2,FALSE),0),"")))</f>
        <v/>
      </c>
      <c r="N150" s="8"/>
      <c r="O150" s="8"/>
      <c r="P150" s="8"/>
      <c r="Q150" s="14"/>
      <c r="R150" s="15"/>
      <c r="S150" s="15"/>
      <c r="T150" s="14"/>
      <c r="U150" s="14"/>
      <c r="V150" s="14"/>
      <c r="W150" s="18"/>
      <c r="X150" s="18"/>
      <c r="Y150" s="18"/>
      <c r="Z150" s="18"/>
      <c r="AA150" s="18"/>
      <c r="AB150" s="18"/>
      <c r="AC150" s="8" t="str">
        <f t="shared" si="11"/>
        <v/>
      </c>
      <c r="AD150" s="8"/>
      <c r="AE150" s="8"/>
      <c r="AF150" s="14"/>
      <c r="AG150" s="13"/>
      <c r="AH150" s="14"/>
      <c r="AI150" s="14"/>
      <c r="AJ150" s="8"/>
      <c r="AK150" s="8"/>
      <c r="AL150" s="8"/>
      <c r="AM150" s="8"/>
      <c r="AN150" s="631"/>
      <c r="AO150" s="18"/>
      <c r="AP150" s="18"/>
      <c r="AQ150" s="18"/>
      <c r="AR150" s="18"/>
      <c r="AS150" s="18"/>
      <c r="AU150" s="448"/>
      <c r="AV150" s="448"/>
      <c r="AW150" s="8" t="str">
        <f>IF(C150&gt;0,VLOOKUP(C150,Foundation_Calc!$A$2:$C$986,3,1),
IF(J150&gt;0,VLOOKUP(J150,Foundation_Calc!$A$2:$C$986,3,1),""))</f>
        <v/>
      </c>
      <c r="AX150" s="8" t="str">
        <f>IF(C150&gt;0,VLOOKUP(C150,Foundation_Calc!$E$2:$G$986,3,1),
IF(J150&gt;0,VLOOKUP(J150,Foundation_Calc!$E$2:$G$986,3,1),""))</f>
        <v/>
      </c>
      <c r="AY150" s="631" t="str">
        <f>IF(L150="","",
IF(AX150="PT",VLOOKUP(L150,Foundation_Calc!$K$4:$R$37,VLOOKUP(AW150,Foundation_Calc!$I$2:$J$8,2,FALSE),0),
IF(AX150="K",VLOOKUP(L150,Foundation_Calc!$K$41:$R$74,VLOOKUP(AW150,Foundation_Calc!$I$2:$J$8,2,FALSE),0),"")))</f>
        <v/>
      </c>
      <c r="AZ150" s="631" t="str">
        <f>IF(K150="","",
IF(AX150="PT",VLOOKUP(K150,Foundation_Calc!$K$4:$R$37,VLOOKUP(AW150,Foundation_Calc!$I$2:$J$8,2,FALSE),0),
IF(AX150="K",VLOOKUP(K150,Foundation_Calc!$K$41:$R$74,VLOOKUP(AW150,Foundation_Calc!$I$2:$J$8,2,FALSE),0),"")))</f>
        <v/>
      </c>
      <c r="BA150" s="632" t="str">
        <f t="shared" si="12"/>
        <v/>
      </c>
      <c r="BB150" s="632" t="str">
        <f t="shared" si="13"/>
        <v/>
      </c>
      <c r="BC150" s="632" t="str">
        <f t="shared" si="14"/>
        <v/>
      </c>
      <c r="BD150" s="633" t="str">
        <f>IF(AND(L150="",H150=""),"",
IF(H150="",Pole_Calc!A154,
IF(H150="MP",Pole_Calc!A155,
IF(H150="AnMP",Pole_Calc!A156,
IF(H150="A",Pole_Calc!A157,
IF(H150="S/A",Pole_Calc!A158,
IF(H150="A/S",Pole_Calc!A159,"Poner a mano")))))))</f>
        <v/>
      </c>
      <c r="BE150" s="448" t="s">
        <v>1726</v>
      </c>
      <c r="BF150" s="634"/>
      <c r="BG150" s="634"/>
      <c r="BH150" s="634"/>
      <c r="BI150" s="634"/>
    </row>
    <row r="151" spans="1:61" ht="16.2" customHeight="1">
      <c r="A151" s="12"/>
      <c r="B151" s="446"/>
      <c r="C151" s="89"/>
      <c r="D151" s="13"/>
      <c r="E151" s="14"/>
      <c r="F151" s="14"/>
      <c r="G151" s="15"/>
      <c r="H151" s="8"/>
      <c r="I151" s="8"/>
      <c r="J151" s="89"/>
      <c r="K151" s="8"/>
      <c r="L151" s="8"/>
      <c r="M151" s="8" t="str">
        <f>IF(L151="","",
IF(AX151="PT",VLOOKUP(L151,Foundation_Calc!$V$4:$X$37,VLOOKUP(AX151,Foundation_Calc!$I$10:$J$13,2,FALSE),0),
IF(AX151="K",VLOOKUP(L151,Foundation_Calc!$V$41:$X$74,VLOOKUP(AX151,Foundation_Calc!$I$10:$J$13,2,FALSE),0),"")))</f>
        <v/>
      </c>
      <c r="N151" s="8"/>
      <c r="O151" s="8"/>
      <c r="P151" s="8"/>
      <c r="Q151" s="14"/>
      <c r="R151" s="15"/>
      <c r="S151" s="15"/>
      <c r="T151" s="14"/>
      <c r="U151" s="14"/>
      <c r="V151" s="14"/>
      <c r="W151" s="18"/>
      <c r="X151" s="18"/>
      <c r="Y151" s="18"/>
      <c r="Z151" s="18"/>
      <c r="AA151" s="18"/>
      <c r="AB151" s="18"/>
      <c r="AC151" s="8" t="str">
        <f t="shared" si="11"/>
        <v/>
      </c>
      <c r="AD151" s="8"/>
      <c r="AE151" s="8"/>
      <c r="AF151" s="14"/>
      <c r="AG151" s="13"/>
      <c r="AH151" s="14"/>
      <c r="AI151" s="14"/>
      <c r="AJ151" s="8"/>
      <c r="AK151" s="8"/>
      <c r="AL151" s="8"/>
      <c r="AM151" s="8"/>
      <c r="AN151" s="631"/>
      <c r="AO151" s="18"/>
      <c r="AP151" s="18"/>
      <c r="AQ151" s="18"/>
      <c r="AR151" s="18"/>
      <c r="AS151" s="18"/>
      <c r="AU151" s="448"/>
      <c r="AV151" s="448"/>
      <c r="AW151" s="8" t="str">
        <f>IF(C151&gt;0,VLOOKUP(C151,Foundation_Calc!$A$2:$C$986,3,1),
IF(J151&gt;0,VLOOKUP(J151,Foundation_Calc!$A$2:$C$986,3,1),""))</f>
        <v/>
      </c>
      <c r="AX151" s="8" t="str">
        <f>IF(C151&gt;0,VLOOKUP(C151,Foundation_Calc!$E$2:$G$986,3,1),
IF(J151&gt;0,VLOOKUP(J151,Foundation_Calc!$E$2:$G$986,3,1),""))</f>
        <v/>
      </c>
      <c r="AY151" s="631" t="str">
        <f>IF(L151="","",
IF(AX151="PT",VLOOKUP(L151,Foundation_Calc!$K$4:$R$37,VLOOKUP(AW151,Foundation_Calc!$I$2:$J$8,2,FALSE),0),
IF(AX151="K",VLOOKUP(L151,Foundation_Calc!$K$41:$R$74,VLOOKUP(AW151,Foundation_Calc!$I$2:$J$8,2,FALSE),0),"")))</f>
        <v/>
      </c>
      <c r="AZ151" s="631" t="str">
        <f>IF(K151="","",
IF(AX151="PT",VLOOKUP(K151,Foundation_Calc!$K$4:$R$37,VLOOKUP(AW151,Foundation_Calc!$I$2:$J$8,2,FALSE),0),
IF(AX151="K",VLOOKUP(K151,Foundation_Calc!$K$41:$R$74,VLOOKUP(AW151,Foundation_Calc!$I$2:$J$8,2,FALSE),0),"")))</f>
        <v/>
      </c>
      <c r="BA151" s="632" t="str">
        <f t="shared" si="12"/>
        <v/>
      </c>
      <c r="BB151" s="632" t="str">
        <f t="shared" si="13"/>
        <v/>
      </c>
      <c r="BC151" s="632" t="str">
        <f t="shared" si="14"/>
        <v/>
      </c>
      <c r="BD151" s="633" t="str">
        <f>IF(AND(L151="",H151=""),"",
IF(H151="",Pole_Calc!A155,
IF(H151="MP",Pole_Calc!A156,
IF(H151="AnMP",Pole_Calc!A157,
IF(H151="A",Pole_Calc!A158,
IF(H151="S/A",Pole_Calc!A159,
IF(H151="A/S",Pole_Calc!A160,"Poner a mano")))))))</f>
        <v/>
      </c>
      <c r="BE151" s="448" t="s">
        <v>1726</v>
      </c>
      <c r="BF151" s="635"/>
      <c r="BG151" s="635"/>
      <c r="BH151" s="634"/>
      <c r="BI151" s="635"/>
    </row>
    <row r="152" spans="1:61" ht="16.2" customHeight="1">
      <c r="A152" s="12"/>
      <c r="B152" s="446"/>
      <c r="C152" s="89"/>
      <c r="D152" s="13"/>
      <c r="E152" s="14"/>
      <c r="F152" s="14"/>
      <c r="G152" s="15"/>
      <c r="H152" s="8"/>
      <c r="I152" s="8"/>
      <c r="J152" s="89"/>
      <c r="K152" s="8"/>
      <c r="L152" s="8"/>
      <c r="M152" s="8" t="str">
        <f>IF(L152="","",
IF(AX152="PT",VLOOKUP(L152,Foundation_Calc!$V$4:$X$37,VLOOKUP(AX152,Foundation_Calc!$I$10:$J$13,2,FALSE),0),
IF(AX152="K",VLOOKUP(L152,Foundation_Calc!$V$41:$X$74,VLOOKUP(AX152,Foundation_Calc!$I$10:$J$13,2,FALSE),0),"")))</f>
        <v/>
      </c>
      <c r="N152" s="8"/>
      <c r="O152" s="8"/>
      <c r="P152" s="8"/>
      <c r="Q152" s="14"/>
      <c r="R152" s="15"/>
      <c r="S152" s="15"/>
      <c r="T152" s="14"/>
      <c r="U152" s="14"/>
      <c r="V152" s="14"/>
      <c r="W152" s="18"/>
      <c r="X152" s="18"/>
      <c r="Y152" s="18"/>
      <c r="Z152" s="18"/>
      <c r="AA152" s="18"/>
      <c r="AB152" s="18"/>
      <c r="AC152" s="8" t="str">
        <f t="shared" si="11"/>
        <v/>
      </c>
      <c r="AD152" s="8"/>
      <c r="AE152" s="8"/>
      <c r="AF152" s="14"/>
      <c r="AG152" s="13"/>
      <c r="AH152" s="14"/>
      <c r="AI152" s="14"/>
      <c r="AJ152" s="8"/>
      <c r="AK152" s="8"/>
      <c r="AL152" s="8"/>
      <c r="AM152" s="8"/>
      <c r="AN152" s="631"/>
      <c r="AO152" s="18"/>
      <c r="AP152" s="18"/>
      <c r="AQ152" s="18"/>
      <c r="AR152" s="18"/>
      <c r="AS152" s="18"/>
      <c r="AU152" s="448"/>
      <c r="AV152" s="448"/>
      <c r="AW152" s="8" t="str">
        <f>IF(C152&gt;0,VLOOKUP(C152,Foundation_Calc!$A$2:$C$986,3,1),
IF(J152&gt;0,VLOOKUP(J152,Foundation_Calc!$A$2:$C$986,3,1),""))</f>
        <v/>
      </c>
      <c r="AX152" s="8" t="str">
        <f>IF(C152&gt;0,VLOOKUP(C152,Foundation_Calc!$E$2:$G$986,3,1),
IF(J152&gt;0,VLOOKUP(J152,Foundation_Calc!$E$2:$G$986,3,1),""))</f>
        <v/>
      </c>
      <c r="AY152" s="631" t="str">
        <f>IF(L152="","",
IF(AX152="PT",VLOOKUP(L152,Foundation_Calc!$K$4:$R$37,VLOOKUP(AW152,Foundation_Calc!$I$2:$J$8,2,FALSE),0),
IF(AX152="K",VLOOKUP(L152,Foundation_Calc!$K$41:$R$74,VLOOKUP(AW152,Foundation_Calc!$I$2:$J$8,2,FALSE),0),"")))</f>
        <v/>
      </c>
      <c r="AZ152" s="631" t="str">
        <f>IF(K152="","",
IF(AX152="PT",VLOOKUP(K152,Foundation_Calc!$K$4:$R$37,VLOOKUP(AW152,Foundation_Calc!$I$2:$J$8,2,FALSE),0),
IF(AX152="K",VLOOKUP(K152,Foundation_Calc!$K$41:$R$74,VLOOKUP(AW152,Foundation_Calc!$I$2:$J$8,2,FALSE),0),"")))</f>
        <v/>
      </c>
      <c r="BA152" s="632" t="str">
        <f t="shared" si="12"/>
        <v/>
      </c>
      <c r="BB152" s="632" t="str">
        <f t="shared" si="13"/>
        <v/>
      </c>
      <c r="BC152" s="632" t="str">
        <f t="shared" si="14"/>
        <v/>
      </c>
      <c r="BD152" s="633" t="str">
        <f>IF(AND(L152="",H152=""),"",
IF(H152="",Pole_Calc!A156,
IF(H152="MP",Pole_Calc!A157,
IF(H152="AnMP",Pole_Calc!A158,
IF(H152="A",Pole_Calc!A159,
IF(H152="S/A",Pole_Calc!A160,
IF(H152="A/S",Pole_Calc!A161,"Poner a mano")))))))</f>
        <v/>
      </c>
      <c r="BE152" s="448" t="s">
        <v>1726</v>
      </c>
      <c r="BF152" s="634"/>
      <c r="BG152" s="634"/>
      <c r="BH152" s="634"/>
      <c r="BI152" s="634"/>
    </row>
    <row r="153" spans="1:61" ht="16.2" customHeight="1">
      <c r="A153" s="12"/>
      <c r="B153" s="446"/>
      <c r="C153" s="89"/>
      <c r="D153" s="13"/>
      <c r="E153" s="14"/>
      <c r="F153" s="14"/>
      <c r="G153" s="15"/>
      <c r="H153" s="8"/>
      <c r="I153" s="8"/>
      <c r="J153" s="89"/>
      <c r="K153" s="8"/>
      <c r="L153" s="8"/>
      <c r="M153" s="8" t="str">
        <f>IF(L153="","",
IF(AX153="PT",VLOOKUP(L153,Foundation_Calc!$V$4:$X$37,VLOOKUP(AX153,Foundation_Calc!$I$10:$J$13,2,FALSE),0),
IF(AX153="K",VLOOKUP(L153,Foundation_Calc!$V$41:$X$74,VLOOKUP(AX153,Foundation_Calc!$I$10:$J$13,2,FALSE),0),"")))</f>
        <v/>
      </c>
      <c r="N153" s="8"/>
      <c r="O153" s="8"/>
      <c r="P153" s="8"/>
      <c r="Q153" s="14"/>
      <c r="R153" s="15"/>
      <c r="S153" s="15"/>
      <c r="T153" s="14"/>
      <c r="U153" s="14"/>
      <c r="V153" s="14"/>
      <c r="W153" s="18"/>
      <c r="X153" s="18"/>
      <c r="Y153" s="18"/>
      <c r="Z153" s="18"/>
      <c r="AA153" s="18"/>
      <c r="AB153" s="18"/>
      <c r="AC153" s="8" t="str">
        <f t="shared" si="11"/>
        <v/>
      </c>
      <c r="AD153" s="8"/>
      <c r="AE153" s="8"/>
      <c r="AF153" s="14"/>
      <c r="AG153" s="13"/>
      <c r="AH153" s="14"/>
      <c r="AI153" s="14"/>
      <c r="AJ153" s="8"/>
      <c r="AK153" s="8"/>
      <c r="AL153" s="8"/>
      <c r="AM153" s="8"/>
      <c r="AN153" s="631"/>
      <c r="AO153" s="18"/>
      <c r="AP153" s="18"/>
      <c r="AQ153" s="18"/>
      <c r="AR153" s="18"/>
      <c r="AS153" s="18"/>
      <c r="AU153" s="448"/>
      <c r="AV153" s="448"/>
      <c r="AW153" s="8" t="str">
        <f>IF(C153&gt;0,VLOOKUP(C153,Foundation_Calc!$A$2:$C$986,3,1),
IF(J153&gt;0,VLOOKUP(J153,Foundation_Calc!$A$2:$C$986,3,1),""))</f>
        <v/>
      </c>
      <c r="AX153" s="8" t="str">
        <f>IF(C153&gt;0,VLOOKUP(C153,Foundation_Calc!$E$2:$G$986,3,1),
IF(J153&gt;0,VLOOKUP(J153,Foundation_Calc!$E$2:$G$986,3,1),""))</f>
        <v/>
      </c>
      <c r="AY153" s="631" t="str">
        <f>IF(L153="","",
IF(AX153="PT",VLOOKUP(L153,Foundation_Calc!$K$4:$R$37,VLOOKUP(AW153,Foundation_Calc!$I$2:$J$8,2,FALSE),0),
IF(AX153="K",VLOOKUP(L153,Foundation_Calc!$K$41:$R$74,VLOOKUP(AW153,Foundation_Calc!$I$2:$J$8,2,FALSE),0),"")))</f>
        <v/>
      </c>
      <c r="AZ153" s="631" t="str">
        <f>IF(K153="","",
IF(AX153="PT",VLOOKUP(K153,Foundation_Calc!$K$4:$R$37,VLOOKUP(AW153,Foundation_Calc!$I$2:$J$8,2,FALSE),0),
IF(AX153="K",VLOOKUP(K153,Foundation_Calc!$K$41:$R$74,VLOOKUP(AW153,Foundation_Calc!$I$2:$J$8,2,FALSE),0),"")))</f>
        <v/>
      </c>
      <c r="BA153" s="632" t="str">
        <f t="shared" si="12"/>
        <v/>
      </c>
      <c r="BB153" s="632" t="str">
        <f t="shared" si="13"/>
        <v/>
      </c>
      <c r="BC153" s="632" t="str">
        <f t="shared" si="14"/>
        <v/>
      </c>
      <c r="BD153" s="633" t="str">
        <f>IF(AND(L153="",H153=""),"",
IF(H153="",Pole_Calc!A157,
IF(H153="MP",Pole_Calc!A158,
IF(H153="AnMP",Pole_Calc!A159,
IF(H153="A",Pole_Calc!A160,
IF(H153="S/A",Pole_Calc!A161,
IF(H153="A/S",Pole_Calc!A162,"Poner a mano")))))))</f>
        <v/>
      </c>
      <c r="BE153" s="448" t="s">
        <v>1726</v>
      </c>
      <c r="BF153" s="635"/>
      <c r="BG153" s="635"/>
      <c r="BH153" s="634"/>
      <c r="BI153" s="635"/>
    </row>
    <row r="154" spans="1:61" ht="16.2" customHeight="1">
      <c r="A154" s="12"/>
      <c r="B154" s="446"/>
      <c r="C154" s="89"/>
      <c r="D154" s="13"/>
      <c r="E154" s="14"/>
      <c r="F154" s="14"/>
      <c r="G154" s="15"/>
      <c r="H154" s="8"/>
      <c r="I154" s="8"/>
      <c r="J154" s="89"/>
      <c r="K154" s="8"/>
      <c r="L154" s="8"/>
      <c r="M154" s="8" t="str">
        <f>IF(L154="","",
IF(AX154="PT",VLOOKUP(L154,Foundation_Calc!$V$4:$X$37,VLOOKUP(AX154,Foundation_Calc!$I$10:$J$13,2,FALSE),0),
IF(AX154="K",VLOOKUP(L154,Foundation_Calc!$V$41:$X$74,VLOOKUP(AX154,Foundation_Calc!$I$10:$J$13,2,FALSE),0),"")))</f>
        <v/>
      </c>
      <c r="N154" s="8"/>
      <c r="O154" s="8"/>
      <c r="P154" s="8"/>
      <c r="Q154" s="14"/>
      <c r="R154" s="15"/>
      <c r="S154" s="15"/>
      <c r="T154" s="14"/>
      <c r="U154" s="14"/>
      <c r="V154" s="14"/>
      <c r="W154" s="18"/>
      <c r="X154" s="18"/>
      <c r="Y154" s="18"/>
      <c r="Z154" s="18"/>
      <c r="AA154" s="18"/>
      <c r="AB154" s="18"/>
      <c r="AC154" s="8" t="str">
        <f t="shared" si="11"/>
        <v/>
      </c>
      <c r="AD154" s="8"/>
      <c r="AE154" s="8"/>
      <c r="AF154" s="14"/>
      <c r="AG154" s="13"/>
      <c r="AH154" s="14"/>
      <c r="AI154" s="14"/>
      <c r="AJ154" s="8"/>
      <c r="AK154" s="8"/>
      <c r="AL154" s="8"/>
      <c r="AM154" s="8"/>
      <c r="AN154" s="631"/>
      <c r="AO154" s="18"/>
      <c r="AP154" s="18"/>
      <c r="AQ154" s="18"/>
      <c r="AR154" s="18"/>
      <c r="AS154" s="18"/>
      <c r="AU154" s="448"/>
      <c r="AV154" s="448"/>
      <c r="AW154" s="8" t="str">
        <f>IF(C154&gt;0,VLOOKUP(C154,Foundation_Calc!$A$2:$C$986,3,1),
IF(J154&gt;0,VLOOKUP(J154,Foundation_Calc!$A$2:$C$986,3,1),""))</f>
        <v/>
      </c>
      <c r="AX154" s="8" t="str">
        <f>IF(C154&gt;0,VLOOKUP(C154,Foundation_Calc!$E$2:$G$986,3,1),
IF(J154&gt;0,VLOOKUP(J154,Foundation_Calc!$E$2:$G$986,3,1),""))</f>
        <v/>
      </c>
      <c r="AY154" s="631" t="str">
        <f>IF(L154="","",
IF(AX154="PT",VLOOKUP(L154,Foundation_Calc!$K$4:$R$37,VLOOKUP(AW154,Foundation_Calc!$I$2:$J$8,2,FALSE),0),
IF(AX154="K",VLOOKUP(L154,Foundation_Calc!$K$41:$R$74,VLOOKUP(AW154,Foundation_Calc!$I$2:$J$8,2,FALSE),0),"")))</f>
        <v/>
      </c>
      <c r="AZ154" s="631" t="str">
        <f>IF(K154="","",
IF(AX154="PT",VLOOKUP(K154,Foundation_Calc!$K$4:$R$37,VLOOKUP(AW154,Foundation_Calc!$I$2:$J$8,2,FALSE),0),
IF(AX154="K",VLOOKUP(K154,Foundation_Calc!$K$41:$R$74,VLOOKUP(AW154,Foundation_Calc!$I$2:$J$8,2,FALSE),0),"")))</f>
        <v/>
      </c>
      <c r="BA154" s="632" t="str">
        <f t="shared" si="12"/>
        <v/>
      </c>
      <c r="BB154" s="632" t="str">
        <f t="shared" si="13"/>
        <v/>
      </c>
      <c r="BC154" s="632" t="str">
        <f t="shared" si="14"/>
        <v/>
      </c>
      <c r="BD154" s="633" t="str">
        <f>IF(AND(L154="",H154=""),"",
IF(H154="",Pole_Calc!A158,
IF(H154="MP",Pole_Calc!A159,
IF(H154="AnMP",Pole_Calc!A160,
IF(H154="A",Pole_Calc!A161,
IF(H154="S/A",Pole_Calc!A162,
IF(H154="A/S",Pole_Calc!A163,"Poner a mano")))))))</f>
        <v/>
      </c>
      <c r="BE154" s="448" t="s">
        <v>1726</v>
      </c>
      <c r="BF154" s="634"/>
      <c r="BG154" s="634"/>
      <c r="BH154" s="634"/>
      <c r="BI154" s="634"/>
    </row>
    <row r="155" spans="1:61" ht="16.2" customHeight="1">
      <c r="A155" s="12"/>
      <c r="B155" s="446"/>
      <c r="C155" s="89"/>
      <c r="D155" s="13"/>
      <c r="E155" s="14"/>
      <c r="F155" s="14"/>
      <c r="G155" s="15"/>
      <c r="H155" s="8"/>
      <c r="I155" s="8"/>
      <c r="J155" s="89"/>
      <c r="K155" s="8"/>
      <c r="L155" s="8"/>
      <c r="M155" s="8" t="str">
        <f>IF(L155="","",
IF(AX155="PT",VLOOKUP(L155,Foundation_Calc!$V$4:$X$37,VLOOKUP(AX155,Foundation_Calc!$I$10:$J$13,2,FALSE),0),
IF(AX155="K",VLOOKUP(L155,Foundation_Calc!$V$41:$X$74,VLOOKUP(AX155,Foundation_Calc!$I$10:$J$13,2,FALSE),0),"")))</f>
        <v/>
      </c>
      <c r="N155" s="8"/>
      <c r="O155" s="8"/>
      <c r="P155" s="8"/>
      <c r="Q155" s="14"/>
      <c r="R155" s="15"/>
      <c r="S155" s="15"/>
      <c r="T155" s="14"/>
      <c r="U155" s="14"/>
      <c r="V155" s="14"/>
      <c r="W155" s="18"/>
      <c r="X155" s="18"/>
      <c r="Y155" s="18"/>
      <c r="Z155" s="18"/>
      <c r="AA155" s="18"/>
      <c r="AB155" s="18"/>
      <c r="AC155" s="8" t="str">
        <f t="shared" si="11"/>
        <v/>
      </c>
      <c r="AD155" s="8"/>
      <c r="AE155" s="8"/>
      <c r="AF155" s="14"/>
      <c r="AG155" s="13"/>
      <c r="AH155" s="14"/>
      <c r="AI155" s="14"/>
      <c r="AJ155" s="8"/>
      <c r="AK155" s="8"/>
      <c r="AL155" s="8"/>
      <c r="AM155" s="8"/>
      <c r="AN155" s="631"/>
      <c r="AO155" s="18"/>
      <c r="AP155" s="18"/>
      <c r="AQ155" s="18"/>
      <c r="AR155" s="18"/>
      <c r="AS155" s="18"/>
      <c r="AU155" s="448"/>
      <c r="AV155" s="448"/>
      <c r="AW155" s="8" t="str">
        <f>IF(C155&gt;0,VLOOKUP(C155,Foundation_Calc!$A$2:$C$986,3,1),
IF(J155&gt;0,VLOOKUP(J155,Foundation_Calc!$A$2:$C$986,3,1),""))</f>
        <v/>
      </c>
      <c r="AX155" s="8" t="str">
        <f>IF(C155&gt;0,VLOOKUP(C155,Foundation_Calc!$E$2:$G$986,3,1),
IF(J155&gt;0,VLOOKUP(J155,Foundation_Calc!$E$2:$G$986,3,1),""))</f>
        <v/>
      </c>
      <c r="AY155" s="631" t="str">
        <f>IF(L155="","",
IF(AX155="PT",VLOOKUP(L155,Foundation_Calc!$K$4:$R$37,VLOOKUP(AW155,Foundation_Calc!$I$2:$J$8,2,FALSE),0),
IF(AX155="K",VLOOKUP(L155,Foundation_Calc!$K$41:$R$74,VLOOKUP(AW155,Foundation_Calc!$I$2:$J$8,2,FALSE),0),"")))</f>
        <v/>
      </c>
      <c r="AZ155" s="631" t="str">
        <f>IF(K155="","",
IF(AX155="PT",VLOOKUP(K155,Foundation_Calc!$K$4:$R$37,VLOOKUP(AW155,Foundation_Calc!$I$2:$J$8,2,FALSE),0),
IF(AX155="K",VLOOKUP(K155,Foundation_Calc!$K$41:$R$74,VLOOKUP(AW155,Foundation_Calc!$I$2:$J$8,2,FALSE),0),"")))</f>
        <v/>
      </c>
      <c r="BA155" s="632" t="str">
        <f t="shared" si="12"/>
        <v/>
      </c>
      <c r="BB155" s="632" t="str">
        <f t="shared" si="13"/>
        <v/>
      </c>
      <c r="BC155" s="632" t="str">
        <f t="shared" si="14"/>
        <v/>
      </c>
      <c r="BD155" s="633" t="str">
        <f>IF(AND(L155="",H155=""),"",
IF(H155="",Pole_Calc!A159,
IF(H155="MP",Pole_Calc!A160,
IF(H155="AnMP",Pole_Calc!A161,
IF(H155="A",Pole_Calc!A162,
IF(H155="S/A",Pole_Calc!A163,
IF(H155="A/S",Pole_Calc!A164,"Poner a mano")))))))</f>
        <v/>
      </c>
      <c r="BE155" s="448" t="s">
        <v>1726</v>
      </c>
      <c r="BF155" s="635"/>
      <c r="BG155" s="635"/>
      <c r="BH155" s="634"/>
      <c r="BI155" s="635"/>
    </row>
    <row r="156" spans="1:61" ht="16.2" customHeight="1">
      <c r="A156" s="12"/>
      <c r="B156" s="446"/>
      <c r="C156" s="89"/>
      <c r="D156" s="13"/>
      <c r="E156" s="14"/>
      <c r="F156" s="14"/>
      <c r="G156" s="15"/>
      <c r="H156" s="8"/>
      <c r="I156" s="8"/>
      <c r="J156" s="89"/>
      <c r="K156" s="8"/>
      <c r="L156" s="8"/>
      <c r="M156" s="8" t="str">
        <f>IF(L156="","",
IF(AX156="PT",VLOOKUP(L156,Foundation_Calc!$V$4:$X$37,VLOOKUP(AX156,Foundation_Calc!$I$10:$J$13,2,FALSE),0),
IF(AX156="K",VLOOKUP(L156,Foundation_Calc!$V$41:$X$74,VLOOKUP(AX156,Foundation_Calc!$I$10:$J$13,2,FALSE),0),"")))</f>
        <v/>
      </c>
      <c r="N156" s="8"/>
      <c r="O156" s="8"/>
      <c r="P156" s="8"/>
      <c r="Q156" s="14"/>
      <c r="R156" s="15"/>
      <c r="S156" s="15"/>
      <c r="T156" s="14"/>
      <c r="U156" s="14"/>
      <c r="V156" s="14"/>
      <c r="W156" s="18"/>
      <c r="X156" s="18"/>
      <c r="Y156" s="18"/>
      <c r="Z156" s="18"/>
      <c r="AA156" s="18"/>
      <c r="AB156" s="18"/>
      <c r="AC156" s="8" t="str">
        <f t="shared" si="11"/>
        <v/>
      </c>
      <c r="AD156" s="8"/>
      <c r="AE156" s="8"/>
      <c r="AF156" s="14"/>
      <c r="AG156" s="13"/>
      <c r="AH156" s="14"/>
      <c r="AI156" s="14"/>
      <c r="AJ156" s="8"/>
      <c r="AK156" s="8"/>
      <c r="AL156" s="8"/>
      <c r="AM156" s="8"/>
      <c r="AN156" s="631"/>
      <c r="AO156" s="18"/>
      <c r="AP156" s="18"/>
      <c r="AQ156" s="18"/>
      <c r="AR156" s="18"/>
      <c r="AS156" s="18"/>
      <c r="AU156" s="448"/>
      <c r="AV156" s="448"/>
      <c r="AW156" s="8" t="str">
        <f>IF(C156&gt;0,VLOOKUP(C156,Foundation_Calc!$A$2:$C$986,3,1),
IF(J156&gt;0,VLOOKUP(J156,Foundation_Calc!$A$2:$C$986,3,1),""))</f>
        <v/>
      </c>
      <c r="AX156" s="8" t="str">
        <f>IF(C156&gt;0,VLOOKUP(C156,Foundation_Calc!$E$2:$G$986,3,1),
IF(J156&gt;0,VLOOKUP(J156,Foundation_Calc!$E$2:$G$986,3,1),""))</f>
        <v/>
      </c>
      <c r="AY156" s="631" t="str">
        <f>IF(L156="","",
IF(AX156="PT",VLOOKUP(L156,Foundation_Calc!$K$4:$R$37,VLOOKUP(AW156,Foundation_Calc!$I$2:$J$8,2,FALSE),0),
IF(AX156="K",VLOOKUP(L156,Foundation_Calc!$K$41:$R$74,VLOOKUP(AW156,Foundation_Calc!$I$2:$J$8,2,FALSE),0),"")))</f>
        <v/>
      </c>
      <c r="AZ156" s="631" t="str">
        <f>IF(K156="","",
IF(AX156="PT",VLOOKUP(K156,Foundation_Calc!$K$4:$R$37,VLOOKUP(AW156,Foundation_Calc!$I$2:$J$8,2,FALSE),0),
IF(AX156="K",VLOOKUP(K156,Foundation_Calc!$K$41:$R$74,VLOOKUP(AW156,Foundation_Calc!$I$2:$J$8,2,FALSE),0),"")))</f>
        <v/>
      </c>
      <c r="BA156" s="632" t="str">
        <f t="shared" si="12"/>
        <v/>
      </c>
      <c r="BB156" s="632" t="str">
        <f t="shared" si="13"/>
        <v/>
      </c>
      <c r="BC156" s="632" t="str">
        <f t="shared" si="14"/>
        <v/>
      </c>
      <c r="BD156" s="633" t="str">
        <f>IF(AND(L156="",H156=""),"",
IF(H156="",Pole_Calc!A160,
IF(H156="MP",Pole_Calc!A161,
IF(H156="AnMP",Pole_Calc!A162,
IF(H156="A",Pole_Calc!A163,
IF(H156="S/A",Pole_Calc!A164,
IF(H156="A/S",Pole_Calc!A165,"Poner a mano")))))))</f>
        <v/>
      </c>
      <c r="BE156" s="448" t="s">
        <v>1726</v>
      </c>
      <c r="BF156" s="634"/>
      <c r="BG156" s="634"/>
      <c r="BH156" s="634"/>
      <c r="BI156" s="634"/>
    </row>
    <row r="157" spans="1:61" ht="16.2" customHeight="1">
      <c r="A157" s="12"/>
      <c r="B157" s="446"/>
      <c r="C157" s="89"/>
      <c r="D157" s="13"/>
      <c r="E157" s="14"/>
      <c r="F157" s="14"/>
      <c r="G157" s="15"/>
      <c r="H157" s="8"/>
      <c r="I157" s="8"/>
      <c r="J157" s="89"/>
      <c r="K157" s="8"/>
      <c r="L157" s="8"/>
      <c r="M157" s="8" t="str">
        <f>IF(L157="","",
IF(AX157="PT",VLOOKUP(L157,Foundation_Calc!$V$4:$X$37,VLOOKUP(AX157,Foundation_Calc!$I$10:$J$13,2,FALSE),0),
IF(AX157="K",VLOOKUP(L157,Foundation_Calc!$V$41:$X$74,VLOOKUP(AX157,Foundation_Calc!$I$10:$J$13,2,FALSE),0),"")))</f>
        <v/>
      </c>
      <c r="N157" s="8"/>
      <c r="O157" s="8"/>
      <c r="P157" s="8"/>
      <c r="Q157" s="14"/>
      <c r="R157" s="15"/>
      <c r="S157" s="15"/>
      <c r="T157" s="14"/>
      <c r="U157" s="14"/>
      <c r="V157" s="14"/>
      <c r="W157" s="18"/>
      <c r="X157" s="18"/>
      <c r="Y157" s="18"/>
      <c r="Z157" s="18"/>
      <c r="AA157" s="18"/>
      <c r="AB157" s="18"/>
      <c r="AC157" s="8" t="str">
        <f t="shared" si="11"/>
        <v/>
      </c>
      <c r="AD157" s="8"/>
      <c r="AE157" s="8"/>
      <c r="AF157" s="14"/>
      <c r="AG157" s="13"/>
      <c r="AH157" s="14"/>
      <c r="AI157" s="14"/>
      <c r="AJ157" s="8"/>
      <c r="AK157" s="8"/>
      <c r="AL157" s="8"/>
      <c r="AM157" s="8"/>
      <c r="AN157" s="631"/>
      <c r="AO157" s="18"/>
      <c r="AP157" s="18"/>
      <c r="AQ157" s="18"/>
      <c r="AR157" s="18"/>
      <c r="AS157" s="18"/>
      <c r="AU157" s="448"/>
      <c r="AV157" s="448"/>
      <c r="AW157" s="8" t="str">
        <f>IF(C157&gt;0,VLOOKUP(C157,Foundation_Calc!$A$2:$C$986,3,1),
IF(J157&gt;0,VLOOKUP(J157,Foundation_Calc!$A$2:$C$986,3,1),""))</f>
        <v/>
      </c>
      <c r="AX157" s="8" t="str">
        <f>IF(C157&gt;0,VLOOKUP(C157,Foundation_Calc!$E$2:$G$986,3,1),
IF(J157&gt;0,VLOOKUP(J157,Foundation_Calc!$E$2:$G$986,3,1),""))</f>
        <v/>
      </c>
      <c r="AY157" s="631" t="str">
        <f>IF(L157="","",
IF(AX157="PT",VLOOKUP(L157,Foundation_Calc!$K$4:$R$37,VLOOKUP(AW157,Foundation_Calc!$I$2:$J$8,2,FALSE),0),
IF(AX157="K",VLOOKUP(L157,Foundation_Calc!$K$41:$R$74,VLOOKUP(AW157,Foundation_Calc!$I$2:$J$8,2,FALSE),0),"")))</f>
        <v/>
      </c>
      <c r="AZ157" s="631" t="str">
        <f>IF(K157="","",
IF(AX157="PT",VLOOKUP(K157,Foundation_Calc!$K$4:$R$37,VLOOKUP(AW157,Foundation_Calc!$I$2:$J$8,2,FALSE),0),
IF(AX157="K",VLOOKUP(K157,Foundation_Calc!$K$41:$R$74,VLOOKUP(AW157,Foundation_Calc!$I$2:$J$8,2,FALSE),0),"")))</f>
        <v/>
      </c>
      <c r="BA157" s="632" t="str">
        <f t="shared" si="12"/>
        <v/>
      </c>
      <c r="BB157" s="632" t="str">
        <f t="shared" si="13"/>
        <v/>
      </c>
      <c r="BC157" s="632" t="str">
        <f t="shared" si="14"/>
        <v/>
      </c>
      <c r="BD157" s="633" t="str">
        <f>IF(AND(L157="",H157=""),"",
IF(H157="",Pole_Calc!A161,
IF(H157="MP",Pole_Calc!A162,
IF(H157="AnMP",Pole_Calc!A163,
IF(H157="A",Pole_Calc!A164,
IF(H157="S/A",Pole_Calc!A165,
IF(H157="A/S",Pole_Calc!A166,"Poner a mano")))))))</f>
        <v/>
      </c>
      <c r="BE157" s="448" t="s">
        <v>1726</v>
      </c>
      <c r="BF157" s="635"/>
      <c r="BG157" s="635"/>
      <c r="BH157" s="634"/>
      <c r="BI157" s="635"/>
    </row>
    <row r="158" spans="1:61" ht="16.2" customHeight="1">
      <c r="A158" s="12"/>
      <c r="B158" s="446"/>
      <c r="C158" s="89"/>
      <c r="D158" s="13"/>
      <c r="E158" s="14"/>
      <c r="F158" s="14"/>
      <c r="G158" s="15"/>
      <c r="H158" s="8"/>
      <c r="I158" s="8"/>
      <c r="J158" s="89"/>
      <c r="K158" s="8"/>
      <c r="L158" s="8"/>
      <c r="M158" s="8" t="str">
        <f>IF(L158="","",
IF(AX158="PT",VLOOKUP(L158,Foundation_Calc!$V$4:$X$37,VLOOKUP(AX158,Foundation_Calc!$I$10:$J$13,2,FALSE),0),
IF(AX158="K",VLOOKUP(L158,Foundation_Calc!$V$41:$X$74,VLOOKUP(AX158,Foundation_Calc!$I$10:$J$13,2,FALSE),0),"")))</f>
        <v/>
      </c>
      <c r="N158" s="8"/>
      <c r="O158" s="8"/>
      <c r="P158" s="8"/>
      <c r="Q158" s="14"/>
      <c r="R158" s="15"/>
      <c r="S158" s="15"/>
      <c r="T158" s="14"/>
      <c r="U158" s="14"/>
      <c r="V158" s="14"/>
      <c r="W158" s="18"/>
      <c r="X158" s="18"/>
      <c r="Y158" s="18"/>
      <c r="Z158" s="18"/>
      <c r="AA158" s="18"/>
      <c r="AB158" s="18"/>
      <c r="AC158" s="8" t="str">
        <f t="shared" si="11"/>
        <v/>
      </c>
      <c r="AD158" s="8"/>
      <c r="AE158" s="8"/>
      <c r="AF158" s="14"/>
      <c r="AG158" s="13"/>
      <c r="AH158" s="14"/>
      <c r="AI158" s="14"/>
      <c r="AJ158" s="8"/>
      <c r="AK158" s="8"/>
      <c r="AL158" s="8"/>
      <c r="AM158" s="8"/>
      <c r="AN158" s="631"/>
      <c r="AO158" s="18"/>
      <c r="AP158" s="18"/>
      <c r="AQ158" s="18"/>
      <c r="AR158" s="18"/>
      <c r="AS158" s="18"/>
      <c r="AU158" s="448"/>
      <c r="AV158" s="448"/>
      <c r="AW158" s="8" t="str">
        <f>IF(C158&gt;0,VLOOKUP(C158,Foundation_Calc!$A$2:$C$986,3,1),
IF(J158&gt;0,VLOOKUP(J158,Foundation_Calc!$A$2:$C$986,3,1),""))</f>
        <v/>
      </c>
      <c r="AX158" s="8" t="str">
        <f>IF(C158&gt;0,VLOOKUP(C158,Foundation_Calc!$E$2:$G$986,3,1),
IF(J158&gt;0,VLOOKUP(J158,Foundation_Calc!$E$2:$G$986,3,1),""))</f>
        <v/>
      </c>
      <c r="AY158" s="631" t="str">
        <f>IF(L158="","",
IF(AX158="PT",VLOOKUP(L158,Foundation_Calc!$K$4:$R$37,VLOOKUP(AW158,Foundation_Calc!$I$2:$J$8,2,FALSE),0),
IF(AX158="K",VLOOKUP(L158,Foundation_Calc!$K$41:$R$74,VLOOKUP(AW158,Foundation_Calc!$I$2:$J$8,2,FALSE),0),"")))</f>
        <v/>
      </c>
      <c r="AZ158" s="631" t="str">
        <f>IF(K158="","",
IF(AX158="PT",VLOOKUP(K158,Foundation_Calc!$K$4:$R$37,VLOOKUP(AW158,Foundation_Calc!$I$2:$J$8,2,FALSE),0),
IF(AX158="K",VLOOKUP(K158,Foundation_Calc!$K$41:$R$74,VLOOKUP(AW158,Foundation_Calc!$I$2:$J$8,2,FALSE),0),"")))</f>
        <v/>
      </c>
      <c r="BA158" s="632" t="str">
        <f t="shared" si="12"/>
        <v/>
      </c>
      <c r="BB158" s="632" t="str">
        <f t="shared" si="13"/>
        <v/>
      </c>
      <c r="BC158" s="632" t="str">
        <f t="shared" si="14"/>
        <v/>
      </c>
      <c r="BD158" s="633" t="str">
        <f>IF(AND(L158="",H158=""),"",
IF(H158="",Pole_Calc!A162,
IF(H158="MP",Pole_Calc!A163,
IF(H158="AnMP",Pole_Calc!A164,
IF(H158="A",Pole_Calc!A165,
IF(H158="S/A",Pole_Calc!A166,
IF(H158="A/S",Pole_Calc!A167,"Poner a mano")))))))</f>
        <v/>
      </c>
      <c r="BE158" s="448" t="s">
        <v>1726</v>
      </c>
      <c r="BF158" s="634"/>
      <c r="BG158" s="634"/>
      <c r="BH158" s="634"/>
      <c r="BI158" s="634"/>
    </row>
    <row r="159" spans="1:61" ht="16.2" customHeight="1">
      <c r="A159" s="12"/>
      <c r="B159" s="446"/>
      <c r="C159" s="89"/>
      <c r="D159" s="13"/>
      <c r="E159" s="14"/>
      <c r="F159" s="14"/>
      <c r="G159" s="15"/>
      <c r="H159" s="8"/>
      <c r="I159" s="8"/>
      <c r="J159" s="89"/>
      <c r="K159" s="8"/>
      <c r="L159" s="8"/>
      <c r="M159" s="8" t="str">
        <f>IF(L159="","",
IF(AX159="PT",VLOOKUP(L159,Foundation_Calc!$V$4:$X$37,VLOOKUP(AX159,Foundation_Calc!$I$10:$J$13,2,FALSE),0),
IF(AX159="K",VLOOKUP(L159,Foundation_Calc!$V$41:$X$74,VLOOKUP(AX159,Foundation_Calc!$I$10:$J$13,2,FALSE),0),"")))</f>
        <v/>
      </c>
      <c r="N159" s="8"/>
      <c r="O159" s="8"/>
      <c r="P159" s="8"/>
      <c r="Q159" s="14"/>
      <c r="R159" s="15"/>
      <c r="S159" s="15"/>
      <c r="T159" s="14"/>
      <c r="U159" s="14"/>
      <c r="V159" s="14"/>
      <c r="W159" s="18"/>
      <c r="X159" s="18"/>
      <c r="Y159" s="18"/>
      <c r="Z159" s="18"/>
      <c r="AA159" s="18"/>
      <c r="AB159" s="18"/>
      <c r="AC159" s="8" t="str">
        <f t="shared" si="11"/>
        <v/>
      </c>
      <c r="AD159" s="8"/>
      <c r="AE159" s="8"/>
      <c r="AF159" s="14"/>
      <c r="AG159" s="13"/>
      <c r="AH159" s="14"/>
      <c r="AI159" s="14"/>
      <c r="AJ159" s="8"/>
      <c r="AK159" s="8"/>
      <c r="AL159" s="8"/>
      <c r="AM159" s="8"/>
      <c r="AN159" s="631"/>
      <c r="AO159" s="18"/>
      <c r="AP159" s="18"/>
      <c r="AQ159" s="18"/>
      <c r="AR159" s="18"/>
      <c r="AS159" s="18"/>
      <c r="AU159" s="448"/>
      <c r="AV159" s="448"/>
      <c r="AW159" s="8" t="str">
        <f>IF(C159&gt;0,VLOOKUP(C159,Foundation_Calc!$A$2:$C$986,3,1),
IF(J159&gt;0,VLOOKUP(J159,Foundation_Calc!$A$2:$C$986,3,1),""))</f>
        <v/>
      </c>
      <c r="AX159" s="8" t="str">
        <f>IF(C159&gt;0,VLOOKUP(C159,Foundation_Calc!$E$2:$G$986,3,1),
IF(J159&gt;0,VLOOKUP(J159,Foundation_Calc!$E$2:$G$986,3,1),""))</f>
        <v/>
      </c>
      <c r="AY159" s="631" t="str">
        <f>IF(L159="","",
IF(AX159="PT",VLOOKUP(L159,Foundation_Calc!$K$4:$R$37,VLOOKUP(AW159,Foundation_Calc!$I$2:$J$8,2,FALSE),0),
IF(AX159="K",VLOOKUP(L159,Foundation_Calc!$K$41:$R$74,VLOOKUP(AW159,Foundation_Calc!$I$2:$J$8,2,FALSE),0),"")))</f>
        <v/>
      </c>
      <c r="AZ159" s="631" t="str">
        <f>IF(K159="","",
IF(AX159="PT",VLOOKUP(K159,Foundation_Calc!$K$4:$R$37,VLOOKUP(AW159,Foundation_Calc!$I$2:$J$8,2,FALSE),0),
IF(AX159="K",VLOOKUP(K159,Foundation_Calc!$K$41:$R$74,VLOOKUP(AW159,Foundation_Calc!$I$2:$J$8,2,FALSE),0),"")))</f>
        <v/>
      </c>
      <c r="BA159" s="632" t="str">
        <f t="shared" si="12"/>
        <v/>
      </c>
      <c r="BB159" s="632" t="str">
        <f t="shared" si="13"/>
        <v/>
      </c>
      <c r="BC159" s="632" t="str">
        <f t="shared" si="14"/>
        <v/>
      </c>
      <c r="BD159" s="633" t="str">
        <f>IF(AND(L159="",H159=""),"",
IF(H159="",Pole_Calc!A163,
IF(H159="MP",Pole_Calc!A164,
IF(H159="AnMP",Pole_Calc!A165,
IF(H159="A",Pole_Calc!A166,
IF(H159="S/A",Pole_Calc!A167,
IF(H159="A/S",Pole_Calc!A168,"Poner a mano")))))))</f>
        <v/>
      </c>
      <c r="BE159" s="448" t="s">
        <v>1726</v>
      </c>
      <c r="BF159" s="635"/>
      <c r="BG159" s="635"/>
      <c r="BH159" s="634"/>
      <c r="BI159" s="635"/>
    </row>
    <row r="160" spans="1:61" ht="16.2" customHeight="1">
      <c r="A160" s="12"/>
      <c r="B160" s="446"/>
      <c r="C160" s="89"/>
      <c r="D160" s="13"/>
      <c r="E160" s="14"/>
      <c r="F160" s="14"/>
      <c r="G160" s="15"/>
      <c r="H160" s="8"/>
      <c r="I160" s="8"/>
      <c r="J160" s="89"/>
      <c r="K160" s="8"/>
      <c r="L160" s="8"/>
      <c r="M160" s="8" t="str">
        <f>IF(L160="","",
IF(AX160="PT",VLOOKUP(L160,Foundation_Calc!$V$4:$X$37,VLOOKUP(AX160,Foundation_Calc!$I$10:$J$13,2,FALSE),0),
IF(AX160="K",VLOOKUP(L160,Foundation_Calc!$V$41:$X$74,VLOOKUP(AX160,Foundation_Calc!$I$10:$J$13,2,FALSE),0),"")))</f>
        <v/>
      </c>
      <c r="N160" s="8"/>
      <c r="O160" s="8"/>
      <c r="P160" s="8"/>
      <c r="Q160" s="14"/>
      <c r="R160" s="15"/>
      <c r="S160" s="15"/>
      <c r="T160" s="14"/>
      <c r="U160" s="14"/>
      <c r="V160" s="14"/>
      <c r="W160" s="18"/>
      <c r="X160" s="18"/>
      <c r="Y160" s="18"/>
      <c r="Z160" s="18"/>
      <c r="AA160" s="18"/>
      <c r="AB160" s="18"/>
      <c r="AC160" s="8" t="str">
        <f t="shared" si="11"/>
        <v/>
      </c>
      <c r="AD160" s="8"/>
      <c r="AE160" s="8"/>
      <c r="AF160" s="14"/>
      <c r="AG160" s="13"/>
      <c r="AH160" s="14"/>
      <c r="AI160" s="14"/>
      <c r="AJ160" s="8"/>
      <c r="AK160" s="8"/>
      <c r="AL160" s="8"/>
      <c r="AM160" s="8"/>
      <c r="AN160" s="631"/>
      <c r="AO160" s="18"/>
      <c r="AP160" s="18"/>
      <c r="AQ160" s="18"/>
      <c r="AR160" s="18"/>
      <c r="AS160" s="18"/>
      <c r="AU160" s="448"/>
      <c r="AV160" s="448"/>
      <c r="AW160" s="8" t="str">
        <f>IF(C160&gt;0,VLOOKUP(C160,Foundation_Calc!$A$2:$C$986,3,1),
IF(J160&gt;0,VLOOKUP(J160,Foundation_Calc!$A$2:$C$986,3,1),""))</f>
        <v/>
      </c>
      <c r="AX160" s="8" t="str">
        <f>IF(C160&gt;0,VLOOKUP(C160,Foundation_Calc!$E$2:$G$986,3,1),
IF(J160&gt;0,VLOOKUP(J160,Foundation_Calc!$E$2:$G$986,3,1),""))</f>
        <v/>
      </c>
      <c r="AY160" s="631" t="str">
        <f>IF(L160="","",
IF(AX160="PT",VLOOKUP(L160,Foundation_Calc!$K$4:$R$37,VLOOKUP(AW160,Foundation_Calc!$I$2:$J$8,2,FALSE),0),
IF(AX160="K",VLOOKUP(L160,Foundation_Calc!$K$41:$R$74,VLOOKUP(AW160,Foundation_Calc!$I$2:$J$8,2,FALSE),0),"")))</f>
        <v/>
      </c>
      <c r="AZ160" s="631" t="str">
        <f>IF(K160="","",
IF(AX160="PT",VLOOKUP(K160,Foundation_Calc!$K$4:$R$37,VLOOKUP(AW160,Foundation_Calc!$I$2:$J$8,2,FALSE),0),
IF(AX160="K",VLOOKUP(K160,Foundation_Calc!$K$41:$R$74,VLOOKUP(AW160,Foundation_Calc!$I$2:$J$8,2,FALSE),0),"")))</f>
        <v/>
      </c>
      <c r="BA160" s="632" t="str">
        <f t="shared" si="12"/>
        <v/>
      </c>
      <c r="BB160" s="632" t="str">
        <f t="shared" si="13"/>
        <v/>
      </c>
      <c r="BC160" s="632" t="str">
        <f t="shared" si="14"/>
        <v/>
      </c>
      <c r="BD160" s="633" t="str">
        <f>IF(AND(L160="",H160=""),"",
IF(H160="",Pole_Calc!A164,
IF(H160="MP",Pole_Calc!A165,
IF(H160="AnMP",Pole_Calc!A166,
IF(H160="A",Pole_Calc!A167,
IF(H160="S/A",Pole_Calc!A168,
IF(H160="A/S",Pole_Calc!A169,"Poner a mano")))))))</f>
        <v/>
      </c>
      <c r="BE160" s="448" t="s">
        <v>1726</v>
      </c>
      <c r="BF160" s="634"/>
      <c r="BG160" s="634"/>
      <c r="BH160" s="634"/>
      <c r="BI160" s="634"/>
    </row>
    <row r="161" spans="1:61" ht="16.2" customHeight="1">
      <c r="A161" s="12"/>
      <c r="B161" s="446"/>
      <c r="C161" s="89"/>
      <c r="D161" s="13"/>
      <c r="E161" s="14"/>
      <c r="F161" s="14"/>
      <c r="G161" s="15"/>
      <c r="H161" s="8"/>
      <c r="I161" s="8"/>
      <c r="J161" s="89"/>
      <c r="K161" s="8"/>
      <c r="L161" s="8"/>
      <c r="M161" s="8" t="str">
        <f>IF(L161="","",
IF(AX161="PT",VLOOKUP(L161,Foundation_Calc!$V$4:$X$37,VLOOKUP(AX161,Foundation_Calc!$I$10:$J$13,2,FALSE),0),
IF(AX161="K",VLOOKUP(L161,Foundation_Calc!$V$41:$X$74,VLOOKUP(AX161,Foundation_Calc!$I$10:$J$13,2,FALSE),0),"")))</f>
        <v/>
      </c>
      <c r="N161" s="8"/>
      <c r="O161" s="8"/>
      <c r="P161" s="8"/>
      <c r="Q161" s="14"/>
      <c r="R161" s="15"/>
      <c r="S161" s="15"/>
      <c r="T161" s="14"/>
      <c r="U161" s="14"/>
      <c r="V161" s="14"/>
      <c r="W161" s="18"/>
      <c r="X161" s="18"/>
      <c r="Y161" s="18"/>
      <c r="Z161" s="18"/>
      <c r="AA161" s="18"/>
      <c r="AB161" s="18"/>
      <c r="AC161" s="8" t="str">
        <f t="shared" si="11"/>
        <v/>
      </c>
      <c r="AD161" s="8"/>
      <c r="AE161" s="8"/>
      <c r="AF161" s="14"/>
      <c r="AG161" s="13"/>
      <c r="AH161" s="14"/>
      <c r="AI161" s="14"/>
      <c r="AJ161" s="8"/>
      <c r="AK161" s="8"/>
      <c r="AL161" s="8"/>
      <c r="AM161" s="8"/>
      <c r="AN161" s="631"/>
      <c r="AO161" s="18"/>
      <c r="AP161" s="18"/>
      <c r="AQ161" s="18"/>
      <c r="AR161" s="18"/>
      <c r="AS161" s="18"/>
      <c r="AU161" s="448"/>
      <c r="AV161" s="448"/>
      <c r="AW161" s="8" t="str">
        <f>IF(C161&gt;0,VLOOKUP(C161,Foundation_Calc!$A$2:$C$986,3,1),
IF(J161&gt;0,VLOOKUP(J161,Foundation_Calc!$A$2:$C$986,3,1),""))</f>
        <v/>
      </c>
      <c r="AX161" s="8" t="str">
        <f>IF(C161&gt;0,VLOOKUP(C161,Foundation_Calc!$E$2:$G$986,3,1),
IF(J161&gt;0,VLOOKUP(J161,Foundation_Calc!$E$2:$G$986,3,1),""))</f>
        <v/>
      </c>
      <c r="AY161" s="631" t="str">
        <f>IF(L161="","",
IF(AX161="PT",VLOOKUP(L161,Foundation_Calc!$K$4:$R$37,VLOOKUP(AW161,Foundation_Calc!$I$2:$J$8,2,FALSE),0),
IF(AX161="K",VLOOKUP(L161,Foundation_Calc!$K$41:$R$74,VLOOKUP(AW161,Foundation_Calc!$I$2:$J$8,2,FALSE),0),"")))</f>
        <v/>
      </c>
      <c r="AZ161" s="631" t="str">
        <f>IF(K161="","",
IF(AX161="PT",VLOOKUP(K161,Foundation_Calc!$K$4:$R$37,VLOOKUP(AW161,Foundation_Calc!$I$2:$J$8,2,FALSE),0),
IF(AX161="K",VLOOKUP(K161,Foundation_Calc!$K$41:$R$74,VLOOKUP(AW161,Foundation_Calc!$I$2:$J$8,2,FALSE),0),"")))</f>
        <v/>
      </c>
      <c r="BA161" s="632" t="str">
        <f t="shared" si="12"/>
        <v/>
      </c>
      <c r="BB161" s="632" t="str">
        <f t="shared" si="13"/>
        <v/>
      </c>
      <c r="BC161" s="632" t="str">
        <f t="shared" si="14"/>
        <v/>
      </c>
      <c r="BD161" s="633" t="str">
        <f>IF(AND(L161="",H161=""),"",
IF(H161="",Pole_Calc!A165,
IF(H161="MP",Pole_Calc!A166,
IF(H161="AnMP",Pole_Calc!A167,
IF(H161="A",Pole_Calc!A168,
IF(H161="S/A",Pole_Calc!A169,
IF(H161="A/S",Pole_Calc!A170,"Poner a mano")))))))</f>
        <v/>
      </c>
      <c r="BE161" s="448" t="s">
        <v>1726</v>
      </c>
      <c r="BF161" s="635"/>
      <c r="BG161" s="635"/>
      <c r="BH161" s="634"/>
      <c r="BI161" s="635"/>
    </row>
    <row r="162" spans="1:61" ht="16.2" customHeight="1">
      <c r="A162" s="12"/>
      <c r="B162" s="446"/>
      <c r="C162" s="89"/>
      <c r="D162" s="13"/>
      <c r="E162" s="14"/>
      <c r="F162" s="14"/>
      <c r="G162" s="15"/>
      <c r="H162" s="8"/>
      <c r="I162" s="8"/>
      <c r="J162" s="89"/>
      <c r="K162" s="8"/>
      <c r="L162" s="8"/>
      <c r="M162" s="8" t="str">
        <f>IF(L162="","",
IF(AX162="PT",VLOOKUP(L162,Foundation_Calc!$V$4:$X$37,VLOOKUP(AX162,Foundation_Calc!$I$10:$J$13,2,FALSE),0),
IF(AX162="K",VLOOKUP(L162,Foundation_Calc!$V$41:$X$74,VLOOKUP(AX162,Foundation_Calc!$I$10:$J$13,2,FALSE),0),"")))</f>
        <v/>
      </c>
      <c r="N162" s="8"/>
      <c r="O162" s="8"/>
      <c r="P162" s="8"/>
      <c r="Q162" s="14"/>
      <c r="R162" s="15"/>
      <c r="S162" s="15"/>
      <c r="T162" s="14"/>
      <c r="U162" s="14"/>
      <c r="V162" s="14"/>
      <c r="W162" s="18"/>
      <c r="X162" s="18"/>
      <c r="Y162" s="18"/>
      <c r="Z162" s="18"/>
      <c r="AA162" s="18"/>
      <c r="AB162" s="18"/>
      <c r="AC162" s="8" t="str">
        <f t="shared" si="11"/>
        <v/>
      </c>
      <c r="AD162" s="8"/>
      <c r="AE162" s="8"/>
      <c r="AF162" s="14"/>
      <c r="AG162" s="13"/>
      <c r="AH162" s="14"/>
      <c r="AI162" s="14"/>
      <c r="AJ162" s="8"/>
      <c r="AK162" s="8"/>
      <c r="AL162" s="8"/>
      <c r="AM162" s="8"/>
      <c r="AN162" s="631"/>
      <c r="AO162" s="18"/>
      <c r="AP162" s="18"/>
      <c r="AQ162" s="18"/>
      <c r="AR162" s="18"/>
      <c r="AS162" s="18"/>
      <c r="AU162" s="448"/>
      <c r="AV162" s="448"/>
      <c r="AW162" s="8" t="str">
        <f>IF(C162&gt;0,VLOOKUP(C162,Foundation_Calc!$A$2:$C$986,3,1),
IF(J162&gt;0,VLOOKUP(J162,Foundation_Calc!$A$2:$C$986,3,1),""))</f>
        <v/>
      </c>
      <c r="AX162" s="8" t="str">
        <f>IF(C162&gt;0,VLOOKUP(C162,Foundation_Calc!$E$2:$G$986,3,1),
IF(J162&gt;0,VLOOKUP(J162,Foundation_Calc!$E$2:$G$986,3,1),""))</f>
        <v/>
      </c>
      <c r="AY162" s="631" t="str">
        <f>IF(L162="","",
IF(AX162="PT",VLOOKUP(L162,Foundation_Calc!$K$4:$R$37,VLOOKUP(AW162,Foundation_Calc!$I$2:$J$8,2,FALSE),0),
IF(AX162="K",VLOOKUP(L162,Foundation_Calc!$K$41:$R$74,VLOOKUP(AW162,Foundation_Calc!$I$2:$J$8,2,FALSE),0),"")))</f>
        <v/>
      </c>
      <c r="AZ162" s="631" t="str">
        <f>IF(K162="","",
IF(AX162="PT",VLOOKUP(K162,Foundation_Calc!$K$4:$R$37,VLOOKUP(AW162,Foundation_Calc!$I$2:$J$8,2,FALSE),0),
IF(AX162="K",VLOOKUP(K162,Foundation_Calc!$K$41:$R$74,VLOOKUP(AW162,Foundation_Calc!$I$2:$J$8,2,FALSE),0),"")))</f>
        <v/>
      </c>
      <c r="BA162" s="632" t="str">
        <f t="shared" si="12"/>
        <v/>
      </c>
      <c r="BB162" s="632" t="str">
        <f t="shared" si="13"/>
        <v/>
      </c>
      <c r="BC162" s="632" t="str">
        <f t="shared" si="14"/>
        <v/>
      </c>
      <c r="BD162" s="633" t="str">
        <f>IF(AND(L162="",H162=""),"",
IF(H162="",Pole_Calc!A166,
IF(H162="MP",Pole_Calc!A167,
IF(H162="AnMP",Pole_Calc!A168,
IF(H162="A",Pole_Calc!A169,
IF(H162="S/A",Pole_Calc!A170,
IF(H162="A/S",Pole_Calc!A171,"Poner a mano")))))))</f>
        <v/>
      </c>
      <c r="BE162" s="448" t="s">
        <v>1726</v>
      </c>
      <c r="BF162" s="634"/>
      <c r="BG162" s="634"/>
      <c r="BH162" s="634"/>
      <c r="BI162" s="634"/>
    </row>
    <row r="163" spans="1:61" ht="16.2" customHeight="1">
      <c r="A163" s="12"/>
      <c r="B163" s="446"/>
      <c r="C163" s="89"/>
      <c r="D163" s="13"/>
      <c r="E163" s="14"/>
      <c r="F163" s="14"/>
      <c r="G163" s="15"/>
      <c r="H163" s="8"/>
      <c r="I163" s="8"/>
      <c r="J163" s="89"/>
      <c r="K163" s="8"/>
      <c r="L163" s="8"/>
      <c r="M163" s="8" t="str">
        <f>IF(L163="","",
IF(AX163="PT",VLOOKUP(L163,Foundation_Calc!$V$4:$X$37,VLOOKUP(AX163,Foundation_Calc!$I$10:$J$13,2,FALSE),0),
IF(AX163="K",VLOOKUP(L163,Foundation_Calc!$V$41:$X$74,VLOOKUP(AX163,Foundation_Calc!$I$10:$J$13,2,FALSE),0),"")))</f>
        <v/>
      </c>
      <c r="N163" s="8"/>
      <c r="O163" s="8"/>
      <c r="P163" s="8"/>
      <c r="Q163" s="14"/>
      <c r="R163" s="15"/>
      <c r="S163" s="15"/>
      <c r="T163" s="14"/>
      <c r="U163" s="14"/>
      <c r="V163" s="14"/>
      <c r="W163" s="18"/>
      <c r="X163" s="18"/>
      <c r="Y163" s="18"/>
      <c r="Z163" s="18"/>
      <c r="AA163" s="18"/>
      <c r="AB163" s="18"/>
      <c r="AC163" s="8" t="str">
        <f t="shared" si="11"/>
        <v/>
      </c>
      <c r="AD163" s="8"/>
      <c r="AE163" s="8"/>
      <c r="AF163" s="14"/>
      <c r="AG163" s="13"/>
      <c r="AH163" s="14"/>
      <c r="AI163" s="14"/>
      <c r="AJ163" s="8"/>
      <c r="AK163" s="8"/>
      <c r="AL163" s="8"/>
      <c r="AM163" s="8"/>
      <c r="AN163" s="631"/>
      <c r="AO163" s="18"/>
      <c r="AP163" s="18"/>
      <c r="AQ163" s="18"/>
      <c r="AR163" s="18"/>
      <c r="AS163" s="18"/>
      <c r="AU163" s="448"/>
      <c r="AV163" s="448"/>
      <c r="AW163" s="8" t="str">
        <f>IF(C163&gt;0,VLOOKUP(C163,Foundation_Calc!$A$2:$C$986,3,1),
IF(J163&gt;0,VLOOKUP(J163,Foundation_Calc!$A$2:$C$986,3,1),""))</f>
        <v/>
      </c>
      <c r="AX163" s="8" t="str">
        <f>IF(C163&gt;0,VLOOKUP(C163,Foundation_Calc!$E$2:$G$986,3,1),
IF(J163&gt;0,VLOOKUP(J163,Foundation_Calc!$E$2:$G$986,3,1),""))</f>
        <v/>
      </c>
      <c r="AY163" s="631" t="str">
        <f>IF(L163="","",
IF(AX163="PT",VLOOKUP(L163,Foundation_Calc!$K$4:$R$37,VLOOKUP(AW163,Foundation_Calc!$I$2:$J$8,2,FALSE),0),
IF(AX163="K",VLOOKUP(L163,Foundation_Calc!$K$41:$R$74,VLOOKUP(AW163,Foundation_Calc!$I$2:$J$8,2,FALSE),0),"")))</f>
        <v/>
      </c>
      <c r="AZ163" s="631" t="str">
        <f>IF(K163="","",
IF(AX163="PT",VLOOKUP(K163,Foundation_Calc!$K$4:$R$37,VLOOKUP(AW163,Foundation_Calc!$I$2:$J$8,2,FALSE),0),
IF(AX163="K",VLOOKUP(K163,Foundation_Calc!$K$41:$R$74,VLOOKUP(AW163,Foundation_Calc!$I$2:$J$8,2,FALSE),0),"")))</f>
        <v/>
      </c>
      <c r="BA163" s="632" t="str">
        <f t="shared" si="12"/>
        <v/>
      </c>
      <c r="BB163" s="632" t="str">
        <f t="shared" si="13"/>
        <v/>
      </c>
      <c r="BC163" s="632" t="str">
        <f t="shared" si="14"/>
        <v/>
      </c>
      <c r="BD163" s="633" t="str">
        <f>IF(AND(L163="",H163=""),"",
IF(H163="",Pole_Calc!A167,
IF(H163="MP",Pole_Calc!A168,
IF(H163="AnMP",Pole_Calc!A169,
IF(H163="A",Pole_Calc!A170,
IF(H163="S/A",Pole_Calc!A171,
IF(H163="A/S",Pole_Calc!A172,"Poner a mano")))))))</f>
        <v/>
      </c>
      <c r="BE163" s="448" t="s">
        <v>1726</v>
      </c>
      <c r="BF163" s="635"/>
      <c r="BG163" s="635"/>
      <c r="BH163" s="634"/>
      <c r="BI163" s="635"/>
    </row>
    <row r="164" spans="1:61" ht="16.2" customHeight="1">
      <c r="A164" s="12"/>
      <c r="B164" s="446"/>
      <c r="C164" s="89"/>
      <c r="D164" s="13"/>
      <c r="E164" s="14"/>
      <c r="F164" s="14"/>
      <c r="G164" s="15"/>
      <c r="H164" s="8"/>
      <c r="I164" s="8"/>
      <c r="J164" s="89"/>
      <c r="K164" s="8"/>
      <c r="L164" s="8"/>
      <c r="M164" s="8" t="str">
        <f>IF(L164="","",
IF(AX164="PT",VLOOKUP(L164,Foundation_Calc!$V$4:$X$37,VLOOKUP(AX164,Foundation_Calc!$I$10:$J$13,2,FALSE),0),
IF(AX164="K",VLOOKUP(L164,Foundation_Calc!$V$41:$X$74,VLOOKUP(AX164,Foundation_Calc!$I$10:$J$13,2,FALSE),0),"")))</f>
        <v/>
      </c>
      <c r="N164" s="8"/>
      <c r="O164" s="8"/>
      <c r="P164" s="8"/>
      <c r="Q164" s="14"/>
      <c r="R164" s="15"/>
      <c r="S164" s="15"/>
      <c r="T164" s="14"/>
      <c r="U164" s="14"/>
      <c r="V164" s="14"/>
      <c r="W164" s="18"/>
      <c r="X164" s="18"/>
      <c r="Y164" s="18"/>
      <c r="Z164" s="18"/>
      <c r="AA164" s="18"/>
      <c r="AB164" s="18"/>
      <c r="AC164" s="8" t="str">
        <f t="shared" si="11"/>
        <v/>
      </c>
      <c r="AD164" s="8"/>
      <c r="AE164" s="8"/>
      <c r="AF164" s="14"/>
      <c r="AG164" s="13"/>
      <c r="AH164" s="14"/>
      <c r="AI164" s="14"/>
      <c r="AJ164" s="8"/>
      <c r="AK164" s="8"/>
      <c r="AL164" s="8"/>
      <c r="AM164" s="8"/>
      <c r="AN164" s="631"/>
      <c r="AO164" s="18"/>
      <c r="AP164" s="18"/>
      <c r="AQ164" s="18"/>
      <c r="AR164" s="18"/>
      <c r="AS164" s="18"/>
      <c r="AU164" s="448"/>
      <c r="AV164" s="448"/>
      <c r="AW164" s="8" t="str">
        <f>IF(C164&gt;0,VLOOKUP(C164,Foundation_Calc!$A$2:$C$986,3,1),
IF(J164&gt;0,VLOOKUP(J164,Foundation_Calc!$A$2:$C$986,3,1),""))</f>
        <v/>
      </c>
      <c r="AX164" s="8" t="str">
        <f>IF(C164&gt;0,VLOOKUP(C164,Foundation_Calc!$E$2:$G$986,3,1),
IF(J164&gt;0,VLOOKUP(J164,Foundation_Calc!$E$2:$G$986,3,1),""))</f>
        <v/>
      </c>
      <c r="AY164" s="631" t="str">
        <f>IF(L164="","",
IF(AX164="PT",VLOOKUP(L164,Foundation_Calc!$K$4:$R$37,VLOOKUP(AW164,Foundation_Calc!$I$2:$J$8,2,FALSE),0),
IF(AX164="K",VLOOKUP(L164,Foundation_Calc!$K$41:$R$74,VLOOKUP(AW164,Foundation_Calc!$I$2:$J$8,2,FALSE),0),"")))</f>
        <v/>
      </c>
      <c r="AZ164" s="631" t="str">
        <f>IF(K164="","",
IF(AX164="PT",VLOOKUP(K164,Foundation_Calc!$K$4:$R$37,VLOOKUP(AW164,Foundation_Calc!$I$2:$J$8,2,FALSE),0),
IF(AX164="K",VLOOKUP(K164,Foundation_Calc!$K$41:$R$74,VLOOKUP(AW164,Foundation_Calc!$I$2:$J$8,2,FALSE),0),"")))</f>
        <v/>
      </c>
      <c r="BA164" s="632" t="str">
        <f t="shared" si="12"/>
        <v/>
      </c>
      <c r="BB164" s="632" t="str">
        <f t="shared" si="13"/>
        <v/>
      </c>
      <c r="BC164" s="632" t="str">
        <f t="shared" si="14"/>
        <v/>
      </c>
      <c r="BD164" s="633" t="str">
        <f>IF(AND(L164="",H164=""),"",
IF(H164="",Pole_Calc!A168,
IF(H164="MP",Pole_Calc!A169,
IF(H164="AnMP",Pole_Calc!A170,
IF(H164="A",Pole_Calc!A171,
IF(H164="S/A",Pole_Calc!A172,
IF(H164="A/S",Pole_Calc!A173,"Poner a mano")))))))</f>
        <v/>
      </c>
      <c r="BE164" s="448" t="s">
        <v>1726</v>
      </c>
      <c r="BF164" s="634"/>
      <c r="BG164" s="634"/>
      <c r="BH164" s="634"/>
      <c r="BI164" s="634"/>
    </row>
    <row r="165" spans="1:61" ht="16.2" customHeight="1">
      <c r="A165" s="12"/>
      <c r="B165" s="446"/>
      <c r="C165" s="89"/>
      <c r="D165" s="13"/>
      <c r="E165" s="14"/>
      <c r="F165" s="14"/>
      <c r="G165" s="15"/>
      <c r="H165" s="8"/>
      <c r="I165" s="8"/>
      <c r="J165" s="89"/>
      <c r="K165" s="8"/>
      <c r="L165" s="8"/>
      <c r="M165" s="8" t="str">
        <f>IF(L165="","",
IF(AX165="PT",VLOOKUP(L165,Foundation_Calc!$V$4:$X$37,VLOOKUP(AX165,Foundation_Calc!$I$10:$J$13,2,FALSE),0),
IF(AX165="K",VLOOKUP(L165,Foundation_Calc!$V$41:$X$74,VLOOKUP(AX165,Foundation_Calc!$I$10:$J$13,2,FALSE),0),"")))</f>
        <v/>
      </c>
      <c r="N165" s="8"/>
      <c r="O165" s="8"/>
      <c r="P165" s="8"/>
      <c r="Q165" s="14"/>
      <c r="R165" s="15"/>
      <c r="S165" s="15"/>
      <c r="T165" s="14"/>
      <c r="U165" s="14"/>
      <c r="V165" s="14"/>
      <c r="W165" s="18"/>
      <c r="X165" s="18"/>
      <c r="Y165" s="18"/>
      <c r="Z165" s="18"/>
      <c r="AA165" s="18"/>
      <c r="AB165" s="18"/>
      <c r="AC165" s="8" t="str">
        <f t="shared" si="11"/>
        <v/>
      </c>
      <c r="AD165" s="8"/>
      <c r="AE165" s="8"/>
      <c r="AF165" s="14"/>
      <c r="AG165" s="13"/>
      <c r="AH165" s="14"/>
      <c r="AI165" s="14"/>
      <c r="AJ165" s="8"/>
      <c r="AK165" s="8"/>
      <c r="AL165" s="8"/>
      <c r="AM165" s="8"/>
      <c r="AN165" s="631"/>
      <c r="AO165" s="18"/>
      <c r="AP165" s="18"/>
      <c r="AQ165" s="18"/>
      <c r="AR165" s="18"/>
      <c r="AS165" s="18"/>
      <c r="AU165" s="448"/>
      <c r="AV165" s="448"/>
      <c r="AW165" s="8" t="str">
        <f>IF(C165&gt;0,VLOOKUP(C165,Foundation_Calc!$A$2:$C$986,3,1),
IF(J165&gt;0,VLOOKUP(J165,Foundation_Calc!$A$2:$C$986,3,1),""))</f>
        <v/>
      </c>
      <c r="AX165" s="8" t="str">
        <f>IF(C165&gt;0,VLOOKUP(C165,Foundation_Calc!$E$2:$G$986,3,1),
IF(J165&gt;0,VLOOKUP(J165,Foundation_Calc!$E$2:$G$986,3,1),""))</f>
        <v/>
      </c>
      <c r="AY165" s="631" t="str">
        <f>IF(L165="","",
IF(AX165="PT",VLOOKUP(L165,Foundation_Calc!$K$4:$R$37,VLOOKUP(AW165,Foundation_Calc!$I$2:$J$8,2,FALSE),0),
IF(AX165="K",VLOOKUP(L165,Foundation_Calc!$K$41:$R$74,VLOOKUP(AW165,Foundation_Calc!$I$2:$J$8,2,FALSE),0),"")))</f>
        <v/>
      </c>
      <c r="AZ165" s="631" t="str">
        <f>IF(K165="","",
IF(AX165="PT",VLOOKUP(K165,Foundation_Calc!$K$4:$R$37,VLOOKUP(AW165,Foundation_Calc!$I$2:$J$8,2,FALSE),0),
IF(AX165="K",VLOOKUP(K165,Foundation_Calc!$K$41:$R$74,VLOOKUP(AW165,Foundation_Calc!$I$2:$J$8,2,FALSE),0),"")))</f>
        <v/>
      </c>
      <c r="BA165" s="632" t="str">
        <f t="shared" si="12"/>
        <v/>
      </c>
      <c r="BB165" s="632" t="str">
        <f t="shared" si="13"/>
        <v/>
      </c>
      <c r="BC165" s="632" t="str">
        <f t="shared" si="14"/>
        <v/>
      </c>
      <c r="BD165" s="633" t="str">
        <f>IF(AND(L165="",H165=""),"",
IF(H165="",Pole_Calc!A169,
IF(H165="MP",Pole_Calc!A170,
IF(H165="AnMP",Pole_Calc!A171,
IF(H165="A",Pole_Calc!A172,
IF(H165="S/A",Pole_Calc!A173,
IF(H165="A/S",Pole_Calc!A174,"Poner a mano")))))))</f>
        <v/>
      </c>
      <c r="BE165" s="448" t="s">
        <v>1726</v>
      </c>
      <c r="BF165" s="635"/>
      <c r="BG165" s="635"/>
      <c r="BH165" s="634"/>
      <c r="BI165" s="635"/>
    </row>
    <row r="166" spans="1:61" ht="16.2" customHeight="1">
      <c r="A166" s="12"/>
      <c r="B166" s="446"/>
      <c r="C166" s="89"/>
      <c r="D166" s="13"/>
      <c r="E166" s="14"/>
      <c r="F166" s="14"/>
      <c r="G166" s="15"/>
      <c r="H166" s="8"/>
      <c r="I166" s="8"/>
      <c r="J166" s="89"/>
      <c r="K166" s="8"/>
      <c r="L166" s="8"/>
      <c r="M166" s="8" t="str">
        <f>IF(L166="","",
IF(AX166="PT",VLOOKUP(L166,Foundation_Calc!$V$4:$X$37,VLOOKUP(AX166,Foundation_Calc!$I$10:$J$13,2,FALSE),0),
IF(AX166="K",VLOOKUP(L166,Foundation_Calc!$V$41:$X$74,VLOOKUP(AX166,Foundation_Calc!$I$10:$J$13,2,FALSE),0),"")))</f>
        <v/>
      </c>
      <c r="N166" s="8"/>
      <c r="O166" s="8"/>
      <c r="P166" s="8"/>
      <c r="Q166" s="14"/>
      <c r="R166" s="15"/>
      <c r="S166" s="15"/>
      <c r="T166" s="14"/>
      <c r="U166" s="14"/>
      <c r="V166" s="14"/>
      <c r="W166" s="18"/>
      <c r="X166" s="18"/>
      <c r="Y166" s="18"/>
      <c r="Z166" s="18"/>
      <c r="AA166" s="18"/>
      <c r="AB166" s="18"/>
      <c r="AC166" s="8" t="str">
        <f t="shared" si="11"/>
        <v/>
      </c>
      <c r="AD166" s="8"/>
      <c r="AE166" s="8"/>
      <c r="AF166" s="14"/>
      <c r="AG166" s="13"/>
      <c r="AH166" s="14"/>
      <c r="AI166" s="14"/>
      <c r="AJ166" s="8"/>
      <c r="AK166" s="8"/>
      <c r="AL166" s="8"/>
      <c r="AM166" s="8"/>
      <c r="AN166" s="631"/>
      <c r="AO166" s="18"/>
      <c r="AP166" s="18"/>
      <c r="AQ166" s="18"/>
      <c r="AR166" s="18"/>
      <c r="AS166" s="18"/>
      <c r="AU166" s="448"/>
      <c r="AV166" s="448"/>
      <c r="AW166" s="8" t="str">
        <f>IF(C166&gt;0,VLOOKUP(C166,Foundation_Calc!$A$2:$C$986,3,1),
IF(J166&gt;0,VLOOKUP(J166,Foundation_Calc!$A$2:$C$986,3,1),""))</f>
        <v/>
      </c>
      <c r="AX166" s="8" t="str">
        <f>IF(C166&gt;0,VLOOKUP(C166,Foundation_Calc!$E$2:$G$986,3,1),
IF(J166&gt;0,VLOOKUP(J166,Foundation_Calc!$E$2:$G$986,3,1),""))</f>
        <v/>
      </c>
      <c r="AY166" s="631" t="str">
        <f>IF(L166="","",
IF(AX166="PT",VLOOKUP(L166,Foundation_Calc!$K$4:$R$37,VLOOKUP(AW166,Foundation_Calc!$I$2:$J$8,2,FALSE),0),
IF(AX166="K",VLOOKUP(L166,Foundation_Calc!$K$41:$R$74,VLOOKUP(AW166,Foundation_Calc!$I$2:$J$8,2,FALSE),0),"")))</f>
        <v/>
      </c>
      <c r="AZ166" s="631" t="str">
        <f>IF(K166="","",
IF(AX166="PT",VLOOKUP(K166,Foundation_Calc!$K$4:$R$37,VLOOKUP(AW166,Foundation_Calc!$I$2:$J$8,2,FALSE),0),
IF(AX166="K",VLOOKUP(K166,Foundation_Calc!$K$41:$R$74,VLOOKUP(AW166,Foundation_Calc!$I$2:$J$8,2,FALSE),0),"")))</f>
        <v/>
      </c>
      <c r="BA166" s="632" t="str">
        <f t="shared" si="12"/>
        <v/>
      </c>
      <c r="BB166" s="632" t="str">
        <f t="shared" si="13"/>
        <v/>
      </c>
      <c r="BC166" s="632" t="str">
        <f t="shared" si="14"/>
        <v/>
      </c>
      <c r="BD166" s="633" t="str">
        <f>IF(AND(L166="",H166=""),"",
IF(H166="",Pole_Calc!A170,
IF(H166="MP",Pole_Calc!A171,
IF(H166="AnMP",Pole_Calc!A172,
IF(H166="A",Pole_Calc!A173,
IF(H166="S/A",Pole_Calc!A174,
IF(H166="A/S",Pole_Calc!A175,"Poner a mano")))))))</f>
        <v/>
      </c>
      <c r="BE166" s="448" t="s">
        <v>1726</v>
      </c>
      <c r="BF166" s="634"/>
      <c r="BG166" s="634"/>
      <c r="BH166" s="634"/>
      <c r="BI166" s="634"/>
    </row>
    <row r="167" spans="1:61" ht="16.2" customHeight="1">
      <c r="A167" s="12"/>
      <c r="B167" s="446"/>
      <c r="C167" s="89"/>
      <c r="D167" s="13"/>
      <c r="E167" s="14"/>
      <c r="F167" s="14"/>
      <c r="G167" s="15"/>
      <c r="H167" s="8"/>
      <c r="I167" s="8"/>
      <c r="J167" s="89"/>
      <c r="K167" s="8"/>
      <c r="L167" s="8"/>
      <c r="M167" s="8" t="str">
        <f>IF(L167="","",
IF(AX167="PT",VLOOKUP(L167,Foundation_Calc!$V$4:$X$37,VLOOKUP(AX167,Foundation_Calc!$I$10:$J$13,2,FALSE),0),
IF(AX167="K",VLOOKUP(L167,Foundation_Calc!$V$41:$X$74,VLOOKUP(AX167,Foundation_Calc!$I$10:$J$13,2,FALSE),0),"")))</f>
        <v/>
      </c>
      <c r="N167" s="8"/>
      <c r="O167" s="8"/>
      <c r="P167" s="8"/>
      <c r="Q167" s="14"/>
      <c r="R167" s="15"/>
      <c r="S167" s="15"/>
      <c r="T167" s="14"/>
      <c r="U167" s="14"/>
      <c r="V167" s="14"/>
      <c r="W167" s="18"/>
      <c r="X167" s="18"/>
      <c r="Y167" s="18"/>
      <c r="Z167" s="18"/>
      <c r="AA167" s="18"/>
      <c r="AB167" s="18"/>
      <c r="AC167" s="8" t="str">
        <f t="shared" si="11"/>
        <v/>
      </c>
      <c r="AD167" s="8"/>
      <c r="AE167" s="8"/>
      <c r="AF167" s="14"/>
      <c r="AG167" s="13"/>
      <c r="AH167" s="14"/>
      <c r="AI167" s="14"/>
      <c r="AJ167" s="8"/>
      <c r="AK167" s="8"/>
      <c r="AL167" s="8"/>
      <c r="AM167" s="8"/>
      <c r="AN167" s="631"/>
      <c r="AO167" s="18"/>
      <c r="AP167" s="18"/>
      <c r="AQ167" s="18"/>
      <c r="AR167" s="18"/>
      <c r="AS167" s="18"/>
      <c r="AU167" s="448"/>
      <c r="AV167" s="448"/>
      <c r="AW167" s="8" t="str">
        <f>IF(C167&gt;0,VLOOKUP(C167,Foundation_Calc!$A$2:$C$986,3,1),
IF(J167&gt;0,VLOOKUP(J167,Foundation_Calc!$A$2:$C$986,3,1),""))</f>
        <v/>
      </c>
      <c r="AX167" s="8" t="str">
        <f>IF(C167&gt;0,VLOOKUP(C167,Foundation_Calc!$E$2:$G$986,3,1),
IF(J167&gt;0,VLOOKUP(J167,Foundation_Calc!$E$2:$G$986,3,1),""))</f>
        <v/>
      </c>
      <c r="AY167" s="631" t="str">
        <f>IF(L167="","",
IF(AX167="PT",VLOOKUP(L167,Foundation_Calc!$K$4:$R$37,VLOOKUP(AW167,Foundation_Calc!$I$2:$J$8,2,FALSE),0),
IF(AX167="K",VLOOKUP(L167,Foundation_Calc!$K$41:$R$74,VLOOKUP(AW167,Foundation_Calc!$I$2:$J$8,2,FALSE),0),"")))</f>
        <v/>
      </c>
      <c r="AZ167" s="631" t="str">
        <f>IF(K167="","",
IF(AX167="PT",VLOOKUP(K167,Foundation_Calc!$K$4:$R$37,VLOOKUP(AW167,Foundation_Calc!$I$2:$J$8,2,FALSE),0),
IF(AX167="K",VLOOKUP(K167,Foundation_Calc!$K$41:$R$74,VLOOKUP(AW167,Foundation_Calc!$I$2:$J$8,2,FALSE),0),"")))</f>
        <v/>
      </c>
      <c r="BA167" s="632" t="str">
        <f t="shared" si="12"/>
        <v/>
      </c>
      <c r="BB167" s="632" t="str">
        <f t="shared" si="13"/>
        <v/>
      </c>
      <c r="BC167" s="632" t="str">
        <f t="shared" si="14"/>
        <v/>
      </c>
      <c r="BD167" s="633" t="str">
        <f>IF(AND(L167="",H167=""),"",
IF(H167="",Pole_Calc!A171,
IF(H167="MP",Pole_Calc!A172,
IF(H167="AnMP",Pole_Calc!A173,
IF(H167="A",Pole_Calc!A174,
IF(H167="S/A",Pole_Calc!A175,
IF(H167="A/S",Pole_Calc!A176,"Poner a mano")))))))</f>
        <v/>
      </c>
      <c r="BE167" s="448" t="s">
        <v>1726</v>
      </c>
      <c r="BF167" s="635"/>
      <c r="BG167" s="635"/>
      <c r="BH167" s="634"/>
      <c r="BI167" s="635"/>
    </row>
    <row r="168" spans="1:61" ht="16.2" customHeight="1">
      <c r="A168" s="12"/>
      <c r="B168" s="446"/>
      <c r="C168" s="89"/>
      <c r="D168" s="13"/>
      <c r="E168" s="14"/>
      <c r="F168" s="14"/>
      <c r="G168" s="15"/>
      <c r="H168" s="8"/>
      <c r="I168" s="8"/>
      <c r="J168" s="89"/>
      <c r="K168" s="8"/>
      <c r="L168" s="8"/>
      <c r="M168" s="8" t="str">
        <f>IF(L168="","",
IF(AX168="PT",VLOOKUP(L168,Foundation_Calc!$V$4:$X$37,VLOOKUP(AX168,Foundation_Calc!$I$10:$J$13,2,FALSE),0),
IF(AX168="K",VLOOKUP(L168,Foundation_Calc!$V$41:$X$74,VLOOKUP(AX168,Foundation_Calc!$I$10:$J$13,2,FALSE),0),"")))</f>
        <v/>
      </c>
      <c r="N168" s="8"/>
      <c r="O168" s="8"/>
      <c r="P168" s="8"/>
      <c r="Q168" s="14"/>
      <c r="R168" s="15"/>
      <c r="S168" s="15"/>
      <c r="T168" s="14"/>
      <c r="U168" s="14"/>
      <c r="V168" s="14"/>
      <c r="W168" s="18"/>
      <c r="X168" s="18"/>
      <c r="Y168" s="18"/>
      <c r="Z168" s="18"/>
      <c r="AA168" s="18"/>
      <c r="AB168" s="18"/>
      <c r="AC168" s="8" t="str">
        <f t="shared" si="11"/>
        <v/>
      </c>
      <c r="AD168" s="8"/>
      <c r="AE168" s="8"/>
      <c r="AF168" s="14"/>
      <c r="AG168" s="13"/>
      <c r="AH168" s="14"/>
      <c r="AI168" s="14"/>
      <c r="AJ168" s="8"/>
      <c r="AK168" s="8"/>
      <c r="AL168" s="8"/>
      <c r="AM168" s="8"/>
      <c r="AN168" s="631"/>
      <c r="AO168" s="18"/>
      <c r="AP168" s="18"/>
      <c r="AQ168" s="18"/>
      <c r="AR168" s="18"/>
      <c r="AS168" s="18"/>
      <c r="AU168" s="448"/>
      <c r="AV168" s="448"/>
      <c r="AW168" s="8" t="str">
        <f>IF(C168&gt;0,VLOOKUP(C168,Foundation_Calc!$A$2:$C$986,3,1),
IF(J168&gt;0,VLOOKUP(J168,Foundation_Calc!$A$2:$C$986,3,1),""))</f>
        <v/>
      </c>
      <c r="AX168" s="8" t="str">
        <f>IF(C168&gt;0,VLOOKUP(C168,Foundation_Calc!$E$2:$G$986,3,1),
IF(J168&gt;0,VLOOKUP(J168,Foundation_Calc!$E$2:$G$986,3,1),""))</f>
        <v/>
      </c>
      <c r="AY168" s="631" t="str">
        <f>IF(L168="","",
IF(AX168="PT",VLOOKUP(L168,Foundation_Calc!$K$4:$R$37,VLOOKUP(AW168,Foundation_Calc!$I$2:$J$8,2,FALSE),0),
IF(AX168="K",VLOOKUP(L168,Foundation_Calc!$K$41:$R$74,VLOOKUP(AW168,Foundation_Calc!$I$2:$J$8,2,FALSE),0),"")))</f>
        <v/>
      </c>
      <c r="AZ168" s="631" t="str">
        <f>IF(K168="","",
IF(AX168="PT",VLOOKUP(K168,Foundation_Calc!$K$4:$R$37,VLOOKUP(AW168,Foundation_Calc!$I$2:$J$8,2,FALSE),0),
IF(AX168="K",VLOOKUP(K168,Foundation_Calc!$K$41:$R$74,VLOOKUP(AW168,Foundation_Calc!$I$2:$J$8,2,FALSE),0),"")))</f>
        <v/>
      </c>
      <c r="BA168" s="632" t="str">
        <f t="shared" si="12"/>
        <v/>
      </c>
      <c r="BB168" s="632" t="str">
        <f t="shared" si="13"/>
        <v/>
      </c>
      <c r="BC168" s="632" t="str">
        <f t="shared" si="14"/>
        <v/>
      </c>
      <c r="BD168" s="633" t="str">
        <f>IF(AND(L168="",H168=""),"",
IF(H168="",Pole_Calc!A172,
IF(H168="MP",Pole_Calc!A173,
IF(H168="AnMP",Pole_Calc!A174,
IF(H168="A",Pole_Calc!A175,
IF(H168="S/A",Pole_Calc!A176,
IF(H168="A/S",Pole_Calc!A177,"Poner a mano")))))))</f>
        <v/>
      </c>
      <c r="BE168" s="448" t="s">
        <v>1726</v>
      </c>
      <c r="BF168" s="634"/>
      <c r="BG168" s="634"/>
      <c r="BH168" s="634"/>
      <c r="BI168" s="634"/>
    </row>
    <row r="169" spans="1:61" ht="16.2" customHeight="1">
      <c r="A169" s="12"/>
      <c r="B169" s="446"/>
      <c r="C169" s="89"/>
      <c r="D169" s="13"/>
      <c r="E169" s="14"/>
      <c r="F169" s="14"/>
      <c r="G169" s="15"/>
      <c r="H169" s="8"/>
      <c r="I169" s="8"/>
      <c r="J169" s="89"/>
      <c r="K169" s="8"/>
      <c r="L169" s="8"/>
      <c r="M169" s="8" t="str">
        <f>IF(L169="","",
IF(AX169="PT",VLOOKUP(L169,Foundation_Calc!$V$4:$X$37,VLOOKUP(AX169,Foundation_Calc!$I$10:$J$13,2,FALSE),0),
IF(AX169="K",VLOOKUP(L169,Foundation_Calc!$V$41:$X$74,VLOOKUP(AX169,Foundation_Calc!$I$10:$J$13,2,FALSE),0),"")))</f>
        <v/>
      </c>
      <c r="N169" s="8"/>
      <c r="O169" s="8"/>
      <c r="P169" s="8"/>
      <c r="Q169" s="14"/>
      <c r="R169" s="15"/>
      <c r="S169" s="15"/>
      <c r="T169" s="14"/>
      <c r="U169" s="14"/>
      <c r="V169" s="14"/>
      <c r="W169" s="18"/>
      <c r="X169" s="18"/>
      <c r="Y169" s="18"/>
      <c r="Z169" s="18"/>
      <c r="AA169" s="18"/>
      <c r="AB169" s="18"/>
      <c r="AC169" s="8" t="str">
        <f t="shared" si="11"/>
        <v/>
      </c>
      <c r="AD169" s="8"/>
      <c r="AE169" s="8"/>
      <c r="AF169" s="14"/>
      <c r="AG169" s="13"/>
      <c r="AH169" s="14"/>
      <c r="AI169" s="14"/>
      <c r="AJ169" s="8"/>
      <c r="AK169" s="8"/>
      <c r="AL169" s="8"/>
      <c r="AM169" s="8"/>
      <c r="AN169" s="631"/>
      <c r="AO169" s="18"/>
      <c r="AP169" s="18"/>
      <c r="AQ169" s="18"/>
      <c r="AR169" s="18"/>
      <c r="AS169" s="18"/>
      <c r="AU169" s="448"/>
      <c r="AV169" s="448"/>
      <c r="AW169" s="8" t="str">
        <f>IF(C169&gt;0,VLOOKUP(C169,Foundation_Calc!$A$2:$C$986,3,1),
IF(J169&gt;0,VLOOKUP(J169,Foundation_Calc!$A$2:$C$986,3,1),""))</f>
        <v/>
      </c>
      <c r="AX169" s="8" t="str">
        <f>IF(C169&gt;0,VLOOKUP(C169,Foundation_Calc!$E$2:$G$986,3,1),
IF(J169&gt;0,VLOOKUP(J169,Foundation_Calc!$E$2:$G$986,3,1),""))</f>
        <v/>
      </c>
      <c r="AY169" s="631" t="str">
        <f>IF(L169="","",
IF(AX169="PT",VLOOKUP(L169,Foundation_Calc!$K$4:$R$37,VLOOKUP(AW169,Foundation_Calc!$I$2:$J$8,2,FALSE),0),
IF(AX169="K",VLOOKUP(L169,Foundation_Calc!$K$41:$R$74,VLOOKUP(AW169,Foundation_Calc!$I$2:$J$8,2,FALSE),0),"")))</f>
        <v/>
      </c>
      <c r="AZ169" s="631" t="str">
        <f>IF(K169="","",
IF(AX169="PT",VLOOKUP(K169,Foundation_Calc!$K$4:$R$37,VLOOKUP(AW169,Foundation_Calc!$I$2:$J$8,2,FALSE),0),
IF(AX169="K",VLOOKUP(K169,Foundation_Calc!$K$41:$R$74,VLOOKUP(AW169,Foundation_Calc!$I$2:$J$8,2,FALSE),0),"")))</f>
        <v/>
      </c>
      <c r="BA169" s="632" t="str">
        <f t="shared" si="12"/>
        <v/>
      </c>
      <c r="BB169" s="632" t="str">
        <f t="shared" si="13"/>
        <v/>
      </c>
      <c r="BC169" s="632" t="str">
        <f t="shared" si="14"/>
        <v/>
      </c>
      <c r="BD169" s="633" t="str">
        <f>IF(AND(L169="",H169=""),"",
IF(H169="",Pole_Calc!A173,
IF(H169="MP",Pole_Calc!A174,
IF(H169="AnMP",Pole_Calc!A175,
IF(H169="A",Pole_Calc!A176,
IF(H169="S/A",Pole_Calc!A177,
IF(H169="A/S",Pole_Calc!A178,"Poner a mano")))))))</f>
        <v/>
      </c>
      <c r="BE169" s="448" t="s">
        <v>1726</v>
      </c>
      <c r="BF169" s="635"/>
      <c r="BG169" s="635"/>
      <c r="BH169" s="634"/>
      <c r="BI169" s="635"/>
    </row>
    <row r="170" spans="1:61" ht="16.2" customHeight="1">
      <c r="A170" s="12"/>
      <c r="B170" s="446"/>
      <c r="C170" s="89"/>
      <c r="D170" s="13"/>
      <c r="E170" s="14"/>
      <c r="F170" s="14"/>
      <c r="G170" s="15"/>
      <c r="H170" s="8"/>
      <c r="I170" s="8"/>
      <c r="J170" s="89"/>
      <c r="K170" s="8"/>
      <c r="L170" s="8"/>
      <c r="M170" s="8" t="str">
        <f>IF(L170="","",
IF(AX170="PT",VLOOKUP(L170,Foundation_Calc!$V$4:$X$37,VLOOKUP(AX170,Foundation_Calc!$I$10:$J$13,2,FALSE),0),
IF(AX170="K",VLOOKUP(L170,Foundation_Calc!$V$41:$X$74,VLOOKUP(AX170,Foundation_Calc!$I$10:$J$13,2,FALSE),0),"")))</f>
        <v/>
      </c>
      <c r="N170" s="8"/>
      <c r="O170" s="8"/>
      <c r="P170" s="8"/>
      <c r="Q170" s="14"/>
      <c r="R170" s="15"/>
      <c r="S170" s="15"/>
      <c r="T170" s="14"/>
      <c r="U170" s="14"/>
      <c r="V170" s="14"/>
      <c r="W170" s="18"/>
      <c r="X170" s="18"/>
      <c r="Y170" s="18"/>
      <c r="Z170" s="18"/>
      <c r="AA170" s="18"/>
      <c r="AB170" s="18"/>
      <c r="AC170" s="8" t="str">
        <f t="shared" si="11"/>
        <v/>
      </c>
      <c r="AD170" s="8"/>
      <c r="AE170" s="8"/>
      <c r="AF170" s="14"/>
      <c r="AG170" s="13"/>
      <c r="AH170" s="14"/>
      <c r="AI170" s="14"/>
      <c r="AJ170" s="8"/>
      <c r="AK170" s="8"/>
      <c r="AL170" s="8"/>
      <c r="AM170" s="8"/>
      <c r="AN170" s="631"/>
      <c r="AO170" s="18"/>
      <c r="AP170" s="18"/>
      <c r="AQ170" s="18"/>
      <c r="AR170" s="18"/>
      <c r="AS170" s="18"/>
      <c r="AU170" s="448"/>
      <c r="AV170" s="448"/>
      <c r="AW170" s="8" t="str">
        <f>IF(C170&gt;0,VLOOKUP(C170,Foundation_Calc!$A$2:$C$986,3,1),
IF(J170&gt;0,VLOOKUP(J170,Foundation_Calc!$A$2:$C$986,3,1),""))</f>
        <v/>
      </c>
      <c r="AX170" s="8" t="str">
        <f>IF(C170&gt;0,VLOOKUP(C170,Foundation_Calc!$E$2:$G$986,3,1),
IF(J170&gt;0,VLOOKUP(J170,Foundation_Calc!$E$2:$G$986,3,1),""))</f>
        <v/>
      </c>
      <c r="AY170" s="631" t="str">
        <f>IF(L170="","",
IF(AX170="PT",VLOOKUP(L170,Foundation_Calc!$K$4:$R$37,VLOOKUP(AW170,Foundation_Calc!$I$2:$J$8,2,FALSE),0),
IF(AX170="K",VLOOKUP(L170,Foundation_Calc!$K$41:$R$74,VLOOKUP(AW170,Foundation_Calc!$I$2:$J$8,2,FALSE),0),"")))</f>
        <v/>
      </c>
      <c r="AZ170" s="631" t="str">
        <f>IF(K170="","",
IF(AX170="PT",VLOOKUP(K170,Foundation_Calc!$K$4:$R$37,VLOOKUP(AW170,Foundation_Calc!$I$2:$J$8,2,FALSE),0),
IF(AX170="K",VLOOKUP(K170,Foundation_Calc!$K$41:$R$74,VLOOKUP(AW170,Foundation_Calc!$I$2:$J$8,2,FALSE),0),"")))</f>
        <v/>
      </c>
      <c r="BA170" s="632" t="str">
        <f t="shared" si="12"/>
        <v/>
      </c>
      <c r="BB170" s="632" t="str">
        <f t="shared" si="13"/>
        <v/>
      </c>
      <c r="BC170" s="632" t="str">
        <f t="shared" si="14"/>
        <v/>
      </c>
      <c r="BD170" s="633" t="str">
        <f>IF(AND(L170="",H170=""),"",
IF(H170="",Pole_Calc!A174,
IF(H170="MP",Pole_Calc!A175,
IF(H170="AnMP",Pole_Calc!A176,
IF(H170="A",Pole_Calc!A177,
IF(H170="S/A",Pole_Calc!A178,
IF(H170="A/S",Pole_Calc!A179,"Poner a mano")))))))</f>
        <v/>
      </c>
      <c r="BE170" s="448" t="s">
        <v>1726</v>
      </c>
      <c r="BF170" s="634"/>
      <c r="BG170" s="634"/>
      <c r="BH170" s="634"/>
      <c r="BI170" s="634"/>
    </row>
    <row r="171" spans="1:61" ht="16.2" customHeight="1">
      <c r="A171" s="12"/>
      <c r="B171" s="446"/>
      <c r="C171" s="89"/>
      <c r="D171" s="13"/>
      <c r="E171" s="14"/>
      <c r="F171" s="14"/>
      <c r="G171" s="15"/>
      <c r="H171" s="8"/>
      <c r="I171" s="8"/>
      <c r="J171" s="89"/>
      <c r="K171" s="8"/>
      <c r="L171" s="8"/>
      <c r="M171" s="8" t="str">
        <f>IF(L171="","",
IF(AX171="PT",VLOOKUP(L171,Foundation_Calc!$V$4:$X$37,VLOOKUP(AX171,Foundation_Calc!$I$10:$J$13,2,FALSE),0),
IF(AX171="K",VLOOKUP(L171,Foundation_Calc!$V$41:$X$74,VLOOKUP(AX171,Foundation_Calc!$I$10:$J$13,2,FALSE),0),"")))</f>
        <v/>
      </c>
      <c r="N171" s="8"/>
      <c r="O171" s="8"/>
      <c r="P171" s="8"/>
      <c r="Q171" s="14"/>
      <c r="R171" s="15"/>
      <c r="S171" s="15"/>
      <c r="T171" s="14"/>
      <c r="U171" s="14"/>
      <c r="V171" s="14"/>
      <c r="W171" s="18"/>
      <c r="X171" s="18"/>
      <c r="Y171" s="18"/>
      <c r="Z171" s="18"/>
      <c r="AA171" s="18"/>
      <c r="AB171" s="18"/>
      <c r="AC171" s="8" t="str">
        <f t="shared" si="11"/>
        <v/>
      </c>
      <c r="AD171" s="8"/>
      <c r="AE171" s="8"/>
      <c r="AF171" s="14"/>
      <c r="AG171" s="13"/>
      <c r="AH171" s="14"/>
      <c r="AI171" s="14"/>
      <c r="AJ171" s="8"/>
      <c r="AK171" s="8"/>
      <c r="AL171" s="8"/>
      <c r="AM171" s="8"/>
      <c r="AN171" s="631"/>
      <c r="AO171" s="18"/>
      <c r="AP171" s="18"/>
      <c r="AQ171" s="18"/>
      <c r="AR171" s="18"/>
      <c r="AS171" s="18"/>
      <c r="AU171" s="448"/>
      <c r="AV171" s="448"/>
      <c r="AW171" s="8" t="str">
        <f>IF(C171&gt;0,VLOOKUP(C171,Foundation_Calc!$A$2:$C$986,3,1),
IF(J171&gt;0,VLOOKUP(J171,Foundation_Calc!$A$2:$C$986,3,1),""))</f>
        <v/>
      </c>
      <c r="AX171" s="8" t="str">
        <f>IF(C171&gt;0,VLOOKUP(C171,Foundation_Calc!$E$2:$G$986,3,1),
IF(J171&gt;0,VLOOKUP(J171,Foundation_Calc!$E$2:$G$986,3,1),""))</f>
        <v/>
      </c>
      <c r="AY171" s="631" t="str">
        <f>IF(L171="","",
IF(AX171="PT",VLOOKUP(L171,Foundation_Calc!$K$4:$R$37,VLOOKUP(AW171,Foundation_Calc!$I$2:$J$8,2,FALSE),0),
IF(AX171="K",VLOOKUP(L171,Foundation_Calc!$K$41:$R$74,VLOOKUP(AW171,Foundation_Calc!$I$2:$J$8,2,FALSE),0),"")))</f>
        <v/>
      </c>
      <c r="AZ171" s="631" t="str">
        <f>IF(K171="","",
IF(AX171="PT",VLOOKUP(K171,Foundation_Calc!$K$4:$R$37,VLOOKUP(AW171,Foundation_Calc!$I$2:$J$8,2,FALSE),0),
IF(AX171="K",VLOOKUP(K171,Foundation_Calc!$K$41:$R$74,VLOOKUP(AW171,Foundation_Calc!$I$2:$J$8,2,FALSE),0),"")))</f>
        <v/>
      </c>
      <c r="BA171" s="632" t="str">
        <f t="shared" si="12"/>
        <v/>
      </c>
      <c r="BB171" s="632" t="str">
        <f t="shared" si="13"/>
        <v/>
      </c>
      <c r="BC171" s="632" t="str">
        <f t="shared" si="14"/>
        <v/>
      </c>
      <c r="BD171" s="633" t="str">
        <f>IF(AND(L171="",H171=""),"",
IF(H171="",Pole_Calc!A175,
IF(H171="MP",Pole_Calc!A176,
IF(H171="AnMP",Pole_Calc!A177,
IF(H171="A",Pole_Calc!A178,
IF(H171="S/A",Pole_Calc!A179,
IF(H171="A/S",Pole_Calc!A180,"Poner a mano")))))))</f>
        <v/>
      </c>
      <c r="BE171" s="448" t="s">
        <v>1726</v>
      </c>
      <c r="BF171" s="635"/>
      <c r="BG171" s="635"/>
      <c r="BH171" s="634"/>
      <c r="BI171" s="635"/>
    </row>
    <row r="172" spans="1:61" ht="16.2" customHeight="1">
      <c r="A172" s="12"/>
      <c r="B172" s="446"/>
      <c r="C172" s="89"/>
      <c r="D172" s="13"/>
      <c r="E172" s="14"/>
      <c r="F172" s="14"/>
      <c r="G172" s="15"/>
      <c r="H172" s="8"/>
      <c r="I172" s="8"/>
      <c r="J172" s="89"/>
      <c r="K172" s="8"/>
      <c r="L172" s="8"/>
      <c r="M172" s="8" t="str">
        <f>IF(L172="","",
IF(AX172="PT",VLOOKUP(L172,Foundation_Calc!$V$4:$X$37,VLOOKUP(AX172,Foundation_Calc!$I$10:$J$13,2,FALSE),0),
IF(AX172="K",VLOOKUP(L172,Foundation_Calc!$V$41:$X$74,VLOOKUP(AX172,Foundation_Calc!$I$10:$J$13,2,FALSE),0),"")))</f>
        <v/>
      </c>
      <c r="N172" s="8"/>
      <c r="O172" s="8"/>
      <c r="P172" s="8"/>
      <c r="Q172" s="14"/>
      <c r="R172" s="15"/>
      <c r="S172" s="15"/>
      <c r="T172" s="14"/>
      <c r="U172" s="14"/>
      <c r="V172" s="14"/>
      <c r="W172" s="18"/>
      <c r="X172" s="18"/>
      <c r="Y172" s="18"/>
      <c r="Z172" s="18"/>
      <c r="AA172" s="18"/>
      <c r="AB172" s="18"/>
      <c r="AC172" s="8" t="str">
        <f t="shared" si="11"/>
        <v/>
      </c>
      <c r="AD172" s="8"/>
      <c r="AE172" s="8"/>
      <c r="AF172" s="14"/>
      <c r="AG172" s="13"/>
      <c r="AH172" s="14"/>
      <c r="AI172" s="14"/>
      <c r="AJ172" s="8"/>
      <c r="AK172" s="8"/>
      <c r="AL172" s="8"/>
      <c r="AM172" s="8"/>
      <c r="AN172" s="631"/>
      <c r="AO172" s="18"/>
      <c r="AP172" s="18"/>
      <c r="AQ172" s="18"/>
      <c r="AR172" s="18"/>
      <c r="AS172" s="18"/>
      <c r="AU172" s="448"/>
      <c r="AV172" s="448"/>
      <c r="AW172" s="8" t="str">
        <f>IF(C172&gt;0,VLOOKUP(C172,Foundation_Calc!$A$2:$C$986,3,1),
IF(J172&gt;0,VLOOKUP(J172,Foundation_Calc!$A$2:$C$986,3,1),""))</f>
        <v/>
      </c>
      <c r="AX172" s="8" t="str">
        <f>IF(C172&gt;0,VLOOKUP(C172,Foundation_Calc!$E$2:$G$986,3,1),
IF(J172&gt;0,VLOOKUP(J172,Foundation_Calc!$E$2:$G$986,3,1),""))</f>
        <v/>
      </c>
      <c r="AY172" s="631" t="str">
        <f>IF(L172="","",
IF(AX172="PT",VLOOKUP(L172,Foundation_Calc!$K$4:$R$37,VLOOKUP(AW172,Foundation_Calc!$I$2:$J$8,2,FALSE),0),
IF(AX172="K",VLOOKUP(L172,Foundation_Calc!$K$41:$R$74,VLOOKUP(AW172,Foundation_Calc!$I$2:$J$8,2,FALSE),0),"")))</f>
        <v/>
      </c>
      <c r="AZ172" s="631" t="str">
        <f>IF(K172="","",
IF(AX172="PT",VLOOKUP(K172,Foundation_Calc!$K$4:$R$37,VLOOKUP(AW172,Foundation_Calc!$I$2:$J$8,2,FALSE),0),
IF(AX172="K",VLOOKUP(K172,Foundation_Calc!$K$41:$R$74,VLOOKUP(AW172,Foundation_Calc!$I$2:$J$8,2,FALSE),0),"")))</f>
        <v/>
      </c>
      <c r="BA172" s="632" t="str">
        <f t="shared" si="12"/>
        <v/>
      </c>
      <c r="BB172" s="632" t="str">
        <f t="shared" si="13"/>
        <v/>
      </c>
      <c r="BC172" s="632" t="str">
        <f t="shared" si="14"/>
        <v/>
      </c>
      <c r="BD172" s="633" t="str">
        <f>IF(AND(L172="",H172=""),"",
IF(H172="",Pole_Calc!A176,
IF(H172="MP",Pole_Calc!A177,
IF(H172="AnMP",Pole_Calc!A178,
IF(H172="A",Pole_Calc!A179,
IF(H172="S/A",Pole_Calc!A180,
IF(H172="A/S",Pole_Calc!A181,"Poner a mano")))))))</f>
        <v/>
      </c>
      <c r="BE172" s="448" t="s">
        <v>1726</v>
      </c>
      <c r="BF172" s="634"/>
      <c r="BG172" s="634"/>
      <c r="BH172" s="634"/>
      <c r="BI172" s="634"/>
    </row>
    <row r="173" spans="1:61" ht="16.2" customHeight="1">
      <c r="A173" s="12"/>
      <c r="B173" s="446"/>
      <c r="C173" s="89"/>
      <c r="D173" s="13"/>
      <c r="E173" s="14"/>
      <c r="F173" s="14"/>
      <c r="G173" s="15"/>
      <c r="H173" s="8"/>
      <c r="I173" s="8"/>
      <c r="J173" s="89"/>
      <c r="K173" s="8"/>
      <c r="L173" s="8"/>
      <c r="M173" s="8" t="str">
        <f>IF(L173="","",
IF(AX173="PT",VLOOKUP(L173,Foundation_Calc!$V$4:$X$37,VLOOKUP(AX173,Foundation_Calc!$I$10:$J$13,2,FALSE),0),
IF(AX173="K",VLOOKUP(L173,Foundation_Calc!$V$41:$X$74,VLOOKUP(AX173,Foundation_Calc!$I$10:$J$13,2,FALSE),0),"")))</f>
        <v/>
      </c>
      <c r="N173" s="8"/>
      <c r="O173" s="8"/>
      <c r="P173" s="8"/>
      <c r="Q173" s="14"/>
      <c r="R173" s="15"/>
      <c r="S173" s="15"/>
      <c r="T173" s="14"/>
      <c r="U173" s="14"/>
      <c r="V173" s="14"/>
      <c r="W173" s="18"/>
      <c r="X173" s="18"/>
      <c r="Y173" s="18"/>
      <c r="Z173" s="18"/>
      <c r="AA173" s="18"/>
      <c r="AB173" s="18"/>
      <c r="AC173" s="8" t="str">
        <f t="shared" si="11"/>
        <v/>
      </c>
      <c r="AD173" s="8"/>
      <c r="AE173" s="8"/>
      <c r="AF173" s="14"/>
      <c r="AG173" s="13"/>
      <c r="AH173" s="14"/>
      <c r="AI173" s="14"/>
      <c r="AJ173" s="8"/>
      <c r="AK173" s="8"/>
      <c r="AL173" s="8"/>
      <c r="AM173" s="8"/>
      <c r="AN173" s="631"/>
      <c r="AO173" s="18"/>
      <c r="AP173" s="18"/>
      <c r="AQ173" s="18"/>
      <c r="AR173" s="18"/>
      <c r="AS173" s="18"/>
      <c r="AU173" s="448"/>
      <c r="AV173" s="448"/>
      <c r="AW173" s="8" t="str">
        <f>IF(C173&gt;0,VLOOKUP(C173,Foundation_Calc!$A$2:$C$986,3,1),
IF(J173&gt;0,VLOOKUP(J173,Foundation_Calc!$A$2:$C$986,3,1),""))</f>
        <v/>
      </c>
      <c r="AX173" s="8" t="str">
        <f>IF(C173&gt;0,VLOOKUP(C173,Foundation_Calc!$E$2:$G$986,3,1),
IF(J173&gt;0,VLOOKUP(J173,Foundation_Calc!$E$2:$G$986,3,1),""))</f>
        <v/>
      </c>
      <c r="AY173" s="631" t="str">
        <f>IF(L173="","",
IF(AX173="PT",VLOOKUP(L173,Foundation_Calc!$K$4:$R$37,VLOOKUP(AW173,Foundation_Calc!$I$2:$J$8,2,FALSE),0),
IF(AX173="K",VLOOKUP(L173,Foundation_Calc!$K$41:$R$74,VLOOKUP(AW173,Foundation_Calc!$I$2:$J$8,2,FALSE),0),"")))</f>
        <v/>
      </c>
      <c r="AZ173" s="631" t="str">
        <f>IF(K173="","",
IF(AX173="PT",VLOOKUP(K173,Foundation_Calc!$K$4:$R$37,VLOOKUP(AW173,Foundation_Calc!$I$2:$J$8,2,FALSE),0),
IF(AX173="K",VLOOKUP(K173,Foundation_Calc!$K$41:$R$74,VLOOKUP(AW173,Foundation_Calc!$I$2:$J$8,2,FALSE),0),"")))</f>
        <v/>
      </c>
      <c r="BA173" s="632" t="str">
        <f t="shared" si="12"/>
        <v/>
      </c>
      <c r="BB173" s="632" t="str">
        <f t="shared" si="13"/>
        <v/>
      </c>
      <c r="BC173" s="632" t="str">
        <f t="shared" si="14"/>
        <v/>
      </c>
      <c r="BD173" s="633" t="str">
        <f>IF(AND(L173="",H173=""),"",
IF(H173="",Pole_Calc!A177,
IF(H173="MP",Pole_Calc!A178,
IF(H173="AnMP",Pole_Calc!A179,
IF(H173="A",Pole_Calc!A180,
IF(H173="S/A",Pole_Calc!A181,
IF(H173="A/S",Pole_Calc!A182,"Poner a mano")))))))</f>
        <v/>
      </c>
      <c r="BE173" s="448" t="s">
        <v>1726</v>
      </c>
      <c r="BF173" s="635"/>
      <c r="BG173" s="635"/>
      <c r="BH173" s="634"/>
      <c r="BI173" s="635"/>
    </row>
    <row r="174" spans="1:61" ht="16.2" customHeight="1">
      <c r="A174" s="12"/>
      <c r="B174" s="446"/>
      <c r="C174" s="89"/>
      <c r="D174" s="13"/>
      <c r="E174" s="14"/>
      <c r="F174" s="14"/>
      <c r="G174" s="15"/>
      <c r="H174" s="8"/>
      <c r="I174" s="8"/>
      <c r="J174" s="89"/>
      <c r="K174" s="8"/>
      <c r="L174" s="8"/>
      <c r="M174" s="8" t="str">
        <f>IF(L174="","",
IF(AX174="PT",VLOOKUP(L174,Foundation_Calc!$V$4:$X$37,VLOOKUP(AX174,Foundation_Calc!$I$10:$J$13,2,FALSE),0),
IF(AX174="K",VLOOKUP(L174,Foundation_Calc!$V$41:$X$74,VLOOKUP(AX174,Foundation_Calc!$I$10:$J$13,2,FALSE),0),"")))</f>
        <v/>
      </c>
      <c r="N174" s="8"/>
      <c r="O174" s="8"/>
      <c r="P174" s="8"/>
      <c r="Q174" s="14"/>
      <c r="R174" s="15"/>
      <c r="S174" s="15"/>
      <c r="T174" s="14"/>
      <c r="U174" s="14"/>
      <c r="V174" s="14"/>
      <c r="W174" s="18"/>
      <c r="X174" s="18"/>
      <c r="Y174" s="18"/>
      <c r="Z174" s="18"/>
      <c r="AA174" s="18"/>
      <c r="AB174" s="18"/>
      <c r="AC174" s="8" t="str">
        <f t="shared" si="11"/>
        <v/>
      </c>
      <c r="AD174" s="8"/>
      <c r="AE174" s="8"/>
      <c r="AF174" s="14"/>
      <c r="AG174" s="13"/>
      <c r="AH174" s="14"/>
      <c r="AI174" s="14"/>
      <c r="AJ174" s="8"/>
      <c r="AK174" s="8"/>
      <c r="AL174" s="8"/>
      <c r="AM174" s="8"/>
      <c r="AN174" s="631"/>
      <c r="AO174" s="18"/>
      <c r="AP174" s="18"/>
      <c r="AQ174" s="18"/>
      <c r="AR174" s="18"/>
      <c r="AS174" s="18"/>
      <c r="AU174" s="448"/>
      <c r="AV174" s="448"/>
      <c r="AW174" s="8" t="str">
        <f>IF(C174&gt;0,VLOOKUP(C174,Foundation_Calc!$A$2:$C$986,3,1),
IF(J174&gt;0,VLOOKUP(J174,Foundation_Calc!$A$2:$C$986,3,1),""))</f>
        <v/>
      </c>
      <c r="AX174" s="8" t="str">
        <f>IF(C174&gt;0,VLOOKUP(C174,Foundation_Calc!$E$2:$G$986,3,1),
IF(J174&gt;0,VLOOKUP(J174,Foundation_Calc!$E$2:$G$986,3,1),""))</f>
        <v/>
      </c>
      <c r="AY174" s="631" t="str">
        <f>IF(L174="","",
IF(AX174="PT",VLOOKUP(L174,Foundation_Calc!$K$4:$R$37,VLOOKUP(AW174,Foundation_Calc!$I$2:$J$8,2,FALSE),0),
IF(AX174="K",VLOOKUP(L174,Foundation_Calc!$K$41:$R$74,VLOOKUP(AW174,Foundation_Calc!$I$2:$J$8,2,FALSE),0),"")))</f>
        <v/>
      </c>
      <c r="AZ174" s="631" t="str">
        <f>IF(K174="","",
IF(AX174="PT",VLOOKUP(K174,Foundation_Calc!$K$4:$R$37,VLOOKUP(AW174,Foundation_Calc!$I$2:$J$8,2,FALSE),0),
IF(AX174="K",VLOOKUP(K174,Foundation_Calc!$K$41:$R$74,VLOOKUP(AW174,Foundation_Calc!$I$2:$J$8,2,FALSE),0),"")))</f>
        <v/>
      </c>
      <c r="BA174" s="632" t="str">
        <f t="shared" si="12"/>
        <v/>
      </c>
      <c r="BB174" s="632" t="str">
        <f t="shared" si="13"/>
        <v/>
      </c>
      <c r="BC174" s="632" t="str">
        <f t="shared" si="14"/>
        <v/>
      </c>
      <c r="BD174" s="633" t="str">
        <f>IF(AND(L174="",H174=""),"",
IF(H174="",Pole_Calc!A178,
IF(H174="MP",Pole_Calc!A179,
IF(H174="AnMP",Pole_Calc!A180,
IF(H174="A",Pole_Calc!A181,
IF(H174="S/A",Pole_Calc!A182,
IF(H174="A/S",Pole_Calc!A183,"Poner a mano")))))))</f>
        <v/>
      </c>
      <c r="BE174" s="448" t="s">
        <v>1726</v>
      </c>
      <c r="BF174" s="634"/>
      <c r="BG174" s="634"/>
      <c r="BH174" s="634"/>
      <c r="BI174" s="634"/>
    </row>
    <row r="175" spans="1:61" ht="16.2" customHeight="1">
      <c r="A175" s="12"/>
      <c r="B175" s="446"/>
      <c r="C175" s="89"/>
      <c r="D175" s="13"/>
      <c r="E175" s="14"/>
      <c r="F175" s="14"/>
      <c r="G175" s="15"/>
      <c r="H175" s="8"/>
      <c r="I175" s="8"/>
      <c r="J175" s="89"/>
      <c r="K175" s="8"/>
      <c r="L175" s="8"/>
      <c r="M175" s="8" t="str">
        <f>IF(L175="","",
IF(AX175="PT",VLOOKUP(L175,Foundation_Calc!$V$4:$X$37,VLOOKUP(AX175,Foundation_Calc!$I$10:$J$13,2,FALSE),0),
IF(AX175="K",VLOOKUP(L175,Foundation_Calc!$V$41:$X$74,VLOOKUP(AX175,Foundation_Calc!$I$10:$J$13,2,FALSE),0),"")))</f>
        <v/>
      </c>
      <c r="N175" s="8"/>
      <c r="O175" s="8"/>
      <c r="P175" s="8"/>
      <c r="Q175" s="14"/>
      <c r="R175" s="15"/>
      <c r="S175" s="15"/>
      <c r="T175" s="14"/>
      <c r="U175" s="14"/>
      <c r="V175" s="14"/>
      <c r="W175" s="18"/>
      <c r="X175" s="18"/>
      <c r="Y175" s="18"/>
      <c r="Z175" s="18"/>
      <c r="AA175" s="18"/>
      <c r="AB175" s="18"/>
      <c r="AC175" s="8" t="str">
        <f t="shared" si="11"/>
        <v/>
      </c>
      <c r="AD175" s="8"/>
      <c r="AE175" s="8"/>
      <c r="AF175" s="14"/>
      <c r="AG175" s="13"/>
      <c r="AH175" s="14"/>
      <c r="AI175" s="14"/>
      <c r="AJ175" s="8"/>
      <c r="AK175" s="8"/>
      <c r="AL175" s="8"/>
      <c r="AM175" s="8"/>
      <c r="AN175" s="631"/>
      <c r="AO175" s="18"/>
      <c r="AP175" s="18"/>
      <c r="AQ175" s="18"/>
      <c r="AR175" s="18"/>
      <c r="AS175" s="18"/>
      <c r="AU175" s="448"/>
      <c r="AV175" s="448"/>
      <c r="AW175" s="8" t="str">
        <f>IF(C175&gt;0,VLOOKUP(C175,Foundation_Calc!$A$2:$C$986,3,1),
IF(J175&gt;0,VLOOKUP(J175,Foundation_Calc!$A$2:$C$986,3,1),""))</f>
        <v/>
      </c>
      <c r="AX175" s="8" t="str">
        <f>IF(C175&gt;0,VLOOKUP(C175,Foundation_Calc!$E$2:$G$986,3,1),
IF(J175&gt;0,VLOOKUP(J175,Foundation_Calc!$E$2:$G$986,3,1),""))</f>
        <v/>
      </c>
      <c r="AY175" s="631" t="str">
        <f>IF(L175="","",
IF(AX175="PT",VLOOKUP(L175,Foundation_Calc!$K$4:$R$37,VLOOKUP(AW175,Foundation_Calc!$I$2:$J$8,2,FALSE),0),
IF(AX175="K",VLOOKUP(L175,Foundation_Calc!$K$41:$R$74,VLOOKUP(AW175,Foundation_Calc!$I$2:$J$8,2,FALSE),0),"")))</f>
        <v/>
      </c>
      <c r="AZ175" s="631" t="str">
        <f>IF(K175="","",
IF(AX175="PT",VLOOKUP(K175,Foundation_Calc!$K$4:$R$37,VLOOKUP(AW175,Foundation_Calc!$I$2:$J$8,2,FALSE),0),
IF(AX175="K",VLOOKUP(K175,Foundation_Calc!$K$41:$R$74,VLOOKUP(AW175,Foundation_Calc!$I$2:$J$8,2,FALSE),0),"")))</f>
        <v/>
      </c>
      <c r="BA175" s="632" t="str">
        <f t="shared" si="12"/>
        <v/>
      </c>
      <c r="BB175" s="632" t="str">
        <f t="shared" si="13"/>
        <v/>
      </c>
      <c r="BC175" s="632" t="str">
        <f t="shared" si="14"/>
        <v/>
      </c>
      <c r="BD175" s="633" t="str">
        <f>IF(AND(L175="",H175=""),"",
IF(H175="",Pole_Calc!A179,
IF(H175="MP",Pole_Calc!A180,
IF(H175="AnMP",Pole_Calc!A181,
IF(H175="A",Pole_Calc!A182,
IF(H175="S/A",Pole_Calc!A183,
IF(H175="A/S",Pole_Calc!A184,"Poner a mano")))))))</f>
        <v/>
      </c>
      <c r="BE175" s="448" t="s">
        <v>1726</v>
      </c>
      <c r="BF175" s="635"/>
      <c r="BG175" s="635"/>
      <c r="BH175" s="634"/>
      <c r="BI175" s="635"/>
    </row>
    <row r="176" spans="1:61" ht="16.2" customHeight="1">
      <c r="A176" s="12"/>
      <c r="B176" s="446"/>
      <c r="C176" s="89"/>
      <c r="D176" s="13"/>
      <c r="E176" s="14"/>
      <c r="F176" s="14"/>
      <c r="G176" s="15"/>
      <c r="H176" s="8"/>
      <c r="I176" s="8"/>
      <c r="J176" s="89"/>
      <c r="K176" s="8"/>
      <c r="L176" s="8"/>
      <c r="M176" s="8" t="str">
        <f>IF(L176="","",
IF(AX176="PT",VLOOKUP(L176,Foundation_Calc!$V$4:$X$37,VLOOKUP(AX176,Foundation_Calc!$I$10:$J$13,2,FALSE),0),
IF(AX176="K",VLOOKUP(L176,Foundation_Calc!$V$41:$X$74,VLOOKUP(AX176,Foundation_Calc!$I$10:$J$13,2,FALSE),0),"")))</f>
        <v/>
      </c>
      <c r="N176" s="8"/>
      <c r="O176" s="8"/>
      <c r="P176" s="8"/>
      <c r="Q176" s="14"/>
      <c r="R176" s="15"/>
      <c r="S176" s="15"/>
      <c r="T176" s="14"/>
      <c r="U176" s="14"/>
      <c r="V176" s="14"/>
      <c r="W176" s="18"/>
      <c r="X176" s="18"/>
      <c r="Y176" s="18"/>
      <c r="Z176" s="18"/>
      <c r="AA176" s="18"/>
      <c r="AB176" s="18"/>
      <c r="AC176" s="8" t="str">
        <f t="shared" si="11"/>
        <v/>
      </c>
      <c r="AD176" s="8"/>
      <c r="AE176" s="8"/>
      <c r="AF176" s="14"/>
      <c r="AG176" s="13"/>
      <c r="AH176" s="14"/>
      <c r="AI176" s="14"/>
      <c r="AJ176" s="8"/>
      <c r="AK176" s="8"/>
      <c r="AL176" s="8"/>
      <c r="AM176" s="8"/>
      <c r="AN176" s="631"/>
      <c r="AO176" s="18"/>
      <c r="AP176" s="18"/>
      <c r="AQ176" s="18"/>
      <c r="AR176" s="18"/>
      <c r="AS176" s="18"/>
      <c r="AU176" s="448"/>
      <c r="AV176" s="448"/>
      <c r="AW176" s="8" t="str">
        <f>IF(C176&gt;0,VLOOKUP(C176,Foundation_Calc!$A$2:$C$986,3,1),
IF(J176&gt;0,VLOOKUP(J176,Foundation_Calc!$A$2:$C$986,3,1),""))</f>
        <v/>
      </c>
      <c r="AX176" s="8" t="str">
        <f>IF(C176&gt;0,VLOOKUP(C176,Foundation_Calc!$E$2:$G$986,3,1),
IF(J176&gt;0,VLOOKUP(J176,Foundation_Calc!$E$2:$G$986,3,1),""))</f>
        <v/>
      </c>
      <c r="AY176" s="631" t="str">
        <f>IF(L176="","",
IF(AX176="PT",VLOOKUP(L176,Foundation_Calc!$K$4:$R$37,VLOOKUP(AW176,Foundation_Calc!$I$2:$J$8,2,FALSE),0),
IF(AX176="K",VLOOKUP(L176,Foundation_Calc!$K$41:$R$74,VLOOKUP(AW176,Foundation_Calc!$I$2:$J$8,2,FALSE),0),"")))</f>
        <v/>
      </c>
      <c r="AZ176" s="631" t="str">
        <f>IF(K176="","",
IF(AX176="PT",VLOOKUP(K176,Foundation_Calc!$K$4:$R$37,VLOOKUP(AW176,Foundation_Calc!$I$2:$J$8,2,FALSE),0),
IF(AX176="K",VLOOKUP(K176,Foundation_Calc!$K$41:$R$74,VLOOKUP(AW176,Foundation_Calc!$I$2:$J$8,2,FALSE),0),"")))</f>
        <v/>
      </c>
      <c r="BA176" s="632" t="str">
        <f t="shared" si="12"/>
        <v/>
      </c>
      <c r="BB176" s="632" t="str">
        <f t="shared" si="13"/>
        <v/>
      </c>
      <c r="BC176" s="632" t="str">
        <f t="shared" si="14"/>
        <v/>
      </c>
      <c r="BD176" s="633" t="str">
        <f>IF(AND(L176="",H176=""),"",
IF(H176="",Pole_Calc!A180,
IF(H176="MP",Pole_Calc!A181,
IF(H176="AnMP",Pole_Calc!A182,
IF(H176="A",Pole_Calc!A183,
IF(H176="S/A",Pole_Calc!A184,
IF(H176="A/S",Pole_Calc!A185,"Poner a mano")))))))</f>
        <v/>
      </c>
      <c r="BE176" s="448" t="s">
        <v>1726</v>
      </c>
      <c r="BF176" s="634"/>
      <c r="BG176" s="634"/>
      <c r="BH176" s="634"/>
      <c r="BI176" s="634"/>
    </row>
    <row r="177" spans="1:61" ht="16.2" customHeight="1">
      <c r="A177" s="12"/>
      <c r="B177" s="446"/>
      <c r="C177" s="89"/>
      <c r="D177" s="13"/>
      <c r="E177" s="14"/>
      <c r="F177" s="14"/>
      <c r="G177" s="15"/>
      <c r="H177" s="8"/>
      <c r="I177" s="8"/>
      <c r="J177" s="89"/>
      <c r="K177" s="8"/>
      <c r="L177" s="8"/>
      <c r="M177" s="8" t="str">
        <f>IF(L177="","",
IF(AX177="PT",VLOOKUP(L177,Foundation_Calc!$V$4:$X$37,VLOOKUP(AX177,Foundation_Calc!$I$10:$J$13,2,FALSE),0),
IF(AX177="K",VLOOKUP(L177,Foundation_Calc!$V$41:$X$74,VLOOKUP(AX177,Foundation_Calc!$I$10:$J$13,2,FALSE),0),"")))</f>
        <v/>
      </c>
      <c r="N177" s="8"/>
      <c r="O177" s="8"/>
      <c r="P177" s="8"/>
      <c r="Q177" s="14"/>
      <c r="R177" s="15"/>
      <c r="S177" s="15"/>
      <c r="T177" s="14"/>
      <c r="U177" s="14"/>
      <c r="V177" s="14"/>
      <c r="W177" s="18"/>
      <c r="X177" s="18"/>
      <c r="Y177" s="18"/>
      <c r="Z177" s="18"/>
      <c r="AA177" s="18"/>
      <c r="AB177" s="18"/>
      <c r="AC177" s="8" t="str">
        <f t="shared" si="11"/>
        <v/>
      </c>
      <c r="AD177" s="8"/>
      <c r="AE177" s="8"/>
      <c r="AF177" s="14"/>
      <c r="AG177" s="13"/>
      <c r="AH177" s="14"/>
      <c r="AI177" s="14"/>
      <c r="AJ177" s="8"/>
      <c r="AK177" s="8"/>
      <c r="AL177" s="8"/>
      <c r="AM177" s="8"/>
      <c r="AN177" s="631"/>
      <c r="AO177" s="18"/>
      <c r="AP177" s="18"/>
      <c r="AQ177" s="18"/>
      <c r="AR177" s="18"/>
      <c r="AS177" s="18"/>
      <c r="AU177" s="448"/>
      <c r="AV177" s="448"/>
      <c r="AW177" s="8" t="str">
        <f>IF(C177&gt;0,VLOOKUP(C177,Foundation_Calc!$A$2:$C$986,3,1),
IF(J177&gt;0,VLOOKUP(J177,Foundation_Calc!$A$2:$C$986,3,1),""))</f>
        <v/>
      </c>
      <c r="AX177" s="8" t="str">
        <f>IF(C177&gt;0,VLOOKUP(C177,Foundation_Calc!$E$2:$G$986,3,1),
IF(J177&gt;0,VLOOKUP(J177,Foundation_Calc!$E$2:$G$986,3,1),""))</f>
        <v/>
      </c>
      <c r="AY177" s="631" t="str">
        <f>IF(L177="","",
IF(AX177="PT",VLOOKUP(L177,Foundation_Calc!$K$4:$R$37,VLOOKUP(AW177,Foundation_Calc!$I$2:$J$8,2,FALSE),0),
IF(AX177="K",VLOOKUP(L177,Foundation_Calc!$K$41:$R$74,VLOOKUP(AW177,Foundation_Calc!$I$2:$J$8,2,FALSE),0),"")))</f>
        <v/>
      </c>
      <c r="AZ177" s="631" t="str">
        <f>IF(K177="","",
IF(AX177="PT",VLOOKUP(K177,Foundation_Calc!$K$4:$R$37,VLOOKUP(AW177,Foundation_Calc!$I$2:$J$8,2,FALSE),0),
IF(AX177="K",VLOOKUP(K177,Foundation_Calc!$K$41:$R$74,VLOOKUP(AW177,Foundation_Calc!$I$2:$J$8,2,FALSE),0),"")))</f>
        <v/>
      </c>
      <c r="BA177" s="632" t="str">
        <f t="shared" si="12"/>
        <v/>
      </c>
      <c r="BB177" s="632" t="str">
        <f t="shared" si="13"/>
        <v/>
      </c>
      <c r="BC177" s="632" t="str">
        <f t="shared" si="14"/>
        <v/>
      </c>
      <c r="BD177" s="633" t="str">
        <f>IF(AND(L177="",H177=""),"",
IF(H177="",Pole_Calc!A181,
IF(H177="MP",Pole_Calc!A182,
IF(H177="AnMP",Pole_Calc!A183,
IF(H177="A",Pole_Calc!A184,
IF(H177="S/A",Pole_Calc!A185,
IF(H177="A/S",Pole_Calc!A186,"Poner a mano")))))))</f>
        <v/>
      </c>
      <c r="BE177" s="448" t="s">
        <v>1726</v>
      </c>
      <c r="BF177" s="635"/>
      <c r="BG177" s="635"/>
      <c r="BH177" s="634"/>
      <c r="BI177" s="635"/>
    </row>
    <row r="178" spans="1:61" ht="16.2" customHeight="1">
      <c r="A178" s="12"/>
      <c r="B178" s="446"/>
      <c r="C178" s="89"/>
      <c r="D178" s="13"/>
      <c r="E178" s="14"/>
      <c r="F178" s="14"/>
      <c r="G178" s="15"/>
      <c r="H178" s="8"/>
      <c r="I178" s="8"/>
      <c r="J178" s="89"/>
      <c r="K178" s="8"/>
      <c r="L178" s="8"/>
      <c r="M178" s="8" t="str">
        <f>IF(L178="","",
IF(AX178="PT",VLOOKUP(L178,Foundation_Calc!$V$4:$X$37,VLOOKUP(AX178,Foundation_Calc!$I$10:$J$13,2,FALSE),0),
IF(AX178="K",VLOOKUP(L178,Foundation_Calc!$V$41:$X$74,VLOOKUP(AX178,Foundation_Calc!$I$10:$J$13,2,FALSE),0),"")))</f>
        <v/>
      </c>
      <c r="N178" s="8"/>
      <c r="O178" s="8"/>
      <c r="P178" s="8"/>
      <c r="Q178" s="14"/>
      <c r="R178" s="15"/>
      <c r="S178" s="15"/>
      <c r="T178" s="14"/>
      <c r="U178" s="14"/>
      <c r="V178" s="14"/>
      <c r="W178" s="18"/>
      <c r="X178" s="18"/>
      <c r="Y178" s="18"/>
      <c r="Z178" s="18"/>
      <c r="AA178" s="18"/>
      <c r="AB178" s="18"/>
      <c r="AC178" s="8" t="str">
        <f t="shared" si="11"/>
        <v/>
      </c>
      <c r="AD178" s="8"/>
      <c r="AE178" s="8"/>
      <c r="AF178" s="14"/>
      <c r="AG178" s="13"/>
      <c r="AH178" s="14"/>
      <c r="AI178" s="14"/>
      <c r="AJ178" s="8"/>
      <c r="AK178" s="8"/>
      <c r="AL178" s="8"/>
      <c r="AM178" s="8"/>
      <c r="AN178" s="631"/>
      <c r="AO178" s="18"/>
      <c r="AP178" s="18"/>
      <c r="AQ178" s="18"/>
      <c r="AR178" s="18"/>
      <c r="AS178" s="18"/>
      <c r="AU178" s="448"/>
      <c r="AV178" s="448"/>
      <c r="AW178" s="8" t="str">
        <f>IF(C178&gt;0,VLOOKUP(C178,Foundation_Calc!$A$2:$C$986,3,1),
IF(J178&gt;0,VLOOKUP(J178,Foundation_Calc!$A$2:$C$986,3,1),""))</f>
        <v/>
      </c>
      <c r="AX178" s="8" t="str">
        <f>IF(C178&gt;0,VLOOKUP(C178,Foundation_Calc!$E$2:$G$986,3,1),
IF(J178&gt;0,VLOOKUP(J178,Foundation_Calc!$E$2:$G$986,3,1),""))</f>
        <v/>
      </c>
      <c r="AY178" s="631" t="str">
        <f>IF(L178="","",
IF(AX178="PT",VLOOKUP(L178,Foundation_Calc!$K$4:$R$37,VLOOKUP(AW178,Foundation_Calc!$I$2:$J$8,2,FALSE),0),
IF(AX178="K",VLOOKUP(L178,Foundation_Calc!$K$41:$R$74,VLOOKUP(AW178,Foundation_Calc!$I$2:$J$8,2,FALSE),0),"")))</f>
        <v/>
      </c>
      <c r="AZ178" s="631" t="str">
        <f>IF(K178="","",
IF(AX178="PT",VLOOKUP(K178,Foundation_Calc!$K$4:$R$37,VLOOKUP(AW178,Foundation_Calc!$I$2:$J$8,2,FALSE),0),
IF(AX178="K",VLOOKUP(K178,Foundation_Calc!$K$41:$R$74,VLOOKUP(AW178,Foundation_Calc!$I$2:$J$8,2,FALSE),0),"")))</f>
        <v/>
      </c>
      <c r="BA178" s="632" t="str">
        <f t="shared" si="12"/>
        <v/>
      </c>
      <c r="BB178" s="632" t="str">
        <f t="shared" si="13"/>
        <v/>
      </c>
      <c r="BC178" s="632" t="str">
        <f t="shared" si="14"/>
        <v/>
      </c>
      <c r="BD178" s="633" t="str">
        <f>IF(AND(L178="",H178=""),"",
IF(H178="",Pole_Calc!A182,
IF(H178="MP",Pole_Calc!A183,
IF(H178="AnMP",Pole_Calc!A184,
IF(H178="A",Pole_Calc!A185,
IF(H178="S/A",Pole_Calc!A186,
IF(H178="A/S",Pole_Calc!A187,"Poner a mano")))))))</f>
        <v/>
      </c>
      <c r="BE178" s="448" t="s">
        <v>1726</v>
      </c>
      <c r="BF178" s="634"/>
      <c r="BG178" s="634"/>
      <c r="BH178" s="634"/>
      <c r="BI178" s="634"/>
    </row>
    <row r="179" spans="1:61" ht="16.2" customHeight="1">
      <c r="A179" s="12"/>
      <c r="B179" s="446"/>
      <c r="C179" s="89"/>
      <c r="D179" s="13"/>
      <c r="E179" s="14"/>
      <c r="F179" s="14"/>
      <c r="G179" s="15"/>
      <c r="H179" s="8"/>
      <c r="I179" s="8"/>
      <c r="J179" s="89"/>
      <c r="K179" s="8"/>
      <c r="L179" s="8"/>
      <c r="M179" s="8" t="str">
        <f>IF(L179="","",
IF(AX179="PT",VLOOKUP(L179,Foundation_Calc!$V$4:$X$37,VLOOKUP(AX179,Foundation_Calc!$I$10:$J$13,2,FALSE),0),
IF(AX179="K",VLOOKUP(L179,Foundation_Calc!$V$41:$X$74,VLOOKUP(AX179,Foundation_Calc!$I$10:$J$13,2,FALSE),0),"")))</f>
        <v/>
      </c>
      <c r="N179" s="8"/>
      <c r="O179" s="8"/>
      <c r="P179" s="8"/>
      <c r="Q179" s="14"/>
      <c r="R179" s="15"/>
      <c r="S179" s="15"/>
      <c r="T179" s="14"/>
      <c r="U179" s="14"/>
      <c r="V179" s="14"/>
      <c r="W179" s="18"/>
      <c r="X179" s="18"/>
      <c r="Y179" s="18"/>
      <c r="Z179" s="18"/>
      <c r="AA179" s="18"/>
      <c r="AB179" s="18"/>
      <c r="AC179" s="8" t="str">
        <f t="shared" si="11"/>
        <v/>
      </c>
      <c r="AD179" s="8"/>
      <c r="AE179" s="8"/>
      <c r="AF179" s="14"/>
      <c r="AG179" s="13"/>
      <c r="AH179" s="14"/>
      <c r="AI179" s="14"/>
      <c r="AJ179" s="8"/>
      <c r="AK179" s="8"/>
      <c r="AL179" s="8"/>
      <c r="AM179" s="8"/>
      <c r="AN179" s="631"/>
      <c r="AO179" s="18"/>
      <c r="AP179" s="18"/>
      <c r="AQ179" s="18"/>
      <c r="AR179" s="18"/>
      <c r="AS179" s="18"/>
      <c r="AU179" s="448"/>
      <c r="AV179" s="448"/>
      <c r="AW179" s="8" t="str">
        <f>IF(C179&gt;0,VLOOKUP(C179,Foundation_Calc!$A$2:$C$986,3,1),
IF(J179&gt;0,VLOOKUP(J179,Foundation_Calc!$A$2:$C$986,3,1),""))</f>
        <v/>
      </c>
      <c r="AX179" s="8" t="str">
        <f>IF(C179&gt;0,VLOOKUP(C179,Foundation_Calc!$E$2:$G$986,3,1),
IF(J179&gt;0,VLOOKUP(J179,Foundation_Calc!$E$2:$G$986,3,1),""))</f>
        <v/>
      </c>
      <c r="AY179" s="631" t="str">
        <f>IF(L179="","",
IF(AX179="PT",VLOOKUP(L179,Foundation_Calc!$K$4:$R$37,VLOOKUP(AW179,Foundation_Calc!$I$2:$J$8,2,FALSE),0),
IF(AX179="K",VLOOKUP(L179,Foundation_Calc!$K$41:$R$74,VLOOKUP(AW179,Foundation_Calc!$I$2:$J$8,2,FALSE),0),"")))</f>
        <v/>
      </c>
      <c r="AZ179" s="631" t="str">
        <f>IF(K179="","",
IF(AX179="PT",VLOOKUP(K179,Foundation_Calc!$K$4:$R$37,VLOOKUP(AW179,Foundation_Calc!$I$2:$J$8,2,FALSE),0),
IF(AX179="K",VLOOKUP(K179,Foundation_Calc!$K$41:$R$74,VLOOKUP(AW179,Foundation_Calc!$I$2:$J$8,2,FALSE),0),"")))</f>
        <v/>
      </c>
      <c r="BA179" s="632" t="str">
        <f t="shared" si="12"/>
        <v/>
      </c>
      <c r="BB179" s="632" t="str">
        <f t="shared" si="13"/>
        <v/>
      </c>
      <c r="BC179" s="632" t="str">
        <f t="shared" si="14"/>
        <v/>
      </c>
      <c r="BD179" s="633" t="str">
        <f>IF(AND(L179="",H179=""),"",
IF(H179="",Pole_Calc!A183,
IF(H179="MP",Pole_Calc!A184,
IF(H179="AnMP",Pole_Calc!A185,
IF(H179="A",Pole_Calc!A186,
IF(H179="S/A",Pole_Calc!A187,
IF(H179="A/S",Pole_Calc!A188,"Poner a mano")))))))</f>
        <v/>
      </c>
      <c r="BE179" s="448" t="s">
        <v>1726</v>
      </c>
      <c r="BF179" s="635"/>
      <c r="BG179" s="635"/>
      <c r="BH179" s="634"/>
      <c r="BI179" s="635"/>
    </row>
    <row r="180" spans="1:61" ht="16.2" customHeight="1">
      <c r="A180" s="12"/>
      <c r="B180" s="446"/>
      <c r="C180" s="89"/>
      <c r="D180" s="13"/>
      <c r="E180" s="14"/>
      <c r="F180" s="14"/>
      <c r="G180" s="15"/>
      <c r="H180" s="8"/>
      <c r="I180" s="8"/>
      <c r="J180" s="89"/>
      <c r="K180" s="8"/>
      <c r="L180" s="8"/>
      <c r="M180" s="8" t="str">
        <f>IF(L180="","",
IF(AX180="PT",VLOOKUP(L180,Foundation_Calc!$V$4:$X$37,VLOOKUP(AX180,Foundation_Calc!$I$10:$J$13,2,FALSE),0),
IF(AX180="K",VLOOKUP(L180,Foundation_Calc!$V$41:$X$74,VLOOKUP(AX180,Foundation_Calc!$I$10:$J$13,2,FALSE),0),"")))</f>
        <v/>
      </c>
      <c r="N180" s="8"/>
      <c r="O180" s="8"/>
      <c r="P180" s="8"/>
      <c r="Q180" s="14"/>
      <c r="R180" s="15"/>
      <c r="S180" s="15"/>
      <c r="T180" s="14"/>
      <c r="U180" s="14"/>
      <c r="V180" s="14"/>
      <c r="W180" s="18"/>
      <c r="X180" s="18"/>
      <c r="Y180" s="18"/>
      <c r="Z180" s="18"/>
      <c r="AA180" s="18"/>
      <c r="AB180" s="18"/>
      <c r="AC180" s="8" t="str">
        <f t="shared" si="11"/>
        <v/>
      </c>
      <c r="AD180" s="8"/>
      <c r="AE180" s="8"/>
      <c r="AF180" s="14"/>
      <c r="AG180" s="13"/>
      <c r="AH180" s="14"/>
      <c r="AI180" s="14"/>
      <c r="AJ180" s="8"/>
      <c r="AK180" s="8"/>
      <c r="AL180" s="8"/>
      <c r="AM180" s="8"/>
      <c r="AN180" s="631"/>
      <c r="AO180" s="18"/>
      <c r="AP180" s="18"/>
      <c r="AQ180" s="18"/>
      <c r="AR180" s="18"/>
      <c r="AS180" s="18"/>
      <c r="AU180" s="448"/>
      <c r="AV180" s="448"/>
      <c r="AW180" s="8" t="str">
        <f>IF(C180&gt;0,VLOOKUP(C180,Foundation_Calc!$A$2:$C$986,3,1),
IF(J180&gt;0,VLOOKUP(J180,Foundation_Calc!$A$2:$C$986,3,1),""))</f>
        <v/>
      </c>
      <c r="AX180" s="8" t="str">
        <f>IF(C180&gt;0,VLOOKUP(C180,Foundation_Calc!$E$2:$G$986,3,1),
IF(J180&gt;0,VLOOKUP(J180,Foundation_Calc!$E$2:$G$986,3,1),""))</f>
        <v/>
      </c>
      <c r="AY180" s="631" t="str">
        <f>IF(L180="","",
IF(AX180="PT",VLOOKUP(L180,Foundation_Calc!$K$4:$R$37,VLOOKUP(AW180,Foundation_Calc!$I$2:$J$8,2,FALSE),0),
IF(AX180="K",VLOOKUP(L180,Foundation_Calc!$K$41:$R$74,VLOOKUP(AW180,Foundation_Calc!$I$2:$J$8,2,FALSE),0),"")))</f>
        <v/>
      </c>
      <c r="AZ180" s="631" t="str">
        <f>IF(K180="","",
IF(AX180="PT",VLOOKUP(K180,Foundation_Calc!$K$4:$R$37,VLOOKUP(AW180,Foundation_Calc!$I$2:$J$8,2,FALSE),0),
IF(AX180="K",VLOOKUP(K180,Foundation_Calc!$K$41:$R$74,VLOOKUP(AW180,Foundation_Calc!$I$2:$J$8,2,FALSE),0),"")))</f>
        <v/>
      </c>
      <c r="BA180" s="632" t="str">
        <f t="shared" si="12"/>
        <v/>
      </c>
      <c r="BB180" s="632" t="str">
        <f t="shared" si="13"/>
        <v/>
      </c>
      <c r="BC180" s="632" t="str">
        <f t="shared" si="14"/>
        <v/>
      </c>
      <c r="BD180" s="633" t="str">
        <f>IF(AND(L180="",H180=""),"",
IF(H180="",Pole_Calc!A184,
IF(H180="MP",Pole_Calc!A185,
IF(H180="AnMP",Pole_Calc!A186,
IF(H180="A",Pole_Calc!A187,
IF(H180="S/A",Pole_Calc!A188,
IF(H180="A/S",Pole_Calc!A189,"Poner a mano")))))))</f>
        <v/>
      </c>
      <c r="BE180" s="448" t="s">
        <v>1726</v>
      </c>
      <c r="BF180" s="634"/>
      <c r="BG180" s="634"/>
      <c r="BH180" s="634"/>
      <c r="BI180" s="634"/>
    </row>
    <row r="181" spans="1:61" ht="16.2" customHeight="1">
      <c r="A181" s="12"/>
      <c r="B181" s="446"/>
      <c r="C181" s="89"/>
      <c r="D181" s="13"/>
      <c r="E181" s="14"/>
      <c r="F181" s="14"/>
      <c r="G181" s="15"/>
      <c r="H181" s="8"/>
      <c r="I181" s="8"/>
      <c r="J181" s="89"/>
      <c r="K181" s="8"/>
      <c r="L181" s="8"/>
      <c r="M181" s="8" t="str">
        <f>IF(L181="","",
IF(AX181="PT",VLOOKUP(L181,Foundation_Calc!$V$4:$X$37,VLOOKUP(AX181,Foundation_Calc!$I$10:$J$13,2,FALSE),0),
IF(AX181="K",VLOOKUP(L181,Foundation_Calc!$V$41:$X$74,VLOOKUP(AX181,Foundation_Calc!$I$10:$J$13,2,FALSE),0),"")))</f>
        <v/>
      </c>
      <c r="N181" s="8"/>
      <c r="O181" s="8"/>
      <c r="P181" s="8"/>
      <c r="Q181" s="14"/>
      <c r="R181" s="15"/>
      <c r="S181" s="15"/>
      <c r="T181" s="14"/>
      <c r="U181" s="14"/>
      <c r="V181" s="14"/>
      <c r="W181" s="18"/>
      <c r="X181" s="18"/>
      <c r="Y181" s="18"/>
      <c r="Z181" s="18"/>
      <c r="AA181" s="18"/>
      <c r="AB181" s="18"/>
      <c r="AC181" s="8" t="str">
        <f t="shared" si="11"/>
        <v/>
      </c>
      <c r="AD181" s="8"/>
      <c r="AE181" s="8"/>
      <c r="AF181" s="14"/>
      <c r="AG181" s="13"/>
      <c r="AH181" s="14"/>
      <c r="AI181" s="14"/>
      <c r="AJ181" s="8"/>
      <c r="AK181" s="8"/>
      <c r="AL181" s="8"/>
      <c r="AM181" s="8"/>
      <c r="AN181" s="631"/>
      <c r="AO181" s="18"/>
      <c r="AP181" s="18"/>
      <c r="AQ181" s="18"/>
      <c r="AR181" s="18"/>
      <c r="AS181" s="18"/>
      <c r="AU181" s="448"/>
      <c r="AV181" s="448"/>
      <c r="AW181" s="8" t="str">
        <f>IF(C181&gt;0,VLOOKUP(C181,Foundation_Calc!$A$2:$C$986,3,1),
IF(J181&gt;0,VLOOKUP(J181,Foundation_Calc!$A$2:$C$986,3,1),""))</f>
        <v/>
      </c>
      <c r="AX181" s="8" t="str">
        <f>IF(C181&gt;0,VLOOKUP(C181,Foundation_Calc!$E$2:$G$986,3,1),
IF(J181&gt;0,VLOOKUP(J181,Foundation_Calc!$E$2:$G$986,3,1),""))</f>
        <v/>
      </c>
      <c r="AY181" s="631" t="str">
        <f>IF(L181="","",
IF(AX181="PT",VLOOKUP(L181,Foundation_Calc!$K$4:$R$37,VLOOKUP(AW181,Foundation_Calc!$I$2:$J$8,2,FALSE),0),
IF(AX181="K",VLOOKUP(L181,Foundation_Calc!$K$41:$R$74,VLOOKUP(AW181,Foundation_Calc!$I$2:$J$8,2,FALSE),0),"")))</f>
        <v/>
      </c>
      <c r="AZ181" s="631" t="str">
        <f>IF(K181="","",
IF(AX181="PT",VLOOKUP(K181,Foundation_Calc!$K$4:$R$37,VLOOKUP(AW181,Foundation_Calc!$I$2:$J$8,2,FALSE),0),
IF(AX181="K",VLOOKUP(K181,Foundation_Calc!$K$41:$R$74,VLOOKUP(AW181,Foundation_Calc!$I$2:$J$8,2,FALSE),0),"")))</f>
        <v/>
      </c>
      <c r="BA181" s="632" t="str">
        <f t="shared" si="12"/>
        <v/>
      </c>
      <c r="BB181" s="632" t="str">
        <f t="shared" si="13"/>
        <v/>
      </c>
      <c r="BC181" s="632" t="str">
        <f t="shared" si="14"/>
        <v/>
      </c>
      <c r="BD181" s="633" t="str">
        <f>IF(AND(L181="",H181=""),"",
IF(H181="",Pole_Calc!A185,
IF(H181="MP",Pole_Calc!A186,
IF(H181="AnMP",Pole_Calc!A187,
IF(H181="A",Pole_Calc!A188,
IF(H181="S/A",Pole_Calc!A189,
IF(H181="A/S",Pole_Calc!A190,"Poner a mano")))))))</f>
        <v/>
      </c>
      <c r="BE181" s="448" t="s">
        <v>1726</v>
      </c>
      <c r="BF181" s="635"/>
      <c r="BG181" s="635"/>
      <c r="BH181" s="634"/>
      <c r="BI181" s="635"/>
    </row>
    <row r="182" spans="1:61" ht="16.2" customHeight="1">
      <c r="A182" s="12"/>
      <c r="B182" s="446"/>
      <c r="C182" s="89"/>
      <c r="D182" s="13"/>
      <c r="E182" s="14"/>
      <c r="F182" s="14"/>
      <c r="G182" s="15"/>
      <c r="H182" s="8"/>
      <c r="I182" s="8"/>
      <c r="J182" s="89"/>
      <c r="K182" s="8"/>
      <c r="L182" s="8"/>
      <c r="M182" s="8" t="str">
        <f>IF(L182="","",
IF(AX182="PT",VLOOKUP(L182,Foundation_Calc!$V$4:$X$37,VLOOKUP(AX182,Foundation_Calc!$I$10:$J$13,2,FALSE),0),
IF(AX182="K",VLOOKUP(L182,Foundation_Calc!$V$41:$X$74,VLOOKUP(AX182,Foundation_Calc!$I$10:$J$13,2,FALSE),0),"")))</f>
        <v/>
      </c>
      <c r="N182" s="8"/>
      <c r="O182" s="8"/>
      <c r="P182" s="8"/>
      <c r="Q182" s="14"/>
      <c r="R182" s="15"/>
      <c r="S182" s="15"/>
      <c r="T182" s="14"/>
      <c r="U182" s="14"/>
      <c r="V182" s="14"/>
      <c r="W182" s="18"/>
      <c r="X182" s="18"/>
      <c r="Y182" s="18"/>
      <c r="Z182" s="18"/>
      <c r="AA182" s="18"/>
      <c r="AB182" s="18"/>
      <c r="AC182" s="8" t="str">
        <f t="shared" si="11"/>
        <v/>
      </c>
      <c r="AD182" s="8"/>
      <c r="AE182" s="8"/>
      <c r="AF182" s="14"/>
      <c r="AG182" s="13"/>
      <c r="AH182" s="14"/>
      <c r="AI182" s="14"/>
      <c r="AJ182" s="8"/>
      <c r="AK182" s="8"/>
      <c r="AL182" s="8"/>
      <c r="AM182" s="8"/>
      <c r="AN182" s="631"/>
      <c r="AO182" s="18"/>
      <c r="AP182" s="18"/>
      <c r="AQ182" s="18"/>
      <c r="AR182" s="18"/>
      <c r="AS182" s="18"/>
      <c r="AU182" s="448"/>
      <c r="AV182" s="448"/>
      <c r="AW182" s="8" t="str">
        <f>IF(C182&gt;0,VLOOKUP(C182,Foundation_Calc!$A$2:$C$986,3,1),
IF(J182&gt;0,VLOOKUP(J182,Foundation_Calc!$A$2:$C$986,3,1),""))</f>
        <v/>
      </c>
      <c r="AX182" s="8" t="str">
        <f>IF(C182&gt;0,VLOOKUP(C182,Foundation_Calc!$E$2:$G$986,3,1),
IF(J182&gt;0,VLOOKUP(J182,Foundation_Calc!$E$2:$G$986,3,1),""))</f>
        <v/>
      </c>
      <c r="AY182" s="631" t="str">
        <f>IF(L182="","",
IF(AX182="PT",VLOOKUP(L182,Foundation_Calc!$K$4:$R$37,VLOOKUP(AW182,Foundation_Calc!$I$2:$J$8,2,FALSE),0),
IF(AX182="K",VLOOKUP(L182,Foundation_Calc!$K$41:$R$74,VLOOKUP(AW182,Foundation_Calc!$I$2:$J$8,2,FALSE),0),"")))</f>
        <v/>
      </c>
      <c r="AZ182" s="631" t="str">
        <f>IF(K182="","",
IF(AX182="PT",VLOOKUP(K182,Foundation_Calc!$K$4:$R$37,VLOOKUP(AW182,Foundation_Calc!$I$2:$J$8,2,FALSE),0),
IF(AX182="K",VLOOKUP(K182,Foundation_Calc!$K$41:$R$74,VLOOKUP(AW182,Foundation_Calc!$I$2:$J$8,2,FALSE),0),"")))</f>
        <v/>
      </c>
      <c r="BA182" s="632" t="str">
        <f t="shared" si="12"/>
        <v/>
      </c>
      <c r="BB182" s="632" t="str">
        <f t="shared" si="13"/>
        <v/>
      </c>
      <c r="BC182" s="632" t="str">
        <f t="shared" si="14"/>
        <v/>
      </c>
      <c r="BD182" s="633" t="str">
        <f>IF(AND(L182="",H182=""),"",
IF(H182="",Pole_Calc!A186,
IF(H182="MP",Pole_Calc!A187,
IF(H182="AnMP",Pole_Calc!A188,
IF(H182="A",Pole_Calc!A189,
IF(H182="S/A",Pole_Calc!A190,
IF(H182="A/S",Pole_Calc!A191,"Poner a mano")))))))</f>
        <v/>
      </c>
      <c r="BE182" s="448" t="s">
        <v>1726</v>
      </c>
      <c r="BF182" s="634"/>
      <c r="BG182" s="634"/>
      <c r="BH182" s="634"/>
      <c r="BI182" s="634"/>
    </row>
    <row r="183" spans="1:61" ht="16.2" customHeight="1">
      <c r="A183" s="12"/>
      <c r="B183" s="446"/>
      <c r="C183" s="89"/>
      <c r="D183" s="13"/>
      <c r="E183" s="14"/>
      <c r="F183" s="14"/>
      <c r="G183" s="15"/>
      <c r="H183" s="8"/>
      <c r="I183" s="8"/>
      <c r="J183" s="89"/>
      <c r="K183" s="8"/>
      <c r="L183" s="8"/>
      <c r="M183" s="8" t="str">
        <f>IF(L183="","",
IF(AX183="PT",VLOOKUP(L183,Foundation_Calc!$V$4:$X$37,VLOOKUP(AX183,Foundation_Calc!$I$10:$J$13,2,FALSE),0),
IF(AX183="K",VLOOKUP(L183,Foundation_Calc!$V$41:$X$74,VLOOKUP(AX183,Foundation_Calc!$I$10:$J$13,2,FALSE),0),"")))</f>
        <v/>
      </c>
      <c r="N183" s="8"/>
      <c r="O183" s="8"/>
      <c r="P183" s="8"/>
      <c r="Q183" s="14"/>
      <c r="R183" s="15"/>
      <c r="S183" s="15"/>
      <c r="T183" s="14"/>
      <c r="U183" s="14"/>
      <c r="V183" s="14"/>
      <c r="W183" s="18"/>
      <c r="X183" s="18"/>
      <c r="Y183" s="18"/>
      <c r="Z183" s="18"/>
      <c r="AA183" s="18"/>
      <c r="AB183" s="18"/>
      <c r="AC183" s="8" t="str">
        <f t="shared" si="11"/>
        <v/>
      </c>
      <c r="AD183" s="8"/>
      <c r="AE183" s="8"/>
      <c r="AF183" s="14"/>
      <c r="AG183" s="13"/>
      <c r="AH183" s="14"/>
      <c r="AI183" s="14"/>
      <c r="AJ183" s="8"/>
      <c r="AK183" s="8"/>
      <c r="AL183" s="8"/>
      <c r="AM183" s="8"/>
      <c r="AN183" s="631"/>
      <c r="AO183" s="18"/>
      <c r="AP183" s="18"/>
      <c r="AQ183" s="18"/>
      <c r="AR183" s="18"/>
      <c r="AS183" s="18"/>
      <c r="AU183" s="448"/>
      <c r="AV183" s="448"/>
      <c r="AW183" s="8" t="str">
        <f>IF(C183&gt;0,VLOOKUP(C183,Foundation_Calc!$A$2:$C$986,3,1),
IF(J183&gt;0,VLOOKUP(J183,Foundation_Calc!$A$2:$C$986,3,1),""))</f>
        <v/>
      </c>
      <c r="AX183" s="8" t="str">
        <f>IF(C183&gt;0,VLOOKUP(C183,Foundation_Calc!$E$2:$G$986,3,1),
IF(J183&gt;0,VLOOKUP(J183,Foundation_Calc!$E$2:$G$986,3,1),""))</f>
        <v/>
      </c>
      <c r="AY183" s="631" t="str">
        <f>IF(L183="","",
IF(AX183="PT",VLOOKUP(L183,Foundation_Calc!$K$4:$R$37,VLOOKUP(AW183,Foundation_Calc!$I$2:$J$8,2,FALSE),0),
IF(AX183="K",VLOOKUP(L183,Foundation_Calc!$K$41:$R$74,VLOOKUP(AW183,Foundation_Calc!$I$2:$J$8,2,FALSE),0),"")))</f>
        <v/>
      </c>
      <c r="AZ183" s="631" t="str">
        <f>IF(K183="","",
IF(AX183="PT",VLOOKUP(K183,Foundation_Calc!$K$4:$R$37,VLOOKUP(AW183,Foundation_Calc!$I$2:$J$8,2,FALSE),0),
IF(AX183="K",VLOOKUP(K183,Foundation_Calc!$K$41:$R$74,VLOOKUP(AW183,Foundation_Calc!$I$2:$J$8,2,FALSE),0),"")))</f>
        <v/>
      </c>
      <c r="BA183" s="632" t="str">
        <f t="shared" si="12"/>
        <v/>
      </c>
      <c r="BB183" s="632" t="str">
        <f t="shared" si="13"/>
        <v/>
      </c>
      <c r="BC183" s="632" t="str">
        <f t="shared" si="14"/>
        <v/>
      </c>
      <c r="BD183" s="633" t="str">
        <f>IF(AND(L183="",H183=""),"",
IF(H183="",Pole_Calc!A187,
IF(H183="MP",Pole_Calc!A188,
IF(H183="AnMP",Pole_Calc!A189,
IF(H183="A",Pole_Calc!A190,
IF(H183="S/A",Pole_Calc!A191,
IF(H183="A/S",Pole_Calc!A192,"Poner a mano")))))))</f>
        <v/>
      </c>
      <c r="BE183" s="448" t="s">
        <v>1726</v>
      </c>
      <c r="BF183" s="635"/>
      <c r="BG183" s="635"/>
      <c r="BH183" s="634"/>
      <c r="BI183" s="635"/>
    </row>
    <row r="184" spans="1:61" ht="16.2" customHeight="1">
      <c r="A184" s="12"/>
      <c r="B184" s="446"/>
      <c r="C184" s="89"/>
      <c r="D184" s="13"/>
      <c r="E184" s="14"/>
      <c r="F184" s="14"/>
      <c r="G184" s="15"/>
      <c r="H184" s="8"/>
      <c r="I184" s="8"/>
      <c r="J184" s="89"/>
      <c r="K184" s="8"/>
      <c r="L184" s="8"/>
      <c r="M184" s="8" t="str">
        <f>IF(L184="","",
IF(AX184="PT",VLOOKUP(L184,Foundation_Calc!$V$4:$X$37,VLOOKUP(AX184,Foundation_Calc!$I$10:$J$13,2,FALSE),0),
IF(AX184="K",VLOOKUP(L184,Foundation_Calc!$V$41:$X$74,VLOOKUP(AX184,Foundation_Calc!$I$10:$J$13,2,FALSE),0),"")))</f>
        <v/>
      </c>
      <c r="N184" s="8"/>
      <c r="O184" s="8"/>
      <c r="P184" s="8"/>
      <c r="Q184" s="14"/>
      <c r="R184" s="15"/>
      <c r="S184" s="15"/>
      <c r="T184" s="14"/>
      <c r="U184" s="14"/>
      <c r="V184" s="14"/>
      <c r="W184" s="18"/>
      <c r="X184" s="18"/>
      <c r="Y184" s="18"/>
      <c r="Z184" s="18"/>
      <c r="AA184" s="18"/>
      <c r="AB184" s="18"/>
      <c r="AC184" s="8" t="str">
        <f t="shared" si="11"/>
        <v/>
      </c>
      <c r="AD184" s="8"/>
      <c r="AE184" s="8"/>
      <c r="AF184" s="14"/>
      <c r="AG184" s="13"/>
      <c r="AH184" s="14"/>
      <c r="AI184" s="14"/>
      <c r="AJ184" s="8"/>
      <c r="AK184" s="8"/>
      <c r="AL184" s="8"/>
      <c r="AM184" s="8"/>
      <c r="AN184" s="631"/>
      <c r="AO184" s="18"/>
      <c r="AP184" s="18"/>
      <c r="AQ184" s="18"/>
      <c r="AR184" s="18"/>
      <c r="AS184" s="18"/>
      <c r="AU184" s="448"/>
      <c r="AV184" s="448"/>
      <c r="AW184" s="8" t="str">
        <f>IF(C184&gt;0,VLOOKUP(C184,Foundation_Calc!$A$2:$C$986,3,1),
IF(J184&gt;0,VLOOKUP(J184,Foundation_Calc!$A$2:$C$986,3,1),""))</f>
        <v/>
      </c>
      <c r="AX184" s="8" t="str">
        <f>IF(C184&gt;0,VLOOKUP(C184,Foundation_Calc!$E$2:$G$986,3,1),
IF(J184&gt;0,VLOOKUP(J184,Foundation_Calc!$E$2:$G$986,3,1),""))</f>
        <v/>
      </c>
      <c r="AY184" s="631" t="str">
        <f>IF(L184="","",
IF(AX184="PT",VLOOKUP(L184,Foundation_Calc!$K$4:$R$37,VLOOKUP(AW184,Foundation_Calc!$I$2:$J$8,2,FALSE),0),
IF(AX184="K",VLOOKUP(L184,Foundation_Calc!$K$41:$R$74,VLOOKUP(AW184,Foundation_Calc!$I$2:$J$8,2,FALSE),0),"")))</f>
        <v/>
      </c>
      <c r="AZ184" s="631" t="str">
        <f>IF(K184="","",
IF(AX184="PT",VLOOKUP(K184,Foundation_Calc!$K$4:$R$37,VLOOKUP(AW184,Foundation_Calc!$I$2:$J$8,2,FALSE),0),
IF(AX184="K",VLOOKUP(K184,Foundation_Calc!$K$41:$R$74,VLOOKUP(AW184,Foundation_Calc!$I$2:$J$8,2,FALSE),0),"")))</f>
        <v/>
      </c>
      <c r="BA184" s="632" t="str">
        <f t="shared" si="12"/>
        <v/>
      </c>
      <c r="BB184" s="632" t="str">
        <f t="shared" si="13"/>
        <v/>
      </c>
      <c r="BC184" s="632" t="str">
        <f t="shared" si="14"/>
        <v/>
      </c>
      <c r="BD184" s="633" t="str">
        <f>IF(AND(L184="",H184=""),"",
IF(H184="",Pole_Calc!A188,
IF(H184="MP",Pole_Calc!A189,
IF(H184="AnMP",Pole_Calc!A190,
IF(H184="A",Pole_Calc!A191,
IF(H184="S/A",Pole_Calc!A192,
IF(H184="A/S",Pole_Calc!A193,"Poner a mano")))))))</f>
        <v/>
      </c>
      <c r="BE184" s="448" t="s">
        <v>1726</v>
      </c>
      <c r="BF184" s="634"/>
      <c r="BG184" s="634"/>
      <c r="BH184" s="634"/>
      <c r="BI184" s="634"/>
    </row>
    <row r="185" spans="1:61" ht="16.2" customHeight="1">
      <c r="A185" s="12"/>
      <c r="B185" s="446"/>
      <c r="C185" s="89"/>
      <c r="D185" s="13"/>
      <c r="E185" s="14"/>
      <c r="F185" s="14"/>
      <c r="G185" s="15"/>
      <c r="H185" s="8"/>
      <c r="I185" s="8"/>
      <c r="J185" s="89"/>
      <c r="K185" s="8"/>
      <c r="L185" s="8"/>
      <c r="M185" s="8" t="str">
        <f>IF(L185="","",
IF(AX185="PT",VLOOKUP(L185,Foundation_Calc!$V$4:$X$37,VLOOKUP(AX185,Foundation_Calc!$I$10:$J$13,2,FALSE),0),
IF(AX185="K",VLOOKUP(L185,Foundation_Calc!$V$41:$X$74,VLOOKUP(AX185,Foundation_Calc!$I$10:$J$13,2,FALSE),0),"")))</f>
        <v/>
      </c>
      <c r="N185" s="8"/>
      <c r="O185" s="8"/>
      <c r="P185" s="8"/>
      <c r="Q185" s="14"/>
      <c r="R185" s="15"/>
      <c r="S185" s="15"/>
      <c r="T185" s="14"/>
      <c r="U185" s="14"/>
      <c r="V185" s="14"/>
      <c r="W185" s="18"/>
      <c r="X185" s="18"/>
      <c r="Y185" s="18"/>
      <c r="Z185" s="18"/>
      <c r="AA185" s="18"/>
      <c r="AB185" s="18"/>
      <c r="AC185" s="8" t="str">
        <f t="shared" si="11"/>
        <v/>
      </c>
      <c r="AD185" s="8"/>
      <c r="AE185" s="8"/>
      <c r="AF185" s="14"/>
      <c r="AG185" s="13"/>
      <c r="AH185" s="14"/>
      <c r="AI185" s="14"/>
      <c r="AJ185" s="8"/>
      <c r="AK185" s="8"/>
      <c r="AL185" s="8"/>
      <c r="AM185" s="8"/>
      <c r="AN185" s="631"/>
      <c r="AO185" s="18"/>
      <c r="AP185" s="18"/>
      <c r="AQ185" s="18"/>
      <c r="AR185" s="18"/>
      <c r="AS185" s="18"/>
      <c r="AU185" s="448"/>
      <c r="AV185" s="448"/>
      <c r="AW185" s="8" t="str">
        <f>IF(C185&gt;0,VLOOKUP(C185,Foundation_Calc!$A$2:$C$986,3,1),
IF(J185&gt;0,VLOOKUP(J185,Foundation_Calc!$A$2:$C$986,3,1),""))</f>
        <v/>
      </c>
      <c r="AX185" s="8" t="str">
        <f>IF(C185&gt;0,VLOOKUP(C185,Foundation_Calc!$E$2:$G$986,3,1),
IF(J185&gt;0,VLOOKUP(J185,Foundation_Calc!$E$2:$G$986,3,1),""))</f>
        <v/>
      </c>
      <c r="AY185" s="631" t="str">
        <f>IF(L185="","",
IF(AX185="PT",VLOOKUP(L185,Foundation_Calc!$K$4:$R$37,VLOOKUP(AW185,Foundation_Calc!$I$2:$J$8,2,FALSE),0),
IF(AX185="K",VLOOKUP(L185,Foundation_Calc!$K$41:$R$74,VLOOKUP(AW185,Foundation_Calc!$I$2:$J$8,2,FALSE),0),"")))</f>
        <v/>
      </c>
      <c r="AZ185" s="631" t="str">
        <f>IF(K185="","",
IF(AX185="PT",VLOOKUP(K185,Foundation_Calc!$K$4:$R$37,VLOOKUP(AW185,Foundation_Calc!$I$2:$J$8,2,FALSE),0),
IF(AX185="K",VLOOKUP(K185,Foundation_Calc!$K$41:$R$74,VLOOKUP(AW185,Foundation_Calc!$I$2:$J$8,2,FALSE),0),"")))</f>
        <v/>
      </c>
      <c r="BA185" s="632" t="str">
        <f t="shared" si="12"/>
        <v/>
      </c>
      <c r="BB185" s="632" t="str">
        <f t="shared" si="13"/>
        <v/>
      </c>
      <c r="BC185" s="632" t="str">
        <f t="shared" si="14"/>
        <v/>
      </c>
      <c r="BD185" s="633" t="str">
        <f>IF(AND(L185="",H185=""),"",
IF(H185="",Pole_Calc!A189,
IF(H185="MP",Pole_Calc!A190,
IF(H185="AnMP",Pole_Calc!A191,
IF(H185="A",Pole_Calc!A192,
IF(H185="S/A",Pole_Calc!A193,
IF(H185="A/S",Pole_Calc!A194,"Poner a mano")))))))</f>
        <v/>
      </c>
      <c r="BE185" s="448" t="s">
        <v>1726</v>
      </c>
      <c r="BF185" s="635"/>
      <c r="BG185" s="635"/>
      <c r="BH185" s="634"/>
      <c r="BI185" s="635"/>
    </row>
    <row r="186" spans="1:61" ht="16.2" customHeight="1">
      <c r="A186" s="12"/>
      <c r="B186" s="446"/>
      <c r="C186" s="89"/>
      <c r="D186" s="13"/>
      <c r="E186" s="14"/>
      <c r="F186" s="14"/>
      <c r="G186" s="15"/>
      <c r="H186" s="8"/>
      <c r="I186" s="8"/>
      <c r="J186" s="89"/>
      <c r="K186" s="8"/>
      <c r="L186" s="8"/>
      <c r="M186" s="8" t="str">
        <f>IF(L186="","",
IF(AX186="PT",VLOOKUP(L186,Foundation_Calc!$V$4:$X$37,VLOOKUP(AX186,Foundation_Calc!$I$10:$J$13,2,FALSE),0),
IF(AX186="K",VLOOKUP(L186,Foundation_Calc!$V$41:$X$74,VLOOKUP(AX186,Foundation_Calc!$I$10:$J$13,2,FALSE),0),"")))</f>
        <v/>
      </c>
      <c r="N186" s="8"/>
      <c r="O186" s="8"/>
      <c r="P186" s="8"/>
      <c r="Q186" s="14"/>
      <c r="R186" s="15"/>
      <c r="S186" s="15"/>
      <c r="T186" s="14"/>
      <c r="U186" s="14"/>
      <c r="V186" s="14"/>
      <c r="W186" s="18"/>
      <c r="X186" s="18"/>
      <c r="Y186" s="18"/>
      <c r="Z186" s="18"/>
      <c r="AA186" s="18"/>
      <c r="AB186" s="18"/>
      <c r="AC186" s="8" t="str">
        <f t="shared" si="11"/>
        <v/>
      </c>
      <c r="AD186" s="8"/>
      <c r="AE186" s="8"/>
      <c r="AF186" s="14"/>
      <c r="AG186" s="13"/>
      <c r="AH186" s="14"/>
      <c r="AI186" s="14"/>
      <c r="AJ186" s="8"/>
      <c r="AK186" s="8"/>
      <c r="AL186" s="8"/>
      <c r="AM186" s="8"/>
      <c r="AN186" s="631"/>
      <c r="AO186" s="18"/>
      <c r="AP186" s="18"/>
      <c r="AQ186" s="18"/>
      <c r="AR186" s="18"/>
      <c r="AS186" s="18"/>
      <c r="AU186" s="448"/>
      <c r="AV186" s="448"/>
      <c r="AW186" s="8" t="str">
        <f>IF(C186&gt;0,VLOOKUP(C186,Foundation_Calc!$A$2:$C$986,3,1),
IF(J186&gt;0,VLOOKUP(J186,Foundation_Calc!$A$2:$C$986,3,1),""))</f>
        <v/>
      </c>
      <c r="AX186" s="8" t="str">
        <f>IF(C186&gt;0,VLOOKUP(C186,Foundation_Calc!$E$2:$G$986,3,1),
IF(J186&gt;0,VLOOKUP(J186,Foundation_Calc!$E$2:$G$986,3,1),""))</f>
        <v/>
      </c>
      <c r="AY186" s="631" t="str">
        <f>IF(L186="","",
IF(AX186="PT",VLOOKUP(L186,Foundation_Calc!$K$4:$R$37,VLOOKUP(AW186,Foundation_Calc!$I$2:$J$8,2,FALSE),0),
IF(AX186="K",VLOOKUP(L186,Foundation_Calc!$K$41:$R$74,VLOOKUP(AW186,Foundation_Calc!$I$2:$J$8,2,FALSE),0),"")))</f>
        <v/>
      </c>
      <c r="AZ186" s="631" t="str">
        <f>IF(K186="","",
IF(AX186="PT",VLOOKUP(K186,Foundation_Calc!$K$4:$R$37,VLOOKUP(AW186,Foundation_Calc!$I$2:$J$8,2,FALSE),0),
IF(AX186="K",VLOOKUP(K186,Foundation_Calc!$K$41:$R$74,VLOOKUP(AW186,Foundation_Calc!$I$2:$J$8,2,FALSE),0),"")))</f>
        <v/>
      </c>
      <c r="BA186" s="632" t="str">
        <f t="shared" si="12"/>
        <v/>
      </c>
      <c r="BB186" s="632" t="str">
        <f t="shared" si="13"/>
        <v/>
      </c>
      <c r="BC186" s="632" t="str">
        <f t="shared" si="14"/>
        <v/>
      </c>
      <c r="BD186" s="633" t="str">
        <f>IF(AND(L186="",H186=""),"",
IF(H186="",Pole_Calc!A190,
IF(H186="MP",Pole_Calc!A191,
IF(H186="AnMP",Pole_Calc!A192,
IF(H186="A",Pole_Calc!A193,
IF(H186="S/A",Pole_Calc!A194,
IF(H186="A/S",Pole_Calc!A195,"Poner a mano")))))))</f>
        <v/>
      </c>
      <c r="BE186" s="448" t="s">
        <v>1726</v>
      </c>
      <c r="BF186" s="634"/>
      <c r="BG186" s="634"/>
      <c r="BH186" s="634"/>
      <c r="BI186" s="634"/>
    </row>
    <row r="187" spans="1:61" ht="16.2" customHeight="1">
      <c r="A187" s="12"/>
      <c r="B187" s="446"/>
      <c r="C187" s="89"/>
      <c r="D187" s="13"/>
      <c r="E187" s="14"/>
      <c r="F187" s="14"/>
      <c r="G187" s="15"/>
      <c r="H187" s="8"/>
      <c r="I187" s="8"/>
      <c r="J187" s="89"/>
      <c r="K187" s="8"/>
      <c r="L187" s="8"/>
      <c r="M187" s="8" t="str">
        <f>IF(L187="","",
IF(AX187="PT",VLOOKUP(L187,Foundation_Calc!$V$4:$X$37,VLOOKUP(AX187,Foundation_Calc!$I$10:$J$13,2,FALSE),0),
IF(AX187="K",VLOOKUP(L187,Foundation_Calc!$V$41:$X$74,VLOOKUP(AX187,Foundation_Calc!$I$10:$J$13,2,FALSE),0),"")))</f>
        <v/>
      </c>
      <c r="N187" s="8"/>
      <c r="O187" s="8"/>
      <c r="P187" s="8"/>
      <c r="Q187" s="14"/>
      <c r="R187" s="15"/>
      <c r="S187" s="15"/>
      <c r="T187" s="14"/>
      <c r="U187" s="14"/>
      <c r="V187" s="14"/>
      <c r="W187" s="18"/>
      <c r="X187" s="18"/>
      <c r="Y187" s="18"/>
      <c r="Z187" s="18"/>
      <c r="AA187" s="18"/>
      <c r="AB187" s="18"/>
      <c r="AC187" s="8" t="str">
        <f t="shared" si="11"/>
        <v/>
      </c>
      <c r="AD187" s="8"/>
      <c r="AE187" s="8"/>
      <c r="AF187" s="14"/>
      <c r="AG187" s="13"/>
      <c r="AH187" s="14"/>
      <c r="AI187" s="14"/>
      <c r="AJ187" s="8"/>
      <c r="AK187" s="8"/>
      <c r="AL187" s="8"/>
      <c r="AM187" s="8"/>
      <c r="AN187" s="631"/>
      <c r="AO187" s="18"/>
      <c r="AP187" s="18"/>
      <c r="AQ187" s="18"/>
      <c r="AR187" s="18"/>
      <c r="AS187" s="18"/>
      <c r="AU187" s="448"/>
      <c r="AV187" s="448"/>
      <c r="AW187" s="8" t="str">
        <f>IF(C187&gt;0,VLOOKUP(C187,Foundation_Calc!$A$2:$C$986,3,1),
IF(J187&gt;0,VLOOKUP(J187,Foundation_Calc!$A$2:$C$986,3,1),""))</f>
        <v/>
      </c>
      <c r="AX187" s="8" t="str">
        <f>IF(C187&gt;0,VLOOKUP(C187,Foundation_Calc!$E$2:$G$986,3,1),
IF(J187&gt;0,VLOOKUP(J187,Foundation_Calc!$E$2:$G$986,3,1),""))</f>
        <v/>
      </c>
      <c r="AY187" s="631" t="str">
        <f>IF(L187="","",
IF(AX187="PT",VLOOKUP(L187,Foundation_Calc!$K$4:$R$37,VLOOKUP(AW187,Foundation_Calc!$I$2:$J$8,2,FALSE),0),
IF(AX187="K",VLOOKUP(L187,Foundation_Calc!$K$41:$R$74,VLOOKUP(AW187,Foundation_Calc!$I$2:$J$8,2,FALSE),0),"")))</f>
        <v/>
      </c>
      <c r="AZ187" s="631" t="str">
        <f>IF(K187="","",
IF(AX187="PT",VLOOKUP(K187,Foundation_Calc!$K$4:$R$37,VLOOKUP(AW187,Foundation_Calc!$I$2:$J$8,2,FALSE),0),
IF(AX187="K",VLOOKUP(K187,Foundation_Calc!$K$41:$R$74,VLOOKUP(AW187,Foundation_Calc!$I$2:$J$8,2,FALSE),0),"")))</f>
        <v/>
      </c>
      <c r="BA187" s="632" t="str">
        <f t="shared" si="12"/>
        <v/>
      </c>
      <c r="BB187" s="632" t="str">
        <f t="shared" si="13"/>
        <v/>
      </c>
      <c r="BC187" s="632" t="str">
        <f t="shared" si="14"/>
        <v/>
      </c>
      <c r="BD187" s="633" t="str">
        <f>IF(AND(L187="",H187=""),"",
IF(H187="",Pole_Calc!A191,
IF(H187="MP",Pole_Calc!A192,
IF(H187="AnMP",Pole_Calc!A193,
IF(H187="A",Pole_Calc!A194,
IF(H187="S/A",Pole_Calc!A195,
IF(H187="A/S",Pole_Calc!A196,"Poner a mano")))))))</f>
        <v/>
      </c>
      <c r="BE187" s="448" t="s">
        <v>1726</v>
      </c>
      <c r="BF187" s="635"/>
      <c r="BG187" s="635"/>
      <c r="BH187" s="634"/>
      <c r="BI187" s="635"/>
    </row>
    <row r="188" spans="1:61" ht="16.2" customHeight="1">
      <c r="A188" s="12"/>
      <c r="B188" s="446"/>
      <c r="C188" s="89"/>
      <c r="D188" s="13"/>
      <c r="E188" s="14"/>
      <c r="F188" s="14"/>
      <c r="G188" s="15"/>
      <c r="H188" s="8"/>
      <c r="I188" s="8"/>
      <c r="J188" s="89"/>
      <c r="K188" s="8"/>
      <c r="L188" s="8"/>
      <c r="M188" s="8" t="str">
        <f>IF(L188="","",
IF(AX188="PT",VLOOKUP(L188,Foundation_Calc!$V$4:$X$37,VLOOKUP(AX188,Foundation_Calc!$I$10:$J$13,2,FALSE),0),
IF(AX188="K",VLOOKUP(L188,Foundation_Calc!$V$41:$X$74,VLOOKUP(AX188,Foundation_Calc!$I$10:$J$13,2,FALSE),0),"")))</f>
        <v/>
      </c>
      <c r="N188" s="8"/>
      <c r="O188" s="8"/>
      <c r="P188" s="8"/>
      <c r="Q188" s="14"/>
      <c r="R188" s="15"/>
      <c r="S188" s="15"/>
      <c r="T188" s="14"/>
      <c r="U188" s="14"/>
      <c r="V188" s="14"/>
      <c r="W188" s="18"/>
      <c r="X188" s="18"/>
      <c r="Y188" s="18"/>
      <c r="Z188" s="18"/>
      <c r="AA188" s="18"/>
      <c r="AB188" s="18"/>
      <c r="AC188" s="8" t="str">
        <f t="shared" si="11"/>
        <v/>
      </c>
      <c r="AD188" s="8"/>
      <c r="AE188" s="8"/>
      <c r="AF188" s="14"/>
      <c r="AG188" s="13"/>
      <c r="AH188" s="14"/>
      <c r="AI188" s="14"/>
      <c r="AJ188" s="8"/>
      <c r="AK188" s="8"/>
      <c r="AL188" s="8"/>
      <c r="AM188" s="8"/>
      <c r="AN188" s="631"/>
      <c r="AO188" s="18"/>
      <c r="AP188" s="18"/>
      <c r="AQ188" s="18"/>
      <c r="AR188" s="18"/>
      <c r="AS188" s="18"/>
      <c r="AU188" s="448"/>
      <c r="AV188" s="448"/>
      <c r="AW188" s="8" t="str">
        <f>IF(C188&gt;0,VLOOKUP(C188,Foundation_Calc!$A$2:$C$986,3,1),
IF(J188&gt;0,VLOOKUP(J188,Foundation_Calc!$A$2:$C$986,3,1),""))</f>
        <v/>
      </c>
      <c r="AX188" s="8" t="str">
        <f>IF(C188&gt;0,VLOOKUP(C188,Foundation_Calc!$E$2:$G$986,3,1),
IF(J188&gt;0,VLOOKUP(J188,Foundation_Calc!$E$2:$G$986,3,1),""))</f>
        <v/>
      </c>
      <c r="AY188" s="631" t="str">
        <f>IF(L188="","",
IF(AX188="PT",VLOOKUP(L188,Foundation_Calc!$K$4:$R$37,VLOOKUP(AW188,Foundation_Calc!$I$2:$J$8,2,FALSE),0),
IF(AX188="K",VLOOKUP(L188,Foundation_Calc!$K$41:$R$74,VLOOKUP(AW188,Foundation_Calc!$I$2:$J$8,2,FALSE),0),"")))</f>
        <v/>
      </c>
      <c r="AZ188" s="631" t="str">
        <f>IF(K188="","",
IF(AX188="PT",VLOOKUP(K188,Foundation_Calc!$K$4:$R$37,VLOOKUP(AW188,Foundation_Calc!$I$2:$J$8,2,FALSE),0),
IF(AX188="K",VLOOKUP(K188,Foundation_Calc!$K$41:$R$74,VLOOKUP(AW188,Foundation_Calc!$I$2:$J$8,2,FALSE),0),"")))</f>
        <v/>
      </c>
      <c r="BA188" s="632" t="str">
        <f t="shared" si="12"/>
        <v/>
      </c>
      <c r="BB188" s="632" t="str">
        <f t="shared" si="13"/>
        <v/>
      </c>
      <c r="BC188" s="632" t="str">
        <f t="shared" si="14"/>
        <v/>
      </c>
      <c r="BD188" s="633" t="str">
        <f>IF(AND(L188="",H188=""),"",
IF(H188="",Pole_Calc!A192,
IF(H188="MP",Pole_Calc!A193,
IF(H188="AnMP",Pole_Calc!A194,
IF(H188="A",Pole_Calc!A195,
IF(H188="S/A",Pole_Calc!A196,
IF(H188="A/S",Pole_Calc!A197,"Poner a mano")))))))</f>
        <v/>
      </c>
      <c r="BE188" s="448" t="s">
        <v>1726</v>
      </c>
      <c r="BF188" s="634"/>
      <c r="BG188" s="634"/>
      <c r="BH188" s="634"/>
      <c r="BI188" s="634"/>
    </row>
    <row r="189" spans="1:61" ht="16.2" customHeight="1">
      <c r="A189" s="12"/>
      <c r="B189" s="446"/>
      <c r="C189" s="89"/>
      <c r="D189" s="13"/>
      <c r="E189" s="14"/>
      <c r="F189" s="14"/>
      <c r="G189" s="15"/>
      <c r="H189" s="8"/>
      <c r="I189" s="8"/>
      <c r="J189" s="89"/>
      <c r="K189" s="8"/>
      <c r="L189" s="8"/>
      <c r="M189" s="8" t="str">
        <f>IF(L189="","",
IF(AX189="PT",VLOOKUP(L189,Foundation_Calc!$V$4:$X$37,VLOOKUP(AX189,Foundation_Calc!$I$10:$J$13,2,FALSE),0),
IF(AX189="K",VLOOKUP(L189,Foundation_Calc!$V$41:$X$74,VLOOKUP(AX189,Foundation_Calc!$I$10:$J$13,2,FALSE),0),"")))</f>
        <v/>
      </c>
      <c r="N189" s="8"/>
      <c r="O189" s="8"/>
      <c r="P189" s="8"/>
      <c r="Q189" s="14"/>
      <c r="R189" s="15"/>
      <c r="S189" s="15"/>
      <c r="T189" s="14"/>
      <c r="U189" s="14"/>
      <c r="V189" s="14"/>
      <c r="W189" s="18"/>
      <c r="X189" s="18"/>
      <c r="Y189" s="18"/>
      <c r="Z189" s="18"/>
      <c r="AA189" s="18"/>
      <c r="AB189" s="18"/>
      <c r="AC189" s="8" t="str">
        <f t="shared" si="11"/>
        <v/>
      </c>
      <c r="AD189" s="8"/>
      <c r="AE189" s="8"/>
      <c r="AF189" s="14"/>
      <c r="AG189" s="13"/>
      <c r="AH189" s="14"/>
      <c r="AI189" s="14"/>
      <c r="AJ189" s="8"/>
      <c r="AK189" s="8"/>
      <c r="AL189" s="8"/>
      <c r="AM189" s="8"/>
      <c r="AN189" s="631"/>
      <c r="AO189" s="18"/>
      <c r="AP189" s="18"/>
      <c r="AQ189" s="18"/>
      <c r="AR189" s="18"/>
      <c r="AS189" s="18"/>
      <c r="AU189" s="448"/>
      <c r="AV189" s="448"/>
      <c r="AW189" s="8" t="str">
        <f>IF(C189&gt;0,VLOOKUP(C189,Foundation_Calc!$A$2:$C$986,3,1),
IF(J189&gt;0,VLOOKUP(J189,Foundation_Calc!$A$2:$C$986,3,1),""))</f>
        <v/>
      </c>
      <c r="AX189" s="8" t="str">
        <f>IF(C189&gt;0,VLOOKUP(C189,Foundation_Calc!$E$2:$G$986,3,1),
IF(J189&gt;0,VLOOKUP(J189,Foundation_Calc!$E$2:$G$986,3,1),""))</f>
        <v/>
      </c>
      <c r="AY189" s="631" t="str">
        <f>IF(L189="","",
IF(AX189="PT",VLOOKUP(L189,Foundation_Calc!$K$4:$R$37,VLOOKUP(AW189,Foundation_Calc!$I$2:$J$8,2,FALSE),0),
IF(AX189="K",VLOOKUP(L189,Foundation_Calc!$K$41:$R$74,VLOOKUP(AW189,Foundation_Calc!$I$2:$J$8,2,FALSE),0),"")))</f>
        <v/>
      </c>
      <c r="AZ189" s="631" t="str">
        <f>IF(K189="","",
IF(AX189="PT",VLOOKUP(K189,Foundation_Calc!$K$4:$R$37,VLOOKUP(AW189,Foundation_Calc!$I$2:$J$8,2,FALSE),0),
IF(AX189="K",VLOOKUP(K189,Foundation_Calc!$K$41:$R$74,VLOOKUP(AW189,Foundation_Calc!$I$2:$J$8,2,FALSE),0),"")))</f>
        <v/>
      </c>
      <c r="BA189" s="632" t="str">
        <f t="shared" si="12"/>
        <v/>
      </c>
      <c r="BB189" s="632" t="str">
        <f t="shared" si="13"/>
        <v/>
      </c>
      <c r="BC189" s="632" t="str">
        <f t="shared" si="14"/>
        <v/>
      </c>
      <c r="BD189" s="633" t="str">
        <f>IF(AND(L189="",H189=""),"",
IF(H189="",Pole_Calc!A193,
IF(H189="MP",Pole_Calc!A194,
IF(H189="AnMP",Pole_Calc!A195,
IF(H189="A",Pole_Calc!A196,
IF(H189="S/A",Pole_Calc!A197,
IF(H189="A/S",Pole_Calc!A198,"Poner a mano")))))))</f>
        <v/>
      </c>
      <c r="BE189" s="448" t="s">
        <v>1726</v>
      </c>
      <c r="BF189" s="635"/>
      <c r="BG189" s="635"/>
      <c r="BH189" s="634"/>
      <c r="BI189" s="635"/>
    </row>
    <row r="190" spans="1:61" ht="16.2" customHeight="1">
      <c r="A190" s="12"/>
      <c r="B190" s="446"/>
      <c r="C190" s="89"/>
      <c r="D190" s="13"/>
      <c r="E190" s="14"/>
      <c r="F190" s="14"/>
      <c r="G190" s="15"/>
      <c r="H190" s="8"/>
      <c r="I190" s="8"/>
      <c r="J190" s="89"/>
      <c r="K190" s="8"/>
      <c r="L190" s="8"/>
      <c r="M190" s="8" t="str">
        <f>IF(L190="","",
IF(AX190="PT",VLOOKUP(L190,Foundation_Calc!$V$4:$X$37,VLOOKUP(AX190,Foundation_Calc!$I$10:$J$13,2,FALSE),0),
IF(AX190="K",VLOOKUP(L190,Foundation_Calc!$V$41:$X$74,VLOOKUP(AX190,Foundation_Calc!$I$10:$J$13,2,FALSE),0),"")))</f>
        <v/>
      </c>
      <c r="N190" s="8"/>
      <c r="O190" s="8"/>
      <c r="P190" s="8"/>
      <c r="Q190" s="14"/>
      <c r="R190" s="15"/>
      <c r="S190" s="15"/>
      <c r="T190" s="14"/>
      <c r="U190" s="14"/>
      <c r="V190" s="14"/>
      <c r="W190" s="18"/>
      <c r="X190" s="18"/>
      <c r="Y190" s="18"/>
      <c r="Z190" s="18"/>
      <c r="AA190" s="18"/>
      <c r="AB190" s="18"/>
      <c r="AC190" s="8" t="str">
        <f t="shared" si="11"/>
        <v/>
      </c>
      <c r="AD190" s="8"/>
      <c r="AE190" s="8"/>
      <c r="AF190" s="14"/>
      <c r="AG190" s="13"/>
      <c r="AH190" s="14"/>
      <c r="AI190" s="14"/>
      <c r="AJ190" s="8"/>
      <c r="AK190" s="8"/>
      <c r="AL190" s="8"/>
      <c r="AM190" s="8"/>
      <c r="AN190" s="631"/>
      <c r="AO190" s="18"/>
      <c r="AP190" s="18"/>
      <c r="AQ190" s="18"/>
      <c r="AR190" s="18"/>
      <c r="AS190" s="18"/>
      <c r="AU190" s="448"/>
      <c r="AV190" s="448"/>
      <c r="AW190" s="8" t="str">
        <f>IF(C190&gt;0,VLOOKUP(C190,Foundation_Calc!$A$2:$C$986,3,1),
IF(J190&gt;0,VLOOKUP(J190,Foundation_Calc!$A$2:$C$986,3,1),""))</f>
        <v/>
      </c>
      <c r="AX190" s="8" t="str">
        <f>IF(C190&gt;0,VLOOKUP(C190,Foundation_Calc!$E$2:$G$986,3,1),
IF(J190&gt;0,VLOOKUP(J190,Foundation_Calc!$E$2:$G$986,3,1),""))</f>
        <v/>
      </c>
      <c r="AY190" s="631" t="str">
        <f>IF(L190="","",
IF(AX190="PT",VLOOKUP(L190,Foundation_Calc!$K$4:$R$37,VLOOKUP(AW190,Foundation_Calc!$I$2:$J$8,2,FALSE),0),
IF(AX190="K",VLOOKUP(L190,Foundation_Calc!$K$41:$R$74,VLOOKUP(AW190,Foundation_Calc!$I$2:$J$8,2,FALSE),0),"")))</f>
        <v/>
      </c>
      <c r="AZ190" s="631" t="str">
        <f>IF(K190="","",
IF(AX190="PT",VLOOKUP(K190,Foundation_Calc!$K$4:$R$37,VLOOKUP(AW190,Foundation_Calc!$I$2:$J$8,2,FALSE),0),
IF(AX190="K",VLOOKUP(K190,Foundation_Calc!$K$41:$R$74,VLOOKUP(AW190,Foundation_Calc!$I$2:$J$8,2,FALSE),0),"")))</f>
        <v/>
      </c>
      <c r="BA190" s="632" t="str">
        <f t="shared" si="12"/>
        <v/>
      </c>
      <c r="BB190" s="632" t="str">
        <f t="shared" si="13"/>
        <v/>
      </c>
      <c r="BC190" s="632" t="str">
        <f t="shared" si="14"/>
        <v/>
      </c>
      <c r="BD190" s="633" t="str">
        <f>IF(AND(L190="",H190=""),"",
IF(H190="",Pole_Calc!A194,
IF(H190="MP",Pole_Calc!A195,
IF(H190="AnMP",Pole_Calc!A196,
IF(H190="A",Pole_Calc!A197,
IF(H190="S/A",Pole_Calc!A198,
IF(H190="A/S",Pole_Calc!A199,"Poner a mano")))))))</f>
        <v/>
      </c>
      <c r="BE190" s="448" t="s">
        <v>1726</v>
      </c>
      <c r="BF190" s="634"/>
      <c r="BG190" s="634"/>
      <c r="BH190" s="634"/>
      <c r="BI190" s="634"/>
    </row>
    <row r="191" spans="1:61" ht="16.2" customHeight="1">
      <c r="A191" s="12"/>
      <c r="B191" s="446"/>
      <c r="C191" s="89"/>
      <c r="D191" s="13"/>
      <c r="E191" s="14"/>
      <c r="F191" s="14"/>
      <c r="G191" s="15"/>
      <c r="H191" s="8"/>
      <c r="I191" s="8"/>
      <c r="J191" s="89"/>
      <c r="K191" s="8"/>
      <c r="L191" s="8"/>
      <c r="M191" s="8" t="str">
        <f>IF(L191="","",
IF(AX191="PT",VLOOKUP(L191,Foundation_Calc!$V$4:$X$37,VLOOKUP(AX191,Foundation_Calc!$I$10:$J$13,2,FALSE),0),
IF(AX191="K",VLOOKUP(L191,Foundation_Calc!$V$41:$X$74,VLOOKUP(AX191,Foundation_Calc!$I$10:$J$13,2,FALSE),0),"")))</f>
        <v/>
      </c>
      <c r="N191" s="8"/>
      <c r="O191" s="8"/>
      <c r="P191" s="8"/>
      <c r="Q191" s="14"/>
      <c r="R191" s="15"/>
      <c r="S191" s="15"/>
      <c r="T191" s="14"/>
      <c r="U191" s="14"/>
      <c r="V191" s="14"/>
      <c r="W191" s="18"/>
      <c r="X191" s="18"/>
      <c r="Y191" s="18"/>
      <c r="Z191" s="18"/>
      <c r="AA191" s="18"/>
      <c r="AB191" s="18"/>
      <c r="AC191" s="8" t="str">
        <f t="shared" si="11"/>
        <v/>
      </c>
      <c r="AD191" s="8"/>
      <c r="AE191" s="8"/>
      <c r="AF191" s="14"/>
      <c r="AG191" s="13"/>
      <c r="AH191" s="14"/>
      <c r="AI191" s="14"/>
      <c r="AJ191" s="8"/>
      <c r="AK191" s="8"/>
      <c r="AL191" s="8"/>
      <c r="AM191" s="8"/>
      <c r="AN191" s="631"/>
      <c r="AO191" s="18"/>
      <c r="AP191" s="18"/>
      <c r="AQ191" s="18"/>
      <c r="AR191" s="18"/>
      <c r="AS191" s="18"/>
      <c r="AU191" s="448"/>
      <c r="AV191" s="448"/>
      <c r="AW191" s="8" t="str">
        <f>IF(C191&gt;0,VLOOKUP(C191,Foundation_Calc!$A$2:$C$986,3,1),
IF(J191&gt;0,VLOOKUP(J191,Foundation_Calc!$A$2:$C$986,3,1),""))</f>
        <v/>
      </c>
      <c r="AX191" s="8" t="str">
        <f>IF(C191&gt;0,VLOOKUP(C191,Foundation_Calc!$E$2:$G$986,3,1),
IF(J191&gt;0,VLOOKUP(J191,Foundation_Calc!$E$2:$G$986,3,1),""))</f>
        <v/>
      </c>
      <c r="AY191" s="631" t="str">
        <f>IF(L191="","",
IF(AX191="PT",VLOOKUP(L191,Foundation_Calc!$K$4:$R$37,VLOOKUP(AW191,Foundation_Calc!$I$2:$J$8,2,FALSE),0),
IF(AX191="K",VLOOKUP(L191,Foundation_Calc!$K$41:$R$74,VLOOKUP(AW191,Foundation_Calc!$I$2:$J$8,2,FALSE),0),"")))</f>
        <v/>
      </c>
      <c r="AZ191" s="631" t="str">
        <f>IF(K191="","",
IF(AX191="PT",VLOOKUP(K191,Foundation_Calc!$K$4:$R$37,VLOOKUP(AW191,Foundation_Calc!$I$2:$J$8,2,FALSE),0),
IF(AX191="K",VLOOKUP(K191,Foundation_Calc!$K$41:$R$74,VLOOKUP(AW191,Foundation_Calc!$I$2:$J$8,2,FALSE),0),"")))</f>
        <v/>
      </c>
      <c r="BA191" s="632" t="str">
        <f t="shared" si="12"/>
        <v/>
      </c>
      <c r="BB191" s="632" t="str">
        <f t="shared" si="13"/>
        <v/>
      </c>
      <c r="BC191" s="632" t="str">
        <f t="shared" si="14"/>
        <v/>
      </c>
      <c r="BD191" s="633" t="str">
        <f>IF(AND(L191="",H191=""),"",
IF(H191="",Pole_Calc!A195,
IF(H191="MP",Pole_Calc!A196,
IF(H191="AnMP",Pole_Calc!A197,
IF(H191="A",Pole_Calc!A198,
IF(H191="S/A",Pole_Calc!A199,
IF(H191="A/S",Pole_Calc!A200,"Poner a mano")))))))</f>
        <v/>
      </c>
      <c r="BE191" s="448" t="s">
        <v>1726</v>
      </c>
      <c r="BF191" s="635"/>
      <c r="BG191" s="635"/>
      <c r="BH191" s="634"/>
      <c r="BI191" s="635"/>
    </row>
    <row r="192" spans="1:61" ht="16.2" customHeight="1">
      <c r="A192" s="12"/>
      <c r="B192" s="446"/>
      <c r="C192" s="89"/>
      <c r="D192" s="13"/>
      <c r="E192" s="14"/>
      <c r="F192" s="14"/>
      <c r="G192" s="15"/>
      <c r="H192" s="8"/>
      <c r="I192" s="8"/>
      <c r="J192" s="89"/>
      <c r="K192" s="8"/>
      <c r="L192" s="8"/>
      <c r="M192" s="8" t="str">
        <f>IF(L192="","",
IF(AX192="PT",VLOOKUP(L192,Foundation_Calc!$V$4:$X$37,VLOOKUP(AX192,Foundation_Calc!$I$10:$J$13,2,FALSE),0),
IF(AX192="K",VLOOKUP(L192,Foundation_Calc!$V$41:$X$74,VLOOKUP(AX192,Foundation_Calc!$I$10:$J$13,2,FALSE),0),"")))</f>
        <v/>
      </c>
      <c r="N192" s="8"/>
      <c r="O192" s="8"/>
      <c r="P192" s="8"/>
      <c r="Q192" s="14"/>
      <c r="R192" s="15"/>
      <c r="S192" s="15"/>
      <c r="T192" s="14"/>
      <c r="U192" s="14"/>
      <c r="V192" s="14"/>
      <c r="W192" s="18"/>
      <c r="X192" s="18"/>
      <c r="Y192" s="18"/>
      <c r="Z192" s="18"/>
      <c r="AA192" s="18"/>
      <c r="AB192" s="18"/>
      <c r="AC192" s="8" t="str">
        <f t="shared" si="11"/>
        <v/>
      </c>
      <c r="AD192" s="8"/>
      <c r="AE192" s="8"/>
      <c r="AF192" s="14"/>
      <c r="AG192" s="13"/>
      <c r="AH192" s="14"/>
      <c r="AI192" s="14"/>
      <c r="AJ192" s="8"/>
      <c r="AK192" s="8"/>
      <c r="AL192" s="8"/>
      <c r="AM192" s="8"/>
      <c r="AN192" s="631"/>
      <c r="AO192" s="18"/>
      <c r="AP192" s="18"/>
      <c r="AQ192" s="18"/>
      <c r="AR192" s="18"/>
      <c r="AS192" s="18"/>
      <c r="AU192" s="448"/>
      <c r="AV192" s="448"/>
      <c r="AW192" s="8" t="str">
        <f>IF(C192&gt;0,VLOOKUP(C192,Foundation_Calc!$A$2:$C$986,3,1),
IF(J192&gt;0,VLOOKUP(J192,Foundation_Calc!$A$2:$C$986,3,1),""))</f>
        <v/>
      </c>
      <c r="AX192" s="8" t="str">
        <f>IF(C192&gt;0,VLOOKUP(C192,Foundation_Calc!$E$2:$G$986,3,1),
IF(J192&gt;0,VLOOKUP(J192,Foundation_Calc!$E$2:$G$986,3,1),""))</f>
        <v/>
      </c>
      <c r="AY192" s="631" t="str">
        <f>IF(L192="","",
IF(AX192="PT",VLOOKUP(L192,Foundation_Calc!$K$4:$R$37,VLOOKUP(AW192,Foundation_Calc!$I$2:$J$8,2,FALSE),0),
IF(AX192="K",VLOOKUP(L192,Foundation_Calc!$K$41:$R$74,VLOOKUP(AW192,Foundation_Calc!$I$2:$J$8,2,FALSE),0),"")))</f>
        <v/>
      </c>
      <c r="AZ192" s="631" t="str">
        <f>IF(K192="","",
IF(AX192="PT",VLOOKUP(K192,Foundation_Calc!$K$4:$R$37,VLOOKUP(AW192,Foundation_Calc!$I$2:$J$8,2,FALSE),0),
IF(AX192="K",VLOOKUP(K192,Foundation_Calc!$K$41:$R$74,VLOOKUP(AW192,Foundation_Calc!$I$2:$J$8,2,FALSE),0),"")))</f>
        <v/>
      </c>
      <c r="BA192" s="632" t="str">
        <f t="shared" si="12"/>
        <v/>
      </c>
      <c r="BB192" s="632" t="str">
        <f t="shared" si="13"/>
        <v/>
      </c>
      <c r="BC192" s="632" t="str">
        <f t="shared" si="14"/>
        <v/>
      </c>
      <c r="BD192" s="633" t="str">
        <f>IF(AND(L192="",H192=""),"",
IF(H192="",Pole_Calc!A196,
IF(H192="MP",Pole_Calc!A197,
IF(H192="AnMP",Pole_Calc!A198,
IF(H192="A",Pole_Calc!A199,
IF(H192="S/A",Pole_Calc!A200,
IF(H192="A/S",Pole_Calc!A201,"Poner a mano")))))))</f>
        <v/>
      </c>
      <c r="BE192" s="448" t="s">
        <v>1726</v>
      </c>
      <c r="BF192" s="634"/>
      <c r="BG192" s="634"/>
      <c r="BH192" s="634"/>
      <c r="BI192" s="634"/>
    </row>
    <row r="193" spans="1:61" ht="16.2" customHeight="1">
      <c r="A193" s="12"/>
      <c r="B193" s="446"/>
      <c r="C193" s="89"/>
      <c r="D193" s="13"/>
      <c r="E193" s="14"/>
      <c r="F193" s="14"/>
      <c r="G193" s="15"/>
      <c r="H193" s="8"/>
      <c r="I193" s="8"/>
      <c r="J193" s="89"/>
      <c r="K193" s="8"/>
      <c r="L193" s="8"/>
      <c r="M193" s="8" t="str">
        <f>IF(L193="","",
IF(AX193="PT",VLOOKUP(L193,Foundation_Calc!$V$4:$X$37,VLOOKUP(AX193,Foundation_Calc!$I$10:$J$13,2,FALSE),0),
IF(AX193="K",VLOOKUP(L193,Foundation_Calc!$V$41:$X$74,VLOOKUP(AX193,Foundation_Calc!$I$10:$J$13,2,FALSE),0),"")))</f>
        <v/>
      </c>
      <c r="N193" s="8"/>
      <c r="O193" s="8"/>
      <c r="P193" s="8"/>
      <c r="Q193" s="14"/>
      <c r="R193" s="15"/>
      <c r="S193" s="15"/>
      <c r="T193" s="14"/>
      <c r="U193" s="14"/>
      <c r="V193" s="14"/>
      <c r="W193" s="18"/>
      <c r="X193" s="18"/>
      <c r="Y193" s="18"/>
      <c r="Z193" s="18"/>
      <c r="AA193" s="18"/>
      <c r="AB193" s="18"/>
      <c r="AC193" s="8" t="str">
        <f t="shared" si="11"/>
        <v/>
      </c>
      <c r="AD193" s="8"/>
      <c r="AE193" s="8"/>
      <c r="AF193" s="14"/>
      <c r="AG193" s="13"/>
      <c r="AH193" s="14"/>
      <c r="AI193" s="14"/>
      <c r="AJ193" s="8"/>
      <c r="AK193" s="8"/>
      <c r="AL193" s="8"/>
      <c r="AM193" s="8"/>
      <c r="AN193" s="631"/>
      <c r="AO193" s="18"/>
      <c r="AP193" s="18"/>
      <c r="AQ193" s="18"/>
      <c r="AR193" s="18"/>
      <c r="AS193" s="18"/>
      <c r="AU193" s="448"/>
      <c r="AV193" s="448"/>
      <c r="AW193" s="8" t="str">
        <f>IF(C193&gt;0,VLOOKUP(C193,Foundation_Calc!$A$2:$C$986,3,1),
IF(J193&gt;0,VLOOKUP(J193,Foundation_Calc!$A$2:$C$986,3,1),""))</f>
        <v/>
      </c>
      <c r="AX193" s="8" t="str">
        <f>IF(C193&gt;0,VLOOKUP(C193,Foundation_Calc!$E$2:$G$986,3,1),
IF(J193&gt;0,VLOOKUP(J193,Foundation_Calc!$E$2:$G$986,3,1),""))</f>
        <v/>
      </c>
      <c r="AY193" s="631" t="str">
        <f>IF(L193="","",
IF(AX193="PT",VLOOKUP(L193,Foundation_Calc!$K$4:$R$37,VLOOKUP(AW193,Foundation_Calc!$I$2:$J$8,2,FALSE),0),
IF(AX193="K",VLOOKUP(L193,Foundation_Calc!$K$41:$R$74,VLOOKUP(AW193,Foundation_Calc!$I$2:$J$8,2,FALSE),0),"")))</f>
        <v/>
      </c>
      <c r="AZ193" s="631" t="str">
        <f>IF(K193="","",
IF(AX193="PT",VLOOKUP(K193,Foundation_Calc!$K$4:$R$37,VLOOKUP(AW193,Foundation_Calc!$I$2:$J$8,2,FALSE),0),
IF(AX193="K",VLOOKUP(K193,Foundation_Calc!$K$41:$R$74,VLOOKUP(AW193,Foundation_Calc!$I$2:$J$8,2,FALSE),0),"")))</f>
        <v/>
      </c>
      <c r="BA193" s="632" t="str">
        <f t="shared" si="12"/>
        <v/>
      </c>
      <c r="BB193" s="632" t="str">
        <f t="shared" si="13"/>
        <v/>
      </c>
      <c r="BC193" s="632" t="str">
        <f t="shared" si="14"/>
        <v/>
      </c>
      <c r="BD193" s="633" t="str">
        <f>IF(AND(L193="",H193=""),"",
IF(H193="",Pole_Calc!A197,
IF(H193="MP",Pole_Calc!A198,
IF(H193="AnMP",Pole_Calc!A199,
IF(H193="A",Pole_Calc!A200,
IF(H193="S/A",Pole_Calc!A201,
IF(H193="A/S",Pole_Calc!A202,"Poner a mano")))))))</f>
        <v/>
      </c>
      <c r="BE193" s="448" t="s">
        <v>1726</v>
      </c>
      <c r="BF193" s="635"/>
      <c r="BG193" s="635"/>
      <c r="BH193" s="634"/>
      <c r="BI193" s="635"/>
    </row>
    <row r="194" spans="1:61" ht="16.2" customHeight="1">
      <c r="A194" s="12"/>
      <c r="B194" s="446"/>
      <c r="C194" s="89"/>
      <c r="D194" s="13"/>
      <c r="E194" s="14"/>
      <c r="F194" s="14"/>
      <c r="G194" s="15"/>
      <c r="H194" s="8"/>
      <c r="I194" s="8"/>
      <c r="J194" s="89"/>
      <c r="K194" s="8"/>
      <c r="L194" s="8"/>
      <c r="M194" s="8" t="str">
        <f>IF(L194="","",
IF(AX194="PT",VLOOKUP(L194,Foundation_Calc!$V$4:$X$37,VLOOKUP(AX194,Foundation_Calc!$I$10:$J$13,2,FALSE),0),
IF(AX194="K",VLOOKUP(L194,Foundation_Calc!$V$41:$X$74,VLOOKUP(AX194,Foundation_Calc!$I$10:$J$13,2,FALSE),0),"")))</f>
        <v/>
      </c>
      <c r="N194" s="8"/>
      <c r="O194" s="8"/>
      <c r="P194" s="8"/>
      <c r="Q194" s="14"/>
      <c r="R194" s="15"/>
      <c r="S194" s="15"/>
      <c r="T194" s="14"/>
      <c r="U194" s="14"/>
      <c r="V194" s="14"/>
      <c r="W194" s="18"/>
      <c r="X194" s="18"/>
      <c r="Y194" s="18"/>
      <c r="Z194" s="18"/>
      <c r="AA194" s="18"/>
      <c r="AB194" s="18"/>
      <c r="AC194" s="8" t="str">
        <f t="shared" si="11"/>
        <v/>
      </c>
      <c r="AD194" s="8"/>
      <c r="AE194" s="8"/>
      <c r="AF194" s="14"/>
      <c r="AG194" s="13"/>
      <c r="AH194" s="14"/>
      <c r="AI194" s="14"/>
      <c r="AJ194" s="8"/>
      <c r="AK194" s="8"/>
      <c r="AL194" s="8"/>
      <c r="AM194" s="8"/>
      <c r="AN194" s="631"/>
      <c r="AO194" s="18"/>
      <c r="AP194" s="18"/>
      <c r="AQ194" s="18"/>
      <c r="AR194" s="18"/>
      <c r="AS194" s="18"/>
      <c r="AU194" s="448"/>
      <c r="AV194" s="448"/>
      <c r="AW194" s="8" t="str">
        <f>IF(C194&gt;0,VLOOKUP(C194,Foundation_Calc!$A$2:$C$986,3,1),
IF(J194&gt;0,VLOOKUP(J194,Foundation_Calc!$A$2:$C$986,3,1),""))</f>
        <v/>
      </c>
      <c r="AX194" s="8" t="str">
        <f>IF(C194&gt;0,VLOOKUP(C194,Foundation_Calc!$E$2:$G$986,3,1),
IF(J194&gt;0,VLOOKUP(J194,Foundation_Calc!$E$2:$G$986,3,1),""))</f>
        <v/>
      </c>
      <c r="AY194" s="631" t="str">
        <f>IF(L194="","",
IF(AX194="PT",VLOOKUP(L194,Foundation_Calc!$K$4:$R$37,VLOOKUP(AW194,Foundation_Calc!$I$2:$J$8,2,FALSE),0),
IF(AX194="K",VLOOKUP(L194,Foundation_Calc!$K$41:$R$74,VLOOKUP(AW194,Foundation_Calc!$I$2:$J$8,2,FALSE),0),"")))</f>
        <v/>
      </c>
      <c r="AZ194" s="631" t="str">
        <f>IF(K194="","",
IF(AX194="PT",VLOOKUP(K194,Foundation_Calc!$K$4:$R$37,VLOOKUP(AW194,Foundation_Calc!$I$2:$J$8,2,FALSE),0),
IF(AX194="K",VLOOKUP(K194,Foundation_Calc!$K$41:$R$74,VLOOKUP(AW194,Foundation_Calc!$I$2:$J$8,2,FALSE),0),"")))</f>
        <v/>
      </c>
      <c r="BA194" s="632" t="str">
        <f t="shared" si="12"/>
        <v/>
      </c>
      <c r="BB194" s="632" t="str">
        <f t="shared" si="13"/>
        <v/>
      </c>
      <c r="BC194" s="632" t="str">
        <f t="shared" si="14"/>
        <v/>
      </c>
      <c r="BD194" s="633" t="str">
        <f>IF(AND(L194="",H194=""),"",
IF(H194="",Pole_Calc!A198,
IF(H194="MP",Pole_Calc!A199,
IF(H194="AnMP",Pole_Calc!A200,
IF(H194="A",Pole_Calc!A201,
IF(H194="S/A",Pole_Calc!A202,
IF(H194="A/S",Pole_Calc!A203,"Poner a mano")))))))</f>
        <v/>
      </c>
      <c r="BE194" s="448" t="s">
        <v>1726</v>
      </c>
      <c r="BF194" s="634"/>
      <c r="BG194" s="634"/>
      <c r="BH194" s="634"/>
      <c r="BI194" s="634"/>
    </row>
    <row r="195" spans="1:61" ht="16.2" customHeight="1">
      <c r="A195" s="12"/>
      <c r="B195" s="446"/>
      <c r="C195" s="89"/>
      <c r="D195" s="13"/>
      <c r="E195" s="14"/>
      <c r="F195" s="14"/>
      <c r="G195" s="15"/>
      <c r="H195" s="8"/>
      <c r="I195" s="8"/>
      <c r="J195" s="89"/>
      <c r="K195" s="8"/>
      <c r="L195" s="8"/>
      <c r="M195" s="8" t="str">
        <f>IF(L195="","",
IF(AX195="PT",VLOOKUP(L195,Foundation_Calc!$V$4:$X$37,VLOOKUP(AX195,Foundation_Calc!$I$10:$J$13,2,FALSE),0),
IF(AX195="K",VLOOKUP(L195,Foundation_Calc!$V$41:$X$74,VLOOKUP(AX195,Foundation_Calc!$I$10:$J$13,2,FALSE),0),"")))</f>
        <v/>
      </c>
      <c r="N195" s="8"/>
      <c r="O195" s="8"/>
      <c r="P195" s="8"/>
      <c r="Q195" s="14"/>
      <c r="R195" s="15"/>
      <c r="S195" s="15"/>
      <c r="T195" s="14"/>
      <c r="U195" s="14"/>
      <c r="V195" s="14"/>
      <c r="W195" s="18"/>
      <c r="X195" s="18"/>
      <c r="Y195" s="18"/>
      <c r="Z195" s="18"/>
      <c r="AA195" s="18"/>
      <c r="AB195" s="18"/>
      <c r="AC195" s="8" t="str">
        <f t="shared" si="11"/>
        <v/>
      </c>
      <c r="AD195" s="8"/>
      <c r="AE195" s="8"/>
      <c r="AF195" s="14"/>
      <c r="AG195" s="13"/>
      <c r="AH195" s="14"/>
      <c r="AI195" s="14"/>
      <c r="AJ195" s="8"/>
      <c r="AK195" s="8"/>
      <c r="AL195" s="8"/>
      <c r="AM195" s="8"/>
      <c r="AN195" s="631"/>
      <c r="AO195" s="18"/>
      <c r="AP195" s="18"/>
      <c r="AQ195" s="18"/>
      <c r="AR195" s="18"/>
      <c r="AS195" s="18"/>
      <c r="AU195" s="448"/>
      <c r="AV195" s="448"/>
      <c r="AW195" s="8" t="str">
        <f>IF(C195&gt;0,VLOOKUP(C195,Foundation_Calc!$A$2:$C$986,3,1),
IF(J195&gt;0,VLOOKUP(J195,Foundation_Calc!$A$2:$C$986,3,1),""))</f>
        <v/>
      </c>
      <c r="AX195" s="8" t="str">
        <f>IF(C195&gt;0,VLOOKUP(C195,Foundation_Calc!$E$2:$G$986,3,1),
IF(J195&gt;0,VLOOKUP(J195,Foundation_Calc!$E$2:$G$986,3,1),""))</f>
        <v/>
      </c>
      <c r="AY195" s="631" t="str">
        <f>IF(L195="","",
IF(AX195="PT",VLOOKUP(L195,Foundation_Calc!$K$4:$R$37,VLOOKUP(AW195,Foundation_Calc!$I$2:$J$8,2,FALSE),0),
IF(AX195="K",VLOOKUP(L195,Foundation_Calc!$K$41:$R$74,VLOOKUP(AW195,Foundation_Calc!$I$2:$J$8,2,FALSE),0),"")))</f>
        <v/>
      </c>
      <c r="AZ195" s="631" t="str">
        <f>IF(K195="","",
IF(AX195="PT",VLOOKUP(K195,Foundation_Calc!$K$4:$R$37,VLOOKUP(AW195,Foundation_Calc!$I$2:$J$8,2,FALSE),0),
IF(AX195="K",VLOOKUP(K195,Foundation_Calc!$K$41:$R$74,VLOOKUP(AW195,Foundation_Calc!$I$2:$J$8,2,FALSE),0),"")))</f>
        <v/>
      </c>
      <c r="BA195" s="632" t="str">
        <f t="shared" si="12"/>
        <v/>
      </c>
      <c r="BB195" s="632" t="str">
        <f t="shared" si="13"/>
        <v/>
      </c>
      <c r="BC195" s="632" t="str">
        <f t="shared" si="14"/>
        <v/>
      </c>
      <c r="BD195" s="633" t="str">
        <f>IF(AND(L195="",H195=""),"",
IF(H195="",Pole_Calc!A199,
IF(H195="MP",Pole_Calc!A200,
IF(H195="AnMP",Pole_Calc!A201,
IF(H195="A",Pole_Calc!A202,
IF(H195="S/A",Pole_Calc!A203,
IF(H195="A/S",Pole_Calc!A204,"Poner a mano")))))))</f>
        <v/>
      </c>
      <c r="BE195" s="448" t="s">
        <v>1726</v>
      </c>
      <c r="BF195" s="635"/>
      <c r="BG195" s="635"/>
      <c r="BH195" s="634"/>
      <c r="BI195" s="635"/>
    </row>
    <row r="196" spans="1:61" ht="16.2" customHeight="1">
      <c r="A196" s="12"/>
      <c r="B196" s="446"/>
      <c r="C196" s="89"/>
      <c r="D196" s="13"/>
      <c r="E196" s="14"/>
      <c r="F196" s="14"/>
      <c r="G196" s="15"/>
      <c r="H196" s="8"/>
      <c r="I196" s="8"/>
      <c r="J196" s="89"/>
      <c r="K196" s="8"/>
      <c r="L196" s="8"/>
      <c r="M196" s="8" t="str">
        <f>IF(L196="","",
IF(AX196="PT",VLOOKUP(L196,Foundation_Calc!$V$4:$X$37,VLOOKUP(AX196,Foundation_Calc!$I$10:$J$13,2,FALSE),0),
IF(AX196="K",VLOOKUP(L196,Foundation_Calc!$V$41:$X$74,VLOOKUP(AX196,Foundation_Calc!$I$10:$J$13,2,FALSE),0),"")))</f>
        <v/>
      </c>
      <c r="N196" s="8"/>
      <c r="O196" s="8"/>
      <c r="P196" s="8"/>
      <c r="Q196" s="14"/>
      <c r="R196" s="15"/>
      <c r="S196" s="15"/>
      <c r="T196" s="14"/>
      <c r="U196" s="14"/>
      <c r="V196" s="14"/>
      <c r="W196" s="18"/>
      <c r="X196" s="18"/>
      <c r="Y196" s="18"/>
      <c r="Z196" s="18"/>
      <c r="AA196" s="18"/>
      <c r="AB196" s="18"/>
      <c r="AC196" s="8" t="str">
        <f t="shared" si="11"/>
        <v/>
      </c>
      <c r="AD196" s="8"/>
      <c r="AE196" s="8"/>
      <c r="AF196" s="14"/>
      <c r="AG196" s="13"/>
      <c r="AH196" s="14"/>
      <c r="AI196" s="14"/>
      <c r="AJ196" s="8"/>
      <c r="AK196" s="8"/>
      <c r="AL196" s="8"/>
      <c r="AM196" s="8"/>
      <c r="AN196" s="631"/>
      <c r="AO196" s="18"/>
      <c r="AP196" s="18"/>
      <c r="AQ196" s="18"/>
      <c r="AR196" s="18"/>
      <c r="AS196" s="18"/>
      <c r="AU196" s="448"/>
      <c r="AV196" s="448"/>
      <c r="AW196" s="8" t="str">
        <f>IF(C196&gt;0,VLOOKUP(C196,Foundation_Calc!$A$2:$C$986,3,1),
IF(J196&gt;0,VLOOKUP(J196,Foundation_Calc!$A$2:$C$986,3,1),""))</f>
        <v/>
      </c>
      <c r="AX196" s="8" t="str">
        <f>IF(C196&gt;0,VLOOKUP(C196,Foundation_Calc!$E$2:$G$986,3,1),
IF(J196&gt;0,VLOOKUP(J196,Foundation_Calc!$E$2:$G$986,3,1),""))</f>
        <v/>
      </c>
      <c r="AY196" s="631" t="str">
        <f>IF(L196="","",
IF(AX196="PT",VLOOKUP(L196,Foundation_Calc!$K$4:$R$37,VLOOKUP(AW196,Foundation_Calc!$I$2:$J$8,2,FALSE),0),
IF(AX196="K",VLOOKUP(L196,Foundation_Calc!$K$41:$R$74,VLOOKUP(AW196,Foundation_Calc!$I$2:$J$8,2,FALSE),0),"")))</f>
        <v/>
      </c>
      <c r="AZ196" s="631" t="str">
        <f>IF(K196="","",
IF(AX196="PT",VLOOKUP(K196,Foundation_Calc!$K$4:$R$37,VLOOKUP(AW196,Foundation_Calc!$I$2:$J$8,2,FALSE),0),
IF(AX196="K",VLOOKUP(K196,Foundation_Calc!$K$41:$R$74,VLOOKUP(AW196,Foundation_Calc!$I$2:$J$8,2,FALSE),0),"")))</f>
        <v/>
      </c>
      <c r="BA196" s="632" t="str">
        <f t="shared" si="12"/>
        <v/>
      </c>
      <c r="BB196" s="632" t="str">
        <f t="shared" si="13"/>
        <v/>
      </c>
      <c r="BC196" s="632" t="str">
        <f t="shared" si="14"/>
        <v/>
      </c>
      <c r="BD196" s="633" t="str">
        <f>IF(AND(L196="",H196=""),"",
IF(H196="",Pole_Calc!A200,
IF(H196="MP",Pole_Calc!A201,
IF(H196="AnMP",Pole_Calc!A202,
IF(H196="A",Pole_Calc!A203,
IF(H196="S/A",Pole_Calc!A204,
IF(H196="A/S",Pole_Calc!A205,"Poner a mano")))))))</f>
        <v/>
      </c>
      <c r="BE196" s="448" t="s">
        <v>1726</v>
      </c>
      <c r="BF196" s="634"/>
      <c r="BG196" s="634"/>
      <c r="BH196" s="634"/>
      <c r="BI196" s="634"/>
    </row>
    <row r="197" spans="1:61" ht="16.2" customHeight="1">
      <c r="A197" s="12"/>
      <c r="B197" s="446"/>
      <c r="C197" s="89"/>
      <c r="D197" s="13"/>
      <c r="E197" s="14"/>
      <c r="F197" s="14"/>
      <c r="G197" s="15"/>
      <c r="H197" s="8"/>
      <c r="I197" s="8"/>
      <c r="J197" s="89"/>
      <c r="K197" s="8"/>
      <c r="L197" s="8"/>
      <c r="M197" s="8" t="str">
        <f>IF(L197="","",
IF(AX197="PT",VLOOKUP(L197,Foundation_Calc!$V$4:$X$37,VLOOKUP(AX197,Foundation_Calc!$I$10:$J$13,2,FALSE),0),
IF(AX197="K",VLOOKUP(L197,Foundation_Calc!$V$41:$X$74,VLOOKUP(AX197,Foundation_Calc!$I$10:$J$13,2,FALSE),0),"")))</f>
        <v/>
      </c>
      <c r="N197" s="8"/>
      <c r="O197" s="8"/>
      <c r="P197" s="8"/>
      <c r="Q197" s="14"/>
      <c r="R197" s="15"/>
      <c r="S197" s="15"/>
      <c r="T197" s="14"/>
      <c r="U197" s="14"/>
      <c r="V197" s="14"/>
      <c r="W197" s="18"/>
      <c r="X197" s="18"/>
      <c r="Y197" s="18"/>
      <c r="Z197" s="18"/>
      <c r="AA197" s="18"/>
      <c r="AB197" s="18"/>
      <c r="AC197" s="8" t="str">
        <f t="shared" si="11"/>
        <v/>
      </c>
      <c r="AD197" s="8"/>
      <c r="AE197" s="8"/>
      <c r="AF197" s="14"/>
      <c r="AG197" s="13"/>
      <c r="AH197" s="14"/>
      <c r="AI197" s="14"/>
      <c r="AJ197" s="8"/>
      <c r="AK197" s="8"/>
      <c r="AL197" s="8"/>
      <c r="AM197" s="8"/>
      <c r="AN197" s="631"/>
      <c r="AO197" s="18"/>
      <c r="AP197" s="18"/>
      <c r="AQ197" s="18"/>
      <c r="AR197" s="18"/>
      <c r="AS197" s="18"/>
      <c r="AU197" s="448"/>
      <c r="AV197" s="448"/>
      <c r="AW197" s="8" t="str">
        <f>IF(C197&gt;0,VLOOKUP(C197,Foundation_Calc!$A$2:$C$986,3,1),
IF(J197&gt;0,VLOOKUP(J197,Foundation_Calc!$A$2:$C$986,3,1),""))</f>
        <v/>
      </c>
      <c r="AX197" s="8" t="str">
        <f>IF(C197&gt;0,VLOOKUP(C197,Foundation_Calc!$E$2:$G$986,3,1),
IF(J197&gt;0,VLOOKUP(J197,Foundation_Calc!$E$2:$G$986,3,1),""))</f>
        <v/>
      </c>
      <c r="AY197" s="631" t="str">
        <f>IF(L197="","",
IF(AX197="PT",VLOOKUP(L197,Foundation_Calc!$K$4:$R$37,VLOOKUP(AW197,Foundation_Calc!$I$2:$J$8,2,FALSE),0),
IF(AX197="K",VLOOKUP(L197,Foundation_Calc!$K$41:$R$74,VLOOKUP(AW197,Foundation_Calc!$I$2:$J$8,2,FALSE),0),"")))</f>
        <v/>
      </c>
      <c r="AZ197" s="631" t="str">
        <f>IF(K197="","",
IF(AX197="PT",VLOOKUP(K197,Foundation_Calc!$K$4:$R$37,VLOOKUP(AW197,Foundation_Calc!$I$2:$J$8,2,FALSE),0),
IF(AX197="K",VLOOKUP(K197,Foundation_Calc!$K$41:$R$74,VLOOKUP(AW197,Foundation_Calc!$I$2:$J$8,2,FALSE),0),"")))</f>
        <v/>
      </c>
      <c r="BA197" s="632" t="str">
        <f t="shared" si="12"/>
        <v/>
      </c>
      <c r="BB197" s="632" t="str">
        <f t="shared" si="13"/>
        <v/>
      </c>
      <c r="BC197" s="632" t="str">
        <f t="shared" si="14"/>
        <v/>
      </c>
      <c r="BD197" s="633" t="str">
        <f>IF(AND(L197="",H197=""),"",
IF(H197="",Pole_Calc!A201,
IF(H197="MP",Pole_Calc!A202,
IF(H197="AnMP",Pole_Calc!A203,
IF(H197="A",Pole_Calc!A204,
IF(H197="S/A",Pole_Calc!A205,
IF(H197="A/S",Pole_Calc!A206,"Poner a mano")))))))</f>
        <v/>
      </c>
      <c r="BE197" s="448" t="s">
        <v>1726</v>
      </c>
      <c r="BF197" s="635"/>
      <c r="BG197" s="635"/>
      <c r="BH197" s="634"/>
      <c r="BI197" s="635"/>
    </row>
    <row r="198" spans="1:61" ht="16.2" customHeight="1">
      <c r="A198" s="12"/>
      <c r="B198" s="446"/>
      <c r="C198" s="89"/>
      <c r="D198" s="13"/>
      <c r="E198" s="14"/>
      <c r="F198" s="14"/>
      <c r="G198" s="15"/>
      <c r="H198" s="8"/>
      <c r="I198" s="8"/>
      <c r="J198" s="89"/>
      <c r="K198" s="8"/>
      <c r="L198" s="8"/>
      <c r="M198" s="8" t="str">
        <f>IF(L198="","",
IF(AX198="PT",VLOOKUP(L198,Foundation_Calc!$V$4:$X$37,VLOOKUP(AX198,Foundation_Calc!$I$10:$J$13,2,FALSE),0),
IF(AX198="K",VLOOKUP(L198,Foundation_Calc!$V$41:$X$74,VLOOKUP(AX198,Foundation_Calc!$I$10:$J$13,2,FALSE),0),"")))</f>
        <v/>
      </c>
      <c r="N198" s="8"/>
      <c r="O198" s="8"/>
      <c r="P198" s="8"/>
      <c r="Q198" s="14"/>
      <c r="R198" s="15"/>
      <c r="S198" s="15"/>
      <c r="T198" s="14"/>
      <c r="U198" s="14"/>
      <c r="V198" s="14"/>
      <c r="W198" s="18"/>
      <c r="X198" s="18"/>
      <c r="Y198" s="18"/>
      <c r="Z198" s="18"/>
      <c r="AA198" s="18"/>
      <c r="AB198" s="18"/>
      <c r="AC198" s="8" t="str">
        <f t="shared" ref="AC198:AC261" si="15">IF(OR(AT198&gt;8,AT198&lt;-8),"PH",
IF(OR(AT198&gt;5,AT198&lt;-5),"PHQ",
IF(OR(AT198&gt;1,AT198&lt;-1),
"PHC","")))</f>
        <v/>
      </c>
      <c r="AD198" s="8"/>
      <c r="AE198" s="8"/>
      <c r="AF198" s="14"/>
      <c r="AG198" s="13"/>
      <c r="AH198" s="14"/>
      <c r="AI198" s="14"/>
      <c r="AJ198" s="8"/>
      <c r="AK198" s="8"/>
      <c r="AL198" s="8"/>
      <c r="AM198" s="8"/>
      <c r="AN198" s="631"/>
      <c r="AO198" s="18"/>
      <c r="AP198" s="18"/>
      <c r="AQ198" s="18"/>
      <c r="AR198" s="18"/>
      <c r="AS198" s="18"/>
      <c r="AU198" s="448"/>
      <c r="AV198" s="448"/>
      <c r="AW198" s="8" t="str">
        <f>IF(C198&gt;0,VLOOKUP(C198,Foundation_Calc!$A$2:$C$986,3,1),
IF(J198&gt;0,VLOOKUP(J198,Foundation_Calc!$A$2:$C$986,3,1),""))</f>
        <v/>
      </c>
      <c r="AX198" s="8" t="str">
        <f>IF(C198&gt;0,VLOOKUP(C198,Foundation_Calc!$E$2:$G$986,3,1),
IF(J198&gt;0,VLOOKUP(J198,Foundation_Calc!$E$2:$G$986,3,1),""))</f>
        <v/>
      </c>
      <c r="AY198" s="631" t="str">
        <f>IF(L198="","",
IF(AX198="PT",VLOOKUP(L198,Foundation_Calc!$K$4:$R$37,VLOOKUP(AW198,Foundation_Calc!$I$2:$J$8,2,FALSE),0),
IF(AX198="K",VLOOKUP(L198,Foundation_Calc!$K$41:$R$74,VLOOKUP(AW198,Foundation_Calc!$I$2:$J$8,2,FALSE),0),"")))</f>
        <v/>
      </c>
      <c r="AZ198" s="631" t="str">
        <f>IF(K198="","",
IF(AX198="PT",VLOOKUP(K198,Foundation_Calc!$K$4:$R$37,VLOOKUP(AW198,Foundation_Calc!$I$2:$J$8,2,FALSE),0),
IF(AX198="K",VLOOKUP(K198,Foundation_Calc!$K$41:$R$74,VLOOKUP(AW198,Foundation_Calc!$I$2:$J$8,2,FALSE),0),"")))</f>
        <v/>
      </c>
      <c r="BA198" s="632" t="str">
        <f t="shared" ref="BA198:BA261" si="16">IF(AY198="","",IF(AY198&gt;0,"ü",""))</f>
        <v/>
      </c>
      <c r="BB198" s="632" t="str">
        <f t="shared" ref="BB198:BB261" si="17">IF(AZ198="","",IF(AZ198&gt;0,"ü",""))</f>
        <v/>
      </c>
      <c r="BC198" s="632" t="str">
        <f t="shared" ref="BC198:BC261" si="18">IF(M198="","",IF(M198="Unique Solution","ü",""))</f>
        <v/>
      </c>
      <c r="BD198" s="633" t="str">
        <f>IF(AND(L198="",H198=""),"",
IF(H198="",Pole_Calc!A202,
IF(H198="MP",Pole_Calc!A203,
IF(H198="AnMP",Pole_Calc!A204,
IF(H198="A",Pole_Calc!A205,
IF(H198="S/A",Pole_Calc!A206,
IF(H198="A/S",Pole_Calc!A207,"Poner a mano")))))))</f>
        <v/>
      </c>
      <c r="BE198" s="448" t="s">
        <v>1726</v>
      </c>
      <c r="BF198" s="634"/>
      <c r="BG198" s="634"/>
      <c r="BH198" s="634"/>
      <c r="BI198" s="634"/>
    </row>
    <row r="199" spans="1:61" ht="16.2" customHeight="1">
      <c r="A199" s="12"/>
      <c r="B199" s="446"/>
      <c r="C199" s="89"/>
      <c r="D199" s="13"/>
      <c r="E199" s="14"/>
      <c r="F199" s="14"/>
      <c r="G199" s="15"/>
      <c r="H199" s="8"/>
      <c r="I199" s="8"/>
      <c r="J199" s="89"/>
      <c r="K199" s="8"/>
      <c r="L199" s="8"/>
      <c r="M199" s="8" t="str">
        <f>IF(L199="","",
IF(AX199="PT",VLOOKUP(L199,Foundation_Calc!$V$4:$X$37,VLOOKUP(AX199,Foundation_Calc!$I$10:$J$13,2,FALSE),0),
IF(AX199="K",VLOOKUP(L199,Foundation_Calc!$V$41:$X$74,VLOOKUP(AX199,Foundation_Calc!$I$10:$J$13,2,FALSE),0),"")))</f>
        <v/>
      </c>
      <c r="N199" s="8"/>
      <c r="O199" s="8"/>
      <c r="P199" s="8"/>
      <c r="Q199" s="14"/>
      <c r="R199" s="15"/>
      <c r="S199" s="15"/>
      <c r="T199" s="14"/>
      <c r="U199" s="14"/>
      <c r="V199" s="14"/>
      <c r="W199" s="18"/>
      <c r="X199" s="18"/>
      <c r="Y199" s="18"/>
      <c r="Z199" s="18"/>
      <c r="AA199" s="18"/>
      <c r="AB199" s="18"/>
      <c r="AC199" s="8" t="str">
        <f t="shared" si="15"/>
        <v/>
      </c>
      <c r="AD199" s="8"/>
      <c r="AE199" s="8"/>
      <c r="AF199" s="14"/>
      <c r="AG199" s="13"/>
      <c r="AH199" s="14"/>
      <c r="AI199" s="14"/>
      <c r="AJ199" s="8"/>
      <c r="AK199" s="8"/>
      <c r="AL199" s="8"/>
      <c r="AM199" s="8"/>
      <c r="AN199" s="631"/>
      <c r="AO199" s="18"/>
      <c r="AP199" s="18"/>
      <c r="AQ199" s="18"/>
      <c r="AR199" s="18"/>
      <c r="AS199" s="18"/>
      <c r="AU199" s="448"/>
      <c r="AV199" s="448"/>
      <c r="AW199" s="8" t="str">
        <f>IF(C199&gt;0,VLOOKUP(C199,Foundation_Calc!$A$2:$C$986,3,1),
IF(J199&gt;0,VLOOKUP(J199,Foundation_Calc!$A$2:$C$986,3,1),""))</f>
        <v/>
      </c>
      <c r="AX199" s="8" t="str">
        <f>IF(C199&gt;0,VLOOKUP(C199,Foundation_Calc!$E$2:$G$986,3,1),
IF(J199&gt;0,VLOOKUP(J199,Foundation_Calc!$E$2:$G$986,3,1),""))</f>
        <v/>
      </c>
      <c r="AY199" s="631" t="str">
        <f>IF(L199="","",
IF(AX199="PT",VLOOKUP(L199,Foundation_Calc!$K$4:$R$37,VLOOKUP(AW199,Foundation_Calc!$I$2:$J$8,2,FALSE),0),
IF(AX199="K",VLOOKUP(L199,Foundation_Calc!$K$41:$R$74,VLOOKUP(AW199,Foundation_Calc!$I$2:$J$8,2,FALSE),0),"")))</f>
        <v/>
      </c>
      <c r="AZ199" s="631" t="str">
        <f>IF(K199="","",
IF(AX199="PT",VLOOKUP(K199,Foundation_Calc!$K$4:$R$37,VLOOKUP(AW199,Foundation_Calc!$I$2:$J$8,2,FALSE),0),
IF(AX199="K",VLOOKUP(K199,Foundation_Calc!$K$41:$R$74,VLOOKUP(AW199,Foundation_Calc!$I$2:$J$8,2,FALSE),0),"")))</f>
        <v/>
      </c>
      <c r="BA199" s="632" t="str">
        <f t="shared" si="16"/>
        <v/>
      </c>
      <c r="BB199" s="632" t="str">
        <f t="shared" si="17"/>
        <v/>
      </c>
      <c r="BC199" s="632" t="str">
        <f t="shared" si="18"/>
        <v/>
      </c>
      <c r="BD199" s="633" t="str">
        <f>IF(AND(L199="",H199=""),"",
IF(H199="",Pole_Calc!A203,
IF(H199="MP",Pole_Calc!A204,
IF(H199="AnMP",Pole_Calc!A205,
IF(H199="A",Pole_Calc!A206,
IF(H199="S/A",Pole_Calc!A207,
IF(H199="A/S",Pole_Calc!A208,"Poner a mano")))))))</f>
        <v/>
      </c>
      <c r="BE199" s="448" t="s">
        <v>1726</v>
      </c>
      <c r="BF199" s="635"/>
      <c r="BG199" s="635"/>
      <c r="BH199" s="634"/>
      <c r="BI199" s="635"/>
    </row>
    <row r="200" spans="1:61" ht="16.2" customHeight="1">
      <c r="A200" s="12"/>
      <c r="B200" s="446"/>
      <c r="C200" s="89"/>
      <c r="D200" s="13"/>
      <c r="E200" s="14"/>
      <c r="F200" s="14"/>
      <c r="G200" s="15"/>
      <c r="H200" s="8"/>
      <c r="I200" s="8"/>
      <c r="J200" s="89"/>
      <c r="K200" s="8"/>
      <c r="L200" s="8"/>
      <c r="M200" s="8" t="str">
        <f>IF(L200="","",
IF(AX200="PT",VLOOKUP(L200,Foundation_Calc!$V$4:$X$37,VLOOKUP(AX200,Foundation_Calc!$I$10:$J$13,2,FALSE),0),
IF(AX200="K",VLOOKUP(L200,Foundation_Calc!$V$41:$X$74,VLOOKUP(AX200,Foundation_Calc!$I$10:$J$13,2,FALSE),0),"")))</f>
        <v/>
      </c>
      <c r="N200" s="8"/>
      <c r="O200" s="8"/>
      <c r="P200" s="8"/>
      <c r="Q200" s="14"/>
      <c r="R200" s="15"/>
      <c r="S200" s="15"/>
      <c r="T200" s="14"/>
      <c r="U200" s="14"/>
      <c r="V200" s="14"/>
      <c r="W200" s="18"/>
      <c r="X200" s="18"/>
      <c r="Y200" s="18"/>
      <c r="Z200" s="18"/>
      <c r="AA200" s="18"/>
      <c r="AB200" s="18"/>
      <c r="AC200" s="8" t="str">
        <f t="shared" si="15"/>
        <v/>
      </c>
      <c r="AD200" s="8"/>
      <c r="AE200" s="8"/>
      <c r="AF200" s="14"/>
      <c r="AG200" s="13"/>
      <c r="AH200" s="14"/>
      <c r="AI200" s="14"/>
      <c r="AJ200" s="8"/>
      <c r="AK200" s="8"/>
      <c r="AL200" s="8"/>
      <c r="AM200" s="8"/>
      <c r="AN200" s="631"/>
      <c r="AO200" s="18"/>
      <c r="AP200" s="18"/>
      <c r="AQ200" s="18"/>
      <c r="AR200" s="18"/>
      <c r="AS200" s="18"/>
      <c r="AU200" s="448"/>
      <c r="AV200" s="448"/>
      <c r="AW200" s="8" t="str">
        <f>IF(C200&gt;0,VLOOKUP(C200,Foundation_Calc!$A$2:$C$986,3,1),
IF(J200&gt;0,VLOOKUP(J200,Foundation_Calc!$A$2:$C$986,3,1),""))</f>
        <v/>
      </c>
      <c r="AX200" s="8" t="str">
        <f>IF(C200&gt;0,VLOOKUP(C200,Foundation_Calc!$E$2:$G$986,3,1),
IF(J200&gt;0,VLOOKUP(J200,Foundation_Calc!$E$2:$G$986,3,1),""))</f>
        <v/>
      </c>
      <c r="AY200" s="631" t="str">
        <f>IF(L200="","",
IF(AX200="PT",VLOOKUP(L200,Foundation_Calc!$K$4:$R$37,VLOOKUP(AW200,Foundation_Calc!$I$2:$J$8,2,FALSE),0),
IF(AX200="K",VLOOKUP(L200,Foundation_Calc!$K$41:$R$74,VLOOKUP(AW200,Foundation_Calc!$I$2:$J$8,2,FALSE),0),"")))</f>
        <v/>
      </c>
      <c r="AZ200" s="631" t="str">
        <f>IF(K200="","",
IF(AX200="PT",VLOOKUP(K200,Foundation_Calc!$K$4:$R$37,VLOOKUP(AW200,Foundation_Calc!$I$2:$J$8,2,FALSE),0),
IF(AX200="K",VLOOKUP(K200,Foundation_Calc!$K$41:$R$74,VLOOKUP(AW200,Foundation_Calc!$I$2:$J$8,2,FALSE),0),"")))</f>
        <v/>
      </c>
      <c r="BA200" s="632" t="str">
        <f t="shared" si="16"/>
        <v/>
      </c>
      <c r="BB200" s="632" t="str">
        <f t="shared" si="17"/>
        <v/>
      </c>
      <c r="BC200" s="632" t="str">
        <f t="shared" si="18"/>
        <v/>
      </c>
      <c r="BD200" s="633" t="str">
        <f>IF(AND(L200="",H200=""),"",
IF(H200="",Pole_Calc!A204,
IF(H200="MP",Pole_Calc!A205,
IF(H200="AnMP",Pole_Calc!A206,
IF(H200="A",Pole_Calc!A207,
IF(H200="S/A",Pole_Calc!A208,
IF(H200="A/S",Pole_Calc!A209,"Poner a mano")))))))</f>
        <v/>
      </c>
      <c r="BE200" s="448" t="s">
        <v>1726</v>
      </c>
      <c r="BF200" s="634"/>
      <c r="BG200" s="634"/>
      <c r="BH200" s="634"/>
      <c r="BI200" s="634"/>
    </row>
    <row r="201" spans="1:61" ht="16.2" customHeight="1">
      <c r="A201" s="12"/>
      <c r="B201" s="446"/>
      <c r="C201" s="89"/>
      <c r="D201" s="13"/>
      <c r="E201" s="14"/>
      <c r="F201" s="14"/>
      <c r="G201" s="15"/>
      <c r="H201" s="8"/>
      <c r="I201" s="8"/>
      <c r="J201" s="89"/>
      <c r="K201" s="8"/>
      <c r="L201" s="8"/>
      <c r="M201" s="8" t="str">
        <f>IF(L201="","",
IF(AX201="PT",VLOOKUP(L201,Foundation_Calc!$V$4:$X$37,VLOOKUP(AX201,Foundation_Calc!$I$10:$J$13,2,FALSE),0),
IF(AX201="K",VLOOKUP(L201,Foundation_Calc!$V$41:$X$74,VLOOKUP(AX201,Foundation_Calc!$I$10:$J$13,2,FALSE),0),"")))</f>
        <v/>
      </c>
      <c r="N201" s="8"/>
      <c r="O201" s="8"/>
      <c r="P201" s="8"/>
      <c r="Q201" s="14"/>
      <c r="R201" s="15"/>
      <c r="S201" s="15"/>
      <c r="T201" s="14"/>
      <c r="U201" s="14"/>
      <c r="V201" s="14"/>
      <c r="W201" s="18"/>
      <c r="X201" s="18"/>
      <c r="Y201" s="18"/>
      <c r="Z201" s="18"/>
      <c r="AA201" s="18"/>
      <c r="AB201" s="18"/>
      <c r="AC201" s="8" t="str">
        <f t="shared" si="15"/>
        <v/>
      </c>
      <c r="AD201" s="8"/>
      <c r="AE201" s="8"/>
      <c r="AF201" s="14"/>
      <c r="AG201" s="13"/>
      <c r="AH201" s="14"/>
      <c r="AI201" s="14"/>
      <c r="AJ201" s="8"/>
      <c r="AK201" s="8"/>
      <c r="AL201" s="8"/>
      <c r="AM201" s="8"/>
      <c r="AN201" s="631"/>
      <c r="AO201" s="18"/>
      <c r="AP201" s="18"/>
      <c r="AQ201" s="18"/>
      <c r="AR201" s="18"/>
      <c r="AS201" s="18"/>
      <c r="AU201" s="448"/>
      <c r="AV201" s="448"/>
      <c r="AW201" s="8" t="str">
        <f>IF(C201&gt;0,VLOOKUP(C201,Foundation_Calc!$A$2:$C$986,3,1),
IF(J201&gt;0,VLOOKUP(J201,Foundation_Calc!$A$2:$C$986,3,1),""))</f>
        <v/>
      </c>
      <c r="AX201" s="8" t="str">
        <f>IF(C201&gt;0,VLOOKUP(C201,Foundation_Calc!$E$2:$G$986,3,1),
IF(J201&gt;0,VLOOKUP(J201,Foundation_Calc!$E$2:$G$986,3,1),""))</f>
        <v/>
      </c>
      <c r="AY201" s="631" t="str">
        <f>IF(L201="","",
IF(AX201="PT",VLOOKUP(L201,Foundation_Calc!$K$4:$R$37,VLOOKUP(AW201,Foundation_Calc!$I$2:$J$8,2,FALSE),0),
IF(AX201="K",VLOOKUP(L201,Foundation_Calc!$K$41:$R$74,VLOOKUP(AW201,Foundation_Calc!$I$2:$J$8,2,FALSE),0),"")))</f>
        <v/>
      </c>
      <c r="AZ201" s="631" t="str">
        <f>IF(K201="","",
IF(AX201="PT",VLOOKUP(K201,Foundation_Calc!$K$4:$R$37,VLOOKUP(AW201,Foundation_Calc!$I$2:$J$8,2,FALSE),0),
IF(AX201="K",VLOOKUP(K201,Foundation_Calc!$K$41:$R$74,VLOOKUP(AW201,Foundation_Calc!$I$2:$J$8,2,FALSE),0),"")))</f>
        <v/>
      </c>
      <c r="BA201" s="632" t="str">
        <f t="shared" si="16"/>
        <v/>
      </c>
      <c r="BB201" s="632" t="str">
        <f t="shared" si="17"/>
        <v/>
      </c>
      <c r="BC201" s="632" t="str">
        <f t="shared" si="18"/>
        <v/>
      </c>
      <c r="BD201" s="633" t="str">
        <f>IF(AND(L201="",H201=""),"",
IF(H201="",Pole_Calc!A205,
IF(H201="MP",Pole_Calc!A206,
IF(H201="AnMP",Pole_Calc!A207,
IF(H201="A",Pole_Calc!A208,
IF(H201="S/A",Pole_Calc!A209,
IF(H201="A/S",Pole_Calc!A210,"Poner a mano")))))))</f>
        <v/>
      </c>
      <c r="BE201" s="448" t="s">
        <v>1726</v>
      </c>
      <c r="BF201" s="635"/>
      <c r="BG201" s="635"/>
      <c r="BH201" s="634"/>
      <c r="BI201" s="635"/>
    </row>
    <row r="202" spans="1:61" ht="16.2" customHeight="1">
      <c r="A202" s="12"/>
      <c r="B202" s="446"/>
      <c r="C202" s="89"/>
      <c r="D202" s="13"/>
      <c r="E202" s="14"/>
      <c r="F202" s="14"/>
      <c r="G202" s="15"/>
      <c r="H202" s="8"/>
      <c r="I202" s="8"/>
      <c r="J202" s="89"/>
      <c r="K202" s="8"/>
      <c r="L202" s="8"/>
      <c r="M202" s="8" t="str">
        <f>IF(L202="","",
IF(AX202="PT",VLOOKUP(L202,Foundation_Calc!$V$4:$X$37,VLOOKUP(AX202,Foundation_Calc!$I$10:$J$13,2,FALSE),0),
IF(AX202="K",VLOOKUP(L202,Foundation_Calc!$V$41:$X$74,VLOOKUP(AX202,Foundation_Calc!$I$10:$J$13,2,FALSE),0),"")))</f>
        <v/>
      </c>
      <c r="N202" s="8"/>
      <c r="O202" s="8"/>
      <c r="P202" s="8"/>
      <c r="Q202" s="14"/>
      <c r="R202" s="15"/>
      <c r="S202" s="15"/>
      <c r="T202" s="14"/>
      <c r="U202" s="14"/>
      <c r="V202" s="14"/>
      <c r="W202" s="18"/>
      <c r="X202" s="18"/>
      <c r="Y202" s="18"/>
      <c r="Z202" s="18"/>
      <c r="AA202" s="18"/>
      <c r="AB202" s="18"/>
      <c r="AC202" s="8" t="str">
        <f t="shared" si="15"/>
        <v/>
      </c>
      <c r="AD202" s="8"/>
      <c r="AE202" s="8"/>
      <c r="AF202" s="14"/>
      <c r="AG202" s="13"/>
      <c r="AH202" s="14"/>
      <c r="AI202" s="14"/>
      <c r="AJ202" s="8"/>
      <c r="AK202" s="8"/>
      <c r="AL202" s="8"/>
      <c r="AM202" s="8"/>
      <c r="AN202" s="631"/>
      <c r="AO202" s="18"/>
      <c r="AP202" s="18"/>
      <c r="AQ202" s="18"/>
      <c r="AR202" s="18"/>
      <c r="AS202" s="18"/>
      <c r="AU202" s="448"/>
      <c r="AV202" s="448"/>
      <c r="AW202" s="8" t="str">
        <f>IF(C202&gt;0,VLOOKUP(C202,Foundation_Calc!$A$2:$C$986,3,1),
IF(J202&gt;0,VLOOKUP(J202,Foundation_Calc!$A$2:$C$986,3,1),""))</f>
        <v/>
      </c>
      <c r="AX202" s="8" t="str">
        <f>IF(C202&gt;0,VLOOKUP(C202,Foundation_Calc!$E$2:$G$986,3,1),
IF(J202&gt;0,VLOOKUP(J202,Foundation_Calc!$E$2:$G$986,3,1),""))</f>
        <v/>
      </c>
      <c r="AY202" s="631" t="str">
        <f>IF(L202="","",
IF(AX202="PT",VLOOKUP(L202,Foundation_Calc!$K$4:$R$37,VLOOKUP(AW202,Foundation_Calc!$I$2:$J$8,2,FALSE),0),
IF(AX202="K",VLOOKUP(L202,Foundation_Calc!$K$41:$R$74,VLOOKUP(AW202,Foundation_Calc!$I$2:$J$8,2,FALSE),0),"")))</f>
        <v/>
      </c>
      <c r="AZ202" s="631" t="str">
        <f>IF(K202="","",
IF(AX202="PT",VLOOKUP(K202,Foundation_Calc!$K$4:$R$37,VLOOKUP(AW202,Foundation_Calc!$I$2:$J$8,2,FALSE),0),
IF(AX202="K",VLOOKUP(K202,Foundation_Calc!$K$41:$R$74,VLOOKUP(AW202,Foundation_Calc!$I$2:$J$8,2,FALSE),0),"")))</f>
        <v/>
      </c>
      <c r="BA202" s="632" t="str">
        <f t="shared" si="16"/>
        <v/>
      </c>
      <c r="BB202" s="632" t="str">
        <f t="shared" si="17"/>
        <v/>
      </c>
      <c r="BC202" s="632" t="str">
        <f t="shared" si="18"/>
        <v/>
      </c>
      <c r="BD202" s="633" t="str">
        <f>IF(AND(L202="",H202=""),"",
IF(H202="",Pole_Calc!A206,
IF(H202="MP",Pole_Calc!A207,
IF(H202="AnMP",Pole_Calc!A208,
IF(H202="A",Pole_Calc!A209,
IF(H202="S/A",Pole_Calc!A210,
IF(H202="A/S",Pole_Calc!A211,"Poner a mano")))))))</f>
        <v/>
      </c>
      <c r="BE202" s="448" t="s">
        <v>1726</v>
      </c>
      <c r="BF202" s="634"/>
      <c r="BG202" s="634"/>
      <c r="BH202" s="634"/>
      <c r="BI202" s="634"/>
    </row>
    <row r="203" spans="1:61" ht="16.2" customHeight="1">
      <c r="A203" s="12"/>
      <c r="B203" s="446"/>
      <c r="C203" s="89"/>
      <c r="D203" s="13"/>
      <c r="E203" s="14"/>
      <c r="F203" s="14"/>
      <c r="G203" s="15"/>
      <c r="H203" s="8"/>
      <c r="I203" s="8"/>
      <c r="J203" s="89"/>
      <c r="K203" s="8"/>
      <c r="L203" s="8"/>
      <c r="M203" s="8" t="str">
        <f>IF(L203="","",
IF(AX203="PT",VLOOKUP(L203,Foundation_Calc!$V$4:$X$37,VLOOKUP(AX203,Foundation_Calc!$I$10:$J$13,2,FALSE),0),
IF(AX203="K",VLOOKUP(L203,Foundation_Calc!$V$41:$X$74,VLOOKUP(AX203,Foundation_Calc!$I$10:$J$13,2,FALSE),0),"")))</f>
        <v/>
      </c>
      <c r="N203" s="8"/>
      <c r="O203" s="8"/>
      <c r="P203" s="8"/>
      <c r="Q203" s="14"/>
      <c r="R203" s="15"/>
      <c r="S203" s="15"/>
      <c r="T203" s="14"/>
      <c r="U203" s="14"/>
      <c r="V203" s="14"/>
      <c r="W203" s="18"/>
      <c r="X203" s="18"/>
      <c r="Y203" s="18"/>
      <c r="Z203" s="18"/>
      <c r="AA203" s="18"/>
      <c r="AB203" s="18"/>
      <c r="AC203" s="8" t="str">
        <f t="shared" si="15"/>
        <v/>
      </c>
      <c r="AD203" s="8"/>
      <c r="AE203" s="8"/>
      <c r="AF203" s="14"/>
      <c r="AG203" s="13"/>
      <c r="AH203" s="14"/>
      <c r="AI203" s="14"/>
      <c r="AJ203" s="8"/>
      <c r="AK203" s="8"/>
      <c r="AL203" s="8"/>
      <c r="AM203" s="8"/>
      <c r="AN203" s="631"/>
      <c r="AO203" s="18"/>
      <c r="AP203" s="18"/>
      <c r="AQ203" s="18"/>
      <c r="AR203" s="18"/>
      <c r="AS203" s="18"/>
      <c r="AU203" s="448"/>
      <c r="AV203" s="448"/>
      <c r="AW203" s="8" t="str">
        <f>IF(C203&gt;0,VLOOKUP(C203,Foundation_Calc!$A$2:$C$986,3,1),
IF(J203&gt;0,VLOOKUP(J203,Foundation_Calc!$A$2:$C$986,3,1),""))</f>
        <v/>
      </c>
      <c r="AX203" s="8" t="str">
        <f>IF(C203&gt;0,VLOOKUP(C203,Foundation_Calc!$E$2:$G$986,3,1),
IF(J203&gt;0,VLOOKUP(J203,Foundation_Calc!$E$2:$G$986,3,1),""))</f>
        <v/>
      </c>
      <c r="AY203" s="631" t="str">
        <f>IF(L203="","",
IF(AX203="PT",VLOOKUP(L203,Foundation_Calc!$K$4:$R$37,VLOOKUP(AW203,Foundation_Calc!$I$2:$J$8,2,FALSE),0),
IF(AX203="K",VLOOKUP(L203,Foundation_Calc!$K$41:$R$74,VLOOKUP(AW203,Foundation_Calc!$I$2:$J$8,2,FALSE),0),"")))</f>
        <v/>
      </c>
      <c r="AZ203" s="631" t="str">
        <f>IF(K203="","",
IF(AX203="PT",VLOOKUP(K203,Foundation_Calc!$K$4:$R$37,VLOOKUP(AW203,Foundation_Calc!$I$2:$J$8,2,FALSE),0),
IF(AX203="K",VLOOKUP(K203,Foundation_Calc!$K$41:$R$74,VLOOKUP(AW203,Foundation_Calc!$I$2:$J$8,2,FALSE),0),"")))</f>
        <v/>
      </c>
      <c r="BA203" s="632" t="str">
        <f t="shared" si="16"/>
        <v/>
      </c>
      <c r="BB203" s="632" t="str">
        <f t="shared" si="17"/>
        <v/>
      </c>
      <c r="BC203" s="632" t="str">
        <f t="shared" si="18"/>
        <v/>
      </c>
      <c r="BD203" s="633" t="str">
        <f>IF(AND(L203="",H203=""),"",
IF(H203="",Pole_Calc!A207,
IF(H203="MP",Pole_Calc!A208,
IF(H203="AnMP",Pole_Calc!A209,
IF(H203="A",Pole_Calc!A210,
IF(H203="S/A",Pole_Calc!A211,
IF(H203="A/S",Pole_Calc!A212,"Poner a mano")))))))</f>
        <v/>
      </c>
      <c r="BE203" s="448" t="s">
        <v>1726</v>
      </c>
      <c r="BF203" s="635"/>
      <c r="BG203" s="635"/>
      <c r="BH203" s="634"/>
      <c r="BI203" s="635"/>
    </row>
    <row r="204" spans="1:61" ht="16.2" customHeight="1">
      <c r="A204" s="12"/>
      <c r="B204" s="446"/>
      <c r="C204" s="89"/>
      <c r="D204" s="13"/>
      <c r="E204" s="14"/>
      <c r="F204" s="14"/>
      <c r="G204" s="15"/>
      <c r="H204" s="8"/>
      <c r="I204" s="8"/>
      <c r="J204" s="89"/>
      <c r="K204" s="8"/>
      <c r="L204" s="8"/>
      <c r="M204" s="8" t="str">
        <f>IF(L204="","",
IF(AX204="PT",VLOOKUP(L204,Foundation_Calc!$V$4:$X$37,VLOOKUP(AX204,Foundation_Calc!$I$10:$J$13,2,FALSE),0),
IF(AX204="K",VLOOKUP(L204,Foundation_Calc!$V$41:$X$74,VLOOKUP(AX204,Foundation_Calc!$I$10:$J$13,2,FALSE),0),"")))</f>
        <v/>
      </c>
      <c r="N204" s="8"/>
      <c r="O204" s="8"/>
      <c r="P204" s="8"/>
      <c r="Q204" s="14"/>
      <c r="R204" s="15"/>
      <c r="S204" s="15"/>
      <c r="T204" s="14"/>
      <c r="U204" s="14"/>
      <c r="V204" s="14"/>
      <c r="W204" s="18"/>
      <c r="X204" s="18"/>
      <c r="Y204" s="18"/>
      <c r="Z204" s="18"/>
      <c r="AA204" s="18"/>
      <c r="AB204" s="18"/>
      <c r="AC204" s="8" t="str">
        <f t="shared" si="15"/>
        <v/>
      </c>
      <c r="AD204" s="8"/>
      <c r="AE204" s="8"/>
      <c r="AF204" s="14"/>
      <c r="AG204" s="13"/>
      <c r="AH204" s="14"/>
      <c r="AI204" s="14"/>
      <c r="AJ204" s="8"/>
      <c r="AK204" s="8"/>
      <c r="AL204" s="8"/>
      <c r="AM204" s="8"/>
      <c r="AN204" s="631"/>
      <c r="AO204" s="18"/>
      <c r="AP204" s="18"/>
      <c r="AQ204" s="18"/>
      <c r="AR204" s="18"/>
      <c r="AS204" s="18"/>
      <c r="AU204" s="448"/>
      <c r="AV204" s="448"/>
      <c r="AW204" s="8" t="str">
        <f>IF(C204&gt;0,VLOOKUP(C204,Foundation_Calc!$A$2:$C$986,3,1),
IF(J204&gt;0,VLOOKUP(J204,Foundation_Calc!$A$2:$C$986,3,1),""))</f>
        <v/>
      </c>
      <c r="AX204" s="8" t="str">
        <f>IF(C204&gt;0,VLOOKUP(C204,Foundation_Calc!$E$2:$G$986,3,1),
IF(J204&gt;0,VLOOKUP(J204,Foundation_Calc!$E$2:$G$986,3,1),""))</f>
        <v/>
      </c>
      <c r="AY204" s="631" t="str">
        <f>IF(L204="","",
IF(AX204="PT",VLOOKUP(L204,Foundation_Calc!$K$4:$R$37,VLOOKUP(AW204,Foundation_Calc!$I$2:$J$8,2,FALSE),0),
IF(AX204="K",VLOOKUP(L204,Foundation_Calc!$K$41:$R$74,VLOOKUP(AW204,Foundation_Calc!$I$2:$J$8,2,FALSE),0),"")))</f>
        <v/>
      </c>
      <c r="AZ204" s="631" t="str">
        <f>IF(K204="","",
IF(AX204="PT",VLOOKUP(K204,Foundation_Calc!$K$4:$R$37,VLOOKUP(AW204,Foundation_Calc!$I$2:$J$8,2,FALSE),0),
IF(AX204="K",VLOOKUP(K204,Foundation_Calc!$K$41:$R$74,VLOOKUP(AW204,Foundation_Calc!$I$2:$J$8,2,FALSE),0),"")))</f>
        <v/>
      </c>
      <c r="BA204" s="632" t="str">
        <f t="shared" si="16"/>
        <v/>
      </c>
      <c r="BB204" s="632" t="str">
        <f t="shared" si="17"/>
        <v/>
      </c>
      <c r="BC204" s="632" t="str">
        <f t="shared" si="18"/>
        <v/>
      </c>
      <c r="BD204" s="633" t="str">
        <f>IF(AND(L204="",H204=""),"",
IF(H204="",Pole_Calc!A208,
IF(H204="MP",Pole_Calc!A209,
IF(H204="AnMP",Pole_Calc!A210,
IF(H204="A",Pole_Calc!A211,
IF(H204="S/A",Pole_Calc!A212,
IF(H204="A/S",Pole_Calc!A213,"Poner a mano")))))))</f>
        <v/>
      </c>
      <c r="BE204" s="448" t="s">
        <v>1726</v>
      </c>
      <c r="BF204" s="634"/>
      <c r="BG204" s="634"/>
      <c r="BH204" s="634"/>
      <c r="BI204" s="634"/>
    </row>
    <row r="205" spans="1:61" ht="16.2" customHeight="1">
      <c r="A205" s="12"/>
      <c r="B205" s="446"/>
      <c r="C205" s="89"/>
      <c r="D205" s="13"/>
      <c r="E205" s="14"/>
      <c r="F205" s="14"/>
      <c r="G205" s="15"/>
      <c r="H205" s="8"/>
      <c r="I205" s="8"/>
      <c r="J205" s="89"/>
      <c r="K205" s="8"/>
      <c r="L205" s="8"/>
      <c r="M205" s="8" t="str">
        <f>IF(L205="","",
IF(AX205="PT",VLOOKUP(L205,Foundation_Calc!$V$4:$X$37,VLOOKUP(AX205,Foundation_Calc!$I$10:$J$13,2,FALSE),0),
IF(AX205="K",VLOOKUP(L205,Foundation_Calc!$V$41:$X$74,VLOOKUP(AX205,Foundation_Calc!$I$10:$J$13,2,FALSE),0),"")))</f>
        <v/>
      </c>
      <c r="N205" s="8"/>
      <c r="O205" s="8"/>
      <c r="P205" s="8"/>
      <c r="Q205" s="14"/>
      <c r="R205" s="15"/>
      <c r="S205" s="15"/>
      <c r="T205" s="14"/>
      <c r="U205" s="14"/>
      <c r="V205" s="14"/>
      <c r="W205" s="18"/>
      <c r="X205" s="18"/>
      <c r="Y205" s="18"/>
      <c r="Z205" s="18"/>
      <c r="AA205" s="18"/>
      <c r="AB205" s="18"/>
      <c r="AC205" s="8" t="str">
        <f t="shared" si="15"/>
        <v/>
      </c>
      <c r="AD205" s="8"/>
      <c r="AE205" s="8"/>
      <c r="AF205" s="14"/>
      <c r="AG205" s="13"/>
      <c r="AH205" s="14"/>
      <c r="AI205" s="14"/>
      <c r="AJ205" s="8"/>
      <c r="AK205" s="8"/>
      <c r="AL205" s="8"/>
      <c r="AM205" s="8"/>
      <c r="AN205" s="631"/>
      <c r="AO205" s="18"/>
      <c r="AP205" s="18"/>
      <c r="AQ205" s="18"/>
      <c r="AR205" s="18"/>
      <c r="AS205" s="18"/>
      <c r="AU205" s="448"/>
      <c r="AV205" s="448"/>
      <c r="AW205" s="8" t="str">
        <f>IF(C205&gt;0,VLOOKUP(C205,Foundation_Calc!$A$2:$C$986,3,1),
IF(J205&gt;0,VLOOKUP(J205,Foundation_Calc!$A$2:$C$986,3,1),""))</f>
        <v/>
      </c>
      <c r="AX205" s="8" t="str">
        <f>IF(C205&gt;0,VLOOKUP(C205,Foundation_Calc!$E$2:$G$986,3,1),
IF(J205&gt;0,VLOOKUP(J205,Foundation_Calc!$E$2:$G$986,3,1),""))</f>
        <v/>
      </c>
      <c r="AY205" s="631" t="str">
        <f>IF(L205="","",
IF(AX205="PT",VLOOKUP(L205,Foundation_Calc!$K$4:$R$37,VLOOKUP(AW205,Foundation_Calc!$I$2:$J$8,2,FALSE),0),
IF(AX205="K",VLOOKUP(L205,Foundation_Calc!$K$41:$R$74,VLOOKUP(AW205,Foundation_Calc!$I$2:$J$8,2,FALSE),0),"")))</f>
        <v/>
      </c>
      <c r="AZ205" s="631" t="str">
        <f>IF(K205="","",
IF(AX205="PT",VLOOKUP(K205,Foundation_Calc!$K$4:$R$37,VLOOKUP(AW205,Foundation_Calc!$I$2:$J$8,2,FALSE),0),
IF(AX205="K",VLOOKUP(K205,Foundation_Calc!$K$41:$R$74,VLOOKUP(AW205,Foundation_Calc!$I$2:$J$8,2,FALSE),0),"")))</f>
        <v/>
      </c>
      <c r="BA205" s="632" t="str">
        <f t="shared" si="16"/>
        <v/>
      </c>
      <c r="BB205" s="632" t="str">
        <f t="shared" si="17"/>
        <v/>
      </c>
      <c r="BC205" s="632" t="str">
        <f t="shared" si="18"/>
        <v/>
      </c>
      <c r="BD205" s="633" t="str">
        <f>IF(AND(L205="",H205=""),"",
IF(H205="",Pole_Calc!A209,
IF(H205="MP",Pole_Calc!A210,
IF(H205="AnMP",Pole_Calc!A211,
IF(H205="A",Pole_Calc!A212,
IF(H205="S/A",Pole_Calc!A213,
IF(H205="A/S",Pole_Calc!A214,"Poner a mano")))))))</f>
        <v/>
      </c>
      <c r="BE205" s="448" t="s">
        <v>1726</v>
      </c>
      <c r="BF205" s="635"/>
      <c r="BG205" s="635"/>
      <c r="BH205" s="634"/>
      <c r="BI205" s="635"/>
    </row>
    <row r="206" spans="1:61" ht="16.2" customHeight="1">
      <c r="A206" s="12"/>
      <c r="B206" s="446"/>
      <c r="C206" s="89"/>
      <c r="D206" s="13"/>
      <c r="E206" s="14"/>
      <c r="F206" s="14"/>
      <c r="G206" s="15"/>
      <c r="H206" s="8"/>
      <c r="I206" s="8"/>
      <c r="J206" s="89"/>
      <c r="K206" s="8"/>
      <c r="L206" s="8"/>
      <c r="M206" s="8" t="str">
        <f>IF(L206="","",
IF(AX206="PT",VLOOKUP(L206,Foundation_Calc!$V$4:$X$37,VLOOKUP(AX206,Foundation_Calc!$I$10:$J$13,2,FALSE),0),
IF(AX206="K",VLOOKUP(L206,Foundation_Calc!$V$41:$X$74,VLOOKUP(AX206,Foundation_Calc!$I$10:$J$13,2,FALSE),0),"")))</f>
        <v/>
      </c>
      <c r="N206" s="8"/>
      <c r="O206" s="8"/>
      <c r="P206" s="8"/>
      <c r="Q206" s="14"/>
      <c r="R206" s="15"/>
      <c r="S206" s="15"/>
      <c r="T206" s="14"/>
      <c r="U206" s="14"/>
      <c r="V206" s="14"/>
      <c r="W206" s="18"/>
      <c r="X206" s="18"/>
      <c r="Y206" s="18"/>
      <c r="Z206" s="18"/>
      <c r="AA206" s="18"/>
      <c r="AB206" s="18"/>
      <c r="AC206" s="8" t="str">
        <f t="shared" si="15"/>
        <v/>
      </c>
      <c r="AD206" s="8"/>
      <c r="AE206" s="8"/>
      <c r="AF206" s="14"/>
      <c r="AG206" s="13"/>
      <c r="AH206" s="14"/>
      <c r="AI206" s="14"/>
      <c r="AJ206" s="8"/>
      <c r="AK206" s="8"/>
      <c r="AL206" s="8"/>
      <c r="AM206" s="8"/>
      <c r="AN206" s="631"/>
      <c r="AO206" s="18"/>
      <c r="AP206" s="18"/>
      <c r="AQ206" s="18"/>
      <c r="AR206" s="18"/>
      <c r="AS206" s="18"/>
      <c r="AU206" s="448"/>
      <c r="AV206" s="448"/>
      <c r="AW206" s="8" t="str">
        <f>IF(C206&gt;0,VLOOKUP(C206,Foundation_Calc!$A$2:$C$986,3,1),
IF(J206&gt;0,VLOOKUP(J206,Foundation_Calc!$A$2:$C$986,3,1),""))</f>
        <v/>
      </c>
      <c r="AX206" s="8" t="str">
        <f>IF(C206&gt;0,VLOOKUP(C206,Foundation_Calc!$E$2:$G$986,3,1),
IF(J206&gt;0,VLOOKUP(J206,Foundation_Calc!$E$2:$G$986,3,1),""))</f>
        <v/>
      </c>
      <c r="AY206" s="631" t="str">
        <f>IF(L206="","",
IF(AX206="PT",VLOOKUP(L206,Foundation_Calc!$K$4:$R$37,VLOOKUP(AW206,Foundation_Calc!$I$2:$J$8,2,FALSE),0),
IF(AX206="K",VLOOKUP(L206,Foundation_Calc!$K$41:$R$74,VLOOKUP(AW206,Foundation_Calc!$I$2:$J$8,2,FALSE),0),"")))</f>
        <v/>
      </c>
      <c r="AZ206" s="631" t="str">
        <f>IF(K206="","",
IF(AX206="PT",VLOOKUP(K206,Foundation_Calc!$K$4:$R$37,VLOOKUP(AW206,Foundation_Calc!$I$2:$J$8,2,FALSE),0),
IF(AX206="K",VLOOKUP(K206,Foundation_Calc!$K$41:$R$74,VLOOKUP(AW206,Foundation_Calc!$I$2:$J$8,2,FALSE),0),"")))</f>
        <v/>
      </c>
      <c r="BA206" s="632" t="str">
        <f t="shared" si="16"/>
        <v/>
      </c>
      <c r="BB206" s="632" t="str">
        <f t="shared" si="17"/>
        <v/>
      </c>
      <c r="BC206" s="632" t="str">
        <f t="shared" si="18"/>
        <v/>
      </c>
      <c r="BD206" s="633" t="str">
        <f>IF(AND(L206="",H206=""),"",
IF(H206="",Pole_Calc!A210,
IF(H206="MP",Pole_Calc!A211,
IF(H206="AnMP",Pole_Calc!A212,
IF(H206="A",Pole_Calc!A213,
IF(H206="S/A",Pole_Calc!A214,
IF(H206="A/S",Pole_Calc!A239,"Poner a mano")))))))</f>
        <v/>
      </c>
      <c r="BE206" s="448" t="s">
        <v>1726</v>
      </c>
      <c r="BF206" s="634"/>
      <c r="BG206" s="634"/>
      <c r="BH206" s="634"/>
      <c r="BI206" s="634"/>
    </row>
    <row r="207" spans="1:61" ht="16.2" customHeight="1">
      <c r="A207" s="12"/>
      <c r="B207" s="446"/>
      <c r="C207" s="89"/>
      <c r="D207" s="13"/>
      <c r="E207" s="14"/>
      <c r="F207" s="14"/>
      <c r="G207" s="15"/>
      <c r="H207" s="8"/>
      <c r="I207" s="8"/>
      <c r="J207" s="89"/>
      <c r="K207" s="8"/>
      <c r="L207" s="8"/>
      <c r="M207" s="8" t="str">
        <f>IF(L207="","",
IF(AX207="PT",VLOOKUP(L207,Foundation_Calc!$V$4:$X$37,VLOOKUP(AX207,Foundation_Calc!$I$10:$J$13,2,FALSE),0),
IF(AX207="K",VLOOKUP(L207,Foundation_Calc!$V$41:$X$74,VLOOKUP(AX207,Foundation_Calc!$I$10:$J$13,2,FALSE),0),"")))</f>
        <v/>
      </c>
      <c r="N207" s="8"/>
      <c r="O207" s="8"/>
      <c r="P207" s="8"/>
      <c r="Q207" s="14"/>
      <c r="R207" s="15"/>
      <c r="S207" s="15"/>
      <c r="T207" s="14"/>
      <c r="U207" s="14"/>
      <c r="V207" s="14"/>
      <c r="W207" s="18"/>
      <c r="X207" s="18"/>
      <c r="Y207" s="18"/>
      <c r="Z207" s="18"/>
      <c r="AA207" s="18"/>
      <c r="AB207" s="18"/>
      <c r="AC207" s="8" t="str">
        <f t="shared" si="15"/>
        <v/>
      </c>
      <c r="AD207" s="8"/>
      <c r="AE207" s="8"/>
      <c r="AF207" s="14"/>
      <c r="AG207" s="13"/>
      <c r="AH207" s="14"/>
      <c r="AI207" s="14"/>
      <c r="AJ207" s="8"/>
      <c r="AK207" s="8"/>
      <c r="AL207" s="8"/>
      <c r="AM207" s="8"/>
      <c r="AN207" s="631"/>
      <c r="AO207" s="18"/>
      <c r="AP207" s="18"/>
      <c r="AQ207" s="18"/>
      <c r="AR207" s="18"/>
      <c r="AS207" s="18"/>
      <c r="AU207" s="448"/>
      <c r="AV207" s="448"/>
      <c r="AW207" s="8" t="str">
        <f>IF(C207&gt;0,VLOOKUP(C207,Foundation_Calc!$A$2:$C$986,3,1),
IF(J207&gt;0,VLOOKUP(J207,Foundation_Calc!$A$2:$C$986,3,1),""))</f>
        <v/>
      </c>
      <c r="AX207" s="8" t="str">
        <f>IF(C207&gt;0,VLOOKUP(C207,Foundation_Calc!$E$2:$G$986,3,1),
IF(J207&gt;0,VLOOKUP(J207,Foundation_Calc!$E$2:$G$986,3,1),""))</f>
        <v/>
      </c>
      <c r="AY207" s="631" t="str">
        <f>IF(L207="","",
IF(AX207="PT",VLOOKUP(L207,Foundation_Calc!$K$4:$R$37,VLOOKUP(AW207,Foundation_Calc!$I$2:$J$8,2,FALSE),0),
IF(AX207="K",VLOOKUP(L207,Foundation_Calc!$K$41:$R$74,VLOOKUP(AW207,Foundation_Calc!$I$2:$J$8,2,FALSE),0),"")))</f>
        <v/>
      </c>
      <c r="AZ207" s="631" t="str">
        <f>IF(K207="","",
IF(AX207="PT",VLOOKUP(K207,Foundation_Calc!$K$4:$R$37,VLOOKUP(AW207,Foundation_Calc!$I$2:$J$8,2,FALSE),0),
IF(AX207="K",VLOOKUP(K207,Foundation_Calc!$K$41:$R$74,VLOOKUP(AW207,Foundation_Calc!$I$2:$J$8,2,FALSE),0),"")))</f>
        <v/>
      </c>
      <c r="BA207" s="632" t="str">
        <f t="shared" si="16"/>
        <v/>
      </c>
      <c r="BB207" s="632" t="str">
        <f t="shared" si="17"/>
        <v/>
      </c>
      <c r="BC207" s="632" t="str">
        <f t="shared" si="18"/>
        <v/>
      </c>
      <c r="BD207" s="633" t="str">
        <f>IF(AND(L207="",H207=""),"",
IF(H207="",Pole_Calc!A211,
IF(H207="MP",Pole_Calc!A212,
IF(H207="AnMP",Pole_Calc!A213,
IF(H207="A",Pole_Calc!A214,
IF(H207="S/A",Pole_Calc!A239,
IF(H207="A/S",Pole_Calc!A240,"Poner a mano")))))))</f>
        <v/>
      </c>
      <c r="BE207" s="448" t="s">
        <v>1726</v>
      </c>
      <c r="BF207" s="635"/>
      <c r="BG207" s="635"/>
      <c r="BH207" s="634"/>
      <c r="BI207" s="635"/>
    </row>
    <row r="208" spans="1:61" ht="16.2" customHeight="1">
      <c r="A208" s="12"/>
      <c r="B208" s="446"/>
      <c r="C208" s="89"/>
      <c r="D208" s="13"/>
      <c r="E208" s="14"/>
      <c r="F208" s="14"/>
      <c r="G208" s="15"/>
      <c r="H208" s="8"/>
      <c r="I208" s="8"/>
      <c r="J208" s="89"/>
      <c r="K208" s="8"/>
      <c r="L208" s="8"/>
      <c r="M208" s="8" t="str">
        <f>IF(L208="","",
IF(AX208="PT",VLOOKUP(L208,Foundation_Calc!$V$4:$X$37,VLOOKUP(AX208,Foundation_Calc!$I$10:$J$13,2,FALSE),0),
IF(AX208="K",VLOOKUP(L208,Foundation_Calc!$V$41:$X$74,VLOOKUP(AX208,Foundation_Calc!$I$10:$J$13,2,FALSE),0),"")))</f>
        <v/>
      </c>
      <c r="N208" s="8"/>
      <c r="O208" s="8"/>
      <c r="P208" s="8"/>
      <c r="Q208" s="14"/>
      <c r="R208" s="15"/>
      <c r="S208" s="15"/>
      <c r="T208" s="14"/>
      <c r="U208" s="14"/>
      <c r="V208" s="14"/>
      <c r="W208" s="18"/>
      <c r="X208" s="18"/>
      <c r="Y208" s="18"/>
      <c r="Z208" s="18"/>
      <c r="AA208" s="18"/>
      <c r="AB208" s="18"/>
      <c r="AC208" s="8" t="str">
        <f t="shared" si="15"/>
        <v/>
      </c>
      <c r="AD208" s="8"/>
      <c r="AE208" s="8"/>
      <c r="AF208" s="14"/>
      <c r="AG208" s="13"/>
      <c r="AH208" s="14"/>
      <c r="AI208" s="14"/>
      <c r="AJ208" s="8"/>
      <c r="AK208" s="8"/>
      <c r="AL208" s="8"/>
      <c r="AM208" s="8"/>
      <c r="AN208" s="631"/>
      <c r="AO208" s="18"/>
      <c r="AP208" s="18"/>
      <c r="AQ208" s="18"/>
      <c r="AR208" s="18"/>
      <c r="AS208" s="18"/>
      <c r="AU208" s="448"/>
      <c r="AV208" s="448"/>
      <c r="AW208" s="8" t="str">
        <f>IF(C208&gt;0,VLOOKUP(C208,Foundation_Calc!$A$2:$C$986,3,1),
IF(J208&gt;0,VLOOKUP(J208,Foundation_Calc!$A$2:$C$986,3,1),""))</f>
        <v/>
      </c>
      <c r="AX208" s="8" t="str">
        <f>IF(C208&gt;0,VLOOKUP(C208,Foundation_Calc!$E$2:$G$986,3,1),
IF(J208&gt;0,VLOOKUP(J208,Foundation_Calc!$E$2:$G$986,3,1),""))</f>
        <v/>
      </c>
      <c r="AY208" s="631" t="str">
        <f>IF(L208="","",
IF(AX208="PT",VLOOKUP(L208,Foundation_Calc!$K$4:$R$37,VLOOKUP(AW208,Foundation_Calc!$I$2:$J$8,2,FALSE),0),
IF(AX208="K",VLOOKUP(L208,Foundation_Calc!$K$41:$R$74,VLOOKUP(AW208,Foundation_Calc!$I$2:$J$8,2,FALSE),0),"")))</f>
        <v/>
      </c>
      <c r="AZ208" s="631" t="str">
        <f>IF(K208="","",
IF(AX208="PT",VLOOKUP(K208,Foundation_Calc!$K$4:$R$37,VLOOKUP(AW208,Foundation_Calc!$I$2:$J$8,2,FALSE),0),
IF(AX208="K",VLOOKUP(K208,Foundation_Calc!$K$41:$R$74,VLOOKUP(AW208,Foundation_Calc!$I$2:$J$8,2,FALSE),0),"")))</f>
        <v/>
      </c>
      <c r="BA208" s="632" t="str">
        <f t="shared" si="16"/>
        <v/>
      </c>
      <c r="BB208" s="632" t="str">
        <f t="shared" si="17"/>
        <v/>
      </c>
      <c r="BC208" s="632" t="str">
        <f t="shared" si="18"/>
        <v/>
      </c>
      <c r="BD208" s="633" t="str">
        <f>IF(AND(L208="",H208=""),"",
IF(H208="",Pole_Calc!A212,
IF(H208="MP",Pole_Calc!A213,
IF(H208="AnMP",Pole_Calc!A214,
IF(H208="A",Pole_Calc!A239,
IF(H208="S/A",Pole_Calc!A240,
IF(H208="A/S",Pole_Calc!A241,"Poner a mano")))))))</f>
        <v/>
      </c>
      <c r="BE208" s="448" t="s">
        <v>1726</v>
      </c>
      <c r="BF208" s="634"/>
      <c r="BG208" s="634"/>
      <c r="BH208" s="634"/>
      <c r="BI208" s="634"/>
    </row>
    <row r="209" spans="1:61" ht="16.2" customHeight="1">
      <c r="A209" s="12"/>
      <c r="B209" s="446"/>
      <c r="C209" s="89"/>
      <c r="D209" s="13"/>
      <c r="E209" s="14"/>
      <c r="F209" s="14"/>
      <c r="G209" s="15"/>
      <c r="H209" s="8"/>
      <c r="I209" s="8"/>
      <c r="J209" s="89"/>
      <c r="K209" s="8"/>
      <c r="L209" s="8"/>
      <c r="M209" s="8" t="str">
        <f>IF(L209="","",
IF(AX209="PT",VLOOKUP(L209,Foundation_Calc!$V$4:$X$37,VLOOKUP(AX209,Foundation_Calc!$I$10:$J$13,2,FALSE),0),
IF(AX209="K",VLOOKUP(L209,Foundation_Calc!$V$41:$X$74,VLOOKUP(AX209,Foundation_Calc!$I$10:$J$13,2,FALSE),0),"")))</f>
        <v/>
      </c>
      <c r="N209" s="8"/>
      <c r="O209" s="8"/>
      <c r="P209" s="8"/>
      <c r="Q209" s="14"/>
      <c r="R209" s="15"/>
      <c r="S209" s="15"/>
      <c r="T209" s="14"/>
      <c r="U209" s="14"/>
      <c r="V209" s="14"/>
      <c r="W209" s="18"/>
      <c r="X209" s="18"/>
      <c r="Y209" s="18"/>
      <c r="Z209" s="18"/>
      <c r="AA209" s="18"/>
      <c r="AB209" s="18"/>
      <c r="AC209" s="8" t="str">
        <f t="shared" si="15"/>
        <v/>
      </c>
      <c r="AD209" s="8"/>
      <c r="AE209" s="8"/>
      <c r="AF209" s="14"/>
      <c r="AG209" s="13"/>
      <c r="AH209" s="14"/>
      <c r="AI209" s="14"/>
      <c r="AJ209" s="8"/>
      <c r="AK209" s="8"/>
      <c r="AL209" s="8"/>
      <c r="AM209" s="8"/>
      <c r="AN209" s="631"/>
      <c r="AO209" s="18"/>
      <c r="AP209" s="18"/>
      <c r="AQ209" s="18"/>
      <c r="AR209" s="18"/>
      <c r="AS209" s="18"/>
      <c r="AU209" s="448"/>
      <c r="AV209" s="448"/>
      <c r="AW209" s="8" t="str">
        <f>IF(C209&gt;0,VLOOKUP(C209,Foundation_Calc!$A$2:$C$986,3,1),
IF(J209&gt;0,VLOOKUP(J209,Foundation_Calc!$A$2:$C$986,3,1),""))</f>
        <v/>
      </c>
      <c r="AX209" s="8" t="str">
        <f>IF(C209&gt;0,VLOOKUP(C209,Foundation_Calc!$E$2:$G$986,3,1),
IF(J209&gt;0,VLOOKUP(J209,Foundation_Calc!$E$2:$G$986,3,1),""))</f>
        <v/>
      </c>
      <c r="AY209" s="631" t="str">
        <f>IF(L209="","",
IF(AX209="PT",VLOOKUP(L209,Foundation_Calc!$K$4:$R$37,VLOOKUP(AW209,Foundation_Calc!$I$2:$J$8,2,FALSE),0),
IF(AX209="K",VLOOKUP(L209,Foundation_Calc!$K$41:$R$74,VLOOKUP(AW209,Foundation_Calc!$I$2:$J$8,2,FALSE),0),"")))</f>
        <v/>
      </c>
      <c r="AZ209" s="631" t="str">
        <f>IF(K209="","",
IF(AX209="PT",VLOOKUP(K209,Foundation_Calc!$K$4:$R$37,VLOOKUP(AW209,Foundation_Calc!$I$2:$J$8,2,FALSE),0),
IF(AX209="K",VLOOKUP(K209,Foundation_Calc!$K$41:$R$74,VLOOKUP(AW209,Foundation_Calc!$I$2:$J$8,2,FALSE),0),"")))</f>
        <v/>
      </c>
      <c r="BA209" s="632" t="str">
        <f t="shared" si="16"/>
        <v/>
      </c>
      <c r="BB209" s="632" t="str">
        <f t="shared" si="17"/>
        <v/>
      </c>
      <c r="BC209" s="632" t="str">
        <f t="shared" si="18"/>
        <v/>
      </c>
      <c r="BD209" s="633" t="str">
        <f>IF(AND(L209="",H209=""),"",
IF(H209="",Pole_Calc!A213,
IF(H209="MP",Pole_Calc!A214,
IF(H209="AnMP",Pole_Calc!A239,
IF(H209="A",Pole_Calc!A240,
IF(H209="S/A",Pole_Calc!A241,
IF(H209="A/S",Pole_Calc!A242,"Poner a mano")))))))</f>
        <v/>
      </c>
      <c r="BE209" s="448" t="s">
        <v>1726</v>
      </c>
      <c r="BF209" s="635"/>
      <c r="BG209" s="635"/>
      <c r="BH209" s="634"/>
      <c r="BI209" s="635"/>
    </row>
    <row r="210" spans="1:61" ht="16.2" customHeight="1">
      <c r="A210" s="12"/>
      <c r="B210" s="446"/>
      <c r="C210" s="89"/>
      <c r="D210" s="13"/>
      <c r="E210" s="14"/>
      <c r="F210" s="14"/>
      <c r="G210" s="15"/>
      <c r="H210" s="8"/>
      <c r="I210" s="8"/>
      <c r="J210" s="89"/>
      <c r="K210" s="8"/>
      <c r="L210" s="8"/>
      <c r="M210" s="8" t="str">
        <f>IF(L210="","",
IF(AX210="PT",VLOOKUP(L210,Foundation_Calc!$V$4:$X$37,VLOOKUP(AX210,Foundation_Calc!$I$10:$J$13,2,FALSE),0),
IF(AX210="K",VLOOKUP(L210,Foundation_Calc!$V$41:$X$74,VLOOKUP(AX210,Foundation_Calc!$I$10:$J$13,2,FALSE),0),"")))</f>
        <v/>
      </c>
      <c r="N210" s="8"/>
      <c r="O210" s="8"/>
      <c r="P210" s="8"/>
      <c r="Q210" s="14"/>
      <c r="R210" s="15"/>
      <c r="S210" s="15"/>
      <c r="T210" s="14"/>
      <c r="U210" s="14"/>
      <c r="V210" s="14"/>
      <c r="W210" s="18"/>
      <c r="X210" s="18"/>
      <c r="Y210" s="18"/>
      <c r="Z210" s="18"/>
      <c r="AA210" s="18"/>
      <c r="AB210" s="18"/>
      <c r="AC210" s="8" t="str">
        <f t="shared" si="15"/>
        <v/>
      </c>
      <c r="AD210" s="8"/>
      <c r="AE210" s="8"/>
      <c r="AF210" s="14"/>
      <c r="AG210" s="13"/>
      <c r="AH210" s="14"/>
      <c r="AI210" s="14"/>
      <c r="AJ210" s="8"/>
      <c r="AK210" s="8"/>
      <c r="AL210" s="8"/>
      <c r="AM210" s="8"/>
      <c r="AN210" s="631"/>
      <c r="AO210" s="18"/>
      <c r="AP210" s="18"/>
      <c r="AQ210" s="18"/>
      <c r="AR210" s="18"/>
      <c r="AS210" s="18"/>
      <c r="AU210" s="448"/>
      <c r="AV210" s="448"/>
      <c r="AW210" s="8" t="str">
        <f>IF(C210&gt;0,VLOOKUP(C210,Foundation_Calc!$A$2:$C$986,3,1),
IF(J210&gt;0,VLOOKUP(J210,Foundation_Calc!$A$2:$C$986,3,1),""))</f>
        <v/>
      </c>
      <c r="AX210" s="8" t="str">
        <f>IF(C210&gt;0,VLOOKUP(C210,Foundation_Calc!$E$2:$G$986,3,1),
IF(J210&gt;0,VLOOKUP(J210,Foundation_Calc!$E$2:$G$986,3,1),""))</f>
        <v/>
      </c>
      <c r="AY210" s="631" t="str">
        <f>IF(L210="","",
IF(AX210="PT",VLOOKUP(L210,Foundation_Calc!$K$4:$R$37,VLOOKUP(AW210,Foundation_Calc!$I$2:$J$8,2,FALSE),0),
IF(AX210="K",VLOOKUP(L210,Foundation_Calc!$K$41:$R$74,VLOOKUP(AW210,Foundation_Calc!$I$2:$J$8,2,FALSE),0),"")))</f>
        <v/>
      </c>
      <c r="AZ210" s="631" t="str">
        <f>IF(K210="","",
IF(AX210="PT",VLOOKUP(K210,Foundation_Calc!$K$4:$R$37,VLOOKUP(AW210,Foundation_Calc!$I$2:$J$8,2,FALSE),0),
IF(AX210="K",VLOOKUP(K210,Foundation_Calc!$K$41:$R$74,VLOOKUP(AW210,Foundation_Calc!$I$2:$J$8,2,FALSE),0),"")))</f>
        <v/>
      </c>
      <c r="BA210" s="632" t="str">
        <f t="shared" si="16"/>
        <v/>
      </c>
      <c r="BB210" s="632" t="str">
        <f t="shared" si="17"/>
        <v/>
      </c>
      <c r="BC210" s="632" t="str">
        <f t="shared" si="18"/>
        <v/>
      </c>
      <c r="BD210" s="633" t="str">
        <f>IF(AND(L210="",H210=""),"",
IF(H210="",Pole_Calc!A214,
IF(H210="MP",Pole_Calc!A239,
IF(H210="AnMP",Pole_Calc!A240,
IF(H210="A",Pole_Calc!A241,
IF(H210="S/A",Pole_Calc!A242,
IF(H210="A/S",Pole_Calc!A243,"Poner a mano")))))))</f>
        <v/>
      </c>
      <c r="BE210" s="448" t="s">
        <v>1726</v>
      </c>
      <c r="BF210" s="634"/>
      <c r="BG210" s="634"/>
      <c r="BH210" s="634"/>
      <c r="BI210" s="634"/>
    </row>
    <row r="211" spans="1:61" ht="16.2" customHeight="1">
      <c r="A211" s="12"/>
      <c r="B211" s="446"/>
      <c r="C211" s="89"/>
      <c r="D211" s="13"/>
      <c r="E211" s="14"/>
      <c r="F211" s="14"/>
      <c r="G211" s="15"/>
      <c r="H211" s="8"/>
      <c r="I211" s="8"/>
      <c r="J211" s="89"/>
      <c r="K211" s="8"/>
      <c r="L211" s="8"/>
      <c r="M211" s="8" t="str">
        <f>IF(L211="","",
IF(AX211="PT",VLOOKUP(L211,Foundation_Calc!$V$4:$X$37,VLOOKUP(AX211,Foundation_Calc!$I$10:$J$13,2,FALSE),0),
IF(AX211="K",VLOOKUP(L211,Foundation_Calc!$V$41:$X$74,VLOOKUP(AX211,Foundation_Calc!$I$10:$J$13,2,FALSE),0),"")))</f>
        <v/>
      </c>
      <c r="N211" s="8"/>
      <c r="O211" s="8"/>
      <c r="P211" s="8"/>
      <c r="Q211" s="14"/>
      <c r="R211" s="15"/>
      <c r="S211" s="15"/>
      <c r="T211" s="14"/>
      <c r="U211" s="14"/>
      <c r="V211" s="14"/>
      <c r="W211" s="18"/>
      <c r="X211" s="18"/>
      <c r="Y211" s="18"/>
      <c r="Z211" s="18"/>
      <c r="AA211" s="18"/>
      <c r="AB211" s="18"/>
      <c r="AC211" s="8" t="str">
        <f t="shared" si="15"/>
        <v/>
      </c>
      <c r="AD211" s="8"/>
      <c r="AE211" s="8"/>
      <c r="AF211" s="14"/>
      <c r="AG211" s="13"/>
      <c r="AH211" s="14"/>
      <c r="AI211" s="14"/>
      <c r="AJ211" s="8"/>
      <c r="AK211" s="8"/>
      <c r="AL211" s="8"/>
      <c r="AM211" s="8"/>
      <c r="AN211" s="631"/>
      <c r="AO211" s="18"/>
      <c r="AP211" s="18"/>
      <c r="AQ211" s="18"/>
      <c r="AR211" s="18"/>
      <c r="AS211" s="18"/>
      <c r="AU211" s="448"/>
      <c r="AV211" s="448"/>
      <c r="AW211" s="8" t="str">
        <f>IF(C211&gt;0,VLOOKUP(C211,Foundation_Calc!$A$2:$C$986,3,1),
IF(J211&gt;0,VLOOKUP(J211,Foundation_Calc!$A$2:$C$986,3,1),""))</f>
        <v/>
      </c>
      <c r="AX211" s="8" t="str">
        <f>IF(C211&gt;0,VLOOKUP(C211,Foundation_Calc!$E$2:$G$986,3,1),
IF(J211&gt;0,VLOOKUP(J211,Foundation_Calc!$E$2:$G$986,3,1),""))</f>
        <v/>
      </c>
      <c r="AY211" s="631" t="str">
        <f>IF(L211="","",
IF(AX211="PT",VLOOKUP(L211,Foundation_Calc!$K$4:$R$37,VLOOKUP(AW211,Foundation_Calc!$I$2:$J$8,2,FALSE),0),
IF(AX211="K",VLOOKUP(L211,Foundation_Calc!$K$41:$R$74,VLOOKUP(AW211,Foundation_Calc!$I$2:$J$8,2,FALSE),0),"")))</f>
        <v/>
      </c>
      <c r="AZ211" s="631" t="str">
        <f>IF(K211="","",
IF(AX211="PT",VLOOKUP(K211,Foundation_Calc!$K$4:$R$37,VLOOKUP(AW211,Foundation_Calc!$I$2:$J$8,2,FALSE),0),
IF(AX211="K",VLOOKUP(K211,Foundation_Calc!$K$41:$R$74,VLOOKUP(AW211,Foundation_Calc!$I$2:$J$8,2,FALSE),0),"")))</f>
        <v/>
      </c>
      <c r="BA211" s="632" t="str">
        <f t="shared" si="16"/>
        <v/>
      </c>
      <c r="BB211" s="632" t="str">
        <f t="shared" si="17"/>
        <v/>
      </c>
      <c r="BC211" s="632" t="str">
        <f t="shared" si="18"/>
        <v/>
      </c>
      <c r="BD211" s="633" t="str">
        <f>IF(AND(L211="",H211=""),"",
IF(H211="",Pole_Calc!A239,
IF(H211="MP",Pole_Calc!A240,
IF(H211="AnMP",Pole_Calc!A241,
IF(H211="A",Pole_Calc!A242,
IF(H211="S/A",Pole_Calc!A243,
IF(H211="A/S",Pole_Calc!A244,"Poner a mano")))))))</f>
        <v/>
      </c>
      <c r="BE211" s="448" t="s">
        <v>1726</v>
      </c>
      <c r="BF211" s="635"/>
      <c r="BG211" s="635"/>
      <c r="BH211" s="634"/>
      <c r="BI211" s="635"/>
    </row>
    <row r="212" spans="1:61" ht="16.2" customHeight="1">
      <c r="A212" s="12"/>
      <c r="B212" s="446"/>
      <c r="C212" s="89"/>
      <c r="D212" s="13"/>
      <c r="E212" s="14"/>
      <c r="F212" s="14"/>
      <c r="G212" s="15"/>
      <c r="H212" s="8"/>
      <c r="I212" s="8"/>
      <c r="J212" s="89"/>
      <c r="K212" s="8"/>
      <c r="L212" s="8"/>
      <c r="M212" s="8" t="str">
        <f>IF(L212="","",
IF(AX212="PT",VLOOKUP(L212,Foundation_Calc!$V$4:$X$37,VLOOKUP(AX212,Foundation_Calc!$I$10:$J$13,2,FALSE),0),
IF(AX212="K",VLOOKUP(L212,Foundation_Calc!$V$41:$X$74,VLOOKUP(AX212,Foundation_Calc!$I$10:$J$13,2,FALSE),0),"")))</f>
        <v/>
      </c>
      <c r="N212" s="8"/>
      <c r="O212" s="8"/>
      <c r="P212" s="8"/>
      <c r="Q212" s="14"/>
      <c r="R212" s="15"/>
      <c r="S212" s="15"/>
      <c r="T212" s="14"/>
      <c r="U212" s="14"/>
      <c r="V212" s="14"/>
      <c r="W212" s="18"/>
      <c r="X212" s="18"/>
      <c r="Y212" s="18"/>
      <c r="Z212" s="18"/>
      <c r="AA212" s="18"/>
      <c r="AB212" s="18"/>
      <c r="AC212" s="8" t="str">
        <f t="shared" si="15"/>
        <v/>
      </c>
      <c r="AD212" s="8"/>
      <c r="AE212" s="8"/>
      <c r="AF212" s="14"/>
      <c r="AG212" s="13"/>
      <c r="AH212" s="14"/>
      <c r="AI212" s="14"/>
      <c r="AJ212" s="8"/>
      <c r="AK212" s="8"/>
      <c r="AL212" s="8"/>
      <c r="AM212" s="8"/>
      <c r="AN212" s="631"/>
      <c r="AO212" s="18"/>
      <c r="AP212" s="18"/>
      <c r="AQ212" s="18"/>
      <c r="AR212" s="18"/>
      <c r="AS212" s="18"/>
      <c r="AU212" s="448"/>
      <c r="AV212" s="448"/>
      <c r="AW212" s="8" t="str">
        <f>IF(C212&gt;0,VLOOKUP(C212,Foundation_Calc!$A$2:$C$986,3,1),
IF(J212&gt;0,VLOOKUP(J212,Foundation_Calc!$A$2:$C$986,3,1),""))</f>
        <v/>
      </c>
      <c r="AX212" s="8" t="str">
        <f>IF(C212&gt;0,VLOOKUP(C212,Foundation_Calc!$E$2:$G$986,3,1),
IF(J212&gt;0,VLOOKUP(J212,Foundation_Calc!$E$2:$G$986,3,1),""))</f>
        <v/>
      </c>
      <c r="AY212" s="631" t="str">
        <f>IF(L212="","",
IF(AX212="PT",VLOOKUP(L212,Foundation_Calc!$K$4:$R$37,VLOOKUP(AW212,Foundation_Calc!$I$2:$J$8,2,FALSE),0),
IF(AX212="K",VLOOKUP(L212,Foundation_Calc!$K$41:$R$74,VLOOKUP(AW212,Foundation_Calc!$I$2:$J$8,2,FALSE),0),"")))</f>
        <v/>
      </c>
      <c r="AZ212" s="631" t="str">
        <f>IF(K212="","",
IF(AX212="PT",VLOOKUP(K212,Foundation_Calc!$K$4:$R$37,VLOOKUP(AW212,Foundation_Calc!$I$2:$J$8,2,FALSE),0),
IF(AX212="K",VLOOKUP(K212,Foundation_Calc!$K$41:$R$74,VLOOKUP(AW212,Foundation_Calc!$I$2:$J$8,2,FALSE),0),"")))</f>
        <v/>
      </c>
      <c r="BA212" s="632" t="str">
        <f t="shared" si="16"/>
        <v/>
      </c>
      <c r="BB212" s="632" t="str">
        <f t="shared" si="17"/>
        <v/>
      </c>
      <c r="BC212" s="632" t="str">
        <f t="shared" si="18"/>
        <v/>
      </c>
      <c r="BD212" s="633" t="str">
        <f>IF(AND(L212="",H212=""),"",
IF(H212="",Pole_Calc!A240,
IF(H212="MP",Pole_Calc!A241,
IF(H212="AnMP",Pole_Calc!A242,
IF(H212="A",Pole_Calc!A243,
IF(H212="S/A",Pole_Calc!A244,
IF(H212="A/S",Pole_Calc!A245,"Poner a mano")))))))</f>
        <v/>
      </c>
      <c r="BE212" s="448" t="s">
        <v>1726</v>
      </c>
      <c r="BF212" s="634"/>
      <c r="BG212" s="634"/>
      <c r="BH212" s="634"/>
      <c r="BI212" s="634"/>
    </row>
    <row r="213" spans="1:61" ht="16.2" customHeight="1">
      <c r="A213" s="12"/>
      <c r="B213" s="446"/>
      <c r="C213" s="89"/>
      <c r="D213" s="13"/>
      <c r="E213" s="14"/>
      <c r="F213" s="14"/>
      <c r="G213" s="15"/>
      <c r="H213" s="8"/>
      <c r="I213" s="8"/>
      <c r="J213" s="89"/>
      <c r="K213" s="8"/>
      <c r="L213" s="8"/>
      <c r="M213" s="8" t="str">
        <f>IF(L213="","",
IF(AX213="PT",VLOOKUP(L213,Foundation_Calc!$V$4:$X$37,VLOOKUP(AX213,Foundation_Calc!$I$10:$J$13,2,FALSE),0),
IF(AX213="K",VLOOKUP(L213,Foundation_Calc!$V$41:$X$74,VLOOKUP(AX213,Foundation_Calc!$I$10:$J$13,2,FALSE),0),"")))</f>
        <v/>
      </c>
      <c r="N213" s="8"/>
      <c r="O213" s="8"/>
      <c r="P213" s="8"/>
      <c r="Q213" s="14"/>
      <c r="R213" s="15"/>
      <c r="S213" s="15"/>
      <c r="T213" s="14"/>
      <c r="U213" s="14"/>
      <c r="V213" s="14"/>
      <c r="W213" s="18"/>
      <c r="X213" s="18"/>
      <c r="Y213" s="18"/>
      <c r="Z213" s="18"/>
      <c r="AA213" s="18"/>
      <c r="AB213" s="18"/>
      <c r="AC213" s="8" t="str">
        <f t="shared" si="15"/>
        <v/>
      </c>
      <c r="AD213" s="8"/>
      <c r="AE213" s="8"/>
      <c r="AF213" s="14"/>
      <c r="AG213" s="13"/>
      <c r="AH213" s="14"/>
      <c r="AI213" s="14"/>
      <c r="AJ213" s="8"/>
      <c r="AK213" s="8"/>
      <c r="AL213" s="8"/>
      <c r="AM213" s="8"/>
      <c r="AN213" s="631"/>
      <c r="AO213" s="18"/>
      <c r="AP213" s="18"/>
      <c r="AQ213" s="18"/>
      <c r="AR213" s="18"/>
      <c r="AS213" s="18"/>
      <c r="AU213" s="448"/>
      <c r="AV213" s="448"/>
      <c r="AW213" s="8" t="str">
        <f>IF(C213&gt;0,VLOOKUP(C213,Foundation_Calc!$A$2:$C$986,3,1),
IF(J213&gt;0,VLOOKUP(J213,Foundation_Calc!$A$2:$C$986,3,1),""))</f>
        <v/>
      </c>
      <c r="AX213" s="8" t="str">
        <f>IF(C213&gt;0,VLOOKUP(C213,Foundation_Calc!$E$2:$G$986,3,1),
IF(J213&gt;0,VLOOKUP(J213,Foundation_Calc!$E$2:$G$986,3,1),""))</f>
        <v/>
      </c>
      <c r="AY213" s="631" t="str">
        <f>IF(L213="","",
IF(AX213="PT",VLOOKUP(L213,Foundation_Calc!$K$4:$R$37,VLOOKUP(AW213,Foundation_Calc!$I$2:$J$8,2,FALSE),0),
IF(AX213="K",VLOOKUP(L213,Foundation_Calc!$K$41:$R$74,VLOOKUP(AW213,Foundation_Calc!$I$2:$J$8,2,FALSE),0),"")))</f>
        <v/>
      </c>
      <c r="AZ213" s="631" t="str">
        <f>IF(K213="","",
IF(AX213="PT",VLOOKUP(K213,Foundation_Calc!$K$4:$R$37,VLOOKUP(AW213,Foundation_Calc!$I$2:$J$8,2,FALSE),0),
IF(AX213="K",VLOOKUP(K213,Foundation_Calc!$K$41:$R$74,VLOOKUP(AW213,Foundation_Calc!$I$2:$J$8,2,FALSE),0),"")))</f>
        <v/>
      </c>
      <c r="BA213" s="632" t="str">
        <f t="shared" si="16"/>
        <v/>
      </c>
      <c r="BB213" s="632" t="str">
        <f t="shared" si="17"/>
        <v/>
      </c>
      <c r="BC213" s="632" t="str">
        <f t="shared" si="18"/>
        <v/>
      </c>
      <c r="BD213" s="633" t="str">
        <f>IF(AND(L213="",H213=""),"",
IF(H213="",Pole_Calc!A241,
IF(H213="MP",Pole_Calc!A242,
IF(H213="AnMP",Pole_Calc!A243,
IF(H213="A",Pole_Calc!A244,
IF(H213="S/A",Pole_Calc!A245,
IF(H213="A/S",Pole_Calc!A246,"Poner a mano")))))))</f>
        <v/>
      </c>
      <c r="BE213" s="448" t="s">
        <v>1726</v>
      </c>
      <c r="BF213" s="635"/>
      <c r="BG213" s="635"/>
      <c r="BH213" s="634"/>
      <c r="BI213" s="635"/>
    </row>
    <row r="214" spans="1:61" ht="16.2" customHeight="1">
      <c r="A214" s="12"/>
      <c r="B214" s="446"/>
      <c r="C214" s="89"/>
      <c r="D214" s="13"/>
      <c r="E214" s="14"/>
      <c r="F214" s="14"/>
      <c r="G214" s="15"/>
      <c r="H214" s="8"/>
      <c r="I214" s="8"/>
      <c r="J214" s="89"/>
      <c r="K214" s="8"/>
      <c r="L214" s="8"/>
      <c r="M214" s="8" t="str">
        <f>IF(L214="","",
IF(AX214="PT",VLOOKUP(L214,Foundation_Calc!$V$4:$X$37,VLOOKUP(AX214,Foundation_Calc!$I$10:$J$13,2,FALSE),0),
IF(AX214="K",VLOOKUP(L214,Foundation_Calc!$V$41:$X$74,VLOOKUP(AX214,Foundation_Calc!$I$10:$J$13,2,FALSE),0),"")))</f>
        <v/>
      </c>
      <c r="N214" s="8"/>
      <c r="O214" s="8"/>
      <c r="P214" s="8"/>
      <c r="Q214" s="14"/>
      <c r="R214" s="15"/>
      <c r="S214" s="15"/>
      <c r="T214" s="14"/>
      <c r="U214" s="14"/>
      <c r="V214" s="14"/>
      <c r="W214" s="18"/>
      <c r="X214" s="18"/>
      <c r="Y214" s="18"/>
      <c r="Z214" s="18"/>
      <c r="AA214" s="18"/>
      <c r="AB214" s="18"/>
      <c r="AC214" s="8" t="str">
        <f t="shared" si="15"/>
        <v/>
      </c>
      <c r="AD214" s="8"/>
      <c r="AE214" s="8"/>
      <c r="AF214" s="14"/>
      <c r="AG214" s="13"/>
      <c r="AH214" s="14"/>
      <c r="AI214" s="14"/>
      <c r="AJ214" s="8"/>
      <c r="AK214" s="8"/>
      <c r="AL214" s="8"/>
      <c r="AM214" s="8"/>
      <c r="AN214" s="631"/>
      <c r="AO214" s="18"/>
      <c r="AP214" s="18"/>
      <c r="AQ214" s="18"/>
      <c r="AR214" s="18"/>
      <c r="AS214" s="18"/>
      <c r="AU214" s="448"/>
      <c r="AV214" s="448"/>
      <c r="AW214" s="8" t="str">
        <f>IF(C214&gt;0,VLOOKUP(C214,Foundation_Calc!$A$2:$C$986,3,1),
IF(J214&gt;0,VLOOKUP(J214,Foundation_Calc!$A$2:$C$986,3,1),""))</f>
        <v/>
      </c>
      <c r="AX214" s="8" t="str">
        <f>IF(C214&gt;0,VLOOKUP(C214,Foundation_Calc!$E$2:$G$986,3,1),
IF(J214&gt;0,VLOOKUP(J214,Foundation_Calc!$E$2:$G$986,3,1),""))</f>
        <v/>
      </c>
      <c r="AY214" s="631" t="str">
        <f>IF(L214="","",
IF(AX214="PT",VLOOKUP(L214,Foundation_Calc!$K$4:$R$37,VLOOKUP(AW214,Foundation_Calc!$I$2:$J$8,2,FALSE),0),
IF(AX214="K",VLOOKUP(L214,Foundation_Calc!$K$41:$R$74,VLOOKUP(AW214,Foundation_Calc!$I$2:$J$8,2,FALSE),0),"")))</f>
        <v/>
      </c>
      <c r="AZ214" s="631" t="str">
        <f>IF(K214="","",
IF(AX214="PT",VLOOKUP(K214,Foundation_Calc!$K$4:$R$37,VLOOKUP(AW214,Foundation_Calc!$I$2:$J$8,2,FALSE),0),
IF(AX214="K",VLOOKUP(K214,Foundation_Calc!$K$41:$R$74,VLOOKUP(AW214,Foundation_Calc!$I$2:$J$8,2,FALSE),0),"")))</f>
        <v/>
      </c>
      <c r="BA214" s="632" t="str">
        <f t="shared" si="16"/>
        <v/>
      </c>
      <c r="BB214" s="632" t="str">
        <f t="shared" si="17"/>
        <v/>
      </c>
      <c r="BC214" s="632" t="str">
        <f t="shared" si="18"/>
        <v/>
      </c>
      <c r="BD214" s="633" t="str">
        <f>IF(AND(L214="",H214=""),"",
IF(H214="",Pole_Calc!A242,
IF(H214="MP",Pole_Calc!A243,
IF(H214="AnMP",Pole_Calc!A244,
IF(H214="A",Pole_Calc!A245,
IF(H214="S/A",Pole_Calc!A246,
IF(H214="A/S",Pole_Calc!A247,"Poner a mano")))))))</f>
        <v/>
      </c>
      <c r="BE214" s="448" t="s">
        <v>1726</v>
      </c>
      <c r="BF214" s="634"/>
      <c r="BG214" s="634"/>
      <c r="BH214" s="634"/>
      <c r="BI214" s="634"/>
    </row>
    <row r="215" spans="1:61" ht="16.2" customHeight="1">
      <c r="A215" s="12"/>
      <c r="B215" s="446"/>
      <c r="C215" s="89"/>
      <c r="D215" s="13"/>
      <c r="E215" s="14"/>
      <c r="F215" s="14"/>
      <c r="G215" s="15"/>
      <c r="H215" s="8"/>
      <c r="I215" s="8"/>
      <c r="J215" s="89"/>
      <c r="K215" s="8"/>
      <c r="L215" s="8"/>
      <c r="M215" s="8" t="str">
        <f>IF(L215="","",
IF(AX215="PT",VLOOKUP(L215,Foundation_Calc!$V$4:$X$37,VLOOKUP(AX215,Foundation_Calc!$I$10:$J$13,2,FALSE),0),
IF(AX215="K",VLOOKUP(L215,Foundation_Calc!$V$41:$X$74,VLOOKUP(AX215,Foundation_Calc!$I$10:$J$13,2,FALSE),0),"")))</f>
        <v/>
      </c>
      <c r="N215" s="8"/>
      <c r="O215" s="8"/>
      <c r="P215" s="8"/>
      <c r="Q215" s="14"/>
      <c r="R215" s="15"/>
      <c r="S215" s="15"/>
      <c r="T215" s="14"/>
      <c r="U215" s="14"/>
      <c r="V215" s="14"/>
      <c r="W215" s="18"/>
      <c r="X215" s="18"/>
      <c r="Y215" s="18"/>
      <c r="Z215" s="18"/>
      <c r="AA215" s="18"/>
      <c r="AB215" s="18"/>
      <c r="AC215" s="8" t="str">
        <f t="shared" si="15"/>
        <v/>
      </c>
      <c r="AD215" s="8"/>
      <c r="AE215" s="8"/>
      <c r="AF215" s="14"/>
      <c r="AG215" s="13"/>
      <c r="AH215" s="14"/>
      <c r="AI215" s="14"/>
      <c r="AJ215" s="8"/>
      <c r="AK215" s="8"/>
      <c r="AL215" s="8"/>
      <c r="AM215" s="8"/>
      <c r="AN215" s="631"/>
      <c r="AO215" s="18"/>
      <c r="AP215" s="18"/>
      <c r="AQ215" s="18"/>
      <c r="AR215" s="18"/>
      <c r="AS215" s="18"/>
      <c r="AU215" s="448"/>
      <c r="AV215" s="448"/>
      <c r="AW215" s="8" t="str">
        <f>IF(C215&gt;0,VLOOKUP(C215,Foundation_Calc!$A$2:$C$986,3,1),
IF(J215&gt;0,VLOOKUP(J215,Foundation_Calc!$A$2:$C$986,3,1),""))</f>
        <v/>
      </c>
      <c r="AX215" s="8" t="str">
        <f>IF(C215&gt;0,VLOOKUP(C215,Foundation_Calc!$E$2:$G$986,3,1),
IF(J215&gt;0,VLOOKUP(J215,Foundation_Calc!$E$2:$G$986,3,1),""))</f>
        <v/>
      </c>
      <c r="AY215" s="631" t="str">
        <f>IF(L215="","",
IF(AX215="PT",VLOOKUP(L215,Foundation_Calc!$K$4:$R$37,VLOOKUP(AW215,Foundation_Calc!$I$2:$J$8,2,FALSE),0),
IF(AX215="K",VLOOKUP(L215,Foundation_Calc!$K$41:$R$74,VLOOKUP(AW215,Foundation_Calc!$I$2:$J$8,2,FALSE),0),"")))</f>
        <v/>
      </c>
      <c r="AZ215" s="631" t="str">
        <f>IF(K215="","",
IF(AX215="PT",VLOOKUP(K215,Foundation_Calc!$K$4:$R$37,VLOOKUP(AW215,Foundation_Calc!$I$2:$J$8,2,FALSE),0),
IF(AX215="K",VLOOKUP(K215,Foundation_Calc!$K$41:$R$74,VLOOKUP(AW215,Foundation_Calc!$I$2:$J$8,2,FALSE),0),"")))</f>
        <v/>
      </c>
      <c r="BA215" s="632" t="str">
        <f t="shared" si="16"/>
        <v/>
      </c>
      <c r="BB215" s="632" t="str">
        <f t="shared" si="17"/>
        <v/>
      </c>
      <c r="BC215" s="632" t="str">
        <f t="shared" si="18"/>
        <v/>
      </c>
      <c r="BD215" s="633" t="str">
        <f>IF(AND(L215="",H215=""),"",
IF(H215="",Pole_Calc!A243,
IF(H215="MP",Pole_Calc!A244,
IF(H215="AnMP",Pole_Calc!A245,
IF(H215="A",Pole_Calc!A246,
IF(H215="S/A",Pole_Calc!A247,
IF(H215="A/S",Pole_Calc!A248,"Poner a mano")))))))</f>
        <v/>
      </c>
      <c r="BE215" s="448" t="s">
        <v>1726</v>
      </c>
      <c r="BF215" s="635"/>
      <c r="BG215" s="635"/>
      <c r="BH215" s="634"/>
      <c r="BI215" s="635"/>
    </row>
    <row r="216" spans="1:61" ht="16.2" customHeight="1">
      <c r="A216" s="12"/>
      <c r="B216" s="446"/>
      <c r="C216" s="89"/>
      <c r="D216" s="13"/>
      <c r="E216" s="14"/>
      <c r="F216" s="14"/>
      <c r="G216" s="15"/>
      <c r="H216" s="8"/>
      <c r="I216" s="8"/>
      <c r="J216" s="89"/>
      <c r="K216" s="8"/>
      <c r="L216" s="8"/>
      <c r="M216" s="8" t="str">
        <f>IF(L216="","",
IF(AX216="PT",VLOOKUP(L216,Foundation_Calc!$V$4:$X$37,VLOOKUP(AX216,Foundation_Calc!$I$10:$J$13,2,FALSE),0),
IF(AX216="K",VLOOKUP(L216,Foundation_Calc!$V$41:$X$74,VLOOKUP(AX216,Foundation_Calc!$I$10:$J$13,2,FALSE),0),"")))</f>
        <v/>
      </c>
      <c r="N216" s="8"/>
      <c r="O216" s="8"/>
      <c r="P216" s="8"/>
      <c r="Q216" s="14"/>
      <c r="R216" s="15"/>
      <c r="S216" s="15"/>
      <c r="T216" s="14"/>
      <c r="U216" s="14"/>
      <c r="V216" s="14"/>
      <c r="W216" s="18"/>
      <c r="X216" s="18"/>
      <c r="Y216" s="18"/>
      <c r="Z216" s="18"/>
      <c r="AA216" s="18"/>
      <c r="AB216" s="18"/>
      <c r="AC216" s="8" t="str">
        <f t="shared" si="15"/>
        <v/>
      </c>
      <c r="AD216" s="8"/>
      <c r="AE216" s="8"/>
      <c r="AF216" s="14"/>
      <c r="AG216" s="13"/>
      <c r="AH216" s="14"/>
      <c r="AI216" s="14"/>
      <c r="AJ216" s="8"/>
      <c r="AK216" s="8"/>
      <c r="AL216" s="8"/>
      <c r="AM216" s="8"/>
      <c r="AN216" s="631"/>
      <c r="AO216" s="18"/>
      <c r="AP216" s="18"/>
      <c r="AQ216" s="18"/>
      <c r="AR216" s="18"/>
      <c r="AS216" s="18"/>
      <c r="AU216" s="448"/>
      <c r="AV216" s="448"/>
      <c r="AW216" s="8" t="str">
        <f>IF(C216&gt;0,VLOOKUP(C216,Foundation_Calc!$A$2:$C$986,3,1),
IF(J216&gt;0,VLOOKUP(J216,Foundation_Calc!$A$2:$C$986,3,1),""))</f>
        <v/>
      </c>
      <c r="AX216" s="8" t="str">
        <f>IF(C216&gt;0,VLOOKUP(C216,Foundation_Calc!$E$2:$G$986,3,1),
IF(J216&gt;0,VLOOKUP(J216,Foundation_Calc!$E$2:$G$986,3,1),""))</f>
        <v/>
      </c>
      <c r="AY216" s="631" t="str">
        <f>IF(L216="","",
IF(AX216="PT",VLOOKUP(L216,Foundation_Calc!$K$4:$R$37,VLOOKUP(AW216,Foundation_Calc!$I$2:$J$8,2,FALSE),0),
IF(AX216="K",VLOOKUP(L216,Foundation_Calc!$K$41:$R$74,VLOOKUP(AW216,Foundation_Calc!$I$2:$J$8,2,FALSE),0),"")))</f>
        <v/>
      </c>
      <c r="AZ216" s="631" t="str">
        <f>IF(K216="","",
IF(AX216="PT",VLOOKUP(K216,Foundation_Calc!$K$4:$R$37,VLOOKUP(AW216,Foundation_Calc!$I$2:$J$8,2,FALSE),0),
IF(AX216="K",VLOOKUP(K216,Foundation_Calc!$K$41:$R$74,VLOOKUP(AW216,Foundation_Calc!$I$2:$J$8,2,FALSE),0),"")))</f>
        <v/>
      </c>
      <c r="BA216" s="632" t="str">
        <f t="shared" si="16"/>
        <v/>
      </c>
      <c r="BB216" s="632" t="str">
        <f t="shared" si="17"/>
        <v/>
      </c>
      <c r="BC216" s="632" t="str">
        <f t="shared" si="18"/>
        <v/>
      </c>
      <c r="BD216" s="633" t="str">
        <f>IF(AND(L216="",H216=""),"",
IF(H216="",Pole_Calc!A244,
IF(H216="MP",Pole_Calc!A245,
IF(H216="AnMP",Pole_Calc!A246,
IF(H216="A",Pole_Calc!A247,
IF(H216="S/A",Pole_Calc!A248,
IF(H216="A/S",Pole_Calc!A249,"Poner a mano")))))))</f>
        <v/>
      </c>
      <c r="BE216" s="448" t="s">
        <v>1726</v>
      </c>
      <c r="BF216" s="634"/>
      <c r="BG216" s="634"/>
      <c r="BH216" s="634"/>
      <c r="BI216" s="634"/>
    </row>
    <row r="217" spans="1:61" ht="16.2" customHeight="1">
      <c r="A217" s="12"/>
      <c r="B217" s="446"/>
      <c r="C217" s="89"/>
      <c r="D217" s="13"/>
      <c r="E217" s="14"/>
      <c r="F217" s="14"/>
      <c r="G217" s="15"/>
      <c r="H217" s="8"/>
      <c r="I217" s="8"/>
      <c r="J217" s="89"/>
      <c r="K217" s="8"/>
      <c r="L217" s="8"/>
      <c r="M217" s="8" t="str">
        <f>IF(L217="","",
IF(AX217="PT",VLOOKUP(L217,Foundation_Calc!$V$4:$X$37,VLOOKUP(AX217,Foundation_Calc!$I$10:$J$13,2,FALSE),0),
IF(AX217="K",VLOOKUP(L217,Foundation_Calc!$V$41:$X$74,VLOOKUP(AX217,Foundation_Calc!$I$10:$J$13,2,FALSE),0),"")))</f>
        <v/>
      </c>
      <c r="N217" s="8"/>
      <c r="O217" s="8"/>
      <c r="P217" s="8"/>
      <c r="Q217" s="14"/>
      <c r="R217" s="15"/>
      <c r="S217" s="15"/>
      <c r="T217" s="14"/>
      <c r="U217" s="14"/>
      <c r="V217" s="14"/>
      <c r="W217" s="18"/>
      <c r="X217" s="18"/>
      <c r="Y217" s="18"/>
      <c r="Z217" s="18"/>
      <c r="AA217" s="18"/>
      <c r="AB217" s="18"/>
      <c r="AC217" s="8" t="str">
        <f t="shared" si="15"/>
        <v/>
      </c>
      <c r="AD217" s="8"/>
      <c r="AE217" s="8"/>
      <c r="AF217" s="14"/>
      <c r="AG217" s="13"/>
      <c r="AH217" s="14"/>
      <c r="AI217" s="14"/>
      <c r="AJ217" s="8"/>
      <c r="AK217" s="8"/>
      <c r="AL217" s="8"/>
      <c r="AM217" s="8"/>
      <c r="AN217" s="631"/>
      <c r="AO217" s="18"/>
      <c r="AP217" s="18"/>
      <c r="AQ217" s="18"/>
      <c r="AR217" s="18"/>
      <c r="AS217" s="18"/>
      <c r="AU217" s="448"/>
      <c r="AV217" s="448"/>
      <c r="AW217" s="8" t="str">
        <f>IF(C217&gt;0,VLOOKUP(C217,Foundation_Calc!$A$2:$C$986,3,1),
IF(J217&gt;0,VLOOKUP(J217,Foundation_Calc!$A$2:$C$986,3,1),""))</f>
        <v/>
      </c>
      <c r="AX217" s="8" t="str">
        <f>IF(C217&gt;0,VLOOKUP(C217,Foundation_Calc!$E$2:$G$986,3,1),
IF(J217&gt;0,VLOOKUP(J217,Foundation_Calc!$E$2:$G$986,3,1),""))</f>
        <v/>
      </c>
      <c r="AY217" s="631" t="str">
        <f>IF(L217="","",
IF(AX217="PT",VLOOKUP(L217,Foundation_Calc!$K$4:$R$37,VLOOKUP(AW217,Foundation_Calc!$I$2:$J$8,2,FALSE),0),
IF(AX217="K",VLOOKUP(L217,Foundation_Calc!$K$41:$R$74,VLOOKUP(AW217,Foundation_Calc!$I$2:$J$8,2,FALSE),0),"")))</f>
        <v/>
      </c>
      <c r="AZ217" s="631" t="str">
        <f>IF(K217="","",
IF(AX217="PT",VLOOKUP(K217,Foundation_Calc!$K$4:$R$37,VLOOKUP(AW217,Foundation_Calc!$I$2:$J$8,2,FALSE),0),
IF(AX217="K",VLOOKUP(K217,Foundation_Calc!$K$41:$R$74,VLOOKUP(AW217,Foundation_Calc!$I$2:$J$8,2,FALSE),0),"")))</f>
        <v/>
      </c>
      <c r="BA217" s="632" t="str">
        <f t="shared" si="16"/>
        <v/>
      </c>
      <c r="BB217" s="632" t="str">
        <f t="shared" si="17"/>
        <v/>
      </c>
      <c r="BC217" s="632" t="str">
        <f t="shared" si="18"/>
        <v/>
      </c>
      <c r="BD217" s="633" t="str">
        <f>IF(AND(L217="",H217=""),"",
IF(H217="",Pole_Calc!A245,
IF(H217="MP",Pole_Calc!A246,
IF(H217="AnMP",Pole_Calc!A247,
IF(H217="A",Pole_Calc!A248,
IF(H217="S/A",Pole_Calc!A249,
IF(H217="A/S",Pole_Calc!A250,"Poner a mano")))))))</f>
        <v/>
      </c>
      <c r="BE217" s="448" t="s">
        <v>1726</v>
      </c>
      <c r="BF217" s="635"/>
      <c r="BG217" s="635"/>
      <c r="BH217" s="634"/>
      <c r="BI217" s="635"/>
    </row>
    <row r="218" spans="1:61" ht="16.2" customHeight="1">
      <c r="A218" s="12"/>
      <c r="B218" s="446"/>
      <c r="C218" s="89"/>
      <c r="D218" s="13"/>
      <c r="E218" s="14"/>
      <c r="F218" s="14"/>
      <c r="G218" s="15"/>
      <c r="H218" s="8"/>
      <c r="I218" s="8"/>
      <c r="J218" s="89"/>
      <c r="K218" s="8"/>
      <c r="L218" s="8"/>
      <c r="M218" s="8" t="str">
        <f>IF(L218="","",
IF(AX218="PT",VLOOKUP(L218,Foundation_Calc!$V$4:$X$37,VLOOKUP(AX218,Foundation_Calc!$I$10:$J$13,2,FALSE),0),
IF(AX218="K",VLOOKUP(L218,Foundation_Calc!$V$41:$X$74,VLOOKUP(AX218,Foundation_Calc!$I$10:$J$13,2,FALSE),0),"")))</f>
        <v/>
      </c>
      <c r="N218" s="8"/>
      <c r="O218" s="8"/>
      <c r="P218" s="8"/>
      <c r="Q218" s="14"/>
      <c r="R218" s="15"/>
      <c r="S218" s="15"/>
      <c r="T218" s="14"/>
      <c r="U218" s="14"/>
      <c r="V218" s="14"/>
      <c r="W218" s="18"/>
      <c r="X218" s="18"/>
      <c r="Y218" s="18"/>
      <c r="Z218" s="18"/>
      <c r="AA218" s="18"/>
      <c r="AB218" s="18"/>
      <c r="AC218" s="8" t="str">
        <f t="shared" si="15"/>
        <v/>
      </c>
      <c r="AD218" s="8"/>
      <c r="AE218" s="8"/>
      <c r="AF218" s="14"/>
      <c r="AG218" s="13"/>
      <c r="AH218" s="14"/>
      <c r="AI218" s="14"/>
      <c r="AJ218" s="8"/>
      <c r="AK218" s="8"/>
      <c r="AL218" s="8"/>
      <c r="AM218" s="8"/>
      <c r="AN218" s="631"/>
      <c r="AO218" s="18"/>
      <c r="AP218" s="18"/>
      <c r="AQ218" s="18"/>
      <c r="AR218" s="18"/>
      <c r="AS218" s="18"/>
      <c r="AU218" s="448"/>
      <c r="AV218" s="448"/>
      <c r="AW218" s="8" t="str">
        <f>IF(C218&gt;0,VLOOKUP(C218,Foundation_Calc!$A$2:$C$986,3,1),
IF(J218&gt;0,VLOOKUP(J218,Foundation_Calc!$A$2:$C$986,3,1),""))</f>
        <v/>
      </c>
      <c r="AX218" s="8" t="str">
        <f>IF(C218&gt;0,VLOOKUP(C218,Foundation_Calc!$E$2:$G$986,3,1),
IF(J218&gt;0,VLOOKUP(J218,Foundation_Calc!$E$2:$G$986,3,1),""))</f>
        <v/>
      </c>
      <c r="AY218" s="631" t="str">
        <f>IF(L218="","",
IF(AX218="PT",VLOOKUP(L218,Foundation_Calc!$K$4:$R$37,VLOOKUP(AW218,Foundation_Calc!$I$2:$J$8,2,FALSE),0),
IF(AX218="K",VLOOKUP(L218,Foundation_Calc!$K$41:$R$74,VLOOKUP(AW218,Foundation_Calc!$I$2:$J$8,2,FALSE),0),"")))</f>
        <v/>
      </c>
      <c r="AZ218" s="631" t="str">
        <f>IF(K218="","",
IF(AX218="PT",VLOOKUP(K218,Foundation_Calc!$K$4:$R$37,VLOOKUP(AW218,Foundation_Calc!$I$2:$J$8,2,FALSE),0),
IF(AX218="K",VLOOKUP(K218,Foundation_Calc!$K$41:$R$74,VLOOKUP(AW218,Foundation_Calc!$I$2:$J$8,2,FALSE),0),"")))</f>
        <v/>
      </c>
      <c r="BA218" s="632" t="str">
        <f t="shared" si="16"/>
        <v/>
      </c>
      <c r="BB218" s="632" t="str">
        <f t="shared" si="17"/>
        <v/>
      </c>
      <c r="BC218" s="632" t="str">
        <f t="shared" si="18"/>
        <v/>
      </c>
      <c r="BD218" s="633" t="str">
        <f>IF(AND(L218="",H218=""),"",
IF(H218="",Pole_Calc!A246,
IF(H218="MP",Pole_Calc!A247,
IF(H218="AnMP",Pole_Calc!A248,
IF(H218="A",Pole_Calc!A249,
IF(H218="S/A",Pole_Calc!A250,
IF(H218="A/S",Pole_Calc!A251,"Poner a mano")))))))</f>
        <v/>
      </c>
      <c r="BE218" s="448" t="s">
        <v>1726</v>
      </c>
      <c r="BF218" s="634"/>
      <c r="BG218" s="634"/>
      <c r="BH218" s="634"/>
      <c r="BI218" s="634"/>
    </row>
    <row r="219" spans="1:61" ht="16.2" customHeight="1">
      <c r="A219" s="12"/>
      <c r="B219" s="446"/>
      <c r="C219" s="89"/>
      <c r="D219" s="13"/>
      <c r="E219" s="14"/>
      <c r="F219" s="14"/>
      <c r="G219" s="15"/>
      <c r="H219" s="8"/>
      <c r="I219" s="8"/>
      <c r="J219" s="89"/>
      <c r="K219" s="8"/>
      <c r="L219" s="8"/>
      <c r="M219" s="8" t="str">
        <f>IF(L219="","",
IF(AX219="PT",VLOOKUP(L219,Foundation_Calc!$V$4:$X$37,VLOOKUP(AX219,Foundation_Calc!$I$10:$J$13,2,FALSE),0),
IF(AX219="K",VLOOKUP(L219,Foundation_Calc!$V$41:$X$74,VLOOKUP(AX219,Foundation_Calc!$I$10:$J$13,2,FALSE),0),"")))</f>
        <v/>
      </c>
      <c r="N219" s="8"/>
      <c r="O219" s="8"/>
      <c r="P219" s="8"/>
      <c r="Q219" s="14"/>
      <c r="R219" s="15"/>
      <c r="S219" s="15"/>
      <c r="T219" s="14"/>
      <c r="U219" s="14"/>
      <c r="V219" s="14"/>
      <c r="W219" s="18"/>
      <c r="X219" s="18"/>
      <c r="Y219" s="18"/>
      <c r="Z219" s="18"/>
      <c r="AA219" s="18"/>
      <c r="AB219" s="18"/>
      <c r="AC219" s="8" t="str">
        <f t="shared" si="15"/>
        <v/>
      </c>
      <c r="AD219" s="8"/>
      <c r="AE219" s="8"/>
      <c r="AF219" s="14"/>
      <c r="AG219" s="13"/>
      <c r="AH219" s="14"/>
      <c r="AI219" s="14"/>
      <c r="AJ219" s="8"/>
      <c r="AK219" s="8"/>
      <c r="AL219" s="8"/>
      <c r="AM219" s="8"/>
      <c r="AN219" s="631"/>
      <c r="AO219" s="18"/>
      <c r="AP219" s="18"/>
      <c r="AQ219" s="18"/>
      <c r="AR219" s="18"/>
      <c r="AS219" s="18"/>
      <c r="AU219" s="448"/>
      <c r="AV219" s="448"/>
      <c r="AW219" s="8" t="str">
        <f>IF(C219&gt;0,VLOOKUP(C219,Foundation_Calc!$A$2:$C$986,3,1),
IF(J219&gt;0,VLOOKUP(J219,Foundation_Calc!$A$2:$C$986,3,1),""))</f>
        <v/>
      </c>
      <c r="AX219" s="8" t="str">
        <f>IF(C219&gt;0,VLOOKUP(C219,Foundation_Calc!$E$2:$G$986,3,1),
IF(J219&gt;0,VLOOKUP(J219,Foundation_Calc!$E$2:$G$986,3,1),""))</f>
        <v/>
      </c>
      <c r="AY219" s="631" t="str">
        <f>IF(L219="","",
IF(AX219="PT",VLOOKUP(L219,Foundation_Calc!$K$4:$R$37,VLOOKUP(AW219,Foundation_Calc!$I$2:$J$8,2,FALSE),0),
IF(AX219="K",VLOOKUP(L219,Foundation_Calc!$K$41:$R$74,VLOOKUP(AW219,Foundation_Calc!$I$2:$J$8,2,FALSE),0),"")))</f>
        <v/>
      </c>
      <c r="AZ219" s="631" t="str">
        <f>IF(K219="","",
IF(AX219="PT",VLOOKUP(K219,Foundation_Calc!$K$4:$R$37,VLOOKUP(AW219,Foundation_Calc!$I$2:$J$8,2,FALSE),0),
IF(AX219="K",VLOOKUP(K219,Foundation_Calc!$K$41:$R$74,VLOOKUP(AW219,Foundation_Calc!$I$2:$J$8,2,FALSE),0),"")))</f>
        <v/>
      </c>
      <c r="BA219" s="632" t="str">
        <f t="shared" si="16"/>
        <v/>
      </c>
      <c r="BB219" s="632" t="str">
        <f t="shared" si="17"/>
        <v/>
      </c>
      <c r="BC219" s="632" t="str">
        <f t="shared" si="18"/>
        <v/>
      </c>
      <c r="BD219" s="633" t="str">
        <f>IF(AND(L219="",H219=""),"",
IF(H219="",Pole_Calc!A247,
IF(H219="MP",Pole_Calc!A248,
IF(H219="AnMP",Pole_Calc!A249,
IF(H219="A",Pole_Calc!A250,
IF(H219="S/A",Pole_Calc!A251,
IF(H219="A/S",Pole_Calc!A252,"Poner a mano")))))))</f>
        <v/>
      </c>
      <c r="BE219" s="448" t="s">
        <v>1726</v>
      </c>
      <c r="BF219" s="635"/>
      <c r="BG219" s="635"/>
      <c r="BH219" s="634"/>
      <c r="BI219" s="635"/>
    </row>
    <row r="220" spans="1:61" ht="16.2" customHeight="1">
      <c r="A220" s="12"/>
      <c r="B220" s="446"/>
      <c r="C220" s="89"/>
      <c r="D220" s="13"/>
      <c r="E220" s="14"/>
      <c r="F220" s="14"/>
      <c r="G220" s="15"/>
      <c r="H220" s="8"/>
      <c r="I220" s="8"/>
      <c r="J220" s="89"/>
      <c r="K220" s="8"/>
      <c r="L220" s="8"/>
      <c r="M220" s="8" t="str">
        <f>IF(L220="","",
IF(AX220="PT",VLOOKUP(L220,Foundation_Calc!$V$4:$X$37,VLOOKUP(AX220,Foundation_Calc!$I$10:$J$13,2,FALSE),0),
IF(AX220="K",VLOOKUP(L220,Foundation_Calc!$V$41:$X$74,VLOOKUP(AX220,Foundation_Calc!$I$10:$J$13,2,FALSE),0),"")))</f>
        <v/>
      </c>
      <c r="N220" s="8"/>
      <c r="O220" s="8"/>
      <c r="P220" s="8"/>
      <c r="Q220" s="14"/>
      <c r="R220" s="15"/>
      <c r="S220" s="15"/>
      <c r="T220" s="14"/>
      <c r="U220" s="14"/>
      <c r="V220" s="14"/>
      <c r="W220" s="18"/>
      <c r="X220" s="18"/>
      <c r="Y220" s="18"/>
      <c r="Z220" s="18"/>
      <c r="AA220" s="18"/>
      <c r="AB220" s="18"/>
      <c r="AC220" s="8" t="str">
        <f t="shared" si="15"/>
        <v/>
      </c>
      <c r="AD220" s="8"/>
      <c r="AE220" s="8"/>
      <c r="AF220" s="14"/>
      <c r="AG220" s="13"/>
      <c r="AH220" s="14"/>
      <c r="AI220" s="14"/>
      <c r="AJ220" s="8"/>
      <c r="AK220" s="8"/>
      <c r="AL220" s="8"/>
      <c r="AM220" s="8"/>
      <c r="AN220" s="631"/>
      <c r="AO220" s="18"/>
      <c r="AP220" s="18"/>
      <c r="AQ220" s="18"/>
      <c r="AR220" s="18"/>
      <c r="AS220" s="18"/>
      <c r="AU220" s="448"/>
      <c r="AV220" s="448"/>
      <c r="AW220" s="8" t="str">
        <f>IF(C220&gt;0,VLOOKUP(C220,Foundation_Calc!$A$2:$C$986,3,1),
IF(J220&gt;0,VLOOKUP(J220,Foundation_Calc!$A$2:$C$986,3,1),""))</f>
        <v/>
      </c>
      <c r="AX220" s="8" t="str">
        <f>IF(C220&gt;0,VLOOKUP(C220,Foundation_Calc!$E$2:$G$986,3,1),
IF(J220&gt;0,VLOOKUP(J220,Foundation_Calc!$E$2:$G$986,3,1),""))</f>
        <v/>
      </c>
      <c r="AY220" s="631" t="str">
        <f>IF(L220="","",
IF(AX220="PT",VLOOKUP(L220,Foundation_Calc!$K$4:$R$37,VLOOKUP(AW220,Foundation_Calc!$I$2:$J$8,2,FALSE),0),
IF(AX220="K",VLOOKUP(L220,Foundation_Calc!$K$41:$R$74,VLOOKUP(AW220,Foundation_Calc!$I$2:$J$8,2,FALSE),0),"")))</f>
        <v/>
      </c>
      <c r="AZ220" s="631" t="str">
        <f>IF(K220="","",
IF(AX220="PT",VLOOKUP(K220,Foundation_Calc!$K$4:$R$37,VLOOKUP(AW220,Foundation_Calc!$I$2:$J$8,2,FALSE),0),
IF(AX220="K",VLOOKUP(K220,Foundation_Calc!$K$41:$R$74,VLOOKUP(AW220,Foundation_Calc!$I$2:$J$8,2,FALSE),0),"")))</f>
        <v/>
      </c>
      <c r="BA220" s="632" t="str">
        <f t="shared" si="16"/>
        <v/>
      </c>
      <c r="BB220" s="632" t="str">
        <f t="shared" si="17"/>
        <v/>
      </c>
      <c r="BC220" s="632" t="str">
        <f t="shared" si="18"/>
        <v/>
      </c>
      <c r="BD220" s="633" t="str">
        <f>IF(AND(L220="",H220=""),"",
IF(H220="",Pole_Calc!A248,
IF(H220="MP",Pole_Calc!A249,
IF(H220="AnMP",Pole_Calc!A250,
IF(H220="A",Pole_Calc!A251,
IF(H220="S/A",Pole_Calc!A252,
IF(H220="A/S",Pole_Calc!A253,"Poner a mano")))))))</f>
        <v/>
      </c>
      <c r="BE220" s="448" t="s">
        <v>1726</v>
      </c>
      <c r="BF220" s="634"/>
      <c r="BG220" s="634"/>
      <c r="BH220" s="634"/>
      <c r="BI220" s="634"/>
    </row>
    <row r="221" spans="1:61" ht="16.2" customHeight="1">
      <c r="A221" s="12"/>
      <c r="B221" s="446"/>
      <c r="C221" s="89"/>
      <c r="D221" s="13"/>
      <c r="E221" s="14"/>
      <c r="F221" s="14"/>
      <c r="G221" s="15"/>
      <c r="H221" s="8"/>
      <c r="I221" s="8"/>
      <c r="J221" s="89"/>
      <c r="K221" s="8"/>
      <c r="L221" s="8"/>
      <c r="M221" s="8" t="str">
        <f>IF(L221="","",
IF(AX221="PT",VLOOKUP(L221,Foundation_Calc!$V$4:$X$37,VLOOKUP(AX221,Foundation_Calc!$I$10:$J$13,2,FALSE),0),
IF(AX221="K",VLOOKUP(L221,Foundation_Calc!$V$41:$X$74,VLOOKUP(AX221,Foundation_Calc!$I$10:$J$13,2,FALSE),0),"")))</f>
        <v/>
      </c>
      <c r="N221" s="8"/>
      <c r="O221" s="8"/>
      <c r="P221" s="8"/>
      <c r="Q221" s="14"/>
      <c r="R221" s="15"/>
      <c r="S221" s="15"/>
      <c r="T221" s="14"/>
      <c r="U221" s="14"/>
      <c r="V221" s="14"/>
      <c r="W221" s="18"/>
      <c r="X221" s="18"/>
      <c r="Y221" s="18"/>
      <c r="Z221" s="18"/>
      <c r="AA221" s="18"/>
      <c r="AB221" s="18"/>
      <c r="AC221" s="8" t="str">
        <f t="shared" si="15"/>
        <v/>
      </c>
      <c r="AD221" s="8"/>
      <c r="AE221" s="8"/>
      <c r="AF221" s="14"/>
      <c r="AG221" s="13"/>
      <c r="AH221" s="14"/>
      <c r="AI221" s="14"/>
      <c r="AJ221" s="8"/>
      <c r="AK221" s="8"/>
      <c r="AL221" s="8"/>
      <c r="AM221" s="8"/>
      <c r="AN221" s="631"/>
      <c r="AO221" s="18"/>
      <c r="AP221" s="18"/>
      <c r="AQ221" s="18"/>
      <c r="AR221" s="18"/>
      <c r="AS221" s="18"/>
      <c r="AU221" s="448"/>
      <c r="AV221" s="448"/>
      <c r="AW221" s="8" t="str">
        <f>IF(C221&gt;0,VLOOKUP(C221,Foundation_Calc!$A$2:$C$986,3,1),
IF(J221&gt;0,VLOOKUP(J221,Foundation_Calc!$A$2:$C$986,3,1),""))</f>
        <v/>
      </c>
      <c r="AX221" s="8" t="str">
        <f>IF(C221&gt;0,VLOOKUP(C221,Foundation_Calc!$E$2:$G$986,3,1),
IF(J221&gt;0,VLOOKUP(J221,Foundation_Calc!$E$2:$G$986,3,1),""))</f>
        <v/>
      </c>
      <c r="AY221" s="631" t="str">
        <f>IF(L221="","",
IF(AX221="PT",VLOOKUP(L221,Foundation_Calc!$K$4:$R$37,VLOOKUP(AW221,Foundation_Calc!$I$2:$J$8,2,FALSE),0),
IF(AX221="K",VLOOKUP(L221,Foundation_Calc!$K$41:$R$74,VLOOKUP(AW221,Foundation_Calc!$I$2:$J$8,2,FALSE),0),"")))</f>
        <v/>
      </c>
      <c r="AZ221" s="631" t="str">
        <f>IF(K221="","",
IF(AX221="PT",VLOOKUP(K221,Foundation_Calc!$K$4:$R$37,VLOOKUP(AW221,Foundation_Calc!$I$2:$J$8,2,FALSE),0),
IF(AX221="K",VLOOKUP(K221,Foundation_Calc!$K$41:$R$74,VLOOKUP(AW221,Foundation_Calc!$I$2:$J$8,2,FALSE),0),"")))</f>
        <v/>
      </c>
      <c r="BA221" s="632" t="str">
        <f t="shared" si="16"/>
        <v/>
      </c>
      <c r="BB221" s="632" t="str">
        <f t="shared" si="17"/>
        <v/>
      </c>
      <c r="BC221" s="632" t="str">
        <f t="shared" si="18"/>
        <v/>
      </c>
      <c r="BD221" s="633" t="str">
        <f>IF(AND(L221="",H221=""),"",
IF(H221="",Pole_Calc!A249,
IF(H221="MP",Pole_Calc!A250,
IF(H221="AnMP",Pole_Calc!A251,
IF(H221="A",Pole_Calc!A252,
IF(H221="S/A",Pole_Calc!A253,
IF(H221="A/S",Pole_Calc!A254,"Poner a mano")))))))</f>
        <v/>
      </c>
      <c r="BE221" s="448" t="s">
        <v>1726</v>
      </c>
      <c r="BF221" s="635"/>
      <c r="BG221" s="635"/>
      <c r="BH221" s="634"/>
      <c r="BI221" s="635"/>
    </row>
    <row r="222" spans="1:61" ht="16.2" customHeight="1">
      <c r="A222" s="12"/>
      <c r="B222" s="446"/>
      <c r="C222" s="89"/>
      <c r="D222" s="13"/>
      <c r="E222" s="14"/>
      <c r="F222" s="14"/>
      <c r="G222" s="15"/>
      <c r="H222" s="8"/>
      <c r="I222" s="8"/>
      <c r="J222" s="89"/>
      <c r="K222" s="8"/>
      <c r="L222" s="8"/>
      <c r="M222" s="8" t="str">
        <f>IF(L222="","",
IF(AX222="PT",VLOOKUP(L222,Foundation_Calc!$V$4:$X$37,VLOOKUP(AX222,Foundation_Calc!$I$10:$J$13,2,FALSE),0),
IF(AX222="K",VLOOKUP(L222,Foundation_Calc!$V$41:$X$74,VLOOKUP(AX222,Foundation_Calc!$I$10:$J$13,2,FALSE),0),"")))</f>
        <v/>
      </c>
      <c r="N222" s="8"/>
      <c r="O222" s="8"/>
      <c r="P222" s="8"/>
      <c r="Q222" s="14"/>
      <c r="R222" s="15"/>
      <c r="S222" s="15"/>
      <c r="T222" s="14"/>
      <c r="U222" s="14"/>
      <c r="V222" s="14"/>
      <c r="W222" s="18"/>
      <c r="X222" s="18"/>
      <c r="Y222" s="18"/>
      <c r="Z222" s="18"/>
      <c r="AA222" s="18"/>
      <c r="AB222" s="18"/>
      <c r="AC222" s="8" t="str">
        <f t="shared" si="15"/>
        <v/>
      </c>
      <c r="AD222" s="8"/>
      <c r="AE222" s="8"/>
      <c r="AF222" s="14"/>
      <c r="AG222" s="13"/>
      <c r="AH222" s="14"/>
      <c r="AI222" s="14"/>
      <c r="AJ222" s="8"/>
      <c r="AK222" s="8"/>
      <c r="AL222" s="8"/>
      <c r="AM222" s="8"/>
      <c r="AN222" s="631"/>
      <c r="AO222" s="18"/>
      <c r="AP222" s="18"/>
      <c r="AQ222" s="18"/>
      <c r="AR222" s="18"/>
      <c r="AS222" s="18"/>
      <c r="AU222" s="448"/>
      <c r="AV222" s="448"/>
      <c r="AW222" s="8" t="str">
        <f>IF(C222&gt;0,VLOOKUP(C222,Foundation_Calc!$A$2:$C$986,3,1),
IF(J222&gt;0,VLOOKUP(J222,Foundation_Calc!$A$2:$C$986,3,1),""))</f>
        <v/>
      </c>
      <c r="AX222" s="8" t="str">
        <f>IF(C222&gt;0,VLOOKUP(C222,Foundation_Calc!$E$2:$G$986,3,1),
IF(J222&gt;0,VLOOKUP(J222,Foundation_Calc!$E$2:$G$986,3,1),""))</f>
        <v/>
      </c>
      <c r="AY222" s="631" t="str">
        <f>IF(L222="","",
IF(AX222="PT",VLOOKUP(L222,Foundation_Calc!$K$4:$R$37,VLOOKUP(AW222,Foundation_Calc!$I$2:$J$8,2,FALSE),0),
IF(AX222="K",VLOOKUP(L222,Foundation_Calc!$K$41:$R$74,VLOOKUP(AW222,Foundation_Calc!$I$2:$J$8,2,FALSE),0),"")))</f>
        <v/>
      </c>
      <c r="AZ222" s="631" t="str">
        <f>IF(K222="","",
IF(AX222="PT",VLOOKUP(K222,Foundation_Calc!$K$4:$R$37,VLOOKUP(AW222,Foundation_Calc!$I$2:$J$8,2,FALSE),0),
IF(AX222="K",VLOOKUP(K222,Foundation_Calc!$K$41:$R$74,VLOOKUP(AW222,Foundation_Calc!$I$2:$J$8,2,FALSE),0),"")))</f>
        <v/>
      </c>
      <c r="BA222" s="632" t="str">
        <f t="shared" si="16"/>
        <v/>
      </c>
      <c r="BB222" s="632" t="str">
        <f t="shared" si="17"/>
        <v/>
      </c>
      <c r="BC222" s="632" t="str">
        <f t="shared" si="18"/>
        <v/>
      </c>
      <c r="BD222" s="633" t="str">
        <f>IF(AND(L222="",H222=""),"",
IF(H222="",Pole_Calc!A250,
IF(H222="MP",Pole_Calc!A251,
IF(H222="AnMP",Pole_Calc!A252,
IF(H222="A",Pole_Calc!A253,
IF(H222="S/A",Pole_Calc!A254,
IF(H222="A/S",Pole_Calc!A255,"Poner a mano")))))))</f>
        <v/>
      </c>
      <c r="BE222" s="448" t="s">
        <v>1726</v>
      </c>
      <c r="BF222" s="634"/>
      <c r="BG222" s="634"/>
      <c r="BH222" s="634"/>
      <c r="BI222" s="634"/>
    </row>
    <row r="223" spans="1:61" ht="16.2" customHeight="1">
      <c r="A223" s="12"/>
      <c r="B223" s="446"/>
      <c r="C223" s="89"/>
      <c r="D223" s="13"/>
      <c r="E223" s="14"/>
      <c r="F223" s="14"/>
      <c r="G223" s="15"/>
      <c r="H223" s="8"/>
      <c r="I223" s="8"/>
      <c r="J223" s="89"/>
      <c r="K223" s="8"/>
      <c r="L223" s="8"/>
      <c r="M223" s="8" t="str">
        <f>IF(L223="","",
IF(AX223="PT",VLOOKUP(L223,Foundation_Calc!$V$4:$X$37,VLOOKUP(AX223,Foundation_Calc!$I$10:$J$13,2,FALSE),0),
IF(AX223="K",VLOOKUP(L223,Foundation_Calc!$V$41:$X$74,VLOOKUP(AX223,Foundation_Calc!$I$10:$J$13,2,FALSE),0),"")))</f>
        <v/>
      </c>
      <c r="N223" s="8"/>
      <c r="O223" s="8"/>
      <c r="P223" s="8"/>
      <c r="Q223" s="14"/>
      <c r="R223" s="15"/>
      <c r="S223" s="15"/>
      <c r="T223" s="14"/>
      <c r="U223" s="14"/>
      <c r="V223" s="14"/>
      <c r="W223" s="18"/>
      <c r="X223" s="18"/>
      <c r="Y223" s="18"/>
      <c r="Z223" s="18"/>
      <c r="AA223" s="18"/>
      <c r="AB223" s="18"/>
      <c r="AC223" s="8" t="str">
        <f t="shared" si="15"/>
        <v/>
      </c>
      <c r="AD223" s="8"/>
      <c r="AE223" s="8"/>
      <c r="AF223" s="14"/>
      <c r="AG223" s="13"/>
      <c r="AH223" s="14"/>
      <c r="AI223" s="14"/>
      <c r="AJ223" s="8"/>
      <c r="AK223" s="8"/>
      <c r="AL223" s="8"/>
      <c r="AM223" s="8"/>
      <c r="AN223" s="631"/>
      <c r="AO223" s="18"/>
      <c r="AP223" s="18"/>
      <c r="AQ223" s="18"/>
      <c r="AR223" s="18"/>
      <c r="AS223" s="18"/>
      <c r="AU223" s="448"/>
      <c r="AV223" s="448"/>
      <c r="AW223" s="8" t="str">
        <f>IF(C223&gt;0,VLOOKUP(C223,Foundation_Calc!$A$2:$C$986,3,1),
IF(J223&gt;0,VLOOKUP(J223,Foundation_Calc!$A$2:$C$986,3,1),""))</f>
        <v/>
      </c>
      <c r="AX223" s="8" t="str">
        <f>IF(C223&gt;0,VLOOKUP(C223,Foundation_Calc!$E$2:$G$986,3,1),
IF(J223&gt;0,VLOOKUP(J223,Foundation_Calc!$E$2:$G$986,3,1),""))</f>
        <v/>
      </c>
      <c r="AY223" s="631" t="str">
        <f>IF(L223="","",
IF(AX223="PT",VLOOKUP(L223,Foundation_Calc!$K$4:$R$37,VLOOKUP(AW223,Foundation_Calc!$I$2:$J$8,2,FALSE),0),
IF(AX223="K",VLOOKUP(L223,Foundation_Calc!$K$41:$R$74,VLOOKUP(AW223,Foundation_Calc!$I$2:$J$8,2,FALSE),0),"")))</f>
        <v/>
      </c>
      <c r="AZ223" s="631" t="str">
        <f>IF(K223="","",
IF(AX223="PT",VLOOKUP(K223,Foundation_Calc!$K$4:$R$37,VLOOKUP(AW223,Foundation_Calc!$I$2:$J$8,2,FALSE),0),
IF(AX223="K",VLOOKUP(K223,Foundation_Calc!$K$41:$R$74,VLOOKUP(AW223,Foundation_Calc!$I$2:$J$8,2,FALSE),0),"")))</f>
        <v/>
      </c>
      <c r="BA223" s="632" t="str">
        <f t="shared" si="16"/>
        <v/>
      </c>
      <c r="BB223" s="632" t="str">
        <f t="shared" si="17"/>
        <v/>
      </c>
      <c r="BC223" s="632" t="str">
        <f t="shared" si="18"/>
        <v/>
      </c>
      <c r="BD223" s="633" t="str">
        <f>IF(AND(L223="",H223=""),"",
IF(H223="",Pole_Calc!A251,
IF(H223="MP",Pole_Calc!A252,
IF(H223="AnMP",Pole_Calc!A253,
IF(H223="A",Pole_Calc!A254,
IF(H223="S/A",Pole_Calc!A255,
IF(H223="A/S",Pole_Calc!A256,"Poner a mano")))))))</f>
        <v/>
      </c>
      <c r="BE223" s="448" t="s">
        <v>1726</v>
      </c>
      <c r="BF223" s="635"/>
      <c r="BG223" s="635"/>
      <c r="BH223" s="634"/>
      <c r="BI223" s="635"/>
    </row>
    <row r="224" spans="1:61" ht="16.2" customHeight="1">
      <c r="A224" s="12"/>
      <c r="B224" s="446"/>
      <c r="C224" s="89"/>
      <c r="D224" s="13"/>
      <c r="E224" s="14"/>
      <c r="F224" s="14"/>
      <c r="G224" s="15"/>
      <c r="H224" s="8"/>
      <c r="I224" s="8"/>
      <c r="J224" s="89"/>
      <c r="K224" s="8"/>
      <c r="L224" s="8"/>
      <c r="M224" s="8" t="str">
        <f>IF(L224="","",
IF(AX224="PT",VLOOKUP(L224,Foundation_Calc!$V$4:$X$37,VLOOKUP(AX224,Foundation_Calc!$I$10:$J$13,2,FALSE),0),
IF(AX224="K",VLOOKUP(L224,Foundation_Calc!$V$41:$X$74,VLOOKUP(AX224,Foundation_Calc!$I$10:$J$13,2,FALSE),0),"")))</f>
        <v/>
      </c>
      <c r="N224" s="8"/>
      <c r="O224" s="8"/>
      <c r="P224" s="8"/>
      <c r="Q224" s="14"/>
      <c r="R224" s="15"/>
      <c r="S224" s="15"/>
      <c r="T224" s="14"/>
      <c r="U224" s="14"/>
      <c r="V224" s="14"/>
      <c r="W224" s="18"/>
      <c r="X224" s="18"/>
      <c r="Y224" s="18"/>
      <c r="Z224" s="18"/>
      <c r="AA224" s="18"/>
      <c r="AB224" s="18"/>
      <c r="AC224" s="8" t="str">
        <f t="shared" si="15"/>
        <v/>
      </c>
      <c r="AD224" s="8"/>
      <c r="AE224" s="8"/>
      <c r="AF224" s="14"/>
      <c r="AG224" s="13"/>
      <c r="AH224" s="14"/>
      <c r="AI224" s="14"/>
      <c r="AJ224" s="8"/>
      <c r="AK224" s="8"/>
      <c r="AL224" s="8"/>
      <c r="AM224" s="8"/>
      <c r="AN224" s="631"/>
      <c r="AO224" s="18"/>
      <c r="AP224" s="18"/>
      <c r="AQ224" s="18"/>
      <c r="AR224" s="18"/>
      <c r="AS224" s="18"/>
      <c r="AU224" s="448"/>
      <c r="AV224" s="448"/>
      <c r="AW224" s="8" t="str">
        <f>IF(C224&gt;0,VLOOKUP(C224,Foundation_Calc!$A$2:$C$986,3,1),
IF(J224&gt;0,VLOOKUP(J224,Foundation_Calc!$A$2:$C$986,3,1),""))</f>
        <v/>
      </c>
      <c r="AX224" s="8" t="str">
        <f>IF(C224&gt;0,VLOOKUP(C224,Foundation_Calc!$E$2:$G$986,3,1),
IF(J224&gt;0,VLOOKUP(J224,Foundation_Calc!$E$2:$G$986,3,1),""))</f>
        <v/>
      </c>
      <c r="AY224" s="631" t="str">
        <f>IF(L224="","",
IF(AX224="PT",VLOOKUP(L224,Foundation_Calc!$K$4:$R$37,VLOOKUP(AW224,Foundation_Calc!$I$2:$J$8,2,FALSE),0),
IF(AX224="K",VLOOKUP(L224,Foundation_Calc!$K$41:$R$74,VLOOKUP(AW224,Foundation_Calc!$I$2:$J$8,2,FALSE),0),"")))</f>
        <v/>
      </c>
      <c r="AZ224" s="631" t="str">
        <f>IF(K224="","",
IF(AX224="PT",VLOOKUP(K224,Foundation_Calc!$K$4:$R$37,VLOOKUP(AW224,Foundation_Calc!$I$2:$J$8,2,FALSE),0),
IF(AX224="K",VLOOKUP(K224,Foundation_Calc!$K$41:$R$74,VLOOKUP(AW224,Foundation_Calc!$I$2:$J$8,2,FALSE),0),"")))</f>
        <v/>
      </c>
      <c r="BA224" s="632" t="str">
        <f t="shared" si="16"/>
        <v/>
      </c>
      <c r="BB224" s="632" t="str">
        <f t="shared" si="17"/>
        <v/>
      </c>
      <c r="BC224" s="632" t="str">
        <f t="shared" si="18"/>
        <v/>
      </c>
      <c r="BD224" s="633" t="str">
        <f>IF(AND(L224="",H224=""),"",
IF(H224="",Pole_Calc!A252,
IF(H224="MP",Pole_Calc!A253,
IF(H224="AnMP",Pole_Calc!A254,
IF(H224="A",Pole_Calc!A255,
IF(H224="S/A",Pole_Calc!A256,
IF(H224="A/S",Pole_Calc!A257,"Poner a mano")))))))</f>
        <v/>
      </c>
      <c r="BE224" s="448" t="s">
        <v>1726</v>
      </c>
      <c r="BF224" s="634"/>
      <c r="BG224" s="634"/>
      <c r="BH224" s="634"/>
      <c r="BI224" s="634"/>
    </row>
    <row r="225" spans="1:61" ht="16.2" customHeight="1">
      <c r="A225" s="12"/>
      <c r="B225" s="446"/>
      <c r="C225" s="89"/>
      <c r="D225" s="13"/>
      <c r="E225" s="14"/>
      <c r="F225" s="14"/>
      <c r="G225" s="15"/>
      <c r="H225" s="8"/>
      <c r="I225" s="8"/>
      <c r="J225" s="89"/>
      <c r="K225" s="8"/>
      <c r="L225" s="8"/>
      <c r="M225" s="8" t="str">
        <f>IF(L225="","",
IF(AX225="PT",VLOOKUP(L225,Foundation_Calc!$V$4:$X$37,VLOOKUP(AX225,Foundation_Calc!$I$10:$J$13,2,FALSE),0),
IF(AX225="K",VLOOKUP(L225,Foundation_Calc!$V$41:$X$74,VLOOKUP(AX225,Foundation_Calc!$I$10:$J$13,2,FALSE),0),"")))</f>
        <v/>
      </c>
      <c r="N225" s="8"/>
      <c r="O225" s="8"/>
      <c r="P225" s="8"/>
      <c r="Q225" s="14"/>
      <c r="R225" s="15"/>
      <c r="S225" s="15"/>
      <c r="T225" s="14"/>
      <c r="U225" s="14"/>
      <c r="V225" s="14"/>
      <c r="W225" s="18"/>
      <c r="X225" s="18"/>
      <c r="Y225" s="18"/>
      <c r="Z225" s="18"/>
      <c r="AA225" s="18"/>
      <c r="AB225" s="18"/>
      <c r="AC225" s="8" t="str">
        <f t="shared" si="15"/>
        <v/>
      </c>
      <c r="AD225" s="8"/>
      <c r="AE225" s="8"/>
      <c r="AF225" s="14"/>
      <c r="AG225" s="13"/>
      <c r="AH225" s="14"/>
      <c r="AI225" s="14"/>
      <c r="AJ225" s="8"/>
      <c r="AK225" s="8"/>
      <c r="AL225" s="8"/>
      <c r="AM225" s="8"/>
      <c r="AN225" s="631"/>
      <c r="AO225" s="18"/>
      <c r="AP225" s="18"/>
      <c r="AQ225" s="18"/>
      <c r="AR225" s="18"/>
      <c r="AS225" s="18"/>
      <c r="AU225" s="448"/>
      <c r="AV225" s="448"/>
      <c r="AW225" s="8" t="str">
        <f>IF(C225&gt;0,VLOOKUP(C225,Foundation_Calc!$A$2:$C$986,3,1),
IF(J225&gt;0,VLOOKUP(J225,Foundation_Calc!$A$2:$C$986,3,1),""))</f>
        <v/>
      </c>
      <c r="AX225" s="8" t="str">
        <f>IF(C225&gt;0,VLOOKUP(C225,Foundation_Calc!$E$2:$G$986,3,1),
IF(J225&gt;0,VLOOKUP(J225,Foundation_Calc!$E$2:$G$986,3,1),""))</f>
        <v/>
      </c>
      <c r="AY225" s="631" t="str">
        <f>IF(L225="","",
IF(AX225="PT",VLOOKUP(L225,Foundation_Calc!$K$4:$R$37,VLOOKUP(AW225,Foundation_Calc!$I$2:$J$8,2,FALSE),0),
IF(AX225="K",VLOOKUP(L225,Foundation_Calc!$K$41:$R$74,VLOOKUP(AW225,Foundation_Calc!$I$2:$J$8,2,FALSE),0),"")))</f>
        <v/>
      </c>
      <c r="AZ225" s="631" t="str">
        <f>IF(K225="","",
IF(AX225="PT",VLOOKUP(K225,Foundation_Calc!$K$4:$R$37,VLOOKUP(AW225,Foundation_Calc!$I$2:$J$8,2,FALSE),0),
IF(AX225="K",VLOOKUP(K225,Foundation_Calc!$K$41:$R$74,VLOOKUP(AW225,Foundation_Calc!$I$2:$J$8,2,FALSE),0),"")))</f>
        <v/>
      </c>
      <c r="BA225" s="632" t="str">
        <f t="shared" si="16"/>
        <v/>
      </c>
      <c r="BB225" s="632" t="str">
        <f t="shared" si="17"/>
        <v/>
      </c>
      <c r="BC225" s="632" t="str">
        <f t="shared" si="18"/>
        <v/>
      </c>
      <c r="BD225" s="633" t="str">
        <f>IF(AND(L225="",H225=""),"",
IF(H225="",Pole_Calc!A253,
IF(H225="MP",Pole_Calc!A254,
IF(H225="AnMP",Pole_Calc!A255,
IF(H225="A",Pole_Calc!A256,
IF(H225="S/A",Pole_Calc!A257,
IF(H225="A/S",Pole_Calc!A258,"Poner a mano")))))))</f>
        <v/>
      </c>
      <c r="BE225" s="448" t="s">
        <v>1726</v>
      </c>
      <c r="BF225" s="635"/>
      <c r="BG225" s="635"/>
      <c r="BH225" s="634"/>
      <c r="BI225" s="635"/>
    </row>
    <row r="226" spans="1:61" ht="16.2" customHeight="1">
      <c r="A226" s="12"/>
      <c r="B226" s="446"/>
      <c r="C226" s="89"/>
      <c r="D226" s="13"/>
      <c r="E226" s="14"/>
      <c r="F226" s="14"/>
      <c r="G226" s="15"/>
      <c r="H226" s="8"/>
      <c r="I226" s="8"/>
      <c r="J226" s="89"/>
      <c r="K226" s="8"/>
      <c r="L226" s="8"/>
      <c r="M226" s="8" t="str">
        <f>IF(L226="","",
IF(AX226="PT",VLOOKUP(L226,Foundation_Calc!$V$4:$X$37,VLOOKUP(AX226,Foundation_Calc!$I$10:$J$13,2,FALSE),0),
IF(AX226="K",VLOOKUP(L226,Foundation_Calc!$V$41:$X$74,VLOOKUP(AX226,Foundation_Calc!$I$10:$J$13,2,FALSE),0),"")))</f>
        <v/>
      </c>
      <c r="N226" s="8"/>
      <c r="O226" s="8"/>
      <c r="P226" s="8"/>
      <c r="Q226" s="14"/>
      <c r="R226" s="15"/>
      <c r="S226" s="15"/>
      <c r="T226" s="14"/>
      <c r="U226" s="14"/>
      <c r="V226" s="14"/>
      <c r="W226" s="18"/>
      <c r="X226" s="18"/>
      <c r="Y226" s="18"/>
      <c r="Z226" s="18"/>
      <c r="AA226" s="18"/>
      <c r="AB226" s="18"/>
      <c r="AC226" s="8" t="str">
        <f t="shared" si="15"/>
        <v/>
      </c>
      <c r="AD226" s="8"/>
      <c r="AE226" s="8"/>
      <c r="AF226" s="14"/>
      <c r="AG226" s="13"/>
      <c r="AH226" s="14"/>
      <c r="AI226" s="14"/>
      <c r="AJ226" s="8"/>
      <c r="AK226" s="8"/>
      <c r="AL226" s="8"/>
      <c r="AM226" s="8"/>
      <c r="AN226" s="631"/>
      <c r="AO226" s="18"/>
      <c r="AP226" s="18"/>
      <c r="AQ226" s="18"/>
      <c r="AR226" s="18"/>
      <c r="AS226" s="18"/>
      <c r="AU226" s="448"/>
      <c r="AV226" s="448"/>
      <c r="AW226" s="8" t="str">
        <f>IF(C226&gt;0,VLOOKUP(C226,Foundation_Calc!$A$2:$C$986,3,1),
IF(J226&gt;0,VLOOKUP(J226,Foundation_Calc!$A$2:$C$986,3,1),""))</f>
        <v/>
      </c>
      <c r="AX226" s="8" t="str">
        <f>IF(C226&gt;0,VLOOKUP(C226,Foundation_Calc!$E$2:$G$986,3,1),
IF(J226&gt;0,VLOOKUP(J226,Foundation_Calc!$E$2:$G$986,3,1),""))</f>
        <v/>
      </c>
      <c r="AY226" s="631" t="str">
        <f>IF(L226="","",
IF(AX226="PT",VLOOKUP(L226,Foundation_Calc!$K$4:$R$37,VLOOKUP(AW226,Foundation_Calc!$I$2:$J$8,2,FALSE),0),
IF(AX226="K",VLOOKUP(L226,Foundation_Calc!$K$41:$R$74,VLOOKUP(AW226,Foundation_Calc!$I$2:$J$8,2,FALSE),0),"")))</f>
        <v/>
      </c>
      <c r="AZ226" s="631" t="str">
        <f>IF(K226="","",
IF(AX226="PT",VLOOKUP(K226,Foundation_Calc!$K$4:$R$37,VLOOKUP(AW226,Foundation_Calc!$I$2:$J$8,2,FALSE),0),
IF(AX226="K",VLOOKUP(K226,Foundation_Calc!$K$41:$R$74,VLOOKUP(AW226,Foundation_Calc!$I$2:$J$8,2,FALSE),0),"")))</f>
        <v/>
      </c>
      <c r="BA226" s="632" t="str">
        <f t="shared" si="16"/>
        <v/>
      </c>
      <c r="BB226" s="632" t="str">
        <f t="shared" si="17"/>
        <v/>
      </c>
      <c r="BC226" s="632" t="str">
        <f t="shared" si="18"/>
        <v/>
      </c>
      <c r="BD226" s="633" t="str">
        <f>IF(AND(L226="",H226=""),"",
IF(H226="",Pole_Calc!A254,
IF(H226="MP",Pole_Calc!A255,
IF(H226="AnMP",Pole_Calc!A256,
IF(H226="A",Pole_Calc!A257,
IF(H226="S/A",Pole_Calc!A258,
IF(H226="A/S",Pole_Calc!A259,"Poner a mano")))))))</f>
        <v/>
      </c>
      <c r="BE226" s="448" t="s">
        <v>1726</v>
      </c>
      <c r="BF226" s="634"/>
      <c r="BG226" s="634"/>
      <c r="BH226" s="634"/>
      <c r="BI226" s="634"/>
    </row>
    <row r="227" spans="1:61" ht="16.2" customHeight="1">
      <c r="A227" s="12"/>
      <c r="B227" s="446"/>
      <c r="C227" s="89"/>
      <c r="D227" s="13"/>
      <c r="E227" s="14"/>
      <c r="F227" s="14"/>
      <c r="G227" s="15"/>
      <c r="H227" s="8"/>
      <c r="I227" s="8"/>
      <c r="J227" s="89"/>
      <c r="K227" s="8"/>
      <c r="L227" s="8"/>
      <c r="M227" s="8" t="str">
        <f>IF(L227="","",
IF(AX227="PT",VLOOKUP(L227,Foundation_Calc!$V$4:$X$37,VLOOKUP(AX227,Foundation_Calc!$I$10:$J$13,2,FALSE),0),
IF(AX227="K",VLOOKUP(L227,Foundation_Calc!$V$41:$X$74,VLOOKUP(AX227,Foundation_Calc!$I$10:$J$13,2,FALSE),0),"")))</f>
        <v/>
      </c>
      <c r="N227" s="8"/>
      <c r="O227" s="8"/>
      <c r="P227" s="8"/>
      <c r="Q227" s="14"/>
      <c r="R227" s="15"/>
      <c r="S227" s="15"/>
      <c r="T227" s="14"/>
      <c r="U227" s="14"/>
      <c r="V227" s="14"/>
      <c r="W227" s="18"/>
      <c r="X227" s="18"/>
      <c r="Y227" s="18"/>
      <c r="Z227" s="18"/>
      <c r="AA227" s="18"/>
      <c r="AB227" s="18"/>
      <c r="AC227" s="8" t="str">
        <f t="shared" si="15"/>
        <v/>
      </c>
      <c r="AD227" s="8"/>
      <c r="AE227" s="8"/>
      <c r="AF227" s="14"/>
      <c r="AG227" s="13"/>
      <c r="AH227" s="14"/>
      <c r="AI227" s="14"/>
      <c r="AJ227" s="8"/>
      <c r="AK227" s="8"/>
      <c r="AL227" s="8"/>
      <c r="AM227" s="8"/>
      <c r="AN227" s="631"/>
      <c r="AO227" s="18"/>
      <c r="AP227" s="18"/>
      <c r="AQ227" s="18"/>
      <c r="AR227" s="18"/>
      <c r="AS227" s="18"/>
      <c r="AU227" s="448"/>
      <c r="AV227" s="448"/>
      <c r="AW227" s="8" t="str">
        <f>IF(C227&gt;0,VLOOKUP(C227,Foundation_Calc!$A$2:$C$986,3,1),
IF(J227&gt;0,VLOOKUP(J227,Foundation_Calc!$A$2:$C$986,3,1),""))</f>
        <v/>
      </c>
      <c r="AX227" s="8" t="str">
        <f>IF(C227&gt;0,VLOOKUP(C227,Foundation_Calc!$E$2:$G$986,3,1),
IF(J227&gt;0,VLOOKUP(J227,Foundation_Calc!$E$2:$G$986,3,1),""))</f>
        <v/>
      </c>
      <c r="AY227" s="631" t="str">
        <f>IF(L227="","",
IF(AX227="PT",VLOOKUP(L227,Foundation_Calc!$K$4:$R$37,VLOOKUP(AW227,Foundation_Calc!$I$2:$J$8,2,FALSE),0),
IF(AX227="K",VLOOKUP(L227,Foundation_Calc!$K$41:$R$74,VLOOKUP(AW227,Foundation_Calc!$I$2:$J$8,2,FALSE),0),"")))</f>
        <v/>
      </c>
      <c r="AZ227" s="631" t="str">
        <f>IF(K227="","",
IF(AX227="PT",VLOOKUP(K227,Foundation_Calc!$K$4:$R$37,VLOOKUP(AW227,Foundation_Calc!$I$2:$J$8,2,FALSE),0),
IF(AX227="K",VLOOKUP(K227,Foundation_Calc!$K$41:$R$74,VLOOKUP(AW227,Foundation_Calc!$I$2:$J$8,2,FALSE),0),"")))</f>
        <v/>
      </c>
      <c r="BA227" s="632" t="str">
        <f t="shared" si="16"/>
        <v/>
      </c>
      <c r="BB227" s="632" t="str">
        <f t="shared" si="17"/>
        <v/>
      </c>
      <c r="BC227" s="632" t="str">
        <f t="shared" si="18"/>
        <v/>
      </c>
      <c r="BD227" s="633" t="str">
        <f>IF(AND(L227="",H227=""),"",
IF(H227="",Pole_Calc!A255,
IF(H227="MP",Pole_Calc!A256,
IF(H227="AnMP",Pole_Calc!A257,
IF(H227="A",Pole_Calc!A258,
IF(H227="S/A",Pole_Calc!A259,
IF(H227="A/S",Pole_Calc!A260,"Poner a mano")))))))</f>
        <v/>
      </c>
      <c r="BE227" s="448" t="s">
        <v>1726</v>
      </c>
      <c r="BF227" s="635"/>
      <c r="BG227" s="635"/>
      <c r="BH227" s="634"/>
      <c r="BI227" s="635"/>
    </row>
    <row r="228" spans="1:61" ht="16.2" customHeight="1">
      <c r="A228" s="12"/>
      <c r="B228" s="446"/>
      <c r="C228" s="89"/>
      <c r="D228" s="13"/>
      <c r="E228" s="14"/>
      <c r="F228" s="14"/>
      <c r="G228" s="15"/>
      <c r="H228" s="8"/>
      <c r="I228" s="8"/>
      <c r="J228" s="89"/>
      <c r="K228" s="8"/>
      <c r="L228" s="8"/>
      <c r="M228" s="8" t="str">
        <f>IF(L228="","",
IF(AX228="PT",VLOOKUP(L228,Foundation_Calc!$V$4:$X$37,VLOOKUP(AX228,Foundation_Calc!$I$10:$J$13,2,FALSE),0),
IF(AX228="K",VLOOKUP(L228,Foundation_Calc!$V$41:$X$74,VLOOKUP(AX228,Foundation_Calc!$I$10:$J$13,2,FALSE),0),"")))</f>
        <v/>
      </c>
      <c r="N228" s="8"/>
      <c r="O228" s="8"/>
      <c r="P228" s="8"/>
      <c r="Q228" s="14"/>
      <c r="R228" s="15"/>
      <c r="S228" s="15"/>
      <c r="T228" s="14"/>
      <c r="U228" s="14"/>
      <c r="V228" s="14"/>
      <c r="W228" s="18"/>
      <c r="X228" s="18"/>
      <c r="Y228" s="18"/>
      <c r="Z228" s="18"/>
      <c r="AA228" s="18"/>
      <c r="AB228" s="18"/>
      <c r="AC228" s="8" t="str">
        <f t="shared" si="15"/>
        <v/>
      </c>
      <c r="AD228" s="8"/>
      <c r="AE228" s="8"/>
      <c r="AF228" s="14"/>
      <c r="AG228" s="13"/>
      <c r="AH228" s="14"/>
      <c r="AI228" s="14"/>
      <c r="AJ228" s="8"/>
      <c r="AK228" s="8"/>
      <c r="AL228" s="8"/>
      <c r="AM228" s="8"/>
      <c r="AN228" s="631"/>
      <c r="AO228" s="18"/>
      <c r="AP228" s="18"/>
      <c r="AQ228" s="18"/>
      <c r="AR228" s="18"/>
      <c r="AS228" s="18"/>
      <c r="AU228" s="448"/>
      <c r="AV228" s="448"/>
      <c r="AW228" s="8" t="str">
        <f>IF(C228&gt;0,VLOOKUP(C228,Foundation_Calc!$A$2:$C$986,3,1),
IF(J228&gt;0,VLOOKUP(J228,Foundation_Calc!$A$2:$C$986,3,1),""))</f>
        <v/>
      </c>
      <c r="AX228" s="8" t="str">
        <f>IF(C228&gt;0,VLOOKUP(C228,Foundation_Calc!$E$2:$G$986,3,1),
IF(J228&gt;0,VLOOKUP(J228,Foundation_Calc!$E$2:$G$986,3,1),""))</f>
        <v/>
      </c>
      <c r="AY228" s="631" t="str">
        <f>IF(L228="","",
IF(AX228="PT",VLOOKUP(L228,Foundation_Calc!$K$4:$R$37,VLOOKUP(AW228,Foundation_Calc!$I$2:$J$8,2,FALSE),0),
IF(AX228="K",VLOOKUP(L228,Foundation_Calc!$K$41:$R$74,VLOOKUP(AW228,Foundation_Calc!$I$2:$J$8,2,FALSE),0),"")))</f>
        <v/>
      </c>
      <c r="AZ228" s="631" t="str">
        <f>IF(K228="","",
IF(AX228="PT",VLOOKUP(K228,Foundation_Calc!$K$4:$R$37,VLOOKUP(AW228,Foundation_Calc!$I$2:$J$8,2,FALSE),0),
IF(AX228="K",VLOOKUP(K228,Foundation_Calc!$K$41:$R$74,VLOOKUP(AW228,Foundation_Calc!$I$2:$J$8,2,FALSE),0),"")))</f>
        <v/>
      </c>
      <c r="BA228" s="632" t="str">
        <f t="shared" si="16"/>
        <v/>
      </c>
      <c r="BB228" s="632" t="str">
        <f t="shared" si="17"/>
        <v/>
      </c>
      <c r="BC228" s="632" t="str">
        <f t="shared" si="18"/>
        <v/>
      </c>
      <c r="BD228" s="633" t="str">
        <f>IF(AND(L228="",H228=""),"",
IF(H228="",Pole_Calc!A256,
IF(H228="MP",Pole_Calc!A257,
IF(H228="AnMP",Pole_Calc!A258,
IF(H228="A",Pole_Calc!A259,
IF(H228="S/A",Pole_Calc!A260,
IF(H228="A/S",Pole_Calc!A261,"Poner a mano")))))))</f>
        <v/>
      </c>
      <c r="BE228" s="448" t="s">
        <v>1726</v>
      </c>
      <c r="BF228" s="634"/>
      <c r="BG228" s="634"/>
      <c r="BH228" s="634"/>
      <c r="BI228" s="634"/>
    </row>
    <row r="229" spans="1:61" ht="16.2" customHeight="1">
      <c r="A229" s="12"/>
      <c r="B229" s="446"/>
      <c r="C229" s="89"/>
      <c r="D229" s="13"/>
      <c r="E229" s="14"/>
      <c r="F229" s="14"/>
      <c r="G229" s="15"/>
      <c r="H229" s="8"/>
      <c r="I229" s="8"/>
      <c r="J229" s="89"/>
      <c r="K229" s="8"/>
      <c r="L229" s="8"/>
      <c r="M229" s="8" t="str">
        <f>IF(L229="","",
IF(AX229="PT",VLOOKUP(L229,Foundation_Calc!$V$4:$X$37,VLOOKUP(AX229,Foundation_Calc!$I$10:$J$13,2,FALSE),0),
IF(AX229="K",VLOOKUP(L229,Foundation_Calc!$V$41:$X$74,VLOOKUP(AX229,Foundation_Calc!$I$10:$J$13,2,FALSE),0),"")))</f>
        <v/>
      </c>
      <c r="N229" s="8"/>
      <c r="O229" s="8"/>
      <c r="P229" s="8"/>
      <c r="Q229" s="14"/>
      <c r="R229" s="15"/>
      <c r="S229" s="15"/>
      <c r="T229" s="14"/>
      <c r="U229" s="14"/>
      <c r="V229" s="14"/>
      <c r="W229" s="18"/>
      <c r="X229" s="18"/>
      <c r="Y229" s="18"/>
      <c r="Z229" s="18"/>
      <c r="AA229" s="18"/>
      <c r="AB229" s="18"/>
      <c r="AC229" s="8" t="str">
        <f t="shared" si="15"/>
        <v/>
      </c>
      <c r="AD229" s="8"/>
      <c r="AE229" s="8"/>
      <c r="AF229" s="14"/>
      <c r="AG229" s="13"/>
      <c r="AH229" s="14"/>
      <c r="AI229" s="14"/>
      <c r="AJ229" s="8"/>
      <c r="AK229" s="8"/>
      <c r="AL229" s="8"/>
      <c r="AM229" s="8"/>
      <c r="AN229" s="631"/>
      <c r="AO229" s="18"/>
      <c r="AP229" s="18"/>
      <c r="AQ229" s="18"/>
      <c r="AR229" s="18"/>
      <c r="AS229" s="18"/>
      <c r="AU229" s="448"/>
      <c r="AV229" s="448"/>
      <c r="AW229" s="8" t="str">
        <f>IF(C229&gt;0,VLOOKUP(C229,Foundation_Calc!$A$2:$C$986,3,1),
IF(J229&gt;0,VLOOKUP(J229,Foundation_Calc!$A$2:$C$986,3,1),""))</f>
        <v/>
      </c>
      <c r="AX229" s="8" t="str">
        <f>IF(C229&gt;0,VLOOKUP(C229,Foundation_Calc!$E$2:$G$986,3,1),
IF(J229&gt;0,VLOOKUP(J229,Foundation_Calc!$E$2:$G$986,3,1),""))</f>
        <v/>
      </c>
      <c r="AY229" s="631" t="str">
        <f>IF(L229="","",
IF(AX229="PT",VLOOKUP(L229,Foundation_Calc!$K$4:$R$37,VLOOKUP(AW229,Foundation_Calc!$I$2:$J$8,2,FALSE),0),
IF(AX229="K",VLOOKUP(L229,Foundation_Calc!$K$41:$R$74,VLOOKUP(AW229,Foundation_Calc!$I$2:$J$8,2,FALSE),0),"")))</f>
        <v/>
      </c>
      <c r="AZ229" s="631" t="str">
        <f>IF(K229="","",
IF(AX229="PT",VLOOKUP(K229,Foundation_Calc!$K$4:$R$37,VLOOKUP(AW229,Foundation_Calc!$I$2:$J$8,2,FALSE),0),
IF(AX229="K",VLOOKUP(K229,Foundation_Calc!$K$41:$R$74,VLOOKUP(AW229,Foundation_Calc!$I$2:$J$8,2,FALSE),0),"")))</f>
        <v/>
      </c>
      <c r="BA229" s="632" t="str">
        <f t="shared" si="16"/>
        <v/>
      </c>
      <c r="BB229" s="632" t="str">
        <f t="shared" si="17"/>
        <v/>
      </c>
      <c r="BC229" s="632" t="str">
        <f t="shared" si="18"/>
        <v/>
      </c>
      <c r="BD229" s="633" t="str">
        <f>IF(AND(L229="",H229=""),"",
IF(H229="",Pole_Calc!A257,
IF(H229="MP",Pole_Calc!A258,
IF(H229="AnMP",Pole_Calc!A259,
IF(H229="A",Pole_Calc!A260,
IF(H229="S/A",Pole_Calc!A261,
IF(H229="A/S",Pole_Calc!A262,"Poner a mano")))))))</f>
        <v/>
      </c>
      <c r="BE229" s="448" t="s">
        <v>1726</v>
      </c>
      <c r="BF229" s="635"/>
      <c r="BG229" s="635"/>
      <c r="BH229" s="634"/>
      <c r="BI229" s="635"/>
    </row>
    <row r="230" spans="1:61" ht="16.2" customHeight="1">
      <c r="A230" s="12"/>
      <c r="B230" s="446"/>
      <c r="C230" s="89"/>
      <c r="D230" s="13"/>
      <c r="E230" s="14"/>
      <c r="F230" s="14"/>
      <c r="G230" s="15"/>
      <c r="H230" s="8"/>
      <c r="I230" s="8"/>
      <c r="J230" s="89"/>
      <c r="K230" s="8"/>
      <c r="L230" s="8"/>
      <c r="M230" s="8" t="str">
        <f>IF(L230="","",
IF(AX230="PT",VLOOKUP(L230,Foundation_Calc!$V$4:$X$37,VLOOKUP(AX230,Foundation_Calc!$I$10:$J$13,2,FALSE),0),
IF(AX230="K",VLOOKUP(L230,Foundation_Calc!$V$41:$X$74,VLOOKUP(AX230,Foundation_Calc!$I$10:$J$13,2,FALSE),0),"")))</f>
        <v/>
      </c>
      <c r="N230" s="8"/>
      <c r="O230" s="8"/>
      <c r="P230" s="8"/>
      <c r="Q230" s="14"/>
      <c r="R230" s="15"/>
      <c r="S230" s="15"/>
      <c r="T230" s="14"/>
      <c r="U230" s="14"/>
      <c r="V230" s="14"/>
      <c r="W230" s="18"/>
      <c r="X230" s="18"/>
      <c r="Y230" s="18"/>
      <c r="Z230" s="18"/>
      <c r="AA230" s="18"/>
      <c r="AB230" s="18"/>
      <c r="AC230" s="8" t="str">
        <f t="shared" si="15"/>
        <v/>
      </c>
      <c r="AD230" s="8"/>
      <c r="AE230" s="8"/>
      <c r="AF230" s="14"/>
      <c r="AG230" s="13"/>
      <c r="AH230" s="14"/>
      <c r="AI230" s="14"/>
      <c r="AJ230" s="8"/>
      <c r="AK230" s="8"/>
      <c r="AL230" s="8"/>
      <c r="AM230" s="8"/>
      <c r="AN230" s="631"/>
      <c r="AO230" s="18"/>
      <c r="AP230" s="18"/>
      <c r="AQ230" s="18"/>
      <c r="AR230" s="18"/>
      <c r="AS230" s="18"/>
      <c r="AU230" s="448"/>
      <c r="AV230" s="448"/>
      <c r="AW230" s="8" t="str">
        <f>IF(C230&gt;0,VLOOKUP(C230,Foundation_Calc!$A$2:$C$986,3,1),
IF(J230&gt;0,VLOOKUP(J230,Foundation_Calc!$A$2:$C$986,3,1),""))</f>
        <v/>
      </c>
      <c r="AX230" s="8" t="str">
        <f>IF(C230&gt;0,VLOOKUP(C230,Foundation_Calc!$E$2:$G$986,3,1),
IF(J230&gt;0,VLOOKUP(J230,Foundation_Calc!$E$2:$G$986,3,1),""))</f>
        <v/>
      </c>
      <c r="AY230" s="631" t="str">
        <f>IF(L230="","",
IF(AX230="PT",VLOOKUP(L230,Foundation_Calc!$K$4:$R$37,VLOOKUP(AW230,Foundation_Calc!$I$2:$J$8,2,FALSE),0),
IF(AX230="K",VLOOKUP(L230,Foundation_Calc!$K$41:$R$74,VLOOKUP(AW230,Foundation_Calc!$I$2:$J$8,2,FALSE),0),"")))</f>
        <v/>
      </c>
      <c r="AZ230" s="631" t="str">
        <f>IF(K230="","",
IF(AX230="PT",VLOOKUP(K230,Foundation_Calc!$K$4:$R$37,VLOOKUP(AW230,Foundation_Calc!$I$2:$J$8,2,FALSE),0),
IF(AX230="K",VLOOKUP(K230,Foundation_Calc!$K$41:$R$74,VLOOKUP(AW230,Foundation_Calc!$I$2:$J$8,2,FALSE),0),"")))</f>
        <v/>
      </c>
      <c r="BA230" s="632" t="str">
        <f t="shared" si="16"/>
        <v/>
      </c>
      <c r="BB230" s="632" t="str">
        <f t="shared" si="17"/>
        <v/>
      </c>
      <c r="BC230" s="632" t="str">
        <f t="shared" si="18"/>
        <v/>
      </c>
      <c r="BD230" s="633" t="str">
        <f>IF(AND(L230="",H230=""),"",
IF(H230="",Pole_Calc!A258,
IF(H230="MP",Pole_Calc!A259,
IF(H230="AnMP",Pole_Calc!A260,
IF(H230="A",Pole_Calc!A261,
IF(H230="S/A",Pole_Calc!A262,
IF(H230="A/S",Pole_Calc!A263,"Poner a mano")))))))</f>
        <v/>
      </c>
      <c r="BE230" s="448" t="s">
        <v>1726</v>
      </c>
      <c r="BF230" s="634"/>
      <c r="BG230" s="634"/>
      <c r="BH230" s="634"/>
      <c r="BI230" s="634"/>
    </row>
    <row r="231" spans="1:61" ht="16.2" customHeight="1">
      <c r="A231" s="12"/>
      <c r="B231" s="446"/>
      <c r="C231" s="89"/>
      <c r="D231" s="13"/>
      <c r="E231" s="14"/>
      <c r="F231" s="14"/>
      <c r="G231" s="15"/>
      <c r="H231" s="8"/>
      <c r="I231" s="8"/>
      <c r="J231" s="89"/>
      <c r="K231" s="8"/>
      <c r="L231" s="8"/>
      <c r="M231" s="8" t="str">
        <f>IF(L231="","",
IF(AX231="PT",VLOOKUP(L231,Foundation_Calc!$V$4:$X$37,VLOOKUP(AX231,Foundation_Calc!$I$10:$J$13,2,FALSE),0),
IF(AX231="K",VLOOKUP(L231,Foundation_Calc!$V$41:$X$74,VLOOKUP(AX231,Foundation_Calc!$I$10:$J$13,2,FALSE),0),"")))</f>
        <v/>
      </c>
      <c r="N231" s="8"/>
      <c r="O231" s="8"/>
      <c r="P231" s="8"/>
      <c r="Q231" s="14"/>
      <c r="R231" s="15"/>
      <c r="S231" s="15"/>
      <c r="T231" s="14"/>
      <c r="U231" s="14"/>
      <c r="V231" s="14"/>
      <c r="W231" s="18"/>
      <c r="X231" s="18"/>
      <c r="Y231" s="18"/>
      <c r="Z231" s="18"/>
      <c r="AA231" s="18"/>
      <c r="AB231" s="18"/>
      <c r="AC231" s="8" t="str">
        <f t="shared" si="15"/>
        <v/>
      </c>
      <c r="AD231" s="8"/>
      <c r="AE231" s="8"/>
      <c r="AF231" s="14"/>
      <c r="AG231" s="13"/>
      <c r="AH231" s="14"/>
      <c r="AI231" s="14"/>
      <c r="AJ231" s="8"/>
      <c r="AK231" s="8"/>
      <c r="AL231" s="8"/>
      <c r="AM231" s="8"/>
      <c r="AN231" s="631"/>
      <c r="AO231" s="18"/>
      <c r="AP231" s="18"/>
      <c r="AQ231" s="18"/>
      <c r="AR231" s="18"/>
      <c r="AS231" s="18"/>
      <c r="AU231" s="448"/>
      <c r="AV231" s="448"/>
      <c r="AW231" s="8" t="str">
        <f>IF(C231&gt;0,VLOOKUP(C231,Foundation_Calc!$A$2:$C$986,3,1),
IF(J231&gt;0,VLOOKUP(J231,Foundation_Calc!$A$2:$C$986,3,1),""))</f>
        <v/>
      </c>
      <c r="AX231" s="8" t="str">
        <f>IF(C231&gt;0,VLOOKUP(C231,Foundation_Calc!$E$2:$G$986,3,1),
IF(J231&gt;0,VLOOKUP(J231,Foundation_Calc!$E$2:$G$986,3,1),""))</f>
        <v/>
      </c>
      <c r="AY231" s="631" t="str">
        <f>IF(L231="","",
IF(AX231="PT",VLOOKUP(L231,Foundation_Calc!$K$4:$R$37,VLOOKUP(AW231,Foundation_Calc!$I$2:$J$8,2,FALSE),0),
IF(AX231="K",VLOOKUP(L231,Foundation_Calc!$K$41:$R$74,VLOOKUP(AW231,Foundation_Calc!$I$2:$J$8,2,FALSE),0),"")))</f>
        <v/>
      </c>
      <c r="AZ231" s="631" t="str">
        <f>IF(K231="","",
IF(AX231="PT",VLOOKUP(K231,Foundation_Calc!$K$4:$R$37,VLOOKUP(AW231,Foundation_Calc!$I$2:$J$8,2,FALSE),0),
IF(AX231="K",VLOOKUP(K231,Foundation_Calc!$K$41:$R$74,VLOOKUP(AW231,Foundation_Calc!$I$2:$J$8,2,FALSE),0),"")))</f>
        <v/>
      </c>
      <c r="BA231" s="632" t="str">
        <f t="shared" si="16"/>
        <v/>
      </c>
      <c r="BB231" s="632" t="str">
        <f t="shared" si="17"/>
        <v/>
      </c>
      <c r="BC231" s="632" t="str">
        <f t="shared" si="18"/>
        <v/>
      </c>
      <c r="BD231" s="633" t="str">
        <f>IF(AND(L231="",H231=""),"",
IF(H231="",Pole_Calc!A259,
IF(H231="MP",Pole_Calc!A260,
IF(H231="AnMP",Pole_Calc!A261,
IF(H231="A",Pole_Calc!A262,
IF(H231="S/A",Pole_Calc!A263,
IF(H231="A/S",Pole_Calc!A264,"Poner a mano")))))))</f>
        <v/>
      </c>
      <c r="BE231" s="448" t="s">
        <v>1726</v>
      </c>
      <c r="BF231" s="635"/>
      <c r="BG231" s="635"/>
      <c r="BH231" s="634"/>
      <c r="BI231" s="635"/>
    </row>
    <row r="232" spans="1:61" ht="16.2" customHeight="1">
      <c r="A232" s="12"/>
      <c r="B232" s="446"/>
      <c r="C232" s="89"/>
      <c r="D232" s="13"/>
      <c r="E232" s="14"/>
      <c r="F232" s="14"/>
      <c r="G232" s="15"/>
      <c r="H232" s="8"/>
      <c r="I232" s="8"/>
      <c r="J232" s="89"/>
      <c r="K232" s="8"/>
      <c r="L232" s="8"/>
      <c r="M232" s="8" t="str">
        <f>IF(L232="","",
IF(AX232="PT",VLOOKUP(L232,Foundation_Calc!$V$4:$X$37,VLOOKUP(AX232,Foundation_Calc!$I$10:$J$13,2,FALSE),0),
IF(AX232="K",VLOOKUP(L232,Foundation_Calc!$V$41:$X$74,VLOOKUP(AX232,Foundation_Calc!$I$10:$J$13,2,FALSE),0),"")))</f>
        <v/>
      </c>
      <c r="N232" s="8"/>
      <c r="O232" s="8"/>
      <c r="P232" s="8"/>
      <c r="Q232" s="14"/>
      <c r="R232" s="15"/>
      <c r="S232" s="15"/>
      <c r="T232" s="14"/>
      <c r="U232" s="14"/>
      <c r="V232" s="14"/>
      <c r="W232" s="18"/>
      <c r="X232" s="18"/>
      <c r="Y232" s="18"/>
      <c r="Z232" s="18"/>
      <c r="AA232" s="18"/>
      <c r="AB232" s="18"/>
      <c r="AC232" s="8" t="str">
        <f t="shared" si="15"/>
        <v/>
      </c>
      <c r="AD232" s="8"/>
      <c r="AE232" s="8"/>
      <c r="AF232" s="14"/>
      <c r="AG232" s="13"/>
      <c r="AH232" s="14"/>
      <c r="AI232" s="14"/>
      <c r="AJ232" s="8"/>
      <c r="AK232" s="8"/>
      <c r="AL232" s="8"/>
      <c r="AM232" s="8"/>
      <c r="AN232" s="631"/>
      <c r="AO232" s="18"/>
      <c r="AP232" s="18"/>
      <c r="AQ232" s="18"/>
      <c r="AR232" s="18"/>
      <c r="AS232" s="18"/>
      <c r="AU232" s="448"/>
      <c r="AV232" s="448"/>
      <c r="AW232" s="8" t="str">
        <f>IF(C232&gt;0,VLOOKUP(C232,Foundation_Calc!$A$2:$C$986,3,1),
IF(J232&gt;0,VLOOKUP(J232,Foundation_Calc!$A$2:$C$986,3,1),""))</f>
        <v/>
      </c>
      <c r="AX232" s="8" t="str">
        <f>IF(C232&gt;0,VLOOKUP(C232,Foundation_Calc!$E$2:$G$986,3,1),
IF(J232&gt;0,VLOOKUP(J232,Foundation_Calc!$E$2:$G$986,3,1),""))</f>
        <v/>
      </c>
      <c r="AY232" s="631" t="str">
        <f>IF(L232="","",
IF(AX232="PT",VLOOKUP(L232,Foundation_Calc!$K$4:$R$37,VLOOKUP(AW232,Foundation_Calc!$I$2:$J$8,2,FALSE),0),
IF(AX232="K",VLOOKUP(L232,Foundation_Calc!$K$41:$R$74,VLOOKUP(AW232,Foundation_Calc!$I$2:$J$8,2,FALSE),0),"")))</f>
        <v/>
      </c>
      <c r="AZ232" s="631" t="str">
        <f>IF(K232="","",
IF(AX232="PT",VLOOKUP(K232,Foundation_Calc!$K$4:$R$37,VLOOKUP(AW232,Foundation_Calc!$I$2:$J$8,2,FALSE),0),
IF(AX232="K",VLOOKUP(K232,Foundation_Calc!$K$41:$R$74,VLOOKUP(AW232,Foundation_Calc!$I$2:$J$8,2,FALSE),0),"")))</f>
        <v/>
      </c>
      <c r="BA232" s="632" t="str">
        <f t="shared" si="16"/>
        <v/>
      </c>
      <c r="BB232" s="632" t="str">
        <f t="shared" si="17"/>
        <v/>
      </c>
      <c r="BC232" s="632" t="str">
        <f t="shared" si="18"/>
        <v/>
      </c>
      <c r="BD232" s="633" t="str">
        <f>IF(AND(L232="",H232=""),"",
IF(H232="",Pole_Calc!A260,
IF(H232="MP",Pole_Calc!A261,
IF(H232="AnMP",Pole_Calc!A262,
IF(H232="A",Pole_Calc!A263,
IF(H232="S/A",Pole_Calc!A264,
IF(H232="A/S",Pole_Calc!A265,"Poner a mano")))))))</f>
        <v/>
      </c>
      <c r="BE232" s="448" t="s">
        <v>1726</v>
      </c>
      <c r="BF232" s="634"/>
      <c r="BG232" s="634"/>
      <c r="BH232" s="634"/>
      <c r="BI232" s="634"/>
    </row>
    <row r="233" spans="1:61" ht="16.2" customHeight="1">
      <c r="A233" s="12"/>
      <c r="B233" s="446"/>
      <c r="C233" s="89"/>
      <c r="D233" s="13"/>
      <c r="E233" s="14"/>
      <c r="F233" s="14"/>
      <c r="G233" s="15"/>
      <c r="H233" s="8"/>
      <c r="I233" s="8"/>
      <c r="J233" s="89"/>
      <c r="K233" s="8"/>
      <c r="L233" s="8"/>
      <c r="M233" s="8" t="str">
        <f>IF(L233="","",
IF(AX233="PT",VLOOKUP(L233,Foundation_Calc!$V$4:$X$37,VLOOKUP(AX233,Foundation_Calc!$I$10:$J$13,2,FALSE),0),
IF(AX233="K",VLOOKUP(L233,Foundation_Calc!$V$41:$X$74,VLOOKUP(AX233,Foundation_Calc!$I$10:$J$13,2,FALSE),0),"")))</f>
        <v/>
      </c>
      <c r="N233" s="8"/>
      <c r="O233" s="8"/>
      <c r="P233" s="8"/>
      <c r="Q233" s="14"/>
      <c r="R233" s="15"/>
      <c r="S233" s="15"/>
      <c r="T233" s="14"/>
      <c r="U233" s="14"/>
      <c r="V233" s="14"/>
      <c r="W233" s="18"/>
      <c r="X233" s="18"/>
      <c r="Y233" s="18"/>
      <c r="Z233" s="18"/>
      <c r="AA233" s="18"/>
      <c r="AB233" s="18"/>
      <c r="AC233" s="8" t="str">
        <f t="shared" si="15"/>
        <v/>
      </c>
      <c r="AD233" s="8"/>
      <c r="AE233" s="8"/>
      <c r="AF233" s="14"/>
      <c r="AG233" s="13"/>
      <c r="AH233" s="14"/>
      <c r="AI233" s="14"/>
      <c r="AJ233" s="8"/>
      <c r="AK233" s="8"/>
      <c r="AL233" s="8"/>
      <c r="AM233" s="8"/>
      <c r="AN233" s="631"/>
      <c r="AO233" s="18"/>
      <c r="AP233" s="18"/>
      <c r="AQ233" s="18"/>
      <c r="AR233" s="18"/>
      <c r="AS233" s="18"/>
      <c r="AU233" s="448"/>
      <c r="AV233" s="448"/>
      <c r="AW233" s="8" t="str">
        <f>IF(C233&gt;0,VLOOKUP(C233,Foundation_Calc!$A$2:$C$986,3,1),
IF(J233&gt;0,VLOOKUP(J233,Foundation_Calc!$A$2:$C$986,3,1),""))</f>
        <v/>
      </c>
      <c r="AX233" s="8" t="str">
        <f>IF(C233&gt;0,VLOOKUP(C233,Foundation_Calc!$E$2:$G$986,3,1),
IF(J233&gt;0,VLOOKUP(J233,Foundation_Calc!$E$2:$G$986,3,1),""))</f>
        <v/>
      </c>
      <c r="AY233" s="631" t="str">
        <f>IF(L233="","",
IF(AX233="PT",VLOOKUP(L233,Foundation_Calc!$K$4:$R$37,VLOOKUP(AW233,Foundation_Calc!$I$2:$J$8,2,FALSE),0),
IF(AX233="K",VLOOKUP(L233,Foundation_Calc!$K$41:$R$74,VLOOKUP(AW233,Foundation_Calc!$I$2:$J$8,2,FALSE),0),"")))</f>
        <v/>
      </c>
      <c r="AZ233" s="631" t="str">
        <f>IF(K233="","",
IF(AX233="PT",VLOOKUP(K233,Foundation_Calc!$K$4:$R$37,VLOOKUP(AW233,Foundation_Calc!$I$2:$J$8,2,FALSE),0),
IF(AX233="K",VLOOKUP(K233,Foundation_Calc!$K$41:$R$74,VLOOKUP(AW233,Foundation_Calc!$I$2:$J$8,2,FALSE),0),"")))</f>
        <v/>
      </c>
      <c r="BA233" s="632" t="str">
        <f t="shared" si="16"/>
        <v/>
      </c>
      <c r="BB233" s="632" t="str">
        <f t="shared" si="17"/>
        <v/>
      </c>
      <c r="BC233" s="632" t="str">
        <f t="shared" si="18"/>
        <v/>
      </c>
      <c r="BD233" s="633" t="str">
        <f>IF(AND(L233="",H233=""),"",
IF(H233="",Pole_Calc!A261,
IF(H233="MP",Pole_Calc!A262,
IF(H233="AnMP",Pole_Calc!A263,
IF(H233="A",Pole_Calc!A264,
IF(H233="S/A",Pole_Calc!A265,
IF(H233="A/S",Pole_Calc!A266,"Poner a mano")))))))</f>
        <v/>
      </c>
      <c r="BE233" s="448" t="s">
        <v>1726</v>
      </c>
      <c r="BF233" s="635"/>
      <c r="BG233" s="635"/>
      <c r="BH233" s="634"/>
      <c r="BI233" s="635"/>
    </row>
    <row r="234" spans="1:61" ht="16.2" customHeight="1">
      <c r="A234" s="12"/>
      <c r="B234" s="446"/>
      <c r="C234" s="89"/>
      <c r="D234" s="13"/>
      <c r="E234" s="14"/>
      <c r="F234" s="14"/>
      <c r="G234" s="15"/>
      <c r="H234" s="8"/>
      <c r="I234" s="8"/>
      <c r="J234" s="89"/>
      <c r="K234" s="8"/>
      <c r="L234" s="8"/>
      <c r="M234" s="8" t="str">
        <f>IF(L234="","",
IF(AX234="PT",VLOOKUP(L234,Foundation_Calc!$V$4:$X$37,VLOOKUP(AX234,Foundation_Calc!$I$10:$J$13,2,FALSE),0),
IF(AX234="K",VLOOKUP(L234,Foundation_Calc!$V$41:$X$74,VLOOKUP(AX234,Foundation_Calc!$I$10:$J$13,2,FALSE),0),"")))</f>
        <v/>
      </c>
      <c r="N234" s="8"/>
      <c r="O234" s="8"/>
      <c r="P234" s="8"/>
      <c r="Q234" s="14"/>
      <c r="R234" s="15"/>
      <c r="S234" s="15"/>
      <c r="T234" s="14"/>
      <c r="U234" s="14"/>
      <c r="V234" s="14"/>
      <c r="W234" s="18"/>
      <c r="X234" s="18"/>
      <c r="Y234" s="18"/>
      <c r="Z234" s="18"/>
      <c r="AA234" s="18"/>
      <c r="AB234" s="18"/>
      <c r="AC234" s="8" t="str">
        <f t="shared" si="15"/>
        <v/>
      </c>
      <c r="AD234" s="8"/>
      <c r="AE234" s="8"/>
      <c r="AF234" s="14"/>
      <c r="AG234" s="13"/>
      <c r="AH234" s="14"/>
      <c r="AI234" s="14"/>
      <c r="AJ234" s="8"/>
      <c r="AK234" s="8"/>
      <c r="AL234" s="8"/>
      <c r="AM234" s="8"/>
      <c r="AN234" s="631"/>
      <c r="AO234" s="18"/>
      <c r="AP234" s="18"/>
      <c r="AQ234" s="18"/>
      <c r="AR234" s="18"/>
      <c r="AS234" s="18"/>
      <c r="AU234" s="448"/>
      <c r="AV234" s="448"/>
      <c r="AW234" s="8" t="str">
        <f>IF(C234&gt;0,VLOOKUP(C234,Foundation_Calc!$A$2:$C$986,3,1),
IF(J234&gt;0,VLOOKUP(J234,Foundation_Calc!$A$2:$C$986,3,1),""))</f>
        <v/>
      </c>
      <c r="AX234" s="8" t="str">
        <f>IF(C234&gt;0,VLOOKUP(C234,Foundation_Calc!$E$2:$G$986,3,1),
IF(J234&gt;0,VLOOKUP(J234,Foundation_Calc!$E$2:$G$986,3,1),""))</f>
        <v/>
      </c>
      <c r="AY234" s="631" t="str">
        <f>IF(L234="","",
IF(AX234="PT",VLOOKUP(L234,Foundation_Calc!$K$4:$R$37,VLOOKUP(AW234,Foundation_Calc!$I$2:$J$8,2,FALSE),0),
IF(AX234="K",VLOOKUP(L234,Foundation_Calc!$K$41:$R$74,VLOOKUP(AW234,Foundation_Calc!$I$2:$J$8,2,FALSE),0),"")))</f>
        <v/>
      </c>
      <c r="AZ234" s="631" t="str">
        <f>IF(K234="","",
IF(AX234="PT",VLOOKUP(K234,Foundation_Calc!$K$4:$R$37,VLOOKUP(AW234,Foundation_Calc!$I$2:$J$8,2,FALSE),0),
IF(AX234="K",VLOOKUP(K234,Foundation_Calc!$K$41:$R$74,VLOOKUP(AW234,Foundation_Calc!$I$2:$J$8,2,FALSE),0),"")))</f>
        <v/>
      </c>
      <c r="BA234" s="632" t="str">
        <f t="shared" si="16"/>
        <v/>
      </c>
      <c r="BB234" s="632" t="str">
        <f t="shared" si="17"/>
        <v/>
      </c>
      <c r="BC234" s="632" t="str">
        <f t="shared" si="18"/>
        <v/>
      </c>
      <c r="BD234" s="633" t="str">
        <f>IF(AND(L234="",H234=""),"",
IF(H234="",Pole_Calc!A262,
IF(H234="MP",Pole_Calc!A263,
IF(H234="AnMP",Pole_Calc!A264,
IF(H234="A",Pole_Calc!A265,
IF(H234="S/A",Pole_Calc!A266,
IF(H234="A/S",Pole_Calc!A267,"Poner a mano")))))))</f>
        <v/>
      </c>
      <c r="BE234" s="448" t="s">
        <v>1726</v>
      </c>
      <c r="BF234" s="634"/>
      <c r="BG234" s="634"/>
      <c r="BH234" s="634"/>
      <c r="BI234" s="634"/>
    </row>
    <row r="235" spans="1:61" ht="16.2" customHeight="1">
      <c r="A235" s="12"/>
      <c r="B235" s="446"/>
      <c r="C235" s="89"/>
      <c r="D235" s="13"/>
      <c r="E235" s="14"/>
      <c r="F235" s="14"/>
      <c r="G235" s="15"/>
      <c r="H235" s="8"/>
      <c r="I235" s="8"/>
      <c r="J235" s="89"/>
      <c r="K235" s="8"/>
      <c r="L235" s="8"/>
      <c r="M235" s="8" t="str">
        <f>IF(L235="","",
IF(AX235="PT",VLOOKUP(L235,Foundation_Calc!$V$4:$X$37,VLOOKUP(AX235,Foundation_Calc!$I$10:$J$13,2,FALSE),0),
IF(AX235="K",VLOOKUP(L235,Foundation_Calc!$V$41:$X$74,VLOOKUP(AX235,Foundation_Calc!$I$10:$J$13,2,FALSE),0),"")))</f>
        <v/>
      </c>
      <c r="N235" s="8"/>
      <c r="O235" s="8"/>
      <c r="P235" s="8"/>
      <c r="Q235" s="14"/>
      <c r="R235" s="15"/>
      <c r="S235" s="15"/>
      <c r="T235" s="14"/>
      <c r="U235" s="14"/>
      <c r="V235" s="14"/>
      <c r="W235" s="18"/>
      <c r="X235" s="18"/>
      <c r="Y235" s="18"/>
      <c r="Z235" s="18"/>
      <c r="AA235" s="18"/>
      <c r="AB235" s="18"/>
      <c r="AC235" s="8" t="str">
        <f t="shared" si="15"/>
        <v/>
      </c>
      <c r="AD235" s="8"/>
      <c r="AE235" s="8"/>
      <c r="AF235" s="14"/>
      <c r="AG235" s="13"/>
      <c r="AH235" s="14"/>
      <c r="AI235" s="14"/>
      <c r="AJ235" s="8"/>
      <c r="AK235" s="8"/>
      <c r="AL235" s="8"/>
      <c r="AM235" s="8"/>
      <c r="AN235" s="631"/>
      <c r="AO235" s="18"/>
      <c r="AP235" s="18"/>
      <c r="AQ235" s="18"/>
      <c r="AR235" s="18"/>
      <c r="AS235" s="18"/>
      <c r="AU235" s="448"/>
      <c r="AV235" s="448"/>
      <c r="AW235" s="8" t="str">
        <f>IF(C235&gt;0,VLOOKUP(C235,Foundation_Calc!$A$2:$C$986,3,1),
IF(J235&gt;0,VLOOKUP(J235,Foundation_Calc!$A$2:$C$986,3,1),""))</f>
        <v/>
      </c>
      <c r="AX235" s="8" t="str">
        <f>IF(C235&gt;0,VLOOKUP(C235,Foundation_Calc!$E$2:$G$986,3,1),
IF(J235&gt;0,VLOOKUP(J235,Foundation_Calc!$E$2:$G$986,3,1),""))</f>
        <v/>
      </c>
      <c r="AY235" s="631" t="str">
        <f>IF(L235="","",
IF(AX235="PT",VLOOKUP(L235,Foundation_Calc!$K$4:$R$37,VLOOKUP(AW235,Foundation_Calc!$I$2:$J$8,2,FALSE),0),
IF(AX235="K",VLOOKUP(L235,Foundation_Calc!$K$41:$R$74,VLOOKUP(AW235,Foundation_Calc!$I$2:$J$8,2,FALSE),0),"")))</f>
        <v/>
      </c>
      <c r="AZ235" s="631" t="str">
        <f>IF(K235="","",
IF(AX235="PT",VLOOKUP(K235,Foundation_Calc!$K$4:$R$37,VLOOKUP(AW235,Foundation_Calc!$I$2:$J$8,2,FALSE),0),
IF(AX235="K",VLOOKUP(K235,Foundation_Calc!$K$41:$R$74,VLOOKUP(AW235,Foundation_Calc!$I$2:$J$8,2,FALSE),0),"")))</f>
        <v/>
      </c>
      <c r="BA235" s="632" t="str">
        <f t="shared" si="16"/>
        <v/>
      </c>
      <c r="BB235" s="632" t="str">
        <f t="shared" si="17"/>
        <v/>
      </c>
      <c r="BC235" s="632" t="str">
        <f t="shared" si="18"/>
        <v/>
      </c>
      <c r="BD235" s="633" t="str">
        <f>IF(AND(L235="",H235=""),"",
IF(H235="",Pole_Calc!A263,
IF(H235="MP",Pole_Calc!A264,
IF(H235="AnMP",Pole_Calc!A265,
IF(H235="A",Pole_Calc!A266,
IF(H235="S/A",Pole_Calc!A267,
IF(H235="A/S",Pole_Calc!A268,"Poner a mano")))))))</f>
        <v/>
      </c>
      <c r="BE235" s="448" t="s">
        <v>1726</v>
      </c>
      <c r="BF235" s="635"/>
      <c r="BG235" s="635"/>
      <c r="BH235" s="634"/>
      <c r="BI235" s="635"/>
    </row>
    <row r="236" spans="1:61" ht="16.2" customHeight="1">
      <c r="A236" s="12"/>
      <c r="B236" s="446"/>
      <c r="C236" s="89"/>
      <c r="D236" s="13"/>
      <c r="E236" s="14"/>
      <c r="F236" s="14"/>
      <c r="G236" s="15"/>
      <c r="H236" s="8"/>
      <c r="I236" s="8"/>
      <c r="J236" s="89"/>
      <c r="K236" s="8"/>
      <c r="L236" s="8"/>
      <c r="M236" s="8" t="str">
        <f>IF(L236="","",
IF(AX236="PT",VLOOKUP(L236,Foundation_Calc!$V$4:$X$37,VLOOKUP(AX236,Foundation_Calc!$I$10:$J$13,2,FALSE),0),
IF(AX236="K",VLOOKUP(L236,Foundation_Calc!$V$41:$X$74,VLOOKUP(AX236,Foundation_Calc!$I$10:$J$13,2,FALSE),0),"")))</f>
        <v/>
      </c>
      <c r="N236" s="8"/>
      <c r="O236" s="8"/>
      <c r="P236" s="8"/>
      <c r="Q236" s="14"/>
      <c r="R236" s="15"/>
      <c r="S236" s="15"/>
      <c r="T236" s="14"/>
      <c r="U236" s="14"/>
      <c r="V236" s="14"/>
      <c r="W236" s="18"/>
      <c r="X236" s="18"/>
      <c r="Y236" s="18"/>
      <c r="Z236" s="18"/>
      <c r="AA236" s="18"/>
      <c r="AB236" s="18"/>
      <c r="AC236" s="8" t="str">
        <f t="shared" si="15"/>
        <v/>
      </c>
      <c r="AD236" s="8"/>
      <c r="AE236" s="8"/>
      <c r="AF236" s="14"/>
      <c r="AG236" s="13"/>
      <c r="AH236" s="14"/>
      <c r="AI236" s="14"/>
      <c r="AJ236" s="8"/>
      <c r="AK236" s="8"/>
      <c r="AL236" s="8"/>
      <c r="AM236" s="8"/>
      <c r="AN236" s="631"/>
      <c r="AO236" s="18"/>
      <c r="AP236" s="18"/>
      <c r="AQ236" s="18"/>
      <c r="AR236" s="18"/>
      <c r="AS236" s="18"/>
      <c r="AU236" s="448"/>
      <c r="AV236" s="448"/>
      <c r="AW236" s="8" t="str">
        <f>IF(C236&gt;0,VLOOKUP(C236,Foundation_Calc!$A$2:$C$986,3,1),
IF(J236&gt;0,VLOOKUP(J236,Foundation_Calc!$A$2:$C$986,3,1),""))</f>
        <v/>
      </c>
      <c r="AX236" s="8" t="str">
        <f>IF(C236&gt;0,VLOOKUP(C236,Foundation_Calc!$E$2:$G$986,3,1),
IF(J236&gt;0,VLOOKUP(J236,Foundation_Calc!$E$2:$G$986,3,1),""))</f>
        <v/>
      </c>
      <c r="AY236" s="631" t="str">
        <f>IF(L236="","",
IF(AX236="PT",VLOOKUP(L236,Foundation_Calc!$K$4:$R$37,VLOOKUP(AW236,Foundation_Calc!$I$2:$J$8,2,FALSE),0),
IF(AX236="K",VLOOKUP(L236,Foundation_Calc!$K$41:$R$74,VLOOKUP(AW236,Foundation_Calc!$I$2:$J$8,2,FALSE),0),"")))</f>
        <v/>
      </c>
      <c r="AZ236" s="631" t="str">
        <f>IF(K236="","",
IF(AX236="PT",VLOOKUP(K236,Foundation_Calc!$K$4:$R$37,VLOOKUP(AW236,Foundation_Calc!$I$2:$J$8,2,FALSE),0),
IF(AX236="K",VLOOKUP(K236,Foundation_Calc!$K$41:$R$74,VLOOKUP(AW236,Foundation_Calc!$I$2:$J$8,2,FALSE),0),"")))</f>
        <v/>
      </c>
      <c r="BA236" s="632" t="str">
        <f t="shared" si="16"/>
        <v/>
      </c>
      <c r="BB236" s="632" t="str">
        <f t="shared" si="17"/>
        <v/>
      </c>
      <c r="BC236" s="632" t="str">
        <f t="shared" si="18"/>
        <v/>
      </c>
      <c r="BD236" s="633" t="str">
        <f>IF(AND(L236="",H236=""),"",
IF(H236="",Pole_Calc!A264,
IF(H236="MP",Pole_Calc!A265,
IF(H236="AnMP",Pole_Calc!A266,
IF(H236="A",Pole_Calc!A267,
IF(H236="S/A",Pole_Calc!A268,
IF(H236="A/S",Pole_Calc!A269,"Poner a mano")))))))</f>
        <v/>
      </c>
      <c r="BE236" s="448" t="s">
        <v>1726</v>
      </c>
      <c r="BF236" s="634"/>
      <c r="BG236" s="634"/>
      <c r="BH236" s="634"/>
      <c r="BI236" s="634"/>
    </row>
    <row r="237" spans="1:61" ht="16.2" customHeight="1">
      <c r="A237" s="12"/>
      <c r="B237" s="446"/>
      <c r="C237" s="89"/>
      <c r="D237" s="13"/>
      <c r="E237" s="14"/>
      <c r="F237" s="14"/>
      <c r="G237" s="15"/>
      <c r="H237" s="8"/>
      <c r="I237" s="8"/>
      <c r="J237" s="89"/>
      <c r="K237" s="8"/>
      <c r="L237" s="8"/>
      <c r="M237" s="8" t="str">
        <f>IF(L237="","",
IF(AX237="PT",VLOOKUP(L237,Foundation_Calc!$V$4:$X$37,VLOOKUP(AX237,Foundation_Calc!$I$10:$J$13,2,FALSE),0),
IF(AX237="K",VLOOKUP(L237,Foundation_Calc!$V$41:$X$74,VLOOKUP(AX237,Foundation_Calc!$I$10:$J$13,2,FALSE),0),"")))</f>
        <v/>
      </c>
      <c r="N237" s="8"/>
      <c r="O237" s="8"/>
      <c r="P237" s="8"/>
      <c r="Q237" s="14"/>
      <c r="R237" s="15"/>
      <c r="S237" s="15"/>
      <c r="T237" s="14"/>
      <c r="U237" s="14"/>
      <c r="V237" s="14"/>
      <c r="W237" s="18"/>
      <c r="X237" s="18"/>
      <c r="Y237" s="18"/>
      <c r="Z237" s="18"/>
      <c r="AA237" s="18"/>
      <c r="AB237" s="18"/>
      <c r="AC237" s="8" t="str">
        <f t="shared" si="15"/>
        <v/>
      </c>
      <c r="AD237" s="8"/>
      <c r="AE237" s="8"/>
      <c r="AF237" s="14"/>
      <c r="AG237" s="13"/>
      <c r="AH237" s="14"/>
      <c r="AI237" s="14"/>
      <c r="AJ237" s="8"/>
      <c r="AK237" s="8"/>
      <c r="AL237" s="8"/>
      <c r="AM237" s="8"/>
      <c r="AN237" s="631"/>
      <c r="AO237" s="18"/>
      <c r="AP237" s="18"/>
      <c r="AQ237" s="18"/>
      <c r="AR237" s="18"/>
      <c r="AS237" s="18"/>
      <c r="AU237" s="448"/>
      <c r="AV237" s="448"/>
      <c r="AW237" s="8" t="str">
        <f>IF(C237&gt;0,VLOOKUP(C237,Foundation_Calc!$A$2:$C$986,3,1),
IF(J237&gt;0,VLOOKUP(J237,Foundation_Calc!$A$2:$C$986,3,1),""))</f>
        <v/>
      </c>
      <c r="AX237" s="8" t="str">
        <f>IF(C237&gt;0,VLOOKUP(C237,Foundation_Calc!$E$2:$G$986,3,1),
IF(J237&gt;0,VLOOKUP(J237,Foundation_Calc!$E$2:$G$986,3,1),""))</f>
        <v/>
      </c>
      <c r="AY237" s="631" t="str">
        <f>IF(L237="","",
IF(AX237="PT",VLOOKUP(L237,Foundation_Calc!$K$4:$R$37,VLOOKUP(AW237,Foundation_Calc!$I$2:$J$8,2,FALSE),0),
IF(AX237="K",VLOOKUP(L237,Foundation_Calc!$K$41:$R$74,VLOOKUP(AW237,Foundation_Calc!$I$2:$J$8,2,FALSE),0),"")))</f>
        <v/>
      </c>
      <c r="AZ237" s="631" t="str">
        <f>IF(K237="","",
IF(AX237="PT",VLOOKUP(K237,Foundation_Calc!$K$4:$R$37,VLOOKUP(AW237,Foundation_Calc!$I$2:$J$8,2,FALSE),0),
IF(AX237="K",VLOOKUP(K237,Foundation_Calc!$K$41:$R$74,VLOOKUP(AW237,Foundation_Calc!$I$2:$J$8,2,FALSE),0),"")))</f>
        <v/>
      </c>
      <c r="BA237" s="632" t="str">
        <f t="shared" si="16"/>
        <v/>
      </c>
      <c r="BB237" s="632" t="str">
        <f t="shared" si="17"/>
        <v/>
      </c>
      <c r="BC237" s="632" t="str">
        <f t="shared" si="18"/>
        <v/>
      </c>
      <c r="BD237" s="633" t="str">
        <f>IF(AND(L237="",H237=""),"",
IF(H237="",Pole_Calc!A265,
IF(H237="MP",Pole_Calc!A266,
IF(H237="AnMP",Pole_Calc!A267,
IF(H237="A",Pole_Calc!A268,
IF(H237="S/A",Pole_Calc!A269,
IF(H237="A/S",Pole_Calc!A270,"Poner a mano")))))))</f>
        <v/>
      </c>
      <c r="BE237" s="448" t="s">
        <v>1726</v>
      </c>
      <c r="BF237" s="635"/>
      <c r="BG237" s="635"/>
      <c r="BH237" s="634"/>
      <c r="BI237" s="635"/>
    </row>
    <row r="238" spans="1:61" ht="16.2" customHeight="1">
      <c r="A238" s="12"/>
      <c r="B238" s="446"/>
      <c r="C238" s="89"/>
      <c r="D238" s="13"/>
      <c r="E238" s="14"/>
      <c r="F238" s="14"/>
      <c r="G238" s="15"/>
      <c r="H238" s="8"/>
      <c r="I238" s="8"/>
      <c r="J238" s="89"/>
      <c r="K238" s="8"/>
      <c r="L238" s="8"/>
      <c r="M238" s="8" t="str">
        <f>IF(L238="","",
IF(AX238="PT",VLOOKUP(L238,Foundation_Calc!$V$4:$X$37,VLOOKUP(AX238,Foundation_Calc!$I$10:$J$13,2,FALSE),0),
IF(AX238="K",VLOOKUP(L238,Foundation_Calc!$V$41:$X$74,VLOOKUP(AX238,Foundation_Calc!$I$10:$J$13,2,FALSE),0),"")))</f>
        <v/>
      </c>
      <c r="N238" s="8"/>
      <c r="O238" s="8"/>
      <c r="P238" s="8"/>
      <c r="Q238" s="14"/>
      <c r="R238" s="15"/>
      <c r="S238" s="15"/>
      <c r="T238" s="14"/>
      <c r="U238" s="14"/>
      <c r="V238" s="14"/>
      <c r="W238" s="18"/>
      <c r="X238" s="18"/>
      <c r="Y238" s="18"/>
      <c r="Z238" s="18"/>
      <c r="AA238" s="18"/>
      <c r="AB238" s="18"/>
      <c r="AC238" s="8" t="str">
        <f t="shared" si="15"/>
        <v/>
      </c>
      <c r="AD238" s="8"/>
      <c r="AE238" s="8"/>
      <c r="AF238" s="14"/>
      <c r="AG238" s="13"/>
      <c r="AH238" s="14"/>
      <c r="AI238" s="14"/>
      <c r="AJ238" s="8"/>
      <c r="AK238" s="8"/>
      <c r="AL238" s="8"/>
      <c r="AM238" s="8"/>
      <c r="AN238" s="631"/>
      <c r="AO238" s="18"/>
      <c r="AP238" s="18"/>
      <c r="AQ238" s="18"/>
      <c r="AR238" s="18"/>
      <c r="AS238" s="18"/>
      <c r="AU238" s="448"/>
      <c r="AV238" s="448"/>
      <c r="AW238" s="8" t="str">
        <f>IF(C238&gt;0,VLOOKUP(C238,Foundation_Calc!$A$2:$C$986,3,1),
IF(J238&gt;0,VLOOKUP(J238,Foundation_Calc!$A$2:$C$986,3,1),""))</f>
        <v/>
      </c>
      <c r="AX238" s="8" t="str">
        <f>IF(C238&gt;0,VLOOKUP(C238,Foundation_Calc!$E$2:$G$986,3,1),
IF(J238&gt;0,VLOOKUP(J238,Foundation_Calc!$E$2:$G$986,3,1),""))</f>
        <v/>
      </c>
      <c r="AY238" s="631" t="str">
        <f>IF(L238="","",
IF(AX238="PT",VLOOKUP(L238,Foundation_Calc!$K$4:$R$37,VLOOKUP(AW238,Foundation_Calc!$I$2:$J$8,2,FALSE),0),
IF(AX238="K",VLOOKUP(L238,Foundation_Calc!$K$41:$R$74,VLOOKUP(AW238,Foundation_Calc!$I$2:$J$8,2,FALSE),0),"")))</f>
        <v/>
      </c>
      <c r="AZ238" s="631" t="str">
        <f>IF(K238="","",
IF(AX238="PT",VLOOKUP(K238,Foundation_Calc!$K$4:$R$37,VLOOKUP(AW238,Foundation_Calc!$I$2:$J$8,2,FALSE),0),
IF(AX238="K",VLOOKUP(K238,Foundation_Calc!$K$41:$R$74,VLOOKUP(AW238,Foundation_Calc!$I$2:$J$8,2,FALSE),0),"")))</f>
        <v/>
      </c>
      <c r="BA238" s="632" t="str">
        <f t="shared" si="16"/>
        <v/>
      </c>
      <c r="BB238" s="632" t="str">
        <f t="shared" si="17"/>
        <v/>
      </c>
      <c r="BC238" s="632" t="str">
        <f t="shared" si="18"/>
        <v/>
      </c>
      <c r="BD238" s="633" t="str">
        <f>IF(AND(L238="",H238=""),"",
IF(H238="",Pole_Calc!A266,
IF(H238="MP",Pole_Calc!A267,
IF(H238="AnMP",Pole_Calc!A268,
IF(H238="A",Pole_Calc!A269,
IF(H238="S/A",Pole_Calc!A270,
IF(H238="A/S",Pole_Calc!A271,"Poner a mano")))))))</f>
        <v/>
      </c>
      <c r="BE238" s="448" t="s">
        <v>1726</v>
      </c>
      <c r="BF238" s="634"/>
      <c r="BG238" s="634"/>
      <c r="BH238" s="634"/>
      <c r="BI238" s="634"/>
    </row>
    <row r="239" spans="1:61" ht="16.2" customHeight="1">
      <c r="A239" s="12"/>
      <c r="B239" s="446"/>
      <c r="C239" s="89"/>
      <c r="D239" s="13"/>
      <c r="E239" s="14"/>
      <c r="F239" s="14"/>
      <c r="G239" s="15"/>
      <c r="H239" s="8"/>
      <c r="I239" s="8"/>
      <c r="J239" s="89"/>
      <c r="K239" s="8"/>
      <c r="L239" s="8"/>
      <c r="M239" s="8" t="str">
        <f>IF(L239="","",
IF(AX239="PT",VLOOKUP(L239,Foundation_Calc!$V$4:$X$37,VLOOKUP(AX239,Foundation_Calc!$I$10:$J$13,2,FALSE),0),
IF(AX239="K",VLOOKUP(L239,Foundation_Calc!$V$41:$X$74,VLOOKUP(AX239,Foundation_Calc!$I$10:$J$13,2,FALSE),0),"")))</f>
        <v/>
      </c>
      <c r="N239" s="8"/>
      <c r="O239" s="8"/>
      <c r="P239" s="8"/>
      <c r="Q239" s="14"/>
      <c r="R239" s="15"/>
      <c r="S239" s="15"/>
      <c r="T239" s="14"/>
      <c r="U239" s="14"/>
      <c r="V239" s="14"/>
      <c r="W239" s="18"/>
      <c r="X239" s="18"/>
      <c r="Y239" s="18"/>
      <c r="Z239" s="18"/>
      <c r="AA239" s="18"/>
      <c r="AB239" s="18"/>
      <c r="AC239" s="8" t="str">
        <f t="shared" si="15"/>
        <v/>
      </c>
      <c r="AD239" s="8"/>
      <c r="AE239" s="8"/>
      <c r="AF239" s="14"/>
      <c r="AG239" s="13"/>
      <c r="AH239" s="14"/>
      <c r="AI239" s="14"/>
      <c r="AJ239" s="8"/>
      <c r="AK239" s="8"/>
      <c r="AL239" s="8"/>
      <c r="AM239" s="8"/>
      <c r="AN239" s="631"/>
      <c r="AO239" s="18"/>
      <c r="AP239" s="18"/>
      <c r="AQ239" s="18"/>
      <c r="AR239" s="18"/>
      <c r="AS239" s="18"/>
      <c r="AU239" s="448"/>
      <c r="AV239" s="448"/>
      <c r="AW239" s="8" t="str">
        <f>IF(C239&gt;0,VLOOKUP(C239,Foundation_Calc!$A$2:$C$986,3,1),
IF(J239&gt;0,VLOOKUP(J239,Foundation_Calc!$A$2:$C$986,3,1),""))</f>
        <v/>
      </c>
      <c r="AX239" s="8" t="str">
        <f>IF(C239&gt;0,VLOOKUP(C239,Foundation_Calc!$E$2:$G$986,3,1),
IF(J239&gt;0,VLOOKUP(J239,Foundation_Calc!$E$2:$G$986,3,1),""))</f>
        <v/>
      </c>
      <c r="AY239" s="631" t="str">
        <f>IF(L239="","",
IF(AX239="PT",VLOOKUP(L239,Foundation_Calc!$K$4:$R$37,VLOOKUP(AW239,Foundation_Calc!$I$2:$J$8,2,FALSE),0),
IF(AX239="K",VLOOKUP(L239,Foundation_Calc!$K$41:$R$74,VLOOKUP(AW239,Foundation_Calc!$I$2:$J$8,2,FALSE),0),"")))</f>
        <v/>
      </c>
      <c r="AZ239" s="631" t="str">
        <f>IF(K239="","",
IF(AX239="PT",VLOOKUP(K239,Foundation_Calc!$K$4:$R$37,VLOOKUP(AW239,Foundation_Calc!$I$2:$J$8,2,FALSE),0),
IF(AX239="K",VLOOKUP(K239,Foundation_Calc!$K$41:$R$74,VLOOKUP(AW239,Foundation_Calc!$I$2:$J$8,2,FALSE),0),"")))</f>
        <v/>
      </c>
      <c r="BA239" s="632" t="str">
        <f t="shared" si="16"/>
        <v/>
      </c>
      <c r="BB239" s="632" t="str">
        <f t="shared" si="17"/>
        <v/>
      </c>
      <c r="BC239" s="632" t="str">
        <f t="shared" si="18"/>
        <v/>
      </c>
      <c r="BD239" s="633" t="str">
        <f>IF(AND(L239="",H239=""),"",
IF(H239="",Pole_Calc!A267,
IF(H239="MP",Pole_Calc!A268,
IF(H239="AnMP",Pole_Calc!A269,
IF(H239="A",Pole_Calc!A270,
IF(H239="S/A",Pole_Calc!A271,
IF(H239="A/S",Pole_Calc!A272,"Poner a mano")))))))</f>
        <v/>
      </c>
      <c r="BE239" s="448" t="s">
        <v>1726</v>
      </c>
      <c r="BF239" s="635"/>
      <c r="BG239" s="635"/>
      <c r="BH239" s="634"/>
      <c r="BI239" s="635"/>
    </row>
    <row r="240" spans="1:61" ht="16.2" customHeight="1">
      <c r="A240" s="12"/>
      <c r="B240" s="446"/>
      <c r="C240" s="89"/>
      <c r="D240" s="13"/>
      <c r="E240" s="14"/>
      <c r="F240" s="14"/>
      <c r="G240" s="15"/>
      <c r="H240" s="8"/>
      <c r="I240" s="8"/>
      <c r="J240" s="89"/>
      <c r="K240" s="8"/>
      <c r="L240" s="8"/>
      <c r="M240" s="8" t="str">
        <f>IF(L240="","",
IF(AX240="PT",VLOOKUP(L240,Foundation_Calc!$V$4:$X$37,VLOOKUP(AX240,Foundation_Calc!$I$10:$J$13,2,FALSE),0),
IF(AX240="K",VLOOKUP(L240,Foundation_Calc!$V$41:$X$74,VLOOKUP(AX240,Foundation_Calc!$I$10:$J$13,2,FALSE),0),"")))</f>
        <v/>
      </c>
      <c r="N240" s="8"/>
      <c r="O240" s="8"/>
      <c r="P240" s="8"/>
      <c r="Q240" s="14"/>
      <c r="R240" s="15"/>
      <c r="S240" s="15"/>
      <c r="T240" s="14"/>
      <c r="U240" s="14"/>
      <c r="V240" s="14"/>
      <c r="W240" s="18"/>
      <c r="X240" s="18"/>
      <c r="Y240" s="18"/>
      <c r="Z240" s="18"/>
      <c r="AA240" s="18"/>
      <c r="AB240" s="18"/>
      <c r="AC240" s="8" t="str">
        <f t="shared" si="15"/>
        <v/>
      </c>
      <c r="AD240" s="8"/>
      <c r="AE240" s="8"/>
      <c r="AF240" s="14"/>
      <c r="AG240" s="13"/>
      <c r="AH240" s="14"/>
      <c r="AI240" s="14"/>
      <c r="AJ240" s="8"/>
      <c r="AK240" s="8"/>
      <c r="AL240" s="8"/>
      <c r="AM240" s="8"/>
      <c r="AN240" s="631"/>
      <c r="AO240" s="18"/>
      <c r="AP240" s="18"/>
      <c r="AQ240" s="18"/>
      <c r="AR240" s="18"/>
      <c r="AS240" s="18"/>
      <c r="AU240" s="448"/>
      <c r="AV240" s="448"/>
      <c r="AW240" s="8" t="str">
        <f>IF(C240&gt;0,VLOOKUP(C240,Foundation_Calc!$A$2:$C$986,3,1),
IF(J240&gt;0,VLOOKUP(J240,Foundation_Calc!$A$2:$C$986,3,1),""))</f>
        <v/>
      </c>
      <c r="AX240" s="8" t="str">
        <f>IF(C240&gt;0,VLOOKUP(C240,Foundation_Calc!$E$2:$G$986,3,1),
IF(J240&gt;0,VLOOKUP(J240,Foundation_Calc!$E$2:$G$986,3,1),""))</f>
        <v/>
      </c>
      <c r="AY240" s="631" t="str">
        <f>IF(L240="","",
IF(AX240="PT",VLOOKUP(L240,Foundation_Calc!$K$4:$R$37,VLOOKUP(AW240,Foundation_Calc!$I$2:$J$8,2,FALSE),0),
IF(AX240="K",VLOOKUP(L240,Foundation_Calc!$K$41:$R$74,VLOOKUP(AW240,Foundation_Calc!$I$2:$J$8,2,FALSE),0),"")))</f>
        <v/>
      </c>
      <c r="AZ240" s="631" t="str">
        <f>IF(K240="","",
IF(AX240="PT",VLOOKUP(K240,Foundation_Calc!$K$4:$R$37,VLOOKUP(AW240,Foundation_Calc!$I$2:$J$8,2,FALSE),0),
IF(AX240="K",VLOOKUP(K240,Foundation_Calc!$K$41:$R$74,VLOOKUP(AW240,Foundation_Calc!$I$2:$J$8,2,FALSE),0),"")))</f>
        <v/>
      </c>
      <c r="BA240" s="632" t="str">
        <f t="shared" si="16"/>
        <v/>
      </c>
      <c r="BB240" s="632" t="str">
        <f t="shared" si="17"/>
        <v/>
      </c>
      <c r="BC240" s="632" t="str">
        <f t="shared" si="18"/>
        <v/>
      </c>
      <c r="BD240" s="633" t="str">
        <f>IF(AND(L240="",H240=""),"",
IF(H240="",Pole_Calc!A268,
IF(H240="MP",Pole_Calc!A269,
IF(H240="AnMP",Pole_Calc!A270,
IF(H240="A",Pole_Calc!A271,
IF(H240="S/A",Pole_Calc!A272,
IF(H240="A/S",Pole_Calc!A273,"Poner a mano")))))))</f>
        <v/>
      </c>
      <c r="BE240" s="448" t="s">
        <v>1726</v>
      </c>
      <c r="BF240" s="634"/>
      <c r="BG240" s="634"/>
      <c r="BH240" s="634"/>
      <c r="BI240" s="634"/>
    </row>
    <row r="241" spans="1:61" ht="16.2" customHeight="1">
      <c r="A241" s="12"/>
      <c r="B241" s="446"/>
      <c r="C241" s="89"/>
      <c r="D241" s="13"/>
      <c r="E241" s="14"/>
      <c r="F241" s="14"/>
      <c r="G241" s="15"/>
      <c r="H241" s="8"/>
      <c r="I241" s="8"/>
      <c r="J241" s="89"/>
      <c r="K241" s="8"/>
      <c r="L241" s="8"/>
      <c r="M241" s="8" t="str">
        <f>IF(L241="","",
IF(AX241="PT",VLOOKUP(L241,Foundation_Calc!$V$4:$X$37,VLOOKUP(AX241,Foundation_Calc!$I$10:$J$13,2,FALSE),0),
IF(AX241="K",VLOOKUP(L241,Foundation_Calc!$V$41:$X$74,VLOOKUP(AX241,Foundation_Calc!$I$10:$J$13,2,FALSE),0),"")))</f>
        <v/>
      </c>
      <c r="N241" s="8"/>
      <c r="O241" s="8"/>
      <c r="P241" s="8"/>
      <c r="Q241" s="14"/>
      <c r="R241" s="15"/>
      <c r="S241" s="15"/>
      <c r="T241" s="14"/>
      <c r="U241" s="14"/>
      <c r="V241" s="14"/>
      <c r="W241" s="18"/>
      <c r="X241" s="18"/>
      <c r="Y241" s="18"/>
      <c r="Z241" s="18"/>
      <c r="AA241" s="18"/>
      <c r="AB241" s="18"/>
      <c r="AC241" s="8" t="str">
        <f t="shared" si="15"/>
        <v/>
      </c>
      <c r="AD241" s="8"/>
      <c r="AE241" s="8"/>
      <c r="AF241" s="14"/>
      <c r="AG241" s="13"/>
      <c r="AH241" s="14"/>
      <c r="AI241" s="14"/>
      <c r="AJ241" s="8"/>
      <c r="AK241" s="8"/>
      <c r="AL241" s="8"/>
      <c r="AM241" s="8"/>
      <c r="AN241" s="631"/>
      <c r="AO241" s="18"/>
      <c r="AP241" s="18"/>
      <c r="AQ241" s="18"/>
      <c r="AR241" s="18"/>
      <c r="AS241" s="18"/>
      <c r="AU241" s="448"/>
      <c r="AV241" s="448"/>
      <c r="AW241" s="8" t="str">
        <f>IF(C241&gt;0,VLOOKUP(C241,Foundation_Calc!$A$2:$C$986,3,1),
IF(J241&gt;0,VLOOKUP(J241,Foundation_Calc!$A$2:$C$986,3,1),""))</f>
        <v/>
      </c>
      <c r="AX241" s="8" t="str">
        <f>IF(C241&gt;0,VLOOKUP(C241,Foundation_Calc!$E$2:$G$986,3,1),
IF(J241&gt;0,VLOOKUP(J241,Foundation_Calc!$E$2:$G$986,3,1),""))</f>
        <v/>
      </c>
      <c r="AY241" s="631" t="str">
        <f>IF(L241="","",
IF(AX241="PT",VLOOKUP(L241,Foundation_Calc!$K$4:$R$37,VLOOKUP(AW241,Foundation_Calc!$I$2:$J$8,2,FALSE),0),
IF(AX241="K",VLOOKUP(L241,Foundation_Calc!$K$41:$R$74,VLOOKUP(AW241,Foundation_Calc!$I$2:$J$8,2,FALSE),0),"")))</f>
        <v/>
      </c>
      <c r="AZ241" s="631" t="str">
        <f>IF(K241="","",
IF(AX241="PT",VLOOKUP(K241,Foundation_Calc!$K$4:$R$37,VLOOKUP(AW241,Foundation_Calc!$I$2:$J$8,2,FALSE),0),
IF(AX241="K",VLOOKUP(K241,Foundation_Calc!$K$41:$R$74,VLOOKUP(AW241,Foundation_Calc!$I$2:$J$8,2,FALSE),0),"")))</f>
        <v/>
      </c>
      <c r="BA241" s="632" t="str">
        <f t="shared" si="16"/>
        <v/>
      </c>
      <c r="BB241" s="632" t="str">
        <f t="shared" si="17"/>
        <v/>
      </c>
      <c r="BC241" s="632" t="str">
        <f t="shared" si="18"/>
        <v/>
      </c>
      <c r="BD241" s="633" t="str">
        <f>IF(AND(L241="",H241=""),"",
IF(H241="",Pole_Calc!A269,
IF(H241="MP",Pole_Calc!A270,
IF(H241="AnMP",Pole_Calc!A271,
IF(H241="A",Pole_Calc!A272,
IF(H241="S/A",Pole_Calc!A273,
IF(H241="A/S",Pole_Calc!A274,"Poner a mano")))))))</f>
        <v/>
      </c>
      <c r="BE241" s="448" t="s">
        <v>1726</v>
      </c>
      <c r="BF241" s="635"/>
      <c r="BG241" s="635"/>
      <c r="BH241" s="634"/>
      <c r="BI241" s="635"/>
    </row>
    <row r="242" spans="1:61" ht="16.2" customHeight="1">
      <c r="A242" s="12"/>
      <c r="B242" s="446"/>
      <c r="C242" s="89"/>
      <c r="D242" s="13"/>
      <c r="E242" s="14"/>
      <c r="F242" s="14"/>
      <c r="G242" s="15"/>
      <c r="H242" s="8"/>
      <c r="I242" s="8"/>
      <c r="J242" s="89"/>
      <c r="K242" s="8"/>
      <c r="L242" s="8"/>
      <c r="M242" s="8" t="str">
        <f>IF(L242="","",
IF(AX242="PT",VLOOKUP(L242,Foundation_Calc!$V$4:$X$37,VLOOKUP(AX242,Foundation_Calc!$I$10:$J$13,2,FALSE),0),
IF(AX242="K",VLOOKUP(L242,Foundation_Calc!$V$41:$X$74,VLOOKUP(AX242,Foundation_Calc!$I$10:$J$13,2,FALSE),0),"")))</f>
        <v/>
      </c>
      <c r="N242" s="8"/>
      <c r="O242" s="8"/>
      <c r="P242" s="8"/>
      <c r="Q242" s="14"/>
      <c r="R242" s="15"/>
      <c r="S242" s="15"/>
      <c r="T242" s="14"/>
      <c r="U242" s="14"/>
      <c r="V242" s="14"/>
      <c r="W242" s="18"/>
      <c r="X242" s="18"/>
      <c r="Y242" s="18"/>
      <c r="Z242" s="18"/>
      <c r="AA242" s="18"/>
      <c r="AB242" s="18"/>
      <c r="AC242" s="8" t="str">
        <f t="shared" si="15"/>
        <v/>
      </c>
      <c r="AD242" s="8"/>
      <c r="AE242" s="8"/>
      <c r="AF242" s="14"/>
      <c r="AG242" s="13"/>
      <c r="AH242" s="14"/>
      <c r="AI242" s="14"/>
      <c r="AJ242" s="8"/>
      <c r="AK242" s="8"/>
      <c r="AL242" s="8"/>
      <c r="AM242" s="8"/>
      <c r="AN242" s="631"/>
      <c r="AO242" s="18"/>
      <c r="AP242" s="18"/>
      <c r="AQ242" s="18"/>
      <c r="AR242" s="18"/>
      <c r="AS242" s="18"/>
      <c r="AU242" s="448"/>
      <c r="AV242" s="448"/>
      <c r="AW242" s="8" t="str">
        <f>IF(C242&gt;0,VLOOKUP(C242,Foundation_Calc!$A$2:$C$986,3,1),
IF(J242&gt;0,VLOOKUP(J242,Foundation_Calc!$A$2:$C$986,3,1),""))</f>
        <v/>
      </c>
      <c r="AX242" s="8" t="str">
        <f>IF(C242&gt;0,VLOOKUP(C242,Foundation_Calc!$E$2:$G$986,3,1),
IF(J242&gt;0,VLOOKUP(J242,Foundation_Calc!$E$2:$G$986,3,1),""))</f>
        <v/>
      </c>
      <c r="AY242" s="631" t="str">
        <f>IF(L242="","",
IF(AX242="PT",VLOOKUP(L242,Foundation_Calc!$K$4:$R$37,VLOOKUP(AW242,Foundation_Calc!$I$2:$J$8,2,FALSE),0),
IF(AX242="K",VLOOKUP(L242,Foundation_Calc!$K$41:$R$74,VLOOKUP(AW242,Foundation_Calc!$I$2:$J$8,2,FALSE),0),"")))</f>
        <v/>
      </c>
      <c r="AZ242" s="631" t="str">
        <f>IF(K242="","",
IF(AX242="PT",VLOOKUP(K242,Foundation_Calc!$K$4:$R$37,VLOOKUP(AW242,Foundation_Calc!$I$2:$J$8,2,FALSE),0),
IF(AX242="K",VLOOKUP(K242,Foundation_Calc!$K$41:$R$74,VLOOKUP(AW242,Foundation_Calc!$I$2:$J$8,2,FALSE),0),"")))</f>
        <v/>
      </c>
      <c r="BA242" s="632" t="str">
        <f t="shared" si="16"/>
        <v/>
      </c>
      <c r="BB242" s="632" t="str">
        <f t="shared" si="17"/>
        <v/>
      </c>
      <c r="BC242" s="632" t="str">
        <f t="shared" si="18"/>
        <v/>
      </c>
      <c r="BD242" s="633" t="str">
        <f>IF(AND(L242="",H242=""),"",
IF(H242="",Pole_Calc!A270,
IF(H242="MP",Pole_Calc!A271,
IF(H242="AnMP",Pole_Calc!A272,
IF(H242="A",Pole_Calc!A273,
IF(H242="S/A",Pole_Calc!A274,
IF(H242="A/S",Pole_Calc!A275,"Poner a mano")))))))</f>
        <v/>
      </c>
      <c r="BE242" s="448" t="s">
        <v>1726</v>
      </c>
      <c r="BF242" s="634"/>
      <c r="BG242" s="634"/>
      <c r="BH242" s="634"/>
      <c r="BI242" s="634"/>
    </row>
    <row r="243" spans="1:61" ht="16.2" customHeight="1">
      <c r="A243" s="12"/>
      <c r="B243" s="446"/>
      <c r="C243" s="89"/>
      <c r="D243" s="13"/>
      <c r="E243" s="14"/>
      <c r="F243" s="14"/>
      <c r="G243" s="15"/>
      <c r="H243" s="8"/>
      <c r="I243" s="8"/>
      <c r="J243" s="89"/>
      <c r="K243" s="8"/>
      <c r="L243" s="8"/>
      <c r="M243" s="8" t="str">
        <f>IF(L243="","",
IF(AX243="PT",VLOOKUP(L243,Foundation_Calc!$V$4:$X$37,VLOOKUP(AX243,Foundation_Calc!$I$10:$J$13,2,FALSE),0),
IF(AX243="K",VLOOKUP(L243,Foundation_Calc!$V$41:$X$74,VLOOKUP(AX243,Foundation_Calc!$I$10:$J$13,2,FALSE),0),"")))</f>
        <v/>
      </c>
      <c r="N243" s="8"/>
      <c r="O243" s="8"/>
      <c r="P243" s="8"/>
      <c r="Q243" s="14"/>
      <c r="R243" s="15"/>
      <c r="S243" s="15"/>
      <c r="T243" s="14"/>
      <c r="U243" s="14"/>
      <c r="V243" s="14"/>
      <c r="W243" s="18"/>
      <c r="X243" s="18"/>
      <c r="Y243" s="18"/>
      <c r="Z243" s="18"/>
      <c r="AA243" s="18"/>
      <c r="AB243" s="18"/>
      <c r="AC243" s="8" t="str">
        <f t="shared" si="15"/>
        <v/>
      </c>
      <c r="AD243" s="8"/>
      <c r="AE243" s="8"/>
      <c r="AF243" s="14"/>
      <c r="AG243" s="13"/>
      <c r="AH243" s="14"/>
      <c r="AI243" s="14"/>
      <c r="AJ243" s="8"/>
      <c r="AK243" s="8"/>
      <c r="AL243" s="8"/>
      <c r="AM243" s="8"/>
      <c r="AN243" s="631"/>
      <c r="AO243" s="18"/>
      <c r="AP243" s="18"/>
      <c r="AQ243" s="18"/>
      <c r="AR243" s="18"/>
      <c r="AS243" s="18"/>
      <c r="AU243" s="448"/>
      <c r="AV243" s="448"/>
      <c r="AW243" s="8" t="str">
        <f>IF(C243&gt;0,VLOOKUP(C243,Foundation_Calc!$A$2:$C$986,3,1),
IF(J243&gt;0,VLOOKUP(J243,Foundation_Calc!$A$2:$C$986,3,1),""))</f>
        <v/>
      </c>
      <c r="AX243" s="8" t="str">
        <f>IF(C243&gt;0,VLOOKUP(C243,Foundation_Calc!$E$2:$G$986,3,1),
IF(J243&gt;0,VLOOKUP(J243,Foundation_Calc!$E$2:$G$986,3,1),""))</f>
        <v/>
      </c>
      <c r="AY243" s="631" t="str">
        <f>IF(L243="","",
IF(AX243="PT",VLOOKUP(L243,Foundation_Calc!$K$4:$R$37,VLOOKUP(AW243,Foundation_Calc!$I$2:$J$8,2,FALSE),0),
IF(AX243="K",VLOOKUP(L243,Foundation_Calc!$K$41:$R$74,VLOOKUP(AW243,Foundation_Calc!$I$2:$J$8,2,FALSE),0),"")))</f>
        <v/>
      </c>
      <c r="AZ243" s="631" t="str">
        <f>IF(K243="","",
IF(AX243="PT",VLOOKUP(K243,Foundation_Calc!$K$4:$R$37,VLOOKUP(AW243,Foundation_Calc!$I$2:$J$8,2,FALSE),0),
IF(AX243="K",VLOOKUP(K243,Foundation_Calc!$K$41:$R$74,VLOOKUP(AW243,Foundation_Calc!$I$2:$J$8,2,FALSE),0),"")))</f>
        <v/>
      </c>
      <c r="BA243" s="632" t="str">
        <f t="shared" si="16"/>
        <v/>
      </c>
      <c r="BB243" s="632" t="str">
        <f t="shared" si="17"/>
        <v/>
      </c>
      <c r="BC243" s="632" t="str">
        <f t="shared" si="18"/>
        <v/>
      </c>
      <c r="BD243" s="633" t="str">
        <f>IF(AND(L243="",H243=""),"",
IF(H243="",Pole_Calc!A271,
IF(H243="MP",Pole_Calc!A272,
IF(H243="AnMP",Pole_Calc!A273,
IF(H243="A",Pole_Calc!A274,
IF(H243="S/A",Pole_Calc!A275,
IF(H243="A/S",Pole_Calc!A276,"Poner a mano")))))))</f>
        <v/>
      </c>
      <c r="BE243" s="448" t="s">
        <v>1726</v>
      </c>
      <c r="BF243" s="635"/>
      <c r="BG243" s="635"/>
      <c r="BH243" s="634"/>
      <c r="BI243" s="635"/>
    </row>
    <row r="244" spans="1:61" ht="16.2" customHeight="1">
      <c r="A244" s="12"/>
      <c r="B244" s="446"/>
      <c r="C244" s="89"/>
      <c r="D244" s="13"/>
      <c r="E244" s="14"/>
      <c r="F244" s="14"/>
      <c r="G244" s="15"/>
      <c r="H244" s="8"/>
      <c r="I244" s="8"/>
      <c r="J244" s="89"/>
      <c r="K244" s="8"/>
      <c r="L244" s="8"/>
      <c r="M244" s="8" t="str">
        <f>IF(L244="","",
IF(AX244="PT",VLOOKUP(L244,Foundation_Calc!$V$4:$X$37,VLOOKUP(AX244,Foundation_Calc!$I$10:$J$13,2,FALSE),0),
IF(AX244="K",VLOOKUP(L244,Foundation_Calc!$V$41:$X$74,VLOOKUP(AX244,Foundation_Calc!$I$10:$J$13,2,FALSE),0),"")))</f>
        <v/>
      </c>
      <c r="N244" s="8"/>
      <c r="O244" s="8"/>
      <c r="P244" s="8"/>
      <c r="Q244" s="14"/>
      <c r="R244" s="15"/>
      <c r="S244" s="15"/>
      <c r="T244" s="14"/>
      <c r="U244" s="14"/>
      <c r="V244" s="14"/>
      <c r="W244" s="18"/>
      <c r="X244" s="18"/>
      <c r="Y244" s="18"/>
      <c r="Z244" s="18"/>
      <c r="AA244" s="18"/>
      <c r="AB244" s="18"/>
      <c r="AC244" s="8" t="str">
        <f t="shared" si="15"/>
        <v/>
      </c>
      <c r="AD244" s="8"/>
      <c r="AE244" s="8"/>
      <c r="AF244" s="14"/>
      <c r="AG244" s="13"/>
      <c r="AH244" s="14"/>
      <c r="AI244" s="14"/>
      <c r="AJ244" s="8"/>
      <c r="AK244" s="8"/>
      <c r="AL244" s="8"/>
      <c r="AM244" s="8"/>
      <c r="AN244" s="631"/>
      <c r="AO244" s="18"/>
      <c r="AP244" s="18"/>
      <c r="AQ244" s="18"/>
      <c r="AR244" s="18"/>
      <c r="AS244" s="18"/>
      <c r="AU244" s="448"/>
      <c r="AV244" s="448"/>
      <c r="AW244" s="8" t="str">
        <f>IF(C244&gt;0,VLOOKUP(C244,Foundation_Calc!$A$2:$C$986,3,1),
IF(J244&gt;0,VLOOKUP(J244,Foundation_Calc!$A$2:$C$986,3,1),""))</f>
        <v/>
      </c>
      <c r="AX244" s="8" t="str">
        <f>IF(C244&gt;0,VLOOKUP(C244,Foundation_Calc!$E$2:$G$986,3,1),
IF(J244&gt;0,VLOOKUP(J244,Foundation_Calc!$E$2:$G$986,3,1),""))</f>
        <v/>
      </c>
      <c r="AY244" s="631" t="str">
        <f>IF(L244="","",
IF(AX244="PT",VLOOKUP(L244,Foundation_Calc!$K$4:$R$37,VLOOKUP(AW244,Foundation_Calc!$I$2:$J$8,2,FALSE),0),
IF(AX244="K",VLOOKUP(L244,Foundation_Calc!$K$41:$R$74,VLOOKUP(AW244,Foundation_Calc!$I$2:$J$8,2,FALSE),0),"")))</f>
        <v/>
      </c>
      <c r="AZ244" s="631" t="str">
        <f>IF(K244="","",
IF(AX244="PT",VLOOKUP(K244,Foundation_Calc!$K$4:$R$37,VLOOKUP(AW244,Foundation_Calc!$I$2:$J$8,2,FALSE),0),
IF(AX244="K",VLOOKUP(K244,Foundation_Calc!$K$41:$R$74,VLOOKUP(AW244,Foundation_Calc!$I$2:$J$8,2,FALSE),0),"")))</f>
        <v/>
      </c>
      <c r="BA244" s="632" t="str">
        <f t="shared" si="16"/>
        <v/>
      </c>
      <c r="BB244" s="632" t="str">
        <f t="shared" si="17"/>
        <v/>
      </c>
      <c r="BC244" s="632" t="str">
        <f t="shared" si="18"/>
        <v/>
      </c>
      <c r="BD244" s="633" t="str">
        <f>IF(AND(L244="",H244=""),"",
IF(H244="",Pole_Calc!A272,
IF(H244="MP",Pole_Calc!A273,
IF(H244="AnMP",Pole_Calc!A274,
IF(H244="A",Pole_Calc!A275,
IF(H244="S/A",Pole_Calc!A276,
IF(H244="A/S",Pole_Calc!A277,"Poner a mano")))))))</f>
        <v/>
      </c>
      <c r="BE244" s="448" t="s">
        <v>1726</v>
      </c>
      <c r="BF244" s="634"/>
      <c r="BG244" s="634"/>
      <c r="BH244" s="634"/>
      <c r="BI244" s="634"/>
    </row>
    <row r="245" spans="1:61" ht="16.2" customHeight="1">
      <c r="A245" s="12"/>
      <c r="B245" s="446"/>
      <c r="C245" s="89"/>
      <c r="D245" s="13"/>
      <c r="E245" s="14"/>
      <c r="F245" s="14"/>
      <c r="G245" s="15"/>
      <c r="H245" s="8"/>
      <c r="I245" s="8"/>
      <c r="J245" s="89"/>
      <c r="K245" s="8"/>
      <c r="L245" s="8"/>
      <c r="M245" s="8" t="str">
        <f>IF(L245="","",
IF(AX245="PT",VLOOKUP(L245,Foundation_Calc!$V$4:$X$37,VLOOKUP(AX245,Foundation_Calc!$I$10:$J$13,2,FALSE),0),
IF(AX245="K",VLOOKUP(L245,Foundation_Calc!$V$41:$X$74,VLOOKUP(AX245,Foundation_Calc!$I$10:$J$13,2,FALSE),0),"")))</f>
        <v/>
      </c>
      <c r="N245" s="8"/>
      <c r="O245" s="8"/>
      <c r="P245" s="8"/>
      <c r="Q245" s="14"/>
      <c r="R245" s="15"/>
      <c r="S245" s="15"/>
      <c r="T245" s="14"/>
      <c r="U245" s="14"/>
      <c r="V245" s="14"/>
      <c r="W245" s="18"/>
      <c r="X245" s="18"/>
      <c r="Y245" s="18"/>
      <c r="Z245" s="18"/>
      <c r="AA245" s="18"/>
      <c r="AB245" s="18"/>
      <c r="AC245" s="8" t="str">
        <f t="shared" si="15"/>
        <v/>
      </c>
      <c r="AD245" s="8"/>
      <c r="AE245" s="8"/>
      <c r="AF245" s="14"/>
      <c r="AG245" s="13"/>
      <c r="AH245" s="14"/>
      <c r="AI245" s="14"/>
      <c r="AJ245" s="8"/>
      <c r="AK245" s="8"/>
      <c r="AL245" s="8"/>
      <c r="AM245" s="8"/>
      <c r="AN245" s="631"/>
      <c r="AO245" s="18"/>
      <c r="AP245" s="18"/>
      <c r="AQ245" s="18"/>
      <c r="AR245" s="18"/>
      <c r="AS245" s="18"/>
      <c r="AU245" s="448"/>
      <c r="AV245" s="448"/>
      <c r="AW245" s="8" t="str">
        <f>IF(C245&gt;0,VLOOKUP(C245,Foundation_Calc!$A$2:$C$986,3,1),
IF(J245&gt;0,VLOOKUP(J245,Foundation_Calc!$A$2:$C$986,3,1),""))</f>
        <v/>
      </c>
      <c r="AX245" s="8" t="str">
        <f>IF(C245&gt;0,VLOOKUP(C245,Foundation_Calc!$E$2:$G$986,3,1),
IF(J245&gt;0,VLOOKUP(J245,Foundation_Calc!$E$2:$G$986,3,1),""))</f>
        <v/>
      </c>
      <c r="AY245" s="631" t="str">
        <f>IF(L245="","",
IF(AX245="PT",VLOOKUP(L245,Foundation_Calc!$K$4:$R$37,VLOOKUP(AW245,Foundation_Calc!$I$2:$J$8,2,FALSE),0),
IF(AX245="K",VLOOKUP(L245,Foundation_Calc!$K$41:$R$74,VLOOKUP(AW245,Foundation_Calc!$I$2:$J$8,2,FALSE),0),"")))</f>
        <v/>
      </c>
      <c r="AZ245" s="631" t="str">
        <f>IF(K245="","",
IF(AX245="PT",VLOOKUP(K245,Foundation_Calc!$K$4:$R$37,VLOOKUP(AW245,Foundation_Calc!$I$2:$J$8,2,FALSE),0),
IF(AX245="K",VLOOKUP(K245,Foundation_Calc!$K$41:$R$74,VLOOKUP(AW245,Foundation_Calc!$I$2:$J$8,2,FALSE),0),"")))</f>
        <v/>
      </c>
      <c r="BA245" s="632" t="str">
        <f t="shared" si="16"/>
        <v/>
      </c>
      <c r="BB245" s="632" t="str">
        <f t="shared" si="17"/>
        <v/>
      </c>
      <c r="BC245" s="632" t="str">
        <f t="shared" si="18"/>
        <v/>
      </c>
      <c r="BD245" s="633" t="str">
        <f>IF(AND(L245="",H245=""),"",
IF(H245="",Pole_Calc!A273,
IF(H245="MP",Pole_Calc!A274,
IF(H245="AnMP",Pole_Calc!A275,
IF(H245="A",Pole_Calc!A276,
IF(H245="S/A",Pole_Calc!A277,
IF(H245="A/S",Pole_Calc!A278,"Poner a mano")))))))</f>
        <v/>
      </c>
      <c r="BE245" s="448" t="s">
        <v>1726</v>
      </c>
      <c r="BF245" s="635"/>
      <c r="BG245" s="635"/>
      <c r="BH245" s="634"/>
      <c r="BI245" s="635"/>
    </row>
    <row r="246" spans="1:61" ht="16.2" customHeight="1">
      <c r="A246" s="12"/>
      <c r="B246" s="446"/>
      <c r="C246" s="89"/>
      <c r="D246" s="13"/>
      <c r="E246" s="14"/>
      <c r="F246" s="14"/>
      <c r="G246" s="15"/>
      <c r="H246" s="8"/>
      <c r="I246" s="8"/>
      <c r="J246" s="89"/>
      <c r="K246" s="8"/>
      <c r="L246" s="8"/>
      <c r="M246" s="8" t="str">
        <f>IF(L246="","",
IF(AX246="PT",VLOOKUP(L246,Foundation_Calc!$V$4:$X$37,VLOOKUP(AX246,Foundation_Calc!$I$10:$J$13,2,FALSE),0),
IF(AX246="K",VLOOKUP(L246,Foundation_Calc!$V$41:$X$74,VLOOKUP(AX246,Foundation_Calc!$I$10:$J$13,2,FALSE),0),"")))</f>
        <v/>
      </c>
      <c r="N246" s="8"/>
      <c r="O246" s="8"/>
      <c r="P246" s="8"/>
      <c r="Q246" s="14"/>
      <c r="R246" s="15"/>
      <c r="S246" s="15"/>
      <c r="T246" s="14"/>
      <c r="U246" s="14"/>
      <c r="V246" s="14"/>
      <c r="W246" s="18"/>
      <c r="X246" s="18"/>
      <c r="Y246" s="18"/>
      <c r="Z246" s="18"/>
      <c r="AA246" s="18"/>
      <c r="AB246" s="18"/>
      <c r="AC246" s="8" t="str">
        <f t="shared" si="15"/>
        <v/>
      </c>
      <c r="AD246" s="8"/>
      <c r="AE246" s="8"/>
      <c r="AF246" s="14"/>
      <c r="AG246" s="13"/>
      <c r="AH246" s="14"/>
      <c r="AI246" s="14"/>
      <c r="AJ246" s="8"/>
      <c r="AK246" s="8"/>
      <c r="AL246" s="8"/>
      <c r="AM246" s="8"/>
      <c r="AN246" s="631"/>
      <c r="AO246" s="18"/>
      <c r="AP246" s="18"/>
      <c r="AQ246" s="18"/>
      <c r="AR246" s="18"/>
      <c r="AS246" s="18"/>
      <c r="AU246" s="448"/>
      <c r="AV246" s="448"/>
      <c r="AW246" s="8" t="str">
        <f>IF(C246&gt;0,VLOOKUP(C246,Foundation_Calc!$A$2:$C$986,3,1),
IF(J246&gt;0,VLOOKUP(J246,Foundation_Calc!$A$2:$C$986,3,1),""))</f>
        <v/>
      </c>
      <c r="AX246" s="8" t="str">
        <f>IF(C246&gt;0,VLOOKUP(C246,Foundation_Calc!$E$2:$G$986,3,1),
IF(J246&gt;0,VLOOKUP(J246,Foundation_Calc!$E$2:$G$986,3,1),""))</f>
        <v/>
      </c>
      <c r="AY246" s="631" t="str">
        <f>IF(L246="","",
IF(AX246="PT",VLOOKUP(L246,Foundation_Calc!$K$4:$R$37,VLOOKUP(AW246,Foundation_Calc!$I$2:$J$8,2,FALSE),0),
IF(AX246="K",VLOOKUP(L246,Foundation_Calc!$K$41:$R$74,VLOOKUP(AW246,Foundation_Calc!$I$2:$J$8,2,FALSE),0),"")))</f>
        <v/>
      </c>
      <c r="AZ246" s="631" t="str">
        <f>IF(K246="","",
IF(AX246="PT",VLOOKUP(K246,Foundation_Calc!$K$4:$R$37,VLOOKUP(AW246,Foundation_Calc!$I$2:$J$8,2,FALSE),0),
IF(AX246="K",VLOOKUP(K246,Foundation_Calc!$K$41:$R$74,VLOOKUP(AW246,Foundation_Calc!$I$2:$J$8,2,FALSE),0),"")))</f>
        <v/>
      </c>
      <c r="BA246" s="632" t="str">
        <f t="shared" si="16"/>
        <v/>
      </c>
      <c r="BB246" s="632" t="str">
        <f t="shared" si="17"/>
        <v/>
      </c>
      <c r="BC246" s="632" t="str">
        <f t="shared" si="18"/>
        <v/>
      </c>
      <c r="BD246" s="633" t="str">
        <f>IF(AND(L246="",H246=""),"",
IF(H246="",Pole_Calc!A274,
IF(H246="MP",Pole_Calc!A275,
IF(H246="AnMP",Pole_Calc!A276,
IF(H246="A",Pole_Calc!A277,
IF(H246="S/A",Pole_Calc!A278,
IF(H246="A/S",Pole_Calc!A279,"Poner a mano")))))))</f>
        <v/>
      </c>
      <c r="BE246" s="448" t="s">
        <v>1726</v>
      </c>
      <c r="BF246" s="634"/>
      <c r="BG246" s="634"/>
      <c r="BH246" s="634"/>
      <c r="BI246" s="634"/>
    </row>
    <row r="247" spans="1:61" ht="16.2" customHeight="1">
      <c r="A247" s="12"/>
      <c r="B247" s="446"/>
      <c r="C247" s="89"/>
      <c r="D247" s="13"/>
      <c r="E247" s="14"/>
      <c r="F247" s="14"/>
      <c r="G247" s="15"/>
      <c r="H247" s="8"/>
      <c r="I247" s="8"/>
      <c r="J247" s="89"/>
      <c r="K247" s="8"/>
      <c r="L247" s="8"/>
      <c r="M247" s="8" t="str">
        <f>IF(L247="","",
IF(AX247="PT",VLOOKUP(L247,Foundation_Calc!$V$4:$X$37,VLOOKUP(AX247,Foundation_Calc!$I$10:$J$13,2,FALSE),0),
IF(AX247="K",VLOOKUP(L247,Foundation_Calc!$V$41:$X$74,VLOOKUP(AX247,Foundation_Calc!$I$10:$J$13,2,FALSE),0),"")))</f>
        <v/>
      </c>
      <c r="N247" s="8"/>
      <c r="O247" s="8"/>
      <c r="P247" s="8"/>
      <c r="Q247" s="14"/>
      <c r="R247" s="15"/>
      <c r="S247" s="15"/>
      <c r="T247" s="14"/>
      <c r="U247" s="14"/>
      <c r="V247" s="14"/>
      <c r="W247" s="18"/>
      <c r="X247" s="18"/>
      <c r="Y247" s="18"/>
      <c r="Z247" s="18"/>
      <c r="AA247" s="18"/>
      <c r="AB247" s="18"/>
      <c r="AC247" s="8" t="str">
        <f t="shared" si="15"/>
        <v/>
      </c>
      <c r="AD247" s="8"/>
      <c r="AE247" s="8"/>
      <c r="AF247" s="14"/>
      <c r="AG247" s="13"/>
      <c r="AH247" s="14"/>
      <c r="AI247" s="14"/>
      <c r="AJ247" s="8"/>
      <c r="AK247" s="8"/>
      <c r="AL247" s="8"/>
      <c r="AM247" s="8"/>
      <c r="AN247" s="631"/>
      <c r="AO247" s="18"/>
      <c r="AP247" s="18"/>
      <c r="AQ247" s="18"/>
      <c r="AR247" s="18"/>
      <c r="AS247" s="18"/>
      <c r="AU247" s="448"/>
      <c r="AV247" s="448"/>
      <c r="AW247" s="8" t="str">
        <f>IF(C247&gt;0,VLOOKUP(C247,Foundation_Calc!$A$2:$C$986,3,1),
IF(J247&gt;0,VLOOKUP(J247,Foundation_Calc!$A$2:$C$986,3,1),""))</f>
        <v/>
      </c>
      <c r="AX247" s="8" t="str">
        <f>IF(C247&gt;0,VLOOKUP(C247,Foundation_Calc!$E$2:$G$986,3,1),
IF(J247&gt;0,VLOOKUP(J247,Foundation_Calc!$E$2:$G$986,3,1),""))</f>
        <v/>
      </c>
      <c r="AY247" s="631" t="str">
        <f>IF(L247="","",
IF(AX247="PT",VLOOKUP(L247,Foundation_Calc!$K$4:$R$37,VLOOKUP(AW247,Foundation_Calc!$I$2:$J$8,2,FALSE),0),
IF(AX247="K",VLOOKUP(L247,Foundation_Calc!$K$41:$R$74,VLOOKUP(AW247,Foundation_Calc!$I$2:$J$8,2,FALSE),0),"")))</f>
        <v/>
      </c>
      <c r="AZ247" s="631" t="str">
        <f>IF(K247="","",
IF(AX247="PT",VLOOKUP(K247,Foundation_Calc!$K$4:$R$37,VLOOKUP(AW247,Foundation_Calc!$I$2:$J$8,2,FALSE),0),
IF(AX247="K",VLOOKUP(K247,Foundation_Calc!$K$41:$R$74,VLOOKUP(AW247,Foundation_Calc!$I$2:$J$8,2,FALSE),0),"")))</f>
        <v/>
      </c>
      <c r="BA247" s="632" t="str">
        <f t="shared" si="16"/>
        <v/>
      </c>
      <c r="BB247" s="632" t="str">
        <f t="shared" si="17"/>
        <v/>
      </c>
      <c r="BC247" s="632" t="str">
        <f t="shared" si="18"/>
        <v/>
      </c>
      <c r="BD247" s="633" t="str">
        <f>IF(AND(L247="",H247=""),"",
IF(H247="",Pole_Calc!A275,
IF(H247="MP",Pole_Calc!A276,
IF(H247="AnMP",Pole_Calc!A277,
IF(H247="A",Pole_Calc!A278,
IF(H247="S/A",Pole_Calc!A279,
IF(H247="A/S",Pole_Calc!A280,"Poner a mano")))))))</f>
        <v/>
      </c>
      <c r="BE247" s="448" t="s">
        <v>1726</v>
      </c>
      <c r="BF247" s="635"/>
      <c r="BG247" s="635"/>
      <c r="BH247" s="634"/>
      <c r="BI247" s="635"/>
    </row>
    <row r="248" spans="1:61" ht="16.2" customHeight="1">
      <c r="A248" s="12"/>
      <c r="B248" s="446"/>
      <c r="C248" s="89"/>
      <c r="D248" s="13"/>
      <c r="E248" s="14"/>
      <c r="F248" s="14"/>
      <c r="G248" s="15"/>
      <c r="H248" s="8"/>
      <c r="I248" s="8"/>
      <c r="J248" s="89"/>
      <c r="K248" s="8"/>
      <c r="L248" s="8"/>
      <c r="M248" s="8" t="str">
        <f>IF(L248="","",
IF(AX248="PT",VLOOKUP(L248,Foundation_Calc!$V$4:$X$37,VLOOKUP(AX248,Foundation_Calc!$I$10:$J$13,2,FALSE),0),
IF(AX248="K",VLOOKUP(L248,Foundation_Calc!$V$41:$X$74,VLOOKUP(AX248,Foundation_Calc!$I$10:$J$13,2,FALSE),0),"")))</f>
        <v/>
      </c>
      <c r="N248" s="8"/>
      <c r="O248" s="8"/>
      <c r="P248" s="8"/>
      <c r="Q248" s="14"/>
      <c r="R248" s="15"/>
      <c r="S248" s="15"/>
      <c r="T248" s="14"/>
      <c r="U248" s="14"/>
      <c r="V248" s="14"/>
      <c r="W248" s="18"/>
      <c r="X248" s="18"/>
      <c r="Y248" s="18"/>
      <c r="Z248" s="18"/>
      <c r="AA248" s="18"/>
      <c r="AB248" s="18"/>
      <c r="AC248" s="8" t="str">
        <f t="shared" si="15"/>
        <v/>
      </c>
      <c r="AD248" s="8"/>
      <c r="AE248" s="8"/>
      <c r="AF248" s="14"/>
      <c r="AG248" s="13"/>
      <c r="AH248" s="14"/>
      <c r="AI248" s="14"/>
      <c r="AJ248" s="8"/>
      <c r="AK248" s="8"/>
      <c r="AL248" s="8"/>
      <c r="AM248" s="8"/>
      <c r="AN248" s="631"/>
      <c r="AO248" s="18"/>
      <c r="AP248" s="18"/>
      <c r="AQ248" s="18"/>
      <c r="AR248" s="18"/>
      <c r="AS248" s="18"/>
      <c r="AU248" s="448"/>
      <c r="AV248" s="448"/>
      <c r="AW248" s="8" t="str">
        <f>IF(C248&gt;0,VLOOKUP(C248,Foundation_Calc!$A$2:$C$986,3,1),
IF(J248&gt;0,VLOOKUP(J248,Foundation_Calc!$A$2:$C$986,3,1),""))</f>
        <v/>
      </c>
      <c r="AX248" s="8" t="str">
        <f>IF(C248&gt;0,VLOOKUP(C248,Foundation_Calc!$E$2:$G$986,3,1),
IF(J248&gt;0,VLOOKUP(J248,Foundation_Calc!$E$2:$G$986,3,1),""))</f>
        <v/>
      </c>
      <c r="AY248" s="631" t="str">
        <f>IF(L248="","",
IF(AX248="PT",VLOOKUP(L248,Foundation_Calc!$K$4:$R$37,VLOOKUP(AW248,Foundation_Calc!$I$2:$J$8,2,FALSE),0),
IF(AX248="K",VLOOKUP(L248,Foundation_Calc!$K$41:$R$74,VLOOKUP(AW248,Foundation_Calc!$I$2:$J$8,2,FALSE),0),"")))</f>
        <v/>
      </c>
      <c r="AZ248" s="631" t="str">
        <f>IF(K248="","",
IF(AX248="PT",VLOOKUP(K248,Foundation_Calc!$K$4:$R$37,VLOOKUP(AW248,Foundation_Calc!$I$2:$J$8,2,FALSE),0),
IF(AX248="K",VLOOKUP(K248,Foundation_Calc!$K$41:$R$74,VLOOKUP(AW248,Foundation_Calc!$I$2:$J$8,2,FALSE),0),"")))</f>
        <v/>
      </c>
      <c r="BA248" s="632" t="str">
        <f t="shared" si="16"/>
        <v/>
      </c>
      <c r="BB248" s="632" t="str">
        <f t="shared" si="17"/>
        <v/>
      </c>
      <c r="BC248" s="632" t="str">
        <f t="shared" si="18"/>
        <v/>
      </c>
      <c r="BD248" s="633" t="str">
        <f>IF(AND(L248="",H248=""),"",
IF(H248="",Pole_Calc!A276,
IF(H248="MP",Pole_Calc!A277,
IF(H248="AnMP",Pole_Calc!A278,
IF(H248="A",Pole_Calc!A279,
IF(H248="S/A",Pole_Calc!A280,
IF(H248="A/S",Pole_Calc!A281,"Poner a mano")))))))</f>
        <v/>
      </c>
      <c r="BE248" s="448" t="s">
        <v>1726</v>
      </c>
      <c r="BF248" s="634"/>
      <c r="BG248" s="634"/>
      <c r="BH248" s="634"/>
      <c r="BI248" s="634"/>
    </row>
    <row r="249" spans="1:61" ht="16.2" customHeight="1">
      <c r="A249" s="12"/>
      <c r="B249" s="446"/>
      <c r="C249" s="89"/>
      <c r="D249" s="13"/>
      <c r="E249" s="14"/>
      <c r="F249" s="14"/>
      <c r="G249" s="15"/>
      <c r="H249" s="8"/>
      <c r="I249" s="8"/>
      <c r="J249" s="89"/>
      <c r="K249" s="8"/>
      <c r="L249" s="8"/>
      <c r="M249" s="8" t="str">
        <f>IF(L249="","",
IF(AX249="PT",VLOOKUP(L249,Foundation_Calc!$V$4:$X$37,VLOOKUP(AX249,Foundation_Calc!$I$10:$J$13,2,FALSE),0),
IF(AX249="K",VLOOKUP(L249,Foundation_Calc!$V$41:$X$74,VLOOKUP(AX249,Foundation_Calc!$I$10:$J$13,2,FALSE),0),"")))</f>
        <v/>
      </c>
      <c r="N249" s="8"/>
      <c r="O249" s="8"/>
      <c r="P249" s="8"/>
      <c r="Q249" s="14"/>
      <c r="R249" s="15"/>
      <c r="S249" s="15"/>
      <c r="T249" s="14"/>
      <c r="U249" s="14"/>
      <c r="V249" s="14"/>
      <c r="W249" s="18"/>
      <c r="X249" s="18"/>
      <c r="Y249" s="18"/>
      <c r="Z249" s="18"/>
      <c r="AA249" s="18"/>
      <c r="AB249" s="18"/>
      <c r="AC249" s="8" t="str">
        <f t="shared" si="15"/>
        <v/>
      </c>
      <c r="AD249" s="8"/>
      <c r="AE249" s="8"/>
      <c r="AF249" s="14"/>
      <c r="AG249" s="13"/>
      <c r="AH249" s="14"/>
      <c r="AI249" s="14"/>
      <c r="AJ249" s="8"/>
      <c r="AK249" s="8"/>
      <c r="AL249" s="8"/>
      <c r="AM249" s="8"/>
      <c r="AN249" s="631"/>
      <c r="AO249" s="18"/>
      <c r="AP249" s="18"/>
      <c r="AQ249" s="18"/>
      <c r="AR249" s="18"/>
      <c r="AS249" s="18"/>
      <c r="AU249" s="448"/>
      <c r="AV249" s="448"/>
      <c r="AW249" s="8" t="str">
        <f>IF(C249&gt;0,VLOOKUP(C249,Foundation_Calc!$A$2:$C$986,3,1),
IF(J249&gt;0,VLOOKUP(J249,Foundation_Calc!$A$2:$C$986,3,1),""))</f>
        <v/>
      </c>
      <c r="AX249" s="8" t="str">
        <f>IF(C249&gt;0,VLOOKUP(C249,Foundation_Calc!$E$2:$G$986,3,1),
IF(J249&gt;0,VLOOKUP(J249,Foundation_Calc!$E$2:$G$986,3,1),""))</f>
        <v/>
      </c>
      <c r="AY249" s="631" t="str">
        <f>IF(L249="","",
IF(AX249="PT",VLOOKUP(L249,Foundation_Calc!$K$4:$R$37,VLOOKUP(AW249,Foundation_Calc!$I$2:$J$8,2,FALSE),0),
IF(AX249="K",VLOOKUP(L249,Foundation_Calc!$K$41:$R$74,VLOOKUP(AW249,Foundation_Calc!$I$2:$J$8,2,FALSE),0),"")))</f>
        <v/>
      </c>
      <c r="AZ249" s="631" t="str">
        <f>IF(K249="","",
IF(AX249="PT",VLOOKUP(K249,Foundation_Calc!$K$4:$R$37,VLOOKUP(AW249,Foundation_Calc!$I$2:$J$8,2,FALSE),0),
IF(AX249="K",VLOOKUP(K249,Foundation_Calc!$K$41:$R$74,VLOOKUP(AW249,Foundation_Calc!$I$2:$J$8,2,FALSE),0),"")))</f>
        <v/>
      </c>
      <c r="BA249" s="632" t="str">
        <f t="shared" si="16"/>
        <v/>
      </c>
      <c r="BB249" s="632" t="str">
        <f t="shared" si="17"/>
        <v/>
      </c>
      <c r="BC249" s="632" t="str">
        <f t="shared" si="18"/>
        <v/>
      </c>
      <c r="BD249" s="633" t="str">
        <f>IF(AND(L249="",H249=""),"",
IF(H249="",Pole_Calc!A277,
IF(H249="MP",Pole_Calc!A278,
IF(H249="AnMP",Pole_Calc!A279,
IF(H249="A",Pole_Calc!A280,
IF(H249="S/A",Pole_Calc!A281,
IF(H249="A/S",Pole_Calc!A282,"Poner a mano")))))))</f>
        <v/>
      </c>
      <c r="BE249" s="448" t="s">
        <v>1726</v>
      </c>
      <c r="BF249" s="635"/>
      <c r="BG249" s="635"/>
      <c r="BH249" s="634"/>
      <c r="BI249" s="635"/>
    </row>
    <row r="250" spans="1:61" ht="16.2" customHeight="1">
      <c r="A250" s="12"/>
      <c r="B250" s="446"/>
      <c r="C250" s="89"/>
      <c r="D250" s="13"/>
      <c r="E250" s="14"/>
      <c r="F250" s="14"/>
      <c r="G250" s="15"/>
      <c r="H250" s="8"/>
      <c r="I250" s="8"/>
      <c r="J250" s="89"/>
      <c r="K250" s="8"/>
      <c r="L250" s="8"/>
      <c r="M250" s="8" t="str">
        <f>IF(L250="","",
IF(AX250="PT",VLOOKUP(L250,Foundation_Calc!$V$4:$X$37,VLOOKUP(AX250,Foundation_Calc!$I$10:$J$13,2,FALSE),0),
IF(AX250="K",VLOOKUP(L250,Foundation_Calc!$V$41:$X$74,VLOOKUP(AX250,Foundation_Calc!$I$10:$J$13,2,FALSE),0),"")))</f>
        <v/>
      </c>
      <c r="N250" s="8"/>
      <c r="O250" s="8"/>
      <c r="P250" s="8"/>
      <c r="Q250" s="14"/>
      <c r="R250" s="15"/>
      <c r="S250" s="15"/>
      <c r="T250" s="14"/>
      <c r="U250" s="14"/>
      <c r="V250" s="14"/>
      <c r="W250" s="18"/>
      <c r="X250" s="18"/>
      <c r="Y250" s="18"/>
      <c r="Z250" s="18"/>
      <c r="AA250" s="18"/>
      <c r="AB250" s="18"/>
      <c r="AC250" s="8" t="str">
        <f t="shared" si="15"/>
        <v/>
      </c>
      <c r="AD250" s="8"/>
      <c r="AE250" s="8"/>
      <c r="AF250" s="14"/>
      <c r="AG250" s="13"/>
      <c r="AH250" s="14"/>
      <c r="AI250" s="14"/>
      <c r="AJ250" s="8"/>
      <c r="AK250" s="8"/>
      <c r="AL250" s="8"/>
      <c r="AM250" s="8"/>
      <c r="AN250" s="631"/>
      <c r="AO250" s="18"/>
      <c r="AP250" s="18"/>
      <c r="AQ250" s="18"/>
      <c r="AR250" s="18"/>
      <c r="AS250" s="18"/>
      <c r="AU250" s="448"/>
      <c r="AV250" s="448"/>
      <c r="AW250" s="8" t="str">
        <f>IF(C250&gt;0,VLOOKUP(C250,Foundation_Calc!$A$2:$C$986,3,1),
IF(J250&gt;0,VLOOKUP(J250,Foundation_Calc!$A$2:$C$986,3,1),""))</f>
        <v/>
      </c>
      <c r="AX250" s="8" t="str">
        <f>IF(C250&gt;0,VLOOKUP(C250,Foundation_Calc!$E$2:$G$986,3,1),
IF(J250&gt;0,VLOOKUP(J250,Foundation_Calc!$E$2:$G$986,3,1),""))</f>
        <v/>
      </c>
      <c r="AY250" s="631" t="str">
        <f>IF(L250="","",
IF(AX250="PT",VLOOKUP(L250,Foundation_Calc!$K$4:$R$37,VLOOKUP(AW250,Foundation_Calc!$I$2:$J$8,2,FALSE),0),
IF(AX250="K",VLOOKUP(L250,Foundation_Calc!$K$41:$R$74,VLOOKUP(AW250,Foundation_Calc!$I$2:$J$8,2,FALSE),0),"")))</f>
        <v/>
      </c>
      <c r="AZ250" s="631" t="str">
        <f>IF(K250="","",
IF(AX250="PT",VLOOKUP(K250,Foundation_Calc!$K$4:$R$37,VLOOKUP(AW250,Foundation_Calc!$I$2:$J$8,2,FALSE),0),
IF(AX250="K",VLOOKUP(K250,Foundation_Calc!$K$41:$R$74,VLOOKUP(AW250,Foundation_Calc!$I$2:$J$8,2,FALSE),0),"")))</f>
        <v/>
      </c>
      <c r="BA250" s="632" t="str">
        <f t="shared" si="16"/>
        <v/>
      </c>
      <c r="BB250" s="632" t="str">
        <f t="shared" si="17"/>
        <v/>
      </c>
      <c r="BC250" s="632" t="str">
        <f t="shared" si="18"/>
        <v/>
      </c>
      <c r="BD250" s="633" t="str">
        <f>IF(AND(L250="",H250=""),"",
IF(H250="",Pole_Calc!A278,
IF(H250="MP",Pole_Calc!A279,
IF(H250="AnMP",Pole_Calc!A280,
IF(H250="A",Pole_Calc!A281,
IF(H250="S/A",Pole_Calc!A282,
IF(H250="A/S",Pole_Calc!A283,"Poner a mano")))))))</f>
        <v/>
      </c>
      <c r="BE250" s="448" t="s">
        <v>1726</v>
      </c>
      <c r="BF250" s="634"/>
      <c r="BG250" s="634"/>
      <c r="BH250" s="634"/>
      <c r="BI250" s="634"/>
    </row>
    <row r="251" spans="1:61" ht="16.2" customHeight="1">
      <c r="A251" s="12"/>
      <c r="B251" s="446"/>
      <c r="C251" s="89"/>
      <c r="D251" s="13"/>
      <c r="E251" s="14"/>
      <c r="F251" s="14"/>
      <c r="G251" s="15"/>
      <c r="H251" s="8"/>
      <c r="I251" s="8"/>
      <c r="J251" s="89"/>
      <c r="K251" s="8"/>
      <c r="L251" s="8"/>
      <c r="M251" s="8" t="str">
        <f>IF(L251="","",
IF(AX251="PT",VLOOKUP(L251,Foundation_Calc!$V$4:$X$37,VLOOKUP(AX251,Foundation_Calc!$I$10:$J$13,2,FALSE),0),
IF(AX251="K",VLOOKUP(L251,Foundation_Calc!$V$41:$X$74,VLOOKUP(AX251,Foundation_Calc!$I$10:$J$13,2,FALSE),0),"")))</f>
        <v/>
      </c>
      <c r="N251" s="8"/>
      <c r="O251" s="8"/>
      <c r="P251" s="8"/>
      <c r="Q251" s="14"/>
      <c r="R251" s="15"/>
      <c r="S251" s="15"/>
      <c r="T251" s="14"/>
      <c r="U251" s="14"/>
      <c r="V251" s="14"/>
      <c r="W251" s="18"/>
      <c r="X251" s="18"/>
      <c r="Y251" s="18"/>
      <c r="Z251" s="18"/>
      <c r="AA251" s="18"/>
      <c r="AB251" s="18"/>
      <c r="AC251" s="8" t="str">
        <f t="shared" si="15"/>
        <v/>
      </c>
      <c r="AD251" s="8"/>
      <c r="AE251" s="8"/>
      <c r="AF251" s="14"/>
      <c r="AG251" s="13"/>
      <c r="AH251" s="14"/>
      <c r="AI251" s="14"/>
      <c r="AJ251" s="8"/>
      <c r="AK251" s="8"/>
      <c r="AL251" s="8"/>
      <c r="AM251" s="8"/>
      <c r="AN251" s="631"/>
      <c r="AO251" s="18"/>
      <c r="AP251" s="18"/>
      <c r="AQ251" s="18"/>
      <c r="AR251" s="18"/>
      <c r="AS251" s="18"/>
      <c r="AU251" s="448"/>
      <c r="AV251" s="448"/>
      <c r="AW251" s="8" t="str">
        <f>IF(C251&gt;0,VLOOKUP(C251,Foundation_Calc!$A$2:$C$986,3,1),
IF(J251&gt;0,VLOOKUP(J251,Foundation_Calc!$A$2:$C$986,3,1),""))</f>
        <v/>
      </c>
      <c r="AX251" s="8" t="str">
        <f>IF(C251&gt;0,VLOOKUP(C251,Foundation_Calc!$E$2:$G$986,3,1),
IF(J251&gt;0,VLOOKUP(J251,Foundation_Calc!$E$2:$G$986,3,1),""))</f>
        <v/>
      </c>
      <c r="AY251" s="631" t="str">
        <f>IF(L251="","",
IF(AX251="PT",VLOOKUP(L251,Foundation_Calc!$K$4:$R$37,VLOOKUP(AW251,Foundation_Calc!$I$2:$J$8,2,FALSE),0),
IF(AX251="K",VLOOKUP(L251,Foundation_Calc!$K$41:$R$74,VLOOKUP(AW251,Foundation_Calc!$I$2:$J$8,2,FALSE),0),"")))</f>
        <v/>
      </c>
      <c r="AZ251" s="631" t="str">
        <f>IF(K251="","",
IF(AX251="PT",VLOOKUP(K251,Foundation_Calc!$K$4:$R$37,VLOOKUP(AW251,Foundation_Calc!$I$2:$J$8,2,FALSE),0),
IF(AX251="K",VLOOKUP(K251,Foundation_Calc!$K$41:$R$74,VLOOKUP(AW251,Foundation_Calc!$I$2:$J$8,2,FALSE),0),"")))</f>
        <v/>
      </c>
      <c r="BA251" s="632" t="str">
        <f t="shared" si="16"/>
        <v/>
      </c>
      <c r="BB251" s="632" t="str">
        <f t="shared" si="17"/>
        <v/>
      </c>
      <c r="BC251" s="632" t="str">
        <f t="shared" si="18"/>
        <v/>
      </c>
      <c r="BD251" s="633" t="str">
        <f>IF(AND(L251="",H251=""),"",
IF(H251="",Pole_Calc!A279,
IF(H251="MP",Pole_Calc!A280,
IF(H251="AnMP",Pole_Calc!A281,
IF(H251="A",Pole_Calc!A282,
IF(H251="S/A",Pole_Calc!A283,
IF(H251="A/S",Pole_Calc!A284,"Poner a mano")))))))</f>
        <v/>
      </c>
      <c r="BE251" s="448" t="s">
        <v>1726</v>
      </c>
      <c r="BF251" s="635"/>
      <c r="BG251" s="635"/>
      <c r="BH251" s="634"/>
      <c r="BI251" s="635"/>
    </row>
    <row r="252" spans="1:61" ht="16.2" customHeight="1">
      <c r="A252" s="12"/>
      <c r="B252" s="446"/>
      <c r="C252" s="89"/>
      <c r="D252" s="13"/>
      <c r="E252" s="14"/>
      <c r="F252" s="14"/>
      <c r="G252" s="15"/>
      <c r="H252" s="8"/>
      <c r="I252" s="8"/>
      <c r="J252" s="89"/>
      <c r="K252" s="8"/>
      <c r="L252" s="8"/>
      <c r="M252" s="8" t="str">
        <f>IF(L252="","",
IF(AX252="PT",VLOOKUP(L252,Foundation_Calc!$V$4:$X$37,VLOOKUP(AX252,Foundation_Calc!$I$10:$J$13,2,FALSE),0),
IF(AX252="K",VLOOKUP(L252,Foundation_Calc!$V$41:$X$74,VLOOKUP(AX252,Foundation_Calc!$I$10:$J$13,2,FALSE),0),"")))</f>
        <v/>
      </c>
      <c r="N252" s="8"/>
      <c r="O252" s="8"/>
      <c r="P252" s="8"/>
      <c r="Q252" s="14"/>
      <c r="R252" s="15"/>
      <c r="S252" s="15"/>
      <c r="T252" s="14"/>
      <c r="U252" s="14"/>
      <c r="V252" s="14"/>
      <c r="W252" s="18"/>
      <c r="X252" s="18"/>
      <c r="Y252" s="18"/>
      <c r="Z252" s="18"/>
      <c r="AA252" s="18"/>
      <c r="AB252" s="18"/>
      <c r="AC252" s="8" t="str">
        <f t="shared" si="15"/>
        <v/>
      </c>
      <c r="AD252" s="8"/>
      <c r="AE252" s="8"/>
      <c r="AF252" s="14"/>
      <c r="AG252" s="13"/>
      <c r="AH252" s="14"/>
      <c r="AI252" s="14"/>
      <c r="AJ252" s="8"/>
      <c r="AK252" s="8"/>
      <c r="AL252" s="8"/>
      <c r="AM252" s="8"/>
      <c r="AN252" s="631"/>
      <c r="AO252" s="18"/>
      <c r="AP252" s="18"/>
      <c r="AQ252" s="18"/>
      <c r="AR252" s="18"/>
      <c r="AS252" s="18"/>
      <c r="AU252" s="448"/>
      <c r="AV252" s="448"/>
      <c r="AW252" s="8" t="str">
        <f>IF(C252&gt;0,VLOOKUP(C252,Foundation_Calc!$A$2:$C$986,3,1),
IF(J252&gt;0,VLOOKUP(J252,Foundation_Calc!$A$2:$C$986,3,1),""))</f>
        <v/>
      </c>
      <c r="AX252" s="8" t="str">
        <f>IF(C252&gt;0,VLOOKUP(C252,Foundation_Calc!$E$2:$G$986,3,1),
IF(J252&gt;0,VLOOKUP(J252,Foundation_Calc!$E$2:$G$986,3,1),""))</f>
        <v/>
      </c>
      <c r="AY252" s="631" t="str">
        <f>IF(L252="","",
IF(AX252="PT",VLOOKUP(L252,Foundation_Calc!$K$4:$R$37,VLOOKUP(AW252,Foundation_Calc!$I$2:$J$8,2,FALSE),0),
IF(AX252="K",VLOOKUP(L252,Foundation_Calc!$K$41:$R$74,VLOOKUP(AW252,Foundation_Calc!$I$2:$J$8,2,FALSE),0),"")))</f>
        <v/>
      </c>
      <c r="AZ252" s="631" t="str">
        <f>IF(K252="","",
IF(AX252="PT",VLOOKUP(K252,Foundation_Calc!$K$4:$R$37,VLOOKUP(AW252,Foundation_Calc!$I$2:$J$8,2,FALSE),0),
IF(AX252="K",VLOOKUP(K252,Foundation_Calc!$K$41:$R$74,VLOOKUP(AW252,Foundation_Calc!$I$2:$J$8,2,FALSE),0),"")))</f>
        <v/>
      </c>
      <c r="BA252" s="632" t="str">
        <f t="shared" si="16"/>
        <v/>
      </c>
      <c r="BB252" s="632" t="str">
        <f t="shared" si="17"/>
        <v/>
      </c>
      <c r="BC252" s="632" t="str">
        <f t="shared" si="18"/>
        <v/>
      </c>
      <c r="BD252" s="633" t="str">
        <f>IF(AND(L252="",H252=""),"",
IF(H252="",Pole_Calc!A280,
IF(H252="MP",Pole_Calc!A281,
IF(H252="AnMP",Pole_Calc!A282,
IF(H252="A",Pole_Calc!A283,
IF(H252="S/A",Pole_Calc!A284,
IF(H252="A/S",Pole_Calc!A285,"Poner a mano")))))))</f>
        <v/>
      </c>
      <c r="BE252" s="448" t="s">
        <v>1726</v>
      </c>
      <c r="BF252" s="634"/>
      <c r="BG252" s="634"/>
      <c r="BH252" s="634"/>
      <c r="BI252" s="634"/>
    </row>
    <row r="253" spans="1:61" ht="16.2" customHeight="1">
      <c r="A253" s="12"/>
      <c r="B253" s="446"/>
      <c r="C253" s="89"/>
      <c r="D253" s="13"/>
      <c r="E253" s="14"/>
      <c r="F253" s="14"/>
      <c r="G253" s="15"/>
      <c r="H253" s="8"/>
      <c r="I253" s="8"/>
      <c r="J253" s="89"/>
      <c r="K253" s="8"/>
      <c r="L253" s="8"/>
      <c r="M253" s="8" t="str">
        <f>IF(L253="","",
IF(AX253="PT",VLOOKUP(L253,Foundation_Calc!$V$4:$X$37,VLOOKUP(AX253,Foundation_Calc!$I$10:$J$13,2,FALSE),0),
IF(AX253="K",VLOOKUP(L253,Foundation_Calc!$V$41:$X$74,VLOOKUP(AX253,Foundation_Calc!$I$10:$J$13,2,FALSE),0),"")))</f>
        <v/>
      </c>
      <c r="N253" s="8"/>
      <c r="O253" s="8"/>
      <c r="P253" s="8"/>
      <c r="Q253" s="14"/>
      <c r="R253" s="15"/>
      <c r="S253" s="15"/>
      <c r="T253" s="14"/>
      <c r="U253" s="14"/>
      <c r="V253" s="14"/>
      <c r="W253" s="18"/>
      <c r="X253" s="18"/>
      <c r="Y253" s="18"/>
      <c r="Z253" s="18"/>
      <c r="AA253" s="18"/>
      <c r="AB253" s="18"/>
      <c r="AC253" s="8" t="str">
        <f t="shared" si="15"/>
        <v/>
      </c>
      <c r="AD253" s="8"/>
      <c r="AE253" s="8"/>
      <c r="AF253" s="14"/>
      <c r="AG253" s="13"/>
      <c r="AH253" s="14"/>
      <c r="AI253" s="14"/>
      <c r="AJ253" s="8"/>
      <c r="AK253" s="8"/>
      <c r="AL253" s="8"/>
      <c r="AM253" s="8"/>
      <c r="AN253" s="631"/>
      <c r="AO253" s="18"/>
      <c r="AP253" s="18"/>
      <c r="AQ253" s="18"/>
      <c r="AR253" s="18"/>
      <c r="AS253" s="18"/>
      <c r="AU253" s="448"/>
      <c r="AV253" s="448"/>
      <c r="AW253" s="8" t="str">
        <f>IF(C253&gt;0,VLOOKUP(C253,Foundation_Calc!$A$2:$C$986,3,1),
IF(J253&gt;0,VLOOKUP(J253,Foundation_Calc!$A$2:$C$986,3,1),""))</f>
        <v/>
      </c>
      <c r="AX253" s="8" t="str">
        <f>IF(C253&gt;0,VLOOKUP(C253,Foundation_Calc!$E$2:$G$986,3,1),
IF(J253&gt;0,VLOOKUP(J253,Foundation_Calc!$E$2:$G$986,3,1),""))</f>
        <v/>
      </c>
      <c r="AY253" s="631" t="str">
        <f>IF(L253="","",
IF(AX253="PT",VLOOKUP(L253,Foundation_Calc!$K$4:$R$37,VLOOKUP(AW253,Foundation_Calc!$I$2:$J$8,2,FALSE),0),
IF(AX253="K",VLOOKUP(L253,Foundation_Calc!$K$41:$R$74,VLOOKUP(AW253,Foundation_Calc!$I$2:$J$8,2,FALSE),0),"")))</f>
        <v/>
      </c>
      <c r="AZ253" s="631" t="str">
        <f>IF(K253="","",
IF(AX253="PT",VLOOKUP(K253,Foundation_Calc!$K$4:$R$37,VLOOKUP(AW253,Foundation_Calc!$I$2:$J$8,2,FALSE),0),
IF(AX253="K",VLOOKUP(K253,Foundation_Calc!$K$41:$R$74,VLOOKUP(AW253,Foundation_Calc!$I$2:$J$8,2,FALSE),0),"")))</f>
        <v/>
      </c>
      <c r="BA253" s="632" t="str">
        <f t="shared" si="16"/>
        <v/>
      </c>
      <c r="BB253" s="632" t="str">
        <f t="shared" si="17"/>
        <v/>
      </c>
      <c r="BC253" s="632" t="str">
        <f t="shared" si="18"/>
        <v/>
      </c>
      <c r="BD253" s="633" t="str">
        <f>IF(AND(L253="",H253=""),"",
IF(H253="",Pole_Calc!A281,
IF(H253="MP",Pole_Calc!A282,
IF(H253="AnMP",Pole_Calc!A283,
IF(H253="A",Pole_Calc!A284,
IF(H253="S/A",Pole_Calc!A285,
IF(H253="A/S",Pole_Calc!A286,"Poner a mano")))))))</f>
        <v/>
      </c>
      <c r="BE253" s="448" t="s">
        <v>1726</v>
      </c>
      <c r="BF253" s="635"/>
      <c r="BG253" s="635"/>
      <c r="BH253" s="634"/>
      <c r="BI253" s="635"/>
    </row>
    <row r="254" spans="1:61" ht="16.2" customHeight="1">
      <c r="A254" s="12"/>
      <c r="B254" s="446"/>
      <c r="C254" s="89"/>
      <c r="D254" s="13"/>
      <c r="E254" s="14"/>
      <c r="F254" s="14"/>
      <c r="G254" s="15"/>
      <c r="H254" s="8"/>
      <c r="I254" s="8"/>
      <c r="J254" s="89"/>
      <c r="K254" s="8"/>
      <c r="L254" s="8"/>
      <c r="M254" s="8" t="str">
        <f>IF(L254="","",
IF(AX254="PT",VLOOKUP(L254,Foundation_Calc!$V$4:$X$37,VLOOKUP(AX254,Foundation_Calc!$I$10:$J$13,2,FALSE),0),
IF(AX254="K",VLOOKUP(L254,Foundation_Calc!$V$41:$X$74,VLOOKUP(AX254,Foundation_Calc!$I$10:$J$13,2,FALSE),0),"")))</f>
        <v/>
      </c>
      <c r="N254" s="8"/>
      <c r="O254" s="8"/>
      <c r="P254" s="8"/>
      <c r="Q254" s="14"/>
      <c r="R254" s="15"/>
      <c r="S254" s="15"/>
      <c r="T254" s="14"/>
      <c r="U254" s="14"/>
      <c r="V254" s="14"/>
      <c r="W254" s="18"/>
      <c r="X254" s="18"/>
      <c r="Y254" s="18"/>
      <c r="Z254" s="18"/>
      <c r="AA254" s="18"/>
      <c r="AB254" s="18"/>
      <c r="AC254" s="8" t="str">
        <f t="shared" si="15"/>
        <v/>
      </c>
      <c r="AD254" s="8"/>
      <c r="AE254" s="8"/>
      <c r="AF254" s="14"/>
      <c r="AG254" s="13"/>
      <c r="AH254" s="14"/>
      <c r="AI254" s="14"/>
      <c r="AJ254" s="8"/>
      <c r="AK254" s="8"/>
      <c r="AL254" s="8"/>
      <c r="AM254" s="8"/>
      <c r="AN254" s="631"/>
      <c r="AO254" s="18"/>
      <c r="AP254" s="18"/>
      <c r="AQ254" s="18"/>
      <c r="AR254" s="18"/>
      <c r="AS254" s="18"/>
      <c r="AU254" s="448"/>
      <c r="AV254" s="448"/>
      <c r="AW254" s="8" t="str">
        <f>IF(C254&gt;0,VLOOKUP(C254,Foundation_Calc!$A$2:$C$986,3,1),
IF(J254&gt;0,VLOOKUP(J254,Foundation_Calc!$A$2:$C$986,3,1),""))</f>
        <v/>
      </c>
      <c r="AX254" s="8" t="str">
        <f>IF(C254&gt;0,VLOOKUP(C254,Foundation_Calc!$E$2:$G$986,3,1),
IF(J254&gt;0,VLOOKUP(J254,Foundation_Calc!$E$2:$G$986,3,1),""))</f>
        <v/>
      </c>
      <c r="AY254" s="631" t="str">
        <f>IF(L254="","",
IF(AX254="PT",VLOOKUP(L254,Foundation_Calc!$K$4:$R$37,VLOOKUP(AW254,Foundation_Calc!$I$2:$J$8,2,FALSE),0),
IF(AX254="K",VLOOKUP(L254,Foundation_Calc!$K$41:$R$74,VLOOKUP(AW254,Foundation_Calc!$I$2:$J$8,2,FALSE),0),"")))</f>
        <v/>
      </c>
      <c r="AZ254" s="631" t="str">
        <f>IF(K254="","",
IF(AX254="PT",VLOOKUP(K254,Foundation_Calc!$K$4:$R$37,VLOOKUP(AW254,Foundation_Calc!$I$2:$J$8,2,FALSE),0),
IF(AX254="K",VLOOKUP(K254,Foundation_Calc!$K$41:$R$74,VLOOKUP(AW254,Foundation_Calc!$I$2:$J$8,2,FALSE),0),"")))</f>
        <v/>
      </c>
      <c r="BA254" s="632" t="str">
        <f t="shared" si="16"/>
        <v/>
      </c>
      <c r="BB254" s="632" t="str">
        <f t="shared" si="17"/>
        <v/>
      </c>
      <c r="BC254" s="632" t="str">
        <f t="shared" si="18"/>
        <v/>
      </c>
      <c r="BD254" s="633" t="str">
        <f>IF(AND(L254="",H254=""),"",
IF(H254="",Pole_Calc!A282,
IF(H254="MP",Pole_Calc!A283,
IF(H254="AnMP",Pole_Calc!A284,
IF(H254="A",Pole_Calc!A285,
IF(H254="S/A",Pole_Calc!A286,
IF(H254="A/S",Pole_Calc!A287,"Poner a mano")))))))</f>
        <v/>
      </c>
      <c r="BE254" s="448" t="s">
        <v>1726</v>
      </c>
      <c r="BF254" s="634"/>
      <c r="BG254" s="634"/>
      <c r="BH254" s="634"/>
      <c r="BI254" s="634"/>
    </row>
    <row r="255" spans="1:61" ht="16.2" customHeight="1">
      <c r="A255" s="12"/>
      <c r="B255" s="446"/>
      <c r="C255" s="89"/>
      <c r="D255" s="13"/>
      <c r="E255" s="14"/>
      <c r="F255" s="14"/>
      <c r="G255" s="15"/>
      <c r="H255" s="8"/>
      <c r="I255" s="8"/>
      <c r="J255" s="89"/>
      <c r="K255" s="8"/>
      <c r="L255" s="8"/>
      <c r="M255" s="8" t="str">
        <f>IF(L255="","",
IF(AX255="PT",VLOOKUP(L255,Foundation_Calc!$V$4:$X$37,VLOOKUP(AX255,Foundation_Calc!$I$10:$J$13,2,FALSE),0),
IF(AX255="K",VLOOKUP(L255,Foundation_Calc!$V$41:$X$74,VLOOKUP(AX255,Foundation_Calc!$I$10:$J$13,2,FALSE),0),"")))</f>
        <v/>
      </c>
      <c r="N255" s="8"/>
      <c r="O255" s="8"/>
      <c r="P255" s="8"/>
      <c r="Q255" s="14"/>
      <c r="R255" s="15"/>
      <c r="S255" s="15"/>
      <c r="T255" s="14"/>
      <c r="U255" s="14"/>
      <c r="V255" s="14"/>
      <c r="W255" s="18"/>
      <c r="X255" s="18"/>
      <c r="Y255" s="18"/>
      <c r="Z255" s="18"/>
      <c r="AA255" s="18"/>
      <c r="AB255" s="18"/>
      <c r="AC255" s="8" t="str">
        <f t="shared" si="15"/>
        <v/>
      </c>
      <c r="AD255" s="8"/>
      <c r="AE255" s="8"/>
      <c r="AF255" s="14"/>
      <c r="AG255" s="13"/>
      <c r="AH255" s="14"/>
      <c r="AI255" s="14"/>
      <c r="AJ255" s="8"/>
      <c r="AK255" s="8"/>
      <c r="AL255" s="8"/>
      <c r="AM255" s="8"/>
      <c r="AN255" s="631"/>
      <c r="AO255" s="18"/>
      <c r="AP255" s="18"/>
      <c r="AQ255" s="18"/>
      <c r="AR255" s="18"/>
      <c r="AS255" s="18"/>
      <c r="AU255" s="448"/>
      <c r="AV255" s="448"/>
      <c r="AW255" s="8" t="str">
        <f>IF(C255&gt;0,VLOOKUP(C255,Foundation_Calc!$A$2:$C$986,3,1),
IF(J255&gt;0,VLOOKUP(J255,Foundation_Calc!$A$2:$C$986,3,1),""))</f>
        <v/>
      </c>
      <c r="AX255" s="8" t="str">
        <f>IF(C255&gt;0,VLOOKUP(C255,Foundation_Calc!$E$2:$G$986,3,1),
IF(J255&gt;0,VLOOKUP(J255,Foundation_Calc!$E$2:$G$986,3,1),""))</f>
        <v/>
      </c>
      <c r="AY255" s="631" t="str">
        <f>IF(L255="","",
IF(AX255="PT",VLOOKUP(L255,Foundation_Calc!$K$4:$R$37,VLOOKUP(AW255,Foundation_Calc!$I$2:$J$8,2,FALSE),0),
IF(AX255="K",VLOOKUP(L255,Foundation_Calc!$K$41:$R$74,VLOOKUP(AW255,Foundation_Calc!$I$2:$J$8,2,FALSE),0),"")))</f>
        <v/>
      </c>
      <c r="AZ255" s="631" t="str">
        <f>IF(K255="","",
IF(AX255="PT",VLOOKUP(K255,Foundation_Calc!$K$4:$R$37,VLOOKUP(AW255,Foundation_Calc!$I$2:$J$8,2,FALSE),0),
IF(AX255="K",VLOOKUP(K255,Foundation_Calc!$K$41:$R$74,VLOOKUP(AW255,Foundation_Calc!$I$2:$J$8,2,FALSE),0),"")))</f>
        <v/>
      </c>
      <c r="BA255" s="632" t="str">
        <f t="shared" si="16"/>
        <v/>
      </c>
      <c r="BB255" s="632" t="str">
        <f t="shared" si="17"/>
        <v/>
      </c>
      <c r="BC255" s="632" t="str">
        <f t="shared" si="18"/>
        <v/>
      </c>
      <c r="BD255" s="633" t="str">
        <f>IF(AND(L255="",H255=""),"",
IF(H255="",Pole_Calc!A283,
IF(H255="MP",Pole_Calc!A284,
IF(H255="AnMP",Pole_Calc!A285,
IF(H255="A",Pole_Calc!A286,
IF(H255="S/A",Pole_Calc!A287,
IF(H255="A/S",Pole_Calc!A288,"Poner a mano")))))))</f>
        <v/>
      </c>
      <c r="BE255" s="448" t="s">
        <v>1726</v>
      </c>
      <c r="BF255" s="635"/>
      <c r="BG255" s="635"/>
      <c r="BH255" s="634"/>
      <c r="BI255" s="635"/>
    </row>
    <row r="256" spans="1:61" ht="16.2" customHeight="1">
      <c r="A256" s="12"/>
      <c r="B256" s="446"/>
      <c r="C256" s="89"/>
      <c r="D256" s="13"/>
      <c r="E256" s="14"/>
      <c r="F256" s="14"/>
      <c r="G256" s="15"/>
      <c r="H256" s="8"/>
      <c r="I256" s="8"/>
      <c r="J256" s="89"/>
      <c r="K256" s="8"/>
      <c r="L256" s="8"/>
      <c r="M256" s="8" t="str">
        <f>IF(L256="","",
IF(AX256="PT",VLOOKUP(L256,Foundation_Calc!$V$4:$X$37,VLOOKUP(AX256,Foundation_Calc!$I$10:$J$13,2,FALSE),0),
IF(AX256="K",VLOOKUP(L256,Foundation_Calc!$V$41:$X$74,VLOOKUP(AX256,Foundation_Calc!$I$10:$J$13,2,FALSE),0),"")))</f>
        <v/>
      </c>
      <c r="N256" s="8"/>
      <c r="O256" s="8"/>
      <c r="P256" s="8"/>
      <c r="Q256" s="14"/>
      <c r="R256" s="15"/>
      <c r="S256" s="15"/>
      <c r="T256" s="14"/>
      <c r="U256" s="14"/>
      <c r="V256" s="14"/>
      <c r="W256" s="18"/>
      <c r="X256" s="18"/>
      <c r="Y256" s="18"/>
      <c r="Z256" s="18"/>
      <c r="AA256" s="18"/>
      <c r="AB256" s="18"/>
      <c r="AC256" s="8" t="str">
        <f t="shared" si="15"/>
        <v/>
      </c>
      <c r="AD256" s="8"/>
      <c r="AE256" s="8"/>
      <c r="AF256" s="14"/>
      <c r="AG256" s="13"/>
      <c r="AH256" s="14"/>
      <c r="AI256" s="14"/>
      <c r="AJ256" s="8"/>
      <c r="AK256" s="8"/>
      <c r="AL256" s="8"/>
      <c r="AM256" s="8"/>
      <c r="AN256" s="631"/>
      <c r="AO256" s="18"/>
      <c r="AP256" s="18"/>
      <c r="AQ256" s="18"/>
      <c r="AR256" s="18"/>
      <c r="AS256" s="18"/>
      <c r="AU256" s="448"/>
      <c r="AV256" s="448"/>
      <c r="AW256" s="8" t="str">
        <f>IF(C256&gt;0,VLOOKUP(C256,Foundation_Calc!$A$2:$C$986,3,1),
IF(J256&gt;0,VLOOKUP(J256,Foundation_Calc!$A$2:$C$986,3,1),""))</f>
        <v/>
      </c>
      <c r="AX256" s="8" t="str">
        <f>IF(C256&gt;0,VLOOKUP(C256,Foundation_Calc!$E$2:$G$986,3,1),
IF(J256&gt;0,VLOOKUP(J256,Foundation_Calc!$E$2:$G$986,3,1),""))</f>
        <v/>
      </c>
      <c r="AY256" s="631" t="str">
        <f>IF(L256="","",
IF(AX256="PT",VLOOKUP(L256,Foundation_Calc!$K$4:$R$37,VLOOKUP(AW256,Foundation_Calc!$I$2:$J$8,2,FALSE),0),
IF(AX256="K",VLOOKUP(L256,Foundation_Calc!$K$41:$R$74,VLOOKUP(AW256,Foundation_Calc!$I$2:$J$8,2,FALSE),0),"")))</f>
        <v/>
      </c>
      <c r="AZ256" s="631" t="str">
        <f>IF(K256="","",
IF(AX256="PT",VLOOKUP(K256,Foundation_Calc!$K$4:$R$37,VLOOKUP(AW256,Foundation_Calc!$I$2:$J$8,2,FALSE),0),
IF(AX256="K",VLOOKUP(K256,Foundation_Calc!$K$41:$R$74,VLOOKUP(AW256,Foundation_Calc!$I$2:$J$8,2,FALSE),0),"")))</f>
        <v/>
      </c>
      <c r="BA256" s="632" t="str">
        <f t="shared" si="16"/>
        <v/>
      </c>
      <c r="BB256" s="632" t="str">
        <f t="shared" si="17"/>
        <v/>
      </c>
      <c r="BC256" s="632" t="str">
        <f t="shared" si="18"/>
        <v/>
      </c>
      <c r="BD256" s="633" t="str">
        <f>IF(AND(L256="",H256=""),"",
IF(H256="",Pole_Calc!A284,
IF(H256="MP",Pole_Calc!A285,
IF(H256="AnMP",Pole_Calc!A286,
IF(H256="A",Pole_Calc!A287,
IF(H256="S/A",Pole_Calc!A288,
IF(H256="A/S",Pole_Calc!A289,"Poner a mano")))))))</f>
        <v/>
      </c>
      <c r="BE256" s="448" t="s">
        <v>1726</v>
      </c>
      <c r="BF256" s="634"/>
      <c r="BG256" s="634"/>
      <c r="BH256" s="634"/>
      <c r="BI256" s="634"/>
    </row>
    <row r="257" spans="1:61" ht="16.2" customHeight="1">
      <c r="A257" s="12"/>
      <c r="B257" s="446"/>
      <c r="C257" s="89"/>
      <c r="D257" s="13"/>
      <c r="E257" s="14"/>
      <c r="F257" s="14"/>
      <c r="G257" s="15"/>
      <c r="H257" s="8"/>
      <c r="I257" s="8"/>
      <c r="J257" s="89"/>
      <c r="K257" s="8"/>
      <c r="L257" s="8"/>
      <c r="M257" s="8" t="str">
        <f>IF(L257="","",
IF(AX257="PT",VLOOKUP(L257,Foundation_Calc!$V$4:$X$37,VLOOKUP(AX257,Foundation_Calc!$I$10:$J$13,2,FALSE),0),
IF(AX257="K",VLOOKUP(L257,Foundation_Calc!$V$41:$X$74,VLOOKUP(AX257,Foundation_Calc!$I$10:$J$13,2,FALSE),0),"")))</f>
        <v/>
      </c>
      <c r="N257" s="8"/>
      <c r="O257" s="8"/>
      <c r="P257" s="8"/>
      <c r="Q257" s="14"/>
      <c r="R257" s="15"/>
      <c r="S257" s="15"/>
      <c r="T257" s="14"/>
      <c r="U257" s="14"/>
      <c r="V257" s="14"/>
      <c r="W257" s="18"/>
      <c r="X257" s="18"/>
      <c r="Y257" s="18"/>
      <c r="Z257" s="18"/>
      <c r="AA257" s="18"/>
      <c r="AB257" s="18"/>
      <c r="AC257" s="8" t="str">
        <f t="shared" si="15"/>
        <v/>
      </c>
      <c r="AD257" s="8"/>
      <c r="AE257" s="8"/>
      <c r="AF257" s="14"/>
      <c r="AG257" s="13"/>
      <c r="AH257" s="14"/>
      <c r="AI257" s="14"/>
      <c r="AJ257" s="8"/>
      <c r="AK257" s="8"/>
      <c r="AL257" s="8"/>
      <c r="AM257" s="8"/>
      <c r="AN257" s="631"/>
      <c r="AO257" s="18"/>
      <c r="AP257" s="18"/>
      <c r="AQ257" s="18"/>
      <c r="AR257" s="18"/>
      <c r="AS257" s="18"/>
      <c r="AU257" s="448"/>
      <c r="AV257" s="448"/>
      <c r="AW257" s="8" t="str">
        <f>IF(C257&gt;0,VLOOKUP(C257,Foundation_Calc!$A$2:$C$986,3,1),
IF(J257&gt;0,VLOOKUP(J257,Foundation_Calc!$A$2:$C$986,3,1),""))</f>
        <v/>
      </c>
      <c r="AX257" s="8" t="str">
        <f>IF(C257&gt;0,VLOOKUP(C257,Foundation_Calc!$E$2:$G$986,3,1),
IF(J257&gt;0,VLOOKUP(J257,Foundation_Calc!$E$2:$G$986,3,1),""))</f>
        <v/>
      </c>
      <c r="AY257" s="631" t="str">
        <f>IF(L257="","",
IF(AX257="PT",VLOOKUP(L257,Foundation_Calc!$K$4:$R$37,VLOOKUP(AW257,Foundation_Calc!$I$2:$J$8,2,FALSE),0),
IF(AX257="K",VLOOKUP(L257,Foundation_Calc!$K$41:$R$74,VLOOKUP(AW257,Foundation_Calc!$I$2:$J$8,2,FALSE),0),"")))</f>
        <v/>
      </c>
      <c r="AZ257" s="631" t="str">
        <f>IF(K257="","",
IF(AX257="PT",VLOOKUP(K257,Foundation_Calc!$K$4:$R$37,VLOOKUP(AW257,Foundation_Calc!$I$2:$J$8,2,FALSE),0),
IF(AX257="K",VLOOKUP(K257,Foundation_Calc!$K$41:$R$74,VLOOKUP(AW257,Foundation_Calc!$I$2:$J$8,2,FALSE),0),"")))</f>
        <v/>
      </c>
      <c r="BA257" s="632" t="str">
        <f t="shared" si="16"/>
        <v/>
      </c>
      <c r="BB257" s="632" t="str">
        <f t="shared" si="17"/>
        <v/>
      </c>
      <c r="BC257" s="632" t="str">
        <f t="shared" si="18"/>
        <v/>
      </c>
      <c r="BD257" s="633" t="str">
        <f>IF(AND(L257="",H257=""),"",
IF(H257="",Pole_Calc!A285,
IF(H257="MP",Pole_Calc!A286,
IF(H257="AnMP",Pole_Calc!A287,
IF(H257="A",Pole_Calc!A288,
IF(H257="S/A",Pole_Calc!A289,
IF(H257="A/S",Pole_Calc!A290,"Poner a mano")))))))</f>
        <v/>
      </c>
      <c r="BE257" s="448" t="s">
        <v>1726</v>
      </c>
      <c r="BF257" s="635"/>
      <c r="BG257" s="635"/>
      <c r="BH257" s="634"/>
      <c r="BI257" s="635"/>
    </row>
    <row r="258" spans="1:61" ht="16.2" customHeight="1">
      <c r="A258" s="12"/>
      <c r="B258" s="446"/>
      <c r="C258" s="89"/>
      <c r="D258" s="13"/>
      <c r="E258" s="14"/>
      <c r="F258" s="14"/>
      <c r="G258" s="15"/>
      <c r="H258" s="8"/>
      <c r="I258" s="8"/>
      <c r="J258" s="89"/>
      <c r="K258" s="8"/>
      <c r="L258" s="8"/>
      <c r="M258" s="8" t="str">
        <f>IF(L258="","",
IF(AX258="PT",VLOOKUP(L258,Foundation_Calc!$V$4:$X$37,VLOOKUP(AX258,Foundation_Calc!$I$10:$J$13,2,FALSE),0),
IF(AX258="K",VLOOKUP(L258,Foundation_Calc!$V$41:$X$74,VLOOKUP(AX258,Foundation_Calc!$I$10:$J$13,2,FALSE),0),"")))</f>
        <v/>
      </c>
      <c r="N258" s="8"/>
      <c r="O258" s="8"/>
      <c r="P258" s="8"/>
      <c r="Q258" s="14"/>
      <c r="R258" s="15"/>
      <c r="S258" s="15"/>
      <c r="T258" s="14"/>
      <c r="U258" s="14"/>
      <c r="V258" s="14"/>
      <c r="W258" s="18"/>
      <c r="X258" s="18"/>
      <c r="Y258" s="18"/>
      <c r="Z258" s="18"/>
      <c r="AA258" s="18"/>
      <c r="AB258" s="18"/>
      <c r="AC258" s="8" t="str">
        <f t="shared" si="15"/>
        <v/>
      </c>
      <c r="AD258" s="8"/>
      <c r="AE258" s="8"/>
      <c r="AF258" s="14"/>
      <c r="AG258" s="13"/>
      <c r="AH258" s="14"/>
      <c r="AI258" s="14"/>
      <c r="AJ258" s="8"/>
      <c r="AK258" s="8"/>
      <c r="AL258" s="8"/>
      <c r="AM258" s="8"/>
      <c r="AN258" s="631"/>
      <c r="AO258" s="18"/>
      <c r="AP258" s="18"/>
      <c r="AQ258" s="18"/>
      <c r="AR258" s="18"/>
      <c r="AS258" s="18"/>
      <c r="AU258" s="448"/>
      <c r="AV258" s="448"/>
      <c r="AW258" s="8" t="str">
        <f>IF(C258&gt;0,VLOOKUP(C258,Foundation_Calc!$A$2:$C$986,3,1),
IF(J258&gt;0,VLOOKUP(J258,Foundation_Calc!$A$2:$C$986,3,1),""))</f>
        <v/>
      </c>
      <c r="AX258" s="8" t="str">
        <f>IF(C258&gt;0,VLOOKUP(C258,Foundation_Calc!$E$2:$G$986,3,1),
IF(J258&gt;0,VLOOKUP(J258,Foundation_Calc!$E$2:$G$986,3,1),""))</f>
        <v/>
      </c>
      <c r="AY258" s="631" t="str">
        <f>IF(L258="","",
IF(AX258="PT",VLOOKUP(L258,Foundation_Calc!$K$4:$R$37,VLOOKUP(AW258,Foundation_Calc!$I$2:$J$8,2,FALSE),0),
IF(AX258="K",VLOOKUP(L258,Foundation_Calc!$K$41:$R$74,VLOOKUP(AW258,Foundation_Calc!$I$2:$J$8,2,FALSE),0),"")))</f>
        <v/>
      </c>
      <c r="AZ258" s="631" t="str">
        <f>IF(K258="","",
IF(AX258="PT",VLOOKUP(K258,Foundation_Calc!$K$4:$R$37,VLOOKUP(AW258,Foundation_Calc!$I$2:$J$8,2,FALSE),0),
IF(AX258="K",VLOOKUP(K258,Foundation_Calc!$K$41:$R$74,VLOOKUP(AW258,Foundation_Calc!$I$2:$J$8,2,FALSE),0),"")))</f>
        <v/>
      </c>
      <c r="BA258" s="632" t="str">
        <f t="shared" si="16"/>
        <v/>
      </c>
      <c r="BB258" s="632" t="str">
        <f t="shared" si="17"/>
        <v/>
      </c>
      <c r="BC258" s="632" t="str">
        <f t="shared" si="18"/>
        <v/>
      </c>
      <c r="BD258" s="633" t="str">
        <f>IF(AND(L258="",H258=""),"",
IF(H258="",Pole_Calc!A286,
IF(H258="MP",Pole_Calc!A287,
IF(H258="AnMP",Pole_Calc!A288,
IF(H258="A",Pole_Calc!A289,
IF(H258="S/A",Pole_Calc!A290,
IF(H258="A/S",Pole_Calc!A291,"Poner a mano")))))))</f>
        <v/>
      </c>
      <c r="BE258" s="448" t="s">
        <v>1726</v>
      </c>
      <c r="BF258" s="634"/>
      <c r="BG258" s="634"/>
      <c r="BH258" s="634"/>
      <c r="BI258" s="634"/>
    </row>
    <row r="259" spans="1:61" ht="16.2" customHeight="1">
      <c r="A259" s="12"/>
      <c r="B259" s="446"/>
      <c r="C259" s="89"/>
      <c r="D259" s="13"/>
      <c r="E259" s="14"/>
      <c r="F259" s="14"/>
      <c r="G259" s="15"/>
      <c r="H259" s="8"/>
      <c r="I259" s="8"/>
      <c r="J259" s="89"/>
      <c r="K259" s="8"/>
      <c r="L259" s="8"/>
      <c r="M259" s="8" t="str">
        <f>IF(L259="","",
IF(AX259="PT",VLOOKUP(L259,Foundation_Calc!$V$4:$X$37,VLOOKUP(AX259,Foundation_Calc!$I$10:$J$13,2,FALSE),0),
IF(AX259="K",VLOOKUP(L259,Foundation_Calc!$V$41:$X$74,VLOOKUP(AX259,Foundation_Calc!$I$10:$J$13,2,FALSE),0),"")))</f>
        <v/>
      </c>
      <c r="N259" s="8"/>
      <c r="O259" s="8"/>
      <c r="P259" s="8"/>
      <c r="Q259" s="14"/>
      <c r="R259" s="15"/>
      <c r="S259" s="15"/>
      <c r="T259" s="14"/>
      <c r="U259" s="14"/>
      <c r="V259" s="14"/>
      <c r="W259" s="18"/>
      <c r="X259" s="18"/>
      <c r="Y259" s="18"/>
      <c r="Z259" s="18"/>
      <c r="AA259" s="18"/>
      <c r="AB259" s="18"/>
      <c r="AC259" s="8" t="str">
        <f t="shared" si="15"/>
        <v/>
      </c>
      <c r="AD259" s="8"/>
      <c r="AE259" s="8"/>
      <c r="AF259" s="14"/>
      <c r="AG259" s="13"/>
      <c r="AH259" s="14"/>
      <c r="AI259" s="14"/>
      <c r="AJ259" s="8"/>
      <c r="AK259" s="8"/>
      <c r="AL259" s="8"/>
      <c r="AM259" s="8"/>
      <c r="AN259" s="631"/>
      <c r="AO259" s="18"/>
      <c r="AP259" s="18"/>
      <c r="AQ259" s="18"/>
      <c r="AR259" s="18"/>
      <c r="AS259" s="18"/>
      <c r="AU259" s="448"/>
      <c r="AV259" s="448"/>
      <c r="AW259" s="8" t="str">
        <f>IF(C259&gt;0,VLOOKUP(C259,Foundation_Calc!$A$2:$C$986,3,1),
IF(J259&gt;0,VLOOKUP(J259,Foundation_Calc!$A$2:$C$986,3,1),""))</f>
        <v/>
      </c>
      <c r="AX259" s="8" t="str">
        <f>IF(C259&gt;0,VLOOKUP(C259,Foundation_Calc!$E$2:$G$986,3,1),
IF(J259&gt;0,VLOOKUP(J259,Foundation_Calc!$E$2:$G$986,3,1),""))</f>
        <v/>
      </c>
      <c r="AY259" s="631" t="str">
        <f>IF(L259="","",
IF(AX259="PT",VLOOKUP(L259,Foundation_Calc!$K$4:$R$37,VLOOKUP(AW259,Foundation_Calc!$I$2:$J$8,2,FALSE),0),
IF(AX259="K",VLOOKUP(L259,Foundation_Calc!$K$41:$R$74,VLOOKUP(AW259,Foundation_Calc!$I$2:$J$8,2,FALSE),0),"")))</f>
        <v/>
      </c>
      <c r="AZ259" s="631" t="str">
        <f>IF(K259="","",
IF(AX259="PT",VLOOKUP(K259,Foundation_Calc!$K$4:$R$37,VLOOKUP(AW259,Foundation_Calc!$I$2:$J$8,2,FALSE),0),
IF(AX259="K",VLOOKUP(K259,Foundation_Calc!$K$41:$R$74,VLOOKUP(AW259,Foundation_Calc!$I$2:$J$8,2,FALSE),0),"")))</f>
        <v/>
      </c>
      <c r="BA259" s="632" t="str">
        <f t="shared" si="16"/>
        <v/>
      </c>
      <c r="BB259" s="632" t="str">
        <f t="shared" si="17"/>
        <v/>
      </c>
      <c r="BC259" s="632" t="str">
        <f t="shared" si="18"/>
        <v/>
      </c>
      <c r="BD259" s="633" t="str">
        <f>IF(AND(L259="",H259=""),"",
IF(H259="",Pole_Calc!A287,
IF(H259="MP",Pole_Calc!A288,
IF(H259="AnMP",Pole_Calc!A289,
IF(H259="A",Pole_Calc!A290,
IF(H259="S/A",Pole_Calc!A291,
IF(H259="A/S",Pole_Calc!A292,"Poner a mano")))))))</f>
        <v/>
      </c>
      <c r="BE259" s="448" t="s">
        <v>1726</v>
      </c>
      <c r="BF259" s="635"/>
      <c r="BG259" s="635"/>
      <c r="BH259" s="634"/>
      <c r="BI259" s="635"/>
    </row>
    <row r="260" spans="1:61" ht="16.2" customHeight="1">
      <c r="A260" s="12"/>
      <c r="B260" s="446"/>
      <c r="C260" s="89"/>
      <c r="D260" s="13"/>
      <c r="E260" s="14"/>
      <c r="F260" s="14"/>
      <c r="G260" s="15"/>
      <c r="H260" s="8"/>
      <c r="I260" s="8"/>
      <c r="J260" s="89"/>
      <c r="K260" s="8"/>
      <c r="L260" s="8"/>
      <c r="M260" s="8" t="str">
        <f>IF(L260="","",
IF(AX260="PT",VLOOKUP(L260,Foundation_Calc!$V$4:$X$37,VLOOKUP(AX260,Foundation_Calc!$I$10:$J$13,2,FALSE),0),
IF(AX260="K",VLOOKUP(L260,Foundation_Calc!$V$41:$X$74,VLOOKUP(AX260,Foundation_Calc!$I$10:$J$13,2,FALSE),0),"")))</f>
        <v/>
      </c>
      <c r="N260" s="8"/>
      <c r="O260" s="8"/>
      <c r="P260" s="8"/>
      <c r="Q260" s="14"/>
      <c r="R260" s="15"/>
      <c r="S260" s="15"/>
      <c r="T260" s="14"/>
      <c r="U260" s="14"/>
      <c r="V260" s="14"/>
      <c r="W260" s="18"/>
      <c r="X260" s="18"/>
      <c r="Y260" s="18"/>
      <c r="Z260" s="18"/>
      <c r="AA260" s="18"/>
      <c r="AB260" s="18"/>
      <c r="AC260" s="8" t="str">
        <f t="shared" si="15"/>
        <v/>
      </c>
      <c r="AD260" s="8"/>
      <c r="AE260" s="8"/>
      <c r="AF260" s="14"/>
      <c r="AG260" s="13"/>
      <c r="AH260" s="14"/>
      <c r="AI260" s="14"/>
      <c r="AJ260" s="8"/>
      <c r="AK260" s="8"/>
      <c r="AL260" s="8"/>
      <c r="AM260" s="8"/>
      <c r="AN260" s="631"/>
      <c r="AO260" s="18"/>
      <c r="AP260" s="18"/>
      <c r="AQ260" s="18"/>
      <c r="AR260" s="18"/>
      <c r="AS260" s="18"/>
      <c r="AU260" s="448"/>
      <c r="AV260" s="448"/>
      <c r="AW260" s="8" t="str">
        <f>IF(C260&gt;0,VLOOKUP(C260,Foundation_Calc!$A$2:$C$986,3,1),
IF(J260&gt;0,VLOOKUP(J260,Foundation_Calc!$A$2:$C$986,3,1),""))</f>
        <v/>
      </c>
      <c r="AX260" s="8" t="str">
        <f>IF(C260&gt;0,VLOOKUP(C260,Foundation_Calc!$E$2:$G$986,3,1),
IF(J260&gt;0,VLOOKUP(J260,Foundation_Calc!$E$2:$G$986,3,1),""))</f>
        <v/>
      </c>
      <c r="AY260" s="631" t="str">
        <f>IF(L260="","",
IF(AX260="PT",VLOOKUP(L260,Foundation_Calc!$K$4:$R$37,VLOOKUP(AW260,Foundation_Calc!$I$2:$J$8,2,FALSE),0),
IF(AX260="K",VLOOKUP(L260,Foundation_Calc!$K$41:$R$74,VLOOKUP(AW260,Foundation_Calc!$I$2:$J$8,2,FALSE),0),"")))</f>
        <v/>
      </c>
      <c r="AZ260" s="631" t="str">
        <f>IF(K260="","",
IF(AX260="PT",VLOOKUP(K260,Foundation_Calc!$K$4:$R$37,VLOOKUP(AW260,Foundation_Calc!$I$2:$J$8,2,FALSE),0),
IF(AX260="K",VLOOKUP(K260,Foundation_Calc!$K$41:$R$74,VLOOKUP(AW260,Foundation_Calc!$I$2:$J$8,2,FALSE),0),"")))</f>
        <v/>
      </c>
      <c r="BA260" s="632" t="str">
        <f t="shared" si="16"/>
        <v/>
      </c>
      <c r="BB260" s="632" t="str">
        <f t="shared" si="17"/>
        <v/>
      </c>
      <c r="BC260" s="632" t="str">
        <f t="shared" si="18"/>
        <v/>
      </c>
      <c r="BD260" s="633" t="str">
        <f>IF(AND(L260="",H260=""),"",
IF(H260="",Pole_Calc!A288,
IF(H260="MP",Pole_Calc!A289,
IF(H260="AnMP",Pole_Calc!A290,
IF(H260="A",Pole_Calc!A291,
IF(H260="S/A",Pole_Calc!A292,
IF(H260="A/S",Pole_Calc!A293,"Poner a mano")))))))</f>
        <v/>
      </c>
      <c r="BE260" s="448" t="s">
        <v>1726</v>
      </c>
      <c r="BF260" s="634"/>
      <c r="BG260" s="634"/>
      <c r="BH260" s="634"/>
      <c r="BI260" s="634"/>
    </row>
    <row r="261" spans="1:61" ht="16.2" customHeight="1">
      <c r="A261" s="12"/>
      <c r="B261" s="446"/>
      <c r="C261" s="89"/>
      <c r="D261" s="13"/>
      <c r="E261" s="14"/>
      <c r="F261" s="14"/>
      <c r="G261" s="15"/>
      <c r="H261" s="8"/>
      <c r="I261" s="8"/>
      <c r="J261" s="89"/>
      <c r="K261" s="8"/>
      <c r="L261" s="8"/>
      <c r="M261" s="8" t="str">
        <f>IF(L261="","",
IF(AX261="PT",VLOOKUP(L261,Foundation_Calc!$V$4:$X$37,VLOOKUP(AX261,Foundation_Calc!$I$10:$J$13,2,FALSE),0),
IF(AX261="K",VLOOKUP(L261,Foundation_Calc!$V$41:$X$74,VLOOKUP(AX261,Foundation_Calc!$I$10:$J$13,2,FALSE),0),"")))</f>
        <v/>
      </c>
      <c r="N261" s="8"/>
      <c r="O261" s="8"/>
      <c r="P261" s="8"/>
      <c r="Q261" s="14"/>
      <c r="R261" s="15"/>
      <c r="S261" s="15"/>
      <c r="T261" s="14"/>
      <c r="U261" s="14"/>
      <c r="V261" s="14"/>
      <c r="W261" s="18"/>
      <c r="X261" s="18"/>
      <c r="Y261" s="18"/>
      <c r="Z261" s="18"/>
      <c r="AA261" s="18"/>
      <c r="AB261" s="18"/>
      <c r="AC261" s="8" t="str">
        <f t="shared" si="15"/>
        <v/>
      </c>
      <c r="AD261" s="8"/>
      <c r="AE261" s="8"/>
      <c r="AF261" s="14"/>
      <c r="AG261" s="13"/>
      <c r="AH261" s="14"/>
      <c r="AI261" s="14"/>
      <c r="AJ261" s="8"/>
      <c r="AK261" s="8"/>
      <c r="AL261" s="8"/>
      <c r="AM261" s="8"/>
      <c r="AN261" s="631"/>
      <c r="AO261" s="18"/>
      <c r="AP261" s="18"/>
      <c r="AQ261" s="18"/>
      <c r="AR261" s="18"/>
      <c r="AS261" s="18"/>
      <c r="AU261" s="448"/>
      <c r="AV261" s="448"/>
      <c r="AW261" s="8" t="str">
        <f>IF(C261&gt;0,VLOOKUP(C261,Foundation_Calc!$A$2:$C$986,3,1),
IF(J261&gt;0,VLOOKUP(J261,Foundation_Calc!$A$2:$C$986,3,1),""))</f>
        <v/>
      </c>
      <c r="AX261" s="8" t="str">
        <f>IF(C261&gt;0,VLOOKUP(C261,Foundation_Calc!$E$2:$G$986,3,1),
IF(J261&gt;0,VLOOKUP(J261,Foundation_Calc!$E$2:$G$986,3,1),""))</f>
        <v/>
      </c>
      <c r="AY261" s="631" t="str">
        <f>IF(L261="","",
IF(AX261="PT",VLOOKUP(L261,Foundation_Calc!$K$4:$R$37,VLOOKUP(AW261,Foundation_Calc!$I$2:$J$8,2,FALSE),0),
IF(AX261="K",VLOOKUP(L261,Foundation_Calc!$K$41:$R$74,VLOOKUP(AW261,Foundation_Calc!$I$2:$J$8,2,FALSE),0),"")))</f>
        <v/>
      </c>
      <c r="AZ261" s="631" t="str">
        <f>IF(K261="","",
IF(AX261="PT",VLOOKUP(K261,Foundation_Calc!$K$4:$R$37,VLOOKUP(AW261,Foundation_Calc!$I$2:$J$8,2,FALSE),0),
IF(AX261="K",VLOOKUP(K261,Foundation_Calc!$K$41:$R$74,VLOOKUP(AW261,Foundation_Calc!$I$2:$J$8,2,FALSE),0),"")))</f>
        <v/>
      </c>
      <c r="BA261" s="632" t="str">
        <f t="shared" si="16"/>
        <v/>
      </c>
      <c r="BB261" s="632" t="str">
        <f t="shared" si="17"/>
        <v/>
      </c>
      <c r="BC261" s="632" t="str">
        <f t="shared" si="18"/>
        <v/>
      </c>
      <c r="BD261" s="633" t="str">
        <f>IF(AND(L261="",H261=""),"",
IF(H261="",Pole_Calc!A289,
IF(H261="MP",Pole_Calc!A290,
IF(H261="AnMP",Pole_Calc!A291,
IF(H261="A",Pole_Calc!A292,
IF(H261="S/A",Pole_Calc!A293,
IF(H261="A/S",Pole_Calc!A294,"Poner a mano")))))))</f>
        <v/>
      </c>
      <c r="BE261" s="448" t="s">
        <v>1726</v>
      </c>
      <c r="BF261" s="635"/>
      <c r="BG261" s="635"/>
      <c r="BH261" s="634"/>
      <c r="BI261" s="635"/>
    </row>
    <row r="262" spans="1:61" ht="16.2" customHeight="1">
      <c r="A262" s="12"/>
      <c r="B262" s="446"/>
      <c r="C262" s="89"/>
      <c r="D262" s="13"/>
      <c r="E262" s="14"/>
      <c r="F262" s="14"/>
      <c r="G262" s="15"/>
      <c r="H262" s="8"/>
      <c r="I262" s="8"/>
      <c r="J262" s="89"/>
      <c r="K262" s="8"/>
      <c r="L262" s="8"/>
      <c r="M262" s="8" t="str">
        <f>IF(L262="","",
IF(AX262="PT",VLOOKUP(L262,Foundation_Calc!$V$4:$X$37,VLOOKUP(AX262,Foundation_Calc!$I$10:$J$13,2,FALSE),0),
IF(AX262="K",VLOOKUP(L262,Foundation_Calc!$V$41:$X$74,VLOOKUP(AX262,Foundation_Calc!$I$10:$J$13,2,FALSE),0),"")))</f>
        <v/>
      </c>
      <c r="N262" s="8"/>
      <c r="O262" s="8"/>
      <c r="P262" s="8"/>
      <c r="Q262" s="14"/>
      <c r="R262" s="15"/>
      <c r="S262" s="15"/>
      <c r="T262" s="14"/>
      <c r="U262" s="14"/>
      <c r="V262" s="14"/>
      <c r="W262" s="18"/>
      <c r="X262" s="18"/>
      <c r="Y262" s="18"/>
      <c r="Z262" s="18"/>
      <c r="AA262" s="18"/>
      <c r="AB262" s="18"/>
      <c r="AC262" s="8" t="str">
        <f t="shared" ref="AC262:AC325" si="19">IF(OR(AT262&gt;8,AT262&lt;-8),"PH",
IF(OR(AT262&gt;5,AT262&lt;-5),"PHQ",
IF(OR(AT262&gt;1,AT262&lt;-1),
"PHC","")))</f>
        <v/>
      </c>
      <c r="AD262" s="8"/>
      <c r="AE262" s="8"/>
      <c r="AF262" s="14"/>
      <c r="AG262" s="13"/>
      <c r="AH262" s="14"/>
      <c r="AI262" s="14"/>
      <c r="AJ262" s="8"/>
      <c r="AK262" s="8"/>
      <c r="AL262" s="8"/>
      <c r="AM262" s="8"/>
      <c r="AN262" s="631"/>
      <c r="AO262" s="18"/>
      <c r="AP262" s="18"/>
      <c r="AQ262" s="18"/>
      <c r="AR262" s="18"/>
      <c r="AS262" s="18"/>
      <c r="AU262" s="448"/>
      <c r="AV262" s="448"/>
      <c r="AW262" s="8" t="str">
        <f>IF(C262&gt;0,VLOOKUP(C262,Foundation_Calc!$A$2:$C$986,3,1),
IF(J262&gt;0,VLOOKUP(J262,Foundation_Calc!$A$2:$C$986,3,1),""))</f>
        <v/>
      </c>
      <c r="AX262" s="8" t="str">
        <f>IF(C262&gt;0,VLOOKUP(C262,Foundation_Calc!$E$2:$G$986,3,1),
IF(J262&gt;0,VLOOKUP(J262,Foundation_Calc!$E$2:$G$986,3,1),""))</f>
        <v/>
      </c>
      <c r="AY262" s="631" t="str">
        <f>IF(L262="","",
IF(AX262="PT",VLOOKUP(L262,Foundation_Calc!$K$4:$R$37,VLOOKUP(AW262,Foundation_Calc!$I$2:$J$8,2,FALSE),0),
IF(AX262="K",VLOOKUP(L262,Foundation_Calc!$K$41:$R$74,VLOOKUP(AW262,Foundation_Calc!$I$2:$J$8,2,FALSE),0),"")))</f>
        <v/>
      </c>
      <c r="AZ262" s="631" t="str">
        <f>IF(K262="","",
IF(AX262="PT",VLOOKUP(K262,Foundation_Calc!$K$4:$R$37,VLOOKUP(AW262,Foundation_Calc!$I$2:$J$8,2,FALSE),0),
IF(AX262="K",VLOOKUP(K262,Foundation_Calc!$K$41:$R$74,VLOOKUP(AW262,Foundation_Calc!$I$2:$J$8,2,FALSE),0),"")))</f>
        <v/>
      </c>
      <c r="BA262" s="632" t="str">
        <f t="shared" ref="BA262:BA325" si="20">IF(AY262="","",IF(AY262&gt;0,"ü",""))</f>
        <v/>
      </c>
      <c r="BB262" s="632" t="str">
        <f t="shared" ref="BB262:BB325" si="21">IF(AZ262="","",IF(AZ262&gt;0,"ü",""))</f>
        <v/>
      </c>
      <c r="BC262" s="632" t="str">
        <f t="shared" ref="BC262:BC325" si="22">IF(M262="","",IF(M262="Unique Solution","ü",""))</f>
        <v/>
      </c>
      <c r="BD262" s="633" t="str">
        <f>IF(AND(L262="",H262=""),"",
IF(H262="",Pole_Calc!A290,
IF(H262="MP",Pole_Calc!A291,
IF(H262="AnMP",Pole_Calc!A292,
IF(H262="A",Pole_Calc!A293,
IF(H262="S/A",Pole_Calc!A294,
IF(H262="A/S",Pole_Calc!A295,"Poner a mano")))))))</f>
        <v/>
      </c>
      <c r="BE262" s="448" t="s">
        <v>1726</v>
      </c>
      <c r="BF262" s="634"/>
      <c r="BG262" s="634"/>
      <c r="BH262" s="634"/>
      <c r="BI262" s="634"/>
    </row>
    <row r="263" spans="1:61" ht="16.2" customHeight="1">
      <c r="A263" s="12"/>
      <c r="B263" s="446"/>
      <c r="C263" s="89"/>
      <c r="D263" s="13"/>
      <c r="E263" s="14"/>
      <c r="F263" s="14"/>
      <c r="G263" s="15"/>
      <c r="H263" s="8"/>
      <c r="I263" s="8"/>
      <c r="J263" s="89"/>
      <c r="K263" s="8"/>
      <c r="L263" s="8"/>
      <c r="M263" s="8" t="str">
        <f>IF(L263="","",
IF(AX263="PT",VLOOKUP(L263,Foundation_Calc!$V$4:$X$37,VLOOKUP(AX263,Foundation_Calc!$I$10:$J$13,2,FALSE),0),
IF(AX263="K",VLOOKUP(L263,Foundation_Calc!$V$41:$X$74,VLOOKUP(AX263,Foundation_Calc!$I$10:$J$13,2,FALSE),0),"")))</f>
        <v/>
      </c>
      <c r="N263" s="8"/>
      <c r="O263" s="8"/>
      <c r="P263" s="8"/>
      <c r="Q263" s="14"/>
      <c r="R263" s="15"/>
      <c r="S263" s="15"/>
      <c r="T263" s="14"/>
      <c r="U263" s="14"/>
      <c r="V263" s="14"/>
      <c r="W263" s="18"/>
      <c r="X263" s="18"/>
      <c r="Y263" s="18"/>
      <c r="Z263" s="18"/>
      <c r="AA263" s="18"/>
      <c r="AB263" s="18"/>
      <c r="AC263" s="8" t="str">
        <f t="shared" si="19"/>
        <v/>
      </c>
      <c r="AD263" s="8"/>
      <c r="AE263" s="8"/>
      <c r="AF263" s="14"/>
      <c r="AG263" s="13"/>
      <c r="AH263" s="14"/>
      <c r="AI263" s="14"/>
      <c r="AJ263" s="8"/>
      <c r="AK263" s="8"/>
      <c r="AL263" s="8"/>
      <c r="AM263" s="8"/>
      <c r="AN263" s="631"/>
      <c r="AO263" s="18"/>
      <c r="AP263" s="18"/>
      <c r="AQ263" s="18"/>
      <c r="AR263" s="18"/>
      <c r="AS263" s="18"/>
      <c r="AU263" s="448"/>
      <c r="AV263" s="448"/>
      <c r="AW263" s="8" t="str">
        <f>IF(C263&gt;0,VLOOKUP(C263,Foundation_Calc!$A$2:$C$986,3,1),
IF(J263&gt;0,VLOOKUP(J263,Foundation_Calc!$A$2:$C$986,3,1),""))</f>
        <v/>
      </c>
      <c r="AX263" s="8" t="str">
        <f>IF(C263&gt;0,VLOOKUP(C263,Foundation_Calc!$E$2:$G$986,3,1),
IF(J263&gt;0,VLOOKUP(J263,Foundation_Calc!$E$2:$G$986,3,1),""))</f>
        <v/>
      </c>
      <c r="AY263" s="631" t="str">
        <f>IF(L263="","",
IF(AX263="PT",VLOOKUP(L263,Foundation_Calc!$K$4:$R$37,VLOOKUP(AW263,Foundation_Calc!$I$2:$J$8,2,FALSE),0),
IF(AX263="K",VLOOKUP(L263,Foundation_Calc!$K$41:$R$74,VLOOKUP(AW263,Foundation_Calc!$I$2:$J$8,2,FALSE),0),"")))</f>
        <v/>
      </c>
      <c r="AZ263" s="631" t="str">
        <f>IF(K263="","",
IF(AX263="PT",VLOOKUP(K263,Foundation_Calc!$K$4:$R$37,VLOOKUP(AW263,Foundation_Calc!$I$2:$J$8,2,FALSE),0),
IF(AX263="K",VLOOKUP(K263,Foundation_Calc!$K$41:$R$74,VLOOKUP(AW263,Foundation_Calc!$I$2:$J$8,2,FALSE),0),"")))</f>
        <v/>
      </c>
      <c r="BA263" s="632" t="str">
        <f t="shared" si="20"/>
        <v/>
      </c>
      <c r="BB263" s="632" t="str">
        <f t="shared" si="21"/>
        <v/>
      </c>
      <c r="BC263" s="632" t="str">
        <f t="shared" si="22"/>
        <v/>
      </c>
      <c r="BD263" s="633" t="str">
        <f>IF(AND(L263="",H263=""),"",
IF(H263="",Pole_Calc!A291,
IF(H263="MP",Pole_Calc!A292,
IF(H263="AnMP",Pole_Calc!A293,
IF(H263="A",Pole_Calc!A294,
IF(H263="S/A",Pole_Calc!A295,
IF(H263="A/S",Pole_Calc!A296,"Poner a mano")))))))</f>
        <v/>
      </c>
      <c r="BE263" s="448" t="s">
        <v>1726</v>
      </c>
      <c r="BF263" s="635"/>
      <c r="BG263" s="635"/>
      <c r="BH263" s="634"/>
      <c r="BI263" s="635"/>
    </row>
    <row r="264" spans="1:61" ht="16.2" customHeight="1">
      <c r="A264" s="12"/>
      <c r="B264" s="446"/>
      <c r="C264" s="89"/>
      <c r="D264" s="13"/>
      <c r="E264" s="14"/>
      <c r="F264" s="14"/>
      <c r="G264" s="15"/>
      <c r="H264" s="8"/>
      <c r="I264" s="8"/>
      <c r="J264" s="89"/>
      <c r="K264" s="8"/>
      <c r="L264" s="8"/>
      <c r="M264" s="8" t="str">
        <f>IF(L264="","",
IF(AX264="PT",VLOOKUP(L264,Foundation_Calc!$V$4:$X$37,VLOOKUP(AX264,Foundation_Calc!$I$10:$J$13,2,FALSE),0),
IF(AX264="K",VLOOKUP(L264,Foundation_Calc!$V$41:$X$74,VLOOKUP(AX264,Foundation_Calc!$I$10:$J$13,2,FALSE),0),"")))</f>
        <v/>
      </c>
      <c r="N264" s="8"/>
      <c r="O264" s="8"/>
      <c r="P264" s="8"/>
      <c r="Q264" s="14"/>
      <c r="R264" s="15"/>
      <c r="S264" s="15"/>
      <c r="T264" s="14"/>
      <c r="U264" s="14"/>
      <c r="V264" s="14"/>
      <c r="W264" s="18"/>
      <c r="X264" s="18"/>
      <c r="Y264" s="18"/>
      <c r="Z264" s="18"/>
      <c r="AA264" s="18"/>
      <c r="AB264" s="18"/>
      <c r="AC264" s="8" t="str">
        <f t="shared" si="19"/>
        <v/>
      </c>
      <c r="AD264" s="8"/>
      <c r="AE264" s="8"/>
      <c r="AF264" s="14"/>
      <c r="AG264" s="13"/>
      <c r="AH264" s="14"/>
      <c r="AI264" s="14"/>
      <c r="AJ264" s="8"/>
      <c r="AK264" s="8"/>
      <c r="AL264" s="8"/>
      <c r="AM264" s="8"/>
      <c r="AN264" s="631"/>
      <c r="AO264" s="18"/>
      <c r="AP264" s="18"/>
      <c r="AQ264" s="18"/>
      <c r="AR264" s="18"/>
      <c r="AS264" s="18"/>
      <c r="AU264" s="448"/>
      <c r="AV264" s="448"/>
      <c r="AW264" s="8" t="str">
        <f>IF(C264&gt;0,VLOOKUP(C264,Foundation_Calc!$A$2:$C$986,3,1),
IF(J264&gt;0,VLOOKUP(J264,Foundation_Calc!$A$2:$C$986,3,1),""))</f>
        <v/>
      </c>
      <c r="AX264" s="8" t="str">
        <f>IF(C264&gt;0,VLOOKUP(C264,Foundation_Calc!$E$2:$G$986,3,1),
IF(J264&gt;0,VLOOKUP(J264,Foundation_Calc!$E$2:$G$986,3,1),""))</f>
        <v/>
      </c>
      <c r="AY264" s="631" t="str">
        <f>IF(L264="","",
IF(AX264="PT",VLOOKUP(L264,Foundation_Calc!$K$4:$R$37,VLOOKUP(AW264,Foundation_Calc!$I$2:$J$8,2,FALSE),0),
IF(AX264="K",VLOOKUP(L264,Foundation_Calc!$K$41:$R$74,VLOOKUP(AW264,Foundation_Calc!$I$2:$J$8,2,FALSE),0),"")))</f>
        <v/>
      </c>
      <c r="AZ264" s="631" t="str">
        <f>IF(K264="","",
IF(AX264="PT",VLOOKUP(K264,Foundation_Calc!$K$4:$R$37,VLOOKUP(AW264,Foundation_Calc!$I$2:$J$8,2,FALSE),0),
IF(AX264="K",VLOOKUP(K264,Foundation_Calc!$K$41:$R$74,VLOOKUP(AW264,Foundation_Calc!$I$2:$J$8,2,FALSE),0),"")))</f>
        <v/>
      </c>
      <c r="BA264" s="632" t="str">
        <f t="shared" si="20"/>
        <v/>
      </c>
      <c r="BB264" s="632" t="str">
        <f t="shared" si="21"/>
        <v/>
      </c>
      <c r="BC264" s="632" t="str">
        <f t="shared" si="22"/>
        <v/>
      </c>
      <c r="BD264" s="633" t="str">
        <f>IF(AND(L264="",H264=""),"",
IF(H264="",Pole_Calc!A292,
IF(H264="MP",Pole_Calc!A293,
IF(H264="AnMP",Pole_Calc!A294,
IF(H264="A",Pole_Calc!A295,
IF(H264="S/A",Pole_Calc!A296,
IF(H264="A/S",Pole_Calc!A297,"Poner a mano")))))))</f>
        <v/>
      </c>
      <c r="BE264" s="448" t="s">
        <v>1726</v>
      </c>
      <c r="BF264" s="634"/>
      <c r="BG264" s="634"/>
      <c r="BH264" s="634"/>
      <c r="BI264" s="634"/>
    </row>
    <row r="265" spans="1:61" ht="16.2" customHeight="1">
      <c r="A265" s="12"/>
      <c r="B265" s="446"/>
      <c r="C265" s="89"/>
      <c r="D265" s="13"/>
      <c r="E265" s="14"/>
      <c r="F265" s="14"/>
      <c r="G265" s="15"/>
      <c r="H265" s="8"/>
      <c r="I265" s="8"/>
      <c r="J265" s="89"/>
      <c r="K265" s="8"/>
      <c r="L265" s="8"/>
      <c r="M265" s="8" t="str">
        <f>IF(L265="","",
IF(AX265="PT",VLOOKUP(L265,Foundation_Calc!$V$4:$X$37,VLOOKUP(AX265,Foundation_Calc!$I$10:$J$13,2,FALSE),0),
IF(AX265="K",VLOOKUP(L265,Foundation_Calc!$V$41:$X$74,VLOOKUP(AX265,Foundation_Calc!$I$10:$J$13,2,FALSE),0),"")))</f>
        <v/>
      </c>
      <c r="N265" s="8"/>
      <c r="O265" s="8"/>
      <c r="P265" s="8"/>
      <c r="Q265" s="14"/>
      <c r="R265" s="15"/>
      <c r="S265" s="15"/>
      <c r="T265" s="14"/>
      <c r="U265" s="14"/>
      <c r="V265" s="14"/>
      <c r="W265" s="18"/>
      <c r="X265" s="18"/>
      <c r="Y265" s="18"/>
      <c r="Z265" s="18"/>
      <c r="AA265" s="18"/>
      <c r="AB265" s="18"/>
      <c r="AC265" s="8" t="str">
        <f t="shared" si="19"/>
        <v/>
      </c>
      <c r="AD265" s="8"/>
      <c r="AE265" s="8"/>
      <c r="AF265" s="14"/>
      <c r="AG265" s="13"/>
      <c r="AH265" s="14"/>
      <c r="AI265" s="14"/>
      <c r="AJ265" s="8"/>
      <c r="AK265" s="8"/>
      <c r="AL265" s="8"/>
      <c r="AM265" s="8"/>
      <c r="AN265" s="631"/>
      <c r="AO265" s="18"/>
      <c r="AP265" s="18"/>
      <c r="AQ265" s="18"/>
      <c r="AR265" s="18"/>
      <c r="AS265" s="18"/>
      <c r="AU265" s="448"/>
      <c r="AV265" s="448"/>
      <c r="AW265" s="8" t="str">
        <f>IF(C265&gt;0,VLOOKUP(C265,Foundation_Calc!$A$2:$C$986,3,1),
IF(J265&gt;0,VLOOKUP(J265,Foundation_Calc!$A$2:$C$986,3,1),""))</f>
        <v/>
      </c>
      <c r="AX265" s="8" t="str">
        <f>IF(C265&gt;0,VLOOKUP(C265,Foundation_Calc!$E$2:$G$986,3,1),
IF(J265&gt;0,VLOOKUP(J265,Foundation_Calc!$E$2:$G$986,3,1),""))</f>
        <v/>
      </c>
      <c r="AY265" s="631" t="str">
        <f>IF(L265="","",
IF(AX265="PT",VLOOKUP(L265,Foundation_Calc!$K$4:$R$37,VLOOKUP(AW265,Foundation_Calc!$I$2:$J$8,2,FALSE),0),
IF(AX265="K",VLOOKUP(L265,Foundation_Calc!$K$41:$R$74,VLOOKUP(AW265,Foundation_Calc!$I$2:$J$8,2,FALSE),0),"")))</f>
        <v/>
      </c>
      <c r="AZ265" s="631" t="str">
        <f>IF(K265="","",
IF(AX265="PT",VLOOKUP(K265,Foundation_Calc!$K$4:$R$37,VLOOKUP(AW265,Foundation_Calc!$I$2:$J$8,2,FALSE),0),
IF(AX265="K",VLOOKUP(K265,Foundation_Calc!$K$41:$R$74,VLOOKUP(AW265,Foundation_Calc!$I$2:$J$8,2,FALSE),0),"")))</f>
        <v/>
      </c>
      <c r="BA265" s="632" t="str">
        <f t="shared" si="20"/>
        <v/>
      </c>
      <c r="BB265" s="632" t="str">
        <f t="shared" si="21"/>
        <v/>
      </c>
      <c r="BC265" s="632" t="str">
        <f t="shared" si="22"/>
        <v/>
      </c>
      <c r="BD265" s="633" t="str">
        <f>IF(AND(L265="",H265=""),"",
IF(H265="",Pole_Calc!A293,
IF(H265="MP",Pole_Calc!A294,
IF(H265="AnMP",Pole_Calc!A295,
IF(H265="A",Pole_Calc!A296,
IF(H265="S/A",Pole_Calc!A297,
IF(H265="A/S",Pole_Calc!A298,"Poner a mano")))))))</f>
        <v/>
      </c>
      <c r="BE265" s="448" t="s">
        <v>1726</v>
      </c>
      <c r="BF265" s="635"/>
      <c r="BG265" s="635"/>
      <c r="BH265" s="634"/>
      <c r="BI265" s="635"/>
    </row>
    <row r="266" spans="1:61" ht="16.2" customHeight="1">
      <c r="A266" s="12"/>
      <c r="B266" s="446"/>
      <c r="C266" s="89"/>
      <c r="D266" s="13"/>
      <c r="E266" s="14"/>
      <c r="F266" s="14"/>
      <c r="G266" s="15"/>
      <c r="H266" s="8"/>
      <c r="I266" s="8"/>
      <c r="J266" s="89"/>
      <c r="K266" s="8"/>
      <c r="L266" s="8"/>
      <c r="M266" s="8" t="str">
        <f>IF(L266="","",
IF(AX266="PT",VLOOKUP(L266,Foundation_Calc!$V$4:$X$37,VLOOKUP(AX266,Foundation_Calc!$I$10:$J$13,2,FALSE),0),
IF(AX266="K",VLOOKUP(L266,Foundation_Calc!$V$41:$X$74,VLOOKUP(AX266,Foundation_Calc!$I$10:$J$13,2,FALSE),0),"")))</f>
        <v/>
      </c>
      <c r="N266" s="8"/>
      <c r="O266" s="8"/>
      <c r="P266" s="8"/>
      <c r="Q266" s="14"/>
      <c r="R266" s="15"/>
      <c r="S266" s="15"/>
      <c r="T266" s="14"/>
      <c r="U266" s="14"/>
      <c r="V266" s="14"/>
      <c r="W266" s="18"/>
      <c r="X266" s="18"/>
      <c r="Y266" s="18"/>
      <c r="Z266" s="18"/>
      <c r="AA266" s="18"/>
      <c r="AB266" s="18"/>
      <c r="AC266" s="8" t="str">
        <f t="shared" si="19"/>
        <v/>
      </c>
      <c r="AD266" s="8"/>
      <c r="AE266" s="8"/>
      <c r="AF266" s="14"/>
      <c r="AG266" s="13"/>
      <c r="AH266" s="14"/>
      <c r="AI266" s="14"/>
      <c r="AJ266" s="8"/>
      <c r="AK266" s="8"/>
      <c r="AL266" s="8"/>
      <c r="AM266" s="8"/>
      <c r="AN266" s="631"/>
      <c r="AO266" s="18"/>
      <c r="AP266" s="18"/>
      <c r="AQ266" s="18"/>
      <c r="AR266" s="18"/>
      <c r="AS266" s="18"/>
      <c r="AU266" s="448"/>
      <c r="AV266" s="448"/>
      <c r="AW266" s="8" t="str">
        <f>IF(C266&gt;0,VLOOKUP(C266,Foundation_Calc!$A$2:$C$986,3,1),
IF(J266&gt;0,VLOOKUP(J266,Foundation_Calc!$A$2:$C$986,3,1),""))</f>
        <v/>
      </c>
      <c r="AX266" s="8" t="str">
        <f>IF(C266&gt;0,VLOOKUP(C266,Foundation_Calc!$E$2:$G$986,3,1),
IF(J266&gt;0,VLOOKUP(J266,Foundation_Calc!$E$2:$G$986,3,1),""))</f>
        <v/>
      </c>
      <c r="AY266" s="631" t="str">
        <f>IF(L266="","",
IF(AX266="PT",VLOOKUP(L266,Foundation_Calc!$K$4:$R$37,VLOOKUP(AW266,Foundation_Calc!$I$2:$J$8,2,FALSE),0),
IF(AX266="K",VLOOKUP(L266,Foundation_Calc!$K$41:$R$74,VLOOKUP(AW266,Foundation_Calc!$I$2:$J$8,2,FALSE),0),"")))</f>
        <v/>
      </c>
      <c r="AZ266" s="631" t="str">
        <f>IF(K266="","",
IF(AX266="PT",VLOOKUP(K266,Foundation_Calc!$K$4:$R$37,VLOOKUP(AW266,Foundation_Calc!$I$2:$J$8,2,FALSE),0),
IF(AX266="K",VLOOKUP(K266,Foundation_Calc!$K$41:$R$74,VLOOKUP(AW266,Foundation_Calc!$I$2:$J$8,2,FALSE),0),"")))</f>
        <v/>
      </c>
      <c r="BA266" s="632" t="str">
        <f t="shared" si="20"/>
        <v/>
      </c>
      <c r="BB266" s="632" t="str">
        <f t="shared" si="21"/>
        <v/>
      </c>
      <c r="BC266" s="632" t="str">
        <f t="shared" si="22"/>
        <v/>
      </c>
      <c r="BD266" s="633" t="str">
        <f>IF(AND(L266="",H266=""),"",
IF(H266="",Pole_Calc!A294,
IF(H266="MP",Pole_Calc!A295,
IF(H266="AnMP",Pole_Calc!A296,
IF(H266="A",Pole_Calc!A297,
IF(H266="S/A",Pole_Calc!A298,
IF(H266="A/S",Pole_Calc!A299,"Poner a mano")))))))</f>
        <v/>
      </c>
      <c r="BE266" s="448" t="s">
        <v>1726</v>
      </c>
      <c r="BF266" s="634"/>
      <c r="BG266" s="634"/>
      <c r="BH266" s="634"/>
      <c r="BI266" s="634"/>
    </row>
    <row r="267" spans="1:61" ht="16.2" customHeight="1">
      <c r="A267" s="12"/>
      <c r="B267" s="446"/>
      <c r="C267" s="89"/>
      <c r="D267" s="13"/>
      <c r="E267" s="14"/>
      <c r="F267" s="14"/>
      <c r="G267" s="15"/>
      <c r="H267" s="8"/>
      <c r="I267" s="8"/>
      <c r="J267" s="89"/>
      <c r="K267" s="8"/>
      <c r="L267" s="8"/>
      <c r="M267" s="8" t="str">
        <f>IF(L267="","",
IF(AX267="PT",VLOOKUP(L267,Foundation_Calc!$V$4:$X$37,VLOOKUP(AX267,Foundation_Calc!$I$10:$J$13,2,FALSE),0),
IF(AX267="K",VLOOKUP(L267,Foundation_Calc!$V$41:$X$74,VLOOKUP(AX267,Foundation_Calc!$I$10:$J$13,2,FALSE),0),"")))</f>
        <v/>
      </c>
      <c r="N267" s="8"/>
      <c r="O267" s="8"/>
      <c r="P267" s="8"/>
      <c r="Q267" s="14"/>
      <c r="R267" s="15"/>
      <c r="S267" s="15"/>
      <c r="T267" s="14"/>
      <c r="U267" s="14"/>
      <c r="V267" s="14"/>
      <c r="W267" s="18"/>
      <c r="X267" s="18"/>
      <c r="Y267" s="18"/>
      <c r="Z267" s="18"/>
      <c r="AA267" s="18"/>
      <c r="AB267" s="18"/>
      <c r="AC267" s="8" t="str">
        <f t="shared" si="19"/>
        <v/>
      </c>
      <c r="AD267" s="8"/>
      <c r="AE267" s="8"/>
      <c r="AF267" s="14"/>
      <c r="AG267" s="13"/>
      <c r="AH267" s="14"/>
      <c r="AI267" s="14"/>
      <c r="AJ267" s="8"/>
      <c r="AK267" s="8"/>
      <c r="AL267" s="8"/>
      <c r="AM267" s="8"/>
      <c r="AN267" s="631"/>
      <c r="AO267" s="18"/>
      <c r="AP267" s="18"/>
      <c r="AQ267" s="18"/>
      <c r="AR267" s="18"/>
      <c r="AS267" s="18"/>
      <c r="AU267" s="448"/>
      <c r="AV267" s="448"/>
      <c r="AW267" s="8" t="str">
        <f>IF(C267&gt;0,VLOOKUP(C267,Foundation_Calc!$A$2:$C$986,3,1),
IF(J267&gt;0,VLOOKUP(J267,Foundation_Calc!$A$2:$C$986,3,1),""))</f>
        <v/>
      </c>
      <c r="AX267" s="8" t="str">
        <f>IF(C267&gt;0,VLOOKUP(C267,Foundation_Calc!$E$2:$G$986,3,1),
IF(J267&gt;0,VLOOKUP(J267,Foundation_Calc!$E$2:$G$986,3,1),""))</f>
        <v/>
      </c>
      <c r="AY267" s="631" t="str">
        <f>IF(L267="","",
IF(AX267="PT",VLOOKUP(L267,Foundation_Calc!$K$4:$R$37,VLOOKUP(AW267,Foundation_Calc!$I$2:$J$8,2,FALSE),0),
IF(AX267="K",VLOOKUP(L267,Foundation_Calc!$K$41:$R$74,VLOOKUP(AW267,Foundation_Calc!$I$2:$J$8,2,FALSE),0),"")))</f>
        <v/>
      </c>
      <c r="AZ267" s="631" t="str">
        <f>IF(K267="","",
IF(AX267="PT",VLOOKUP(K267,Foundation_Calc!$K$4:$R$37,VLOOKUP(AW267,Foundation_Calc!$I$2:$J$8,2,FALSE),0),
IF(AX267="K",VLOOKUP(K267,Foundation_Calc!$K$41:$R$74,VLOOKUP(AW267,Foundation_Calc!$I$2:$J$8,2,FALSE),0),"")))</f>
        <v/>
      </c>
      <c r="BA267" s="632" t="str">
        <f t="shared" si="20"/>
        <v/>
      </c>
      <c r="BB267" s="632" t="str">
        <f t="shared" si="21"/>
        <v/>
      </c>
      <c r="BC267" s="632" t="str">
        <f t="shared" si="22"/>
        <v/>
      </c>
      <c r="BD267" s="633" t="str">
        <f>IF(AND(L267="",H267=""),"",
IF(H267="",Pole_Calc!A295,
IF(H267="MP",Pole_Calc!A296,
IF(H267="AnMP",Pole_Calc!A297,
IF(H267="A",Pole_Calc!A298,
IF(H267="S/A",Pole_Calc!A299,
IF(H267="A/S",Pole_Calc!A300,"Poner a mano")))))))</f>
        <v/>
      </c>
      <c r="BE267" s="448" t="s">
        <v>1726</v>
      </c>
      <c r="BF267" s="635"/>
      <c r="BG267" s="635"/>
      <c r="BH267" s="634"/>
      <c r="BI267" s="635"/>
    </row>
    <row r="268" spans="1:61" ht="16.2" customHeight="1">
      <c r="A268" s="12"/>
      <c r="B268" s="446"/>
      <c r="C268" s="89"/>
      <c r="D268" s="13"/>
      <c r="E268" s="14"/>
      <c r="F268" s="14"/>
      <c r="G268" s="15"/>
      <c r="H268" s="8"/>
      <c r="I268" s="8"/>
      <c r="J268" s="89"/>
      <c r="K268" s="8"/>
      <c r="L268" s="8"/>
      <c r="M268" s="8" t="str">
        <f>IF(L268="","",
IF(AX268="PT",VLOOKUP(L268,Foundation_Calc!$V$4:$X$37,VLOOKUP(AX268,Foundation_Calc!$I$10:$J$13,2,FALSE),0),
IF(AX268="K",VLOOKUP(L268,Foundation_Calc!$V$41:$X$74,VLOOKUP(AX268,Foundation_Calc!$I$10:$J$13,2,FALSE),0),"")))</f>
        <v/>
      </c>
      <c r="N268" s="8"/>
      <c r="O268" s="8"/>
      <c r="P268" s="8"/>
      <c r="Q268" s="14"/>
      <c r="R268" s="15"/>
      <c r="S268" s="15"/>
      <c r="T268" s="14"/>
      <c r="U268" s="14"/>
      <c r="V268" s="14"/>
      <c r="W268" s="18"/>
      <c r="X268" s="18"/>
      <c r="Y268" s="18"/>
      <c r="Z268" s="18"/>
      <c r="AA268" s="18"/>
      <c r="AB268" s="18"/>
      <c r="AC268" s="8" t="str">
        <f t="shared" si="19"/>
        <v/>
      </c>
      <c r="AD268" s="8"/>
      <c r="AE268" s="8"/>
      <c r="AF268" s="14"/>
      <c r="AG268" s="13"/>
      <c r="AH268" s="14"/>
      <c r="AI268" s="14"/>
      <c r="AJ268" s="8"/>
      <c r="AK268" s="8"/>
      <c r="AL268" s="8"/>
      <c r="AM268" s="8"/>
      <c r="AN268" s="631"/>
      <c r="AO268" s="18"/>
      <c r="AP268" s="18"/>
      <c r="AQ268" s="18"/>
      <c r="AR268" s="18"/>
      <c r="AS268" s="18"/>
      <c r="AU268" s="448"/>
      <c r="AV268" s="448"/>
      <c r="AW268" s="8" t="str">
        <f>IF(C268&gt;0,VLOOKUP(C268,Foundation_Calc!$A$2:$C$986,3,1),
IF(J268&gt;0,VLOOKUP(J268,Foundation_Calc!$A$2:$C$986,3,1),""))</f>
        <v/>
      </c>
      <c r="AX268" s="8" t="str">
        <f>IF(C268&gt;0,VLOOKUP(C268,Foundation_Calc!$E$2:$G$986,3,1),
IF(J268&gt;0,VLOOKUP(J268,Foundation_Calc!$E$2:$G$986,3,1),""))</f>
        <v/>
      </c>
      <c r="AY268" s="631" t="str">
        <f>IF(L268="","",
IF(AX268="PT",VLOOKUP(L268,Foundation_Calc!$K$4:$R$37,VLOOKUP(AW268,Foundation_Calc!$I$2:$J$8,2,FALSE),0),
IF(AX268="K",VLOOKUP(L268,Foundation_Calc!$K$41:$R$74,VLOOKUP(AW268,Foundation_Calc!$I$2:$J$8,2,FALSE),0),"")))</f>
        <v/>
      </c>
      <c r="AZ268" s="631" t="str">
        <f>IF(K268="","",
IF(AX268="PT",VLOOKUP(K268,Foundation_Calc!$K$4:$R$37,VLOOKUP(AW268,Foundation_Calc!$I$2:$J$8,2,FALSE),0),
IF(AX268="K",VLOOKUP(K268,Foundation_Calc!$K$41:$R$74,VLOOKUP(AW268,Foundation_Calc!$I$2:$J$8,2,FALSE),0),"")))</f>
        <v/>
      </c>
      <c r="BA268" s="632" t="str">
        <f t="shared" si="20"/>
        <v/>
      </c>
      <c r="BB268" s="632" t="str">
        <f t="shared" si="21"/>
        <v/>
      </c>
      <c r="BC268" s="632" t="str">
        <f t="shared" si="22"/>
        <v/>
      </c>
      <c r="BD268" s="633" t="str">
        <f>IF(AND(L268="",H268=""),"",
IF(H268="",Pole_Calc!A296,
IF(H268="MP",Pole_Calc!A297,
IF(H268="AnMP",Pole_Calc!A298,
IF(H268="A",Pole_Calc!A299,
IF(H268="S/A",Pole_Calc!A300,
IF(H268="A/S",Pole_Calc!A301,"Poner a mano")))))))</f>
        <v/>
      </c>
      <c r="BE268" s="448" t="s">
        <v>1726</v>
      </c>
      <c r="BF268" s="634"/>
      <c r="BG268" s="634"/>
      <c r="BH268" s="634"/>
      <c r="BI268" s="634"/>
    </row>
    <row r="269" spans="1:61" ht="16.2" customHeight="1">
      <c r="A269" s="12"/>
      <c r="B269" s="446"/>
      <c r="C269" s="89"/>
      <c r="D269" s="13"/>
      <c r="E269" s="14"/>
      <c r="F269" s="14"/>
      <c r="G269" s="15"/>
      <c r="H269" s="8"/>
      <c r="I269" s="8"/>
      <c r="J269" s="89"/>
      <c r="K269" s="8"/>
      <c r="L269" s="8"/>
      <c r="M269" s="8" t="str">
        <f>IF(L269="","",
IF(AX269="PT",VLOOKUP(L269,Foundation_Calc!$V$4:$X$37,VLOOKUP(AX269,Foundation_Calc!$I$10:$J$13,2,FALSE),0),
IF(AX269="K",VLOOKUP(L269,Foundation_Calc!$V$41:$X$74,VLOOKUP(AX269,Foundation_Calc!$I$10:$J$13,2,FALSE),0),"")))</f>
        <v/>
      </c>
      <c r="N269" s="8"/>
      <c r="O269" s="8"/>
      <c r="P269" s="8"/>
      <c r="Q269" s="14"/>
      <c r="R269" s="15"/>
      <c r="S269" s="15"/>
      <c r="T269" s="14"/>
      <c r="U269" s="14"/>
      <c r="V269" s="14"/>
      <c r="W269" s="18"/>
      <c r="X269" s="18"/>
      <c r="Y269" s="18"/>
      <c r="Z269" s="18"/>
      <c r="AA269" s="18"/>
      <c r="AB269" s="18"/>
      <c r="AC269" s="8" t="str">
        <f t="shared" si="19"/>
        <v/>
      </c>
      <c r="AD269" s="8"/>
      <c r="AE269" s="8"/>
      <c r="AF269" s="14"/>
      <c r="AG269" s="13"/>
      <c r="AH269" s="14"/>
      <c r="AI269" s="14"/>
      <c r="AJ269" s="8"/>
      <c r="AK269" s="8"/>
      <c r="AL269" s="8"/>
      <c r="AM269" s="8"/>
      <c r="AN269" s="631"/>
      <c r="AO269" s="18"/>
      <c r="AP269" s="18"/>
      <c r="AQ269" s="18"/>
      <c r="AR269" s="18"/>
      <c r="AS269" s="18"/>
      <c r="AU269" s="448"/>
      <c r="AV269" s="448"/>
      <c r="AW269" s="8" t="str">
        <f>IF(C269&gt;0,VLOOKUP(C269,Foundation_Calc!$A$2:$C$986,3,1),
IF(J269&gt;0,VLOOKUP(J269,Foundation_Calc!$A$2:$C$986,3,1),""))</f>
        <v/>
      </c>
      <c r="AX269" s="8" t="str">
        <f>IF(C269&gt;0,VLOOKUP(C269,Foundation_Calc!$E$2:$G$986,3,1),
IF(J269&gt;0,VLOOKUP(J269,Foundation_Calc!$E$2:$G$986,3,1),""))</f>
        <v/>
      </c>
      <c r="AY269" s="631" t="str">
        <f>IF(L269="","",
IF(AX269="PT",VLOOKUP(L269,Foundation_Calc!$K$4:$R$37,VLOOKUP(AW269,Foundation_Calc!$I$2:$J$8,2,FALSE),0),
IF(AX269="K",VLOOKUP(L269,Foundation_Calc!$K$41:$R$74,VLOOKUP(AW269,Foundation_Calc!$I$2:$J$8,2,FALSE),0),"")))</f>
        <v/>
      </c>
      <c r="AZ269" s="631" t="str">
        <f>IF(K269="","",
IF(AX269="PT",VLOOKUP(K269,Foundation_Calc!$K$4:$R$37,VLOOKUP(AW269,Foundation_Calc!$I$2:$J$8,2,FALSE),0),
IF(AX269="K",VLOOKUP(K269,Foundation_Calc!$K$41:$R$74,VLOOKUP(AW269,Foundation_Calc!$I$2:$J$8,2,FALSE),0),"")))</f>
        <v/>
      </c>
      <c r="BA269" s="632" t="str">
        <f t="shared" si="20"/>
        <v/>
      </c>
      <c r="BB269" s="632" t="str">
        <f t="shared" si="21"/>
        <v/>
      </c>
      <c r="BC269" s="632" t="str">
        <f t="shared" si="22"/>
        <v/>
      </c>
      <c r="BD269" s="633" t="str">
        <f>IF(AND(L269="",H269=""),"",
IF(H269="",Pole_Calc!A297,
IF(H269="MP",Pole_Calc!A298,
IF(H269="AnMP",Pole_Calc!A299,
IF(H269="A",Pole_Calc!A300,
IF(H269="S/A",Pole_Calc!A301,
IF(H269="A/S",Pole_Calc!A302,"Poner a mano")))))))</f>
        <v/>
      </c>
      <c r="BE269" s="448" t="s">
        <v>1726</v>
      </c>
      <c r="BF269" s="635"/>
      <c r="BG269" s="635"/>
      <c r="BH269" s="634"/>
      <c r="BI269" s="635"/>
    </row>
    <row r="270" spans="1:61" ht="16.2" customHeight="1">
      <c r="A270" s="12"/>
      <c r="B270" s="446"/>
      <c r="C270" s="89"/>
      <c r="D270" s="13"/>
      <c r="E270" s="14"/>
      <c r="F270" s="14"/>
      <c r="G270" s="15"/>
      <c r="H270" s="8"/>
      <c r="I270" s="8"/>
      <c r="J270" s="89"/>
      <c r="K270" s="8"/>
      <c r="L270" s="8"/>
      <c r="M270" s="8" t="str">
        <f>IF(L270="","",
IF(AX270="PT",VLOOKUP(L270,Foundation_Calc!$V$4:$X$37,VLOOKUP(AX270,Foundation_Calc!$I$10:$J$13,2,FALSE),0),
IF(AX270="K",VLOOKUP(L270,Foundation_Calc!$V$41:$X$74,VLOOKUP(AX270,Foundation_Calc!$I$10:$J$13,2,FALSE),0),"")))</f>
        <v/>
      </c>
      <c r="N270" s="8"/>
      <c r="O270" s="8"/>
      <c r="P270" s="8"/>
      <c r="Q270" s="14"/>
      <c r="R270" s="15"/>
      <c r="S270" s="15"/>
      <c r="T270" s="14"/>
      <c r="U270" s="14"/>
      <c r="V270" s="14"/>
      <c r="W270" s="18"/>
      <c r="X270" s="18"/>
      <c r="Y270" s="18"/>
      <c r="Z270" s="18"/>
      <c r="AA270" s="18"/>
      <c r="AB270" s="18"/>
      <c r="AC270" s="8" t="str">
        <f t="shared" si="19"/>
        <v/>
      </c>
      <c r="AD270" s="8"/>
      <c r="AE270" s="8"/>
      <c r="AF270" s="14"/>
      <c r="AG270" s="13"/>
      <c r="AH270" s="14"/>
      <c r="AI270" s="14"/>
      <c r="AJ270" s="8"/>
      <c r="AK270" s="8"/>
      <c r="AL270" s="8"/>
      <c r="AM270" s="8"/>
      <c r="AN270" s="631"/>
      <c r="AO270" s="18"/>
      <c r="AP270" s="18"/>
      <c r="AQ270" s="18"/>
      <c r="AR270" s="18"/>
      <c r="AS270" s="18"/>
      <c r="AU270" s="448"/>
      <c r="AV270" s="448"/>
      <c r="AW270" s="8" t="str">
        <f>IF(C270&gt;0,VLOOKUP(C270,Foundation_Calc!$A$2:$C$986,3,1),
IF(J270&gt;0,VLOOKUP(J270,Foundation_Calc!$A$2:$C$986,3,1),""))</f>
        <v/>
      </c>
      <c r="AX270" s="8" t="str">
        <f>IF(C270&gt;0,VLOOKUP(C270,Foundation_Calc!$E$2:$G$986,3,1),
IF(J270&gt;0,VLOOKUP(J270,Foundation_Calc!$E$2:$G$986,3,1),""))</f>
        <v/>
      </c>
      <c r="AY270" s="631" t="str">
        <f>IF(L270="","",
IF(AX270="PT",VLOOKUP(L270,Foundation_Calc!$K$4:$R$37,VLOOKUP(AW270,Foundation_Calc!$I$2:$J$8,2,FALSE),0),
IF(AX270="K",VLOOKUP(L270,Foundation_Calc!$K$41:$R$74,VLOOKUP(AW270,Foundation_Calc!$I$2:$J$8,2,FALSE),0),"")))</f>
        <v/>
      </c>
      <c r="AZ270" s="631" t="str">
        <f>IF(K270="","",
IF(AX270="PT",VLOOKUP(K270,Foundation_Calc!$K$4:$R$37,VLOOKUP(AW270,Foundation_Calc!$I$2:$J$8,2,FALSE),0),
IF(AX270="K",VLOOKUP(K270,Foundation_Calc!$K$41:$R$74,VLOOKUP(AW270,Foundation_Calc!$I$2:$J$8,2,FALSE),0),"")))</f>
        <v/>
      </c>
      <c r="BA270" s="632" t="str">
        <f t="shared" si="20"/>
        <v/>
      </c>
      <c r="BB270" s="632" t="str">
        <f t="shared" si="21"/>
        <v/>
      </c>
      <c r="BC270" s="632" t="str">
        <f t="shared" si="22"/>
        <v/>
      </c>
      <c r="BD270" s="633" t="str">
        <f>IF(AND(L270="",H270=""),"",
IF(H270="",Pole_Calc!A298,
IF(H270="MP",Pole_Calc!A299,
IF(H270="AnMP",Pole_Calc!A300,
IF(H270="A",Pole_Calc!A301,
IF(H270="S/A",Pole_Calc!A302,
IF(H270="A/S",Pole_Calc!A303,"Poner a mano")))))))</f>
        <v/>
      </c>
      <c r="BE270" s="448" t="s">
        <v>1726</v>
      </c>
      <c r="BF270" s="634"/>
      <c r="BG270" s="634"/>
      <c r="BH270" s="634"/>
      <c r="BI270" s="634"/>
    </row>
    <row r="271" spans="1:61" ht="16.2" customHeight="1">
      <c r="A271" s="12"/>
      <c r="B271" s="446"/>
      <c r="C271" s="89"/>
      <c r="D271" s="13"/>
      <c r="E271" s="14"/>
      <c r="F271" s="14"/>
      <c r="G271" s="15"/>
      <c r="H271" s="8"/>
      <c r="I271" s="8"/>
      <c r="J271" s="89"/>
      <c r="K271" s="8"/>
      <c r="L271" s="8"/>
      <c r="M271" s="8" t="str">
        <f>IF(L271="","",
IF(AX271="PT",VLOOKUP(L271,Foundation_Calc!$V$4:$X$37,VLOOKUP(AX271,Foundation_Calc!$I$10:$J$13,2,FALSE),0),
IF(AX271="K",VLOOKUP(L271,Foundation_Calc!$V$41:$X$74,VLOOKUP(AX271,Foundation_Calc!$I$10:$J$13,2,FALSE),0),"")))</f>
        <v/>
      </c>
      <c r="N271" s="8"/>
      <c r="O271" s="8"/>
      <c r="P271" s="8"/>
      <c r="Q271" s="14"/>
      <c r="R271" s="15"/>
      <c r="S271" s="15"/>
      <c r="T271" s="14"/>
      <c r="U271" s="14"/>
      <c r="V271" s="14"/>
      <c r="W271" s="18"/>
      <c r="X271" s="18"/>
      <c r="Y271" s="18"/>
      <c r="Z271" s="18"/>
      <c r="AA271" s="18"/>
      <c r="AB271" s="18"/>
      <c r="AC271" s="8" t="str">
        <f t="shared" si="19"/>
        <v/>
      </c>
      <c r="AD271" s="8"/>
      <c r="AE271" s="8"/>
      <c r="AF271" s="14"/>
      <c r="AG271" s="13"/>
      <c r="AH271" s="14"/>
      <c r="AI271" s="14"/>
      <c r="AJ271" s="8"/>
      <c r="AK271" s="8"/>
      <c r="AL271" s="8"/>
      <c r="AM271" s="8"/>
      <c r="AN271" s="631"/>
      <c r="AO271" s="18"/>
      <c r="AP271" s="18"/>
      <c r="AQ271" s="18"/>
      <c r="AR271" s="18"/>
      <c r="AS271" s="18"/>
      <c r="AU271" s="448"/>
      <c r="AV271" s="448"/>
      <c r="AW271" s="8" t="str">
        <f>IF(C271&gt;0,VLOOKUP(C271,Foundation_Calc!$A$2:$C$986,3,1),
IF(J271&gt;0,VLOOKUP(J271,Foundation_Calc!$A$2:$C$986,3,1),""))</f>
        <v/>
      </c>
      <c r="AX271" s="8" t="str">
        <f>IF(C271&gt;0,VLOOKUP(C271,Foundation_Calc!$E$2:$G$986,3,1),
IF(J271&gt;0,VLOOKUP(J271,Foundation_Calc!$E$2:$G$986,3,1),""))</f>
        <v/>
      </c>
      <c r="AY271" s="631" t="str">
        <f>IF(L271="","",
IF(AX271="PT",VLOOKUP(L271,Foundation_Calc!$K$4:$R$37,VLOOKUP(AW271,Foundation_Calc!$I$2:$J$8,2,FALSE),0),
IF(AX271="K",VLOOKUP(L271,Foundation_Calc!$K$41:$R$74,VLOOKUP(AW271,Foundation_Calc!$I$2:$J$8,2,FALSE),0),"")))</f>
        <v/>
      </c>
      <c r="AZ271" s="631" t="str">
        <f>IF(K271="","",
IF(AX271="PT",VLOOKUP(K271,Foundation_Calc!$K$4:$R$37,VLOOKUP(AW271,Foundation_Calc!$I$2:$J$8,2,FALSE),0),
IF(AX271="K",VLOOKUP(K271,Foundation_Calc!$K$41:$R$74,VLOOKUP(AW271,Foundation_Calc!$I$2:$J$8,2,FALSE),0),"")))</f>
        <v/>
      </c>
      <c r="BA271" s="632" t="str">
        <f t="shared" si="20"/>
        <v/>
      </c>
      <c r="BB271" s="632" t="str">
        <f t="shared" si="21"/>
        <v/>
      </c>
      <c r="BC271" s="632" t="str">
        <f t="shared" si="22"/>
        <v/>
      </c>
      <c r="BD271" s="633" t="str">
        <f>IF(AND(L271="",H271=""),"",
IF(H271="",Pole_Calc!A299,
IF(H271="MP",Pole_Calc!A300,
IF(H271="AnMP",Pole_Calc!A301,
IF(H271="A",Pole_Calc!A302,
IF(H271="S/A",Pole_Calc!A303,
IF(H271="A/S",Pole_Calc!A304,"Poner a mano")))))))</f>
        <v/>
      </c>
      <c r="BE271" s="448" t="s">
        <v>1726</v>
      </c>
      <c r="BF271" s="635"/>
      <c r="BG271" s="635"/>
      <c r="BH271" s="634"/>
      <c r="BI271" s="635"/>
    </row>
    <row r="272" spans="1:61" ht="16.2" customHeight="1">
      <c r="A272" s="12"/>
      <c r="B272" s="446"/>
      <c r="C272" s="89"/>
      <c r="D272" s="13"/>
      <c r="E272" s="14"/>
      <c r="F272" s="14"/>
      <c r="G272" s="15"/>
      <c r="H272" s="8"/>
      <c r="I272" s="8"/>
      <c r="J272" s="89"/>
      <c r="K272" s="8"/>
      <c r="L272" s="8"/>
      <c r="M272" s="8" t="str">
        <f>IF(L272="","",
IF(AX272="PT",VLOOKUP(L272,Foundation_Calc!$V$4:$X$37,VLOOKUP(AX272,Foundation_Calc!$I$10:$J$13,2,FALSE),0),
IF(AX272="K",VLOOKUP(L272,Foundation_Calc!$V$41:$X$74,VLOOKUP(AX272,Foundation_Calc!$I$10:$J$13,2,FALSE),0),"")))</f>
        <v/>
      </c>
      <c r="N272" s="8"/>
      <c r="O272" s="8"/>
      <c r="P272" s="8"/>
      <c r="Q272" s="14"/>
      <c r="R272" s="15"/>
      <c r="S272" s="15"/>
      <c r="T272" s="14"/>
      <c r="U272" s="14"/>
      <c r="V272" s="14"/>
      <c r="W272" s="18"/>
      <c r="X272" s="18"/>
      <c r="Y272" s="18"/>
      <c r="Z272" s="18"/>
      <c r="AA272" s="18"/>
      <c r="AB272" s="18"/>
      <c r="AC272" s="8" t="str">
        <f t="shared" si="19"/>
        <v/>
      </c>
      <c r="AD272" s="8"/>
      <c r="AE272" s="8"/>
      <c r="AF272" s="14"/>
      <c r="AG272" s="13"/>
      <c r="AH272" s="14"/>
      <c r="AI272" s="14"/>
      <c r="AJ272" s="8"/>
      <c r="AK272" s="8"/>
      <c r="AL272" s="8"/>
      <c r="AM272" s="8"/>
      <c r="AN272" s="631"/>
      <c r="AO272" s="18"/>
      <c r="AP272" s="18"/>
      <c r="AQ272" s="18"/>
      <c r="AR272" s="18"/>
      <c r="AS272" s="18"/>
      <c r="AU272" s="448"/>
      <c r="AV272" s="448"/>
      <c r="AW272" s="8" t="str">
        <f>IF(C272&gt;0,VLOOKUP(C272,Foundation_Calc!$A$2:$C$986,3,1),
IF(J272&gt;0,VLOOKUP(J272,Foundation_Calc!$A$2:$C$986,3,1),""))</f>
        <v/>
      </c>
      <c r="AX272" s="8" t="str">
        <f>IF(C272&gt;0,VLOOKUP(C272,Foundation_Calc!$E$2:$G$986,3,1),
IF(J272&gt;0,VLOOKUP(J272,Foundation_Calc!$E$2:$G$986,3,1),""))</f>
        <v/>
      </c>
      <c r="AY272" s="631" t="str">
        <f>IF(L272="","",
IF(AX272="PT",VLOOKUP(L272,Foundation_Calc!$K$4:$R$37,VLOOKUP(AW272,Foundation_Calc!$I$2:$J$8,2,FALSE),0),
IF(AX272="K",VLOOKUP(L272,Foundation_Calc!$K$41:$R$74,VLOOKUP(AW272,Foundation_Calc!$I$2:$J$8,2,FALSE),0),"")))</f>
        <v/>
      </c>
      <c r="AZ272" s="631" t="str">
        <f>IF(K272="","",
IF(AX272="PT",VLOOKUP(K272,Foundation_Calc!$K$4:$R$37,VLOOKUP(AW272,Foundation_Calc!$I$2:$J$8,2,FALSE),0),
IF(AX272="K",VLOOKUP(K272,Foundation_Calc!$K$41:$R$74,VLOOKUP(AW272,Foundation_Calc!$I$2:$J$8,2,FALSE),0),"")))</f>
        <v/>
      </c>
      <c r="BA272" s="632" t="str">
        <f t="shared" si="20"/>
        <v/>
      </c>
      <c r="BB272" s="632" t="str">
        <f t="shared" si="21"/>
        <v/>
      </c>
      <c r="BC272" s="632" t="str">
        <f t="shared" si="22"/>
        <v/>
      </c>
      <c r="BD272" s="633" t="str">
        <f>IF(AND(L272="",H272=""),"",
IF(H272="",Pole_Calc!A300,
IF(H272="MP",Pole_Calc!A301,
IF(H272="AnMP",Pole_Calc!A302,
IF(H272="A",Pole_Calc!A303,
IF(H272="S/A",Pole_Calc!A304,
IF(H272="A/S",Pole_Calc!A305,"Poner a mano")))))))</f>
        <v/>
      </c>
      <c r="BE272" s="448" t="s">
        <v>1726</v>
      </c>
      <c r="BF272" s="634"/>
      <c r="BG272" s="634"/>
      <c r="BH272" s="634"/>
      <c r="BI272" s="634"/>
    </row>
    <row r="273" spans="1:61" ht="16.2" customHeight="1">
      <c r="A273" s="12"/>
      <c r="B273" s="446"/>
      <c r="C273" s="89"/>
      <c r="D273" s="13"/>
      <c r="E273" s="14"/>
      <c r="F273" s="14"/>
      <c r="G273" s="15"/>
      <c r="H273" s="8"/>
      <c r="I273" s="8"/>
      <c r="J273" s="89"/>
      <c r="K273" s="8"/>
      <c r="L273" s="8"/>
      <c r="M273" s="8" t="str">
        <f>IF(L273="","",
IF(AX273="PT",VLOOKUP(L273,Foundation_Calc!$V$4:$X$37,VLOOKUP(AX273,Foundation_Calc!$I$10:$J$13,2,FALSE),0),
IF(AX273="K",VLOOKUP(L273,Foundation_Calc!$V$41:$X$74,VLOOKUP(AX273,Foundation_Calc!$I$10:$J$13,2,FALSE),0),"")))</f>
        <v/>
      </c>
      <c r="N273" s="8"/>
      <c r="O273" s="8"/>
      <c r="P273" s="8"/>
      <c r="Q273" s="14"/>
      <c r="R273" s="15"/>
      <c r="S273" s="15"/>
      <c r="T273" s="14"/>
      <c r="U273" s="14"/>
      <c r="V273" s="14"/>
      <c r="W273" s="18"/>
      <c r="X273" s="18"/>
      <c r="Y273" s="18"/>
      <c r="Z273" s="18"/>
      <c r="AA273" s="18"/>
      <c r="AB273" s="18"/>
      <c r="AC273" s="8" t="str">
        <f t="shared" si="19"/>
        <v/>
      </c>
      <c r="AD273" s="8"/>
      <c r="AE273" s="8"/>
      <c r="AF273" s="14"/>
      <c r="AG273" s="13"/>
      <c r="AH273" s="14"/>
      <c r="AI273" s="14"/>
      <c r="AJ273" s="8"/>
      <c r="AK273" s="8"/>
      <c r="AL273" s="8"/>
      <c r="AM273" s="8"/>
      <c r="AN273" s="631"/>
      <c r="AO273" s="18"/>
      <c r="AP273" s="18"/>
      <c r="AQ273" s="18"/>
      <c r="AR273" s="18"/>
      <c r="AS273" s="18"/>
      <c r="AU273" s="448"/>
      <c r="AV273" s="448"/>
      <c r="AW273" s="8" t="str">
        <f>IF(C273&gt;0,VLOOKUP(C273,Foundation_Calc!$A$2:$C$986,3,1),
IF(J273&gt;0,VLOOKUP(J273,Foundation_Calc!$A$2:$C$986,3,1),""))</f>
        <v/>
      </c>
      <c r="AX273" s="8" t="str">
        <f>IF(C273&gt;0,VLOOKUP(C273,Foundation_Calc!$E$2:$G$986,3,1),
IF(J273&gt;0,VLOOKUP(J273,Foundation_Calc!$E$2:$G$986,3,1),""))</f>
        <v/>
      </c>
      <c r="AY273" s="631" t="str">
        <f>IF(L273="","",
IF(AX273="PT",VLOOKUP(L273,Foundation_Calc!$K$4:$R$37,VLOOKUP(AW273,Foundation_Calc!$I$2:$J$8,2,FALSE),0),
IF(AX273="K",VLOOKUP(L273,Foundation_Calc!$K$41:$R$74,VLOOKUP(AW273,Foundation_Calc!$I$2:$J$8,2,FALSE),0),"")))</f>
        <v/>
      </c>
      <c r="AZ273" s="631" t="str">
        <f>IF(K273="","",
IF(AX273="PT",VLOOKUP(K273,Foundation_Calc!$K$4:$R$37,VLOOKUP(AW273,Foundation_Calc!$I$2:$J$8,2,FALSE),0),
IF(AX273="K",VLOOKUP(K273,Foundation_Calc!$K$41:$R$74,VLOOKUP(AW273,Foundation_Calc!$I$2:$J$8,2,FALSE),0),"")))</f>
        <v/>
      </c>
      <c r="BA273" s="632" t="str">
        <f t="shared" si="20"/>
        <v/>
      </c>
      <c r="BB273" s="632" t="str">
        <f t="shared" si="21"/>
        <v/>
      </c>
      <c r="BC273" s="632" t="str">
        <f t="shared" si="22"/>
        <v/>
      </c>
      <c r="BD273" s="633" t="str">
        <f>IF(AND(L273="",H273=""),"",
IF(H273="",Pole_Calc!A301,
IF(H273="MP",Pole_Calc!A302,
IF(H273="AnMP",Pole_Calc!A303,
IF(H273="A",Pole_Calc!A304,
IF(H273="S/A",Pole_Calc!A305,
IF(H273="A/S",Pole_Calc!A306,"Poner a mano")))))))</f>
        <v/>
      </c>
      <c r="BE273" s="448" t="s">
        <v>1726</v>
      </c>
      <c r="BF273" s="635"/>
      <c r="BG273" s="635"/>
      <c r="BH273" s="634"/>
      <c r="BI273" s="635"/>
    </row>
    <row r="274" spans="1:61" ht="16.2" customHeight="1">
      <c r="A274" s="12"/>
      <c r="B274" s="446"/>
      <c r="C274" s="89"/>
      <c r="D274" s="13"/>
      <c r="E274" s="14"/>
      <c r="F274" s="14"/>
      <c r="G274" s="15"/>
      <c r="H274" s="8"/>
      <c r="I274" s="8"/>
      <c r="J274" s="89"/>
      <c r="K274" s="8"/>
      <c r="L274" s="8"/>
      <c r="M274" s="8" t="str">
        <f>IF(L274="","",
IF(AX274="PT",VLOOKUP(L274,Foundation_Calc!$V$4:$X$37,VLOOKUP(AX274,Foundation_Calc!$I$10:$J$13,2,FALSE),0),
IF(AX274="K",VLOOKUP(L274,Foundation_Calc!$V$41:$X$74,VLOOKUP(AX274,Foundation_Calc!$I$10:$J$13,2,FALSE),0),"")))</f>
        <v/>
      </c>
      <c r="N274" s="8"/>
      <c r="O274" s="8"/>
      <c r="P274" s="8"/>
      <c r="Q274" s="14"/>
      <c r="R274" s="15"/>
      <c r="S274" s="15"/>
      <c r="T274" s="14"/>
      <c r="U274" s="14"/>
      <c r="V274" s="14"/>
      <c r="W274" s="18"/>
      <c r="X274" s="18"/>
      <c r="Y274" s="18"/>
      <c r="Z274" s="18"/>
      <c r="AA274" s="18"/>
      <c r="AB274" s="18"/>
      <c r="AC274" s="8" t="str">
        <f t="shared" si="19"/>
        <v/>
      </c>
      <c r="AD274" s="8"/>
      <c r="AE274" s="8"/>
      <c r="AF274" s="14"/>
      <c r="AG274" s="13"/>
      <c r="AH274" s="14"/>
      <c r="AI274" s="14"/>
      <c r="AJ274" s="8"/>
      <c r="AK274" s="8"/>
      <c r="AL274" s="8"/>
      <c r="AM274" s="8"/>
      <c r="AN274" s="631"/>
      <c r="AO274" s="18"/>
      <c r="AP274" s="18"/>
      <c r="AQ274" s="18"/>
      <c r="AR274" s="18"/>
      <c r="AS274" s="18"/>
      <c r="AU274" s="448"/>
      <c r="AV274" s="448"/>
      <c r="AW274" s="8" t="str">
        <f>IF(C274&gt;0,VLOOKUP(C274,Foundation_Calc!$A$2:$C$986,3,1),
IF(J274&gt;0,VLOOKUP(J274,Foundation_Calc!$A$2:$C$986,3,1),""))</f>
        <v/>
      </c>
      <c r="AX274" s="8" t="str">
        <f>IF(C274&gt;0,VLOOKUP(C274,Foundation_Calc!$E$2:$G$986,3,1),
IF(J274&gt;0,VLOOKUP(J274,Foundation_Calc!$E$2:$G$986,3,1),""))</f>
        <v/>
      </c>
      <c r="AY274" s="631" t="str">
        <f>IF(L274="","",
IF(AX274="PT",VLOOKUP(L274,Foundation_Calc!$K$4:$R$37,VLOOKUP(AW274,Foundation_Calc!$I$2:$J$8,2,FALSE),0),
IF(AX274="K",VLOOKUP(L274,Foundation_Calc!$K$41:$R$74,VLOOKUP(AW274,Foundation_Calc!$I$2:$J$8,2,FALSE),0),"")))</f>
        <v/>
      </c>
      <c r="AZ274" s="631" t="str">
        <f>IF(K274="","",
IF(AX274="PT",VLOOKUP(K274,Foundation_Calc!$K$4:$R$37,VLOOKUP(AW274,Foundation_Calc!$I$2:$J$8,2,FALSE),0),
IF(AX274="K",VLOOKUP(K274,Foundation_Calc!$K$41:$R$74,VLOOKUP(AW274,Foundation_Calc!$I$2:$J$8,2,FALSE),0),"")))</f>
        <v/>
      </c>
      <c r="BA274" s="632" t="str">
        <f t="shared" si="20"/>
        <v/>
      </c>
      <c r="BB274" s="632" t="str">
        <f t="shared" si="21"/>
        <v/>
      </c>
      <c r="BC274" s="632" t="str">
        <f t="shared" si="22"/>
        <v/>
      </c>
      <c r="BD274" s="633" t="str">
        <f>IF(AND(L274="",H274=""),"",
IF(H274="",Pole_Calc!A302,
IF(H274="MP",Pole_Calc!A303,
IF(H274="AnMP",Pole_Calc!A304,
IF(H274="A",Pole_Calc!A305,
IF(H274="S/A",Pole_Calc!A306,
IF(H274="A/S",Pole_Calc!A307,"Poner a mano")))))))</f>
        <v/>
      </c>
      <c r="BE274" s="448" t="s">
        <v>1726</v>
      </c>
      <c r="BF274" s="634"/>
      <c r="BG274" s="634"/>
      <c r="BH274" s="634"/>
      <c r="BI274" s="634"/>
    </row>
    <row r="275" spans="1:61" ht="16.2" customHeight="1">
      <c r="A275" s="12"/>
      <c r="B275" s="446"/>
      <c r="C275" s="89"/>
      <c r="D275" s="13"/>
      <c r="E275" s="14"/>
      <c r="F275" s="14"/>
      <c r="G275" s="15"/>
      <c r="H275" s="8"/>
      <c r="I275" s="8"/>
      <c r="J275" s="89"/>
      <c r="K275" s="8"/>
      <c r="L275" s="8"/>
      <c r="M275" s="8" t="str">
        <f>IF(L275="","",
IF(AX275="PT",VLOOKUP(L275,Foundation_Calc!$V$4:$X$37,VLOOKUP(AX275,Foundation_Calc!$I$10:$J$13,2,FALSE),0),
IF(AX275="K",VLOOKUP(L275,Foundation_Calc!$V$41:$X$74,VLOOKUP(AX275,Foundation_Calc!$I$10:$J$13,2,FALSE),0),"")))</f>
        <v/>
      </c>
      <c r="N275" s="8"/>
      <c r="O275" s="8"/>
      <c r="P275" s="8"/>
      <c r="Q275" s="14"/>
      <c r="R275" s="15"/>
      <c r="S275" s="15"/>
      <c r="T275" s="14"/>
      <c r="U275" s="14"/>
      <c r="V275" s="14"/>
      <c r="W275" s="18"/>
      <c r="X275" s="18"/>
      <c r="Y275" s="18"/>
      <c r="Z275" s="18"/>
      <c r="AA275" s="18"/>
      <c r="AB275" s="18"/>
      <c r="AC275" s="8" t="str">
        <f t="shared" si="19"/>
        <v/>
      </c>
      <c r="AD275" s="8"/>
      <c r="AE275" s="8"/>
      <c r="AF275" s="14"/>
      <c r="AG275" s="13"/>
      <c r="AH275" s="14"/>
      <c r="AI275" s="14"/>
      <c r="AJ275" s="8"/>
      <c r="AK275" s="8"/>
      <c r="AL275" s="8"/>
      <c r="AM275" s="8"/>
      <c r="AN275" s="631"/>
      <c r="AO275" s="18"/>
      <c r="AP275" s="18"/>
      <c r="AQ275" s="18"/>
      <c r="AR275" s="18"/>
      <c r="AS275" s="18"/>
      <c r="AU275" s="448"/>
      <c r="AV275" s="448"/>
      <c r="AW275" s="8" t="str">
        <f>IF(C275&gt;0,VLOOKUP(C275,Foundation_Calc!$A$2:$C$986,3,1),
IF(J275&gt;0,VLOOKUP(J275,Foundation_Calc!$A$2:$C$986,3,1),""))</f>
        <v/>
      </c>
      <c r="AX275" s="8" t="str">
        <f>IF(C275&gt;0,VLOOKUP(C275,Foundation_Calc!$E$2:$G$986,3,1),
IF(J275&gt;0,VLOOKUP(J275,Foundation_Calc!$E$2:$G$986,3,1),""))</f>
        <v/>
      </c>
      <c r="AY275" s="631" t="str">
        <f>IF(L275="","",
IF(AX275="PT",VLOOKUP(L275,Foundation_Calc!$K$4:$R$37,VLOOKUP(AW275,Foundation_Calc!$I$2:$J$8,2,FALSE),0),
IF(AX275="K",VLOOKUP(L275,Foundation_Calc!$K$41:$R$74,VLOOKUP(AW275,Foundation_Calc!$I$2:$J$8,2,FALSE),0),"")))</f>
        <v/>
      </c>
      <c r="AZ275" s="631" t="str">
        <f>IF(K275="","",
IF(AX275="PT",VLOOKUP(K275,Foundation_Calc!$K$4:$R$37,VLOOKUP(AW275,Foundation_Calc!$I$2:$J$8,2,FALSE),0),
IF(AX275="K",VLOOKUP(K275,Foundation_Calc!$K$41:$R$74,VLOOKUP(AW275,Foundation_Calc!$I$2:$J$8,2,FALSE),0),"")))</f>
        <v/>
      </c>
      <c r="BA275" s="632" t="str">
        <f t="shared" si="20"/>
        <v/>
      </c>
      <c r="BB275" s="632" t="str">
        <f t="shared" si="21"/>
        <v/>
      </c>
      <c r="BC275" s="632" t="str">
        <f t="shared" si="22"/>
        <v/>
      </c>
      <c r="BD275" s="633" t="str">
        <f>IF(AND(L275="",H275=""),"",
IF(H275="",Pole_Calc!A303,
IF(H275="MP",Pole_Calc!A304,
IF(H275="AnMP",Pole_Calc!A305,
IF(H275="A",Pole_Calc!A306,
IF(H275="S/A",Pole_Calc!A307,
IF(H275="A/S",Pole_Calc!A308,"Poner a mano")))))))</f>
        <v/>
      </c>
      <c r="BE275" s="448" t="s">
        <v>1726</v>
      </c>
      <c r="BF275" s="635"/>
      <c r="BG275" s="635"/>
      <c r="BH275" s="634"/>
      <c r="BI275" s="635"/>
    </row>
    <row r="276" spans="1:61" ht="16.2" customHeight="1">
      <c r="A276" s="12"/>
      <c r="B276" s="446"/>
      <c r="C276" s="89"/>
      <c r="D276" s="13"/>
      <c r="E276" s="14"/>
      <c r="F276" s="14"/>
      <c r="G276" s="15"/>
      <c r="H276" s="8"/>
      <c r="I276" s="8"/>
      <c r="J276" s="89"/>
      <c r="K276" s="8"/>
      <c r="L276" s="8"/>
      <c r="M276" s="8" t="str">
        <f>IF(L276="","",
IF(AX276="PT",VLOOKUP(L276,Foundation_Calc!$V$4:$X$37,VLOOKUP(AX276,Foundation_Calc!$I$10:$J$13,2,FALSE),0),
IF(AX276="K",VLOOKUP(L276,Foundation_Calc!$V$41:$X$74,VLOOKUP(AX276,Foundation_Calc!$I$10:$J$13,2,FALSE),0),"")))</f>
        <v/>
      </c>
      <c r="N276" s="8"/>
      <c r="O276" s="8"/>
      <c r="P276" s="8"/>
      <c r="Q276" s="14"/>
      <c r="R276" s="15"/>
      <c r="S276" s="15"/>
      <c r="T276" s="14"/>
      <c r="U276" s="14"/>
      <c r="V276" s="14"/>
      <c r="W276" s="18"/>
      <c r="X276" s="18"/>
      <c r="Y276" s="18"/>
      <c r="Z276" s="18"/>
      <c r="AA276" s="18"/>
      <c r="AB276" s="18"/>
      <c r="AC276" s="8" t="str">
        <f t="shared" si="19"/>
        <v/>
      </c>
      <c r="AD276" s="8"/>
      <c r="AE276" s="8"/>
      <c r="AF276" s="14"/>
      <c r="AG276" s="13"/>
      <c r="AH276" s="14"/>
      <c r="AI276" s="14"/>
      <c r="AJ276" s="8"/>
      <c r="AK276" s="8"/>
      <c r="AL276" s="8"/>
      <c r="AM276" s="8"/>
      <c r="AN276" s="631"/>
      <c r="AO276" s="18"/>
      <c r="AP276" s="18"/>
      <c r="AQ276" s="18"/>
      <c r="AR276" s="18"/>
      <c r="AS276" s="18"/>
      <c r="AU276" s="448"/>
      <c r="AV276" s="448"/>
      <c r="AW276" s="8" t="str">
        <f>IF(C276&gt;0,VLOOKUP(C276,Foundation_Calc!$A$2:$C$986,3,1),
IF(J276&gt;0,VLOOKUP(J276,Foundation_Calc!$A$2:$C$986,3,1),""))</f>
        <v/>
      </c>
      <c r="AX276" s="8" t="str">
        <f>IF(C276&gt;0,VLOOKUP(C276,Foundation_Calc!$E$2:$G$986,3,1),
IF(J276&gt;0,VLOOKUP(J276,Foundation_Calc!$E$2:$G$986,3,1),""))</f>
        <v/>
      </c>
      <c r="AY276" s="631" t="str">
        <f>IF(L276="","",
IF(AX276="PT",VLOOKUP(L276,Foundation_Calc!$K$4:$R$37,VLOOKUP(AW276,Foundation_Calc!$I$2:$J$8,2,FALSE),0),
IF(AX276="K",VLOOKUP(L276,Foundation_Calc!$K$41:$R$74,VLOOKUP(AW276,Foundation_Calc!$I$2:$J$8,2,FALSE),0),"")))</f>
        <v/>
      </c>
      <c r="AZ276" s="631" t="str">
        <f>IF(K276="","",
IF(AX276="PT",VLOOKUP(K276,Foundation_Calc!$K$4:$R$37,VLOOKUP(AW276,Foundation_Calc!$I$2:$J$8,2,FALSE),0),
IF(AX276="K",VLOOKUP(K276,Foundation_Calc!$K$41:$R$74,VLOOKUP(AW276,Foundation_Calc!$I$2:$J$8,2,FALSE),0),"")))</f>
        <v/>
      </c>
      <c r="BA276" s="632" t="str">
        <f t="shared" si="20"/>
        <v/>
      </c>
      <c r="BB276" s="632" t="str">
        <f t="shared" si="21"/>
        <v/>
      </c>
      <c r="BC276" s="632" t="str">
        <f t="shared" si="22"/>
        <v/>
      </c>
      <c r="BD276" s="633" t="str">
        <f>IF(AND(L276="",H276=""),"",
IF(H276="",Pole_Calc!A304,
IF(H276="MP",Pole_Calc!A305,
IF(H276="AnMP",Pole_Calc!A306,
IF(H276="A",Pole_Calc!A307,
IF(H276="S/A",Pole_Calc!A308,
IF(H276="A/S",Pole_Calc!A309,"Poner a mano")))))))</f>
        <v/>
      </c>
      <c r="BE276" s="448" t="s">
        <v>1726</v>
      </c>
      <c r="BF276" s="634"/>
      <c r="BG276" s="634"/>
      <c r="BH276" s="634"/>
      <c r="BI276" s="634"/>
    </row>
    <row r="277" spans="1:61" ht="16.2" customHeight="1">
      <c r="A277" s="12"/>
      <c r="B277" s="446"/>
      <c r="C277" s="89"/>
      <c r="D277" s="13"/>
      <c r="E277" s="14"/>
      <c r="F277" s="14"/>
      <c r="G277" s="15"/>
      <c r="H277" s="8"/>
      <c r="I277" s="8"/>
      <c r="J277" s="89"/>
      <c r="K277" s="8"/>
      <c r="L277" s="8"/>
      <c r="M277" s="8" t="str">
        <f>IF(L277="","",
IF(AX277="PT",VLOOKUP(L277,Foundation_Calc!$V$4:$X$37,VLOOKUP(AX277,Foundation_Calc!$I$10:$J$13,2,FALSE),0),
IF(AX277="K",VLOOKUP(L277,Foundation_Calc!$V$41:$X$74,VLOOKUP(AX277,Foundation_Calc!$I$10:$J$13,2,FALSE),0),"")))</f>
        <v/>
      </c>
      <c r="N277" s="8"/>
      <c r="O277" s="8"/>
      <c r="P277" s="8"/>
      <c r="Q277" s="14"/>
      <c r="R277" s="15"/>
      <c r="S277" s="15"/>
      <c r="T277" s="14"/>
      <c r="U277" s="14"/>
      <c r="V277" s="14"/>
      <c r="W277" s="18"/>
      <c r="X277" s="18"/>
      <c r="Y277" s="18"/>
      <c r="Z277" s="18"/>
      <c r="AA277" s="18"/>
      <c r="AB277" s="18"/>
      <c r="AC277" s="8" t="str">
        <f t="shared" si="19"/>
        <v/>
      </c>
      <c r="AD277" s="8"/>
      <c r="AE277" s="8"/>
      <c r="AF277" s="14"/>
      <c r="AG277" s="13"/>
      <c r="AH277" s="14"/>
      <c r="AI277" s="14"/>
      <c r="AJ277" s="8"/>
      <c r="AK277" s="8"/>
      <c r="AL277" s="8"/>
      <c r="AM277" s="8"/>
      <c r="AN277" s="631"/>
      <c r="AO277" s="18"/>
      <c r="AP277" s="18"/>
      <c r="AQ277" s="18"/>
      <c r="AR277" s="18"/>
      <c r="AS277" s="18"/>
      <c r="AU277" s="448"/>
      <c r="AV277" s="448"/>
      <c r="AW277" s="8" t="str">
        <f>IF(C277&gt;0,VLOOKUP(C277,Foundation_Calc!$A$2:$C$986,3,1),
IF(J277&gt;0,VLOOKUP(J277,Foundation_Calc!$A$2:$C$986,3,1),""))</f>
        <v/>
      </c>
      <c r="AX277" s="8" t="str">
        <f>IF(C277&gt;0,VLOOKUP(C277,Foundation_Calc!$E$2:$G$986,3,1),
IF(J277&gt;0,VLOOKUP(J277,Foundation_Calc!$E$2:$G$986,3,1),""))</f>
        <v/>
      </c>
      <c r="AY277" s="631" t="str">
        <f>IF(L277="","",
IF(AX277="PT",VLOOKUP(L277,Foundation_Calc!$K$4:$R$37,VLOOKUP(AW277,Foundation_Calc!$I$2:$J$8,2,FALSE),0),
IF(AX277="K",VLOOKUP(L277,Foundation_Calc!$K$41:$R$74,VLOOKUP(AW277,Foundation_Calc!$I$2:$J$8,2,FALSE),0),"")))</f>
        <v/>
      </c>
      <c r="AZ277" s="631" t="str">
        <f>IF(K277="","",
IF(AX277="PT",VLOOKUP(K277,Foundation_Calc!$K$4:$R$37,VLOOKUP(AW277,Foundation_Calc!$I$2:$J$8,2,FALSE),0),
IF(AX277="K",VLOOKUP(K277,Foundation_Calc!$K$41:$R$74,VLOOKUP(AW277,Foundation_Calc!$I$2:$J$8,2,FALSE),0),"")))</f>
        <v/>
      </c>
      <c r="BA277" s="632" t="str">
        <f t="shared" si="20"/>
        <v/>
      </c>
      <c r="BB277" s="632" t="str">
        <f t="shared" si="21"/>
        <v/>
      </c>
      <c r="BC277" s="632" t="str">
        <f t="shared" si="22"/>
        <v/>
      </c>
      <c r="BD277" s="633" t="str">
        <f>IF(AND(L277="",H277=""),"",
IF(H277="",Pole_Calc!A305,
IF(H277="MP",Pole_Calc!A306,
IF(H277="AnMP",Pole_Calc!A307,
IF(H277="A",Pole_Calc!A308,
IF(H277="S/A",Pole_Calc!A309,
IF(H277="A/S",Pole_Calc!A310,"Poner a mano")))))))</f>
        <v/>
      </c>
      <c r="BE277" s="448" t="s">
        <v>1726</v>
      </c>
      <c r="BF277" s="635"/>
      <c r="BG277" s="635"/>
      <c r="BH277" s="634"/>
      <c r="BI277" s="635"/>
    </row>
    <row r="278" spans="1:61" ht="16.2" customHeight="1">
      <c r="A278" s="12"/>
      <c r="B278" s="446"/>
      <c r="C278" s="89"/>
      <c r="D278" s="13"/>
      <c r="E278" s="14"/>
      <c r="F278" s="14"/>
      <c r="G278" s="15"/>
      <c r="H278" s="8"/>
      <c r="I278" s="8"/>
      <c r="J278" s="89"/>
      <c r="K278" s="8"/>
      <c r="L278" s="8"/>
      <c r="M278" s="8" t="str">
        <f>IF(L278="","",
IF(AX278="PT",VLOOKUP(L278,Foundation_Calc!$V$4:$X$37,VLOOKUP(AX278,Foundation_Calc!$I$10:$J$13,2,FALSE),0),
IF(AX278="K",VLOOKUP(L278,Foundation_Calc!$V$41:$X$74,VLOOKUP(AX278,Foundation_Calc!$I$10:$J$13,2,FALSE),0),"")))</f>
        <v/>
      </c>
      <c r="N278" s="8"/>
      <c r="O278" s="8"/>
      <c r="P278" s="8"/>
      <c r="Q278" s="14"/>
      <c r="R278" s="15"/>
      <c r="S278" s="15"/>
      <c r="T278" s="14"/>
      <c r="U278" s="14"/>
      <c r="V278" s="14"/>
      <c r="W278" s="18"/>
      <c r="X278" s="18"/>
      <c r="Y278" s="18"/>
      <c r="Z278" s="18"/>
      <c r="AA278" s="18"/>
      <c r="AB278" s="18"/>
      <c r="AC278" s="8" t="str">
        <f t="shared" si="19"/>
        <v/>
      </c>
      <c r="AD278" s="8"/>
      <c r="AE278" s="8"/>
      <c r="AF278" s="14"/>
      <c r="AG278" s="13"/>
      <c r="AH278" s="14"/>
      <c r="AI278" s="14"/>
      <c r="AJ278" s="8"/>
      <c r="AK278" s="8"/>
      <c r="AL278" s="8"/>
      <c r="AM278" s="8"/>
      <c r="AN278" s="631"/>
      <c r="AO278" s="18"/>
      <c r="AP278" s="18"/>
      <c r="AQ278" s="18"/>
      <c r="AR278" s="18"/>
      <c r="AS278" s="18"/>
      <c r="AU278" s="448"/>
      <c r="AV278" s="448"/>
      <c r="AW278" s="8" t="str">
        <f>IF(C278&gt;0,VLOOKUP(C278,Foundation_Calc!$A$2:$C$986,3,1),
IF(J278&gt;0,VLOOKUP(J278,Foundation_Calc!$A$2:$C$986,3,1),""))</f>
        <v/>
      </c>
      <c r="AX278" s="8" t="str">
        <f>IF(C278&gt;0,VLOOKUP(C278,Foundation_Calc!$E$2:$G$986,3,1),
IF(J278&gt;0,VLOOKUP(J278,Foundation_Calc!$E$2:$G$986,3,1),""))</f>
        <v/>
      </c>
      <c r="AY278" s="631" t="str">
        <f>IF(L278="","",
IF(AX278="PT",VLOOKUP(L278,Foundation_Calc!$K$4:$R$37,VLOOKUP(AW278,Foundation_Calc!$I$2:$J$8,2,FALSE),0),
IF(AX278="K",VLOOKUP(L278,Foundation_Calc!$K$41:$R$74,VLOOKUP(AW278,Foundation_Calc!$I$2:$J$8,2,FALSE),0),"")))</f>
        <v/>
      </c>
      <c r="AZ278" s="631" t="str">
        <f>IF(K278="","",
IF(AX278="PT",VLOOKUP(K278,Foundation_Calc!$K$4:$R$37,VLOOKUP(AW278,Foundation_Calc!$I$2:$J$8,2,FALSE),0),
IF(AX278="K",VLOOKUP(K278,Foundation_Calc!$K$41:$R$74,VLOOKUP(AW278,Foundation_Calc!$I$2:$J$8,2,FALSE),0),"")))</f>
        <v/>
      </c>
      <c r="BA278" s="632" t="str">
        <f t="shared" si="20"/>
        <v/>
      </c>
      <c r="BB278" s="632" t="str">
        <f t="shared" si="21"/>
        <v/>
      </c>
      <c r="BC278" s="632" t="str">
        <f t="shared" si="22"/>
        <v/>
      </c>
      <c r="BD278" s="633" t="str">
        <f>IF(AND(L278="",H278=""),"",
IF(H278="",Pole_Calc!A306,
IF(H278="MP",Pole_Calc!A307,
IF(H278="AnMP",Pole_Calc!A308,
IF(H278="A",Pole_Calc!A309,
IF(H278="S/A",Pole_Calc!A310,
IF(H278="A/S",Pole_Calc!A311,"Poner a mano")))))))</f>
        <v/>
      </c>
      <c r="BE278" s="448" t="s">
        <v>1726</v>
      </c>
      <c r="BF278" s="634"/>
      <c r="BG278" s="634"/>
      <c r="BH278" s="634"/>
      <c r="BI278" s="634"/>
    </row>
    <row r="279" spans="1:61" ht="16.2" customHeight="1">
      <c r="A279" s="12"/>
      <c r="B279" s="446"/>
      <c r="C279" s="89"/>
      <c r="D279" s="13"/>
      <c r="E279" s="14"/>
      <c r="F279" s="14"/>
      <c r="G279" s="15"/>
      <c r="H279" s="8"/>
      <c r="I279" s="8"/>
      <c r="J279" s="89"/>
      <c r="K279" s="8"/>
      <c r="L279" s="8"/>
      <c r="M279" s="8" t="str">
        <f>IF(L279="","",
IF(AX279="PT",VLOOKUP(L279,Foundation_Calc!$V$4:$X$37,VLOOKUP(AX279,Foundation_Calc!$I$10:$J$13,2,FALSE),0),
IF(AX279="K",VLOOKUP(L279,Foundation_Calc!$V$41:$X$74,VLOOKUP(AX279,Foundation_Calc!$I$10:$J$13,2,FALSE),0),"")))</f>
        <v/>
      </c>
      <c r="N279" s="8"/>
      <c r="O279" s="8"/>
      <c r="P279" s="8"/>
      <c r="Q279" s="14"/>
      <c r="R279" s="15"/>
      <c r="S279" s="15"/>
      <c r="T279" s="14"/>
      <c r="U279" s="14"/>
      <c r="V279" s="14"/>
      <c r="W279" s="18"/>
      <c r="X279" s="18"/>
      <c r="Y279" s="18"/>
      <c r="Z279" s="18"/>
      <c r="AA279" s="18"/>
      <c r="AB279" s="18"/>
      <c r="AC279" s="8" t="str">
        <f t="shared" si="19"/>
        <v/>
      </c>
      <c r="AD279" s="8"/>
      <c r="AE279" s="8"/>
      <c r="AF279" s="14"/>
      <c r="AG279" s="13"/>
      <c r="AH279" s="14"/>
      <c r="AI279" s="14"/>
      <c r="AJ279" s="8"/>
      <c r="AK279" s="8"/>
      <c r="AL279" s="8"/>
      <c r="AM279" s="8"/>
      <c r="AN279" s="631"/>
      <c r="AO279" s="18"/>
      <c r="AP279" s="18"/>
      <c r="AQ279" s="18"/>
      <c r="AR279" s="18"/>
      <c r="AS279" s="18"/>
      <c r="AU279" s="448"/>
      <c r="AV279" s="448"/>
      <c r="AW279" s="8" t="str">
        <f>IF(C279&gt;0,VLOOKUP(C279,Foundation_Calc!$A$2:$C$986,3,1),
IF(J279&gt;0,VLOOKUP(J279,Foundation_Calc!$A$2:$C$986,3,1),""))</f>
        <v/>
      </c>
      <c r="AX279" s="8" t="str">
        <f>IF(C279&gt;0,VLOOKUP(C279,Foundation_Calc!$E$2:$G$986,3,1),
IF(J279&gt;0,VLOOKUP(J279,Foundation_Calc!$E$2:$G$986,3,1),""))</f>
        <v/>
      </c>
      <c r="AY279" s="631" t="str">
        <f>IF(L279="","",
IF(AX279="PT",VLOOKUP(L279,Foundation_Calc!$K$4:$R$37,VLOOKUP(AW279,Foundation_Calc!$I$2:$J$8,2,FALSE),0),
IF(AX279="K",VLOOKUP(L279,Foundation_Calc!$K$41:$R$74,VLOOKUP(AW279,Foundation_Calc!$I$2:$J$8,2,FALSE),0),"")))</f>
        <v/>
      </c>
      <c r="AZ279" s="631" t="str">
        <f>IF(K279="","",
IF(AX279="PT",VLOOKUP(K279,Foundation_Calc!$K$4:$R$37,VLOOKUP(AW279,Foundation_Calc!$I$2:$J$8,2,FALSE),0),
IF(AX279="K",VLOOKUP(K279,Foundation_Calc!$K$41:$R$74,VLOOKUP(AW279,Foundation_Calc!$I$2:$J$8,2,FALSE),0),"")))</f>
        <v/>
      </c>
      <c r="BA279" s="632" t="str">
        <f t="shared" si="20"/>
        <v/>
      </c>
      <c r="BB279" s="632" t="str">
        <f t="shared" si="21"/>
        <v/>
      </c>
      <c r="BC279" s="632" t="str">
        <f t="shared" si="22"/>
        <v/>
      </c>
      <c r="BD279" s="633" t="str">
        <f>IF(AND(L279="",H279=""),"",
IF(H279="",Pole_Calc!A307,
IF(H279="MP",Pole_Calc!A308,
IF(H279="AnMP",Pole_Calc!A309,
IF(H279="A",Pole_Calc!A310,
IF(H279="S/A",Pole_Calc!A311,
IF(H279="A/S",Pole_Calc!A312,"Poner a mano")))))))</f>
        <v/>
      </c>
      <c r="BE279" s="448" t="s">
        <v>1726</v>
      </c>
      <c r="BF279" s="635"/>
      <c r="BG279" s="635"/>
      <c r="BH279" s="634"/>
      <c r="BI279" s="635"/>
    </row>
    <row r="280" spans="1:61" ht="16.2" customHeight="1">
      <c r="A280" s="12"/>
      <c r="B280" s="446"/>
      <c r="C280" s="89"/>
      <c r="D280" s="13"/>
      <c r="E280" s="14"/>
      <c r="F280" s="14"/>
      <c r="G280" s="15"/>
      <c r="H280" s="8"/>
      <c r="I280" s="8"/>
      <c r="J280" s="89"/>
      <c r="K280" s="8"/>
      <c r="L280" s="8"/>
      <c r="M280" s="8" t="str">
        <f>IF(L280="","",
IF(AX280="PT",VLOOKUP(L280,Foundation_Calc!$V$4:$X$37,VLOOKUP(AX280,Foundation_Calc!$I$10:$J$13,2,FALSE),0),
IF(AX280="K",VLOOKUP(L280,Foundation_Calc!$V$41:$X$74,VLOOKUP(AX280,Foundation_Calc!$I$10:$J$13,2,FALSE),0),"")))</f>
        <v/>
      </c>
      <c r="N280" s="8"/>
      <c r="O280" s="8"/>
      <c r="P280" s="8"/>
      <c r="Q280" s="14"/>
      <c r="R280" s="15"/>
      <c r="S280" s="15"/>
      <c r="T280" s="14"/>
      <c r="U280" s="14"/>
      <c r="V280" s="14"/>
      <c r="W280" s="18"/>
      <c r="X280" s="18"/>
      <c r="Y280" s="18"/>
      <c r="Z280" s="18"/>
      <c r="AA280" s="18"/>
      <c r="AB280" s="18"/>
      <c r="AC280" s="8" t="str">
        <f t="shared" si="19"/>
        <v/>
      </c>
      <c r="AD280" s="8"/>
      <c r="AE280" s="8"/>
      <c r="AF280" s="14"/>
      <c r="AG280" s="13"/>
      <c r="AH280" s="14"/>
      <c r="AI280" s="14"/>
      <c r="AJ280" s="8"/>
      <c r="AK280" s="8"/>
      <c r="AL280" s="8"/>
      <c r="AM280" s="8"/>
      <c r="AN280" s="631"/>
      <c r="AO280" s="18"/>
      <c r="AP280" s="18"/>
      <c r="AQ280" s="18"/>
      <c r="AR280" s="18"/>
      <c r="AS280" s="18"/>
      <c r="AU280" s="448"/>
      <c r="AV280" s="448"/>
      <c r="AW280" s="8" t="str">
        <f>IF(C280&gt;0,VLOOKUP(C280,Foundation_Calc!$A$2:$C$986,3,1),
IF(J280&gt;0,VLOOKUP(J280,Foundation_Calc!$A$2:$C$986,3,1),""))</f>
        <v/>
      </c>
      <c r="AX280" s="8" t="str">
        <f>IF(C280&gt;0,VLOOKUP(C280,Foundation_Calc!$E$2:$G$986,3,1),
IF(J280&gt;0,VLOOKUP(J280,Foundation_Calc!$E$2:$G$986,3,1),""))</f>
        <v/>
      </c>
      <c r="AY280" s="631" t="str">
        <f>IF(L280="","",
IF(AX280="PT",VLOOKUP(L280,Foundation_Calc!$K$4:$R$37,VLOOKUP(AW280,Foundation_Calc!$I$2:$J$8,2,FALSE),0),
IF(AX280="K",VLOOKUP(L280,Foundation_Calc!$K$41:$R$74,VLOOKUP(AW280,Foundation_Calc!$I$2:$J$8,2,FALSE),0),"")))</f>
        <v/>
      </c>
      <c r="AZ280" s="631" t="str">
        <f>IF(K280="","",
IF(AX280="PT",VLOOKUP(K280,Foundation_Calc!$K$4:$R$37,VLOOKUP(AW280,Foundation_Calc!$I$2:$J$8,2,FALSE),0),
IF(AX280="K",VLOOKUP(K280,Foundation_Calc!$K$41:$R$74,VLOOKUP(AW280,Foundation_Calc!$I$2:$J$8,2,FALSE),0),"")))</f>
        <v/>
      </c>
      <c r="BA280" s="632" t="str">
        <f t="shared" si="20"/>
        <v/>
      </c>
      <c r="BB280" s="632" t="str">
        <f t="shared" si="21"/>
        <v/>
      </c>
      <c r="BC280" s="632" t="str">
        <f t="shared" si="22"/>
        <v/>
      </c>
      <c r="BD280" s="633" t="str">
        <f>IF(AND(L280="",H280=""),"",
IF(H280="",Pole_Calc!A308,
IF(H280="MP",Pole_Calc!A309,
IF(H280="AnMP",Pole_Calc!A310,
IF(H280="A",Pole_Calc!A311,
IF(H280="S/A",Pole_Calc!A312,
IF(H280="A/S",Pole_Calc!A313,"Poner a mano")))))))</f>
        <v/>
      </c>
      <c r="BE280" s="448" t="s">
        <v>1726</v>
      </c>
      <c r="BF280" s="634"/>
      <c r="BG280" s="634"/>
      <c r="BH280" s="634"/>
      <c r="BI280" s="634"/>
    </row>
    <row r="281" spans="1:61" ht="16.2" customHeight="1">
      <c r="A281" s="12"/>
      <c r="B281" s="446"/>
      <c r="C281" s="89"/>
      <c r="D281" s="13"/>
      <c r="E281" s="14"/>
      <c r="F281" s="14"/>
      <c r="G281" s="15"/>
      <c r="H281" s="8"/>
      <c r="I281" s="8"/>
      <c r="J281" s="89"/>
      <c r="K281" s="8"/>
      <c r="L281" s="8"/>
      <c r="M281" s="8" t="str">
        <f>IF(L281="","",
IF(AX281="PT",VLOOKUP(L281,Foundation_Calc!$V$4:$X$37,VLOOKUP(AX281,Foundation_Calc!$I$10:$J$13,2,FALSE),0),
IF(AX281="K",VLOOKUP(L281,Foundation_Calc!$V$41:$X$74,VLOOKUP(AX281,Foundation_Calc!$I$10:$J$13,2,FALSE),0),"")))</f>
        <v/>
      </c>
      <c r="N281" s="8"/>
      <c r="O281" s="8"/>
      <c r="P281" s="8"/>
      <c r="Q281" s="14"/>
      <c r="R281" s="15"/>
      <c r="S281" s="15"/>
      <c r="T281" s="14"/>
      <c r="U281" s="14"/>
      <c r="V281" s="14"/>
      <c r="W281" s="18"/>
      <c r="X281" s="18"/>
      <c r="Y281" s="18"/>
      <c r="Z281" s="18"/>
      <c r="AA281" s="18"/>
      <c r="AB281" s="18"/>
      <c r="AC281" s="8" t="str">
        <f t="shared" si="19"/>
        <v/>
      </c>
      <c r="AD281" s="8"/>
      <c r="AE281" s="8"/>
      <c r="AF281" s="14"/>
      <c r="AG281" s="13"/>
      <c r="AH281" s="14"/>
      <c r="AI281" s="14"/>
      <c r="AJ281" s="8"/>
      <c r="AK281" s="8"/>
      <c r="AL281" s="8"/>
      <c r="AM281" s="8"/>
      <c r="AN281" s="631"/>
      <c r="AO281" s="18"/>
      <c r="AP281" s="18"/>
      <c r="AQ281" s="18"/>
      <c r="AR281" s="18"/>
      <c r="AS281" s="18"/>
      <c r="AU281" s="448"/>
      <c r="AV281" s="448"/>
      <c r="AW281" s="8" t="str">
        <f>IF(C281&gt;0,VLOOKUP(C281,Foundation_Calc!$A$2:$C$986,3,1),
IF(J281&gt;0,VLOOKUP(J281,Foundation_Calc!$A$2:$C$986,3,1),""))</f>
        <v/>
      </c>
      <c r="AX281" s="8" t="str">
        <f>IF(C281&gt;0,VLOOKUP(C281,Foundation_Calc!$E$2:$G$986,3,1),
IF(J281&gt;0,VLOOKUP(J281,Foundation_Calc!$E$2:$G$986,3,1),""))</f>
        <v/>
      </c>
      <c r="AY281" s="631" t="str">
        <f>IF(L281="","",
IF(AX281="PT",VLOOKUP(L281,Foundation_Calc!$K$4:$R$37,VLOOKUP(AW281,Foundation_Calc!$I$2:$J$8,2,FALSE),0),
IF(AX281="K",VLOOKUP(L281,Foundation_Calc!$K$41:$R$74,VLOOKUP(AW281,Foundation_Calc!$I$2:$J$8,2,FALSE),0),"")))</f>
        <v/>
      </c>
      <c r="AZ281" s="631" t="str">
        <f>IF(K281="","",
IF(AX281="PT",VLOOKUP(K281,Foundation_Calc!$K$4:$R$37,VLOOKUP(AW281,Foundation_Calc!$I$2:$J$8,2,FALSE),0),
IF(AX281="K",VLOOKUP(K281,Foundation_Calc!$K$41:$R$74,VLOOKUP(AW281,Foundation_Calc!$I$2:$J$8,2,FALSE),0),"")))</f>
        <v/>
      </c>
      <c r="BA281" s="632" t="str">
        <f t="shared" si="20"/>
        <v/>
      </c>
      <c r="BB281" s="632" t="str">
        <f t="shared" si="21"/>
        <v/>
      </c>
      <c r="BC281" s="632" t="str">
        <f t="shared" si="22"/>
        <v/>
      </c>
      <c r="BD281" s="633" t="str">
        <f>IF(AND(L281="",H281=""),"",
IF(H281="",Pole_Calc!A309,
IF(H281="MP",Pole_Calc!A310,
IF(H281="AnMP",Pole_Calc!A311,
IF(H281="A",Pole_Calc!A312,
IF(H281="S/A",Pole_Calc!A313,
IF(H281="A/S",Pole_Calc!A314,"Poner a mano")))))))</f>
        <v/>
      </c>
      <c r="BE281" s="448" t="s">
        <v>1726</v>
      </c>
      <c r="BF281" s="635"/>
      <c r="BG281" s="635"/>
      <c r="BH281" s="634"/>
      <c r="BI281" s="635"/>
    </row>
    <row r="282" spans="1:61" ht="16.2" customHeight="1">
      <c r="A282" s="12"/>
      <c r="B282" s="446"/>
      <c r="C282" s="89"/>
      <c r="D282" s="13"/>
      <c r="E282" s="14"/>
      <c r="F282" s="14"/>
      <c r="G282" s="15"/>
      <c r="H282" s="8"/>
      <c r="I282" s="8"/>
      <c r="J282" s="89"/>
      <c r="K282" s="8"/>
      <c r="L282" s="8"/>
      <c r="M282" s="8" t="str">
        <f>IF(L282="","",
IF(AX282="PT",VLOOKUP(L282,Foundation_Calc!$V$4:$X$37,VLOOKUP(AX282,Foundation_Calc!$I$10:$J$13,2,FALSE),0),
IF(AX282="K",VLOOKUP(L282,Foundation_Calc!$V$41:$X$74,VLOOKUP(AX282,Foundation_Calc!$I$10:$J$13,2,FALSE),0),"")))</f>
        <v/>
      </c>
      <c r="N282" s="8"/>
      <c r="O282" s="8"/>
      <c r="P282" s="8"/>
      <c r="Q282" s="14"/>
      <c r="R282" s="15"/>
      <c r="S282" s="15"/>
      <c r="T282" s="14"/>
      <c r="U282" s="14"/>
      <c r="V282" s="14"/>
      <c r="W282" s="18"/>
      <c r="X282" s="18"/>
      <c r="Y282" s="18"/>
      <c r="Z282" s="18"/>
      <c r="AA282" s="18"/>
      <c r="AB282" s="18"/>
      <c r="AC282" s="8" t="str">
        <f t="shared" si="19"/>
        <v/>
      </c>
      <c r="AD282" s="8"/>
      <c r="AE282" s="8"/>
      <c r="AF282" s="14"/>
      <c r="AG282" s="13"/>
      <c r="AH282" s="14"/>
      <c r="AI282" s="14"/>
      <c r="AJ282" s="8"/>
      <c r="AK282" s="8"/>
      <c r="AL282" s="8"/>
      <c r="AM282" s="8"/>
      <c r="AN282" s="631"/>
      <c r="AO282" s="18"/>
      <c r="AP282" s="18"/>
      <c r="AQ282" s="18"/>
      <c r="AR282" s="18"/>
      <c r="AS282" s="18"/>
      <c r="AU282" s="448"/>
      <c r="AV282" s="448"/>
      <c r="AW282" s="8" t="str">
        <f>IF(C282&gt;0,VLOOKUP(C282,Foundation_Calc!$A$2:$C$986,3,1),
IF(J282&gt;0,VLOOKUP(J282,Foundation_Calc!$A$2:$C$986,3,1),""))</f>
        <v/>
      </c>
      <c r="AX282" s="8" t="str">
        <f>IF(C282&gt;0,VLOOKUP(C282,Foundation_Calc!$E$2:$G$986,3,1),
IF(J282&gt;0,VLOOKUP(J282,Foundation_Calc!$E$2:$G$986,3,1),""))</f>
        <v/>
      </c>
      <c r="AY282" s="631" t="str">
        <f>IF(L282="","",
IF(AX282="PT",VLOOKUP(L282,Foundation_Calc!$K$4:$R$37,VLOOKUP(AW282,Foundation_Calc!$I$2:$J$8,2,FALSE),0),
IF(AX282="K",VLOOKUP(L282,Foundation_Calc!$K$41:$R$74,VLOOKUP(AW282,Foundation_Calc!$I$2:$J$8,2,FALSE),0),"")))</f>
        <v/>
      </c>
      <c r="AZ282" s="631" t="str">
        <f>IF(K282="","",
IF(AX282="PT",VLOOKUP(K282,Foundation_Calc!$K$4:$R$37,VLOOKUP(AW282,Foundation_Calc!$I$2:$J$8,2,FALSE),0),
IF(AX282="K",VLOOKUP(K282,Foundation_Calc!$K$41:$R$74,VLOOKUP(AW282,Foundation_Calc!$I$2:$J$8,2,FALSE),0),"")))</f>
        <v/>
      </c>
      <c r="BA282" s="632" t="str">
        <f t="shared" si="20"/>
        <v/>
      </c>
      <c r="BB282" s="632" t="str">
        <f t="shared" si="21"/>
        <v/>
      </c>
      <c r="BC282" s="632" t="str">
        <f t="shared" si="22"/>
        <v/>
      </c>
      <c r="BD282" s="633" t="str">
        <f>IF(AND(L282="",H282=""),"",
IF(H282="",Pole_Calc!A310,
IF(H282="MP",Pole_Calc!A311,
IF(H282="AnMP",Pole_Calc!A312,
IF(H282="A",Pole_Calc!A313,
IF(H282="S/A",Pole_Calc!A314,
IF(H282="A/S",Pole_Calc!A315,"Poner a mano")))))))</f>
        <v/>
      </c>
      <c r="BE282" s="448" t="s">
        <v>1726</v>
      </c>
      <c r="BF282" s="634"/>
      <c r="BG282" s="634"/>
      <c r="BH282" s="634"/>
      <c r="BI282" s="634"/>
    </row>
    <row r="283" spans="1:61" ht="16.2" customHeight="1">
      <c r="A283" s="12"/>
      <c r="B283" s="446"/>
      <c r="C283" s="89"/>
      <c r="D283" s="13"/>
      <c r="E283" s="14"/>
      <c r="F283" s="14"/>
      <c r="G283" s="15"/>
      <c r="H283" s="8"/>
      <c r="I283" s="8"/>
      <c r="J283" s="89"/>
      <c r="K283" s="8"/>
      <c r="L283" s="8"/>
      <c r="M283" s="8" t="str">
        <f>IF(L283="","",
IF(AX283="PT",VLOOKUP(L283,Foundation_Calc!$V$4:$X$37,VLOOKUP(AX283,Foundation_Calc!$I$10:$J$13,2,FALSE),0),
IF(AX283="K",VLOOKUP(L283,Foundation_Calc!$V$41:$X$74,VLOOKUP(AX283,Foundation_Calc!$I$10:$J$13,2,FALSE),0),"")))</f>
        <v/>
      </c>
      <c r="N283" s="8"/>
      <c r="O283" s="8"/>
      <c r="P283" s="8"/>
      <c r="Q283" s="14"/>
      <c r="R283" s="15"/>
      <c r="S283" s="15"/>
      <c r="T283" s="14"/>
      <c r="U283" s="14"/>
      <c r="V283" s="14"/>
      <c r="W283" s="18"/>
      <c r="X283" s="18"/>
      <c r="Y283" s="18"/>
      <c r="Z283" s="18"/>
      <c r="AA283" s="18"/>
      <c r="AB283" s="18"/>
      <c r="AC283" s="8" t="str">
        <f t="shared" si="19"/>
        <v/>
      </c>
      <c r="AD283" s="8"/>
      <c r="AE283" s="8"/>
      <c r="AF283" s="14"/>
      <c r="AG283" s="13"/>
      <c r="AH283" s="14"/>
      <c r="AI283" s="14"/>
      <c r="AJ283" s="8"/>
      <c r="AK283" s="8"/>
      <c r="AL283" s="8"/>
      <c r="AM283" s="8"/>
      <c r="AN283" s="631"/>
      <c r="AO283" s="18"/>
      <c r="AP283" s="18"/>
      <c r="AQ283" s="18"/>
      <c r="AR283" s="18"/>
      <c r="AS283" s="18"/>
      <c r="AU283" s="448"/>
      <c r="AV283" s="448"/>
      <c r="AW283" s="8" t="str">
        <f>IF(C283&gt;0,VLOOKUP(C283,Foundation_Calc!$A$2:$C$986,3,1),
IF(J283&gt;0,VLOOKUP(J283,Foundation_Calc!$A$2:$C$986,3,1),""))</f>
        <v/>
      </c>
      <c r="AX283" s="8" t="str">
        <f>IF(C283&gt;0,VLOOKUP(C283,Foundation_Calc!$E$2:$G$986,3,1),
IF(J283&gt;0,VLOOKUP(J283,Foundation_Calc!$E$2:$G$986,3,1),""))</f>
        <v/>
      </c>
      <c r="AY283" s="631" t="str">
        <f>IF(L283="","",
IF(AX283="PT",VLOOKUP(L283,Foundation_Calc!$K$4:$R$37,VLOOKUP(AW283,Foundation_Calc!$I$2:$J$8,2,FALSE),0),
IF(AX283="K",VLOOKUP(L283,Foundation_Calc!$K$41:$R$74,VLOOKUP(AW283,Foundation_Calc!$I$2:$J$8,2,FALSE),0),"")))</f>
        <v/>
      </c>
      <c r="AZ283" s="631" t="str">
        <f>IF(K283="","",
IF(AX283="PT",VLOOKUP(K283,Foundation_Calc!$K$4:$R$37,VLOOKUP(AW283,Foundation_Calc!$I$2:$J$8,2,FALSE),0),
IF(AX283="K",VLOOKUP(K283,Foundation_Calc!$K$41:$R$74,VLOOKUP(AW283,Foundation_Calc!$I$2:$J$8,2,FALSE),0),"")))</f>
        <v/>
      </c>
      <c r="BA283" s="632" t="str">
        <f t="shared" si="20"/>
        <v/>
      </c>
      <c r="BB283" s="632" t="str">
        <f t="shared" si="21"/>
        <v/>
      </c>
      <c r="BC283" s="632" t="str">
        <f t="shared" si="22"/>
        <v/>
      </c>
      <c r="BD283" s="633" t="str">
        <f>IF(AND(L283="",H283=""),"",
IF(H283="",Pole_Calc!A311,
IF(H283="MP",Pole_Calc!A312,
IF(H283="AnMP",Pole_Calc!A313,
IF(H283="A",Pole_Calc!A314,
IF(H283="S/A",Pole_Calc!A315,
IF(H283="A/S",Pole_Calc!A316,"Poner a mano")))))))</f>
        <v/>
      </c>
      <c r="BE283" s="448" t="s">
        <v>1726</v>
      </c>
      <c r="BF283" s="635"/>
      <c r="BG283" s="635"/>
      <c r="BH283" s="634"/>
      <c r="BI283" s="635"/>
    </row>
    <row r="284" spans="1:61" ht="16.2" customHeight="1">
      <c r="A284" s="12"/>
      <c r="B284" s="446"/>
      <c r="C284" s="89"/>
      <c r="D284" s="13"/>
      <c r="E284" s="14"/>
      <c r="F284" s="14"/>
      <c r="G284" s="15"/>
      <c r="H284" s="8"/>
      <c r="I284" s="8"/>
      <c r="J284" s="89"/>
      <c r="K284" s="8"/>
      <c r="L284" s="8"/>
      <c r="M284" s="8" t="str">
        <f>IF(L284="","",
IF(AX284="PT",VLOOKUP(L284,Foundation_Calc!$V$4:$X$37,VLOOKUP(AX284,Foundation_Calc!$I$10:$J$13,2,FALSE),0),
IF(AX284="K",VLOOKUP(L284,Foundation_Calc!$V$41:$X$74,VLOOKUP(AX284,Foundation_Calc!$I$10:$J$13,2,FALSE),0),"")))</f>
        <v/>
      </c>
      <c r="N284" s="8"/>
      <c r="O284" s="8"/>
      <c r="P284" s="8"/>
      <c r="Q284" s="14"/>
      <c r="R284" s="15"/>
      <c r="S284" s="15"/>
      <c r="T284" s="14"/>
      <c r="U284" s="14"/>
      <c r="V284" s="14"/>
      <c r="W284" s="18"/>
      <c r="X284" s="18"/>
      <c r="Y284" s="18"/>
      <c r="Z284" s="18"/>
      <c r="AA284" s="18"/>
      <c r="AB284" s="18"/>
      <c r="AC284" s="8" t="str">
        <f t="shared" si="19"/>
        <v/>
      </c>
      <c r="AD284" s="8"/>
      <c r="AE284" s="8"/>
      <c r="AF284" s="14"/>
      <c r="AG284" s="13"/>
      <c r="AH284" s="14"/>
      <c r="AI284" s="14"/>
      <c r="AJ284" s="8"/>
      <c r="AK284" s="8"/>
      <c r="AL284" s="8"/>
      <c r="AM284" s="8"/>
      <c r="AN284" s="631"/>
      <c r="AO284" s="18"/>
      <c r="AP284" s="18"/>
      <c r="AQ284" s="18"/>
      <c r="AR284" s="18"/>
      <c r="AS284" s="18"/>
      <c r="AU284" s="448"/>
      <c r="AV284" s="448"/>
      <c r="AW284" s="8" t="str">
        <f>IF(C284&gt;0,VLOOKUP(C284,Foundation_Calc!$A$2:$C$986,3,1),
IF(J284&gt;0,VLOOKUP(J284,Foundation_Calc!$A$2:$C$986,3,1),""))</f>
        <v/>
      </c>
      <c r="AX284" s="8" t="str">
        <f>IF(C284&gt;0,VLOOKUP(C284,Foundation_Calc!$E$2:$G$986,3,1),
IF(J284&gt;0,VLOOKUP(J284,Foundation_Calc!$E$2:$G$986,3,1),""))</f>
        <v/>
      </c>
      <c r="AY284" s="631" t="str">
        <f>IF(L284="","",
IF(AX284="PT",VLOOKUP(L284,Foundation_Calc!$K$4:$R$37,VLOOKUP(AW284,Foundation_Calc!$I$2:$J$8,2,FALSE),0),
IF(AX284="K",VLOOKUP(L284,Foundation_Calc!$K$41:$R$74,VLOOKUP(AW284,Foundation_Calc!$I$2:$J$8,2,FALSE),0),"")))</f>
        <v/>
      </c>
      <c r="AZ284" s="631" t="str">
        <f>IF(K284="","",
IF(AX284="PT",VLOOKUP(K284,Foundation_Calc!$K$4:$R$37,VLOOKUP(AW284,Foundation_Calc!$I$2:$J$8,2,FALSE),0),
IF(AX284="K",VLOOKUP(K284,Foundation_Calc!$K$41:$R$74,VLOOKUP(AW284,Foundation_Calc!$I$2:$J$8,2,FALSE),0),"")))</f>
        <v/>
      </c>
      <c r="BA284" s="632" t="str">
        <f t="shared" si="20"/>
        <v/>
      </c>
      <c r="BB284" s="632" t="str">
        <f t="shared" si="21"/>
        <v/>
      </c>
      <c r="BC284" s="632" t="str">
        <f t="shared" si="22"/>
        <v/>
      </c>
      <c r="BD284" s="633" t="str">
        <f>IF(AND(L284="",H284=""),"",
IF(H284="",Pole_Calc!A312,
IF(H284="MP",Pole_Calc!A313,
IF(H284="AnMP",Pole_Calc!A314,
IF(H284="A",Pole_Calc!A315,
IF(H284="S/A",Pole_Calc!A316,
IF(H284="A/S",Pole_Calc!A317,"Poner a mano")))))))</f>
        <v/>
      </c>
      <c r="BE284" s="448" t="s">
        <v>1726</v>
      </c>
      <c r="BF284" s="634"/>
      <c r="BG284" s="634"/>
      <c r="BH284" s="634"/>
      <c r="BI284" s="634"/>
    </row>
    <row r="285" spans="1:61" ht="16.2" customHeight="1">
      <c r="A285" s="12"/>
      <c r="B285" s="446"/>
      <c r="C285" s="89"/>
      <c r="D285" s="13"/>
      <c r="E285" s="14"/>
      <c r="F285" s="14"/>
      <c r="G285" s="15"/>
      <c r="H285" s="8"/>
      <c r="I285" s="8"/>
      <c r="J285" s="89"/>
      <c r="K285" s="8"/>
      <c r="L285" s="8"/>
      <c r="M285" s="8" t="str">
        <f>IF(L285="","",
IF(AX285="PT",VLOOKUP(L285,Foundation_Calc!$V$4:$X$37,VLOOKUP(AX285,Foundation_Calc!$I$10:$J$13,2,FALSE),0),
IF(AX285="K",VLOOKUP(L285,Foundation_Calc!$V$41:$X$74,VLOOKUP(AX285,Foundation_Calc!$I$10:$J$13,2,FALSE),0),"")))</f>
        <v/>
      </c>
      <c r="N285" s="8"/>
      <c r="O285" s="8"/>
      <c r="P285" s="8"/>
      <c r="Q285" s="14"/>
      <c r="R285" s="15"/>
      <c r="S285" s="15"/>
      <c r="T285" s="14"/>
      <c r="U285" s="14"/>
      <c r="V285" s="14"/>
      <c r="W285" s="18"/>
      <c r="X285" s="18"/>
      <c r="Y285" s="18"/>
      <c r="Z285" s="18"/>
      <c r="AA285" s="18"/>
      <c r="AB285" s="18"/>
      <c r="AC285" s="8" t="str">
        <f t="shared" si="19"/>
        <v/>
      </c>
      <c r="AD285" s="8"/>
      <c r="AE285" s="8"/>
      <c r="AF285" s="14"/>
      <c r="AG285" s="13"/>
      <c r="AH285" s="14"/>
      <c r="AI285" s="14"/>
      <c r="AJ285" s="8"/>
      <c r="AK285" s="8"/>
      <c r="AL285" s="8"/>
      <c r="AM285" s="8"/>
      <c r="AN285" s="631"/>
      <c r="AO285" s="18"/>
      <c r="AP285" s="18"/>
      <c r="AQ285" s="18"/>
      <c r="AR285" s="18"/>
      <c r="AS285" s="18"/>
      <c r="AU285" s="448"/>
      <c r="AV285" s="448"/>
      <c r="AW285" s="8" t="str">
        <f>IF(C285&gt;0,VLOOKUP(C285,Foundation_Calc!$A$2:$C$986,3,1),
IF(J285&gt;0,VLOOKUP(J285,Foundation_Calc!$A$2:$C$986,3,1),""))</f>
        <v/>
      </c>
      <c r="AX285" s="8" t="str">
        <f>IF(C285&gt;0,VLOOKUP(C285,Foundation_Calc!$E$2:$G$986,3,1),
IF(J285&gt;0,VLOOKUP(J285,Foundation_Calc!$E$2:$G$986,3,1),""))</f>
        <v/>
      </c>
      <c r="AY285" s="631" t="str">
        <f>IF(L285="","",
IF(AX285="PT",VLOOKUP(L285,Foundation_Calc!$K$4:$R$37,VLOOKUP(AW285,Foundation_Calc!$I$2:$J$8,2,FALSE),0),
IF(AX285="K",VLOOKUP(L285,Foundation_Calc!$K$41:$R$74,VLOOKUP(AW285,Foundation_Calc!$I$2:$J$8,2,FALSE),0),"")))</f>
        <v/>
      </c>
      <c r="AZ285" s="631" t="str">
        <f>IF(K285="","",
IF(AX285="PT",VLOOKUP(K285,Foundation_Calc!$K$4:$R$37,VLOOKUP(AW285,Foundation_Calc!$I$2:$J$8,2,FALSE),0),
IF(AX285="K",VLOOKUP(K285,Foundation_Calc!$K$41:$R$74,VLOOKUP(AW285,Foundation_Calc!$I$2:$J$8,2,FALSE),0),"")))</f>
        <v/>
      </c>
      <c r="BA285" s="632" t="str">
        <f t="shared" si="20"/>
        <v/>
      </c>
      <c r="BB285" s="632" t="str">
        <f t="shared" si="21"/>
        <v/>
      </c>
      <c r="BC285" s="632" t="str">
        <f t="shared" si="22"/>
        <v/>
      </c>
      <c r="BD285" s="633" t="str">
        <f>IF(AND(L285="",H285=""),"",
IF(H285="",Pole_Calc!A313,
IF(H285="MP",Pole_Calc!A314,
IF(H285="AnMP",Pole_Calc!A315,
IF(H285="A",Pole_Calc!A316,
IF(H285="S/A",Pole_Calc!A317,
IF(H285="A/S",Pole_Calc!A318,"Poner a mano")))))))</f>
        <v/>
      </c>
      <c r="BE285" s="448" t="s">
        <v>1726</v>
      </c>
      <c r="BF285" s="635"/>
      <c r="BG285" s="635"/>
      <c r="BH285" s="634"/>
      <c r="BI285" s="635"/>
    </row>
    <row r="286" spans="1:61" ht="16.2" customHeight="1">
      <c r="A286" s="12"/>
      <c r="B286" s="446"/>
      <c r="C286" s="89"/>
      <c r="D286" s="13"/>
      <c r="E286" s="14"/>
      <c r="F286" s="14"/>
      <c r="G286" s="15"/>
      <c r="H286" s="8"/>
      <c r="I286" s="8"/>
      <c r="J286" s="89"/>
      <c r="K286" s="8"/>
      <c r="L286" s="8"/>
      <c r="M286" s="8" t="str">
        <f>IF(L286="","",
IF(AX286="PT",VLOOKUP(L286,Foundation_Calc!$V$4:$X$37,VLOOKUP(AX286,Foundation_Calc!$I$10:$J$13,2,FALSE),0),
IF(AX286="K",VLOOKUP(L286,Foundation_Calc!$V$41:$X$74,VLOOKUP(AX286,Foundation_Calc!$I$10:$J$13,2,FALSE),0),"")))</f>
        <v/>
      </c>
      <c r="N286" s="8"/>
      <c r="O286" s="8"/>
      <c r="P286" s="8"/>
      <c r="Q286" s="14"/>
      <c r="R286" s="15"/>
      <c r="S286" s="15"/>
      <c r="T286" s="14"/>
      <c r="U286" s="14"/>
      <c r="V286" s="14"/>
      <c r="W286" s="18"/>
      <c r="X286" s="18"/>
      <c r="Y286" s="18"/>
      <c r="Z286" s="18"/>
      <c r="AA286" s="18"/>
      <c r="AB286" s="18"/>
      <c r="AC286" s="8" t="str">
        <f t="shared" si="19"/>
        <v/>
      </c>
      <c r="AD286" s="8"/>
      <c r="AE286" s="8"/>
      <c r="AF286" s="14"/>
      <c r="AG286" s="13"/>
      <c r="AH286" s="14"/>
      <c r="AI286" s="14"/>
      <c r="AJ286" s="8"/>
      <c r="AK286" s="8"/>
      <c r="AL286" s="8"/>
      <c r="AM286" s="8"/>
      <c r="AN286" s="631"/>
      <c r="AO286" s="18"/>
      <c r="AP286" s="18"/>
      <c r="AQ286" s="18"/>
      <c r="AR286" s="18"/>
      <c r="AS286" s="18"/>
      <c r="AU286" s="448"/>
      <c r="AV286" s="448"/>
      <c r="AW286" s="8" t="str">
        <f>IF(C286&gt;0,VLOOKUP(C286,Foundation_Calc!$A$2:$C$986,3,1),
IF(J286&gt;0,VLOOKUP(J286,Foundation_Calc!$A$2:$C$986,3,1),""))</f>
        <v/>
      </c>
      <c r="AX286" s="8" t="str">
        <f>IF(C286&gt;0,VLOOKUP(C286,Foundation_Calc!$E$2:$G$986,3,1),
IF(J286&gt;0,VLOOKUP(J286,Foundation_Calc!$E$2:$G$986,3,1),""))</f>
        <v/>
      </c>
      <c r="AY286" s="631" t="str">
        <f>IF(L286="","",
IF(AX286="PT",VLOOKUP(L286,Foundation_Calc!$K$4:$R$37,VLOOKUP(AW286,Foundation_Calc!$I$2:$J$8,2,FALSE),0),
IF(AX286="K",VLOOKUP(L286,Foundation_Calc!$K$41:$R$74,VLOOKUP(AW286,Foundation_Calc!$I$2:$J$8,2,FALSE),0),"")))</f>
        <v/>
      </c>
      <c r="AZ286" s="631" t="str">
        <f>IF(K286="","",
IF(AX286="PT",VLOOKUP(K286,Foundation_Calc!$K$4:$R$37,VLOOKUP(AW286,Foundation_Calc!$I$2:$J$8,2,FALSE),0),
IF(AX286="K",VLOOKUP(K286,Foundation_Calc!$K$41:$R$74,VLOOKUP(AW286,Foundation_Calc!$I$2:$J$8,2,FALSE),0),"")))</f>
        <v/>
      </c>
      <c r="BA286" s="632" t="str">
        <f t="shared" si="20"/>
        <v/>
      </c>
      <c r="BB286" s="632" t="str">
        <f t="shared" si="21"/>
        <v/>
      </c>
      <c r="BC286" s="632" t="str">
        <f t="shared" si="22"/>
        <v/>
      </c>
      <c r="BD286" s="633" t="str">
        <f>IF(AND(L286="",H286=""),"",
IF(H286="",Pole_Calc!A314,
IF(H286="MP",Pole_Calc!A315,
IF(H286="AnMP",Pole_Calc!A316,
IF(H286="A",Pole_Calc!A317,
IF(H286="S/A",Pole_Calc!A318,
IF(H286="A/S",Pole_Calc!A319,"Poner a mano")))))))</f>
        <v/>
      </c>
      <c r="BE286" s="448" t="s">
        <v>1726</v>
      </c>
      <c r="BF286" s="634"/>
      <c r="BG286" s="634"/>
      <c r="BH286" s="634"/>
      <c r="BI286" s="634"/>
    </row>
    <row r="287" spans="1:61" ht="16.2" customHeight="1">
      <c r="A287" s="12"/>
      <c r="B287" s="446"/>
      <c r="C287" s="89"/>
      <c r="D287" s="13"/>
      <c r="E287" s="14"/>
      <c r="F287" s="14"/>
      <c r="G287" s="15"/>
      <c r="H287" s="8"/>
      <c r="I287" s="8"/>
      <c r="J287" s="89"/>
      <c r="K287" s="8"/>
      <c r="L287" s="8"/>
      <c r="M287" s="8" t="str">
        <f>IF(L287="","",
IF(AX287="PT",VLOOKUP(L287,Foundation_Calc!$V$4:$X$37,VLOOKUP(AX287,Foundation_Calc!$I$10:$J$13,2,FALSE),0),
IF(AX287="K",VLOOKUP(L287,Foundation_Calc!$V$41:$X$74,VLOOKUP(AX287,Foundation_Calc!$I$10:$J$13,2,FALSE),0),"")))</f>
        <v/>
      </c>
      <c r="N287" s="8"/>
      <c r="O287" s="8"/>
      <c r="P287" s="8"/>
      <c r="Q287" s="14"/>
      <c r="R287" s="15"/>
      <c r="S287" s="15"/>
      <c r="T287" s="14"/>
      <c r="U287" s="14"/>
      <c r="V287" s="14"/>
      <c r="W287" s="18"/>
      <c r="X287" s="18"/>
      <c r="Y287" s="18"/>
      <c r="Z287" s="18"/>
      <c r="AA287" s="18"/>
      <c r="AB287" s="18"/>
      <c r="AC287" s="8" t="str">
        <f t="shared" si="19"/>
        <v/>
      </c>
      <c r="AD287" s="8"/>
      <c r="AE287" s="8"/>
      <c r="AF287" s="14"/>
      <c r="AG287" s="13"/>
      <c r="AH287" s="14"/>
      <c r="AI287" s="14"/>
      <c r="AJ287" s="8"/>
      <c r="AK287" s="8"/>
      <c r="AL287" s="8"/>
      <c r="AM287" s="8"/>
      <c r="AN287" s="631"/>
      <c r="AO287" s="18"/>
      <c r="AP287" s="18"/>
      <c r="AQ287" s="18"/>
      <c r="AR287" s="18"/>
      <c r="AS287" s="18"/>
      <c r="AU287" s="448"/>
      <c r="AV287" s="448"/>
      <c r="AW287" s="8" t="str">
        <f>IF(C287&gt;0,VLOOKUP(C287,Foundation_Calc!$A$2:$C$986,3,1),
IF(J287&gt;0,VLOOKUP(J287,Foundation_Calc!$A$2:$C$986,3,1),""))</f>
        <v/>
      </c>
      <c r="AX287" s="8" t="str">
        <f>IF(C287&gt;0,VLOOKUP(C287,Foundation_Calc!$E$2:$G$986,3,1),
IF(J287&gt;0,VLOOKUP(J287,Foundation_Calc!$E$2:$G$986,3,1),""))</f>
        <v/>
      </c>
      <c r="AY287" s="631" t="str">
        <f>IF(L287="","",
IF(AX287="PT",VLOOKUP(L287,Foundation_Calc!$K$4:$R$37,VLOOKUP(AW287,Foundation_Calc!$I$2:$J$8,2,FALSE),0),
IF(AX287="K",VLOOKUP(L287,Foundation_Calc!$K$41:$R$74,VLOOKUP(AW287,Foundation_Calc!$I$2:$J$8,2,FALSE),0),"")))</f>
        <v/>
      </c>
      <c r="AZ287" s="631" t="str">
        <f>IF(K287="","",
IF(AX287="PT",VLOOKUP(K287,Foundation_Calc!$K$4:$R$37,VLOOKUP(AW287,Foundation_Calc!$I$2:$J$8,2,FALSE),0),
IF(AX287="K",VLOOKUP(K287,Foundation_Calc!$K$41:$R$74,VLOOKUP(AW287,Foundation_Calc!$I$2:$J$8,2,FALSE),0),"")))</f>
        <v/>
      </c>
      <c r="BA287" s="632" t="str">
        <f t="shared" si="20"/>
        <v/>
      </c>
      <c r="BB287" s="632" t="str">
        <f t="shared" si="21"/>
        <v/>
      </c>
      <c r="BC287" s="632" t="str">
        <f t="shared" si="22"/>
        <v/>
      </c>
      <c r="BD287" s="633" t="str">
        <f>IF(AND(L287="",H287=""),"",
IF(H287="",Pole_Calc!A315,
IF(H287="MP",Pole_Calc!A316,
IF(H287="AnMP",Pole_Calc!A317,
IF(H287="A",Pole_Calc!A318,
IF(H287="S/A",Pole_Calc!A319,
IF(H287="A/S",Pole_Calc!A320,"Poner a mano")))))))</f>
        <v/>
      </c>
      <c r="BE287" s="448" t="s">
        <v>1726</v>
      </c>
      <c r="BF287" s="635"/>
      <c r="BG287" s="635"/>
      <c r="BH287" s="634"/>
      <c r="BI287" s="635"/>
    </row>
    <row r="288" spans="1:61" ht="16.2" customHeight="1">
      <c r="A288" s="12"/>
      <c r="B288" s="446"/>
      <c r="C288" s="89"/>
      <c r="D288" s="13"/>
      <c r="E288" s="14"/>
      <c r="F288" s="14"/>
      <c r="G288" s="15"/>
      <c r="H288" s="8"/>
      <c r="I288" s="8"/>
      <c r="J288" s="89"/>
      <c r="K288" s="8"/>
      <c r="L288" s="8"/>
      <c r="M288" s="8" t="str">
        <f>IF(L288="","",
IF(AX288="PT",VLOOKUP(L288,Foundation_Calc!$V$4:$X$37,VLOOKUP(AX288,Foundation_Calc!$I$10:$J$13,2,FALSE),0),
IF(AX288="K",VLOOKUP(L288,Foundation_Calc!$V$41:$X$74,VLOOKUP(AX288,Foundation_Calc!$I$10:$J$13,2,FALSE),0),"")))</f>
        <v/>
      </c>
      <c r="N288" s="8"/>
      <c r="O288" s="8"/>
      <c r="P288" s="8"/>
      <c r="Q288" s="14"/>
      <c r="R288" s="15"/>
      <c r="S288" s="15"/>
      <c r="T288" s="14"/>
      <c r="U288" s="14"/>
      <c r="V288" s="14"/>
      <c r="W288" s="18"/>
      <c r="X288" s="18"/>
      <c r="Y288" s="18"/>
      <c r="Z288" s="18"/>
      <c r="AA288" s="18"/>
      <c r="AB288" s="18"/>
      <c r="AC288" s="8" t="str">
        <f t="shared" si="19"/>
        <v/>
      </c>
      <c r="AD288" s="8"/>
      <c r="AE288" s="8"/>
      <c r="AF288" s="14"/>
      <c r="AG288" s="13"/>
      <c r="AH288" s="14"/>
      <c r="AI288" s="14"/>
      <c r="AJ288" s="8"/>
      <c r="AK288" s="8"/>
      <c r="AL288" s="8"/>
      <c r="AM288" s="8"/>
      <c r="AN288" s="631"/>
      <c r="AO288" s="18"/>
      <c r="AP288" s="18"/>
      <c r="AQ288" s="18"/>
      <c r="AR288" s="18"/>
      <c r="AS288" s="18"/>
      <c r="AU288" s="448"/>
      <c r="AV288" s="448"/>
      <c r="AW288" s="8" t="str">
        <f>IF(C288&gt;0,VLOOKUP(C288,Foundation_Calc!$A$2:$C$986,3,1),
IF(J288&gt;0,VLOOKUP(J288,Foundation_Calc!$A$2:$C$986,3,1),""))</f>
        <v/>
      </c>
      <c r="AX288" s="8" t="str">
        <f>IF(C288&gt;0,VLOOKUP(C288,Foundation_Calc!$E$2:$G$986,3,1),
IF(J288&gt;0,VLOOKUP(J288,Foundation_Calc!$E$2:$G$986,3,1),""))</f>
        <v/>
      </c>
      <c r="AY288" s="631" t="str">
        <f>IF(L288="","",
IF(AX288="PT",VLOOKUP(L288,Foundation_Calc!$K$4:$R$37,VLOOKUP(AW288,Foundation_Calc!$I$2:$J$8,2,FALSE),0),
IF(AX288="K",VLOOKUP(L288,Foundation_Calc!$K$41:$R$74,VLOOKUP(AW288,Foundation_Calc!$I$2:$J$8,2,FALSE),0),"")))</f>
        <v/>
      </c>
      <c r="AZ288" s="631" t="str">
        <f>IF(K288="","",
IF(AX288="PT",VLOOKUP(K288,Foundation_Calc!$K$4:$R$37,VLOOKUP(AW288,Foundation_Calc!$I$2:$J$8,2,FALSE),0),
IF(AX288="K",VLOOKUP(K288,Foundation_Calc!$K$41:$R$74,VLOOKUP(AW288,Foundation_Calc!$I$2:$J$8,2,FALSE),0),"")))</f>
        <v/>
      </c>
      <c r="BA288" s="632" t="str">
        <f t="shared" si="20"/>
        <v/>
      </c>
      <c r="BB288" s="632" t="str">
        <f t="shared" si="21"/>
        <v/>
      </c>
      <c r="BC288" s="632" t="str">
        <f t="shared" si="22"/>
        <v/>
      </c>
      <c r="BD288" s="633" t="str">
        <f>IF(AND(L288="",H288=""),"",
IF(H288="",Pole_Calc!A316,
IF(H288="MP",Pole_Calc!A317,
IF(H288="AnMP",Pole_Calc!A318,
IF(H288="A",Pole_Calc!A319,
IF(H288="S/A",Pole_Calc!A320,
IF(H288="A/S",Pole_Calc!A321,"Poner a mano")))))))</f>
        <v/>
      </c>
      <c r="BE288" s="448" t="s">
        <v>1726</v>
      </c>
      <c r="BF288" s="634"/>
      <c r="BG288" s="634"/>
      <c r="BH288" s="634"/>
      <c r="BI288" s="634"/>
    </row>
    <row r="289" spans="1:61" ht="16.2" customHeight="1">
      <c r="A289" s="12"/>
      <c r="B289" s="446"/>
      <c r="C289" s="89"/>
      <c r="D289" s="13"/>
      <c r="E289" s="14"/>
      <c r="F289" s="14"/>
      <c r="G289" s="15"/>
      <c r="H289" s="8"/>
      <c r="I289" s="8"/>
      <c r="J289" s="89"/>
      <c r="K289" s="8"/>
      <c r="L289" s="8"/>
      <c r="M289" s="8" t="str">
        <f>IF(L289="","",
IF(AX289="PT",VLOOKUP(L289,Foundation_Calc!$V$4:$X$37,VLOOKUP(AX289,Foundation_Calc!$I$10:$J$13,2,FALSE),0),
IF(AX289="K",VLOOKUP(L289,Foundation_Calc!$V$41:$X$74,VLOOKUP(AX289,Foundation_Calc!$I$10:$J$13,2,FALSE),0),"")))</f>
        <v/>
      </c>
      <c r="N289" s="8"/>
      <c r="O289" s="8"/>
      <c r="P289" s="8"/>
      <c r="Q289" s="14"/>
      <c r="R289" s="15"/>
      <c r="S289" s="15"/>
      <c r="T289" s="14"/>
      <c r="U289" s="14"/>
      <c r="V289" s="14"/>
      <c r="W289" s="18"/>
      <c r="X289" s="18"/>
      <c r="Y289" s="18"/>
      <c r="Z289" s="18"/>
      <c r="AA289" s="18"/>
      <c r="AB289" s="18"/>
      <c r="AC289" s="8" t="str">
        <f t="shared" si="19"/>
        <v/>
      </c>
      <c r="AD289" s="8"/>
      <c r="AE289" s="8"/>
      <c r="AF289" s="14"/>
      <c r="AG289" s="13"/>
      <c r="AH289" s="14"/>
      <c r="AI289" s="14"/>
      <c r="AJ289" s="8"/>
      <c r="AK289" s="8"/>
      <c r="AL289" s="8"/>
      <c r="AM289" s="8"/>
      <c r="AN289" s="631"/>
      <c r="AO289" s="18"/>
      <c r="AP289" s="18"/>
      <c r="AQ289" s="18"/>
      <c r="AR289" s="18"/>
      <c r="AS289" s="18"/>
      <c r="AU289" s="448"/>
      <c r="AV289" s="448"/>
      <c r="AW289" s="8" t="str">
        <f>IF(C289&gt;0,VLOOKUP(C289,Foundation_Calc!$A$2:$C$986,3,1),
IF(J289&gt;0,VLOOKUP(J289,Foundation_Calc!$A$2:$C$986,3,1),""))</f>
        <v/>
      </c>
      <c r="AX289" s="8" t="str">
        <f>IF(C289&gt;0,VLOOKUP(C289,Foundation_Calc!$E$2:$G$986,3,1),
IF(J289&gt;0,VLOOKUP(J289,Foundation_Calc!$E$2:$G$986,3,1),""))</f>
        <v/>
      </c>
      <c r="AY289" s="631" t="str">
        <f>IF(L289="","",
IF(AX289="PT",VLOOKUP(L289,Foundation_Calc!$K$4:$R$37,VLOOKUP(AW289,Foundation_Calc!$I$2:$J$8,2,FALSE),0),
IF(AX289="K",VLOOKUP(L289,Foundation_Calc!$K$41:$R$74,VLOOKUP(AW289,Foundation_Calc!$I$2:$J$8,2,FALSE),0),"")))</f>
        <v/>
      </c>
      <c r="AZ289" s="631" t="str">
        <f>IF(K289="","",
IF(AX289="PT",VLOOKUP(K289,Foundation_Calc!$K$4:$R$37,VLOOKUP(AW289,Foundation_Calc!$I$2:$J$8,2,FALSE),0),
IF(AX289="K",VLOOKUP(K289,Foundation_Calc!$K$41:$R$74,VLOOKUP(AW289,Foundation_Calc!$I$2:$J$8,2,FALSE),0),"")))</f>
        <v/>
      </c>
      <c r="BA289" s="632" t="str">
        <f t="shared" si="20"/>
        <v/>
      </c>
      <c r="BB289" s="632" t="str">
        <f t="shared" si="21"/>
        <v/>
      </c>
      <c r="BC289" s="632" t="str">
        <f t="shared" si="22"/>
        <v/>
      </c>
      <c r="BD289" s="633" t="str">
        <f>IF(AND(L289="",H289=""),"",
IF(H289="",Pole_Calc!A317,
IF(H289="MP",Pole_Calc!A318,
IF(H289="AnMP",Pole_Calc!A319,
IF(H289="A",Pole_Calc!A320,
IF(H289="S/A",Pole_Calc!A321,
IF(H289="A/S",Pole_Calc!A322,"Poner a mano")))))))</f>
        <v/>
      </c>
      <c r="BE289" s="448" t="s">
        <v>1726</v>
      </c>
      <c r="BF289" s="635"/>
      <c r="BG289" s="635"/>
      <c r="BH289" s="634"/>
      <c r="BI289" s="635"/>
    </row>
    <row r="290" spans="1:61" ht="16.2" customHeight="1">
      <c r="A290" s="12"/>
      <c r="B290" s="446"/>
      <c r="C290" s="89"/>
      <c r="D290" s="13"/>
      <c r="E290" s="14"/>
      <c r="F290" s="14"/>
      <c r="G290" s="15"/>
      <c r="H290" s="8"/>
      <c r="I290" s="8"/>
      <c r="J290" s="89"/>
      <c r="K290" s="8"/>
      <c r="L290" s="8"/>
      <c r="M290" s="8" t="str">
        <f>IF(L290="","",
IF(AX290="PT",VLOOKUP(L290,Foundation_Calc!$V$4:$X$37,VLOOKUP(AX290,Foundation_Calc!$I$10:$J$13,2,FALSE),0),
IF(AX290="K",VLOOKUP(L290,Foundation_Calc!$V$41:$X$74,VLOOKUP(AX290,Foundation_Calc!$I$10:$J$13,2,FALSE),0),"")))</f>
        <v/>
      </c>
      <c r="N290" s="8"/>
      <c r="O290" s="8"/>
      <c r="P290" s="8"/>
      <c r="Q290" s="14"/>
      <c r="R290" s="15"/>
      <c r="S290" s="15"/>
      <c r="T290" s="14"/>
      <c r="U290" s="14"/>
      <c r="V290" s="14"/>
      <c r="W290" s="18"/>
      <c r="X290" s="18"/>
      <c r="Y290" s="18"/>
      <c r="Z290" s="18"/>
      <c r="AA290" s="18"/>
      <c r="AB290" s="18"/>
      <c r="AC290" s="8" t="str">
        <f t="shared" si="19"/>
        <v/>
      </c>
      <c r="AD290" s="8"/>
      <c r="AE290" s="8"/>
      <c r="AF290" s="14"/>
      <c r="AG290" s="13"/>
      <c r="AH290" s="14"/>
      <c r="AI290" s="14"/>
      <c r="AJ290" s="8"/>
      <c r="AK290" s="8"/>
      <c r="AL290" s="8"/>
      <c r="AM290" s="8"/>
      <c r="AN290" s="631"/>
      <c r="AO290" s="18"/>
      <c r="AP290" s="18"/>
      <c r="AQ290" s="18"/>
      <c r="AR290" s="18"/>
      <c r="AS290" s="18"/>
      <c r="AU290" s="448"/>
      <c r="AV290" s="448"/>
      <c r="AW290" s="8" t="str">
        <f>IF(C290&gt;0,VLOOKUP(C290,Foundation_Calc!$A$2:$C$986,3,1),
IF(J290&gt;0,VLOOKUP(J290,Foundation_Calc!$A$2:$C$986,3,1),""))</f>
        <v/>
      </c>
      <c r="AX290" s="8" t="str">
        <f>IF(C290&gt;0,VLOOKUP(C290,Foundation_Calc!$E$2:$G$986,3,1),
IF(J290&gt;0,VLOOKUP(J290,Foundation_Calc!$E$2:$G$986,3,1),""))</f>
        <v/>
      </c>
      <c r="AY290" s="631" t="str">
        <f>IF(L290="","",
IF(AX290="PT",VLOOKUP(L290,Foundation_Calc!$K$4:$R$37,VLOOKUP(AW290,Foundation_Calc!$I$2:$J$8,2,FALSE),0),
IF(AX290="K",VLOOKUP(L290,Foundation_Calc!$K$41:$R$74,VLOOKUP(AW290,Foundation_Calc!$I$2:$J$8,2,FALSE),0),"")))</f>
        <v/>
      </c>
      <c r="AZ290" s="631" t="str">
        <f>IF(K290="","",
IF(AX290="PT",VLOOKUP(K290,Foundation_Calc!$K$4:$R$37,VLOOKUP(AW290,Foundation_Calc!$I$2:$J$8,2,FALSE),0),
IF(AX290="K",VLOOKUP(K290,Foundation_Calc!$K$41:$R$74,VLOOKUP(AW290,Foundation_Calc!$I$2:$J$8,2,FALSE),0),"")))</f>
        <v/>
      </c>
      <c r="BA290" s="632" t="str">
        <f t="shared" si="20"/>
        <v/>
      </c>
      <c r="BB290" s="632" t="str">
        <f t="shared" si="21"/>
        <v/>
      </c>
      <c r="BC290" s="632" t="str">
        <f t="shared" si="22"/>
        <v/>
      </c>
      <c r="BD290" s="633" t="str">
        <f>IF(AND(L290="",H290=""),"",
IF(H290="",Pole_Calc!A318,
IF(H290="MP",Pole_Calc!A319,
IF(H290="AnMP",Pole_Calc!A320,
IF(H290="A",Pole_Calc!A321,
IF(H290="S/A",Pole_Calc!A322,
IF(H290="A/S",Pole_Calc!A323,"Poner a mano")))))))</f>
        <v/>
      </c>
      <c r="BE290" s="448" t="s">
        <v>1726</v>
      </c>
      <c r="BF290" s="634"/>
      <c r="BG290" s="634"/>
      <c r="BH290" s="634"/>
      <c r="BI290" s="634"/>
    </row>
    <row r="291" spans="1:61" ht="16.2" customHeight="1">
      <c r="A291" s="12"/>
      <c r="B291" s="446"/>
      <c r="C291" s="89"/>
      <c r="D291" s="13"/>
      <c r="E291" s="14"/>
      <c r="F291" s="14"/>
      <c r="G291" s="15"/>
      <c r="H291" s="8"/>
      <c r="I291" s="8"/>
      <c r="J291" s="89"/>
      <c r="K291" s="8"/>
      <c r="L291" s="8"/>
      <c r="M291" s="8" t="str">
        <f>IF(L291="","",
IF(AX291="PT",VLOOKUP(L291,Foundation_Calc!$V$4:$X$37,VLOOKUP(AX291,Foundation_Calc!$I$10:$J$13,2,FALSE),0),
IF(AX291="K",VLOOKUP(L291,Foundation_Calc!$V$41:$X$74,VLOOKUP(AX291,Foundation_Calc!$I$10:$J$13,2,FALSE),0),"")))</f>
        <v/>
      </c>
      <c r="N291" s="8"/>
      <c r="O291" s="8"/>
      <c r="P291" s="8"/>
      <c r="Q291" s="14"/>
      <c r="R291" s="15"/>
      <c r="S291" s="15"/>
      <c r="T291" s="14"/>
      <c r="U291" s="14"/>
      <c r="V291" s="14"/>
      <c r="W291" s="18"/>
      <c r="X291" s="18"/>
      <c r="Y291" s="18"/>
      <c r="Z291" s="18"/>
      <c r="AA291" s="18"/>
      <c r="AB291" s="18"/>
      <c r="AC291" s="8" t="str">
        <f t="shared" si="19"/>
        <v/>
      </c>
      <c r="AD291" s="8"/>
      <c r="AE291" s="8"/>
      <c r="AF291" s="14"/>
      <c r="AG291" s="13"/>
      <c r="AH291" s="14"/>
      <c r="AI291" s="14"/>
      <c r="AJ291" s="8"/>
      <c r="AK291" s="8"/>
      <c r="AL291" s="8"/>
      <c r="AM291" s="8"/>
      <c r="AN291" s="631"/>
      <c r="AO291" s="18"/>
      <c r="AP291" s="18"/>
      <c r="AQ291" s="18"/>
      <c r="AR291" s="18"/>
      <c r="AS291" s="18"/>
      <c r="AU291" s="448"/>
      <c r="AV291" s="448"/>
      <c r="AW291" s="8" t="str">
        <f>IF(C291&gt;0,VLOOKUP(C291,Foundation_Calc!$A$2:$C$986,3,1),
IF(J291&gt;0,VLOOKUP(J291,Foundation_Calc!$A$2:$C$986,3,1),""))</f>
        <v/>
      </c>
      <c r="AX291" s="8" t="str">
        <f>IF(C291&gt;0,VLOOKUP(C291,Foundation_Calc!$E$2:$G$986,3,1),
IF(J291&gt;0,VLOOKUP(J291,Foundation_Calc!$E$2:$G$986,3,1),""))</f>
        <v/>
      </c>
      <c r="AY291" s="631" t="str">
        <f>IF(L291="","",
IF(AX291="PT",VLOOKUP(L291,Foundation_Calc!$K$4:$R$37,VLOOKUP(AW291,Foundation_Calc!$I$2:$J$8,2,FALSE),0),
IF(AX291="K",VLOOKUP(L291,Foundation_Calc!$K$41:$R$74,VLOOKUP(AW291,Foundation_Calc!$I$2:$J$8,2,FALSE),0),"")))</f>
        <v/>
      </c>
      <c r="AZ291" s="631" t="str">
        <f>IF(K291="","",
IF(AX291="PT",VLOOKUP(K291,Foundation_Calc!$K$4:$R$37,VLOOKUP(AW291,Foundation_Calc!$I$2:$J$8,2,FALSE),0),
IF(AX291="K",VLOOKUP(K291,Foundation_Calc!$K$41:$R$74,VLOOKUP(AW291,Foundation_Calc!$I$2:$J$8,2,FALSE),0),"")))</f>
        <v/>
      </c>
      <c r="BA291" s="632" t="str">
        <f t="shared" si="20"/>
        <v/>
      </c>
      <c r="BB291" s="632" t="str">
        <f t="shared" si="21"/>
        <v/>
      </c>
      <c r="BC291" s="632" t="str">
        <f t="shared" si="22"/>
        <v/>
      </c>
      <c r="BD291" s="633" t="str">
        <f>IF(AND(L291="",H291=""),"",
IF(H291="",Pole_Calc!A319,
IF(H291="MP",Pole_Calc!A320,
IF(H291="AnMP",Pole_Calc!A321,
IF(H291="A",Pole_Calc!A322,
IF(H291="S/A",Pole_Calc!A323,
IF(H291="A/S",Pole_Calc!A324,"Poner a mano")))))))</f>
        <v/>
      </c>
      <c r="BE291" s="448" t="s">
        <v>1726</v>
      </c>
      <c r="BF291" s="635"/>
      <c r="BG291" s="635"/>
      <c r="BH291" s="634"/>
      <c r="BI291" s="635"/>
    </row>
    <row r="292" spans="1:61" ht="16.2" customHeight="1">
      <c r="A292" s="12"/>
      <c r="B292" s="446"/>
      <c r="C292" s="89"/>
      <c r="D292" s="13"/>
      <c r="E292" s="14"/>
      <c r="F292" s="14"/>
      <c r="G292" s="15"/>
      <c r="H292" s="8"/>
      <c r="I292" s="8"/>
      <c r="J292" s="89"/>
      <c r="K292" s="8"/>
      <c r="L292" s="8"/>
      <c r="M292" s="8" t="str">
        <f>IF(L292="","",
IF(AX292="PT",VLOOKUP(L292,Foundation_Calc!$V$4:$X$37,VLOOKUP(AX292,Foundation_Calc!$I$10:$J$13,2,FALSE),0),
IF(AX292="K",VLOOKUP(L292,Foundation_Calc!$V$41:$X$74,VLOOKUP(AX292,Foundation_Calc!$I$10:$J$13,2,FALSE),0),"")))</f>
        <v/>
      </c>
      <c r="N292" s="8"/>
      <c r="O292" s="8"/>
      <c r="P292" s="8"/>
      <c r="Q292" s="14"/>
      <c r="R292" s="15"/>
      <c r="S292" s="15"/>
      <c r="T292" s="14"/>
      <c r="U292" s="14"/>
      <c r="V292" s="14"/>
      <c r="W292" s="18"/>
      <c r="X292" s="18"/>
      <c r="Y292" s="18"/>
      <c r="Z292" s="18"/>
      <c r="AA292" s="18"/>
      <c r="AB292" s="18"/>
      <c r="AC292" s="8" t="str">
        <f t="shared" si="19"/>
        <v/>
      </c>
      <c r="AD292" s="8"/>
      <c r="AE292" s="8"/>
      <c r="AF292" s="14"/>
      <c r="AG292" s="13"/>
      <c r="AH292" s="14"/>
      <c r="AI292" s="14"/>
      <c r="AJ292" s="8"/>
      <c r="AK292" s="8"/>
      <c r="AL292" s="8"/>
      <c r="AM292" s="8"/>
      <c r="AN292" s="631"/>
      <c r="AO292" s="18"/>
      <c r="AP292" s="18"/>
      <c r="AQ292" s="18"/>
      <c r="AR292" s="18"/>
      <c r="AS292" s="18"/>
      <c r="AU292" s="448"/>
      <c r="AV292" s="448"/>
      <c r="AW292" s="8" t="str">
        <f>IF(C292&gt;0,VLOOKUP(C292,Foundation_Calc!$A$2:$C$986,3,1),
IF(J292&gt;0,VLOOKUP(J292,Foundation_Calc!$A$2:$C$986,3,1),""))</f>
        <v/>
      </c>
      <c r="AX292" s="8" t="str">
        <f>IF(C292&gt;0,VLOOKUP(C292,Foundation_Calc!$E$2:$G$986,3,1),
IF(J292&gt;0,VLOOKUP(J292,Foundation_Calc!$E$2:$G$986,3,1),""))</f>
        <v/>
      </c>
      <c r="AY292" s="631" t="str">
        <f>IF(L292="","",
IF(AX292="PT",VLOOKUP(L292,Foundation_Calc!$K$4:$R$37,VLOOKUP(AW292,Foundation_Calc!$I$2:$J$8,2,FALSE),0),
IF(AX292="K",VLOOKUP(L292,Foundation_Calc!$K$41:$R$74,VLOOKUP(AW292,Foundation_Calc!$I$2:$J$8,2,FALSE),0),"")))</f>
        <v/>
      </c>
      <c r="AZ292" s="631" t="str">
        <f>IF(K292="","",
IF(AX292="PT",VLOOKUP(K292,Foundation_Calc!$K$4:$R$37,VLOOKUP(AW292,Foundation_Calc!$I$2:$J$8,2,FALSE),0),
IF(AX292="K",VLOOKUP(K292,Foundation_Calc!$K$41:$R$74,VLOOKUP(AW292,Foundation_Calc!$I$2:$J$8,2,FALSE),0),"")))</f>
        <v/>
      </c>
      <c r="BA292" s="632" t="str">
        <f t="shared" si="20"/>
        <v/>
      </c>
      <c r="BB292" s="632" t="str">
        <f t="shared" si="21"/>
        <v/>
      </c>
      <c r="BC292" s="632" t="str">
        <f t="shared" si="22"/>
        <v/>
      </c>
      <c r="BD292" s="633" t="str">
        <f>IF(AND(L292="",H292=""),"",
IF(H292="",Pole_Calc!A320,
IF(H292="MP",Pole_Calc!A321,
IF(H292="AnMP",Pole_Calc!A322,
IF(H292="A",Pole_Calc!A323,
IF(H292="S/A",Pole_Calc!A324,
IF(H292="A/S",Pole_Calc!A325,"Poner a mano")))))))</f>
        <v/>
      </c>
      <c r="BE292" s="448" t="s">
        <v>1726</v>
      </c>
      <c r="BF292" s="634"/>
      <c r="BG292" s="634"/>
      <c r="BH292" s="634"/>
      <c r="BI292" s="634"/>
    </row>
    <row r="293" spans="1:61" ht="16.2" customHeight="1">
      <c r="A293" s="12"/>
      <c r="B293" s="446"/>
      <c r="C293" s="89"/>
      <c r="D293" s="13"/>
      <c r="E293" s="14"/>
      <c r="F293" s="14"/>
      <c r="G293" s="15"/>
      <c r="H293" s="8"/>
      <c r="I293" s="8"/>
      <c r="J293" s="89"/>
      <c r="K293" s="8"/>
      <c r="L293" s="8"/>
      <c r="M293" s="8" t="str">
        <f>IF(L293="","",
IF(AX293="PT",VLOOKUP(L293,Foundation_Calc!$V$4:$X$37,VLOOKUP(AX293,Foundation_Calc!$I$10:$J$13,2,FALSE),0),
IF(AX293="K",VLOOKUP(L293,Foundation_Calc!$V$41:$X$74,VLOOKUP(AX293,Foundation_Calc!$I$10:$J$13,2,FALSE),0),"")))</f>
        <v/>
      </c>
      <c r="N293" s="8"/>
      <c r="O293" s="8"/>
      <c r="P293" s="8"/>
      <c r="Q293" s="14"/>
      <c r="R293" s="15"/>
      <c r="S293" s="15"/>
      <c r="T293" s="14"/>
      <c r="U293" s="14"/>
      <c r="V293" s="14"/>
      <c r="W293" s="18"/>
      <c r="X293" s="18"/>
      <c r="Y293" s="18"/>
      <c r="Z293" s="18"/>
      <c r="AA293" s="18"/>
      <c r="AB293" s="18"/>
      <c r="AC293" s="8" t="str">
        <f t="shared" si="19"/>
        <v/>
      </c>
      <c r="AD293" s="8"/>
      <c r="AE293" s="8"/>
      <c r="AF293" s="14"/>
      <c r="AG293" s="13"/>
      <c r="AH293" s="14"/>
      <c r="AI293" s="14"/>
      <c r="AJ293" s="8"/>
      <c r="AK293" s="8"/>
      <c r="AL293" s="8"/>
      <c r="AM293" s="8"/>
      <c r="AN293" s="631"/>
      <c r="AO293" s="18"/>
      <c r="AP293" s="18"/>
      <c r="AQ293" s="18"/>
      <c r="AR293" s="18"/>
      <c r="AS293" s="18"/>
      <c r="AU293" s="448"/>
      <c r="AV293" s="448"/>
      <c r="AW293" s="8" t="str">
        <f>IF(C293&gt;0,VLOOKUP(C293,Foundation_Calc!$A$2:$C$986,3,1),
IF(J293&gt;0,VLOOKUP(J293,Foundation_Calc!$A$2:$C$986,3,1),""))</f>
        <v/>
      </c>
      <c r="AX293" s="8" t="str">
        <f>IF(C293&gt;0,VLOOKUP(C293,Foundation_Calc!$E$2:$G$986,3,1),
IF(J293&gt;0,VLOOKUP(J293,Foundation_Calc!$E$2:$G$986,3,1),""))</f>
        <v/>
      </c>
      <c r="AY293" s="631" t="str">
        <f>IF(L293="","",
IF(AX293="PT",VLOOKUP(L293,Foundation_Calc!$K$4:$R$37,VLOOKUP(AW293,Foundation_Calc!$I$2:$J$8,2,FALSE),0),
IF(AX293="K",VLOOKUP(L293,Foundation_Calc!$K$41:$R$74,VLOOKUP(AW293,Foundation_Calc!$I$2:$J$8,2,FALSE),0),"")))</f>
        <v/>
      </c>
      <c r="AZ293" s="631" t="str">
        <f>IF(K293="","",
IF(AX293="PT",VLOOKUP(K293,Foundation_Calc!$K$4:$R$37,VLOOKUP(AW293,Foundation_Calc!$I$2:$J$8,2,FALSE),0),
IF(AX293="K",VLOOKUP(K293,Foundation_Calc!$K$41:$R$74,VLOOKUP(AW293,Foundation_Calc!$I$2:$J$8,2,FALSE),0),"")))</f>
        <v/>
      </c>
      <c r="BA293" s="632" t="str">
        <f t="shared" si="20"/>
        <v/>
      </c>
      <c r="BB293" s="632" t="str">
        <f t="shared" si="21"/>
        <v/>
      </c>
      <c r="BC293" s="632" t="str">
        <f t="shared" si="22"/>
        <v/>
      </c>
      <c r="BD293" s="633" t="str">
        <f>IF(AND(L293="",H293=""),"",
IF(H293="",Pole_Calc!A321,
IF(H293="MP",Pole_Calc!A322,
IF(H293="AnMP",Pole_Calc!A323,
IF(H293="A",Pole_Calc!A324,
IF(H293="S/A",Pole_Calc!A325,
IF(H293="A/S",Pole_Calc!A326,"Poner a mano")))))))</f>
        <v/>
      </c>
      <c r="BE293" s="448" t="s">
        <v>1726</v>
      </c>
      <c r="BF293" s="635"/>
      <c r="BG293" s="635"/>
      <c r="BH293" s="634"/>
      <c r="BI293" s="635"/>
    </row>
    <row r="294" spans="1:61" ht="16.2" customHeight="1">
      <c r="A294" s="12"/>
      <c r="B294" s="446"/>
      <c r="C294" s="89"/>
      <c r="D294" s="13"/>
      <c r="E294" s="14"/>
      <c r="F294" s="14"/>
      <c r="G294" s="15"/>
      <c r="H294" s="8"/>
      <c r="I294" s="8"/>
      <c r="J294" s="89"/>
      <c r="K294" s="8"/>
      <c r="L294" s="8"/>
      <c r="M294" s="8" t="str">
        <f>IF(L294="","",
IF(AX294="PT",VLOOKUP(L294,Foundation_Calc!$V$4:$X$37,VLOOKUP(AX294,Foundation_Calc!$I$10:$J$13,2,FALSE),0),
IF(AX294="K",VLOOKUP(L294,Foundation_Calc!$V$41:$X$74,VLOOKUP(AX294,Foundation_Calc!$I$10:$J$13,2,FALSE),0),"")))</f>
        <v/>
      </c>
      <c r="N294" s="8"/>
      <c r="O294" s="8"/>
      <c r="P294" s="8"/>
      <c r="Q294" s="14"/>
      <c r="R294" s="15"/>
      <c r="S294" s="15"/>
      <c r="T294" s="14"/>
      <c r="U294" s="14"/>
      <c r="V294" s="14"/>
      <c r="W294" s="18"/>
      <c r="X294" s="18"/>
      <c r="Y294" s="18"/>
      <c r="Z294" s="18"/>
      <c r="AA294" s="18"/>
      <c r="AB294" s="18"/>
      <c r="AC294" s="8" t="str">
        <f t="shared" si="19"/>
        <v/>
      </c>
      <c r="AD294" s="8"/>
      <c r="AE294" s="8"/>
      <c r="AF294" s="14"/>
      <c r="AG294" s="13"/>
      <c r="AH294" s="14"/>
      <c r="AI294" s="14"/>
      <c r="AJ294" s="8"/>
      <c r="AK294" s="8"/>
      <c r="AL294" s="8"/>
      <c r="AM294" s="8"/>
      <c r="AN294" s="631"/>
      <c r="AO294" s="18"/>
      <c r="AP294" s="18"/>
      <c r="AQ294" s="18"/>
      <c r="AR294" s="18"/>
      <c r="AS294" s="18"/>
      <c r="AU294" s="448"/>
      <c r="AV294" s="448"/>
      <c r="AW294" s="8" t="str">
        <f>IF(C294&gt;0,VLOOKUP(C294,Foundation_Calc!$A$2:$C$986,3,1),
IF(J294&gt;0,VLOOKUP(J294,Foundation_Calc!$A$2:$C$986,3,1),""))</f>
        <v/>
      </c>
      <c r="AX294" s="8" t="str">
        <f>IF(C294&gt;0,VLOOKUP(C294,Foundation_Calc!$E$2:$G$986,3,1),
IF(J294&gt;0,VLOOKUP(J294,Foundation_Calc!$E$2:$G$986,3,1),""))</f>
        <v/>
      </c>
      <c r="AY294" s="631" t="str">
        <f>IF(L294="","",
IF(AX294="PT",VLOOKUP(L294,Foundation_Calc!$K$4:$R$37,VLOOKUP(AW294,Foundation_Calc!$I$2:$J$8,2,FALSE),0),
IF(AX294="K",VLOOKUP(L294,Foundation_Calc!$K$41:$R$74,VLOOKUP(AW294,Foundation_Calc!$I$2:$J$8,2,FALSE),0),"")))</f>
        <v/>
      </c>
      <c r="AZ294" s="631" t="str">
        <f>IF(K294="","",
IF(AX294="PT",VLOOKUP(K294,Foundation_Calc!$K$4:$R$37,VLOOKUP(AW294,Foundation_Calc!$I$2:$J$8,2,FALSE),0),
IF(AX294="K",VLOOKUP(K294,Foundation_Calc!$K$41:$R$74,VLOOKUP(AW294,Foundation_Calc!$I$2:$J$8,2,FALSE),0),"")))</f>
        <v/>
      </c>
      <c r="BA294" s="632" t="str">
        <f t="shared" si="20"/>
        <v/>
      </c>
      <c r="BB294" s="632" t="str">
        <f t="shared" si="21"/>
        <v/>
      </c>
      <c r="BC294" s="632" t="str">
        <f t="shared" si="22"/>
        <v/>
      </c>
      <c r="BD294" s="633" t="str">
        <f>IF(AND(L294="",H294=""),"",
IF(H294="",Pole_Calc!A322,
IF(H294="MP",Pole_Calc!A323,
IF(H294="AnMP",Pole_Calc!A324,
IF(H294="A",Pole_Calc!A325,
IF(H294="S/A",Pole_Calc!A326,
IF(H294="A/S",Pole_Calc!A327,"Poner a mano")))))))</f>
        <v/>
      </c>
      <c r="BE294" s="448" t="s">
        <v>1726</v>
      </c>
      <c r="BF294" s="634"/>
      <c r="BG294" s="634"/>
      <c r="BH294" s="634"/>
      <c r="BI294" s="634"/>
    </row>
    <row r="295" spans="1:61" ht="16.2" customHeight="1">
      <c r="A295" s="12"/>
      <c r="B295" s="446"/>
      <c r="C295" s="89"/>
      <c r="D295" s="13"/>
      <c r="E295" s="14"/>
      <c r="F295" s="14"/>
      <c r="G295" s="15"/>
      <c r="H295" s="8"/>
      <c r="I295" s="8"/>
      <c r="J295" s="89"/>
      <c r="K295" s="8"/>
      <c r="L295" s="8"/>
      <c r="M295" s="8" t="str">
        <f>IF(L295="","",
IF(AX295="PT",VLOOKUP(L295,Foundation_Calc!$V$4:$X$37,VLOOKUP(AX295,Foundation_Calc!$I$10:$J$13,2,FALSE),0),
IF(AX295="K",VLOOKUP(L295,Foundation_Calc!$V$41:$X$74,VLOOKUP(AX295,Foundation_Calc!$I$10:$J$13,2,FALSE),0),"")))</f>
        <v/>
      </c>
      <c r="N295" s="8"/>
      <c r="O295" s="8"/>
      <c r="P295" s="8"/>
      <c r="Q295" s="14"/>
      <c r="R295" s="15"/>
      <c r="S295" s="15"/>
      <c r="T295" s="14"/>
      <c r="U295" s="14"/>
      <c r="V295" s="14"/>
      <c r="W295" s="18"/>
      <c r="X295" s="18"/>
      <c r="Y295" s="18"/>
      <c r="Z295" s="18"/>
      <c r="AA295" s="18"/>
      <c r="AB295" s="18"/>
      <c r="AC295" s="8" t="str">
        <f t="shared" si="19"/>
        <v/>
      </c>
      <c r="AD295" s="8"/>
      <c r="AE295" s="8"/>
      <c r="AF295" s="14"/>
      <c r="AG295" s="13"/>
      <c r="AH295" s="14"/>
      <c r="AI295" s="14"/>
      <c r="AJ295" s="8"/>
      <c r="AK295" s="8"/>
      <c r="AL295" s="8"/>
      <c r="AM295" s="8"/>
      <c r="AN295" s="631"/>
      <c r="AO295" s="18"/>
      <c r="AP295" s="18"/>
      <c r="AQ295" s="18"/>
      <c r="AR295" s="18"/>
      <c r="AS295" s="18"/>
      <c r="AU295" s="448"/>
      <c r="AV295" s="448"/>
      <c r="AW295" s="8" t="str">
        <f>IF(C295&gt;0,VLOOKUP(C295,Foundation_Calc!$A$2:$C$986,3,1),
IF(J295&gt;0,VLOOKUP(J295,Foundation_Calc!$A$2:$C$986,3,1),""))</f>
        <v/>
      </c>
      <c r="AX295" s="8" t="str">
        <f>IF(C295&gt;0,VLOOKUP(C295,Foundation_Calc!$E$2:$G$986,3,1),
IF(J295&gt;0,VLOOKUP(J295,Foundation_Calc!$E$2:$G$986,3,1),""))</f>
        <v/>
      </c>
      <c r="AY295" s="631" t="str">
        <f>IF(L295="","",
IF(AX295="PT",VLOOKUP(L295,Foundation_Calc!$K$4:$R$37,VLOOKUP(AW295,Foundation_Calc!$I$2:$J$8,2,FALSE),0),
IF(AX295="K",VLOOKUP(L295,Foundation_Calc!$K$41:$R$74,VLOOKUP(AW295,Foundation_Calc!$I$2:$J$8,2,FALSE),0),"")))</f>
        <v/>
      </c>
      <c r="AZ295" s="631" t="str">
        <f>IF(K295="","",
IF(AX295="PT",VLOOKUP(K295,Foundation_Calc!$K$4:$R$37,VLOOKUP(AW295,Foundation_Calc!$I$2:$J$8,2,FALSE),0),
IF(AX295="K",VLOOKUP(K295,Foundation_Calc!$K$41:$R$74,VLOOKUP(AW295,Foundation_Calc!$I$2:$J$8,2,FALSE),0),"")))</f>
        <v/>
      </c>
      <c r="BA295" s="632" t="str">
        <f t="shared" si="20"/>
        <v/>
      </c>
      <c r="BB295" s="632" t="str">
        <f t="shared" si="21"/>
        <v/>
      </c>
      <c r="BC295" s="632" t="str">
        <f t="shared" si="22"/>
        <v/>
      </c>
      <c r="BD295" s="633" t="str">
        <f>IF(AND(L295="",H295=""),"",
IF(H295="",Pole_Calc!A323,
IF(H295="MP",Pole_Calc!A324,
IF(H295="AnMP",Pole_Calc!A325,
IF(H295="A",Pole_Calc!A326,
IF(H295="S/A",Pole_Calc!A327,
IF(H295="A/S",Pole_Calc!A328,"Poner a mano")))))))</f>
        <v/>
      </c>
      <c r="BE295" s="448" t="s">
        <v>1726</v>
      </c>
      <c r="BF295" s="635"/>
      <c r="BG295" s="635"/>
      <c r="BH295" s="634"/>
      <c r="BI295" s="635"/>
    </row>
    <row r="296" spans="1:61" ht="16.2" customHeight="1">
      <c r="A296" s="12"/>
      <c r="B296" s="446"/>
      <c r="C296" s="89"/>
      <c r="D296" s="13"/>
      <c r="E296" s="14"/>
      <c r="F296" s="14"/>
      <c r="G296" s="15"/>
      <c r="H296" s="8"/>
      <c r="I296" s="8"/>
      <c r="J296" s="89"/>
      <c r="K296" s="8"/>
      <c r="L296" s="8"/>
      <c r="M296" s="8" t="str">
        <f>IF(L296="","",
IF(AX296="PT",VLOOKUP(L296,Foundation_Calc!$V$4:$X$37,VLOOKUP(AX296,Foundation_Calc!$I$10:$J$13,2,FALSE),0),
IF(AX296="K",VLOOKUP(L296,Foundation_Calc!$V$41:$X$74,VLOOKUP(AX296,Foundation_Calc!$I$10:$J$13,2,FALSE),0),"")))</f>
        <v/>
      </c>
      <c r="N296" s="8"/>
      <c r="O296" s="8"/>
      <c r="P296" s="8"/>
      <c r="Q296" s="14"/>
      <c r="R296" s="15"/>
      <c r="S296" s="15"/>
      <c r="T296" s="14"/>
      <c r="U296" s="14"/>
      <c r="V296" s="14"/>
      <c r="W296" s="18"/>
      <c r="X296" s="18"/>
      <c r="Y296" s="18"/>
      <c r="Z296" s="18"/>
      <c r="AA296" s="18"/>
      <c r="AB296" s="18"/>
      <c r="AC296" s="8" t="str">
        <f t="shared" si="19"/>
        <v/>
      </c>
      <c r="AD296" s="8"/>
      <c r="AE296" s="8"/>
      <c r="AF296" s="14"/>
      <c r="AG296" s="13"/>
      <c r="AH296" s="14"/>
      <c r="AI296" s="14"/>
      <c r="AJ296" s="8"/>
      <c r="AK296" s="8"/>
      <c r="AL296" s="8"/>
      <c r="AM296" s="8"/>
      <c r="AN296" s="631"/>
      <c r="AO296" s="18"/>
      <c r="AP296" s="18"/>
      <c r="AQ296" s="18"/>
      <c r="AR296" s="18"/>
      <c r="AS296" s="18"/>
      <c r="AU296" s="448"/>
      <c r="AV296" s="448"/>
      <c r="AW296" s="8" t="str">
        <f>IF(C296&gt;0,VLOOKUP(C296,Foundation_Calc!$A$2:$C$986,3,1),
IF(J296&gt;0,VLOOKUP(J296,Foundation_Calc!$A$2:$C$986,3,1),""))</f>
        <v/>
      </c>
      <c r="AX296" s="8" t="str">
        <f>IF(C296&gt;0,VLOOKUP(C296,Foundation_Calc!$E$2:$G$986,3,1),
IF(J296&gt;0,VLOOKUP(J296,Foundation_Calc!$E$2:$G$986,3,1),""))</f>
        <v/>
      </c>
      <c r="AY296" s="631" t="str">
        <f>IF(L296="","",
IF(AX296="PT",VLOOKUP(L296,Foundation_Calc!$K$4:$R$37,VLOOKUP(AW296,Foundation_Calc!$I$2:$J$8,2,FALSE),0),
IF(AX296="K",VLOOKUP(L296,Foundation_Calc!$K$41:$R$74,VLOOKUP(AW296,Foundation_Calc!$I$2:$J$8,2,FALSE),0),"")))</f>
        <v/>
      </c>
      <c r="AZ296" s="631" t="str">
        <f>IF(K296="","",
IF(AX296="PT",VLOOKUP(K296,Foundation_Calc!$K$4:$R$37,VLOOKUP(AW296,Foundation_Calc!$I$2:$J$8,2,FALSE),0),
IF(AX296="K",VLOOKUP(K296,Foundation_Calc!$K$41:$R$74,VLOOKUP(AW296,Foundation_Calc!$I$2:$J$8,2,FALSE),0),"")))</f>
        <v/>
      </c>
      <c r="BA296" s="632" t="str">
        <f t="shared" si="20"/>
        <v/>
      </c>
      <c r="BB296" s="632" t="str">
        <f t="shared" si="21"/>
        <v/>
      </c>
      <c r="BC296" s="632" t="str">
        <f t="shared" si="22"/>
        <v/>
      </c>
      <c r="BD296" s="633" t="str">
        <f>IF(AND(L296="",H296=""),"",
IF(H296="",Pole_Calc!A324,
IF(H296="MP",Pole_Calc!A325,
IF(H296="AnMP",Pole_Calc!A326,
IF(H296="A",Pole_Calc!A327,
IF(H296="S/A",Pole_Calc!A328,
IF(H296="A/S",Pole_Calc!A329,"Poner a mano")))))))</f>
        <v/>
      </c>
      <c r="BE296" s="448" t="s">
        <v>1726</v>
      </c>
      <c r="BF296" s="634"/>
      <c r="BG296" s="634"/>
      <c r="BH296" s="634"/>
      <c r="BI296" s="634"/>
    </row>
    <row r="297" spans="1:61" ht="16.2" customHeight="1">
      <c r="A297" s="12"/>
      <c r="B297" s="446"/>
      <c r="C297" s="89"/>
      <c r="D297" s="13"/>
      <c r="E297" s="14"/>
      <c r="F297" s="14"/>
      <c r="G297" s="15"/>
      <c r="H297" s="8"/>
      <c r="I297" s="8"/>
      <c r="J297" s="89"/>
      <c r="K297" s="8"/>
      <c r="L297" s="8"/>
      <c r="M297" s="8" t="str">
        <f>IF(L297="","",
IF(AX297="PT",VLOOKUP(L297,Foundation_Calc!$V$4:$X$37,VLOOKUP(AX297,Foundation_Calc!$I$10:$J$13,2,FALSE),0),
IF(AX297="K",VLOOKUP(L297,Foundation_Calc!$V$41:$X$74,VLOOKUP(AX297,Foundation_Calc!$I$10:$J$13,2,FALSE),0),"")))</f>
        <v/>
      </c>
      <c r="N297" s="8"/>
      <c r="O297" s="8"/>
      <c r="P297" s="8"/>
      <c r="Q297" s="14"/>
      <c r="R297" s="15"/>
      <c r="S297" s="15"/>
      <c r="T297" s="14"/>
      <c r="U297" s="14"/>
      <c r="V297" s="14"/>
      <c r="W297" s="18"/>
      <c r="X297" s="18"/>
      <c r="Y297" s="18"/>
      <c r="Z297" s="18"/>
      <c r="AA297" s="18"/>
      <c r="AB297" s="18"/>
      <c r="AC297" s="8" t="str">
        <f t="shared" si="19"/>
        <v/>
      </c>
      <c r="AD297" s="8"/>
      <c r="AE297" s="8"/>
      <c r="AF297" s="14"/>
      <c r="AG297" s="13"/>
      <c r="AH297" s="14"/>
      <c r="AI297" s="14"/>
      <c r="AJ297" s="8"/>
      <c r="AK297" s="8"/>
      <c r="AL297" s="8"/>
      <c r="AM297" s="8"/>
      <c r="AN297" s="631"/>
      <c r="AO297" s="18"/>
      <c r="AP297" s="18"/>
      <c r="AQ297" s="18"/>
      <c r="AR297" s="18"/>
      <c r="AS297" s="18"/>
      <c r="AU297" s="448"/>
      <c r="AV297" s="448"/>
      <c r="AW297" s="8" t="str">
        <f>IF(C297&gt;0,VLOOKUP(C297,Foundation_Calc!$A$2:$C$986,3,1),
IF(J297&gt;0,VLOOKUP(J297,Foundation_Calc!$A$2:$C$986,3,1),""))</f>
        <v/>
      </c>
      <c r="AX297" s="8" t="str">
        <f>IF(C297&gt;0,VLOOKUP(C297,Foundation_Calc!$E$2:$G$986,3,1),
IF(J297&gt;0,VLOOKUP(J297,Foundation_Calc!$E$2:$G$986,3,1),""))</f>
        <v/>
      </c>
      <c r="AY297" s="631" t="str">
        <f>IF(L297="","",
IF(AX297="PT",VLOOKUP(L297,Foundation_Calc!$K$4:$R$37,VLOOKUP(AW297,Foundation_Calc!$I$2:$J$8,2,FALSE),0),
IF(AX297="K",VLOOKUP(L297,Foundation_Calc!$K$41:$R$74,VLOOKUP(AW297,Foundation_Calc!$I$2:$J$8,2,FALSE),0),"")))</f>
        <v/>
      </c>
      <c r="AZ297" s="631" t="str">
        <f>IF(K297="","",
IF(AX297="PT",VLOOKUP(K297,Foundation_Calc!$K$4:$R$37,VLOOKUP(AW297,Foundation_Calc!$I$2:$J$8,2,FALSE),0),
IF(AX297="K",VLOOKUP(K297,Foundation_Calc!$K$41:$R$74,VLOOKUP(AW297,Foundation_Calc!$I$2:$J$8,2,FALSE),0),"")))</f>
        <v/>
      </c>
      <c r="BA297" s="632" t="str">
        <f t="shared" si="20"/>
        <v/>
      </c>
      <c r="BB297" s="632" t="str">
        <f t="shared" si="21"/>
        <v/>
      </c>
      <c r="BC297" s="632" t="str">
        <f t="shared" si="22"/>
        <v/>
      </c>
      <c r="BD297" s="633" t="str">
        <f>IF(AND(L297="",H297=""),"",
IF(H297="",Pole_Calc!A325,
IF(H297="MP",Pole_Calc!A326,
IF(H297="AnMP",Pole_Calc!A327,
IF(H297="A",Pole_Calc!A328,
IF(H297="S/A",Pole_Calc!A329,
IF(H297="A/S",Pole_Calc!A330,"Poner a mano")))))))</f>
        <v/>
      </c>
      <c r="BE297" s="448" t="s">
        <v>1726</v>
      </c>
      <c r="BF297" s="635"/>
      <c r="BG297" s="635"/>
      <c r="BH297" s="634"/>
      <c r="BI297" s="635"/>
    </row>
    <row r="298" spans="1:61" ht="16.2" customHeight="1">
      <c r="A298" s="12"/>
      <c r="B298" s="446"/>
      <c r="C298" s="89"/>
      <c r="D298" s="13"/>
      <c r="E298" s="14"/>
      <c r="F298" s="14"/>
      <c r="G298" s="15"/>
      <c r="H298" s="8"/>
      <c r="I298" s="8"/>
      <c r="J298" s="89"/>
      <c r="K298" s="8"/>
      <c r="L298" s="8"/>
      <c r="M298" s="8" t="str">
        <f>IF(L298="","",
IF(AX298="PT",VLOOKUP(L298,Foundation_Calc!$V$4:$X$37,VLOOKUP(AX298,Foundation_Calc!$I$10:$J$13,2,FALSE),0),
IF(AX298="K",VLOOKUP(L298,Foundation_Calc!$V$41:$X$74,VLOOKUP(AX298,Foundation_Calc!$I$10:$J$13,2,FALSE),0),"")))</f>
        <v/>
      </c>
      <c r="N298" s="8"/>
      <c r="O298" s="8"/>
      <c r="P298" s="8"/>
      <c r="Q298" s="14"/>
      <c r="R298" s="15"/>
      <c r="S298" s="15"/>
      <c r="T298" s="14"/>
      <c r="U298" s="14"/>
      <c r="V298" s="14"/>
      <c r="W298" s="18"/>
      <c r="X298" s="18"/>
      <c r="Y298" s="18"/>
      <c r="Z298" s="18"/>
      <c r="AA298" s="18"/>
      <c r="AB298" s="18"/>
      <c r="AC298" s="8" t="str">
        <f t="shared" si="19"/>
        <v/>
      </c>
      <c r="AD298" s="8"/>
      <c r="AE298" s="8"/>
      <c r="AF298" s="14"/>
      <c r="AG298" s="13"/>
      <c r="AH298" s="14"/>
      <c r="AI298" s="14"/>
      <c r="AJ298" s="8"/>
      <c r="AK298" s="8"/>
      <c r="AL298" s="8"/>
      <c r="AM298" s="8"/>
      <c r="AN298" s="631"/>
      <c r="AO298" s="18"/>
      <c r="AP298" s="18"/>
      <c r="AQ298" s="18"/>
      <c r="AR298" s="18"/>
      <c r="AS298" s="18"/>
      <c r="AU298" s="448"/>
      <c r="AV298" s="448"/>
      <c r="AW298" s="8" t="str">
        <f>IF(C298&gt;0,VLOOKUP(C298,Foundation_Calc!$A$2:$C$986,3,1),
IF(J298&gt;0,VLOOKUP(J298,Foundation_Calc!$A$2:$C$986,3,1),""))</f>
        <v/>
      </c>
      <c r="AX298" s="8" t="str">
        <f>IF(C298&gt;0,VLOOKUP(C298,Foundation_Calc!$E$2:$G$986,3,1),
IF(J298&gt;0,VLOOKUP(J298,Foundation_Calc!$E$2:$G$986,3,1),""))</f>
        <v/>
      </c>
      <c r="AY298" s="631" t="str">
        <f>IF(L298="","",
IF(AX298="PT",VLOOKUP(L298,Foundation_Calc!$K$4:$R$37,VLOOKUP(AW298,Foundation_Calc!$I$2:$J$8,2,FALSE),0),
IF(AX298="K",VLOOKUP(L298,Foundation_Calc!$K$41:$R$74,VLOOKUP(AW298,Foundation_Calc!$I$2:$J$8,2,FALSE),0),"")))</f>
        <v/>
      </c>
      <c r="AZ298" s="631" t="str">
        <f>IF(K298="","",
IF(AX298="PT",VLOOKUP(K298,Foundation_Calc!$K$4:$R$37,VLOOKUP(AW298,Foundation_Calc!$I$2:$J$8,2,FALSE),0),
IF(AX298="K",VLOOKUP(K298,Foundation_Calc!$K$41:$R$74,VLOOKUP(AW298,Foundation_Calc!$I$2:$J$8,2,FALSE),0),"")))</f>
        <v/>
      </c>
      <c r="BA298" s="632" t="str">
        <f t="shared" si="20"/>
        <v/>
      </c>
      <c r="BB298" s="632" t="str">
        <f t="shared" si="21"/>
        <v/>
      </c>
      <c r="BC298" s="632" t="str">
        <f t="shared" si="22"/>
        <v/>
      </c>
      <c r="BD298" s="633" t="str">
        <f>IF(AND(L298="",H298=""),"",
IF(H298="",Pole_Calc!A326,
IF(H298="MP",Pole_Calc!A327,
IF(H298="AnMP",Pole_Calc!A328,
IF(H298="A",Pole_Calc!A329,
IF(H298="S/A",Pole_Calc!A330,
IF(H298="A/S",Pole_Calc!A331,"Poner a mano")))))))</f>
        <v/>
      </c>
      <c r="BE298" s="448" t="s">
        <v>1726</v>
      </c>
      <c r="BF298" s="634"/>
      <c r="BG298" s="634"/>
      <c r="BH298" s="634"/>
      <c r="BI298" s="634"/>
    </row>
    <row r="299" spans="1:61" ht="16.2" customHeight="1">
      <c r="A299" s="12"/>
      <c r="B299" s="446"/>
      <c r="C299" s="89"/>
      <c r="D299" s="13"/>
      <c r="E299" s="14"/>
      <c r="F299" s="14"/>
      <c r="G299" s="15"/>
      <c r="H299" s="8"/>
      <c r="I299" s="8"/>
      <c r="J299" s="89"/>
      <c r="K299" s="8"/>
      <c r="L299" s="8"/>
      <c r="M299" s="8" t="str">
        <f>IF(L299="","",
IF(AX299="PT",VLOOKUP(L299,Foundation_Calc!$V$4:$X$37,VLOOKUP(AX299,Foundation_Calc!$I$10:$J$13,2,FALSE),0),
IF(AX299="K",VLOOKUP(L299,Foundation_Calc!$V$41:$X$74,VLOOKUP(AX299,Foundation_Calc!$I$10:$J$13,2,FALSE),0),"")))</f>
        <v/>
      </c>
      <c r="N299" s="8"/>
      <c r="O299" s="8"/>
      <c r="P299" s="8"/>
      <c r="Q299" s="14"/>
      <c r="R299" s="15"/>
      <c r="S299" s="15"/>
      <c r="T299" s="14"/>
      <c r="U299" s="14"/>
      <c r="V299" s="14"/>
      <c r="W299" s="18"/>
      <c r="X299" s="18"/>
      <c r="Y299" s="18"/>
      <c r="Z299" s="18"/>
      <c r="AA299" s="18"/>
      <c r="AB299" s="18"/>
      <c r="AC299" s="8" t="str">
        <f t="shared" si="19"/>
        <v/>
      </c>
      <c r="AD299" s="8"/>
      <c r="AE299" s="8"/>
      <c r="AF299" s="14"/>
      <c r="AG299" s="13"/>
      <c r="AH299" s="14"/>
      <c r="AI299" s="14"/>
      <c r="AJ299" s="8"/>
      <c r="AK299" s="8"/>
      <c r="AL299" s="8"/>
      <c r="AM299" s="8"/>
      <c r="AN299" s="631"/>
      <c r="AO299" s="18"/>
      <c r="AP299" s="18"/>
      <c r="AQ299" s="18"/>
      <c r="AR299" s="18"/>
      <c r="AS299" s="18"/>
      <c r="AU299" s="448"/>
      <c r="AV299" s="448"/>
      <c r="AW299" s="8" t="str">
        <f>IF(C299&gt;0,VLOOKUP(C299,Foundation_Calc!$A$2:$C$986,3,1),
IF(J299&gt;0,VLOOKUP(J299,Foundation_Calc!$A$2:$C$986,3,1),""))</f>
        <v/>
      </c>
      <c r="AX299" s="8" t="str">
        <f>IF(C299&gt;0,VLOOKUP(C299,Foundation_Calc!$E$2:$G$986,3,1),
IF(J299&gt;0,VLOOKUP(J299,Foundation_Calc!$E$2:$G$986,3,1),""))</f>
        <v/>
      </c>
      <c r="AY299" s="631" t="str">
        <f>IF(L299="","",
IF(AX299="PT",VLOOKUP(L299,Foundation_Calc!$K$4:$R$37,VLOOKUP(AW299,Foundation_Calc!$I$2:$J$8,2,FALSE),0),
IF(AX299="K",VLOOKUP(L299,Foundation_Calc!$K$41:$R$74,VLOOKUP(AW299,Foundation_Calc!$I$2:$J$8,2,FALSE),0),"")))</f>
        <v/>
      </c>
      <c r="AZ299" s="631" t="str">
        <f>IF(K299="","",
IF(AX299="PT",VLOOKUP(K299,Foundation_Calc!$K$4:$R$37,VLOOKUP(AW299,Foundation_Calc!$I$2:$J$8,2,FALSE),0),
IF(AX299="K",VLOOKUP(K299,Foundation_Calc!$K$41:$R$74,VLOOKUP(AW299,Foundation_Calc!$I$2:$J$8,2,FALSE),0),"")))</f>
        <v/>
      </c>
      <c r="BA299" s="632" t="str">
        <f t="shared" si="20"/>
        <v/>
      </c>
      <c r="BB299" s="632" t="str">
        <f t="shared" si="21"/>
        <v/>
      </c>
      <c r="BC299" s="632" t="str">
        <f t="shared" si="22"/>
        <v/>
      </c>
      <c r="BD299" s="633" t="str">
        <f>IF(AND(L299="",H299=""),"",
IF(H299="",Pole_Calc!A327,
IF(H299="MP",Pole_Calc!A328,
IF(H299="AnMP",Pole_Calc!A329,
IF(H299="A",Pole_Calc!A330,
IF(H299="S/A",Pole_Calc!A331,
IF(H299="A/S",Pole_Calc!A332,"Poner a mano")))))))</f>
        <v/>
      </c>
      <c r="BE299" s="448" t="s">
        <v>1726</v>
      </c>
      <c r="BF299" s="635"/>
      <c r="BG299" s="635"/>
      <c r="BH299" s="634"/>
      <c r="BI299" s="635"/>
    </row>
    <row r="300" spans="1:61" ht="16.2" customHeight="1">
      <c r="A300" s="12"/>
      <c r="B300" s="446"/>
      <c r="C300" s="89"/>
      <c r="D300" s="13"/>
      <c r="E300" s="14"/>
      <c r="F300" s="14"/>
      <c r="G300" s="15"/>
      <c r="H300" s="8"/>
      <c r="I300" s="8"/>
      <c r="J300" s="89"/>
      <c r="K300" s="8"/>
      <c r="L300" s="8"/>
      <c r="M300" s="8" t="str">
        <f>IF(L300="","",
IF(AX300="PT",VLOOKUP(L300,Foundation_Calc!$V$4:$X$37,VLOOKUP(AX300,Foundation_Calc!$I$10:$J$13,2,FALSE),0),
IF(AX300="K",VLOOKUP(L300,Foundation_Calc!$V$41:$X$74,VLOOKUP(AX300,Foundation_Calc!$I$10:$J$13,2,FALSE),0),"")))</f>
        <v/>
      </c>
      <c r="N300" s="8"/>
      <c r="O300" s="8"/>
      <c r="P300" s="8"/>
      <c r="Q300" s="14"/>
      <c r="R300" s="15"/>
      <c r="S300" s="15"/>
      <c r="T300" s="14"/>
      <c r="U300" s="14"/>
      <c r="V300" s="14"/>
      <c r="W300" s="18"/>
      <c r="X300" s="18"/>
      <c r="Y300" s="18"/>
      <c r="Z300" s="18"/>
      <c r="AA300" s="18"/>
      <c r="AB300" s="18"/>
      <c r="AC300" s="8" t="str">
        <f t="shared" si="19"/>
        <v/>
      </c>
      <c r="AD300" s="8"/>
      <c r="AE300" s="8"/>
      <c r="AF300" s="14"/>
      <c r="AG300" s="13"/>
      <c r="AH300" s="14"/>
      <c r="AI300" s="14"/>
      <c r="AJ300" s="8"/>
      <c r="AK300" s="8"/>
      <c r="AL300" s="8"/>
      <c r="AM300" s="8"/>
      <c r="AN300" s="631"/>
      <c r="AO300" s="18"/>
      <c r="AP300" s="18"/>
      <c r="AQ300" s="18"/>
      <c r="AR300" s="18"/>
      <c r="AS300" s="18"/>
      <c r="AU300" s="448"/>
      <c r="AV300" s="448"/>
      <c r="AW300" s="8" t="str">
        <f>IF(C300&gt;0,VLOOKUP(C300,Foundation_Calc!$A$2:$C$986,3,1),
IF(J300&gt;0,VLOOKUP(J300,Foundation_Calc!$A$2:$C$986,3,1),""))</f>
        <v/>
      </c>
      <c r="AX300" s="8" t="str">
        <f>IF(C300&gt;0,VLOOKUP(C300,Foundation_Calc!$E$2:$G$986,3,1),
IF(J300&gt;0,VLOOKUP(J300,Foundation_Calc!$E$2:$G$986,3,1),""))</f>
        <v/>
      </c>
      <c r="AY300" s="631" t="str">
        <f>IF(L300="","",
IF(AX300="PT",VLOOKUP(L300,Foundation_Calc!$K$4:$R$37,VLOOKUP(AW300,Foundation_Calc!$I$2:$J$8,2,FALSE),0),
IF(AX300="K",VLOOKUP(L300,Foundation_Calc!$K$41:$R$74,VLOOKUP(AW300,Foundation_Calc!$I$2:$J$8,2,FALSE),0),"")))</f>
        <v/>
      </c>
      <c r="AZ300" s="631" t="str">
        <f>IF(K300="","",
IF(AX300="PT",VLOOKUP(K300,Foundation_Calc!$K$4:$R$37,VLOOKUP(AW300,Foundation_Calc!$I$2:$J$8,2,FALSE),0),
IF(AX300="K",VLOOKUP(K300,Foundation_Calc!$K$41:$R$74,VLOOKUP(AW300,Foundation_Calc!$I$2:$J$8,2,FALSE),0),"")))</f>
        <v/>
      </c>
      <c r="BA300" s="632" t="str">
        <f t="shared" si="20"/>
        <v/>
      </c>
      <c r="BB300" s="632" t="str">
        <f t="shared" si="21"/>
        <v/>
      </c>
      <c r="BC300" s="632" t="str">
        <f t="shared" si="22"/>
        <v/>
      </c>
      <c r="BD300" s="633" t="str">
        <f>IF(AND(L300="",H300=""),"",
IF(H300="",Pole_Calc!A328,
IF(H300="MP",Pole_Calc!A329,
IF(H300="AnMP",Pole_Calc!A330,
IF(H300="A",Pole_Calc!A331,
IF(H300="S/A",Pole_Calc!A332,
IF(H300="A/S",Pole_Calc!A333,"Poner a mano")))))))</f>
        <v/>
      </c>
      <c r="BE300" s="448" t="s">
        <v>1726</v>
      </c>
      <c r="BF300" s="634"/>
      <c r="BG300" s="634"/>
      <c r="BH300" s="634"/>
      <c r="BI300" s="634"/>
    </row>
    <row r="301" spans="1:61" ht="16.2" customHeight="1">
      <c r="A301" s="12"/>
      <c r="B301" s="446"/>
      <c r="C301" s="89"/>
      <c r="D301" s="13"/>
      <c r="E301" s="14"/>
      <c r="F301" s="14"/>
      <c r="G301" s="15"/>
      <c r="H301" s="8"/>
      <c r="I301" s="8"/>
      <c r="J301" s="89"/>
      <c r="K301" s="8"/>
      <c r="L301" s="8"/>
      <c r="M301" s="8" t="str">
        <f>IF(L301="","",
IF(AX301="PT",VLOOKUP(L301,Foundation_Calc!$V$4:$X$37,VLOOKUP(AX301,Foundation_Calc!$I$10:$J$13,2,FALSE),0),
IF(AX301="K",VLOOKUP(L301,Foundation_Calc!$V$41:$X$74,VLOOKUP(AX301,Foundation_Calc!$I$10:$J$13,2,FALSE),0),"")))</f>
        <v/>
      </c>
      <c r="N301" s="8"/>
      <c r="O301" s="8"/>
      <c r="P301" s="8"/>
      <c r="Q301" s="14"/>
      <c r="R301" s="15"/>
      <c r="S301" s="15"/>
      <c r="T301" s="14"/>
      <c r="U301" s="14"/>
      <c r="V301" s="14"/>
      <c r="W301" s="18"/>
      <c r="X301" s="18"/>
      <c r="Y301" s="18"/>
      <c r="Z301" s="18"/>
      <c r="AA301" s="18"/>
      <c r="AB301" s="18"/>
      <c r="AC301" s="8" t="str">
        <f t="shared" si="19"/>
        <v/>
      </c>
      <c r="AD301" s="8"/>
      <c r="AE301" s="8"/>
      <c r="AF301" s="14"/>
      <c r="AG301" s="13"/>
      <c r="AH301" s="14"/>
      <c r="AI301" s="14"/>
      <c r="AJ301" s="8"/>
      <c r="AK301" s="8"/>
      <c r="AL301" s="8"/>
      <c r="AM301" s="8"/>
      <c r="AN301" s="631"/>
      <c r="AO301" s="18"/>
      <c r="AP301" s="18"/>
      <c r="AQ301" s="18"/>
      <c r="AR301" s="18"/>
      <c r="AS301" s="18"/>
      <c r="AU301" s="448"/>
      <c r="AV301" s="448"/>
      <c r="AW301" s="8" t="str">
        <f>IF(C301&gt;0,VLOOKUP(C301,Foundation_Calc!$A$2:$C$986,3,1),
IF(J301&gt;0,VLOOKUP(J301,Foundation_Calc!$A$2:$C$986,3,1),""))</f>
        <v/>
      </c>
      <c r="AX301" s="8" t="str">
        <f>IF(C301&gt;0,VLOOKUP(C301,Foundation_Calc!$E$2:$G$986,3,1),
IF(J301&gt;0,VLOOKUP(J301,Foundation_Calc!$E$2:$G$986,3,1),""))</f>
        <v/>
      </c>
      <c r="AY301" s="631" t="str">
        <f>IF(L301="","",
IF(AX301="PT",VLOOKUP(L301,Foundation_Calc!$K$4:$R$37,VLOOKUP(AW301,Foundation_Calc!$I$2:$J$8,2,FALSE),0),
IF(AX301="K",VLOOKUP(L301,Foundation_Calc!$K$41:$R$74,VLOOKUP(AW301,Foundation_Calc!$I$2:$J$8,2,FALSE),0),"")))</f>
        <v/>
      </c>
      <c r="AZ301" s="631" t="str">
        <f>IF(K301="","",
IF(AX301="PT",VLOOKUP(K301,Foundation_Calc!$K$4:$R$37,VLOOKUP(AW301,Foundation_Calc!$I$2:$J$8,2,FALSE),0),
IF(AX301="K",VLOOKUP(K301,Foundation_Calc!$K$41:$R$74,VLOOKUP(AW301,Foundation_Calc!$I$2:$J$8,2,FALSE),0),"")))</f>
        <v/>
      </c>
      <c r="BA301" s="632" t="str">
        <f t="shared" si="20"/>
        <v/>
      </c>
      <c r="BB301" s="632" t="str">
        <f t="shared" si="21"/>
        <v/>
      </c>
      <c r="BC301" s="632" t="str">
        <f t="shared" si="22"/>
        <v/>
      </c>
      <c r="BD301" s="633" t="str">
        <f>IF(AND(L301="",H301=""),"",
IF(H301="",Pole_Calc!A329,
IF(H301="MP",Pole_Calc!A330,
IF(H301="AnMP",Pole_Calc!A331,
IF(H301="A",Pole_Calc!A332,
IF(H301="S/A",Pole_Calc!A333,
IF(H301="A/S",Pole_Calc!A334,"Poner a mano")))))))</f>
        <v/>
      </c>
      <c r="BE301" s="448" t="s">
        <v>1726</v>
      </c>
      <c r="BF301" s="635"/>
      <c r="BG301" s="635"/>
      <c r="BH301" s="634"/>
      <c r="BI301" s="635"/>
    </row>
    <row r="302" spans="1:61" ht="16.2" customHeight="1">
      <c r="A302" s="12"/>
      <c r="B302" s="446"/>
      <c r="C302" s="89"/>
      <c r="D302" s="13"/>
      <c r="E302" s="14"/>
      <c r="F302" s="14"/>
      <c r="G302" s="15"/>
      <c r="H302" s="8"/>
      <c r="I302" s="8"/>
      <c r="J302" s="89"/>
      <c r="K302" s="8"/>
      <c r="L302" s="8"/>
      <c r="M302" s="8" t="str">
        <f>IF(L302="","",
IF(AX302="PT",VLOOKUP(L302,Foundation_Calc!$V$4:$X$37,VLOOKUP(AX302,Foundation_Calc!$I$10:$J$13,2,FALSE),0),
IF(AX302="K",VLOOKUP(L302,Foundation_Calc!$V$41:$X$74,VLOOKUP(AX302,Foundation_Calc!$I$10:$J$13,2,FALSE),0),"")))</f>
        <v/>
      </c>
      <c r="N302" s="8"/>
      <c r="O302" s="8"/>
      <c r="P302" s="8"/>
      <c r="Q302" s="14"/>
      <c r="R302" s="15"/>
      <c r="S302" s="15"/>
      <c r="T302" s="14"/>
      <c r="U302" s="14"/>
      <c r="V302" s="14"/>
      <c r="W302" s="18"/>
      <c r="X302" s="18"/>
      <c r="Y302" s="18"/>
      <c r="Z302" s="18"/>
      <c r="AA302" s="18"/>
      <c r="AB302" s="18"/>
      <c r="AC302" s="8" t="str">
        <f t="shared" si="19"/>
        <v/>
      </c>
      <c r="AD302" s="8"/>
      <c r="AE302" s="8"/>
      <c r="AF302" s="14"/>
      <c r="AG302" s="13"/>
      <c r="AH302" s="14"/>
      <c r="AI302" s="14"/>
      <c r="AJ302" s="8"/>
      <c r="AK302" s="8"/>
      <c r="AL302" s="8"/>
      <c r="AM302" s="8"/>
      <c r="AN302" s="631"/>
      <c r="AO302" s="18"/>
      <c r="AP302" s="18"/>
      <c r="AQ302" s="18"/>
      <c r="AR302" s="18"/>
      <c r="AS302" s="18"/>
      <c r="AU302" s="448"/>
      <c r="AV302" s="448"/>
      <c r="AW302" s="8" t="str">
        <f>IF(C302&gt;0,VLOOKUP(C302,Foundation_Calc!$A$2:$C$986,3,1),
IF(J302&gt;0,VLOOKUP(J302,Foundation_Calc!$A$2:$C$986,3,1),""))</f>
        <v/>
      </c>
      <c r="AX302" s="8" t="str">
        <f>IF(C302&gt;0,VLOOKUP(C302,Foundation_Calc!$E$2:$G$986,3,1),
IF(J302&gt;0,VLOOKUP(J302,Foundation_Calc!$E$2:$G$986,3,1),""))</f>
        <v/>
      </c>
      <c r="AY302" s="631" t="str">
        <f>IF(L302="","",
IF(AX302="PT",VLOOKUP(L302,Foundation_Calc!$K$4:$R$37,VLOOKUP(AW302,Foundation_Calc!$I$2:$J$8,2,FALSE),0),
IF(AX302="K",VLOOKUP(L302,Foundation_Calc!$K$41:$R$74,VLOOKUP(AW302,Foundation_Calc!$I$2:$J$8,2,FALSE),0),"")))</f>
        <v/>
      </c>
      <c r="AZ302" s="631" t="str">
        <f>IF(K302="","",
IF(AX302="PT",VLOOKUP(K302,Foundation_Calc!$K$4:$R$37,VLOOKUP(AW302,Foundation_Calc!$I$2:$J$8,2,FALSE),0),
IF(AX302="K",VLOOKUP(K302,Foundation_Calc!$K$41:$R$74,VLOOKUP(AW302,Foundation_Calc!$I$2:$J$8,2,FALSE),0),"")))</f>
        <v/>
      </c>
      <c r="BA302" s="632" t="str">
        <f t="shared" si="20"/>
        <v/>
      </c>
      <c r="BB302" s="632" t="str">
        <f t="shared" si="21"/>
        <v/>
      </c>
      <c r="BC302" s="632" t="str">
        <f t="shared" si="22"/>
        <v/>
      </c>
      <c r="BD302" s="633" t="str">
        <f>IF(AND(L302="",H302=""),"",
IF(H302="",Pole_Calc!A330,
IF(H302="MP",Pole_Calc!A331,
IF(H302="AnMP",Pole_Calc!A332,
IF(H302="A",Pole_Calc!A333,
IF(H302="S/A",Pole_Calc!A334,
IF(H302="A/S",Pole_Calc!A335,"Poner a mano")))))))</f>
        <v/>
      </c>
      <c r="BE302" s="448" t="s">
        <v>1726</v>
      </c>
      <c r="BF302" s="634"/>
      <c r="BG302" s="634"/>
      <c r="BH302" s="634"/>
      <c r="BI302" s="634"/>
    </row>
    <row r="303" spans="1:61" ht="16.2" customHeight="1">
      <c r="A303" s="12"/>
      <c r="B303" s="446"/>
      <c r="C303" s="89"/>
      <c r="D303" s="13"/>
      <c r="E303" s="14"/>
      <c r="F303" s="14"/>
      <c r="G303" s="15"/>
      <c r="H303" s="8"/>
      <c r="I303" s="8"/>
      <c r="J303" s="89"/>
      <c r="K303" s="8"/>
      <c r="L303" s="8"/>
      <c r="M303" s="8" t="str">
        <f>IF(L303="","",
IF(AX303="PT",VLOOKUP(L303,Foundation_Calc!$V$4:$X$37,VLOOKUP(AX303,Foundation_Calc!$I$10:$J$13,2,FALSE),0),
IF(AX303="K",VLOOKUP(L303,Foundation_Calc!$V$41:$X$74,VLOOKUP(AX303,Foundation_Calc!$I$10:$J$13,2,FALSE),0),"")))</f>
        <v/>
      </c>
      <c r="N303" s="8"/>
      <c r="O303" s="8"/>
      <c r="P303" s="8"/>
      <c r="Q303" s="14"/>
      <c r="R303" s="15"/>
      <c r="S303" s="15"/>
      <c r="T303" s="14"/>
      <c r="U303" s="14"/>
      <c r="V303" s="14"/>
      <c r="W303" s="18"/>
      <c r="X303" s="18"/>
      <c r="Y303" s="18"/>
      <c r="Z303" s="18"/>
      <c r="AA303" s="18"/>
      <c r="AB303" s="18"/>
      <c r="AC303" s="8" t="str">
        <f t="shared" si="19"/>
        <v/>
      </c>
      <c r="AD303" s="8"/>
      <c r="AE303" s="8"/>
      <c r="AF303" s="14"/>
      <c r="AG303" s="13"/>
      <c r="AH303" s="14"/>
      <c r="AI303" s="14"/>
      <c r="AJ303" s="8"/>
      <c r="AK303" s="8"/>
      <c r="AL303" s="8"/>
      <c r="AM303" s="8"/>
      <c r="AN303" s="631"/>
      <c r="AO303" s="18"/>
      <c r="AP303" s="18"/>
      <c r="AQ303" s="18"/>
      <c r="AR303" s="18"/>
      <c r="AS303" s="18"/>
      <c r="AU303" s="448"/>
      <c r="AV303" s="448"/>
      <c r="AW303" s="8" t="str">
        <f>IF(C303&gt;0,VLOOKUP(C303,Foundation_Calc!$A$2:$C$986,3,1),
IF(J303&gt;0,VLOOKUP(J303,Foundation_Calc!$A$2:$C$986,3,1),""))</f>
        <v/>
      </c>
      <c r="AX303" s="8" t="str">
        <f>IF(C303&gt;0,VLOOKUP(C303,Foundation_Calc!$E$2:$G$986,3,1),
IF(J303&gt;0,VLOOKUP(J303,Foundation_Calc!$E$2:$G$986,3,1),""))</f>
        <v/>
      </c>
      <c r="AY303" s="631" t="str">
        <f>IF(L303="","",
IF(AX303="PT",VLOOKUP(L303,Foundation_Calc!$K$4:$R$37,VLOOKUP(AW303,Foundation_Calc!$I$2:$J$8,2,FALSE),0),
IF(AX303="K",VLOOKUP(L303,Foundation_Calc!$K$41:$R$74,VLOOKUP(AW303,Foundation_Calc!$I$2:$J$8,2,FALSE),0),"")))</f>
        <v/>
      </c>
      <c r="AZ303" s="631" t="str">
        <f>IF(K303="","",
IF(AX303="PT",VLOOKUP(K303,Foundation_Calc!$K$4:$R$37,VLOOKUP(AW303,Foundation_Calc!$I$2:$J$8,2,FALSE),0),
IF(AX303="K",VLOOKUP(K303,Foundation_Calc!$K$41:$R$74,VLOOKUP(AW303,Foundation_Calc!$I$2:$J$8,2,FALSE),0),"")))</f>
        <v/>
      </c>
      <c r="BA303" s="632" t="str">
        <f t="shared" si="20"/>
        <v/>
      </c>
      <c r="BB303" s="632" t="str">
        <f t="shared" si="21"/>
        <v/>
      </c>
      <c r="BC303" s="632" t="str">
        <f t="shared" si="22"/>
        <v/>
      </c>
      <c r="BD303" s="633" t="str">
        <f>IF(AND(L303="",H303=""),"",
IF(H303="",Pole_Calc!A331,
IF(H303="MP",Pole_Calc!A332,
IF(H303="AnMP",Pole_Calc!A333,
IF(H303="A",Pole_Calc!A334,
IF(H303="S/A",Pole_Calc!A335,
IF(H303="A/S",Pole_Calc!A336,"Poner a mano")))))))</f>
        <v/>
      </c>
      <c r="BE303" s="448" t="s">
        <v>1726</v>
      </c>
      <c r="BF303" s="635"/>
      <c r="BG303" s="635"/>
      <c r="BH303" s="634"/>
      <c r="BI303" s="635"/>
    </row>
    <row r="304" spans="1:61" ht="16.2" customHeight="1">
      <c r="A304" s="12"/>
      <c r="B304" s="446"/>
      <c r="C304" s="89"/>
      <c r="D304" s="13"/>
      <c r="E304" s="14"/>
      <c r="F304" s="14"/>
      <c r="G304" s="15"/>
      <c r="H304" s="8"/>
      <c r="I304" s="8"/>
      <c r="J304" s="89"/>
      <c r="K304" s="8"/>
      <c r="L304" s="8"/>
      <c r="M304" s="8" t="str">
        <f>IF(L304="","",
IF(AX304="PT",VLOOKUP(L304,Foundation_Calc!$V$4:$X$37,VLOOKUP(AX304,Foundation_Calc!$I$10:$J$13,2,FALSE),0),
IF(AX304="K",VLOOKUP(L304,Foundation_Calc!$V$41:$X$74,VLOOKUP(AX304,Foundation_Calc!$I$10:$J$13,2,FALSE),0),"")))</f>
        <v/>
      </c>
      <c r="N304" s="8"/>
      <c r="O304" s="8"/>
      <c r="P304" s="8"/>
      <c r="Q304" s="14"/>
      <c r="R304" s="15"/>
      <c r="S304" s="15"/>
      <c r="T304" s="14"/>
      <c r="U304" s="14"/>
      <c r="V304" s="14"/>
      <c r="W304" s="18"/>
      <c r="X304" s="18"/>
      <c r="Y304" s="18"/>
      <c r="Z304" s="18"/>
      <c r="AA304" s="18"/>
      <c r="AB304" s="18"/>
      <c r="AC304" s="8" t="str">
        <f t="shared" si="19"/>
        <v/>
      </c>
      <c r="AD304" s="8"/>
      <c r="AE304" s="8"/>
      <c r="AF304" s="14"/>
      <c r="AG304" s="13"/>
      <c r="AH304" s="14"/>
      <c r="AI304" s="14"/>
      <c r="AJ304" s="8"/>
      <c r="AK304" s="8"/>
      <c r="AL304" s="8"/>
      <c r="AM304" s="8"/>
      <c r="AN304" s="631"/>
      <c r="AO304" s="18"/>
      <c r="AP304" s="18"/>
      <c r="AQ304" s="18"/>
      <c r="AR304" s="18"/>
      <c r="AS304" s="18"/>
      <c r="AU304" s="448"/>
      <c r="AV304" s="448"/>
      <c r="AW304" s="8" t="str">
        <f>IF(C304&gt;0,VLOOKUP(C304,Foundation_Calc!$A$2:$C$986,3,1),
IF(J304&gt;0,VLOOKUP(J304,Foundation_Calc!$A$2:$C$986,3,1),""))</f>
        <v/>
      </c>
      <c r="AX304" s="8" t="str">
        <f>IF(C304&gt;0,VLOOKUP(C304,Foundation_Calc!$E$2:$G$986,3,1),
IF(J304&gt;0,VLOOKUP(J304,Foundation_Calc!$E$2:$G$986,3,1),""))</f>
        <v/>
      </c>
      <c r="AY304" s="631" t="str">
        <f>IF(L304="","",
IF(AX304="PT",VLOOKUP(L304,Foundation_Calc!$K$4:$R$37,VLOOKUP(AW304,Foundation_Calc!$I$2:$J$8,2,FALSE),0),
IF(AX304="K",VLOOKUP(L304,Foundation_Calc!$K$41:$R$74,VLOOKUP(AW304,Foundation_Calc!$I$2:$J$8,2,FALSE),0),"")))</f>
        <v/>
      </c>
      <c r="AZ304" s="631" t="str">
        <f>IF(K304="","",
IF(AX304="PT",VLOOKUP(K304,Foundation_Calc!$K$4:$R$37,VLOOKUP(AW304,Foundation_Calc!$I$2:$J$8,2,FALSE),0),
IF(AX304="K",VLOOKUP(K304,Foundation_Calc!$K$41:$R$74,VLOOKUP(AW304,Foundation_Calc!$I$2:$J$8,2,FALSE),0),"")))</f>
        <v/>
      </c>
      <c r="BA304" s="632" t="str">
        <f t="shared" si="20"/>
        <v/>
      </c>
      <c r="BB304" s="632" t="str">
        <f t="shared" si="21"/>
        <v/>
      </c>
      <c r="BC304" s="632" t="str">
        <f t="shared" si="22"/>
        <v/>
      </c>
      <c r="BD304" s="633" t="str">
        <f>IF(AND(L304="",H304=""),"",
IF(H304="",Pole_Calc!A332,
IF(H304="MP",Pole_Calc!A333,
IF(H304="AnMP",Pole_Calc!A334,
IF(H304="A",Pole_Calc!A335,
IF(H304="S/A",Pole_Calc!A336,
IF(H304="A/S",Pole_Calc!A337,"Poner a mano")))))))</f>
        <v/>
      </c>
      <c r="BE304" s="448" t="s">
        <v>1726</v>
      </c>
      <c r="BF304" s="634"/>
      <c r="BG304" s="634"/>
      <c r="BH304" s="634"/>
      <c r="BI304" s="634"/>
    </row>
    <row r="305" spans="1:61" ht="16.2" customHeight="1">
      <c r="A305" s="12"/>
      <c r="B305" s="446"/>
      <c r="C305" s="89"/>
      <c r="D305" s="13"/>
      <c r="E305" s="14"/>
      <c r="F305" s="14"/>
      <c r="G305" s="15"/>
      <c r="H305" s="8"/>
      <c r="I305" s="8"/>
      <c r="J305" s="89"/>
      <c r="K305" s="8"/>
      <c r="L305" s="8"/>
      <c r="M305" s="8" t="str">
        <f>IF(L305="","",
IF(AX305="PT",VLOOKUP(L305,Foundation_Calc!$V$4:$X$37,VLOOKUP(AX305,Foundation_Calc!$I$10:$J$13,2,FALSE),0),
IF(AX305="K",VLOOKUP(L305,Foundation_Calc!$V$41:$X$74,VLOOKUP(AX305,Foundation_Calc!$I$10:$J$13,2,FALSE),0),"")))</f>
        <v/>
      </c>
      <c r="N305" s="8"/>
      <c r="O305" s="8"/>
      <c r="P305" s="8"/>
      <c r="Q305" s="14"/>
      <c r="R305" s="15"/>
      <c r="S305" s="15"/>
      <c r="T305" s="14"/>
      <c r="U305" s="14"/>
      <c r="V305" s="14"/>
      <c r="W305" s="18"/>
      <c r="X305" s="18"/>
      <c r="Y305" s="18"/>
      <c r="Z305" s="18"/>
      <c r="AA305" s="18"/>
      <c r="AB305" s="18"/>
      <c r="AC305" s="8" t="str">
        <f t="shared" si="19"/>
        <v/>
      </c>
      <c r="AD305" s="8"/>
      <c r="AE305" s="8"/>
      <c r="AF305" s="14"/>
      <c r="AG305" s="13"/>
      <c r="AH305" s="14"/>
      <c r="AI305" s="14"/>
      <c r="AJ305" s="8"/>
      <c r="AK305" s="8"/>
      <c r="AL305" s="8"/>
      <c r="AM305" s="8"/>
      <c r="AN305" s="631"/>
      <c r="AO305" s="18"/>
      <c r="AP305" s="18"/>
      <c r="AQ305" s="18"/>
      <c r="AR305" s="18"/>
      <c r="AS305" s="18"/>
      <c r="AU305" s="448"/>
      <c r="AV305" s="448"/>
      <c r="AW305" s="8" t="str">
        <f>IF(C305&gt;0,VLOOKUP(C305,Foundation_Calc!$A$2:$C$986,3,1),
IF(J305&gt;0,VLOOKUP(J305,Foundation_Calc!$A$2:$C$986,3,1),""))</f>
        <v/>
      </c>
      <c r="AX305" s="8" t="str">
        <f>IF(C305&gt;0,VLOOKUP(C305,Foundation_Calc!$E$2:$G$986,3,1),
IF(J305&gt;0,VLOOKUP(J305,Foundation_Calc!$E$2:$G$986,3,1),""))</f>
        <v/>
      </c>
      <c r="AY305" s="631" t="str">
        <f>IF(L305="","",
IF(AX305="PT",VLOOKUP(L305,Foundation_Calc!$K$4:$R$37,VLOOKUP(AW305,Foundation_Calc!$I$2:$J$8,2,FALSE),0),
IF(AX305="K",VLOOKUP(L305,Foundation_Calc!$K$41:$R$74,VLOOKUP(AW305,Foundation_Calc!$I$2:$J$8,2,FALSE),0),"")))</f>
        <v/>
      </c>
      <c r="AZ305" s="631" t="str">
        <f>IF(K305="","",
IF(AX305="PT",VLOOKUP(K305,Foundation_Calc!$K$4:$R$37,VLOOKUP(AW305,Foundation_Calc!$I$2:$J$8,2,FALSE),0),
IF(AX305="K",VLOOKUP(K305,Foundation_Calc!$K$41:$R$74,VLOOKUP(AW305,Foundation_Calc!$I$2:$J$8,2,FALSE),0),"")))</f>
        <v/>
      </c>
      <c r="BA305" s="632" t="str">
        <f t="shared" si="20"/>
        <v/>
      </c>
      <c r="BB305" s="632" t="str">
        <f t="shared" si="21"/>
        <v/>
      </c>
      <c r="BC305" s="632" t="str">
        <f t="shared" si="22"/>
        <v/>
      </c>
      <c r="BD305" s="633" t="str">
        <f>IF(AND(L305="",H305=""),"",
IF(H305="",Pole_Calc!A333,
IF(H305="MP",Pole_Calc!A334,
IF(H305="AnMP",Pole_Calc!A335,
IF(H305="A",Pole_Calc!A336,
IF(H305="S/A",Pole_Calc!A337,
IF(H305="A/S",Pole_Calc!A338,"Poner a mano")))))))</f>
        <v/>
      </c>
      <c r="BE305" s="448" t="s">
        <v>1726</v>
      </c>
      <c r="BF305" s="635"/>
      <c r="BG305" s="635"/>
      <c r="BH305" s="634"/>
      <c r="BI305" s="635"/>
    </row>
    <row r="306" spans="1:61" ht="16.2" customHeight="1">
      <c r="A306" s="12"/>
      <c r="B306" s="446"/>
      <c r="C306" s="89"/>
      <c r="D306" s="13"/>
      <c r="E306" s="14"/>
      <c r="F306" s="14"/>
      <c r="G306" s="15"/>
      <c r="H306" s="8"/>
      <c r="I306" s="8"/>
      <c r="J306" s="89"/>
      <c r="K306" s="8"/>
      <c r="L306" s="8"/>
      <c r="M306" s="8" t="str">
        <f>IF(L306="","",
IF(AX306="PT",VLOOKUP(L306,Foundation_Calc!$V$4:$X$37,VLOOKUP(AX306,Foundation_Calc!$I$10:$J$13,2,FALSE),0),
IF(AX306="K",VLOOKUP(L306,Foundation_Calc!$V$41:$X$74,VLOOKUP(AX306,Foundation_Calc!$I$10:$J$13,2,FALSE),0),"")))</f>
        <v/>
      </c>
      <c r="N306" s="8"/>
      <c r="O306" s="8"/>
      <c r="P306" s="8"/>
      <c r="Q306" s="14"/>
      <c r="R306" s="15"/>
      <c r="S306" s="15"/>
      <c r="T306" s="14"/>
      <c r="U306" s="14"/>
      <c r="V306" s="14"/>
      <c r="W306" s="18"/>
      <c r="X306" s="18"/>
      <c r="Y306" s="18"/>
      <c r="Z306" s="18"/>
      <c r="AA306" s="18"/>
      <c r="AB306" s="18"/>
      <c r="AC306" s="8" t="str">
        <f t="shared" si="19"/>
        <v/>
      </c>
      <c r="AD306" s="8"/>
      <c r="AE306" s="8"/>
      <c r="AF306" s="14"/>
      <c r="AG306" s="13"/>
      <c r="AH306" s="14"/>
      <c r="AI306" s="14"/>
      <c r="AJ306" s="8"/>
      <c r="AK306" s="8"/>
      <c r="AL306" s="8"/>
      <c r="AM306" s="8"/>
      <c r="AN306" s="631"/>
      <c r="AO306" s="18"/>
      <c r="AP306" s="18"/>
      <c r="AQ306" s="18"/>
      <c r="AR306" s="18"/>
      <c r="AS306" s="18"/>
      <c r="AU306" s="448"/>
      <c r="AV306" s="448"/>
      <c r="AW306" s="8" t="str">
        <f>IF(C306&gt;0,VLOOKUP(C306,Foundation_Calc!$A$2:$C$986,3,1),
IF(J306&gt;0,VLOOKUP(J306,Foundation_Calc!$A$2:$C$986,3,1),""))</f>
        <v/>
      </c>
      <c r="AX306" s="8" t="str">
        <f>IF(C306&gt;0,VLOOKUP(C306,Foundation_Calc!$E$2:$G$986,3,1),
IF(J306&gt;0,VLOOKUP(J306,Foundation_Calc!$E$2:$G$986,3,1),""))</f>
        <v/>
      </c>
      <c r="AY306" s="631" t="str">
        <f>IF(L306="","",
IF(AX306="PT",VLOOKUP(L306,Foundation_Calc!$K$4:$R$37,VLOOKUP(AW306,Foundation_Calc!$I$2:$J$8,2,FALSE),0),
IF(AX306="K",VLOOKUP(L306,Foundation_Calc!$K$41:$R$74,VLOOKUP(AW306,Foundation_Calc!$I$2:$J$8,2,FALSE),0),"")))</f>
        <v/>
      </c>
      <c r="AZ306" s="631" t="str">
        <f>IF(K306="","",
IF(AX306="PT",VLOOKUP(K306,Foundation_Calc!$K$4:$R$37,VLOOKUP(AW306,Foundation_Calc!$I$2:$J$8,2,FALSE),0),
IF(AX306="K",VLOOKUP(K306,Foundation_Calc!$K$41:$R$74,VLOOKUP(AW306,Foundation_Calc!$I$2:$J$8,2,FALSE),0),"")))</f>
        <v/>
      </c>
      <c r="BA306" s="632" t="str">
        <f t="shared" si="20"/>
        <v/>
      </c>
      <c r="BB306" s="632" t="str">
        <f t="shared" si="21"/>
        <v/>
      </c>
      <c r="BC306" s="632" t="str">
        <f t="shared" si="22"/>
        <v/>
      </c>
      <c r="BD306" s="633" t="str">
        <f>IF(AND(L306="",H306=""),"",
IF(H306="",Pole_Calc!A334,
IF(H306="MP",Pole_Calc!A335,
IF(H306="AnMP",Pole_Calc!A336,
IF(H306="A",Pole_Calc!A337,
IF(H306="S/A",Pole_Calc!A338,
IF(H306="A/S",Pole_Calc!A339,"Poner a mano")))))))</f>
        <v/>
      </c>
      <c r="BE306" s="448" t="s">
        <v>1726</v>
      </c>
      <c r="BF306" s="634"/>
      <c r="BG306" s="634"/>
      <c r="BH306" s="634"/>
      <c r="BI306" s="634"/>
    </row>
    <row r="307" spans="1:61" ht="16.2" customHeight="1">
      <c r="A307" s="12"/>
      <c r="B307" s="446"/>
      <c r="C307" s="89"/>
      <c r="D307" s="13"/>
      <c r="E307" s="14"/>
      <c r="F307" s="14"/>
      <c r="G307" s="15"/>
      <c r="H307" s="8"/>
      <c r="I307" s="8"/>
      <c r="J307" s="89"/>
      <c r="K307" s="8"/>
      <c r="L307" s="8"/>
      <c r="M307" s="8" t="str">
        <f>IF(L307="","",
IF(AX307="PT",VLOOKUP(L307,Foundation_Calc!$V$4:$X$37,VLOOKUP(AX307,Foundation_Calc!$I$10:$J$13,2,FALSE),0),
IF(AX307="K",VLOOKUP(L307,Foundation_Calc!$V$41:$X$74,VLOOKUP(AX307,Foundation_Calc!$I$10:$J$13,2,FALSE),0),"")))</f>
        <v/>
      </c>
      <c r="N307" s="8"/>
      <c r="O307" s="8"/>
      <c r="P307" s="8"/>
      <c r="Q307" s="14"/>
      <c r="R307" s="15"/>
      <c r="S307" s="15"/>
      <c r="T307" s="14"/>
      <c r="U307" s="14"/>
      <c r="V307" s="14"/>
      <c r="W307" s="18"/>
      <c r="X307" s="18"/>
      <c r="Y307" s="18"/>
      <c r="Z307" s="18"/>
      <c r="AA307" s="18"/>
      <c r="AB307" s="18"/>
      <c r="AC307" s="8" t="str">
        <f t="shared" si="19"/>
        <v/>
      </c>
      <c r="AD307" s="8"/>
      <c r="AE307" s="8"/>
      <c r="AF307" s="14"/>
      <c r="AG307" s="13"/>
      <c r="AH307" s="14"/>
      <c r="AI307" s="14"/>
      <c r="AJ307" s="8"/>
      <c r="AK307" s="8"/>
      <c r="AL307" s="8"/>
      <c r="AM307" s="8"/>
      <c r="AN307" s="631"/>
      <c r="AO307" s="18"/>
      <c r="AP307" s="18"/>
      <c r="AQ307" s="18"/>
      <c r="AR307" s="18"/>
      <c r="AS307" s="18"/>
      <c r="AU307" s="448"/>
      <c r="AV307" s="448"/>
      <c r="AW307" s="8" t="str">
        <f>IF(C307&gt;0,VLOOKUP(C307,Foundation_Calc!$A$2:$C$986,3,1),
IF(J307&gt;0,VLOOKUP(J307,Foundation_Calc!$A$2:$C$986,3,1),""))</f>
        <v/>
      </c>
      <c r="AX307" s="8" t="str">
        <f>IF(C307&gt;0,VLOOKUP(C307,Foundation_Calc!$E$2:$G$986,3,1),
IF(J307&gt;0,VLOOKUP(J307,Foundation_Calc!$E$2:$G$986,3,1),""))</f>
        <v/>
      </c>
      <c r="AY307" s="631" t="str">
        <f>IF(L307="","",
IF(AX307="PT",VLOOKUP(L307,Foundation_Calc!$K$4:$R$37,VLOOKUP(AW307,Foundation_Calc!$I$2:$J$8,2,FALSE),0),
IF(AX307="K",VLOOKUP(L307,Foundation_Calc!$K$41:$R$74,VLOOKUP(AW307,Foundation_Calc!$I$2:$J$8,2,FALSE),0),"")))</f>
        <v/>
      </c>
      <c r="AZ307" s="631" t="str">
        <f>IF(K307="","",
IF(AX307="PT",VLOOKUP(K307,Foundation_Calc!$K$4:$R$37,VLOOKUP(AW307,Foundation_Calc!$I$2:$J$8,2,FALSE),0),
IF(AX307="K",VLOOKUP(K307,Foundation_Calc!$K$41:$R$74,VLOOKUP(AW307,Foundation_Calc!$I$2:$J$8,2,FALSE),0),"")))</f>
        <v/>
      </c>
      <c r="BA307" s="632" t="str">
        <f t="shared" si="20"/>
        <v/>
      </c>
      <c r="BB307" s="632" t="str">
        <f t="shared" si="21"/>
        <v/>
      </c>
      <c r="BC307" s="632" t="str">
        <f t="shared" si="22"/>
        <v/>
      </c>
      <c r="BD307" s="633" t="str">
        <f>IF(AND(L307="",H307=""),"",
IF(H307="",Pole_Calc!A335,
IF(H307="MP",Pole_Calc!A336,
IF(H307="AnMP",Pole_Calc!A337,
IF(H307="A",Pole_Calc!A338,
IF(H307="S/A",Pole_Calc!A339,
IF(H307="A/S",Pole_Calc!A340,"Poner a mano")))))))</f>
        <v/>
      </c>
      <c r="BE307" s="448" t="s">
        <v>1726</v>
      </c>
      <c r="BF307" s="635"/>
      <c r="BG307" s="635"/>
      <c r="BH307" s="634"/>
      <c r="BI307" s="635"/>
    </row>
    <row r="308" spans="1:61" ht="16.2" customHeight="1">
      <c r="A308" s="12"/>
      <c r="B308" s="446"/>
      <c r="C308" s="89"/>
      <c r="D308" s="13"/>
      <c r="E308" s="14"/>
      <c r="F308" s="14"/>
      <c r="G308" s="15"/>
      <c r="H308" s="8"/>
      <c r="I308" s="8"/>
      <c r="J308" s="89"/>
      <c r="K308" s="8"/>
      <c r="L308" s="8"/>
      <c r="M308" s="8" t="str">
        <f>IF(L308="","",
IF(AX308="PT",VLOOKUP(L308,Foundation_Calc!$V$4:$X$37,VLOOKUP(AX308,Foundation_Calc!$I$10:$J$13,2,FALSE),0),
IF(AX308="K",VLOOKUP(L308,Foundation_Calc!$V$41:$X$74,VLOOKUP(AX308,Foundation_Calc!$I$10:$J$13,2,FALSE),0),"")))</f>
        <v/>
      </c>
      <c r="N308" s="8"/>
      <c r="O308" s="8"/>
      <c r="P308" s="8"/>
      <c r="Q308" s="14"/>
      <c r="R308" s="15"/>
      <c r="S308" s="15"/>
      <c r="T308" s="14"/>
      <c r="U308" s="14"/>
      <c r="V308" s="14"/>
      <c r="W308" s="18"/>
      <c r="X308" s="18"/>
      <c r="Y308" s="18"/>
      <c r="Z308" s="18"/>
      <c r="AA308" s="18"/>
      <c r="AB308" s="18"/>
      <c r="AC308" s="8" t="str">
        <f t="shared" si="19"/>
        <v/>
      </c>
      <c r="AD308" s="8"/>
      <c r="AE308" s="8"/>
      <c r="AF308" s="14"/>
      <c r="AG308" s="13"/>
      <c r="AH308" s="14"/>
      <c r="AI308" s="14"/>
      <c r="AJ308" s="8"/>
      <c r="AK308" s="8"/>
      <c r="AL308" s="8"/>
      <c r="AM308" s="8"/>
      <c r="AN308" s="631"/>
      <c r="AO308" s="18"/>
      <c r="AP308" s="18"/>
      <c r="AQ308" s="18"/>
      <c r="AR308" s="18"/>
      <c r="AS308" s="18"/>
      <c r="AU308" s="448"/>
      <c r="AV308" s="448"/>
      <c r="AW308" s="8" t="str">
        <f>IF(C308&gt;0,VLOOKUP(C308,Foundation_Calc!$A$2:$C$986,3,1),
IF(J308&gt;0,VLOOKUP(J308,Foundation_Calc!$A$2:$C$986,3,1),""))</f>
        <v/>
      </c>
      <c r="AX308" s="8" t="str">
        <f>IF(C308&gt;0,VLOOKUP(C308,Foundation_Calc!$E$2:$G$986,3,1),
IF(J308&gt;0,VLOOKUP(J308,Foundation_Calc!$E$2:$G$986,3,1),""))</f>
        <v/>
      </c>
      <c r="AY308" s="631" t="str">
        <f>IF(L308="","",
IF(AX308="PT",VLOOKUP(L308,Foundation_Calc!$K$4:$R$37,VLOOKUP(AW308,Foundation_Calc!$I$2:$J$8,2,FALSE),0),
IF(AX308="K",VLOOKUP(L308,Foundation_Calc!$K$41:$R$74,VLOOKUP(AW308,Foundation_Calc!$I$2:$J$8,2,FALSE),0),"")))</f>
        <v/>
      </c>
      <c r="AZ308" s="631" t="str">
        <f>IF(K308="","",
IF(AX308="PT",VLOOKUP(K308,Foundation_Calc!$K$4:$R$37,VLOOKUP(AW308,Foundation_Calc!$I$2:$J$8,2,FALSE),0),
IF(AX308="K",VLOOKUP(K308,Foundation_Calc!$K$41:$R$74,VLOOKUP(AW308,Foundation_Calc!$I$2:$J$8,2,FALSE),0),"")))</f>
        <v/>
      </c>
      <c r="BA308" s="632" t="str">
        <f t="shared" si="20"/>
        <v/>
      </c>
      <c r="BB308" s="632" t="str">
        <f t="shared" si="21"/>
        <v/>
      </c>
      <c r="BC308" s="632" t="str">
        <f t="shared" si="22"/>
        <v/>
      </c>
      <c r="BD308" s="633" t="str">
        <f>IF(AND(L308="",H308=""),"",
IF(H308="",Pole_Calc!A336,
IF(H308="MP",Pole_Calc!A337,
IF(H308="AnMP",Pole_Calc!A338,
IF(H308="A",Pole_Calc!A339,
IF(H308="S/A",Pole_Calc!A340,
IF(H308="A/S",Pole_Calc!A341,"Poner a mano")))))))</f>
        <v/>
      </c>
      <c r="BE308" s="448" t="s">
        <v>1726</v>
      </c>
      <c r="BF308" s="634"/>
      <c r="BG308" s="634"/>
      <c r="BH308" s="634"/>
      <c r="BI308" s="634"/>
    </row>
    <row r="309" spans="1:61" ht="16.2" customHeight="1">
      <c r="A309" s="12"/>
      <c r="B309" s="446"/>
      <c r="C309" s="89"/>
      <c r="D309" s="13"/>
      <c r="E309" s="14"/>
      <c r="F309" s="14"/>
      <c r="G309" s="15"/>
      <c r="H309" s="8"/>
      <c r="I309" s="8"/>
      <c r="J309" s="89"/>
      <c r="K309" s="8"/>
      <c r="L309" s="8"/>
      <c r="M309" s="8" t="str">
        <f>IF(L309="","",
IF(AX309="PT",VLOOKUP(L309,Foundation_Calc!$V$4:$X$37,VLOOKUP(AX309,Foundation_Calc!$I$10:$J$13,2,FALSE),0),
IF(AX309="K",VLOOKUP(L309,Foundation_Calc!$V$41:$X$74,VLOOKUP(AX309,Foundation_Calc!$I$10:$J$13,2,FALSE),0),"")))</f>
        <v/>
      </c>
      <c r="N309" s="8"/>
      <c r="O309" s="8"/>
      <c r="P309" s="8"/>
      <c r="Q309" s="14"/>
      <c r="R309" s="15"/>
      <c r="S309" s="15"/>
      <c r="T309" s="14"/>
      <c r="U309" s="14"/>
      <c r="V309" s="14"/>
      <c r="W309" s="18"/>
      <c r="X309" s="18"/>
      <c r="Y309" s="18"/>
      <c r="Z309" s="18"/>
      <c r="AA309" s="18"/>
      <c r="AB309" s="18"/>
      <c r="AC309" s="8" t="str">
        <f t="shared" si="19"/>
        <v/>
      </c>
      <c r="AD309" s="8"/>
      <c r="AE309" s="8"/>
      <c r="AF309" s="14"/>
      <c r="AG309" s="13"/>
      <c r="AH309" s="14"/>
      <c r="AI309" s="14"/>
      <c r="AJ309" s="8"/>
      <c r="AK309" s="8"/>
      <c r="AL309" s="8"/>
      <c r="AM309" s="8"/>
      <c r="AN309" s="631"/>
      <c r="AO309" s="18"/>
      <c r="AP309" s="18"/>
      <c r="AQ309" s="18"/>
      <c r="AR309" s="18"/>
      <c r="AS309" s="18"/>
      <c r="AU309" s="448"/>
      <c r="AV309" s="448"/>
      <c r="AW309" s="8" t="str">
        <f>IF(C309&gt;0,VLOOKUP(C309,Foundation_Calc!$A$2:$C$986,3,1),
IF(J309&gt;0,VLOOKUP(J309,Foundation_Calc!$A$2:$C$986,3,1),""))</f>
        <v/>
      </c>
      <c r="AX309" s="8" t="str">
        <f>IF(C309&gt;0,VLOOKUP(C309,Foundation_Calc!$E$2:$G$986,3,1),
IF(J309&gt;0,VLOOKUP(J309,Foundation_Calc!$E$2:$G$986,3,1),""))</f>
        <v/>
      </c>
      <c r="AY309" s="631" t="str">
        <f>IF(L309="","",
IF(AX309="PT",VLOOKUP(L309,Foundation_Calc!$K$4:$R$37,VLOOKUP(AW309,Foundation_Calc!$I$2:$J$8,2,FALSE),0),
IF(AX309="K",VLOOKUP(L309,Foundation_Calc!$K$41:$R$74,VLOOKUP(AW309,Foundation_Calc!$I$2:$J$8,2,FALSE),0),"")))</f>
        <v/>
      </c>
      <c r="AZ309" s="631" t="str">
        <f>IF(K309="","",
IF(AX309="PT",VLOOKUP(K309,Foundation_Calc!$K$4:$R$37,VLOOKUP(AW309,Foundation_Calc!$I$2:$J$8,2,FALSE),0),
IF(AX309="K",VLOOKUP(K309,Foundation_Calc!$K$41:$R$74,VLOOKUP(AW309,Foundation_Calc!$I$2:$J$8,2,FALSE),0),"")))</f>
        <v/>
      </c>
      <c r="BA309" s="632" t="str">
        <f t="shared" si="20"/>
        <v/>
      </c>
      <c r="BB309" s="632" t="str">
        <f t="shared" si="21"/>
        <v/>
      </c>
      <c r="BC309" s="632" t="str">
        <f t="shared" si="22"/>
        <v/>
      </c>
      <c r="BD309" s="633" t="str">
        <f>IF(AND(L309="",H309=""),"",
IF(H309="",Pole_Calc!A337,
IF(H309="MP",Pole_Calc!A338,
IF(H309="AnMP",Pole_Calc!A339,
IF(H309="A",Pole_Calc!A340,
IF(H309="S/A",Pole_Calc!A341,
IF(H309="A/S",Pole_Calc!A342,"Poner a mano")))))))</f>
        <v/>
      </c>
      <c r="BE309" s="448" t="s">
        <v>1726</v>
      </c>
      <c r="BF309" s="635"/>
      <c r="BG309" s="635"/>
      <c r="BH309" s="634"/>
      <c r="BI309" s="635"/>
    </row>
    <row r="310" spans="1:61" ht="16.2" customHeight="1">
      <c r="A310" s="12"/>
      <c r="B310" s="446"/>
      <c r="C310" s="89"/>
      <c r="D310" s="13"/>
      <c r="E310" s="14"/>
      <c r="F310" s="14"/>
      <c r="G310" s="15"/>
      <c r="H310" s="8"/>
      <c r="I310" s="8"/>
      <c r="J310" s="89"/>
      <c r="K310" s="8"/>
      <c r="L310" s="8"/>
      <c r="M310" s="8" t="str">
        <f>IF(L310="","",
IF(AX310="PT",VLOOKUP(L310,Foundation_Calc!$V$4:$X$37,VLOOKUP(AX310,Foundation_Calc!$I$10:$J$13,2,FALSE),0),
IF(AX310="K",VLOOKUP(L310,Foundation_Calc!$V$41:$X$74,VLOOKUP(AX310,Foundation_Calc!$I$10:$J$13,2,FALSE),0),"")))</f>
        <v/>
      </c>
      <c r="N310" s="8"/>
      <c r="O310" s="8"/>
      <c r="P310" s="8"/>
      <c r="Q310" s="14"/>
      <c r="R310" s="15"/>
      <c r="S310" s="15"/>
      <c r="T310" s="14"/>
      <c r="U310" s="14"/>
      <c r="V310" s="14"/>
      <c r="W310" s="18"/>
      <c r="X310" s="18"/>
      <c r="Y310" s="18"/>
      <c r="Z310" s="18"/>
      <c r="AA310" s="18"/>
      <c r="AB310" s="18"/>
      <c r="AC310" s="8" t="str">
        <f t="shared" si="19"/>
        <v/>
      </c>
      <c r="AD310" s="8"/>
      <c r="AE310" s="8"/>
      <c r="AF310" s="14"/>
      <c r="AG310" s="13"/>
      <c r="AH310" s="14"/>
      <c r="AI310" s="14"/>
      <c r="AJ310" s="8"/>
      <c r="AK310" s="8"/>
      <c r="AL310" s="8"/>
      <c r="AM310" s="8"/>
      <c r="AN310" s="631"/>
      <c r="AO310" s="18"/>
      <c r="AP310" s="18"/>
      <c r="AQ310" s="18"/>
      <c r="AR310" s="18"/>
      <c r="AS310" s="18"/>
      <c r="AU310" s="448"/>
      <c r="AV310" s="448"/>
      <c r="AW310" s="8" t="str">
        <f>IF(C310&gt;0,VLOOKUP(C310,Foundation_Calc!$A$2:$C$986,3,1),
IF(J310&gt;0,VLOOKUP(J310,Foundation_Calc!$A$2:$C$986,3,1),""))</f>
        <v/>
      </c>
      <c r="AX310" s="8" t="str">
        <f>IF(C310&gt;0,VLOOKUP(C310,Foundation_Calc!$E$2:$G$986,3,1),
IF(J310&gt;0,VLOOKUP(J310,Foundation_Calc!$E$2:$G$986,3,1),""))</f>
        <v/>
      </c>
      <c r="AY310" s="631" t="str">
        <f>IF(L310="","",
IF(AX310="PT",VLOOKUP(L310,Foundation_Calc!$K$4:$R$37,VLOOKUP(AW310,Foundation_Calc!$I$2:$J$8,2,FALSE),0),
IF(AX310="K",VLOOKUP(L310,Foundation_Calc!$K$41:$R$74,VLOOKUP(AW310,Foundation_Calc!$I$2:$J$8,2,FALSE),0),"")))</f>
        <v/>
      </c>
      <c r="AZ310" s="631" t="str">
        <f>IF(K310="","",
IF(AX310="PT",VLOOKUP(K310,Foundation_Calc!$K$4:$R$37,VLOOKUP(AW310,Foundation_Calc!$I$2:$J$8,2,FALSE),0),
IF(AX310="K",VLOOKUP(K310,Foundation_Calc!$K$41:$R$74,VLOOKUP(AW310,Foundation_Calc!$I$2:$J$8,2,FALSE),0),"")))</f>
        <v/>
      </c>
      <c r="BA310" s="632" t="str">
        <f t="shared" si="20"/>
        <v/>
      </c>
      <c r="BB310" s="632" t="str">
        <f t="shared" si="21"/>
        <v/>
      </c>
      <c r="BC310" s="632" t="str">
        <f t="shared" si="22"/>
        <v/>
      </c>
      <c r="BD310" s="633" t="str">
        <f>IF(AND(L310="",H310=""),"",
IF(H310="",Pole_Calc!A338,
IF(H310="MP",Pole_Calc!A339,
IF(H310="AnMP",Pole_Calc!A340,
IF(H310="A",Pole_Calc!A341,
IF(H310="S/A",Pole_Calc!A342,
IF(H310="A/S",Pole_Calc!A343,"Poner a mano")))))))</f>
        <v/>
      </c>
      <c r="BE310" s="448" t="s">
        <v>1726</v>
      </c>
      <c r="BF310" s="634"/>
      <c r="BG310" s="634"/>
      <c r="BH310" s="634"/>
      <c r="BI310" s="634"/>
    </row>
    <row r="311" spans="1:61" ht="16.2" customHeight="1">
      <c r="A311" s="12"/>
      <c r="B311" s="446"/>
      <c r="C311" s="89"/>
      <c r="D311" s="13"/>
      <c r="E311" s="14"/>
      <c r="F311" s="14"/>
      <c r="G311" s="15"/>
      <c r="H311" s="8"/>
      <c r="I311" s="8"/>
      <c r="J311" s="89"/>
      <c r="K311" s="8"/>
      <c r="L311" s="8"/>
      <c r="M311" s="8" t="str">
        <f>IF(L311="","",
IF(AX311="PT",VLOOKUP(L311,Foundation_Calc!$V$4:$X$37,VLOOKUP(AX311,Foundation_Calc!$I$10:$J$13,2,FALSE),0),
IF(AX311="K",VLOOKUP(L311,Foundation_Calc!$V$41:$X$74,VLOOKUP(AX311,Foundation_Calc!$I$10:$J$13,2,FALSE),0),"")))</f>
        <v/>
      </c>
      <c r="N311" s="8"/>
      <c r="O311" s="8"/>
      <c r="P311" s="8"/>
      <c r="Q311" s="14"/>
      <c r="R311" s="15"/>
      <c r="S311" s="15"/>
      <c r="T311" s="14"/>
      <c r="U311" s="14"/>
      <c r="V311" s="14"/>
      <c r="W311" s="18"/>
      <c r="X311" s="18"/>
      <c r="Y311" s="18"/>
      <c r="Z311" s="18"/>
      <c r="AA311" s="18"/>
      <c r="AB311" s="18"/>
      <c r="AC311" s="8" t="str">
        <f t="shared" si="19"/>
        <v/>
      </c>
      <c r="AD311" s="8"/>
      <c r="AE311" s="8"/>
      <c r="AF311" s="14"/>
      <c r="AG311" s="13"/>
      <c r="AH311" s="14"/>
      <c r="AI311" s="14"/>
      <c r="AJ311" s="8"/>
      <c r="AK311" s="8"/>
      <c r="AL311" s="8"/>
      <c r="AM311" s="8"/>
      <c r="AN311" s="631"/>
      <c r="AO311" s="18"/>
      <c r="AP311" s="18"/>
      <c r="AQ311" s="18"/>
      <c r="AR311" s="18"/>
      <c r="AS311" s="18"/>
      <c r="AU311" s="448"/>
      <c r="AV311" s="448"/>
      <c r="AW311" s="8" t="str">
        <f>IF(C311&gt;0,VLOOKUP(C311,Foundation_Calc!$A$2:$C$986,3,1),
IF(J311&gt;0,VLOOKUP(J311,Foundation_Calc!$A$2:$C$986,3,1),""))</f>
        <v/>
      </c>
      <c r="AX311" s="8" t="str">
        <f>IF(C311&gt;0,VLOOKUP(C311,Foundation_Calc!$E$2:$G$986,3,1),
IF(J311&gt;0,VLOOKUP(J311,Foundation_Calc!$E$2:$G$986,3,1),""))</f>
        <v/>
      </c>
      <c r="AY311" s="631" t="str">
        <f>IF(L311="","",
IF(AX311="PT",VLOOKUP(L311,Foundation_Calc!$K$4:$R$37,VLOOKUP(AW311,Foundation_Calc!$I$2:$J$8,2,FALSE),0),
IF(AX311="K",VLOOKUP(L311,Foundation_Calc!$K$41:$R$74,VLOOKUP(AW311,Foundation_Calc!$I$2:$J$8,2,FALSE),0),"")))</f>
        <v/>
      </c>
      <c r="AZ311" s="631" t="str">
        <f>IF(K311="","",
IF(AX311="PT",VLOOKUP(K311,Foundation_Calc!$K$4:$R$37,VLOOKUP(AW311,Foundation_Calc!$I$2:$J$8,2,FALSE),0),
IF(AX311="K",VLOOKUP(K311,Foundation_Calc!$K$41:$R$74,VLOOKUP(AW311,Foundation_Calc!$I$2:$J$8,2,FALSE),0),"")))</f>
        <v/>
      </c>
      <c r="BA311" s="632" t="str">
        <f t="shared" si="20"/>
        <v/>
      </c>
      <c r="BB311" s="632" t="str">
        <f t="shared" si="21"/>
        <v/>
      </c>
      <c r="BC311" s="632" t="str">
        <f t="shared" si="22"/>
        <v/>
      </c>
      <c r="BD311" s="633" t="str">
        <f>IF(AND(L311="",H311=""),"",
IF(H311="",Pole_Calc!A339,
IF(H311="MP",Pole_Calc!A340,
IF(H311="AnMP",Pole_Calc!A341,
IF(H311="A",Pole_Calc!A342,
IF(H311="S/A",Pole_Calc!A343,
IF(H311="A/S",Pole_Calc!A344,"Poner a mano")))))))</f>
        <v/>
      </c>
      <c r="BE311" s="448" t="s">
        <v>1726</v>
      </c>
      <c r="BF311" s="635"/>
      <c r="BG311" s="635"/>
      <c r="BH311" s="634"/>
      <c r="BI311" s="635"/>
    </row>
    <row r="312" spans="1:61" ht="16.2" customHeight="1">
      <c r="A312" s="12"/>
      <c r="B312" s="446"/>
      <c r="C312" s="89"/>
      <c r="D312" s="13"/>
      <c r="E312" s="14"/>
      <c r="F312" s="14"/>
      <c r="G312" s="15"/>
      <c r="H312" s="8"/>
      <c r="I312" s="8"/>
      <c r="J312" s="89"/>
      <c r="K312" s="8"/>
      <c r="L312" s="8"/>
      <c r="M312" s="8" t="str">
        <f>IF(L312="","",
IF(AX312="PT",VLOOKUP(L312,Foundation_Calc!$V$4:$X$37,VLOOKUP(AX312,Foundation_Calc!$I$10:$J$13,2,FALSE),0),
IF(AX312="K",VLOOKUP(L312,Foundation_Calc!$V$41:$X$74,VLOOKUP(AX312,Foundation_Calc!$I$10:$J$13,2,FALSE),0),"")))</f>
        <v/>
      </c>
      <c r="N312" s="8"/>
      <c r="O312" s="8"/>
      <c r="P312" s="8"/>
      <c r="Q312" s="14"/>
      <c r="R312" s="15"/>
      <c r="S312" s="15"/>
      <c r="T312" s="14"/>
      <c r="U312" s="14"/>
      <c r="V312" s="14"/>
      <c r="W312" s="18"/>
      <c r="X312" s="18"/>
      <c r="Y312" s="18"/>
      <c r="Z312" s="18"/>
      <c r="AA312" s="18"/>
      <c r="AB312" s="18"/>
      <c r="AC312" s="8" t="str">
        <f t="shared" si="19"/>
        <v/>
      </c>
      <c r="AD312" s="8"/>
      <c r="AE312" s="8"/>
      <c r="AF312" s="14"/>
      <c r="AG312" s="13"/>
      <c r="AH312" s="14"/>
      <c r="AI312" s="14"/>
      <c r="AJ312" s="8"/>
      <c r="AK312" s="8"/>
      <c r="AL312" s="8"/>
      <c r="AM312" s="8"/>
      <c r="AN312" s="631"/>
      <c r="AO312" s="18"/>
      <c r="AP312" s="18"/>
      <c r="AQ312" s="18"/>
      <c r="AR312" s="18"/>
      <c r="AS312" s="18"/>
      <c r="AU312" s="448"/>
      <c r="AV312" s="448"/>
      <c r="AW312" s="8" t="str">
        <f>IF(C312&gt;0,VLOOKUP(C312,Foundation_Calc!$A$2:$C$986,3,1),
IF(J312&gt;0,VLOOKUP(J312,Foundation_Calc!$A$2:$C$986,3,1),""))</f>
        <v/>
      </c>
      <c r="AX312" s="8" t="str">
        <f>IF(C312&gt;0,VLOOKUP(C312,Foundation_Calc!$E$2:$G$986,3,1),
IF(J312&gt;0,VLOOKUP(J312,Foundation_Calc!$E$2:$G$986,3,1),""))</f>
        <v/>
      </c>
      <c r="AY312" s="631" t="str">
        <f>IF(L312="","",
IF(AX312="PT",VLOOKUP(L312,Foundation_Calc!$K$4:$R$37,VLOOKUP(AW312,Foundation_Calc!$I$2:$J$8,2,FALSE),0),
IF(AX312="K",VLOOKUP(L312,Foundation_Calc!$K$41:$R$74,VLOOKUP(AW312,Foundation_Calc!$I$2:$J$8,2,FALSE),0),"")))</f>
        <v/>
      </c>
      <c r="AZ312" s="631" t="str">
        <f>IF(K312="","",
IF(AX312="PT",VLOOKUP(K312,Foundation_Calc!$K$4:$R$37,VLOOKUP(AW312,Foundation_Calc!$I$2:$J$8,2,FALSE),0),
IF(AX312="K",VLOOKUP(K312,Foundation_Calc!$K$41:$R$74,VLOOKUP(AW312,Foundation_Calc!$I$2:$J$8,2,FALSE),0),"")))</f>
        <v/>
      </c>
      <c r="BA312" s="632" t="str">
        <f t="shared" si="20"/>
        <v/>
      </c>
      <c r="BB312" s="632" t="str">
        <f t="shared" si="21"/>
        <v/>
      </c>
      <c r="BC312" s="632" t="str">
        <f t="shared" si="22"/>
        <v/>
      </c>
      <c r="BD312" s="633" t="str">
        <f>IF(AND(L312="",H312=""),"",
IF(H312="",Pole_Calc!A340,
IF(H312="MP",Pole_Calc!A341,
IF(H312="AnMP",Pole_Calc!A342,
IF(H312="A",Pole_Calc!A343,
IF(H312="S/A",Pole_Calc!A344,
IF(H312="A/S",Pole_Calc!A345,"Poner a mano")))))))</f>
        <v/>
      </c>
      <c r="BE312" s="448" t="s">
        <v>1726</v>
      </c>
      <c r="BF312" s="634"/>
      <c r="BG312" s="634"/>
      <c r="BH312" s="634"/>
      <c r="BI312" s="634"/>
    </row>
    <row r="313" spans="1:61" ht="16.2" customHeight="1">
      <c r="A313" s="12"/>
      <c r="B313" s="446"/>
      <c r="C313" s="89"/>
      <c r="D313" s="13"/>
      <c r="E313" s="14"/>
      <c r="F313" s="14"/>
      <c r="G313" s="15"/>
      <c r="H313" s="8"/>
      <c r="I313" s="8"/>
      <c r="J313" s="89"/>
      <c r="K313" s="8"/>
      <c r="L313" s="8"/>
      <c r="M313" s="8" t="str">
        <f>IF(L313="","",
IF(AX313="PT",VLOOKUP(L313,Foundation_Calc!$V$4:$X$37,VLOOKUP(AX313,Foundation_Calc!$I$10:$J$13,2,FALSE),0),
IF(AX313="K",VLOOKUP(L313,Foundation_Calc!$V$41:$X$74,VLOOKUP(AX313,Foundation_Calc!$I$10:$J$13,2,FALSE),0),"")))</f>
        <v/>
      </c>
      <c r="N313" s="8"/>
      <c r="O313" s="8"/>
      <c r="P313" s="8"/>
      <c r="Q313" s="14"/>
      <c r="R313" s="15"/>
      <c r="S313" s="15"/>
      <c r="T313" s="14"/>
      <c r="U313" s="14"/>
      <c r="V313" s="14"/>
      <c r="W313" s="18"/>
      <c r="X313" s="18"/>
      <c r="Y313" s="18"/>
      <c r="Z313" s="18"/>
      <c r="AA313" s="18"/>
      <c r="AB313" s="18"/>
      <c r="AC313" s="8" t="str">
        <f t="shared" si="19"/>
        <v/>
      </c>
      <c r="AD313" s="8"/>
      <c r="AE313" s="8"/>
      <c r="AF313" s="14"/>
      <c r="AG313" s="13"/>
      <c r="AH313" s="14"/>
      <c r="AI313" s="14"/>
      <c r="AJ313" s="8"/>
      <c r="AK313" s="8"/>
      <c r="AL313" s="8"/>
      <c r="AM313" s="8"/>
      <c r="AN313" s="631"/>
      <c r="AO313" s="18"/>
      <c r="AP313" s="18"/>
      <c r="AQ313" s="18"/>
      <c r="AR313" s="18"/>
      <c r="AS313" s="18"/>
      <c r="AU313" s="448"/>
      <c r="AV313" s="448"/>
      <c r="AW313" s="8" t="str">
        <f>IF(C313&gt;0,VLOOKUP(C313,Foundation_Calc!$A$2:$C$986,3,1),
IF(J313&gt;0,VLOOKUP(J313,Foundation_Calc!$A$2:$C$986,3,1),""))</f>
        <v/>
      </c>
      <c r="AX313" s="8" t="str">
        <f>IF(C313&gt;0,VLOOKUP(C313,Foundation_Calc!$E$2:$G$986,3,1),
IF(J313&gt;0,VLOOKUP(J313,Foundation_Calc!$E$2:$G$986,3,1),""))</f>
        <v/>
      </c>
      <c r="AY313" s="631" t="str">
        <f>IF(L313="","",
IF(AX313="PT",VLOOKUP(L313,Foundation_Calc!$K$4:$R$37,VLOOKUP(AW313,Foundation_Calc!$I$2:$J$8,2,FALSE),0),
IF(AX313="K",VLOOKUP(L313,Foundation_Calc!$K$41:$R$74,VLOOKUP(AW313,Foundation_Calc!$I$2:$J$8,2,FALSE),0),"")))</f>
        <v/>
      </c>
      <c r="AZ313" s="631" t="str">
        <f>IF(K313="","",
IF(AX313="PT",VLOOKUP(K313,Foundation_Calc!$K$4:$R$37,VLOOKUP(AW313,Foundation_Calc!$I$2:$J$8,2,FALSE),0),
IF(AX313="K",VLOOKUP(K313,Foundation_Calc!$K$41:$R$74,VLOOKUP(AW313,Foundation_Calc!$I$2:$J$8,2,FALSE),0),"")))</f>
        <v/>
      </c>
      <c r="BA313" s="632" t="str">
        <f t="shared" si="20"/>
        <v/>
      </c>
      <c r="BB313" s="632" t="str">
        <f t="shared" si="21"/>
        <v/>
      </c>
      <c r="BC313" s="632" t="str">
        <f t="shared" si="22"/>
        <v/>
      </c>
      <c r="BD313" s="633" t="str">
        <f>IF(AND(L313="",H313=""),"",
IF(H313="",Pole_Calc!A341,
IF(H313="MP",Pole_Calc!A342,
IF(H313="AnMP",Pole_Calc!A343,
IF(H313="A",Pole_Calc!A344,
IF(H313="S/A",Pole_Calc!A345,
IF(H313="A/S",Pole_Calc!A346,"Poner a mano")))))))</f>
        <v/>
      </c>
      <c r="BE313" s="448" t="s">
        <v>1726</v>
      </c>
      <c r="BF313" s="635"/>
      <c r="BG313" s="635"/>
      <c r="BH313" s="634"/>
      <c r="BI313" s="635"/>
    </row>
    <row r="314" spans="1:61" ht="16.2" customHeight="1">
      <c r="A314" s="12"/>
      <c r="B314" s="446"/>
      <c r="C314" s="89"/>
      <c r="D314" s="13"/>
      <c r="E314" s="14"/>
      <c r="F314" s="14"/>
      <c r="G314" s="15"/>
      <c r="H314" s="8"/>
      <c r="I314" s="8"/>
      <c r="J314" s="89"/>
      <c r="K314" s="8"/>
      <c r="L314" s="8"/>
      <c r="M314" s="8" t="str">
        <f>IF(L314="","",
IF(AX314="PT",VLOOKUP(L314,Foundation_Calc!$V$4:$X$37,VLOOKUP(AX314,Foundation_Calc!$I$10:$J$13,2,FALSE),0),
IF(AX314="K",VLOOKUP(L314,Foundation_Calc!$V$41:$X$74,VLOOKUP(AX314,Foundation_Calc!$I$10:$J$13,2,FALSE),0),"")))</f>
        <v/>
      </c>
      <c r="N314" s="8"/>
      <c r="O314" s="8"/>
      <c r="P314" s="8"/>
      <c r="Q314" s="14"/>
      <c r="R314" s="15"/>
      <c r="S314" s="15"/>
      <c r="T314" s="14"/>
      <c r="U314" s="14"/>
      <c r="V314" s="14"/>
      <c r="W314" s="18"/>
      <c r="X314" s="18"/>
      <c r="Y314" s="18"/>
      <c r="Z314" s="18"/>
      <c r="AA314" s="18"/>
      <c r="AB314" s="18"/>
      <c r="AC314" s="8" t="str">
        <f t="shared" si="19"/>
        <v/>
      </c>
      <c r="AD314" s="8"/>
      <c r="AE314" s="8"/>
      <c r="AF314" s="14"/>
      <c r="AG314" s="13"/>
      <c r="AH314" s="14"/>
      <c r="AI314" s="14"/>
      <c r="AJ314" s="8"/>
      <c r="AK314" s="8"/>
      <c r="AL314" s="8"/>
      <c r="AM314" s="8"/>
      <c r="AN314" s="631"/>
      <c r="AO314" s="18"/>
      <c r="AP314" s="18"/>
      <c r="AQ314" s="18"/>
      <c r="AR314" s="18"/>
      <c r="AS314" s="18"/>
      <c r="AU314" s="448"/>
      <c r="AV314" s="448"/>
      <c r="AW314" s="8" t="str">
        <f>IF(C314&gt;0,VLOOKUP(C314,Foundation_Calc!$A$2:$C$986,3,1),
IF(J314&gt;0,VLOOKUP(J314,Foundation_Calc!$A$2:$C$986,3,1),""))</f>
        <v/>
      </c>
      <c r="AX314" s="8" t="str">
        <f>IF(C314&gt;0,VLOOKUP(C314,Foundation_Calc!$E$2:$G$986,3,1),
IF(J314&gt;0,VLOOKUP(J314,Foundation_Calc!$E$2:$G$986,3,1),""))</f>
        <v/>
      </c>
      <c r="AY314" s="631" t="str">
        <f>IF(L314="","",
IF(AX314="PT",VLOOKUP(L314,Foundation_Calc!$K$4:$R$37,VLOOKUP(AW314,Foundation_Calc!$I$2:$J$8,2,FALSE),0),
IF(AX314="K",VLOOKUP(L314,Foundation_Calc!$K$41:$R$74,VLOOKUP(AW314,Foundation_Calc!$I$2:$J$8,2,FALSE),0),"")))</f>
        <v/>
      </c>
      <c r="AZ314" s="631" t="str">
        <f>IF(K314="","",
IF(AX314="PT",VLOOKUP(K314,Foundation_Calc!$K$4:$R$37,VLOOKUP(AW314,Foundation_Calc!$I$2:$J$8,2,FALSE),0),
IF(AX314="K",VLOOKUP(K314,Foundation_Calc!$K$41:$R$74,VLOOKUP(AW314,Foundation_Calc!$I$2:$J$8,2,FALSE),0),"")))</f>
        <v/>
      </c>
      <c r="BA314" s="632" t="str">
        <f t="shared" si="20"/>
        <v/>
      </c>
      <c r="BB314" s="632" t="str">
        <f t="shared" si="21"/>
        <v/>
      </c>
      <c r="BC314" s="632" t="str">
        <f t="shared" si="22"/>
        <v/>
      </c>
      <c r="BD314" s="633" t="str">
        <f>IF(AND(L314="",H314=""),"",
IF(H314="",Pole_Calc!A342,
IF(H314="MP",Pole_Calc!A343,
IF(H314="AnMP",Pole_Calc!A344,
IF(H314="A",Pole_Calc!A345,
IF(H314="S/A",Pole_Calc!A346,
IF(H314="A/S",Pole_Calc!A347,"Poner a mano")))))))</f>
        <v/>
      </c>
      <c r="BE314" s="448" t="s">
        <v>1726</v>
      </c>
      <c r="BF314" s="634"/>
      <c r="BG314" s="634"/>
      <c r="BH314" s="634"/>
      <c r="BI314" s="634"/>
    </row>
    <row r="315" spans="1:61" ht="16.2" customHeight="1">
      <c r="A315" s="12"/>
      <c r="B315" s="446"/>
      <c r="C315" s="89"/>
      <c r="D315" s="13"/>
      <c r="E315" s="14"/>
      <c r="F315" s="14"/>
      <c r="G315" s="15"/>
      <c r="H315" s="8"/>
      <c r="I315" s="8"/>
      <c r="J315" s="89"/>
      <c r="K315" s="8"/>
      <c r="L315" s="8"/>
      <c r="M315" s="8" t="str">
        <f>IF(L315="","",
IF(AX315="PT",VLOOKUP(L315,Foundation_Calc!$V$4:$X$37,VLOOKUP(AX315,Foundation_Calc!$I$10:$J$13,2,FALSE),0),
IF(AX315="K",VLOOKUP(L315,Foundation_Calc!$V$41:$X$74,VLOOKUP(AX315,Foundation_Calc!$I$10:$J$13,2,FALSE),0),"")))</f>
        <v/>
      </c>
      <c r="N315" s="8"/>
      <c r="O315" s="8"/>
      <c r="P315" s="8"/>
      <c r="Q315" s="14"/>
      <c r="R315" s="15"/>
      <c r="S315" s="15"/>
      <c r="T315" s="14"/>
      <c r="U315" s="14"/>
      <c r="V315" s="14"/>
      <c r="W315" s="18"/>
      <c r="X315" s="18"/>
      <c r="Y315" s="18"/>
      <c r="Z315" s="18"/>
      <c r="AA315" s="18"/>
      <c r="AB315" s="18"/>
      <c r="AC315" s="8" t="str">
        <f t="shared" si="19"/>
        <v/>
      </c>
      <c r="AD315" s="8"/>
      <c r="AE315" s="8"/>
      <c r="AF315" s="14"/>
      <c r="AG315" s="13"/>
      <c r="AH315" s="14"/>
      <c r="AI315" s="14"/>
      <c r="AJ315" s="8"/>
      <c r="AK315" s="8"/>
      <c r="AL315" s="8"/>
      <c r="AM315" s="8"/>
      <c r="AN315" s="631"/>
      <c r="AO315" s="18"/>
      <c r="AP315" s="18"/>
      <c r="AQ315" s="18"/>
      <c r="AR315" s="18"/>
      <c r="AS315" s="18"/>
      <c r="AU315" s="448"/>
      <c r="AV315" s="448"/>
      <c r="AW315" s="8" t="str">
        <f>IF(C315&gt;0,VLOOKUP(C315,Foundation_Calc!$A$2:$C$986,3,1),
IF(J315&gt;0,VLOOKUP(J315,Foundation_Calc!$A$2:$C$986,3,1),""))</f>
        <v/>
      </c>
      <c r="AX315" s="8" t="str">
        <f>IF(C315&gt;0,VLOOKUP(C315,Foundation_Calc!$E$2:$G$986,3,1),
IF(J315&gt;0,VLOOKUP(J315,Foundation_Calc!$E$2:$G$986,3,1),""))</f>
        <v/>
      </c>
      <c r="AY315" s="631" t="str">
        <f>IF(L315="","",
IF(AX315="PT",VLOOKUP(L315,Foundation_Calc!$K$4:$R$37,VLOOKUP(AW315,Foundation_Calc!$I$2:$J$8,2,FALSE),0),
IF(AX315="K",VLOOKUP(L315,Foundation_Calc!$K$41:$R$74,VLOOKUP(AW315,Foundation_Calc!$I$2:$J$8,2,FALSE),0),"")))</f>
        <v/>
      </c>
      <c r="AZ315" s="631" t="str">
        <f>IF(K315="","",
IF(AX315="PT",VLOOKUP(K315,Foundation_Calc!$K$4:$R$37,VLOOKUP(AW315,Foundation_Calc!$I$2:$J$8,2,FALSE),0),
IF(AX315="K",VLOOKUP(K315,Foundation_Calc!$K$41:$R$74,VLOOKUP(AW315,Foundation_Calc!$I$2:$J$8,2,FALSE),0),"")))</f>
        <v/>
      </c>
      <c r="BA315" s="632" t="str">
        <f t="shared" si="20"/>
        <v/>
      </c>
      <c r="BB315" s="632" t="str">
        <f t="shared" si="21"/>
        <v/>
      </c>
      <c r="BC315" s="632" t="str">
        <f t="shared" si="22"/>
        <v/>
      </c>
      <c r="BD315" s="633" t="str">
        <f>IF(AND(L315="",H315=""),"",
IF(H315="",Pole_Calc!A343,
IF(H315="MP",Pole_Calc!A344,
IF(H315="AnMP",Pole_Calc!A345,
IF(H315="A",Pole_Calc!A346,
IF(H315="S/A",Pole_Calc!A347,
IF(H315="A/S",Pole_Calc!A348,"Poner a mano")))))))</f>
        <v/>
      </c>
      <c r="BE315" s="448" t="s">
        <v>1726</v>
      </c>
      <c r="BF315" s="635"/>
      <c r="BG315" s="635"/>
      <c r="BH315" s="634"/>
      <c r="BI315" s="635"/>
    </row>
    <row r="316" spans="1:61" ht="16.2" customHeight="1">
      <c r="A316" s="12"/>
      <c r="B316" s="446"/>
      <c r="C316" s="89"/>
      <c r="D316" s="13"/>
      <c r="E316" s="14"/>
      <c r="F316" s="14"/>
      <c r="G316" s="15"/>
      <c r="H316" s="8"/>
      <c r="I316" s="8"/>
      <c r="J316" s="89"/>
      <c r="K316" s="8"/>
      <c r="L316" s="8"/>
      <c r="M316" s="8" t="str">
        <f>IF(L316="","",
IF(AX316="PT",VLOOKUP(L316,Foundation_Calc!$V$4:$X$37,VLOOKUP(AX316,Foundation_Calc!$I$10:$J$13,2,FALSE),0),
IF(AX316="K",VLOOKUP(L316,Foundation_Calc!$V$41:$X$74,VLOOKUP(AX316,Foundation_Calc!$I$10:$J$13,2,FALSE),0),"")))</f>
        <v/>
      </c>
      <c r="N316" s="8"/>
      <c r="O316" s="8"/>
      <c r="P316" s="8"/>
      <c r="Q316" s="14"/>
      <c r="R316" s="15"/>
      <c r="S316" s="15"/>
      <c r="T316" s="14"/>
      <c r="U316" s="14"/>
      <c r="V316" s="14"/>
      <c r="W316" s="18"/>
      <c r="X316" s="18"/>
      <c r="Y316" s="18"/>
      <c r="Z316" s="18"/>
      <c r="AA316" s="18"/>
      <c r="AB316" s="18"/>
      <c r="AC316" s="8" t="str">
        <f t="shared" si="19"/>
        <v/>
      </c>
      <c r="AD316" s="8"/>
      <c r="AE316" s="8"/>
      <c r="AF316" s="14"/>
      <c r="AG316" s="13"/>
      <c r="AH316" s="14"/>
      <c r="AI316" s="14"/>
      <c r="AJ316" s="8"/>
      <c r="AK316" s="8"/>
      <c r="AL316" s="8"/>
      <c r="AM316" s="8"/>
      <c r="AN316" s="631"/>
      <c r="AO316" s="18"/>
      <c r="AP316" s="18"/>
      <c r="AQ316" s="18"/>
      <c r="AR316" s="18"/>
      <c r="AS316" s="18"/>
      <c r="AU316" s="448"/>
      <c r="AV316" s="448"/>
      <c r="AW316" s="8" t="str">
        <f>IF(C316&gt;0,VLOOKUP(C316,Foundation_Calc!$A$2:$C$986,3,1),
IF(J316&gt;0,VLOOKUP(J316,Foundation_Calc!$A$2:$C$986,3,1),""))</f>
        <v/>
      </c>
      <c r="AX316" s="8" t="str">
        <f>IF(C316&gt;0,VLOOKUP(C316,Foundation_Calc!$E$2:$G$986,3,1),
IF(J316&gt;0,VLOOKUP(J316,Foundation_Calc!$E$2:$G$986,3,1),""))</f>
        <v/>
      </c>
      <c r="AY316" s="631" t="str">
        <f>IF(L316="","",
IF(AX316="PT",VLOOKUP(L316,Foundation_Calc!$K$4:$R$37,VLOOKUP(AW316,Foundation_Calc!$I$2:$J$8,2,FALSE),0),
IF(AX316="K",VLOOKUP(L316,Foundation_Calc!$K$41:$R$74,VLOOKUP(AW316,Foundation_Calc!$I$2:$J$8,2,FALSE),0),"")))</f>
        <v/>
      </c>
      <c r="AZ316" s="631" t="str">
        <f>IF(K316="","",
IF(AX316="PT",VLOOKUP(K316,Foundation_Calc!$K$4:$R$37,VLOOKUP(AW316,Foundation_Calc!$I$2:$J$8,2,FALSE),0),
IF(AX316="K",VLOOKUP(K316,Foundation_Calc!$K$41:$R$74,VLOOKUP(AW316,Foundation_Calc!$I$2:$J$8,2,FALSE),0),"")))</f>
        <v/>
      </c>
      <c r="BA316" s="632" t="str">
        <f t="shared" si="20"/>
        <v/>
      </c>
      <c r="BB316" s="632" t="str">
        <f t="shared" si="21"/>
        <v/>
      </c>
      <c r="BC316" s="632" t="str">
        <f t="shared" si="22"/>
        <v/>
      </c>
      <c r="BD316" s="633" t="str">
        <f>IF(AND(L316="",H316=""),"",
IF(H316="",Pole_Calc!A344,
IF(H316="MP",Pole_Calc!A345,
IF(H316="AnMP",Pole_Calc!A346,
IF(H316="A",Pole_Calc!A347,
IF(H316="S/A",Pole_Calc!A348,
IF(H316="A/S",Pole_Calc!A349,"Poner a mano")))))))</f>
        <v/>
      </c>
      <c r="BE316" s="448" t="s">
        <v>1726</v>
      </c>
      <c r="BF316" s="634"/>
      <c r="BG316" s="634"/>
      <c r="BH316" s="634"/>
      <c r="BI316" s="634"/>
    </row>
    <row r="317" spans="1:61" ht="16.2" customHeight="1">
      <c r="A317" s="12"/>
      <c r="B317" s="446"/>
      <c r="C317" s="89"/>
      <c r="D317" s="13"/>
      <c r="E317" s="14"/>
      <c r="F317" s="14"/>
      <c r="G317" s="15"/>
      <c r="H317" s="8"/>
      <c r="I317" s="8"/>
      <c r="J317" s="89"/>
      <c r="K317" s="8"/>
      <c r="L317" s="8"/>
      <c r="M317" s="8" t="str">
        <f>IF(L317="","",
IF(AX317="PT",VLOOKUP(L317,Foundation_Calc!$V$4:$X$37,VLOOKUP(AX317,Foundation_Calc!$I$10:$J$13,2,FALSE),0),
IF(AX317="K",VLOOKUP(L317,Foundation_Calc!$V$41:$X$74,VLOOKUP(AX317,Foundation_Calc!$I$10:$J$13,2,FALSE),0),"")))</f>
        <v/>
      </c>
      <c r="N317" s="8"/>
      <c r="O317" s="8"/>
      <c r="P317" s="8"/>
      <c r="Q317" s="14"/>
      <c r="R317" s="15"/>
      <c r="S317" s="15"/>
      <c r="T317" s="14"/>
      <c r="U317" s="14"/>
      <c r="V317" s="14"/>
      <c r="W317" s="18"/>
      <c r="X317" s="18"/>
      <c r="Y317" s="18"/>
      <c r="Z317" s="18"/>
      <c r="AA317" s="18"/>
      <c r="AB317" s="18"/>
      <c r="AC317" s="8" t="str">
        <f t="shared" si="19"/>
        <v/>
      </c>
      <c r="AD317" s="8"/>
      <c r="AE317" s="8"/>
      <c r="AF317" s="14"/>
      <c r="AG317" s="13"/>
      <c r="AH317" s="14"/>
      <c r="AI317" s="14"/>
      <c r="AJ317" s="8"/>
      <c r="AK317" s="8"/>
      <c r="AL317" s="8"/>
      <c r="AM317" s="8"/>
      <c r="AN317" s="631"/>
      <c r="AO317" s="18"/>
      <c r="AP317" s="18"/>
      <c r="AQ317" s="18"/>
      <c r="AR317" s="18"/>
      <c r="AS317" s="18"/>
      <c r="AU317" s="448"/>
      <c r="AV317" s="448"/>
      <c r="AW317" s="8" t="str">
        <f>IF(C317&gt;0,VLOOKUP(C317,Foundation_Calc!$A$2:$C$986,3,1),
IF(J317&gt;0,VLOOKUP(J317,Foundation_Calc!$A$2:$C$986,3,1),""))</f>
        <v/>
      </c>
      <c r="AX317" s="8" t="str">
        <f>IF(C317&gt;0,VLOOKUP(C317,Foundation_Calc!$E$2:$G$986,3,1),
IF(J317&gt;0,VLOOKUP(J317,Foundation_Calc!$E$2:$G$986,3,1),""))</f>
        <v/>
      </c>
      <c r="AY317" s="631" t="str">
        <f>IF(L317="","",
IF(AX317="PT",VLOOKUP(L317,Foundation_Calc!$K$4:$R$37,VLOOKUP(AW317,Foundation_Calc!$I$2:$J$8,2,FALSE),0),
IF(AX317="K",VLOOKUP(L317,Foundation_Calc!$K$41:$R$74,VLOOKUP(AW317,Foundation_Calc!$I$2:$J$8,2,FALSE),0),"")))</f>
        <v/>
      </c>
      <c r="AZ317" s="631" t="str">
        <f>IF(K317="","",
IF(AX317="PT",VLOOKUP(K317,Foundation_Calc!$K$4:$R$37,VLOOKUP(AW317,Foundation_Calc!$I$2:$J$8,2,FALSE),0),
IF(AX317="K",VLOOKUP(K317,Foundation_Calc!$K$41:$R$74,VLOOKUP(AW317,Foundation_Calc!$I$2:$J$8,2,FALSE),0),"")))</f>
        <v/>
      </c>
      <c r="BA317" s="632" t="str">
        <f t="shared" si="20"/>
        <v/>
      </c>
      <c r="BB317" s="632" t="str">
        <f t="shared" si="21"/>
        <v/>
      </c>
      <c r="BC317" s="632" t="str">
        <f t="shared" si="22"/>
        <v/>
      </c>
      <c r="BD317" s="633" t="str">
        <f>IF(AND(L317="",H317=""),"",
IF(H317="",Pole_Calc!A345,
IF(H317="MP",Pole_Calc!A346,
IF(H317="AnMP",Pole_Calc!A347,
IF(H317="A",Pole_Calc!A348,
IF(H317="S/A",Pole_Calc!A349,
IF(H317="A/S",Pole_Calc!A350,"Poner a mano")))))))</f>
        <v/>
      </c>
      <c r="BE317" s="448" t="s">
        <v>1726</v>
      </c>
      <c r="BF317" s="635"/>
      <c r="BG317" s="635"/>
      <c r="BH317" s="634"/>
      <c r="BI317" s="635"/>
    </row>
    <row r="318" spans="1:61" ht="16.2" customHeight="1">
      <c r="A318" s="12"/>
      <c r="B318" s="446"/>
      <c r="C318" s="89"/>
      <c r="D318" s="13"/>
      <c r="E318" s="14"/>
      <c r="F318" s="14"/>
      <c r="G318" s="15"/>
      <c r="H318" s="8"/>
      <c r="I318" s="8"/>
      <c r="J318" s="89"/>
      <c r="K318" s="8"/>
      <c r="L318" s="8"/>
      <c r="M318" s="8" t="str">
        <f>IF(L318="","",
IF(AX318="PT",VLOOKUP(L318,Foundation_Calc!$V$4:$X$37,VLOOKUP(AX318,Foundation_Calc!$I$10:$J$13,2,FALSE),0),
IF(AX318="K",VLOOKUP(L318,Foundation_Calc!$V$41:$X$74,VLOOKUP(AX318,Foundation_Calc!$I$10:$J$13,2,FALSE),0),"")))</f>
        <v/>
      </c>
      <c r="N318" s="8"/>
      <c r="O318" s="8"/>
      <c r="P318" s="8"/>
      <c r="Q318" s="14"/>
      <c r="R318" s="15"/>
      <c r="S318" s="15"/>
      <c r="T318" s="14"/>
      <c r="U318" s="14"/>
      <c r="V318" s="14"/>
      <c r="W318" s="18"/>
      <c r="X318" s="18"/>
      <c r="Y318" s="18"/>
      <c r="Z318" s="18"/>
      <c r="AA318" s="18"/>
      <c r="AB318" s="18"/>
      <c r="AC318" s="8" t="str">
        <f t="shared" si="19"/>
        <v/>
      </c>
      <c r="AD318" s="8"/>
      <c r="AE318" s="8"/>
      <c r="AF318" s="14"/>
      <c r="AG318" s="13"/>
      <c r="AH318" s="14"/>
      <c r="AI318" s="14"/>
      <c r="AJ318" s="8"/>
      <c r="AK318" s="8"/>
      <c r="AL318" s="8"/>
      <c r="AM318" s="8"/>
      <c r="AN318" s="631"/>
      <c r="AO318" s="18"/>
      <c r="AP318" s="18"/>
      <c r="AQ318" s="18"/>
      <c r="AR318" s="18"/>
      <c r="AS318" s="18"/>
      <c r="AU318" s="448"/>
      <c r="AV318" s="448"/>
      <c r="AW318" s="8" t="str">
        <f>IF(C318&gt;0,VLOOKUP(C318,Foundation_Calc!$A$2:$C$986,3,1),
IF(J318&gt;0,VLOOKUP(J318,Foundation_Calc!$A$2:$C$986,3,1),""))</f>
        <v/>
      </c>
      <c r="AX318" s="8" t="str">
        <f>IF(C318&gt;0,VLOOKUP(C318,Foundation_Calc!$E$2:$G$986,3,1),
IF(J318&gt;0,VLOOKUP(J318,Foundation_Calc!$E$2:$G$986,3,1),""))</f>
        <v/>
      </c>
      <c r="AY318" s="631" t="str">
        <f>IF(L318="","",
IF(AX318="PT",VLOOKUP(L318,Foundation_Calc!$K$4:$R$37,VLOOKUP(AW318,Foundation_Calc!$I$2:$J$8,2,FALSE),0),
IF(AX318="K",VLOOKUP(L318,Foundation_Calc!$K$41:$R$74,VLOOKUP(AW318,Foundation_Calc!$I$2:$J$8,2,FALSE),0),"")))</f>
        <v/>
      </c>
      <c r="AZ318" s="631" t="str">
        <f>IF(K318="","",
IF(AX318="PT",VLOOKUP(K318,Foundation_Calc!$K$4:$R$37,VLOOKUP(AW318,Foundation_Calc!$I$2:$J$8,2,FALSE),0),
IF(AX318="K",VLOOKUP(K318,Foundation_Calc!$K$41:$R$74,VLOOKUP(AW318,Foundation_Calc!$I$2:$J$8,2,FALSE),0),"")))</f>
        <v/>
      </c>
      <c r="BA318" s="632" t="str">
        <f t="shared" si="20"/>
        <v/>
      </c>
      <c r="BB318" s="632" t="str">
        <f t="shared" si="21"/>
        <v/>
      </c>
      <c r="BC318" s="632" t="str">
        <f t="shared" si="22"/>
        <v/>
      </c>
      <c r="BD318" s="633" t="str">
        <f>IF(AND(L318="",H318=""),"",
IF(H318="",Pole_Calc!A346,
IF(H318="MP",Pole_Calc!A347,
IF(H318="AnMP",Pole_Calc!A348,
IF(H318="A",Pole_Calc!A349,
IF(H318="S/A",Pole_Calc!A350,
IF(H318="A/S",Pole_Calc!A351,"Poner a mano")))))))</f>
        <v/>
      </c>
      <c r="BE318" s="448" t="s">
        <v>1726</v>
      </c>
      <c r="BF318" s="634"/>
      <c r="BG318" s="634"/>
      <c r="BH318" s="634"/>
      <c r="BI318" s="634"/>
    </row>
    <row r="319" spans="1:61" ht="16.2" customHeight="1">
      <c r="A319" s="12"/>
      <c r="B319" s="446"/>
      <c r="C319" s="89"/>
      <c r="D319" s="13"/>
      <c r="E319" s="14"/>
      <c r="F319" s="14"/>
      <c r="G319" s="15"/>
      <c r="H319" s="8"/>
      <c r="I319" s="8"/>
      <c r="J319" s="89"/>
      <c r="K319" s="8"/>
      <c r="L319" s="8"/>
      <c r="M319" s="8" t="str">
        <f>IF(L319="","",
IF(AX319="PT",VLOOKUP(L319,Foundation_Calc!$V$4:$X$37,VLOOKUP(AX319,Foundation_Calc!$I$10:$J$13,2,FALSE),0),
IF(AX319="K",VLOOKUP(L319,Foundation_Calc!$V$41:$X$74,VLOOKUP(AX319,Foundation_Calc!$I$10:$J$13,2,FALSE),0),"")))</f>
        <v/>
      </c>
      <c r="N319" s="8"/>
      <c r="O319" s="8"/>
      <c r="P319" s="8"/>
      <c r="Q319" s="14"/>
      <c r="R319" s="15"/>
      <c r="S319" s="15"/>
      <c r="T319" s="14"/>
      <c r="U319" s="14"/>
      <c r="V319" s="14"/>
      <c r="W319" s="18"/>
      <c r="X319" s="18"/>
      <c r="Y319" s="18"/>
      <c r="Z319" s="18"/>
      <c r="AA319" s="18"/>
      <c r="AB319" s="18"/>
      <c r="AC319" s="8" t="str">
        <f t="shared" si="19"/>
        <v/>
      </c>
      <c r="AD319" s="8"/>
      <c r="AE319" s="8"/>
      <c r="AF319" s="14"/>
      <c r="AG319" s="13"/>
      <c r="AH319" s="14"/>
      <c r="AI319" s="14"/>
      <c r="AJ319" s="8"/>
      <c r="AK319" s="8"/>
      <c r="AL319" s="8"/>
      <c r="AM319" s="8"/>
      <c r="AN319" s="631"/>
      <c r="AO319" s="18"/>
      <c r="AP319" s="18"/>
      <c r="AQ319" s="18"/>
      <c r="AR319" s="18"/>
      <c r="AS319" s="18"/>
      <c r="AU319" s="448"/>
      <c r="AV319" s="448"/>
      <c r="AW319" s="8" t="str">
        <f>IF(C319&gt;0,VLOOKUP(C319,Foundation_Calc!$A$2:$C$986,3,1),
IF(J319&gt;0,VLOOKUP(J319,Foundation_Calc!$A$2:$C$986,3,1),""))</f>
        <v/>
      </c>
      <c r="AX319" s="8" t="str">
        <f>IF(C319&gt;0,VLOOKUP(C319,Foundation_Calc!$E$2:$G$986,3,1),
IF(J319&gt;0,VLOOKUP(J319,Foundation_Calc!$E$2:$G$986,3,1),""))</f>
        <v/>
      </c>
      <c r="AY319" s="631" t="str">
        <f>IF(L319="","",
IF(AX319="PT",VLOOKUP(L319,Foundation_Calc!$K$4:$R$37,VLOOKUP(AW319,Foundation_Calc!$I$2:$J$8,2,FALSE),0),
IF(AX319="K",VLOOKUP(L319,Foundation_Calc!$K$41:$R$74,VLOOKUP(AW319,Foundation_Calc!$I$2:$J$8,2,FALSE),0),"")))</f>
        <v/>
      </c>
      <c r="AZ319" s="631" t="str">
        <f>IF(K319="","",
IF(AX319="PT",VLOOKUP(K319,Foundation_Calc!$K$4:$R$37,VLOOKUP(AW319,Foundation_Calc!$I$2:$J$8,2,FALSE),0),
IF(AX319="K",VLOOKUP(K319,Foundation_Calc!$K$41:$R$74,VLOOKUP(AW319,Foundation_Calc!$I$2:$J$8,2,FALSE),0),"")))</f>
        <v/>
      </c>
      <c r="BA319" s="632" t="str">
        <f t="shared" si="20"/>
        <v/>
      </c>
      <c r="BB319" s="632" t="str">
        <f t="shared" si="21"/>
        <v/>
      </c>
      <c r="BC319" s="632" t="str">
        <f t="shared" si="22"/>
        <v/>
      </c>
      <c r="BD319" s="633" t="str">
        <f>IF(AND(L319="",H319=""),"",
IF(H319="",Pole_Calc!A347,
IF(H319="MP",Pole_Calc!A348,
IF(H319="AnMP",Pole_Calc!A349,
IF(H319="A",Pole_Calc!A350,
IF(H319="S/A",Pole_Calc!A351,
IF(H319="A/S",Pole_Calc!A352,"Poner a mano")))))))</f>
        <v/>
      </c>
      <c r="BE319" s="448" t="s">
        <v>1726</v>
      </c>
      <c r="BF319" s="635"/>
      <c r="BG319" s="635"/>
      <c r="BH319" s="634"/>
      <c r="BI319" s="635"/>
    </row>
    <row r="320" spans="1:61" ht="16.2" customHeight="1">
      <c r="A320" s="12"/>
      <c r="B320" s="446"/>
      <c r="C320" s="89"/>
      <c r="D320" s="13"/>
      <c r="E320" s="14"/>
      <c r="F320" s="14"/>
      <c r="G320" s="15"/>
      <c r="H320" s="8"/>
      <c r="I320" s="8"/>
      <c r="J320" s="89"/>
      <c r="K320" s="8"/>
      <c r="L320" s="8"/>
      <c r="M320" s="8" t="str">
        <f>IF(L320="","",
IF(AX320="PT",VLOOKUP(L320,Foundation_Calc!$V$4:$X$37,VLOOKUP(AX320,Foundation_Calc!$I$10:$J$13,2,FALSE),0),
IF(AX320="K",VLOOKUP(L320,Foundation_Calc!$V$41:$X$74,VLOOKUP(AX320,Foundation_Calc!$I$10:$J$13,2,FALSE),0),"")))</f>
        <v/>
      </c>
      <c r="N320" s="8"/>
      <c r="O320" s="8"/>
      <c r="P320" s="8"/>
      <c r="Q320" s="14"/>
      <c r="R320" s="15"/>
      <c r="S320" s="15"/>
      <c r="T320" s="14"/>
      <c r="U320" s="14"/>
      <c r="V320" s="14"/>
      <c r="W320" s="18"/>
      <c r="X320" s="18"/>
      <c r="Y320" s="18"/>
      <c r="Z320" s="18"/>
      <c r="AA320" s="18"/>
      <c r="AB320" s="18"/>
      <c r="AC320" s="8" t="str">
        <f t="shared" si="19"/>
        <v/>
      </c>
      <c r="AD320" s="8"/>
      <c r="AE320" s="8"/>
      <c r="AF320" s="14"/>
      <c r="AG320" s="13"/>
      <c r="AH320" s="14"/>
      <c r="AI320" s="14"/>
      <c r="AJ320" s="8"/>
      <c r="AK320" s="8"/>
      <c r="AL320" s="8"/>
      <c r="AM320" s="8"/>
      <c r="AN320" s="631"/>
      <c r="AO320" s="18"/>
      <c r="AP320" s="18"/>
      <c r="AQ320" s="18"/>
      <c r="AR320" s="18"/>
      <c r="AS320" s="18"/>
      <c r="AU320" s="448"/>
      <c r="AV320" s="448"/>
      <c r="AW320" s="8" t="str">
        <f>IF(C320&gt;0,VLOOKUP(C320,Foundation_Calc!$A$2:$C$986,3,1),
IF(J320&gt;0,VLOOKUP(J320,Foundation_Calc!$A$2:$C$986,3,1),""))</f>
        <v/>
      </c>
      <c r="AX320" s="8" t="str">
        <f>IF(C320&gt;0,VLOOKUP(C320,Foundation_Calc!$E$2:$G$986,3,1),
IF(J320&gt;0,VLOOKUP(J320,Foundation_Calc!$E$2:$G$986,3,1),""))</f>
        <v/>
      </c>
      <c r="AY320" s="631" t="str">
        <f>IF(L320="","",
IF(AX320="PT",VLOOKUP(L320,Foundation_Calc!$K$4:$R$37,VLOOKUP(AW320,Foundation_Calc!$I$2:$J$8,2,FALSE),0),
IF(AX320="K",VLOOKUP(L320,Foundation_Calc!$K$41:$R$74,VLOOKUP(AW320,Foundation_Calc!$I$2:$J$8,2,FALSE),0),"")))</f>
        <v/>
      </c>
      <c r="AZ320" s="631" t="str">
        <f>IF(K320="","",
IF(AX320="PT",VLOOKUP(K320,Foundation_Calc!$K$4:$R$37,VLOOKUP(AW320,Foundation_Calc!$I$2:$J$8,2,FALSE),0),
IF(AX320="K",VLOOKUP(K320,Foundation_Calc!$K$41:$R$74,VLOOKUP(AW320,Foundation_Calc!$I$2:$J$8,2,FALSE),0),"")))</f>
        <v/>
      </c>
      <c r="BA320" s="632" t="str">
        <f t="shared" si="20"/>
        <v/>
      </c>
      <c r="BB320" s="632" t="str">
        <f t="shared" si="21"/>
        <v/>
      </c>
      <c r="BC320" s="632" t="str">
        <f t="shared" si="22"/>
        <v/>
      </c>
      <c r="BD320" s="633" t="str">
        <f>IF(AND(L320="",H320=""),"",
IF(H320="",Pole_Calc!A348,
IF(H320="MP",Pole_Calc!A349,
IF(H320="AnMP",Pole_Calc!A350,
IF(H320="A",Pole_Calc!A351,
IF(H320="S/A",Pole_Calc!A352,
IF(H320="A/S",Pole_Calc!A353,"Poner a mano")))))))</f>
        <v/>
      </c>
      <c r="BE320" s="448" t="s">
        <v>1726</v>
      </c>
      <c r="BF320" s="634"/>
      <c r="BG320" s="634"/>
      <c r="BH320" s="634"/>
      <c r="BI320" s="634"/>
    </row>
    <row r="321" spans="1:61" ht="16.2" customHeight="1">
      <c r="A321" s="12"/>
      <c r="B321" s="446"/>
      <c r="C321" s="89"/>
      <c r="D321" s="13"/>
      <c r="E321" s="14"/>
      <c r="F321" s="14"/>
      <c r="G321" s="15"/>
      <c r="H321" s="8"/>
      <c r="I321" s="8"/>
      <c r="J321" s="89"/>
      <c r="K321" s="8"/>
      <c r="L321" s="8"/>
      <c r="M321" s="8" t="str">
        <f>IF(L321="","",
IF(AX321="PT",VLOOKUP(L321,Foundation_Calc!$V$4:$X$37,VLOOKUP(AX321,Foundation_Calc!$I$10:$J$13,2,FALSE),0),
IF(AX321="K",VLOOKUP(L321,Foundation_Calc!$V$41:$X$74,VLOOKUP(AX321,Foundation_Calc!$I$10:$J$13,2,FALSE),0),"")))</f>
        <v/>
      </c>
      <c r="N321" s="8"/>
      <c r="O321" s="8"/>
      <c r="P321" s="8"/>
      <c r="Q321" s="14"/>
      <c r="R321" s="15"/>
      <c r="S321" s="15"/>
      <c r="T321" s="14"/>
      <c r="U321" s="14"/>
      <c r="V321" s="14"/>
      <c r="W321" s="18"/>
      <c r="X321" s="18"/>
      <c r="Y321" s="18"/>
      <c r="Z321" s="18"/>
      <c r="AA321" s="18"/>
      <c r="AB321" s="18"/>
      <c r="AC321" s="8" t="str">
        <f t="shared" si="19"/>
        <v/>
      </c>
      <c r="AD321" s="8"/>
      <c r="AE321" s="8"/>
      <c r="AF321" s="14"/>
      <c r="AG321" s="13"/>
      <c r="AH321" s="14"/>
      <c r="AI321" s="14"/>
      <c r="AJ321" s="8"/>
      <c r="AK321" s="8"/>
      <c r="AL321" s="8"/>
      <c r="AM321" s="8"/>
      <c r="AN321" s="631"/>
      <c r="AO321" s="18"/>
      <c r="AP321" s="18"/>
      <c r="AQ321" s="18"/>
      <c r="AR321" s="18"/>
      <c r="AS321" s="18"/>
      <c r="AU321" s="448"/>
      <c r="AV321" s="448"/>
      <c r="AW321" s="8" t="str">
        <f>IF(C321&gt;0,VLOOKUP(C321,Foundation_Calc!$A$2:$C$986,3,1),
IF(J321&gt;0,VLOOKUP(J321,Foundation_Calc!$A$2:$C$986,3,1),""))</f>
        <v/>
      </c>
      <c r="AX321" s="8" t="str">
        <f>IF(C321&gt;0,VLOOKUP(C321,Foundation_Calc!$E$2:$G$986,3,1),
IF(J321&gt;0,VLOOKUP(J321,Foundation_Calc!$E$2:$G$986,3,1),""))</f>
        <v/>
      </c>
      <c r="AY321" s="631" t="str">
        <f>IF(L321="","",
IF(AX321="PT",VLOOKUP(L321,Foundation_Calc!$K$4:$R$37,VLOOKUP(AW321,Foundation_Calc!$I$2:$J$8,2,FALSE),0),
IF(AX321="K",VLOOKUP(L321,Foundation_Calc!$K$41:$R$74,VLOOKUP(AW321,Foundation_Calc!$I$2:$J$8,2,FALSE),0),"")))</f>
        <v/>
      </c>
      <c r="AZ321" s="631" t="str">
        <f>IF(K321="","",
IF(AX321="PT",VLOOKUP(K321,Foundation_Calc!$K$4:$R$37,VLOOKUP(AW321,Foundation_Calc!$I$2:$J$8,2,FALSE),0),
IF(AX321="K",VLOOKUP(K321,Foundation_Calc!$K$41:$R$74,VLOOKUP(AW321,Foundation_Calc!$I$2:$J$8,2,FALSE),0),"")))</f>
        <v/>
      </c>
      <c r="BA321" s="632" t="str">
        <f t="shared" si="20"/>
        <v/>
      </c>
      <c r="BB321" s="632" t="str">
        <f t="shared" si="21"/>
        <v/>
      </c>
      <c r="BC321" s="632" t="str">
        <f t="shared" si="22"/>
        <v/>
      </c>
      <c r="BD321" s="633" t="str">
        <f>IF(AND(L321="",H321=""),"",
IF(H321="",Pole_Calc!A349,
IF(H321="MP",Pole_Calc!A350,
IF(H321="AnMP",Pole_Calc!A351,
IF(H321="A",Pole_Calc!A352,
IF(H321="S/A",Pole_Calc!A353,
IF(H321="A/S",Pole_Calc!A354,"Poner a mano")))))))</f>
        <v/>
      </c>
      <c r="BE321" s="448" t="s">
        <v>1726</v>
      </c>
      <c r="BF321" s="635"/>
      <c r="BG321" s="635"/>
      <c r="BH321" s="634"/>
      <c r="BI321" s="635"/>
    </row>
    <row r="322" spans="1:61" ht="16.2" customHeight="1">
      <c r="A322" s="12"/>
      <c r="B322" s="446"/>
      <c r="C322" s="89"/>
      <c r="D322" s="13"/>
      <c r="E322" s="14"/>
      <c r="F322" s="14"/>
      <c r="G322" s="15"/>
      <c r="H322" s="8"/>
      <c r="I322" s="8"/>
      <c r="J322" s="89"/>
      <c r="K322" s="8"/>
      <c r="L322" s="8"/>
      <c r="M322" s="8" t="str">
        <f>IF(L322="","",
IF(AX322="PT",VLOOKUP(L322,Foundation_Calc!$V$4:$X$37,VLOOKUP(AX322,Foundation_Calc!$I$10:$J$13,2,FALSE),0),
IF(AX322="K",VLOOKUP(L322,Foundation_Calc!$V$41:$X$74,VLOOKUP(AX322,Foundation_Calc!$I$10:$J$13,2,FALSE),0),"")))</f>
        <v/>
      </c>
      <c r="N322" s="8"/>
      <c r="O322" s="8"/>
      <c r="P322" s="8"/>
      <c r="Q322" s="14"/>
      <c r="R322" s="15"/>
      <c r="S322" s="15"/>
      <c r="T322" s="14"/>
      <c r="U322" s="14"/>
      <c r="V322" s="14"/>
      <c r="W322" s="18"/>
      <c r="X322" s="18"/>
      <c r="Y322" s="18"/>
      <c r="Z322" s="18"/>
      <c r="AA322" s="18"/>
      <c r="AB322" s="18"/>
      <c r="AC322" s="8" t="str">
        <f t="shared" si="19"/>
        <v/>
      </c>
      <c r="AD322" s="8"/>
      <c r="AE322" s="8"/>
      <c r="AF322" s="14"/>
      <c r="AG322" s="13"/>
      <c r="AH322" s="14"/>
      <c r="AI322" s="14"/>
      <c r="AJ322" s="8"/>
      <c r="AK322" s="8"/>
      <c r="AL322" s="8"/>
      <c r="AM322" s="8"/>
      <c r="AN322" s="631"/>
      <c r="AO322" s="18"/>
      <c r="AP322" s="18"/>
      <c r="AQ322" s="18"/>
      <c r="AR322" s="18"/>
      <c r="AS322" s="18"/>
      <c r="AU322" s="448"/>
      <c r="AV322" s="448"/>
      <c r="AW322" s="8" t="str">
        <f>IF(C322&gt;0,VLOOKUP(C322,Foundation_Calc!$A$2:$C$986,3,1),
IF(J322&gt;0,VLOOKUP(J322,Foundation_Calc!$A$2:$C$986,3,1),""))</f>
        <v/>
      </c>
      <c r="AX322" s="8" t="str">
        <f>IF(C322&gt;0,VLOOKUP(C322,Foundation_Calc!$E$2:$G$986,3,1),
IF(J322&gt;0,VLOOKUP(J322,Foundation_Calc!$E$2:$G$986,3,1),""))</f>
        <v/>
      </c>
      <c r="AY322" s="631" t="str">
        <f>IF(L322="","",
IF(AX322="PT",VLOOKUP(L322,Foundation_Calc!$K$4:$R$37,VLOOKUP(AW322,Foundation_Calc!$I$2:$J$8,2,FALSE),0),
IF(AX322="K",VLOOKUP(L322,Foundation_Calc!$K$41:$R$74,VLOOKUP(AW322,Foundation_Calc!$I$2:$J$8,2,FALSE),0),"")))</f>
        <v/>
      </c>
      <c r="AZ322" s="631" t="str">
        <f>IF(K322="","",
IF(AX322="PT",VLOOKUP(K322,Foundation_Calc!$K$4:$R$37,VLOOKUP(AW322,Foundation_Calc!$I$2:$J$8,2,FALSE),0),
IF(AX322="K",VLOOKUP(K322,Foundation_Calc!$K$41:$R$74,VLOOKUP(AW322,Foundation_Calc!$I$2:$J$8,2,FALSE),0),"")))</f>
        <v/>
      </c>
      <c r="BA322" s="632" t="str">
        <f t="shared" si="20"/>
        <v/>
      </c>
      <c r="BB322" s="632" t="str">
        <f t="shared" si="21"/>
        <v/>
      </c>
      <c r="BC322" s="632" t="str">
        <f t="shared" si="22"/>
        <v/>
      </c>
      <c r="BD322" s="633" t="str">
        <f>IF(AND(L322="",H322=""),"",
IF(H322="",Pole_Calc!A350,
IF(H322="MP",Pole_Calc!A351,
IF(H322="AnMP",Pole_Calc!A352,
IF(H322="A",Pole_Calc!A353,
IF(H322="S/A",Pole_Calc!A354,
IF(H322="A/S",Pole_Calc!A355,"Poner a mano")))))))</f>
        <v/>
      </c>
      <c r="BE322" s="448" t="s">
        <v>1726</v>
      </c>
      <c r="BF322" s="634"/>
      <c r="BG322" s="634"/>
      <c r="BH322" s="634"/>
      <c r="BI322" s="634"/>
    </row>
    <row r="323" spans="1:61" ht="16.2" customHeight="1">
      <c r="A323" s="12"/>
      <c r="B323" s="446"/>
      <c r="C323" s="89"/>
      <c r="D323" s="13"/>
      <c r="E323" s="14"/>
      <c r="F323" s="14"/>
      <c r="G323" s="15"/>
      <c r="H323" s="8"/>
      <c r="I323" s="8"/>
      <c r="J323" s="89"/>
      <c r="K323" s="8"/>
      <c r="L323" s="8"/>
      <c r="M323" s="8" t="str">
        <f>IF(L323="","",
IF(AX323="PT",VLOOKUP(L323,Foundation_Calc!$V$4:$X$37,VLOOKUP(AX323,Foundation_Calc!$I$10:$J$13,2,FALSE),0),
IF(AX323="K",VLOOKUP(L323,Foundation_Calc!$V$41:$X$74,VLOOKUP(AX323,Foundation_Calc!$I$10:$J$13,2,FALSE),0),"")))</f>
        <v/>
      </c>
      <c r="N323" s="8"/>
      <c r="O323" s="8"/>
      <c r="P323" s="8"/>
      <c r="Q323" s="14"/>
      <c r="R323" s="15"/>
      <c r="S323" s="15"/>
      <c r="T323" s="14"/>
      <c r="U323" s="14"/>
      <c r="V323" s="14"/>
      <c r="W323" s="18"/>
      <c r="X323" s="18"/>
      <c r="Y323" s="18"/>
      <c r="Z323" s="18"/>
      <c r="AA323" s="18"/>
      <c r="AB323" s="18"/>
      <c r="AC323" s="8" t="str">
        <f t="shared" si="19"/>
        <v/>
      </c>
      <c r="AD323" s="8"/>
      <c r="AE323" s="8"/>
      <c r="AF323" s="14"/>
      <c r="AG323" s="13"/>
      <c r="AH323" s="14"/>
      <c r="AI323" s="14"/>
      <c r="AJ323" s="8"/>
      <c r="AK323" s="8"/>
      <c r="AL323" s="8"/>
      <c r="AM323" s="8"/>
      <c r="AN323" s="631"/>
      <c r="AO323" s="18"/>
      <c r="AP323" s="18"/>
      <c r="AQ323" s="18"/>
      <c r="AR323" s="18"/>
      <c r="AS323" s="18"/>
      <c r="AU323" s="448"/>
      <c r="AV323" s="448"/>
      <c r="AW323" s="8" t="str">
        <f>IF(C323&gt;0,VLOOKUP(C323,Foundation_Calc!$A$2:$C$986,3,1),
IF(J323&gt;0,VLOOKUP(J323,Foundation_Calc!$A$2:$C$986,3,1),""))</f>
        <v/>
      </c>
      <c r="AX323" s="8" t="str">
        <f>IF(C323&gt;0,VLOOKUP(C323,Foundation_Calc!$E$2:$G$986,3,1),
IF(J323&gt;0,VLOOKUP(J323,Foundation_Calc!$E$2:$G$986,3,1),""))</f>
        <v/>
      </c>
      <c r="AY323" s="631" t="str">
        <f>IF(L323="","",
IF(AX323="PT",VLOOKUP(L323,Foundation_Calc!$K$4:$R$37,VLOOKUP(AW323,Foundation_Calc!$I$2:$J$8,2,FALSE),0),
IF(AX323="K",VLOOKUP(L323,Foundation_Calc!$K$41:$R$74,VLOOKUP(AW323,Foundation_Calc!$I$2:$J$8,2,FALSE),0),"")))</f>
        <v/>
      </c>
      <c r="AZ323" s="631" t="str">
        <f>IF(K323="","",
IF(AX323="PT",VLOOKUP(K323,Foundation_Calc!$K$4:$R$37,VLOOKUP(AW323,Foundation_Calc!$I$2:$J$8,2,FALSE),0),
IF(AX323="K",VLOOKUP(K323,Foundation_Calc!$K$41:$R$74,VLOOKUP(AW323,Foundation_Calc!$I$2:$J$8,2,FALSE),0),"")))</f>
        <v/>
      </c>
      <c r="BA323" s="632" t="str">
        <f t="shared" si="20"/>
        <v/>
      </c>
      <c r="BB323" s="632" t="str">
        <f t="shared" si="21"/>
        <v/>
      </c>
      <c r="BC323" s="632" t="str">
        <f t="shared" si="22"/>
        <v/>
      </c>
      <c r="BD323" s="633" t="str">
        <f>IF(AND(L323="",H323=""),"",
IF(H323="",Pole_Calc!A351,
IF(H323="MP",Pole_Calc!A352,
IF(H323="AnMP",Pole_Calc!A353,
IF(H323="A",Pole_Calc!A354,
IF(H323="S/A",Pole_Calc!A355,
IF(H323="A/S",Pole_Calc!A356,"Poner a mano")))))))</f>
        <v/>
      </c>
      <c r="BE323" s="448" t="s">
        <v>1726</v>
      </c>
      <c r="BF323" s="635"/>
      <c r="BG323" s="635"/>
      <c r="BH323" s="634"/>
      <c r="BI323" s="635"/>
    </row>
    <row r="324" spans="1:61" ht="16.2" customHeight="1">
      <c r="A324" s="12"/>
      <c r="B324" s="446"/>
      <c r="C324" s="89"/>
      <c r="D324" s="13"/>
      <c r="E324" s="14"/>
      <c r="F324" s="14"/>
      <c r="G324" s="15"/>
      <c r="H324" s="8"/>
      <c r="I324" s="8"/>
      <c r="J324" s="89"/>
      <c r="K324" s="8"/>
      <c r="L324" s="8"/>
      <c r="M324" s="8" t="str">
        <f>IF(L324="","",
IF(AX324="PT",VLOOKUP(L324,Foundation_Calc!$V$4:$X$37,VLOOKUP(AX324,Foundation_Calc!$I$10:$J$13,2,FALSE),0),
IF(AX324="K",VLOOKUP(L324,Foundation_Calc!$V$41:$X$74,VLOOKUP(AX324,Foundation_Calc!$I$10:$J$13,2,FALSE),0),"")))</f>
        <v/>
      </c>
      <c r="N324" s="8"/>
      <c r="O324" s="8"/>
      <c r="P324" s="8"/>
      <c r="Q324" s="14"/>
      <c r="R324" s="15"/>
      <c r="S324" s="15"/>
      <c r="T324" s="14"/>
      <c r="U324" s="14"/>
      <c r="V324" s="14"/>
      <c r="W324" s="18"/>
      <c r="X324" s="18"/>
      <c r="Y324" s="18"/>
      <c r="Z324" s="18"/>
      <c r="AA324" s="18"/>
      <c r="AB324" s="18"/>
      <c r="AC324" s="8" t="str">
        <f t="shared" si="19"/>
        <v/>
      </c>
      <c r="AD324" s="8"/>
      <c r="AE324" s="8"/>
      <c r="AF324" s="14"/>
      <c r="AG324" s="13"/>
      <c r="AH324" s="14"/>
      <c r="AI324" s="14"/>
      <c r="AJ324" s="8"/>
      <c r="AK324" s="8"/>
      <c r="AL324" s="8"/>
      <c r="AM324" s="8"/>
      <c r="AN324" s="631"/>
      <c r="AO324" s="18"/>
      <c r="AP324" s="18"/>
      <c r="AQ324" s="18"/>
      <c r="AR324" s="18"/>
      <c r="AS324" s="18"/>
      <c r="AU324" s="448"/>
      <c r="AV324" s="448"/>
      <c r="AW324" s="8" t="str">
        <f>IF(C324&gt;0,VLOOKUP(C324,Foundation_Calc!$A$2:$C$986,3,1),
IF(J324&gt;0,VLOOKUP(J324,Foundation_Calc!$A$2:$C$986,3,1),""))</f>
        <v/>
      </c>
      <c r="AX324" s="8" t="str">
        <f>IF(C324&gt;0,VLOOKUP(C324,Foundation_Calc!$E$2:$G$986,3,1),
IF(J324&gt;0,VLOOKUP(J324,Foundation_Calc!$E$2:$G$986,3,1),""))</f>
        <v/>
      </c>
      <c r="AY324" s="631" t="str">
        <f>IF(L324="","",
IF(AX324="PT",VLOOKUP(L324,Foundation_Calc!$K$4:$R$37,VLOOKUP(AW324,Foundation_Calc!$I$2:$J$8,2,FALSE),0),
IF(AX324="K",VLOOKUP(L324,Foundation_Calc!$K$41:$R$74,VLOOKUP(AW324,Foundation_Calc!$I$2:$J$8,2,FALSE),0),"")))</f>
        <v/>
      </c>
      <c r="AZ324" s="631" t="str">
        <f>IF(K324="","",
IF(AX324="PT",VLOOKUP(K324,Foundation_Calc!$K$4:$R$37,VLOOKUP(AW324,Foundation_Calc!$I$2:$J$8,2,FALSE),0),
IF(AX324="K",VLOOKUP(K324,Foundation_Calc!$K$41:$R$74,VLOOKUP(AW324,Foundation_Calc!$I$2:$J$8,2,FALSE),0),"")))</f>
        <v/>
      </c>
      <c r="BA324" s="632" t="str">
        <f t="shared" si="20"/>
        <v/>
      </c>
      <c r="BB324" s="632" t="str">
        <f t="shared" si="21"/>
        <v/>
      </c>
      <c r="BC324" s="632" t="str">
        <f t="shared" si="22"/>
        <v/>
      </c>
      <c r="BD324" s="633" t="str">
        <f>IF(AND(L324="",H324=""),"",
IF(H324="",Pole_Calc!A352,
IF(H324="MP",Pole_Calc!A353,
IF(H324="AnMP",Pole_Calc!A354,
IF(H324="A",Pole_Calc!A355,
IF(H324="S/A",Pole_Calc!A356,
IF(H324="A/S",Pole_Calc!A357,"Poner a mano")))))))</f>
        <v/>
      </c>
      <c r="BE324" s="448" t="s">
        <v>1726</v>
      </c>
      <c r="BF324" s="634"/>
      <c r="BG324" s="634"/>
      <c r="BH324" s="634"/>
      <c r="BI324" s="634"/>
    </row>
    <row r="325" spans="1:61" ht="16.2" customHeight="1">
      <c r="A325" s="12"/>
      <c r="B325" s="446"/>
      <c r="C325" s="89"/>
      <c r="D325" s="13"/>
      <c r="E325" s="14"/>
      <c r="F325" s="14"/>
      <c r="G325" s="15"/>
      <c r="H325" s="8"/>
      <c r="I325" s="8"/>
      <c r="J325" s="89"/>
      <c r="K325" s="8"/>
      <c r="L325" s="8"/>
      <c r="M325" s="8" t="str">
        <f>IF(L325="","",
IF(AX325="PT",VLOOKUP(L325,Foundation_Calc!$V$4:$X$37,VLOOKUP(AX325,Foundation_Calc!$I$10:$J$13,2,FALSE),0),
IF(AX325="K",VLOOKUP(L325,Foundation_Calc!$V$41:$X$74,VLOOKUP(AX325,Foundation_Calc!$I$10:$J$13,2,FALSE),0),"")))</f>
        <v/>
      </c>
      <c r="N325" s="8"/>
      <c r="O325" s="8"/>
      <c r="P325" s="8"/>
      <c r="Q325" s="14"/>
      <c r="R325" s="15"/>
      <c r="S325" s="15"/>
      <c r="T325" s="14"/>
      <c r="U325" s="14"/>
      <c r="V325" s="14"/>
      <c r="W325" s="18"/>
      <c r="X325" s="18"/>
      <c r="Y325" s="18"/>
      <c r="Z325" s="18"/>
      <c r="AA325" s="18"/>
      <c r="AB325" s="18"/>
      <c r="AC325" s="8" t="str">
        <f t="shared" si="19"/>
        <v/>
      </c>
      <c r="AD325" s="8"/>
      <c r="AE325" s="8"/>
      <c r="AF325" s="14"/>
      <c r="AG325" s="13"/>
      <c r="AH325" s="14"/>
      <c r="AI325" s="14"/>
      <c r="AJ325" s="8"/>
      <c r="AK325" s="8"/>
      <c r="AL325" s="8"/>
      <c r="AM325" s="8"/>
      <c r="AN325" s="631"/>
      <c r="AO325" s="18"/>
      <c r="AP325" s="18"/>
      <c r="AQ325" s="18"/>
      <c r="AR325" s="18"/>
      <c r="AS325" s="18"/>
      <c r="AU325" s="448"/>
      <c r="AV325" s="448"/>
      <c r="AW325" s="8" t="str">
        <f>IF(C325&gt;0,VLOOKUP(C325,Foundation_Calc!$A$2:$C$986,3,1),
IF(J325&gt;0,VLOOKUP(J325,Foundation_Calc!$A$2:$C$986,3,1),""))</f>
        <v/>
      </c>
      <c r="AX325" s="8" t="str">
        <f>IF(C325&gt;0,VLOOKUP(C325,Foundation_Calc!$E$2:$G$986,3,1),
IF(J325&gt;0,VLOOKUP(J325,Foundation_Calc!$E$2:$G$986,3,1),""))</f>
        <v/>
      </c>
      <c r="AY325" s="631" t="str">
        <f>IF(L325="","",
IF(AX325="PT",VLOOKUP(L325,Foundation_Calc!$K$4:$R$37,VLOOKUP(AW325,Foundation_Calc!$I$2:$J$8,2,FALSE),0),
IF(AX325="K",VLOOKUP(L325,Foundation_Calc!$K$41:$R$74,VLOOKUP(AW325,Foundation_Calc!$I$2:$J$8,2,FALSE),0),"")))</f>
        <v/>
      </c>
      <c r="AZ325" s="631" t="str">
        <f>IF(K325="","",
IF(AX325="PT",VLOOKUP(K325,Foundation_Calc!$K$4:$R$37,VLOOKUP(AW325,Foundation_Calc!$I$2:$J$8,2,FALSE),0),
IF(AX325="K",VLOOKUP(K325,Foundation_Calc!$K$41:$R$74,VLOOKUP(AW325,Foundation_Calc!$I$2:$J$8,2,FALSE),0),"")))</f>
        <v/>
      </c>
      <c r="BA325" s="632" t="str">
        <f t="shared" si="20"/>
        <v/>
      </c>
      <c r="BB325" s="632" t="str">
        <f t="shared" si="21"/>
        <v/>
      </c>
      <c r="BC325" s="632" t="str">
        <f t="shared" si="22"/>
        <v/>
      </c>
      <c r="BD325" s="633" t="str">
        <f>IF(AND(L325="",H325=""),"",
IF(H325="",Pole_Calc!A353,
IF(H325="MP",Pole_Calc!A354,
IF(H325="AnMP",Pole_Calc!A355,
IF(H325="A",Pole_Calc!A356,
IF(H325="S/A",Pole_Calc!A357,
IF(H325="A/S",Pole_Calc!A358,"Poner a mano")))))))</f>
        <v/>
      </c>
      <c r="BE325" s="448" t="s">
        <v>1726</v>
      </c>
      <c r="BF325" s="635"/>
      <c r="BG325" s="635"/>
      <c r="BH325" s="634"/>
      <c r="BI325" s="635"/>
    </row>
    <row r="326" spans="1:61" ht="16.2" customHeight="1">
      <c r="A326" s="12"/>
      <c r="B326" s="446"/>
      <c r="C326" s="89"/>
      <c r="D326" s="13"/>
      <c r="E326" s="14"/>
      <c r="F326" s="14"/>
      <c r="G326" s="15"/>
      <c r="H326" s="8"/>
      <c r="I326" s="8"/>
      <c r="J326" s="89"/>
      <c r="K326" s="8"/>
      <c r="L326" s="8"/>
      <c r="M326" s="8" t="str">
        <f>IF(L326="","",
IF(AX326="PT",VLOOKUP(L326,Foundation_Calc!$V$4:$X$37,VLOOKUP(AX326,Foundation_Calc!$I$10:$J$13,2,FALSE),0),
IF(AX326="K",VLOOKUP(L326,Foundation_Calc!$V$41:$X$74,VLOOKUP(AX326,Foundation_Calc!$I$10:$J$13,2,FALSE),0),"")))</f>
        <v/>
      </c>
      <c r="N326" s="8"/>
      <c r="O326" s="8"/>
      <c r="P326" s="8"/>
      <c r="Q326" s="14"/>
      <c r="R326" s="15"/>
      <c r="S326" s="15"/>
      <c r="T326" s="14"/>
      <c r="U326" s="14"/>
      <c r="V326" s="14"/>
      <c r="W326" s="18"/>
      <c r="X326" s="18"/>
      <c r="Y326" s="18"/>
      <c r="Z326" s="18"/>
      <c r="AA326" s="18"/>
      <c r="AB326" s="18"/>
      <c r="AC326" s="8" t="str">
        <f t="shared" ref="AC326:AC389" si="23">IF(OR(AT326&gt;8,AT326&lt;-8),"PH",
IF(OR(AT326&gt;5,AT326&lt;-5),"PHQ",
IF(OR(AT326&gt;1,AT326&lt;-1),
"PHC","")))</f>
        <v/>
      </c>
      <c r="AD326" s="8"/>
      <c r="AE326" s="8"/>
      <c r="AF326" s="14"/>
      <c r="AG326" s="13"/>
      <c r="AH326" s="14"/>
      <c r="AI326" s="14"/>
      <c r="AJ326" s="8"/>
      <c r="AK326" s="8"/>
      <c r="AL326" s="8"/>
      <c r="AM326" s="8"/>
      <c r="AN326" s="631"/>
      <c r="AO326" s="18"/>
      <c r="AP326" s="18"/>
      <c r="AQ326" s="18"/>
      <c r="AR326" s="18"/>
      <c r="AS326" s="18"/>
      <c r="AU326" s="448"/>
      <c r="AV326" s="448"/>
      <c r="AW326" s="8" t="str">
        <f>IF(C326&gt;0,VLOOKUP(C326,Foundation_Calc!$A$2:$C$986,3,1),
IF(J326&gt;0,VLOOKUP(J326,Foundation_Calc!$A$2:$C$986,3,1),""))</f>
        <v/>
      </c>
      <c r="AX326" s="8" t="str">
        <f>IF(C326&gt;0,VLOOKUP(C326,Foundation_Calc!$E$2:$G$986,3,1),
IF(J326&gt;0,VLOOKUP(J326,Foundation_Calc!$E$2:$G$986,3,1),""))</f>
        <v/>
      </c>
      <c r="AY326" s="631" t="str">
        <f>IF(L326="","",
IF(AX326="PT",VLOOKUP(L326,Foundation_Calc!$K$4:$R$37,VLOOKUP(AW326,Foundation_Calc!$I$2:$J$8,2,FALSE),0),
IF(AX326="K",VLOOKUP(L326,Foundation_Calc!$K$41:$R$74,VLOOKUP(AW326,Foundation_Calc!$I$2:$J$8,2,FALSE),0),"")))</f>
        <v/>
      </c>
      <c r="AZ326" s="631" t="str">
        <f>IF(K326="","",
IF(AX326="PT",VLOOKUP(K326,Foundation_Calc!$K$4:$R$37,VLOOKUP(AW326,Foundation_Calc!$I$2:$J$8,2,FALSE),0),
IF(AX326="K",VLOOKUP(K326,Foundation_Calc!$K$41:$R$74,VLOOKUP(AW326,Foundation_Calc!$I$2:$J$8,2,FALSE),0),"")))</f>
        <v/>
      </c>
      <c r="BA326" s="632" t="str">
        <f t="shared" ref="BA326:BA389" si="24">IF(AY326="","",IF(AY326&gt;0,"ü",""))</f>
        <v/>
      </c>
      <c r="BB326" s="632" t="str">
        <f t="shared" ref="BB326:BB389" si="25">IF(AZ326="","",IF(AZ326&gt;0,"ü",""))</f>
        <v/>
      </c>
      <c r="BC326" s="632" t="str">
        <f t="shared" ref="BC326:BC389" si="26">IF(M326="","",IF(M326="Unique Solution","ü",""))</f>
        <v/>
      </c>
      <c r="BD326" s="633" t="str">
        <f>IF(AND(L326="",H326=""),"",
IF(H326="",Pole_Calc!A354,
IF(H326="MP",Pole_Calc!A355,
IF(H326="AnMP",Pole_Calc!A356,
IF(H326="A",Pole_Calc!A357,
IF(H326="S/A",Pole_Calc!A358,
IF(H326="A/S",Pole_Calc!A359,"Poner a mano")))))))</f>
        <v/>
      </c>
      <c r="BE326" s="448" t="s">
        <v>1726</v>
      </c>
      <c r="BF326" s="634"/>
      <c r="BG326" s="634"/>
      <c r="BH326" s="634"/>
      <c r="BI326" s="634"/>
    </row>
    <row r="327" spans="1:61" ht="16.2" customHeight="1">
      <c r="A327" s="12"/>
      <c r="B327" s="446"/>
      <c r="C327" s="89"/>
      <c r="D327" s="13"/>
      <c r="E327" s="14"/>
      <c r="F327" s="14"/>
      <c r="G327" s="15"/>
      <c r="H327" s="8"/>
      <c r="I327" s="8"/>
      <c r="J327" s="89"/>
      <c r="K327" s="8"/>
      <c r="L327" s="8"/>
      <c r="M327" s="8" t="str">
        <f>IF(L327="","",
IF(AX327="PT",VLOOKUP(L327,Foundation_Calc!$V$4:$X$37,VLOOKUP(AX327,Foundation_Calc!$I$10:$J$13,2,FALSE),0),
IF(AX327="K",VLOOKUP(L327,Foundation_Calc!$V$41:$X$74,VLOOKUP(AX327,Foundation_Calc!$I$10:$J$13,2,FALSE),0),"")))</f>
        <v/>
      </c>
      <c r="N327" s="8"/>
      <c r="O327" s="8"/>
      <c r="P327" s="8"/>
      <c r="Q327" s="14"/>
      <c r="R327" s="15"/>
      <c r="S327" s="15"/>
      <c r="T327" s="14"/>
      <c r="U327" s="14"/>
      <c r="V327" s="14"/>
      <c r="W327" s="18"/>
      <c r="X327" s="18"/>
      <c r="Y327" s="18"/>
      <c r="Z327" s="18"/>
      <c r="AA327" s="18"/>
      <c r="AB327" s="18"/>
      <c r="AC327" s="8" t="str">
        <f t="shared" si="23"/>
        <v/>
      </c>
      <c r="AD327" s="8"/>
      <c r="AE327" s="8"/>
      <c r="AF327" s="14"/>
      <c r="AG327" s="13"/>
      <c r="AH327" s="14"/>
      <c r="AI327" s="14"/>
      <c r="AJ327" s="8"/>
      <c r="AK327" s="8"/>
      <c r="AL327" s="8"/>
      <c r="AM327" s="8"/>
      <c r="AN327" s="631"/>
      <c r="AO327" s="18"/>
      <c r="AP327" s="18"/>
      <c r="AQ327" s="18"/>
      <c r="AR327" s="18"/>
      <c r="AS327" s="18"/>
      <c r="AU327" s="448"/>
      <c r="AV327" s="448"/>
      <c r="AW327" s="8" t="str">
        <f>IF(C327&gt;0,VLOOKUP(C327,Foundation_Calc!$A$2:$C$986,3,1),
IF(J327&gt;0,VLOOKUP(J327,Foundation_Calc!$A$2:$C$986,3,1),""))</f>
        <v/>
      </c>
      <c r="AX327" s="8" t="str">
        <f>IF(C327&gt;0,VLOOKUP(C327,Foundation_Calc!$E$2:$G$986,3,1),
IF(J327&gt;0,VLOOKUP(J327,Foundation_Calc!$E$2:$G$986,3,1),""))</f>
        <v/>
      </c>
      <c r="AY327" s="631" t="str">
        <f>IF(L327="","",
IF(AX327="PT",VLOOKUP(L327,Foundation_Calc!$K$4:$R$37,VLOOKUP(AW327,Foundation_Calc!$I$2:$J$8,2,FALSE),0),
IF(AX327="K",VLOOKUP(L327,Foundation_Calc!$K$41:$R$74,VLOOKUP(AW327,Foundation_Calc!$I$2:$J$8,2,FALSE),0),"")))</f>
        <v/>
      </c>
      <c r="AZ327" s="631" t="str">
        <f>IF(K327="","",
IF(AX327="PT",VLOOKUP(K327,Foundation_Calc!$K$4:$R$37,VLOOKUP(AW327,Foundation_Calc!$I$2:$J$8,2,FALSE),0),
IF(AX327="K",VLOOKUP(K327,Foundation_Calc!$K$41:$R$74,VLOOKUP(AW327,Foundation_Calc!$I$2:$J$8,2,FALSE),0),"")))</f>
        <v/>
      </c>
      <c r="BA327" s="632" t="str">
        <f t="shared" si="24"/>
        <v/>
      </c>
      <c r="BB327" s="632" t="str">
        <f t="shared" si="25"/>
        <v/>
      </c>
      <c r="BC327" s="632" t="str">
        <f t="shared" si="26"/>
        <v/>
      </c>
      <c r="BD327" s="633" t="str">
        <f>IF(AND(L327="",H327=""),"",
IF(H327="",Pole_Calc!A355,
IF(H327="MP",Pole_Calc!A356,
IF(H327="AnMP",Pole_Calc!A357,
IF(H327="A",Pole_Calc!A358,
IF(H327="S/A",Pole_Calc!A359,
IF(H327="A/S",Pole_Calc!A360,"Poner a mano")))))))</f>
        <v/>
      </c>
      <c r="BE327" s="448" t="s">
        <v>1726</v>
      </c>
      <c r="BF327" s="635"/>
      <c r="BG327" s="635"/>
      <c r="BH327" s="634"/>
      <c r="BI327" s="635"/>
    </row>
    <row r="328" spans="1:61" ht="16.2" customHeight="1">
      <c r="A328" s="12"/>
      <c r="B328" s="446"/>
      <c r="C328" s="89"/>
      <c r="D328" s="13"/>
      <c r="E328" s="14"/>
      <c r="F328" s="14"/>
      <c r="G328" s="15"/>
      <c r="H328" s="8"/>
      <c r="I328" s="8"/>
      <c r="J328" s="89"/>
      <c r="K328" s="8"/>
      <c r="L328" s="8"/>
      <c r="M328" s="8" t="str">
        <f>IF(L328="","",
IF(AX328="PT",VLOOKUP(L328,Foundation_Calc!$V$4:$X$37,VLOOKUP(AX328,Foundation_Calc!$I$10:$J$13,2,FALSE),0),
IF(AX328="K",VLOOKUP(L328,Foundation_Calc!$V$41:$X$74,VLOOKUP(AX328,Foundation_Calc!$I$10:$J$13,2,FALSE),0),"")))</f>
        <v/>
      </c>
      <c r="N328" s="8"/>
      <c r="O328" s="8"/>
      <c r="P328" s="8"/>
      <c r="Q328" s="14"/>
      <c r="R328" s="15"/>
      <c r="S328" s="15"/>
      <c r="T328" s="14"/>
      <c r="U328" s="14"/>
      <c r="V328" s="14"/>
      <c r="W328" s="18"/>
      <c r="X328" s="18"/>
      <c r="Y328" s="18"/>
      <c r="Z328" s="18"/>
      <c r="AA328" s="18"/>
      <c r="AB328" s="18"/>
      <c r="AC328" s="8" t="str">
        <f t="shared" si="23"/>
        <v/>
      </c>
      <c r="AD328" s="8"/>
      <c r="AE328" s="8"/>
      <c r="AF328" s="14"/>
      <c r="AG328" s="13"/>
      <c r="AH328" s="14"/>
      <c r="AI328" s="14"/>
      <c r="AJ328" s="8"/>
      <c r="AK328" s="8"/>
      <c r="AL328" s="8"/>
      <c r="AM328" s="8"/>
      <c r="AN328" s="631"/>
      <c r="AO328" s="18"/>
      <c r="AP328" s="18"/>
      <c r="AQ328" s="18"/>
      <c r="AR328" s="18"/>
      <c r="AS328" s="18"/>
      <c r="AU328" s="448"/>
      <c r="AV328" s="448"/>
      <c r="AW328" s="8" t="str">
        <f>IF(C328&gt;0,VLOOKUP(C328,Foundation_Calc!$A$2:$C$986,3,1),
IF(J328&gt;0,VLOOKUP(J328,Foundation_Calc!$A$2:$C$986,3,1),""))</f>
        <v/>
      </c>
      <c r="AX328" s="8" t="str">
        <f>IF(C328&gt;0,VLOOKUP(C328,Foundation_Calc!$E$2:$G$986,3,1),
IF(J328&gt;0,VLOOKUP(J328,Foundation_Calc!$E$2:$G$986,3,1),""))</f>
        <v/>
      </c>
      <c r="AY328" s="631" t="str">
        <f>IF(L328="","",
IF(AX328="PT",VLOOKUP(L328,Foundation_Calc!$K$4:$R$37,VLOOKUP(AW328,Foundation_Calc!$I$2:$J$8,2,FALSE),0),
IF(AX328="K",VLOOKUP(L328,Foundation_Calc!$K$41:$R$74,VLOOKUP(AW328,Foundation_Calc!$I$2:$J$8,2,FALSE),0),"")))</f>
        <v/>
      </c>
      <c r="AZ328" s="631" t="str">
        <f>IF(K328="","",
IF(AX328="PT",VLOOKUP(K328,Foundation_Calc!$K$4:$R$37,VLOOKUP(AW328,Foundation_Calc!$I$2:$J$8,2,FALSE),0),
IF(AX328="K",VLOOKUP(K328,Foundation_Calc!$K$41:$R$74,VLOOKUP(AW328,Foundation_Calc!$I$2:$J$8,2,FALSE),0),"")))</f>
        <v/>
      </c>
      <c r="BA328" s="632" t="str">
        <f t="shared" si="24"/>
        <v/>
      </c>
      <c r="BB328" s="632" t="str">
        <f t="shared" si="25"/>
        <v/>
      </c>
      <c r="BC328" s="632" t="str">
        <f t="shared" si="26"/>
        <v/>
      </c>
      <c r="BD328" s="633" t="str">
        <f>IF(AND(L328="",H328=""),"",
IF(H328="",Pole_Calc!A356,
IF(H328="MP",Pole_Calc!A357,
IF(H328="AnMP",Pole_Calc!A358,
IF(H328="A",Pole_Calc!A359,
IF(H328="S/A",Pole_Calc!A360,
IF(H328="A/S",Pole_Calc!A361,"Poner a mano")))))))</f>
        <v/>
      </c>
      <c r="BE328" s="448" t="s">
        <v>1726</v>
      </c>
      <c r="BF328" s="634"/>
      <c r="BG328" s="634"/>
      <c r="BH328" s="634"/>
      <c r="BI328" s="634"/>
    </row>
    <row r="329" spans="1:61" ht="16.2" customHeight="1">
      <c r="A329" s="12"/>
      <c r="B329" s="446"/>
      <c r="C329" s="89"/>
      <c r="D329" s="13"/>
      <c r="E329" s="14"/>
      <c r="F329" s="14"/>
      <c r="G329" s="15"/>
      <c r="H329" s="8"/>
      <c r="I329" s="8"/>
      <c r="J329" s="89"/>
      <c r="K329" s="8"/>
      <c r="L329" s="8"/>
      <c r="M329" s="8" t="str">
        <f>IF(L329="","",
IF(AX329="PT",VLOOKUP(L329,Foundation_Calc!$V$4:$X$37,VLOOKUP(AX329,Foundation_Calc!$I$10:$J$13,2,FALSE),0),
IF(AX329="K",VLOOKUP(L329,Foundation_Calc!$V$41:$X$74,VLOOKUP(AX329,Foundation_Calc!$I$10:$J$13,2,FALSE),0),"")))</f>
        <v/>
      </c>
      <c r="N329" s="8"/>
      <c r="O329" s="8"/>
      <c r="P329" s="8"/>
      <c r="Q329" s="14"/>
      <c r="R329" s="15"/>
      <c r="S329" s="15"/>
      <c r="T329" s="14"/>
      <c r="U329" s="14"/>
      <c r="V329" s="14"/>
      <c r="W329" s="18"/>
      <c r="X329" s="18"/>
      <c r="Y329" s="18"/>
      <c r="Z329" s="18"/>
      <c r="AA329" s="18"/>
      <c r="AB329" s="18"/>
      <c r="AC329" s="8" t="str">
        <f t="shared" si="23"/>
        <v/>
      </c>
      <c r="AD329" s="8"/>
      <c r="AE329" s="8"/>
      <c r="AF329" s="14"/>
      <c r="AG329" s="13"/>
      <c r="AH329" s="14"/>
      <c r="AI329" s="14"/>
      <c r="AJ329" s="8"/>
      <c r="AK329" s="8"/>
      <c r="AL329" s="8"/>
      <c r="AM329" s="8"/>
      <c r="AN329" s="631"/>
      <c r="AO329" s="18"/>
      <c r="AP329" s="18"/>
      <c r="AQ329" s="18"/>
      <c r="AR329" s="18"/>
      <c r="AS329" s="18"/>
      <c r="AU329" s="448"/>
      <c r="AV329" s="448"/>
      <c r="AW329" s="8" t="str">
        <f>IF(C329&gt;0,VLOOKUP(C329,Foundation_Calc!$A$2:$C$986,3,1),
IF(J329&gt;0,VLOOKUP(J329,Foundation_Calc!$A$2:$C$986,3,1),""))</f>
        <v/>
      </c>
      <c r="AX329" s="8" t="str">
        <f>IF(C329&gt;0,VLOOKUP(C329,Foundation_Calc!$E$2:$G$986,3,1),
IF(J329&gt;0,VLOOKUP(J329,Foundation_Calc!$E$2:$G$986,3,1),""))</f>
        <v/>
      </c>
      <c r="AY329" s="631" t="str">
        <f>IF(L329="","",
IF(AX329="PT",VLOOKUP(L329,Foundation_Calc!$K$4:$R$37,VLOOKUP(AW329,Foundation_Calc!$I$2:$J$8,2,FALSE),0),
IF(AX329="K",VLOOKUP(L329,Foundation_Calc!$K$41:$R$74,VLOOKUP(AW329,Foundation_Calc!$I$2:$J$8,2,FALSE),0),"")))</f>
        <v/>
      </c>
      <c r="AZ329" s="631" t="str">
        <f>IF(K329="","",
IF(AX329="PT",VLOOKUP(K329,Foundation_Calc!$K$4:$R$37,VLOOKUP(AW329,Foundation_Calc!$I$2:$J$8,2,FALSE),0),
IF(AX329="K",VLOOKUP(K329,Foundation_Calc!$K$41:$R$74,VLOOKUP(AW329,Foundation_Calc!$I$2:$J$8,2,FALSE),0),"")))</f>
        <v/>
      </c>
      <c r="BA329" s="632" t="str">
        <f t="shared" si="24"/>
        <v/>
      </c>
      <c r="BB329" s="632" t="str">
        <f t="shared" si="25"/>
        <v/>
      </c>
      <c r="BC329" s="632" t="str">
        <f t="shared" si="26"/>
        <v/>
      </c>
      <c r="BD329" s="633" t="str">
        <f>IF(AND(L329="",H329=""),"",
IF(H329="",Pole_Calc!A357,
IF(H329="MP",Pole_Calc!A358,
IF(H329="AnMP",Pole_Calc!A359,
IF(H329="A",Pole_Calc!A360,
IF(H329="S/A",Pole_Calc!A361,
IF(H329="A/S",Pole_Calc!A362,"Poner a mano")))))))</f>
        <v/>
      </c>
      <c r="BE329" s="448" t="s">
        <v>1726</v>
      </c>
      <c r="BF329" s="635"/>
      <c r="BG329" s="635"/>
      <c r="BH329" s="634"/>
      <c r="BI329" s="635"/>
    </row>
    <row r="330" spans="1:61" ht="16.2" customHeight="1">
      <c r="A330" s="12"/>
      <c r="B330" s="446"/>
      <c r="C330" s="89"/>
      <c r="D330" s="13"/>
      <c r="E330" s="14"/>
      <c r="F330" s="14"/>
      <c r="G330" s="15"/>
      <c r="H330" s="8"/>
      <c r="I330" s="8"/>
      <c r="J330" s="89"/>
      <c r="K330" s="8"/>
      <c r="L330" s="8"/>
      <c r="M330" s="8" t="str">
        <f>IF(L330="","",
IF(AX330="PT",VLOOKUP(L330,Foundation_Calc!$V$4:$X$37,VLOOKUP(AX330,Foundation_Calc!$I$10:$J$13,2,FALSE),0),
IF(AX330="K",VLOOKUP(L330,Foundation_Calc!$V$41:$X$74,VLOOKUP(AX330,Foundation_Calc!$I$10:$J$13,2,FALSE),0),"")))</f>
        <v/>
      </c>
      <c r="N330" s="8"/>
      <c r="O330" s="8"/>
      <c r="P330" s="8"/>
      <c r="Q330" s="14"/>
      <c r="R330" s="15"/>
      <c r="S330" s="15"/>
      <c r="T330" s="14"/>
      <c r="U330" s="14"/>
      <c r="V330" s="14"/>
      <c r="W330" s="18"/>
      <c r="X330" s="18"/>
      <c r="Y330" s="18"/>
      <c r="Z330" s="18"/>
      <c r="AA330" s="18"/>
      <c r="AB330" s="18"/>
      <c r="AC330" s="8" t="str">
        <f t="shared" si="23"/>
        <v/>
      </c>
      <c r="AD330" s="8"/>
      <c r="AE330" s="8"/>
      <c r="AF330" s="14"/>
      <c r="AG330" s="13"/>
      <c r="AH330" s="14"/>
      <c r="AI330" s="14"/>
      <c r="AJ330" s="8"/>
      <c r="AK330" s="8"/>
      <c r="AL330" s="8"/>
      <c r="AM330" s="8"/>
      <c r="AN330" s="631"/>
      <c r="AO330" s="18"/>
      <c r="AP330" s="18"/>
      <c r="AQ330" s="18"/>
      <c r="AR330" s="18"/>
      <c r="AS330" s="18"/>
      <c r="AU330" s="448"/>
      <c r="AV330" s="448"/>
      <c r="AW330" s="8" t="str">
        <f>IF(C330&gt;0,VLOOKUP(C330,Foundation_Calc!$A$2:$C$986,3,1),
IF(J330&gt;0,VLOOKUP(J330,Foundation_Calc!$A$2:$C$986,3,1),""))</f>
        <v/>
      </c>
      <c r="AX330" s="8" t="str">
        <f>IF(C330&gt;0,VLOOKUP(C330,Foundation_Calc!$E$2:$G$986,3,1),
IF(J330&gt;0,VLOOKUP(J330,Foundation_Calc!$E$2:$G$986,3,1),""))</f>
        <v/>
      </c>
      <c r="AY330" s="631" t="str">
        <f>IF(L330="","",
IF(AX330="PT",VLOOKUP(L330,Foundation_Calc!$K$4:$R$37,VLOOKUP(AW330,Foundation_Calc!$I$2:$J$8,2,FALSE),0),
IF(AX330="K",VLOOKUP(L330,Foundation_Calc!$K$41:$R$74,VLOOKUP(AW330,Foundation_Calc!$I$2:$J$8,2,FALSE),0),"")))</f>
        <v/>
      </c>
      <c r="AZ330" s="631" t="str">
        <f>IF(K330="","",
IF(AX330="PT",VLOOKUP(K330,Foundation_Calc!$K$4:$R$37,VLOOKUP(AW330,Foundation_Calc!$I$2:$J$8,2,FALSE),0),
IF(AX330="K",VLOOKUP(K330,Foundation_Calc!$K$41:$R$74,VLOOKUP(AW330,Foundation_Calc!$I$2:$J$8,2,FALSE),0),"")))</f>
        <v/>
      </c>
      <c r="BA330" s="632" t="str">
        <f t="shared" si="24"/>
        <v/>
      </c>
      <c r="BB330" s="632" t="str">
        <f t="shared" si="25"/>
        <v/>
      </c>
      <c r="BC330" s="632" t="str">
        <f t="shared" si="26"/>
        <v/>
      </c>
      <c r="BD330" s="633" t="str">
        <f>IF(AND(L330="",H330=""),"",
IF(H330="",Pole_Calc!A358,
IF(H330="MP",Pole_Calc!A359,
IF(H330="AnMP",Pole_Calc!A360,
IF(H330="A",Pole_Calc!A361,
IF(H330="S/A",Pole_Calc!A362,
IF(H330="A/S",Pole_Calc!A363,"Poner a mano")))))))</f>
        <v/>
      </c>
      <c r="BE330" s="448" t="s">
        <v>1726</v>
      </c>
      <c r="BF330" s="634"/>
      <c r="BG330" s="634"/>
      <c r="BH330" s="634"/>
      <c r="BI330" s="634"/>
    </row>
    <row r="331" spans="1:61" ht="16.2" customHeight="1">
      <c r="A331" s="12"/>
      <c r="B331" s="446"/>
      <c r="C331" s="89"/>
      <c r="D331" s="13"/>
      <c r="E331" s="14"/>
      <c r="F331" s="14"/>
      <c r="G331" s="15"/>
      <c r="H331" s="8"/>
      <c r="I331" s="8"/>
      <c r="J331" s="89"/>
      <c r="K331" s="8"/>
      <c r="L331" s="8"/>
      <c r="M331" s="8" t="str">
        <f>IF(L331="","",
IF(AX331="PT",VLOOKUP(L331,Foundation_Calc!$V$4:$X$37,VLOOKUP(AX331,Foundation_Calc!$I$10:$J$13,2,FALSE),0),
IF(AX331="K",VLOOKUP(L331,Foundation_Calc!$V$41:$X$74,VLOOKUP(AX331,Foundation_Calc!$I$10:$J$13,2,FALSE),0),"")))</f>
        <v/>
      </c>
      <c r="N331" s="8"/>
      <c r="O331" s="8"/>
      <c r="P331" s="8"/>
      <c r="Q331" s="14"/>
      <c r="R331" s="15"/>
      <c r="S331" s="15"/>
      <c r="T331" s="14"/>
      <c r="U331" s="14"/>
      <c r="V331" s="14"/>
      <c r="W331" s="18"/>
      <c r="X331" s="18"/>
      <c r="Y331" s="18"/>
      <c r="Z331" s="18"/>
      <c r="AA331" s="18"/>
      <c r="AB331" s="18"/>
      <c r="AC331" s="8" t="str">
        <f t="shared" si="23"/>
        <v/>
      </c>
      <c r="AD331" s="8"/>
      <c r="AE331" s="8"/>
      <c r="AF331" s="14"/>
      <c r="AG331" s="13"/>
      <c r="AH331" s="14"/>
      <c r="AI331" s="14"/>
      <c r="AJ331" s="8"/>
      <c r="AK331" s="8"/>
      <c r="AL331" s="8"/>
      <c r="AM331" s="8"/>
      <c r="AN331" s="631"/>
      <c r="AO331" s="18"/>
      <c r="AP331" s="18"/>
      <c r="AQ331" s="18"/>
      <c r="AR331" s="18"/>
      <c r="AS331" s="18"/>
      <c r="AU331" s="448"/>
      <c r="AV331" s="448"/>
      <c r="AW331" s="8" t="str">
        <f>IF(C331&gt;0,VLOOKUP(C331,Foundation_Calc!$A$2:$C$986,3,1),
IF(J331&gt;0,VLOOKUP(J331,Foundation_Calc!$A$2:$C$986,3,1),""))</f>
        <v/>
      </c>
      <c r="AX331" s="8" t="str">
        <f>IF(C331&gt;0,VLOOKUP(C331,Foundation_Calc!$E$2:$G$986,3,1),
IF(J331&gt;0,VLOOKUP(J331,Foundation_Calc!$E$2:$G$986,3,1),""))</f>
        <v/>
      </c>
      <c r="AY331" s="631" t="str">
        <f>IF(L331="","",
IF(AX331="PT",VLOOKUP(L331,Foundation_Calc!$K$4:$R$37,VLOOKUP(AW331,Foundation_Calc!$I$2:$J$8,2,FALSE),0),
IF(AX331="K",VLOOKUP(L331,Foundation_Calc!$K$41:$R$74,VLOOKUP(AW331,Foundation_Calc!$I$2:$J$8,2,FALSE),0),"")))</f>
        <v/>
      </c>
      <c r="AZ331" s="631" t="str">
        <f>IF(K331="","",
IF(AX331="PT",VLOOKUP(K331,Foundation_Calc!$K$4:$R$37,VLOOKUP(AW331,Foundation_Calc!$I$2:$J$8,2,FALSE),0),
IF(AX331="K",VLOOKUP(K331,Foundation_Calc!$K$41:$R$74,VLOOKUP(AW331,Foundation_Calc!$I$2:$J$8,2,FALSE),0),"")))</f>
        <v/>
      </c>
      <c r="BA331" s="632" t="str">
        <f t="shared" si="24"/>
        <v/>
      </c>
      <c r="BB331" s="632" t="str">
        <f t="shared" si="25"/>
        <v/>
      </c>
      <c r="BC331" s="632" t="str">
        <f t="shared" si="26"/>
        <v/>
      </c>
      <c r="BD331" s="633" t="str">
        <f>IF(AND(L331="",H331=""),"",
IF(H331="",Pole_Calc!A359,
IF(H331="MP",Pole_Calc!A360,
IF(H331="AnMP",Pole_Calc!A361,
IF(H331="A",Pole_Calc!A362,
IF(H331="S/A",Pole_Calc!A363,
IF(H331="A/S",Pole_Calc!A364,"Poner a mano")))))))</f>
        <v/>
      </c>
      <c r="BE331" s="448" t="s">
        <v>1726</v>
      </c>
      <c r="BF331" s="635"/>
      <c r="BG331" s="635"/>
      <c r="BH331" s="634"/>
      <c r="BI331" s="635"/>
    </row>
    <row r="332" spans="1:61" ht="16.2" customHeight="1">
      <c r="A332" s="12"/>
      <c r="B332" s="446"/>
      <c r="C332" s="89"/>
      <c r="D332" s="13"/>
      <c r="E332" s="14"/>
      <c r="F332" s="14"/>
      <c r="G332" s="15"/>
      <c r="H332" s="8"/>
      <c r="I332" s="8"/>
      <c r="J332" s="89"/>
      <c r="K332" s="8"/>
      <c r="L332" s="8"/>
      <c r="M332" s="8" t="str">
        <f>IF(L332="","",
IF(AX332="PT",VLOOKUP(L332,Foundation_Calc!$V$4:$X$37,VLOOKUP(AX332,Foundation_Calc!$I$10:$J$13,2,FALSE),0),
IF(AX332="K",VLOOKUP(L332,Foundation_Calc!$V$41:$X$74,VLOOKUP(AX332,Foundation_Calc!$I$10:$J$13,2,FALSE),0),"")))</f>
        <v/>
      </c>
      <c r="N332" s="8"/>
      <c r="O332" s="8"/>
      <c r="P332" s="8"/>
      <c r="Q332" s="14"/>
      <c r="R332" s="15"/>
      <c r="S332" s="15"/>
      <c r="T332" s="14"/>
      <c r="U332" s="14"/>
      <c r="V332" s="14"/>
      <c r="W332" s="18"/>
      <c r="X332" s="18"/>
      <c r="Y332" s="18"/>
      <c r="Z332" s="18"/>
      <c r="AA332" s="18"/>
      <c r="AB332" s="18"/>
      <c r="AC332" s="8" t="str">
        <f t="shared" si="23"/>
        <v/>
      </c>
      <c r="AD332" s="8"/>
      <c r="AE332" s="8"/>
      <c r="AF332" s="14"/>
      <c r="AG332" s="13"/>
      <c r="AH332" s="14"/>
      <c r="AI332" s="14"/>
      <c r="AJ332" s="8"/>
      <c r="AK332" s="8"/>
      <c r="AL332" s="8"/>
      <c r="AM332" s="8"/>
      <c r="AN332" s="631"/>
      <c r="AO332" s="18"/>
      <c r="AP332" s="18"/>
      <c r="AQ332" s="18"/>
      <c r="AR332" s="18"/>
      <c r="AS332" s="18"/>
      <c r="AU332" s="448"/>
      <c r="AV332" s="448"/>
      <c r="AW332" s="8" t="str">
        <f>IF(C332&gt;0,VLOOKUP(C332,Foundation_Calc!$A$2:$C$986,3,1),
IF(J332&gt;0,VLOOKUP(J332,Foundation_Calc!$A$2:$C$986,3,1),""))</f>
        <v/>
      </c>
      <c r="AX332" s="8" t="str">
        <f>IF(C332&gt;0,VLOOKUP(C332,Foundation_Calc!$E$2:$G$986,3,1),
IF(J332&gt;0,VLOOKUP(J332,Foundation_Calc!$E$2:$G$986,3,1),""))</f>
        <v/>
      </c>
      <c r="AY332" s="631" t="str">
        <f>IF(L332="","",
IF(AX332="PT",VLOOKUP(L332,Foundation_Calc!$K$4:$R$37,VLOOKUP(AW332,Foundation_Calc!$I$2:$J$8,2,FALSE),0),
IF(AX332="K",VLOOKUP(L332,Foundation_Calc!$K$41:$R$74,VLOOKUP(AW332,Foundation_Calc!$I$2:$J$8,2,FALSE),0),"")))</f>
        <v/>
      </c>
      <c r="AZ332" s="631" t="str">
        <f>IF(K332="","",
IF(AX332="PT",VLOOKUP(K332,Foundation_Calc!$K$4:$R$37,VLOOKUP(AW332,Foundation_Calc!$I$2:$J$8,2,FALSE),0),
IF(AX332="K",VLOOKUP(K332,Foundation_Calc!$K$41:$R$74,VLOOKUP(AW332,Foundation_Calc!$I$2:$J$8,2,FALSE),0),"")))</f>
        <v/>
      </c>
      <c r="BA332" s="632" t="str">
        <f t="shared" si="24"/>
        <v/>
      </c>
      <c r="BB332" s="632" t="str">
        <f t="shared" si="25"/>
        <v/>
      </c>
      <c r="BC332" s="632" t="str">
        <f t="shared" si="26"/>
        <v/>
      </c>
      <c r="BD332" s="633" t="str">
        <f>IF(AND(L332="",H332=""),"",
IF(H332="",Pole_Calc!A360,
IF(H332="MP",Pole_Calc!A361,
IF(H332="AnMP",Pole_Calc!A362,
IF(H332="A",Pole_Calc!A363,
IF(H332="S/A",Pole_Calc!A364,
IF(H332="A/S",Pole_Calc!A365,"Poner a mano")))))))</f>
        <v/>
      </c>
      <c r="BE332" s="448" t="s">
        <v>1726</v>
      </c>
      <c r="BF332" s="634"/>
      <c r="BG332" s="634"/>
      <c r="BH332" s="634"/>
      <c r="BI332" s="634"/>
    </row>
    <row r="333" spans="1:61" ht="16.2" customHeight="1">
      <c r="A333" s="12"/>
      <c r="B333" s="446"/>
      <c r="C333" s="89"/>
      <c r="D333" s="13"/>
      <c r="E333" s="14"/>
      <c r="F333" s="14"/>
      <c r="G333" s="15"/>
      <c r="H333" s="8"/>
      <c r="I333" s="8"/>
      <c r="J333" s="89"/>
      <c r="K333" s="8"/>
      <c r="L333" s="8"/>
      <c r="M333" s="8" t="str">
        <f>IF(L333="","",
IF(AX333="PT",VLOOKUP(L333,Foundation_Calc!$V$4:$X$37,VLOOKUP(AX333,Foundation_Calc!$I$10:$J$13,2,FALSE),0),
IF(AX333="K",VLOOKUP(L333,Foundation_Calc!$V$41:$X$74,VLOOKUP(AX333,Foundation_Calc!$I$10:$J$13,2,FALSE),0),"")))</f>
        <v/>
      </c>
      <c r="N333" s="8"/>
      <c r="O333" s="8"/>
      <c r="P333" s="8"/>
      <c r="Q333" s="14"/>
      <c r="R333" s="15"/>
      <c r="S333" s="15"/>
      <c r="T333" s="14"/>
      <c r="U333" s="14"/>
      <c r="V333" s="14"/>
      <c r="W333" s="18"/>
      <c r="X333" s="18"/>
      <c r="Y333" s="18"/>
      <c r="Z333" s="18"/>
      <c r="AA333" s="18"/>
      <c r="AB333" s="18"/>
      <c r="AC333" s="8" t="str">
        <f t="shared" si="23"/>
        <v/>
      </c>
      <c r="AD333" s="8"/>
      <c r="AE333" s="8"/>
      <c r="AF333" s="14"/>
      <c r="AG333" s="13"/>
      <c r="AH333" s="14"/>
      <c r="AI333" s="14"/>
      <c r="AJ333" s="8"/>
      <c r="AK333" s="8"/>
      <c r="AL333" s="8"/>
      <c r="AM333" s="8"/>
      <c r="AN333" s="631"/>
      <c r="AO333" s="18"/>
      <c r="AP333" s="18"/>
      <c r="AQ333" s="18"/>
      <c r="AR333" s="18"/>
      <c r="AS333" s="18"/>
      <c r="AU333" s="448"/>
      <c r="AV333" s="448"/>
      <c r="AW333" s="8" t="str">
        <f>IF(C333&gt;0,VLOOKUP(C333,Foundation_Calc!$A$2:$C$986,3,1),
IF(J333&gt;0,VLOOKUP(J333,Foundation_Calc!$A$2:$C$986,3,1),""))</f>
        <v/>
      </c>
      <c r="AX333" s="8" t="str">
        <f>IF(C333&gt;0,VLOOKUP(C333,Foundation_Calc!$E$2:$G$986,3,1),
IF(J333&gt;0,VLOOKUP(J333,Foundation_Calc!$E$2:$G$986,3,1),""))</f>
        <v/>
      </c>
      <c r="AY333" s="631" t="str">
        <f>IF(L333="","",
IF(AX333="PT",VLOOKUP(L333,Foundation_Calc!$K$4:$R$37,VLOOKUP(AW333,Foundation_Calc!$I$2:$J$8,2,FALSE),0),
IF(AX333="K",VLOOKUP(L333,Foundation_Calc!$K$41:$R$74,VLOOKUP(AW333,Foundation_Calc!$I$2:$J$8,2,FALSE),0),"")))</f>
        <v/>
      </c>
      <c r="AZ333" s="631" t="str">
        <f>IF(K333="","",
IF(AX333="PT",VLOOKUP(K333,Foundation_Calc!$K$4:$R$37,VLOOKUP(AW333,Foundation_Calc!$I$2:$J$8,2,FALSE),0),
IF(AX333="K",VLOOKUP(K333,Foundation_Calc!$K$41:$R$74,VLOOKUP(AW333,Foundation_Calc!$I$2:$J$8,2,FALSE),0),"")))</f>
        <v/>
      </c>
      <c r="BA333" s="632" t="str">
        <f t="shared" si="24"/>
        <v/>
      </c>
      <c r="BB333" s="632" t="str">
        <f t="shared" si="25"/>
        <v/>
      </c>
      <c r="BC333" s="632" t="str">
        <f t="shared" si="26"/>
        <v/>
      </c>
      <c r="BD333" s="633" t="str">
        <f>IF(AND(L333="",H333=""),"",
IF(H333="",Pole_Calc!A361,
IF(H333="MP",Pole_Calc!A362,
IF(H333="AnMP",Pole_Calc!A363,
IF(H333="A",Pole_Calc!A364,
IF(H333="S/A",Pole_Calc!A365,
IF(H333="A/S",Pole_Calc!A366,"Poner a mano")))))))</f>
        <v/>
      </c>
      <c r="BE333" s="448" t="s">
        <v>1726</v>
      </c>
      <c r="BF333" s="635"/>
      <c r="BG333" s="635"/>
      <c r="BH333" s="634"/>
      <c r="BI333" s="635"/>
    </row>
    <row r="334" spans="1:61" ht="16.2" customHeight="1">
      <c r="A334" s="12"/>
      <c r="B334" s="446"/>
      <c r="C334" s="89"/>
      <c r="D334" s="13"/>
      <c r="E334" s="14"/>
      <c r="F334" s="14"/>
      <c r="G334" s="15"/>
      <c r="H334" s="8"/>
      <c r="I334" s="8"/>
      <c r="J334" s="89"/>
      <c r="K334" s="8"/>
      <c r="L334" s="8"/>
      <c r="M334" s="8" t="str">
        <f>IF(L334="","",
IF(AX334="PT",VLOOKUP(L334,Foundation_Calc!$V$4:$X$37,VLOOKUP(AX334,Foundation_Calc!$I$10:$J$13,2,FALSE),0),
IF(AX334="K",VLOOKUP(L334,Foundation_Calc!$V$41:$X$74,VLOOKUP(AX334,Foundation_Calc!$I$10:$J$13,2,FALSE),0),"")))</f>
        <v/>
      </c>
      <c r="N334" s="8"/>
      <c r="O334" s="8"/>
      <c r="P334" s="8"/>
      <c r="Q334" s="14"/>
      <c r="R334" s="15"/>
      <c r="S334" s="15"/>
      <c r="T334" s="14"/>
      <c r="U334" s="14"/>
      <c r="V334" s="14"/>
      <c r="W334" s="18"/>
      <c r="X334" s="18"/>
      <c r="Y334" s="18"/>
      <c r="Z334" s="18"/>
      <c r="AA334" s="18"/>
      <c r="AB334" s="18"/>
      <c r="AC334" s="8" t="str">
        <f t="shared" si="23"/>
        <v/>
      </c>
      <c r="AD334" s="8"/>
      <c r="AE334" s="8"/>
      <c r="AF334" s="14"/>
      <c r="AG334" s="13"/>
      <c r="AH334" s="14"/>
      <c r="AI334" s="14"/>
      <c r="AJ334" s="8"/>
      <c r="AK334" s="8"/>
      <c r="AL334" s="8"/>
      <c r="AM334" s="8"/>
      <c r="AN334" s="631"/>
      <c r="AO334" s="18"/>
      <c r="AP334" s="18"/>
      <c r="AQ334" s="18"/>
      <c r="AR334" s="18"/>
      <c r="AS334" s="18"/>
      <c r="AU334" s="448"/>
      <c r="AV334" s="448"/>
      <c r="AW334" s="8" t="str">
        <f>IF(C334&gt;0,VLOOKUP(C334,Foundation_Calc!$A$2:$C$986,3,1),
IF(J334&gt;0,VLOOKUP(J334,Foundation_Calc!$A$2:$C$986,3,1),""))</f>
        <v/>
      </c>
      <c r="AX334" s="8" t="str">
        <f>IF(C334&gt;0,VLOOKUP(C334,Foundation_Calc!$E$2:$G$986,3,1),
IF(J334&gt;0,VLOOKUP(J334,Foundation_Calc!$E$2:$G$986,3,1),""))</f>
        <v/>
      </c>
      <c r="AY334" s="631" t="str">
        <f>IF(L334="","",
IF(AX334="PT",VLOOKUP(L334,Foundation_Calc!$K$4:$R$37,VLOOKUP(AW334,Foundation_Calc!$I$2:$J$8,2,FALSE),0),
IF(AX334="K",VLOOKUP(L334,Foundation_Calc!$K$41:$R$74,VLOOKUP(AW334,Foundation_Calc!$I$2:$J$8,2,FALSE),0),"")))</f>
        <v/>
      </c>
      <c r="AZ334" s="631" t="str">
        <f>IF(K334="","",
IF(AX334="PT",VLOOKUP(K334,Foundation_Calc!$K$4:$R$37,VLOOKUP(AW334,Foundation_Calc!$I$2:$J$8,2,FALSE),0),
IF(AX334="K",VLOOKUP(K334,Foundation_Calc!$K$41:$R$74,VLOOKUP(AW334,Foundation_Calc!$I$2:$J$8,2,FALSE),0),"")))</f>
        <v/>
      </c>
      <c r="BA334" s="632" t="str">
        <f t="shared" si="24"/>
        <v/>
      </c>
      <c r="BB334" s="632" t="str">
        <f t="shared" si="25"/>
        <v/>
      </c>
      <c r="BC334" s="632" t="str">
        <f t="shared" si="26"/>
        <v/>
      </c>
      <c r="BD334" s="633" t="str">
        <f>IF(AND(L334="",H334=""),"",
IF(H334="",Pole_Calc!A362,
IF(H334="MP",Pole_Calc!A363,
IF(H334="AnMP",Pole_Calc!A364,
IF(H334="A",Pole_Calc!A365,
IF(H334="S/A",Pole_Calc!A366,
IF(H334="A/S",Pole_Calc!A367,"Poner a mano")))))))</f>
        <v/>
      </c>
      <c r="BE334" s="448" t="s">
        <v>1726</v>
      </c>
      <c r="BF334" s="634"/>
      <c r="BG334" s="634"/>
      <c r="BH334" s="634"/>
      <c r="BI334" s="634"/>
    </row>
    <row r="335" spans="1:61" ht="16.2" customHeight="1">
      <c r="A335" s="12"/>
      <c r="B335" s="446"/>
      <c r="C335" s="89"/>
      <c r="D335" s="13"/>
      <c r="E335" s="14"/>
      <c r="F335" s="14"/>
      <c r="G335" s="15"/>
      <c r="H335" s="8"/>
      <c r="I335" s="8"/>
      <c r="J335" s="89"/>
      <c r="K335" s="8"/>
      <c r="L335" s="8"/>
      <c r="M335" s="8" t="str">
        <f>IF(L335="","",
IF(AX335="PT",VLOOKUP(L335,Foundation_Calc!$V$4:$X$37,VLOOKUP(AX335,Foundation_Calc!$I$10:$J$13,2,FALSE),0),
IF(AX335="K",VLOOKUP(L335,Foundation_Calc!$V$41:$X$74,VLOOKUP(AX335,Foundation_Calc!$I$10:$J$13,2,FALSE),0),"")))</f>
        <v/>
      </c>
      <c r="N335" s="8"/>
      <c r="O335" s="8"/>
      <c r="P335" s="8"/>
      <c r="Q335" s="14"/>
      <c r="R335" s="15"/>
      <c r="S335" s="15"/>
      <c r="T335" s="14"/>
      <c r="U335" s="14"/>
      <c r="V335" s="14"/>
      <c r="W335" s="18"/>
      <c r="X335" s="18"/>
      <c r="Y335" s="18"/>
      <c r="Z335" s="18"/>
      <c r="AA335" s="18"/>
      <c r="AB335" s="18"/>
      <c r="AC335" s="8" t="str">
        <f t="shared" si="23"/>
        <v/>
      </c>
      <c r="AD335" s="8"/>
      <c r="AE335" s="8"/>
      <c r="AF335" s="14"/>
      <c r="AG335" s="13"/>
      <c r="AH335" s="14"/>
      <c r="AI335" s="14"/>
      <c r="AJ335" s="8"/>
      <c r="AK335" s="8"/>
      <c r="AL335" s="8"/>
      <c r="AM335" s="8"/>
      <c r="AN335" s="631"/>
      <c r="AO335" s="18"/>
      <c r="AP335" s="18"/>
      <c r="AQ335" s="18"/>
      <c r="AR335" s="18"/>
      <c r="AS335" s="18"/>
      <c r="AU335" s="448"/>
      <c r="AV335" s="448"/>
      <c r="AW335" s="8" t="str">
        <f>IF(C335&gt;0,VLOOKUP(C335,Foundation_Calc!$A$2:$C$986,3,1),
IF(J335&gt;0,VLOOKUP(J335,Foundation_Calc!$A$2:$C$986,3,1),""))</f>
        <v/>
      </c>
      <c r="AX335" s="8" t="str">
        <f>IF(C335&gt;0,VLOOKUP(C335,Foundation_Calc!$E$2:$G$986,3,1),
IF(J335&gt;0,VLOOKUP(J335,Foundation_Calc!$E$2:$G$986,3,1),""))</f>
        <v/>
      </c>
      <c r="AY335" s="631" t="str">
        <f>IF(L335="","",
IF(AX335="PT",VLOOKUP(L335,Foundation_Calc!$K$4:$R$37,VLOOKUP(AW335,Foundation_Calc!$I$2:$J$8,2,FALSE),0),
IF(AX335="K",VLOOKUP(L335,Foundation_Calc!$K$41:$R$74,VLOOKUP(AW335,Foundation_Calc!$I$2:$J$8,2,FALSE),0),"")))</f>
        <v/>
      </c>
      <c r="AZ335" s="631" t="str">
        <f>IF(K335="","",
IF(AX335="PT",VLOOKUP(K335,Foundation_Calc!$K$4:$R$37,VLOOKUP(AW335,Foundation_Calc!$I$2:$J$8,2,FALSE),0),
IF(AX335="K",VLOOKUP(K335,Foundation_Calc!$K$41:$R$74,VLOOKUP(AW335,Foundation_Calc!$I$2:$J$8,2,FALSE),0),"")))</f>
        <v/>
      </c>
      <c r="BA335" s="632" t="str">
        <f t="shared" si="24"/>
        <v/>
      </c>
      <c r="BB335" s="632" t="str">
        <f t="shared" si="25"/>
        <v/>
      </c>
      <c r="BC335" s="632" t="str">
        <f t="shared" si="26"/>
        <v/>
      </c>
      <c r="BD335" s="633" t="str">
        <f>IF(AND(L335="",H335=""),"",
IF(H335="",Pole_Calc!A363,
IF(H335="MP",Pole_Calc!A364,
IF(H335="AnMP",Pole_Calc!A365,
IF(H335="A",Pole_Calc!A366,
IF(H335="S/A",Pole_Calc!A367,
IF(H335="A/S",Pole_Calc!A368,"Poner a mano")))))))</f>
        <v/>
      </c>
      <c r="BE335" s="448" t="s">
        <v>1726</v>
      </c>
      <c r="BF335" s="635"/>
      <c r="BG335" s="635"/>
      <c r="BH335" s="634"/>
      <c r="BI335" s="635"/>
    </row>
    <row r="336" spans="1:61" ht="16.2" customHeight="1">
      <c r="A336" s="12"/>
      <c r="B336" s="446"/>
      <c r="C336" s="89"/>
      <c r="D336" s="13"/>
      <c r="E336" s="14"/>
      <c r="F336" s="14"/>
      <c r="G336" s="15"/>
      <c r="H336" s="8"/>
      <c r="I336" s="8"/>
      <c r="J336" s="89"/>
      <c r="K336" s="8"/>
      <c r="L336" s="8"/>
      <c r="M336" s="8" t="str">
        <f>IF(L336="","",
IF(AX336="PT",VLOOKUP(L336,Foundation_Calc!$V$4:$X$37,VLOOKUP(AX336,Foundation_Calc!$I$10:$J$13,2,FALSE),0),
IF(AX336="K",VLOOKUP(L336,Foundation_Calc!$V$41:$X$74,VLOOKUP(AX336,Foundation_Calc!$I$10:$J$13,2,FALSE),0),"")))</f>
        <v/>
      </c>
      <c r="N336" s="8"/>
      <c r="O336" s="8"/>
      <c r="P336" s="8"/>
      <c r="Q336" s="14"/>
      <c r="R336" s="15"/>
      <c r="S336" s="15"/>
      <c r="T336" s="14"/>
      <c r="U336" s="14"/>
      <c r="V336" s="14"/>
      <c r="W336" s="18"/>
      <c r="X336" s="18"/>
      <c r="Y336" s="18"/>
      <c r="Z336" s="18"/>
      <c r="AA336" s="18"/>
      <c r="AB336" s="18"/>
      <c r="AC336" s="8" t="str">
        <f t="shared" si="23"/>
        <v/>
      </c>
      <c r="AD336" s="8"/>
      <c r="AE336" s="8"/>
      <c r="AF336" s="14"/>
      <c r="AG336" s="13"/>
      <c r="AH336" s="14"/>
      <c r="AI336" s="14"/>
      <c r="AJ336" s="8"/>
      <c r="AK336" s="8"/>
      <c r="AL336" s="8"/>
      <c r="AM336" s="8"/>
      <c r="AN336" s="631"/>
      <c r="AO336" s="18"/>
      <c r="AP336" s="18"/>
      <c r="AQ336" s="18"/>
      <c r="AR336" s="18"/>
      <c r="AS336" s="18"/>
      <c r="AU336" s="448"/>
      <c r="AV336" s="448"/>
      <c r="AW336" s="8" t="str">
        <f>IF(C336&gt;0,VLOOKUP(C336,Foundation_Calc!$A$2:$C$986,3,1),
IF(J336&gt;0,VLOOKUP(J336,Foundation_Calc!$A$2:$C$986,3,1),""))</f>
        <v/>
      </c>
      <c r="AX336" s="8" t="str">
        <f>IF(C336&gt;0,VLOOKUP(C336,Foundation_Calc!$E$2:$G$986,3,1),
IF(J336&gt;0,VLOOKUP(J336,Foundation_Calc!$E$2:$G$986,3,1),""))</f>
        <v/>
      </c>
      <c r="AY336" s="631" t="str">
        <f>IF(L336="","",
IF(AX336="PT",VLOOKUP(L336,Foundation_Calc!$K$4:$R$37,VLOOKUP(AW336,Foundation_Calc!$I$2:$J$8,2,FALSE),0),
IF(AX336="K",VLOOKUP(L336,Foundation_Calc!$K$41:$R$74,VLOOKUP(AW336,Foundation_Calc!$I$2:$J$8,2,FALSE),0),"")))</f>
        <v/>
      </c>
      <c r="AZ336" s="631" t="str">
        <f>IF(K336="","",
IF(AX336="PT",VLOOKUP(K336,Foundation_Calc!$K$4:$R$37,VLOOKUP(AW336,Foundation_Calc!$I$2:$J$8,2,FALSE),0),
IF(AX336="K",VLOOKUP(K336,Foundation_Calc!$K$41:$R$74,VLOOKUP(AW336,Foundation_Calc!$I$2:$J$8,2,FALSE),0),"")))</f>
        <v/>
      </c>
      <c r="BA336" s="632" t="str">
        <f t="shared" si="24"/>
        <v/>
      </c>
      <c r="BB336" s="632" t="str">
        <f t="shared" si="25"/>
        <v/>
      </c>
      <c r="BC336" s="632" t="str">
        <f t="shared" si="26"/>
        <v/>
      </c>
      <c r="BD336" s="633" t="str">
        <f>IF(AND(L336="",H336=""),"",
IF(H336="",Pole_Calc!A364,
IF(H336="MP",Pole_Calc!A365,
IF(H336="AnMP",Pole_Calc!A366,
IF(H336="A",Pole_Calc!A367,
IF(H336="S/A",Pole_Calc!A368,
IF(H336="A/S",Pole_Calc!A369,"Poner a mano")))))))</f>
        <v/>
      </c>
      <c r="BE336" s="448" t="s">
        <v>1726</v>
      </c>
      <c r="BF336" s="634"/>
      <c r="BG336" s="634"/>
      <c r="BH336" s="634"/>
      <c r="BI336" s="634"/>
    </row>
    <row r="337" spans="1:61" ht="16.2" customHeight="1">
      <c r="A337" s="12"/>
      <c r="B337" s="446"/>
      <c r="C337" s="89"/>
      <c r="D337" s="13"/>
      <c r="E337" s="14"/>
      <c r="F337" s="14"/>
      <c r="G337" s="15"/>
      <c r="H337" s="8"/>
      <c r="I337" s="8"/>
      <c r="J337" s="89"/>
      <c r="K337" s="8"/>
      <c r="L337" s="8"/>
      <c r="M337" s="8" t="str">
        <f>IF(L337="","",
IF(AX337="PT",VLOOKUP(L337,Foundation_Calc!$V$4:$X$37,VLOOKUP(AX337,Foundation_Calc!$I$10:$J$13,2,FALSE),0),
IF(AX337="K",VLOOKUP(L337,Foundation_Calc!$V$41:$X$74,VLOOKUP(AX337,Foundation_Calc!$I$10:$J$13,2,FALSE),0),"")))</f>
        <v/>
      </c>
      <c r="N337" s="8"/>
      <c r="O337" s="8"/>
      <c r="P337" s="8"/>
      <c r="Q337" s="14"/>
      <c r="R337" s="15"/>
      <c r="S337" s="15"/>
      <c r="T337" s="14"/>
      <c r="U337" s="14"/>
      <c r="V337" s="14"/>
      <c r="W337" s="18"/>
      <c r="X337" s="18"/>
      <c r="Y337" s="18"/>
      <c r="Z337" s="18"/>
      <c r="AA337" s="18"/>
      <c r="AB337" s="18"/>
      <c r="AC337" s="8" t="str">
        <f t="shared" si="23"/>
        <v/>
      </c>
      <c r="AD337" s="8"/>
      <c r="AE337" s="8"/>
      <c r="AF337" s="14"/>
      <c r="AG337" s="13"/>
      <c r="AH337" s="14"/>
      <c r="AI337" s="14"/>
      <c r="AJ337" s="8"/>
      <c r="AK337" s="8"/>
      <c r="AL337" s="8"/>
      <c r="AM337" s="8"/>
      <c r="AN337" s="631"/>
      <c r="AO337" s="18"/>
      <c r="AP337" s="18"/>
      <c r="AQ337" s="18"/>
      <c r="AR337" s="18"/>
      <c r="AS337" s="18"/>
      <c r="AU337" s="448"/>
      <c r="AV337" s="448"/>
      <c r="AW337" s="8" t="str">
        <f>IF(C337&gt;0,VLOOKUP(C337,Foundation_Calc!$A$2:$C$986,3,1),
IF(J337&gt;0,VLOOKUP(J337,Foundation_Calc!$A$2:$C$986,3,1),""))</f>
        <v/>
      </c>
      <c r="AX337" s="8" t="str">
        <f>IF(C337&gt;0,VLOOKUP(C337,Foundation_Calc!$E$2:$G$986,3,1),
IF(J337&gt;0,VLOOKUP(J337,Foundation_Calc!$E$2:$G$986,3,1),""))</f>
        <v/>
      </c>
      <c r="AY337" s="631" t="str">
        <f>IF(L337="","",
IF(AX337="PT",VLOOKUP(L337,Foundation_Calc!$K$4:$R$37,VLOOKUP(AW337,Foundation_Calc!$I$2:$J$8,2,FALSE),0),
IF(AX337="K",VLOOKUP(L337,Foundation_Calc!$K$41:$R$74,VLOOKUP(AW337,Foundation_Calc!$I$2:$J$8,2,FALSE),0),"")))</f>
        <v/>
      </c>
      <c r="AZ337" s="631" t="str">
        <f>IF(K337="","",
IF(AX337="PT",VLOOKUP(K337,Foundation_Calc!$K$4:$R$37,VLOOKUP(AW337,Foundation_Calc!$I$2:$J$8,2,FALSE),0),
IF(AX337="K",VLOOKUP(K337,Foundation_Calc!$K$41:$R$74,VLOOKUP(AW337,Foundation_Calc!$I$2:$J$8,2,FALSE),0),"")))</f>
        <v/>
      </c>
      <c r="BA337" s="632" t="str">
        <f t="shared" si="24"/>
        <v/>
      </c>
      <c r="BB337" s="632" t="str">
        <f t="shared" si="25"/>
        <v/>
      </c>
      <c r="BC337" s="632" t="str">
        <f t="shared" si="26"/>
        <v/>
      </c>
      <c r="BD337" s="633" t="str">
        <f>IF(AND(L337="",H337=""),"",
IF(H337="",Pole_Calc!A365,
IF(H337="MP",Pole_Calc!A366,
IF(H337="AnMP",Pole_Calc!A367,
IF(H337="A",Pole_Calc!A368,
IF(H337="S/A",Pole_Calc!A369,
IF(H337="A/S",Pole_Calc!A370,"Poner a mano")))))))</f>
        <v/>
      </c>
      <c r="BE337" s="448" t="s">
        <v>1726</v>
      </c>
      <c r="BF337" s="635"/>
      <c r="BG337" s="635"/>
      <c r="BH337" s="634"/>
      <c r="BI337" s="635"/>
    </row>
    <row r="338" spans="1:61" ht="16.2" customHeight="1">
      <c r="A338" s="12"/>
      <c r="B338" s="446"/>
      <c r="C338" s="89"/>
      <c r="D338" s="13"/>
      <c r="E338" s="14"/>
      <c r="F338" s="14"/>
      <c r="G338" s="15"/>
      <c r="H338" s="8"/>
      <c r="I338" s="8"/>
      <c r="J338" s="89"/>
      <c r="K338" s="8"/>
      <c r="L338" s="8"/>
      <c r="M338" s="8" t="str">
        <f>IF(L338="","",
IF(AX338="PT",VLOOKUP(L338,Foundation_Calc!$V$4:$X$37,VLOOKUP(AX338,Foundation_Calc!$I$10:$J$13,2,FALSE),0),
IF(AX338="K",VLOOKUP(L338,Foundation_Calc!$V$41:$X$74,VLOOKUP(AX338,Foundation_Calc!$I$10:$J$13,2,FALSE),0),"")))</f>
        <v/>
      </c>
      <c r="N338" s="8"/>
      <c r="O338" s="8"/>
      <c r="P338" s="8"/>
      <c r="Q338" s="14"/>
      <c r="R338" s="15"/>
      <c r="S338" s="15"/>
      <c r="T338" s="14"/>
      <c r="U338" s="14"/>
      <c r="V338" s="14"/>
      <c r="W338" s="18"/>
      <c r="X338" s="18"/>
      <c r="Y338" s="18"/>
      <c r="Z338" s="18"/>
      <c r="AA338" s="18"/>
      <c r="AB338" s="18"/>
      <c r="AC338" s="8" t="str">
        <f t="shared" si="23"/>
        <v/>
      </c>
      <c r="AD338" s="8"/>
      <c r="AE338" s="8"/>
      <c r="AF338" s="14"/>
      <c r="AG338" s="13"/>
      <c r="AH338" s="14"/>
      <c r="AI338" s="14"/>
      <c r="AJ338" s="8"/>
      <c r="AK338" s="8"/>
      <c r="AL338" s="8"/>
      <c r="AM338" s="8"/>
      <c r="AN338" s="631"/>
      <c r="AO338" s="18"/>
      <c r="AP338" s="18"/>
      <c r="AQ338" s="18"/>
      <c r="AR338" s="18"/>
      <c r="AS338" s="18"/>
      <c r="AU338" s="448"/>
      <c r="AV338" s="448"/>
      <c r="AW338" s="8" t="str">
        <f>IF(C338&gt;0,VLOOKUP(C338,Foundation_Calc!$A$2:$C$986,3,1),
IF(J338&gt;0,VLOOKUP(J338,Foundation_Calc!$A$2:$C$986,3,1),""))</f>
        <v/>
      </c>
      <c r="AX338" s="8" t="str">
        <f>IF(C338&gt;0,VLOOKUP(C338,Foundation_Calc!$E$2:$G$986,3,1),
IF(J338&gt;0,VLOOKUP(J338,Foundation_Calc!$E$2:$G$986,3,1),""))</f>
        <v/>
      </c>
      <c r="AY338" s="631" t="str">
        <f>IF(L338="","",
IF(AX338="PT",VLOOKUP(L338,Foundation_Calc!$K$4:$R$37,VLOOKUP(AW338,Foundation_Calc!$I$2:$J$8,2,FALSE),0),
IF(AX338="K",VLOOKUP(L338,Foundation_Calc!$K$41:$R$74,VLOOKUP(AW338,Foundation_Calc!$I$2:$J$8,2,FALSE),0),"")))</f>
        <v/>
      </c>
      <c r="AZ338" s="631" t="str">
        <f>IF(K338="","",
IF(AX338="PT",VLOOKUP(K338,Foundation_Calc!$K$4:$R$37,VLOOKUP(AW338,Foundation_Calc!$I$2:$J$8,2,FALSE),0),
IF(AX338="K",VLOOKUP(K338,Foundation_Calc!$K$41:$R$74,VLOOKUP(AW338,Foundation_Calc!$I$2:$J$8,2,FALSE),0),"")))</f>
        <v/>
      </c>
      <c r="BA338" s="632" t="str">
        <f t="shared" si="24"/>
        <v/>
      </c>
      <c r="BB338" s="632" t="str">
        <f t="shared" si="25"/>
        <v/>
      </c>
      <c r="BC338" s="632" t="str">
        <f t="shared" si="26"/>
        <v/>
      </c>
      <c r="BD338" s="633" t="str">
        <f>IF(AND(L338="",H338=""),"",
IF(H338="",Pole_Calc!A366,
IF(H338="MP",Pole_Calc!A367,
IF(H338="AnMP",Pole_Calc!A368,
IF(H338="A",Pole_Calc!A369,
IF(H338="S/A",Pole_Calc!A370,
IF(H338="A/S",Pole_Calc!A371,"Poner a mano")))))))</f>
        <v/>
      </c>
      <c r="BE338" s="448" t="s">
        <v>1726</v>
      </c>
      <c r="BF338" s="634"/>
      <c r="BG338" s="634"/>
      <c r="BH338" s="634"/>
      <c r="BI338" s="634"/>
    </row>
    <row r="339" spans="1:61" ht="16.2" customHeight="1">
      <c r="A339" s="12"/>
      <c r="B339" s="446"/>
      <c r="C339" s="89"/>
      <c r="D339" s="13"/>
      <c r="E339" s="14"/>
      <c r="F339" s="14"/>
      <c r="G339" s="15"/>
      <c r="H339" s="8"/>
      <c r="I339" s="8"/>
      <c r="J339" s="89"/>
      <c r="K339" s="8"/>
      <c r="L339" s="8"/>
      <c r="M339" s="8" t="str">
        <f>IF(L339="","",
IF(AX339="PT",VLOOKUP(L339,Foundation_Calc!$V$4:$X$37,VLOOKUP(AX339,Foundation_Calc!$I$10:$J$13,2,FALSE),0),
IF(AX339="K",VLOOKUP(L339,Foundation_Calc!$V$41:$X$74,VLOOKUP(AX339,Foundation_Calc!$I$10:$J$13,2,FALSE),0),"")))</f>
        <v/>
      </c>
      <c r="N339" s="8"/>
      <c r="O339" s="8"/>
      <c r="P339" s="8"/>
      <c r="Q339" s="14"/>
      <c r="R339" s="15"/>
      <c r="S339" s="15"/>
      <c r="T339" s="14"/>
      <c r="U339" s="14"/>
      <c r="V339" s="14"/>
      <c r="W339" s="18"/>
      <c r="X339" s="18"/>
      <c r="Y339" s="18"/>
      <c r="Z339" s="18"/>
      <c r="AA339" s="18"/>
      <c r="AB339" s="18"/>
      <c r="AC339" s="8" t="str">
        <f t="shared" si="23"/>
        <v/>
      </c>
      <c r="AD339" s="8"/>
      <c r="AE339" s="8"/>
      <c r="AF339" s="14"/>
      <c r="AG339" s="13"/>
      <c r="AH339" s="14"/>
      <c r="AI339" s="14"/>
      <c r="AJ339" s="8"/>
      <c r="AK339" s="8"/>
      <c r="AL339" s="8"/>
      <c r="AM339" s="8"/>
      <c r="AN339" s="631"/>
      <c r="AO339" s="18"/>
      <c r="AP339" s="18"/>
      <c r="AQ339" s="18"/>
      <c r="AR339" s="18"/>
      <c r="AS339" s="18"/>
      <c r="AU339" s="448"/>
      <c r="AV339" s="448"/>
      <c r="AW339" s="8" t="str">
        <f>IF(C339&gt;0,VLOOKUP(C339,Foundation_Calc!$A$2:$C$986,3,1),
IF(J339&gt;0,VLOOKUP(J339,Foundation_Calc!$A$2:$C$986,3,1),""))</f>
        <v/>
      </c>
      <c r="AX339" s="8" t="str">
        <f>IF(C339&gt;0,VLOOKUP(C339,Foundation_Calc!$E$2:$G$986,3,1),
IF(J339&gt;0,VLOOKUP(J339,Foundation_Calc!$E$2:$G$986,3,1),""))</f>
        <v/>
      </c>
      <c r="AY339" s="631" t="str">
        <f>IF(L339="","",
IF(AX339="PT",VLOOKUP(L339,Foundation_Calc!$K$4:$R$37,VLOOKUP(AW339,Foundation_Calc!$I$2:$J$8,2,FALSE),0),
IF(AX339="K",VLOOKUP(L339,Foundation_Calc!$K$41:$R$74,VLOOKUP(AW339,Foundation_Calc!$I$2:$J$8,2,FALSE),0),"")))</f>
        <v/>
      </c>
      <c r="AZ339" s="631" t="str">
        <f>IF(K339="","",
IF(AX339="PT",VLOOKUP(K339,Foundation_Calc!$K$4:$R$37,VLOOKUP(AW339,Foundation_Calc!$I$2:$J$8,2,FALSE),0),
IF(AX339="K",VLOOKUP(K339,Foundation_Calc!$K$41:$R$74,VLOOKUP(AW339,Foundation_Calc!$I$2:$J$8,2,FALSE),0),"")))</f>
        <v/>
      </c>
      <c r="BA339" s="632" t="str">
        <f t="shared" si="24"/>
        <v/>
      </c>
      <c r="BB339" s="632" t="str">
        <f t="shared" si="25"/>
        <v/>
      </c>
      <c r="BC339" s="632" t="str">
        <f t="shared" si="26"/>
        <v/>
      </c>
      <c r="BD339" s="633" t="str">
        <f>IF(AND(L339="",H339=""),"",
IF(H339="",Pole_Calc!A367,
IF(H339="MP",Pole_Calc!A368,
IF(H339="AnMP",Pole_Calc!A369,
IF(H339="A",Pole_Calc!A370,
IF(H339="S/A",Pole_Calc!A371,
IF(H339="A/S",Pole_Calc!A372,"Poner a mano")))))))</f>
        <v/>
      </c>
      <c r="BE339" s="448" t="s">
        <v>1726</v>
      </c>
      <c r="BF339" s="635"/>
      <c r="BG339" s="635"/>
      <c r="BH339" s="634"/>
      <c r="BI339" s="635"/>
    </row>
    <row r="340" spans="1:61" ht="16.2" customHeight="1">
      <c r="A340" s="12"/>
      <c r="B340" s="446"/>
      <c r="C340" s="89"/>
      <c r="D340" s="13"/>
      <c r="E340" s="14"/>
      <c r="F340" s="14"/>
      <c r="G340" s="15"/>
      <c r="H340" s="8"/>
      <c r="I340" s="8"/>
      <c r="J340" s="89"/>
      <c r="K340" s="8"/>
      <c r="L340" s="8"/>
      <c r="M340" s="8" t="str">
        <f>IF(L340="","",
IF(AX340="PT",VLOOKUP(L340,Foundation_Calc!$V$4:$X$37,VLOOKUP(AX340,Foundation_Calc!$I$10:$J$13,2,FALSE),0),
IF(AX340="K",VLOOKUP(L340,Foundation_Calc!$V$41:$X$74,VLOOKUP(AX340,Foundation_Calc!$I$10:$J$13,2,FALSE),0),"")))</f>
        <v/>
      </c>
      <c r="N340" s="8"/>
      <c r="O340" s="8"/>
      <c r="P340" s="8"/>
      <c r="Q340" s="14"/>
      <c r="R340" s="15"/>
      <c r="S340" s="15"/>
      <c r="T340" s="14"/>
      <c r="U340" s="14"/>
      <c r="V340" s="14"/>
      <c r="W340" s="18"/>
      <c r="X340" s="18"/>
      <c r="Y340" s="18"/>
      <c r="Z340" s="18"/>
      <c r="AA340" s="18"/>
      <c r="AB340" s="18"/>
      <c r="AC340" s="8" t="str">
        <f t="shared" si="23"/>
        <v/>
      </c>
      <c r="AD340" s="8"/>
      <c r="AE340" s="8"/>
      <c r="AF340" s="14"/>
      <c r="AG340" s="13"/>
      <c r="AH340" s="14"/>
      <c r="AI340" s="14"/>
      <c r="AJ340" s="8"/>
      <c r="AK340" s="8"/>
      <c r="AL340" s="8"/>
      <c r="AM340" s="8"/>
      <c r="AN340" s="631"/>
      <c r="AO340" s="18"/>
      <c r="AP340" s="18"/>
      <c r="AQ340" s="18"/>
      <c r="AR340" s="18"/>
      <c r="AS340" s="18"/>
      <c r="AU340" s="448"/>
      <c r="AV340" s="448"/>
      <c r="AW340" s="8" t="str">
        <f>IF(C340&gt;0,VLOOKUP(C340,Foundation_Calc!$A$2:$C$986,3,1),
IF(J340&gt;0,VLOOKUP(J340,Foundation_Calc!$A$2:$C$986,3,1),""))</f>
        <v/>
      </c>
      <c r="AX340" s="8" t="str">
        <f>IF(C340&gt;0,VLOOKUP(C340,Foundation_Calc!$E$2:$G$986,3,1),
IF(J340&gt;0,VLOOKUP(J340,Foundation_Calc!$E$2:$G$986,3,1),""))</f>
        <v/>
      </c>
      <c r="AY340" s="631" t="str">
        <f>IF(L340="","",
IF(AX340="PT",VLOOKUP(L340,Foundation_Calc!$K$4:$R$37,VLOOKUP(AW340,Foundation_Calc!$I$2:$J$8,2,FALSE),0),
IF(AX340="K",VLOOKUP(L340,Foundation_Calc!$K$41:$R$74,VLOOKUP(AW340,Foundation_Calc!$I$2:$J$8,2,FALSE),0),"")))</f>
        <v/>
      </c>
      <c r="AZ340" s="631" t="str">
        <f>IF(K340="","",
IF(AX340="PT",VLOOKUP(K340,Foundation_Calc!$K$4:$R$37,VLOOKUP(AW340,Foundation_Calc!$I$2:$J$8,2,FALSE),0),
IF(AX340="K",VLOOKUP(K340,Foundation_Calc!$K$41:$R$74,VLOOKUP(AW340,Foundation_Calc!$I$2:$J$8,2,FALSE),0),"")))</f>
        <v/>
      </c>
      <c r="BA340" s="632" t="str">
        <f t="shared" si="24"/>
        <v/>
      </c>
      <c r="BB340" s="632" t="str">
        <f t="shared" si="25"/>
        <v/>
      </c>
      <c r="BC340" s="632" t="str">
        <f t="shared" si="26"/>
        <v/>
      </c>
      <c r="BD340" s="633" t="str">
        <f>IF(AND(L340="",H340=""),"",
IF(H340="",Pole_Calc!A368,
IF(H340="MP",Pole_Calc!A369,
IF(H340="AnMP",Pole_Calc!A370,
IF(H340="A",Pole_Calc!A371,
IF(H340="S/A",Pole_Calc!A372,
IF(H340="A/S",Pole_Calc!A373,"Poner a mano")))))))</f>
        <v/>
      </c>
      <c r="BE340" s="448" t="s">
        <v>1726</v>
      </c>
      <c r="BF340" s="634"/>
      <c r="BG340" s="634"/>
      <c r="BH340" s="634"/>
      <c r="BI340" s="634"/>
    </row>
    <row r="341" spans="1:61" ht="16.2" customHeight="1">
      <c r="A341" s="12"/>
      <c r="B341" s="446"/>
      <c r="C341" s="89"/>
      <c r="D341" s="13"/>
      <c r="E341" s="14"/>
      <c r="F341" s="14"/>
      <c r="G341" s="15"/>
      <c r="H341" s="8"/>
      <c r="I341" s="8"/>
      <c r="J341" s="89"/>
      <c r="K341" s="8"/>
      <c r="L341" s="8"/>
      <c r="M341" s="8" t="str">
        <f>IF(L341="","",
IF(AX341="PT",VLOOKUP(L341,Foundation_Calc!$V$4:$X$37,VLOOKUP(AX341,Foundation_Calc!$I$10:$J$13,2,FALSE),0),
IF(AX341="K",VLOOKUP(L341,Foundation_Calc!$V$41:$X$74,VLOOKUP(AX341,Foundation_Calc!$I$10:$J$13,2,FALSE),0),"")))</f>
        <v/>
      </c>
      <c r="N341" s="8"/>
      <c r="O341" s="8"/>
      <c r="P341" s="8"/>
      <c r="Q341" s="14"/>
      <c r="R341" s="15"/>
      <c r="S341" s="15"/>
      <c r="T341" s="14"/>
      <c r="U341" s="14"/>
      <c r="V341" s="14"/>
      <c r="W341" s="18"/>
      <c r="X341" s="18"/>
      <c r="Y341" s="18"/>
      <c r="Z341" s="18"/>
      <c r="AA341" s="18"/>
      <c r="AB341" s="18"/>
      <c r="AC341" s="8" t="str">
        <f t="shared" si="23"/>
        <v/>
      </c>
      <c r="AD341" s="8"/>
      <c r="AE341" s="8"/>
      <c r="AF341" s="14"/>
      <c r="AG341" s="13"/>
      <c r="AH341" s="14"/>
      <c r="AI341" s="14"/>
      <c r="AJ341" s="8"/>
      <c r="AK341" s="8"/>
      <c r="AL341" s="8"/>
      <c r="AM341" s="8"/>
      <c r="AN341" s="631"/>
      <c r="AO341" s="18"/>
      <c r="AP341" s="18"/>
      <c r="AQ341" s="18"/>
      <c r="AR341" s="18"/>
      <c r="AS341" s="18"/>
      <c r="AU341" s="448"/>
      <c r="AV341" s="448"/>
      <c r="AW341" s="8" t="str">
        <f>IF(C341&gt;0,VLOOKUP(C341,Foundation_Calc!$A$2:$C$986,3,1),
IF(J341&gt;0,VLOOKUP(J341,Foundation_Calc!$A$2:$C$986,3,1),""))</f>
        <v/>
      </c>
      <c r="AX341" s="8" t="str">
        <f>IF(C341&gt;0,VLOOKUP(C341,Foundation_Calc!$E$2:$G$986,3,1),
IF(J341&gt;0,VLOOKUP(J341,Foundation_Calc!$E$2:$G$986,3,1),""))</f>
        <v/>
      </c>
      <c r="AY341" s="631" t="str">
        <f>IF(L341="","",
IF(AX341="PT",VLOOKUP(L341,Foundation_Calc!$K$4:$R$37,VLOOKUP(AW341,Foundation_Calc!$I$2:$J$8,2,FALSE),0),
IF(AX341="K",VLOOKUP(L341,Foundation_Calc!$K$41:$R$74,VLOOKUP(AW341,Foundation_Calc!$I$2:$J$8,2,FALSE),0),"")))</f>
        <v/>
      </c>
      <c r="AZ341" s="631" t="str">
        <f>IF(K341="","",
IF(AX341="PT",VLOOKUP(K341,Foundation_Calc!$K$4:$R$37,VLOOKUP(AW341,Foundation_Calc!$I$2:$J$8,2,FALSE),0),
IF(AX341="K",VLOOKUP(K341,Foundation_Calc!$K$41:$R$74,VLOOKUP(AW341,Foundation_Calc!$I$2:$J$8,2,FALSE),0),"")))</f>
        <v/>
      </c>
      <c r="BA341" s="632" t="str">
        <f t="shared" si="24"/>
        <v/>
      </c>
      <c r="BB341" s="632" t="str">
        <f t="shared" si="25"/>
        <v/>
      </c>
      <c r="BC341" s="632" t="str">
        <f t="shared" si="26"/>
        <v/>
      </c>
      <c r="BD341" s="633" t="str">
        <f>IF(AND(L341="",H341=""),"",
IF(H341="",Pole_Calc!A369,
IF(H341="MP",Pole_Calc!A370,
IF(H341="AnMP",Pole_Calc!A371,
IF(H341="A",Pole_Calc!A372,
IF(H341="S/A",Pole_Calc!A373,
IF(H341="A/S",Pole_Calc!A374,"Poner a mano")))))))</f>
        <v/>
      </c>
      <c r="BE341" s="448" t="s">
        <v>1726</v>
      </c>
      <c r="BF341" s="635"/>
      <c r="BG341" s="635"/>
      <c r="BH341" s="634"/>
      <c r="BI341" s="635"/>
    </row>
    <row r="342" spans="1:61" ht="16.2" customHeight="1">
      <c r="A342" s="12"/>
      <c r="B342" s="446"/>
      <c r="C342" s="89"/>
      <c r="D342" s="13"/>
      <c r="E342" s="14"/>
      <c r="F342" s="14"/>
      <c r="G342" s="15"/>
      <c r="H342" s="8"/>
      <c r="I342" s="8"/>
      <c r="J342" s="89"/>
      <c r="K342" s="8"/>
      <c r="L342" s="8"/>
      <c r="M342" s="8" t="str">
        <f>IF(L342="","",
IF(AX342="PT",VLOOKUP(L342,Foundation_Calc!$V$4:$X$37,VLOOKUP(AX342,Foundation_Calc!$I$10:$J$13,2,FALSE),0),
IF(AX342="K",VLOOKUP(L342,Foundation_Calc!$V$41:$X$74,VLOOKUP(AX342,Foundation_Calc!$I$10:$J$13,2,FALSE),0),"")))</f>
        <v/>
      </c>
      <c r="N342" s="8"/>
      <c r="O342" s="8"/>
      <c r="P342" s="8"/>
      <c r="Q342" s="14"/>
      <c r="R342" s="15"/>
      <c r="S342" s="15"/>
      <c r="T342" s="14"/>
      <c r="U342" s="14"/>
      <c r="V342" s="14"/>
      <c r="W342" s="18"/>
      <c r="X342" s="18"/>
      <c r="Y342" s="18"/>
      <c r="Z342" s="18"/>
      <c r="AA342" s="18"/>
      <c r="AB342" s="18"/>
      <c r="AC342" s="8" t="str">
        <f t="shared" si="23"/>
        <v/>
      </c>
      <c r="AD342" s="8"/>
      <c r="AE342" s="8"/>
      <c r="AF342" s="14"/>
      <c r="AG342" s="13"/>
      <c r="AH342" s="14"/>
      <c r="AI342" s="14"/>
      <c r="AJ342" s="8"/>
      <c r="AK342" s="8"/>
      <c r="AL342" s="8"/>
      <c r="AM342" s="8"/>
      <c r="AN342" s="631"/>
      <c r="AO342" s="18"/>
      <c r="AP342" s="18"/>
      <c r="AQ342" s="18"/>
      <c r="AR342" s="18"/>
      <c r="AS342" s="18"/>
      <c r="AU342" s="448"/>
      <c r="AV342" s="448"/>
      <c r="AW342" s="8" t="str">
        <f>IF(C342&gt;0,VLOOKUP(C342,Foundation_Calc!$A$2:$C$986,3,1),
IF(J342&gt;0,VLOOKUP(J342,Foundation_Calc!$A$2:$C$986,3,1),""))</f>
        <v/>
      </c>
      <c r="AX342" s="8" t="str">
        <f>IF(C342&gt;0,VLOOKUP(C342,Foundation_Calc!$E$2:$G$986,3,1),
IF(J342&gt;0,VLOOKUP(J342,Foundation_Calc!$E$2:$G$986,3,1),""))</f>
        <v/>
      </c>
      <c r="AY342" s="631" t="str">
        <f>IF(L342="","",
IF(AX342="PT",VLOOKUP(L342,Foundation_Calc!$K$4:$R$37,VLOOKUP(AW342,Foundation_Calc!$I$2:$J$8,2,FALSE),0),
IF(AX342="K",VLOOKUP(L342,Foundation_Calc!$K$41:$R$74,VLOOKUP(AW342,Foundation_Calc!$I$2:$J$8,2,FALSE),0),"")))</f>
        <v/>
      </c>
      <c r="AZ342" s="631" t="str">
        <f>IF(K342="","",
IF(AX342="PT",VLOOKUP(K342,Foundation_Calc!$K$4:$R$37,VLOOKUP(AW342,Foundation_Calc!$I$2:$J$8,2,FALSE),0),
IF(AX342="K",VLOOKUP(K342,Foundation_Calc!$K$41:$R$74,VLOOKUP(AW342,Foundation_Calc!$I$2:$J$8,2,FALSE),0),"")))</f>
        <v/>
      </c>
      <c r="BA342" s="632" t="str">
        <f t="shared" si="24"/>
        <v/>
      </c>
      <c r="BB342" s="632" t="str">
        <f t="shared" si="25"/>
        <v/>
      </c>
      <c r="BC342" s="632" t="str">
        <f t="shared" si="26"/>
        <v/>
      </c>
      <c r="BD342" s="633" t="str">
        <f>IF(AND(L342="",H342=""),"",
IF(H342="",Pole_Calc!A370,
IF(H342="MP",Pole_Calc!A371,
IF(H342="AnMP",Pole_Calc!A372,
IF(H342="A",Pole_Calc!A373,
IF(H342="S/A",Pole_Calc!A374,
IF(H342="A/S",Pole_Calc!A375,"Poner a mano")))))))</f>
        <v/>
      </c>
      <c r="BE342" s="448" t="s">
        <v>1726</v>
      </c>
      <c r="BF342" s="634"/>
      <c r="BG342" s="634"/>
      <c r="BH342" s="634"/>
      <c r="BI342" s="634"/>
    </row>
    <row r="343" spans="1:61" ht="16.2" customHeight="1">
      <c r="A343" s="12"/>
      <c r="B343" s="446"/>
      <c r="C343" s="89"/>
      <c r="D343" s="13"/>
      <c r="E343" s="14"/>
      <c r="F343" s="14"/>
      <c r="G343" s="15"/>
      <c r="H343" s="8"/>
      <c r="I343" s="8"/>
      <c r="J343" s="89"/>
      <c r="K343" s="8"/>
      <c r="L343" s="8"/>
      <c r="M343" s="8" t="str">
        <f>IF(L343="","",
IF(AX343="PT",VLOOKUP(L343,Foundation_Calc!$V$4:$X$37,VLOOKUP(AX343,Foundation_Calc!$I$10:$J$13,2,FALSE),0),
IF(AX343="K",VLOOKUP(L343,Foundation_Calc!$V$41:$X$74,VLOOKUP(AX343,Foundation_Calc!$I$10:$J$13,2,FALSE),0),"")))</f>
        <v/>
      </c>
      <c r="N343" s="8"/>
      <c r="O343" s="8"/>
      <c r="P343" s="8"/>
      <c r="Q343" s="14"/>
      <c r="R343" s="15"/>
      <c r="S343" s="15"/>
      <c r="T343" s="14"/>
      <c r="U343" s="14"/>
      <c r="V343" s="14"/>
      <c r="W343" s="18"/>
      <c r="X343" s="18"/>
      <c r="Y343" s="18"/>
      <c r="Z343" s="18"/>
      <c r="AA343" s="18"/>
      <c r="AB343" s="18"/>
      <c r="AC343" s="8" t="str">
        <f t="shared" si="23"/>
        <v/>
      </c>
      <c r="AD343" s="8"/>
      <c r="AE343" s="8"/>
      <c r="AF343" s="14"/>
      <c r="AG343" s="13"/>
      <c r="AH343" s="14"/>
      <c r="AI343" s="14"/>
      <c r="AJ343" s="8"/>
      <c r="AK343" s="8"/>
      <c r="AL343" s="8"/>
      <c r="AM343" s="8"/>
      <c r="AN343" s="631"/>
      <c r="AO343" s="18"/>
      <c r="AP343" s="18"/>
      <c r="AQ343" s="18"/>
      <c r="AR343" s="18"/>
      <c r="AS343" s="18"/>
      <c r="AU343" s="448"/>
      <c r="AV343" s="448"/>
      <c r="AW343" s="8" t="str">
        <f>IF(C343&gt;0,VLOOKUP(C343,Foundation_Calc!$A$2:$C$986,3,1),
IF(J343&gt;0,VLOOKUP(J343,Foundation_Calc!$A$2:$C$986,3,1),""))</f>
        <v/>
      </c>
      <c r="AX343" s="8" t="str">
        <f>IF(C343&gt;0,VLOOKUP(C343,Foundation_Calc!$E$2:$G$986,3,1),
IF(J343&gt;0,VLOOKUP(J343,Foundation_Calc!$E$2:$G$986,3,1),""))</f>
        <v/>
      </c>
      <c r="AY343" s="631" t="str">
        <f>IF(L343="","",
IF(AX343="PT",VLOOKUP(L343,Foundation_Calc!$K$4:$R$37,VLOOKUP(AW343,Foundation_Calc!$I$2:$J$8,2,FALSE),0),
IF(AX343="K",VLOOKUP(L343,Foundation_Calc!$K$41:$R$74,VLOOKUP(AW343,Foundation_Calc!$I$2:$J$8,2,FALSE),0),"")))</f>
        <v/>
      </c>
      <c r="AZ343" s="631" t="str">
        <f>IF(K343="","",
IF(AX343="PT",VLOOKUP(K343,Foundation_Calc!$K$4:$R$37,VLOOKUP(AW343,Foundation_Calc!$I$2:$J$8,2,FALSE),0),
IF(AX343="K",VLOOKUP(K343,Foundation_Calc!$K$41:$R$74,VLOOKUP(AW343,Foundation_Calc!$I$2:$J$8,2,FALSE),0),"")))</f>
        <v/>
      </c>
      <c r="BA343" s="632" t="str">
        <f t="shared" si="24"/>
        <v/>
      </c>
      <c r="BB343" s="632" t="str">
        <f t="shared" si="25"/>
        <v/>
      </c>
      <c r="BC343" s="632" t="str">
        <f t="shared" si="26"/>
        <v/>
      </c>
      <c r="BD343" s="633" t="str">
        <f>IF(AND(L343="",H343=""),"",
IF(H343="",Pole_Calc!A371,
IF(H343="MP",Pole_Calc!A372,
IF(H343="AnMP",Pole_Calc!A373,
IF(H343="A",Pole_Calc!A374,
IF(H343="S/A",Pole_Calc!A375,
IF(H343="A/S",Pole_Calc!A376,"Poner a mano")))))))</f>
        <v/>
      </c>
      <c r="BE343" s="448" t="s">
        <v>1726</v>
      </c>
      <c r="BF343" s="635"/>
      <c r="BG343" s="635"/>
      <c r="BH343" s="634"/>
      <c r="BI343" s="635"/>
    </row>
    <row r="344" spans="1:61" ht="16.2" customHeight="1">
      <c r="A344" s="12"/>
      <c r="B344" s="446"/>
      <c r="C344" s="89"/>
      <c r="D344" s="13"/>
      <c r="E344" s="14"/>
      <c r="F344" s="14"/>
      <c r="G344" s="15"/>
      <c r="H344" s="8"/>
      <c r="I344" s="8"/>
      <c r="J344" s="89"/>
      <c r="K344" s="8"/>
      <c r="L344" s="8"/>
      <c r="M344" s="8" t="str">
        <f>IF(L344="","",
IF(AX344="PT",VLOOKUP(L344,Foundation_Calc!$V$4:$X$37,VLOOKUP(AX344,Foundation_Calc!$I$10:$J$13,2,FALSE),0),
IF(AX344="K",VLOOKUP(L344,Foundation_Calc!$V$41:$X$74,VLOOKUP(AX344,Foundation_Calc!$I$10:$J$13,2,FALSE),0),"")))</f>
        <v/>
      </c>
      <c r="N344" s="8"/>
      <c r="O344" s="8"/>
      <c r="P344" s="8"/>
      <c r="Q344" s="14"/>
      <c r="R344" s="15"/>
      <c r="S344" s="15"/>
      <c r="T344" s="14"/>
      <c r="U344" s="14"/>
      <c r="V344" s="14"/>
      <c r="W344" s="18"/>
      <c r="X344" s="18"/>
      <c r="Y344" s="18"/>
      <c r="Z344" s="18"/>
      <c r="AA344" s="18"/>
      <c r="AB344" s="18"/>
      <c r="AC344" s="8" t="str">
        <f t="shared" si="23"/>
        <v/>
      </c>
      <c r="AD344" s="8"/>
      <c r="AE344" s="8"/>
      <c r="AF344" s="14"/>
      <c r="AG344" s="13"/>
      <c r="AH344" s="14"/>
      <c r="AI344" s="14"/>
      <c r="AJ344" s="8"/>
      <c r="AK344" s="8"/>
      <c r="AL344" s="8"/>
      <c r="AM344" s="8"/>
      <c r="AN344" s="631"/>
      <c r="AO344" s="18"/>
      <c r="AP344" s="18"/>
      <c r="AQ344" s="18"/>
      <c r="AR344" s="18"/>
      <c r="AS344" s="18"/>
      <c r="AU344" s="448"/>
      <c r="AV344" s="448"/>
      <c r="AW344" s="8" t="str">
        <f>IF(C344&gt;0,VLOOKUP(C344,Foundation_Calc!$A$2:$C$986,3,1),
IF(J344&gt;0,VLOOKUP(J344,Foundation_Calc!$A$2:$C$986,3,1),""))</f>
        <v/>
      </c>
      <c r="AX344" s="8" t="str">
        <f>IF(C344&gt;0,VLOOKUP(C344,Foundation_Calc!$E$2:$G$986,3,1),
IF(J344&gt;0,VLOOKUP(J344,Foundation_Calc!$E$2:$G$986,3,1),""))</f>
        <v/>
      </c>
      <c r="AY344" s="631" t="str">
        <f>IF(L344="","",
IF(AX344="PT",VLOOKUP(L344,Foundation_Calc!$K$4:$R$37,VLOOKUP(AW344,Foundation_Calc!$I$2:$J$8,2,FALSE),0),
IF(AX344="K",VLOOKUP(L344,Foundation_Calc!$K$41:$R$74,VLOOKUP(AW344,Foundation_Calc!$I$2:$J$8,2,FALSE),0),"")))</f>
        <v/>
      </c>
      <c r="AZ344" s="631" t="str">
        <f>IF(K344="","",
IF(AX344="PT",VLOOKUP(K344,Foundation_Calc!$K$4:$R$37,VLOOKUP(AW344,Foundation_Calc!$I$2:$J$8,2,FALSE),0),
IF(AX344="K",VLOOKUP(K344,Foundation_Calc!$K$41:$R$74,VLOOKUP(AW344,Foundation_Calc!$I$2:$J$8,2,FALSE),0),"")))</f>
        <v/>
      </c>
      <c r="BA344" s="632" t="str">
        <f t="shared" si="24"/>
        <v/>
      </c>
      <c r="BB344" s="632" t="str">
        <f t="shared" si="25"/>
        <v/>
      </c>
      <c r="BC344" s="632" t="str">
        <f t="shared" si="26"/>
        <v/>
      </c>
      <c r="BD344" s="633" t="str">
        <f>IF(AND(L344="",H344=""),"",
IF(H344="",Pole_Calc!A372,
IF(H344="MP",Pole_Calc!A373,
IF(H344="AnMP",Pole_Calc!A374,
IF(H344="A",Pole_Calc!A375,
IF(H344="S/A",Pole_Calc!A376,
IF(H344="A/S",Pole_Calc!A377,"Poner a mano")))))))</f>
        <v/>
      </c>
      <c r="BE344" s="448" t="s">
        <v>1726</v>
      </c>
      <c r="BF344" s="634"/>
      <c r="BG344" s="634"/>
      <c r="BH344" s="634"/>
      <c r="BI344" s="634"/>
    </row>
    <row r="345" spans="1:61" ht="16.2" customHeight="1">
      <c r="A345" s="12"/>
      <c r="B345" s="446"/>
      <c r="C345" s="89"/>
      <c r="D345" s="13"/>
      <c r="E345" s="14"/>
      <c r="F345" s="14"/>
      <c r="G345" s="15"/>
      <c r="H345" s="8"/>
      <c r="I345" s="8"/>
      <c r="J345" s="89"/>
      <c r="K345" s="8"/>
      <c r="L345" s="8"/>
      <c r="M345" s="8" t="str">
        <f>IF(L345="","",
IF(AX345="PT",VLOOKUP(L345,Foundation_Calc!$V$4:$X$37,VLOOKUP(AX345,Foundation_Calc!$I$10:$J$13,2,FALSE),0),
IF(AX345="K",VLOOKUP(L345,Foundation_Calc!$V$41:$X$74,VLOOKUP(AX345,Foundation_Calc!$I$10:$J$13,2,FALSE),0),"")))</f>
        <v/>
      </c>
      <c r="N345" s="8"/>
      <c r="O345" s="8"/>
      <c r="P345" s="8"/>
      <c r="Q345" s="14"/>
      <c r="R345" s="15"/>
      <c r="S345" s="15"/>
      <c r="T345" s="14"/>
      <c r="U345" s="14"/>
      <c r="V345" s="14"/>
      <c r="W345" s="18"/>
      <c r="X345" s="18"/>
      <c r="Y345" s="18"/>
      <c r="Z345" s="18"/>
      <c r="AA345" s="18"/>
      <c r="AB345" s="18"/>
      <c r="AC345" s="8" t="str">
        <f t="shared" si="23"/>
        <v/>
      </c>
      <c r="AD345" s="8"/>
      <c r="AE345" s="8"/>
      <c r="AF345" s="14"/>
      <c r="AG345" s="13"/>
      <c r="AH345" s="14"/>
      <c r="AI345" s="14"/>
      <c r="AJ345" s="8"/>
      <c r="AK345" s="8"/>
      <c r="AL345" s="8"/>
      <c r="AM345" s="8"/>
      <c r="AN345" s="631"/>
      <c r="AO345" s="18"/>
      <c r="AP345" s="18"/>
      <c r="AQ345" s="18"/>
      <c r="AR345" s="18"/>
      <c r="AS345" s="18"/>
      <c r="AU345" s="448"/>
      <c r="AV345" s="448"/>
      <c r="AW345" s="8" t="str">
        <f>IF(C345&gt;0,VLOOKUP(C345,Foundation_Calc!$A$2:$C$986,3,1),
IF(J345&gt;0,VLOOKUP(J345,Foundation_Calc!$A$2:$C$986,3,1),""))</f>
        <v/>
      </c>
      <c r="AX345" s="8" t="str">
        <f>IF(C345&gt;0,VLOOKUP(C345,Foundation_Calc!$E$2:$G$986,3,1),
IF(J345&gt;0,VLOOKUP(J345,Foundation_Calc!$E$2:$G$986,3,1),""))</f>
        <v/>
      </c>
      <c r="AY345" s="631" t="str">
        <f>IF(L345="","",
IF(AX345="PT",VLOOKUP(L345,Foundation_Calc!$K$4:$R$37,VLOOKUP(AW345,Foundation_Calc!$I$2:$J$8,2,FALSE),0),
IF(AX345="K",VLOOKUP(L345,Foundation_Calc!$K$41:$R$74,VLOOKUP(AW345,Foundation_Calc!$I$2:$J$8,2,FALSE),0),"")))</f>
        <v/>
      </c>
      <c r="AZ345" s="631" t="str">
        <f>IF(K345="","",
IF(AX345="PT",VLOOKUP(K345,Foundation_Calc!$K$4:$R$37,VLOOKUP(AW345,Foundation_Calc!$I$2:$J$8,2,FALSE),0),
IF(AX345="K",VLOOKUP(K345,Foundation_Calc!$K$41:$R$74,VLOOKUP(AW345,Foundation_Calc!$I$2:$J$8,2,FALSE),0),"")))</f>
        <v/>
      </c>
      <c r="BA345" s="632" t="str">
        <f t="shared" si="24"/>
        <v/>
      </c>
      <c r="BB345" s="632" t="str">
        <f t="shared" si="25"/>
        <v/>
      </c>
      <c r="BC345" s="632" t="str">
        <f t="shared" si="26"/>
        <v/>
      </c>
      <c r="BD345" s="633" t="str">
        <f>IF(AND(L345="",H345=""),"",
IF(H345="",Pole_Calc!A373,
IF(H345="MP",Pole_Calc!A374,
IF(H345="AnMP",Pole_Calc!A375,
IF(H345="A",Pole_Calc!A376,
IF(H345="S/A",Pole_Calc!A377,
IF(H345="A/S",Pole_Calc!A378,"Poner a mano")))))))</f>
        <v/>
      </c>
      <c r="BE345" s="448" t="s">
        <v>1726</v>
      </c>
      <c r="BF345" s="635"/>
      <c r="BG345" s="635"/>
      <c r="BH345" s="634"/>
      <c r="BI345" s="635"/>
    </row>
    <row r="346" spans="1:61" ht="16.2" customHeight="1">
      <c r="A346" s="12"/>
      <c r="B346" s="446"/>
      <c r="C346" s="89"/>
      <c r="D346" s="13"/>
      <c r="E346" s="14"/>
      <c r="F346" s="14"/>
      <c r="G346" s="15"/>
      <c r="H346" s="8"/>
      <c r="I346" s="8"/>
      <c r="J346" s="89"/>
      <c r="K346" s="8"/>
      <c r="L346" s="8"/>
      <c r="M346" s="8" t="str">
        <f>IF(L346="","",
IF(AX346="PT",VLOOKUP(L346,Foundation_Calc!$V$4:$X$37,VLOOKUP(AX346,Foundation_Calc!$I$10:$J$13,2,FALSE),0),
IF(AX346="K",VLOOKUP(L346,Foundation_Calc!$V$41:$X$74,VLOOKUP(AX346,Foundation_Calc!$I$10:$J$13,2,FALSE),0),"")))</f>
        <v/>
      </c>
      <c r="N346" s="8"/>
      <c r="O346" s="8"/>
      <c r="P346" s="8"/>
      <c r="Q346" s="14"/>
      <c r="R346" s="15"/>
      <c r="S346" s="15"/>
      <c r="T346" s="14"/>
      <c r="U346" s="14"/>
      <c r="V346" s="14"/>
      <c r="W346" s="18"/>
      <c r="X346" s="18"/>
      <c r="Y346" s="18"/>
      <c r="Z346" s="18"/>
      <c r="AA346" s="18"/>
      <c r="AB346" s="18"/>
      <c r="AC346" s="8" t="str">
        <f t="shared" si="23"/>
        <v/>
      </c>
      <c r="AD346" s="8"/>
      <c r="AE346" s="8"/>
      <c r="AF346" s="14"/>
      <c r="AG346" s="13"/>
      <c r="AH346" s="14"/>
      <c r="AI346" s="14"/>
      <c r="AJ346" s="8"/>
      <c r="AK346" s="8"/>
      <c r="AL346" s="8"/>
      <c r="AM346" s="8"/>
      <c r="AN346" s="631"/>
      <c r="AO346" s="18"/>
      <c r="AP346" s="18"/>
      <c r="AQ346" s="18"/>
      <c r="AR346" s="18"/>
      <c r="AS346" s="18"/>
      <c r="AU346" s="448"/>
      <c r="AV346" s="448"/>
      <c r="AW346" s="8" t="str">
        <f>IF(C346&gt;0,VLOOKUP(C346,Foundation_Calc!$A$2:$C$986,3,1),
IF(J346&gt;0,VLOOKUP(J346,Foundation_Calc!$A$2:$C$986,3,1),""))</f>
        <v/>
      </c>
      <c r="AX346" s="8" t="str">
        <f>IF(C346&gt;0,VLOOKUP(C346,Foundation_Calc!$E$2:$G$986,3,1),
IF(J346&gt;0,VLOOKUP(J346,Foundation_Calc!$E$2:$G$986,3,1),""))</f>
        <v/>
      </c>
      <c r="AY346" s="631" t="str">
        <f>IF(L346="","",
IF(AX346="PT",VLOOKUP(L346,Foundation_Calc!$K$4:$R$37,VLOOKUP(AW346,Foundation_Calc!$I$2:$J$8,2,FALSE),0),
IF(AX346="K",VLOOKUP(L346,Foundation_Calc!$K$41:$R$74,VLOOKUP(AW346,Foundation_Calc!$I$2:$J$8,2,FALSE),0),"")))</f>
        <v/>
      </c>
      <c r="AZ346" s="631" t="str">
        <f>IF(K346="","",
IF(AX346="PT",VLOOKUP(K346,Foundation_Calc!$K$4:$R$37,VLOOKUP(AW346,Foundation_Calc!$I$2:$J$8,2,FALSE),0),
IF(AX346="K",VLOOKUP(K346,Foundation_Calc!$K$41:$R$74,VLOOKUP(AW346,Foundation_Calc!$I$2:$J$8,2,FALSE),0),"")))</f>
        <v/>
      </c>
      <c r="BA346" s="632" t="str">
        <f t="shared" si="24"/>
        <v/>
      </c>
      <c r="BB346" s="632" t="str">
        <f t="shared" si="25"/>
        <v/>
      </c>
      <c r="BC346" s="632" t="str">
        <f t="shared" si="26"/>
        <v/>
      </c>
      <c r="BD346" s="633" t="str">
        <f>IF(AND(L346="",H346=""),"",
IF(H346="",Pole_Calc!A374,
IF(H346="MP",Pole_Calc!A375,
IF(H346="AnMP",Pole_Calc!A376,
IF(H346="A",Pole_Calc!A377,
IF(H346="S/A",Pole_Calc!A378,
IF(H346="A/S",Pole_Calc!A379,"Poner a mano")))))))</f>
        <v/>
      </c>
      <c r="BE346" s="448" t="s">
        <v>1726</v>
      </c>
      <c r="BF346" s="634"/>
      <c r="BG346" s="634"/>
      <c r="BH346" s="634"/>
      <c r="BI346" s="634"/>
    </row>
    <row r="347" spans="1:61" ht="16.2" customHeight="1">
      <c r="A347" s="12"/>
      <c r="B347" s="446"/>
      <c r="C347" s="89"/>
      <c r="D347" s="13"/>
      <c r="E347" s="14"/>
      <c r="F347" s="14"/>
      <c r="G347" s="15"/>
      <c r="H347" s="8"/>
      <c r="I347" s="8"/>
      <c r="J347" s="89"/>
      <c r="K347" s="8"/>
      <c r="L347" s="8"/>
      <c r="M347" s="8" t="str">
        <f>IF(L347="","",
IF(AX347="PT",VLOOKUP(L347,Foundation_Calc!$V$4:$X$37,VLOOKUP(AX347,Foundation_Calc!$I$10:$J$13,2,FALSE),0),
IF(AX347="K",VLOOKUP(L347,Foundation_Calc!$V$41:$X$74,VLOOKUP(AX347,Foundation_Calc!$I$10:$J$13,2,FALSE),0),"")))</f>
        <v/>
      </c>
      <c r="N347" s="8"/>
      <c r="O347" s="8"/>
      <c r="P347" s="8"/>
      <c r="Q347" s="14"/>
      <c r="R347" s="15"/>
      <c r="S347" s="15"/>
      <c r="T347" s="14"/>
      <c r="U347" s="14"/>
      <c r="V347" s="14"/>
      <c r="W347" s="18"/>
      <c r="X347" s="18"/>
      <c r="Y347" s="18"/>
      <c r="Z347" s="18"/>
      <c r="AA347" s="18"/>
      <c r="AB347" s="18"/>
      <c r="AC347" s="8" t="str">
        <f t="shared" si="23"/>
        <v/>
      </c>
      <c r="AD347" s="8"/>
      <c r="AE347" s="8"/>
      <c r="AF347" s="14"/>
      <c r="AG347" s="13"/>
      <c r="AH347" s="14"/>
      <c r="AI347" s="14"/>
      <c r="AJ347" s="8"/>
      <c r="AK347" s="8"/>
      <c r="AL347" s="8"/>
      <c r="AM347" s="8"/>
      <c r="AN347" s="631"/>
      <c r="AO347" s="18"/>
      <c r="AP347" s="18"/>
      <c r="AQ347" s="18"/>
      <c r="AR347" s="18"/>
      <c r="AS347" s="18"/>
      <c r="AU347" s="448"/>
      <c r="AV347" s="448"/>
      <c r="AW347" s="8" t="str">
        <f>IF(C347&gt;0,VLOOKUP(C347,Foundation_Calc!$A$2:$C$986,3,1),
IF(J347&gt;0,VLOOKUP(J347,Foundation_Calc!$A$2:$C$986,3,1),""))</f>
        <v/>
      </c>
      <c r="AX347" s="8" t="str">
        <f>IF(C347&gt;0,VLOOKUP(C347,Foundation_Calc!$E$2:$G$986,3,1),
IF(J347&gt;0,VLOOKUP(J347,Foundation_Calc!$E$2:$G$986,3,1),""))</f>
        <v/>
      </c>
      <c r="AY347" s="631" t="str">
        <f>IF(L347="","",
IF(AX347="PT",VLOOKUP(L347,Foundation_Calc!$K$4:$R$37,VLOOKUP(AW347,Foundation_Calc!$I$2:$J$8,2,FALSE),0),
IF(AX347="K",VLOOKUP(L347,Foundation_Calc!$K$41:$R$74,VLOOKUP(AW347,Foundation_Calc!$I$2:$J$8,2,FALSE),0),"")))</f>
        <v/>
      </c>
      <c r="AZ347" s="631" t="str">
        <f>IF(K347="","",
IF(AX347="PT",VLOOKUP(K347,Foundation_Calc!$K$4:$R$37,VLOOKUP(AW347,Foundation_Calc!$I$2:$J$8,2,FALSE),0),
IF(AX347="K",VLOOKUP(K347,Foundation_Calc!$K$41:$R$74,VLOOKUP(AW347,Foundation_Calc!$I$2:$J$8,2,FALSE),0),"")))</f>
        <v/>
      </c>
      <c r="BA347" s="632" t="str">
        <f t="shared" si="24"/>
        <v/>
      </c>
      <c r="BB347" s="632" t="str">
        <f t="shared" si="25"/>
        <v/>
      </c>
      <c r="BC347" s="632" t="str">
        <f t="shared" si="26"/>
        <v/>
      </c>
      <c r="BD347" s="633" t="str">
        <f>IF(AND(L347="",H347=""),"",
IF(H347="",Pole_Calc!A375,
IF(H347="MP",Pole_Calc!A376,
IF(H347="AnMP",Pole_Calc!A377,
IF(H347="A",Pole_Calc!A378,
IF(H347="S/A",Pole_Calc!A379,
IF(H347="A/S",Pole_Calc!A380,"Poner a mano")))))))</f>
        <v/>
      </c>
      <c r="BE347" s="448" t="s">
        <v>1726</v>
      </c>
      <c r="BF347" s="635"/>
      <c r="BG347" s="635"/>
      <c r="BH347" s="634"/>
      <c r="BI347" s="635"/>
    </row>
    <row r="348" spans="1:61" ht="16.2" customHeight="1">
      <c r="A348" s="12"/>
      <c r="B348" s="446"/>
      <c r="C348" s="89"/>
      <c r="D348" s="13"/>
      <c r="E348" s="14"/>
      <c r="F348" s="14"/>
      <c r="G348" s="15"/>
      <c r="H348" s="8"/>
      <c r="I348" s="8"/>
      <c r="J348" s="89"/>
      <c r="K348" s="8"/>
      <c r="L348" s="8"/>
      <c r="M348" s="8" t="str">
        <f>IF(L348="","",
IF(AX348="PT",VLOOKUP(L348,Foundation_Calc!$V$4:$X$37,VLOOKUP(AX348,Foundation_Calc!$I$10:$J$13,2,FALSE),0),
IF(AX348="K",VLOOKUP(L348,Foundation_Calc!$V$41:$X$74,VLOOKUP(AX348,Foundation_Calc!$I$10:$J$13,2,FALSE),0),"")))</f>
        <v/>
      </c>
      <c r="N348" s="8"/>
      <c r="O348" s="8"/>
      <c r="P348" s="8"/>
      <c r="Q348" s="14"/>
      <c r="R348" s="15"/>
      <c r="S348" s="15"/>
      <c r="T348" s="14"/>
      <c r="U348" s="14"/>
      <c r="V348" s="14"/>
      <c r="W348" s="18"/>
      <c r="X348" s="18"/>
      <c r="Y348" s="18"/>
      <c r="Z348" s="18"/>
      <c r="AA348" s="18"/>
      <c r="AB348" s="18"/>
      <c r="AC348" s="8" t="str">
        <f t="shared" si="23"/>
        <v/>
      </c>
      <c r="AD348" s="8"/>
      <c r="AE348" s="8"/>
      <c r="AF348" s="14"/>
      <c r="AG348" s="13"/>
      <c r="AH348" s="14"/>
      <c r="AI348" s="14"/>
      <c r="AJ348" s="8"/>
      <c r="AK348" s="8"/>
      <c r="AL348" s="8"/>
      <c r="AM348" s="8"/>
      <c r="AN348" s="631"/>
      <c r="AO348" s="18"/>
      <c r="AP348" s="18"/>
      <c r="AQ348" s="18"/>
      <c r="AR348" s="18"/>
      <c r="AS348" s="18"/>
      <c r="AU348" s="448"/>
      <c r="AV348" s="448"/>
      <c r="AW348" s="8" t="str">
        <f>IF(C348&gt;0,VLOOKUP(C348,Foundation_Calc!$A$2:$C$986,3,1),
IF(J348&gt;0,VLOOKUP(J348,Foundation_Calc!$A$2:$C$986,3,1),""))</f>
        <v/>
      </c>
      <c r="AX348" s="8" t="str">
        <f>IF(C348&gt;0,VLOOKUP(C348,Foundation_Calc!$E$2:$G$986,3,1),
IF(J348&gt;0,VLOOKUP(J348,Foundation_Calc!$E$2:$G$986,3,1),""))</f>
        <v/>
      </c>
      <c r="AY348" s="631" t="str">
        <f>IF(L348="","",
IF(AX348="PT",VLOOKUP(L348,Foundation_Calc!$K$4:$R$37,VLOOKUP(AW348,Foundation_Calc!$I$2:$J$8,2,FALSE),0),
IF(AX348="K",VLOOKUP(L348,Foundation_Calc!$K$41:$R$74,VLOOKUP(AW348,Foundation_Calc!$I$2:$J$8,2,FALSE),0),"")))</f>
        <v/>
      </c>
      <c r="AZ348" s="631" t="str">
        <f>IF(K348="","",
IF(AX348="PT",VLOOKUP(K348,Foundation_Calc!$K$4:$R$37,VLOOKUP(AW348,Foundation_Calc!$I$2:$J$8,2,FALSE),0),
IF(AX348="K",VLOOKUP(K348,Foundation_Calc!$K$41:$R$74,VLOOKUP(AW348,Foundation_Calc!$I$2:$J$8,2,FALSE),0),"")))</f>
        <v/>
      </c>
      <c r="BA348" s="632" t="str">
        <f t="shared" si="24"/>
        <v/>
      </c>
      <c r="BB348" s="632" t="str">
        <f t="shared" si="25"/>
        <v/>
      </c>
      <c r="BC348" s="632" t="str">
        <f t="shared" si="26"/>
        <v/>
      </c>
      <c r="BD348" s="633" t="str">
        <f>IF(AND(L348="",H348=""),"",
IF(H348="",Pole_Calc!A376,
IF(H348="MP",Pole_Calc!A377,
IF(H348="AnMP",Pole_Calc!A378,
IF(H348="A",Pole_Calc!A379,
IF(H348="S/A",Pole_Calc!A380,
IF(H348="A/S",Pole_Calc!A381,"Poner a mano")))))))</f>
        <v/>
      </c>
      <c r="BE348" s="448" t="s">
        <v>1726</v>
      </c>
      <c r="BF348" s="634"/>
      <c r="BG348" s="634"/>
      <c r="BH348" s="634"/>
      <c r="BI348" s="634"/>
    </row>
    <row r="349" spans="1:61" ht="16.2" customHeight="1">
      <c r="A349" s="12"/>
      <c r="B349" s="446"/>
      <c r="C349" s="89"/>
      <c r="D349" s="13"/>
      <c r="E349" s="14"/>
      <c r="F349" s="14"/>
      <c r="G349" s="15"/>
      <c r="H349" s="8"/>
      <c r="I349" s="8"/>
      <c r="J349" s="89"/>
      <c r="K349" s="8"/>
      <c r="L349" s="8"/>
      <c r="M349" s="8" t="str">
        <f>IF(L349="","",
IF(AX349="PT",VLOOKUP(L349,Foundation_Calc!$V$4:$X$37,VLOOKUP(AX349,Foundation_Calc!$I$10:$J$13,2,FALSE),0),
IF(AX349="K",VLOOKUP(L349,Foundation_Calc!$V$41:$X$74,VLOOKUP(AX349,Foundation_Calc!$I$10:$J$13,2,FALSE),0),"")))</f>
        <v/>
      </c>
      <c r="N349" s="8"/>
      <c r="O349" s="8"/>
      <c r="P349" s="8"/>
      <c r="Q349" s="14"/>
      <c r="R349" s="15"/>
      <c r="S349" s="15"/>
      <c r="T349" s="14"/>
      <c r="U349" s="14"/>
      <c r="V349" s="14"/>
      <c r="W349" s="18"/>
      <c r="X349" s="18"/>
      <c r="Y349" s="18"/>
      <c r="Z349" s="18"/>
      <c r="AA349" s="18"/>
      <c r="AB349" s="18"/>
      <c r="AC349" s="8" t="str">
        <f t="shared" si="23"/>
        <v/>
      </c>
      <c r="AD349" s="8"/>
      <c r="AE349" s="8"/>
      <c r="AF349" s="14"/>
      <c r="AG349" s="13"/>
      <c r="AH349" s="14"/>
      <c r="AI349" s="14"/>
      <c r="AJ349" s="8"/>
      <c r="AK349" s="8"/>
      <c r="AL349" s="8"/>
      <c r="AM349" s="8"/>
      <c r="AN349" s="631"/>
      <c r="AO349" s="18"/>
      <c r="AP349" s="18"/>
      <c r="AQ349" s="18"/>
      <c r="AR349" s="18"/>
      <c r="AS349" s="18"/>
      <c r="AU349" s="448"/>
      <c r="AV349" s="448"/>
      <c r="AW349" s="8" t="str">
        <f>IF(C349&gt;0,VLOOKUP(C349,Foundation_Calc!$A$2:$C$986,3,1),
IF(J349&gt;0,VLOOKUP(J349,Foundation_Calc!$A$2:$C$986,3,1),""))</f>
        <v/>
      </c>
      <c r="AX349" s="8" t="str">
        <f>IF(C349&gt;0,VLOOKUP(C349,Foundation_Calc!$E$2:$G$986,3,1),
IF(J349&gt;0,VLOOKUP(J349,Foundation_Calc!$E$2:$G$986,3,1),""))</f>
        <v/>
      </c>
      <c r="AY349" s="631" t="str">
        <f>IF(L349="","",
IF(AX349="PT",VLOOKUP(L349,Foundation_Calc!$K$4:$R$37,VLOOKUP(AW349,Foundation_Calc!$I$2:$J$8,2,FALSE),0),
IF(AX349="K",VLOOKUP(L349,Foundation_Calc!$K$41:$R$74,VLOOKUP(AW349,Foundation_Calc!$I$2:$J$8,2,FALSE),0),"")))</f>
        <v/>
      </c>
      <c r="AZ349" s="631" t="str">
        <f>IF(K349="","",
IF(AX349="PT",VLOOKUP(K349,Foundation_Calc!$K$4:$R$37,VLOOKUP(AW349,Foundation_Calc!$I$2:$J$8,2,FALSE),0),
IF(AX349="K",VLOOKUP(K349,Foundation_Calc!$K$41:$R$74,VLOOKUP(AW349,Foundation_Calc!$I$2:$J$8,2,FALSE),0),"")))</f>
        <v/>
      </c>
      <c r="BA349" s="632" t="str">
        <f t="shared" si="24"/>
        <v/>
      </c>
      <c r="BB349" s="632" t="str">
        <f t="shared" si="25"/>
        <v/>
      </c>
      <c r="BC349" s="632" t="str">
        <f t="shared" si="26"/>
        <v/>
      </c>
      <c r="BD349" s="633" t="str">
        <f>IF(AND(L349="",H349=""),"",
IF(H349="",Pole_Calc!A377,
IF(H349="MP",Pole_Calc!A378,
IF(H349="AnMP",Pole_Calc!A379,
IF(H349="A",Pole_Calc!A380,
IF(H349="S/A",Pole_Calc!A381,
IF(H349="A/S",Pole_Calc!A382,"Poner a mano")))))))</f>
        <v/>
      </c>
      <c r="BE349" s="448" t="s">
        <v>1726</v>
      </c>
      <c r="BF349" s="635"/>
      <c r="BG349" s="635"/>
      <c r="BH349" s="634"/>
      <c r="BI349" s="635"/>
    </row>
    <row r="350" spans="1:61" ht="16.2" customHeight="1">
      <c r="A350" s="12"/>
      <c r="B350" s="446"/>
      <c r="C350" s="89"/>
      <c r="D350" s="13"/>
      <c r="E350" s="14"/>
      <c r="F350" s="14"/>
      <c r="G350" s="15"/>
      <c r="H350" s="8"/>
      <c r="I350" s="8"/>
      <c r="J350" s="89"/>
      <c r="K350" s="8"/>
      <c r="L350" s="8"/>
      <c r="M350" s="8" t="str">
        <f>IF(L350="","",
IF(AX350="PT",VLOOKUP(L350,Foundation_Calc!$V$4:$X$37,VLOOKUP(AX350,Foundation_Calc!$I$10:$J$13,2,FALSE),0),
IF(AX350="K",VLOOKUP(L350,Foundation_Calc!$V$41:$X$74,VLOOKUP(AX350,Foundation_Calc!$I$10:$J$13,2,FALSE),0),"")))</f>
        <v/>
      </c>
      <c r="N350" s="8"/>
      <c r="O350" s="8"/>
      <c r="P350" s="8"/>
      <c r="Q350" s="14"/>
      <c r="R350" s="15"/>
      <c r="S350" s="15"/>
      <c r="T350" s="14"/>
      <c r="U350" s="14"/>
      <c r="V350" s="14"/>
      <c r="W350" s="18"/>
      <c r="X350" s="18"/>
      <c r="Y350" s="18"/>
      <c r="Z350" s="18"/>
      <c r="AA350" s="18"/>
      <c r="AB350" s="18"/>
      <c r="AC350" s="8" t="str">
        <f t="shared" si="23"/>
        <v/>
      </c>
      <c r="AD350" s="8"/>
      <c r="AE350" s="8"/>
      <c r="AF350" s="14"/>
      <c r="AG350" s="13"/>
      <c r="AH350" s="14"/>
      <c r="AI350" s="14"/>
      <c r="AJ350" s="8"/>
      <c r="AK350" s="8"/>
      <c r="AL350" s="8"/>
      <c r="AM350" s="8"/>
      <c r="AN350" s="631"/>
      <c r="AO350" s="18"/>
      <c r="AP350" s="18"/>
      <c r="AQ350" s="18"/>
      <c r="AR350" s="18"/>
      <c r="AS350" s="18"/>
      <c r="AU350" s="448"/>
      <c r="AV350" s="448"/>
      <c r="AW350" s="8" t="str">
        <f>IF(C350&gt;0,VLOOKUP(C350,Foundation_Calc!$A$2:$C$986,3,1),
IF(J350&gt;0,VLOOKUP(J350,Foundation_Calc!$A$2:$C$986,3,1),""))</f>
        <v/>
      </c>
      <c r="AX350" s="8" t="str">
        <f>IF(C350&gt;0,VLOOKUP(C350,Foundation_Calc!$E$2:$G$986,3,1),
IF(J350&gt;0,VLOOKUP(J350,Foundation_Calc!$E$2:$G$986,3,1),""))</f>
        <v/>
      </c>
      <c r="AY350" s="631" t="str">
        <f>IF(L350="","",
IF(AX350="PT",VLOOKUP(L350,Foundation_Calc!$K$4:$R$37,VLOOKUP(AW350,Foundation_Calc!$I$2:$J$8,2,FALSE),0),
IF(AX350="K",VLOOKUP(L350,Foundation_Calc!$K$41:$R$74,VLOOKUP(AW350,Foundation_Calc!$I$2:$J$8,2,FALSE),0),"")))</f>
        <v/>
      </c>
      <c r="AZ350" s="631" t="str">
        <f>IF(K350="","",
IF(AX350="PT",VLOOKUP(K350,Foundation_Calc!$K$4:$R$37,VLOOKUP(AW350,Foundation_Calc!$I$2:$J$8,2,FALSE),0),
IF(AX350="K",VLOOKUP(K350,Foundation_Calc!$K$41:$R$74,VLOOKUP(AW350,Foundation_Calc!$I$2:$J$8,2,FALSE),0),"")))</f>
        <v/>
      </c>
      <c r="BA350" s="632" t="str">
        <f t="shared" si="24"/>
        <v/>
      </c>
      <c r="BB350" s="632" t="str">
        <f t="shared" si="25"/>
        <v/>
      </c>
      <c r="BC350" s="632" t="str">
        <f t="shared" si="26"/>
        <v/>
      </c>
      <c r="BD350" s="633" t="str">
        <f>IF(AND(L350="",H350=""),"",
IF(H350="",Pole_Calc!A378,
IF(H350="MP",Pole_Calc!A379,
IF(H350="AnMP",Pole_Calc!A380,
IF(H350="A",Pole_Calc!A381,
IF(H350="S/A",Pole_Calc!A382,
IF(H350="A/S",Pole_Calc!A383,"Poner a mano")))))))</f>
        <v/>
      </c>
      <c r="BE350" s="448" t="s">
        <v>1726</v>
      </c>
      <c r="BF350" s="634"/>
      <c r="BG350" s="634"/>
      <c r="BH350" s="634"/>
      <c r="BI350" s="634"/>
    </row>
    <row r="351" spans="1:61" ht="16.2" customHeight="1">
      <c r="A351" s="12"/>
      <c r="B351" s="446"/>
      <c r="C351" s="89"/>
      <c r="D351" s="13"/>
      <c r="E351" s="14"/>
      <c r="F351" s="14"/>
      <c r="G351" s="15"/>
      <c r="H351" s="8"/>
      <c r="I351" s="8"/>
      <c r="J351" s="89"/>
      <c r="K351" s="8"/>
      <c r="L351" s="8"/>
      <c r="M351" s="8" t="str">
        <f>IF(L351="","",
IF(AX351="PT",VLOOKUP(L351,Foundation_Calc!$V$4:$X$37,VLOOKUP(AX351,Foundation_Calc!$I$10:$J$13,2,FALSE),0),
IF(AX351="K",VLOOKUP(L351,Foundation_Calc!$V$41:$X$74,VLOOKUP(AX351,Foundation_Calc!$I$10:$J$13,2,FALSE),0),"")))</f>
        <v/>
      </c>
      <c r="N351" s="8"/>
      <c r="O351" s="8"/>
      <c r="P351" s="8"/>
      <c r="Q351" s="14"/>
      <c r="R351" s="15"/>
      <c r="S351" s="15"/>
      <c r="T351" s="14"/>
      <c r="U351" s="14"/>
      <c r="V351" s="14"/>
      <c r="W351" s="18"/>
      <c r="X351" s="18"/>
      <c r="Y351" s="18"/>
      <c r="Z351" s="18"/>
      <c r="AA351" s="18"/>
      <c r="AB351" s="18"/>
      <c r="AC351" s="8" t="str">
        <f t="shared" si="23"/>
        <v/>
      </c>
      <c r="AD351" s="8"/>
      <c r="AE351" s="8"/>
      <c r="AF351" s="14"/>
      <c r="AG351" s="13"/>
      <c r="AH351" s="14"/>
      <c r="AI351" s="14"/>
      <c r="AJ351" s="8"/>
      <c r="AK351" s="8"/>
      <c r="AL351" s="8"/>
      <c r="AM351" s="8"/>
      <c r="AN351" s="631"/>
      <c r="AO351" s="18"/>
      <c r="AP351" s="18"/>
      <c r="AQ351" s="18"/>
      <c r="AR351" s="18"/>
      <c r="AS351" s="18"/>
      <c r="AU351" s="448"/>
      <c r="AV351" s="448"/>
      <c r="AW351" s="8" t="str">
        <f>IF(C351&gt;0,VLOOKUP(C351,Foundation_Calc!$A$2:$C$986,3,1),
IF(J351&gt;0,VLOOKUP(J351,Foundation_Calc!$A$2:$C$986,3,1),""))</f>
        <v/>
      </c>
      <c r="AX351" s="8" t="str">
        <f>IF(C351&gt;0,VLOOKUP(C351,Foundation_Calc!$E$2:$G$986,3,1),
IF(J351&gt;0,VLOOKUP(J351,Foundation_Calc!$E$2:$G$986,3,1),""))</f>
        <v/>
      </c>
      <c r="AY351" s="631" t="str">
        <f>IF(L351="","",
IF(AX351="PT",VLOOKUP(L351,Foundation_Calc!$K$4:$R$37,VLOOKUP(AW351,Foundation_Calc!$I$2:$J$8,2,FALSE),0),
IF(AX351="K",VLOOKUP(L351,Foundation_Calc!$K$41:$R$74,VLOOKUP(AW351,Foundation_Calc!$I$2:$J$8,2,FALSE),0),"")))</f>
        <v/>
      </c>
      <c r="AZ351" s="631" t="str">
        <f>IF(K351="","",
IF(AX351="PT",VLOOKUP(K351,Foundation_Calc!$K$4:$R$37,VLOOKUP(AW351,Foundation_Calc!$I$2:$J$8,2,FALSE),0),
IF(AX351="K",VLOOKUP(K351,Foundation_Calc!$K$41:$R$74,VLOOKUP(AW351,Foundation_Calc!$I$2:$J$8,2,FALSE),0),"")))</f>
        <v/>
      </c>
      <c r="BA351" s="632" t="str">
        <f t="shared" si="24"/>
        <v/>
      </c>
      <c r="BB351" s="632" t="str">
        <f t="shared" si="25"/>
        <v/>
      </c>
      <c r="BC351" s="632" t="str">
        <f t="shared" si="26"/>
        <v/>
      </c>
      <c r="BD351" s="633" t="str">
        <f>IF(AND(L351="",H351=""),"",
IF(H351="",Pole_Calc!A379,
IF(H351="MP",Pole_Calc!A380,
IF(H351="AnMP",Pole_Calc!A381,
IF(H351="A",Pole_Calc!A382,
IF(H351="S/A",Pole_Calc!A383,
IF(H351="A/S",Pole_Calc!A384,"Poner a mano")))))))</f>
        <v/>
      </c>
      <c r="BE351" s="448" t="s">
        <v>1726</v>
      </c>
      <c r="BF351" s="635"/>
      <c r="BG351" s="635"/>
      <c r="BH351" s="634"/>
      <c r="BI351" s="635"/>
    </row>
    <row r="352" spans="1:61" ht="16.2" customHeight="1">
      <c r="A352" s="12"/>
      <c r="B352" s="446"/>
      <c r="C352" s="89"/>
      <c r="D352" s="13"/>
      <c r="E352" s="14"/>
      <c r="F352" s="14"/>
      <c r="G352" s="15"/>
      <c r="H352" s="8"/>
      <c r="I352" s="8"/>
      <c r="J352" s="89"/>
      <c r="K352" s="8"/>
      <c r="L352" s="8"/>
      <c r="M352" s="8" t="str">
        <f>IF(L352="","",
IF(AX352="PT",VLOOKUP(L352,Foundation_Calc!$V$4:$X$37,VLOOKUP(AX352,Foundation_Calc!$I$10:$J$13,2,FALSE),0),
IF(AX352="K",VLOOKUP(L352,Foundation_Calc!$V$41:$X$74,VLOOKUP(AX352,Foundation_Calc!$I$10:$J$13,2,FALSE),0),"")))</f>
        <v/>
      </c>
      <c r="N352" s="8"/>
      <c r="O352" s="8"/>
      <c r="P352" s="8"/>
      <c r="Q352" s="14"/>
      <c r="R352" s="15"/>
      <c r="S352" s="15"/>
      <c r="T352" s="14"/>
      <c r="U352" s="14"/>
      <c r="V352" s="14"/>
      <c r="W352" s="18"/>
      <c r="X352" s="18"/>
      <c r="Y352" s="18"/>
      <c r="Z352" s="18"/>
      <c r="AA352" s="18"/>
      <c r="AB352" s="18"/>
      <c r="AC352" s="8" t="str">
        <f t="shared" si="23"/>
        <v/>
      </c>
      <c r="AD352" s="8"/>
      <c r="AE352" s="8"/>
      <c r="AF352" s="14"/>
      <c r="AG352" s="13"/>
      <c r="AH352" s="14"/>
      <c r="AI352" s="14"/>
      <c r="AJ352" s="8"/>
      <c r="AK352" s="8"/>
      <c r="AL352" s="8"/>
      <c r="AM352" s="8"/>
      <c r="AN352" s="631"/>
      <c r="AO352" s="18"/>
      <c r="AP352" s="18"/>
      <c r="AQ352" s="18"/>
      <c r="AR352" s="18"/>
      <c r="AS352" s="18"/>
      <c r="AU352" s="448"/>
      <c r="AV352" s="448"/>
      <c r="AW352" s="8" t="str">
        <f>IF(C352&gt;0,VLOOKUP(C352,Foundation_Calc!$A$2:$C$986,3,1),
IF(J352&gt;0,VLOOKUP(J352,Foundation_Calc!$A$2:$C$986,3,1),""))</f>
        <v/>
      </c>
      <c r="AX352" s="8" t="str">
        <f>IF(C352&gt;0,VLOOKUP(C352,Foundation_Calc!$E$2:$G$986,3,1),
IF(J352&gt;0,VLOOKUP(J352,Foundation_Calc!$E$2:$G$986,3,1),""))</f>
        <v/>
      </c>
      <c r="AY352" s="631" t="str">
        <f>IF(L352="","",
IF(AX352="PT",VLOOKUP(L352,Foundation_Calc!$K$4:$R$37,VLOOKUP(AW352,Foundation_Calc!$I$2:$J$8,2,FALSE),0),
IF(AX352="K",VLOOKUP(L352,Foundation_Calc!$K$41:$R$74,VLOOKUP(AW352,Foundation_Calc!$I$2:$J$8,2,FALSE),0),"")))</f>
        <v/>
      </c>
      <c r="AZ352" s="631" t="str">
        <f>IF(K352="","",
IF(AX352="PT",VLOOKUP(K352,Foundation_Calc!$K$4:$R$37,VLOOKUP(AW352,Foundation_Calc!$I$2:$J$8,2,FALSE),0),
IF(AX352="K",VLOOKUP(K352,Foundation_Calc!$K$41:$R$74,VLOOKUP(AW352,Foundation_Calc!$I$2:$J$8,2,FALSE),0),"")))</f>
        <v/>
      </c>
      <c r="BA352" s="632" t="str">
        <f t="shared" si="24"/>
        <v/>
      </c>
      <c r="BB352" s="632" t="str">
        <f t="shared" si="25"/>
        <v/>
      </c>
      <c r="BC352" s="632" t="str">
        <f t="shared" si="26"/>
        <v/>
      </c>
      <c r="BD352" s="633" t="str">
        <f>IF(AND(L352="",H352=""),"",
IF(H352="",Pole_Calc!A380,
IF(H352="MP",Pole_Calc!A381,
IF(H352="AnMP",Pole_Calc!A382,
IF(H352="A",Pole_Calc!A383,
IF(H352="S/A",Pole_Calc!A384,
IF(H352="A/S",Pole_Calc!A385,"Poner a mano")))))))</f>
        <v/>
      </c>
      <c r="BE352" s="448" t="s">
        <v>1726</v>
      </c>
      <c r="BF352" s="634"/>
      <c r="BG352" s="634"/>
      <c r="BH352" s="634"/>
      <c r="BI352" s="634"/>
    </row>
    <row r="353" spans="1:61" ht="16.2" customHeight="1">
      <c r="A353" s="12"/>
      <c r="B353" s="446"/>
      <c r="C353" s="89"/>
      <c r="D353" s="13"/>
      <c r="E353" s="14"/>
      <c r="F353" s="14"/>
      <c r="G353" s="15"/>
      <c r="H353" s="8"/>
      <c r="I353" s="8"/>
      <c r="J353" s="89"/>
      <c r="K353" s="8"/>
      <c r="L353" s="8"/>
      <c r="M353" s="8" t="str">
        <f>IF(L353="","",
IF(AX353="PT",VLOOKUP(L353,Foundation_Calc!$V$4:$X$37,VLOOKUP(AX353,Foundation_Calc!$I$10:$J$13,2,FALSE),0),
IF(AX353="K",VLOOKUP(L353,Foundation_Calc!$V$41:$X$74,VLOOKUP(AX353,Foundation_Calc!$I$10:$J$13,2,FALSE),0),"")))</f>
        <v/>
      </c>
      <c r="N353" s="8"/>
      <c r="O353" s="8"/>
      <c r="P353" s="8"/>
      <c r="Q353" s="14"/>
      <c r="R353" s="15"/>
      <c r="S353" s="15"/>
      <c r="T353" s="14"/>
      <c r="U353" s="14"/>
      <c r="V353" s="14"/>
      <c r="W353" s="18"/>
      <c r="X353" s="18"/>
      <c r="Y353" s="18"/>
      <c r="Z353" s="18"/>
      <c r="AA353" s="18"/>
      <c r="AB353" s="18"/>
      <c r="AC353" s="8" t="str">
        <f t="shared" si="23"/>
        <v/>
      </c>
      <c r="AD353" s="8"/>
      <c r="AE353" s="8"/>
      <c r="AF353" s="14"/>
      <c r="AG353" s="13"/>
      <c r="AH353" s="14"/>
      <c r="AI353" s="14"/>
      <c r="AJ353" s="8"/>
      <c r="AK353" s="8"/>
      <c r="AL353" s="8"/>
      <c r="AM353" s="8"/>
      <c r="AN353" s="631"/>
      <c r="AO353" s="18"/>
      <c r="AP353" s="18"/>
      <c r="AQ353" s="18"/>
      <c r="AR353" s="18"/>
      <c r="AS353" s="18"/>
      <c r="AU353" s="448"/>
      <c r="AV353" s="448"/>
      <c r="AW353" s="8" t="str">
        <f>IF(C353&gt;0,VLOOKUP(C353,Foundation_Calc!$A$2:$C$986,3,1),
IF(J353&gt;0,VLOOKUP(J353,Foundation_Calc!$A$2:$C$986,3,1),""))</f>
        <v/>
      </c>
      <c r="AX353" s="8" t="str">
        <f>IF(C353&gt;0,VLOOKUP(C353,Foundation_Calc!$E$2:$G$986,3,1),
IF(J353&gt;0,VLOOKUP(J353,Foundation_Calc!$E$2:$G$986,3,1),""))</f>
        <v/>
      </c>
      <c r="AY353" s="631" t="str">
        <f>IF(L353="","",
IF(AX353="PT",VLOOKUP(L353,Foundation_Calc!$K$4:$R$37,VLOOKUP(AW353,Foundation_Calc!$I$2:$J$8,2,FALSE),0),
IF(AX353="K",VLOOKUP(L353,Foundation_Calc!$K$41:$R$74,VLOOKUP(AW353,Foundation_Calc!$I$2:$J$8,2,FALSE),0),"")))</f>
        <v/>
      </c>
      <c r="AZ353" s="631" t="str">
        <f>IF(K353="","",
IF(AX353="PT",VLOOKUP(K353,Foundation_Calc!$K$4:$R$37,VLOOKUP(AW353,Foundation_Calc!$I$2:$J$8,2,FALSE),0),
IF(AX353="K",VLOOKUP(K353,Foundation_Calc!$K$41:$R$74,VLOOKUP(AW353,Foundation_Calc!$I$2:$J$8,2,FALSE),0),"")))</f>
        <v/>
      </c>
      <c r="BA353" s="632" t="str">
        <f t="shared" si="24"/>
        <v/>
      </c>
      <c r="BB353" s="632" t="str">
        <f t="shared" si="25"/>
        <v/>
      </c>
      <c r="BC353" s="632" t="str">
        <f t="shared" si="26"/>
        <v/>
      </c>
      <c r="BD353" s="633" t="str">
        <f>IF(AND(L353="",H353=""),"",
IF(H353="",Pole_Calc!A381,
IF(H353="MP",Pole_Calc!A382,
IF(H353="AnMP",Pole_Calc!A383,
IF(H353="A",Pole_Calc!A384,
IF(H353="S/A",Pole_Calc!A385,
IF(H353="A/S",Pole_Calc!A386,"Poner a mano")))))))</f>
        <v/>
      </c>
      <c r="BE353" s="448" t="s">
        <v>1726</v>
      </c>
      <c r="BF353" s="635"/>
      <c r="BG353" s="635"/>
      <c r="BH353" s="634"/>
      <c r="BI353" s="635"/>
    </row>
    <row r="354" spans="1:61" ht="16.2" customHeight="1">
      <c r="A354" s="12"/>
      <c r="B354" s="446"/>
      <c r="C354" s="89"/>
      <c r="D354" s="13"/>
      <c r="E354" s="14"/>
      <c r="F354" s="14"/>
      <c r="G354" s="15"/>
      <c r="H354" s="8"/>
      <c r="I354" s="8"/>
      <c r="J354" s="89"/>
      <c r="K354" s="8"/>
      <c r="L354" s="8"/>
      <c r="M354" s="8" t="str">
        <f>IF(L354="","",
IF(AX354="PT",VLOOKUP(L354,Foundation_Calc!$V$4:$X$37,VLOOKUP(AX354,Foundation_Calc!$I$10:$J$13,2,FALSE),0),
IF(AX354="K",VLOOKUP(L354,Foundation_Calc!$V$41:$X$74,VLOOKUP(AX354,Foundation_Calc!$I$10:$J$13,2,FALSE),0),"")))</f>
        <v/>
      </c>
      <c r="N354" s="8"/>
      <c r="O354" s="8"/>
      <c r="P354" s="8"/>
      <c r="Q354" s="14"/>
      <c r="R354" s="15"/>
      <c r="S354" s="15"/>
      <c r="T354" s="14"/>
      <c r="U354" s="14"/>
      <c r="V354" s="14"/>
      <c r="W354" s="18"/>
      <c r="X354" s="18"/>
      <c r="Y354" s="18"/>
      <c r="Z354" s="18"/>
      <c r="AA354" s="18"/>
      <c r="AB354" s="18"/>
      <c r="AC354" s="8" t="str">
        <f t="shared" si="23"/>
        <v/>
      </c>
      <c r="AD354" s="8"/>
      <c r="AE354" s="8"/>
      <c r="AF354" s="14"/>
      <c r="AG354" s="13"/>
      <c r="AH354" s="14"/>
      <c r="AI354" s="14"/>
      <c r="AJ354" s="8"/>
      <c r="AK354" s="8"/>
      <c r="AL354" s="8"/>
      <c r="AM354" s="8"/>
      <c r="AN354" s="631"/>
      <c r="AO354" s="18"/>
      <c r="AP354" s="18"/>
      <c r="AQ354" s="18"/>
      <c r="AR354" s="18"/>
      <c r="AS354" s="18"/>
      <c r="AU354" s="448"/>
      <c r="AV354" s="448"/>
      <c r="AW354" s="8" t="str">
        <f>IF(C354&gt;0,VLOOKUP(C354,Foundation_Calc!$A$2:$C$986,3,1),
IF(J354&gt;0,VLOOKUP(J354,Foundation_Calc!$A$2:$C$986,3,1),""))</f>
        <v/>
      </c>
      <c r="AX354" s="8" t="str">
        <f>IF(C354&gt;0,VLOOKUP(C354,Foundation_Calc!$E$2:$G$986,3,1),
IF(J354&gt;0,VLOOKUP(J354,Foundation_Calc!$E$2:$G$986,3,1),""))</f>
        <v/>
      </c>
      <c r="AY354" s="631" t="str">
        <f>IF(L354="","",
IF(AX354="PT",VLOOKUP(L354,Foundation_Calc!$K$4:$R$37,VLOOKUP(AW354,Foundation_Calc!$I$2:$J$8,2,FALSE),0),
IF(AX354="K",VLOOKUP(L354,Foundation_Calc!$K$41:$R$74,VLOOKUP(AW354,Foundation_Calc!$I$2:$J$8,2,FALSE),0),"")))</f>
        <v/>
      </c>
      <c r="AZ354" s="631" t="str">
        <f>IF(K354="","",
IF(AX354="PT",VLOOKUP(K354,Foundation_Calc!$K$4:$R$37,VLOOKUP(AW354,Foundation_Calc!$I$2:$J$8,2,FALSE),0),
IF(AX354="K",VLOOKUP(K354,Foundation_Calc!$K$41:$R$74,VLOOKUP(AW354,Foundation_Calc!$I$2:$J$8,2,FALSE),0),"")))</f>
        <v/>
      </c>
      <c r="BA354" s="632" t="str">
        <f t="shared" si="24"/>
        <v/>
      </c>
      <c r="BB354" s="632" t="str">
        <f t="shared" si="25"/>
        <v/>
      </c>
      <c r="BC354" s="632" t="str">
        <f t="shared" si="26"/>
        <v/>
      </c>
      <c r="BD354" s="633" t="str">
        <f>IF(AND(L354="",H354=""),"",
IF(H354="",Pole_Calc!A382,
IF(H354="MP",Pole_Calc!A383,
IF(H354="AnMP",Pole_Calc!A384,
IF(H354="A",Pole_Calc!A385,
IF(H354="S/A",Pole_Calc!A386,
IF(H354="A/S",Pole_Calc!A387,"Poner a mano")))))))</f>
        <v/>
      </c>
      <c r="BE354" s="448" t="s">
        <v>1726</v>
      </c>
      <c r="BF354" s="634"/>
      <c r="BG354" s="634"/>
      <c r="BH354" s="634"/>
      <c r="BI354" s="634"/>
    </row>
    <row r="355" spans="1:61" ht="16.2" customHeight="1">
      <c r="A355" s="12"/>
      <c r="B355" s="446"/>
      <c r="C355" s="89"/>
      <c r="D355" s="13"/>
      <c r="E355" s="14"/>
      <c r="F355" s="14"/>
      <c r="G355" s="15"/>
      <c r="H355" s="8"/>
      <c r="I355" s="8"/>
      <c r="J355" s="89"/>
      <c r="K355" s="8"/>
      <c r="L355" s="8"/>
      <c r="M355" s="8" t="str">
        <f>IF(L355="","",
IF(AX355="PT",VLOOKUP(L355,Foundation_Calc!$V$4:$X$37,VLOOKUP(AX355,Foundation_Calc!$I$10:$J$13,2,FALSE),0),
IF(AX355="K",VLOOKUP(L355,Foundation_Calc!$V$41:$X$74,VLOOKUP(AX355,Foundation_Calc!$I$10:$J$13,2,FALSE),0),"")))</f>
        <v/>
      </c>
      <c r="N355" s="8"/>
      <c r="O355" s="8"/>
      <c r="P355" s="8"/>
      <c r="Q355" s="14"/>
      <c r="R355" s="15"/>
      <c r="S355" s="15"/>
      <c r="T355" s="14"/>
      <c r="U355" s="14"/>
      <c r="V355" s="14"/>
      <c r="W355" s="18"/>
      <c r="X355" s="18"/>
      <c r="Y355" s="18"/>
      <c r="Z355" s="18"/>
      <c r="AA355" s="18"/>
      <c r="AB355" s="18"/>
      <c r="AC355" s="8" t="str">
        <f t="shared" si="23"/>
        <v/>
      </c>
      <c r="AD355" s="8"/>
      <c r="AE355" s="8"/>
      <c r="AF355" s="14"/>
      <c r="AG355" s="13"/>
      <c r="AH355" s="14"/>
      <c r="AI355" s="14"/>
      <c r="AJ355" s="8"/>
      <c r="AK355" s="8"/>
      <c r="AL355" s="8"/>
      <c r="AM355" s="8"/>
      <c r="AN355" s="631"/>
      <c r="AO355" s="18"/>
      <c r="AP355" s="18"/>
      <c r="AQ355" s="18"/>
      <c r="AR355" s="18"/>
      <c r="AS355" s="18"/>
      <c r="AU355" s="448"/>
      <c r="AV355" s="448"/>
      <c r="AW355" s="8" t="str">
        <f>IF(C355&gt;0,VLOOKUP(C355,Foundation_Calc!$A$2:$C$986,3,1),
IF(J355&gt;0,VLOOKUP(J355,Foundation_Calc!$A$2:$C$986,3,1),""))</f>
        <v/>
      </c>
      <c r="AX355" s="8" t="str">
        <f>IF(C355&gt;0,VLOOKUP(C355,Foundation_Calc!$E$2:$G$986,3,1),
IF(J355&gt;0,VLOOKUP(J355,Foundation_Calc!$E$2:$G$986,3,1),""))</f>
        <v/>
      </c>
      <c r="AY355" s="631" t="str">
        <f>IF(L355="","",
IF(AX355="PT",VLOOKUP(L355,Foundation_Calc!$K$4:$R$37,VLOOKUP(AW355,Foundation_Calc!$I$2:$J$8,2,FALSE),0),
IF(AX355="K",VLOOKUP(L355,Foundation_Calc!$K$41:$R$74,VLOOKUP(AW355,Foundation_Calc!$I$2:$J$8,2,FALSE),0),"")))</f>
        <v/>
      </c>
      <c r="AZ355" s="631" t="str">
        <f>IF(K355="","",
IF(AX355="PT",VLOOKUP(K355,Foundation_Calc!$K$4:$R$37,VLOOKUP(AW355,Foundation_Calc!$I$2:$J$8,2,FALSE),0),
IF(AX355="K",VLOOKUP(K355,Foundation_Calc!$K$41:$R$74,VLOOKUP(AW355,Foundation_Calc!$I$2:$J$8,2,FALSE),0),"")))</f>
        <v/>
      </c>
      <c r="BA355" s="632" t="str">
        <f t="shared" si="24"/>
        <v/>
      </c>
      <c r="BB355" s="632" t="str">
        <f t="shared" si="25"/>
        <v/>
      </c>
      <c r="BC355" s="632" t="str">
        <f t="shared" si="26"/>
        <v/>
      </c>
      <c r="BD355" s="633" t="str">
        <f>IF(AND(L355="",H355=""),"",
IF(H355="",Pole_Calc!A383,
IF(H355="MP",Pole_Calc!A384,
IF(H355="AnMP",Pole_Calc!A385,
IF(H355="A",Pole_Calc!A386,
IF(H355="S/A",Pole_Calc!A387,
IF(H355="A/S",Pole_Calc!A388,"Poner a mano")))))))</f>
        <v/>
      </c>
      <c r="BE355" s="448" t="s">
        <v>1726</v>
      </c>
      <c r="BF355" s="635"/>
      <c r="BG355" s="635"/>
      <c r="BH355" s="634"/>
      <c r="BI355" s="635"/>
    </row>
    <row r="356" spans="1:61" ht="16.2" customHeight="1">
      <c r="A356" s="12"/>
      <c r="B356" s="446"/>
      <c r="C356" s="89"/>
      <c r="D356" s="13"/>
      <c r="E356" s="14"/>
      <c r="F356" s="14"/>
      <c r="G356" s="15"/>
      <c r="H356" s="8"/>
      <c r="I356" s="8"/>
      <c r="J356" s="89"/>
      <c r="K356" s="8"/>
      <c r="L356" s="8"/>
      <c r="M356" s="8" t="str">
        <f>IF(L356="","",
IF(AX356="PT",VLOOKUP(L356,Foundation_Calc!$V$4:$X$37,VLOOKUP(AX356,Foundation_Calc!$I$10:$J$13,2,FALSE),0),
IF(AX356="K",VLOOKUP(L356,Foundation_Calc!$V$41:$X$74,VLOOKUP(AX356,Foundation_Calc!$I$10:$J$13,2,FALSE),0),"")))</f>
        <v/>
      </c>
      <c r="N356" s="8"/>
      <c r="O356" s="8"/>
      <c r="P356" s="8"/>
      <c r="Q356" s="14"/>
      <c r="R356" s="15"/>
      <c r="S356" s="15"/>
      <c r="T356" s="14"/>
      <c r="U356" s="14"/>
      <c r="V356" s="14"/>
      <c r="W356" s="18"/>
      <c r="X356" s="18"/>
      <c r="Y356" s="18"/>
      <c r="Z356" s="18"/>
      <c r="AA356" s="18"/>
      <c r="AB356" s="18"/>
      <c r="AC356" s="8" t="str">
        <f t="shared" si="23"/>
        <v/>
      </c>
      <c r="AD356" s="8"/>
      <c r="AE356" s="8"/>
      <c r="AF356" s="14"/>
      <c r="AG356" s="13"/>
      <c r="AH356" s="14"/>
      <c r="AI356" s="14"/>
      <c r="AJ356" s="8"/>
      <c r="AK356" s="8"/>
      <c r="AL356" s="8"/>
      <c r="AM356" s="8"/>
      <c r="AN356" s="631"/>
      <c r="AO356" s="18"/>
      <c r="AP356" s="18"/>
      <c r="AQ356" s="18"/>
      <c r="AR356" s="18"/>
      <c r="AS356" s="18"/>
      <c r="AU356" s="448"/>
      <c r="AV356" s="448"/>
      <c r="AW356" s="8" t="str">
        <f>IF(C356&gt;0,VLOOKUP(C356,Foundation_Calc!$A$2:$C$986,3,1),
IF(J356&gt;0,VLOOKUP(J356,Foundation_Calc!$A$2:$C$986,3,1),""))</f>
        <v/>
      </c>
      <c r="AX356" s="8" t="str">
        <f>IF(C356&gt;0,VLOOKUP(C356,Foundation_Calc!$E$2:$G$986,3,1),
IF(J356&gt;0,VLOOKUP(J356,Foundation_Calc!$E$2:$G$986,3,1),""))</f>
        <v/>
      </c>
      <c r="AY356" s="631" t="str">
        <f>IF(L356="","",
IF(AX356="PT",VLOOKUP(L356,Foundation_Calc!$K$4:$R$37,VLOOKUP(AW356,Foundation_Calc!$I$2:$J$8,2,FALSE),0),
IF(AX356="K",VLOOKUP(L356,Foundation_Calc!$K$41:$R$74,VLOOKUP(AW356,Foundation_Calc!$I$2:$J$8,2,FALSE),0),"")))</f>
        <v/>
      </c>
      <c r="AZ356" s="631" t="str">
        <f>IF(K356="","",
IF(AX356="PT",VLOOKUP(K356,Foundation_Calc!$K$4:$R$37,VLOOKUP(AW356,Foundation_Calc!$I$2:$J$8,2,FALSE),0),
IF(AX356="K",VLOOKUP(K356,Foundation_Calc!$K$41:$R$74,VLOOKUP(AW356,Foundation_Calc!$I$2:$J$8,2,FALSE),0),"")))</f>
        <v/>
      </c>
      <c r="BA356" s="632" t="str">
        <f t="shared" si="24"/>
        <v/>
      </c>
      <c r="BB356" s="632" t="str">
        <f t="shared" si="25"/>
        <v/>
      </c>
      <c r="BC356" s="632" t="str">
        <f t="shared" si="26"/>
        <v/>
      </c>
      <c r="BD356" s="633" t="str">
        <f>IF(AND(L356="",H356=""),"",
IF(H356="",Pole_Calc!A384,
IF(H356="MP",Pole_Calc!A385,
IF(H356="AnMP",Pole_Calc!A386,
IF(H356="A",Pole_Calc!A387,
IF(H356="S/A",Pole_Calc!A388,
IF(H356="A/S",Pole_Calc!A389,"Poner a mano")))))))</f>
        <v/>
      </c>
      <c r="BE356" s="448" t="s">
        <v>1726</v>
      </c>
      <c r="BF356" s="634"/>
      <c r="BG356" s="634"/>
      <c r="BH356" s="634"/>
      <c r="BI356" s="634"/>
    </row>
    <row r="357" spans="1:61" ht="16.2" customHeight="1">
      <c r="A357" s="12"/>
      <c r="B357" s="446"/>
      <c r="C357" s="89"/>
      <c r="D357" s="13"/>
      <c r="E357" s="14"/>
      <c r="F357" s="14"/>
      <c r="G357" s="15"/>
      <c r="H357" s="8"/>
      <c r="I357" s="8"/>
      <c r="J357" s="89"/>
      <c r="K357" s="8"/>
      <c r="L357" s="8"/>
      <c r="M357" s="8" t="str">
        <f>IF(L357="","",
IF(AX357="PT",VLOOKUP(L357,Foundation_Calc!$V$4:$X$37,VLOOKUP(AX357,Foundation_Calc!$I$10:$J$13,2,FALSE),0),
IF(AX357="K",VLOOKUP(L357,Foundation_Calc!$V$41:$X$74,VLOOKUP(AX357,Foundation_Calc!$I$10:$J$13,2,FALSE),0),"")))</f>
        <v/>
      </c>
      <c r="N357" s="8"/>
      <c r="O357" s="8"/>
      <c r="P357" s="8"/>
      <c r="Q357" s="14"/>
      <c r="R357" s="15"/>
      <c r="S357" s="15"/>
      <c r="T357" s="14"/>
      <c r="U357" s="14"/>
      <c r="V357" s="14"/>
      <c r="W357" s="18"/>
      <c r="X357" s="18"/>
      <c r="Y357" s="18"/>
      <c r="Z357" s="18"/>
      <c r="AA357" s="18"/>
      <c r="AB357" s="18"/>
      <c r="AC357" s="8" t="str">
        <f t="shared" si="23"/>
        <v/>
      </c>
      <c r="AD357" s="8"/>
      <c r="AE357" s="8"/>
      <c r="AF357" s="14"/>
      <c r="AG357" s="13"/>
      <c r="AH357" s="14"/>
      <c r="AI357" s="14"/>
      <c r="AJ357" s="8"/>
      <c r="AK357" s="8"/>
      <c r="AL357" s="8"/>
      <c r="AM357" s="8"/>
      <c r="AN357" s="631"/>
      <c r="AO357" s="18"/>
      <c r="AP357" s="18"/>
      <c r="AQ357" s="18"/>
      <c r="AR357" s="18"/>
      <c r="AS357" s="18"/>
      <c r="AU357" s="448"/>
      <c r="AV357" s="448"/>
      <c r="AW357" s="8" t="str">
        <f>IF(C357&gt;0,VLOOKUP(C357,Foundation_Calc!$A$2:$C$986,3,1),
IF(J357&gt;0,VLOOKUP(J357,Foundation_Calc!$A$2:$C$986,3,1),""))</f>
        <v/>
      </c>
      <c r="AX357" s="8" t="str">
        <f>IF(C357&gt;0,VLOOKUP(C357,Foundation_Calc!$E$2:$G$986,3,1),
IF(J357&gt;0,VLOOKUP(J357,Foundation_Calc!$E$2:$G$986,3,1),""))</f>
        <v/>
      </c>
      <c r="AY357" s="631" t="str">
        <f>IF(L357="","",
IF(AX357="PT",VLOOKUP(L357,Foundation_Calc!$K$4:$R$37,VLOOKUP(AW357,Foundation_Calc!$I$2:$J$8,2,FALSE),0),
IF(AX357="K",VLOOKUP(L357,Foundation_Calc!$K$41:$R$74,VLOOKUP(AW357,Foundation_Calc!$I$2:$J$8,2,FALSE),0),"")))</f>
        <v/>
      </c>
      <c r="AZ357" s="631" t="str">
        <f>IF(K357="","",
IF(AX357="PT",VLOOKUP(K357,Foundation_Calc!$K$4:$R$37,VLOOKUP(AW357,Foundation_Calc!$I$2:$J$8,2,FALSE),0),
IF(AX357="K",VLOOKUP(K357,Foundation_Calc!$K$41:$R$74,VLOOKUP(AW357,Foundation_Calc!$I$2:$J$8,2,FALSE),0),"")))</f>
        <v/>
      </c>
      <c r="BA357" s="632" t="str">
        <f t="shared" si="24"/>
        <v/>
      </c>
      <c r="BB357" s="632" t="str">
        <f t="shared" si="25"/>
        <v/>
      </c>
      <c r="BC357" s="632" t="str">
        <f t="shared" si="26"/>
        <v/>
      </c>
      <c r="BD357" s="633" t="str">
        <f>IF(AND(L357="",H357=""),"",
IF(H357="",Pole_Calc!A385,
IF(H357="MP",Pole_Calc!A386,
IF(H357="AnMP",Pole_Calc!A387,
IF(H357="A",Pole_Calc!A388,
IF(H357="S/A",Pole_Calc!A389,
IF(H357="A/S",Pole_Calc!A390,"Poner a mano")))))))</f>
        <v/>
      </c>
      <c r="BE357" s="448" t="s">
        <v>1726</v>
      </c>
      <c r="BF357" s="635"/>
      <c r="BG357" s="635"/>
      <c r="BH357" s="634"/>
      <c r="BI357" s="635"/>
    </row>
    <row r="358" spans="1:61" ht="16.2" customHeight="1">
      <c r="A358" s="12"/>
      <c r="B358" s="446"/>
      <c r="C358" s="89"/>
      <c r="D358" s="13"/>
      <c r="E358" s="14"/>
      <c r="F358" s="14"/>
      <c r="G358" s="15"/>
      <c r="H358" s="8"/>
      <c r="I358" s="8"/>
      <c r="J358" s="89"/>
      <c r="K358" s="8"/>
      <c r="L358" s="8"/>
      <c r="M358" s="8" t="str">
        <f>IF(L358="","",
IF(AX358="PT",VLOOKUP(L358,Foundation_Calc!$V$4:$X$37,VLOOKUP(AX358,Foundation_Calc!$I$10:$J$13,2,FALSE),0),
IF(AX358="K",VLOOKUP(L358,Foundation_Calc!$V$41:$X$74,VLOOKUP(AX358,Foundation_Calc!$I$10:$J$13,2,FALSE),0),"")))</f>
        <v/>
      </c>
      <c r="N358" s="8"/>
      <c r="O358" s="8"/>
      <c r="P358" s="8"/>
      <c r="Q358" s="14"/>
      <c r="R358" s="15"/>
      <c r="S358" s="15"/>
      <c r="T358" s="14"/>
      <c r="U358" s="14"/>
      <c r="V358" s="14"/>
      <c r="W358" s="18"/>
      <c r="X358" s="18"/>
      <c r="Y358" s="18"/>
      <c r="Z358" s="18"/>
      <c r="AA358" s="18"/>
      <c r="AB358" s="18"/>
      <c r="AC358" s="8" t="str">
        <f t="shared" si="23"/>
        <v/>
      </c>
      <c r="AD358" s="8"/>
      <c r="AE358" s="8"/>
      <c r="AF358" s="14"/>
      <c r="AG358" s="13"/>
      <c r="AH358" s="14"/>
      <c r="AI358" s="14"/>
      <c r="AJ358" s="8"/>
      <c r="AK358" s="8"/>
      <c r="AL358" s="8"/>
      <c r="AM358" s="8"/>
      <c r="AN358" s="631"/>
      <c r="AO358" s="18"/>
      <c r="AP358" s="18"/>
      <c r="AQ358" s="18"/>
      <c r="AR358" s="18"/>
      <c r="AS358" s="18"/>
      <c r="AU358" s="448"/>
      <c r="AV358" s="448"/>
      <c r="AW358" s="8" t="str">
        <f>IF(C358&gt;0,VLOOKUP(C358,Foundation_Calc!$A$2:$C$986,3,1),
IF(J358&gt;0,VLOOKUP(J358,Foundation_Calc!$A$2:$C$986,3,1),""))</f>
        <v/>
      </c>
      <c r="AX358" s="8" t="str">
        <f>IF(C358&gt;0,VLOOKUP(C358,Foundation_Calc!$E$2:$G$986,3,1),
IF(J358&gt;0,VLOOKUP(J358,Foundation_Calc!$E$2:$G$986,3,1),""))</f>
        <v/>
      </c>
      <c r="AY358" s="631" t="str">
        <f>IF(L358="","",
IF(AX358="PT",VLOOKUP(L358,Foundation_Calc!$K$4:$R$37,VLOOKUP(AW358,Foundation_Calc!$I$2:$J$8,2,FALSE),0),
IF(AX358="K",VLOOKUP(L358,Foundation_Calc!$K$41:$R$74,VLOOKUP(AW358,Foundation_Calc!$I$2:$J$8,2,FALSE),0),"")))</f>
        <v/>
      </c>
      <c r="AZ358" s="631" t="str">
        <f>IF(K358="","",
IF(AX358="PT",VLOOKUP(K358,Foundation_Calc!$K$4:$R$37,VLOOKUP(AW358,Foundation_Calc!$I$2:$J$8,2,FALSE),0),
IF(AX358="K",VLOOKUP(K358,Foundation_Calc!$K$41:$R$74,VLOOKUP(AW358,Foundation_Calc!$I$2:$J$8,2,FALSE),0),"")))</f>
        <v/>
      </c>
      <c r="BA358" s="632" t="str">
        <f t="shared" si="24"/>
        <v/>
      </c>
      <c r="BB358" s="632" t="str">
        <f t="shared" si="25"/>
        <v/>
      </c>
      <c r="BC358" s="632" t="str">
        <f t="shared" si="26"/>
        <v/>
      </c>
      <c r="BD358" s="633" t="str">
        <f>IF(AND(L358="",H358=""),"",
IF(H358="",Pole_Calc!A386,
IF(H358="MP",Pole_Calc!A387,
IF(H358="AnMP",Pole_Calc!A388,
IF(H358="A",Pole_Calc!A389,
IF(H358="S/A",Pole_Calc!A390,
IF(H358="A/S",Pole_Calc!A391,"Poner a mano")))))))</f>
        <v/>
      </c>
      <c r="BE358" s="448" t="s">
        <v>1726</v>
      </c>
      <c r="BF358" s="634"/>
      <c r="BG358" s="634"/>
      <c r="BH358" s="634"/>
      <c r="BI358" s="634"/>
    </row>
    <row r="359" spans="1:61" ht="16.2" customHeight="1">
      <c r="A359" s="12"/>
      <c r="B359" s="446"/>
      <c r="C359" s="89"/>
      <c r="D359" s="13"/>
      <c r="E359" s="14"/>
      <c r="F359" s="14"/>
      <c r="G359" s="15"/>
      <c r="H359" s="8"/>
      <c r="I359" s="8"/>
      <c r="J359" s="89"/>
      <c r="K359" s="8"/>
      <c r="L359" s="8"/>
      <c r="M359" s="8" t="str">
        <f>IF(L359="","",
IF(AX359="PT",VLOOKUP(L359,Foundation_Calc!$V$4:$X$37,VLOOKUP(AX359,Foundation_Calc!$I$10:$J$13,2,FALSE),0),
IF(AX359="K",VLOOKUP(L359,Foundation_Calc!$V$41:$X$74,VLOOKUP(AX359,Foundation_Calc!$I$10:$J$13,2,FALSE),0),"")))</f>
        <v/>
      </c>
      <c r="N359" s="8"/>
      <c r="O359" s="8"/>
      <c r="P359" s="8"/>
      <c r="Q359" s="14"/>
      <c r="R359" s="15"/>
      <c r="S359" s="15"/>
      <c r="T359" s="14"/>
      <c r="U359" s="14"/>
      <c r="V359" s="14"/>
      <c r="W359" s="18"/>
      <c r="X359" s="18"/>
      <c r="Y359" s="18"/>
      <c r="Z359" s="18"/>
      <c r="AA359" s="18"/>
      <c r="AB359" s="18"/>
      <c r="AC359" s="8" t="str">
        <f t="shared" si="23"/>
        <v/>
      </c>
      <c r="AD359" s="8"/>
      <c r="AE359" s="8"/>
      <c r="AF359" s="14"/>
      <c r="AG359" s="13"/>
      <c r="AH359" s="14"/>
      <c r="AI359" s="14"/>
      <c r="AJ359" s="8"/>
      <c r="AK359" s="8"/>
      <c r="AL359" s="8"/>
      <c r="AM359" s="8"/>
      <c r="AN359" s="631"/>
      <c r="AO359" s="18"/>
      <c r="AP359" s="18"/>
      <c r="AQ359" s="18"/>
      <c r="AR359" s="18"/>
      <c r="AS359" s="18"/>
      <c r="AU359" s="448"/>
      <c r="AV359" s="448"/>
      <c r="AW359" s="8" t="str">
        <f>IF(C359&gt;0,VLOOKUP(C359,Foundation_Calc!$A$2:$C$986,3,1),
IF(J359&gt;0,VLOOKUP(J359,Foundation_Calc!$A$2:$C$986,3,1),""))</f>
        <v/>
      </c>
      <c r="AX359" s="8" t="str">
        <f>IF(C359&gt;0,VLOOKUP(C359,Foundation_Calc!$E$2:$G$986,3,1),
IF(J359&gt;0,VLOOKUP(J359,Foundation_Calc!$E$2:$G$986,3,1),""))</f>
        <v/>
      </c>
      <c r="AY359" s="631" t="str">
        <f>IF(L359="","",
IF(AX359="PT",VLOOKUP(L359,Foundation_Calc!$K$4:$R$37,VLOOKUP(AW359,Foundation_Calc!$I$2:$J$8,2,FALSE),0),
IF(AX359="K",VLOOKUP(L359,Foundation_Calc!$K$41:$R$74,VLOOKUP(AW359,Foundation_Calc!$I$2:$J$8,2,FALSE),0),"")))</f>
        <v/>
      </c>
      <c r="AZ359" s="631" t="str">
        <f>IF(K359="","",
IF(AX359="PT",VLOOKUP(K359,Foundation_Calc!$K$4:$R$37,VLOOKUP(AW359,Foundation_Calc!$I$2:$J$8,2,FALSE),0),
IF(AX359="K",VLOOKUP(K359,Foundation_Calc!$K$41:$R$74,VLOOKUP(AW359,Foundation_Calc!$I$2:$J$8,2,FALSE),0),"")))</f>
        <v/>
      </c>
      <c r="BA359" s="632" t="str">
        <f t="shared" si="24"/>
        <v/>
      </c>
      <c r="BB359" s="632" t="str">
        <f t="shared" si="25"/>
        <v/>
      </c>
      <c r="BC359" s="632" t="str">
        <f t="shared" si="26"/>
        <v/>
      </c>
      <c r="BD359" s="633" t="str">
        <f>IF(AND(L359="",H359=""),"",
IF(H359="",Pole_Calc!A387,
IF(H359="MP",Pole_Calc!A388,
IF(H359="AnMP",Pole_Calc!A389,
IF(H359="A",Pole_Calc!A390,
IF(H359="S/A",Pole_Calc!A391,
IF(H359="A/S",Pole_Calc!A392,"Poner a mano")))))))</f>
        <v/>
      </c>
      <c r="BE359" s="448" t="s">
        <v>1726</v>
      </c>
      <c r="BF359" s="635"/>
      <c r="BG359" s="635"/>
      <c r="BH359" s="634"/>
      <c r="BI359" s="635"/>
    </row>
    <row r="360" spans="1:61" ht="16.2" customHeight="1">
      <c r="A360" s="12"/>
      <c r="B360" s="446"/>
      <c r="C360" s="89"/>
      <c r="D360" s="13"/>
      <c r="E360" s="14"/>
      <c r="F360" s="14"/>
      <c r="G360" s="15"/>
      <c r="H360" s="8"/>
      <c r="I360" s="8"/>
      <c r="J360" s="89"/>
      <c r="K360" s="8"/>
      <c r="L360" s="8"/>
      <c r="M360" s="8" t="str">
        <f>IF(L360="","",
IF(AX360="PT",VLOOKUP(L360,Foundation_Calc!$V$4:$X$37,VLOOKUP(AX360,Foundation_Calc!$I$10:$J$13,2,FALSE),0),
IF(AX360="K",VLOOKUP(L360,Foundation_Calc!$V$41:$X$74,VLOOKUP(AX360,Foundation_Calc!$I$10:$J$13,2,FALSE),0),"")))</f>
        <v/>
      </c>
      <c r="N360" s="8"/>
      <c r="O360" s="8"/>
      <c r="P360" s="8"/>
      <c r="Q360" s="14"/>
      <c r="R360" s="15"/>
      <c r="S360" s="15"/>
      <c r="T360" s="14"/>
      <c r="U360" s="14"/>
      <c r="V360" s="14"/>
      <c r="W360" s="18"/>
      <c r="X360" s="18"/>
      <c r="Y360" s="18"/>
      <c r="Z360" s="18"/>
      <c r="AA360" s="18"/>
      <c r="AB360" s="18"/>
      <c r="AC360" s="8" t="str">
        <f t="shared" si="23"/>
        <v/>
      </c>
      <c r="AD360" s="8"/>
      <c r="AE360" s="8"/>
      <c r="AF360" s="14"/>
      <c r="AG360" s="13"/>
      <c r="AH360" s="14"/>
      <c r="AI360" s="14"/>
      <c r="AJ360" s="8"/>
      <c r="AK360" s="8"/>
      <c r="AL360" s="8"/>
      <c r="AM360" s="8"/>
      <c r="AN360" s="631"/>
      <c r="AO360" s="18"/>
      <c r="AP360" s="18"/>
      <c r="AQ360" s="18"/>
      <c r="AR360" s="18"/>
      <c r="AS360" s="18"/>
      <c r="AU360" s="448"/>
      <c r="AV360" s="448"/>
      <c r="AW360" s="8" t="str">
        <f>IF(C360&gt;0,VLOOKUP(C360,Foundation_Calc!$A$2:$C$986,3,1),
IF(J360&gt;0,VLOOKUP(J360,Foundation_Calc!$A$2:$C$986,3,1),""))</f>
        <v/>
      </c>
      <c r="AX360" s="8" t="str">
        <f>IF(C360&gt;0,VLOOKUP(C360,Foundation_Calc!$E$2:$G$986,3,1),
IF(J360&gt;0,VLOOKUP(J360,Foundation_Calc!$E$2:$G$986,3,1),""))</f>
        <v/>
      </c>
      <c r="AY360" s="631" t="str">
        <f>IF(L360="","",
IF(AX360="PT",VLOOKUP(L360,Foundation_Calc!$K$4:$R$37,VLOOKUP(AW360,Foundation_Calc!$I$2:$J$8,2,FALSE),0),
IF(AX360="K",VLOOKUP(L360,Foundation_Calc!$K$41:$R$74,VLOOKUP(AW360,Foundation_Calc!$I$2:$J$8,2,FALSE),0),"")))</f>
        <v/>
      </c>
      <c r="AZ360" s="631" t="str">
        <f>IF(K360="","",
IF(AX360="PT",VLOOKUP(K360,Foundation_Calc!$K$4:$R$37,VLOOKUP(AW360,Foundation_Calc!$I$2:$J$8,2,FALSE),0),
IF(AX360="K",VLOOKUP(K360,Foundation_Calc!$K$41:$R$74,VLOOKUP(AW360,Foundation_Calc!$I$2:$J$8,2,FALSE),0),"")))</f>
        <v/>
      </c>
      <c r="BA360" s="632" t="str">
        <f t="shared" si="24"/>
        <v/>
      </c>
      <c r="BB360" s="632" t="str">
        <f t="shared" si="25"/>
        <v/>
      </c>
      <c r="BC360" s="632" t="str">
        <f t="shared" si="26"/>
        <v/>
      </c>
      <c r="BD360" s="633" t="str">
        <f>IF(AND(L360="",H360=""),"",
IF(H360="",Pole_Calc!A388,
IF(H360="MP",Pole_Calc!A389,
IF(H360="AnMP",Pole_Calc!A390,
IF(H360="A",Pole_Calc!A391,
IF(H360="S/A",Pole_Calc!A392,
IF(H360="A/S",Pole_Calc!A393,"Poner a mano")))))))</f>
        <v/>
      </c>
      <c r="BE360" s="448" t="s">
        <v>1726</v>
      </c>
      <c r="BF360" s="634"/>
      <c r="BG360" s="634"/>
      <c r="BH360" s="634"/>
      <c r="BI360" s="634"/>
    </row>
    <row r="361" spans="1:61" ht="16.2" customHeight="1">
      <c r="A361" s="12"/>
      <c r="B361" s="446"/>
      <c r="C361" s="89"/>
      <c r="D361" s="13"/>
      <c r="E361" s="14"/>
      <c r="F361" s="14"/>
      <c r="G361" s="15"/>
      <c r="H361" s="8"/>
      <c r="I361" s="8"/>
      <c r="J361" s="89"/>
      <c r="K361" s="8"/>
      <c r="L361" s="8"/>
      <c r="M361" s="8" t="str">
        <f>IF(L361="","",
IF(AX361="PT",VLOOKUP(L361,Foundation_Calc!$V$4:$X$37,VLOOKUP(AX361,Foundation_Calc!$I$10:$J$13,2,FALSE),0),
IF(AX361="K",VLOOKUP(L361,Foundation_Calc!$V$41:$X$74,VLOOKUP(AX361,Foundation_Calc!$I$10:$J$13,2,FALSE),0),"")))</f>
        <v/>
      </c>
      <c r="N361" s="8"/>
      <c r="O361" s="8"/>
      <c r="P361" s="8"/>
      <c r="Q361" s="14"/>
      <c r="R361" s="15"/>
      <c r="S361" s="15"/>
      <c r="T361" s="14"/>
      <c r="U361" s="14"/>
      <c r="V361" s="14"/>
      <c r="W361" s="18"/>
      <c r="X361" s="18"/>
      <c r="Y361" s="18"/>
      <c r="Z361" s="18"/>
      <c r="AA361" s="18"/>
      <c r="AB361" s="18"/>
      <c r="AC361" s="8" t="str">
        <f t="shared" si="23"/>
        <v/>
      </c>
      <c r="AD361" s="8"/>
      <c r="AE361" s="8"/>
      <c r="AF361" s="14"/>
      <c r="AG361" s="13"/>
      <c r="AH361" s="14"/>
      <c r="AI361" s="14"/>
      <c r="AJ361" s="8"/>
      <c r="AK361" s="8"/>
      <c r="AL361" s="8"/>
      <c r="AM361" s="8"/>
      <c r="AN361" s="631"/>
      <c r="AO361" s="18"/>
      <c r="AP361" s="18"/>
      <c r="AQ361" s="18"/>
      <c r="AR361" s="18"/>
      <c r="AS361" s="18"/>
      <c r="AU361" s="448"/>
      <c r="AV361" s="448"/>
      <c r="AW361" s="8" t="str">
        <f>IF(C361&gt;0,VLOOKUP(C361,Foundation_Calc!$A$2:$C$986,3,1),
IF(J361&gt;0,VLOOKUP(J361,Foundation_Calc!$A$2:$C$986,3,1),""))</f>
        <v/>
      </c>
      <c r="AX361" s="8" t="str">
        <f>IF(C361&gt;0,VLOOKUP(C361,Foundation_Calc!$E$2:$G$986,3,1),
IF(J361&gt;0,VLOOKUP(J361,Foundation_Calc!$E$2:$G$986,3,1),""))</f>
        <v/>
      </c>
      <c r="AY361" s="631" t="str">
        <f>IF(L361="","",
IF(AX361="PT",VLOOKUP(L361,Foundation_Calc!$K$4:$R$37,VLOOKUP(AW361,Foundation_Calc!$I$2:$J$8,2,FALSE),0),
IF(AX361="K",VLOOKUP(L361,Foundation_Calc!$K$41:$R$74,VLOOKUP(AW361,Foundation_Calc!$I$2:$J$8,2,FALSE),0),"")))</f>
        <v/>
      </c>
      <c r="AZ361" s="631" t="str">
        <f>IF(K361="","",
IF(AX361="PT",VLOOKUP(K361,Foundation_Calc!$K$4:$R$37,VLOOKUP(AW361,Foundation_Calc!$I$2:$J$8,2,FALSE),0),
IF(AX361="K",VLOOKUP(K361,Foundation_Calc!$K$41:$R$74,VLOOKUP(AW361,Foundation_Calc!$I$2:$J$8,2,FALSE),0),"")))</f>
        <v/>
      </c>
      <c r="BA361" s="632" t="str">
        <f t="shared" si="24"/>
        <v/>
      </c>
      <c r="BB361" s="632" t="str">
        <f t="shared" si="25"/>
        <v/>
      </c>
      <c r="BC361" s="632" t="str">
        <f t="shared" si="26"/>
        <v/>
      </c>
      <c r="BD361" s="633" t="str">
        <f>IF(AND(L361="",H361=""),"",
IF(H361="",Pole_Calc!A389,
IF(H361="MP",Pole_Calc!A390,
IF(H361="AnMP",Pole_Calc!A391,
IF(H361="A",Pole_Calc!A392,
IF(H361="S/A",Pole_Calc!A393,
IF(H361="A/S",Pole_Calc!A394,"Poner a mano")))))))</f>
        <v/>
      </c>
      <c r="BE361" s="448" t="s">
        <v>1726</v>
      </c>
      <c r="BF361" s="635"/>
      <c r="BG361" s="635"/>
      <c r="BH361" s="634"/>
      <c r="BI361" s="635"/>
    </row>
    <row r="362" spans="1:61" ht="16.2" customHeight="1">
      <c r="A362" s="12"/>
      <c r="B362" s="446"/>
      <c r="C362" s="89"/>
      <c r="D362" s="13"/>
      <c r="E362" s="14"/>
      <c r="F362" s="14"/>
      <c r="G362" s="15"/>
      <c r="H362" s="8"/>
      <c r="I362" s="8"/>
      <c r="J362" s="89"/>
      <c r="K362" s="8"/>
      <c r="L362" s="8"/>
      <c r="M362" s="8" t="str">
        <f>IF(L362="","",
IF(AX362="PT",VLOOKUP(L362,Foundation_Calc!$V$4:$X$37,VLOOKUP(AX362,Foundation_Calc!$I$10:$J$13,2,FALSE),0),
IF(AX362="K",VLOOKUP(L362,Foundation_Calc!$V$41:$X$74,VLOOKUP(AX362,Foundation_Calc!$I$10:$J$13,2,FALSE),0),"")))</f>
        <v/>
      </c>
      <c r="N362" s="8"/>
      <c r="O362" s="8"/>
      <c r="P362" s="8"/>
      <c r="Q362" s="14"/>
      <c r="R362" s="15"/>
      <c r="S362" s="15"/>
      <c r="T362" s="14"/>
      <c r="U362" s="14"/>
      <c r="V362" s="14"/>
      <c r="W362" s="18"/>
      <c r="X362" s="18"/>
      <c r="Y362" s="18"/>
      <c r="Z362" s="18"/>
      <c r="AA362" s="18"/>
      <c r="AB362" s="18"/>
      <c r="AC362" s="8" t="str">
        <f t="shared" si="23"/>
        <v/>
      </c>
      <c r="AD362" s="8"/>
      <c r="AE362" s="8"/>
      <c r="AF362" s="14"/>
      <c r="AG362" s="13"/>
      <c r="AH362" s="14"/>
      <c r="AI362" s="14"/>
      <c r="AJ362" s="8"/>
      <c r="AK362" s="8"/>
      <c r="AL362" s="8"/>
      <c r="AM362" s="8"/>
      <c r="AN362" s="631"/>
      <c r="AO362" s="18"/>
      <c r="AP362" s="18"/>
      <c r="AQ362" s="18"/>
      <c r="AR362" s="18"/>
      <c r="AS362" s="18"/>
      <c r="AU362" s="448"/>
      <c r="AV362" s="448"/>
      <c r="AW362" s="8" t="str">
        <f>IF(C362&gt;0,VLOOKUP(C362,Foundation_Calc!$A$2:$C$986,3,1),
IF(J362&gt;0,VLOOKUP(J362,Foundation_Calc!$A$2:$C$986,3,1),""))</f>
        <v/>
      </c>
      <c r="AX362" s="8" t="str">
        <f>IF(C362&gt;0,VLOOKUP(C362,Foundation_Calc!$E$2:$G$986,3,1),
IF(J362&gt;0,VLOOKUP(J362,Foundation_Calc!$E$2:$G$986,3,1),""))</f>
        <v/>
      </c>
      <c r="AY362" s="631" t="str">
        <f>IF(L362="","",
IF(AX362="PT",VLOOKUP(L362,Foundation_Calc!$K$4:$R$37,VLOOKUP(AW362,Foundation_Calc!$I$2:$J$8,2,FALSE),0),
IF(AX362="K",VLOOKUP(L362,Foundation_Calc!$K$41:$R$74,VLOOKUP(AW362,Foundation_Calc!$I$2:$J$8,2,FALSE),0),"")))</f>
        <v/>
      </c>
      <c r="AZ362" s="631" t="str">
        <f>IF(K362="","",
IF(AX362="PT",VLOOKUP(K362,Foundation_Calc!$K$4:$R$37,VLOOKUP(AW362,Foundation_Calc!$I$2:$J$8,2,FALSE),0),
IF(AX362="K",VLOOKUP(K362,Foundation_Calc!$K$41:$R$74,VLOOKUP(AW362,Foundation_Calc!$I$2:$J$8,2,FALSE),0),"")))</f>
        <v/>
      </c>
      <c r="BA362" s="632" t="str">
        <f t="shared" si="24"/>
        <v/>
      </c>
      <c r="BB362" s="632" t="str">
        <f t="shared" si="25"/>
        <v/>
      </c>
      <c r="BC362" s="632" t="str">
        <f t="shared" si="26"/>
        <v/>
      </c>
      <c r="BD362" s="633" t="str">
        <f>IF(AND(L362="",H362=""),"",
IF(H362="",Pole_Calc!A390,
IF(H362="MP",Pole_Calc!A391,
IF(H362="AnMP",Pole_Calc!A392,
IF(H362="A",Pole_Calc!A393,
IF(H362="S/A",Pole_Calc!A394,
IF(H362="A/S",Pole_Calc!A395,"Poner a mano")))))))</f>
        <v/>
      </c>
      <c r="BE362" s="448" t="s">
        <v>1726</v>
      </c>
      <c r="BF362" s="634"/>
      <c r="BG362" s="634"/>
      <c r="BH362" s="634"/>
      <c r="BI362" s="634"/>
    </row>
    <row r="363" spans="1:61" ht="16.2" customHeight="1">
      <c r="A363" s="12"/>
      <c r="B363" s="446"/>
      <c r="C363" s="89"/>
      <c r="D363" s="13"/>
      <c r="E363" s="14"/>
      <c r="F363" s="14"/>
      <c r="G363" s="15"/>
      <c r="H363" s="8"/>
      <c r="I363" s="8"/>
      <c r="J363" s="89"/>
      <c r="K363" s="8"/>
      <c r="L363" s="8"/>
      <c r="M363" s="8" t="str">
        <f>IF(L363="","",
IF(AX363="PT",VLOOKUP(L363,Foundation_Calc!$V$4:$X$37,VLOOKUP(AX363,Foundation_Calc!$I$10:$J$13,2,FALSE),0),
IF(AX363="K",VLOOKUP(L363,Foundation_Calc!$V$41:$X$74,VLOOKUP(AX363,Foundation_Calc!$I$10:$J$13,2,FALSE),0),"")))</f>
        <v/>
      </c>
      <c r="N363" s="8"/>
      <c r="O363" s="8"/>
      <c r="P363" s="8"/>
      <c r="Q363" s="14"/>
      <c r="R363" s="15"/>
      <c r="S363" s="15"/>
      <c r="T363" s="14"/>
      <c r="U363" s="14"/>
      <c r="V363" s="14"/>
      <c r="W363" s="18"/>
      <c r="X363" s="18"/>
      <c r="Y363" s="18"/>
      <c r="Z363" s="18"/>
      <c r="AA363" s="18"/>
      <c r="AB363" s="18"/>
      <c r="AC363" s="8" t="str">
        <f t="shared" si="23"/>
        <v/>
      </c>
      <c r="AD363" s="8"/>
      <c r="AE363" s="8"/>
      <c r="AF363" s="14"/>
      <c r="AG363" s="13"/>
      <c r="AH363" s="14"/>
      <c r="AI363" s="14"/>
      <c r="AJ363" s="8"/>
      <c r="AK363" s="8"/>
      <c r="AL363" s="8"/>
      <c r="AM363" s="8"/>
      <c r="AN363" s="631"/>
      <c r="AO363" s="18"/>
      <c r="AP363" s="18"/>
      <c r="AQ363" s="18"/>
      <c r="AR363" s="18"/>
      <c r="AS363" s="18"/>
      <c r="AU363" s="448"/>
      <c r="AV363" s="448"/>
      <c r="AW363" s="8" t="str">
        <f>IF(C363&gt;0,VLOOKUP(C363,Foundation_Calc!$A$2:$C$986,3,1),
IF(J363&gt;0,VLOOKUP(J363,Foundation_Calc!$A$2:$C$986,3,1),""))</f>
        <v/>
      </c>
      <c r="AX363" s="8" t="str">
        <f>IF(C363&gt;0,VLOOKUP(C363,Foundation_Calc!$E$2:$G$986,3,1),
IF(J363&gt;0,VLOOKUP(J363,Foundation_Calc!$E$2:$G$986,3,1),""))</f>
        <v/>
      </c>
      <c r="AY363" s="631" t="str">
        <f>IF(L363="","",
IF(AX363="PT",VLOOKUP(L363,Foundation_Calc!$K$4:$R$37,VLOOKUP(AW363,Foundation_Calc!$I$2:$J$8,2,FALSE),0),
IF(AX363="K",VLOOKUP(L363,Foundation_Calc!$K$41:$R$74,VLOOKUP(AW363,Foundation_Calc!$I$2:$J$8,2,FALSE),0),"")))</f>
        <v/>
      </c>
      <c r="AZ363" s="631" t="str">
        <f>IF(K363="","",
IF(AX363="PT",VLOOKUP(K363,Foundation_Calc!$K$4:$R$37,VLOOKUP(AW363,Foundation_Calc!$I$2:$J$8,2,FALSE),0),
IF(AX363="K",VLOOKUP(K363,Foundation_Calc!$K$41:$R$74,VLOOKUP(AW363,Foundation_Calc!$I$2:$J$8,2,FALSE),0),"")))</f>
        <v/>
      </c>
      <c r="BA363" s="632" t="str">
        <f t="shared" si="24"/>
        <v/>
      </c>
      <c r="BB363" s="632" t="str">
        <f t="shared" si="25"/>
        <v/>
      </c>
      <c r="BC363" s="632" t="str">
        <f t="shared" si="26"/>
        <v/>
      </c>
      <c r="BD363" s="633" t="str">
        <f>IF(AND(L363="",H363=""),"",
IF(H363="",Pole_Calc!A391,
IF(H363="MP",Pole_Calc!A392,
IF(H363="AnMP",Pole_Calc!A393,
IF(H363="A",Pole_Calc!A394,
IF(H363="S/A",Pole_Calc!A395,
IF(H363="A/S",Pole_Calc!A396,"Poner a mano")))))))</f>
        <v/>
      </c>
      <c r="BE363" s="448" t="s">
        <v>1726</v>
      </c>
      <c r="BF363" s="635"/>
      <c r="BG363" s="635"/>
      <c r="BH363" s="634"/>
      <c r="BI363" s="635"/>
    </row>
    <row r="364" spans="1:61" ht="16.2" customHeight="1">
      <c r="A364" s="12"/>
      <c r="B364" s="446"/>
      <c r="C364" s="89"/>
      <c r="D364" s="13"/>
      <c r="E364" s="14"/>
      <c r="F364" s="14"/>
      <c r="G364" s="15"/>
      <c r="H364" s="8"/>
      <c r="I364" s="8"/>
      <c r="J364" s="89"/>
      <c r="K364" s="8"/>
      <c r="L364" s="8"/>
      <c r="M364" s="8" t="str">
        <f>IF(L364="","",
IF(AX364="PT",VLOOKUP(L364,Foundation_Calc!$V$4:$X$37,VLOOKUP(AX364,Foundation_Calc!$I$10:$J$13,2,FALSE),0),
IF(AX364="K",VLOOKUP(L364,Foundation_Calc!$V$41:$X$74,VLOOKUP(AX364,Foundation_Calc!$I$10:$J$13,2,FALSE),0),"")))</f>
        <v/>
      </c>
      <c r="N364" s="8"/>
      <c r="O364" s="8"/>
      <c r="P364" s="8"/>
      <c r="Q364" s="14"/>
      <c r="R364" s="15"/>
      <c r="S364" s="15"/>
      <c r="T364" s="14"/>
      <c r="U364" s="14"/>
      <c r="V364" s="14"/>
      <c r="W364" s="18"/>
      <c r="X364" s="18"/>
      <c r="Y364" s="18"/>
      <c r="Z364" s="18"/>
      <c r="AA364" s="18"/>
      <c r="AB364" s="18"/>
      <c r="AC364" s="8" t="str">
        <f t="shared" si="23"/>
        <v/>
      </c>
      <c r="AD364" s="8"/>
      <c r="AE364" s="8"/>
      <c r="AF364" s="14"/>
      <c r="AG364" s="13"/>
      <c r="AH364" s="14"/>
      <c r="AI364" s="14"/>
      <c r="AJ364" s="8"/>
      <c r="AK364" s="8"/>
      <c r="AL364" s="8"/>
      <c r="AM364" s="8"/>
      <c r="AN364" s="631"/>
      <c r="AO364" s="18"/>
      <c r="AP364" s="18"/>
      <c r="AQ364" s="18"/>
      <c r="AR364" s="18"/>
      <c r="AS364" s="18"/>
      <c r="AU364" s="448"/>
      <c r="AV364" s="448"/>
      <c r="AW364" s="8" t="str">
        <f>IF(C364&gt;0,VLOOKUP(C364,Foundation_Calc!$A$2:$C$986,3,1),
IF(J364&gt;0,VLOOKUP(J364,Foundation_Calc!$A$2:$C$986,3,1),""))</f>
        <v/>
      </c>
      <c r="AX364" s="8" t="str">
        <f>IF(C364&gt;0,VLOOKUP(C364,Foundation_Calc!$E$2:$G$986,3,1),
IF(J364&gt;0,VLOOKUP(J364,Foundation_Calc!$E$2:$G$986,3,1),""))</f>
        <v/>
      </c>
      <c r="AY364" s="631" t="str">
        <f>IF(L364="","",
IF(AX364="PT",VLOOKUP(L364,Foundation_Calc!$K$4:$R$37,VLOOKUP(AW364,Foundation_Calc!$I$2:$J$8,2,FALSE),0),
IF(AX364="K",VLOOKUP(L364,Foundation_Calc!$K$41:$R$74,VLOOKUP(AW364,Foundation_Calc!$I$2:$J$8,2,FALSE),0),"")))</f>
        <v/>
      </c>
      <c r="AZ364" s="631" t="str">
        <f>IF(K364="","",
IF(AX364="PT",VLOOKUP(K364,Foundation_Calc!$K$4:$R$37,VLOOKUP(AW364,Foundation_Calc!$I$2:$J$8,2,FALSE),0),
IF(AX364="K",VLOOKUP(K364,Foundation_Calc!$K$41:$R$74,VLOOKUP(AW364,Foundation_Calc!$I$2:$J$8,2,FALSE),0),"")))</f>
        <v/>
      </c>
      <c r="BA364" s="632" t="str">
        <f t="shared" si="24"/>
        <v/>
      </c>
      <c r="BB364" s="632" t="str">
        <f t="shared" si="25"/>
        <v/>
      </c>
      <c r="BC364" s="632" t="str">
        <f t="shared" si="26"/>
        <v/>
      </c>
      <c r="BD364" s="633" t="str">
        <f>IF(AND(L364="",H364=""),"",
IF(H364="",Pole_Calc!A392,
IF(H364="MP",Pole_Calc!A393,
IF(H364="AnMP",Pole_Calc!A394,
IF(H364="A",Pole_Calc!A395,
IF(H364="S/A",Pole_Calc!A396,
IF(H364="A/S",Pole_Calc!A397,"Poner a mano")))))))</f>
        <v/>
      </c>
      <c r="BE364" s="448" t="s">
        <v>1726</v>
      </c>
      <c r="BF364" s="634"/>
      <c r="BG364" s="634"/>
      <c r="BH364" s="634"/>
      <c r="BI364" s="634"/>
    </row>
    <row r="365" spans="1:61" ht="16.2" customHeight="1">
      <c r="A365" s="12"/>
      <c r="B365" s="446"/>
      <c r="C365" s="89"/>
      <c r="D365" s="13"/>
      <c r="E365" s="14"/>
      <c r="F365" s="14"/>
      <c r="G365" s="15"/>
      <c r="H365" s="8"/>
      <c r="I365" s="8"/>
      <c r="J365" s="89"/>
      <c r="K365" s="8"/>
      <c r="L365" s="8"/>
      <c r="M365" s="8" t="str">
        <f>IF(L365="","",
IF(AX365="PT",VLOOKUP(L365,Foundation_Calc!$V$4:$X$37,VLOOKUP(AX365,Foundation_Calc!$I$10:$J$13,2,FALSE),0),
IF(AX365="K",VLOOKUP(L365,Foundation_Calc!$V$41:$X$74,VLOOKUP(AX365,Foundation_Calc!$I$10:$J$13,2,FALSE),0),"")))</f>
        <v/>
      </c>
      <c r="N365" s="8"/>
      <c r="O365" s="8"/>
      <c r="P365" s="8"/>
      <c r="Q365" s="14"/>
      <c r="R365" s="15"/>
      <c r="S365" s="15"/>
      <c r="T365" s="14"/>
      <c r="U365" s="14"/>
      <c r="V365" s="14"/>
      <c r="W365" s="18"/>
      <c r="X365" s="18"/>
      <c r="Y365" s="18"/>
      <c r="Z365" s="18"/>
      <c r="AA365" s="18"/>
      <c r="AB365" s="18"/>
      <c r="AC365" s="8" t="str">
        <f t="shared" si="23"/>
        <v/>
      </c>
      <c r="AD365" s="8"/>
      <c r="AE365" s="8"/>
      <c r="AF365" s="14"/>
      <c r="AG365" s="13"/>
      <c r="AH365" s="14"/>
      <c r="AI365" s="14"/>
      <c r="AJ365" s="8"/>
      <c r="AK365" s="8"/>
      <c r="AL365" s="8"/>
      <c r="AM365" s="8"/>
      <c r="AN365" s="631"/>
      <c r="AO365" s="18"/>
      <c r="AP365" s="18"/>
      <c r="AQ365" s="18"/>
      <c r="AR365" s="18"/>
      <c r="AS365" s="18"/>
      <c r="AU365" s="448"/>
      <c r="AV365" s="448"/>
      <c r="AW365" s="8" t="str">
        <f>IF(C365&gt;0,VLOOKUP(C365,Foundation_Calc!$A$2:$C$986,3,1),
IF(J365&gt;0,VLOOKUP(J365,Foundation_Calc!$A$2:$C$986,3,1),""))</f>
        <v/>
      </c>
      <c r="AX365" s="8" t="str">
        <f>IF(C365&gt;0,VLOOKUP(C365,Foundation_Calc!$E$2:$G$986,3,1),
IF(J365&gt;0,VLOOKUP(J365,Foundation_Calc!$E$2:$G$986,3,1),""))</f>
        <v/>
      </c>
      <c r="AY365" s="631" t="str">
        <f>IF(L365="","",
IF(AX365="PT",VLOOKUP(L365,Foundation_Calc!$K$4:$R$37,VLOOKUP(AW365,Foundation_Calc!$I$2:$J$8,2,FALSE),0),
IF(AX365="K",VLOOKUP(L365,Foundation_Calc!$K$41:$R$74,VLOOKUP(AW365,Foundation_Calc!$I$2:$J$8,2,FALSE),0),"")))</f>
        <v/>
      </c>
      <c r="AZ365" s="631" t="str">
        <f>IF(K365="","",
IF(AX365="PT",VLOOKUP(K365,Foundation_Calc!$K$4:$R$37,VLOOKUP(AW365,Foundation_Calc!$I$2:$J$8,2,FALSE),0),
IF(AX365="K",VLOOKUP(K365,Foundation_Calc!$K$41:$R$74,VLOOKUP(AW365,Foundation_Calc!$I$2:$J$8,2,FALSE),0),"")))</f>
        <v/>
      </c>
      <c r="BA365" s="632" t="str">
        <f t="shared" si="24"/>
        <v/>
      </c>
      <c r="BB365" s="632" t="str">
        <f t="shared" si="25"/>
        <v/>
      </c>
      <c r="BC365" s="632" t="str">
        <f t="shared" si="26"/>
        <v/>
      </c>
      <c r="BD365" s="633" t="str">
        <f>IF(AND(L365="",H365=""),"",
IF(H365="",Pole_Calc!A393,
IF(H365="MP",Pole_Calc!A394,
IF(H365="AnMP",Pole_Calc!A395,
IF(H365="A",Pole_Calc!A396,
IF(H365="S/A",Pole_Calc!A397,
IF(H365="A/S",Pole_Calc!A398,"Poner a mano")))))))</f>
        <v/>
      </c>
      <c r="BE365" s="448" t="s">
        <v>1726</v>
      </c>
      <c r="BF365" s="635"/>
      <c r="BG365" s="635"/>
      <c r="BH365" s="634"/>
      <c r="BI365" s="635"/>
    </row>
    <row r="366" spans="1:61" ht="16.2" customHeight="1">
      <c r="A366" s="12"/>
      <c r="B366" s="446"/>
      <c r="C366" s="89"/>
      <c r="D366" s="13"/>
      <c r="E366" s="14"/>
      <c r="F366" s="14"/>
      <c r="G366" s="15"/>
      <c r="H366" s="8"/>
      <c r="I366" s="8"/>
      <c r="J366" s="89"/>
      <c r="K366" s="8"/>
      <c r="L366" s="8"/>
      <c r="M366" s="8" t="str">
        <f>IF(L366="","",
IF(AX366="PT",VLOOKUP(L366,Foundation_Calc!$V$4:$X$37,VLOOKUP(AX366,Foundation_Calc!$I$10:$J$13,2,FALSE),0),
IF(AX366="K",VLOOKUP(L366,Foundation_Calc!$V$41:$X$74,VLOOKUP(AX366,Foundation_Calc!$I$10:$J$13,2,FALSE),0),"")))</f>
        <v/>
      </c>
      <c r="N366" s="8"/>
      <c r="O366" s="8"/>
      <c r="P366" s="8"/>
      <c r="Q366" s="14"/>
      <c r="R366" s="15"/>
      <c r="S366" s="15"/>
      <c r="T366" s="14"/>
      <c r="U366" s="14"/>
      <c r="V366" s="14"/>
      <c r="W366" s="18"/>
      <c r="X366" s="18"/>
      <c r="Y366" s="18"/>
      <c r="Z366" s="18"/>
      <c r="AA366" s="18"/>
      <c r="AB366" s="18"/>
      <c r="AC366" s="8" t="str">
        <f t="shared" si="23"/>
        <v/>
      </c>
      <c r="AD366" s="8"/>
      <c r="AE366" s="8"/>
      <c r="AF366" s="14"/>
      <c r="AG366" s="13"/>
      <c r="AH366" s="14"/>
      <c r="AI366" s="14"/>
      <c r="AJ366" s="8"/>
      <c r="AK366" s="8"/>
      <c r="AL366" s="8"/>
      <c r="AM366" s="8"/>
      <c r="AN366" s="631"/>
      <c r="AO366" s="18"/>
      <c r="AP366" s="18"/>
      <c r="AQ366" s="18"/>
      <c r="AR366" s="18"/>
      <c r="AS366" s="18"/>
      <c r="AU366" s="448"/>
      <c r="AV366" s="448"/>
      <c r="AW366" s="8" t="str">
        <f>IF(C366&gt;0,VLOOKUP(C366,Foundation_Calc!$A$2:$C$986,3,1),
IF(J366&gt;0,VLOOKUP(J366,Foundation_Calc!$A$2:$C$986,3,1),""))</f>
        <v/>
      </c>
      <c r="AX366" s="8" t="str">
        <f>IF(C366&gt;0,VLOOKUP(C366,Foundation_Calc!$E$2:$G$986,3,1),
IF(J366&gt;0,VLOOKUP(J366,Foundation_Calc!$E$2:$G$986,3,1),""))</f>
        <v/>
      </c>
      <c r="AY366" s="631" t="str">
        <f>IF(L366="","",
IF(AX366="PT",VLOOKUP(L366,Foundation_Calc!$K$4:$R$37,VLOOKUP(AW366,Foundation_Calc!$I$2:$J$8,2,FALSE),0),
IF(AX366="K",VLOOKUP(L366,Foundation_Calc!$K$41:$R$74,VLOOKUP(AW366,Foundation_Calc!$I$2:$J$8,2,FALSE),0),"")))</f>
        <v/>
      </c>
      <c r="AZ366" s="631" t="str">
        <f>IF(K366="","",
IF(AX366="PT",VLOOKUP(K366,Foundation_Calc!$K$4:$R$37,VLOOKUP(AW366,Foundation_Calc!$I$2:$J$8,2,FALSE),0),
IF(AX366="K",VLOOKUP(K366,Foundation_Calc!$K$41:$R$74,VLOOKUP(AW366,Foundation_Calc!$I$2:$J$8,2,FALSE),0),"")))</f>
        <v/>
      </c>
      <c r="BA366" s="632" t="str">
        <f t="shared" si="24"/>
        <v/>
      </c>
      <c r="BB366" s="632" t="str">
        <f t="shared" si="25"/>
        <v/>
      </c>
      <c r="BC366" s="632" t="str">
        <f t="shared" si="26"/>
        <v/>
      </c>
      <c r="BD366" s="633" t="str">
        <f>IF(AND(L366="",H366=""),"",
IF(H366="",Pole_Calc!A394,
IF(H366="MP",Pole_Calc!A395,
IF(H366="AnMP",Pole_Calc!A396,
IF(H366="A",Pole_Calc!A397,
IF(H366="S/A",Pole_Calc!A398,
IF(H366="A/S",Pole_Calc!A399,"Poner a mano")))))))</f>
        <v/>
      </c>
      <c r="BE366" s="448" t="s">
        <v>1726</v>
      </c>
      <c r="BF366" s="634"/>
      <c r="BG366" s="634"/>
      <c r="BH366" s="634"/>
      <c r="BI366" s="634"/>
    </row>
    <row r="367" spans="1:61" ht="16.2" customHeight="1">
      <c r="A367" s="12"/>
      <c r="B367" s="446"/>
      <c r="C367" s="89"/>
      <c r="D367" s="13"/>
      <c r="E367" s="14"/>
      <c r="F367" s="14"/>
      <c r="G367" s="15"/>
      <c r="H367" s="8"/>
      <c r="I367" s="8"/>
      <c r="J367" s="89"/>
      <c r="K367" s="8"/>
      <c r="L367" s="8"/>
      <c r="M367" s="8" t="str">
        <f>IF(L367="","",
IF(AX367="PT",VLOOKUP(L367,Foundation_Calc!$V$4:$X$37,VLOOKUP(AX367,Foundation_Calc!$I$10:$J$13,2,FALSE),0),
IF(AX367="K",VLOOKUP(L367,Foundation_Calc!$V$41:$X$74,VLOOKUP(AX367,Foundation_Calc!$I$10:$J$13,2,FALSE),0),"")))</f>
        <v/>
      </c>
      <c r="N367" s="8"/>
      <c r="O367" s="8"/>
      <c r="P367" s="8"/>
      <c r="Q367" s="14"/>
      <c r="R367" s="15"/>
      <c r="S367" s="15"/>
      <c r="T367" s="14"/>
      <c r="U367" s="14"/>
      <c r="V367" s="14"/>
      <c r="W367" s="18"/>
      <c r="X367" s="18"/>
      <c r="Y367" s="18"/>
      <c r="Z367" s="18"/>
      <c r="AA367" s="18"/>
      <c r="AB367" s="18"/>
      <c r="AC367" s="8" t="str">
        <f t="shared" si="23"/>
        <v/>
      </c>
      <c r="AD367" s="8"/>
      <c r="AE367" s="8"/>
      <c r="AF367" s="14"/>
      <c r="AG367" s="13"/>
      <c r="AH367" s="14"/>
      <c r="AI367" s="14"/>
      <c r="AJ367" s="8"/>
      <c r="AK367" s="8"/>
      <c r="AL367" s="8"/>
      <c r="AM367" s="8"/>
      <c r="AN367" s="631"/>
      <c r="AO367" s="18"/>
      <c r="AP367" s="18"/>
      <c r="AQ367" s="18"/>
      <c r="AR367" s="18"/>
      <c r="AS367" s="18"/>
      <c r="AU367" s="448"/>
      <c r="AV367" s="448"/>
      <c r="AW367" s="8" t="str">
        <f>IF(C367&gt;0,VLOOKUP(C367,Foundation_Calc!$A$2:$C$986,3,1),
IF(J367&gt;0,VLOOKUP(J367,Foundation_Calc!$A$2:$C$986,3,1),""))</f>
        <v/>
      </c>
      <c r="AX367" s="8" t="str">
        <f>IF(C367&gt;0,VLOOKUP(C367,Foundation_Calc!$E$2:$G$986,3,1),
IF(J367&gt;0,VLOOKUP(J367,Foundation_Calc!$E$2:$G$986,3,1),""))</f>
        <v/>
      </c>
      <c r="AY367" s="631" t="str">
        <f>IF(L367="","",
IF(AX367="PT",VLOOKUP(L367,Foundation_Calc!$K$4:$R$37,VLOOKUP(AW367,Foundation_Calc!$I$2:$J$8,2,FALSE),0),
IF(AX367="K",VLOOKUP(L367,Foundation_Calc!$K$41:$R$74,VLOOKUP(AW367,Foundation_Calc!$I$2:$J$8,2,FALSE),0),"")))</f>
        <v/>
      </c>
      <c r="AZ367" s="631" t="str">
        <f>IF(K367="","",
IF(AX367="PT",VLOOKUP(K367,Foundation_Calc!$K$4:$R$37,VLOOKUP(AW367,Foundation_Calc!$I$2:$J$8,2,FALSE),0),
IF(AX367="K",VLOOKUP(K367,Foundation_Calc!$K$41:$R$74,VLOOKUP(AW367,Foundation_Calc!$I$2:$J$8,2,FALSE),0),"")))</f>
        <v/>
      </c>
      <c r="BA367" s="632" t="str">
        <f t="shared" si="24"/>
        <v/>
      </c>
      <c r="BB367" s="632" t="str">
        <f t="shared" si="25"/>
        <v/>
      </c>
      <c r="BC367" s="632" t="str">
        <f t="shared" si="26"/>
        <v/>
      </c>
      <c r="BD367" s="633" t="str">
        <f>IF(AND(L367="",H367=""),"",
IF(H367="",Pole_Calc!A395,
IF(H367="MP",Pole_Calc!A396,
IF(H367="AnMP",Pole_Calc!A397,
IF(H367="A",Pole_Calc!A398,
IF(H367="S/A",Pole_Calc!A399,
IF(H367="A/S",Pole_Calc!A400,"Poner a mano")))))))</f>
        <v/>
      </c>
      <c r="BE367" s="448" t="s">
        <v>1726</v>
      </c>
      <c r="BF367" s="635"/>
      <c r="BG367" s="635"/>
      <c r="BH367" s="634"/>
      <c r="BI367" s="635"/>
    </row>
    <row r="368" spans="1:61" ht="16.2" customHeight="1">
      <c r="A368" s="12"/>
      <c r="B368" s="446"/>
      <c r="C368" s="89"/>
      <c r="D368" s="13"/>
      <c r="E368" s="14"/>
      <c r="F368" s="14"/>
      <c r="G368" s="15"/>
      <c r="H368" s="8"/>
      <c r="I368" s="8"/>
      <c r="J368" s="89"/>
      <c r="K368" s="8"/>
      <c r="L368" s="8"/>
      <c r="M368" s="8" t="str">
        <f>IF(L368="","",
IF(AX368="PT",VLOOKUP(L368,Foundation_Calc!$V$4:$X$37,VLOOKUP(AX368,Foundation_Calc!$I$10:$J$13,2,FALSE),0),
IF(AX368="K",VLOOKUP(L368,Foundation_Calc!$V$41:$X$74,VLOOKUP(AX368,Foundation_Calc!$I$10:$J$13,2,FALSE),0),"")))</f>
        <v/>
      </c>
      <c r="N368" s="8"/>
      <c r="O368" s="8"/>
      <c r="P368" s="8"/>
      <c r="Q368" s="14"/>
      <c r="R368" s="15"/>
      <c r="S368" s="15"/>
      <c r="T368" s="14"/>
      <c r="U368" s="14"/>
      <c r="V368" s="14"/>
      <c r="W368" s="18"/>
      <c r="X368" s="18"/>
      <c r="Y368" s="18"/>
      <c r="Z368" s="18"/>
      <c r="AA368" s="18"/>
      <c r="AB368" s="18"/>
      <c r="AC368" s="8" t="str">
        <f t="shared" si="23"/>
        <v/>
      </c>
      <c r="AD368" s="8"/>
      <c r="AE368" s="8"/>
      <c r="AF368" s="14"/>
      <c r="AG368" s="13"/>
      <c r="AH368" s="14"/>
      <c r="AI368" s="14"/>
      <c r="AJ368" s="8"/>
      <c r="AK368" s="8"/>
      <c r="AL368" s="8"/>
      <c r="AM368" s="8"/>
      <c r="AN368" s="631"/>
      <c r="AO368" s="18"/>
      <c r="AP368" s="18"/>
      <c r="AQ368" s="18"/>
      <c r="AR368" s="18"/>
      <c r="AS368" s="18"/>
      <c r="AU368" s="448"/>
      <c r="AV368" s="448"/>
      <c r="AW368" s="8" t="str">
        <f>IF(C368&gt;0,VLOOKUP(C368,Foundation_Calc!$A$2:$C$986,3,1),
IF(J368&gt;0,VLOOKUP(J368,Foundation_Calc!$A$2:$C$986,3,1),""))</f>
        <v/>
      </c>
      <c r="AX368" s="8" t="str">
        <f>IF(C368&gt;0,VLOOKUP(C368,Foundation_Calc!$E$2:$G$986,3,1),
IF(J368&gt;0,VLOOKUP(J368,Foundation_Calc!$E$2:$G$986,3,1),""))</f>
        <v/>
      </c>
      <c r="AY368" s="631" t="str">
        <f>IF(L368="","",
IF(AX368="PT",VLOOKUP(L368,Foundation_Calc!$K$4:$R$37,VLOOKUP(AW368,Foundation_Calc!$I$2:$J$8,2,FALSE),0),
IF(AX368="K",VLOOKUP(L368,Foundation_Calc!$K$41:$R$74,VLOOKUP(AW368,Foundation_Calc!$I$2:$J$8,2,FALSE),0),"")))</f>
        <v/>
      </c>
      <c r="AZ368" s="631" t="str">
        <f>IF(K368="","",
IF(AX368="PT",VLOOKUP(K368,Foundation_Calc!$K$4:$R$37,VLOOKUP(AW368,Foundation_Calc!$I$2:$J$8,2,FALSE),0),
IF(AX368="K",VLOOKUP(K368,Foundation_Calc!$K$41:$R$74,VLOOKUP(AW368,Foundation_Calc!$I$2:$J$8,2,FALSE),0),"")))</f>
        <v/>
      </c>
      <c r="BA368" s="632" t="str">
        <f t="shared" si="24"/>
        <v/>
      </c>
      <c r="BB368" s="632" t="str">
        <f t="shared" si="25"/>
        <v/>
      </c>
      <c r="BC368" s="632" t="str">
        <f t="shared" si="26"/>
        <v/>
      </c>
      <c r="BD368" s="633" t="str">
        <f>IF(AND(L368="",H368=""),"",
IF(H368="",Pole_Calc!A396,
IF(H368="MP",Pole_Calc!A397,
IF(H368="AnMP",Pole_Calc!A398,
IF(H368="A",Pole_Calc!A399,
IF(H368="S/A",Pole_Calc!A400,
IF(H368="A/S",Pole_Calc!A401,"Poner a mano")))))))</f>
        <v/>
      </c>
      <c r="BE368" s="448" t="s">
        <v>1726</v>
      </c>
      <c r="BF368" s="634"/>
      <c r="BG368" s="634"/>
      <c r="BH368" s="634"/>
      <c r="BI368" s="634"/>
    </row>
    <row r="369" spans="1:61" ht="16.2" customHeight="1">
      <c r="A369" s="12"/>
      <c r="B369" s="446"/>
      <c r="C369" s="89"/>
      <c r="D369" s="13"/>
      <c r="E369" s="14"/>
      <c r="F369" s="14"/>
      <c r="G369" s="15"/>
      <c r="H369" s="8"/>
      <c r="I369" s="8"/>
      <c r="J369" s="89"/>
      <c r="K369" s="8"/>
      <c r="L369" s="8"/>
      <c r="M369" s="8" t="str">
        <f>IF(L369="","",
IF(AX369="PT",VLOOKUP(L369,Foundation_Calc!$V$4:$X$37,VLOOKUP(AX369,Foundation_Calc!$I$10:$J$13,2,FALSE),0),
IF(AX369="K",VLOOKUP(L369,Foundation_Calc!$V$41:$X$74,VLOOKUP(AX369,Foundation_Calc!$I$10:$J$13,2,FALSE),0),"")))</f>
        <v/>
      </c>
      <c r="N369" s="8"/>
      <c r="O369" s="8"/>
      <c r="P369" s="8"/>
      <c r="Q369" s="14"/>
      <c r="R369" s="15"/>
      <c r="S369" s="15"/>
      <c r="T369" s="14"/>
      <c r="U369" s="14"/>
      <c r="V369" s="14"/>
      <c r="W369" s="18"/>
      <c r="X369" s="18"/>
      <c r="Y369" s="18"/>
      <c r="Z369" s="18"/>
      <c r="AA369" s="18"/>
      <c r="AB369" s="18"/>
      <c r="AC369" s="8" t="str">
        <f t="shared" si="23"/>
        <v/>
      </c>
      <c r="AD369" s="8"/>
      <c r="AE369" s="8"/>
      <c r="AF369" s="14"/>
      <c r="AG369" s="13"/>
      <c r="AH369" s="14"/>
      <c r="AI369" s="14"/>
      <c r="AJ369" s="8"/>
      <c r="AK369" s="8"/>
      <c r="AL369" s="8"/>
      <c r="AM369" s="8"/>
      <c r="AN369" s="631"/>
      <c r="AO369" s="18"/>
      <c r="AP369" s="18"/>
      <c r="AQ369" s="18"/>
      <c r="AR369" s="18"/>
      <c r="AS369" s="18"/>
      <c r="AU369" s="448"/>
      <c r="AV369" s="448"/>
      <c r="AW369" s="8" t="str">
        <f>IF(C369&gt;0,VLOOKUP(C369,Foundation_Calc!$A$2:$C$986,3,1),
IF(J369&gt;0,VLOOKUP(J369,Foundation_Calc!$A$2:$C$986,3,1),""))</f>
        <v/>
      </c>
      <c r="AX369" s="8" t="str">
        <f>IF(C369&gt;0,VLOOKUP(C369,Foundation_Calc!$E$2:$G$986,3,1),
IF(J369&gt;0,VLOOKUP(J369,Foundation_Calc!$E$2:$G$986,3,1),""))</f>
        <v/>
      </c>
      <c r="AY369" s="631" t="str">
        <f>IF(L369="","",
IF(AX369="PT",VLOOKUP(L369,Foundation_Calc!$K$4:$R$37,VLOOKUP(AW369,Foundation_Calc!$I$2:$J$8,2,FALSE),0),
IF(AX369="K",VLOOKUP(L369,Foundation_Calc!$K$41:$R$74,VLOOKUP(AW369,Foundation_Calc!$I$2:$J$8,2,FALSE),0),"")))</f>
        <v/>
      </c>
      <c r="AZ369" s="631" t="str">
        <f>IF(K369="","",
IF(AX369="PT",VLOOKUP(K369,Foundation_Calc!$K$4:$R$37,VLOOKUP(AW369,Foundation_Calc!$I$2:$J$8,2,FALSE),0),
IF(AX369="K",VLOOKUP(K369,Foundation_Calc!$K$41:$R$74,VLOOKUP(AW369,Foundation_Calc!$I$2:$J$8,2,FALSE),0),"")))</f>
        <v/>
      </c>
      <c r="BA369" s="632" t="str">
        <f t="shared" si="24"/>
        <v/>
      </c>
      <c r="BB369" s="632" t="str">
        <f t="shared" si="25"/>
        <v/>
      </c>
      <c r="BC369" s="632" t="str">
        <f t="shared" si="26"/>
        <v/>
      </c>
      <c r="BD369" s="633" t="str">
        <f>IF(AND(L369="",H369=""),"",
IF(H369="",Pole_Calc!A397,
IF(H369="MP",Pole_Calc!A398,
IF(H369="AnMP",Pole_Calc!A399,
IF(H369="A",Pole_Calc!A400,
IF(H369="S/A",Pole_Calc!A401,
IF(H369="A/S",Pole_Calc!A402,"Poner a mano")))))))</f>
        <v/>
      </c>
      <c r="BE369" s="448" t="s">
        <v>1726</v>
      </c>
      <c r="BF369" s="635"/>
      <c r="BG369" s="635"/>
      <c r="BH369" s="634"/>
      <c r="BI369" s="635"/>
    </row>
    <row r="370" spans="1:61" ht="16.2" customHeight="1">
      <c r="A370" s="12"/>
      <c r="B370" s="446"/>
      <c r="C370" s="89"/>
      <c r="D370" s="13"/>
      <c r="E370" s="14"/>
      <c r="F370" s="14"/>
      <c r="G370" s="15"/>
      <c r="H370" s="8"/>
      <c r="I370" s="8"/>
      <c r="J370" s="89"/>
      <c r="K370" s="8"/>
      <c r="L370" s="8"/>
      <c r="M370" s="8" t="str">
        <f>IF(L370="","",
IF(AX370="PT",VLOOKUP(L370,Foundation_Calc!$V$4:$X$37,VLOOKUP(AX370,Foundation_Calc!$I$10:$J$13,2,FALSE),0),
IF(AX370="K",VLOOKUP(L370,Foundation_Calc!$V$41:$X$74,VLOOKUP(AX370,Foundation_Calc!$I$10:$J$13,2,FALSE),0),"")))</f>
        <v/>
      </c>
      <c r="N370" s="8"/>
      <c r="O370" s="8"/>
      <c r="P370" s="8"/>
      <c r="Q370" s="14"/>
      <c r="R370" s="15"/>
      <c r="S370" s="15"/>
      <c r="T370" s="14"/>
      <c r="U370" s="14"/>
      <c r="V370" s="14"/>
      <c r="W370" s="18"/>
      <c r="X370" s="18"/>
      <c r="Y370" s="18"/>
      <c r="Z370" s="18"/>
      <c r="AA370" s="18"/>
      <c r="AB370" s="18"/>
      <c r="AC370" s="8" t="str">
        <f t="shared" si="23"/>
        <v/>
      </c>
      <c r="AD370" s="8"/>
      <c r="AE370" s="8"/>
      <c r="AF370" s="14"/>
      <c r="AG370" s="13"/>
      <c r="AH370" s="14"/>
      <c r="AI370" s="14"/>
      <c r="AJ370" s="8"/>
      <c r="AK370" s="8"/>
      <c r="AL370" s="8"/>
      <c r="AM370" s="8"/>
      <c r="AN370" s="631"/>
      <c r="AO370" s="18"/>
      <c r="AP370" s="18"/>
      <c r="AQ370" s="18"/>
      <c r="AR370" s="18"/>
      <c r="AS370" s="18"/>
      <c r="AU370" s="448"/>
      <c r="AV370" s="448"/>
      <c r="AW370" s="8" t="str">
        <f>IF(C370&gt;0,VLOOKUP(C370,Foundation_Calc!$A$2:$C$986,3,1),
IF(J370&gt;0,VLOOKUP(J370,Foundation_Calc!$A$2:$C$986,3,1),""))</f>
        <v/>
      </c>
      <c r="AX370" s="8" t="str">
        <f>IF(C370&gt;0,VLOOKUP(C370,Foundation_Calc!$E$2:$G$986,3,1),
IF(J370&gt;0,VLOOKUP(J370,Foundation_Calc!$E$2:$G$986,3,1),""))</f>
        <v/>
      </c>
      <c r="AY370" s="631" t="str">
        <f>IF(L370="","",
IF(AX370="PT",VLOOKUP(L370,Foundation_Calc!$K$4:$R$37,VLOOKUP(AW370,Foundation_Calc!$I$2:$J$8,2,FALSE),0),
IF(AX370="K",VLOOKUP(L370,Foundation_Calc!$K$41:$R$74,VLOOKUP(AW370,Foundation_Calc!$I$2:$J$8,2,FALSE),0),"")))</f>
        <v/>
      </c>
      <c r="AZ370" s="631" t="str">
        <f>IF(K370="","",
IF(AX370="PT",VLOOKUP(K370,Foundation_Calc!$K$4:$R$37,VLOOKUP(AW370,Foundation_Calc!$I$2:$J$8,2,FALSE),0),
IF(AX370="K",VLOOKUP(K370,Foundation_Calc!$K$41:$R$74,VLOOKUP(AW370,Foundation_Calc!$I$2:$J$8,2,FALSE),0),"")))</f>
        <v/>
      </c>
      <c r="BA370" s="632" t="str">
        <f t="shared" si="24"/>
        <v/>
      </c>
      <c r="BB370" s="632" t="str">
        <f t="shared" si="25"/>
        <v/>
      </c>
      <c r="BC370" s="632" t="str">
        <f t="shared" si="26"/>
        <v/>
      </c>
      <c r="BD370" s="633" t="str">
        <f>IF(AND(L370="",H370=""),"",
IF(H370="",Pole_Calc!A398,
IF(H370="MP",Pole_Calc!A399,
IF(H370="AnMP",Pole_Calc!A400,
IF(H370="A",Pole_Calc!A401,
IF(H370="S/A",Pole_Calc!A402,
IF(H370="A/S",Pole_Calc!A403,"Poner a mano")))))))</f>
        <v/>
      </c>
      <c r="BE370" s="448" t="s">
        <v>1726</v>
      </c>
      <c r="BF370" s="634"/>
      <c r="BG370" s="634"/>
      <c r="BH370" s="634"/>
      <c r="BI370" s="634"/>
    </row>
    <row r="371" spans="1:61" ht="16.2" customHeight="1">
      <c r="A371" s="12"/>
      <c r="B371" s="446"/>
      <c r="C371" s="89"/>
      <c r="D371" s="13"/>
      <c r="E371" s="14"/>
      <c r="F371" s="14"/>
      <c r="G371" s="15"/>
      <c r="H371" s="8"/>
      <c r="I371" s="8"/>
      <c r="J371" s="89"/>
      <c r="K371" s="8"/>
      <c r="L371" s="8"/>
      <c r="M371" s="8" t="str">
        <f>IF(L371="","",
IF(AX371="PT",VLOOKUP(L371,Foundation_Calc!$V$4:$X$37,VLOOKUP(AX371,Foundation_Calc!$I$10:$J$13,2,FALSE),0),
IF(AX371="K",VLOOKUP(L371,Foundation_Calc!$V$41:$X$74,VLOOKUP(AX371,Foundation_Calc!$I$10:$J$13,2,FALSE),0),"")))</f>
        <v/>
      </c>
      <c r="N371" s="8"/>
      <c r="O371" s="8"/>
      <c r="P371" s="8"/>
      <c r="Q371" s="14"/>
      <c r="R371" s="15"/>
      <c r="S371" s="15"/>
      <c r="T371" s="14"/>
      <c r="U371" s="14"/>
      <c r="V371" s="14"/>
      <c r="W371" s="18"/>
      <c r="X371" s="18"/>
      <c r="Y371" s="18"/>
      <c r="Z371" s="18"/>
      <c r="AA371" s="18"/>
      <c r="AB371" s="18"/>
      <c r="AC371" s="8" t="str">
        <f t="shared" si="23"/>
        <v/>
      </c>
      <c r="AD371" s="8"/>
      <c r="AE371" s="8"/>
      <c r="AF371" s="14"/>
      <c r="AG371" s="13"/>
      <c r="AH371" s="14"/>
      <c r="AI371" s="14"/>
      <c r="AJ371" s="8"/>
      <c r="AK371" s="8"/>
      <c r="AL371" s="8"/>
      <c r="AM371" s="8"/>
      <c r="AN371" s="631"/>
      <c r="AO371" s="18"/>
      <c r="AP371" s="18"/>
      <c r="AQ371" s="18"/>
      <c r="AR371" s="18"/>
      <c r="AS371" s="18"/>
      <c r="AU371" s="448"/>
      <c r="AV371" s="448"/>
      <c r="AW371" s="8" t="str">
        <f>IF(C371&gt;0,VLOOKUP(C371,Foundation_Calc!$A$2:$C$986,3,1),
IF(J371&gt;0,VLOOKUP(J371,Foundation_Calc!$A$2:$C$986,3,1),""))</f>
        <v/>
      </c>
      <c r="AX371" s="8" t="str">
        <f>IF(C371&gt;0,VLOOKUP(C371,Foundation_Calc!$E$2:$G$986,3,1),
IF(J371&gt;0,VLOOKUP(J371,Foundation_Calc!$E$2:$G$986,3,1),""))</f>
        <v/>
      </c>
      <c r="AY371" s="631" t="str">
        <f>IF(L371="","",
IF(AX371="PT",VLOOKUP(L371,Foundation_Calc!$K$4:$R$37,VLOOKUP(AW371,Foundation_Calc!$I$2:$J$8,2,FALSE),0),
IF(AX371="K",VLOOKUP(L371,Foundation_Calc!$K$41:$R$74,VLOOKUP(AW371,Foundation_Calc!$I$2:$J$8,2,FALSE),0),"")))</f>
        <v/>
      </c>
      <c r="AZ371" s="631" t="str">
        <f>IF(K371="","",
IF(AX371="PT",VLOOKUP(K371,Foundation_Calc!$K$4:$R$37,VLOOKUP(AW371,Foundation_Calc!$I$2:$J$8,2,FALSE),0),
IF(AX371="K",VLOOKUP(K371,Foundation_Calc!$K$41:$R$74,VLOOKUP(AW371,Foundation_Calc!$I$2:$J$8,2,FALSE),0),"")))</f>
        <v/>
      </c>
      <c r="BA371" s="632" t="str">
        <f t="shared" si="24"/>
        <v/>
      </c>
      <c r="BB371" s="632" t="str">
        <f t="shared" si="25"/>
        <v/>
      </c>
      <c r="BC371" s="632" t="str">
        <f t="shared" si="26"/>
        <v/>
      </c>
      <c r="BD371" s="633" t="str">
        <f>IF(AND(L371="",H371=""),"",
IF(H371="",Pole_Calc!A399,
IF(H371="MP",Pole_Calc!A400,
IF(H371="AnMP",Pole_Calc!A401,
IF(H371="A",Pole_Calc!A402,
IF(H371="S/A",Pole_Calc!A403,
IF(H371="A/S",Pole_Calc!A404,"Poner a mano")))))))</f>
        <v/>
      </c>
      <c r="BE371" s="448" t="s">
        <v>1726</v>
      </c>
      <c r="BF371" s="635"/>
      <c r="BG371" s="635"/>
      <c r="BH371" s="634"/>
      <c r="BI371" s="635"/>
    </row>
    <row r="372" spans="1:61" ht="16.2" customHeight="1">
      <c r="A372" s="12"/>
      <c r="B372" s="446"/>
      <c r="C372" s="89"/>
      <c r="D372" s="13"/>
      <c r="E372" s="14"/>
      <c r="F372" s="14"/>
      <c r="G372" s="15"/>
      <c r="H372" s="8"/>
      <c r="I372" s="8"/>
      <c r="J372" s="89"/>
      <c r="K372" s="8"/>
      <c r="L372" s="8"/>
      <c r="M372" s="8" t="str">
        <f>IF(L372="","",
IF(AX372="PT",VLOOKUP(L372,Foundation_Calc!$V$4:$X$37,VLOOKUP(AX372,Foundation_Calc!$I$10:$J$13,2,FALSE),0),
IF(AX372="K",VLOOKUP(L372,Foundation_Calc!$V$41:$X$74,VLOOKUP(AX372,Foundation_Calc!$I$10:$J$13,2,FALSE),0),"")))</f>
        <v/>
      </c>
      <c r="N372" s="8"/>
      <c r="O372" s="8"/>
      <c r="P372" s="8"/>
      <c r="Q372" s="14"/>
      <c r="R372" s="15"/>
      <c r="S372" s="15"/>
      <c r="T372" s="14"/>
      <c r="U372" s="14"/>
      <c r="V372" s="14"/>
      <c r="W372" s="18"/>
      <c r="X372" s="18"/>
      <c r="Y372" s="18"/>
      <c r="Z372" s="18"/>
      <c r="AA372" s="18"/>
      <c r="AB372" s="18"/>
      <c r="AC372" s="8" t="str">
        <f t="shared" si="23"/>
        <v/>
      </c>
      <c r="AD372" s="8"/>
      <c r="AE372" s="8"/>
      <c r="AF372" s="14"/>
      <c r="AG372" s="13"/>
      <c r="AH372" s="14"/>
      <c r="AI372" s="14"/>
      <c r="AJ372" s="8"/>
      <c r="AK372" s="8"/>
      <c r="AL372" s="8"/>
      <c r="AM372" s="8"/>
      <c r="AN372" s="631"/>
      <c r="AO372" s="18"/>
      <c r="AP372" s="18"/>
      <c r="AQ372" s="18"/>
      <c r="AR372" s="18"/>
      <c r="AS372" s="18"/>
      <c r="AU372" s="448"/>
      <c r="AV372" s="448"/>
      <c r="AW372" s="8" t="str">
        <f>IF(C372&gt;0,VLOOKUP(C372,Foundation_Calc!$A$2:$C$986,3,1),
IF(J372&gt;0,VLOOKUP(J372,Foundation_Calc!$A$2:$C$986,3,1),""))</f>
        <v/>
      </c>
      <c r="AX372" s="8" t="str">
        <f>IF(C372&gt;0,VLOOKUP(C372,Foundation_Calc!$E$2:$G$986,3,1),
IF(J372&gt;0,VLOOKUP(J372,Foundation_Calc!$E$2:$G$986,3,1),""))</f>
        <v/>
      </c>
      <c r="AY372" s="631" t="str">
        <f>IF(L372="","",
IF(AX372="PT",VLOOKUP(L372,Foundation_Calc!$K$4:$R$37,VLOOKUP(AW372,Foundation_Calc!$I$2:$J$8,2,FALSE),0),
IF(AX372="K",VLOOKUP(L372,Foundation_Calc!$K$41:$R$74,VLOOKUP(AW372,Foundation_Calc!$I$2:$J$8,2,FALSE),0),"")))</f>
        <v/>
      </c>
      <c r="AZ372" s="631" t="str">
        <f>IF(K372="","",
IF(AX372="PT",VLOOKUP(K372,Foundation_Calc!$K$4:$R$37,VLOOKUP(AW372,Foundation_Calc!$I$2:$J$8,2,FALSE),0),
IF(AX372="K",VLOOKUP(K372,Foundation_Calc!$K$41:$R$74,VLOOKUP(AW372,Foundation_Calc!$I$2:$J$8,2,FALSE),0),"")))</f>
        <v/>
      </c>
      <c r="BA372" s="632" t="str">
        <f t="shared" si="24"/>
        <v/>
      </c>
      <c r="BB372" s="632" t="str">
        <f t="shared" si="25"/>
        <v/>
      </c>
      <c r="BC372" s="632" t="str">
        <f t="shared" si="26"/>
        <v/>
      </c>
      <c r="BD372" s="633" t="str">
        <f>IF(AND(L372="",H372=""),"",
IF(H372="",Pole_Calc!A400,
IF(H372="MP",Pole_Calc!A401,
IF(H372="AnMP",Pole_Calc!A402,
IF(H372="A",Pole_Calc!A403,
IF(H372="S/A",Pole_Calc!A404,
IF(H372="A/S",Pole_Calc!A405,"Poner a mano")))))))</f>
        <v/>
      </c>
      <c r="BE372" s="448" t="s">
        <v>1726</v>
      </c>
      <c r="BF372" s="634"/>
      <c r="BG372" s="634"/>
      <c r="BH372" s="634"/>
      <c r="BI372" s="634"/>
    </row>
    <row r="373" spans="1:61" ht="16.2" customHeight="1">
      <c r="A373" s="12"/>
      <c r="B373" s="446"/>
      <c r="C373" s="89"/>
      <c r="D373" s="13"/>
      <c r="E373" s="14"/>
      <c r="F373" s="14"/>
      <c r="G373" s="15"/>
      <c r="H373" s="8"/>
      <c r="I373" s="8"/>
      <c r="J373" s="89"/>
      <c r="K373" s="8"/>
      <c r="L373" s="8"/>
      <c r="M373" s="8" t="str">
        <f>IF(L373="","",
IF(AX373="PT",VLOOKUP(L373,Foundation_Calc!$V$4:$X$37,VLOOKUP(AX373,Foundation_Calc!$I$10:$J$13,2,FALSE),0),
IF(AX373="K",VLOOKUP(L373,Foundation_Calc!$V$41:$X$74,VLOOKUP(AX373,Foundation_Calc!$I$10:$J$13,2,FALSE),0),"")))</f>
        <v/>
      </c>
      <c r="N373" s="8"/>
      <c r="O373" s="8"/>
      <c r="P373" s="8"/>
      <c r="Q373" s="14"/>
      <c r="R373" s="15"/>
      <c r="S373" s="15"/>
      <c r="T373" s="14"/>
      <c r="U373" s="14"/>
      <c r="V373" s="14"/>
      <c r="W373" s="18"/>
      <c r="X373" s="18"/>
      <c r="Y373" s="18"/>
      <c r="Z373" s="18"/>
      <c r="AA373" s="18"/>
      <c r="AB373" s="18"/>
      <c r="AC373" s="8" t="str">
        <f t="shared" si="23"/>
        <v/>
      </c>
      <c r="AD373" s="8"/>
      <c r="AE373" s="8"/>
      <c r="AF373" s="14"/>
      <c r="AG373" s="13"/>
      <c r="AH373" s="14"/>
      <c r="AI373" s="14"/>
      <c r="AJ373" s="8"/>
      <c r="AK373" s="8"/>
      <c r="AL373" s="8"/>
      <c r="AM373" s="8"/>
      <c r="AN373" s="631"/>
      <c r="AO373" s="18"/>
      <c r="AP373" s="18"/>
      <c r="AQ373" s="18"/>
      <c r="AR373" s="18"/>
      <c r="AS373" s="18"/>
      <c r="AU373" s="448"/>
      <c r="AV373" s="448"/>
      <c r="AW373" s="8" t="str">
        <f>IF(C373&gt;0,VLOOKUP(C373,Foundation_Calc!$A$2:$C$986,3,1),
IF(J373&gt;0,VLOOKUP(J373,Foundation_Calc!$A$2:$C$986,3,1),""))</f>
        <v/>
      </c>
      <c r="AX373" s="8" t="str">
        <f>IF(C373&gt;0,VLOOKUP(C373,Foundation_Calc!$E$2:$G$986,3,1),
IF(J373&gt;0,VLOOKUP(J373,Foundation_Calc!$E$2:$G$986,3,1),""))</f>
        <v/>
      </c>
      <c r="AY373" s="631" t="str">
        <f>IF(L373="","",
IF(AX373="PT",VLOOKUP(L373,Foundation_Calc!$K$4:$R$37,VLOOKUP(AW373,Foundation_Calc!$I$2:$J$8,2,FALSE),0),
IF(AX373="K",VLOOKUP(L373,Foundation_Calc!$K$41:$R$74,VLOOKUP(AW373,Foundation_Calc!$I$2:$J$8,2,FALSE),0),"")))</f>
        <v/>
      </c>
      <c r="AZ373" s="631" t="str">
        <f>IF(K373="","",
IF(AX373="PT",VLOOKUP(K373,Foundation_Calc!$K$4:$R$37,VLOOKUP(AW373,Foundation_Calc!$I$2:$J$8,2,FALSE),0),
IF(AX373="K",VLOOKUP(K373,Foundation_Calc!$K$41:$R$74,VLOOKUP(AW373,Foundation_Calc!$I$2:$J$8,2,FALSE),0),"")))</f>
        <v/>
      </c>
      <c r="BA373" s="632" t="str">
        <f t="shared" si="24"/>
        <v/>
      </c>
      <c r="BB373" s="632" t="str">
        <f t="shared" si="25"/>
        <v/>
      </c>
      <c r="BC373" s="632" t="str">
        <f t="shared" si="26"/>
        <v/>
      </c>
      <c r="BD373" s="633" t="str">
        <f>IF(AND(L373="",H373=""),"",
IF(H373="",Pole_Calc!A401,
IF(H373="MP",Pole_Calc!A402,
IF(H373="AnMP",Pole_Calc!A403,
IF(H373="A",Pole_Calc!A404,
IF(H373="S/A",Pole_Calc!A405,
IF(H373="A/S",Pole_Calc!A406,"Poner a mano")))))))</f>
        <v/>
      </c>
      <c r="BE373" s="448" t="s">
        <v>1726</v>
      </c>
      <c r="BF373" s="635"/>
      <c r="BG373" s="635"/>
      <c r="BH373" s="634"/>
      <c r="BI373" s="635"/>
    </row>
    <row r="374" spans="1:61" ht="16.2" customHeight="1">
      <c r="A374" s="12"/>
      <c r="B374" s="446"/>
      <c r="C374" s="89"/>
      <c r="D374" s="13"/>
      <c r="E374" s="14"/>
      <c r="F374" s="14"/>
      <c r="G374" s="15"/>
      <c r="H374" s="8"/>
      <c r="I374" s="8"/>
      <c r="J374" s="89"/>
      <c r="K374" s="8"/>
      <c r="L374" s="8"/>
      <c r="M374" s="8" t="str">
        <f>IF(L374="","",
IF(AX374="PT",VLOOKUP(L374,Foundation_Calc!$V$4:$X$37,VLOOKUP(AX374,Foundation_Calc!$I$10:$J$13,2,FALSE),0),
IF(AX374="K",VLOOKUP(L374,Foundation_Calc!$V$41:$X$74,VLOOKUP(AX374,Foundation_Calc!$I$10:$J$13,2,FALSE),0),"")))</f>
        <v/>
      </c>
      <c r="N374" s="8"/>
      <c r="O374" s="8"/>
      <c r="P374" s="8"/>
      <c r="Q374" s="14"/>
      <c r="R374" s="15"/>
      <c r="S374" s="15"/>
      <c r="T374" s="14"/>
      <c r="U374" s="14"/>
      <c r="V374" s="14"/>
      <c r="W374" s="18"/>
      <c r="X374" s="18"/>
      <c r="Y374" s="18"/>
      <c r="Z374" s="18"/>
      <c r="AA374" s="18"/>
      <c r="AB374" s="18"/>
      <c r="AC374" s="8" t="str">
        <f t="shared" si="23"/>
        <v/>
      </c>
      <c r="AD374" s="8"/>
      <c r="AE374" s="8"/>
      <c r="AF374" s="14"/>
      <c r="AG374" s="13"/>
      <c r="AH374" s="14"/>
      <c r="AI374" s="14"/>
      <c r="AJ374" s="8"/>
      <c r="AK374" s="8"/>
      <c r="AL374" s="8"/>
      <c r="AM374" s="8"/>
      <c r="AN374" s="631"/>
      <c r="AO374" s="18"/>
      <c r="AP374" s="18"/>
      <c r="AQ374" s="18"/>
      <c r="AR374" s="18"/>
      <c r="AS374" s="18"/>
      <c r="AU374" s="448"/>
      <c r="AV374" s="448"/>
      <c r="AW374" s="8" t="str">
        <f>IF(C374&gt;0,VLOOKUP(C374,Foundation_Calc!$A$2:$C$986,3,1),
IF(J374&gt;0,VLOOKUP(J374,Foundation_Calc!$A$2:$C$986,3,1),""))</f>
        <v/>
      </c>
      <c r="AX374" s="8" t="str">
        <f>IF(C374&gt;0,VLOOKUP(C374,Foundation_Calc!$E$2:$G$986,3,1),
IF(J374&gt;0,VLOOKUP(J374,Foundation_Calc!$E$2:$G$986,3,1),""))</f>
        <v/>
      </c>
      <c r="AY374" s="631" t="str">
        <f>IF(L374="","",
IF(AX374="PT",VLOOKUP(L374,Foundation_Calc!$K$4:$R$37,VLOOKUP(AW374,Foundation_Calc!$I$2:$J$8,2,FALSE),0),
IF(AX374="K",VLOOKUP(L374,Foundation_Calc!$K$41:$R$74,VLOOKUP(AW374,Foundation_Calc!$I$2:$J$8,2,FALSE),0),"")))</f>
        <v/>
      </c>
      <c r="AZ374" s="631" t="str">
        <f>IF(K374="","",
IF(AX374="PT",VLOOKUP(K374,Foundation_Calc!$K$4:$R$37,VLOOKUP(AW374,Foundation_Calc!$I$2:$J$8,2,FALSE),0),
IF(AX374="K",VLOOKUP(K374,Foundation_Calc!$K$41:$R$74,VLOOKUP(AW374,Foundation_Calc!$I$2:$J$8,2,FALSE),0),"")))</f>
        <v/>
      </c>
      <c r="BA374" s="632" t="str">
        <f t="shared" si="24"/>
        <v/>
      </c>
      <c r="BB374" s="632" t="str">
        <f t="shared" si="25"/>
        <v/>
      </c>
      <c r="BC374" s="632" t="str">
        <f t="shared" si="26"/>
        <v/>
      </c>
      <c r="BD374" s="633" t="str">
        <f>IF(AND(L374="",H374=""),"",
IF(H374="",Pole_Calc!A402,
IF(H374="MP",Pole_Calc!A403,
IF(H374="AnMP",Pole_Calc!A404,
IF(H374="A",Pole_Calc!A405,
IF(H374="S/A",Pole_Calc!A406,
IF(H374="A/S",Pole_Calc!A407,"Poner a mano")))))))</f>
        <v/>
      </c>
      <c r="BE374" s="448" t="s">
        <v>1726</v>
      </c>
      <c r="BF374" s="634"/>
      <c r="BG374" s="634"/>
      <c r="BH374" s="634"/>
      <c r="BI374" s="634"/>
    </row>
    <row r="375" spans="1:61" ht="16.2" customHeight="1">
      <c r="A375" s="12"/>
      <c r="B375" s="446"/>
      <c r="C375" s="89"/>
      <c r="D375" s="13"/>
      <c r="E375" s="14"/>
      <c r="F375" s="14"/>
      <c r="G375" s="15"/>
      <c r="H375" s="8"/>
      <c r="I375" s="8"/>
      <c r="J375" s="89"/>
      <c r="K375" s="8"/>
      <c r="L375" s="8"/>
      <c r="M375" s="8" t="str">
        <f>IF(L375="","",
IF(AX375="PT",VLOOKUP(L375,Foundation_Calc!$V$4:$X$37,VLOOKUP(AX375,Foundation_Calc!$I$10:$J$13,2,FALSE),0),
IF(AX375="K",VLOOKUP(L375,Foundation_Calc!$V$41:$X$74,VLOOKUP(AX375,Foundation_Calc!$I$10:$J$13,2,FALSE),0),"")))</f>
        <v/>
      </c>
      <c r="N375" s="8"/>
      <c r="O375" s="8"/>
      <c r="P375" s="8"/>
      <c r="Q375" s="14"/>
      <c r="R375" s="15"/>
      <c r="S375" s="15"/>
      <c r="T375" s="14"/>
      <c r="U375" s="14"/>
      <c r="V375" s="14"/>
      <c r="W375" s="18"/>
      <c r="X375" s="18"/>
      <c r="Y375" s="18"/>
      <c r="Z375" s="18"/>
      <c r="AA375" s="18"/>
      <c r="AB375" s="18"/>
      <c r="AC375" s="8" t="str">
        <f t="shared" si="23"/>
        <v/>
      </c>
      <c r="AD375" s="8"/>
      <c r="AE375" s="8"/>
      <c r="AF375" s="14"/>
      <c r="AG375" s="13"/>
      <c r="AH375" s="14"/>
      <c r="AI375" s="14"/>
      <c r="AJ375" s="8"/>
      <c r="AK375" s="8"/>
      <c r="AL375" s="8"/>
      <c r="AM375" s="8"/>
      <c r="AN375" s="631"/>
      <c r="AO375" s="18"/>
      <c r="AP375" s="18"/>
      <c r="AQ375" s="18"/>
      <c r="AR375" s="18"/>
      <c r="AS375" s="18"/>
      <c r="AU375" s="448"/>
      <c r="AV375" s="448"/>
      <c r="AW375" s="8" t="str">
        <f>IF(C375&gt;0,VLOOKUP(C375,Foundation_Calc!$A$2:$C$986,3,1),
IF(J375&gt;0,VLOOKUP(J375,Foundation_Calc!$A$2:$C$986,3,1),""))</f>
        <v/>
      </c>
      <c r="AX375" s="8" t="str">
        <f>IF(C375&gt;0,VLOOKUP(C375,Foundation_Calc!$E$2:$G$986,3,1),
IF(J375&gt;0,VLOOKUP(J375,Foundation_Calc!$E$2:$G$986,3,1),""))</f>
        <v/>
      </c>
      <c r="AY375" s="631" t="str">
        <f>IF(L375="","",
IF(AX375="PT",VLOOKUP(L375,Foundation_Calc!$K$4:$R$37,VLOOKUP(AW375,Foundation_Calc!$I$2:$J$8,2,FALSE),0),
IF(AX375="K",VLOOKUP(L375,Foundation_Calc!$K$41:$R$74,VLOOKUP(AW375,Foundation_Calc!$I$2:$J$8,2,FALSE),0),"")))</f>
        <v/>
      </c>
      <c r="AZ375" s="631" t="str">
        <f>IF(K375="","",
IF(AX375="PT",VLOOKUP(K375,Foundation_Calc!$K$4:$R$37,VLOOKUP(AW375,Foundation_Calc!$I$2:$J$8,2,FALSE),0),
IF(AX375="K",VLOOKUP(K375,Foundation_Calc!$K$41:$R$74,VLOOKUP(AW375,Foundation_Calc!$I$2:$J$8,2,FALSE),0),"")))</f>
        <v/>
      </c>
      <c r="BA375" s="632" t="str">
        <f t="shared" si="24"/>
        <v/>
      </c>
      <c r="BB375" s="632" t="str">
        <f t="shared" si="25"/>
        <v/>
      </c>
      <c r="BC375" s="632" t="str">
        <f t="shared" si="26"/>
        <v/>
      </c>
      <c r="BD375" s="633" t="str">
        <f>IF(AND(L375="",H375=""),"",
IF(H375="",Pole_Calc!A403,
IF(H375="MP",Pole_Calc!A404,
IF(H375="AnMP",Pole_Calc!A405,
IF(H375="A",Pole_Calc!A406,
IF(H375="S/A",Pole_Calc!A407,
IF(H375="A/S",Pole_Calc!A408,"Poner a mano")))))))</f>
        <v/>
      </c>
      <c r="BE375" s="448" t="s">
        <v>1726</v>
      </c>
      <c r="BF375" s="635"/>
      <c r="BG375" s="635"/>
      <c r="BH375" s="634"/>
      <c r="BI375" s="635"/>
    </row>
    <row r="376" spans="1:61" ht="16.2" customHeight="1">
      <c r="A376" s="12"/>
      <c r="B376" s="446"/>
      <c r="C376" s="89"/>
      <c r="D376" s="13"/>
      <c r="E376" s="14"/>
      <c r="F376" s="14"/>
      <c r="G376" s="15"/>
      <c r="H376" s="8"/>
      <c r="I376" s="8"/>
      <c r="J376" s="89"/>
      <c r="K376" s="8"/>
      <c r="L376" s="8"/>
      <c r="M376" s="8" t="str">
        <f>IF(L376="","",
IF(AX376="PT",VLOOKUP(L376,Foundation_Calc!$V$4:$X$37,VLOOKUP(AX376,Foundation_Calc!$I$10:$J$13,2,FALSE),0),
IF(AX376="K",VLOOKUP(L376,Foundation_Calc!$V$41:$X$74,VLOOKUP(AX376,Foundation_Calc!$I$10:$J$13,2,FALSE),0),"")))</f>
        <v/>
      </c>
      <c r="N376" s="8"/>
      <c r="O376" s="8"/>
      <c r="P376" s="8"/>
      <c r="Q376" s="14"/>
      <c r="R376" s="15"/>
      <c r="S376" s="15"/>
      <c r="T376" s="14"/>
      <c r="U376" s="14"/>
      <c r="V376" s="14"/>
      <c r="W376" s="18"/>
      <c r="X376" s="18"/>
      <c r="Y376" s="18"/>
      <c r="Z376" s="18"/>
      <c r="AA376" s="18"/>
      <c r="AB376" s="18"/>
      <c r="AC376" s="8" t="str">
        <f t="shared" si="23"/>
        <v/>
      </c>
      <c r="AD376" s="8"/>
      <c r="AE376" s="8"/>
      <c r="AF376" s="14"/>
      <c r="AG376" s="13"/>
      <c r="AH376" s="14"/>
      <c r="AI376" s="14"/>
      <c r="AJ376" s="8"/>
      <c r="AK376" s="8"/>
      <c r="AL376" s="8"/>
      <c r="AM376" s="8"/>
      <c r="AN376" s="631"/>
      <c r="AO376" s="18"/>
      <c r="AP376" s="18"/>
      <c r="AQ376" s="18"/>
      <c r="AR376" s="18"/>
      <c r="AS376" s="18"/>
      <c r="AU376" s="448"/>
      <c r="AV376" s="448"/>
      <c r="AW376" s="8" t="str">
        <f>IF(C376&gt;0,VLOOKUP(C376,Foundation_Calc!$A$2:$C$986,3,1),
IF(J376&gt;0,VLOOKUP(J376,Foundation_Calc!$A$2:$C$986,3,1),""))</f>
        <v/>
      </c>
      <c r="AX376" s="8" t="str">
        <f>IF(C376&gt;0,VLOOKUP(C376,Foundation_Calc!$E$2:$G$986,3,1),
IF(J376&gt;0,VLOOKUP(J376,Foundation_Calc!$E$2:$G$986,3,1),""))</f>
        <v/>
      </c>
      <c r="AY376" s="631" t="str">
        <f>IF(L376="","",
IF(AX376="PT",VLOOKUP(L376,Foundation_Calc!$K$4:$R$37,VLOOKUP(AW376,Foundation_Calc!$I$2:$J$8,2,FALSE),0),
IF(AX376="K",VLOOKUP(L376,Foundation_Calc!$K$41:$R$74,VLOOKUP(AW376,Foundation_Calc!$I$2:$J$8,2,FALSE),0),"")))</f>
        <v/>
      </c>
      <c r="AZ376" s="631" t="str">
        <f>IF(K376="","",
IF(AX376="PT",VLOOKUP(K376,Foundation_Calc!$K$4:$R$37,VLOOKUP(AW376,Foundation_Calc!$I$2:$J$8,2,FALSE),0),
IF(AX376="K",VLOOKUP(K376,Foundation_Calc!$K$41:$R$74,VLOOKUP(AW376,Foundation_Calc!$I$2:$J$8,2,FALSE),0),"")))</f>
        <v/>
      </c>
      <c r="BA376" s="632" t="str">
        <f t="shared" si="24"/>
        <v/>
      </c>
      <c r="BB376" s="632" t="str">
        <f t="shared" si="25"/>
        <v/>
      </c>
      <c r="BC376" s="632" t="str">
        <f t="shared" si="26"/>
        <v/>
      </c>
      <c r="BD376" s="633" t="str">
        <f>IF(AND(L376="",H376=""),"",
IF(H376="",Pole_Calc!A404,
IF(H376="MP",Pole_Calc!A405,
IF(H376="AnMP",Pole_Calc!A406,
IF(H376="A",Pole_Calc!A407,
IF(H376="S/A",Pole_Calc!A408,
IF(H376="A/S",Pole_Calc!A409,"Poner a mano")))))))</f>
        <v/>
      </c>
      <c r="BE376" s="448" t="s">
        <v>1726</v>
      </c>
      <c r="BF376" s="634"/>
      <c r="BG376" s="634"/>
      <c r="BH376" s="634"/>
      <c r="BI376" s="634"/>
    </row>
    <row r="377" spans="1:61" ht="16.2" customHeight="1">
      <c r="A377" s="12"/>
      <c r="B377" s="446"/>
      <c r="C377" s="89"/>
      <c r="D377" s="13"/>
      <c r="E377" s="14"/>
      <c r="F377" s="14"/>
      <c r="G377" s="15"/>
      <c r="H377" s="8"/>
      <c r="I377" s="8"/>
      <c r="J377" s="89"/>
      <c r="K377" s="8"/>
      <c r="L377" s="8"/>
      <c r="M377" s="8" t="str">
        <f>IF(L377="","",
IF(AX377="PT",VLOOKUP(L377,Foundation_Calc!$V$4:$X$37,VLOOKUP(AX377,Foundation_Calc!$I$10:$J$13,2,FALSE),0),
IF(AX377="K",VLOOKUP(L377,Foundation_Calc!$V$41:$X$74,VLOOKUP(AX377,Foundation_Calc!$I$10:$J$13,2,FALSE),0),"")))</f>
        <v/>
      </c>
      <c r="N377" s="8"/>
      <c r="O377" s="8"/>
      <c r="P377" s="8"/>
      <c r="Q377" s="14"/>
      <c r="R377" s="15"/>
      <c r="S377" s="15"/>
      <c r="T377" s="14"/>
      <c r="U377" s="14"/>
      <c r="V377" s="14"/>
      <c r="W377" s="18"/>
      <c r="X377" s="18"/>
      <c r="Y377" s="18"/>
      <c r="Z377" s="18"/>
      <c r="AA377" s="18"/>
      <c r="AB377" s="18"/>
      <c r="AC377" s="8" t="str">
        <f t="shared" si="23"/>
        <v/>
      </c>
      <c r="AD377" s="8"/>
      <c r="AE377" s="8"/>
      <c r="AF377" s="14"/>
      <c r="AG377" s="13"/>
      <c r="AH377" s="14"/>
      <c r="AI377" s="14"/>
      <c r="AJ377" s="8"/>
      <c r="AK377" s="8"/>
      <c r="AL377" s="8"/>
      <c r="AM377" s="8"/>
      <c r="AN377" s="631"/>
      <c r="AO377" s="18"/>
      <c r="AP377" s="18"/>
      <c r="AQ377" s="18"/>
      <c r="AR377" s="18"/>
      <c r="AS377" s="18"/>
      <c r="AU377" s="448"/>
      <c r="AV377" s="448"/>
      <c r="AW377" s="8" t="str">
        <f>IF(C377&gt;0,VLOOKUP(C377,Foundation_Calc!$A$2:$C$986,3,1),
IF(J377&gt;0,VLOOKUP(J377,Foundation_Calc!$A$2:$C$986,3,1),""))</f>
        <v/>
      </c>
      <c r="AX377" s="8" t="str">
        <f>IF(C377&gt;0,VLOOKUP(C377,Foundation_Calc!$E$2:$G$986,3,1),
IF(J377&gt;0,VLOOKUP(J377,Foundation_Calc!$E$2:$G$986,3,1),""))</f>
        <v/>
      </c>
      <c r="AY377" s="631" t="str">
        <f>IF(L377="","",
IF(AX377="PT",VLOOKUP(L377,Foundation_Calc!$K$4:$R$37,VLOOKUP(AW377,Foundation_Calc!$I$2:$J$8,2,FALSE),0),
IF(AX377="K",VLOOKUP(L377,Foundation_Calc!$K$41:$R$74,VLOOKUP(AW377,Foundation_Calc!$I$2:$J$8,2,FALSE),0),"")))</f>
        <v/>
      </c>
      <c r="AZ377" s="631" t="str">
        <f>IF(K377="","",
IF(AX377="PT",VLOOKUP(K377,Foundation_Calc!$K$4:$R$37,VLOOKUP(AW377,Foundation_Calc!$I$2:$J$8,2,FALSE),0),
IF(AX377="K",VLOOKUP(K377,Foundation_Calc!$K$41:$R$74,VLOOKUP(AW377,Foundation_Calc!$I$2:$J$8,2,FALSE),0),"")))</f>
        <v/>
      </c>
      <c r="BA377" s="632" t="str">
        <f t="shared" si="24"/>
        <v/>
      </c>
      <c r="BB377" s="632" t="str">
        <f t="shared" si="25"/>
        <v/>
      </c>
      <c r="BC377" s="632" t="str">
        <f t="shared" si="26"/>
        <v/>
      </c>
      <c r="BD377" s="633" t="str">
        <f>IF(AND(L377="",H377=""),"",
IF(H377="",Pole_Calc!A405,
IF(H377="MP",Pole_Calc!A406,
IF(H377="AnMP",Pole_Calc!A407,
IF(H377="A",Pole_Calc!A408,
IF(H377="S/A",Pole_Calc!A409,
IF(H377="A/S",Pole_Calc!A410,"Poner a mano")))))))</f>
        <v/>
      </c>
      <c r="BE377" s="448" t="s">
        <v>1726</v>
      </c>
      <c r="BF377" s="635"/>
      <c r="BG377" s="635"/>
      <c r="BH377" s="634"/>
      <c r="BI377" s="635"/>
    </row>
    <row r="378" spans="1:61" ht="16.2" customHeight="1">
      <c r="A378" s="12"/>
      <c r="B378" s="446"/>
      <c r="C378" s="89"/>
      <c r="D378" s="13"/>
      <c r="E378" s="14"/>
      <c r="F378" s="14"/>
      <c r="G378" s="15"/>
      <c r="H378" s="8"/>
      <c r="I378" s="8"/>
      <c r="J378" s="89"/>
      <c r="K378" s="8"/>
      <c r="L378" s="8"/>
      <c r="M378" s="8" t="str">
        <f>IF(L378="","",
IF(AX378="PT",VLOOKUP(L378,Foundation_Calc!$V$4:$X$37,VLOOKUP(AX378,Foundation_Calc!$I$10:$J$13,2,FALSE),0),
IF(AX378="K",VLOOKUP(L378,Foundation_Calc!$V$41:$X$74,VLOOKUP(AX378,Foundation_Calc!$I$10:$J$13,2,FALSE),0),"")))</f>
        <v/>
      </c>
      <c r="N378" s="8"/>
      <c r="O378" s="8"/>
      <c r="P378" s="8"/>
      <c r="Q378" s="14"/>
      <c r="R378" s="15"/>
      <c r="S378" s="15"/>
      <c r="T378" s="14"/>
      <c r="U378" s="14"/>
      <c r="V378" s="14"/>
      <c r="W378" s="18"/>
      <c r="X378" s="18"/>
      <c r="Y378" s="18"/>
      <c r="Z378" s="18"/>
      <c r="AA378" s="18"/>
      <c r="AB378" s="18"/>
      <c r="AC378" s="8" t="str">
        <f t="shared" si="23"/>
        <v/>
      </c>
      <c r="AD378" s="8"/>
      <c r="AE378" s="8"/>
      <c r="AF378" s="14"/>
      <c r="AG378" s="13"/>
      <c r="AH378" s="14"/>
      <c r="AI378" s="14"/>
      <c r="AJ378" s="8"/>
      <c r="AK378" s="8"/>
      <c r="AL378" s="8"/>
      <c r="AM378" s="8"/>
      <c r="AN378" s="631"/>
      <c r="AO378" s="18"/>
      <c r="AP378" s="18"/>
      <c r="AQ378" s="18"/>
      <c r="AR378" s="18"/>
      <c r="AS378" s="18"/>
      <c r="AU378" s="448"/>
      <c r="AV378" s="448"/>
      <c r="AW378" s="8" t="str">
        <f>IF(C378&gt;0,VLOOKUP(C378,Foundation_Calc!$A$2:$C$986,3,1),
IF(J378&gt;0,VLOOKUP(J378,Foundation_Calc!$A$2:$C$986,3,1),""))</f>
        <v/>
      </c>
      <c r="AX378" s="8" t="str">
        <f>IF(C378&gt;0,VLOOKUP(C378,Foundation_Calc!$E$2:$G$986,3,1),
IF(J378&gt;0,VLOOKUP(J378,Foundation_Calc!$E$2:$G$986,3,1),""))</f>
        <v/>
      </c>
      <c r="AY378" s="631" t="str">
        <f>IF(L378="","",
IF(AX378="PT",VLOOKUP(L378,Foundation_Calc!$K$4:$R$37,VLOOKUP(AW378,Foundation_Calc!$I$2:$J$8,2,FALSE),0),
IF(AX378="K",VLOOKUP(L378,Foundation_Calc!$K$41:$R$74,VLOOKUP(AW378,Foundation_Calc!$I$2:$J$8,2,FALSE),0),"")))</f>
        <v/>
      </c>
      <c r="AZ378" s="631" t="str">
        <f>IF(K378="","",
IF(AX378="PT",VLOOKUP(K378,Foundation_Calc!$K$4:$R$37,VLOOKUP(AW378,Foundation_Calc!$I$2:$J$8,2,FALSE),0),
IF(AX378="K",VLOOKUP(K378,Foundation_Calc!$K$41:$R$74,VLOOKUP(AW378,Foundation_Calc!$I$2:$J$8,2,FALSE),0),"")))</f>
        <v/>
      </c>
      <c r="BA378" s="632" t="str">
        <f t="shared" si="24"/>
        <v/>
      </c>
      <c r="BB378" s="632" t="str">
        <f t="shared" si="25"/>
        <v/>
      </c>
      <c r="BC378" s="632" t="str">
        <f t="shared" si="26"/>
        <v/>
      </c>
      <c r="BD378" s="633" t="str">
        <f>IF(AND(L378="",H378=""),"",
IF(H378="",Pole_Calc!A406,
IF(H378="MP",Pole_Calc!A407,
IF(H378="AnMP",Pole_Calc!A408,
IF(H378="A",Pole_Calc!A409,
IF(H378="S/A",Pole_Calc!A410,
IF(H378="A/S",Pole_Calc!A411,"Poner a mano")))))))</f>
        <v/>
      </c>
      <c r="BE378" s="448" t="s">
        <v>1726</v>
      </c>
      <c r="BF378" s="634"/>
      <c r="BG378" s="634"/>
      <c r="BH378" s="634"/>
      <c r="BI378" s="634"/>
    </row>
    <row r="379" spans="1:61" ht="16.2" customHeight="1">
      <c r="A379" s="12"/>
      <c r="B379" s="446"/>
      <c r="C379" s="89"/>
      <c r="D379" s="13"/>
      <c r="E379" s="14"/>
      <c r="F379" s="14"/>
      <c r="G379" s="15"/>
      <c r="H379" s="8"/>
      <c r="I379" s="8"/>
      <c r="J379" s="89"/>
      <c r="K379" s="8"/>
      <c r="L379" s="8"/>
      <c r="M379" s="8" t="str">
        <f>IF(L379="","",
IF(AX379="PT",VLOOKUP(L379,Foundation_Calc!$V$4:$X$37,VLOOKUP(AX379,Foundation_Calc!$I$10:$J$13,2,FALSE),0),
IF(AX379="K",VLOOKUP(L379,Foundation_Calc!$V$41:$X$74,VLOOKUP(AX379,Foundation_Calc!$I$10:$J$13,2,FALSE),0),"")))</f>
        <v/>
      </c>
      <c r="N379" s="8"/>
      <c r="O379" s="8"/>
      <c r="P379" s="8"/>
      <c r="Q379" s="14"/>
      <c r="R379" s="15"/>
      <c r="S379" s="15"/>
      <c r="T379" s="14"/>
      <c r="U379" s="14"/>
      <c r="V379" s="14"/>
      <c r="W379" s="18"/>
      <c r="X379" s="18"/>
      <c r="Y379" s="18"/>
      <c r="Z379" s="18"/>
      <c r="AA379" s="18"/>
      <c r="AB379" s="18"/>
      <c r="AC379" s="8" t="str">
        <f t="shared" si="23"/>
        <v/>
      </c>
      <c r="AD379" s="8"/>
      <c r="AE379" s="8"/>
      <c r="AF379" s="14"/>
      <c r="AG379" s="13"/>
      <c r="AH379" s="14"/>
      <c r="AI379" s="14"/>
      <c r="AJ379" s="8"/>
      <c r="AK379" s="8"/>
      <c r="AL379" s="8"/>
      <c r="AM379" s="8"/>
      <c r="AN379" s="631"/>
      <c r="AO379" s="18"/>
      <c r="AP379" s="18"/>
      <c r="AQ379" s="18"/>
      <c r="AR379" s="18"/>
      <c r="AS379" s="18"/>
      <c r="AU379" s="448"/>
      <c r="AV379" s="448"/>
      <c r="AW379" s="8" t="str">
        <f>IF(C379&gt;0,VLOOKUP(C379,Foundation_Calc!$A$2:$C$986,3,1),
IF(J379&gt;0,VLOOKUP(J379,Foundation_Calc!$A$2:$C$986,3,1),""))</f>
        <v/>
      </c>
      <c r="AX379" s="8" t="str">
        <f>IF(C379&gt;0,VLOOKUP(C379,Foundation_Calc!$E$2:$G$986,3,1),
IF(J379&gt;0,VLOOKUP(J379,Foundation_Calc!$E$2:$G$986,3,1),""))</f>
        <v/>
      </c>
      <c r="AY379" s="631" t="str">
        <f>IF(L379="","",
IF(AX379="PT",VLOOKUP(L379,Foundation_Calc!$K$4:$R$37,VLOOKUP(AW379,Foundation_Calc!$I$2:$J$8,2,FALSE),0),
IF(AX379="K",VLOOKUP(L379,Foundation_Calc!$K$41:$R$74,VLOOKUP(AW379,Foundation_Calc!$I$2:$J$8,2,FALSE),0),"")))</f>
        <v/>
      </c>
      <c r="AZ379" s="631" t="str">
        <f>IF(K379="","",
IF(AX379="PT",VLOOKUP(K379,Foundation_Calc!$K$4:$R$37,VLOOKUP(AW379,Foundation_Calc!$I$2:$J$8,2,FALSE),0),
IF(AX379="K",VLOOKUP(K379,Foundation_Calc!$K$41:$R$74,VLOOKUP(AW379,Foundation_Calc!$I$2:$J$8,2,FALSE),0),"")))</f>
        <v/>
      </c>
      <c r="BA379" s="632" t="str">
        <f t="shared" si="24"/>
        <v/>
      </c>
      <c r="BB379" s="632" t="str">
        <f t="shared" si="25"/>
        <v/>
      </c>
      <c r="BC379" s="632" t="str">
        <f t="shared" si="26"/>
        <v/>
      </c>
      <c r="BD379" s="633" t="str">
        <f>IF(AND(L379="",H379=""),"",
IF(H379="",Pole_Calc!A407,
IF(H379="MP",Pole_Calc!A408,
IF(H379="AnMP",Pole_Calc!A409,
IF(H379="A",Pole_Calc!A410,
IF(H379="S/A",Pole_Calc!A411,
IF(H379="A/S",Pole_Calc!A412,"Poner a mano")))))))</f>
        <v/>
      </c>
      <c r="BE379" s="448" t="s">
        <v>1726</v>
      </c>
      <c r="BF379" s="635"/>
      <c r="BG379" s="635"/>
      <c r="BH379" s="634"/>
      <c r="BI379" s="635"/>
    </row>
    <row r="380" spans="1:61" ht="16.2" customHeight="1">
      <c r="A380" s="12"/>
      <c r="B380" s="446"/>
      <c r="C380" s="89"/>
      <c r="D380" s="13"/>
      <c r="E380" s="14"/>
      <c r="F380" s="14"/>
      <c r="G380" s="15"/>
      <c r="H380" s="8"/>
      <c r="I380" s="8"/>
      <c r="J380" s="89"/>
      <c r="K380" s="8"/>
      <c r="L380" s="8"/>
      <c r="M380" s="8" t="str">
        <f>IF(L380="","",
IF(AX380="PT",VLOOKUP(L380,Foundation_Calc!$V$4:$X$37,VLOOKUP(AX380,Foundation_Calc!$I$10:$J$13,2,FALSE),0),
IF(AX380="K",VLOOKUP(L380,Foundation_Calc!$V$41:$X$74,VLOOKUP(AX380,Foundation_Calc!$I$10:$J$13,2,FALSE),0),"")))</f>
        <v/>
      </c>
      <c r="N380" s="8"/>
      <c r="O380" s="8"/>
      <c r="P380" s="8"/>
      <c r="Q380" s="14"/>
      <c r="R380" s="15"/>
      <c r="S380" s="15"/>
      <c r="T380" s="14"/>
      <c r="U380" s="14"/>
      <c r="V380" s="14"/>
      <c r="W380" s="18"/>
      <c r="X380" s="18"/>
      <c r="Y380" s="18"/>
      <c r="Z380" s="18"/>
      <c r="AA380" s="18"/>
      <c r="AB380" s="18"/>
      <c r="AC380" s="8" t="str">
        <f t="shared" si="23"/>
        <v/>
      </c>
      <c r="AD380" s="8"/>
      <c r="AE380" s="8"/>
      <c r="AF380" s="14"/>
      <c r="AG380" s="13"/>
      <c r="AH380" s="14"/>
      <c r="AI380" s="14"/>
      <c r="AJ380" s="8"/>
      <c r="AK380" s="8"/>
      <c r="AL380" s="8"/>
      <c r="AM380" s="8"/>
      <c r="AN380" s="631"/>
      <c r="AO380" s="18"/>
      <c r="AP380" s="18"/>
      <c r="AQ380" s="18"/>
      <c r="AR380" s="18"/>
      <c r="AS380" s="18"/>
      <c r="AU380" s="448"/>
      <c r="AV380" s="448"/>
      <c r="AW380" s="8" t="str">
        <f>IF(C380&gt;0,VLOOKUP(C380,Foundation_Calc!$A$2:$C$986,3,1),
IF(J380&gt;0,VLOOKUP(J380,Foundation_Calc!$A$2:$C$986,3,1),""))</f>
        <v/>
      </c>
      <c r="AX380" s="8" t="str">
        <f>IF(C380&gt;0,VLOOKUP(C380,Foundation_Calc!$E$2:$G$986,3,1),
IF(J380&gt;0,VLOOKUP(J380,Foundation_Calc!$E$2:$G$986,3,1),""))</f>
        <v/>
      </c>
      <c r="AY380" s="631" t="str">
        <f>IF(L380="","",
IF(AX380="PT",VLOOKUP(L380,Foundation_Calc!$K$4:$R$37,VLOOKUP(AW380,Foundation_Calc!$I$2:$J$8,2,FALSE),0),
IF(AX380="K",VLOOKUP(L380,Foundation_Calc!$K$41:$R$74,VLOOKUP(AW380,Foundation_Calc!$I$2:$J$8,2,FALSE),0),"")))</f>
        <v/>
      </c>
      <c r="AZ380" s="631" t="str">
        <f>IF(K380="","",
IF(AX380="PT",VLOOKUP(K380,Foundation_Calc!$K$4:$R$37,VLOOKUP(AW380,Foundation_Calc!$I$2:$J$8,2,FALSE),0),
IF(AX380="K",VLOOKUP(K380,Foundation_Calc!$K$41:$R$74,VLOOKUP(AW380,Foundation_Calc!$I$2:$J$8,2,FALSE),0),"")))</f>
        <v/>
      </c>
      <c r="BA380" s="632" t="str">
        <f t="shared" si="24"/>
        <v/>
      </c>
      <c r="BB380" s="632" t="str">
        <f t="shared" si="25"/>
        <v/>
      </c>
      <c r="BC380" s="632" t="str">
        <f t="shared" si="26"/>
        <v/>
      </c>
      <c r="BD380" s="633" t="str">
        <f>IF(AND(L380="",H380=""),"",
IF(H380="",Pole_Calc!A408,
IF(H380="MP",Pole_Calc!A409,
IF(H380="AnMP",Pole_Calc!A410,
IF(H380="A",Pole_Calc!A411,
IF(H380="S/A",Pole_Calc!A412,
IF(H380="A/S",Pole_Calc!A413,"Poner a mano")))))))</f>
        <v/>
      </c>
      <c r="BE380" s="448" t="s">
        <v>1726</v>
      </c>
      <c r="BF380" s="634"/>
      <c r="BG380" s="634"/>
      <c r="BH380" s="634"/>
      <c r="BI380" s="634"/>
    </row>
    <row r="381" spans="1:61" ht="16.2" customHeight="1">
      <c r="A381" s="12"/>
      <c r="B381" s="446"/>
      <c r="C381" s="89"/>
      <c r="D381" s="13"/>
      <c r="E381" s="14"/>
      <c r="F381" s="14"/>
      <c r="G381" s="15"/>
      <c r="H381" s="8"/>
      <c r="I381" s="8"/>
      <c r="J381" s="89"/>
      <c r="K381" s="8"/>
      <c r="L381" s="8"/>
      <c r="M381" s="8" t="str">
        <f>IF(L381="","",
IF(AX381="PT",VLOOKUP(L381,Foundation_Calc!$V$4:$X$37,VLOOKUP(AX381,Foundation_Calc!$I$10:$J$13,2,FALSE),0),
IF(AX381="K",VLOOKUP(L381,Foundation_Calc!$V$41:$X$74,VLOOKUP(AX381,Foundation_Calc!$I$10:$J$13,2,FALSE),0),"")))</f>
        <v/>
      </c>
      <c r="N381" s="8"/>
      <c r="O381" s="8"/>
      <c r="P381" s="8"/>
      <c r="Q381" s="14"/>
      <c r="R381" s="15"/>
      <c r="S381" s="15"/>
      <c r="T381" s="14"/>
      <c r="U381" s="14"/>
      <c r="V381" s="14"/>
      <c r="W381" s="18"/>
      <c r="X381" s="18"/>
      <c r="Y381" s="18"/>
      <c r="Z381" s="18"/>
      <c r="AA381" s="18"/>
      <c r="AB381" s="18"/>
      <c r="AC381" s="8" t="str">
        <f t="shared" si="23"/>
        <v/>
      </c>
      <c r="AD381" s="8"/>
      <c r="AE381" s="8"/>
      <c r="AF381" s="14"/>
      <c r="AG381" s="13"/>
      <c r="AH381" s="14"/>
      <c r="AI381" s="14"/>
      <c r="AJ381" s="8"/>
      <c r="AK381" s="8"/>
      <c r="AL381" s="8"/>
      <c r="AM381" s="8"/>
      <c r="AN381" s="631"/>
      <c r="AO381" s="18"/>
      <c r="AP381" s="18"/>
      <c r="AQ381" s="18"/>
      <c r="AR381" s="18"/>
      <c r="AS381" s="18"/>
      <c r="AU381" s="448"/>
      <c r="AV381" s="448"/>
      <c r="AW381" s="8" t="str">
        <f>IF(C381&gt;0,VLOOKUP(C381,Foundation_Calc!$A$2:$C$986,3,1),
IF(J381&gt;0,VLOOKUP(J381,Foundation_Calc!$A$2:$C$986,3,1),""))</f>
        <v/>
      </c>
      <c r="AX381" s="8" t="str">
        <f>IF(C381&gt;0,VLOOKUP(C381,Foundation_Calc!$E$2:$G$986,3,1),
IF(J381&gt;0,VLOOKUP(J381,Foundation_Calc!$E$2:$G$986,3,1),""))</f>
        <v/>
      </c>
      <c r="AY381" s="631" t="str">
        <f>IF(L381="","",
IF(AX381="PT",VLOOKUP(L381,Foundation_Calc!$K$4:$R$37,VLOOKUP(AW381,Foundation_Calc!$I$2:$J$8,2,FALSE),0),
IF(AX381="K",VLOOKUP(L381,Foundation_Calc!$K$41:$R$74,VLOOKUP(AW381,Foundation_Calc!$I$2:$J$8,2,FALSE),0),"")))</f>
        <v/>
      </c>
      <c r="AZ381" s="631" t="str">
        <f>IF(K381="","",
IF(AX381="PT",VLOOKUP(K381,Foundation_Calc!$K$4:$R$37,VLOOKUP(AW381,Foundation_Calc!$I$2:$J$8,2,FALSE),0),
IF(AX381="K",VLOOKUP(K381,Foundation_Calc!$K$41:$R$74,VLOOKUP(AW381,Foundation_Calc!$I$2:$J$8,2,FALSE),0),"")))</f>
        <v/>
      </c>
      <c r="BA381" s="632" t="str">
        <f t="shared" si="24"/>
        <v/>
      </c>
      <c r="BB381" s="632" t="str">
        <f t="shared" si="25"/>
        <v/>
      </c>
      <c r="BC381" s="632" t="str">
        <f t="shared" si="26"/>
        <v/>
      </c>
      <c r="BD381" s="633" t="str">
        <f>IF(AND(L381="",H381=""),"",
IF(H381="",Pole_Calc!A409,
IF(H381="MP",Pole_Calc!A410,
IF(H381="AnMP",Pole_Calc!A411,
IF(H381="A",Pole_Calc!A412,
IF(H381="S/A",Pole_Calc!A413,
IF(H381="A/S",Pole_Calc!A414,"Poner a mano")))))))</f>
        <v/>
      </c>
      <c r="BE381" s="448" t="s">
        <v>1726</v>
      </c>
      <c r="BF381" s="635"/>
      <c r="BG381" s="635"/>
      <c r="BH381" s="634"/>
      <c r="BI381" s="635"/>
    </row>
    <row r="382" spans="1:61" ht="16.2" customHeight="1">
      <c r="A382" s="12"/>
      <c r="B382" s="446"/>
      <c r="C382" s="89"/>
      <c r="D382" s="13"/>
      <c r="E382" s="14"/>
      <c r="F382" s="14"/>
      <c r="G382" s="15"/>
      <c r="H382" s="8"/>
      <c r="I382" s="8"/>
      <c r="J382" s="89"/>
      <c r="K382" s="8"/>
      <c r="L382" s="8"/>
      <c r="M382" s="8" t="str">
        <f>IF(L382="","",
IF(AX382="PT",VLOOKUP(L382,Foundation_Calc!$V$4:$X$37,VLOOKUP(AX382,Foundation_Calc!$I$10:$J$13,2,FALSE),0),
IF(AX382="K",VLOOKUP(L382,Foundation_Calc!$V$41:$X$74,VLOOKUP(AX382,Foundation_Calc!$I$10:$J$13,2,FALSE),0),"")))</f>
        <v/>
      </c>
      <c r="N382" s="8"/>
      <c r="O382" s="8"/>
      <c r="P382" s="8"/>
      <c r="Q382" s="14"/>
      <c r="R382" s="15"/>
      <c r="S382" s="15"/>
      <c r="T382" s="14"/>
      <c r="U382" s="14"/>
      <c r="V382" s="14"/>
      <c r="W382" s="18"/>
      <c r="X382" s="18"/>
      <c r="Y382" s="18"/>
      <c r="Z382" s="18"/>
      <c r="AA382" s="18"/>
      <c r="AB382" s="18"/>
      <c r="AC382" s="8" t="str">
        <f t="shared" si="23"/>
        <v/>
      </c>
      <c r="AD382" s="8"/>
      <c r="AE382" s="8"/>
      <c r="AF382" s="14"/>
      <c r="AG382" s="13"/>
      <c r="AH382" s="14"/>
      <c r="AI382" s="14"/>
      <c r="AJ382" s="8"/>
      <c r="AK382" s="8"/>
      <c r="AL382" s="8"/>
      <c r="AM382" s="8"/>
      <c r="AN382" s="631"/>
      <c r="AO382" s="18"/>
      <c r="AP382" s="18"/>
      <c r="AQ382" s="18"/>
      <c r="AR382" s="18"/>
      <c r="AS382" s="18"/>
      <c r="AU382" s="448"/>
      <c r="AV382" s="448"/>
      <c r="AW382" s="8" t="str">
        <f>IF(C382&gt;0,VLOOKUP(C382,Foundation_Calc!$A$2:$C$986,3,1),
IF(J382&gt;0,VLOOKUP(J382,Foundation_Calc!$A$2:$C$986,3,1),""))</f>
        <v/>
      </c>
      <c r="AX382" s="8" t="str">
        <f>IF(C382&gt;0,VLOOKUP(C382,Foundation_Calc!$E$2:$G$986,3,1),
IF(J382&gt;0,VLOOKUP(J382,Foundation_Calc!$E$2:$G$986,3,1),""))</f>
        <v/>
      </c>
      <c r="AY382" s="631" t="str">
        <f>IF(L382="","",
IF(AX382="PT",VLOOKUP(L382,Foundation_Calc!$K$4:$R$37,VLOOKUP(AW382,Foundation_Calc!$I$2:$J$8,2,FALSE),0),
IF(AX382="K",VLOOKUP(L382,Foundation_Calc!$K$41:$R$74,VLOOKUP(AW382,Foundation_Calc!$I$2:$J$8,2,FALSE),0),"")))</f>
        <v/>
      </c>
      <c r="AZ382" s="631" t="str">
        <f>IF(K382="","",
IF(AX382="PT",VLOOKUP(K382,Foundation_Calc!$K$4:$R$37,VLOOKUP(AW382,Foundation_Calc!$I$2:$J$8,2,FALSE),0),
IF(AX382="K",VLOOKUP(K382,Foundation_Calc!$K$41:$R$74,VLOOKUP(AW382,Foundation_Calc!$I$2:$J$8,2,FALSE),0),"")))</f>
        <v/>
      </c>
      <c r="BA382" s="632" t="str">
        <f t="shared" si="24"/>
        <v/>
      </c>
      <c r="BB382" s="632" t="str">
        <f t="shared" si="25"/>
        <v/>
      </c>
      <c r="BC382" s="632" t="str">
        <f t="shared" si="26"/>
        <v/>
      </c>
      <c r="BD382" s="633" t="str">
        <f>IF(AND(L382="",H382=""),"",
IF(H382="",Pole_Calc!A410,
IF(H382="MP",Pole_Calc!A411,
IF(H382="AnMP",Pole_Calc!A412,
IF(H382="A",Pole_Calc!A413,
IF(H382="S/A",Pole_Calc!A414,
IF(H382="A/S",Pole_Calc!A415,"Poner a mano")))))))</f>
        <v/>
      </c>
      <c r="BE382" s="448" t="s">
        <v>1726</v>
      </c>
      <c r="BF382" s="634"/>
      <c r="BG382" s="634"/>
      <c r="BH382" s="634"/>
      <c r="BI382" s="634"/>
    </row>
    <row r="383" spans="1:61" ht="16.2" customHeight="1">
      <c r="A383" s="12"/>
      <c r="B383" s="446"/>
      <c r="C383" s="89"/>
      <c r="D383" s="13"/>
      <c r="E383" s="14"/>
      <c r="F383" s="14"/>
      <c r="G383" s="15"/>
      <c r="H383" s="8"/>
      <c r="I383" s="8"/>
      <c r="J383" s="89"/>
      <c r="K383" s="8"/>
      <c r="L383" s="8"/>
      <c r="M383" s="8" t="str">
        <f>IF(L383="","",
IF(AX383="PT",VLOOKUP(L383,Foundation_Calc!$V$4:$X$37,VLOOKUP(AX383,Foundation_Calc!$I$10:$J$13,2,FALSE),0),
IF(AX383="K",VLOOKUP(L383,Foundation_Calc!$V$41:$X$74,VLOOKUP(AX383,Foundation_Calc!$I$10:$J$13,2,FALSE),0),"")))</f>
        <v/>
      </c>
      <c r="N383" s="8"/>
      <c r="O383" s="8"/>
      <c r="P383" s="8"/>
      <c r="Q383" s="14"/>
      <c r="R383" s="15"/>
      <c r="S383" s="15"/>
      <c r="T383" s="14"/>
      <c r="U383" s="14"/>
      <c r="V383" s="14"/>
      <c r="W383" s="18"/>
      <c r="X383" s="18"/>
      <c r="Y383" s="18"/>
      <c r="Z383" s="18"/>
      <c r="AA383" s="18"/>
      <c r="AB383" s="18"/>
      <c r="AC383" s="8" t="str">
        <f t="shared" si="23"/>
        <v/>
      </c>
      <c r="AD383" s="8"/>
      <c r="AE383" s="8"/>
      <c r="AF383" s="14"/>
      <c r="AG383" s="13"/>
      <c r="AH383" s="14"/>
      <c r="AI383" s="14"/>
      <c r="AJ383" s="8"/>
      <c r="AK383" s="8"/>
      <c r="AL383" s="8"/>
      <c r="AM383" s="8"/>
      <c r="AN383" s="631"/>
      <c r="AO383" s="18"/>
      <c r="AP383" s="18"/>
      <c r="AQ383" s="18"/>
      <c r="AR383" s="18"/>
      <c r="AS383" s="18"/>
      <c r="AU383" s="448"/>
      <c r="AV383" s="448"/>
      <c r="AW383" s="8" t="str">
        <f>IF(C383&gt;0,VLOOKUP(C383,Foundation_Calc!$A$2:$C$986,3,1),
IF(J383&gt;0,VLOOKUP(J383,Foundation_Calc!$A$2:$C$986,3,1),""))</f>
        <v/>
      </c>
      <c r="AX383" s="8" t="str">
        <f>IF(C383&gt;0,VLOOKUP(C383,Foundation_Calc!$E$2:$G$986,3,1),
IF(J383&gt;0,VLOOKUP(J383,Foundation_Calc!$E$2:$G$986,3,1),""))</f>
        <v/>
      </c>
      <c r="AY383" s="631" t="str">
        <f>IF(L383="","",
IF(AX383="PT",VLOOKUP(L383,Foundation_Calc!$K$4:$R$37,VLOOKUP(AW383,Foundation_Calc!$I$2:$J$8,2,FALSE),0),
IF(AX383="K",VLOOKUP(L383,Foundation_Calc!$K$41:$R$74,VLOOKUP(AW383,Foundation_Calc!$I$2:$J$8,2,FALSE),0),"")))</f>
        <v/>
      </c>
      <c r="AZ383" s="631" t="str">
        <f>IF(K383="","",
IF(AX383="PT",VLOOKUP(K383,Foundation_Calc!$K$4:$R$37,VLOOKUP(AW383,Foundation_Calc!$I$2:$J$8,2,FALSE),0),
IF(AX383="K",VLOOKUP(K383,Foundation_Calc!$K$41:$R$74,VLOOKUP(AW383,Foundation_Calc!$I$2:$J$8,2,FALSE),0),"")))</f>
        <v/>
      </c>
      <c r="BA383" s="632" t="str">
        <f t="shared" si="24"/>
        <v/>
      </c>
      <c r="BB383" s="632" t="str">
        <f t="shared" si="25"/>
        <v/>
      </c>
      <c r="BC383" s="632" t="str">
        <f t="shared" si="26"/>
        <v/>
      </c>
      <c r="BD383" s="633" t="str">
        <f>IF(AND(L383="",H383=""),"",
IF(H383="",Pole_Calc!A411,
IF(H383="MP",Pole_Calc!A412,
IF(H383="AnMP",Pole_Calc!A413,
IF(H383="A",Pole_Calc!A414,
IF(H383="S/A",Pole_Calc!A415,
IF(H383="A/S",Pole_Calc!A416,"Poner a mano")))))))</f>
        <v/>
      </c>
      <c r="BE383" s="448" t="s">
        <v>1726</v>
      </c>
      <c r="BF383" s="635"/>
      <c r="BG383" s="635"/>
      <c r="BH383" s="634"/>
      <c r="BI383" s="635"/>
    </row>
    <row r="384" spans="1:61" ht="16.2" customHeight="1">
      <c r="A384" s="12"/>
      <c r="B384" s="446"/>
      <c r="C384" s="89"/>
      <c r="D384" s="13"/>
      <c r="E384" s="14"/>
      <c r="F384" s="14"/>
      <c r="G384" s="15"/>
      <c r="H384" s="8"/>
      <c r="I384" s="8"/>
      <c r="J384" s="89"/>
      <c r="K384" s="8"/>
      <c r="L384" s="8"/>
      <c r="M384" s="8" t="str">
        <f>IF(L384="","",
IF(AX384="PT",VLOOKUP(L384,Foundation_Calc!$V$4:$X$37,VLOOKUP(AX384,Foundation_Calc!$I$10:$J$13,2,FALSE),0),
IF(AX384="K",VLOOKUP(L384,Foundation_Calc!$V$41:$X$74,VLOOKUP(AX384,Foundation_Calc!$I$10:$J$13,2,FALSE),0),"")))</f>
        <v/>
      </c>
      <c r="N384" s="8"/>
      <c r="O384" s="8"/>
      <c r="P384" s="8"/>
      <c r="Q384" s="14"/>
      <c r="R384" s="15"/>
      <c r="S384" s="15"/>
      <c r="T384" s="14"/>
      <c r="U384" s="14"/>
      <c r="V384" s="14"/>
      <c r="W384" s="18"/>
      <c r="X384" s="18"/>
      <c r="Y384" s="18"/>
      <c r="Z384" s="18"/>
      <c r="AA384" s="18"/>
      <c r="AB384" s="18"/>
      <c r="AC384" s="8" t="str">
        <f t="shared" si="23"/>
        <v/>
      </c>
      <c r="AD384" s="8"/>
      <c r="AE384" s="8"/>
      <c r="AF384" s="14"/>
      <c r="AG384" s="13"/>
      <c r="AH384" s="14"/>
      <c r="AI384" s="14"/>
      <c r="AJ384" s="8"/>
      <c r="AK384" s="8"/>
      <c r="AL384" s="8"/>
      <c r="AM384" s="8"/>
      <c r="AN384" s="631"/>
      <c r="AO384" s="18"/>
      <c r="AP384" s="18"/>
      <c r="AQ384" s="18"/>
      <c r="AR384" s="18"/>
      <c r="AS384" s="18"/>
      <c r="AU384" s="448"/>
      <c r="AV384" s="448"/>
      <c r="AW384" s="8" t="str">
        <f>IF(C384&gt;0,VLOOKUP(C384,Foundation_Calc!$A$2:$C$986,3,1),
IF(J384&gt;0,VLOOKUP(J384,Foundation_Calc!$A$2:$C$986,3,1),""))</f>
        <v/>
      </c>
      <c r="AX384" s="8" t="str">
        <f>IF(C384&gt;0,VLOOKUP(C384,Foundation_Calc!$E$2:$G$986,3,1),
IF(J384&gt;0,VLOOKUP(J384,Foundation_Calc!$E$2:$G$986,3,1),""))</f>
        <v/>
      </c>
      <c r="AY384" s="631" t="str">
        <f>IF(L384="","",
IF(AX384="PT",VLOOKUP(L384,Foundation_Calc!$K$4:$R$37,VLOOKUP(AW384,Foundation_Calc!$I$2:$J$8,2,FALSE),0),
IF(AX384="K",VLOOKUP(L384,Foundation_Calc!$K$41:$R$74,VLOOKUP(AW384,Foundation_Calc!$I$2:$J$8,2,FALSE),0),"")))</f>
        <v/>
      </c>
      <c r="AZ384" s="631" t="str">
        <f>IF(K384="","",
IF(AX384="PT",VLOOKUP(K384,Foundation_Calc!$K$4:$R$37,VLOOKUP(AW384,Foundation_Calc!$I$2:$J$8,2,FALSE),0),
IF(AX384="K",VLOOKUP(K384,Foundation_Calc!$K$41:$R$74,VLOOKUP(AW384,Foundation_Calc!$I$2:$J$8,2,FALSE),0),"")))</f>
        <v/>
      </c>
      <c r="BA384" s="632" t="str">
        <f t="shared" si="24"/>
        <v/>
      </c>
      <c r="BB384" s="632" t="str">
        <f t="shared" si="25"/>
        <v/>
      </c>
      <c r="BC384" s="632" t="str">
        <f t="shared" si="26"/>
        <v/>
      </c>
      <c r="BD384" s="633" t="str">
        <f>IF(AND(L384="",H384=""),"",
IF(H384="",Pole_Calc!A412,
IF(H384="MP",Pole_Calc!A413,
IF(H384="AnMP",Pole_Calc!A414,
IF(H384="A",Pole_Calc!A415,
IF(H384="S/A",Pole_Calc!A416,
IF(H384="A/S",Pole_Calc!A417,"Poner a mano")))))))</f>
        <v/>
      </c>
      <c r="BE384" s="448" t="s">
        <v>1726</v>
      </c>
      <c r="BF384" s="634"/>
      <c r="BG384" s="634"/>
      <c r="BH384" s="634"/>
      <c r="BI384" s="634"/>
    </row>
    <row r="385" spans="1:61" ht="16.2" customHeight="1">
      <c r="A385" s="12"/>
      <c r="B385" s="446"/>
      <c r="C385" s="89"/>
      <c r="D385" s="13"/>
      <c r="E385" s="14"/>
      <c r="F385" s="14"/>
      <c r="G385" s="15"/>
      <c r="H385" s="8"/>
      <c r="I385" s="8"/>
      <c r="J385" s="89"/>
      <c r="K385" s="8"/>
      <c r="L385" s="8"/>
      <c r="M385" s="8" t="str">
        <f>IF(L385="","",
IF(AX385="PT",VLOOKUP(L385,Foundation_Calc!$V$4:$X$37,VLOOKUP(AX385,Foundation_Calc!$I$10:$J$13,2,FALSE),0),
IF(AX385="K",VLOOKUP(L385,Foundation_Calc!$V$41:$X$74,VLOOKUP(AX385,Foundation_Calc!$I$10:$J$13,2,FALSE),0),"")))</f>
        <v/>
      </c>
      <c r="N385" s="8"/>
      <c r="O385" s="8"/>
      <c r="P385" s="8"/>
      <c r="Q385" s="14"/>
      <c r="R385" s="15"/>
      <c r="S385" s="15"/>
      <c r="T385" s="14"/>
      <c r="U385" s="14"/>
      <c r="V385" s="14"/>
      <c r="W385" s="18"/>
      <c r="X385" s="18"/>
      <c r="Y385" s="18"/>
      <c r="Z385" s="18"/>
      <c r="AA385" s="18"/>
      <c r="AB385" s="18"/>
      <c r="AC385" s="8" t="str">
        <f t="shared" si="23"/>
        <v/>
      </c>
      <c r="AD385" s="8"/>
      <c r="AE385" s="8"/>
      <c r="AF385" s="14"/>
      <c r="AG385" s="13"/>
      <c r="AH385" s="14"/>
      <c r="AI385" s="14"/>
      <c r="AJ385" s="8"/>
      <c r="AK385" s="8"/>
      <c r="AL385" s="8"/>
      <c r="AM385" s="8"/>
      <c r="AN385" s="631"/>
      <c r="AO385" s="18"/>
      <c r="AP385" s="18"/>
      <c r="AQ385" s="18"/>
      <c r="AR385" s="18"/>
      <c r="AS385" s="18"/>
      <c r="AU385" s="448"/>
      <c r="AV385" s="448"/>
      <c r="AW385" s="8" t="str">
        <f>IF(C385&gt;0,VLOOKUP(C385,Foundation_Calc!$A$2:$C$986,3,1),
IF(J385&gt;0,VLOOKUP(J385,Foundation_Calc!$A$2:$C$986,3,1),""))</f>
        <v/>
      </c>
      <c r="AX385" s="8" t="str">
        <f>IF(C385&gt;0,VLOOKUP(C385,Foundation_Calc!$E$2:$G$986,3,1),
IF(J385&gt;0,VLOOKUP(J385,Foundation_Calc!$E$2:$G$986,3,1),""))</f>
        <v/>
      </c>
      <c r="AY385" s="631" t="str">
        <f>IF(L385="","",
IF(AX385="PT",VLOOKUP(L385,Foundation_Calc!$K$4:$R$37,VLOOKUP(AW385,Foundation_Calc!$I$2:$J$8,2,FALSE),0),
IF(AX385="K",VLOOKUP(L385,Foundation_Calc!$K$41:$R$74,VLOOKUP(AW385,Foundation_Calc!$I$2:$J$8,2,FALSE),0),"")))</f>
        <v/>
      </c>
      <c r="AZ385" s="631" t="str">
        <f>IF(K385="","",
IF(AX385="PT",VLOOKUP(K385,Foundation_Calc!$K$4:$R$37,VLOOKUP(AW385,Foundation_Calc!$I$2:$J$8,2,FALSE),0),
IF(AX385="K",VLOOKUP(K385,Foundation_Calc!$K$41:$R$74,VLOOKUP(AW385,Foundation_Calc!$I$2:$J$8,2,FALSE),0),"")))</f>
        <v/>
      </c>
      <c r="BA385" s="632" t="str">
        <f t="shared" si="24"/>
        <v/>
      </c>
      <c r="BB385" s="632" t="str">
        <f t="shared" si="25"/>
        <v/>
      </c>
      <c r="BC385" s="632" t="str">
        <f t="shared" si="26"/>
        <v/>
      </c>
      <c r="BD385" s="633" t="str">
        <f>IF(AND(L385="",H385=""),"",
IF(H385="",Pole_Calc!A413,
IF(H385="MP",Pole_Calc!A414,
IF(H385="AnMP",Pole_Calc!A415,
IF(H385="A",Pole_Calc!A416,
IF(H385="S/A",Pole_Calc!A417,
IF(H385="A/S",Pole_Calc!A418,"Poner a mano")))))))</f>
        <v/>
      </c>
      <c r="BE385" s="448" t="s">
        <v>1726</v>
      </c>
      <c r="BF385" s="635"/>
      <c r="BG385" s="635"/>
      <c r="BH385" s="634"/>
      <c r="BI385" s="635"/>
    </row>
    <row r="386" spans="1:61" ht="16.2" customHeight="1">
      <c r="A386" s="12"/>
      <c r="B386" s="446"/>
      <c r="C386" s="89"/>
      <c r="D386" s="13"/>
      <c r="E386" s="14"/>
      <c r="F386" s="14"/>
      <c r="G386" s="15"/>
      <c r="H386" s="8"/>
      <c r="I386" s="8"/>
      <c r="J386" s="89"/>
      <c r="K386" s="8"/>
      <c r="L386" s="8"/>
      <c r="M386" s="8" t="str">
        <f>IF(L386="","",
IF(AX386="PT",VLOOKUP(L386,Foundation_Calc!$V$4:$X$37,VLOOKUP(AX386,Foundation_Calc!$I$10:$J$13,2,FALSE),0),
IF(AX386="K",VLOOKUP(L386,Foundation_Calc!$V$41:$X$74,VLOOKUP(AX386,Foundation_Calc!$I$10:$J$13,2,FALSE),0),"")))</f>
        <v/>
      </c>
      <c r="N386" s="8"/>
      <c r="O386" s="8"/>
      <c r="P386" s="8"/>
      <c r="Q386" s="14"/>
      <c r="R386" s="15"/>
      <c r="S386" s="15"/>
      <c r="T386" s="14"/>
      <c r="U386" s="14"/>
      <c r="V386" s="14"/>
      <c r="W386" s="18"/>
      <c r="X386" s="18"/>
      <c r="Y386" s="18"/>
      <c r="Z386" s="18"/>
      <c r="AA386" s="18"/>
      <c r="AB386" s="18"/>
      <c r="AC386" s="8" t="str">
        <f t="shared" si="23"/>
        <v/>
      </c>
      <c r="AD386" s="8"/>
      <c r="AE386" s="8"/>
      <c r="AF386" s="14"/>
      <c r="AG386" s="13"/>
      <c r="AH386" s="14"/>
      <c r="AI386" s="14"/>
      <c r="AJ386" s="8"/>
      <c r="AK386" s="8"/>
      <c r="AL386" s="8"/>
      <c r="AM386" s="8"/>
      <c r="AN386" s="631"/>
      <c r="AO386" s="18"/>
      <c r="AP386" s="18"/>
      <c r="AQ386" s="18"/>
      <c r="AR386" s="18"/>
      <c r="AS386" s="18"/>
      <c r="AU386" s="448"/>
      <c r="AV386" s="448"/>
      <c r="AW386" s="8" t="str">
        <f>IF(C386&gt;0,VLOOKUP(C386,Foundation_Calc!$A$2:$C$986,3,1),
IF(J386&gt;0,VLOOKUP(J386,Foundation_Calc!$A$2:$C$986,3,1),""))</f>
        <v/>
      </c>
      <c r="AX386" s="8" t="str">
        <f>IF(C386&gt;0,VLOOKUP(C386,Foundation_Calc!$E$2:$G$986,3,1),
IF(J386&gt;0,VLOOKUP(J386,Foundation_Calc!$E$2:$G$986,3,1),""))</f>
        <v/>
      </c>
      <c r="AY386" s="631" t="str">
        <f>IF(L386="","",
IF(AX386="PT",VLOOKUP(L386,Foundation_Calc!$K$4:$R$37,VLOOKUP(AW386,Foundation_Calc!$I$2:$J$8,2,FALSE),0),
IF(AX386="K",VLOOKUP(L386,Foundation_Calc!$K$41:$R$74,VLOOKUP(AW386,Foundation_Calc!$I$2:$J$8,2,FALSE),0),"")))</f>
        <v/>
      </c>
      <c r="AZ386" s="631" t="str">
        <f>IF(K386="","",
IF(AX386="PT",VLOOKUP(K386,Foundation_Calc!$K$4:$R$37,VLOOKUP(AW386,Foundation_Calc!$I$2:$J$8,2,FALSE),0),
IF(AX386="K",VLOOKUP(K386,Foundation_Calc!$K$41:$R$74,VLOOKUP(AW386,Foundation_Calc!$I$2:$J$8,2,FALSE),0),"")))</f>
        <v/>
      </c>
      <c r="BA386" s="632" t="str">
        <f t="shared" si="24"/>
        <v/>
      </c>
      <c r="BB386" s="632" t="str">
        <f t="shared" si="25"/>
        <v/>
      </c>
      <c r="BC386" s="632" t="str">
        <f t="shared" si="26"/>
        <v/>
      </c>
      <c r="BD386" s="633" t="str">
        <f>IF(AND(L386="",H386=""),"",
IF(H386="",Pole_Calc!A414,
IF(H386="MP",Pole_Calc!A415,
IF(H386="AnMP",Pole_Calc!A416,
IF(H386="A",Pole_Calc!A417,
IF(H386="S/A",Pole_Calc!A418,
IF(H386="A/S",Pole_Calc!A419,"Poner a mano")))))))</f>
        <v/>
      </c>
      <c r="BE386" s="448" t="s">
        <v>1726</v>
      </c>
      <c r="BF386" s="634"/>
      <c r="BG386" s="634"/>
      <c r="BH386" s="634"/>
      <c r="BI386" s="634"/>
    </row>
    <row r="387" spans="1:61" ht="16.2" customHeight="1">
      <c r="A387" s="12"/>
      <c r="B387" s="446"/>
      <c r="C387" s="89"/>
      <c r="D387" s="13"/>
      <c r="E387" s="14"/>
      <c r="F387" s="14"/>
      <c r="G387" s="15"/>
      <c r="H387" s="8"/>
      <c r="I387" s="8"/>
      <c r="J387" s="89"/>
      <c r="K387" s="8"/>
      <c r="L387" s="8"/>
      <c r="M387" s="8" t="str">
        <f>IF(L387="","",
IF(AX387="PT",VLOOKUP(L387,Foundation_Calc!$V$4:$X$37,VLOOKUP(AX387,Foundation_Calc!$I$10:$J$13,2,FALSE),0),
IF(AX387="K",VLOOKUP(L387,Foundation_Calc!$V$41:$X$74,VLOOKUP(AX387,Foundation_Calc!$I$10:$J$13,2,FALSE),0),"")))</f>
        <v/>
      </c>
      <c r="N387" s="8"/>
      <c r="O387" s="8"/>
      <c r="P387" s="8"/>
      <c r="Q387" s="14"/>
      <c r="R387" s="15"/>
      <c r="S387" s="15"/>
      <c r="T387" s="14"/>
      <c r="U387" s="14"/>
      <c r="V387" s="14"/>
      <c r="W387" s="18"/>
      <c r="X387" s="18"/>
      <c r="Y387" s="18"/>
      <c r="Z387" s="18"/>
      <c r="AA387" s="18"/>
      <c r="AB387" s="18"/>
      <c r="AC387" s="8" t="str">
        <f t="shared" si="23"/>
        <v/>
      </c>
      <c r="AD387" s="8"/>
      <c r="AE387" s="8"/>
      <c r="AF387" s="14"/>
      <c r="AG387" s="13"/>
      <c r="AH387" s="14"/>
      <c r="AI387" s="14"/>
      <c r="AJ387" s="8"/>
      <c r="AK387" s="8"/>
      <c r="AL387" s="8"/>
      <c r="AM387" s="8"/>
      <c r="AN387" s="631"/>
      <c r="AO387" s="18"/>
      <c r="AP387" s="18"/>
      <c r="AQ387" s="18"/>
      <c r="AR387" s="18"/>
      <c r="AS387" s="18"/>
      <c r="AU387" s="448"/>
      <c r="AV387" s="448"/>
      <c r="AW387" s="8" t="str">
        <f>IF(C387&gt;0,VLOOKUP(C387,Foundation_Calc!$A$2:$C$986,3,1),
IF(J387&gt;0,VLOOKUP(J387,Foundation_Calc!$A$2:$C$986,3,1),""))</f>
        <v/>
      </c>
      <c r="AX387" s="8" t="str">
        <f>IF(C387&gt;0,VLOOKUP(C387,Foundation_Calc!$E$2:$G$986,3,1),
IF(J387&gt;0,VLOOKUP(J387,Foundation_Calc!$E$2:$G$986,3,1),""))</f>
        <v/>
      </c>
      <c r="AY387" s="631" t="str">
        <f>IF(L387="","",
IF(AX387="PT",VLOOKUP(L387,Foundation_Calc!$K$4:$R$37,VLOOKUP(AW387,Foundation_Calc!$I$2:$J$8,2,FALSE),0),
IF(AX387="K",VLOOKUP(L387,Foundation_Calc!$K$41:$R$74,VLOOKUP(AW387,Foundation_Calc!$I$2:$J$8,2,FALSE),0),"")))</f>
        <v/>
      </c>
      <c r="AZ387" s="631" t="str">
        <f>IF(K387="","",
IF(AX387="PT",VLOOKUP(K387,Foundation_Calc!$K$4:$R$37,VLOOKUP(AW387,Foundation_Calc!$I$2:$J$8,2,FALSE),0),
IF(AX387="K",VLOOKUP(K387,Foundation_Calc!$K$41:$R$74,VLOOKUP(AW387,Foundation_Calc!$I$2:$J$8,2,FALSE),0),"")))</f>
        <v/>
      </c>
      <c r="BA387" s="632" t="str">
        <f t="shared" si="24"/>
        <v/>
      </c>
      <c r="BB387" s="632" t="str">
        <f t="shared" si="25"/>
        <v/>
      </c>
      <c r="BC387" s="632" t="str">
        <f t="shared" si="26"/>
        <v/>
      </c>
      <c r="BD387" s="633" t="str">
        <f>IF(AND(L387="",H387=""),"",
IF(H387="",Pole_Calc!A415,
IF(H387="MP",Pole_Calc!A416,
IF(H387="AnMP",Pole_Calc!A417,
IF(H387="A",Pole_Calc!A418,
IF(H387="S/A",Pole_Calc!A419,
IF(H387="A/S",Pole_Calc!A420,"Poner a mano")))))))</f>
        <v/>
      </c>
      <c r="BE387" s="448" t="s">
        <v>1726</v>
      </c>
      <c r="BF387" s="635"/>
      <c r="BG387" s="635"/>
      <c r="BH387" s="634"/>
      <c r="BI387" s="635"/>
    </row>
    <row r="388" spans="1:61" ht="16.2" customHeight="1">
      <c r="A388" s="12"/>
      <c r="B388" s="446"/>
      <c r="C388" s="89"/>
      <c r="D388" s="13"/>
      <c r="E388" s="14"/>
      <c r="F388" s="14"/>
      <c r="G388" s="15"/>
      <c r="H388" s="8"/>
      <c r="I388" s="8"/>
      <c r="J388" s="89"/>
      <c r="K388" s="8"/>
      <c r="L388" s="8"/>
      <c r="M388" s="8" t="str">
        <f>IF(L388="","",
IF(AX388="PT",VLOOKUP(L388,Foundation_Calc!$V$4:$X$37,VLOOKUP(AX388,Foundation_Calc!$I$10:$J$13,2,FALSE),0),
IF(AX388="K",VLOOKUP(L388,Foundation_Calc!$V$41:$X$74,VLOOKUP(AX388,Foundation_Calc!$I$10:$J$13,2,FALSE),0),"")))</f>
        <v/>
      </c>
      <c r="N388" s="8"/>
      <c r="O388" s="8"/>
      <c r="P388" s="8"/>
      <c r="Q388" s="14"/>
      <c r="R388" s="15"/>
      <c r="S388" s="15"/>
      <c r="T388" s="14"/>
      <c r="U388" s="14"/>
      <c r="V388" s="14"/>
      <c r="W388" s="18"/>
      <c r="X388" s="18"/>
      <c r="Y388" s="18"/>
      <c r="Z388" s="18"/>
      <c r="AA388" s="18"/>
      <c r="AB388" s="18"/>
      <c r="AC388" s="8" t="str">
        <f t="shared" si="23"/>
        <v/>
      </c>
      <c r="AD388" s="8"/>
      <c r="AE388" s="8"/>
      <c r="AF388" s="14"/>
      <c r="AG388" s="13"/>
      <c r="AH388" s="14"/>
      <c r="AI388" s="14"/>
      <c r="AJ388" s="8"/>
      <c r="AK388" s="8"/>
      <c r="AL388" s="8"/>
      <c r="AM388" s="8"/>
      <c r="AN388" s="631"/>
      <c r="AO388" s="18"/>
      <c r="AP388" s="18"/>
      <c r="AQ388" s="18"/>
      <c r="AR388" s="18"/>
      <c r="AS388" s="18"/>
      <c r="AU388" s="448"/>
      <c r="AV388" s="448"/>
      <c r="AW388" s="8" t="str">
        <f>IF(C388&gt;0,VLOOKUP(C388,Foundation_Calc!$A$2:$C$986,3,1),
IF(J388&gt;0,VLOOKUP(J388,Foundation_Calc!$A$2:$C$986,3,1),""))</f>
        <v/>
      </c>
      <c r="AX388" s="8" t="str">
        <f>IF(C388&gt;0,VLOOKUP(C388,Foundation_Calc!$E$2:$G$986,3,1),
IF(J388&gt;0,VLOOKUP(J388,Foundation_Calc!$E$2:$G$986,3,1),""))</f>
        <v/>
      </c>
      <c r="AY388" s="631" t="str">
        <f>IF(L388="","",
IF(AX388="PT",VLOOKUP(L388,Foundation_Calc!$K$4:$R$37,VLOOKUP(AW388,Foundation_Calc!$I$2:$J$8,2,FALSE),0),
IF(AX388="K",VLOOKUP(L388,Foundation_Calc!$K$41:$R$74,VLOOKUP(AW388,Foundation_Calc!$I$2:$J$8,2,FALSE),0),"")))</f>
        <v/>
      </c>
      <c r="AZ388" s="631" t="str">
        <f>IF(K388="","",
IF(AX388="PT",VLOOKUP(K388,Foundation_Calc!$K$4:$R$37,VLOOKUP(AW388,Foundation_Calc!$I$2:$J$8,2,FALSE),0),
IF(AX388="K",VLOOKUP(K388,Foundation_Calc!$K$41:$R$74,VLOOKUP(AW388,Foundation_Calc!$I$2:$J$8,2,FALSE),0),"")))</f>
        <v/>
      </c>
      <c r="BA388" s="632" t="str">
        <f t="shared" si="24"/>
        <v/>
      </c>
      <c r="BB388" s="632" t="str">
        <f t="shared" si="25"/>
        <v/>
      </c>
      <c r="BC388" s="632" t="str">
        <f t="shared" si="26"/>
        <v/>
      </c>
      <c r="BD388" s="633" t="str">
        <f>IF(AND(L388="",H388=""),"",
IF(H388="",Pole_Calc!A416,
IF(H388="MP",Pole_Calc!A417,
IF(H388="AnMP",Pole_Calc!A418,
IF(H388="A",Pole_Calc!A419,
IF(H388="S/A",Pole_Calc!A420,
IF(H388="A/S",Pole_Calc!A421,"Poner a mano")))))))</f>
        <v/>
      </c>
      <c r="BE388" s="448" t="s">
        <v>1726</v>
      </c>
      <c r="BF388" s="634"/>
      <c r="BG388" s="634"/>
      <c r="BH388" s="634"/>
      <c r="BI388" s="634"/>
    </row>
    <row r="389" spans="1:61" ht="16.2" customHeight="1">
      <c r="A389" s="12"/>
      <c r="B389" s="446"/>
      <c r="C389" s="89"/>
      <c r="D389" s="13"/>
      <c r="E389" s="14"/>
      <c r="F389" s="14"/>
      <c r="G389" s="15"/>
      <c r="H389" s="8"/>
      <c r="I389" s="8"/>
      <c r="J389" s="89"/>
      <c r="K389" s="8"/>
      <c r="L389" s="8"/>
      <c r="M389" s="8" t="str">
        <f>IF(L389="","",
IF(AX389="PT",VLOOKUP(L389,Foundation_Calc!$V$4:$X$37,VLOOKUP(AX389,Foundation_Calc!$I$10:$J$13,2,FALSE),0),
IF(AX389="K",VLOOKUP(L389,Foundation_Calc!$V$41:$X$74,VLOOKUP(AX389,Foundation_Calc!$I$10:$J$13,2,FALSE),0),"")))</f>
        <v/>
      </c>
      <c r="N389" s="8"/>
      <c r="O389" s="8"/>
      <c r="P389" s="8"/>
      <c r="Q389" s="14"/>
      <c r="R389" s="15"/>
      <c r="S389" s="15"/>
      <c r="T389" s="14"/>
      <c r="U389" s="14"/>
      <c r="V389" s="14"/>
      <c r="W389" s="18"/>
      <c r="X389" s="18"/>
      <c r="Y389" s="18"/>
      <c r="Z389" s="18"/>
      <c r="AA389" s="18"/>
      <c r="AB389" s="18"/>
      <c r="AC389" s="8" t="str">
        <f t="shared" si="23"/>
        <v/>
      </c>
      <c r="AD389" s="8"/>
      <c r="AE389" s="8"/>
      <c r="AF389" s="14"/>
      <c r="AG389" s="13"/>
      <c r="AH389" s="14"/>
      <c r="AI389" s="14"/>
      <c r="AJ389" s="8"/>
      <c r="AK389" s="8"/>
      <c r="AL389" s="8"/>
      <c r="AM389" s="8"/>
      <c r="AN389" s="631"/>
      <c r="AO389" s="18"/>
      <c r="AP389" s="18"/>
      <c r="AQ389" s="18"/>
      <c r="AR389" s="18"/>
      <c r="AS389" s="18"/>
      <c r="AU389" s="448"/>
      <c r="AV389" s="448"/>
      <c r="AW389" s="8" t="str">
        <f>IF(C389&gt;0,VLOOKUP(C389,Foundation_Calc!$A$2:$C$986,3,1),
IF(J389&gt;0,VLOOKUP(J389,Foundation_Calc!$A$2:$C$986,3,1),""))</f>
        <v/>
      </c>
      <c r="AX389" s="8" t="str">
        <f>IF(C389&gt;0,VLOOKUP(C389,Foundation_Calc!$E$2:$G$986,3,1),
IF(J389&gt;0,VLOOKUP(J389,Foundation_Calc!$E$2:$G$986,3,1),""))</f>
        <v/>
      </c>
      <c r="AY389" s="631" t="str">
        <f>IF(L389="","",
IF(AX389="PT",VLOOKUP(L389,Foundation_Calc!$K$4:$R$37,VLOOKUP(AW389,Foundation_Calc!$I$2:$J$8,2,FALSE),0),
IF(AX389="K",VLOOKUP(L389,Foundation_Calc!$K$41:$R$74,VLOOKUP(AW389,Foundation_Calc!$I$2:$J$8,2,FALSE),0),"")))</f>
        <v/>
      </c>
      <c r="AZ389" s="631" t="str">
        <f>IF(K389="","",
IF(AX389="PT",VLOOKUP(K389,Foundation_Calc!$K$4:$R$37,VLOOKUP(AW389,Foundation_Calc!$I$2:$J$8,2,FALSE),0),
IF(AX389="K",VLOOKUP(K389,Foundation_Calc!$K$41:$R$74,VLOOKUP(AW389,Foundation_Calc!$I$2:$J$8,2,FALSE),0),"")))</f>
        <v/>
      </c>
      <c r="BA389" s="632" t="str">
        <f t="shared" si="24"/>
        <v/>
      </c>
      <c r="BB389" s="632" t="str">
        <f t="shared" si="25"/>
        <v/>
      </c>
      <c r="BC389" s="632" t="str">
        <f t="shared" si="26"/>
        <v/>
      </c>
      <c r="BD389" s="633" t="str">
        <f>IF(AND(L389="",H389=""),"",
IF(H389="",Pole_Calc!A417,
IF(H389="MP",Pole_Calc!A418,
IF(H389="AnMP",Pole_Calc!A419,
IF(H389="A",Pole_Calc!A420,
IF(H389="S/A",Pole_Calc!A421,
IF(H389="A/S",Pole_Calc!A422,"Poner a mano")))))))</f>
        <v/>
      </c>
      <c r="BE389" s="448" t="s">
        <v>1726</v>
      </c>
      <c r="BF389" s="635"/>
      <c r="BG389" s="635"/>
      <c r="BH389" s="634"/>
      <c r="BI389" s="635"/>
    </row>
    <row r="390" spans="1:61" ht="16.2" customHeight="1">
      <c r="A390" s="12"/>
      <c r="B390" s="446"/>
      <c r="C390" s="89"/>
      <c r="D390" s="13"/>
      <c r="E390" s="14"/>
      <c r="F390" s="14"/>
      <c r="G390" s="15"/>
      <c r="H390" s="8"/>
      <c r="I390" s="8"/>
      <c r="J390" s="89"/>
      <c r="K390" s="8"/>
      <c r="L390" s="8"/>
      <c r="M390" s="8" t="str">
        <f>IF(L390="","",
IF(AX390="PT",VLOOKUP(L390,Foundation_Calc!$V$4:$X$37,VLOOKUP(AX390,Foundation_Calc!$I$10:$J$13,2,FALSE),0),
IF(AX390="K",VLOOKUP(L390,Foundation_Calc!$V$41:$X$74,VLOOKUP(AX390,Foundation_Calc!$I$10:$J$13,2,FALSE),0),"")))</f>
        <v/>
      </c>
      <c r="N390" s="8"/>
      <c r="O390" s="8"/>
      <c r="P390" s="8"/>
      <c r="Q390" s="14"/>
      <c r="R390" s="15"/>
      <c r="S390" s="15"/>
      <c r="T390" s="14"/>
      <c r="U390" s="14"/>
      <c r="V390" s="14"/>
      <c r="W390" s="18"/>
      <c r="X390" s="18"/>
      <c r="Y390" s="18"/>
      <c r="Z390" s="18"/>
      <c r="AA390" s="18"/>
      <c r="AB390" s="18"/>
      <c r="AC390" s="8" t="str">
        <f t="shared" ref="AC390:AC453" si="27">IF(OR(AT390&gt;8,AT390&lt;-8),"PH",
IF(OR(AT390&gt;5,AT390&lt;-5),"PHQ",
IF(OR(AT390&gt;1,AT390&lt;-1),
"PHC","")))</f>
        <v/>
      </c>
      <c r="AD390" s="8"/>
      <c r="AE390" s="8"/>
      <c r="AF390" s="14"/>
      <c r="AG390" s="13"/>
      <c r="AH390" s="14"/>
      <c r="AI390" s="14"/>
      <c r="AJ390" s="8"/>
      <c r="AK390" s="8"/>
      <c r="AL390" s="8"/>
      <c r="AM390" s="8"/>
      <c r="AN390" s="631"/>
      <c r="AO390" s="18"/>
      <c r="AP390" s="18"/>
      <c r="AQ390" s="18"/>
      <c r="AR390" s="18"/>
      <c r="AS390" s="18"/>
      <c r="AU390" s="448"/>
      <c r="AV390" s="448"/>
      <c r="AW390" s="8" t="str">
        <f>IF(C390&gt;0,VLOOKUP(C390,Foundation_Calc!$A$2:$C$986,3,1),
IF(J390&gt;0,VLOOKUP(J390,Foundation_Calc!$A$2:$C$986,3,1),""))</f>
        <v/>
      </c>
      <c r="AX390" s="8" t="str">
        <f>IF(C390&gt;0,VLOOKUP(C390,Foundation_Calc!$E$2:$G$986,3,1),
IF(J390&gt;0,VLOOKUP(J390,Foundation_Calc!$E$2:$G$986,3,1),""))</f>
        <v/>
      </c>
      <c r="AY390" s="631" t="str">
        <f>IF(L390="","",
IF(AX390="PT",VLOOKUP(L390,Foundation_Calc!$K$4:$R$37,VLOOKUP(AW390,Foundation_Calc!$I$2:$J$8,2,FALSE),0),
IF(AX390="K",VLOOKUP(L390,Foundation_Calc!$K$41:$R$74,VLOOKUP(AW390,Foundation_Calc!$I$2:$J$8,2,FALSE),0),"")))</f>
        <v/>
      </c>
      <c r="AZ390" s="631" t="str">
        <f>IF(K390="","",
IF(AX390="PT",VLOOKUP(K390,Foundation_Calc!$K$4:$R$37,VLOOKUP(AW390,Foundation_Calc!$I$2:$J$8,2,FALSE),0),
IF(AX390="K",VLOOKUP(K390,Foundation_Calc!$K$41:$R$74,VLOOKUP(AW390,Foundation_Calc!$I$2:$J$8,2,FALSE),0),"")))</f>
        <v/>
      </c>
      <c r="BA390" s="632" t="str">
        <f t="shared" ref="BA390:BA453" si="28">IF(AY390="","",IF(AY390&gt;0,"ü",""))</f>
        <v/>
      </c>
      <c r="BB390" s="632" t="str">
        <f t="shared" ref="BB390:BB453" si="29">IF(AZ390="","",IF(AZ390&gt;0,"ü",""))</f>
        <v/>
      </c>
      <c r="BC390" s="632" t="str">
        <f t="shared" ref="BC390:BC453" si="30">IF(M390="","",IF(M390="Unique Solution","ü",""))</f>
        <v/>
      </c>
      <c r="BD390" s="633" t="str">
        <f>IF(AND(L390="",H390=""),"",
IF(H390="",Pole_Calc!A418,
IF(H390="MP",Pole_Calc!A419,
IF(H390="AnMP",Pole_Calc!A420,
IF(H390="A",Pole_Calc!A421,
IF(H390="S/A",Pole_Calc!A422,
IF(H390="A/S",Pole_Calc!A423,"Poner a mano")))))))</f>
        <v/>
      </c>
      <c r="BE390" s="448" t="s">
        <v>1726</v>
      </c>
      <c r="BF390" s="634"/>
      <c r="BG390" s="634"/>
      <c r="BH390" s="634"/>
      <c r="BI390" s="634"/>
    </row>
    <row r="391" spans="1:61" ht="16.2" customHeight="1">
      <c r="A391" s="12"/>
      <c r="B391" s="446"/>
      <c r="C391" s="89"/>
      <c r="D391" s="13"/>
      <c r="E391" s="14"/>
      <c r="F391" s="14"/>
      <c r="G391" s="15"/>
      <c r="H391" s="8"/>
      <c r="I391" s="8"/>
      <c r="J391" s="89"/>
      <c r="K391" s="8"/>
      <c r="L391" s="8"/>
      <c r="M391" s="8" t="str">
        <f>IF(L391="","",
IF(AX391="PT",VLOOKUP(L391,Foundation_Calc!$V$4:$X$37,VLOOKUP(AX391,Foundation_Calc!$I$10:$J$13,2,FALSE),0),
IF(AX391="K",VLOOKUP(L391,Foundation_Calc!$V$41:$X$74,VLOOKUP(AX391,Foundation_Calc!$I$10:$J$13,2,FALSE),0),"")))</f>
        <v/>
      </c>
      <c r="N391" s="8"/>
      <c r="O391" s="8"/>
      <c r="P391" s="8"/>
      <c r="Q391" s="14"/>
      <c r="R391" s="15"/>
      <c r="S391" s="15"/>
      <c r="T391" s="14"/>
      <c r="U391" s="14"/>
      <c r="V391" s="14"/>
      <c r="W391" s="18"/>
      <c r="X391" s="18"/>
      <c r="Y391" s="18"/>
      <c r="Z391" s="18"/>
      <c r="AA391" s="18"/>
      <c r="AB391" s="18"/>
      <c r="AC391" s="8" t="str">
        <f t="shared" si="27"/>
        <v/>
      </c>
      <c r="AD391" s="8"/>
      <c r="AE391" s="8"/>
      <c r="AF391" s="14"/>
      <c r="AG391" s="13"/>
      <c r="AH391" s="14"/>
      <c r="AI391" s="14"/>
      <c r="AJ391" s="8"/>
      <c r="AK391" s="8"/>
      <c r="AL391" s="8"/>
      <c r="AM391" s="8"/>
      <c r="AN391" s="631"/>
      <c r="AO391" s="18"/>
      <c r="AP391" s="18"/>
      <c r="AQ391" s="18"/>
      <c r="AR391" s="18"/>
      <c r="AS391" s="18"/>
      <c r="AU391" s="448"/>
      <c r="AV391" s="448"/>
      <c r="AW391" s="8" t="str">
        <f>IF(C391&gt;0,VLOOKUP(C391,Foundation_Calc!$A$2:$C$986,3,1),
IF(J391&gt;0,VLOOKUP(J391,Foundation_Calc!$A$2:$C$986,3,1),""))</f>
        <v/>
      </c>
      <c r="AX391" s="8" t="str">
        <f>IF(C391&gt;0,VLOOKUP(C391,Foundation_Calc!$E$2:$G$986,3,1),
IF(J391&gt;0,VLOOKUP(J391,Foundation_Calc!$E$2:$G$986,3,1),""))</f>
        <v/>
      </c>
      <c r="AY391" s="631" t="str">
        <f>IF(L391="","",
IF(AX391="PT",VLOOKUP(L391,Foundation_Calc!$K$4:$R$37,VLOOKUP(AW391,Foundation_Calc!$I$2:$J$8,2,FALSE),0),
IF(AX391="K",VLOOKUP(L391,Foundation_Calc!$K$41:$R$74,VLOOKUP(AW391,Foundation_Calc!$I$2:$J$8,2,FALSE),0),"")))</f>
        <v/>
      </c>
      <c r="AZ391" s="631" t="str">
        <f>IF(K391="","",
IF(AX391="PT",VLOOKUP(K391,Foundation_Calc!$K$4:$R$37,VLOOKUP(AW391,Foundation_Calc!$I$2:$J$8,2,FALSE),0),
IF(AX391="K",VLOOKUP(K391,Foundation_Calc!$K$41:$R$74,VLOOKUP(AW391,Foundation_Calc!$I$2:$J$8,2,FALSE),0),"")))</f>
        <v/>
      </c>
      <c r="BA391" s="632" t="str">
        <f t="shared" si="28"/>
        <v/>
      </c>
      <c r="BB391" s="632" t="str">
        <f t="shared" si="29"/>
        <v/>
      </c>
      <c r="BC391" s="632" t="str">
        <f t="shared" si="30"/>
        <v/>
      </c>
      <c r="BD391" s="633" t="str">
        <f>IF(AND(L391="",H391=""),"",
IF(H391="",Pole_Calc!A419,
IF(H391="MP",Pole_Calc!A420,
IF(H391="AnMP",Pole_Calc!A421,
IF(H391="A",Pole_Calc!A422,
IF(H391="S/A",Pole_Calc!A423,
IF(H391="A/S",Pole_Calc!A424,"Poner a mano")))))))</f>
        <v/>
      </c>
      <c r="BE391" s="448" t="s">
        <v>1726</v>
      </c>
      <c r="BF391" s="635"/>
      <c r="BG391" s="635"/>
      <c r="BH391" s="634"/>
      <c r="BI391" s="635"/>
    </row>
    <row r="392" spans="1:61" ht="16.2" customHeight="1">
      <c r="A392" s="12"/>
      <c r="B392" s="446"/>
      <c r="C392" s="89"/>
      <c r="D392" s="13"/>
      <c r="E392" s="14"/>
      <c r="F392" s="14"/>
      <c r="G392" s="15"/>
      <c r="H392" s="8"/>
      <c r="I392" s="8"/>
      <c r="J392" s="89"/>
      <c r="K392" s="8"/>
      <c r="L392" s="8"/>
      <c r="M392" s="8" t="str">
        <f>IF(L392="","",
IF(AX392="PT",VLOOKUP(L392,Foundation_Calc!$V$4:$X$37,VLOOKUP(AX392,Foundation_Calc!$I$10:$J$13,2,FALSE),0),
IF(AX392="K",VLOOKUP(L392,Foundation_Calc!$V$41:$X$74,VLOOKUP(AX392,Foundation_Calc!$I$10:$J$13,2,FALSE),0),"")))</f>
        <v/>
      </c>
      <c r="N392" s="8"/>
      <c r="O392" s="8"/>
      <c r="P392" s="8"/>
      <c r="Q392" s="14"/>
      <c r="R392" s="15"/>
      <c r="S392" s="15"/>
      <c r="T392" s="14"/>
      <c r="U392" s="14"/>
      <c r="V392" s="14"/>
      <c r="W392" s="18"/>
      <c r="X392" s="18"/>
      <c r="Y392" s="18"/>
      <c r="Z392" s="18"/>
      <c r="AA392" s="18"/>
      <c r="AB392" s="18"/>
      <c r="AC392" s="8" t="str">
        <f t="shared" si="27"/>
        <v/>
      </c>
      <c r="AD392" s="8"/>
      <c r="AE392" s="8"/>
      <c r="AF392" s="14"/>
      <c r="AG392" s="13"/>
      <c r="AH392" s="14"/>
      <c r="AI392" s="14"/>
      <c r="AJ392" s="8"/>
      <c r="AK392" s="8"/>
      <c r="AL392" s="8"/>
      <c r="AM392" s="8"/>
      <c r="AN392" s="631"/>
      <c r="AO392" s="18"/>
      <c r="AP392" s="18"/>
      <c r="AQ392" s="18"/>
      <c r="AR392" s="18"/>
      <c r="AS392" s="18"/>
      <c r="AU392" s="448"/>
      <c r="AV392" s="448"/>
      <c r="AW392" s="8" t="str">
        <f>IF(C392&gt;0,VLOOKUP(C392,Foundation_Calc!$A$2:$C$986,3,1),
IF(J392&gt;0,VLOOKUP(J392,Foundation_Calc!$A$2:$C$986,3,1),""))</f>
        <v/>
      </c>
      <c r="AX392" s="8" t="str">
        <f>IF(C392&gt;0,VLOOKUP(C392,Foundation_Calc!$E$2:$G$986,3,1),
IF(J392&gt;0,VLOOKUP(J392,Foundation_Calc!$E$2:$G$986,3,1),""))</f>
        <v/>
      </c>
      <c r="AY392" s="631" t="str">
        <f>IF(L392="","",
IF(AX392="PT",VLOOKUP(L392,Foundation_Calc!$K$4:$R$37,VLOOKUP(AW392,Foundation_Calc!$I$2:$J$8,2,FALSE),0),
IF(AX392="K",VLOOKUP(L392,Foundation_Calc!$K$41:$R$74,VLOOKUP(AW392,Foundation_Calc!$I$2:$J$8,2,FALSE),0),"")))</f>
        <v/>
      </c>
      <c r="AZ392" s="631" t="str">
        <f>IF(K392="","",
IF(AX392="PT",VLOOKUP(K392,Foundation_Calc!$K$4:$R$37,VLOOKUP(AW392,Foundation_Calc!$I$2:$J$8,2,FALSE),0),
IF(AX392="K",VLOOKUP(K392,Foundation_Calc!$K$41:$R$74,VLOOKUP(AW392,Foundation_Calc!$I$2:$J$8,2,FALSE),0),"")))</f>
        <v/>
      </c>
      <c r="BA392" s="632" t="str">
        <f t="shared" si="28"/>
        <v/>
      </c>
      <c r="BB392" s="632" t="str">
        <f t="shared" si="29"/>
        <v/>
      </c>
      <c r="BC392" s="632" t="str">
        <f t="shared" si="30"/>
        <v/>
      </c>
      <c r="BD392" s="633" t="str">
        <f>IF(AND(L392="",H392=""),"",
IF(H392="",Pole_Calc!A420,
IF(H392="MP",Pole_Calc!A421,
IF(H392="AnMP",Pole_Calc!A422,
IF(H392="A",Pole_Calc!A423,
IF(H392="S/A",Pole_Calc!A424,
IF(H392="A/S",Pole_Calc!A425,"Poner a mano")))))))</f>
        <v/>
      </c>
      <c r="BE392" s="448" t="s">
        <v>1726</v>
      </c>
      <c r="BF392" s="634"/>
      <c r="BG392" s="634"/>
      <c r="BH392" s="634"/>
      <c r="BI392" s="634"/>
    </row>
    <row r="393" spans="1:61" ht="16.2" customHeight="1">
      <c r="A393" s="12"/>
      <c r="B393" s="446"/>
      <c r="C393" s="89"/>
      <c r="D393" s="13"/>
      <c r="E393" s="14"/>
      <c r="F393" s="14"/>
      <c r="G393" s="15"/>
      <c r="H393" s="8"/>
      <c r="I393" s="8"/>
      <c r="J393" s="89"/>
      <c r="K393" s="8"/>
      <c r="L393" s="8"/>
      <c r="M393" s="8" t="str">
        <f>IF(L393="","",
IF(AX393="PT",VLOOKUP(L393,Foundation_Calc!$V$4:$X$37,VLOOKUP(AX393,Foundation_Calc!$I$10:$J$13,2,FALSE),0),
IF(AX393="K",VLOOKUP(L393,Foundation_Calc!$V$41:$X$74,VLOOKUP(AX393,Foundation_Calc!$I$10:$J$13,2,FALSE),0),"")))</f>
        <v/>
      </c>
      <c r="N393" s="8"/>
      <c r="O393" s="8"/>
      <c r="P393" s="8"/>
      <c r="Q393" s="14"/>
      <c r="R393" s="15"/>
      <c r="S393" s="15"/>
      <c r="T393" s="14"/>
      <c r="U393" s="14"/>
      <c r="V393" s="14"/>
      <c r="W393" s="18"/>
      <c r="X393" s="18"/>
      <c r="Y393" s="18"/>
      <c r="Z393" s="18"/>
      <c r="AA393" s="18"/>
      <c r="AB393" s="18"/>
      <c r="AC393" s="8" t="str">
        <f t="shared" si="27"/>
        <v/>
      </c>
      <c r="AD393" s="8"/>
      <c r="AE393" s="8"/>
      <c r="AF393" s="14"/>
      <c r="AG393" s="13"/>
      <c r="AH393" s="14"/>
      <c r="AI393" s="14"/>
      <c r="AJ393" s="8"/>
      <c r="AK393" s="8"/>
      <c r="AL393" s="8"/>
      <c r="AM393" s="8"/>
      <c r="AN393" s="631"/>
      <c r="AO393" s="18"/>
      <c r="AP393" s="18"/>
      <c r="AQ393" s="18"/>
      <c r="AR393" s="18"/>
      <c r="AS393" s="18"/>
      <c r="AU393" s="448"/>
      <c r="AV393" s="448"/>
      <c r="AW393" s="8" t="str">
        <f>IF(C393&gt;0,VLOOKUP(C393,Foundation_Calc!$A$2:$C$986,3,1),
IF(J393&gt;0,VLOOKUP(J393,Foundation_Calc!$A$2:$C$986,3,1),""))</f>
        <v/>
      </c>
      <c r="AX393" s="8" t="str">
        <f>IF(C393&gt;0,VLOOKUP(C393,Foundation_Calc!$E$2:$G$986,3,1),
IF(J393&gt;0,VLOOKUP(J393,Foundation_Calc!$E$2:$G$986,3,1),""))</f>
        <v/>
      </c>
      <c r="AY393" s="631" t="str">
        <f>IF(L393="","",
IF(AX393="PT",VLOOKUP(L393,Foundation_Calc!$K$4:$R$37,VLOOKUP(AW393,Foundation_Calc!$I$2:$J$8,2,FALSE),0),
IF(AX393="K",VLOOKUP(L393,Foundation_Calc!$K$41:$R$74,VLOOKUP(AW393,Foundation_Calc!$I$2:$J$8,2,FALSE),0),"")))</f>
        <v/>
      </c>
      <c r="AZ393" s="631" t="str">
        <f>IF(K393="","",
IF(AX393="PT",VLOOKUP(K393,Foundation_Calc!$K$4:$R$37,VLOOKUP(AW393,Foundation_Calc!$I$2:$J$8,2,FALSE),0),
IF(AX393="K",VLOOKUP(K393,Foundation_Calc!$K$41:$R$74,VLOOKUP(AW393,Foundation_Calc!$I$2:$J$8,2,FALSE),0),"")))</f>
        <v/>
      </c>
      <c r="BA393" s="632" t="str">
        <f t="shared" si="28"/>
        <v/>
      </c>
      <c r="BB393" s="632" t="str">
        <f t="shared" si="29"/>
        <v/>
      </c>
      <c r="BC393" s="632" t="str">
        <f t="shared" si="30"/>
        <v/>
      </c>
      <c r="BD393" s="633" t="str">
        <f>IF(AND(L393="",H393=""),"",
IF(H393="",Pole_Calc!A421,
IF(H393="MP",Pole_Calc!A422,
IF(H393="AnMP",Pole_Calc!A423,
IF(H393="A",Pole_Calc!A424,
IF(H393="S/A",Pole_Calc!A425,
IF(H393="A/S",Pole_Calc!A426,"Poner a mano")))))))</f>
        <v/>
      </c>
      <c r="BE393" s="448" t="s">
        <v>1726</v>
      </c>
      <c r="BF393" s="635"/>
      <c r="BG393" s="635"/>
      <c r="BH393" s="634"/>
      <c r="BI393" s="635"/>
    </row>
    <row r="394" spans="1:61" ht="16.2" customHeight="1">
      <c r="A394" s="12"/>
      <c r="B394" s="446"/>
      <c r="C394" s="89"/>
      <c r="D394" s="13"/>
      <c r="E394" s="14"/>
      <c r="F394" s="14"/>
      <c r="G394" s="15"/>
      <c r="H394" s="8"/>
      <c r="I394" s="8"/>
      <c r="J394" s="89"/>
      <c r="K394" s="8"/>
      <c r="L394" s="8"/>
      <c r="M394" s="8" t="str">
        <f>IF(L394="","",
IF(AX394="PT",VLOOKUP(L394,Foundation_Calc!$V$4:$X$37,VLOOKUP(AX394,Foundation_Calc!$I$10:$J$13,2,FALSE),0),
IF(AX394="K",VLOOKUP(L394,Foundation_Calc!$V$41:$X$74,VLOOKUP(AX394,Foundation_Calc!$I$10:$J$13,2,FALSE),0),"")))</f>
        <v/>
      </c>
      <c r="N394" s="8"/>
      <c r="O394" s="8"/>
      <c r="P394" s="8"/>
      <c r="Q394" s="14"/>
      <c r="R394" s="15"/>
      <c r="S394" s="15"/>
      <c r="T394" s="14"/>
      <c r="U394" s="14"/>
      <c r="V394" s="14"/>
      <c r="W394" s="18"/>
      <c r="X394" s="18"/>
      <c r="Y394" s="18"/>
      <c r="Z394" s="18"/>
      <c r="AA394" s="18"/>
      <c r="AB394" s="18"/>
      <c r="AC394" s="8" t="str">
        <f t="shared" si="27"/>
        <v/>
      </c>
      <c r="AD394" s="8"/>
      <c r="AE394" s="8"/>
      <c r="AF394" s="14"/>
      <c r="AG394" s="13"/>
      <c r="AH394" s="14"/>
      <c r="AI394" s="14"/>
      <c r="AJ394" s="8"/>
      <c r="AK394" s="8"/>
      <c r="AL394" s="8"/>
      <c r="AM394" s="8"/>
      <c r="AN394" s="631"/>
      <c r="AO394" s="18"/>
      <c r="AP394" s="18"/>
      <c r="AQ394" s="18"/>
      <c r="AR394" s="18"/>
      <c r="AS394" s="18"/>
      <c r="AU394" s="448"/>
      <c r="AV394" s="448"/>
      <c r="AW394" s="8" t="str">
        <f>IF(C394&gt;0,VLOOKUP(C394,Foundation_Calc!$A$2:$C$986,3,1),
IF(J394&gt;0,VLOOKUP(J394,Foundation_Calc!$A$2:$C$986,3,1),""))</f>
        <v/>
      </c>
      <c r="AX394" s="8" t="str">
        <f>IF(C394&gt;0,VLOOKUP(C394,Foundation_Calc!$E$2:$G$986,3,1),
IF(J394&gt;0,VLOOKUP(J394,Foundation_Calc!$E$2:$G$986,3,1),""))</f>
        <v/>
      </c>
      <c r="AY394" s="631" t="str">
        <f>IF(L394="","",
IF(AX394="PT",VLOOKUP(L394,Foundation_Calc!$K$4:$R$37,VLOOKUP(AW394,Foundation_Calc!$I$2:$J$8,2,FALSE),0),
IF(AX394="K",VLOOKUP(L394,Foundation_Calc!$K$41:$R$74,VLOOKUP(AW394,Foundation_Calc!$I$2:$J$8,2,FALSE),0),"")))</f>
        <v/>
      </c>
      <c r="AZ394" s="631" t="str">
        <f>IF(K394="","",
IF(AX394="PT",VLOOKUP(K394,Foundation_Calc!$K$4:$R$37,VLOOKUP(AW394,Foundation_Calc!$I$2:$J$8,2,FALSE),0),
IF(AX394="K",VLOOKUP(K394,Foundation_Calc!$K$41:$R$74,VLOOKUP(AW394,Foundation_Calc!$I$2:$J$8,2,FALSE),0),"")))</f>
        <v/>
      </c>
      <c r="BA394" s="632" t="str">
        <f t="shared" si="28"/>
        <v/>
      </c>
      <c r="BB394" s="632" t="str">
        <f t="shared" si="29"/>
        <v/>
      </c>
      <c r="BC394" s="632" t="str">
        <f t="shared" si="30"/>
        <v/>
      </c>
      <c r="BD394" s="633" t="str">
        <f>IF(AND(L394="",H394=""),"",
IF(H394="",Pole_Calc!A422,
IF(H394="MP",Pole_Calc!A423,
IF(H394="AnMP",Pole_Calc!A424,
IF(H394="A",Pole_Calc!A425,
IF(H394="S/A",Pole_Calc!A426,
IF(H394="A/S",Pole_Calc!A427,"Poner a mano")))))))</f>
        <v/>
      </c>
      <c r="BE394" s="448" t="s">
        <v>1726</v>
      </c>
      <c r="BF394" s="634"/>
      <c r="BG394" s="634"/>
      <c r="BH394" s="634"/>
      <c r="BI394" s="634"/>
    </row>
    <row r="395" spans="1:61" ht="16.2" customHeight="1">
      <c r="A395" s="12"/>
      <c r="B395" s="446"/>
      <c r="C395" s="89"/>
      <c r="D395" s="13"/>
      <c r="E395" s="14"/>
      <c r="F395" s="14"/>
      <c r="G395" s="15"/>
      <c r="H395" s="8"/>
      <c r="I395" s="8"/>
      <c r="J395" s="89"/>
      <c r="K395" s="8"/>
      <c r="L395" s="8"/>
      <c r="M395" s="8" t="str">
        <f>IF(L395="","",
IF(AX395="PT",VLOOKUP(L395,Foundation_Calc!$V$4:$X$37,VLOOKUP(AX395,Foundation_Calc!$I$10:$J$13,2,FALSE),0),
IF(AX395="K",VLOOKUP(L395,Foundation_Calc!$V$41:$X$74,VLOOKUP(AX395,Foundation_Calc!$I$10:$J$13,2,FALSE),0),"")))</f>
        <v/>
      </c>
      <c r="N395" s="8"/>
      <c r="O395" s="8"/>
      <c r="P395" s="8"/>
      <c r="Q395" s="14"/>
      <c r="R395" s="15"/>
      <c r="S395" s="15"/>
      <c r="T395" s="14"/>
      <c r="U395" s="14"/>
      <c r="V395" s="14"/>
      <c r="W395" s="18"/>
      <c r="X395" s="18"/>
      <c r="Y395" s="18"/>
      <c r="Z395" s="18"/>
      <c r="AA395" s="18"/>
      <c r="AB395" s="18"/>
      <c r="AC395" s="8" t="str">
        <f t="shared" si="27"/>
        <v/>
      </c>
      <c r="AD395" s="8"/>
      <c r="AE395" s="8"/>
      <c r="AF395" s="14"/>
      <c r="AG395" s="13"/>
      <c r="AH395" s="14"/>
      <c r="AI395" s="14"/>
      <c r="AJ395" s="8"/>
      <c r="AK395" s="8"/>
      <c r="AL395" s="8"/>
      <c r="AM395" s="8"/>
      <c r="AN395" s="631"/>
      <c r="AO395" s="18"/>
      <c r="AP395" s="18"/>
      <c r="AQ395" s="18"/>
      <c r="AR395" s="18"/>
      <c r="AS395" s="18"/>
      <c r="AU395" s="448"/>
      <c r="AV395" s="448"/>
      <c r="AW395" s="8" t="str">
        <f>IF(C395&gt;0,VLOOKUP(C395,Foundation_Calc!$A$2:$C$986,3,1),
IF(J395&gt;0,VLOOKUP(J395,Foundation_Calc!$A$2:$C$986,3,1),""))</f>
        <v/>
      </c>
      <c r="AX395" s="8" t="str">
        <f>IF(C395&gt;0,VLOOKUP(C395,Foundation_Calc!$E$2:$G$986,3,1),
IF(J395&gt;0,VLOOKUP(J395,Foundation_Calc!$E$2:$G$986,3,1),""))</f>
        <v/>
      </c>
      <c r="AY395" s="631" t="str">
        <f>IF(L395="","",
IF(AX395="PT",VLOOKUP(L395,Foundation_Calc!$K$4:$R$37,VLOOKUP(AW395,Foundation_Calc!$I$2:$J$8,2,FALSE),0),
IF(AX395="K",VLOOKUP(L395,Foundation_Calc!$K$41:$R$74,VLOOKUP(AW395,Foundation_Calc!$I$2:$J$8,2,FALSE),0),"")))</f>
        <v/>
      </c>
      <c r="AZ395" s="631" t="str">
        <f>IF(K395="","",
IF(AX395="PT",VLOOKUP(K395,Foundation_Calc!$K$4:$R$37,VLOOKUP(AW395,Foundation_Calc!$I$2:$J$8,2,FALSE),0),
IF(AX395="K",VLOOKUP(K395,Foundation_Calc!$K$41:$R$74,VLOOKUP(AW395,Foundation_Calc!$I$2:$J$8,2,FALSE),0),"")))</f>
        <v/>
      </c>
      <c r="BA395" s="632" t="str">
        <f t="shared" si="28"/>
        <v/>
      </c>
      <c r="BB395" s="632" t="str">
        <f t="shared" si="29"/>
        <v/>
      </c>
      <c r="BC395" s="632" t="str">
        <f t="shared" si="30"/>
        <v/>
      </c>
      <c r="BD395" s="633" t="str">
        <f>IF(AND(L395="",H395=""),"",
IF(H395="",Pole_Calc!A423,
IF(H395="MP",Pole_Calc!A424,
IF(H395="AnMP",Pole_Calc!A425,
IF(H395="A",Pole_Calc!A426,
IF(H395="S/A",Pole_Calc!A427,
IF(H395="A/S",Pole_Calc!A428,"Poner a mano")))))))</f>
        <v/>
      </c>
      <c r="BE395" s="448" t="s">
        <v>1726</v>
      </c>
      <c r="BF395" s="635"/>
      <c r="BG395" s="635"/>
      <c r="BH395" s="634"/>
      <c r="BI395" s="635"/>
    </row>
    <row r="396" spans="1:61" ht="16.2" customHeight="1">
      <c r="A396" s="12"/>
      <c r="B396" s="446"/>
      <c r="C396" s="89"/>
      <c r="D396" s="13"/>
      <c r="E396" s="14"/>
      <c r="F396" s="14"/>
      <c r="G396" s="15"/>
      <c r="H396" s="8"/>
      <c r="I396" s="8"/>
      <c r="J396" s="89"/>
      <c r="K396" s="8"/>
      <c r="L396" s="8"/>
      <c r="M396" s="8" t="str">
        <f>IF(L396="","",
IF(AX396="PT",VLOOKUP(L396,Foundation_Calc!$V$4:$X$37,VLOOKUP(AX396,Foundation_Calc!$I$10:$J$13,2,FALSE),0),
IF(AX396="K",VLOOKUP(L396,Foundation_Calc!$V$41:$X$74,VLOOKUP(AX396,Foundation_Calc!$I$10:$J$13,2,FALSE),0),"")))</f>
        <v/>
      </c>
      <c r="N396" s="8"/>
      <c r="O396" s="8"/>
      <c r="P396" s="8"/>
      <c r="Q396" s="14"/>
      <c r="R396" s="15"/>
      <c r="S396" s="15"/>
      <c r="T396" s="14"/>
      <c r="U396" s="14"/>
      <c r="V396" s="14"/>
      <c r="W396" s="18"/>
      <c r="X396" s="18"/>
      <c r="Y396" s="18"/>
      <c r="Z396" s="18"/>
      <c r="AA396" s="18"/>
      <c r="AB396" s="18"/>
      <c r="AC396" s="8" t="str">
        <f t="shared" si="27"/>
        <v/>
      </c>
      <c r="AD396" s="8"/>
      <c r="AE396" s="8"/>
      <c r="AF396" s="14"/>
      <c r="AG396" s="13"/>
      <c r="AH396" s="14"/>
      <c r="AI396" s="14"/>
      <c r="AJ396" s="8"/>
      <c r="AK396" s="8"/>
      <c r="AL396" s="8"/>
      <c r="AM396" s="8"/>
      <c r="AN396" s="631"/>
      <c r="AO396" s="18"/>
      <c r="AP396" s="18"/>
      <c r="AQ396" s="18"/>
      <c r="AR396" s="18"/>
      <c r="AS396" s="18"/>
      <c r="AU396" s="448"/>
      <c r="AV396" s="448"/>
      <c r="AW396" s="8" t="str">
        <f>IF(C396&gt;0,VLOOKUP(C396,Foundation_Calc!$A$2:$C$986,3,1),
IF(J396&gt;0,VLOOKUP(J396,Foundation_Calc!$A$2:$C$986,3,1),""))</f>
        <v/>
      </c>
      <c r="AX396" s="8" t="str">
        <f>IF(C396&gt;0,VLOOKUP(C396,Foundation_Calc!$E$2:$G$986,3,1),
IF(J396&gt;0,VLOOKUP(J396,Foundation_Calc!$E$2:$G$986,3,1),""))</f>
        <v/>
      </c>
      <c r="AY396" s="631" t="str">
        <f>IF(L396="","",
IF(AX396="PT",VLOOKUP(L396,Foundation_Calc!$K$4:$R$37,VLOOKUP(AW396,Foundation_Calc!$I$2:$J$8,2,FALSE),0),
IF(AX396="K",VLOOKUP(L396,Foundation_Calc!$K$41:$R$74,VLOOKUP(AW396,Foundation_Calc!$I$2:$J$8,2,FALSE),0),"")))</f>
        <v/>
      </c>
      <c r="AZ396" s="631" t="str">
        <f>IF(K396="","",
IF(AX396="PT",VLOOKUP(K396,Foundation_Calc!$K$4:$R$37,VLOOKUP(AW396,Foundation_Calc!$I$2:$J$8,2,FALSE),0),
IF(AX396="K",VLOOKUP(K396,Foundation_Calc!$K$41:$R$74,VLOOKUP(AW396,Foundation_Calc!$I$2:$J$8,2,FALSE),0),"")))</f>
        <v/>
      </c>
      <c r="BA396" s="632" t="str">
        <f t="shared" si="28"/>
        <v/>
      </c>
      <c r="BB396" s="632" t="str">
        <f t="shared" si="29"/>
        <v/>
      </c>
      <c r="BC396" s="632" t="str">
        <f t="shared" si="30"/>
        <v/>
      </c>
      <c r="BD396" s="633" t="str">
        <f>IF(AND(L396="",H396=""),"",
IF(H396="",Pole_Calc!A424,
IF(H396="MP",Pole_Calc!A425,
IF(H396="AnMP",Pole_Calc!A426,
IF(H396="A",Pole_Calc!A427,
IF(H396="S/A",Pole_Calc!A428,
IF(H396="A/S",Pole_Calc!A429,"Poner a mano")))))))</f>
        <v/>
      </c>
      <c r="BE396" s="448" t="s">
        <v>1726</v>
      </c>
      <c r="BF396" s="634"/>
      <c r="BG396" s="634"/>
      <c r="BH396" s="634"/>
      <c r="BI396" s="634"/>
    </row>
    <row r="397" spans="1:61" ht="16.2" customHeight="1">
      <c r="A397" s="12"/>
      <c r="B397" s="446"/>
      <c r="C397" s="89"/>
      <c r="D397" s="13"/>
      <c r="E397" s="14"/>
      <c r="F397" s="14"/>
      <c r="G397" s="15"/>
      <c r="H397" s="8"/>
      <c r="I397" s="8"/>
      <c r="J397" s="89"/>
      <c r="K397" s="8"/>
      <c r="L397" s="8"/>
      <c r="M397" s="8" t="str">
        <f>IF(L397="","",
IF(AX397="PT",VLOOKUP(L397,Foundation_Calc!$V$4:$X$37,VLOOKUP(AX397,Foundation_Calc!$I$10:$J$13,2,FALSE),0),
IF(AX397="K",VLOOKUP(L397,Foundation_Calc!$V$41:$X$74,VLOOKUP(AX397,Foundation_Calc!$I$10:$J$13,2,FALSE),0),"")))</f>
        <v/>
      </c>
      <c r="N397" s="8"/>
      <c r="O397" s="8"/>
      <c r="P397" s="8"/>
      <c r="Q397" s="14"/>
      <c r="R397" s="15"/>
      <c r="S397" s="15"/>
      <c r="T397" s="14"/>
      <c r="U397" s="14"/>
      <c r="V397" s="14"/>
      <c r="W397" s="18"/>
      <c r="X397" s="18"/>
      <c r="Y397" s="18"/>
      <c r="Z397" s="18"/>
      <c r="AA397" s="18"/>
      <c r="AB397" s="18"/>
      <c r="AC397" s="8" t="str">
        <f t="shared" si="27"/>
        <v/>
      </c>
      <c r="AD397" s="8"/>
      <c r="AE397" s="8"/>
      <c r="AF397" s="14"/>
      <c r="AG397" s="13"/>
      <c r="AH397" s="14"/>
      <c r="AI397" s="14"/>
      <c r="AJ397" s="8"/>
      <c r="AK397" s="8"/>
      <c r="AL397" s="8"/>
      <c r="AM397" s="8"/>
      <c r="AN397" s="631"/>
      <c r="AO397" s="18"/>
      <c r="AP397" s="18"/>
      <c r="AQ397" s="18"/>
      <c r="AR397" s="18"/>
      <c r="AS397" s="18"/>
      <c r="AU397" s="448"/>
      <c r="AV397" s="448"/>
      <c r="AW397" s="8" t="str">
        <f>IF(C397&gt;0,VLOOKUP(C397,Foundation_Calc!$A$2:$C$986,3,1),
IF(J397&gt;0,VLOOKUP(J397,Foundation_Calc!$A$2:$C$986,3,1),""))</f>
        <v/>
      </c>
      <c r="AX397" s="8" t="str">
        <f>IF(C397&gt;0,VLOOKUP(C397,Foundation_Calc!$E$2:$G$986,3,1),
IF(J397&gt;0,VLOOKUP(J397,Foundation_Calc!$E$2:$G$986,3,1),""))</f>
        <v/>
      </c>
      <c r="AY397" s="631" t="str">
        <f>IF(L397="","",
IF(AX397="PT",VLOOKUP(L397,Foundation_Calc!$K$4:$R$37,VLOOKUP(AW397,Foundation_Calc!$I$2:$J$8,2,FALSE),0),
IF(AX397="K",VLOOKUP(L397,Foundation_Calc!$K$41:$R$74,VLOOKUP(AW397,Foundation_Calc!$I$2:$J$8,2,FALSE),0),"")))</f>
        <v/>
      </c>
      <c r="AZ397" s="631" t="str">
        <f>IF(K397="","",
IF(AX397="PT",VLOOKUP(K397,Foundation_Calc!$K$4:$R$37,VLOOKUP(AW397,Foundation_Calc!$I$2:$J$8,2,FALSE),0),
IF(AX397="K",VLOOKUP(K397,Foundation_Calc!$K$41:$R$74,VLOOKUP(AW397,Foundation_Calc!$I$2:$J$8,2,FALSE),0),"")))</f>
        <v/>
      </c>
      <c r="BA397" s="632" t="str">
        <f t="shared" si="28"/>
        <v/>
      </c>
      <c r="BB397" s="632" t="str">
        <f t="shared" si="29"/>
        <v/>
      </c>
      <c r="BC397" s="632" t="str">
        <f t="shared" si="30"/>
        <v/>
      </c>
      <c r="BD397" s="633" t="str">
        <f>IF(AND(L397="",H397=""),"",
IF(H397="",Pole_Calc!A425,
IF(H397="MP",Pole_Calc!A426,
IF(H397="AnMP",Pole_Calc!A427,
IF(H397="A",Pole_Calc!A428,
IF(H397="S/A",Pole_Calc!A429,
IF(H397="A/S",Pole_Calc!A430,"Poner a mano")))))))</f>
        <v/>
      </c>
      <c r="BE397" s="448" t="s">
        <v>1726</v>
      </c>
      <c r="BF397" s="635"/>
      <c r="BG397" s="635"/>
      <c r="BH397" s="634"/>
      <c r="BI397" s="635"/>
    </row>
    <row r="398" spans="1:61" ht="16.2" customHeight="1">
      <c r="A398" s="12"/>
      <c r="B398" s="446"/>
      <c r="C398" s="89"/>
      <c r="D398" s="13"/>
      <c r="E398" s="14"/>
      <c r="F398" s="14"/>
      <c r="G398" s="15"/>
      <c r="H398" s="8"/>
      <c r="I398" s="8"/>
      <c r="J398" s="89"/>
      <c r="K398" s="8"/>
      <c r="L398" s="8"/>
      <c r="M398" s="8" t="str">
        <f>IF(L398="","",
IF(AX398="PT",VLOOKUP(L398,Foundation_Calc!$V$4:$X$37,VLOOKUP(AX398,Foundation_Calc!$I$10:$J$13,2,FALSE),0),
IF(AX398="K",VLOOKUP(L398,Foundation_Calc!$V$41:$X$74,VLOOKUP(AX398,Foundation_Calc!$I$10:$J$13,2,FALSE),0),"")))</f>
        <v/>
      </c>
      <c r="N398" s="8"/>
      <c r="O398" s="8"/>
      <c r="P398" s="8"/>
      <c r="Q398" s="14"/>
      <c r="R398" s="15"/>
      <c r="S398" s="15"/>
      <c r="T398" s="14"/>
      <c r="U398" s="14"/>
      <c r="V398" s="14"/>
      <c r="W398" s="18"/>
      <c r="X398" s="18"/>
      <c r="Y398" s="18"/>
      <c r="Z398" s="18"/>
      <c r="AA398" s="18"/>
      <c r="AB398" s="18"/>
      <c r="AC398" s="8" t="str">
        <f t="shared" si="27"/>
        <v/>
      </c>
      <c r="AD398" s="8"/>
      <c r="AE398" s="8"/>
      <c r="AF398" s="14"/>
      <c r="AG398" s="13"/>
      <c r="AH398" s="14"/>
      <c r="AI398" s="14"/>
      <c r="AJ398" s="8"/>
      <c r="AK398" s="8"/>
      <c r="AL398" s="8"/>
      <c r="AM398" s="8"/>
      <c r="AN398" s="631"/>
      <c r="AO398" s="18"/>
      <c r="AP398" s="18"/>
      <c r="AQ398" s="18"/>
      <c r="AR398" s="18"/>
      <c r="AS398" s="18"/>
      <c r="AU398" s="448"/>
      <c r="AV398" s="448"/>
      <c r="AW398" s="8" t="str">
        <f>IF(C398&gt;0,VLOOKUP(C398,Foundation_Calc!$A$2:$C$986,3,1),
IF(J398&gt;0,VLOOKUP(J398,Foundation_Calc!$A$2:$C$986,3,1),""))</f>
        <v/>
      </c>
      <c r="AX398" s="8" t="str">
        <f>IF(C398&gt;0,VLOOKUP(C398,Foundation_Calc!$E$2:$G$986,3,1),
IF(J398&gt;0,VLOOKUP(J398,Foundation_Calc!$E$2:$G$986,3,1),""))</f>
        <v/>
      </c>
      <c r="AY398" s="631" t="str">
        <f>IF(L398="","",
IF(AX398="PT",VLOOKUP(L398,Foundation_Calc!$K$4:$R$37,VLOOKUP(AW398,Foundation_Calc!$I$2:$J$8,2,FALSE),0),
IF(AX398="K",VLOOKUP(L398,Foundation_Calc!$K$41:$R$74,VLOOKUP(AW398,Foundation_Calc!$I$2:$J$8,2,FALSE),0),"")))</f>
        <v/>
      </c>
      <c r="AZ398" s="631" t="str">
        <f>IF(K398="","",
IF(AX398="PT",VLOOKUP(K398,Foundation_Calc!$K$4:$R$37,VLOOKUP(AW398,Foundation_Calc!$I$2:$J$8,2,FALSE),0),
IF(AX398="K",VLOOKUP(K398,Foundation_Calc!$K$41:$R$74,VLOOKUP(AW398,Foundation_Calc!$I$2:$J$8,2,FALSE),0),"")))</f>
        <v/>
      </c>
      <c r="BA398" s="632" t="str">
        <f t="shared" si="28"/>
        <v/>
      </c>
      <c r="BB398" s="632" t="str">
        <f t="shared" si="29"/>
        <v/>
      </c>
      <c r="BC398" s="632" t="str">
        <f t="shared" si="30"/>
        <v/>
      </c>
      <c r="BD398" s="633" t="str">
        <f>IF(AND(L398="",H398=""),"",
IF(H398="",Pole_Calc!A426,
IF(H398="MP",Pole_Calc!A427,
IF(H398="AnMP",Pole_Calc!A428,
IF(H398="A",Pole_Calc!A429,
IF(H398="S/A",Pole_Calc!A430,
IF(H398="A/S",Pole_Calc!A431,"Poner a mano")))))))</f>
        <v/>
      </c>
      <c r="BE398" s="448" t="s">
        <v>1726</v>
      </c>
      <c r="BF398" s="634"/>
      <c r="BG398" s="634"/>
      <c r="BH398" s="634"/>
      <c r="BI398" s="634"/>
    </row>
    <row r="399" spans="1:61" ht="16.2" customHeight="1">
      <c r="A399" s="12"/>
      <c r="B399" s="446"/>
      <c r="C399" s="89"/>
      <c r="D399" s="13"/>
      <c r="E399" s="14"/>
      <c r="F399" s="14"/>
      <c r="G399" s="15"/>
      <c r="H399" s="8"/>
      <c r="I399" s="8"/>
      <c r="J399" s="89"/>
      <c r="K399" s="8"/>
      <c r="L399" s="8"/>
      <c r="M399" s="8" t="str">
        <f>IF(L399="","",
IF(AX399="PT",VLOOKUP(L399,Foundation_Calc!$V$4:$X$37,VLOOKUP(AX399,Foundation_Calc!$I$10:$J$13,2,FALSE),0),
IF(AX399="K",VLOOKUP(L399,Foundation_Calc!$V$41:$X$74,VLOOKUP(AX399,Foundation_Calc!$I$10:$J$13,2,FALSE),0),"")))</f>
        <v/>
      </c>
      <c r="N399" s="8"/>
      <c r="O399" s="8"/>
      <c r="P399" s="8"/>
      <c r="Q399" s="14"/>
      <c r="R399" s="15"/>
      <c r="S399" s="15"/>
      <c r="T399" s="14"/>
      <c r="U399" s="14"/>
      <c r="V399" s="14"/>
      <c r="W399" s="18"/>
      <c r="X399" s="18"/>
      <c r="Y399" s="18"/>
      <c r="Z399" s="18"/>
      <c r="AA399" s="18"/>
      <c r="AB399" s="18"/>
      <c r="AC399" s="8" t="str">
        <f t="shared" si="27"/>
        <v/>
      </c>
      <c r="AD399" s="8"/>
      <c r="AE399" s="8"/>
      <c r="AF399" s="14"/>
      <c r="AG399" s="13"/>
      <c r="AH399" s="14"/>
      <c r="AI399" s="14"/>
      <c r="AJ399" s="8"/>
      <c r="AK399" s="8"/>
      <c r="AL399" s="8"/>
      <c r="AM399" s="8"/>
      <c r="AN399" s="631"/>
      <c r="AO399" s="18"/>
      <c r="AP399" s="18"/>
      <c r="AQ399" s="18"/>
      <c r="AR399" s="18"/>
      <c r="AS399" s="18"/>
      <c r="AU399" s="448"/>
      <c r="AV399" s="448"/>
      <c r="AW399" s="8" t="str">
        <f>IF(C399&gt;0,VLOOKUP(C399,Foundation_Calc!$A$2:$C$986,3,1),
IF(J399&gt;0,VLOOKUP(J399,Foundation_Calc!$A$2:$C$986,3,1),""))</f>
        <v/>
      </c>
      <c r="AX399" s="8" t="str">
        <f>IF(C399&gt;0,VLOOKUP(C399,Foundation_Calc!$E$2:$G$986,3,1),
IF(J399&gt;0,VLOOKUP(J399,Foundation_Calc!$E$2:$G$986,3,1),""))</f>
        <v/>
      </c>
      <c r="AY399" s="631" t="str">
        <f>IF(L399="","",
IF(AX399="PT",VLOOKUP(L399,Foundation_Calc!$K$4:$R$37,VLOOKUP(AW399,Foundation_Calc!$I$2:$J$8,2,FALSE),0),
IF(AX399="K",VLOOKUP(L399,Foundation_Calc!$K$41:$R$74,VLOOKUP(AW399,Foundation_Calc!$I$2:$J$8,2,FALSE),0),"")))</f>
        <v/>
      </c>
      <c r="AZ399" s="631" t="str">
        <f>IF(K399="","",
IF(AX399="PT",VLOOKUP(K399,Foundation_Calc!$K$4:$R$37,VLOOKUP(AW399,Foundation_Calc!$I$2:$J$8,2,FALSE),0),
IF(AX399="K",VLOOKUP(K399,Foundation_Calc!$K$41:$R$74,VLOOKUP(AW399,Foundation_Calc!$I$2:$J$8,2,FALSE),0),"")))</f>
        <v/>
      </c>
      <c r="BA399" s="632" t="str">
        <f t="shared" si="28"/>
        <v/>
      </c>
      <c r="BB399" s="632" t="str">
        <f t="shared" si="29"/>
        <v/>
      </c>
      <c r="BC399" s="632" t="str">
        <f t="shared" si="30"/>
        <v/>
      </c>
      <c r="BD399" s="633" t="str">
        <f>IF(AND(L399="",H399=""),"",
IF(H399="",Pole_Calc!A427,
IF(H399="MP",Pole_Calc!A428,
IF(H399="AnMP",Pole_Calc!A429,
IF(H399="A",Pole_Calc!A430,
IF(H399="S/A",Pole_Calc!A431,
IF(H399="A/S",Pole_Calc!A432,"Poner a mano")))))))</f>
        <v/>
      </c>
      <c r="BE399" s="448" t="s">
        <v>1726</v>
      </c>
      <c r="BF399" s="635"/>
      <c r="BG399" s="635"/>
      <c r="BH399" s="634"/>
      <c r="BI399" s="635"/>
    </row>
    <row r="400" spans="1:61" ht="16.2" customHeight="1">
      <c r="A400" s="12"/>
      <c r="B400" s="446"/>
      <c r="C400" s="89"/>
      <c r="D400" s="13"/>
      <c r="E400" s="14"/>
      <c r="F400" s="14"/>
      <c r="G400" s="15"/>
      <c r="H400" s="8"/>
      <c r="I400" s="8"/>
      <c r="J400" s="89"/>
      <c r="K400" s="8"/>
      <c r="L400" s="8"/>
      <c r="M400" s="8" t="str">
        <f>IF(L400="","",
IF(AX400="PT",VLOOKUP(L400,Foundation_Calc!$V$4:$X$37,VLOOKUP(AX400,Foundation_Calc!$I$10:$J$13,2,FALSE),0),
IF(AX400="K",VLOOKUP(L400,Foundation_Calc!$V$41:$X$74,VLOOKUP(AX400,Foundation_Calc!$I$10:$J$13,2,FALSE),0),"")))</f>
        <v/>
      </c>
      <c r="N400" s="8"/>
      <c r="O400" s="8"/>
      <c r="P400" s="8"/>
      <c r="Q400" s="14"/>
      <c r="R400" s="15"/>
      <c r="S400" s="15"/>
      <c r="T400" s="14"/>
      <c r="U400" s="14"/>
      <c r="V400" s="14"/>
      <c r="W400" s="18"/>
      <c r="X400" s="18"/>
      <c r="Y400" s="18"/>
      <c r="Z400" s="18"/>
      <c r="AA400" s="18"/>
      <c r="AB400" s="18"/>
      <c r="AC400" s="8" t="str">
        <f t="shared" si="27"/>
        <v/>
      </c>
      <c r="AD400" s="8"/>
      <c r="AE400" s="8"/>
      <c r="AF400" s="14"/>
      <c r="AG400" s="13"/>
      <c r="AH400" s="14"/>
      <c r="AI400" s="14"/>
      <c r="AJ400" s="8"/>
      <c r="AK400" s="8"/>
      <c r="AL400" s="8"/>
      <c r="AM400" s="8"/>
      <c r="AN400" s="631"/>
      <c r="AO400" s="18"/>
      <c r="AP400" s="18"/>
      <c r="AQ400" s="18"/>
      <c r="AR400" s="18"/>
      <c r="AS400" s="18"/>
      <c r="AU400" s="448"/>
      <c r="AV400" s="448"/>
      <c r="AW400" s="8" t="str">
        <f>IF(C400&gt;0,VLOOKUP(C400,Foundation_Calc!$A$2:$C$986,3,1),
IF(J400&gt;0,VLOOKUP(J400,Foundation_Calc!$A$2:$C$986,3,1),""))</f>
        <v/>
      </c>
      <c r="AX400" s="8" t="str">
        <f>IF(C400&gt;0,VLOOKUP(C400,Foundation_Calc!$E$2:$G$986,3,1),
IF(J400&gt;0,VLOOKUP(J400,Foundation_Calc!$E$2:$G$986,3,1),""))</f>
        <v/>
      </c>
      <c r="AY400" s="631" t="str">
        <f>IF(L400="","",
IF(AX400="PT",VLOOKUP(L400,Foundation_Calc!$K$4:$R$37,VLOOKUP(AW400,Foundation_Calc!$I$2:$J$8,2,FALSE),0),
IF(AX400="K",VLOOKUP(L400,Foundation_Calc!$K$41:$R$74,VLOOKUP(AW400,Foundation_Calc!$I$2:$J$8,2,FALSE),0),"")))</f>
        <v/>
      </c>
      <c r="AZ400" s="631" t="str">
        <f>IF(K400="","",
IF(AX400="PT",VLOOKUP(K400,Foundation_Calc!$K$4:$R$37,VLOOKUP(AW400,Foundation_Calc!$I$2:$J$8,2,FALSE),0),
IF(AX400="K",VLOOKUP(K400,Foundation_Calc!$K$41:$R$74,VLOOKUP(AW400,Foundation_Calc!$I$2:$J$8,2,FALSE),0),"")))</f>
        <v/>
      </c>
      <c r="BA400" s="632" t="str">
        <f t="shared" si="28"/>
        <v/>
      </c>
      <c r="BB400" s="632" t="str">
        <f t="shared" si="29"/>
        <v/>
      </c>
      <c r="BC400" s="632" t="str">
        <f t="shared" si="30"/>
        <v/>
      </c>
      <c r="BD400" s="633" t="str">
        <f>IF(AND(L400="",H400=""),"",
IF(H400="",Pole_Calc!A428,
IF(H400="MP",Pole_Calc!A429,
IF(H400="AnMP",Pole_Calc!A430,
IF(H400="A",Pole_Calc!A431,
IF(H400="S/A",Pole_Calc!A432,
IF(H400="A/S",Pole_Calc!A433,"Poner a mano")))))))</f>
        <v/>
      </c>
      <c r="BE400" s="448" t="s">
        <v>1726</v>
      </c>
      <c r="BF400" s="634"/>
      <c r="BG400" s="634"/>
      <c r="BH400" s="634"/>
      <c r="BI400" s="634"/>
    </row>
    <row r="401" spans="1:61" ht="16.2" customHeight="1">
      <c r="A401" s="12"/>
      <c r="B401" s="446"/>
      <c r="C401" s="89"/>
      <c r="D401" s="13"/>
      <c r="E401" s="14"/>
      <c r="F401" s="14"/>
      <c r="G401" s="15"/>
      <c r="H401" s="8"/>
      <c r="I401" s="8"/>
      <c r="J401" s="89"/>
      <c r="K401" s="8"/>
      <c r="L401" s="8"/>
      <c r="M401" s="8" t="str">
        <f>IF(L401="","",
IF(AX401="PT",VLOOKUP(L401,Foundation_Calc!$V$4:$X$37,VLOOKUP(AX401,Foundation_Calc!$I$10:$J$13,2,FALSE),0),
IF(AX401="K",VLOOKUP(L401,Foundation_Calc!$V$41:$X$74,VLOOKUP(AX401,Foundation_Calc!$I$10:$J$13,2,FALSE),0),"")))</f>
        <v/>
      </c>
      <c r="N401" s="8"/>
      <c r="O401" s="8"/>
      <c r="P401" s="8"/>
      <c r="Q401" s="14"/>
      <c r="R401" s="15"/>
      <c r="S401" s="15"/>
      <c r="T401" s="14"/>
      <c r="U401" s="14"/>
      <c r="V401" s="14"/>
      <c r="W401" s="18"/>
      <c r="X401" s="18"/>
      <c r="Y401" s="18"/>
      <c r="Z401" s="18"/>
      <c r="AA401" s="18"/>
      <c r="AB401" s="18"/>
      <c r="AC401" s="8" t="str">
        <f t="shared" si="27"/>
        <v/>
      </c>
      <c r="AD401" s="8"/>
      <c r="AE401" s="8"/>
      <c r="AF401" s="14"/>
      <c r="AG401" s="13"/>
      <c r="AH401" s="14"/>
      <c r="AI401" s="14"/>
      <c r="AJ401" s="8"/>
      <c r="AK401" s="8"/>
      <c r="AL401" s="8"/>
      <c r="AM401" s="8"/>
      <c r="AN401" s="631"/>
      <c r="AO401" s="18"/>
      <c r="AP401" s="18"/>
      <c r="AQ401" s="18"/>
      <c r="AR401" s="18"/>
      <c r="AS401" s="18"/>
      <c r="AU401" s="448"/>
      <c r="AV401" s="448"/>
      <c r="AW401" s="8" t="str">
        <f>IF(C401&gt;0,VLOOKUP(C401,Foundation_Calc!$A$2:$C$986,3,1),
IF(J401&gt;0,VLOOKUP(J401,Foundation_Calc!$A$2:$C$986,3,1),""))</f>
        <v/>
      </c>
      <c r="AX401" s="8" t="str">
        <f>IF(C401&gt;0,VLOOKUP(C401,Foundation_Calc!$E$2:$G$986,3,1),
IF(J401&gt;0,VLOOKUP(J401,Foundation_Calc!$E$2:$G$986,3,1),""))</f>
        <v/>
      </c>
      <c r="AY401" s="631" t="str">
        <f>IF(L401="","",
IF(AX401="PT",VLOOKUP(L401,Foundation_Calc!$K$4:$R$37,VLOOKUP(AW401,Foundation_Calc!$I$2:$J$8,2,FALSE),0),
IF(AX401="K",VLOOKUP(L401,Foundation_Calc!$K$41:$R$74,VLOOKUP(AW401,Foundation_Calc!$I$2:$J$8,2,FALSE),0),"")))</f>
        <v/>
      </c>
      <c r="AZ401" s="631" t="str">
        <f>IF(K401="","",
IF(AX401="PT",VLOOKUP(K401,Foundation_Calc!$K$4:$R$37,VLOOKUP(AW401,Foundation_Calc!$I$2:$J$8,2,FALSE),0),
IF(AX401="K",VLOOKUP(K401,Foundation_Calc!$K$41:$R$74,VLOOKUP(AW401,Foundation_Calc!$I$2:$J$8,2,FALSE),0),"")))</f>
        <v/>
      </c>
      <c r="BA401" s="632" t="str">
        <f t="shared" si="28"/>
        <v/>
      </c>
      <c r="BB401" s="632" t="str">
        <f t="shared" si="29"/>
        <v/>
      </c>
      <c r="BC401" s="632" t="str">
        <f t="shared" si="30"/>
        <v/>
      </c>
      <c r="BD401" s="633" t="str">
        <f>IF(AND(L401="",H401=""),"",
IF(H401="",Pole_Calc!A429,
IF(H401="MP",Pole_Calc!A430,
IF(H401="AnMP",Pole_Calc!A431,
IF(H401="A",Pole_Calc!A432,
IF(H401="S/A",Pole_Calc!A433,
IF(H401="A/S",Pole_Calc!A434,"Poner a mano")))))))</f>
        <v/>
      </c>
      <c r="BE401" s="448" t="s">
        <v>1726</v>
      </c>
      <c r="BF401" s="635"/>
      <c r="BG401" s="635"/>
      <c r="BH401" s="634"/>
      <c r="BI401" s="635"/>
    </row>
    <row r="402" spans="1:61" ht="16.2" customHeight="1">
      <c r="A402" s="12"/>
      <c r="B402" s="446"/>
      <c r="C402" s="89"/>
      <c r="D402" s="13"/>
      <c r="E402" s="14"/>
      <c r="F402" s="14"/>
      <c r="G402" s="15"/>
      <c r="H402" s="8"/>
      <c r="I402" s="8"/>
      <c r="J402" s="89"/>
      <c r="K402" s="8"/>
      <c r="L402" s="8"/>
      <c r="M402" s="8" t="str">
        <f>IF(L402="","",
IF(AX402="PT",VLOOKUP(L402,Foundation_Calc!$V$4:$X$37,VLOOKUP(AX402,Foundation_Calc!$I$10:$J$13,2,FALSE),0),
IF(AX402="K",VLOOKUP(L402,Foundation_Calc!$V$41:$X$74,VLOOKUP(AX402,Foundation_Calc!$I$10:$J$13,2,FALSE),0),"")))</f>
        <v/>
      </c>
      <c r="N402" s="8"/>
      <c r="O402" s="8"/>
      <c r="P402" s="8"/>
      <c r="Q402" s="14"/>
      <c r="R402" s="15"/>
      <c r="S402" s="15"/>
      <c r="T402" s="14"/>
      <c r="U402" s="14"/>
      <c r="V402" s="14"/>
      <c r="W402" s="18"/>
      <c r="X402" s="18"/>
      <c r="Y402" s="18"/>
      <c r="Z402" s="18"/>
      <c r="AA402" s="18"/>
      <c r="AB402" s="18"/>
      <c r="AC402" s="8" t="str">
        <f t="shared" si="27"/>
        <v/>
      </c>
      <c r="AD402" s="8"/>
      <c r="AE402" s="8"/>
      <c r="AF402" s="14"/>
      <c r="AG402" s="13"/>
      <c r="AH402" s="14"/>
      <c r="AI402" s="14"/>
      <c r="AJ402" s="8"/>
      <c r="AK402" s="8"/>
      <c r="AL402" s="8"/>
      <c r="AM402" s="8"/>
      <c r="AN402" s="631"/>
      <c r="AO402" s="18"/>
      <c r="AP402" s="18"/>
      <c r="AQ402" s="18"/>
      <c r="AR402" s="18"/>
      <c r="AS402" s="18"/>
      <c r="AU402" s="448"/>
      <c r="AV402" s="448"/>
      <c r="AW402" s="8" t="str">
        <f>IF(C402&gt;0,VLOOKUP(C402,Foundation_Calc!$A$2:$C$986,3,1),
IF(J402&gt;0,VLOOKUP(J402,Foundation_Calc!$A$2:$C$986,3,1),""))</f>
        <v/>
      </c>
      <c r="AX402" s="8" t="str">
        <f>IF(C402&gt;0,VLOOKUP(C402,Foundation_Calc!$E$2:$G$986,3,1),
IF(J402&gt;0,VLOOKUP(J402,Foundation_Calc!$E$2:$G$986,3,1),""))</f>
        <v/>
      </c>
      <c r="AY402" s="631" t="str">
        <f>IF(L402="","",
IF(AX402="PT",VLOOKUP(L402,Foundation_Calc!$K$4:$R$37,VLOOKUP(AW402,Foundation_Calc!$I$2:$J$8,2,FALSE),0),
IF(AX402="K",VLOOKUP(L402,Foundation_Calc!$K$41:$R$74,VLOOKUP(AW402,Foundation_Calc!$I$2:$J$8,2,FALSE),0),"")))</f>
        <v/>
      </c>
      <c r="AZ402" s="631" t="str">
        <f>IF(K402="","",
IF(AX402="PT",VLOOKUP(K402,Foundation_Calc!$K$4:$R$37,VLOOKUP(AW402,Foundation_Calc!$I$2:$J$8,2,FALSE),0),
IF(AX402="K",VLOOKUP(K402,Foundation_Calc!$K$41:$R$74,VLOOKUP(AW402,Foundation_Calc!$I$2:$J$8,2,FALSE),0),"")))</f>
        <v/>
      </c>
      <c r="BA402" s="632" t="str">
        <f t="shared" si="28"/>
        <v/>
      </c>
      <c r="BB402" s="632" t="str">
        <f t="shared" si="29"/>
        <v/>
      </c>
      <c r="BC402" s="632" t="str">
        <f t="shared" si="30"/>
        <v/>
      </c>
      <c r="BD402" s="633" t="str">
        <f>IF(AND(L402="",H402=""),"",
IF(H402="",Pole_Calc!A430,
IF(H402="MP",Pole_Calc!A431,
IF(H402="AnMP",Pole_Calc!A432,
IF(H402="A",Pole_Calc!A433,
IF(H402="S/A",Pole_Calc!A434,
IF(H402="A/S",Pole_Calc!A435,"Poner a mano")))))))</f>
        <v/>
      </c>
      <c r="BE402" s="448" t="s">
        <v>1726</v>
      </c>
      <c r="BF402" s="634"/>
      <c r="BG402" s="634"/>
      <c r="BH402" s="634"/>
      <c r="BI402" s="634"/>
    </row>
    <row r="403" spans="1:61" ht="16.2" customHeight="1">
      <c r="A403" s="12"/>
      <c r="B403" s="446"/>
      <c r="C403" s="89"/>
      <c r="D403" s="13"/>
      <c r="E403" s="14"/>
      <c r="F403" s="14"/>
      <c r="G403" s="15"/>
      <c r="H403" s="8"/>
      <c r="I403" s="8"/>
      <c r="J403" s="89"/>
      <c r="K403" s="8"/>
      <c r="L403" s="8"/>
      <c r="M403" s="8" t="str">
        <f>IF(L403="","",
IF(AX403="PT",VLOOKUP(L403,Foundation_Calc!$V$4:$X$37,VLOOKUP(AX403,Foundation_Calc!$I$10:$J$13,2,FALSE),0),
IF(AX403="K",VLOOKUP(L403,Foundation_Calc!$V$41:$X$74,VLOOKUP(AX403,Foundation_Calc!$I$10:$J$13,2,FALSE),0),"")))</f>
        <v/>
      </c>
      <c r="N403" s="8"/>
      <c r="O403" s="8"/>
      <c r="P403" s="8"/>
      <c r="Q403" s="14"/>
      <c r="R403" s="15"/>
      <c r="S403" s="15"/>
      <c r="T403" s="14"/>
      <c r="U403" s="14"/>
      <c r="V403" s="14"/>
      <c r="W403" s="18"/>
      <c r="X403" s="18"/>
      <c r="Y403" s="18"/>
      <c r="Z403" s="18"/>
      <c r="AA403" s="18"/>
      <c r="AB403" s="18"/>
      <c r="AC403" s="8" t="str">
        <f t="shared" si="27"/>
        <v/>
      </c>
      <c r="AD403" s="8"/>
      <c r="AE403" s="8"/>
      <c r="AF403" s="14"/>
      <c r="AG403" s="13"/>
      <c r="AH403" s="14"/>
      <c r="AI403" s="14"/>
      <c r="AJ403" s="8"/>
      <c r="AK403" s="8"/>
      <c r="AL403" s="8"/>
      <c r="AM403" s="8"/>
      <c r="AN403" s="631"/>
      <c r="AO403" s="18"/>
      <c r="AP403" s="18"/>
      <c r="AQ403" s="18"/>
      <c r="AR403" s="18"/>
      <c r="AS403" s="18"/>
      <c r="AU403" s="448"/>
      <c r="AV403" s="448"/>
      <c r="AW403" s="8" t="str">
        <f>IF(C403&gt;0,VLOOKUP(C403,Foundation_Calc!$A$2:$C$986,3,1),
IF(J403&gt;0,VLOOKUP(J403,Foundation_Calc!$A$2:$C$986,3,1),""))</f>
        <v/>
      </c>
      <c r="AX403" s="8" t="str">
        <f>IF(C403&gt;0,VLOOKUP(C403,Foundation_Calc!$E$2:$G$986,3,1),
IF(J403&gt;0,VLOOKUP(J403,Foundation_Calc!$E$2:$G$986,3,1),""))</f>
        <v/>
      </c>
      <c r="AY403" s="631" t="str">
        <f>IF(L403="","",
IF(AX403="PT",VLOOKUP(L403,Foundation_Calc!$K$4:$R$37,VLOOKUP(AW403,Foundation_Calc!$I$2:$J$8,2,FALSE),0),
IF(AX403="K",VLOOKUP(L403,Foundation_Calc!$K$41:$R$74,VLOOKUP(AW403,Foundation_Calc!$I$2:$J$8,2,FALSE),0),"")))</f>
        <v/>
      </c>
      <c r="AZ403" s="631" t="str">
        <f>IF(K403="","",
IF(AX403="PT",VLOOKUP(K403,Foundation_Calc!$K$4:$R$37,VLOOKUP(AW403,Foundation_Calc!$I$2:$J$8,2,FALSE),0),
IF(AX403="K",VLOOKUP(K403,Foundation_Calc!$K$41:$R$74,VLOOKUP(AW403,Foundation_Calc!$I$2:$J$8,2,FALSE),0),"")))</f>
        <v/>
      </c>
      <c r="BA403" s="632" t="str">
        <f t="shared" si="28"/>
        <v/>
      </c>
      <c r="BB403" s="632" t="str">
        <f t="shared" si="29"/>
        <v/>
      </c>
      <c r="BC403" s="632" t="str">
        <f t="shared" si="30"/>
        <v/>
      </c>
      <c r="BD403" s="633" t="str">
        <f>IF(AND(L403="",H403=""),"",
IF(H403="",Pole_Calc!A431,
IF(H403="MP",Pole_Calc!A432,
IF(H403="AnMP",Pole_Calc!A433,
IF(H403="A",Pole_Calc!A434,
IF(H403="S/A",Pole_Calc!A435,
IF(H403="A/S",Pole_Calc!A436,"Poner a mano")))))))</f>
        <v/>
      </c>
      <c r="BE403" s="448" t="s">
        <v>1726</v>
      </c>
      <c r="BF403" s="635"/>
      <c r="BG403" s="635"/>
      <c r="BH403" s="634"/>
      <c r="BI403" s="635"/>
    </row>
    <row r="404" spans="1:61" ht="16.2" customHeight="1">
      <c r="A404" s="12"/>
      <c r="B404" s="446"/>
      <c r="C404" s="89"/>
      <c r="D404" s="13"/>
      <c r="E404" s="14"/>
      <c r="F404" s="14"/>
      <c r="G404" s="15"/>
      <c r="H404" s="8"/>
      <c r="I404" s="8"/>
      <c r="J404" s="89"/>
      <c r="K404" s="8"/>
      <c r="L404" s="8"/>
      <c r="M404" s="8" t="str">
        <f>IF(L404="","",
IF(AX404="PT",VLOOKUP(L404,Foundation_Calc!$V$4:$X$37,VLOOKUP(AX404,Foundation_Calc!$I$10:$J$13,2,FALSE),0),
IF(AX404="K",VLOOKUP(L404,Foundation_Calc!$V$41:$X$74,VLOOKUP(AX404,Foundation_Calc!$I$10:$J$13,2,FALSE),0),"")))</f>
        <v/>
      </c>
      <c r="N404" s="8"/>
      <c r="O404" s="8"/>
      <c r="P404" s="8"/>
      <c r="Q404" s="14"/>
      <c r="R404" s="15"/>
      <c r="S404" s="15"/>
      <c r="T404" s="14"/>
      <c r="U404" s="14"/>
      <c r="V404" s="14"/>
      <c r="W404" s="18"/>
      <c r="X404" s="18"/>
      <c r="Y404" s="18"/>
      <c r="Z404" s="18"/>
      <c r="AA404" s="18"/>
      <c r="AB404" s="18"/>
      <c r="AC404" s="8" t="str">
        <f t="shared" si="27"/>
        <v/>
      </c>
      <c r="AD404" s="8"/>
      <c r="AE404" s="8"/>
      <c r="AF404" s="14"/>
      <c r="AG404" s="13"/>
      <c r="AH404" s="14"/>
      <c r="AI404" s="14"/>
      <c r="AJ404" s="8"/>
      <c r="AK404" s="8"/>
      <c r="AL404" s="8"/>
      <c r="AM404" s="8"/>
      <c r="AN404" s="631"/>
      <c r="AO404" s="18"/>
      <c r="AP404" s="18"/>
      <c r="AQ404" s="18"/>
      <c r="AR404" s="18"/>
      <c r="AS404" s="18"/>
      <c r="AU404" s="448"/>
      <c r="AV404" s="448"/>
      <c r="AW404" s="8" t="str">
        <f>IF(C404&gt;0,VLOOKUP(C404,Foundation_Calc!$A$2:$C$986,3,1),
IF(J404&gt;0,VLOOKUP(J404,Foundation_Calc!$A$2:$C$986,3,1),""))</f>
        <v/>
      </c>
      <c r="AX404" s="8" t="str">
        <f>IF(C404&gt;0,VLOOKUP(C404,Foundation_Calc!$E$2:$G$986,3,1),
IF(J404&gt;0,VLOOKUP(J404,Foundation_Calc!$E$2:$G$986,3,1),""))</f>
        <v/>
      </c>
      <c r="AY404" s="631" t="str">
        <f>IF(L404="","",
IF(AX404="PT",VLOOKUP(L404,Foundation_Calc!$K$4:$R$37,VLOOKUP(AW404,Foundation_Calc!$I$2:$J$8,2,FALSE),0),
IF(AX404="K",VLOOKUP(L404,Foundation_Calc!$K$41:$R$74,VLOOKUP(AW404,Foundation_Calc!$I$2:$J$8,2,FALSE),0),"")))</f>
        <v/>
      </c>
      <c r="AZ404" s="631" t="str">
        <f>IF(K404="","",
IF(AX404="PT",VLOOKUP(K404,Foundation_Calc!$K$4:$R$37,VLOOKUP(AW404,Foundation_Calc!$I$2:$J$8,2,FALSE),0),
IF(AX404="K",VLOOKUP(K404,Foundation_Calc!$K$41:$R$74,VLOOKUP(AW404,Foundation_Calc!$I$2:$J$8,2,FALSE),0),"")))</f>
        <v/>
      </c>
      <c r="BA404" s="632" t="str">
        <f t="shared" si="28"/>
        <v/>
      </c>
      <c r="BB404" s="632" t="str">
        <f t="shared" si="29"/>
        <v/>
      </c>
      <c r="BC404" s="632" t="str">
        <f t="shared" si="30"/>
        <v/>
      </c>
      <c r="BD404" s="633" t="str">
        <f>IF(AND(L404="",H404=""),"",
IF(H404="",Pole_Calc!A432,
IF(H404="MP",Pole_Calc!A433,
IF(H404="AnMP",Pole_Calc!A434,
IF(H404="A",Pole_Calc!A435,
IF(H404="S/A",Pole_Calc!A436,
IF(H404="A/S",Pole_Calc!A437,"Poner a mano")))))))</f>
        <v/>
      </c>
      <c r="BE404" s="448" t="s">
        <v>1726</v>
      </c>
      <c r="BF404" s="634"/>
      <c r="BG404" s="634"/>
      <c r="BH404" s="634"/>
      <c r="BI404" s="634"/>
    </row>
    <row r="405" spans="1:61" ht="16.2" customHeight="1">
      <c r="A405" s="12"/>
      <c r="B405" s="446"/>
      <c r="C405" s="89"/>
      <c r="D405" s="13"/>
      <c r="E405" s="14"/>
      <c r="F405" s="14"/>
      <c r="G405" s="15"/>
      <c r="H405" s="8"/>
      <c r="I405" s="8"/>
      <c r="J405" s="89"/>
      <c r="K405" s="8"/>
      <c r="L405" s="8"/>
      <c r="M405" s="8" t="str">
        <f>IF(L405="","",
IF(AX405="PT",VLOOKUP(L405,Foundation_Calc!$V$4:$X$37,VLOOKUP(AX405,Foundation_Calc!$I$10:$J$13,2,FALSE),0),
IF(AX405="K",VLOOKUP(L405,Foundation_Calc!$V$41:$X$74,VLOOKUP(AX405,Foundation_Calc!$I$10:$J$13,2,FALSE),0),"")))</f>
        <v/>
      </c>
      <c r="N405" s="8"/>
      <c r="O405" s="8"/>
      <c r="P405" s="8"/>
      <c r="Q405" s="14"/>
      <c r="R405" s="15"/>
      <c r="S405" s="15"/>
      <c r="T405" s="14"/>
      <c r="U405" s="14"/>
      <c r="V405" s="14"/>
      <c r="W405" s="18"/>
      <c r="X405" s="18"/>
      <c r="Y405" s="18"/>
      <c r="Z405" s="18"/>
      <c r="AA405" s="18"/>
      <c r="AB405" s="18"/>
      <c r="AC405" s="8" t="str">
        <f t="shared" si="27"/>
        <v/>
      </c>
      <c r="AD405" s="8"/>
      <c r="AE405" s="8"/>
      <c r="AF405" s="14"/>
      <c r="AG405" s="13"/>
      <c r="AH405" s="14"/>
      <c r="AI405" s="14"/>
      <c r="AJ405" s="8"/>
      <c r="AK405" s="8"/>
      <c r="AL405" s="8"/>
      <c r="AM405" s="8"/>
      <c r="AN405" s="631"/>
      <c r="AO405" s="18"/>
      <c r="AP405" s="18"/>
      <c r="AQ405" s="18"/>
      <c r="AR405" s="18"/>
      <c r="AS405" s="18"/>
      <c r="AU405" s="448"/>
      <c r="AV405" s="448"/>
      <c r="AW405" s="8" t="str">
        <f>IF(C405&gt;0,VLOOKUP(C405,Foundation_Calc!$A$2:$C$986,3,1),
IF(J405&gt;0,VLOOKUP(J405,Foundation_Calc!$A$2:$C$986,3,1),""))</f>
        <v/>
      </c>
      <c r="AX405" s="8" t="str">
        <f>IF(C405&gt;0,VLOOKUP(C405,Foundation_Calc!$E$2:$G$986,3,1),
IF(J405&gt;0,VLOOKUP(J405,Foundation_Calc!$E$2:$G$986,3,1),""))</f>
        <v/>
      </c>
      <c r="AY405" s="631" t="str">
        <f>IF(L405="","",
IF(AX405="PT",VLOOKUP(L405,Foundation_Calc!$K$4:$R$37,VLOOKUP(AW405,Foundation_Calc!$I$2:$J$8,2,FALSE),0),
IF(AX405="K",VLOOKUP(L405,Foundation_Calc!$K$41:$R$74,VLOOKUP(AW405,Foundation_Calc!$I$2:$J$8,2,FALSE),0),"")))</f>
        <v/>
      </c>
      <c r="AZ405" s="631" t="str">
        <f>IF(K405="","",
IF(AX405="PT",VLOOKUP(K405,Foundation_Calc!$K$4:$R$37,VLOOKUP(AW405,Foundation_Calc!$I$2:$J$8,2,FALSE),0),
IF(AX405="K",VLOOKUP(K405,Foundation_Calc!$K$41:$R$74,VLOOKUP(AW405,Foundation_Calc!$I$2:$J$8,2,FALSE),0),"")))</f>
        <v/>
      </c>
      <c r="BA405" s="632" t="str">
        <f t="shared" si="28"/>
        <v/>
      </c>
      <c r="BB405" s="632" t="str">
        <f t="shared" si="29"/>
        <v/>
      </c>
      <c r="BC405" s="632" t="str">
        <f t="shared" si="30"/>
        <v/>
      </c>
      <c r="BD405" s="633" t="str">
        <f>IF(AND(L405="",H405=""),"",
IF(H405="",Pole_Calc!A433,
IF(H405="MP",Pole_Calc!A434,
IF(H405="AnMP",Pole_Calc!A435,
IF(H405="A",Pole_Calc!A436,
IF(H405="S/A",Pole_Calc!A437,
IF(H405="A/S",Pole_Calc!A438,"Poner a mano")))))))</f>
        <v/>
      </c>
      <c r="BE405" s="448" t="s">
        <v>1726</v>
      </c>
      <c r="BF405" s="635"/>
      <c r="BG405" s="635"/>
      <c r="BH405" s="634"/>
      <c r="BI405" s="635"/>
    </row>
    <row r="406" spans="1:61" ht="16.2" customHeight="1">
      <c r="A406" s="12"/>
      <c r="B406" s="446"/>
      <c r="C406" s="89"/>
      <c r="D406" s="13"/>
      <c r="E406" s="14"/>
      <c r="F406" s="14"/>
      <c r="G406" s="15"/>
      <c r="H406" s="8"/>
      <c r="I406" s="8"/>
      <c r="J406" s="89"/>
      <c r="K406" s="8"/>
      <c r="L406" s="8"/>
      <c r="M406" s="8" t="str">
        <f>IF(L406="","",
IF(AX406="PT",VLOOKUP(L406,Foundation_Calc!$V$4:$X$37,VLOOKUP(AX406,Foundation_Calc!$I$10:$J$13,2,FALSE),0),
IF(AX406="K",VLOOKUP(L406,Foundation_Calc!$V$41:$X$74,VLOOKUP(AX406,Foundation_Calc!$I$10:$J$13,2,FALSE),0),"")))</f>
        <v/>
      </c>
      <c r="N406" s="8"/>
      <c r="O406" s="8"/>
      <c r="P406" s="8"/>
      <c r="Q406" s="14"/>
      <c r="R406" s="15"/>
      <c r="S406" s="15"/>
      <c r="T406" s="14"/>
      <c r="U406" s="14"/>
      <c r="V406" s="14"/>
      <c r="W406" s="18"/>
      <c r="X406" s="18"/>
      <c r="Y406" s="18"/>
      <c r="Z406" s="18"/>
      <c r="AA406" s="18"/>
      <c r="AB406" s="18"/>
      <c r="AC406" s="8" t="str">
        <f t="shared" si="27"/>
        <v/>
      </c>
      <c r="AD406" s="8"/>
      <c r="AE406" s="8"/>
      <c r="AF406" s="14"/>
      <c r="AG406" s="13"/>
      <c r="AH406" s="14"/>
      <c r="AI406" s="14"/>
      <c r="AJ406" s="8"/>
      <c r="AK406" s="8"/>
      <c r="AL406" s="8"/>
      <c r="AM406" s="8"/>
      <c r="AN406" s="631"/>
      <c r="AO406" s="18"/>
      <c r="AP406" s="18"/>
      <c r="AQ406" s="18"/>
      <c r="AR406" s="18"/>
      <c r="AS406" s="18"/>
      <c r="AU406" s="448"/>
      <c r="AV406" s="448"/>
      <c r="AW406" s="8" t="str">
        <f>IF(C406&gt;0,VLOOKUP(C406,Foundation_Calc!$A$2:$C$986,3,1),
IF(J406&gt;0,VLOOKUP(J406,Foundation_Calc!$A$2:$C$986,3,1),""))</f>
        <v/>
      </c>
      <c r="AX406" s="8" t="str">
        <f>IF(C406&gt;0,VLOOKUP(C406,Foundation_Calc!$E$2:$G$986,3,1),
IF(J406&gt;0,VLOOKUP(J406,Foundation_Calc!$E$2:$G$986,3,1),""))</f>
        <v/>
      </c>
      <c r="AY406" s="631" t="str">
        <f>IF(L406="","",
IF(AX406="PT",VLOOKUP(L406,Foundation_Calc!$K$4:$R$37,VLOOKUP(AW406,Foundation_Calc!$I$2:$J$8,2,FALSE),0),
IF(AX406="K",VLOOKUP(L406,Foundation_Calc!$K$41:$R$74,VLOOKUP(AW406,Foundation_Calc!$I$2:$J$8,2,FALSE),0),"")))</f>
        <v/>
      </c>
      <c r="AZ406" s="631" t="str">
        <f>IF(K406="","",
IF(AX406="PT",VLOOKUP(K406,Foundation_Calc!$K$4:$R$37,VLOOKUP(AW406,Foundation_Calc!$I$2:$J$8,2,FALSE),0),
IF(AX406="K",VLOOKUP(K406,Foundation_Calc!$K$41:$R$74,VLOOKUP(AW406,Foundation_Calc!$I$2:$J$8,2,FALSE),0),"")))</f>
        <v/>
      </c>
      <c r="BA406" s="632" t="str">
        <f t="shared" si="28"/>
        <v/>
      </c>
      <c r="BB406" s="632" t="str">
        <f t="shared" si="29"/>
        <v/>
      </c>
      <c r="BC406" s="632" t="str">
        <f t="shared" si="30"/>
        <v/>
      </c>
      <c r="BD406" s="633" t="str">
        <f>IF(AND(L406="",H406=""),"",
IF(H406="",Pole_Calc!A434,
IF(H406="MP",Pole_Calc!A435,
IF(H406="AnMP",Pole_Calc!A436,
IF(H406="A",Pole_Calc!A437,
IF(H406="S/A",Pole_Calc!A438,
IF(H406="A/S",Pole_Calc!A439,"Poner a mano")))))))</f>
        <v/>
      </c>
      <c r="BE406" s="448" t="s">
        <v>1726</v>
      </c>
      <c r="BF406" s="634"/>
      <c r="BG406" s="634"/>
      <c r="BH406" s="634"/>
      <c r="BI406" s="634"/>
    </row>
    <row r="407" spans="1:61" ht="16.2" customHeight="1">
      <c r="A407" s="12"/>
      <c r="B407" s="446"/>
      <c r="C407" s="89"/>
      <c r="D407" s="13"/>
      <c r="E407" s="14"/>
      <c r="F407" s="14"/>
      <c r="G407" s="15"/>
      <c r="H407" s="8"/>
      <c r="I407" s="8"/>
      <c r="J407" s="89"/>
      <c r="K407" s="8"/>
      <c r="L407" s="8"/>
      <c r="M407" s="8" t="str">
        <f>IF(L407="","",
IF(AX407="PT",VLOOKUP(L407,Foundation_Calc!$V$4:$X$37,VLOOKUP(AX407,Foundation_Calc!$I$10:$J$13,2,FALSE),0),
IF(AX407="K",VLOOKUP(L407,Foundation_Calc!$V$41:$X$74,VLOOKUP(AX407,Foundation_Calc!$I$10:$J$13,2,FALSE),0),"")))</f>
        <v/>
      </c>
      <c r="N407" s="8"/>
      <c r="O407" s="8"/>
      <c r="P407" s="8"/>
      <c r="Q407" s="14"/>
      <c r="R407" s="15"/>
      <c r="S407" s="15"/>
      <c r="T407" s="14"/>
      <c r="U407" s="14"/>
      <c r="V407" s="14"/>
      <c r="W407" s="18"/>
      <c r="X407" s="18"/>
      <c r="Y407" s="18"/>
      <c r="Z407" s="18"/>
      <c r="AA407" s="18"/>
      <c r="AB407" s="18"/>
      <c r="AC407" s="8" t="str">
        <f t="shared" si="27"/>
        <v/>
      </c>
      <c r="AD407" s="8"/>
      <c r="AE407" s="8"/>
      <c r="AF407" s="14"/>
      <c r="AG407" s="13"/>
      <c r="AH407" s="14"/>
      <c r="AI407" s="14"/>
      <c r="AJ407" s="8"/>
      <c r="AK407" s="8"/>
      <c r="AL407" s="8"/>
      <c r="AM407" s="8"/>
      <c r="AN407" s="631"/>
      <c r="AO407" s="18"/>
      <c r="AP407" s="18"/>
      <c r="AQ407" s="18"/>
      <c r="AR407" s="18"/>
      <c r="AS407" s="18"/>
      <c r="AU407" s="448"/>
      <c r="AV407" s="448"/>
      <c r="AW407" s="8" t="str">
        <f>IF(C407&gt;0,VLOOKUP(C407,Foundation_Calc!$A$2:$C$986,3,1),
IF(J407&gt;0,VLOOKUP(J407,Foundation_Calc!$A$2:$C$986,3,1),""))</f>
        <v/>
      </c>
      <c r="AX407" s="8" t="str">
        <f>IF(C407&gt;0,VLOOKUP(C407,Foundation_Calc!$E$2:$G$986,3,1),
IF(J407&gt;0,VLOOKUP(J407,Foundation_Calc!$E$2:$G$986,3,1),""))</f>
        <v/>
      </c>
      <c r="AY407" s="631" t="str">
        <f>IF(L407="","",
IF(AX407="PT",VLOOKUP(L407,Foundation_Calc!$K$4:$R$37,VLOOKUP(AW407,Foundation_Calc!$I$2:$J$8,2,FALSE),0),
IF(AX407="K",VLOOKUP(L407,Foundation_Calc!$K$41:$R$74,VLOOKUP(AW407,Foundation_Calc!$I$2:$J$8,2,FALSE),0),"")))</f>
        <v/>
      </c>
      <c r="AZ407" s="631" t="str">
        <f>IF(K407="","",
IF(AX407="PT",VLOOKUP(K407,Foundation_Calc!$K$4:$R$37,VLOOKUP(AW407,Foundation_Calc!$I$2:$J$8,2,FALSE),0),
IF(AX407="K",VLOOKUP(K407,Foundation_Calc!$K$41:$R$74,VLOOKUP(AW407,Foundation_Calc!$I$2:$J$8,2,FALSE),0),"")))</f>
        <v/>
      </c>
      <c r="BA407" s="632" t="str">
        <f t="shared" si="28"/>
        <v/>
      </c>
      <c r="BB407" s="632" t="str">
        <f t="shared" si="29"/>
        <v/>
      </c>
      <c r="BC407" s="632" t="str">
        <f t="shared" si="30"/>
        <v/>
      </c>
      <c r="BD407" s="633" t="str">
        <f>IF(AND(L407="",H407=""),"",
IF(H407="",Pole_Calc!A435,
IF(H407="MP",Pole_Calc!A436,
IF(H407="AnMP",Pole_Calc!A437,
IF(H407="A",Pole_Calc!A438,
IF(H407="S/A",Pole_Calc!A439,
IF(H407="A/S",Pole_Calc!A440,"Poner a mano")))))))</f>
        <v/>
      </c>
      <c r="BE407" s="448" t="s">
        <v>1726</v>
      </c>
      <c r="BF407" s="635"/>
      <c r="BG407" s="635"/>
      <c r="BH407" s="634"/>
      <c r="BI407" s="635"/>
    </row>
    <row r="408" spans="1:61" ht="16.2" customHeight="1">
      <c r="A408" s="12"/>
      <c r="B408" s="446"/>
      <c r="C408" s="89"/>
      <c r="D408" s="13"/>
      <c r="E408" s="14"/>
      <c r="F408" s="14"/>
      <c r="G408" s="15"/>
      <c r="H408" s="8"/>
      <c r="I408" s="8"/>
      <c r="J408" s="89"/>
      <c r="K408" s="8"/>
      <c r="L408" s="8"/>
      <c r="M408" s="8" t="str">
        <f>IF(L408="","",
IF(AX408="PT",VLOOKUP(L408,Foundation_Calc!$V$4:$X$37,VLOOKUP(AX408,Foundation_Calc!$I$10:$J$13,2,FALSE),0),
IF(AX408="K",VLOOKUP(L408,Foundation_Calc!$V$41:$X$74,VLOOKUP(AX408,Foundation_Calc!$I$10:$J$13,2,FALSE),0),"")))</f>
        <v/>
      </c>
      <c r="N408" s="8"/>
      <c r="O408" s="8"/>
      <c r="P408" s="8"/>
      <c r="Q408" s="14"/>
      <c r="R408" s="15"/>
      <c r="S408" s="15"/>
      <c r="T408" s="14"/>
      <c r="U408" s="14"/>
      <c r="V408" s="14"/>
      <c r="W408" s="18"/>
      <c r="X408" s="18"/>
      <c r="Y408" s="18"/>
      <c r="Z408" s="18"/>
      <c r="AA408" s="18"/>
      <c r="AB408" s="18"/>
      <c r="AC408" s="8" t="str">
        <f t="shared" si="27"/>
        <v/>
      </c>
      <c r="AD408" s="8"/>
      <c r="AE408" s="8"/>
      <c r="AF408" s="14"/>
      <c r="AG408" s="13"/>
      <c r="AH408" s="14"/>
      <c r="AI408" s="14"/>
      <c r="AJ408" s="8"/>
      <c r="AK408" s="8"/>
      <c r="AL408" s="8"/>
      <c r="AM408" s="8"/>
      <c r="AN408" s="631"/>
      <c r="AO408" s="18"/>
      <c r="AP408" s="18"/>
      <c r="AQ408" s="18"/>
      <c r="AR408" s="18"/>
      <c r="AS408" s="18"/>
      <c r="AU408" s="448"/>
      <c r="AV408" s="448"/>
      <c r="AW408" s="8" t="str">
        <f>IF(C408&gt;0,VLOOKUP(C408,Foundation_Calc!$A$2:$C$986,3,1),
IF(J408&gt;0,VLOOKUP(J408,Foundation_Calc!$A$2:$C$986,3,1),""))</f>
        <v/>
      </c>
      <c r="AX408" s="8" t="str">
        <f>IF(C408&gt;0,VLOOKUP(C408,Foundation_Calc!$E$2:$G$986,3,1),
IF(J408&gt;0,VLOOKUP(J408,Foundation_Calc!$E$2:$G$986,3,1),""))</f>
        <v/>
      </c>
      <c r="AY408" s="631" t="str">
        <f>IF(L408="","",
IF(AX408="PT",VLOOKUP(L408,Foundation_Calc!$K$4:$R$37,VLOOKUP(AW408,Foundation_Calc!$I$2:$J$8,2,FALSE),0),
IF(AX408="K",VLOOKUP(L408,Foundation_Calc!$K$41:$R$74,VLOOKUP(AW408,Foundation_Calc!$I$2:$J$8,2,FALSE),0),"")))</f>
        <v/>
      </c>
      <c r="AZ408" s="631" t="str">
        <f>IF(K408="","",
IF(AX408="PT",VLOOKUP(K408,Foundation_Calc!$K$4:$R$37,VLOOKUP(AW408,Foundation_Calc!$I$2:$J$8,2,FALSE),0),
IF(AX408="K",VLOOKUP(K408,Foundation_Calc!$K$41:$R$74,VLOOKUP(AW408,Foundation_Calc!$I$2:$J$8,2,FALSE),0),"")))</f>
        <v/>
      </c>
      <c r="BA408" s="632" t="str">
        <f t="shared" si="28"/>
        <v/>
      </c>
      <c r="BB408" s="632" t="str">
        <f t="shared" si="29"/>
        <v/>
      </c>
      <c r="BC408" s="632" t="str">
        <f t="shared" si="30"/>
        <v/>
      </c>
      <c r="BD408" s="633" t="str">
        <f>IF(AND(L408="",H408=""),"",
IF(H408="",Pole_Calc!A436,
IF(H408="MP",Pole_Calc!A437,
IF(H408="AnMP",Pole_Calc!A438,
IF(H408="A",Pole_Calc!A439,
IF(H408="S/A",Pole_Calc!A440,
IF(H408="A/S",Pole_Calc!A441,"Poner a mano")))))))</f>
        <v/>
      </c>
      <c r="BE408" s="448" t="s">
        <v>1726</v>
      </c>
      <c r="BF408" s="634"/>
      <c r="BG408" s="634"/>
      <c r="BH408" s="634"/>
      <c r="BI408" s="634"/>
    </row>
    <row r="409" spans="1:61" ht="16.2" customHeight="1">
      <c r="A409" s="12"/>
      <c r="B409" s="446"/>
      <c r="C409" s="89"/>
      <c r="D409" s="13"/>
      <c r="E409" s="14"/>
      <c r="F409" s="14"/>
      <c r="G409" s="15"/>
      <c r="H409" s="8"/>
      <c r="I409" s="8"/>
      <c r="J409" s="89"/>
      <c r="K409" s="8"/>
      <c r="L409" s="8"/>
      <c r="M409" s="8" t="str">
        <f>IF(L409="","",
IF(AX409="PT",VLOOKUP(L409,Foundation_Calc!$V$4:$X$37,VLOOKUP(AX409,Foundation_Calc!$I$10:$J$13,2,FALSE),0),
IF(AX409="K",VLOOKUP(L409,Foundation_Calc!$V$41:$X$74,VLOOKUP(AX409,Foundation_Calc!$I$10:$J$13,2,FALSE),0),"")))</f>
        <v/>
      </c>
      <c r="N409" s="8"/>
      <c r="O409" s="8"/>
      <c r="P409" s="8"/>
      <c r="Q409" s="14"/>
      <c r="R409" s="15"/>
      <c r="S409" s="15"/>
      <c r="T409" s="14"/>
      <c r="U409" s="14"/>
      <c r="V409" s="14"/>
      <c r="W409" s="18"/>
      <c r="X409" s="18"/>
      <c r="Y409" s="18"/>
      <c r="Z409" s="18"/>
      <c r="AA409" s="18"/>
      <c r="AB409" s="18"/>
      <c r="AC409" s="8" t="str">
        <f t="shared" si="27"/>
        <v/>
      </c>
      <c r="AD409" s="8"/>
      <c r="AE409" s="8"/>
      <c r="AF409" s="14"/>
      <c r="AG409" s="13"/>
      <c r="AH409" s="14"/>
      <c r="AI409" s="14"/>
      <c r="AJ409" s="8"/>
      <c r="AK409" s="8"/>
      <c r="AL409" s="8"/>
      <c r="AM409" s="8"/>
      <c r="AN409" s="631"/>
      <c r="AO409" s="18"/>
      <c r="AP409" s="18"/>
      <c r="AQ409" s="18"/>
      <c r="AR409" s="18"/>
      <c r="AS409" s="18"/>
      <c r="AU409" s="448"/>
      <c r="AV409" s="448"/>
      <c r="AW409" s="8" t="str">
        <f>IF(C409&gt;0,VLOOKUP(C409,Foundation_Calc!$A$2:$C$986,3,1),
IF(J409&gt;0,VLOOKUP(J409,Foundation_Calc!$A$2:$C$986,3,1),""))</f>
        <v/>
      </c>
      <c r="AX409" s="8" t="str">
        <f>IF(C409&gt;0,VLOOKUP(C409,Foundation_Calc!$E$2:$G$986,3,1),
IF(J409&gt;0,VLOOKUP(J409,Foundation_Calc!$E$2:$G$986,3,1),""))</f>
        <v/>
      </c>
      <c r="AY409" s="631" t="str">
        <f>IF(L409="","",
IF(AX409="PT",VLOOKUP(L409,Foundation_Calc!$K$4:$R$37,VLOOKUP(AW409,Foundation_Calc!$I$2:$J$8,2,FALSE),0),
IF(AX409="K",VLOOKUP(L409,Foundation_Calc!$K$41:$R$74,VLOOKUP(AW409,Foundation_Calc!$I$2:$J$8,2,FALSE),0),"")))</f>
        <v/>
      </c>
      <c r="AZ409" s="631" t="str">
        <f>IF(K409="","",
IF(AX409="PT",VLOOKUP(K409,Foundation_Calc!$K$4:$R$37,VLOOKUP(AW409,Foundation_Calc!$I$2:$J$8,2,FALSE),0),
IF(AX409="K",VLOOKUP(K409,Foundation_Calc!$K$41:$R$74,VLOOKUP(AW409,Foundation_Calc!$I$2:$J$8,2,FALSE),0),"")))</f>
        <v/>
      </c>
      <c r="BA409" s="632" t="str">
        <f t="shared" si="28"/>
        <v/>
      </c>
      <c r="BB409" s="632" t="str">
        <f t="shared" si="29"/>
        <v/>
      </c>
      <c r="BC409" s="632" t="str">
        <f t="shared" si="30"/>
        <v/>
      </c>
      <c r="BD409" s="633" t="str">
        <f>IF(AND(L409="",H409=""),"",
IF(H409="",Pole_Calc!A437,
IF(H409="MP",Pole_Calc!A438,
IF(H409="AnMP",Pole_Calc!A439,
IF(H409="A",Pole_Calc!A440,
IF(H409="S/A",Pole_Calc!A441,
IF(H409="A/S",Pole_Calc!A442,"Poner a mano")))))))</f>
        <v/>
      </c>
      <c r="BE409" s="448" t="s">
        <v>1726</v>
      </c>
      <c r="BF409" s="635"/>
      <c r="BG409" s="635"/>
      <c r="BH409" s="634"/>
      <c r="BI409" s="635"/>
    </row>
    <row r="410" spans="1:61" ht="16.2" customHeight="1">
      <c r="A410" s="12"/>
      <c r="B410" s="446"/>
      <c r="C410" s="89"/>
      <c r="D410" s="13"/>
      <c r="E410" s="14"/>
      <c r="F410" s="14"/>
      <c r="G410" s="15"/>
      <c r="H410" s="8"/>
      <c r="I410" s="8"/>
      <c r="J410" s="89"/>
      <c r="K410" s="8"/>
      <c r="L410" s="8"/>
      <c r="M410" s="8" t="str">
        <f>IF(L410="","",
IF(AX410="PT",VLOOKUP(L410,Foundation_Calc!$V$4:$X$37,VLOOKUP(AX410,Foundation_Calc!$I$10:$J$13,2,FALSE),0),
IF(AX410="K",VLOOKUP(L410,Foundation_Calc!$V$41:$X$74,VLOOKUP(AX410,Foundation_Calc!$I$10:$J$13,2,FALSE),0),"")))</f>
        <v/>
      </c>
      <c r="N410" s="8"/>
      <c r="O410" s="8"/>
      <c r="P410" s="8"/>
      <c r="Q410" s="14"/>
      <c r="R410" s="15"/>
      <c r="S410" s="15"/>
      <c r="T410" s="14"/>
      <c r="U410" s="14"/>
      <c r="V410" s="14"/>
      <c r="W410" s="18"/>
      <c r="X410" s="18"/>
      <c r="Y410" s="18"/>
      <c r="Z410" s="18"/>
      <c r="AA410" s="18"/>
      <c r="AB410" s="18"/>
      <c r="AC410" s="8" t="str">
        <f t="shared" si="27"/>
        <v/>
      </c>
      <c r="AD410" s="8"/>
      <c r="AE410" s="8"/>
      <c r="AF410" s="14"/>
      <c r="AG410" s="13"/>
      <c r="AH410" s="14"/>
      <c r="AI410" s="14"/>
      <c r="AJ410" s="8"/>
      <c r="AK410" s="8"/>
      <c r="AL410" s="8"/>
      <c r="AM410" s="8"/>
      <c r="AN410" s="631"/>
      <c r="AO410" s="18"/>
      <c r="AP410" s="18"/>
      <c r="AQ410" s="18"/>
      <c r="AR410" s="18"/>
      <c r="AS410" s="18"/>
      <c r="AU410" s="448"/>
      <c r="AV410" s="448"/>
      <c r="AW410" s="8" t="str">
        <f>IF(C410&gt;0,VLOOKUP(C410,Foundation_Calc!$A$2:$C$986,3,1),
IF(J410&gt;0,VLOOKUP(J410,Foundation_Calc!$A$2:$C$986,3,1),""))</f>
        <v/>
      </c>
      <c r="AX410" s="8" t="str">
        <f>IF(C410&gt;0,VLOOKUP(C410,Foundation_Calc!$E$2:$G$986,3,1),
IF(J410&gt;0,VLOOKUP(J410,Foundation_Calc!$E$2:$G$986,3,1),""))</f>
        <v/>
      </c>
      <c r="AY410" s="631" t="str">
        <f>IF(L410="","",
IF(AX410="PT",VLOOKUP(L410,Foundation_Calc!$K$4:$R$37,VLOOKUP(AW410,Foundation_Calc!$I$2:$J$8,2,FALSE),0),
IF(AX410="K",VLOOKUP(L410,Foundation_Calc!$K$41:$R$74,VLOOKUP(AW410,Foundation_Calc!$I$2:$J$8,2,FALSE),0),"")))</f>
        <v/>
      </c>
      <c r="AZ410" s="631" t="str">
        <f>IF(K410="","",
IF(AX410="PT",VLOOKUP(K410,Foundation_Calc!$K$4:$R$37,VLOOKUP(AW410,Foundation_Calc!$I$2:$J$8,2,FALSE),0),
IF(AX410="K",VLOOKUP(K410,Foundation_Calc!$K$41:$R$74,VLOOKUP(AW410,Foundation_Calc!$I$2:$J$8,2,FALSE),0),"")))</f>
        <v/>
      </c>
      <c r="BA410" s="632" t="str">
        <f t="shared" si="28"/>
        <v/>
      </c>
      <c r="BB410" s="632" t="str">
        <f t="shared" si="29"/>
        <v/>
      </c>
      <c r="BC410" s="632" t="str">
        <f t="shared" si="30"/>
        <v/>
      </c>
      <c r="BD410" s="633" t="str">
        <f>IF(AND(L410="",H410=""),"",
IF(H410="",Pole_Calc!A438,
IF(H410="MP",Pole_Calc!A439,
IF(H410="AnMP",Pole_Calc!A440,
IF(H410="A",Pole_Calc!A441,
IF(H410="S/A",Pole_Calc!A442,
IF(H410="A/S",Pole_Calc!A443,"Poner a mano")))))))</f>
        <v/>
      </c>
      <c r="BE410" s="448" t="s">
        <v>1726</v>
      </c>
      <c r="BF410" s="634"/>
      <c r="BG410" s="634"/>
      <c r="BH410" s="634"/>
      <c r="BI410" s="634"/>
    </row>
    <row r="411" spans="1:61" ht="16.2" customHeight="1">
      <c r="A411" s="12"/>
      <c r="B411" s="446"/>
      <c r="C411" s="89"/>
      <c r="D411" s="13"/>
      <c r="E411" s="14"/>
      <c r="F411" s="14"/>
      <c r="G411" s="15"/>
      <c r="H411" s="8"/>
      <c r="I411" s="8"/>
      <c r="J411" s="89"/>
      <c r="K411" s="8"/>
      <c r="L411" s="8"/>
      <c r="M411" s="8" t="str">
        <f>IF(L411="","",
IF(AX411="PT",VLOOKUP(L411,Foundation_Calc!$V$4:$X$37,VLOOKUP(AX411,Foundation_Calc!$I$10:$J$13,2,FALSE),0),
IF(AX411="K",VLOOKUP(L411,Foundation_Calc!$V$41:$X$74,VLOOKUP(AX411,Foundation_Calc!$I$10:$J$13,2,FALSE),0),"")))</f>
        <v/>
      </c>
      <c r="N411" s="8"/>
      <c r="O411" s="8"/>
      <c r="P411" s="8"/>
      <c r="Q411" s="14"/>
      <c r="R411" s="15"/>
      <c r="S411" s="15"/>
      <c r="T411" s="14"/>
      <c r="U411" s="14"/>
      <c r="V411" s="14"/>
      <c r="W411" s="18"/>
      <c r="X411" s="18"/>
      <c r="Y411" s="18"/>
      <c r="Z411" s="18"/>
      <c r="AA411" s="18"/>
      <c r="AB411" s="18"/>
      <c r="AC411" s="8" t="str">
        <f t="shared" si="27"/>
        <v/>
      </c>
      <c r="AD411" s="8"/>
      <c r="AE411" s="8"/>
      <c r="AF411" s="14"/>
      <c r="AG411" s="13"/>
      <c r="AH411" s="14"/>
      <c r="AI411" s="14"/>
      <c r="AJ411" s="8"/>
      <c r="AK411" s="8"/>
      <c r="AL411" s="8"/>
      <c r="AM411" s="8"/>
      <c r="AN411" s="631"/>
      <c r="AO411" s="18"/>
      <c r="AP411" s="18"/>
      <c r="AQ411" s="18"/>
      <c r="AR411" s="18"/>
      <c r="AS411" s="18"/>
      <c r="AU411" s="448"/>
      <c r="AV411" s="448"/>
      <c r="AW411" s="8" t="str">
        <f>IF(C411&gt;0,VLOOKUP(C411,Foundation_Calc!$A$2:$C$986,3,1),
IF(J411&gt;0,VLOOKUP(J411,Foundation_Calc!$A$2:$C$986,3,1),""))</f>
        <v/>
      </c>
      <c r="AX411" s="8" t="str">
        <f>IF(C411&gt;0,VLOOKUP(C411,Foundation_Calc!$E$2:$G$986,3,1),
IF(J411&gt;0,VLOOKUP(J411,Foundation_Calc!$E$2:$G$986,3,1),""))</f>
        <v/>
      </c>
      <c r="AY411" s="631" t="str">
        <f>IF(L411="","",
IF(AX411="PT",VLOOKUP(L411,Foundation_Calc!$K$4:$R$37,VLOOKUP(AW411,Foundation_Calc!$I$2:$J$8,2,FALSE),0),
IF(AX411="K",VLOOKUP(L411,Foundation_Calc!$K$41:$R$74,VLOOKUP(AW411,Foundation_Calc!$I$2:$J$8,2,FALSE),0),"")))</f>
        <v/>
      </c>
      <c r="AZ411" s="631" t="str">
        <f>IF(K411="","",
IF(AX411="PT",VLOOKUP(K411,Foundation_Calc!$K$4:$R$37,VLOOKUP(AW411,Foundation_Calc!$I$2:$J$8,2,FALSE),0),
IF(AX411="K",VLOOKUP(K411,Foundation_Calc!$K$41:$R$74,VLOOKUP(AW411,Foundation_Calc!$I$2:$J$8,2,FALSE),0),"")))</f>
        <v/>
      </c>
      <c r="BA411" s="632" t="str">
        <f t="shared" si="28"/>
        <v/>
      </c>
      <c r="BB411" s="632" t="str">
        <f t="shared" si="29"/>
        <v/>
      </c>
      <c r="BC411" s="632" t="str">
        <f t="shared" si="30"/>
        <v/>
      </c>
      <c r="BD411" s="633" t="str">
        <f>IF(AND(L411="",H411=""),"",
IF(H411="",Pole_Calc!A439,
IF(H411="MP",Pole_Calc!A440,
IF(H411="AnMP",Pole_Calc!A441,
IF(H411="A",Pole_Calc!A442,
IF(H411="S/A",Pole_Calc!A443,
IF(H411="A/S",Pole_Calc!A444,"Poner a mano")))))))</f>
        <v/>
      </c>
      <c r="BE411" s="448" t="s">
        <v>1726</v>
      </c>
      <c r="BF411" s="635"/>
      <c r="BG411" s="635"/>
      <c r="BH411" s="634"/>
      <c r="BI411" s="635"/>
    </row>
    <row r="412" spans="1:61" ht="16.2" customHeight="1">
      <c r="A412" s="12"/>
      <c r="B412" s="446"/>
      <c r="C412" s="89"/>
      <c r="D412" s="13"/>
      <c r="E412" s="14"/>
      <c r="F412" s="14"/>
      <c r="G412" s="15"/>
      <c r="H412" s="8"/>
      <c r="I412" s="8"/>
      <c r="J412" s="89"/>
      <c r="K412" s="8"/>
      <c r="L412" s="8"/>
      <c r="M412" s="8" t="str">
        <f>IF(L412="","",
IF(AX412="PT",VLOOKUP(L412,Foundation_Calc!$V$4:$X$37,VLOOKUP(AX412,Foundation_Calc!$I$10:$J$13,2,FALSE),0),
IF(AX412="K",VLOOKUP(L412,Foundation_Calc!$V$41:$X$74,VLOOKUP(AX412,Foundation_Calc!$I$10:$J$13,2,FALSE),0),"")))</f>
        <v/>
      </c>
      <c r="N412" s="8"/>
      <c r="O412" s="8"/>
      <c r="P412" s="8"/>
      <c r="Q412" s="14"/>
      <c r="R412" s="15"/>
      <c r="S412" s="15"/>
      <c r="T412" s="14"/>
      <c r="U412" s="14"/>
      <c r="V412" s="14"/>
      <c r="W412" s="18"/>
      <c r="X412" s="18"/>
      <c r="Y412" s="18"/>
      <c r="Z412" s="18"/>
      <c r="AA412" s="18"/>
      <c r="AB412" s="18"/>
      <c r="AC412" s="8" t="str">
        <f t="shared" si="27"/>
        <v/>
      </c>
      <c r="AD412" s="8"/>
      <c r="AE412" s="8"/>
      <c r="AF412" s="14"/>
      <c r="AG412" s="13"/>
      <c r="AH412" s="14"/>
      <c r="AI412" s="14"/>
      <c r="AJ412" s="8"/>
      <c r="AK412" s="8"/>
      <c r="AL412" s="8"/>
      <c r="AM412" s="8"/>
      <c r="AN412" s="631"/>
      <c r="AO412" s="18"/>
      <c r="AP412" s="18"/>
      <c r="AQ412" s="18"/>
      <c r="AR412" s="18"/>
      <c r="AS412" s="18"/>
      <c r="AU412" s="448"/>
      <c r="AV412" s="448"/>
      <c r="AW412" s="8" t="str">
        <f>IF(C412&gt;0,VLOOKUP(C412,Foundation_Calc!$A$2:$C$986,3,1),
IF(J412&gt;0,VLOOKUP(J412,Foundation_Calc!$A$2:$C$986,3,1),""))</f>
        <v/>
      </c>
      <c r="AX412" s="8" t="str">
        <f>IF(C412&gt;0,VLOOKUP(C412,Foundation_Calc!$E$2:$G$986,3,1),
IF(J412&gt;0,VLOOKUP(J412,Foundation_Calc!$E$2:$G$986,3,1),""))</f>
        <v/>
      </c>
      <c r="AY412" s="631" t="str">
        <f>IF(L412="","",
IF(AX412="PT",VLOOKUP(L412,Foundation_Calc!$K$4:$R$37,VLOOKUP(AW412,Foundation_Calc!$I$2:$J$8,2,FALSE),0),
IF(AX412="K",VLOOKUP(L412,Foundation_Calc!$K$41:$R$74,VLOOKUP(AW412,Foundation_Calc!$I$2:$J$8,2,FALSE),0),"")))</f>
        <v/>
      </c>
      <c r="AZ412" s="631" t="str">
        <f>IF(K412="","",
IF(AX412="PT",VLOOKUP(K412,Foundation_Calc!$K$4:$R$37,VLOOKUP(AW412,Foundation_Calc!$I$2:$J$8,2,FALSE),0),
IF(AX412="K",VLOOKUP(K412,Foundation_Calc!$K$41:$R$74,VLOOKUP(AW412,Foundation_Calc!$I$2:$J$8,2,FALSE),0),"")))</f>
        <v/>
      </c>
      <c r="BA412" s="632" t="str">
        <f t="shared" si="28"/>
        <v/>
      </c>
      <c r="BB412" s="632" t="str">
        <f t="shared" si="29"/>
        <v/>
      </c>
      <c r="BC412" s="632" t="str">
        <f t="shared" si="30"/>
        <v/>
      </c>
      <c r="BD412" s="633" t="str">
        <f>IF(AND(L412="",H412=""),"",
IF(H412="",Pole_Calc!A440,
IF(H412="MP",Pole_Calc!A441,
IF(H412="AnMP",Pole_Calc!A442,
IF(H412="A",Pole_Calc!A443,
IF(H412="S/A",Pole_Calc!A444,
IF(H412="A/S",Pole_Calc!A445,"Poner a mano")))))))</f>
        <v/>
      </c>
      <c r="BE412" s="448" t="s">
        <v>1726</v>
      </c>
      <c r="BF412" s="634"/>
      <c r="BG412" s="634"/>
      <c r="BH412" s="634"/>
      <c r="BI412" s="634"/>
    </row>
    <row r="413" spans="1:61" ht="16.2" customHeight="1">
      <c r="A413" s="12"/>
      <c r="B413" s="446"/>
      <c r="C413" s="89"/>
      <c r="D413" s="13"/>
      <c r="E413" s="14"/>
      <c r="F413" s="14"/>
      <c r="G413" s="15"/>
      <c r="H413" s="8"/>
      <c r="I413" s="8"/>
      <c r="J413" s="89"/>
      <c r="K413" s="8"/>
      <c r="L413" s="8"/>
      <c r="M413" s="8" t="str">
        <f>IF(L413="","",
IF(AX413="PT",VLOOKUP(L413,Foundation_Calc!$V$4:$X$37,VLOOKUP(AX413,Foundation_Calc!$I$10:$J$13,2,FALSE),0),
IF(AX413="K",VLOOKUP(L413,Foundation_Calc!$V$41:$X$74,VLOOKUP(AX413,Foundation_Calc!$I$10:$J$13,2,FALSE),0),"")))</f>
        <v/>
      </c>
      <c r="N413" s="8"/>
      <c r="O413" s="8"/>
      <c r="P413" s="8"/>
      <c r="Q413" s="14"/>
      <c r="R413" s="15"/>
      <c r="S413" s="15"/>
      <c r="T413" s="14"/>
      <c r="U413" s="14"/>
      <c r="V413" s="14"/>
      <c r="W413" s="18"/>
      <c r="X413" s="18"/>
      <c r="Y413" s="18"/>
      <c r="Z413" s="18"/>
      <c r="AA413" s="18"/>
      <c r="AB413" s="18"/>
      <c r="AC413" s="8" t="str">
        <f t="shared" si="27"/>
        <v/>
      </c>
      <c r="AD413" s="8"/>
      <c r="AE413" s="8"/>
      <c r="AF413" s="14"/>
      <c r="AG413" s="13"/>
      <c r="AH413" s="14"/>
      <c r="AI413" s="14"/>
      <c r="AJ413" s="8"/>
      <c r="AK413" s="8"/>
      <c r="AL413" s="8"/>
      <c r="AM413" s="8"/>
      <c r="AN413" s="631"/>
      <c r="AO413" s="18"/>
      <c r="AP413" s="18"/>
      <c r="AQ413" s="18"/>
      <c r="AR413" s="18"/>
      <c r="AS413" s="18"/>
      <c r="AU413" s="448"/>
      <c r="AV413" s="448"/>
      <c r="AW413" s="8" t="str">
        <f>IF(C413&gt;0,VLOOKUP(C413,Foundation_Calc!$A$2:$C$986,3,1),
IF(J413&gt;0,VLOOKUP(J413,Foundation_Calc!$A$2:$C$986,3,1),""))</f>
        <v/>
      </c>
      <c r="AX413" s="8" t="str">
        <f>IF(C413&gt;0,VLOOKUP(C413,Foundation_Calc!$E$2:$G$986,3,1),
IF(J413&gt;0,VLOOKUP(J413,Foundation_Calc!$E$2:$G$986,3,1),""))</f>
        <v/>
      </c>
      <c r="AY413" s="631" t="str">
        <f>IF(L413="","",
IF(AX413="PT",VLOOKUP(L413,Foundation_Calc!$K$4:$R$37,VLOOKUP(AW413,Foundation_Calc!$I$2:$J$8,2,FALSE),0),
IF(AX413="K",VLOOKUP(L413,Foundation_Calc!$K$41:$R$74,VLOOKUP(AW413,Foundation_Calc!$I$2:$J$8,2,FALSE),0),"")))</f>
        <v/>
      </c>
      <c r="AZ413" s="631" t="str">
        <f>IF(K413="","",
IF(AX413="PT",VLOOKUP(K413,Foundation_Calc!$K$4:$R$37,VLOOKUP(AW413,Foundation_Calc!$I$2:$J$8,2,FALSE),0),
IF(AX413="K",VLOOKUP(K413,Foundation_Calc!$K$41:$R$74,VLOOKUP(AW413,Foundation_Calc!$I$2:$J$8,2,FALSE),0),"")))</f>
        <v/>
      </c>
      <c r="BA413" s="632" t="str">
        <f t="shared" si="28"/>
        <v/>
      </c>
      <c r="BB413" s="632" t="str">
        <f t="shared" si="29"/>
        <v/>
      </c>
      <c r="BC413" s="632" t="str">
        <f t="shared" si="30"/>
        <v/>
      </c>
      <c r="BD413" s="633" t="str">
        <f>IF(AND(L413="",H413=""),"",
IF(H413="",Pole_Calc!A441,
IF(H413="MP",Pole_Calc!A442,
IF(H413="AnMP",Pole_Calc!A443,
IF(H413="A",Pole_Calc!A444,
IF(H413="S/A",Pole_Calc!A445,
IF(H413="A/S",Pole_Calc!A446,"Poner a mano")))))))</f>
        <v/>
      </c>
      <c r="BE413" s="448" t="s">
        <v>1726</v>
      </c>
      <c r="BF413" s="635"/>
      <c r="BG413" s="635"/>
      <c r="BH413" s="634"/>
      <c r="BI413" s="635"/>
    </row>
    <row r="414" spans="1:61" ht="16.2" customHeight="1">
      <c r="A414" s="12"/>
      <c r="B414" s="446"/>
      <c r="C414" s="89"/>
      <c r="D414" s="13"/>
      <c r="E414" s="14"/>
      <c r="F414" s="14"/>
      <c r="G414" s="15"/>
      <c r="H414" s="8"/>
      <c r="I414" s="8"/>
      <c r="J414" s="89"/>
      <c r="K414" s="8"/>
      <c r="L414" s="8"/>
      <c r="M414" s="8" t="str">
        <f>IF(L414="","",
IF(AX414="PT",VLOOKUP(L414,Foundation_Calc!$V$4:$X$37,VLOOKUP(AX414,Foundation_Calc!$I$10:$J$13,2,FALSE),0),
IF(AX414="K",VLOOKUP(L414,Foundation_Calc!$V$41:$X$74,VLOOKUP(AX414,Foundation_Calc!$I$10:$J$13,2,FALSE),0),"")))</f>
        <v/>
      </c>
      <c r="N414" s="8"/>
      <c r="O414" s="8"/>
      <c r="P414" s="8"/>
      <c r="Q414" s="14"/>
      <c r="R414" s="15"/>
      <c r="S414" s="15"/>
      <c r="T414" s="14"/>
      <c r="U414" s="14"/>
      <c r="V414" s="14"/>
      <c r="W414" s="18"/>
      <c r="X414" s="18"/>
      <c r="Y414" s="18"/>
      <c r="Z414" s="18"/>
      <c r="AA414" s="18"/>
      <c r="AB414" s="18"/>
      <c r="AC414" s="8" t="str">
        <f t="shared" si="27"/>
        <v/>
      </c>
      <c r="AD414" s="8"/>
      <c r="AE414" s="8"/>
      <c r="AF414" s="14"/>
      <c r="AG414" s="13"/>
      <c r="AH414" s="14"/>
      <c r="AI414" s="14"/>
      <c r="AJ414" s="8"/>
      <c r="AK414" s="8"/>
      <c r="AL414" s="8"/>
      <c r="AM414" s="8"/>
      <c r="AN414" s="631"/>
      <c r="AO414" s="18"/>
      <c r="AP414" s="18"/>
      <c r="AQ414" s="18"/>
      <c r="AR414" s="18"/>
      <c r="AS414" s="18"/>
      <c r="AU414" s="448"/>
      <c r="AV414" s="448"/>
      <c r="AW414" s="8" t="str">
        <f>IF(C414&gt;0,VLOOKUP(C414,Foundation_Calc!$A$2:$C$986,3,1),
IF(J414&gt;0,VLOOKUP(J414,Foundation_Calc!$A$2:$C$986,3,1),""))</f>
        <v/>
      </c>
      <c r="AX414" s="8" t="str">
        <f>IF(C414&gt;0,VLOOKUP(C414,Foundation_Calc!$E$2:$G$986,3,1),
IF(J414&gt;0,VLOOKUP(J414,Foundation_Calc!$E$2:$G$986,3,1),""))</f>
        <v/>
      </c>
      <c r="AY414" s="631" t="str">
        <f>IF(L414="","",
IF(AX414="PT",VLOOKUP(L414,Foundation_Calc!$K$4:$R$37,VLOOKUP(AW414,Foundation_Calc!$I$2:$J$8,2,FALSE),0),
IF(AX414="K",VLOOKUP(L414,Foundation_Calc!$K$41:$R$74,VLOOKUP(AW414,Foundation_Calc!$I$2:$J$8,2,FALSE),0),"")))</f>
        <v/>
      </c>
      <c r="AZ414" s="631" t="str">
        <f>IF(K414="","",
IF(AX414="PT",VLOOKUP(K414,Foundation_Calc!$K$4:$R$37,VLOOKUP(AW414,Foundation_Calc!$I$2:$J$8,2,FALSE),0),
IF(AX414="K",VLOOKUP(K414,Foundation_Calc!$K$41:$R$74,VLOOKUP(AW414,Foundation_Calc!$I$2:$J$8,2,FALSE),0),"")))</f>
        <v/>
      </c>
      <c r="BA414" s="632" t="str">
        <f t="shared" si="28"/>
        <v/>
      </c>
      <c r="BB414" s="632" t="str">
        <f t="shared" si="29"/>
        <v/>
      </c>
      <c r="BC414" s="632" t="str">
        <f t="shared" si="30"/>
        <v/>
      </c>
      <c r="BD414" s="633" t="str">
        <f>IF(AND(L414="",H414=""),"",
IF(H414="",Pole_Calc!A442,
IF(H414="MP",Pole_Calc!A443,
IF(H414="AnMP",Pole_Calc!A444,
IF(H414="A",Pole_Calc!A445,
IF(H414="S/A",Pole_Calc!A446,
IF(H414="A/S",Pole_Calc!A447,"Poner a mano")))))))</f>
        <v/>
      </c>
      <c r="BE414" s="448" t="s">
        <v>1726</v>
      </c>
      <c r="BF414" s="634"/>
      <c r="BG414" s="634"/>
      <c r="BH414" s="634"/>
      <c r="BI414" s="634"/>
    </row>
    <row r="415" spans="1:61" ht="16.2" customHeight="1">
      <c r="A415" s="12"/>
      <c r="B415" s="446"/>
      <c r="C415" s="89"/>
      <c r="D415" s="13"/>
      <c r="E415" s="14"/>
      <c r="F415" s="14"/>
      <c r="G415" s="15"/>
      <c r="H415" s="8"/>
      <c r="I415" s="8"/>
      <c r="J415" s="89"/>
      <c r="K415" s="8"/>
      <c r="L415" s="8"/>
      <c r="M415" s="8" t="str">
        <f>IF(L415="","",
IF(AX415="PT",VLOOKUP(L415,Foundation_Calc!$V$4:$X$37,VLOOKUP(AX415,Foundation_Calc!$I$10:$J$13,2,FALSE),0),
IF(AX415="K",VLOOKUP(L415,Foundation_Calc!$V$41:$X$74,VLOOKUP(AX415,Foundation_Calc!$I$10:$J$13,2,FALSE),0),"")))</f>
        <v/>
      </c>
      <c r="N415" s="8"/>
      <c r="O415" s="8"/>
      <c r="P415" s="8"/>
      <c r="Q415" s="14"/>
      <c r="R415" s="15"/>
      <c r="S415" s="15"/>
      <c r="T415" s="14"/>
      <c r="U415" s="14"/>
      <c r="V415" s="14"/>
      <c r="W415" s="18"/>
      <c r="X415" s="18"/>
      <c r="Y415" s="18"/>
      <c r="Z415" s="18"/>
      <c r="AA415" s="18"/>
      <c r="AB415" s="18"/>
      <c r="AC415" s="8" t="str">
        <f t="shared" si="27"/>
        <v/>
      </c>
      <c r="AD415" s="8"/>
      <c r="AE415" s="8"/>
      <c r="AF415" s="14"/>
      <c r="AG415" s="13"/>
      <c r="AH415" s="14"/>
      <c r="AI415" s="14"/>
      <c r="AJ415" s="8"/>
      <c r="AK415" s="8"/>
      <c r="AL415" s="8"/>
      <c r="AM415" s="8"/>
      <c r="AN415" s="631"/>
      <c r="AO415" s="18"/>
      <c r="AP415" s="18"/>
      <c r="AQ415" s="18"/>
      <c r="AR415" s="18"/>
      <c r="AS415" s="18"/>
      <c r="AU415" s="448"/>
      <c r="AV415" s="448"/>
      <c r="AW415" s="8" t="str">
        <f>IF(C415&gt;0,VLOOKUP(C415,Foundation_Calc!$A$2:$C$986,3,1),
IF(J415&gt;0,VLOOKUP(J415,Foundation_Calc!$A$2:$C$986,3,1),""))</f>
        <v/>
      </c>
      <c r="AX415" s="8" t="str">
        <f>IF(C415&gt;0,VLOOKUP(C415,Foundation_Calc!$E$2:$G$986,3,1),
IF(J415&gt;0,VLOOKUP(J415,Foundation_Calc!$E$2:$G$986,3,1),""))</f>
        <v/>
      </c>
      <c r="AY415" s="631" t="str">
        <f>IF(L415="","",
IF(AX415="PT",VLOOKUP(L415,Foundation_Calc!$K$4:$R$37,VLOOKUP(AW415,Foundation_Calc!$I$2:$J$8,2,FALSE),0),
IF(AX415="K",VLOOKUP(L415,Foundation_Calc!$K$41:$R$74,VLOOKUP(AW415,Foundation_Calc!$I$2:$J$8,2,FALSE),0),"")))</f>
        <v/>
      </c>
      <c r="AZ415" s="631" t="str">
        <f>IF(K415="","",
IF(AX415="PT",VLOOKUP(K415,Foundation_Calc!$K$4:$R$37,VLOOKUP(AW415,Foundation_Calc!$I$2:$J$8,2,FALSE),0),
IF(AX415="K",VLOOKUP(K415,Foundation_Calc!$K$41:$R$74,VLOOKUP(AW415,Foundation_Calc!$I$2:$J$8,2,FALSE),0),"")))</f>
        <v/>
      </c>
      <c r="BA415" s="632" t="str">
        <f t="shared" si="28"/>
        <v/>
      </c>
      <c r="BB415" s="632" t="str">
        <f t="shared" si="29"/>
        <v/>
      </c>
      <c r="BC415" s="632" t="str">
        <f t="shared" si="30"/>
        <v/>
      </c>
      <c r="BD415" s="633" t="str">
        <f>IF(AND(L415="",H415=""),"",
IF(H415="",Pole_Calc!A443,
IF(H415="MP",Pole_Calc!A444,
IF(H415="AnMP",Pole_Calc!A445,
IF(H415="A",Pole_Calc!A446,
IF(H415="S/A",Pole_Calc!A447,
IF(H415="A/S",Pole_Calc!A448,"Poner a mano")))))))</f>
        <v/>
      </c>
      <c r="BE415" s="448" t="s">
        <v>1726</v>
      </c>
      <c r="BF415" s="635"/>
      <c r="BG415" s="635"/>
      <c r="BH415" s="634"/>
      <c r="BI415" s="635"/>
    </row>
    <row r="416" spans="1:61" ht="16.2" customHeight="1">
      <c r="A416" s="12"/>
      <c r="B416" s="446"/>
      <c r="C416" s="89"/>
      <c r="D416" s="13"/>
      <c r="E416" s="14"/>
      <c r="F416" s="14"/>
      <c r="G416" s="15"/>
      <c r="H416" s="8"/>
      <c r="I416" s="8"/>
      <c r="J416" s="89"/>
      <c r="K416" s="8"/>
      <c r="L416" s="8"/>
      <c r="M416" s="8" t="str">
        <f>IF(L416="","",
IF(AX416="PT",VLOOKUP(L416,Foundation_Calc!$V$4:$X$37,VLOOKUP(AX416,Foundation_Calc!$I$10:$J$13,2,FALSE),0),
IF(AX416="K",VLOOKUP(L416,Foundation_Calc!$V$41:$X$74,VLOOKUP(AX416,Foundation_Calc!$I$10:$J$13,2,FALSE),0),"")))</f>
        <v/>
      </c>
      <c r="N416" s="8"/>
      <c r="O416" s="8"/>
      <c r="P416" s="8"/>
      <c r="Q416" s="14"/>
      <c r="R416" s="15"/>
      <c r="S416" s="15"/>
      <c r="T416" s="14"/>
      <c r="U416" s="14"/>
      <c r="V416" s="14"/>
      <c r="W416" s="18"/>
      <c r="X416" s="18"/>
      <c r="Y416" s="18"/>
      <c r="Z416" s="18"/>
      <c r="AA416" s="18"/>
      <c r="AB416" s="18"/>
      <c r="AC416" s="8" t="str">
        <f t="shared" si="27"/>
        <v/>
      </c>
      <c r="AD416" s="8"/>
      <c r="AE416" s="8"/>
      <c r="AF416" s="14"/>
      <c r="AG416" s="13"/>
      <c r="AH416" s="14"/>
      <c r="AI416" s="14"/>
      <c r="AJ416" s="8"/>
      <c r="AK416" s="8"/>
      <c r="AL416" s="8"/>
      <c r="AM416" s="8"/>
      <c r="AN416" s="631"/>
      <c r="AO416" s="18"/>
      <c r="AP416" s="18"/>
      <c r="AQ416" s="18"/>
      <c r="AR416" s="18"/>
      <c r="AS416" s="18"/>
      <c r="AU416" s="448"/>
      <c r="AV416" s="448"/>
      <c r="AW416" s="8" t="str">
        <f>IF(C416&gt;0,VLOOKUP(C416,Foundation_Calc!$A$2:$C$986,3,1),
IF(J416&gt;0,VLOOKUP(J416,Foundation_Calc!$A$2:$C$986,3,1),""))</f>
        <v/>
      </c>
      <c r="AX416" s="8" t="str">
        <f>IF(C416&gt;0,VLOOKUP(C416,Foundation_Calc!$E$2:$G$986,3,1),
IF(J416&gt;0,VLOOKUP(J416,Foundation_Calc!$E$2:$G$986,3,1),""))</f>
        <v/>
      </c>
      <c r="AY416" s="631" t="str">
        <f>IF(L416="","",
IF(AX416="PT",VLOOKUP(L416,Foundation_Calc!$K$4:$R$37,VLOOKUP(AW416,Foundation_Calc!$I$2:$J$8,2,FALSE),0),
IF(AX416="K",VLOOKUP(L416,Foundation_Calc!$K$41:$R$74,VLOOKUP(AW416,Foundation_Calc!$I$2:$J$8,2,FALSE),0),"")))</f>
        <v/>
      </c>
      <c r="AZ416" s="631" t="str">
        <f>IF(K416="","",
IF(AX416="PT",VLOOKUP(K416,Foundation_Calc!$K$4:$R$37,VLOOKUP(AW416,Foundation_Calc!$I$2:$J$8,2,FALSE),0),
IF(AX416="K",VLOOKUP(K416,Foundation_Calc!$K$41:$R$74,VLOOKUP(AW416,Foundation_Calc!$I$2:$J$8,2,FALSE),0),"")))</f>
        <v/>
      </c>
      <c r="BA416" s="632" t="str">
        <f t="shared" si="28"/>
        <v/>
      </c>
      <c r="BB416" s="632" t="str">
        <f t="shared" si="29"/>
        <v/>
      </c>
      <c r="BC416" s="632" t="str">
        <f t="shared" si="30"/>
        <v/>
      </c>
      <c r="BD416" s="633" t="str">
        <f>IF(AND(L416="",H416=""),"",
IF(H416="",Pole_Calc!A444,
IF(H416="MP",Pole_Calc!A445,
IF(H416="AnMP",Pole_Calc!A446,
IF(H416="A",Pole_Calc!A447,
IF(H416="S/A",Pole_Calc!A448,
IF(H416="A/S",Pole_Calc!A449,"Poner a mano")))))))</f>
        <v/>
      </c>
      <c r="BE416" s="448" t="s">
        <v>1726</v>
      </c>
      <c r="BF416" s="634"/>
      <c r="BG416" s="634"/>
      <c r="BH416" s="634"/>
      <c r="BI416" s="634"/>
    </row>
    <row r="417" spans="1:61" ht="16.2" customHeight="1">
      <c r="A417" s="12"/>
      <c r="B417" s="446"/>
      <c r="C417" s="89"/>
      <c r="D417" s="13"/>
      <c r="E417" s="14"/>
      <c r="F417" s="14"/>
      <c r="G417" s="15"/>
      <c r="H417" s="8"/>
      <c r="I417" s="8"/>
      <c r="J417" s="89"/>
      <c r="K417" s="8"/>
      <c r="L417" s="8"/>
      <c r="M417" s="8" t="str">
        <f>IF(L417="","",
IF(AX417="PT",VLOOKUP(L417,Foundation_Calc!$V$4:$X$37,VLOOKUP(AX417,Foundation_Calc!$I$10:$J$13,2,FALSE),0),
IF(AX417="K",VLOOKUP(L417,Foundation_Calc!$V$41:$X$74,VLOOKUP(AX417,Foundation_Calc!$I$10:$J$13,2,FALSE),0),"")))</f>
        <v/>
      </c>
      <c r="N417" s="8"/>
      <c r="O417" s="8"/>
      <c r="P417" s="8"/>
      <c r="Q417" s="14"/>
      <c r="R417" s="15"/>
      <c r="S417" s="15"/>
      <c r="T417" s="14"/>
      <c r="U417" s="14"/>
      <c r="V417" s="14"/>
      <c r="W417" s="18"/>
      <c r="X417" s="18"/>
      <c r="Y417" s="18"/>
      <c r="Z417" s="18"/>
      <c r="AA417" s="18"/>
      <c r="AB417" s="18"/>
      <c r="AC417" s="8" t="str">
        <f t="shared" si="27"/>
        <v/>
      </c>
      <c r="AD417" s="8"/>
      <c r="AE417" s="8"/>
      <c r="AF417" s="14"/>
      <c r="AG417" s="13"/>
      <c r="AH417" s="14"/>
      <c r="AI417" s="14"/>
      <c r="AJ417" s="8"/>
      <c r="AK417" s="8"/>
      <c r="AL417" s="8"/>
      <c r="AM417" s="8"/>
      <c r="AN417" s="631"/>
      <c r="AO417" s="18"/>
      <c r="AP417" s="18"/>
      <c r="AQ417" s="18"/>
      <c r="AR417" s="18"/>
      <c r="AS417" s="18"/>
      <c r="AU417" s="448"/>
      <c r="AV417" s="448"/>
      <c r="AW417" s="8" t="str">
        <f>IF(C417&gt;0,VLOOKUP(C417,Foundation_Calc!$A$2:$C$986,3,1),
IF(J417&gt;0,VLOOKUP(J417,Foundation_Calc!$A$2:$C$986,3,1),""))</f>
        <v/>
      </c>
      <c r="AX417" s="8" t="str">
        <f>IF(C417&gt;0,VLOOKUP(C417,Foundation_Calc!$E$2:$G$986,3,1),
IF(J417&gt;0,VLOOKUP(J417,Foundation_Calc!$E$2:$G$986,3,1),""))</f>
        <v/>
      </c>
      <c r="AY417" s="631" t="str">
        <f>IF(L417="","",
IF(AX417="PT",VLOOKUP(L417,Foundation_Calc!$K$4:$R$37,VLOOKUP(AW417,Foundation_Calc!$I$2:$J$8,2,FALSE),0),
IF(AX417="K",VLOOKUP(L417,Foundation_Calc!$K$41:$R$74,VLOOKUP(AW417,Foundation_Calc!$I$2:$J$8,2,FALSE),0),"")))</f>
        <v/>
      </c>
      <c r="AZ417" s="631" t="str">
        <f>IF(K417="","",
IF(AX417="PT",VLOOKUP(K417,Foundation_Calc!$K$4:$R$37,VLOOKUP(AW417,Foundation_Calc!$I$2:$J$8,2,FALSE),0),
IF(AX417="K",VLOOKUP(K417,Foundation_Calc!$K$41:$R$74,VLOOKUP(AW417,Foundation_Calc!$I$2:$J$8,2,FALSE),0),"")))</f>
        <v/>
      </c>
      <c r="BA417" s="632" t="str">
        <f t="shared" si="28"/>
        <v/>
      </c>
      <c r="BB417" s="632" t="str">
        <f t="shared" si="29"/>
        <v/>
      </c>
      <c r="BC417" s="632" t="str">
        <f t="shared" si="30"/>
        <v/>
      </c>
      <c r="BD417" s="633" t="str">
        <f>IF(AND(L417="",H417=""),"",
IF(H417="",Pole_Calc!A445,
IF(H417="MP",Pole_Calc!A446,
IF(H417="AnMP",Pole_Calc!A447,
IF(H417="A",Pole_Calc!A448,
IF(H417="S/A",Pole_Calc!A449,
IF(H417="A/S",Pole_Calc!A450,"Poner a mano")))))))</f>
        <v/>
      </c>
      <c r="BE417" s="448" t="s">
        <v>1726</v>
      </c>
      <c r="BF417" s="635"/>
      <c r="BG417" s="635"/>
      <c r="BH417" s="634"/>
      <c r="BI417" s="635"/>
    </row>
    <row r="418" spans="1:61" ht="16.2" customHeight="1">
      <c r="A418" s="12"/>
      <c r="B418" s="446"/>
      <c r="C418" s="89"/>
      <c r="D418" s="13"/>
      <c r="E418" s="14"/>
      <c r="F418" s="14"/>
      <c r="G418" s="15"/>
      <c r="H418" s="8"/>
      <c r="I418" s="8"/>
      <c r="J418" s="89"/>
      <c r="K418" s="8"/>
      <c r="L418" s="8"/>
      <c r="M418" s="8" t="str">
        <f>IF(L418="","",
IF(AX418="PT",VLOOKUP(L418,Foundation_Calc!$V$4:$X$37,VLOOKUP(AX418,Foundation_Calc!$I$10:$J$13,2,FALSE),0),
IF(AX418="K",VLOOKUP(L418,Foundation_Calc!$V$41:$X$74,VLOOKUP(AX418,Foundation_Calc!$I$10:$J$13,2,FALSE),0),"")))</f>
        <v/>
      </c>
      <c r="N418" s="8"/>
      <c r="O418" s="8"/>
      <c r="P418" s="8"/>
      <c r="Q418" s="14"/>
      <c r="R418" s="15"/>
      <c r="S418" s="15"/>
      <c r="T418" s="14"/>
      <c r="U418" s="14"/>
      <c r="V418" s="14"/>
      <c r="W418" s="18"/>
      <c r="X418" s="18"/>
      <c r="Y418" s="18"/>
      <c r="Z418" s="18"/>
      <c r="AA418" s="18"/>
      <c r="AB418" s="18"/>
      <c r="AC418" s="8" t="str">
        <f t="shared" si="27"/>
        <v/>
      </c>
      <c r="AD418" s="8"/>
      <c r="AE418" s="8"/>
      <c r="AF418" s="14"/>
      <c r="AG418" s="13"/>
      <c r="AH418" s="14"/>
      <c r="AI418" s="14"/>
      <c r="AJ418" s="8"/>
      <c r="AK418" s="8"/>
      <c r="AL418" s="8"/>
      <c r="AM418" s="8"/>
      <c r="AN418" s="631"/>
      <c r="AO418" s="18"/>
      <c r="AP418" s="18"/>
      <c r="AQ418" s="18"/>
      <c r="AR418" s="18"/>
      <c r="AS418" s="18"/>
      <c r="AU418" s="448"/>
      <c r="AV418" s="448"/>
      <c r="AW418" s="8" t="str">
        <f>IF(C418&gt;0,VLOOKUP(C418,Foundation_Calc!$A$2:$C$986,3,1),
IF(J418&gt;0,VLOOKUP(J418,Foundation_Calc!$A$2:$C$986,3,1),""))</f>
        <v/>
      </c>
      <c r="AX418" s="8" t="str">
        <f>IF(C418&gt;0,VLOOKUP(C418,Foundation_Calc!$E$2:$G$986,3,1),
IF(J418&gt;0,VLOOKUP(J418,Foundation_Calc!$E$2:$G$986,3,1),""))</f>
        <v/>
      </c>
      <c r="AY418" s="631" t="str">
        <f>IF(L418="","",
IF(AX418="PT",VLOOKUP(L418,Foundation_Calc!$K$4:$R$37,VLOOKUP(AW418,Foundation_Calc!$I$2:$J$8,2,FALSE),0),
IF(AX418="K",VLOOKUP(L418,Foundation_Calc!$K$41:$R$74,VLOOKUP(AW418,Foundation_Calc!$I$2:$J$8,2,FALSE),0),"")))</f>
        <v/>
      </c>
      <c r="AZ418" s="631" t="str">
        <f>IF(K418="","",
IF(AX418="PT",VLOOKUP(K418,Foundation_Calc!$K$4:$R$37,VLOOKUP(AW418,Foundation_Calc!$I$2:$J$8,2,FALSE),0),
IF(AX418="K",VLOOKUP(K418,Foundation_Calc!$K$41:$R$74,VLOOKUP(AW418,Foundation_Calc!$I$2:$J$8,2,FALSE),0),"")))</f>
        <v/>
      </c>
      <c r="BA418" s="632" t="str">
        <f t="shared" si="28"/>
        <v/>
      </c>
      <c r="BB418" s="632" t="str">
        <f t="shared" si="29"/>
        <v/>
      </c>
      <c r="BC418" s="632" t="str">
        <f t="shared" si="30"/>
        <v/>
      </c>
      <c r="BD418" s="633" t="str">
        <f>IF(AND(L418="",H418=""),"",
IF(H418="",Pole_Calc!A446,
IF(H418="MP",Pole_Calc!A447,
IF(H418="AnMP",Pole_Calc!A448,
IF(H418="A",Pole_Calc!A449,
IF(H418="S/A",Pole_Calc!A450,
IF(H418="A/S",Pole_Calc!A451,"Poner a mano")))))))</f>
        <v/>
      </c>
      <c r="BE418" s="448" t="s">
        <v>1726</v>
      </c>
      <c r="BF418" s="634"/>
      <c r="BG418" s="634"/>
      <c r="BH418" s="634"/>
      <c r="BI418" s="634"/>
    </row>
    <row r="419" spans="1:61" ht="16.2" customHeight="1">
      <c r="A419" s="12"/>
      <c r="B419" s="446"/>
      <c r="C419" s="89"/>
      <c r="D419" s="13"/>
      <c r="E419" s="14"/>
      <c r="F419" s="14"/>
      <c r="G419" s="15"/>
      <c r="H419" s="8"/>
      <c r="I419" s="8"/>
      <c r="J419" s="89"/>
      <c r="K419" s="8"/>
      <c r="L419" s="8"/>
      <c r="M419" s="8" t="str">
        <f>IF(L419="","",
IF(AX419="PT",VLOOKUP(L419,Foundation_Calc!$V$4:$X$37,VLOOKUP(AX419,Foundation_Calc!$I$10:$J$13,2,FALSE),0),
IF(AX419="K",VLOOKUP(L419,Foundation_Calc!$V$41:$X$74,VLOOKUP(AX419,Foundation_Calc!$I$10:$J$13,2,FALSE),0),"")))</f>
        <v/>
      </c>
      <c r="N419" s="8"/>
      <c r="O419" s="8"/>
      <c r="P419" s="8"/>
      <c r="Q419" s="14"/>
      <c r="R419" s="15"/>
      <c r="S419" s="15"/>
      <c r="T419" s="14"/>
      <c r="U419" s="14"/>
      <c r="V419" s="14"/>
      <c r="W419" s="18"/>
      <c r="X419" s="18"/>
      <c r="Y419" s="18"/>
      <c r="Z419" s="18"/>
      <c r="AA419" s="18"/>
      <c r="AB419" s="18"/>
      <c r="AC419" s="8" t="str">
        <f t="shared" si="27"/>
        <v/>
      </c>
      <c r="AD419" s="8"/>
      <c r="AE419" s="8"/>
      <c r="AF419" s="14"/>
      <c r="AG419" s="13"/>
      <c r="AH419" s="14"/>
      <c r="AI419" s="14"/>
      <c r="AJ419" s="8"/>
      <c r="AK419" s="8"/>
      <c r="AL419" s="8"/>
      <c r="AM419" s="8"/>
      <c r="AN419" s="631"/>
      <c r="AO419" s="18"/>
      <c r="AP419" s="18"/>
      <c r="AQ419" s="18"/>
      <c r="AR419" s="18"/>
      <c r="AS419" s="18"/>
      <c r="AU419" s="448"/>
      <c r="AV419" s="448"/>
      <c r="AW419" s="8" t="str">
        <f>IF(C419&gt;0,VLOOKUP(C419,Foundation_Calc!$A$2:$C$986,3,1),
IF(J419&gt;0,VLOOKUP(J419,Foundation_Calc!$A$2:$C$986,3,1),""))</f>
        <v/>
      </c>
      <c r="AX419" s="8" t="str">
        <f>IF(C419&gt;0,VLOOKUP(C419,Foundation_Calc!$E$2:$G$986,3,1),
IF(J419&gt;0,VLOOKUP(J419,Foundation_Calc!$E$2:$G$986,3,1),""))</f>
        <v/>
      </c>
      <c r="AY419" s="631" t="str">
        <f>IF(L419="","",
IF(AX419="PT",VLOOKUP(L419,Foundation_Calc!$K$4:$R$37,VLOOKUP(AW419,Foundation_Calc!$I$2:$J$8,2,FALSE),0),
IF(AX419="K",VLOOKUP(L419,Foundation_Calc!$K$41:$R$74,VLOOKUP(AW419,Foundation_Calc!$I$2:$J$8,2,FALSE),0),"")))</f>
        <v/>
      </c>
      <c r="AZ419" s="631" t="str">
        <f>IF(K419="","",
IF(AX419="PT",VLOOKUP(K419,Foundation_Calc!$K$4:$R$37,VLOOKUP(AW419,Foundation_Calc!$I$2:$J$8,2,FALSE),0),
IF(AX419="K",VLOOKUP(K419,Foundation_Calc!$K$41:$R$74,VLOOKUP(AW419,Foundation_Calc!$I$2:$J$8,2,FALSE),0),"")))</f>
        <v/>
      </c>
      <c r="BA419" s="632" t="str">
        <f t="shared" si="28"/>
        <v/>
      </c>
      <c r="BB419" s="632" t="str">
        <f t="shared" si="29"/>
        <v/>
      </c>
      <c r="BC419" s="632" t="str">
        <f t="shared" si="30"/>
        <v/>
      </c>
      <c r="BD419" s="633" t="str">
        <f>IF(AND(L419="",H419=""),"",
IF(H419="",Pole_Calc!A447,
IF(H419="MP",Pole_Calc!A448,
IF(H419="AnMP",Pole_Calc!A449,
IF(H419="A",Pole_Calc!A450,
IF(H419="S/A",Pole_Calc!A451,
IF(H419="A/S",Pole_Calc!A452,"Poner a mano")))))))</f>
        <v/>
      </c>
      <c r="BE419" s="448" t="s">
        <v>1726</v>
      </c>
      <c r="BF419" s="635"/>
      <c r="BG419" s="635"/>
      <c r="BH419" s="634"/>
      <c r="BI419" s="635"/>
    </row>
    <row r="420" spans="1:61" ht="16.2" customHeight="1">
      <c r="A420" s="12"/>
      <c r="B420" s="446"/>
      <c r="C420" s="89"/>
      <c r="D420" s="13"/>
      <c r="E420" s="14"/>
      <c r="F420" s="14"/>
      <c r="G420" s="15"/>
      <c r="H420" s="8"/>
      <c r="I420" s="8"/>
      <c r="J420" s="89"/>
      <c r="K420" s="8"/>
      <c r="L420" s="8"/>
      <c r="M420" s="8" t="str">
        <f>IF(L420="","",
IF(AX420="PT",VLOOKUP(L420,Foundation_Calc!$V$4:$X$37,VLOOKUP(AX420,Foundation_Calc!$I$10:$J$13,2,FALSE),0),
IF(AX420="K",VLOOKUP(L420,Foundation_Calc!$V$41:$X$74,VLOOKUP(AX420,Foundation_Calc!$I$10:$J$13,2,FALSE),0),"")))</f>
        <v/>
      </c>
      <c r="N420" s="8"/>
      <c r="O420" s="8"/>
      <c r="P420" s="8"/>
      <c r="Q420" s="14"/>
      <c r="R420" s="15"/>
      <c r="S420" s="15"/>
      <c r="T420" s="14"/>
      <c r="U420" s="14"/>
      <c r="V420" s="14"/>
      <c r="W420" s="18"/>
      <c r="X420" s="18"/>
      <c r="Y420" s="18"/>
      <c r="Z420" s="18"/>
      <c r="AA420" s="18"/>
      <c r="AB420" s="18"/>
      <c r="AC420" s="8" t="str">
        <f t="shared" si="27"/>
        <v/>
      </c>
      <c r="AD420" s="8"/>
      <c r="AE420" s="8"/>
      <c r="AF420" s="14"/>
      <c r="AG420" s="13"/>
      <c r="AH420" s="14"/>
      <c r="AI420" s="14"/>
      <c r="AJ420" s="8"/>
      <c r="AK420" s="8"/>
      <c r="AL420" s="8"/>
      <c r="AM420" s="8"/>
      <c r="AN420" s="631"/>
      <c r="AO420" s="18"/>
      <c r="AP420" s="18"/>
      <c r="AQ420" s="18"/>
      <c r="AR420" s="18"/>
      <c r="AS420" s="18"/>
      <c r="AU420" s="448"/>
      <c r="AV420" s="448"/>
      <c r="AW420" s="8" t="str">
        <f>IF(C420&gt;0,VLOOKUP(C420,Foundation_Calc!$A$2:$C$986,3,1),
IF(J420&gt;0,VLOOKUP(J420,Foundation_Calc!$A$2:$C$986,3,1),""))</f>
        <v/>
      </c>
      <c r="AX420" s="8" t="str">
        <f>IF(C420&gt;0,VLOOKUP(C420,Foundation_Calc!$E$2:$G$986,3,1),
IF(J420&gt;0,VLOOKUP(J420,Foundation_Calc!$E$2:$G$986,3,1),""))</f>
        <v/>
      </c>
      <c r="AY420" s="631" t="str">
        <f>IF(L420="","",
IF(AX420="PT",VLOOKUP(L420,Foundation_Calc!$K$4:$R$37,VLOOKUP(AW420,Foundation_Calc!$I$2:$J$8,2,FALSE),0),
IF(AX420="K",VLOOKUP(L420,Foundation_Calc!$K$41:$R$74,VLOOKUP(AW420,Foundation_Calc!$I$2:$J$8,2,FALSE),0),"")))</f>
        <v/>
      </c>
      <c r="AZ420" s="631" t="str">
        <f>IF(K420="","",
IF(AX420="PT",VLOOKUP(K420,Foundation_Calc!$K$4:$R$37,VLOOKUP(AW420,Foundation_Calc!$I$2:$J$8,2,FALSE),0),
IF(AX420="K",VLOOKUP(K420,Foundation_Calc!$K$41:$R$74,VLOOKUP(AW420,Foundation_Calc!$I$2:$J$8,2,FALSE),0),"")))</f>
        <v/>
      </c>
      <c r="BA420" s="632" t="str">
        <f t="shared" si="28"/>
        <v/>
      </c>
      <c r="BB420" s="632" t="str">
        <f t="shared" si="29"/>
        <v/>
      </c>
      <c r="BC420" s="632" t="str">
        <f t="shared" si="30"/>
        <v/>
      </c>
      <c r="BD420" s="633" t="str">
        <f>IF(AND(L420="",H420=""),"",
IF(H420="",Pole_Calc!A448,
IF(H420="MP",Pole_Calc!A449,
IF(H420="AnMP",Pole_Calc!A450,
IF(H420="A",Pole_Calc!A451,
IF(H420="S/A",Pole_Calc!A452,
IF(H420="A/S",Pole_Calc!A453,"Poner a mano")))))))</f>
        <v/>
      </c>
      <c r="BE420" s="448" t="s">
        <v>1726</v>
      </c>
      <c r="BF420" s="634"/>
      <c r="BG420" s="634"/>
      <c r="BH420" s="634"/>
      <c r="BI420" s="634"/>
    </row>
    <row r="421" spans="1:61" ht="16.2" customHeight="1">
      <c r="A421" s="12"/>
      <c r="B421" s="446"/>
      <c r="C421" s="89"/>
      <c r="D421" s="13"/>
      <c r="E421" s="14"/>
      <c r="F421" s="14"/>
      <c r="G421" s="15"/>
      <c r="H421" s="8"/>
      <c r="I421" s="8"/>
      <c r="J421" s="89"/>
      <c r="K421" s="8"/>
      <c r="L421" s="8"/>
      <c r="M421" s="8" t="str">
        <f>IF(L421="","",
IF(AX421="PT",VLOOKUP(L421,Foundation_Calc!$V$4:$X$37,VLOOKUP(AX421,Foundation_Calc!$I$10:$J$13,2,FALSE),0),
IF(AX421="K",VLOOKUP(L421,Foundation_Calc!$V$41:$X$74,VLOOKUP(AX421,Foundation_Calc!$I$10:$J$13,2,FALSE),0),"")))</f>
        <v/>
      </c>
      <c r="N421" s="8"/>
      <c r="O421" s="8"/>
      <c r="P421" s="8"/>
      <c r="Q421" s="14"/>
      <c r="R421" s="15"/>
      <c r="S421" s="15"/>
      <c r="T421" s="14"/>
      <c r="U421" s="14"/>
      <c r="V421" s="14"/>
      <c r="W421" s="18"/>
      <c r="X421" s="18"/>
      <c r="Y421" s="18"/>
      <c r="Z421" s="18"/>
      <c r="AA421" s="18"/>
      <c r="AB421" s="18"/>
      <c r="AC421" s="8" t="str">
        <f t="shared" si="27"/>
        <v/>
      </c>
      <c r="AD421" s="8"/>
      <c r="AE421" s="8"/>
      <c r="AF421" s="14"/>
      <c r="AG421" s="13"/>
      <c r="AH421" s="14"/>
      <c r="AI421" s="14"/>
      <c r="AJ421" s="8"/>
      <c r="AK421" s="8"/>
      <c r="AL421" s="8"/>
      <c r="AM421" s="8"/>
      <c r="AN421" s="631"/>
      <c r="AO421" s="18"/>
      <c r="AP421" s="18"/>
      <c r="AQ421" s="18"/>
      <c r="AR421" s="18"/>
      <c r="AS421" s="18"/>
      <c r="AU421" s="448"/>
      <c r="AV421" s="448"/>
      <c r="AW421" s="8" t="str">
        <f>IF(C421&gt;0,VLOOKUP(C421,Foundation_Calc!$A$2:$C$986,3,1),
IF(J421&gt;0,VLOOKUP(J421,Foundation_Calc!$A$2:$C$986,3,1),""))</f>
        <v/>
      </c>
      <c r="AX421" s="8" t="str">
        <f>IF(C421&gt;0,VLOOKUP(C421,Foundation_Calc!$E$2:$G$986,3,1),
IF(J421&gt;0,VLOOKUP(J421,Foundation_Calc!$E$2:$G$986,3,1),""))</f>
        <v/>
      </c>
      <c r="AY421" s="631" t="str">
        <f>IF(L421="","",
IF(AX421="PT",VLOOKUP(L421,Foundation_Calc!$K$4:$R$37,VLOOKUP(AW421,Foundation_Calc!$I$2:$J$8,2,FALSE),0),
IF(AX421="K",VLOOKUP(L421,Foundation_Calc!$K$41:$R$74,VLOOKUP(AW421,Foundation_Calc!$I$2:$J$8,2,FALSE),0),"")))</f>
        <v/>
      </c>
      <c r="AZ421" s="631" t="str">
        <f>IF(K421="","",
IF(AX421="PT",VLOOKUP(K421,Foundation_Calc!$K$4:$R$37,VLOOKUP(AW421,Foundation_Calc!$I$2:$J$8,2,FALSE),0),
IF(AX421="K",VLOOKUP(K421,Foundation_Calc!$K$41:$R$74,VLOOKUP(AW421,Foundation_Calc!$I$2:$J$8,2,FALSE),0),"")))</f>
        <v/>
      </c>
      <c r="BA421" s="632" t="str">
        <f t="shared" si="28"/>
        <v/>
      </c>
      <c r="BB421" s="632" t="str">
        <f t="shared" si="29"/>
        <v/>
      </c>
      <c r="BC421" s="632" t="str">
        <f t="shared" si="30"/>
        <v/>
      </c>
      <c r="BD421" s="633" t="str">
        <f>IF(AND(L421="",H421=""),"",
IF(H421="",Pole_Calc!A449,
IF(H421="MP",Pole_Calc!A450,
IF(H421="AnMP",Pole_Calc!A451,
IF(H421="A",Pole_Calc!A452,
IF(H421="S/A",Pole_Calc!A453,
IF(H421="A/S",Pole_Calc!A454,"Poner a mano")))))))</f>
        <v/>
      </c>
      <c r="BE421" s="448" t="s">
        <v>1726</v>
      </c>
      <c r="BF421" s="635"/>
      <c r="BG421" s="635"/>
      <c r="BH421" s="634"/>
      <c r="BI421" s="635"/>
    </row>
    <row r="422" spans="1:61" ht="16.2" customHeight="1">
      <c r="A422" s="12"/>
      <c r="B422" s="446"/>
      <c r="C422" s="89"/>
      <c r="D422" s="13"/>
      <c r="E422" s="14"/>
      <c r="F422" s="14"/>
      <c r="G422" s="15"/>
      <c r="H422" s="8"/>
      <c r="I422" s="8"/>
      <c r="J422" s="89"/>
      <c r="K422" s="8"/>
      <c r="L422" s="8"/>
      <c r="M422" s="8" t="str">
        <f>IF(L422="","",
IF(AX422="PT",VLOOKUP(L422,Foundation_Calc!$V$4:$X$37,VLOOKUP(AX422,Foundation_Calc!$I$10:$J$13,2,FALSE),0),
IF(AX422="K",VLOOKUP(L422,Foundation_Calc!$V$41:$X$74,VLOOKUP(AX422,Foundation_Calc!$I$10:$J$13,2,FALSE),0),"")))</f>
        <v/>
      </c>
      <c r="N422" s="8"/>
      <c r="O422" s="8"/>
      <c r="P422" s="8"/>
      <c r="Q422" s="14"/>
      <c r="R422" s="15"/>
      <c r="S422" s="15"/>
      <c r="T422" s="14"/>
      <c r="U422" s="14"/>
      <c r="V422" s="14"/>
      <c r="W422" s="18"/>
      <c r="X422" s="18"/>
      <c r="Y422" s="18"/>
      <c r="Z422" s="18"/>
      <c r="AA422" s="18"/>
      <c r="AB422" s="18"/>
      <c r="AC422" s="8" t="str">
        <f t="shared" si="27"/>
        <v/>
      </c>
      <c r="AD422" s="8"/>
      <c r="AE422" s="8"/>
      <c r="AF422" s="14"/>
      <c r="AG422" s="13"/>
      <c r="AH422" s="14"/>
      <c r="AI422" s="14"/>
      <c r="AJ422" s="8"/>
      <c r="AK422" s="8"/>
      <c r="AL422" s="8"/>
      <c r="AM422" s="8"/>
      <c r="AN422" s="631"/>
      <c r="AO422" s="18"/>
      <c r="AP422" s="18"/>
      <c r="AQ422" s="18"/>
      <c r="AR422" s="18"/>
      <c r="AS422" s="18"/>
      <c r="AU422" s="448"/>
      <c r="AV422" s="448"/>
      <c r="AW422" s="8" t="str">
        <f>IF(C422&gt;0,VLOOKUP(C422,Foundation_Calc!$A$2:$C$986,3,1),
IF(J422&gt;0,VLOOKUP(J422,Foundation_Calc!$A$2:$C$986,3,1),""))</f>
        <v/>
      </c>
      <c r="AX422" s="8" t="str">
        <f>IF(C422&gt;0,VLOOKUP(C422,Foundation_Calc!$E$2:$G$986,3,1),
IF(J422&gt;0,VLOOKUP(J422,Foundation_Calc!$E$2:$G$986,3,1),""))</f>
        <v/>
      </c>
      <c r="AY422" s="631" t="str">
        <f>IF(L422="","",
IF(AX422="PT",VLOOKUP(L422,Foundation_Calc!$K$4:$R$37,VLOOKUP(AW422,Foundation_Calc!$I$2:$J$8,2,FALSE),0),
IF(AX422="K",VLOOKUP(L422,Foundation_Calc!$K$41:$R$74,VLOOKUP(AW422,Foundation_Calc!$I$2:$J$8,2,FALSE),0),"")))</f>
        <v/>
      </c>
      <c r="AZ422" s="631" t="str">
        <f>IF(K422="","",
IF(AX422="PT",VLOOKUP(K422,Foundation_Calc!$K$4:$R$37,VLOOKUP(AW422,Foundation_Calc!$I$2:$J$8,2,FALSE),0),
IF(AX422="K",VLOOKUP(K422,Foundation_Calc!$K$41:$R$74,VLOOKUP(AW422,Foundation_Calc!$I$2:$J$8,2,FALSE),0),"")))</f>
        <v/>
      </c>
      <c r="BA422" s="632" t="str">
        <f t="shared" si="28"/>
        <v/>
      </c>
      <c r="BB422" s="632" t="str">
        <f t="shared" si="29"/>
        <v/>
      </c>
      <c r="BC422" s="632" t="str">
        <f t="shared" si="30"/>
        <v/>
      </c>
      <c r="BD422" s="633" t="str">
        <f>IF(AND(L422="",H422=""),"",
IF(H422="",Pole_Calc!A450,
IF(H422="MP",Pole_Calc!A451,
IF(H422="AnMP",Pole_Calc!A452,
IF(H422="A",Pole_Calc!A453,
IF(H422="S/A",Pole_Calc!A454,
IF(H422="A/S",Pole_Calc!A455,"Poner a mano")))))))</f>
        <v/>
      </c>
      <c r="BE422" s="448" t="s">
        <v>1726</v>
      </c>
      <c r="BF422" s="634"/>
      <c r="BG422" s="634"/>
      <c r="BH422" s="634"/>
      <c r="BI422" s="634"/>
    </row>
    <row r="423" spans="1:61" ht="16.2" customHeight="1">
      <c r="A423" s="12"/>
      <c r="B423" s="446"/>
      <c r="C423" s="89"/>
      <c r="D423" s="13"/>
      <c r="E423" s="14"/>
      <c r="F423" s="14"/>
      <c r="G423" s="15"/>
      <c r="H423" s="8"/>
      <c r="I423" s="8"/>
      <c r="J423" s="89"/>
      <c r="K423" s="8"/>
      <c r="L423" s="8"/>
      <c r="M423" s="8" t="str">
        <f>IF(L423="","",
IF(AX423="PT",VLOOKUP(L423,Foundation_Calc!$V$4:$X$37,VLOOKUP(AX423,Foundation_Calc!$I$10:$J$13,2,FALSE),0),
IF(AX423="K",VLOOKUP(L423,Foundation_Calc!$V$41:$X$74,VLOOKUP(AX423,Foundation_Calc!$I$10:$J$13,2,FALSE),0),"")))</f>
        <v/>
      </c>
      <c r="N423" s="8"/>
      <c r="O423" s="8"/>
      <c r="P423" s="8"/>
      <c r="Q423" s="14"/>
      <c r="R423" s="15"/>
      <c r="S423" s="15"/>
      <c r="T423" s="14"/>
      <c r="U423" s="14"/>
      <c r="V423" s="14"/>
      <c r="W423" s="18"/>
      <c r="X423" s="18"/>
      <c r="Y423" s="18"/>
      <c r="Z423" s="18"/>
      <c r="AA423" s="18"/>
      <c r="AB423" s="18"/>
      <c r="AC423" s="8" t="str">
        <f t="shared" si="27"/>
        <v/>
      </c>
      <c r="AD423" s="8"/>
      <c r="AE423" s="8"/>
      <c r="AF423" s="14"/>
      <c r="AG423" s="13"/>
      <c r="AH423" s="14"/>
      <c r="AI423" s="14"/>
      <c r="AJ423" s="8"/>
      <c r="AK423" s="8"/>
      <c r="AL423" s="8"/>
      <c r="AM423" s="8"/>
      <c r="AN423" s="631"/>
      <c r="AO423" s="18"/>
      <c r="AP423" s="18"/>
      <c r="AQ423" s="18"/>
      <c r="AR423" s="18"/>
      <c r="AS423" s="18"/>
      <c r="AU423" s="448"/>
      <c r="AV423" s="448"/>
      <c r="AW423" s="8" t="str">
        <f>IF(C423&gt;0,VLOOKUP(C423,Foundation_Calc!$A$2:$C$986,3,1),
IF(J423&gt;0,VLOOKUP(J423,Foundation_Calc!$A$2:$C$986,3,1),""))</f>
        <v/>
      </c>
      <c r="AX423" s="8" t="str">
        <f>IF(C423&gt;0,VLOOKUP(C423,Foundation_Calc!$E$2:$G$986,3,1),
IF(J423&gt;0,VLOOKUP(J423,Foundation_Calc!$E$2:$G$986,3,1),""))</f>
        <v/>
      </c>
      <c r="AY423" s="631" t="str">
        <f>IF(L423="","",
IF(AX423="PT",VLOOKUP(L423,Foundation_Calc!$K$4:$R$37,VLOOKUP(AW423,Foundation_Calc!$I$2:$J$8,2,FALSE),0),
IF(AX423="K",VLOOKUP(L423,Foundation_Calc!$K$41:$R$74,VLOOKUP(AW423,Foundation_Calc!$I$2:$J$8,2,FALSE),0),"")))</f>
        <v/>
      </c>
      <c r="AZ423" s="631" t="str">
        <f>IF(K423="","",
IF(AX423="PT",VLOOKUP(K423,Foundation_Calc!$K$4:$R$37,VLOOKUP(AW423,Foundation_Calc!$I$2:$J$8,2,FALSE),0),
IF(AX423="K",VLOOKUP(K423,Foundation_Calc!$K$41:$R$74,VLOOKUP(AW423,Foundation_Calc!$I$2:$J$8,2,FALSE),0),"")))</f>
        <v/>
      </c>
      <c r="BA423" s="632" t="str">
        <f t="shared" si="28"/>
        <v/>
      </c>
      <c r="BB423" s="632" t="str">
        <f t="shared" si="29"/>
        <v/>
      </c>
      <c r="BC423" s="632" t="str">
        <f t="shared" si="30"/>
        <v/>
      </c>
      <c r="BD423" s="633" t="str">
        <f>IF(AND(L423="",H423=""),"",
IF(H423="",Pole_Calc!A451,
IF(H423="MP",Pole_Calc!A452,
IF(H423="AnMP",Pole_Calc!A453,
IF(H423="A",Pole_Calc!A454,
IF(H423="S/A",Pole_Calc!A455,
IF(H423="A/S",Pole_Calc!A456,"Poner a mano")))))))</f>
        <v/>
      </c>
      <c r="BE423" s="448" t="s">
        <v>1726</v>
      </c>
      <c r="BF423" s="635"/>
      <c r="BG423" s="635"/>
      <c r="BH423" s="634"/>
      <c r="BI423" s="635"/>
    </row>
    <row r="424" spans="1:61" ht="16.2" customHeight="1">
      <c r="A424" s="12"/>
      <c r="B424" s="446"/>
      <c r="C424" s="89"/>
      <c r="D424" s="13"/>
      <c r="E424" s="14"/>
      <c r="F424" s="14"/>
      <c r="G424" s="15"/>
      <c r="H424" s="8"/>
      <c r="I424" s="8"/>
      <c r="J424" s="89"/>
      <c r="K424" s="8"/>
      <c r="L424" s="8"/>
      <c r="M424" s="8" t="str">
        <f>IF(L424="","",
IF(AX424="PT",VLOOKUP(L424,Foundation_Calc!$V$4:$X$37,VLOOKUP(AX424,Foundation_Calc!$I$10:$J$13,2,FALSE),0),
IF(AX424="K",VLOOKUP(L424,Foundation_Calc!$V$41:$X$74,VLOOKUP(AX424,Foundation_Calc!$I$10:$J$13,2,FALSE),0),"")))</f>
        <v/>
      </c>
      <c r="N424" s="8"/>
      <c r="O424" s="8"/>
      <c r="P424" s="8"/>
      <c r="Q424" s="14"/>
      <c r="R424" s="15"/>
      <c r="S424" s="15"/>
      <c r="T424" s="14"/>
      <c r="U424" s="14"/>
      <c r="V424" s="14"/>
      <c r="W424" s="18"/>
      <c r="X424" s="18"/>
      <c r="Y424" s="18"/>
      <c r="Z424" s="18"/>
      <c r="AA424" s="18"/>
      <c r="AB424" s="18"/>
      <c r="AC424" s="8" t="str">
        <f t="shared" si="27"/>
        <v/>
      </c>
      <c r="AD424" s="8"/>
      <c r="AE424" s="8"/>
      <c r="AF424" s="14"/>
      <c r="AG424" s="13"/>
      <c r="AH424" s="14"/>
      <c r="AI424" s="14"/>
      <c r="AJ424" s="8"/>
      <c r="AK424" s="8"/>
      <c r="AL424" s="8"/>
      <c r="AM424" s="8"/>
      <c r="AN424" s="631"/>
      <c r="AO424" s="18"/>
      <c r="AP424" s="18"/>
      <c r="AQ424" s="18"/>
      <c r="AR424" s="18"/>
      <c r="AS424" s="18"/>
      <c r="AU424" s="448"/>
      <c r="AV424" s="448"/>
      <c r="AW424" s="8" t="str">
        <f>IF(C424&gt;0,VLOOKUP(C424,Foundation_Calc!$A$2:$C$986,3,1),
IF(J424&gt;0,VLOOKUP(J424,Foundation_Calc!$A$2:$C$986,3,1),""))</f>
        <v/>
      </c>
      <c r="AX424" s="8" t="str">
        <f>IF(C424&gt;0,VLOOKUP(C424,Foundation_Calc!$E$2:$G$986,3,1),
IF(J424&gt;0,VLOOKUP(J424,Foundation_Calc!$E$2:$G$986,3,1),""))</f>
        <v/>
      </c>
      <c r="AY424" s="631" t="str">
        <f>IF(L424="","",
IF(AX424="PT",VLOOKUP(L424,Foundation_Calc!$K$4:$R$37,VLOOKUP(AW424,Foundation_Calc!$I$2:$J$8,2,FALSE),0),
IF(AX424="K",VLOOKUP(L424,Foundation_Calc!$K$41:$R$74,VLOOKUP(AW424,Foundation_Calc!$I$2:$J$8,2,FALSE),0),"")))</f>
        <v/>
      </c>
      <c r="AZ424" s="631" t="str">
        <f>IF(K424="","",
IF(AX424="PT",VLOOKUP(K424,Foundation_Calc!$K$4:$R$37,VLOOKUP(AW424,Foundation_Calc!$I$2:$J$8,2,FALSE),0),
IF(AX424="K",VLOOKUP(K424,Foundation_Calc!$K$41:$R$74,VLOOKUP(AW424,Foundation_Calc!$I$2:$J$8,2,FALSE),0),"")))</f>
        <v/>
      </c>
      <c r="BA424" s="632" t="str">
        <f t="shared" si="28"/>
        <v/>
      </c>
      <c r="BB424" s="632" t="str">
        <f t="shared" si="29"/>
        <v/>
      </c>
      <c r="BC424" s="632" t="str">
        <f t="shared" si="30"/>
        <v/>
      </c>
      <c r="BD424" s="633" t="str">
        <f>IF(AND(L424="",H424=""),"",
IF(H424="",Pole_Calc!A452,
IF(H424="MP",Pole_Calc!A453,
IF(H424="AnMP",Pole_Calc!A454,
IF(H424="A",Pole_Calc!A455,
IF(H424="S/A",Pole_Calc!A456,
IF(H424="A/S",Pole_Calc!A457,"Poner a mano")))))))</f>
        <v/>
      </c>
      <c r="BE424" s="448" t="s">
        <v>1726</v>
      </c>
      <c r="BF424" s="634"/>
      <c r="BG424" s="634"/>
      <c r="BH424" s="634"/>
      <c r="BI424" s="634"/>
    </row>
    <row r="425" spans="1:61" ht="16.2" customHeight="1">
      <c r="A425" s="12"/>
      <c r="B425" s="446"/>
      <c r="C425" s="89"/>
      <c r="D425" s="13"/>
      <c r="E425" s="14"/>
      <c r="F425" s="14"/>
      <c r="G425" s="15"/>
      <c r="H425" s="8"/>
      <c r="I425" s="8"/>
      <c r="J425" s="89"/>
      <c r="K425" s="8"/>
      <c r="L425" s="8"/>
      <c r="M425" s="8" t="str">
        <f>IF(L425="","",
IF(AX425="PT",VLOOKUP(L425,Foundation_Calc!$V$4:$X$37,VLOOKUP(AX425,Foundation_Calc!$I$10:$J$13,2,FALSE),0),
IF(AX425="K",VLOOKUP(L425,Foundation_Calc!$V$41:$X$74,VLOOKUP(AX425,Foundation_Calc!$I$10:$J$13,2,FALSE),0),"")))</f>
        <v/>
      </c>
      <c r="N425" s="8"/>
      <c r="O425" s="8"/>
      <c r="P425" s="8"/>
      <c r="Q425" s="14"/>
      <c r="R425" s="15"/>
      <c r="S425" s="15"/>
      <c r="T425" s="14"/>
      <c r="U425" s="14"/>
      <c r="V425" s="14"/>
      <c r="W425" s="18"/>
      <c r="X425" s="18"/>
      <c r="Y425" s="18"/>
      <c r="Z425" s="18"/>
      <c r="AA425" s="18"/>
      <c r="AB425" s="18"/>
      <c r="AC425" s="8" t="str">
        <f t="shared" si="27"/>
        <v/>
      </c>
      <c r="AD425" s="8"/>
      <c r="AE425" s="8"/>
      <c r="AF425" s="14"/>
      <c r="AG425" s="13"/>
      <c r="AH425" s="14"/>
      <c r="AI425" s="14"/>
      <c r="AJ425" s="8"/>
      <c r="AK425" s="8"/>
      <c r="AL425" s="8"/>
      <c r="AM425" s="8"/>
      <c r="AN425" s="631"/>
      <c r="AO425" s="18"/>
      <c r="AP425" s="18"/>
      <c r="AQ425" s="18"/>
      <c r="AR425" s="18"/>
      <c r="AS425" s="18"/>
      <c r="AU425" s="448"/>
      <c r="AV425" s="448"/>
      <c r="AW425" s="8" t="str">
        <f>IF(C425&gt;0,VLOOKUP(C425,Foundation_Calc!$A$2:$C$986,3,1),
IF(J425&gt;0,VLOOKUP(J425,Foundation_Calc!$A$2:$C$986,3,1),""))</f>
        <v/>
      </c>
      <c r="AX425" s="8" t="str">
        <f>IF(C425&gt;0,VLOOKUP(C425,Foundation_Calc!$E$2:$G$986,3,1),
IF(J425&gt;0,VLOOKUP(J425,Foundation_Calc!$E$2:$G$986,3,1),""))</f>
        <v/>
      </c>
      <c r="AY425" s="631" t="str">
        <f>IF(L425="","",
IF(AX425="PT",VLOOKUP(L425,Foundation_Calc!$K$4:$R$37,VLOOKUP(AW425,Foundation_Calc!$I$2:$J$8,2,FALSE),0),
IF(AX425="K",VLOOKUP(L425,Foundation_Calc!$K$41:$R$74,VLOOKUP(AW425,Foundation_Calc!$I$2:$J$8,2,FALSE),0),"")))</f>
        <v/>
      </c>
      <c r="AZ425" s="631" t="str">
        <f>IF(K425="","",
IF(AX425="PT",VLOOKUP(K425,Foundation_Calc!$K$4:$R$37,VLOOKUP(AW425,Foundation_Calc!$I$2:$J$8,2,FALSE),0),
IF(AX425="K",VLOOKUP(K425,Foundation_Calc!$K$41:$R$74,VLOOKUP(AW425,Foundation_Calc!$I$2:$J$8,2,FALSE),0),"")))</f>
        <v/>
      </c>
      <c r="BA425" s="632" t="str">
        <f t="shared" si="28"/>
        <v/>
      </c>
      <c r="BB425" s="632" t="str">
        <f t="shared" si="29"/>
        <v/>
      </c>
      <c r="BC425" s="632" t="str">
        <f t="shared" si="30"/>
        <v/>
      </c>
      <c r="BD425" s="633" t="str">
        <f>IF(AND(L425="",H425=""),"",
IF(H425="",Pole_Calc!A453,
IF(H425="MP",Pole_Calc!A454,
IF(H425="AnMP",Pole_Calc!A455,
IF(H425="A",Pole_Calc!A456,
IF(H425="S/A",Pole_Calc!A457,
IF(H425="A/S",Pole_Calc!A458,"Poner a mano")))))))</f>
        <v/>
      </c>
      <c r="BE425" s="448" t="s">
        <v>1726</v>
      </c>
      <c r="BF425" s="635"/>
      <c r="BG425" s="635"/>
      <c r="BH425" s="634"/>
      <c r="BI425" s="635"/>
    </row>
    <row r="426" spans="1:61" ht="16.2" customHeight="1">
      <c r="A426" s="12"/>
      <c r="B426" s="446"/>
      <c r="C426" s="89"/>
      <c r="D426" s="13"/>
      <c r="E426" s="14"/>
      <c r="F426" s="14"/>
      <c r="G426" s="15"/>
      <c r="H426" s="8"/>
      <c r="I426" s="8"/>
      <c r="J426" s="89"/>
      <c r="K426" s="8"/>
      <c r="L426" s="8"/>
      <c r="M426" s="8" t="str">
        <f>IF(L426="","",
IF(AX426="PT",VLOOKUP(L426,Foundation_Calc!$V$4:$X$37,VLOOKUP(AX426,Foundation_Calc!$I$10:$J$13,2,FALSE),0),
IF(AX426="K",VLOOKUP(L426,Foundation_Calc!$V$41:$X$74,VLOOKUP(AX426,Foundation_Calc!$I$10:$J$13,2,FALSE),0),"")))</f>
        <v/>
      </c>
      <c r="N426" s="8"/>
      <c r="O426" s="8"/>
      <c r="P426" s="8"/>
      <c r="Q426" s="14"/>
      <c r="R426" s="15"/>
      <c r="S426" s="15"/>
      <c r="T426" s="14"/>
      <c r="U426" s="14"/>
      <c r="V426" s="14"/>
      <c r="W426" s="18"/>
      <c r="X426" s="18"/>
      <c r="Y426" s="18"/>
      <c r="Z426" s="18"/>
      <c r="AA426" s="18"/>
      <c r="AB426" s="18"/>
      <c r="AC426" s="8" t="str">
        <f t="shared" si="27"/>
        <v/>
      </c>
      <c r="AD426" s="8"/>
      <c r="AE426" s="8"/>
      <c r="AF426" s="14"/>
      <c r="AG426" s="13"/>
      <c r="AH426" s="14"/>
      <c r="AI426" s="14"/>
      <c r="AJ426" s="8"/>
      <c r="AK426" s="8"/>
      <c r="AL426" s="8"/>
      <c r="AM426" s="8"/>
      <c r="AN426" s="631"/>
      <c r="AO426" s="18"/>
      <c r="AP426" s="18"/>
      <c r="AQ426" s="18"/>
      <c r="AR426" s="18"/>
      <c r="AS426" s="18"/>
      <c r="AU426" s="448"/>
      <c r="AV426" s="448"/>
      <c r="AW426" s="8" t="str">
        <f>IF(C426&gt;0,VLOOKUP(C426,Foundation_Calc!$A$2:$C$986,3,1),
IF(J426&gt;0,VLOOKUP(J426,Foundation_Calc!$A$2:$C$986,3,1),""))</f>
        <v/>
      </c>
      <c r="AX426" s="8" t="str">
        <f>IF(C426&gt;0,VLOOKUP(C426,Foundation_Calc!$E$2:$G$986,3,1),
IF(J426&gt;0,VLOOKUP(J426,Foundation_Calc!$E$2:$G$986,3,1),""))</f>
        <v/>
      </c>
      <c r="AY426" s="631" t="str">
        <f>IF(L426="","",
IF(AX426="PT",VLOOKUP(L426,Foundation_Calc!$K$4:$R$37,VLOOKUP(AW426,Foundation_Calc!$I$2:$J$8,2,FALSE),0),
IF(AX426="K",VLOOKUP(L426,Foundation_Calc!$K$41:$R$74,VLOOKUP(AW426,Foundation_Calc!$I$2:$J$8,2,FALSE),0),"")))</f>
        <v/>
      </c>
      <c r="AZ426" s="631" t="str">
        <f>IF(K426="","",
IF(AX426="PT",VLOOKUP(K426,Foundation_Calc!$K$4:$R$37,VLOOKUP(AW426,Foundation_Calc!$I$2:$J$8,2,FALSE),0),
IF(AX426="K",VLOOKUP(K426,Foundation_Calc!$K$41:$R$74,VLOOKUP(AW426,Foundation_Calc!$I$2:$J$8,2,FALSE),0),"")))</f>
        <v/>
      </c>
      <c r="BA426" s="632" t="str">
        <f t="shared" si="28"/>
        <v/>
      </c>
      <c r="BB426" s="632" t="str">
        <f t="shared" si="29"/>
        <v/>
      </c>
      <c r="BC426" s="632" t="str">
        <f t="shared" si="30"/>
        <v/>
      </c>
      <c r="BD426" s="633" t="str">
        <f>IF(AND(L426="",H426=""),"",
IF(H426="",Pole_Calc!A454,
IF(H426="MP",Pole_Calc!A455,
IF(H426="AnMP",Pole_Calc!A456,
IF(H426="A",Pole_Calc!A457,
IF(H426="S/A",Pole_Calc!A458,
IF(H426="A/S",Pole_Calc!A459,"Poner a mano")))))))</f>
        <v/>
      </c>
      <c r="BE426" s="448" t="s">
        <v>1726</v>
      </c>
      <c r="BF426" s="634"/>
      <c r="BG426" s="634"/>
      <c r="BH426" s="634"/>
      <c r="BI426" s="634"/>
    </row>
    <row r="427" spans="1:61" ht="16.2" customHeight="1">
      <c r="A427" s="12"/>
      <c r="B427" s="446"/>
      <c r="C427" s="89"/>
      <c r="D427" s="13"/>
      <c r="E427" s="14"/>
      <c r="F427" s="14"/>
      <c r="G427" s="15"/>
      <c r="H427" s="8"/>
      <c r="I427" s="8"/>
      <c r="J427" s="89"/>
      <c r="K427" s="8"/>
      <c r="L427" s="8"/>
      <c r="M427" s="8" t="str">
        <f>IF(L427="","",
IF(AX427="PT",VLOOKUP(L427,Foundation_Calc!$V$4:$X$37,VLOOKUP(AX427,Foundation_Calc!$I$10:$J$13,2,FALSE),0),
IF(AX427="K",VLOOKUP(L427,Foundation_Calc!$V$41:$X$74,VLOOKUP(AX427,Foundation_Calc!$I$10:$J$13,2,FALSE),0),"")))</f>
        <v/>
      </c>
      <c r="N427" s="8"/>
      <c r="O427" s="8"/>
      <c r="P427" s="8"/>
      <c r="Q427" s="14"/>
      <c r="R427" s="15"/>
      <c r="S427" s="15"/>
      <c r="T427" s="14"/>
      <c r="U427" s="14"/>
      <c r="V427" s="14"/>
      <c r="W427" s="18"/>
      <c r="X427" s="18"/>
      <c r="Y427" s="18"/>
      <c r="Z427" s="18"/>
      <c r="AA427" s="18"/>
      <c r="AB427" s="18"/>
      <c r="AC427" s="8" t="str">
        <f t="shared" si="27"/>
        <v/>
      </c>
      <c r="AD427" s="8"/>
      <c r="AE427" s="8"/>
      <c r="AF427" s="14"/>
      <c r="AG427" s="13"/>
      <c r="AH427" s="14"/>
      <c r="AI427" s="14"/>
      <c r="AJ427" s="8"/>
      <c r="AK427" s="8"/>
      <c r="AL427" s="8"/>
      <c r="AM427" s="8"/>
      <c r="AN427" s="631"/>
      <c r="AO427" s="18"/>
      <c r="AP427" s="18"/>
      <c r="AQ427" s="18"/>
      <c r="AR427" s="18"/>
      <c r="AS427" s="18"/>
      <c r="AU427" s="448"/>
      <c r="AV427" s="448"/>
      <c r="AW427" s="8" t="str">
        <f>IF(C427&gt;0,VLOOKUP(C427,Foundation_Calc!$A$2:$C$986,3,1),
IF(J427&gt;0,VLOOKUP(J427,Foundation_Calc!$A$2:$C$986,3,1),""))</f>
        <v/>
      </c>
      <c r="AX427" s="8" t="str">
        <f>IF(C427&gt;0,VLOOKUP(C427,Foundation_Calc!$E$2:$G$986,3,1),
IF(J427&gt;0,VLOOKUP(J427,Foundation_Calc!$E$2:$G$986,3,1),""))</f>
        <v/>
      </c>
      <c r="AY427" s="631" t="str">
        <f>IF(L427="","",
IF(AX427="PT",VLOOKUP(L427,Foundation_Calc!$K$4:$R$37,VLOOKUP(AW427,Foundation_Calc!$I$2:$J$8,2,FALSE),0),
IF(AX427="K",VLOOKUP(L427,Foundation_Calc!$K$41:$R$74,VLOOKUP(AW427,Foundation_Calc!$I$2:$J$8,2,FALSE),0),"")))</f>
        <v/>
      </c>
      <c r="AZ427" s="631" t="str">
        <f>IF(K427="","",
IF(AX427="PT",VLOOKUP(K427,Foundation_Calc!$K$4:$R$37,VLOOKUP(AW427,Foundation_Calc!$I$2:$J$8,2,FALSE),0),
IF(AX427="K",VLOOKUP(K427,Foundation_Calc!$K$41:$R$74,VLOOKUP(AW427,Foundation_Calc!$I$2:$J$8,2,FALSE),0),"")))</f>
        <v/>
      </c>
      <c r="BA427" s="632" t="str">
        <f t="shared" si="28"/>
        <v/>
      </c>
      <c r="BB427" s="632" t="str">
        <f t="shared" si="29"/>
        <v/>
      </c>
      <c r="BC427" s="632" t="str">
        <f t="shared" si="30"/>
        <v/>
      </c>
      <c r="BD427" s="633" t="str">
        <f>IF(AND(L427="",H427=""),"",
IF(H427="",Pole_Calc!A455,
IF(H427="MP",Pole_Calc!A456,
IF(H427="AnMP",Pole_Calc!A457,
IF(H427="A",Pole_Calc!A458,
IF(H427="S/A",Pole_Calc!A459,
IF(H427="A/S",Pole_Calc!A460,"Poner a mano")))))))</f>
        <v/>
      </c>
      <c r="BE427" s="448" t="s">
        <v>1726</v>
      </c>
      <c r="BF427" s="635"/>
      <c r="BG427" s="635"/>
      <c r="BH427" s="634"/>
      <c r="BI427" s="635"/>
    </row>
    <row r="428" spans="1:61" ht="16.2" customHeight="1">
      <c r="A428" s="12"/>
      <c r="B428" s="446"/>
      <c r="C428" s="89"/>
      <c r="D428" s="13"/>
      <c r="E428" s="14"/>
      <c r="F428" s="14"/>
      <c r="G428" s="15"/>
      <c r="H428" s="8"/>
      <c r="I428" s="8"/>
      <c r="J428" s="89"/>
      <c r="K428" s="8"/>
      <c r="L428" s="8"/>
      <c r="M428" s="8" t="str">
        <f>IF(L428="","",
IF(AX428="PT",VLOOKUP(L428,Foundation_Calc!$V$4:$X$37,VLOOKUP(AX428,Foundation_Calc!$I$10:$J$13,2,FALSE),0),
IF(AX428="K",VLOOKUP(L428,Foundation_Calc!$V$41:$X$74,VLOOKUP(AX428,Foundation_Calc!$I$10:$J$13,2,FALSE),0),"")))</f>
        <v/>
      </c>
      <c r="N428" s="8"/>
      <c r="O428" s="8"/>
      <c r="P428" s="8"/>
      <c r="Q428" s="14"/>
      <c r="R428" s="15"/>
      <c r="S428" s="15"/>
      <c r="T428" s="14"/>
      <c r="U428" s="14"/>
      <c r="V428" s="14"/>
      <c r="W428" s="18"/>
      <c r="X428" s="18"/>
      <c r="Y428" s="18"/>
      <c r="Z428" s="18"/>
      <c r="AA428" s="18"/>
      <c r="AB428" s="18"/>
      <c r="AC428" s="8" t="str">
        <f t="shared" si="27"/>
        <v/>
      </c>
      <c r="AD428" s="8"/>
      <c r="AE428" s="8"/>
      <c r="AF428" s="14"/>
      <c r="AG428" s="13"/>
      <c r="AH428" s="14"/>
      <c r="AI428" s="14"/>
      <c r="AJ428" s="8"/>
      <c r="AK428" s="8"/>
      <c r="AL428" s="8"/>
      <c r="AM428" s="8"/>
      <c r="AN428" s="631"/>
      <c r="AO428" s="18"/>
      <c r="AP428" s="18"/>
      <c r="AQ428" s="18"/>
      <c r="AR428" s="18"/>
      <c r="AS428" s="18"/>
      <c r="AU428" s="448"/>
      <c r="AV428" s="448"/>
      <c r="AW428" s="8" t="str">
        <f>IF(C428&gt;0,VLOOKUP(C428,Foundation_Calc!$A$2:$C$986,3,1),
IF(J428&gt;0,VLOOKUP(J428,Foundation_Calc!$A$2:$C$986,3,1),""))</f>
        <v/>
      </c>
      <c r="AX428" s="8" t="str">
        <f>IF(C428&gt;0,VLOOKUP(C428,Foundation_Calc!$E$2:$G$986,3,1),
IF(J428&gt;0,VLOOKUP(J428,Foundation_Calc!$E$2:$G$986,3,1),""))</f>
        <v/>
      </c>
      <c r="AY428" s="631" t="str">
        <f>IF(L428="","",
IF(AX428="PT",VLOOKUP(L428,Foundation_Calc!$K$4:$R$37,VLOOKUP(AW428,Foundation_Calc!$I$2:$J$8,2,FALSE),0),
IF(AX428="K",VLOOKUP(L428,Foundation_Calc!$K$41:$R$74,VLOOKUP(AW428,Foundation_Calc!$I$2:$J$8,2,FALSE),0),"")))</f>
        <v/>
      </c>
      <c r="AZ428" s="631" t="str">
        <f>IF(K428="","",
IF(AX428="PT",VLOOKUP(K428,Foundation_Calc!$K$4:$R$37,VLOOKUP(AW428,Foundation_Calc!$I$2:$J$8,2,FALSE),0),
IF(AX428="K",VLOOKUP(K428,Foundation_Calc!$K$41:$R$74,VLOOKUP(AW428,Foundation_Calc!$I$2:$J$8,2,FALSE),0),"")))</f>
        <v/>
      </c>
      <c r="BA428" s="632" t="str">
        <f t="shared" si="28"/>
        <v/>
      </c>
      <c r="BB428" s="632" t="str">
        <f t="shared" si="29"/>
        <v/>
      </c>
      <c r="BC428" s="632" t="str">
        <f t="shared" si="30"/>
        <v/>
      </c>
      <c r="BD428" s="633" t="str">
        <f>IF(AND(L428="",H428=""),"",
IF(H428="",Pole_Calc!A456,
IF(H428="MP",Pole_Calc!A457,
IF(H428="AnMP",Pole_Calc!A458,
IF(H428="A",Pole_Calc!A459,
IF(H428="S/A",Pole_Calc!A460,
IF(H428="A/S",Pole_Calc!A461,"Poner a mano")))))))</f>
        <v/>
      </c>
      <c r="BE428" s="448" t="s">
        <v>1726</v>
      </c>
      <c r="BF428" s="634"/>
      <c r="BG428" s="634"/>
      <c r="BH428" s="634"/>
      <c r="BI428" s="634"/>
    </row>
    <row r="429" spans="1:61" ht="16.2" customHeight="1">
      <c r="A429" s="12"/>
      <c r="B429" s="446"/>
      <c r="C429" s="89"/>
      <c r="D429" s="13"/>
      <c r="E429" s="14"/>
      <c r="F429" s="14"/>
      <c r="G429" s="15"/>
      <c r="H429" s="8"/>
      <c r="I429" s="8"/>
      <c r="J429" s="89"/>
      <c r="K429" s="8"/>
      <c r="L429" s="8"/>
      <c r="M429" s="8" t="str">
        <f>IF(L429="","",
IF(AX429="PT",VLOOKUP(L429,Foundation_Calc!$V$4:$X$37,VLOOKUP(AX429,Foundation_Calc!$I$10:$J$13,2,FALSE),0),
IF(AX429="K",VLOOKUP(L429,Foundation_Calc!$V$41:$X$74,VLOOKUP(AX429,Foundation_Calc!$I$10:$J$13,2,FALSE),0),"")))</f>
        <v/>
      </c>
      <c r="N429" s="8"/>
      <c r="O429" s="8"/>
      <c r="P429" s="8"/>
      <c r="Q429" s="14"/>
      <c r="R429" s="15"/>
      <c r="S429" s="15"/>
      <c r="T429" s="14"/>
      <c r="U429" s="14"/>
      <c r="V429" s="14"/>
      <c r="W429" s="18"/>
      <c r="X429" s="18"/>
      <c r="Y429" s="18"/>
      <c r="Z429" s="18"/>
      <c r="AA429" s="18"/>
      <c r="AB429" s="18"/>
      <c r="AC429" s="8" t="str">
        <f t="shared" si="27"/>
        <v/>
      </c>
      <c r="AD429" s="8"/>
      <c r="AE429" s="8"/>
      <c r="AF429" s="14"/>
      <c r="AG429" s="13"/>
      <c r="AH429" s="14"/>
      <c r="AI429" s="14"/>
      <c r="AJ429" s="8"/>
      <c r="AK429" s="8"/>
      <c r="AL429" s="8"/>
      <c r="AM429" s="8"/>
      <c r="AN429" s="631"/>
      <c r="AO429" s="18"/>
      <c r="AP429" s="18"/>
      <c r="AQ429" s="18"/>
      <c r="AR429" s="18"/>
      <c r="AS429" s="18"/>
      <c r="AU429" s="448"/>
      <c r="AV429" s="448"/>
      <c r="AW429" s="8" t="str">
        <f>IF(C429&gt;0,VLOOKUP(C429,Foundation_Calc!$A$2:$C$986,3,1),
IF(J429&gt;0,VLOOKUP(J429,Foundation_Calc!$A$2:$C$986,3,1),""))</f>
        <v/>
      </c>
      <c r="AX429" s="8" t="str">
        <f>IF(C429&gt;0,VLOOKUP(C429,Foundation_Calc!$E$2:$G$986,3,1),
IF(J429&gt;0,VLOOKUP(J429,Foundation_Calc!$E$2:$G$986,3,1),""))</f>
        <v/>
      </c>
      <c r="AY429" s="631" t="str">
        <f>IF(L429="","",
IF(AX429="PT",VLOOKUP(L429,Foundation_Calc!$K$4:$R$37,VLOOKUP(AW429,Foundation_Calc!$I$2:$J$8,2,FALSE),0),
IF(AX429="K",VLOOKUP(L429,Foundation_Calc!$K$41:$R$74,VLOOKUP(AW429,Foundation_Calc!$I$2:$J$8,2,FALSE),0),"")))</f>
        <v/>
      </c>
      <c r="AZ429" s="631" t="str">
        <f>IF(K429="","",
IF(AX429="PT",VLOOKUP(K429,Foundation_Calc!$K$4:$R$37,VLOOKUP(AW429,Foundation_Calc!$I$2:$J$8,2,FALSE),0),
IF(AX429="K",VLOOKUP(K429,Foundation_Calc!$K$41:$R$74,VLOOKUP(AW429,Foundation_Calc!$I$2:$J$8,2,FALSE),0),"")))</f>
        <v/>
      </c>
      <c r="BA429" s="632" t="str">
        <f t="shared" si="28"/>
        <v/>
      </c>
      <c r="BB429" s="632" t="str">
        <f t="shared" si="29"/>
        <v/>
      </c>
      <c r="BC429" s="632" t="str">
        <f t="shared" si="30"/>
        <v/>
      </c>
      <c r="BD429" s="633" t="str">
        <f>IF(AND(L429="",H429=""),"",
IF(H429="",Pole_Calc!A457,
IF(H429="MP",Pole_Calc!A458,
IF(H429="AnMP",Pole_Calc!A459,
IF(H429="A",Pole_Calc!A460,
IF(H429="S/A",Pole_Calc!A461,
IF(H429="A/S",Pole_Calc!A462,"Poner a mano")))))))</f>
        <v/>
      </c>
      <c r="BE429" s="448" t="s">
        <v>1726</v>
      </c>
      <c r="BF429" s="635"/>
      <c r="BG429" s="635"/>
      <c r="BH429" s="634"/>
      <c r="BI429" s="635"/>
    </row>
    <row r="430" spans="1:61" ht="16.2" customHeight="1">
      <c r="A430" s="12"/>
      <c r="B430" s="446"/>
      <c r="C430" s="89"/>
      <c r="D430" s="13"/>
      <c r="E430" s="14"/>
      <c r="F430" s="14"/>
      <c r="G430" s="15"/>
      <c r="H430" s="8"/>
      <c r="I430" s="8"/>
      <c r="J430" s="89"/>
      <c r="K430" s="8"/>
      <c r="L430" s="8"/>
      <c r="M430" s="8" t="str">
        <f>IF(L430="","",
IF(AX430="PT",VLOOKUP(L430,Foundation_Calc!$V$4:$X$37,VLOOKUP(AX430,Foundation_Calc!$I$10:$J$13,2,FALSE),0),
IF(AX430="K",VLOOKUP(L430,Foundation_Calc!$V$41:$X$74,VLOOKUP(AX430,Foundation_Calc!$I$10:$J$13,2,FALSE),0),"")))</f>
        <v/>
      </c>
      <c r="N430" s="8"/>
      <c r="O430" s="8"/>
      <c r="P430" s="8"/>
      <c r="Q430" s="14"/>
      <c r="R430" s="15"/>
      <c r="S430" s="15"/>
      <c r="T430" s="14"/>
      <c r="U430" s="14"/>
      <c r="V430" s="14"/>
      <c r="W430" s="18"/>
      <c r="X430" s="18"/>
      <c r="Y430" s="18"/>
      <c r="Z430" s="18"/>
      <c r="AA430" s="18"/>
      <c r="AB430" s="18"/>
      <c r="AC430" s="8" t="str">
        <f t="shared" si="27"/>
        <v/>
      </c>
      <c r="AD430" s="8"/>
      <c r="AE430" s="8"/>
      <c r="AF430" s="14"/>
      <c r="AG430" s="13"/>
      <c r="AH430" s="14"/>
      <c r="AI430" s="14"/>
      <c r="AJ430" s="8"/>
      <c r="AK430" s="8"/>
      <c r="AL430" s="8"/>
      <c r="AM430" s="8"/>
      <c r="AN430" s="631"/>
      <c r="AO430" s="18"/>
      <c r="AP430" s="18"/>
      <c r="AQ430" s="18"/>
      <c r="AR430" s="18"/>
      <c r="AS430" s="18"/>
      <c r="AU430" s="448"/>
      <c r="AV430" s="448"/>
      <c r="AW430" s="8" t="str">
        <f>IF(C430&gt;0,VLOOKUP(C430,Foundation_Calc!$A$2:$C$986,3,1),
IF(J430&gt;0,VLOOKUP(J430,Foundation_Calc!$A$2:$C$986,3,1),""))</f>
        <v/>
      </c>
      <c r="AX430" s="8" t="str">
        <f>IF(C430&gt;0,VLOOKUP(C430,Foundation_Calc!$E$2:$G$986,3,1),
IF(J430&gt;0,VLOOKUP(J430,Foundation_Calc!$E$2:$G$986,3,1),""))</f>
        <v/>
      </c>
      <c r="AY430" s="631" t="str">
        <f>IF(L430="","",
IF(AX430="PT",VLOOKUP(L430,Foundation_Calc!$K$4:$R$37,VLOOKUP(AW430,Foundation_Calc!$I$2:$J$8,2,FALSE),0),
IF(AX430="K",VLOOKUP(L430,Foundation_Calc!$K$41:$R$74,VLOOKUP(AW430,Foundation_Calc!$I$2:$J$8,2,FALSE),0),"")))</f>
        <v/>
      </c>
      <c r="AZ430" s="631" t="str">
        <f>IF(K430="","",
IF(AX430="PT",VLOOKUP(K430,Foundation_Calc!$K$4:$R$37,VLOOKUP(AW430,Foundation_Calc!$I$2:$J$8,2,FALSE),0),
IF(AX430="K",VLOOKUP(K430,Foundation_Calc!$K$41:$R$74,VLOOKUP(AW430,Foundation_Calc!$I$2:$J$8,2,FALSE),0),"")))</f>
        <v/>
      </c>
      <c r="BA430" s="632" t="str">
        <f t="shared" si="28"/>
        <v/>
      </c>
      <c r="BB430" s="632" t="str">
        <f t="shared" si="29"/>
        <v/>
      </c>
      <c r="BC430" s="632" t="str">
        <f t="shared" si="30"/>
        <v/>
      </c>
      <c r="BD430" s="633" t="str">
        <f>IF(AND(L430="",H430=""),"",
IF(H430="",Pole_Calc!A458,
IF(H430="MP",Pole_Calc!A459,
IF(H430="AnMP",Pole_Calc!A460,
IF(H430="A",Pole_Calc!A461,
IF(H430="S/A",Pole_Calc!A462,
IF(H430="A/S",Pole_Calc!A463,"Poner a mano")))))))</f>
        <v/>
      </c>
      <c r="BE430" s="448" t="s">
        <v>1726</v>
      </c>
      <c r="BF430" s="634"/>
      <c r="BG430" s="634"/>
      <c r="BH430" s="634"/>
      <c r="BI430" s="634"/>
    </row>
    <row r="431" spans="1:61" ht="16.2" customHeight="1">
      <c r="A431" s="12"/>
      <c r="B431" s="446"/>
      <c r="C431" s="89"/>
      <c r="D431" s="13"/>
      <c r="E431" s="14"/>
      <c r="F431" s="14"/>
      <c r="G431" s="15"/>
      <c r="H431" s="8"/>
      <c r="I431" s="8"/>
      <c r="J431" s="89"/>
      <c r="K431" s="8"/>
      <c r="L431" s="8"/>
      <c r="M431" s="8" t="str">
        <f>IF(L431="","",
IF(AX431="PT",VLOOKUP(L431,Foundation_Calc!$V$4:$X$37,VLOOKUP(AX431,Foundation_Calc!$I$10:$J$13,2,FALSE),0),
IF(AX431="K",VLOOKUP(L431,Foundation_Calc!$V$41:$X$74,VLOOKUP(AX431,Foundation_Calc!$I$10:$J$13,2,FALSE),0),"")))</f>
        <v/>
      </c>
      <c r="N431" s="8"/>
      <c r="O431" s="8"/>
      <c r="P431" s="8"/>
      <c r="Q431" s="14"/>
      <c r="R431" s="15"/>
      <c r="S431" s="15"/>
      <c r="T431" s="14"/>
      <c r="U431" s="14"/>
      <c r="V431" s="14"/>
      <c r="W431" s="18"/>
      <c r="X431" s="18"/>
      <c r="Y431" s="18"/>
      <c r="Z431" s="18"/>
      <c r="AA431" s="18"/>
      <c r="AB431" s="18"/>
      <c r="AC431" s="8" t="str">
        <f t="shared" si="27"/>
        <v/>
      </c>
      <c r="AD431" s="8"/>
      <c r="AE431" s="8"/>
      <c r="AF431" s="14"/>
      <c r="AG431" s="13"/>
      <c r="AH431" s="14"/>
      <c r="AI431" s="14"/>
      <c r="AJ431" s="8"/>
      <c r="AK431" s="8"/>
      <c r="AL431" s="8"/>
      <c r="AM431" s="8"/>
      <c r="AN431" s="631"/>
      <c r="AO431" s="18"/>
      <c r="AP431" s="18"/>
      <c r="AQ431" s="18"/>
      <c r="AR431" s="18"/>
      <c r="AS431" s="18"/>
      <c r="AU431" s="448"/>
      <c r="AV431" s="448"/>
      <c r="AW431" s="8" t="str">
        <f>IF(C431&gt;0,VLOOKUP(C431,Foundation_Calc!$A$2:$C$986,3,1),
IF(J431&gt;0,VLOOKUP(J431,Foundation_Calc!$A$2:$C$986,3,1),""))</f>
        <v/>
      </c>
      <c r="AX431" s="8" t="str">
        <f>IF(C431&gt;0,VLOOKUP(C431,Foundation_Calc!$E$2:$G$986,3,1),
IF(J431&gt;0,VLOOKUP(J431,Foundation_Calc!$E$2:$G$986,3,1),""))</f>
        <v/>
      </c>
      <c r="AY431" s="631" t="str">
        <f>IF(L431="","",
IF(AX431="PT",VLOOKUP(L431,Foundation_Calc!$K$4:$R$37,VLOOKUP(AW431,Foundation_Calc!$I$2:$J$8,2,FALSE),0),
IF(AX431="K",VLOOKUP(L431,Foundation_Calc!$K$41:$R$74,VLOOKUP(AW431,Foundation_Calc!$I$2:$J$8,2,FALSE),0),"")))</f>
        <v/>
      </c>
      <c r="AZ431" s="631" t="str">
        <f>IF(K431="","",
IF(AX431="PT",VLOOKUP(K431,Foundation_Calc!$K$4:$R$37,VLOOKUP(AW431,Foundation_Calc!$I$2:$J$8,2,FALSE),0),
IF(AX431="K",VLOOKUP(K431,Foundation_Calc!$K$41:$R$74,VLOOKUP(AW431,Foundation_Calc!$I$2:$J$8,2,FALSE),0),"")))</f>
        <v/>
      </c>
      <c r="BA431" s="632" t="str">
        <f t="shared" si="28"/>
        <v/>
      </c>
      <c r="BB431" s="632" t="str">
        <f t="shared" si="29"/>
        <v/>
      </c>
      <c r="BC431" s="632" t="str">
        <f t="shared" si="30"/>
        <v/>
      </c>
      <c r="BD431" s="633" t="str">
        <f>IF(AND(L431="",H431=""),"",
IF(H431="",Pole_Calc!A459,
IF(H431="MP",Pole_Calc!A460,
IF(H431="AnMP",Pole_Calc!A461,
IF(H431="A",Pole_Calc!A462,
IF(H431="S/A",Pole_Calc!A463,
IF(H431="A/S",Pole_Calc!A464,"Poner a mano")))))))</f>
        <v/>
      </c>
      <c r="BE431" s="448" t="s">
        <v>1726</v>
      </c>
      <c r="BF431" s="635"/>
      <c r="BG431" s="635"/>
      <c r="BH431" s="634"/>
      <c r="BI431" s="635"/>
    </row>
    <row r="432" spans="1:61" ht="16.2" customHeight="1">
      <c r="A432" s="12"/>
      <c r="B432" s="446"/>
      <c r="C432" s="89"/>
      <c r="D432" s="13"/>
      <c r="E432" s="14"/>
      <c r="F432" s="14"/>
      <c r="G432" s="15"/>
      <c r="H432" s="8"/>
      <c r="I432" s="8"/>
      <c r="J432" s="89"/>
      <c r="K432" s="8"/>
      <c r="L432" s="8"/>
      <c r="M432" s="8" t="str">
        <f>IF(L432="","",
IF(AX432="PT",VLOOKUP(L432,Foundation_Calc!$V$4:$X$37,VLOOKUP(AX432,Foundation_Calc!$I$10:$J$13,2,FALSE),0),
IF(AX432="K",VLOOKUP(L432,Foundation_Calc!$V$41:$X$74,VLOOKUP(AX432,Foundation_Calc!$I$10:$J$13,2,FALSE),0),"")))</f>
        <v/>
      </c>
      <c r="N432" s="8"/>
      <c r="O432" s="8"/>
      <c r="P432" s="8"/>
      <c r="Q432" s="14"/>
      <c r="R432" s="15"/>
      <c r="S432" s="15"/>
      <c r="T432" s="14"/>
      <c r="U432" s="14"/>
      <c r="V432" s="14"/>
      <c r="W432" s="18"/>
      <c r="X432" s="18"/>
      <c r="Y432" s="18"/>
      <c r="Z432" s="18"/>
      <c r="AA432" s="18"/>
      <c r="AB432" s="18"/>
      <c r="AC432" s="8" t="str">
        <f t="shared" si="27"/>
        <v/>
      </c>
      <c r="AD432" s="8"/>
      <c r="AE432" s="8"/>
      <c r="AF432" s="14"/>
      <c r="AG432" s="13"/>
      <c r="AH432" s="14"/>
      <c r="AI432" s="14"/>
      <c r="AJ432" s="8"/>
      <c r="AK432" s="8"/>
      <c r="AL432" s="8"/>
      <c r="AM432" s="8"/>
      <c r="AN432" s="631"/>
      <c r="AO432" s="18"/>
      <c r="AP432" s="18"/>
      <c r="AQ432" s="18"/>
      <c r="AR432" s="18"/>
      <c r="AS432" s="18"/>
      <c r="AU432" s="448"/>
      <c r="AV432" s="448"/>
      <c r="AW432" s="8" t="str">
        <f>IF(C432&gt;0,VLOOKUP(C432,Foundation_Calc!$A$2:$C$986,3,1),
IF(J432&gt;0,VLOOKUP(J432,Foundation_Calc!$A$2:$C$986,3,1),""))</f>
        <v/>
      </c>
      <c r="AX432" s="8" t="str">
        <f>IF(C432&gt;0,VLOOKUP(C432,Foundation_Calc!$E$2:$G$986,3,1),
IF(J432&gt;0,VLOOKUP(J432,Foundation_Calc!$E$2:$G$986,3,1),""))</f>
        <v/>
      </c>
      <c r="AY432" s="631" t="str">
        <f>IF(L432="","",
IF(AX432="PT",VLOOKUP(L432,Foundation_Calc!$K$4:$R$37,VLOOKUP(AW432,Foundation_Calc!$I$2:$J$8,2,FALSE),0),
IF(AX432="K",VLOOKUP(L432,Foundation_Calc!$K$41:$R$74,VLOOKUP(AW432,Foundation_Calc!$I$2:$J$8,2,FALSE),0),"")))</f>
        <v/>
      </c>
      <c r="AZ432" s="631" t="str">
        <f>IF(K432="","",
IF(AX432="PT",VLOOKUP(K432,Foundation_Calc!$K$4:$R$37,VLOOKUP(AW432,Foundation_Calc!$I$2:$J$8,2,FALSE),0),
IF(AX432="K",VLOOKUP(K432,Foundation_Calc!$K$41:$R$74,VLOOKUP(AW432,Foundation_Calc!$I$2:$J$8,2,FALSE),0),"")))</f>
        <v/>
      </c>
      <c r="BA432" s="632" t="str">
        <f t="shared" si="28"/>
        <v/>
      </c>
      <c r="BB432" s="632" t="str">
        <f t="shared" si="29"/>
        <v/>
      </c>
      <c r="BC432" s="632" t="str">
        <f t="shared" si="30"/>
        <v/>
      </c>
      <c r="BD432" s="633" t="str">
        <f>IF(AND(L432="",H432=""),"",
IF(H432="",Pole_Calc!A460,
IF(H432="MP",Pole_Calc!A461,
IF(H432="AnMP",Pole_Calc!A462,
IF(H432="A",Pole_Calc!A463,
IF(H432="S/A",Pole_Calc!A464,
IF(H432="A/S",Pole_Calc!A465,"Poner a mano")))))))</f>
        <v/>
      </c>
      <c r="BE432" s="448" t="s">
        <v>1726</v>
      </c>
      <c r="BF432" s="634"/>
      <c r="BG432" s="634"/>
      <c r="BH432" s="634"/>
      <c r="BI432" s="634"/>
    </row>
    <row r="433" spans="1:61" ht="16.2" customHeight="1">
      <c r="A433" s="12"/>
      <c r="B433" s="446"/>
      <c r="C433" s="89"/>
      <c r="D433" s="13"/>
      <c r="E433" s="14"/>
      <c r="F433" s="14"/>
      <c r="G433" s="15"/>
      <c r="H433" s="8"/>
      <c r="I433" s="8"/>
      <c r="J433" s="89"/>
      <c r="K433" s="8"/>
      <c r="L433" s="8"/>
      <c r="M433" s="8" t="str">
        <f>IF(L433="","",
IF(AX433="PT",VLOOKUP(L433,Foundation_Calc!$V$4:$X$37,VLOOKUP(AX433,Foundation_Calc!$I$10:$J$13,2,FALSE),0),
IF(AX433="K",VLOOKUP(L433,Foundation_Calc!$V$41:$X$74,VLOOKUP(AX433,Foundation_Calc!$I$10:$J$13,2,FALSE),0),"")))</f>
        <v/>
      </c>
      <c r="N433" s="8"/>
      <c r="O433" s="8"/>
      <c r="P433" s="8"/>
      <c r="Q433" s="14"/>
      <c r="R433" s="15"/>
      <c r="S433" s="15"/>
      <c r="T433" s="14"/>
      <c r="U433" s="14"/>
      <c r="V433" s="14"/>
      <c r="W433" s="18"/>
      <c r="X433" s="18"/>
      <c r="Y433" s="18"/>
      <c r="Z433" s="18"/>
      <c r="AA433" s="18"/>
      <c r="AB433" s="18"/>
      <c r="AC433" s="8" t="str">
        <f t="shared" si="27"/>
        <v/>
      </c>
      <c r="AD433" s="8"/>
      <c r="AE433" s="8"/>
      <c r="AF433" s="14"/>
      <c r="AG433" s="13"/>
      <c r="AH433" s="14"/>
      <c r="AI433" s="14"/>
      <c r="AJ433" s="8"/>
      <c r="AK433" s="8"/>
      <c r="AL433" s="8"/>
      <c r="AM433" s="8"/>
      <c r="AN433" s="631"/>
      <c r="AO433" s="18"/>
      <c r="AP433" s="18"/>
      <c r="AQ433" s="18"/>
      <c r="AR433" s="18"/>
      <c r="AS433" s="18"/>
      <c r="AU433" s="448"/>
      <c r="AV433" s="448"/>
      <c r="AW433" s="8" t="str">
        <f>IF(C433&gt;0,VLOOKUP(C433,Foundation_Calc!$A$2:$C$986,3,1),
IF(J433&gt;0,VLOOKUP(J433,Foundation_Calc!$A$2:$C$986,3,1),""))</f>
        <v/>
      </c>
      <c r="AX433" s="8" t="str">
        <f>IF(C433&gt;0,VLOOKUP(C433,Foundation_Calc!$E$2:$G$986,3,1),
IF(J433&gt;0,VLOOKUP(J433,Foundation_Calc!$E$2:$G$986,3,1),""))</f>
        <v/>
      </c>
      <c r="AY433" s="631" t="str">
        <f>IF(L433="","",
IF(AX433="PT",VLOOKUP(L433,Foundation_Calc!$K$4:$R$37,VLOOKUP(AW433,Foundation_Calc!$I$2:$J$8,2,FALSE),0),
IF(AX433="K",VLOOKUP(L433,Foundation_Calc!$K$41:$R$74,VLOOKUP(AW433,Foundation_Calc!$I$2:$J$8,2,FALSE),0),"")))</f>
        <v/>
      </c>
      <c r="AZ433" s="631" t="str">
        <f>IF(K433="","",
IF(AX433="PT",VLOOKUP(K433,Foundation_Calc!$K$4:$R$37,VLOOKUP(AW433,Foundation_Calc!$I$2:$J$8,2,FALSE),0),
IF(AX433="K",VLOOKUP(K433,Foundation_Calc!$K$41:$R$74,VLOOKUP(AW433,Foundation_Calc!$I$2:$J$8,2,FALSE),0),"")))</f>
        <v/>
      </c>
      <c r="BA433" s="632" t="str">
        <f t="shared" si="28"/>
        <v/>
      </c>
      <c r="BB433" s="632" t="str">
        <f t="shared" si="29"/>
        <v/>
      </c>
      <c r="BC433" s="632" t="str">
        <f t="shared" si="30"/>
        <v/>
      </c>
      <c r="BD433" s="633" t="str">
        <f>IF(AND(L433="",H433=""),"",
IF(H433="",Pole_Calc!A461,
IF(H433="MP",Pole_Calc!A462,
IF(H433="AnMP",Pole_Calc!A463,
IF(H433="A",Pole_Calc!A464,
IF(H433="S/A",Pole_Calc!A465,
IF(H433="A/S",Pole_Calc!A466,"Poner a mano")))))))</f>
        <v/>
      </c>
      <c r="BE433" s="448" t="s">
        <v>1726</v>
      </c>
      <c r="BF433" s="635"/>
      <c r="BG433" s="635"/>
      <c r="BH433" s="634"/>
      <c r="BI433" s="635"/>
    </row>
    <row r="434" spans="1:61" ht="16.2" customHeight="1">
      <c r="A434" s="12"/>
      <c r="B434" s="446"/>
      <c r="C434" s="89"/>
      <c r="D434" s="13"/>
      <c r="E434" s="14"/>
      <c r="F434" s="14"/>
      <c r="G434" s="15"/>
      <c r="H434" s="8"/>
      <c r="I434" s="8"/>
      <c r="J434" s="89"/>
      <c r="K434" s="8"/>
      <c r="L434" s="8"/>
      <c r="M434" s="8" t="str">
        <f>IF(L434="","",
IF(AX434="PT",VLOOKUP(L434,Foundation_Calc!$V$4:$X$37,VLOOKUP(AX434,Foundation_Calc!$I$10:$J$13,2,FALSE),0),
IF(AX434="K",VLOOKUP(L434,Foundation_Calc!$V$41:$X$74,VLOOKUP(AX434,Foundation_Calc!$I$10:$J$13,2,FALSE),0),"")))</f>
        <v/>
      </c>
      <c r="N434" s="8"/>
      <c r="O434" s="8"/>
      <c r="P434" s="8"/>
      <c r="Q434" s="14"/>
      <c r="R434" s="15"/>
      <c r="S434" s="15"/>
      <c r="T434" s="14"/>
      <c r="U434" s="14"/>
      <c r="V434" s="14"/>
      <c r="W434" s="18"/>
      <c r="X434" s="18"/>
      <c r="Y434" s="18"/>
      <c r="Z434" s="18"/>
      <c r="AA434" s="18"/>
      <c r="AB434" s="18"/>
      <c r="AC434" s="8" t="str">
        <f t="shared" si="27"/>
        <v/>
      </c>
      <c r="AD434" s="8"/>
      <c r="AE434" s="8"/>
      <c r="AF434" s="14"/>
      <c r="AG434" s="13"/>
      <c r="AH434" s="14"/>
      <c r="AI434" s="14"/>
      <c r="AJ434" s="8"/>
      <c r="AK434" s="8"/>
      <c r="AL434" s="8"/>
      <c r="AM434" s="8"/>
      <c r="AN434" s="631"/>
      <c r="AO434" s="18"/>
      <c r="AP434" s="18"/>
      <c r="AQ434" s="18"/>
      <c r="AR434" s="18"/>
      <c r="AS434" s="18"/>
      <c r="AU434" s="448"/>
      <c r="AV434" s="448"/>
      <c r="AW434" s="8" t="str">
        <f>IF(C434&gt;0,VLOOKUP(C434,Foundation_Calc!$A$2:$C$986,3,1),
IF(J434&gt;0,VLOOKUP(J434,Foundation_Calc!$A$2:$C$986,3,1),""))</f>
        <v/>
      </c>
      <c r="AX434" s="8" t="str">
        <f>IF(C434&gt;0,VLOOKUP(C434,Foundation_Calc!$E$2:$G$986,3,1),
IF(J434&gt;0,VLOOKUP(J434,Foundation_Calc!$E$2:$G$986,3,1),""))</f>
        <v/>
      </c>
      <c r="AY434" s="631" t="str">
        <f>IF(L434="","",
IF(AX434="PT",VLOOKUP(L434,Foundation_Calc!$K$4:$R$37,VLOOKUP(AW434,Foundation_Calc!$I$2:$J$8,2,FALSE),0),
IF(AX434="K",VLOOKUP(L434,Foundation_Calc!$K$41:$R$74,VLOOKUP(AW434,Foundation_Calc!$I$2:$J$8,2,FALSE),0),"")))</f>
        <v/>
      </c>
      <c r="AZ434" s="631" t="str">
        <f>IF(K434="","",
IF(AX434="PT",VLOOKUP(K434,Foundation_Calc!$K$4:$R$37,VLOOKUP(AW434,Foundation_Calc!$I$2:$J$8,2,FALSE),0),
IF(AX434="K",VLOOKUP(K434,Foundation_Calc!$K$41:$R$74,VLOOKUP(AW434,Foundation_Calc!$I$2:$J$8,2,FALSE),0),"")))</f>
        <v/>
      </c>
      <c r="BA434" s="632" t="str">
        <f t="shared" si="28"/>
        <v/>
      </c>
      <c r="BB434" s="632" t="str">
        <f t="shared" si="29"/>
        <v/>
      </c>
      <c r="BC434" s="632" t="str">
        <f t="shared" si="30"/>
        <v/>
      </c>
      <c r="BD434" s="633" t="str">
        <f>IF(AND(L434="",H434=""),"",
IF(H434="",Pole_Calc!A462,
IF(H434="MP",Pole_Calc!A463,
IF(H434="AnMP",Pole_Calc!A464,
IF(H434="A",Pole_Calc!A465,
IF(H434="S/A",Pole_Calc!A466,
IF(H434="A/S",Pole_Calc!A467,"Poner a mano")))))))</f>
        <v/>
      </c>
      <c r="BE434" s="448" t="s">
        <v>1726</v>
      </c>
      <c r="BF434" s="634"/>
      <c r="BG434" s="634"/>
      <c r="BH434" s="634"/>
      <c r="BI434" s="634"/>
    </row>
    <row r="435" spans="1:61" ht="16.2" customHeight="1">
      <c r="A435" s="12"/>
      <c r="B435" s="446"/>
      <c r="C435" s="89"/>
      <c r="D435" s="13"/>
      <c r="E435" s="14"/>
      <c r="F435" s="14"/>
      <c r="G435" s="15"/>
      <c r="H435" s="8"/>
      <c r="I435" s="8"/>
      <c r="J435" s="89"/>
      <c r="K435" s="8"/>
      <c r="L435" s="8"/>
      <c r="M435" s="8" t="str">
        <f>IF(L435="","",
IF(AX435="PT",VLOOKUP(L435,Foundation_Calc!$V$4:$X$37,VLOOKUP(AX435,Foundation_Calc!$I$10:$J$13,2,FALSE),0),
IF(AX435="K",VLOOKUP(L435,Foundation_Calc!$V$41:$X$74,VLOOKUP(AX435,Foundation_Calc!$I$10:$J$13,2,FALSE),0),"")))</f>
        <v/>
      </c>
      <c r="N435" s="8"/>
      <c r="O435" s="8"/>
      <c r="P435" s="8"/>
      <c r="Q435" s="14"/>
      <c r="R435" s="15"/>
      <c r="S435" s="15"/>
      <c r="T435" s="14"/>
      <c r="U435" s="14"/>
      <c r="V435" s="14"/>
      <c r="W435" s="18"/>
      <c r="X435" s="18"/>
      <c r="Y435" s="18"/>
      <c r="Z435" s="18"/>
      <c r="AA435" s="18"/>
      <c r="AB435" s="18"/>
      <c r="AC435" s="8" t="str">
        <f t="shared" si="27"/>
        <v/>
      </c>
      <c r="AD435" s="8"/>
      <c r="AE435" s="8"/>
      <c r="AF435" s="14"/>
      <c r="AG435" s="13"/>
      <c r="AH435" s="14"/>
      <c r="AI435" s="14"/>
      <c r="AJ435" s="8"/>
      <c r="AK435" s="8"/>
      <c r="AL435" s="8"/>
      <c r="AM435" s="8"/>
      <c r="AN435" s="631"/>
      <c r="AO435" s="18"/>
      <c r="AP435" s="18"/>
      <c r="AQ435" s="18"/>
      <c r="AR435" s="18"/>
      <c r="AS435" s="18"/>
      <c r="AU435" s="448"/>
      <c r="AV435" s="448"/>
      <c r="AW435" s="8" t="str">
        <f>IF(C435&gt;0,VLOOKUP(C435,Foundation_Calc!$A$2:$C$986,3,1),
IF(J435&gt;0,VLOOKUP(J435,Foundation_Calc!$A$2:$C$986,3,1),""))</f>
        <v/>
      </c>
      <c r="AX435" s="8" t="str">
        <f>IF(C435&gt;0,VLOOKUP(C435,Foundation_Calc!$E$2:$G$986,3,1),
IF(J435&gt;0,VLOOKUP(J435,Foundation_Calc!$E$2:$G$986,3,1),""))</f>
        <v/>
      </c>
      <c r="AY435" s="631" t="str">
        <f>IF(L435="","",
IF(AX435="PT",VLOOKUP(L435,Foundation_Calc!$K$4:$R$37,VLOOKUP(AW435,Foundation_Calc!$I$2:$J$8,2,FALSE),0),
IF(AX435="K",VLOOKUP(L435,Foundation_Calc!$K$41:$R$74,VLOOKUP(AW435,Foundation_Calc!$I$2:$J$8,2,FALSE),0),"")))</f>
        <v/>
      </c>
      <c r="AZ435" s="631" t="str">
        <f>IF(K435="","",
IF(AX435="PT",VLOOKUP(K435,Foundation_Calc!$K$4:$R$37,VLOOKUP(AW435,Foundation_Calc!$I$2:$J$8,2,FALSE),0),
IF(AX435="K",VLOOKUP(K435,Foundation_Calc!$K$41:$R$74,VLOOKUP(AW435,Foundation_Calc!$I$2:$J$8,2,FALSE),0),"")))</f>
        <v/>
      </c>
      <c r="BA435" s="632" t="str">
        <f t="shared" si="28"/>
        <v/>
      </c>
      <c r="BB435" s="632" t="str">
        <f t="shared" si="29"/>
        <v/>
      </c>
      <c r="BC435" s="632" t="str">
        <f t="shared" si="30"/>
        <v/>
      </c>
      <c r="BD435" s="633" t="str">
        <f>IF(AND(L435="",H435=""),"",
IF(H435="",Pole_Calc!A463,
IF(H435="MP",Pole_Calc!A464,
IF(H435="AnMP",Pole_Calc!A465,
IF(H435="A",Pole_Calc!A466,
IF(H435="S/A",Pole_Calc!A467,
IF(H435="A/S",Pole_Calc!A468,"Poner a mano")))))))</f>
        <v/>
      </c>
      <c r="BE435" s="448" t="s">
        <v>1726</v>
      </c>
      <c r="BF435" s="635"/>
      <c r="BG435" s="635"/>
      <c r="BH435" s="634"/>
      <c r="BI435" s="635"/>
    </row>
    <row r="436" spans="1:61" ht="16.2" customHeight="1">
      <c r="A436" s="12"/>
      <c r="B436" s="446"/>
      <c r="C436" s="89"/>
      <c r="D436" s="13"/>
      <c r="E436" s="14"/>
      <c r="F436" s="14"/>
      <c r="G436" s="15"/>
      <c r="H436" s="8"/>
      <c r="I436" s="8"/>
      <c r="J436" s="89"/>
      <c r="K436" s="8"/>
      <c r="L436" s="8"/>
      <c r="M436" s="8" t="str">
        <f>IF(L436="","",
IF(AX436="PT",VLOOKUP(L436,Foundation_Calc!$V$4:$X$37,VLOOKUP(AX436,Foundation_Calc!$I$10:$J$13,2,FALSE),0),
IF(AX436="K",VLOOKUP(L436,Foundation_Calc!$V$41:$X$74,VLOOKUP(AX436,Foundation_Calc!$I$10:$J$13,2,FALSE),0),"")))</f>
        <v/>
      </c>
      <c r="N436" s="8"/>
      <c r="O436" s="8"/>
      <c r="P436" s="8"/>
      <c r="Q436" s="14"/>
      <c r="R436" s="15"/>
      <c r="S436" s="15"/>
      <c r="T436" s="14"/>
      <c r="U436" s="14"/>
      <c r="V436" s="14"/>
      <c r="W436" s="18"/>
      <c r="X436" s="18"/>
      <c r="Y436" s="18"/>
      <c r="Z436" s="18"/>
      <c r="AA436" s="18"/>
      <c r="AB436" s="18"/>
      <c r="AC436" s="8" t="str">
        <f t="shared" si="27"/>
        <v/>
      </c>
      <c r="AD436" s="8"/>
      <c r="AE436" s="8"/>
      <c r="AF436" s="14"/>
      <c r="AG436" s="13"/>
      <c r="AH436" s="14"/>
      <c r="AI436" s="14"/>
      <c r="AJ436" s="8"/>
      <c r="AK436" s="8"/>
      <c r="AL436" s="8"/>
      <c r="AM436" s="8"/>
      <c r="AN436" s="631"/>
      <c r="AO436" s="18"/>
      <c r="AP436" s="18"/>
      <c r="AQ436" s="18"/>
      <c r="AR436" s="18"/>
      <c r="AS436" s="18"/>
      <c r="AU436" s="448"/>
      <c r="AV436" s="448"/>
      <c r="AW436" s="8" t="str">
        <f>IF(C436&gt;0,VLOOKUP(C436,Foundation_Calc!$A$2:$C$986,3,1),
IF(J436&gt;0,VLOOKUP(J436,Foundation_Calc!$A$2:$C$986,3,1),""))</f>
        <v/>
      </c>
      <c r="AX436" s="8" t="str">
        <f>IF(C436&gt;0,VLOOKUP(C436,Foundation_Calc!$E$2:$G$986,3,1),
IF(J436&gt;0,VLOOKUP(J436,Foundation_Calc!$E$2:$G$986,3,1),""))</f>
        <v/>
      </c>
      <c r="AY436" s="631" t="str">
        <f>IF(L436="","",
IF(AX436="PT",VLOOKUP(L436,Foundation_Calc!$K$4:$R$37,VLOOKUP(AW436,Foundation_Calc!$I$2:$J$8,2,FALSE),0),
IF(AX436="K",VLOOKUP(L436,Foundation_Calc!$K$41:$R$74,VLOOKUP(AW436,Foundation_Calc!$I$2:$J$8,2,FALSE),0),"")))</f>
        <v/>
      </c>
      <c r="AZ436" s="631" t="str">
        <f>IF(K436="","",
IF(AX436="PT",VLOOKUP(K436,Foundation_Calc!$K$4:$R$37,VLOOKUP(AW436,Foundation_Calc!$I$2:$J$8,2,FALSE),0),
IF(AX436="K",VLOOKUP(K436,Foundation_Calc!$K$41:$R$74,VLOOKUP(AW436,Foundation_Calc!$I$2:$J$8,2,FALSE),0),"")))</f>
        <v/>
      </c>
      <c r="BA436" s="632" t="str">
        <f t="shared" si="28"/>
        <v/>
      </c>
      <c r="BB436" s="632" t="str">
        <f t="shared" si="29"/>
        <v/>
      </c>
      <c r="BC436" s="632" t="str">
        <f t="shared" si="30"/>
        <v/>
      </c>
      <c r="BD436" s="633" t="str">
        <f>IF(AND(L436="",H436=""),"",
IF(H436="",Pole_Calc!A464,
IF(H436="MP",Pole_Calc!A465,
IF(H436="AnMP",Pole_Calc!A466,
IF(H436="A",Pole_Calc!A467,
IF(H436="S/A",Pole_Calc!A468,
IF(H436="A/S",Pole_Calc!A469,"Poner a mano")))))))</f>
        <v/>
      </c>
      <c r="BE436" s="448" t="s">
        <v>1726</v>
      </c>
      <c r="BF436" s="634"/>
      <c r="BG436" s="634"/>
      <c r="BH436" s="634"/>
      <c r="BI436" s="634"/>
    </row>
    <row r="437" spans="1:61" ht="16.2" customHeight="1">
      <c r="A437" s="12"/>
      <c r="B437" s="446"/>
      <c r="C437" s="89"/>
      <c r="D437" s="13"/>
      <c r="E437" s="14"/>
      <c r="F437" s="14"/>
      <c r="G437" s="15"/>
      <c r="H437" s="8"/>
      <c r="I437" s="8"/>
      <c r="J437" s="89"/>
      <c r="K437" s="8"/>
      <c r="L437" s="8"/>
      <c r="M437" s="8" t="str">
        <f>IF(L437="","",
IF(AX437="PT",VLOOKUP(L437,Foundation_Calc!$V$4:$X$37,VLOOKUP(AX437,Foundation_Calc!$I$10:$J$13,2,FALSE),0),
IF(AX437="K",VLOOKUP(L437,Foundation_Calc!$V$41:$X$74,VLOOKUP(AX437,Foundation_Calc!$I$10:$J$13,2,FALSE),0),"")))</f>
        <v/>
      </c>
      <c r="N437" s="8"/>
      <c r="O437" s="8"/>
      <c r="P437" s="8"/>
      <c r="Q437" s="14"/>
      <c r="R437" s="15"/>
      <c r="S437" s="15"/>
      <c r="T437" s="14"/>
      <c r="U437" s="14"/>
      <c r="V437" s="14"/>
      <c r="W437" s="18"/>
      <c r="X437" s="18"/>
      <c r="Y437" s="18"/>
      <c r="Z437" s="18"/>
      <c r="AA437" s="18"/>
      <c r="AB437" s="18"/>
      <c r="AC437" s="8" t="str">
        <f t="shared" si="27"/>
        <v/>
      </c>
      <c r="AD437" s="8"/>
      <c r="AE437" s="8"/>
      <c r="AF437" s="14"/>
      <c r="AG437" s="13"/>
      <c r="AH437" s="14"/>
      <c r="AI437" s="14"/>
      <c r="AJ437" s="8"/>
      <c r="AK437" s="8"/>
      <c r="AL437" s="8"/>
      <c r="AM437" s="8"/>
      <c r="AN437" s="631"/>
      <c r="AO437" s="18"/>
      <c r="AP437" s="18"/>
      <c r="AQ437" s="18"/>
      <c r="AR437" s="18"/>
      <c r="AS437" s="18"/>
      <c r="AU437" s="448"/>
      <c r="AV437" s="448"/>
      <c r="AW437" s="8" t="str">
        <f>IF(C437&gt;0,VLOOKUP(C437,Foundation_Calc!$A$2:$C$986,3,1),
IF(J437&gt;0,VLOOKUP(J437,Foundation_Calc!$A$2:$C$986,3,1),""))</f>
        <v/>
      </c>
      <c r="AX437" s="8" t="str">
        <f>IF(C437&gt;0,VLOOKUP(C437,Foundation_Calc!$E$2:$G$986,3,1),
IF(J437&gt;0,VLOOKUP(J437,Foundation_Calc!$E$2:$G$986,3,1),""))</f>
        <v/>
      </c>
      <c r="AY437" s="631" t="str">
        <f>IF(L437="","",
IF(AX437="PT",VLOOKUP(L437,Foundation_Calc!$K$4:$R$37,VLOOKUP(AW437,Foundation_Calc!$I$2:$J$8,2,FALSE),0),
IF(AX437="K",VLOOKUP(L437,Foundation_Calc!$K$41:$R$74,VLOOKUP(AW437,Foundation_Calc!$I$2:$J$8,2,FALSE),0),"")))</f>
        <v/>
      </c>
      <c r="AZ437" s="631" t="str">
        <f>IF(K437="","",
IF(AX437="PT",VLOOKUP(K437,Foundation_Calc!$K$4:$R$37,VLOOKUP(AW437,Foundation_Calc!$I$2:$J$8,2,FALSE),0),
IF(AX437="K",VLOOKUP(K437,Foundation_Calc!$K$41:$R$74,VLOOKUP(AW437,Foundation_Calc!$I$2:$J$8,2,FALSE),0),"")))</f>
        <v/>
      </c>
      <c r="BA437" s="632" t="str">
        <f t="shared" si="28"/>
        <v/>
      </c>
      <c r="BB437" s="632" t="str">
        <f t="shared" si="29"/>
        <v/>
      </c>
      <c r="BC437" s="632" t="str">
        <f t="shared" si="30"/>
        <v/>
      </c>
      <c r="BD437" s="633" t="str">
        <f>IF(AND(L437="",H437=""),"",
IF(H437="",Pole_Calc!A465,
IF(H437="MP",Pole_Calc!A466,
IF(H437="AnMP",Pole_Calc!A467,
IF(H437="A",Pole_Calc!A468,
IF(H437="S/A",Pole_Calc!A469,
IF(H437="A/S",Pole_Calc!A470,"Poner a mano")))))))</f>
        <v/>
      </c>
      <c r="BE437" s="448" t="s">
        <v>1726</v>
      </c>
      <c r="BF437" s="635"/>
      <c r="BG437" s="635"/>
      <c r="BH437" s="634"/>
      <c r="BI437" s="635"/>
    </row>
    <row r="438" spans="1:61" ht="16.2" customHeight="1">
      <c r="A438" s="12"/>
      <c r="B438" s="446"/>
      <c r="C438" s="89"/>
      <c r="D438" s="13"/>
      <c r="E438" s="14"/>
      <c r="F438" s="14"/>
      <c r="G438" s="15"/>
      <c r="H438" s="8"/>
      <c r="I438" s="8"/>
      <c r="J438" s="89"/>
      <c r="K438" s="8"/>
      <c r="L438" s="8"/>
      <c r="M438" s="8" t="str">
        <f>IF(L438="","",
IF(AX438="PT",VLOOKUP(L438,Foundation_Calc!$V$4:$X$37,VLOOKUP(AX438,Foundation_Calc!$I$10:$J$13,2,FALSE),0),
IF(AX438="K",VLOOKUP(L438,Foundation_Calc!$V$41:$X$74,VLOOKUP(AX438,Foundation_Calc!$I$10:$J$13,2,FALSE),0),"")))</f>
        <v/>
      </c>
      <c r="N438" s="8"/>
      <c r="O438" s="8"/>
      <c r="P438" s="8"/>
      <c r="Q438" s="14"/>
      <c r="R438" s="15"/>
      <c r="S438" s="15"/>
      <c r="T438" s="14"/>
      <c r="U438" s="14"/>
      <c r="V438" s="14"/>
      <c r="W438" s="18"/>
      <c r="X438" s="18"/>
      <c r="Y438" s="18"/>
      <c r="Z438" s="18"/>
      <c r="AA438" s="18"/>
      <c r="AB438" s="18"/>
      <c r="AC438" s="8" t="str">
        <f t="shared" si="27"/>
        <v/>
      </c>
      <c r="AD438" s="8"/>
      <c r="AE438" s="8"/>
      <c r="AF438" s="14"/>
      <c r="AG438" s="13"/>
      <c r="AH438" s="14"/>
      <c r="AI438" s="14"/>
      <c r="AJ438" s="8"/>
      <c r="AK438" s="8"/>
      <c r="AL438" s="8"/>
      <c r="AM438" s="8"/>
      <c r="AN438" s="631"/>
      <c r="AO438" s="18"/>
      <c r="AP438" s="18"/>
      <c r="AQ438" s="18"/>
      <c r="AR438" s="18"/>
      <c r="AS438" s="18"/>
      <c r="AU438" s="448"/>
      <c r="AV438" s="448"/>
      <c r="AW438" s="8" t="str">
        <f>IF(C438&gt;0,VLOOKUP(C438,Foundation_Calc!$A$2:$C$986,3,1),
IF(J438&gt;0,VLOOKUP(J438,Foundation_Calc!$A$2:$C$986,3,1),""))</f>
        <v/>
      </c>
      <c r="AX438" s="8" t="str">
        <f>IF(C438&gt;0,VLOOKUP(C438,Foundation_Calc!$E$2:$G$986,3,1),
IF(J438&gt;0,VLOOKUP(J438,Foundation_Calc!$E$2:$G$986,3,1),""))</f>
        <v/>
      </c>
      <c r="AY438" s="631" t="str">
        <f>IF(L438="","",
IF(AX438="PT",VLOOKUP(L438,Foundation_Calc!$K$4:$R$37,VLOOKUP(AW438,Foundation_Calc!$I$2:$J$8,2,FALSE),0),
IF(AX438="K",VLOOKUP(L438,Foundation_Calc!$K$41:$R$74,VLOOKUP(AW438,Foundation_Calc!$I$2:$J$8,2,FALSE),0),"")))</f>
        <v/>
      </c>
      <c r="AZ438" s="631" t="str">
        <f>IF(K438="","",
IF(AX438="PT",VLOOKUP(K438,Foundation_Calc!$K$4:$R$37,VLOOKUP(AW438,Foundation_Calc!$I$2:$J$8,2,FALSE),0),
IF(AX438="K",VLOOKUP(K438,Foundation_Calc!$K$41:$R$74,VLOOKUP(AW438,Foundation_Calc!$I$2:$J$8,2,FALSE),0),"")))</f>
        <v/>
      </c>
      <c r="BA438" s="632" t="str">
        <f t="shared" si="28"/>
        <v/>
      </c>
      <c r="BB438" s="632" t="str">
        <f t="shared" si="29"/>
        <v/>
      </c>
      <c r="BC438" s="632" t="str">
        <f t="shared" si="30"/>
        <v/>
      </c>
      <c r="BD438" s="633" t="str">
        <f>IF(AND(L438="",H438=""),"",
IF(H438="",Pole_Calc!A466,
IF(H438="MP",Pole_Calc!A467,
IF(H438="AnMP",Pole_Calc!A468,
IF(H438="A",Pole_Calc!A469,
IF(H438="S/A",Pole_Calc!A470,
IF(H438="A/S",Pole_Calc!A471,"Poner a mano")))))))</f>
        <v/>
      </c>
      <c r="BE438" s="448" t="s">
        <v>1726</v>
      </c>
      <c r="BF438" s="634"/>
      <c r="BG438" s="634"/>
      <c r="BH438" s="634"/>
      <c r="BI438" s="634"/>
    </row>
    <row r="439" spans="1:61" ht="16.2" customHeight="1">
      <c r="A439" s="12"/>
      <c r="B439" s="446"/>
      <c r="C439" s="89"/>
      <c r="D439" s="13"/>
      <c r="E439" s="14"/>
      <c r="F439" s="14"/>
      <c r="G439" s="15"/>
      <c r="H439" s="8"/>
      <c r="I439" s="8"/>
      <c r="J439" s="89"/>
      <c r="K439" s="8"/>
      <c r="L439" s="8"/>
      <c r="M439" s="8" t="str">
        <f>IF(L439="","",
IF(AX439="PT",VLOOKUP(L439,Foundation_Calc!$V$4:$X$37,VLOOKUP(AX439,Foundation_Calc!$I$10:$J$13,2,FALSE),0),
IF(AX439="K",VLOOKUP(L439,Foundation_Calc!$V$41:$X$74,VLOOKUP(AX439,Foundation_Calc!$I$10:$J$13,2,FALSE),0),"")))</f>
        <v/>
      </c>
      <c r="N439" s="8"/>
      <c r="O439" s="8"/>
      <c r="P439" s="8"/>
      <c r="Q439" s="14"/>
      <c r="R439" s="15"/>
      <c r="S439" s="15"/>
      <c r="T439" s="14"/>
      <c r="U439" s="14"/>
      <c r="V439" s="14"/>
      <c r="W439" s="18"/>
      <c r="X439" s="18"/>
      <c r="Y439" s="18"/>
      <c r="Z439" s="18"/>
      <c r="AA439" s="18"/>
      <c r="AB439" s="18"/>
      <c r="AC439" s="8" t="str">
        <f t="shared" si="27"/>
        <v/>
      </c>
      <c r="AD439" s="8"/>
      <c r="AE439" s="8"/>
      <c r="AF439" s="14"/>
      <c r="AG439" s="13"/>
      <c r="AH439" s="14"/>
      <c r="AI439" s="14"/>
      <c r="AJ439" s="8"/>
      <c r="AK439" s="8"/>
      <c r="AL439" s="8"/>
      <c r="AM439" s="8"/>
      <c r="AN439" s="631"/>
      <c r="AO439" s="18"/>
      <c r="AP439" s="18"/>
      <c r="AQ439" s="18"/>
      <c r="AR439" s="18"/>
      <c r="AS439" s="18"/>
      <c r="AU439" s="448"/>
      <c r="AV439" s="448"/>
      <c r="AW439" s="8" t="str">
        <f>IF(C439&gt;0,VLOOKUP(C439,Foundation_Calc!$A$2:$C$986,3,1),
IF(J439&gt;0,VLOOKUP(J439,Foundation_Calc!$A$2:$C$986,3,1),""))</f>
        <v/>
      </c>
      <c r="AX439" s="8" t="str">
        <f>IF(C439&gt;0,VLOOKUP(C439,Foundation_Calc!$E$2:$G$986,3,1),
IF(J439&gt;0,VLOOKUP(J439,Foundation_Calc!$E$2:$G$986,3,1),""))</f>
        <v/>
      </c>
      <c r="AY439" s="631" t="str">
        <f>IF(L439="","",
IF(AX439="PT",VLOOKUP(L439,Foundation_Calc!$K$4:$R$37,VLOOKUP(AW439,Foundation_Calc!$I$2:$J$8,2,FALSE),0),
IF(AX439="K",VLOOKUP(L439,Foundation_Calc!$K$41:$R$74,VLOOKUP(AW439,Foundation_Calc!$I$2:$J$8,2,FALSE),0),"")))</f>
        <v/>
      </c>
      <c r="AZ439" s="631" t="str">
        <f>IF(K439="","",
IF(AX439="PT",VLOOKUP(K439,Foundation_Calc!$K$4:$R$37,VLOOKUP(AW439,Foundation_Calc!$I$2:$J$8,2,FALSE),0),
IF(AX439="K",VLOOKUP(K439,Foundation_Calc!$K$41:$R$74,VLOOKUP(AW439,Foundation_Calc!$I$2:$J$8,2,FALSE),0),"")))</f>
        <v/>
      </c>
      <c r="BA439" s="632" t="str">
        <f t="shared" si="28"/>
        <v/>
      </c>
      <c r="BB439" s="632" t="str">
        <f t="shared" si="29"/>
        <v/>
      </c>
      <c r="BC439" s="632" t="str">
        <f t="shared" si="30"/>
        <v/>
      </c>
      <c r="BD439" s="633" t="str">
        <f>IF(AND(L439="",H439=""),"",
IF(H439="",Pole_Calc!A467,
IF(H439="MP",Pole_Calc!A468,
IF(H439="AnMP",Pole_Calc!A469,
IF(H439="A",Pole_Calc!A470,
IF(H439="S/A",Pole_Calc!A471,
IF(H439="A/S",Pole_Calc!A472,"Poner a mano")))))))</f>
        <v/>
      </c>
      <c r="BE439" s="448" t="s">
        <v>1726</v>
      </c>
      <c r="BF439" s="635"/>
      <c r="BG439" s="635"/>
      <c r="BH439" s="634"/>
      <c r="BI439" s="635"/>
    </row>
    <row r="440" spans="1:61" ht="16.2" customHeight="1">
      <c r="A440" s="12"/>
      <c r="B440" s="446"/>
      <c r="C440" s="89"/>
      <c r="D440" s="13"/>
      <c r="E440" s="14"/>
      <c r="F440" s="14"/>
      <c r="G440" s="15"/>
      <c r="H440" s="8"/>
      <c r="I440" s="8"/>
      <c r="J440" s="89"/>
      <c r="K440" s="8"/>
      <c r="L440" s="8"/>
      <c r="M440" s="8" t="str">
        <f>IF(L440="","",
IF(AX440="PT",VLOOKUP(L440,Foundation_Calc!$V$4:$X$37,VLOOKUP(AX440,Foundation_Calc!$I$10:$J$13,2,FALSE),0),
IF(AX440="K",VLOOKUP(L440,Foundation_Calc!$V$41:$X$74,VLOOKUP(AX440,Foundation_Calc!$I$10:$J$13,2,FALSE),0),"")))</f>
        <v/>
      </c>
      <c r="N440" s="8"/>
      <c r="O440" s="8"/>
      <c r="P440" s="8"/>
      <c r="Q440" s="14"/>
      <c r="R440" s="15"/>
      <c r="S440" s="15"/>
      <c r="T440" s="14"/>
      <c r="U440" s="14"/>
      <c r="V440" s="14"/>
      <c r="W440" s="18"/>
      <c r="X440" s="18"/>
      <c r="Y440" s="18"/>
      <c r="Z440" s="18"/>
      <c r="AA440" s="18"/>
      <c r="AB440" s="18"/>
      <c r="AC440" s="8" t="str">
        <f t="shared" si="27"/>
        <v/>
      </c>
      <c r="AD440" s="8"/>
      <c r="AE440" s="8"/>
      <c r="AF440" s="14"/>
      <c r="AG440" s="13"/>
      <c r="AH440" s="14"/>
      <c r="AI440" s="14"/>
      <c r="AJ440" s="8"/>
      <c r="AK440" s="8"/>
      <c r="AL440" s="8"/>
      <c r="AM440" s="8"/>
      <c r="AN440" s="631"/>
      <c r="AO440" s="18"/>
      <c r="AP440" s="18"/>
      <c r="AQ440" s="18"/>
      <c r="AR440" s="18"/>
      <c r="AS440" s="18"/>
      <c r="AU440" s="448"/>
      <c r="AV440" s="448"/>
      <c r="AW440" s="8" t="str">
        <f>IF(C440&gt;0,VLOOKUP(C440,Foundation_Calc!$A$2:$C$986,3,1),
IF(J440&gt;0,VLOOKUP(J440,Foundation_Calc!$A$2:$C$986,3,1),""))</f>
        <v/>
      </c>
      <c r="AX440" s="8" t="str">
        <f>IF(C440&gt;0,VLOOKUP(C440,Foundation_Calc!$E$2:$G$986,3,1),
IF(J440&gt;0,VLOOKUP(J440,Foundation_Calc!$E$2:$G$986,3,1),""))</f>
        <v/>
      </c>
      <c r="AY440" s="631" t="str">
        <f>IF(L440="","",
IF(AX440="PT",VLOOKUP(L440,Foundation_Calc!$K$4:$R$37,VLOOKUP(AW440,Foundation_Calc!$I$2:$J$8,2,FALSE),0),
IF(AX440="K",VLOOKUP(L440,Foundation_Calc!$K$41:$R$74,VLOOKUP(AW440,Foundation_Calc!$I$2:$J$8,2,FALSE),0),"")))</f>
        <v/>
      </c>
      <c r="AZ440" s="631" t="str">
        <f>IF(K440="","",
IF(AX440="PT",VLOOKUP(K440,Foundation_Calc!$K$4:$R$37,VLOOKUP(AW440,Foundation_Calc!$I$2:$J$8,2,FALSE),0),
IF(AX440="K",VLOOKUP(K440,Foundation_Calc!$K$41:$R$74,VLOOKUP(AW440,Foundation_Calc!$I$2:$J$8,2,FALSE),0),"")))</f>
        <v/>
      </c>
      <c r="BA440" s="632" t="str">
        <f t="shared" si="28"/>
        <v/>
      </c>
      <c r="BB440" s="632" t="str">
        <f t="shared" si="29"/>
        <v/>
      </c>
      <c r="BC440" s="632" t="str">
        <f t="shared" si="30"/>
        <v/>
      </c>
      <c r="BD440" s="633" t="str">
        <f>IF(AND(L440="",H440=""),"",
IF(H440="",Pole_Calc!A468,
IF(H440="MP",Pole_Calc!A469,
IF(H440="AnMP",Pole_Calc!A470,
IF(H440="A",Pole_Calc!A471,
IF(H440="S/A",Pole_Calc!A472,
IF(H440="A/S",Pole_Calc!A473,"Poner a mano")))))))</f>
        <v/>
      </c>
      <c r="BE440" s="448" t="s">
        <v>1726</v>
      </c>
      <c r="BF440" s="634"/>
      <c r="BG440" s="634"/>
      <c r="BH440" s="634"/>
      <c r="BI440" s="634"/>
    </row>
    <row r="441" spans="1:61" ht="16.2" customHeight="1">
      <c r="A441" s="12"/>
      <c r="B441" s="446"/>
      <c r="C441" s="89"/>
      <c r="D441" s="13"/>
      <c r="E441" s="14"/>
      <c r="F441" s="14"/>
      <c r="G441" s="15"/>
      <c r="H441" s="8"/>
      <c r="I441" s="8"/>
      <c r="J441" s="89"/>
      <c r="K441" s="8"/>
      <c r="L441" s="8"/>
      <c r="M441" s="8" t="str">
        <f>IF(L441="","",
IF(AX441="PT",VLOOKUP(L441,Foundation_Calc!$V$4:$X$37,VLOOKUP(AX441,Foundation_Calc!$I$10:$J$13,2,FALSE),0),
IF(AX441="K",VLOOKUP(L441,Foundation_Calc!$V$41:$X$74,VLOOKUP(AX441,Foundation_Calc!$I$10:$J$13,2,FALSE),0),"")))</f>
        <v/>
      </c>
      <c r="N441" s="8"/>
      <c r="O441" s="8"/>
      <c r="P441" s="8"/>
      <c r="Q441" s="14"/>
      <c r="R441" s="15"/>
      <c r="S441" s="15"/>
      <c r="T441" s="14"/>
      <c r="U441" s="14"/>
      <c r="V441" s="14"/>
      <c r="W441" s="18"/>
      <c r="X441" s="18"/>
      <c r="Y441" s="18"/>
      <c r="Z441" s="18"/>
      <c r="AA441" s="18"/>
      <c r="AB441" s="18"/>
      <c r="AC441" s="8" t="str">
        <f t="shared" si="27"/>
        <v/>
      </c>
      <c r="AD441" s="8"/>
      <c r="AE441" s="8"/>
      <c r="AF441" s="14"/>
      <c r="AG441" s="13"/>
      <c r="AH441" s="14"/>
      <c r="AI441" s="14"/>
      <c r="AJ441" s="8"/>
      <c r="AK441" s="8"/>
      <c r="AL441" s="8"/>
      <c r="AM441" s="8"/>
      <c r="AN441" s="631"/>
      <c r="AO441" s="18"/>
      <c r="AP441" s="18"/>
      <c r="AQ441" s="18"/>
      <c r="AR441" s="18"/>
      <c r="AS441" s="18"/>
      <c r="AU441" s="448"/>
      <c r="AV441" s="448"/>
      <c r="AW441" s="8" t="str">
        <f>IF(C441&gt;0,VLOOKUP(C441,Foundation_Calc!$A$2:$C$986,3,1),
IF(J441&gt;0,VLOOKUP(J441,Foundation_Calc!$A$2:$C$986,3,1),""))</f>
        <v/>
      </c>
      <c r="AX441" s="8" t="str">
        <f>IF(C441&gt;0,VLOOKUP(C441,Foundation_Calc!$E$2:$G$986,3,1),
IF(J441&gt;0,VLOOKUP(J441,Foundation_Calc!$E$2:$G$986,3,1),""))</f>
        <v/>
      </c>
      <c r="AY441" s="631" t="str">
        <f>IF(L441="","",
IF(AX441="PT",VLOOKUP(L441,Foundation_Calc!$K$4:$R$37,VLOOKUP(AW441,Foundation_Calc!$I$2:$J$8,2,FALSE),0),
IF(AX441="K",VLOOKUP(L441,Foundation_Calc!$K$41:$R$74,VLOOKUP(AW441,Foundation_Calc!$I$2:$J$8,2,FALSE),0),"")))</f>
        <v/>
      </c>
      <c r="AZ441" s="631" t="str">
        <f>IF(K441="","",
IF(AX441="PT",VLOOKUP(K441,Foundation_Calc!$K$4:$R$37,VLOOKUP(AW441,Foundation_Calc!$I$2:$J$8,2,FALSE),0),
IF(AX441="K",VLOOKUP(K441,Foundation_Calc!$K$41:$R$74,VLOOKUP(AW441,Foundation_Calc!$I$2:$J$8,2,FALSE),0),"")))</f>
        <v/>
      </c>
      <c r="BA441" s="632" t="str">
        <f t="shared" si="28"/>
        <v/>
      </c>
      <c r="BB441" s="632" t="str">
        <f t="shared" si="29"/>
        <v/>
      </c>
      <c r="BC441" s="632" t="str">
        <f t="shared" si="30"/>
        <v/>
      </c>
      <c r="BD441" s="633" t="str">
        <f>IF(AND(L441="",H441=""),"",
IF(H441="",Pole_Calc!A469,
IF(H441="MP",Pole_Calc!A470,
IF(H441="AnMP",Pole_Calc!A471,
IF(H441="A",Pole_Calc!A472,
IF(H441="S/A",Pole_Calc!A473,
IF(H441="A/S",Pole_Calc!A474,"Poner a mano")))))))</f>
        <v/>
      </c>
      <c r="BE441" s="448" t="s">
        <v>1726</v>
      </c>
      <c r="BF441" s="635"/>
      <c r="BG441" s="635"/>
      <c r="BH441" s="634"/>
      <c r="BI441" s="635"/>
    </row>
    <row r="442" spans="1:61" ht="16.2" customHeight="1">
      <c r="A442" s="12"/>
      <c r="B442" s="446"/>
      <c r="C442" s="89"/>
      <c r="D442" s="13"/>
      <c r="E442" s="14"/>
      <c r="F442" s="14"/>
      <c r="G442" s="15"/>
      <c r="H442" s="8"/>
      <c r="I442" s="8"/>
      <c r="J442" s="89"/>
      <c r="K442" s="8"/>
      <c r="L442" s="8"/>
      <c r="M442" s="8" t="str">
        <f>IF(L442="","",
IF(AX442="PT",VLOOKUP(L442,Foundation_Calc!$V$4:$X$37,VLOOKUP(AX442,Foundation_Calc!$I$10:$J$13,2,FALSE),0),
IF(AX442="K",VLOOKUP(L442,Foundation_Calc!$V$41:$X$74,VLOOKUP(AX442,Foundation_Calc!$I$10:$J$13,2,FALSE),0),"")))</f>
        <v/>
      </c>
      <c r="N442" s="8"/>
      <c r="O442" s="8"/>
      <c r="P442" s="8"/>
      <c r="Q442" s="14"/>
      <c r="R442" s="15"/>
      <c r="S442" s="15"/>
      <c r="T442" s="14"/>
      <c r="U442" s="14"/>
      <c r="V442" s="14"/>
      <c r="W442" s="18"/>
      <c r="X442" s="18"/>
      <c r="Y442" s="18"/>
      <c r="Z442" s="18"/>
      <c r="AA442" s="18"/>
      <c r="AB442" s="18"/>
      <c r="AC442" s="8" t="str">
        <f t="shared" si="27"/>
        <v/>
      </c>
      <c r="AD442" s="8"/>
      <c r="AE442" s="8"/>
      <c r="AF442" s="14"/>
      <c r="AG442" s="13"/>
      <c r="AH442" s="14"/>
      <c r="AI442" s="14"/>
      <c r="AJ442" s="8"/>
      <c r="AK442" s="8"/>
      <c r="AL442" s="8"/>
      <c r="AM442" s="8"/>
      <c r="AN442" s="631"/>
      <c r="AO442" s="18"/>
      <c r="AP442" s="18"/>
      <c r="AQ442" s="18"/>
      <c r="AR442" s="18"/>
      <c r="AS442" s="18"/>
      <c r="AU442" s="448"/>
      <c r="AV442" s="448"/>
      <c r="AW442" s="8" t="str">
        <f>IF(C442&gt;0,VLOOKUP(C442,Foundation_Calc!$A$2:$C$986,3,1),
IF(J442&gt;0,VLOOKUP(J442,Foundation_Calc!$A$2:$C$986,3,1),""))</f>
        <v/>
      </c>
      <c r="AX442" s="8" t="str">
        <f>IF(C442&gt;0,VLOOKUP(C442,Foundation_Calc!$E$2:$G$986,3,1),
IF(J442&gt;0,VLOOKUP(J442,Foundation_Calc!$E$2:$G$986,3,1),""))</f>
        <v/>
      </c>
      <c r="AY442" s="631" t="str">
        <f>IF(L442="","",
IF(AX442="PT",VLOOKUP(L442,Foundation_Calc!$K$4:$R$37,VLOOKUP(AW442,Foundation_Calc!$I$2:$J$8,2,FALSE),0),
IF(AX442="K",VLOOKUP(L442,Foundation_Calc!$K$41:$R$74,VLOOKUP(AW442,Foundation_Calc!$I$2:$J$8,2,FALSE),0),"")))</f>
        <v/>
      </c>
      <c r="AZ442" s="631" t="str">
        <f>IF(K442="","",
IF(AX442="PT",VLOOKUP(K442,Foundation_Calc!$K$4:$R$37,VLOOKUP(AW442,Foundation_Calc!$I$2:$J$8,2,FALSE),0),
IF(AX442="K",VLOOKUP(K442,Foundation_Calc!$K$41:$R$74,VLOOKUP(AW442,Foundation_Calc!$I$2:$J$8,2,FALSE),0),"")))</f>
        <v/>
      </c>
      <c r="BA442" s="632" t="str">
        <f t="shared" si="28"/>
        <v/>
      </c>
      <c r="BB442" s="632" t="str">
        <f t="shared" si="29"/>
        <v/>
      </c>
      <c r="BC442" s="632" t="str">
        <f t="shared" si="30"/>
        <v/>
      </c>
      <c r="BD442" s="633" t="str">
        <f>IF(AND(L442="",H442=""),"",
IF(H442="",Pole_Calc!A470,
IF(H442="MP",Pole_Calc!A471,
IF(H442="AnMP",Pole_Calc!A472,
IF(H442="A",Pole_Calc!A473,
IF(H442="S/A",Pole_Calc!A474,
IF(H442="A/S",Pole_Calc!A475,"Poner a mano")))))))</f>
        <v/>
      </c>
      <c r="BE442" s="448" t="s">
        <v>1726</v>
      </c>
      <c r="BF442" s="634"/>
      <c r="BG442" s="634"/>
      <c r="BH442" s="634"/>
      <c r="BI442" s="634"/>
    </row>
    <row r="443" spans="1:61" ht="16.2" customHeight="1">
      <c r="A443" s="12"/>
      <c r="B443" s="446"/>
      <c r="C443" s="89"/>
      <c r="D443" s="13"/>
      <c r="E443" s="14"/>
      <c r="F443" s="14"/>
      <c r="G443" s="15"/>
      <c r="H443" s="8"/>
      <c r="I443" s="8"/>
      <c r="J443" s="89"/>
      <c r="K443" s="8"/>
      <c r="L443" s="8"/>
      <c r="M443" s="8" t="str">
        <f>IF(L443="","",
IF(AX443="PT",VLOOKUP(L443,Foundation_Calc!$V$4:$X$37,VLOOKUP(AX443,Foundation_Calc!$I$10:$J$13,2,FALSE),0),
IF(AX443="K",VLOOKUP(L443,Foundation_Calc!$V$41:$X$74,VLOOKUP(AX443,Foundation_Calc!$I$10:$J$13,2,FALSE),0),"")))</f>
        <v/>
      </c>
      <c r="N443" s="8"/>
      <c r="O443" s="8"/>
      <c r="P443" s="8"/>
      <c r="Q443" s="14"/>
      <c r="R443" s="15"/>
      <c r="S443" s="15"/>
      <c r="T443" s="14"/>
      <c r="U443" s="14"/>
      <c r="V443" s="14"/>
      <c r="W443" s="18"/>
      <c r="X443" s="18"/>
      <c r="Y443" s="18"/>
      <c r="Z443" s="18"/>
      <c r="AA443" s="18"/>
      <c r="AB443" s="18"/>
      <c r="AC443" s="8" t="str">
        <f t="shared" si="27"/>
        <v/>
      </c>
      <c r="AD443" s="8"/>
      <c r="AE443" s="8"/>
      <c r="AF443" s="14"/>
      <c r="AG443" s="13"/>
      <c r="AH443" s="14"/>
      <c r="AI443" s="14"/>
      <c r="AJ443" s="8"/>
      <c r="AK443" s="8"/>
      <c r="AL443" s="8"/>
      <c r="AM443" s="8"/>
      <c r="AN443" s="631"/>
      <c r="AO443" s="18"/>
      <c r="AP443" s="18"/>
      <c r="AQ443" s="18"/>
      <c r="AR443" s="18"/>
      <c r="AS443" s="18"/>
      <c r="AU443" s="448"/>
      <c r="AV443" s="448"/>
      <c r="AW443" s="8" t="str">
        <f>IF(C443&gt;0,VLOOKUP(C443,Foundation_Calc!$A$2:$C$986,3,1),
IF(J443&gt;0,VLOOKUP(J443,Foundation_Calc!$A$2:$C$986,3,1),""))</f>
        <v/>
      </c>
      <c r="AX443" s="8" t="str">
        <f>IF(C443&gt;0,VLOOKUP(C443,Foundation_Calc!$E$2:$G$986,3,1),
IF(J443&gt;0,VLOOKUP(J443,Foundation_Calc!$E$2:$G$986,3,1),""))</f>
        <v/>
      </c>
      <c r="AY443" s="631" t="str">
        <f>IF(L443="","",
IF(AX443="PT",VLOOKUP(L443,Foundation_Calc!$K$4:$R$37,VLOOKUP(AW443,Foundation_Calc!$I$2:$J$8,2,FALSE),0),
IF(AX443="K",VLOOKUP(L443,Foundation_Calc!$K$41:$R$74,VLOOKUP(AW443,Foundation_Calc!$I$2:$J$8,2,FALSE),0),"")))</f>
        <v/>
      </c>
      <c r="AZ443" s="631" t="str">
        <f>IF(K443="","",
IF(AX443="PT",VLOOKUP(K443,Foundation_Calc!$K$4:$R$37,VLOOKUP(AW443,Foundation_Calc!$I$2:$J$8,2,FALSE),0),
IF(AX443="K",VLOOKUP(K443,Foundation_Calc!$K$41:$R$74,VLOOKUP(AW443,Foundation_Calc!$I$2:$J$8,2,FALSE),0),"")))</f>
        <v/>
      </c>
      <c r="BA443" s="632" t="str">
        <f t="shared" si="28"/>
        <v/>
      </c>
      <c r="BB443" s="632" t="str">
        <f t="shared" si="29"/>
        <v/>
      </c>
      <c r="BC443" s="632" t="str">
        <f t="shared" si="30"/>
        <v/>
      </c>
      <c r="BD443" s="633" t="str">
        <f>IF(AND(L443="",H443=""),"",
IF(H443="",Pole_Calc!A471,
IF(H443="MP",Pole_Calc!A472,
IF(H443="AnMP",Pole_Calc!A473,
IF(H443="A",Pole_Calc!A474,
IF(H443="S/A",Pole_Calc!A475,
IF(H443="A/S",Pole_Calc!A476,"Poner a mano")))))))</f>
        <v/>
      </c>
      <c r="BE443" s="448" t="s">
        <v>1726</v>
      </c>
      <c r="BF443" s="635"/>
      <c r="BG443" s="635"/>
      <c r="BH443" s="634"/>
      <c r="BI443" s="635"/>
    </row>
    <row r="444" spans="1:61" ht="16.2" customHeight="1">
      <c r="A444" s="12"/>
      <c r="B444" s="446"/>
      <c r="C444" s="89"/>
      <c r="D444" s="13"/>
      <c r="E444" s="14"/>
      <c r="F444" s="14"/>
      <c r="G444" s="15"/>
      <c r="H444" s="8"/>
      <c r="I444" s="8"/>
      <c r="J444" s="89"/>
      <c r="K444" s="8"/>
      <c r="L444" s="8"/>
      <c r="M444" s="8" t="str">
        <f>IF(L444="","",
IF(AX444="PT",VLOOKUP(L444,Foundation_Calc!$V$4:$X$37,VLOOKUP(AX444,Foundation_Calc!$I$10:$J$13,2,FALSE),0),
IF(AX444="K",VLOOKUP(L444,Foundation_Calc!$V$41:$X$74,VLOOKUP(AX444,Foundation_Calc!$I$10:$J$13,2,FALSE),0),"")))</f>
        <v/>
      </c>
      <c r="N444" s="8"/>
      <c r="O444" s="8"/>
      <c r="P444" s="8"/>
      <c r="Q444" s="14"/>
      <c r="R444" s="15"/>
      <c r="S444" s="15"/>
      <c r="T444" s="14"/>
      <c r="U444" s="14"/>
      <c r="V444" s="14"/>
      <c r="W444" s="18"/>
      <c r="X444" s="18"/>
      <c r="Y444" s="18"/>
      <c r="Z444" s="18"/>
      <c r="AA444" s="18"/>
      <c r="AB444" s="18"/>
      <c r="AC444" s="8" t="str">
        <f t="shared" si="27"/>
        <v/>
      </c>
      <c r="AD444" s="8"/>
      <c r="AE444" s="8"/>
      <c r="AF444" s="14"/>
      <c r="AG444" s="13"/>
      <c r="AH444" s="14"/>
      <c r="AI444" s="14"/>
      <c r="AJ444" s="8"/>
      <c r="AK444" s="8"/>
      <c r="AL444" s="8"/>
      <c r="AM444" s="8"/>
      <c r="AN444" s="631"/>
      <c r="AO444" s="18"/>
      <c r="AP444" s="18"/>
      <c r="AQ444" s="18"/>
      <c r="AR444" s="18"/>
      <c r="AS444" s="18"/>
      <c r="AU444" s="448"/>
      <c r="AV444" s="448"/>
      <c r="AW444" s="8" t="str">
        <f>IF(C444&gt;0,VLOOKUP(C444,Foundation_Calc!$A$2:$C$986,3,1),
IF(J444&gt;0,VLOOKUP(J444,Foundation_Calc!$A$2:$C$986,3,1),""))</f>
        <v/>
      </c>
      <c r="AX444" s="8" t="str">
        <f>IF(C444&gt;0,VLOOKUP(C444,Foundation_Calc!$E$2:$G$986,3,1),
IF(J444&gt;0,VLOOKUP(J444,Foundation_Calc!$E$2:$G$986,3,1),""))</f>
        <v/>
      </c>
      <c r="AY444" s="631" t="str">
        <f>IF(L444="","",
IF(AX444="PT",VLOOKUP(L444,Foundation_Calc!$K$4:$R$37,VLOOKUP(AW444,Foundation_Calc!$I$2:$J$8,2,FALSE),0),
IF(AX444="K",VLOOKUP(L444,Foundation_Calc!$K$41:$R$74,VLOOKUP(AW444,Foundation_Calc!$I$2:$J$8,2,FALSE),0),"")))</f>
        <v/>
      </c>
      <c r="AZ444" s="631" t="str">
        <f>IF(K444="","",
IF(AX444="PT",VLOOKUP(K444,Foundation_Calc!$K$4:$R$37,VLOOKUP(AW444,Foundation_Calc!$I$2:$J$8,2,FALSE),0),
IF(AX444="K",VLOOKUP(K444,Foundation_Calc!$K$41:$R$74,VLOOKUP(AW444,Foundation_Calc!$I$2:$J$8,2,FALSE),0),"")))</f>
        <v/>
      </c>
      <c r="BA444" s="632" t="str">
        <f t="shared" si="28"/>
        <v/>
      </c>
      <c r="BB444" s="632" t="str">
        <f t="shared" si="29"/>
        <v/>
      </c>
      <c r="BC444" s="632" t="str">
        <f t="shared" si="30"/>
        <v/>
      </c>
      <c r="BD444" s="633" t="str">
        <f>IF(AND(L444="",H444=""),"",
IF(H444="",Pole_Calc!A472,
IF(H444="MP",Pole_Calc!A473,
IF(H444="AnMP",Pole_Calc!A474,
IF(H444="A",Pole_Calc!A475,
IF(H444="S/A",Pole_Calc!A476,
IF(H444="A/S",Pole_Calc!A477,"Poner a mano")))))))</f>
        <v/>
      </c>
      <c r="BE444" s="448" t="s">
        <v>1726</v>
      </c>
      <c r="BF444" s="634"/>
      <c r="BG444" s="634"/>
      <c r="BH444" s="634"/>
      <c r="BI444" s="634"/>
    </row>
    <row r="445" spans="1:61" ht="16.2" customHeight="1">
      <c r="A445" s="12"/>
      <c r="B445" s="446"/>
      <c r="C445" s="89"/>
      <c r="D445" s="13"/>
      <c r="E445" s="14"/>
      <c r="F445" s="14"/>
      <c r="G445" s="15"/>
      <c r="H445" s="8"/>
      <c r="I445" s="8"/>
      <c r="J445" s="89"/>
      <c r="K445" s="8"/>
      <c r="L445" s="8"/>
      <c r="M445" s="8" t="str">
        <f>IF(L445="","",
IF(AX445="PT",VLOOKUP(L445,Foundation_Calc!$V$4:$X$37,VLOOKUP(AX445,Foundation_Calc!$I$10:$J$13,2,FALSE),0),
IF(AX445="K",VLOOKUP(L445,Foundation_Calc!$V$41:$X$74,VLOOKUP(AX445,Foundation_Calc!$I$10:$J$13,2,FALSE),0),"")))</f>
        <v/>
      </c>
      <c r="N445" s="8"/>
      <c r="O445" s="8"/>
      <c r="P445" s="8"/>
      <c r="Q445" s="14"/>
      <c r="R445" s="15"/>
      <c r="S445" s="15"/>
      <c r="T445" s="14"/>
      <c r="U445" s="14"/>
      <c r="V445" s="14"/>
      <c r="W445" s="18"/>
      <c r="X445" s="18"/>
      <c r="Y445" s="18"/>
      <c r="Z445" s="18"/>
      <c r="AA445" s="18"/>
      <c r="AB445" s="18"/>
      <c r="AC445" s="8" t="str">
        <f t="shared" si="27"/>
        <v/>
      </c>
      <c r="AD445" s="8"/>
      <c r="AE445" s="8"/>
      <c r="AF445" s="14"/>
      <c r="AG445" s="13"/>
      <c r="AH445" s="14"/>
      <c r="AI445" s="14"/>
      <c r="AJ445" s="8"/>
      <c r="AK445" s="8"/>
      <c r="AL445" s="8"/>
      <c r="AM445" s="8"/>
      <c r="AN445" s="631"/>
      <c r="AO445" s="18"/>
      <c r="AP445" s="18"/>
      <c r="AQ445" s="18"/>
      <c r="AR445" s="18"/>
      <c r="AS445" s="18"/>
      <c r="AU445" s="448"/>
      <c r="AV445" s="448"/>
      <c r="AW445" s="8" t="str">
        <f>IF(C445&gt;0,VLOOKUP(C445,Foundation_Calc!$A$2:$C$986,3,1),
IF(J445&gt;0,VLOOKUP(J445,Foundation_Calc!$A$2:$C$986,3,1),""))</f>
        <v/>
      </c>
      <c r="AX445" s="8" t="str">
        <f>IF(C445&gt;0,VLOOKUP(C445,Foundation_Calc!$E$2:$G$986,3,1),
IF(J445&gt;0,VLOOKUP(J445,Foundation_Calc!$E$2:$G$986,3,1),""))</f>
        <v/>
      </c>
      <c r="AY445" s="631" t="str">
        <f>IF(L445="","",
IF(AX445="PT",VLOOKUP(L445,Foundation_Calc!$K$4:$R$37,VLOOKUP(AW445,Foundation_Calc!$I$2:$J$8,2,FALSE),0),
IF(AX445="K",VLOOKUP(L445,Foundation_Calc!$K$41:$R$74,VLOOKUP(AW445,Foundation_Calc!$I$2:$J$8,2,FALSE),0),"")))</f>
        <v/>
      </c>
      <c r="AZ445" s="631" t="str">
        <f>IF(K445="","",
IF(AX445="PT",VLOOKUP(K445,Foundation_Calc!$K$4:$R$37,VLOOKUP(AW445,Foundation_Calc!$I$2:$J$8,2,FALSE),0),
IF(AX445="K",VLOOKUP(K445,Foundation_Calc!$K$41:$R$74,VLOOKUP(AW445,Foundation_Calc!$I$2:$J$8,2,FALSE),0),"")))</f>
        <v/>
      </c>
      <c r="BA445" s="632" t="str">
        <f t="shared" si="28"/>
        <v/>
      </c>
      <c r="BB445" s="632" t="str">
        <f t="shared" si="29"/>
        <v/>
      </c>
      <c r="BC445" s="632" t="str">
        <f t="shared" si="30"/>
        <v/>
      </c>
      <c r="BD445" s="633" t="str">
        <f>IF(AND(L445="",H445=""),"",
IF(H445="",Pole_Calc!A473,
IF(H445="MP",Pole_Calc!A474,
IF(H445="AnMP",Pole_Calc!A475,
IF(H445="A",Pole_Calc!A476,
IF(H445="S/A",Pole_Calc!A477,
IF(H445="A/S",Pole_Calc!A478,"Poner a mano")))))))</f>
        <v/>
      </c>
      <c r="BE445" s="448" t="s">
        <v>1726</v>
      </c>
      <c r="BF445" s="635"/>
      <c r="BG445" s="635"/>
      <c r="BH445" s="634"/>
      <c r="BI445" s="635"/>
    </row>
    <row r="446" spans="1:61" ht="16.2" customHeight="1">
      <c r="A446" s="12"/>
      <c r="B446" s="446"/>
      <c r="C446" s="89"/>
      <c r="D446" s="13"/>
      <c r="E446" s="14"/>
      <c r="F446" s="14"/>
      <c r="G446" s="15"/>
      <c r="H446" s="8"/>
      <c r="I446" s="8"/>
      <c r="J446" s="89"/>
      <c r="K446" s="8"/>
      <c r="L446" s="8"/>
      <c r="M446" s="8" t="str">
        <f>IF(L446="","",
IF(AX446="PT",VLOOKUP(L446,Foundation_Calc!$V$4:$X$37,VLOOKUP(AX446,Foundation_Calc!$I$10:$J$13,2,FALSE),0),
IF(AX446="K",VLOOKUP(L446,Foundation_Calc!$V$41:$X$74,VLOOKUP(AX446,Foundation_Calc!$I$10:$J$13,2,FALSE),0),"")))</f>
        <v/>
      </c>
      <c r="N446" s="8"/>
      <c r="O446" s="8"/>
      <c r="P446" s="8"/>
      <c r="Q446" s="14"/>
      <c r="R446" s="15"/>
      <c r="S446" s="15"/>
      <c r="T446" s="14"/>
      <c r="U446" s="14"/>
      <c r="V446" s="14"/>
      <c r="W446" s="18"/>
      <c r="X446" s="18"/>
      <c r="Y446" s="18"/>
      <c r="Z446" s="18"/>
      <c r="AA446" s="18"/>
      <c r="AB446" s="18"/>
      <c r="AC446" s="8" t="str">
        <f t="shared" si="27"/>
        <v/>
      </c>
      <c r="AD446" s="8"/>
      <c r="AE446" s="8"/>
      <c r="AF446" s="14"/>
      <c r="AG446" s="13"/>
      <c r="AH446" s="14"/>
      <c r="AI446" s="14"/>
      <c r="AJ446" s="8"/>
      <c r="AK446" s="8"/>
      <c r="AL446" s="8"/>
      <c r="AM446" s="8"/>
      <c r="AN446" s="631"/>
      <c r="AO446" s="18"/>
      <c r="AP446" s="18"/>
      <c r="AQ446" s="18"/>
      <c r="AR446" s="18"/>
      <c r="AS446" s="18"/>
      <c r="AU446" s="448"/>
      <c r="AV446" s="448"/>
      <c r="AW446" s="8" t="str">
        <f>IF(C446&gt;0,VLOOKUP(C446,Foundation_Calc!$A$2:$C$986,3,1),
IF(J446&gt;0,VLOOKUP(J446,Foundation_Calc!$A$2:$C$986,3,1),""))</f>
        <v/>
      </c>
      <c r="AX446" s="8" t="str">
        <f>IF(C446&gt;0,VLOOKUP(C446,Foundation_Calc!$E$2:$G$986,3,1),
IF(J446&gt;0,VLOOKUP(J446,Foundation_Calc!$E$2:$G$986,3,1),""))</f>
        <v/>
      </c>
      <c r="AY446" s="631" t="str">
        <f>IF(L446="","",
IF(AX446="PT",VLOOKUP(L446,Foundation_Calc!$K$4:$R$37,VLOOKUP(AW446,Foundation_Calc!$I$2:$J$8,2,FALSE),0),
IF(AX446="K",VLOOKUP(L446,Foundation_Calc!$K$41:$R$74,VLOOKUP(AW446,Foundation_Calc!$I$2:$J$8,2,FALSE),0),"")))</f>
        <v/>
      </c>
      <c r="AZ446" s="631" t="str">
        <f>IF(K446="","",
IF(AX446="PT",VLOOKUP(K446,Foundation_Calc!$K$4:$R$37,VLOOKUP(AW446,Foundation_Calc!$I$2:$J$8,2,FALSE),0),
IF(AX446="K",VLOOKUP(K446,Foundation_Calc!$K$41:$R$74,VLOOKUP(AW446,Foundation_Calc!$I$2:$J$8,2,FALSE),0),"")))</f>
        <v/>
      </c>
      <c r="BA446" s="632" t="str">
        <f t="shared" si="28"/>
        <v/>
      </c>
      <c r="BB446" s="632" t="str">
        <f t="shared" si="29"/>
        <v/>
      </c>
      <c r="BC446" s="632" t="str">
        <f t="shared" si="30"/>
        <v/>
      </c>
      <c r="BD446" s="633" t="str">
        <f>IF(AND(L446="",H446=""),"",
IF(H446="",Pole_Calc!A474,
IF(H446="MP",Pole_Calc!A475,
IF(H446="AnMP",Pole_Calc!A476,
IF(H446="A",Pole_Calc!A477,
IF(H446="S/A",Pole_Calc!A478,
IF(H446="A/S",Pole_Calc!A479,"Poner a mano")))))))</f>
        <v/>
      </c>
      <c r="BE446" s="448" t="s">
        <v>1726</v>
      </c>
      <c r="BF446" s="634"/>
      <c r="BG446" s="634"/>
      <c r="BH446" s="634"/>
      <c r="BI446" s="634"/>
    </row>
    <row r="447" spans="1:61" ht="16.2" customHeight="1">
      <c r="A447" s="12"/>
      <c r="B447" s="446"/>
      <c r="C447" s="89"/>
      <c r="D447" s="13"/>
      <c r="E447" s="14"/>
      <c r="F447" s="14"/>
      <c r="G447" s="15"/>
      <c r="H447" s="8"/>
      <c r="I447" s="8"/>
      <c r="J447" s="89"/>
      <c r="K447" s="8"/>
      <c r="L447" s="8"/>
      <c r="M447" s="8" t="str">
        <f>IF(L447="","",
IF(AX447="PT",VLOOKUP(L447,Foundation_Calc!$V$4:$X$37,VLOOKUP(AX447,Foundation_Calc!$I$10:$J$13,2,FALSE),0),
IF(AX447="K",VLOOKUP(L447,Foundation_Calc!$V$41:$X$74,VLOOKUP(AX447,Foundation_Calc!$I$10:$J$13,2,FALSE),0),"")))</f>
        <v/>
      </c>
      <c r="N447" s="8"/>
      <c r="O447" s="8"/>
      <c r="P447" s="8"/>
      <c r="Q447" s="14"/>
      <c r="R447" s="15"/>
      <c r="S447" s="15"/>
      <c r="T447" s="14"/>
      <c r="U447" s="14"/>
      <c r="V447" s="14"/>
      <c r="W447" s="18"/>
      <c r="X447" s="18"/>
      <c r="Y447" s="18"/>
      <c r="Z447" s="18"/>
      <c r="AA447" s="18"/>
      <c r="AB447" s="18"/>
      <c r="AC447" s="8" t="str">
        <f t="shared" si="27"/>
        <v/>
      </c>
      <c r="AD447" s="8"/>
      <c r="AE447" s="8"/>
      <c r="AF447" s="14"/>
      <c r="AG447" s="13"/>
      <c r="AH447" s="14"/>
      <c r="AI447" s="14"/>
      <c r="AJ447" s="8"/>
      <c r="AK447" s="8"/>
      <c r="AL447" s="8"/>
      <c r="AM447" s="8"/>
      <c r="AN447" s="631"/>
      <c r="AO447" s="18"/>
      <c r="AP447" s="18"/>
      <c r="AQ447" s="18"/>
      <c r="AR447" s="18"/>
      <c r="AS447" s="18"/>
      <c r="AU447" s="448"/>
      <c r="AV447" s="448"/>
      <c r="AW447" s="8" t="str">
        <f>IF(C447&gt;0,VLOOKUP(C447,Foundation_Calc!$A$2:$C$986,3,1),
IF(J447&gt;0,VLOOKUP(J447,Foundation_Calc!$A$2:$C$986,3,1),""))</f>
        <v/>
      </c>
      <c r="AX447" s="8" t="str">
        <f>IF(C447&gt;0,VLOOKUP(C447,Foundation_Calc!$E$2:$G$986,3,1),
IF(J447&gt;0,VLOOKUP(J447,Foundation_Calc!$E$2:$G$986,3,1),""))</f>
        <v/>
      </c>
      <c r="AY447" s="631" t="str">
        <f>IF(L447="","",
IF(AX447="PT",VLOOKUP(L447,Foundation_Calc!$K$4:$R$37,VLOOKUP(AW447,Foundation_Calc!$I$2:$J$8,2,FALSE),0),
IF(AX447="K",VLOOKUP(L447,Foundation_Calc!$K$41:$R$74,VLOOKUP(AW447,Foundation_Calc!$I$2:$J$8,2,FALSE),0),"")))</f>
        <v/>
      </c>
      <c r="AZ447" s="631" t="str">
        <f>IF(K447="","",
IF(AX447="PT",VLOOKUP(K447,Foundation_Calc!$K$4:$R$37,VLOOKUP(AW447,Foundation_Calc!$I$2:$J$8,2,FALSE),0),
IF(AX447="K",VLOOKUP(K447,Foundation_Calc!$K$41:$R$74,VLOOKUP(AW447,Foundation_Calc!$I$2:$J$8,2,FALSE),0),"")))</f>
        <v/>
      </c>
      <c r="BA447" s="632" t="str">
        <f t="shared" si="28"/>
        <v/>
      </c>
      <c r="BB447" s="632" t="str">
        <f t="shared" si="29"/>
        <v/>
      </c>
      <c r="BC447" s="632" t="str">
        <f t="shared" si="30"/>
        <v/>
      </c>
      <c r="BD447" s="633" t="str">
        <f>IF(AND(L447="",H447=""),"",
IF(H447="",Pole_Calc!A475,
IF(H447="MP",Pole_Calc!A476,
IF(H447="AnMP",Pole_Calc!A477,
IF(H447="A",Pole_Calc!A478,
IF(H447="S/A",Pole_Calc!A479,
IF(H447="A/S",Pole_Calc!A480,"Poner a mano")))))))</f>
        <v/>
      </c>
      <c r="BE447" s="448" t="s">
        <v>1726</v>
      </c>
      <c r="BF447" s="635"/>
      <c r="BG447" s="635"/>
      <c r="BH447" s="634"/>
      <c r="BI447" s="635"/>
    </row>
    <row r="448" spans="1:61" ht="16.2" customHeight="1">
      <c r="A448" s="12"/>
      <c r="B448" s="446"/>
      <c r="C448" s="89"/>
      <c r="D448" s="13"/>
      <c r="E448" s="14"/>
      <c r="F448" s="14"/>
      <c r="G448" s="15"/>
      <c r="H448" s="8"/>
      <c r="I448" s="8"/>
      <c r="J448" s="89"/>
      <c r="K448" s="8"/>
      <c r="L448" s="8"/>
      <c r="M448" s="8" t="str">
        <f>IF(L448="","",
IF(AX448="PT",VLOOKUP(L448,Foundation_Calc!$V$4:$X$37,VLOOKUP(AX448,Foundation_Calc!$I$10:$J$13,2,FALSE),0),
IF(AX448="K",VLOOKUP(L448,Foundation_Calc!$V$41:$X$74,VLOOKUP(AX448,Foundation_Calc!$I$10:$J$13,2,FALSE),0),"")))</f>
        <v/>
      </c>
      <c r="N448" s="8"/>
      <c r="O448" s="8"/>
      <c r="P448" s="8"/>
      <c r="Q448" s="14"/>
      <c r="R448" s="15"/>
      <c r="S448" s="15"/>
      <c r="T448" s="14"/>
      <c r="U448" s="14"/>
      <c r="V448" s="14"/>
      <c r="W448" s="18"/>
      <c r="X448" s="18"/>
      <c r="Y448" s="18"/>
      <c r="Z448" s="18"/>
      <c r="AA448" s="18"/>
      <c r="AB448" s="18"/>
      <c r="AC448" s="8" t="str">
        <f t="shared" si="27"/>
        <v/>
      </c>
      <c r="AD448" s="8"/>
      <c r="AE448" s="8"/>
      <c r="AF448" s="14"/>
      <c r="AG448" s="13"/>
      <c r="AH448" s="14"/>
      <c r="AI448" s="14"/>
      <c r="AJ448" s="8"/>
      <c r="AK448" s="8"/>
      <c r="AL448" s="8"/>
      <c r="AM448" s="8"/>
      <c r="AN448" s="631"/>
      <c r="AO448" s="18"/>
      <c r="AP448" s="18"/>
      <c r="AQ448" s="18"/>
      <c r="AR448" s="18"/>
      <c r="AS448" s="18"/>
      <c r="AU448" s="448"/>
      <c r="AV448" s="448"/>
      <c r="AW448" s="8" t="str">
        <f>IF(C448&gt;0,VLOOKUP(C448,Foundation_Calc!$A$2:$C$986,3,1),
IF(J448&gt;0,VLOOKUP(J448,Foundation_Calc!$A$2:$C$986,3,1),""))</f>
        <v/>
      </c>
      <c r="AX448" s="8" t="str">
        <f>IF(C448&gt;0,VLOOKUP(C448,Foundation_Calc!$E$2:$G$986,3,1),
IF(J448&gt;0,VLOOKUP(J448,Foundation_Calc!$E$2:$G$986,3,1),""))</f>
        <v/>
      </c>
      <c r="AY448" s="631" t="str">
        <f>IF(L448="","",
IF(AX448="PT",VLOOKUP(L448,Foundation_Calc!$K$4:$R$37,VLOOKUP(AW448,Foundation_Calc!$I$2:$J$8,2,FALSE),0),
IF(AX448="K",VLOOKUP(L448,Foundation_Calc!$K$41:$R$74,VLOOKUP(AW448,Foundation_Calc!$I$2:$J$8,2,FALSE),0),"")))</f>
        <v/>
      </c>
      <c r="AZ448" s="631" t="str">
        <f>IF(K448="","",
IF(AX448="PT",VLOOKUP(K448,Foundation_Calc!$K$4:$R$37,VLOOKUP(AW448,Foundation_Calc!$I$2:$J$8,2,FALSE),0),
IF(AX448="K",VLOOKUP(K448,Foundation_Calc!$K$41:$R$74,VLOOKUP(AW448,Foundation_Calc!$I$2:$J$8,2,FALSE),0),"")))</f>
        <v/>
      </c>
      <c r="BA448" s="632" t="str">
        <f t="shared" si="28"/>
        <v/>
      </c>
      <c r="BB448" s="632" t="str">
        <f t="shared" si="29"/>
        <v/>
      </c>
      <c r="BC448" s="632" t="str">
        <f t="shared" si="30"/>
        <v/>
      </c>
      <c r="BD448" s="633" t="str">
        <f>IF(AND(L448="",H448=""),"",
IF(H448="",Pole_Calc!A476,
IF(H448="MP",Pole_Calc!A477,
IF(H448="AnMP",Pole_Calc!A478,
IF(H448="A",Pole_Calc!A479,
IF(H448="S/A",Pole_Calc!A480,
IF(H448="A/S",Pole_Calc!A481,"Poner a mano")))))))</f>
        <v/>
      </c>
      <c r="BE448" s="448" t="s">
        <v>1726</v>
      </c>
      <c r="BF448" s="634"/>
      <c r="BG448" s="634"/>
      <c r="BH448" s="634"/>
      <c r="BI448" s="634"/>
    </row>
    <row r="449" spans="1:61" ht="16.2" customHeight="1">
      <c r="A449" s="12"/>
      <c r="B449" s="446"/>
      <c r="C449" s="89"/>
      <c r="D449" s="13"/>
      <c r="E449" s="14"/>
      <c r="F449" s="14"/>
      <c r="G449" s="15"/>
      <c r="H449" s="8"/>
      <c r="I449" s="8"/>
      <c r="J449" s="89"/>
      <c r="K449" s="8"/>
      <c r="L449" s="8"/>
      <c r="M449" s="8" t="str">
        <f>IF(L449="","",
IF(AX449="PT",VLOOKUP(L449,Foundation_Calc!$V$4:$X$37,VLOOKUP(AX449,Foundation_Calc!$I$10:$J$13,2,FALSE),0),
IF(AX449="K",VLOOKUP(L449,Foundation_Calc!$V$41:$X$74,VLOOKUP(AX449,Foundation_Calc!$I$10:$J$13,2,FALSE),0),"")))</f>
        <v/>
      </c>
      <c r="N449" s="8"/>
      <c r="O449" s="8"/>
      <c r="P449" s="8"/>
      <c r="Q449" s="14"/>
      <c r="R449" s="15"/>
      <c r="S449" s="15"/>
      <c r="T449" s="14"/>
      <c r="U449" s="14"/>
      <c r="V449" s="14"/>
      <c r="W449" s="18"/>
      <c r="X449" s="18"/>
      <c r="Y449" s="18"/>
      <c r="Z449" s="18"/>
      <c r="AA449" s="18"/>
      <c r="AB449" s="18"/>
      <c r="AC449" s="8" t="str">
        <f t="shared" si="27"/>
        <v/>
      </c>
      <c r="AD449" s="8"/>
      <c r="AE449" s="8"/>
      <c r="AF449" s="14"/>
      <c r="AG449" s="13"/>
      <c r="AH449" s="14"/>
      <c r="AI449" s="14"/>
      <c r="AJ449" s="8"/>
      <c r="AK449" s="8"/>
      <c r="AL449" s="8"/>
      <c r="AM449" s="8"/>
      <c r="AN449" s="631"/>
      <c r="AO449" s="18"/>
      <c r="AP449" s="18"/>
      <c r="AQ449" s="18"/>
      <c r="AR449" s="18"/>
      <c r="AS449" s="18"/>
      <c r="AU449" s="448"/>
      <c r="AV449" s="448"/>
      <c r="AW449" s="8" t="str">
        <f>IF(C449&gt;0,VLOOKUP(C449,Foundation_Calc!$A$2:$C$986,3,1),
IF(J449&gt;0,VLOOKUP(J449,Foundation_Calc!$A$2:$C$986,3,1),""))</f>
        <v/>
      </c>
      <c r="AX449" s="8" t="str">
        <f>IF(C449&gt;0,VLOOKUP(C449,Foundation_Calc!$E$2:$G$986,3,1),
IF(J449&gt;0,VLOOKUP(J449,Foundation_Calc!$E$2:$G$986,3,1),""))</f>
        <v/>
      </c>
      <c r="AY449" s="631" t="str">
        <f>IF(L449="","",
IF(AX449="PT",VLOOKUP(L449,Foundation_Calc!$K$4:$R$37,VLOOKUP(AW449,Foundation_Calc!$I$2:$J$8,2,FALSE),0),
IF(AX449="K",VLOOKUP(L449,Foundation_Calc!$K$41:$R$74,VLOOKUP(AW449,Foundation_Calc!$I$2:$J$8,2,FALSE),0),"")))</f>
        <v/>
      </c>
      <c r="AZ449" s="631" t="str">
        <f>IF(K449="","",
IF(AX449="PT",VLOOKUP(K449,Foundation_Calc!$K$4:$R$37,VLOOKUP(AW449,Foundation_Calc!$I$2:$J$8,2,FALSE),0),
IF(AX449="K",VLOOKUP(K449,Foundation_Calc!$K$41:$R$74,VLOOKUP(AW449,Foundation_Calc!$I$2:$J$8,2,FALSE),0),"")))</f>
        <v/>
      </c>
      <c r="BA449" s="632" t="str">
        <f t="shared" si="28"/>
        <v/>
      </c>
      <c r="BB449" s="632" t="str">
        <f t="shared" si="29"/>
        <v/>
      </c>
      <c r="BC449" s="632" t="str">
        <f t="shared" si="30"/>
        <v/>
      </c>
      <c r="BD449" s="633" t="str">
        <f>IF(AND(L449="",H449=""),"",
IF(H449="",Pole_Calc!A477,
IF(H449="MP",Pole_Calc!A478,
IF(H449="AnMP",Pole_Calc!A479,
IF(H449="A",Pole_Calc!A480,
IF(H449="S/A",Pole_Calc!A481,
IF(H449="A/S",Pole_Calc!A482,"Poner a mano")))))))</f>
        <v/>
      </c>
      <c r="BE449" s="448" t="s">
        <v>1726</v>
      </c>
      <c r="BF449" s="635"/>
      <c r="BG449" s="635"/>
      <c r="BH449" s="634"/>
      <c r="BI449" s="635"/>
    </row>
    <row r="450" spans="1:61" ht="16.2" customHeight="1">
      <c r="A450" s="12"/>
      <c r="B450" s="446"/>
      <c r="C450" s="89"/>
      <c r="D450" s="13"/>
      <c r="E450" s="14"/>
      <c r="F450" s="14"/>
      <c r="G450" s="15"/>
      <c r="H450" s="8"/>
      <c r="I450" s="8"/>
      <c r="J450" s="89"/>
      <c r="K450" s="8"/>
      <c r="L450" s="8"/>
      <c r="M450" s="8" t="str">
        <f>IF(L450="","",
IF(AX450="PT",VLOOKUP(L450,Foundation_Calc!$V$4:$X$37,VLOOKUP(AX450,Foundation_Calc!$I$10:$J$13,2,FALSE),0),
IF(AX450="K",VLOOKUP(L450,Foundation_Calc!$V$41:$X$74,VLOOKUP(AX450,Foundation_Calc!$I$10:$J$13,2,FALSE),0),"")))</f>
        <v/>
      </c>
      <c r="N450" s="8"/>
      <c r="O450" s="8"/>
      <c r="P450" s="8"/>
      <c r="Q450" s="14"/>
      <c r="R450" s="15"/>
      <c r="S450" s="15"/>
      <c r="T450" s="14"/>
      <c r="U450" s="14"/>
      <c r="V450" s="14"/>
      <c r="W450" s="18"/>
      <c r="X450" s="18"/>
      <c r="Y450" s="18"/>
      <c r="Z450" s="18"/>
      <c r="AA450" s="18"/>
      <c r="AB450" s="18"/>
      <c r="AC450" s="8" t="str">
        <f t="shared" si="27"/>
        <v/>
      </c>
      <c r="AD450" s="8"/>
      <c r="AE450" s="8"/>
      <c r="AF450" s="14"/>
      <c r="AG450" s="13"/>
      <c r="AH450" s="14"/>
      <c r="AI450" s="14"/>
      <c r="AJ450" s="8"/>
      <c r="AK450" s="8"/>
      <c r="AL450" s="8"/>
      <c r="AM450" s="8"/>
      <c r="AN450" s="631"/>
      <c r="AO450" s="18"/>
      <c r="AP450" s="18"/>
      <c r="AQ450" s="18"/>
      <c r="AR450" s="18"/>
      <c r="AS450" s="18"/>
      <c r="AU450" s="448"/>
      <c r="AV450" s="448"/>
      <c r="AW450" s="8" t="str">
        <f>IF(C450&gt;0,VLOOKUP(C450,Foundation_Calc!$A$2:$C$986,3,1),
IF(J450&gt;0,VLOOKUP(J450,Foundation_Calc!$A$2:$C$986,3,1),""))</f>
        <v/>
      </c>
      <c r="AX450" s="8" t="str">
        <f>IF(C450&gt;0,VLOOKUP(C450,Foundation_Calc!$E$2:$G$986,3,1),
IF(J450&gt;0,VLOOKUP(J450,Foundation_Calc!$E$2:$G$986,3,1),""))</f>
        <v/>
      </c>
      <c r="AY450" s="631" t="str">
        <f>IF(L450="","",
IF(AX450="PT",VLOOKUP(L450,Foundation_Calc!$K$4:$R$37,VLOOKUP(AW450,Foundation_Calc!$I$2:$J$8,2,FALSE),0),
IF(AX450="K",VLOOKUP(L450,Foundation_Calc!$K$41:$R$74,VLOOKUP(AW450,Foundation_Calc!$I$2:$J$8,2,FALSE),0),"")))</f>
        <v/>
      </c>
      <c r="AZ450" s="631" t="str">
        <f>IF(K450="","",
IF(AX450="PT",VLOOKUP(K450,Foundation_Calc!$K$4:$R$37,VLOOKUP(AW450,Foundation_Calc!$I$2:$J$8,2,FALSE),0),
IF(AX450="K",VLOOKUP(K450,Foundation_Calc!$K$41:$R$74,VLOOKUP(AW450,Foundation_Calc!$I$2:$J$8,2,FALSE),0),"")))</f>
        <v/>
      </c>
      <c r="BA450" s="632" t="str">
        <f t="shared" si="28"/>
        <v/>
      </c>
      <c r="BB450" s="632" t="str">
        <f t="shared" si="29"/>
        <v/>
      </c>
      <c r="BC450" s="632" t="str">
        <f t="shared" si="30"/>
        <v/>
      </c>
      <c r="BD450" s="633" t="str">
        <f>IF(AND(L450="",H450=""),"",
IF(H450="",Pole_Calc!A478,
IF(H450="MP",Pole_Calc!A479,
IF(H450="AnMP",Pole_Calc!A480,
IF(H450="A",Pole_Calc!A481,
IF(H450="S/A",Pole_Calc!A482,
IF(H450="A/S",Pole_Calc!A483,"Poner a mano")))))))</f>
        <v/>
      </c>
      <c r="BE450" s="448" t="s">
        <v>1726</v>
      </c>
      <c r="BF450" s="634"/>
      <c r="BG450" s="634"/>
      <c r="BH450" s="634"/>
      <c r="BI450" s="634"/>
    </row>
    <row r="451" spans="1:61" ht="16.2" customHeight="1">
      <c r="A451" s="12"/>
      <c r="B451" s="446"/>
      <c r="C451" s="89"/>
      <c r="D451" s="13"/>
      <c r="E451" s="14"/>
      <c r="F451" s="14"/>
      <c r="G451" s="15"/>
      <c r="H451" s="8"/>
      <c r="I451" s="8"/>
      <c r="J451" s="89"/>
      <c r="K451" s="8"/>
      <c r="L451" s="8"/>
      <c r="M451" s="8" t="str">
        <f>IF(L451="","",
IF(AX451="PT",VLOOKUP(L451,Foundation_Calc!$V$4:$X$37,VLOOKUP(AX451,Foundation_Calc!$I$10:$J$13,2,FALSE),0),
IF(AX451="K",VLOOKUP(L451,Foundation_Calc!$V$41:$X$74,VLOOKUP(AX451,Foundation_Calc!$I$10:$J$13,2,FALSE),0),"")))</f>
        <v/>
      </c>
      <c r="N451" s="8"/>
      <c r="O451" s="8"/>
      <c r="P451" s="8"/>
      <c r="Q451" s="14"/>
      <c r="R451" s="15"/>
      <c r="S451" s="15"/>
      <c r="T451" s="14"/>
      <c r="U451" s="14"/>
      <c r="V451" s="14"/>
      <c r="W451" s="18"/>
      <c r="X451" s="18"/>
      <c r="Y451" s="18"/>
      <c r="Z451" s="18"/>
      <c r="AA451" s="18"/>
      <c r="AB451" s="18"/>
      <c r="AC451" s="8" t="str">
        <f t="shared" si="27"/>
        <v/>
      </c>
      <c r="AD451" s="8"/>
      <c r="AE451" s="8"/>
      <c r="AF451" s="14"/>
      <c r="AG451" s="13"/>
      <c r="AH451" s="14"/>
      <c r="AI451" s="14"/>
      <c r="AJ451" s="8"/>
      <c r="AK451" s="8"/>
      <c r="AL451" s="8"/>
      <c r="AM451" s="8"/>
      <c r="AN451" s="631"/>
      <c r="AO451" s="18"/>
      <c r="AP451" s="18"/>
      <c r="AQ451" s="18"/>
      <c r="AR451" s="18"/>
      <c r="AS451" s="18"/>
      <c r="AU451" s="448"/>
      <c r="AV451" s="448"/>
      <c r="AW451" s="8" t="str">
        <f>IF(C451&gt;0,VLOOKUP(C451,Foundation_Calc!$A$2:$C$986,3,1),
IF(J451&gt;0,VLOOKUP(J451,Foundation_Calc!$A$2:$C$986,3,1),""))</f>
        <v/>
      </c>
      <c r="AX451" s="8" t="str">
        <f>IF(C451&gt;0,VLOOKUP(C451,Foundation_Calc!$E$2:$G$986,3,1),
IF(J451&gt;0,VLOOKUP(J451,Foundation_Calc!$E$2:$G$986,3,1),""))</f>
        <v/>
      </c>
      <c r="AY451" s="631" t="str">
        <f>IF(L451="","",
IF(AX451="PT",VLOOKUP(L451,Foundation_Calc!$K$4:$R$37,VLOOKUP(AW451,Foundation_Calc!$I$2:$J$8,2,FALSE),0),
IF(AX451="K",VLOOKUP(L451,Foundation_Calc!$K$41:$R$74,VLOOKUP(AW451,Foundation_Calc!$I$2:$J$8,2,FALSE),0),"")))</f>
        <v/>
      </c>
      <c r="AZ451" s="631" t="str">
        <f>IF(K451="","",
IF(AX451="PT",VLOOKUP(K451,Foundation_Calc!$K$4:$R$37,VLOOKUP(AW451,Foundation_Calc!$I$2:$J$8,2,FALSE),0),
IF(AX451="K",VLOOKUP(K451,Foundation_Calc!$K$41:$R$74,VLOOKUP(AW451,Foundation_Calc!$I$2:$J$8,2,FALSE),0),"")))</f>
        <v/>
      </c>
      <c r="BA451" s="632" t="str">
        <f t="shared" si="28"/>
        <v/>
      </c>
      <c r="BB451" s="632" t="str">
        <f t="shared" si="29"/>
        <v/>
      </c>
      <c r="BC451" s="632" t="str">
        <f t="shared" si="30"/>
        <v/>
      </c>
      <c r="BD451" s="633" t="str">
        <f>IF(AND(L451="",H451=""),"",
IF(H451="",Pole_Calc!A479,
IF(H451="MP",Pole_Calc!A480,
IF(H451="AnMP",Pole_Calc!A481,
IF(H451="A",Pole_Calc!A482,
IF(H451="S/A",Pole_Calc!A483,
IF(H451="A/S",Pole_Calc!A484,"Poner a mano")))))))</f>
        <v/>
      </c>
      <c r="BE451" s="448" t="s">
        <v>1726</v>
      </c>
      <c r="BF451" s="635"/>
      <c r="BG451" s="635"/>
      <c r="BH451" s="634"/>
      <c r="BI451" s="635"/>
    </row>
    <row r="452" spans="1:61" ht="16.2" customHeight="1">
      <c r="A452" s="12"/>
      <c r="B452" s="446"/>
      <c r="C452" s="89"/>
      <c r="D452" s="13"/>
      <c r="E452" s="14"/>
      <c r="F452" s="14"/>
      <c r="G452" s="15"/>
      <c r="H452" s="8"/>
      <c r="I452" s="8"/>
      <c r="J452" s="89"/>
      <c r="K452" s="8"/>
      <c r="L452" s="8"/>
      <c r="M452" s="8" t="str">
        <f>IF(L452="","",
IF(AX452="PT",VLOOKUP(L452,Foundation_Calc!$V$4:$X$37,VLOOKUP(AX452,Foundation_Calc!$I$10:$J$13,2,FALSE),0),
IF(AX452="K",VLOOKUP(L452,Foundation_Calc!$V$41:$X$74,VLOOKUP(AX452,Foundation_Calc!$I$10:$J$13,2,FALSE),0),"")))</f>
        <v/>
      </c>
      <c r="N452" s="8"/>
      <c r="O452" s="8"/>
      <c r="P452" s="8"/>
      <c r="Q452" s="14"/>
      <c r="R452" s="15"/>
      <c r="S452" s="15"/>
      <c r="T452" s="14"/>
      <c r="U452" s="14"/>
      <c r="V452" s="14"/>
      <c r="W452" s="18"/>
      <c r="X452" s="18"/>
      <c r="Y452" s="18"/>
      <c r="Z452" s="18"/>
      <c r="AA452" s="18"/>
      <c r="AB452" s="18"/>
      <c r="AC452" s="8" t="str">
        <f t="shared" si="27"/>
        <v/>
      </c>
      <c r="AD452" s="8"/>
      <c r="AE452" s="8"/>
      <c r="AF452" s="14"/>
      <c r="AG452" s="13"/>
      <c r="AH452" s="14"/>
      <c r="AI452" s="14"/>
      <c r="AJ452" s="8"/>
      <c r="AK452" s="8"/>
      <c r="AL452" s="8"/>
      <c r="AM452" s="8"/>
      <c r="AN452" s="631"/>
      <c r="AO452" s="18"/>
      <c r="AP452" s="18"/>
      <c r="AQ452" s="18"/>
      <c r="AR452" s="18"/>
      <c r="AS452" s="18"/>
      <c r="AU452" s="448"/>
      <c r="AV452" s="448"/>
      <c r="AW452" s="8" t="str">
        <f>IF(C452&gt;0,VLOOKUP(C452,Foundation_Calc!$A$2:$C$986,3,1),
IF(J452&gt;0,VLOOKUP(J452,Foundation_Calc!$A$2:$C$986,3,1),""))</f>
        <v/>
      </c>
      <c r="AX452" s="8" t="str">
        <f>IF(C452&gt;0,VLOOKUP(C452,Foundation_Calc!$E$2:$G$986,3,1),
IF(J452&gt;0,VLOOKUP(J452,Foundation_Calc!$E$2:$G$986,3,1),""))</f>
        <v/>
      </c>
      <c r="AY452" s="631" t="str">
        <f>IF(L452="","",
IF(AX452="PT",VLOOKUP(L452,Foundation_Calc!$K$4:$R$37,VLOOKUP(AW452,Foundation_Calc!$I$2:$J$8,2,FALSE),0),
IF(AX452="K",VLOOKUP(L452,Foundation_Calc!$K$41:$R$74,VLOOKUP(AW452,Foundation_Calc!$I$2:$J$8,2,FALSE),0),"")))</f>
        <v/>
      </c>
      <c r="AZ452" s="631" t="str">
        <f>IF(K452="","",
IF(AX452="PT",VLOOKUP(K452,Foundation_Calc!$K$4:$R$37,VLOOKUP(AW452,Foundation_Calc!$I$2:$J$8,2,FALSE),0),
IF(AX452="K",VLOOKUP(K452,Foundation_Calc!$K$41:$R$74,VLOOKUP(AW452,Foundation_Calc!$I$2:$J$8,2,FALSE),0),"")))</f>
        <v/>
      </c>
      <c r="BA452" s="632" t="str">
        <f t="shared" si="28"/>
        <v/>
      </c>
      <c r="BB452" s="632" t="str">
        <f t="shared" si="29"/>
        <v/>
      </c>
      <c r="BC452" s="632" t="str">
        <f t="shared" si="30"/>
        <v/>
      </c>
      <c r="BD452" s="633" t="str">
        <f>IF(AND(L452="",H452=""),"",
IF(H452="",Pole_Calc!A480,
IF(H452="MP",Pole_Calc!A481,
IF(H452="AnMP",Pole_Calc!A482,
IF(H452="A",Pole_Calc!A483,
IF(H452="S/A",Pole_Calc!A484,
IF(H452="A/S",Pole_Calc!A485,"Poner a mano")))))))</f>
        <v/>
      </c>
      <c r="BE452" s="448" t="s">
        <v>1726</v>
      </c>
      <c r="BF452" s="634"/>
      <c r="BG452" s="634"/>
      <c r="BH452" s="634"/>
      <c r="BI452" s="634"/>
    </row>
    <row r="453" spans="1:61" ht="16.2" customHeight="1">
      <c r="A453" s="12"/>
      <c r="B453" s="446"/>
      <c r="C453" s="89"/>
      <c r="D453" s="13"/>
      <c r="E453" s="14"/>
      <c r="F453" s="14"/>
      <c r="G453" s="15"/>
      <c r="H453" s="8"/>
      <c r="I453" s="8"/>
      <c r="J453" s="89"/>
      <c r="K453" s="8"/>
      <c r="L453" s="8"/>
      <c r="M453" s="8" t="str">
        <f>IF(L453="","",
IF(AX453="PT",VLOOKUP(L453,Foundation_Calc!$V$4:$X$37,VLOOKUP(AX453,Foundation_Calc!$I$10:$J$13,2,FALSE),0),
IF(AX453="K",VLOOKUP(L453,Foundation_Calc!$V$41:$X$74,VLOOKUP(AX453,Foundation_Calc!$I$10:$J$13,2,FALSE),0),"")))</f>
        <v/>
      </c>
      <c r="N453" s="8"/>
      <c r="O453" s="8"/>
      <c r="P453" s="8"/>
      <c r="Q453" s="14"/>
      <c r="R453" s="15"/>
      <c r="S453" s="15"/>
      <c r="T453" s="14"/>
      <c r="U453" s="14"/>
      <c r="V453" s="14"/>
      <c r="W453" s="18"/>
      <c r="X453" s="18"/>
      <c r="Y453" s="18"/>
      <c r="Z453" s="18"/>
      <c r="AA453" s="18"/>
      <c r="AB453" s="18"/>
      <c r="AC453" s="8" t="str">
        <f t="shared" si="27"/>
        <v/>
      </c>
      <c r="AD453" s="8"/>
      <c r="AE453" s="8"/>
      <c r="AF453" s="14"/>
      <c r="AG453" s="13"/>
      <c r="AH453" s="14"/>
      <c r="AI453" s="14"/>
      <c r="AJ453" s="8"/>
      <c r="AK453" s="8"/>
      <c r="AL453" s="8"/>
      <c r="AM453" s="8"/>
      <c r="AN453" s="631"/>
      <c r="AO453" s="18"/>
      <c r="AP453" s="18"/>
      <c r="AQ453" s="18"/>
      <c r="AR453" s="18"/>
      <c r="AS453" s="18"/>
      <c r="AU453" s="448"/>
      <c r="AV453" s="448"/>
      <c r="AW453" s="8" t="str">
        <f>IF(C453&gt;0,VLOOKUP(C453,Foundation_Calc!$A$2:$C$986,3,1),
IF(J453&gt;0,VLOOKUP(J453,Foundation_Calc!$A$2:$C$986,3,1),""))</f>
        <v/>
      </c>
      <c r="AX453" s="8" t="str">
        <f>IF(C453&gt;0,VLOOKUP(C453,Foundation_Calc!$E$2:$G$986,3,1),
IF(J453&gt;0,VLOOKUP(J453,Foundation_Calc!$E$2:$G$986,3,1),""))</f>
        <v/>
      </c>
      <c r="AY453" s="631" t="str">
        <f>IF(L453="","",
IF(AX453="PT",VLOOKUP(L453,Foundation_Calc!$K$4:$R$37,VLOOKUP(AW453,Foundation_Calc!$I$2:$J$8,2,FALSE),0),
IF(AX453="K",VLOOKUP(L453,Foundation_Calc!$K$41:$R$74,VLOOKUP(AW453,Foundation_Calc!$I$2:$J$8,2,FALSE),0),"")))</f>
        <v/>
      </c>
      <c r="AZ453" s="631" t="str">
        <f>IF(K453="","",
IF(AX453="PT",VLOOKUP(K453,Foundation_Calc!$K$4:$R$37,VLOOKUP(AW453,Foundation_Calc!$I$2:$J$8,2,FALSE),0),
IF(AX453="K",VLOOKUP(K453,Foundation_Calc!$K$41:$R$74,VLOOKUP(AW453,Foundation_Calc!$I$2:$J$8,2,FALSE),0),"")))</f>
        <v/>
      </c>
      <c r="BA453" s="632" t="str">
        <f t="shared" si="28"/>
        <v/>
      </c>
      <c r="BB453" s="632" t="str">
        <f t="shared" si="29"/>
        <v/>
      </c>
      <c r="BC453" s="632" t="str">
        <f t="shared" si="30"/>
        <v/>
      </c>
      <c r="BD453" s="633" t="str">
        <f>IF(AND(L453="",H453=""),"",
IF(H453="",Pole_Calc!A481,
IF(H453="MP",Pole_Calc!A482,
IF(H453="AnMP",Pole_Calc!A483,
IF(H453="A",Pole_Calc!A484,
IF(H453="S/A",Pole_Calc!A485,
IF(H453="A/S",Pole_Calc!A486,"Poner a mano")))))))</f>
        <v/>
      </c>
      <c r="BE453" s="448" t="s">
        <v>1726</v>
      </c>
      <c r="BF453" s="635"/>
      <c r="BG453" s="635"/>
      <c r="BH453" s="634"/>
      <c r="BI453" s="635"/>
    </row>
    <row r="454" spans="1:61" ht="16.2" customHeight="1">
      <c r="A454" s="12"/>
      <c r="B454" s="446"/>
      <c r="C454" s="89"/>
      <c r="D454" s="13"/>
      <c r="E454" s="14"/>
      <c r="F454" s="14"/>
      <c r="G454" s="15"/>
      <c r="H454" s="8"/>
      <c r="I454" s="8"/>
      <c r="J454" s="89"/>
      <c r="K454" s="8"/>
      <c r="L454" s="8"/>
      <c r="M454" s="8" t="str">
        <f>IF(L454="","",
IF(AX454="PT",VLOOKUP(L454,Foundation_Calc!$V$4:$X$37,VLOOKUP(AX454,Foundation_Calc!$I$10:$J$13,2,FALSE),0),
IF(AX454="K",VLOOKUP(L454,Foundation_Calc!$V$41:$X$74,VLOOKUP(AX454,Foundation_Calc!$I$10:$J$13,2,FALSE),0),"")))</f>
        <v/>
      </c>
      <c r="N454" s="8"/>
      <c r="O454" s="8"/>
      <c r="P454" s="8"/>
      <c r="Q454" s="14"/>
      <c r="R454" s="15"/>
      <c r="S454" s="15"/>
      <c r="T454" s="14"/>
      <c r="U454" s="14"/>
      <c r="V454" s="14"/>
      <c r="W454" s="18"/>
      <c r="X454" s="18"/>
      <c r="Y454" s="18"/>
      <c r="Z454" s="18"/>
      <c r="AA454" s="18"/>
      <c r="AB454" s="18"/>
      <c r="AC454" s="8" t="str">
        <f t="shared" ref="AC454:AC517" si="31">IF(OR(AT454&gt;8,AT454&lt;-8),"PH",
IF(OR(AT454&gt;5,AT454&lt;-5),"PHQ",
IF(OR(AT454&gt;1,AT454&lt;-1),
"PHC","")))</f>
        <v/>
      </c>
      <c r="AD454" s="8"/>
      <c r="AE454" s="8"/>
      <c r="AF454" s="14"/>
      <c r="AG454" s="13"/>
      <c r="AH454" s="14"/>
      <c r="AI454" s="14"/>
      <c r="AJ454" s="8"/>
      <c r="AK454" s="8"/>
      <c r="AL454" s="8"/>
      <c r="AM454" s="8"/>
      <c r="AN454" s="631"/>
      <c r="AO454" s="18"/>
      <c r="AP454" s="18"/>
      <c r="AQ454" s="18"/>
      <c r="AR454" s="18"/>
      <c r="AS454" s="18"/>
      <c r="AU454" s="448"/>
      <c r="AV454" s="448"/>
      <c r="AW454" s="8" t="str">
        <f>IF(C454&gt;0,VLOOKUP(C454,Foundation_Calc!$A$2:$C$986,3,1),
IF(J454&gt;0,VLOOKUP(J454,Foundation_Calc!$A$2:$C$986,3,1),""))</f>
        <v/>
      </c>
      <c r="AX454" s="8" t="str">
        <f>IF(C454&gt;0,VLOOKUP(C454,Foundation_Calc!$E$2:$G$986,3,1),
IF(J454&gt;0,VLOOKUP(J454,Foundation_Calc!$E$2:$G$986,3,1),""))</f>
        <v/>
      </c>
      <c r="AY454" s="631" t="str">
        <f>IF(L454="","",
IF(AX454="PT",VLOOKUP(L454,Foundation_Calc!$K$4:$R$37,VLOOKUP(AW454,Foundation_Calc!$I$2:$J$8,2,FALSE),0),
IF(AX454="K",VLOOKUP(L454,Foundation_Calc!$K$41:$R$74,VLOOKUP(AW454,Foundation_Calc!$I$2:$J$8,2,FALSE),0),"")))</f>
        <v/>
      </c>
      <c r="AZ454" s="631" t="str">
        <f>IF(K454="","",
IF(AX454="PT",VLOOKUP(K454,Foundation_Calc!$K$4:$R$37,VLOOKUP(AW454,Foundation_Calc!$I$2:$J$8,2,FALSE),0),
IF(AX454="K",VLOOKUP(K454,Foundation_Calc!$K$41:$R$74,VLOOKUP(AW454,Foundation_Calc!$I$2:$J$8,2,FALSE),0),"")))</f>
        <v/>
      </c>
      <c r="BA454" s="632" t="str">
        <f t="shared" ref="BA454:BA517" si="32">IF(AY454="","",IF(AY454&gt;0,"ü",""))</f>
        <v/>
      </c>
      <c r="BB454" s="632" t="str">
        <f t="shared" ref="BB454:BB517" si="33">IF(AZ454="","",IF(AZ454&gt;0,"ü",""))</f>
        <v/>
      </c>
      <c r="BC454" s="632" t="str">
        <f t="shared" ref="BC454:BC517" si="34">IF(M454="","",IF(M454="Unique Solution","ü",""))</f>
        <v/>
      </c>
      <c r="BD454" s="633" t="str">
        <f>IF(AND(L454="",H454=""),"",
IF(H454="",Pole_Calc!A482,
IF(H454="MP",Pole_Calc!A483,
IF(H454="AnMP",Pole_Calc!A484,
IF(H454="A",Pole_Calc!A485,
IF(H454="S/A",Pole_Calc!A486,
IF(H454="A/S",Pole_Calc!A487,"Poner a mano")))))))</f>
        <v/>
      </c>
      <c r="BE454" s="448" t="s">
        <v>1726</v>
      </c>
      <c r="BF454" s="634"/>
      <c r="BG454" s="634"/>
      <c r="BH454" s="634"/>
      <c r="BI454" s="634"/>
    </row>
    <row r="455" spans="1:61" ht="16.2" customHeight="1">
      <c r="A455" s="12"/>
      <c r="B455" s="446"/>
      <c r="C455" s="89"/>
      <c r="D455" s="13"/>
      <c r="E455" s="14"/>
      <c r="F455" s="14"/>
      <c r="G455" s="15"/>
      <c r="H455" s="8"/>
      <c r="I455" s="8"/>
      <c r="J455" s="89"/>
      <c r="K455" s="8"/>
      <c r="L455" s="8"/>
      <c r="M455" s="8" t="str">
        <f>IF(L455="","",
IF(AX455="PT",VLOOKUP(L455,Foundation_Calc!$V$4:$X$37,VLOOKUP(AX455,Foundation_Calc!$I$10:$J$13,2,FALSE),0),
IF(AX455="K",VLOOKUP(L455,Foundation_Calc!$V$41:$X$74,VLOOKUP(AX455,Foundation_Calc!$I$10:$J$13,2,FALSE),0),"")))</f>
        <v/>
      </c>
      <c r="N455" s="8"/>
      <c r="O455" s="8"/>
      <c r="P455" s="8"/>
      <c r="Q455" s="14"/>
      <c r="R455" s="15"/>
      <c r="S455" s="15"/>
      <c r="T455" s="14"/>
      <c r="U455" s="14"/>
      <c r="V455" s="14"/>
      <c r="W455" s="18"/>
      <c r="X455" s="18"/>
      <c r="Y455" s="18"/>
      <c r="Z455" s="18"/>
      <c r="AA455" s="18"/>
      <c r="AB455" s="18"/>
      <c r="AC455" s="8" t="str">
        <f t="shared" si="31"/>
        <v/>
      </c>
      <c r="AD455" s="8"/>
      <c r="AE455" s="8"/>
      <c r="AF455" s="14"/>
      <c r="AG455" s="13"/>
      <c r="AH455" s="14"/>
      <c r="AI455" s="14"/>
      <c r="AJ455" s="8"/>
      <c r="AK455" s="8"/>
      <c r="AL455" s="8"/>
      <c r="AM455" s="8"/>
      <c r="AN455" s="631"/>
      <c r="AO455" s="18"/>
      <c r="AP455" s="18"/>
      <c r="AQ455" s="18"/>
      <c r="AR455" s="18"/>
      <c r="AS455" s="18"/>
      <c r="AU455" s="448"/>
      <c r="AV455" s="448"/>
      <c r="AW455" s="8" t="str">
        <f>IF(C455&gt;0,VLOOKUP(C455,Foundation_Calc!$A$2:$C$986,3,1),
IF(J455&gt;0,VLOOKUP(J455,Foundation_Calc!$A$2:$C$986,3,1),""))</f>
        <v/>
      </c>
      <c r="AX455" s="8" t="str">
        <f>IF(C455&gt;0,VLOOKUP(C455,Foundation_Calc!$E$2:$G$986,3,1),
IF(J455&gt;0,VLOOKUP(J455,Foundation_Calc!$E$2:$G$986,3,1),""))</f>
        <v/>
      </c>
      <c r="AY455" s="631" t="str">
        <f>IF(L455="","",
IF(AX455="PT",VLOOKUP(L455,Foundation_Calc!$K$4:$R$37,VLOOKUP(AW455,Foundation_Calc!$I$2:$J$8,2,FALSE),0),
IF(AX455="K",VLOOKUP(L455,Foundation_Calc!$K$41:$R$74,VLOOKUP(AW455,Foundation_Calc!$I$2:$J$8,2,FALSE),0),"")))</f>
        <v/>
      </c>
      <c r="AZ455" s="631" t="str">
        <f>IF(K455="","",
IF(AX455="PT",VLOOKUP(K455,Foundation_Calc!$K$4:$R$37,VLOOKUP(AW455,Foundation_Calc!$I$2:$J$8,2,FALSE),0),
IF(AX455="K",VLOOKUP(K455,Foundation_Calc!$K$41:$R$74,VLOOKUP(AW455,Foundation_Calc!$I$2:$J$8,2,FALSE),0),"")))</f>
        <v/>
      </c>
      <c r="BA455" s="632" t="str">
        <f t="shared" si="32"/>
        <v/>
      </c>
      <c r="BB455" s="632" t="str">
        <f t="shared" si="33"/>
        <v/>
      </c>
      <c r="BC455" s="632" t="str">
        <f t="shared" si="34"/>
        <v/>
      </c>
      <c r="BD455" s="633" t="str">
        <f>IF(AND(L455="",H455=""),"",
IF(H455="",Pole_Calc!A483,
IF(H455="MP",Pole_Calc!A484,
IF(H455="AnMP",Pole_Calc!A485,
IF(H455="A",Pole_Calc!A486,
IF(H455="S/A",Pole_Calc!A487,
IF(H455="A/S",Pole_Calc!A488,"Poner a mano")))))))</f>
        <v/>
      </c>
      <c r="BE455" s="448" t="s">
        <v>1726</v>
      </c>
      <c r="BF455" s="635"/>
      <c r="BG455" s="635"/>
      <c r="BH455" s="634"/>
      <c r="BI455" s="635"/>
    </row>
    <row r="456" spans="1:61" ht="16.2" customHeight="1">
      <c r="A456" s="12"/>
      <c r="B456" s="446"/>
      <c r="C456" s="89"/>
      <c r="D456" s="13"/>
      <c r="E456" s="14"/>
      <c r="F456" s="14"/>
      <c r="G456" s="15"/>
      <c r="H456" s="8"/>
      <c r="I456" s="8"/>
      <c r="J456" s="89"/>
      <c r="K456" s="8"/>
      <c r="L456" s="8"/>
      <c r="M456" s="8" t="str">
        <f>IF(L456="","",
IF(AX456="PT",VLOOKUP(L456,Foundation_Calc!$V$4:$X$37,VLOOKUP(AX456,Foundation_Calc!$I$10:$J$13,2,FALSE),0),
IF(AX456="K",VLOOKUP(L456,Foundation_Calc!$V$41:$X$74,VLOOKUP(AX456,Foundation_Calc!$I$10:$J$13,2,FALSE),0),"")))</f>
        <v/>
      </c>
      <c r="N456" s="8"/>
      <c r="O456" s="8"/>
      <c r="P456" s="8"/>
      <c r="Q456" s="14"/>
      <c r="R456" s="15"/>
      <c r="S456" s="15"/>
      <c r="T456" s="14"/>
      <c r="U456" s="14"/>
      <c r="V456" s="14"/>
      <c r="W456" s="18"/>
      <c r="X456" s="18"/>
      <c r="Y456" s="18"/>
      <c r="Z456" s="18"/>
      <c r="AA456" s="18"/>
      <c r="AB456" s="18"/>
      <c r="AC456" s="8" t="str">
        <f t="shared" si="31"/>
        <v/>
      </c>
      <c r="AD456" s="8"/>
      <c r="AE456" s="8"/>
      <c r="AF456" s="14"/>
      <c r="AG456" s="13"/>
      <c r="AH456" s="14"/>
      <c r="AI456" s="14"/>
      <c r="AJ456" s="8"/>
      <c r="AK456" s="8"/>
      <c r="AL456" s="8"/>
      <c r="AM456" s="8"/>
      <c r="AN456" s="631"/>
      <c r="AO456" s="18"/>
      <c r="AP456" s="18"/>
      <c r="AQ456" s="18"/>
      <c r="AR456" s="18"/>
      <c r="AS456" s="18"/>
      <c r="AU456" s="448"/>
      <c r="AV456" s="448"/>
      <c r="AW456" s="8" t="str">
        <f>IF(C456&gt;0,VLOOKUP(C456,Foundation_Calc!$A$2:$C$986,3,1),
IF(J456&gt;0,VLOOKUP(J456,Foundation_Calc!$A$2:$C$986,3,1),""))</f>
        <v/>
      </c>
      <c r="AX456" s="8" t="str">
        <f>IF(C456&gt;0,VLOOKUP(C456,Foundation_Calc!$E$2:$G$986,3,1),
IF(J456&gt;0,VLOOKUP(J456,Foundation_Calc!$E$2:$G$986,3,1),""))</f>
        <v/>
      </c>
      <c r="AY456" s="631" t="str">
        <f>IF(L456="","",
IF(AX456="PT",VLOOKUP(L456,Foundation_Calc!$K$4:$R$37,VLOOKUP(AW456,Foundation_Calc!$I$2:$J$8,2,FALSE),0),
IF(AX456="K",VLOOKUP(L456,Foundation_Calc!$K$41:$R$74,VLOOKUP(AW456,Foundation_Calc!$I$2:$J$8,2,FALSE),0),"")))</f>
        <v/>
      </c>
      <c r="AZ456" s="631" t="str">
        <f>IF(K456="","",
IF(AX456="PT",VLOOKUP(K456,Foundation_Calc!$K$4:$R$37,VLOOKUP(AW456,Foundation_Calc!$I$2:$J$8,2,FALSE),0),
IF(AX456="K",VLOOKUP(K456,Foundation_Calc!$K$41:$R$74,VLOOKUP(AW456,Foundation_Calc!$I$2:$J$8,2,FALSE),0),"")))</f>
        <v/>
      </c>
      <c r="BA456" s="632" t="str">
        <f t="shared" si="32"/>
        <v/>
      </c>
      <c r="BB456" s="632" t="str">
        <f t="shared" si="33"/>
        <v/>
      </c>
      <c r="BC456" s="632" t="str">
        <f t="shared" si="34"/>
        <v/>
      </c>
      <c r="BD456" s="633" t="str">
        <f>IF(AND(L456="",H456=""),"",
IF(H456="",Pole_Calc!A484,
IF(H456="MP",Pole_Calc!A485,
IF(H456="AnMP",Pole_Calc!A486,
IF(H456="A",Pole_Calc!A487,
IF(H456="S/A",Pole_Calc!A488,
IF(H456="A/S",Pole_Calc!A489,"Poner a mano")))))))</f>
        <v/>
      </c>
      <c r="BE456" s="448" t="s">
        <v>1726</v>
      </c>
      <c r="BF456" s="634"/>
      <c r="BG456" s="634"/>
      <c r="BH456" s="634"/>
      <c r="BI456" s="634"/>
    </row>
    <row r="457" spans="1:61" ht="16.2" customHeight="1">
      <c r="A457" s="12"/>
      <c r="B457" s="446"/>
      <c r="C457" s="89"/>
      <c r="D457" s="13"/>
      <c r="E457" s="14"/>
      <c r="F457" s="14"/>
      <c r="G457" s="15"/>
      <c r="H457" s="8"/>
      <c r="I457" s="8"/>
      <c r="J457" s="89"/>
      <c r="K457" s="8"/>
      <c r="L457" s="8"/>
      <c r="M457" s="8" t="str">
        <f>IF(L457="","",
IF(AX457="PT",VLOOKUP(L457,Foundation_Calc!$V$4:$X$37,VLOOKUP(AX457,Foundation_Calc!$I$10:$J$13,2,FALSE),0),
IF(AX457="K",VLOOKUP(L457,Foundation_Calc!$V$41:$X$74,VLOOKUP(AX457,Foundation_Calc!$I$10:$J$13,2,FALSE),0),"")))</f>
        <v/>
      </c>
      <c r="N457" s="8"/>
      <c r="O457" s="8"/>
      <c r="P457" s="8"/>
      <c r="Q457" s="14"/>
      <c r="R457" s="15"/>
      <c r="S457" s="15"/>
      <c r="T457" s="14"/>
      <c r="U457" s="14"/>
      <c r="V457" s="14"/>
      <c r="W457" s="18"/>
      <c r="X457" s="18"/>
      <c r="Y457" s="18"/>
      <c r="Z457" s="18"/>
      <c r="AA457" s="18"/>
      <c r="AB457" s="18"/>
      <c r="AC457" s="8" t="str">
        <f t="shared" si="31"/>
        <v/>
      </c>
      <c r="AD457" s="8"/>
      <c r="AE457" s="8"/>
      <c r="AF457" s="14"/>
      <c r="AG457" s="13"/>
      <c r="AH457" s="14"/>
      <c r="AI457" s="14"/>
      <c r="AJ457" s="8"/>
      <c r="AK457" s="8"/>
      <c r="AL457" s="8"/>
      <c r="AM457" s="8"/>
      <c r="AN457" s="631"/>
      <c r="AO457" s="18"/>
      <c r="AP457" s="18"/>
      <c r="AQ457" s="18"/>
      <c r="AR457" s="18"/>
      <c r="AS457" s="18"/>
      <c r="AU457" s="448"/>
      <c r="AV457" s="448"/>
      <c r="AW457" s="8" t="str">
        <f>IF(C457&gt;0,VLOOKUP(C457,Foundation_Calc!$A$2:$C$986,3,1),
IF(J457&gt;0,VLOOKUP(J457,Foundation_Calc!$A$2:$C$986,3,1),""))</f>
        <v/>
      </c>
      <c r="AX457" s="8" t="str">
        <f>IF(C457&gt;0,VLOOKUP(C457,Foundation_Calc!$E$2:$G$986,3,1),
IF(J457&gt;0,VLOOKUP(J457,Foundation_Calc!$E$2:$G$986,3,1),""))</f>
        <v/>
      </c>
      <c r="AY457" s="631" t="str">
        <f>IF(L457="","",
IF(AX457="PT",VLOOKUP(L457,Foundation_Calc!$K$4:$R$37,VLOOKUP(AW457,Foundation_Calc!$I$2:$J$8,2,FALSE),0),
IF(AX457="K",VLOOKUP(L457,Foundation_Calc!$K$41:$R$74,VLOOKUP(AW457,Foundation_Calc!$I$2:$J$8,2,FALSE),0),"")))</f>
        <v/>
      </c>
      <c r="AZ457" s="631" t="str">
        <f>IF(K457="","",
IF(AX457="PT",VLOOKUP(K457,Foundation_Calc!$K$4:$R$37,VLOOKUP(AW457,Foundation_Calc!$I$2:$J$8,2,FALSE),0),
IF(AX457="K",VLOOKUP(K457,Foundation_Calc!$K$41:$R$74,VLOOKUP(AW457,Foundation_Calc!$I$2:$J$8,2,FALSE),0),"")))</f>
        <v/>
      </c>
      <c r="BA457" s="632" t="str">
        <f t="shared" si="32"/>
        <v/>
      </c>
      <c r="BB457" s="632" t="str">
        <f t="shared" si="33"/>
        <v/>
      </c>
      <c r="BC457" s="632" t="str">
        <f t="shared" si="34"/>
        <v/>
      </c>
      <c r="BD457" s="633" t="str">
        <f>IF(AND(L457="",H457=""),"",
IF(H457="",Pole_Calc!A485,
IF(H457="MP",Pole_Calc!A486,
IF(H457="AnMP",Pole_Calc!A487,
IF(H457="A",Pole_Calc!A488,
IF(H457="S/A",Pole_Calc!A489,
IF(H457="A/S",Pole_Calc!A490,"Poner a mano")))))))</f>
        <v/>
      </c>
      <c r="BE457" s="448" t="s">
        <v>1726</v>
      </c>
      <c r="BF457" s="635"/>
      <c r="BG457" s="635"/>
      <c r="BH457" s="634"/>
      <c r="BI457" s="635"/>
    </row>
    <row r="458" spans="1:61" ht="16.2" customHeight="1">
      <c r="A458" s="12"/>
      <c r="B458" s="446"/>
      <c r="C458" s="89"/>
      <c r="D458" s="13"/>
      <c r="E458" s="14"/>
      <c r="F458" s="14"/>
      <c r="G458" s="15"/>
      <c r="H458" s="8"/>
      <c r="I458" s="8"/>
      <c r="J458" s="89"/>
      <c r="K458" s="8"/>
      <c r="L458" s="8"/>
      <c r="M458" s="8" t="str">
        <f>IF(L458="","",
IF(AX458="PT",VLOOKUP(L458,Foundation_Calc!$V$4:$X$37,VLOOKUP(AX458,Foundation_Calc!$I$10:$J$13,2,FALSE),0),
IF(AX458="K",VLOOKUP(L458,Foundation_Calc!$V$41:$X$74,VLOOKUP(AX458,Foundation_Calc!$I$10:$J$13,2,FALSE),0),"")))</f>
        <v/>
      </c>
      <c r="N458" s="8"/>
      <c r="O458" s="8"/>
      <c r="P458" s="8"/>
      <c r="Q458" s="14"/>
      <c r="R458" s="15"/>
      <c r="S458" s="15"/>
      <c r="T458" s="14"/>
      <c r="U458" s="14"/>
      <c r="V458" s="14"/>
      <c r="W458" s="18"/>
      <c r="X458" s="18"/>
      <c r="Y458" s="18"/>
      <c r="Z458" s="18"/>
      <c r="AA458" s="18"/>
      <c r="AB458" s="18"/>
      <c r="AC458" s="8" t="str">
        <f t="shared" si="31"/>
        <v/>
      </c>
      <c r="AD458" s="8"/>
      <c r="AE458" s="8"/>
      <c r="AF458" s="14"/>
      <c r="AG458" s="13"/>
      <c r="AH458" s="14"/>
      <c r="AI458" s="14"/>
      <c r="AJ458" s="8"/>
      <c r="AK458" s="8"/>
      <c r="AL458" s="8"/>
      <c r="AM458" s="8"/>
      <c r="AN458" s="631"/>
      <c r="AO458" s="18"/>
      <c r="AP458" s="18"/>
      <c r="AQ458" s="18"/>
      <c r="AR458" s="18"/>
      <c r="AS458" s="18"/>
      <c r="AU458" s="448"/>
      <c r="AV458" s="448"/>
      <c r="AW458" s="8" t="str">
        <f>IF(C458&gt;0,VLOOKUP(C458,Foundation_Calc!$A$2:$C$986,3,1),
IF(J458&gt;0,VLOOKUP(J458,Foundation_Calc!$A$2:$C$986,3,1),""))</f>
        <v/>
      </c>
      <c r="AX458" s="8" t="str">
        <f>IF(C458&gt;0,VLOOKUP(C458,Foundation_Calc!$E$2:$G$986,3,1),
IF(J458&gt;0,VLOOKUP(J458,Foundation_Calc!$E$2:$G$986,3,1),""))</f>
        <v/>
      </c>
      <c r="AY458" s="631" t="str">
        <f>IF(L458="","",
IF(AX458="PT",VLOOKUP(L458,Foundation_Calc!$K$4:$R$37,VLOOKUP(AW458,Foundation_Calc!$I$2:$J$8,2,FALSE),0),
IF(AX458="K",VLOOKUP(L458,Foundation_Calc!$K$41:$R$74,VLOOKUP(AW458,Foundation_Calc!$I$2:$J$8,2,FALSE),0),"")))</f>
        <v/>
      </c>
      <c r="AZ458" s="631" t="str">
        <f>IF(K458="","",
IF(AX458="PT",VLOOKUP(K458,Foundation_Calc!$K$4:$R$37,VLOOKUP(AW458,Foundation_Calc!$I$2:$J$8,2,FALSE),0),
IF(AX458="K",VLOOKUP(K458,Foundation_Calc!$K$41:$R$74,VLOOKUP(AW458,Foundation_Calc!$I$2:$J$8,2,FALSE),0),"")))</f>
        <v/>
      </c>
      <c r="BA458" s="632" t="str">
        <f t="shared" si="32"/>
        <v/>
      </c>
      <c r="BB458" s="632" t="str">
        <f t="shared" si="33"/>
        <v/>
      </c>
      <c r="BC458" s="632" t="str">
        <f t="shared" si="34"/>
        <v/>
      </c>
      <c r="BD458" s="633" t="str">
        <f>IF(AND(L458="",H458=""),"",
IF(H458="",Pole_Calc!A486,
IF(H458="MP",Pole_Calc!A487,
IF(H458="AnMP",Pole_Calc!A488,
IF(H458="A",Pole_Calc!A489,
IF(H458="S/A",Pole_Calc!A490,
IF(H458="A/S",Pole_Calc!A491,"Poner a mano")))))))</f>
        <v/>
      </c>
      <c r="BE458" s="448" t="s">
        <v>1726</v>
      </c>
      <c r="BF458" s="634"/>
      <c r="BG458" s="634"/>
      <c r="BH458" s="634"/>
      <c r="BI458" s="634"/>
    </row>
    <row r="459" spans="1:61" ht="16.2" customHeight="1">
      <c r="A459" s="12"/>
      <c r="B459" s="446"/>
      <c r="C459" s="89"/>
      <c r="D459" s="13"/>
      <c r="E459" s="14"/>
      <c r="F459" s="14"/>
      <c r="G459" s="15"/>
      <c r="H459" s="8"/>
      <c r="I459" s="8"/>
      <c r="J459" s="89"/>
      <c r="K459" s="8"/>
      <c r="L459" s="8"/>
      <c r="M459" s="8" t="str">
        <f>IF(L459="","",
IF(AX459="PT",VLOOKUP(L459,Foundation_Calc!$V$4:$X$37,VLOOKUP(AX459,Foundation_Calc!$I$10:$J$13,2,FALSE),0),
IF(AX459="K",VLOOKUP(L459,Foundation_Calc!$V$41:$X$74,VLOOKUP(AX459,Foundation_Calc!$I$10:$J$13,2,FALSE),0),"")))</f>
        <v/>
      </c>
      <c r="N459" s="8"/>
      <c r="O459" s="8"/>
      <c r="P459" s="8"/>
      <c r="Q459" s="14"/>
      <c r="R459" s="15"/>
      <c r="S459" s="15"/>
      <c r="T459" s="14"/>
      <c r="U459" s="14"/>
      <c r="V459" s="14"/>
      <c r="W459" s="18"/>
      <c r="X459" s="18"/>
      <c r="Y459" s="18"/>
      <c r="Z459" s="18"/>
      <c r="AA459" s="18"/>
      <c r="AB459" s="18"/>
      <c r="AC459" s="8" t="str">
        <f t="shared" si="31"/>
        <v/>
      </c>
      <c r="AD459" s="8"/>
      <c r="AE459" s="8"/>
      <c r="AF459" s="14"/>
      <c r="AG459" s="13"/>
      <c r="AH459" s="14"/>
      <c r="AI459" s="14"/>
      <c r="AJ459" s="8"/>
      <c r="AK459" s="8"/>
      <c r="AL459" s="8"/>
      <c r="AM459" s="8"/>
      <c r="AN459" s="631"/>
      <c r="AO459" s="18"/>
      <c r="AP459" s="18"/>
      <c r="AQ459" s="18"/>
      <c r="AR459" s="18"/>
      <c r="AS459" s="18"/>
      <c r="AU459" s="448"/>
      <c r="AV459" s="448"/>
      <c r="AW459" s="8" t="str">
        <f>IF(C459&gt;0,VLOOKUP(C459,Foundation_Calc!$A$2:$C$986,3,1),
IF(J459&gt;0,VLOOKUP(J459,Foundation_Calc!$A$2:$C$986,3,1),""))</f>
        <v/>
      </c>
      <c r="AX459" s="8" t="str">
        <f>IF(C459&gt;0,VLOOKUP(C459,Foundation_Calc!$E$2:$G$986,3,1),
IF(J459&gt;0,VLOOKUP(J459,Foundation_Calc!$E$2:$G$986,3,1),""))</f>
        <v/>
      </c>
      <c r="AY459" s="631" t="str">
        <f>IF(L459="","",
IF(AX459="PT",VLOOKUP(L459,Foundation_Calc!$K$4:$R$37,VLOOKUP(AW459,Foundation_Calc!$I$2:$J$8,2,FALSE),0),
IF(AX459="K",VLOOKUP(L459,Foundation_Calc!$K$41:$R$74,VLOOKUP(AW459,Foundation_Calc!$I$2:$J$8,2,FALSE),0),"")))</f>
        <v/>
      </c>
      <c r="AZ459" s="631" t="str">
        <f>IF(K459="","",
IF(AX459="PT",VLOOKUP(K459,Foundation_Calc!$K$4:$R$37,VLOOKUP(AW459,Foundation_Calc!$I$2:$J$8,2,FALSE),0),
IF(AX459="K",VLOOKUP(K459,Foundation_Calc!$K$41:$R$74,VLOOKUP(AW459,Foundation_Calc!$I$2:$J$8,2,FALSE),0),"")))</f>
        <v/>
      </c>
      <c r="BA459" s="632" t="str">
        <f t="shared" si="32"/>
        <v/>
      </c>
      <c r="BB459" s="632" t="str">
        <f t="shared" si="33"/>
        <v/>
      </c>
      <c r="BC459" s="632" t="str">
        <f t="shared" si="34"/>
        <v/>
      </c>
      <c r="BD459" s="633" t="str">
        <f>IF(AND(L459="",H459=""),"",
IF(H459="",Pole_Calc!A487,
IF(H459="MP",Pole_Calc!A488,
IF(H459="AnMP",Pole_Calc!A489,
IF(H459="A",Pole_Calc!A490,
IF(H459="S/A",Pole_Calc!A491,
IF(H459="A/S",Pole_Calc!A492,"Poner a mano")))))))</f>
        <v/>
      </c>
      <c r="BE459" s="448" t="s">
        <v>1726</v>
      </c>
      <c r="BF459" s="635"/>
      <c r="BG459" s="635"/>
      <c r="BH459" s="634"/>
      <c r="BI459" s="635"/>
    </row>
    <row r="460" spans="1:61" ht="16.2" customHeight="1">
      <c r="A460" s="12"/>
      <c r="B460" s="446"/>
      <c r="C460" s="89"/>
      <c r="D460" s="13"/>
      <c r="E460" s="14"/>
      <c r="F460" s="14"/>
      <c r="G460" s="15"/>
      <c r="H460" s="8"/>
      <c r="I460" s="8"/>
      <c r="J460" s="89"/>
      <c r="K460" s="8"/>
      <c r="L460" s="8"/>
      <c r="M460" s="8" t="str">
        <f>IF(L460="","",
IF(AX460="PT",VLOOKUP(L460,Foundation_Calc!$V$4:$X$37,VLOOKUP(AX460,Foundation_Calc!$I$10:$J$13,2,FALSE),0),
IF(AX460="K",VLOOKUP(L460,Foundation_Calc!$V$41:$X$74,VLOOKUP(AX460,Foundation_Calc!$I$10:$J$13,2,FALSE),0),"")))</f>
        <v/>
      </c>
      <c r="N460" s="8"/>
      <c r="O460" s="8"/>
      <c r="P460" s="8"/>
      <c r="Q460" s="14"/>
      <c r="R460" s="15"/>
      <c r="S460" s="15"/>
      <c r="T460" s="14"/>
      <c r="U460" s="14"/>
      <c r="V460" s="14"/>
      <c r="W460" s="18"/>
      <c r="X460" s="18"/>
      <c r="Y460" s="18"/>
      <c r="Z460" s="18"/>
      <c r="AA460" s="18"/>
      <c r="AB460" s="18"/>
      <c r="AC460" s="8" t="str">
        <f t="shared" si="31"/>
        <v/>
      </c>
      <c r="AD460" s="8"/>
      <c r="AE460" s="8"/>
      <c r="AF460" s="14"/>
      <c r="AG460" s="13"/>
      <c r="AH460" s="14"/>
      <c r="AI460" s="14"/>
      <c r="AJ460" s="8"/>
      <c r="AK460" s="8"/>
      <c r="AL460" s="8"/>
      <c r="AM460" s="8"/>
      <c r="AN460" s="631"/>
      <c r="AO460" s="18"/>
      <c r="AP460" s="18"/>
      <c r="AQ460" s="18"/>
      <c r="AR460" s="18"/>
      <c r="AS460" s="18"/>
      <c r="AU460" s="448"/>
      <c r="AV460" s="448"/>
      <c r="AW460" s="8" t="str">
        <f>IF(C460&gt;0,VLOOKUP(C460,Foundation_Calc!$A$2:$C$986,3,1),
IF(J460&gt;0,VLOOKUP(J460,Foundation_Calc!$A$2:$C$986,3,1),""))</f>
        <v/>
      </c>
      <c r="AX460" s="8" t="str">
        <f>IF(C460&gt;0,VLOOKUP(C460,Foundation_Calc!$E$2:$G$986,3,1),
IF(J460&gt;0,VLOOKUP(J460,Foundation_Calc!$E$2:$G$986,3,1),""))</f>
        <v/>
      </c>
      <c r="AY460" s="631" t="str">
        <f>IF(L460="","",
IF(AX460="PT",VLOOKUP(L460,Foundation_Calc!$K$4:$R$37,VLOOKUP(AW460,Foundation_Calc!$I$2:$J$8,2,FALSE),0),
IF(AX460="K",VLOOKUP(L460,Foundation_Calc!$K$41:$R$74,VLOOKUP(AW460,Foundation_Calc!$I$2:$J$8,2,FALSE),0),"")))</f>
        <v/>
      </c>
      <c r="AZ460" s="631" t="str">
        <f>IF(K460="","",
IF(AX460="PT",VLOOKUP(K460,Foundation_Calc!$K$4:$R$37,VLOOKUP(AW460,Foundation_Calc!$I$2:$J$8,2,FALSE),0),
IF(AX460="K",VLOOKUP(K460,Foundation_Calc!$K$41:$R$74,VLOOKUP(AW460,Foundation_Calc!$I$2:$J$8,2,FALSE),0),"")))</f>
        <v/>
      </c>
      <c r="BA460" s="632" t="str">
        <f t="shared" si="32"/>
        <v/>
      </c>
      <c r="BB460" s="632" t="str">
        <f t="shared" si="33"/>
        <v/>
      </c>
      <c r="BC460" s="632" t="str">
        <f t="shared" si="34"/>
        <v/>
      </c>
      <c r="BD460" s="633" t="str">
        <f>IF(AND(L460="",H460=""),"",
IF(H460="",Pole_Calc!A488,
IF(H460="MP",Pole_Calc!A489,
IF(H460="AnMP",Pole_Calc!A490,
IF(H460="A",Pole_Calc!A491,
IF(H460="S/A",Pole_Calc!A492,
IF(H460="A/S",Pole_Calc!A493,"Poner a mano")))))))</f>
        <v/>
      </c>
      <c r="BE460" s="448" t="s">
        <v>1726</v>
      </c>
      <c r="BF460" s="634"/>
      <c r="BG460" s="634"/>
      <c r="BH460" s="634"/>
      <c r="BI460" s="634"/>
    </row>
    <row r="461" spans="1:61" ht="16.2" customHeight="1">
      <c r="A461" s="12"/>
      <c r="B461" s="446"/>
      <c r="C461" s="89"/>
      <c r="D461" s="13"/>
      <c r="E461" s="14"/>
      <c r="F461" s="14"/>
      <c r="G461" s="15"/>
      <c r="H461" s="8"/>
      <c r="I461" s="8"/>
      <c r="J461" s="89"/>
      <c r="K461" s="8"/>
      <c r="L461" s="8"/>
      <c r="M461" s="8" t="str">
        <f>IF(L461="","",
IF(AX461="PT",VLOOKUP(L461,Foundation_Calc!$V$4:$X$37,VLOOKUP(AX461,Foundation_Calc!$I$10:$J$13,2,FALSE),0),
IF(AX461="K",VLOOKUP(L461,Foundation_Calc!$V$41:$X$74,VLOOKUP(AX461,Foundation_Calc!$I$10:$J$13,2,FALSE),0),"")))</f>
        <v/>
      </c>
      <c r="N461" s="8"/>
      <c r="O461" s="8"/>
      <c r="P461" s="8"/>
      <c r="Q461" s="14"/>
      <c r="R461" s="15"/>
      <c r="S461" s="15"/>
      <c r="T461" s="14"/>
      <c r="U461" s="14"/>
      <c r="V461" s="14"/>
      <c r="W461" s="18"/>
      <c r="X461" s="18"/>
      <c r="Y461" s="18"/>
      <c r="Z461" s="18"/>
      <c r="AA461" s="18"/>
      <c r="AB461" s="18"/>
      <c r="AC461" s="8" t="str">
        <f t="shared" si="31"/>
        <v/>
      </c>
      <c r="AD461" s="8"/>
      <c r="AE461" s="8"/>
      <c r="AF461" s="14"/>
      <c r="AG461" s="13"/>
      <c r="AH461" s="14"/>
      <c r="AI461" s="14"/>
      <c r="AJ461" s="8"/>
      <c r="AK461" s="8"/>
      <c r="AL461" s="8"/>
      <c r="AM461" s="8"/>
      <c r="AN461" s="631"/>
      <c r="AO461" s="18"/>
      <c r="AP461" s="18"/>
      <c r="AQ461" s="18"/>
      <c r="AR461" s="18"/>
      <c r="AS461" s="18"/>
      <c r="AU461" s="448"/>
      <c r="AV461" s="448"/>
      <c r="AW461" s="8" t="str">
        <f>IF(C461&gt;0,VLOOKUP(C461,Foundation_Calc!$A$2:$C$986,3,1),
IF(J461&gt;0,VLOOKUP(J461,Foundation_Calc!$A$2:$C$986,3,1),""))</f>
        <v/>
      </c>
      <c r="AX461" s="8" t="str">
        <f>IF(C461&gt;0,VLOOKUP(C461,Foundation_Calc!$E$2:$G$986,3,1),
IF(J461&gt;0,VLOOKUP(J461,Foundation_Calc!$E$2:$G$986,3,1),""))</f>
        <v/>
      </c>
      <c r="AY461" s="631" t="str">
        <f>IF(L461="","",
IF(AX461="PT",VLOOKUP(L461,Foundation_Calc!$K$4:$R$37,VLOOKUP(AW461,Foundation_Calc!$I$2:$J$8,2,FALSE),0),
IF(AX461="K",VLOOKUP(L461,Foundation_Calc!$K$41:$R$74,VLOOKUP(AW461,Foundation_Calc!$I$2:$J$8,2,FALSE),0),"")))</f>
        <v/>
      </c>
      <c r="AZ461" s="631" t="str">
        <f>IF(K461="","",
IF(AX461="PT",VLOOKUP(K461,Foundation_Calc!$K$4:$R$37,VLOOKUP(AW461,Foundation_Calc!$I$2:$J$8,2,FALSE),0),
IF(AX461="K",VLOOKUP(K461,Foundation_Calc!$K$41:$R$74,VLOOKUP(AW461,Foundation_Calc!$I$2:$J$8,2,FALSE),0),"")))</f>
        <v/>
      </c>
      <c r="BA461" s="632" t="str">
        <f t="shared" si="32"/>
        <v/>
      </c>
      <c r="BB461" s="632" t="str">
        <f t="shared" si="33"/>
        <v/>
      </c>
      <c r="BC461" s="632" t="str">
        <f t="shared" si="34"/>
        <v/>
      </c>
      <c r="BD461" s="633" t="str">
        <f>IF(AND(L461="",H461=""),"",
IF(H461="",Pole_Calc!A489,
IF(H461="MP",Pole_Calc!A490,
IF(H461="AnMP",Pole_Calc!A491,
IF(H461="A",Pole_Calc!A492,
IF(H461="S/A",Pole_Calc!A493,
IF(H461="A/S",Pole_Calc!A494,"Poner a mano")))))))</f>
        <v/>
      </c>
      <c r="BE461" s="448" t="s">
        <v>1726</v>
      </c>
      <c r="BF461" s="635"/>
      <c r="BG461" s="635"/>
      <c r="BH461" s="634"/>
      <c r="BI461" s="635"/>
    </row>
    <row r="462" spans="1:61" ht="16.2" customHeight="1">
      <c r="A462" s="12"/>
      <c r="B462" s="446"/>
      <c r="C462" s="89"/>
      <c r="D462" s="13"/>
      <c r="E462" s="14"/>
      <c r="F462" s="14"/>
      <c r="G462" s="15"/>
      <c r="H462" s="8"/>
      <c r="I462" s="8"/>
      <c r="J462" s="89"/>
      <c r="K462" s="8"/>
      <c r="L462" s="8"/>
      <c r="M462" s="8" t="str">
        <f>IF(L462="","",
IF(AX462="PT",VLOOKUP(L462,Foundation_Calc!$V$4:$X$37,VLOOKUP(AX462,Foundation_Calc!$I$10:$J$13,2,FALSE),0),
IF(AX462="K",VLOOKUP(L462,Foundation_Calc!$V$41:$X$74,VLOOKUP(AX462,Foundation_Calc!$I$10:$J$13,2,FALSE),0),"")))</f>
        <v/>
      </c>
      <c r="N462" s="8"/>
      <c r="O462" s="8"/>
      <c r="P462" s="8"/>
      <c r="Q462" s="14"/>
      <c r="R462" s="15"/>
      <c r="S462" s="15"/>
      <c r="T462" s="14"/>
      <c r="U462" s="14"/>
      <c r="V462" s="14"/>
      <c r="W462" s="18"/>
      <c r="X462" s="18"/>
      <c r="Y462" s="18"/>
      <c r="Z462" s="18"/>
      <c r="AA462" s="18"/>
      <c r="AB462" s="18"/>
      <c r="AC462" s="8" t="str">
        <f t="shared" si="31"/>
        <v/>
      </c>
      <c r="AD462" s="8"/>
      <c r="AE462" s="8"/>
      <c r="AF462" s="14"/>
      <c r="AG462" s="13"/>
      <c r="AH462" s="14"/>
      <c r="AI462" s="14"/>
      <c r="AJ462" s="8"/>
      <c r="AK462" s="8"/>
      <c r="AL462" s="8"/>
      <c r="AM462" s="8"/>
      <c r="AN462" s="631"/>
      <c r="AO462" s="18"/>
      <c r="AP462" s="18"/>
      <c r="AQ462" s="18"/>
      <c r="AR462" s="18"/>
      <c r="AS462" s="18"/>
      <c r="AU462" s="448"/>
      <c r="AV462" s="448"/>
      <c r="AW462" s="8" t="str">
        <f>IF(C462&gt;0,VLOOKUP(C462,Foundation_Calc!$A$2:$C$986,3,1),
IF(J462&gt;0,VLOOKUP(J462,Foundation_Calc!$A$2:$C$986,3,1),""))</f>
        <v/>
      </c>
      <c r="AX462" s="8" t="str">
        <f>IF(C462&gt;0,VLOOKUP(C462,Foundation_Calc!$E$2:$G$986,3,1),
IF(J462&gt;0,VLOOKUP(J462,Foundation_Calc!$E$2:$G$986,3,1),""))</f>
        <v/>
      </c>
      <c r="AY462" s="631" t="str">
        <f>IF(L462="","",
IF(AX462="PT",VLOOKUP(L462,Foundation_Calc!$K$4:$R$37,VLOOKUP(AW462,Foundation_Calc!$I$2:$J$8,2,FALSE),0),
IF(AX462="K",VLOOKUP(L462,Foundation_Calc!$K$41:$R$74,VLOOKUP(AW462,Foundation_Calc!$I$2:$J$8,2,FALSE),0),"")))</f>
        <v/>
      </c>
      <c r="AZ462" s="631" t="str">
        <f>IF(K462="","",
IF(AX462="PT",VLOOKUP(K462,Foundation_Calc!$K$4:$R$37,VLOOKUP(AW462,Foundation_Calc!$I$2:$J$8,2,FALSE),0),
IF(AX462="K",VLOOKUP(K462,Foundation_Calc!$K$41:$R$74,VLOOKUP(AW462,Foundation_Calc!$I$2:$J$8,2,FALSE),0),"")))</f>
        <v/>
      </c>
      <c r="BA462" s="632" t="str">
        <f t="shared" si="32"/>
        <v/>
      </c>
      <c r="BB462" s="632" t="str">
        <f t="shared" si="33"/>
        <v/>
      </c>
      <c r="BC462" s="632" t="str">
        <f t="shared" si="34"/>
        <v/>
      </c>
      <c r="BD462" s="633" t="str">
        <f>IF(AND(L462="",H462=""),"",
IF(H462="",Pole_Calc!A490,
IF(H462="MP",Pole_Calc!A491,
IF(H462="AnMP",Pole_Calc!A492,
IF(H462="A",Pole_Calc!A493,
IF(H462="S/A",Pole_Calc!A494,
IF(H462="A/S",Pole_Calc!A495,"Poner a mano")))))))</f>
        <v/>
      </c>
      <c r="BE462" s="448" t="s">
        <v>1726</v>
      </c>
      <c r="BF462" s="634"/>
      <c r="BG462" s="634"/>
      <c r="BH462" s="634"/>
      <c r="BI462" s="634"/>
    </row>
    <row r="463" spans="1:61" ht="16.2" customHeight="1">
      <c r="A463" s="12"/>
      <c r="B463" s="446"/>
      <c r="C463" s="89"/>
      <c r="D463" s="13"/>
      <c r="E463" s="14"/>
      <c r="F463" s="14"/>
      <c r="G463" s="15"/>
      <c r="H463" s="8"/>
      <c r="I463" s="8"/>
      <c r="J463" s="89"/>
      <c r="K463" s="8"/>
      <c r="L463" s="8"/>
      <c r="M463" s="8" t="str">
        <f>IF(L463="","",
IF(AX463="PT",VLOOKUP(L463,Foundation_Calc!$V$4:$X$37,VLOOKUP(AX463,Foundation_Calc!$I$10:$J$13,2,FALSE),0),
IF(AX463="K",VLOOKUP(L463,Foundation_Calc!$V$41:$X$74,VLOOKUP(AX463,Foundation_Calc!$I$10:$J$13,2,FALSE),0),"")))</f>
        <v/>
      </c>
      <c r="N463" s="8"/>
      <c r="O463" s="8"/>
      <c r="P463" s="8"/>
      <c r="Q463" s="14"/>
      <c r="R463" s="15"/>
      <c r="S463" s="15"/>
      <c r="T463" s="14"/>
      <c r="U463" s="14"/>
      <c r="V463" s="14"/>
      <c r="W463" s="18"/>
      <c r="X463" s="18"/>
      <c r="Y463" s="18"/>
      <c r="Z463" s="18"/>
      <c r="AA463" s="18"/>
      <c r="AB463" s="18"/>
      <c r="AC463" s="8" t="str">
        <f t="shared" si="31"/>
        <v/>
      </c>
      <c r="AD463" s="8"/>
      <c r="AE463" s="8"/>
      <c r="AF463" s="14"/>
      <c r="AG463" s="13"/>
      <c r="AH463" s="14"/>
      <c r="AI463" s="14"/>
      <c r="AJ463" s="8"/>
      <c r="AK463" s="8"/>
      <c r="AL463" s="8"/>
      <c r="AM463" s="8"/>
      <c r="AN463" s="631"/>
      <c r="AO463" s="18"/>
      <c r="AP463" s="18"/>
      <c r="AQ463" s="18"/>
      <c r="AR463" s="18"/>
      <c r="AS463" s="18"/>
      <c r="AU463" s="448"/>
      <c r="AV463" s="448"/>
      <c r="AW463" s="8" t="str">
        <f>IF(C463&gt;0,VLOOKUP(C463,Foundation_Calc!$A$2:$C$986,3,1),
IF(J463&gt;0,VLOOKUP(J463,Foundation_Calc!$A$2:$C$986,3,1),""))</f>
        <v/>
      </c>
      <c r="AX463" s="8" t="str">
        <f>IF(C463&gt;0,VLOOKUP(C463,Foundation_Calc!$E$2:$G$986,3,1),
IF(J463&gt;0,VLOOKUP(J463,Foundation_Calc!$E$2:$G$986,3,1),""))</f>
        <v/>
      </c>
      <c r="AY463" s="631" t="str">
        <f>IF(L463="","",
IF(AX463="PT",VLOOKUP(L463,Foundation_Calc!$K$4:$R$37,VLOOKUP(AW463,Foundation_Calc!$I$2:$J$8,2,FALSE),0),
IF(AX463="K",VLOOKUP(L463,Foundation_Calc!$K$41:$R$74,VLOOKUP(AW463,Foundation_Calc!$I$2:$J$8,2,FALSE),0),"")))</f>
        <v/>
      </c>
      <c r="AZ463" s="631" t="str">
        <f>IF(K463="","",
IF(AX463="PT",VLOOKUP(K463,Foundation_Calc!$K$4:$R$37,VLOOKUP(AW463,Foundation_Calc!$I$2:$J$8,2,FALSE),0),
IF(AX463="K",VLOOKUP(K463,Foundation_Calc!$K$41:$R$74,VLOOKUP(AW463,Foundation_Calc!$I$2:$J$8,2,FALSE),0),"")))</f>
        <v/>
      </c>
      <c r="BA463" s="632" t="str">
        <f t="shared" si="32"/>
        <v/>
      </c>
      <c r="BB463" s="632" t="str">
        <f t="shared" si="33"/>
        <v/>
      </c>
      <c r="BC463" s="632" t="str">
        <f t="shared" si="34"/>
        <v/>
      </c>
      <c r="BD463" s="633" t="str">
        <f>IF(AND(L463="",H463=""),"",
IF(H463="",Pole_Calc!A491,
IF(H463="MP",Pole_Calc!A492,
IF(H463="AnMP",Pole_Calc!A493,
IF(H463="A",Pole_Calc!A494,
IF(H463="S/A",Pole_Calc!A495,
IF(H463="A/S",Pole_Calc!A496,"Poner a mano")))))))</f>
        <v/>
      </c>
      <c r="BE463" s="448" t="s">
        <v>1726</v>
      </c>
      <c r="BF463" s="635"/>
      <c r="BG463" s="635"/>
      <c r="BH463" s="634"/>
      <c r="BI463" s="635"/>
    </row>
    <row r="464" spans="1:61" ht="16.2" customHeight="1">
      <c r="A464" s="12"/>
      <c r="B464" s="446"/>
      <c r="C464" s="89"/>
      <c r="D464" s="13"/>
      <c r="E464" s="14"/>
      <c r="F464" s="14"/>
      <c r="G464" s="15"/>
      <c r="H464" s="8"/>
      <c r="I464" s="8"/>
      <c r="J464" s="89"/>
      <c r="K464" s="8"/>
      <c r="L464" s="8"/>
      <c r="M464" s="8" t="str">
        <f>IF(L464="","",
IF(AX464="PT",VLOOKUP(L464,Foundation_Calc!$V$4:$X$37,VLOOKUP(AX464,Foundation_Calc!$I$10:$J$13,2,FALSE),0),
IF(AX464="K",VLOOKUP(L464,Foundation_Calc!$V$41:$X$74,VLOOKUP(AX464,Foundation_Calc!$I$10:$J$13,2,FALSE),0),"")))</f>
        <v/>
      </c>
      <c r="N464" s="8"/>
      <c r="O464" s="8"/>
      <c r="P464" s="8"/>
      <c r="Q464" s="14"/>
      <c r="R464" s="15"/>
      <c r="S464" s="15"/>
      <c r="T464" s="14"/>
      <c r="U464" s="14"/>
      <c r="V464" s="14"/>
      <c r="W464" s="18"/>
      <c r="X464" s="18"/>
      <c r="Y464" s="18"/>
      <c r="Z464" s="18"/>
      <c r="AA464" s="18"/>
      <c r="AB464" s="18"/>
      <c r="AC464" s="8" t="str">
        <f t="shared" si="31"/>
        <v/>
      </c>
      <c r="AD464" s="8"/>
      <c r="AE464" s="8"/>
      <c r="AF464" s="14"/>
      <c r="AG464" s="13"/>
      <c r="AH464" s="14"/>
      <c r="AI464" s="14"/>
      <c r="AJ464" s="8"/>
      <c r="AK464" s="8"/>
      <c r="AL464" s="8"/>
      <c r="AM464" s="8"/>
      <c r="AN464" s="631"/>
      <c r="AO464" s="18"/>
      <c r="AP464" s="18"/>
      <c r="AQ464" s="18"/>
      <c r="AR464" s="18"/>
      <c r="AS464" s="18"/>
      <c r="AU464" s="448"/>
      <c r="AV464" s="448"/>
      <c r="AW464" s="8" t="str">
        <f>IF(C464&gt;0,VLOOKUP(C464,Foundation_Calc!$A$2:$C$986,3,1),
IF(J464&gt;0,VLOOKUP(J464,Foundation_Calc!$A$2:$C$986,3,1),""))</f>
        <v/>
      </c>
      <c r="AX464" s="8" t="str">
        <f>IF(C464&gt;0,VLOOKUP(C464,Foundation_Calc!$E$2:$G$986,3,1),
IF(J464&gt;0,VLOOKUP(J464,Foundation_Calc!$E$2:$G$986,3,1),""))</f>
        <v/>
      </c>
      <c r="AY464" s="631" t="str">
        <f>IF(L464="","",
IF(AX464="PT",VLOOKUP(L464,Foundation_Calc!$K$4:$R$37,VLOOKUP(AW464,Foundation_Calc!$I$2:$J$8,2,FALSE),0),
IF(AX464="K",VLOOKUP(L464,Foundation_Calc!$K$41:$R$74,VLOOKUP(AW464,Foundation_Calc!$I$2:$J$8,2,FALSE),0),"")))</f>
        <v/>
      </c>
      <c r="AZ464" s="631" t="str">
        <f>IF(K464="","",
IF(AX464="PT",VLOOKUP(K464,Foundation_Calc!$K$4:$R$37,VLOOKUP(AW464,Foundation_Calc!$I$2:$J$8,2,FALSE),0),
IF(AX464="K",VLOOKUP(K464,Foundation_Calc!$K$41:$R$74,VLOOKUP(AW464,Foundation_Calc!$I$2:$J$8,2,FALSE),0),"")))</f>
        <v/>
      </c>
      <c r="BA464" s="632" t="str">
        <f t="shared" si="32"/>
        <v/>
      </c>
      <c r="BB464" s="632" t="str">
        <f t="shared" si="33"/>
        <v/>
      </c>
      <c r="BC464" s="632" t="str">
        <f t="shared" si="34"/>
        <v/>
      </c>
      <c r="BD464" s="633" t="str">
        <f>IF(AND(L464="",H464=""),"",
IF(H464="",Pole_Calc!A492,
IF(H464="MP",Pole_Calc!A493,
IF(H464="AnMP",Pole_Calc!A494,
IF(H464="A",Pole_Calc!A495,
IF(H464="S/A",Pole_Calc!A496,
IF(H464="A/S",Pole_Calc!A497,"Poner a mano")))))))</f>
        <v/>
      </c>
      <c r="BE464" s="448" t="s">
        <v>1726</v>
      </c>
      <c r="BF464" s="634"/>
      <c r="BG464" s="634"/>
      <c r="BH464" s="634"/>
      <c r="BI464" s="634"/>
    </row>
    <row r="465" spans="1:61" ht="16.2" customHeight="1">
      <c r="A465" s="12"/>
      <c r="B465" s="446"/>
      <c r="C465" s="89"/>
      <c r="D465" s="13"/>
      <c r="E465" s="14"/>
      <c r="F465" s="14"/>
      <c r="G465" s="15"/>
      <c r="H465" s="8"/>
      <c r="I465" s="8"/>
      <c r="J465" s="89"/>
      <c r="K465" s="8"/>
      <c r="L465" s="8"/>
      <c r="M465" s="8" t="str">
        <f>IF(L465="","",
IF(AX465="PT",VLOOKUP(L465,Foundation_Calc!$V$4:$X$37,VLOOKUP(AX465,Foundation_Calc!$I$10:$J$13,2,FALSE),0),
IF(AX465="K",VLOOKUP(L465,Foundation_Calc!$V$41:$X$74,VLOOKUP(AX465,Foundation_Calc!$I$10:$J$13,2,FALSE),0),"")))</f>
        <v/>
      </c>
      <c r="N465" s="8"/>
      <c r="O465" s="8"/>
      <c r="P465" s="8"/>
      <c r="Q465" s="14"/>
      <c r="R465" s="15"/>
      <c r="S465" s="15"/>
      <c r="T465" s="14"/>
      <c r="U465" s="14"/>
      <c r="V465" s="14"/>
      <c r="W465" s="18"/>
      <c r="X465" s="18"/>
      <c r="Y465" s="18"/>
      <c r="Z465" s="18"/>
      <c r="AA465" s="18"/>
      <c r="AB465" s="18"/>
      <c r="AC465" s="8" t="str">
        <f t="shared" si="31"/>
        <v/>
      </c>
      <c r="AD465" s="8"/>
      <c r="AE465" s="8"/>
      <c r="AF465" s="14"/>
      <c r="AG465" s="13"/>
      <c r="AH465" s="14"/>
      <c r="AI465" s="14"/>
      <c r="AJ465" s="8"/>
      <c r="AK465" s="8"/>
      <c r="AL465" s="8"/>
      <c r="AM465" s="8"/>
      <c r="AN465" s="631"/>
      <c r="AO465" s="18"/>
      <c r="AP465" s="18"/>
      <c r="AQ465" s="18"/>
      <c r="AR465" s="18"/>
      <c r="AS465" s="18"/>
      <c r="AU465" s="448"/>
      <c r="AV465" s="448"/>
      <c r="AW465" s="8" t="str">
        <f>IF(C465&gt;0,VLOOKUP(C465,Foundation_Calc!$A$2:$C$986,3,1),
IF(J465&gt;0,VLOOKUP(J465,Foundation_Calc!$A$2:$C$986,3,1),""))</f>
        <v/>
      </c>
      <c r="AX465" s="8" t="str">
        <f>IF(C465&gt;0,VLOOKUP(C465,Foundation_Calc!$E$2:$G$986,3,1),
IF(J465&gt;0,VLOOKUP(J465,Foundation_Calc!$E$2:$G$986,3,1),""))</f>
        <v/>
      </c>
      <c r="AY465" s="631" t="str">
        <f>IF(L465="","",
IF(AX465="PT",VLOOKUP(L465,Foundation_Calc!$K$4:$R$37,VLOOKUP(AW465,Foundation_Calc!$I$2:$J$8,2,FALSE),0),
IF(AX465="K",VLOOKUP(L465,Foundation_Calc!$K$41:$R$74,VLOOKUP(AW465,Foundation_Calc!$I$2:$J$8,2,FALSE),0),"")))</f>
        <v/>
      </c>
      <c r="AZ465" s="631" t="str">
        <f>IF(K465="","",
IF(AX465="PT",VLOOKUP(K465,Foundation_Calc!$K$4:$R$37,VLOOKUP(AW465,Foundation_Calc!$I$2:$J$8,2,FALSE),0),
IF(AX465="K",VLOOKUP(K465,Foundation_Calc!$K$41:$R$74,VLOOKUP(AW465,Foundation_Calc!$I$2:$J$8,2,FALSE),0),"")))</f>
        <v/>
      </c>
      <c r="BA465" s="632" t="str">
        <f t="shared" si="32"/>
        <v/>
      </c>
      <c r="BB465" s="632" t="str">
        <f t="shared" si="33"/>
        <v/>
      </c>
      <c r="BC465" s="632" t="str">
        <f t="shared" si="34"/>
        <v/>
      </c>
      <c r="BD465" s="633" t="str">
        <f>IF(AND(L465="",H465=""),"",
IF(H465="",Pole_Calc!A493,
IF(H465="MP",Pole_Calc!A494,
IF(H465="AnMP",Pole_Calc!A495,
IF(H465="A",Pole_Calc!A496,
IF(H465="S/A",Pole_Calc!A497,
IF(H465="A/S",Pole_Calc!A498,"Poner a mano")))))))</f>
        <v/>
      </c>
      <c r="BE465" s="448" t="s">
        <v>1726</v>
      </c>
      <c r="BF465" s="635"/>
      <c r="BG465" s="635"/>
      <c r="BH465" s="634"/>
      <c r="BI465" s="635"/>
    </row>
    <row r="466" spans="1:61" ht="16.2" customHeight="1">
      <c r="A466" s="12"/>
      <c r="B466" s="446"/>
      <c r="C466" s="89"/>
      <c r="D466" s="13"/>
      <c r="E466" s="14"/>
      <c r="F466" s="14"/>
      <c r="G466" s="15"/>
      <c r="H466" s="8"/>
      <c r="I466" s="8"/>
      <c r="J466" s="89"/>
      <c r="K466" s="8"/>
      <c r="L466" s="8"/>
      <c r="M466" s="8" t="str">
        <f>IF(L466="","",
IF(AX466="PT",VLOOKUP(L466,Foundation_Calc!$V$4:$X$37,VLOOKUP(AX466,Foundation_Calc!$I$10:$J$13,2,FALSE),0),
IF(AX466="K",VLOOKUP(L466,Foundation_Calc!$V$41:$X$74,VLOOKUP(AX466,Foundation_Calc!$I$10:$J$13,2,FALSE),0),"")))</f>
        <v/>
      </c>
      <c r="N466" s="8"/>
      <c r="O466" s="8"/>
      <c r="P466" s="8"/>
      <c r="Q466" s="14"/>
      <c r="R466" s="15"/>
      <c r="S466" s="15"/>
      <c r="T466" s="14"/>
      <c r="U466" s="14"/>
      <c r="V466" s="14"/>
      <c r="W466" s="18"/>
      <c r="X466" s="18"/>
      <c r="Y466" s="18"/>
      <c r="Z466" s="18"/>
      <c r="AA466" s="18"/>
      <c r="AB466" s="18"/>
      <c r="AC466" s="8" t="str">
        <f t="shared" si="31"/>
        <v/>
      </c>
      <c r="AD466" s="8"/>
      <c r="AE466" s="8"/>
      <c r="AF466" s="14"/>
      <c r="AG466" s="13"/>
      <c r="AH466" s="14"/>
      <c r="AI466" s="14"/>
      <c r="AJ466" s="8"/>
      <c r="AK466" s="8"/>
      <c r="AL466" s="8"/>
      <c r="AM466" s="8"/>
      <c r="AN466" s="631"/>
      <c r="AO466" s="18"/>
      <c r="AP466" s="18"/>
      <c r="AQ466" s="18"/>
      <c r="AR466" s="18"/>
      <c r="AS466" s="18"/>
      <c r="AU466" s="448"/>
      <c r="AV466" s="448"/>
      <c r="AW466" s="8" t="str">
        <f>IF(C466&gt;0,VLOOKUP(C466,Foundation_Calc!$A$2:$C$986,3,1),
IF(J466&gt;0,VLOOKUP(J466,Foundation_Calc!$A$2:$C$986,3,1),""))</f>
        <v/>
      </c>
      <c r="AX466" s="8" t="str">
        <f>IF(C466&gt;0,VLOOKUP(C466,Foundation_Calc!$E$2:$G$986,3,1),
IF(J466&gt;0,VLOOKUP(J466,Foundation_Calc!$E$2:$G$986,3,1),""))</f>
        <v/>
      </c>
      <c r="AY466" s="631" t="str">
        <f>IF(L466="","",
IF(AX466="PT",VLOOKUP(L466,Foundation_Calc!$K$4:$R$37,VLOOKUP(AW466,Foundation_Calc!$I$2:$J$8,2,FALSE),0),
IF(AX466="K",VLOOKUP(L466,Foundation_Calc!$K$41:$R$74,VLOOKUP(AW466,Foundation_Calc!$I$2:$J$8,2,FALSE),0),"")))</f>
        <v/>
      </c>
      <c r="AZ466" s="631" t="str">
        <f>IF(K466="","",
IF(AX466="PT",VLOOKUP(K466,Foundation_Calc!$K$4:$R$37,VLOOKUP(AW466,Foundation_Calc!$I$2:$J$8,2,FALSE),0),
IF(AX466="K",VLOOKUP(K466,Foundation_Calc!$K$41:$R$74,VLOOKUP(AW466,Foundation_Calc!$I$2:$J$8,2,FALSE),0),"")))</f>
        <v/>
      </c>
      <c r="BA466" s="632" t="str">
        <f t="shared" si="32"/>
        <v/>
      </c>
      <c r="BB466" s="632" t="str">
        <f t="shared" si="33"/>
        <v/>
      </c>
      <c r="BC466" s="632" t="str">
        <f t="shared" si="34"/>
        <v/>
      </c>
      <c r="BD466" s="633" t="str">
        <f>IF(AND(L466="",H466=""),"",
IF(H466="",Pole_Calc!A494,
IF(H466="MP",Pole_Calc!A495,
IF(H466="AnMP",Pole_Calc!A496,
IF(H466="A",Pole_Calc!A497,
IF(H466="S/A",Pole_Calc!A498,
IF(H466="A/S",Pole_Calc!A499,"Poner a mano")))))))</f>
        <v/>
      </c>
      <c r="BE466" s="448" t="s">
        <v>1726</v>
      </c>
      <c r="BF466" s="634"/>
      <c r="BG466" s="634"/>
      <c r="BH466" s="634"/>
      <c r="BI466" s="634"/>
    </row>
    <row r="467" spans="1:61" ht="16.2" customHeight="1">
      <c r="A467" s="12"/>
      <c r="B467" s="446"/>
      <c r="C467" s="89"/>
      <c r="D467" s="13"/>
      <c r="E467" s="14"/>
      <c r="F467" s="14"/>
      <c r="G467" s="15"/>
      <c r="H467" s="8"/>
      <c r="I467" s="8"/>
      <c r="J467" s="89"/>
      <c r="K467" s="8"/>
      <c r="L467" s="8"/>
      <c r="M467" s="8" t="str">
        <f>IF(L467="","",
IF(AX467="PT",VLOOKUP(L467,Foundation_Calc!$V$4:$X$37,VLOOKUP(AX467,Foundation_Calc!$I$10:$J$13,2,FALSE),0),
IF(AX467="K",VLOOKUP(L467,Foundation_Calc!$V$41:$X$74,VLOOKUP(AX467,Foundation_Calc!$I$10:$J$13,2,FALSE),0),"")))</f>
        <v/>
      </c>
      <c r="N467" s="8"/>
      <c r="O467" s="8"/>
      <c r="P467" s="8"/>
      <c r="Q467" s="14"/>
      <c r="R467" s="15"/>
      <c r="S467" s="15"/>
      <c r="T467" s="14"/>
      <c r="U467" s="14"/>
      <c r="V467" s="14"/>
      <c r="W467" s="18"/>
      <c r="X467" s="18"/>
      <c r="Y467" s="18"/>
      <c r="Z467" s="18"/>
      <c r="AA467" s="18"/>
      <c r="AB467" s="18"/>
      <c r="AC467" s="8" t="str">
        <f t="shared" si="31"/>
        <v/>
      </c>
      <c r="AD467" s="8"/>
      <c r="AE467" s="8"/>
      <c r="AF467" s="14"/>
      <c r="AG467" s="13"/>
      <c r="AH467" s="14"/>
      <c r="AI467" s="14"/>
      <c r="AJ467" s="8"/>
      <c r="AK467" s="8"/>
      <c r="AL467" s="8"/>
      <c r="AM467" s="8"/>
      <c r="AN467" s="631"/>
      <c r="AO467" s="18"/>
      <c r="AP467" s="18"/>
      <c r="AQ467" s="18"/>
      <c r="AR467" s="18"/>
      <c r="AS467" s="18"/>
      <c r="AU467" s="448"/>
      <c r="AV467" s="448"/>
      <c r="AW467" s="8" t="str">
        <f>IF(C467&gt;0,VLOOKUP(C467,Foundation_Calc!$A$2:$C$986,3,1),
IF(J467&gt;0,VLOOKUP(J467,Foundation_Calc!$A$2:$C$986,3,1),""))</f>
        <v/>
      </c>
      <c r="AX467" s="8" t="str">
        <f>IF(C467&gt;0,VLOOKUP(C467,Foundation_Calc!$E$2:$G$986,3,1),
IF(J467&gt;0,VLOOKUP(J467,Foundation_Calc!$E$2:$G$986,3,1),""))</f>
        <v/>
      </c>
      <c r="AY467" s="631" t="str">
        <f>IF(L467="","",
IF(AX467="PT",VLOOKUP(L467,Foundation_Calc!$K$4:$R$37,VLOOKUP(AW467,Foundation_Calc!$I$2:$J$8,2,FALSE),0),
IF(AX467="K",VLOOKUP(L467,Foundation_Calc!$K$41:$R$74,VLOOKUP(AW467,Foundation_Calc!$I$2:$J$8,2,FALSE),0),"")))</f>
        <v/>
      </c>
      <c r="AZ467" s="631" t="str">
        <f>IF(K467="","",
IF(AX467="PT",VLOOKUP(K467,Foundation_Calc!$K$4:$R$37,VLOOKUP(AW467,Foundation_Calc!$I$2:$J$8,2,FALSE),0),
IF(AX467="K",VLOOKUP(K467,Foundation_Calc!$K$41:$R$74,VLOOKUP(AW467,Foundation_Calc!$I$2:$J$8,2,FALSE),0),"")))</f>
        <v/>
      </c>
      <c r="BA467" s="632" t="str">
        <f t="shared" si="32"/>
        <v/>
      </c>
      <c r="BB467" s="632" t="str">
        <f t="shared" si="33"/>
        <v/>
      </c>
      <c r="BC467" s="632" t="str">
        <f t="shared" si="34"/>
        <v/>
      </c>
      <c r="BD467" s="633" t="str">
        <f>IF(AND(L467="",H467=""),"",
IF(H467="",Pole_Calc!A495,
IF(H467="MP",Pole_Calc!A496,
IF(H467="AnMP",Pole_Calc!A497,
IF(H467="A",Pole_Calc!A498,
IF(H467="S/A",Pole_Calc!A499,
IF(H467="A/S",Pole_Calc!A500,"Poner a mano")))))))</f>
        <v/>
      </c>
      <c r="BE467" s="448" t="s">
        <v>1726</v>
      </c>
      <c r="BF467" s="635"/>
      <c r="BG467" s="635"/>
      <c r="BH467" s="634"/>
      <c r="BI467" s="635"/>
    </row>
    <row r="468" spans="1:61" ht="16.2" customHeight="1">
      <c r="A468" s="12"/>
      <c r="B468" s="446"/>
      <c r="C468" s="89"/>
      <c r="D468" s="13"/>
      <c r="E468" s="14"/>
      <c r="F468" s="14"/>
      <c r="G468" s="15"/>
      <c r="H468" s="8"/>
      <c r="I468" s="8"/>
      <c r="J468" s="89"/>
      <c r="K468" s="8"/>
      <c r="L468" s="8"/>
      <c r="M468" s="8" t="str">
        <f>IF(L468="","",
IF(AX468="PT",VLOOKUP(L468,Foundation_Calc!$V$4:$X$37,VLOOKUP(AX468,Foundation_Calc!$I$10:$J$13,2,FALSE),0),
IF(AX468="K",VLOOKUP(L468,Foundation_Calc!$V$41:$X$74,VLOOKUP(AX468,Foundation_Calc!$I$10:$J$13,2,FALSE),0),"")))</f>
        <v/>
      </c>
      <c r="N468" s="8"/>
      <c r="O468" s="8"/>
      <c r="P468" s="8"/>
      <c r="Q468" s="14"/>
      <c r="R468" s="15"/>
      <c r="S468" s="15"/>
      <c r="T468" s="14"/>
      <c r="U468" s="14"/>
      <c r="V468" s="14"/>
      <c r="W468" s="18"/>
      <c r="X468" s="18"/>
      <c r="Y468" s="18"/>
      <c r="Z468" s="18"/>
      <c r="AA468" s="18"/>
      <c r="AB468" s="18"/>
      <c r="AC468" s="8" t="str">
        <f t="shared" si="31"/>
        <v/>
      </c>
      <c r="AD468" s="8"/>
      <c r="AE468" s="8"/>
      <c r="AF468" s="14"/>
      <c r="AG468" s="13"/>
      <c r="AH468" s="14"/>
      <c r="AI468" s="14"/>
      <c r="AJ468" s="8"/>
      <c r="AK468" s="8"/>
      <c r="AL468" s="8"/>
      <c r="AM468" s="8"/>
      <c r="AN468" s="631"/>
      <c r="AO468" s="18"/>
      <c r="AP468" s="18"/>
      <c r="AQ468" s="18"/>
      <c r="AR468" s="18"/>
      <c r="AS468" s="18"/>
      <c r="AU468" s="448"/>
      <c r="AV468" s="448"/>
      <c r="AW468" s="8" t="str">
        <f>IF(C468&gt;0,VLOOKUP(C468,Foundation_Calc!$A$2:$C$986,3,1),
IF(J468&gt;0,VLOOKUP(J468,Foundation_Calc!$A$2:$C$986,3,1),""))</f>
        <v/>
      </c>
      <c r="AX468" s="8" t="str">
        <f>IF(C468&gt;0,VLOOKUP(C468,Foundation_Calc!$E$2:$G$986,3,1),
IF(J468&gt;0,VLOOKUP(J468,Foundation_Calc!$E$2:$G$986,3,1),""))</f>
        <v/>
      </c>
      <c r="AY468" s="631" t="str">
        <f>IF(L468="","",
IF(AX468="PT",VLOOKUP(L468,Foundation_Calc!$K$4:$R$37,VLOOKUP(AW468,Foundation_Calc!$I$2:$J$8,2,FALSE),0),
IF(AX468="K",VLOOKUP(L468,Foundation_Calc!$K$41:$R$74,VLOOKUP(AW468,Foundation_Calc!$I$2:$J$8,2,FALSE),0),"")))</f>
        <v/>
      </c>
      <c r="AZ468" s="631" t="str">
        <f>IF(K468="","",
IF(AX468="PT",VLOOKUP(K468,Foundation_Calc!$K$4:$R$37,VLOOKUP(AW468,Foundation_Calc!$I$2:$J$8,2,FALSE),0),
IF(AX468="K",VLOOKUP(K468,Foundation_Calc!$K$41:$R$74,VLOOKUP(AW468,Foundation_Calc!$I$2:$J$8,2,FALSE),0),"")))</f>
        <v/>
      </c>
      <c r="BA468" s="632" t="str">
        <f t="shared" si="32"/>
        <v/>
      </c>
      <c r="BB468" s="632" t="str">
        <f t="shared" si="33"/>
        <v/>
      </c>
      <c r="BC468" s="632" t="str">
        <f t="shared" si="34"/>
        <v/>
      </c>
      <c r="BD468" s="633" t="str">
        <f>IF(AND(L468="",H468=""),"",
IF(H468="",Pole_Calc!A496,
IF(H468="MP",Pole_Calc!A497,
IF(H468="AnMP",Pole_Calc!A498,
IF(H468="A",Pole_Calc!A499,
IF(H468="S/A",Pole_Calc!A500,
IF(H468="A/S",Pole_Calc!A501,"Poner a mano")))))))</f>
        <v/>
      </c>
      <c r="BE468" s="448" t="s">
        <v>1726</v>
      </c>
      <c r="BF468" s="634"/>
      <c r="BG468" s="634"/>
      <c r="BH468" s="634"/>
      <c r="BI468" s="634"/>
    </row>
    <row r="469" spans="1:61" ht="16.2" customHeight="1">
      <c r="A469" s="12"/>
      <c r="B469" s="446"/>
      <c r="C469" s="89"/>
      <c r="D469" s="13"/>
      <c r="E469" s="14"/>
      <c r="F469" s="14"/>
      <c r="G469" s="15"/>
      <c r="H469" s="8"/>
      <c r="I469" s="8"/>
      <c r="J469" s="89"/>
      <c r="K469" s="8"/>
      <c r="L469" s="8"/>
      <c r="M469" s="8" t="str">
        <f>IF(L469="","",
IF(AX469="PT",VLOOKUP(L469,Foundation_Calc!$V$4:$X$37,VLOOKUP(AX469,Foundation_Calc!$I$10:$J$13,2,FALSE),0),
IF(AX469="K",VLOOKUP(L469,Foundation_Calc!$V$41:$X$74,VLOOKUP(AX469,Foundation_Calc!$I$10:$J$13,2,FALSE),0),"")))</f>
        <v/>
      </c>
      <c r="N469" s="8"/>
      <c r="O469" s="8"/>
      <c r="P469" s="8"/>
      <c r="Q469" s="14"/>
      <c r="R469" s="15"/>
      <c r="S469" s="15"/>
      <c r="T469" s="14"/>
      <c r="U469" s="14"/>
      <c r="V469" s="14"/>
      <c r="W469" s="18"/>
      <c r="X469" s="18"/>
      <c r="Y469" s="18"/>
      <c r="Z469" s="18"/>
      <c r="AA469" s="18"/>
      <c r="AB469" s="18"/>
      <c r="AC469" s="8" t="str">
        <f t="shared" si="31"/>
        <v/>
      </c>
      <c r="AD469" s="8"/>
      <c r="AE469" s="8"/>
      <c r="AF469" s="14"/>
      <c r="AG469" s="13"/>
      <c r="AH469" s="14"/>
      <c r="AI469" s="14"/>
      <c r="AJ469" s="8"/>
      <c r="AK469" s="8"/>
      <c r="AL469" s="8"/>
      <c r="AM469" s="8"/>
      <c r="AN469" s="631"/>
      <c r="AO469" s="18"/>
      <c r="AP469" s="18"/>
      <c r="AQ469" s="18"/>
      <c r="AR469" s="18"/>
      <c r="AS469" s="18"/>
      <c r="AU469" s="448"/>
      <c r="AV469" s="448"/>
      <c r="AW469" s="8" t="str">
        <f>IF(C469&gt;0,VLOOKUP(C469,Foundation_Calc!$A$2:$C$986,3,1),
IF(J469&gt;0,VLOOKUP(J469,Foundation_Calc!$A$2:$C$986,3,1),""))</f>
        <v/>
      </c>
      <c r="AX469" s="8" t="str">
        <f>IF(C469&gt;0,VLOOKUP(C469,Foundation_Calc!$E$2:$G$986,3,1),
IF(J469&gt;0,VLOOKUP(J469,Foundation_Calc!$E$2:$G$986,3,1),""))</f>
        <v/>
      </c>
      <c r="AY469" s="631" t="str">
        <f>IF(L469="","",
IF(AX469="PT",VLOOKUP(L469,Foundation_Calc!$K$4:$R$37,VLOOKUP(AW469,Foundation_Calc!$I$2:$J$8,2,FALSE),0),
IF(AX469="K",VLOOKUP(L469,Foundation_Calc!$K$41:$R$74,VLOOKUP(AW469,Foundation_Calc!$I$2:$J$8,2,FALSE),0),"")))</f>
        <v/>
      </c>
      <c r="AZ469" s="631" t="str">
        <f>IF(K469="","",
IF(AX469="PT",VLOOKUP(K469,Foundation_Calc!$K$4:$R$37,VLOOKUP(AW469,Foundation_Calc!$I$2:$J$8,2,FALSE),0),
IF(AX469="K",VLOOKUP(K469,Foundation_Calc!$K$41:$R$74,VLOOKUP(AW469,Foundation_Calc!$I$2:$J$8,2,FALSE),0),"")))</f>
        <v/>
      </c>
      <c r="BA469" s="632" t="str">
        <f t="shared" si="32"/>
        <v/>
      </c>
      <c r="BB469" s="632" t="str">
        <f t="shared" si="33"/>
        <v/>
      </c>
      <c r="BC469" s="632" t="str">
        <f t="shared" si="34"/>
        <v/>
      </c>
      <c r="BD469" s="633" t="str">
        <f>IF(AND(L469="",H469=""),"",
IF(H469="",Pole_Calc!A497,
IF(H469="MP",Pole_Calc!A498,
IF(H469="AnMP",Pole_Calc!A499,
IF(H469="A",Pole_Calc!A500,
IF(H469="S/A",Pole_Calc!A501,
IF(H469="A/S",Pole_Calc!A502,"Poner a mano")))))))</f>
        <v/>
      </c>
      <c r="BE469" s="448" t="s">
        <v>1726</v>
      </c>
      <c r="BF469" s="635"/>
      <c r="BG469" s="635"/>
      <c r="BH469" s="634"/>
      <c r="BI469" s="635"/>
    </row>
    <row r="470" spans="1:61" ht="16.2" customHeight="1">
      <c r="A470" s="12"/>
      <c r="B470" s="446"/>
      <c r="C470" s="89"/>
      <c r="D470" s="13"/>
      <c r="E470" s="14"/>
      <c r="F470" s="14"/>
      <c r="G470" s="15"/>
      <c r="H470" s="8"/>
      <c r="I470" s="8"/>
      <c r="J470" s="89"/>
      <c r="K470" s="8"/>
      <c r="L470" s="8"/>
      <c r="M470" s="8" t="str">
        <f>IF(L470="","",
IF(AX470="PT",VLOOKUP(L470,Foundation_Calc!$V$4:$X$37,VLOOKUP(AX470,Foundation_Calc!$I$10:$J$13,2,FALSE),0),
IF(AX470="K",VLOOKUP(L470,Foundation_Calc!$V$41:$X$74,VLOOKUP(AX470,Foundation_Calc!$I$10:$J$13,2,FALSE),0),"")))</f>
        <v/>
      </c>
      <c r="N470" s="8"/>
      <c r="O470" s="8"/>
      <c r="P470" s="8"/>
      <c r="Q470" s="14"/>
      <c r="R470" s="15"/>
      <c r="S470" s="15"/>
      <c r="T470" s="14"/>
      <c r="U470" s="14"/>
      <c r="V470" s="14"/>
      <c r="W470" s="18"/>
      <c r="X470" s="18"/>
      <c r="Y470" s="18"/>
      <c r="Z470" s="18"/>
      <c r="AA470" s="18"/>
      <c r="AB470" s="18"/>
      <c r="AC470" s="8" t="str">
        <f t="shared" si="31"/>
        <v/>
      </c>
      <c r="AD470" s="8"/>
      <c r="AE470" s="8"/>
      <c r="AF470" s="14"/>
      <c r="AG470" s="13"/>
      <c r="AH470" s="14"/>
      <c r="AI470" s="14"/>
      <c r="AJ470" s="8"/>
      <c r="AK470" s="8"/>
      <c r="AL470" s="8"/>
      <c r="AM470" s="8"/>
      <c r="AN470" s="631"/>
      <c r="AO470" s="18"/>
      <c r="AP470" s="18"/>
      <c r="AQ470" s="18"/>
      <c r="AR470" s="18"/>
      <c r="AS470" s="18"/>
      <c r="AU470" s="448"/>
      <c r="AV470" s="448"/>
      <c r="AW470" s="8" t="str">
        <f>IF(C470&gt;0,VLOOKUP(C470,Foundation_Calc!$A$2:$C$986,3,1),
IF(J470&gt;0,VLOOKUP(J470,Foundation_Calc!$A$2:$C$986,3,1),""))</f>
        <v/>
      </c>
      <c r="AX470" s="8" t="str">
        <f>IF(C470&gt;0,VLOOKUP(C470,Foundation_Calc!$E$2:$G$986,3,1),
IF(J470&gt;0,VLOOKUP(J470,Foundation_Calc!$E$2:$G$986,3,1),""))</f>
        <v/>
      </c>
      <c r="AY470" s="631" t="str">
        <f>IF(L470="","",
IF(AX470="PT",VLOOKUP(L470,Foundation_Calc!$K$4:$R$37,VLOOKUP(AW470,Foundation_Calc!$I$2:$J$8,2,FALSE),0),
IF(AX470="K",VLOOKUP(L470,Foundation_Calc!$K$41:$R$74,VLOOKUP(AW470,Foundation_Calc!$I$2:$J$8,2,FALSE),0),"")))</f>
        <v/>
      </c>
      <c r="AZ470" s="631" t="str">
        <f>IF(K470="","",
IF(AX470="PT",VLOOKUP(K470,Foundation_Calc!$K$4:$R$37,VLOOKUP(AW470,Foundation_Calc!$I$2:$J$8,2,FALSE),0),
IF(AX470="K",VLOOKUP(K470,Foundation_Calc!$K$41:$R$74,VLOOKUP(AW470,Foundation_Calc!$I$2:$J$8,2,FALSE),0),"")))</f>
        <v/>
      </c>
      <c r="BA470" s="632" t="str">
        <f t="shared" si="32"/>
        <v/>
      </c>
      <c r="BB470" s="632" t="str">
        <f t="shared" si="33"/>
        <v/>
      </c>
      <c r="BC470" s="632" t="str">
        <f t="shared" si="34"/>
        <v/>
      </c>
      <c r="BD470" s="633" t="str">
        <f>IF(AND(L470="",H470=""),"",
IF(H470="",Pole_Calc!A498,
IF(H470="MP",Pole_Calc!A499,
IF(H470="AnMP",Pole_Calc!A500,
IF(H470="A",Pole_Calc!A501,
IF(H470="S/A",Pole_Calc!A502,
IF(H470="A/S",Pole_Calc!A503,"Poner a mano")))))))</f>
        <v/>
      </c>
      <c r="BE470" s="448" t="s">
        <v>1726</v>
      </c>
      <c r="BF470" s="634"/>
      <c r="BG470" s="634"/>
      <c r="BH470" s="634"/>
      <c r="BI470" s="634"/>
    </row>
    <row r="471" spans="1:61" ht="16.2" customHeight="1">
      <c r="A471" s="12"/>
      <c r="B471" s="446"/>
      <c r="C471" s="89"/>
      <c r="D471" s="13"/>
      <c r="E471" s="14"/>
      <c r="F471" s="14"/>
      <c r="G471" s="15"/>
      <c r="H471" s="8"/>
      <c r="I471" s="8"/>
      <c r="J471" s="89"/>
      <c r="K471" s="8"/>
      <c r="L471" s="8"/>
      <c r="M471" s="8" t="str">
        <f>IF(L471="","",
IF(AX471="PT",VLOOKUP(L471,Foundation_Calc!$V$4:$X$37,VLOOKUP(AX471,Foundation_Calc!$I$10:$J$13,2,FALSE),0),
IF(AX471="K",VLOOKUP(L471,Foundation_Calc!$V$41:$X$74,VLOOKUP(AX471,Foundation_Calc!$I$10:$J$13,2,FALSE),0),"")))</f>
        <v/>
      </c>
      <c r="N471" s="8"/>
      <c r="O471" s="8"/>
      <c r="P471" s="8"/>
      <c r="Q471" s="14"/>
      <c r="R471" s="15"/>
      <c r="S471" s="15"/>
      <c r="T471" s="14"/>
      <c r="U471" s="14"/>
      <c r="V471" s="14"/>
      <c r="W471" s="18"/>
      <c r="X471" s="18"/>
      <c r="Y471" s="18"/>
      <c r="Z471" s="18"/>
      <c r="AA471" s="18"/>
      <c r="AB471" s="18"/>
      <c r="AC471" s="8" t="str">
        <f t="shared" si="31"/>
        <v/>
      </c>
      <c r="AD471" s="8"/>
      <c r="AE471" s="8"/>
      <c r="AF471" s="14"/>
      <c r="AG471" s="13"/>
      <c r="AH471" s="14"/>
      <c r="AI471" s="14"/>
      <c r="AJ471" s="8"/>
      <c r="AK471" s="8"/>
      <c r="AL471" s="8"/>
      <c r="AM471" s="8"/>
      <c r="AN471" s="631"/>
      <c r="AO471" s="18"/>
      <c r="AP471" s="18"/>
      <c r="AQ471" s="18"/>
      <c r="AR471" s="18"/>
      <c r="AS471" s="18"/>
      <c r="AU471" s="448"/>
      <c r="AV471" s="448"/>
      <c r="AW471" s="8" t="str">
        <f>IF(C471&gt;0,VLOOKUP(C471,Foundation_Calc!$A$2:$C$986,3,1),
IF(J471&gt;0,VLOOKUP(J471,Foundation_Calc!$A$2:$C$986,3,1),""))</f>
        <v/>
      </c>
      <c r="AX471" s="8" t="str">
        <f>IF(C471&gt;0,VLOOKUP(C471,Foundation_Calc!$E$2:$G$986,3,1),
IF(J471&gt;0,VLOOKUP(J471,Foundation_Calc!$E$2:$G$986,3,1),""))</f>
        <v/>
      </c>
      <c r="AY471" s="631" t="str">
        <f>IF(L471="","",
IF(AX471="PT",VLOOKUP(L471,Foundation_Calc!$K$4:$R$37,VLOOKUP(AW471,Foundation_Calc!$I$2:$J$8,2,FALSE),0),
IF(AX471="K",VLOOKUP(L471,Foundation_Calc!$K$41:$R$74,VLOOKUP(AW471,Foundation_Calc!$I$2:$J$8,2,FALSE),0),"")))</f>
        <v/>
      </c>
      <c r="AZ471" s="631" t="str">
        <f>IF(K471="","",
IF(AX471="PT",VLOOKUP(K471,Foundation_Calc!$K$4:$R$37,VLOOKUP(AW471,Foundation_Calc!$I$2:$J$8,2,FALSE),0),
IF(AX471="K",VLOOKUP(K471,Foundation_Calc!$K$41:$R$74,VLOOKUP(AW471,Foundation_Calc!$I$2:$J$8,2,FALSE),0),"")))</f>
        <v/>
      </c>
      <c r="BA471" s="632" t="str">
        <f t="shared" si="32"/>
        <v/>
      </c>
      <c r="BB471" s="632" t="str">
        <f t="shared" si="33"/>
        <v/>
      </c>
      <c r="BC471" s="632" t="str">
        <f t="shared" si="34"/>
        <v/>
      </c>
      <c r="BD471" s="633" t="str">
        <f>IF(AND(L471="",H471=""),"",
IF(H471="",Pole_Calc!A499,
IF(H471="MP",Pole_Calc!A500,
IF(H471="AnMP",Pole_Calc!A501,
IF(H471="A",Pole_Calc!A502,
IF(H471="S/A",Pole_Calc!A503,
IF(H471="A/S",Pole_Calc!A504,"Poner a mano")))))))</f>
        <v/>
      </c>
      <c r="BE471" s="448" t="s">
        <v>1726</v>
      </c>
      <c r="BF471" s="635"/>
      <c r="BG471" s="635"/>
      <c r="BH471" s="634"/>
      <c r="BI471" s="635"/>
    </row>
    <row r="472" spans="1:61" ht="16.2" customHeight="1">
      <c r="A472" s="12"/>
      <c r="B472" s="446"/>
      <c r="C472" s="89"/>
      <c r="D472" s="13"/>
      <c r="E472" s="14"/>
      <c r="F472" s="14"/>
      <c r="G472" s="15"/>
      <c r="H472" s="8"/>
      <c r="I472" s="8"/>
      <c r="J472" s="89"/>
      <c r="K472" s="8"/>
      <c r="L472" s="8"/>
      <c r="M472" s="8" t="str">
        <f>IF(L472="","",
IF(AX472="PT",VLOOKUP(L472,Foundation_Calc!$V$4:$X$37,VLOOKUP(AX472,Foundation_Calc!$I$10:$J$13,2,FALSE),0),
IF(AX472="K",VLOOKUP(L472,Foundation_Calc!$V$41:$X$74,VLOOKUP(AX472,Foundation_Calc!$I$10:$J$13,2,FALSE),0),"")))</f>
        <v/>
      </c>
      <c r="N472" s="8"/>
      <c r="O472" s="8"/>
      <c r="P472" s="8"/>
      <c r="Q472" s="14"/>
      <c r="R472" s="15"/>
      <c r="S472" s="15"/>
      <c r="T472" s="14"/>
      <c r="U472" s="14"/>
      <c r="V472" s="14"/>
      <c r="W472" s="18"/>
      <c r="X472" s="18"/>
      <c r="Y472" s="18"/>
      <c r="Z472" s="18"/>
      <c r="AA472" s="18"/>
      <c r="AB472" s="18"/>
      <c r="AC472" s="8" t="str">
        <f t="shared" si="31"/>
        <v/>
      </c>
      <c r="AD472" s="8"/>
      <c r="AE472" s="8"/>
      <c r="AF472" s="14"/>
      <c r="AG472" s="13"/>
      <c r="AH472" s="14"/>
      <c r="AI472" s="14"/>
      <c r="AJ472" s="8"/>
      <c r="AK472" s="8"/>
      <c r="AL472" s="8"/>
      <c r="AM472" s="8"/>
      <c r="AN472" s="631"/>
      <c r="AO472" s="18"/>
      <c r="AP472" s="18"/>
      <c r="AQ472" s="18"/>
      <c r="AR472" s="18"/>
      <c r="AS472" s="18"/>
      <c r="AU472" s="448"/>
      <c r="AV472" s="448"/>
      <c r="AW472" s="8" t="str">
        <f>IF(C472&gt;0,VLOOKUP(C472,Foundation_Calc!$A$2:$C$986,3,1),
IF(J472&gt;0,VLOOKUP(J472,Foundation_Calc!$A$2:$C$986,3,1),""))</f>
        <v/>
      </c>
      <c r="AX472" s="8" t="str">
        <f>IF(C472&gt;0,VLOOKUP(C472,Foundation_Calc!$E$2:$G$986,3,1),
IF(J472&gt;0,VLOOKUP(J472,Foundation_Calc!$E$2:$G$986,3,1),""))</f>
        <v/>
      </c>
      <c r="AY472" s="631" t="str">
        <f>IF(L472="","",
IF(AX472="PT",VLOOKUP(L472,Foundation_Calc!$K$4:$R$37,VLOOKUP(AW472,Foundation_Calc!$I$2:$J$8,2,FALSE),0),
IF(AX472="K",VLOOKUP(L472,Foundation_Calc!$K$41:$R$74,VLOOKUP(AW472,Foundation_Calc!$I$2:$J$8,2,FALSE),0),"")))</f>
        <v/>
      </c>
      <c r="AZ472" s="631" t="str">
        <f>IF(K472="","",
IF(AX472="PT",VLOOKUP(K472,Foundation_Calc!$K$4:$R$37,VLOOKUP(AW472,Foundation_Calc!$I$2:$J$8,2,FALSE),0),
IF(AX472="K",VLOOKUP(K472,Foundation_Calc!$K$41:$R$74,VLOOKUP(AW472,Foundation_Calc!$I$2:$J$8,2,FALSE),0),"")))</f>
        <v/>
      </c>
      <c r="BA472" s="632" t="str">
        <f t="shared" si="32"/>
        <v/>
      </c>
      <c r="BB472" s="632" t="str">
        <f t="shared" si="33"/>
        <v/>
      </c>
      <c r="BC472" s="632" t="str">
        <f t="shared" si="34"/>
        <v/>
      </c>
      <c r="BD472" s="633" t="str">
        <f>IF(AND(L472="",H472=""),"",
IF(H472="",Pole_Calc!A500,
IF(H472="MP",Pole_Calc!A501,
IF(H472="AnMP",Pole_Calc!A502,
IF(H472="A",Pole_Calc!A503,
IF(H472="S/A",Pole_Calc!A504,
IF(H472="A/S",Pole_Calc!A505,"Poner a mano")))))))</f>
        <v/>
      </c>
      <c r="BE472" s="448" t="s">
        <v>1726</v>
      </c>
      <c r="BF472" s="634"/>
      <c r="BG472" s="634"/>
      <c r="BH472" s="634"/>
      <c r="BI472" s="634"/>
    </row>
    <row r="473" spans="1:61" ht="16.2" customHeight="1">
      <c r="A473" s="12"/>
      <c r="B473" s="446"/>
      <c r="C473" s="89"/>
      <c r="D473" s="13"/>
      <c r="E473" s="14"/>
      <c r="F473" s="14"/>
      <c r="G473" s="15"/>
      <c r="H473" s="8"/>
      <c r="I473" s="8"/>
      <c r="J473" s="89"/>
      <c r="K473" s="8"/>
      <c r="L473" s="8"/>
      <c r="M473" s="8" t="str">
        <f>IF(L473="","",
IF(AX473="PT",VLOOKUP(L473,Foundation_Calc!$V$4:$X$37,VLOOKUP(AX473,Foundation_Calc!$I$10:$J$13,2,FALSE),0),
IF(AX473="K",VLOOKUP(L473,Foundation_Calc!$V$41:$X$74,VLOOKUP(AX473,Foundation_Calc!$I$10:$J$13,2,FALSE),0),"")))</f>
        <v/>
      </c>
      <c r="N473" s="8"/>
      <c r="O473" s="8"/>
      <c r="P473" s="8"/>
      <c r="Q473" s="14"/>
      <c r="R473" s="15"/>
      <c r="S473" s="15"/>
      <c r="T473" s="14"/>
      <c r="U473" s="14"/>
      <c r="V473" s="14"/>
      <c r="W473" s="18"/>
      <c r="X473" s="18"/>
      <c r="Y473" s="18"/>
      <c r="Z473" s="18"/>
      <c r="AA473" s="18"/>
      <c r="AB473" s="18"/>
      <c r="AC473" s="8" t="str">
        <f t="shared" si="31"/>
        <v/>
      </c>
      <c r="AD473" s="8"/>
      <c r="AE473" s="8"/>
      <c r="AF473" s="14"/>
      <c r="AG473" s="13"/>
      <c r="AH473" s="14"/>
      <c r="AI473" s="14"/>
      <c r="AJ473" s="8"/>
      <c r="AK473" s="8"/>
      <c r="AL473" s="8"/>
      <c r="AM473" s="8"/>
      <c r="AN473" s="631"/>
      <c r="AO473" s="18"/>
      <c r="AP473" s="18"/>
      <c r="AQ473" s="18"/>
      <c r="AR473" s="18"/>
      <c r="AS473" s="18"/>
      <c r="AU473" s="448"/>
      <c r="AV473" s="448"/>
      <c r="AW473" s="8" t="str">
        <f>IF(C473&gt;0,VLOOKUP(C473,Foundation_Calc!$A$2:$C$986,3,1),
IF(J473&gt;0,VLOOKUP(J473,Foundation_Calc!$A$2:$C$986,3,1),""))</f>
        <v/>
      </c>
      <c r="AX473" s="8" t="str">
        <f>IF(C473&gt;0,VLOOKUP(C473,Foundation_Calc!$E$2:$G$986,3,1),
IF(J473&gt;0,VLOOKUP(J473,Foundation_Calc!$E$2:$G$986,3,1),""))</f>
        <v/>
      </c>
      <c r="AY473" s="631" t="str">
        <f>IF(L473="","",
IF(AX473="PT",VLOOKUP(L473,Foundation_Calc!$K$4:$R$37,VLOOKUP(AW473,Foundation_Calc!$I$2:$J$8,2,FALSE),0),
IF(AX473="K",VLOOKUP(L473,Foundation_Calc!$K$41:$R$74,VLOOKUP(AW473,Foundation_Calc!$I$2:$J$8,2,FALSE),0),"")))</f>
        <v/>
      </c>
      <c r="AZ473" s="631" t="str">
        <f>IF(K473="","",
IF(AX473="PT",VLOOKUP(K473,Foundation_Calc!$K$4:$R$37,VLOOKUP(AW473,Foundation_Calc!$I$2:$J$8,2,FALSE),0),
IF(AX473="K",VLOOKUP(K473,Foundation_Calc!$K$41:$R$74,VLOOKUP(AW473,Foundation_Calc!$I$2:$J$8,2,FALSE),0),"")))</f>
        <v/>
      </c>
      <c r="BA473" s="632" t="str">
        <f t="shared" si="32"/>
        <v/>
      </c>
      <c r="BB473" s="632" t="str">
        <f t="shared" si="33"/>
        <v/>
      </c>
      <c r="BC473" s="632" t="str">
        <f t="shared" si="34"/>
        <v/>
      </c>
      <c r="BD473" s="633" t="str">
        <f>IF(AND(L473="",H473=""),"",
IF(H473="",Pole_Calc!A501,
IF(H473="MP",Pole_Calc!A502,
IF(H473="AnMP",Pole_Calc!A503,
IF(H473="A",Pole_Calc!A504,
IF(H473="S/A",Pole_Calc!A505,
IF(H473="A/S",Pole_Calc!A506,"Poner a mano")))))))</f>
        <v/>
      </c>
      <c r="BE473" s="448" t="s">
        <v>1726</v>
      </c>
      <c r="BF473" s="635"/>
      <c r="BG473" s="635"/>
      <c r="BH473" s="634"/>
      <c r="BI473" s="635"/>
    </row>
    <row r="474" spans="1:61" ht="16.2" customHeight="1">
      <c r="A474" s="12"/>
      <c r="B474" s="446"/>
      <c r="C474" s="89"/>
      <c r="D474" s="13"/>
      <c r="E474" s="14"/>
      <c r="F474" s="14"/>
      <c r="G474" s="15"/>
      <c r="H474" s="8"/>
      <c r="I474" s="8"/>
      <c r="J474" s="89"/>
      <c r="K474" s="8"/>
      <c r="L474" s="8"/>
      <c r="M474" s="8" t="str">
        <f>IF(L474="","",
IF(AX474="PT",VLOOKUP(L474,Foundation_Calc!$V$4:$X$37,VLOOKUP(AX474,Foundation_Calc!$I$10:$J$13,2,FALSE),0),
IF(AX474="K",VLOOKUP(L474,Foundation_Calc!$V$41:$X$74,VLOOKUP(AX474,Foundation_Calc!$I$10:$J$13,2,FALSE),0),"")))</f>
        <v/>
      </c>
      <c r="N474" s="8"/>
      <c r="O474" s="8"/>
      <c r="P474" s="8"/>
      <c r="Q474" s="14"/>
      <c r="R474" s="15"/>
      <c r="S474" s="15"/>
      <c r="T474" s="14"/>
      <c r="U474" s="14"/>
      <c r="V474" s="14"/>
      <c r="W474" s="18"/>
      <c r="X474" s="18"/>
      <c r="Y474" s="18"/>
      <c r="Z474" s="18"/>
      <c r="AA474" s="18"/>
      <c r="AB474" s="18"/>
      <c r="AC474" s="8" t="str">
        <f t="shared" si="31"/>
        <v/>
      </c>
      <c r="AD474" s="8"/>
      <c r="AE474" s="8"/>
      <c r="AF474" s="14"/>
      <c r="AG474" s="13"/>
      <c r="AH474" s="14"/>
      <c r="AI474" s="14"/>
      <c r="AJ474" s="8"/>
      <c r="AK474" s="8"/>
      <c r="AL474" s="8"/>
      <c r="AM474" s="8"/>
      <c r="AN474" s="631"/>
      <c r="AO474" s="18"/>
      <c r="AP474" s="18"/>
      <c r="AQ474" s="18"/>
      <c r="AR474" s="18"/>
      <c r="AS474" s="18"/>
      <c r="AU474" s="448"/>
      <c r="AV474" s="448"/>
      <c r="AW474" s="8" t="str">
        <f>IF(C474&gt;0,VLOOKUP(C474,Foundation_Calc!$A$2:$C$986,3,1),
IF(J474&gt;0,VLOOKUP(J474,Foundation_Calc!$A$2:$C$986,3,1),""))</f>
        <v/>
      </c>
      <c r="AX474" s="8" t="str">
        <f>IF(C474&gt;0,VLOOKUP(C474,Foundation_Calc!$E$2:$G$986,3,1),
IF(J474&gt;0,VLOOKUP(J474,Foundation_Calc!$E$2:$G$986,3,1),""))</f>
        <v/>
      </c>
      <c r="AY474" s="631" t="str">
        <f>IF(L474="","",
IF(AX474="PT",VLOOKUP(L474,Foundation_Calc!$K$4:$R$37,VLOOKUP(AW474,Foundation_Calc!$I$2:$J$8,2,FALSE),0),
IF(AX474="K",VLOOKUP(L474,Foundation_Calc!$K$41:$R$74,VLOOKUP(AW474,Foundation_Calc!$I$2:$J$8,2,FALSE),0),"")))</f>
        <v/>
      </c>
      <c r="AZ474" s="631" t="str">
        <f>IF(K474="","",
IF(AX474="PT",VLOOKUP(K474,Foundation_Calc!$K$4:$R$37,VLOOKUP(AW474,Foundation_Calc!$I$2:$J$8,2,FALSE),0),
IF(AX474="K",VLOOKUP(K474,Foundation_Calc!$K$41:$R$74,VLOOKUP(AW474,Foundation_Calc!$I$2:$J$8,2,FALSE),0),"")))</f>
        <v/>
      </c>
      <c r="BA474" s="632" t="str">
        <f t="shared" si="32"/>
        <v/>
      </c>
      <c r="BB474" s="632" t="str">
        <f t="shared" si="33"/>
        <v/>
      </c>
      <c r="BC474" s="632" t="str">
        <f t="shared" si="34"/>
        <v/>
      </c>
      <c r="BD474" s="633" t="str">
        <f>IF(AND(L474="",H474=""),"",
IF(H474="",Pole_Calc!A502,
IF(H474="MP",Pole_Calc!A503,
IF(H474="AnMP",Pole_Calc!A504,
IF(H474="A",Pole_Calc!A505,
IF(H474="S/A",Pole_Calc!A506,
IF(H474="A/S",Pole_Calc!A507,"Poner a mano")))))))</f>
        <v/>
      </c>
      <c r="BE474" s="448" t="s">
        <v>1726</v>
      </c>
      <c r="BF474" s="634"/>
      <c r="BG474" s="634"/>
      <c r="BH474" s="634"/>
      <c r="BI474" s="634"/>
    </row>
    <row r="475" spans="1:61" ht="16.2" customHeight="1">
      <c r="A475" s="12"/>
      <c r="B475" s="446"/>
      <c r="C475" s="89"/>
      <c r="D475" s="13"/>
      <c r="E475" s="14"/>
      <c r="F475" s="14"/>
      <c r="G475" s="15"/>
      <c r="H475" s="8"/>
      <c r="I475" s="8"/>
      <c r="J475" s="89"/>
      <c r="K475" s="8"/>
      <c r="L475" s="8"/>
      <c r="M475" s="8" t="str">
        <f>IF(L475="","",
IF(AX475="PT",VLOOKUP(L475,Foundation_Calc!$V$4:$X$37,VLOOKUP(AX475,Foundation_Calc!$I$10:$J$13,2,FALSE),0),
IF(AX475="K",VLOOKUP(L475,Foundation_Calc!$V$41:$X$74,VLOOKUP(AX475,Foundation_Calc!$I$10:$J$13,2,FALSE),0),"")))</f>
        <v/>
      </c>
      <c r="N475" s="8"/>
      <c r="O475" s="8"/>
      <c r="P475" s="8"/>
      <c r="Q475" s="14"/>
      <c r="R475" s="15"/>
      <c r="S475" s="15"/>
      <c r="T475" s="14"/>
      <c r="U475" s="14"/>
      <c r="V475" s="14"/>
      <c r="W475" s="18"/>
      <c r="X475" s="18"/>
      <c r="Y475" s="18"/>
      <c r="Z475" s="18"/>
      <c r="AA475" s="18"/>
      <c r="AB475" s="18"/>
      <c r="AC475" s="8" t="str">
        <f t="shared" si="31"/>
        <v/>
      </c>
      <c r="AD475" s="8"/>
      <c r="AE475" s="8"/>
      <c r="AF475" s="14"/>
      <c r="AG475" s="13"/>
      <c r="AH475" s="14"/>
      <c r="AI475" s="14"/>
      <c r="AJ475" s="8"/>
      <c r="AK475" s="8"/>
      <c r="AL475" s="8"/>
      <c r="AM475" s="8"/>
      <c r="AN475" s="631"/>
      <c r="AO475" s="18"/>
      <c r="AP475" s="18"/>
      <c r="AQ475" s="18"/>
      <c r="AR475" s="18"/>
      <c r="AS475" s="18"/>
      <c r="AU475" s="448"/>
      <c r="AV475" s="448"/>
      <c r="AW475" s="8" t="str">
        <f>IF(C475&gt;0,VLOOKUP(C475,Foundation_Calc!$A$2:$C$986,3,1),
IF(J475&gt;0,VLOOKUP(J475,Foundation_Calc!$A$2:$C$986,3,1),""))</f>
        <v/>
      </c>
      <c r="AX475" s="8" t="str">
        <f>IF(C475&gt;0,VLOOKUP(C475,Foundation_Calc!$E$2:$G$986,3,1),
IF(J475&gt;0,VLOOKUP(J475,Foundation_Calc!$E$2:$G$986,3,1),""))</f>
        <v/>
      </c>
      <c r="AY475" s="631" t="str">
        <f>IF(L475="","",
IF(AX475="PT",VLOOKUP(L475,Foundation_Calc!$K$4:$R$37,VLOOKUP(AW475,Foundation_Calc!$I$2:$J$8,2,FALSE),0),
IF(AX475="K",VLOOKUP(L475,Foundation_Calc!$K$41:$R$74,VLOOKUP(AW475,Foundation_Calc!$I$2:$J$8,2,FALSE),0),"")))</f>
        <v/>
      </c>
      <c r="AZ475" s="631" t="str">
        <f>IF(K475="","",
IF(AX475="PT",VLOOKUP(K475,Foundation_Calc!$K$4:$R$37,VLOOKUP(AW475,Foundation_Calc!$I$2:$J$8,2,FALSE),0),
IF(AX475="K",VLOOKUP(K475,Foundation_Calc!$K$41:$R$74,VLOOKUP(AW475,Foundation_Calc!$I$2:$J$8,2,FALSE),0),"")))</f>
        <v/>
      </c>
      <c r="BA475" s="632" t="str">
        <f t="shared" si="32"/>
        <v/>
      </c>
      <c r="BB475" s="632" t="str">
        <f t="shared" si="33"/>
        <v/>
      </c>
      <c r="BC475" s="632" t="str">
        <f t="shared" si="34"/>
        <v/>
      </c>
      <c r="BD475" s="633" t="str">
        <f>IF(AND(L475="",H475=""),"",
IF(H475="",Pole_Calc!A503,
IF(H475="MP",Pole_Calc!A504,
IF(H475="AnMP",Pole_Calc!A505,
IF(H475="A",Pole_Calc!A506,
IF(H475="S/A",Pole_Calc!A507,
IF(H475="A/S",Pole_Calc!A508,"Poner a mano")))))))</f>
        <v/>
      </c>
      <c r="BE475" s="448" t="s">
        <v>1726</v>
      </c>
      <c r="BF475" s="635"/>
      <c r="BG475" s="635"/>
      <c r="BH475" s="634"/>
      <c r="BI475" s="635"/>
    </row>
    <row r="476" spans="1:61" ht="16.2" customHeight="1">
      <c r="A476" s="12"/>
      <c r="B476" s="446"/>
      <c r="C476" s="89"/>
      <c r="D476" s="13"/>
      <c r="E476" s="14"/>
      <c r="F476" s="14"/>
      <c r="G476" s="15"/>
      <c r="H476" s="8"/>
      <c r="I476" s="8"/>
      <c r="J476" s="89"/>
      <c r="K476" s="8"/>
      <c r="L476" s="8"/>
      <c r="M476" s="8" t="str">
        <f>IF(L476="","",
IF(AX476="PT",VLOOKUP(L476,Foundation_Calc!$V$4:$X$37,VLOOKUP(AX476,Foundation_Calc!$I$10:$J$13,2,FALSE),0),
IF(AX476="K",VLOOKUP(L476,Foundation_Calc!$V$41:$X$74,VLOOKUP(AX476,Foundation_Calc!$I$10:$J$13,2,FALSE),0),"")))</f>
        <v/>
      </c>
      <c r="N476" s="8"/>
      <c r="O476" s="8"/>
      <c r="P476" s="8"/>
      <c r="Q476" s="14"/>
      <c r="R476" s="15"/>
      <c r="S476" s="15"/>
      <c r="T476" s="14"/>
      <c r="U476" s="14"/>
      <c r="V476" s="14"/>
      <c r="W476" s="18"/>
      <c r="X476" s="18"/>
      <c r="Y476" s="18"/>
      <c r="Z476" s="18"/>
      <c r="AA476" s="18"/>
      <c r="AB476" s="18"/>
      <c r="AC476" s="8" t="str">
        <f t="shared" si="31"/>
        <v/>
      </c>
      <c r="AD476" s="8"/>
      <c r="AE476" s="8"/>
      <c r="AF476" s="14"/>
      <c r="AG476" s="13"/>
      <c r="AH476" s="14"/>
      <c r="AI476" s="14"/>
      <c r="AJ476" s="8"/>
      <c r="AK476" s="8"/>
      <c r="AL476" s="8"/>
      <c r="AM476" s="8"/>
      <c r="AN476" s="631"/>
      <c r="AO476" s="18"/>
      <c r="AP476" s="18"/>
      <c r="AQ476" s="18"/>
      <c r="AR476" s="18"/>
      <c r="AS476" s="18"/>
      <c r="AU476" s="448"/>
      <c r="AV476" s="448"/>
      <c r="AW476" s="8" t="str">
        <f>IF(C476&gt;0,VLOOKUP(C476,Foundation_Calc!$A$2:$C$986,3,1),
IF(J476&gt;0,VLOOKUP(J476,Foundation_Calc!$A$2:$C$986,3,1),""))</f>
        <v/>
      </c>
      <c r="AX476" s="8" t="str">
        <f>IF(C476&gt;0,VLOOKUP(C476,Foundation_Calc!$E$2:$G$986,3,1),
IF(J476&gt;0,VLOOKUP(J476,Foundation_Calc!$E$2:$G$986,3,1),""))</f>
        <v/>
      </c>
      <c r="AY476" s="631" t="str">
        <f>IF(L476="","",
IF(AX476="PT",VLOOKUP(L476,Foundation_Calc!$K$4:$R$37,VLOOKUP(AW476,Foundation_Calc!$I$2:$J$8,2,FALSE),0),
IF(AX476="K",VLOOKUP(L476,Foundation_Calc!$K$41:$R$74,VLOOKUP(AW476,Foundation_Calc!$I$2:$J$8,2,FALSE),0),"")))</f>
        <v/>
      </c>
      <c r="AZ476" s="631" t="str">
        <f>IF(K476="","",
IF(AX476="PT",VLOOKUP(K476,Foundation_Calc!$K$4:$R$37,VLOOKUP(AW476,Foundation_Calc!$I$2:$J$8,2,FALSE),0),
IF(AX476="K",VLOOKUP(K476,Foundation_Calc!$K$41:$R$74,VLOOKUP(AW476,Foundation_Calc!$I$2:$J$8,2,FALSE),0),"")))</f>
        <v/>
      </c>
      <c r="BA476" s="632" t="str">
        <f t="shared" si="32"/>
        <v/>
      </c>
      <c r="BB476" s="632" t="str">
        <f t="shared" si="33"/>
        <v/>
      </c>
      <c r="BC476" s="632" t="str">
        <f t="shared" si="34"/>
        <v/>
      </c>
      <c r="BD476" s="633" t="str">
        <f>IF(AND(L476="",H476=""),"",
IF(H476="",Pole_Calc!A504,
IF(H476="MP",Pole_Calc!A505,
IF(H476="AnMP",Pole_Calc!A506,
IF(H476="A",Pole_Calc!A507,
IF(H476="S/A",Pole_Calc!A508,
IF(H476="A/S",Pole_Calc!A509,"Poner a mano")))))))</f>
        <v/>
      </c>
      <c r="BE476" s="448" t="s">
        <v>1726</v>
      </c>
      <c r="BF476" s="634"/>
      <c r="BG476" s="634"/>
      <c r="BH476" s="634"/>
      <c r="BI476" s="634"/>
    </row>
    <row r="477" spans="1:61" ht="16.2" customHeight="1">
      <c r="A477" s="12"/>
      <c r="B477" s="446"/>
      <c r="C477" s="89"/>
      <c r="D477" s="13"/>
      <c r="E477" s="14"/>
      <c r="F477" s="14"/>
      <c r="G477" s="15"/>
      <c r="H477" s="8"/>
      <c r="I477" s="8"/>
      <c r="J477" s="89"/>
      <c r="K477" s="8"/>
      <c r="L477" s="8"/>
      <c r="M477" s="8" t="str">
        <f>IF(L477="","",
IF(AX477="PT",VLOOKUP(L477,Foundation_Calc!$V$4:$X$37,VLOOKUP(AX477,Foundation_Calc!$I$10:$J$13,2,FALSE),0),
IF(AX477="K",VLOOKUP(L477,Foundation_Calc!$V$41:$X$74,VLOOKUP(AX477,Foundation_Calc!$I$10:$J$13,2,FALSE),0),"")))</f>
        <v/>
      </c>
      <c r="N477" s="8"/>
      <c r="O477" s="8"/>
      <c r="P477" s="8"/>
      <c r="Q477" s="14"/>
      <c r="R477" s="15"/>
      <c r="S477" s="15"/>
      <c r="T477" s="14"/>
      <c r="U477" s="14"/>
      <c r="V477" s="14"/>
      <c r="W477" s="18"/>
      <c r="X477" s="18"/>
      <c r="Y477" s="18"/>
      <c r="Z477" s="18"/>
      <c r="AA477" s="18"/>
      <c r="AB477" s="18"/>
      <c r="AC477" s="8" t="str">
        <f t="shared" si="31"/>
        <v/>
      </c>
      <c r="AD477" s="8"/>
      <c r="AE477" s="8"/>
      <c r="AF477" s="14"/>
      <c r="AG477" s="13"/>
      <c r="AH477" s="14"/>
      <c r="AI477" s="14"/>
      <c r="AJ477" s="8"/>
      <c r="AK477" s="8"/>
      <c r="AL477" s="8"/>
      <c r="AM477" s="8"/>
      <c r="AN477" s="631"/>
      <c r="AO477" s="18"/>
      <c r="AP477" s="18"/>
      <c r="AQ477" s="18"/>
      <c r="AR477" s="18"/>
      <c r="AS477" s="18"/>
      <c r="AU477" s="448"/>
      <c r="AV477" s="448"/>
      <c r="AW477" s="8" t="str">
        <f>IF(C477&gt;0,VLOOKUP(C477,Foundation_Calc!$A$2:$C$986,3,1),
IF(J477&gt;0,VLOOKUP(J477,Foundation_Calc!$A$2:$C$986,3,1),""))</f>
        <v/>
      </c>
      <c r="AX477" s="8" t="str">
        <f>IF(C477&gt;0,VLOOKUP(C477,Foundation_Calc!$E$2:$G$986,3,1),
IF(J477&gt;0,VLOOKUP(J477,Foundation_Calc!$E$2:$G$986,3,1),""))</f>
        <v/>
      </c>
      <c r="AY477" s="631" t="str">
        <f>IF(L477="","",
IF(AX477="PT",VLOOKUP(L477,Foundation_Calc!$K$4:$R$37,VLOOKUP(AW477,Foundation_Calc!$I$2:$J$8,2,FALSE),0),
IF(AX477="K",VLOOKUP(L477,Foundation_Calc!$K$41:$R$74,VLOOKUP(AW477,Foundation_Calc!$I$2:$J$8,2,FALSE),0),"")))</f>
        <v/>
      </c>
      <c r="AZ477" s="631" t="str">
        <f>IF(K477="","",
IF(AX477="PT",VLOOKUP(K477,Foundation_Calc!$K$4:$R$37,VLOOKUP(AW477,Foundation_Calc!$I$2:$J$8,2,FALSE),0),
IF(AX477="K",VLOOKUP(K477,Foundation_Calc!$K$41:$R$74,VLOOKUP(AW477,Foundation_Calc!$I$2:$J$8,2,FALSE),0),"")))</f>
        <v/>
      </c>
      <c r="BA477" s="632" t="str">
        <f t="shared" si="32"/>
        <v/>
      </c>
      <c r="BB477" s="632" t="str">
        <f t="shared" si="33"/>
        <v/>
      </c>
      <c r="BC477" s="632" t="str">
        <f t="shared" si="34"/>
        <v/>
      </c>
      <c r="BD477" s="633" t="str">
        <f>IF(AND(L477="",H477=""),"",
IF(H477="",Pole_Calc!A505,
IF(H477="MP",Pole_Calc!A506,
IF(H477="AnMP",Pole_Calc!A507,
IF(H477="A",Pole_Calc!A508,
IF(H477="S/A",Pole_Calc!A509,
IF(H477="A/S",Pole_Calc!A510,"Poner a mano")))))))</f>
        <v/>
      </c>
      <c r="BE477" s="448" t="s">
        <v>1726</v>
      </c>
      <c r="BF477" s="635"/>
      <c r="BG477" s="635"/>
      <c r="BH477" s="634"/>
      <c r="BI477" s="635"/>
    </row>
    <row r="478" spans="1:61" ht="16.2" customHeight="1">
      <c r="A478" s="12"/>
      <c r="B478" s="446"/>
      <c r="C478" s="89"/>
      <c r="D478" s="13"/>
      <c r="E478" s="14"/>
      <c r="F478" s="14"/>
      <c r="G478" s="15"/>
      <c r="H478" s="8"/>
      <c r="I478" s="8"/>
      <c r="J478" s="89"/>
      <c r="K478" s="8"/>
      <c r="L478" s="8"/>
      <c r="M478" s="8" t="str">
        <f>IF(L478="","",
IF(AX478="PT",VLOOKUP(L478,Foundation_Calc!$V$4:$X$37,VLOOKUP(AX478,Foundation_Calc!$I$10:$J$13,2,FALSE),0),
IF(AX478="K",VLOOKUP(L478,Foundation_Calc!$V$41:$X$74,VLOOKUP(AX478,Foundation_Calc!$I$10:$J$13,2,FALSE),0),"")))</f>
        <v/>
      </c>
      <c r="N478" s="8"/>
      <c r="O478" s="8"/>
      <c r="P478" s="8"/>
      <c r="Q478" s="14"/>
      <c r="R478" s="15"/>
      <c r="S478" s="15"/>
      <c r="T478" s="14"/>
      <c r="U478" s="14"/>
      <c r="V478" s="14"/>
      <c r="W478" s="18"/>
      <c r="X478" s="18"/>
      <c r="Y478" s="18"/>
      <c r="Z478" s="18"/>
      <c r="AA478" s="18"/>
      <c r="AB478" s="18"/>
      <c r="AC478" s="8" t="str">
        <f t="shared" si="31"/>
        <v/>
      </c>
      <c r="AD478" s="8"/>
      <c r="AE478" s="8"/>
      <c r="AF478" s="14"/>
      <c r="AG478" s="13"/>
      <c r="AH478" s="14"/>
      <c r="AI478" s="14"/>
      <c r="AJ478" s="8"/>
      <c r="AK478" s="8"/>
      <c r="AL478" s="8"/>
      <c r="AM478" s="8"/>
      <c r="AN478" s="631"/>
      <c r="AO478" s="18"/>
      <c r="AP478" s="18"/>
      <c r="AQ478" s="18"/>
      <c r="AR478" s="18"/>
      <c r="AS478" s="18"/>
      <c r="AU478" s="448"/>
      <c r="AV478" s="448"/>
      <c r="AW478" s="8" t="str">
        <f>IF(C478&gt;0,VLOOKUP(C478,Foundation_Calc!$A$2:$C$986,3,1),
IF(J478&gt;0,VLOOKUP(J478,Foundation_Calc!$A$2:$C$986,3,1),""))</f>
        <v/>
      </c>
      <c r="AX478" s="8" t="str">
        <f>IF(C478&gt;0,VLOOKUP(C478,Foundation_Calc!$E$2:$G$986,3,1),
IF(J478&gt;0,VLOOKUP(J478,Foundation_Calc!$E$2:$G$986,3,1),""))</f>
        <v/>
      </c>
      <c r="AY478" s="631" t="str">
        <f>IF(L478="","",
IF(AX478="PT",VLOOKUP(L478,Foundation_Calc!$K$4:$R$37,VLOOKUP(AW478,Foundation_Calc!$I$2:$J$8,2,FALSE),0),
IF(AX478="K",VLOOKUP(L478,Foundation_Calc!$K$41:$R$74,VLOOKUP(AW478,Foundation_Calc!$I$2:$J$8,2,FALSE),0),"")))</f>
        <v/>
      </c>
      <c r="AZ478" s="631" t="str">
        <f>IF(K478="","",
IF(AX478="PT",VLOOKUP(K478,Foundation_Calc!$K$4:$R$37,VLOOKUP(AW478,Foundation_Calc!$I$2:$J$8,2,FALSE),0),
IF(AX478="K",VLOOKUP(K478,Foundation_Calc!$K$41:$R$74,VLOOKUP(AW478,Foundation_Calc!$I$2:$J$8,2,FALSE),0),"")))</f>
        <v/>
      </c>
      <c r="BA478" s="632" t="str">
        <f t="shared" si="32"/>
        <v/>
      </c>
      <c r="BB478" s="632" t="str">
        <f t="shared" si="33"/>
        <v/>
      </c>
      <c r="BC478" s="632" t="str">
        <f t="shared" si="34"/>
        <v/>
      </c>
      <c r="BD478" s="633" t="str">
        <f>IF(AND(L478="",H478=""),"",
IF(H478="",Pole_Calc!A506,
IF(H478="MP",Pole_Calc!A507,
IF(H478="AnMP",Pole_Calc!A508,
IF(H478="A",Pole_Calc!A509,
IF(H478="S/A",Pole_Calc!A510,
IF(H478="A/S",Pole_Calc!A511,"Poner a mano")))))))</f>
        <v/>
      </c>
      <c r="BE478" s="448" t="s">
        <v>1726</v>
      </c>
      <c r="BF478" s="634"/>
      <c r="BG478" s="634"/>
      <c r="BH478" s="634"/>
      <c r="BI478" s="634"/>
    </row>
    <row r="479" spans="1:61" ht="16.2" customHeight="1">
      <c r="A479" s="12"/>
      <c r="B479" s="446"/>
      <c r="C479" s="89"/>
      <c r="D479" s="13"/>
      <c r="E479" s="14"/>
      <c r="F479" s="14"/>
      <c r="G479" s="15"/>
      <c r="H479" s="8"/>
      <c r="I479" s="8"/>
      <c r="J479" s="89"/>
      <c r="K479" s="8"/>
      <c r="L479" s="8"/>
      <c r="M479" s="8" t="str">
        <f>IF(L479="","",
IF(AX479="PT",VLOOKUP(L479,Foundation_Calc!$V$4:$X$37,VLOOKUP(AX479,Foundation_Calc!$I$10:$J$13,2,FALSE),0),
IF(AX479="K",VLOOKUP(L479,Foundation_Calc!$V$41:$X$74,VLOOKUP(AX479,Foundation_Calc!$I$10:$J$13,2,FALSE),0),"")))</f>
        <v/>
      </c>
      <c r="N479" s="8"/>
      <c r="O479" s="8"/>
      <c r="P479" s="8"/>
      <c r="Q479" s="14"/>
      <c r="R479" s="15"/>
      <c r="S479" s="15"/>
      <c r="T479" s="14"/>
      <c r="U479" s="14"/>
      <c r="V479" s="14"/>
      <c r="W479" s="18"/>
      <c r="X479" s="18"/>
      <c r="Y479" s="18"/>
      <c r="Z479" s="18"/>
      <c r="AA479" s="18"/>
      <c r="AB479" s="18"/>
      <c r="AC479" s="8" t="str">
        <f t="shared" si="31"/>
        <v/>
      </c>
      <c r="AD479" s="8"/>
      <c r="AE479" s="8"/>
      <c r="AF479" s="14"/>
      <c r="AG479" s="13"/>
      <c r="AH479" s="14"/>
      <c r="AI479" s="14"/>
      <c r="AJ479" s="8"/>
      <c r="AK479" s="8"/>
      <c r="AL479" s="8"/>
      <c r="AM479" s="8"/>
      <c r="AN479" s="631"/>
      <c r="AO479" s="18"/>
      <c r="AP479" s="18"/>
      <c r="AQ479" s="18"/>
      <c r="AR479" s="18"/>
      <c r="AS479" s="18"/>
      <c r="AU479" s="448"/>
      <c r="AV479" s="448"/>
      <c r="AW479" s="8" t="str">
        <f>IF(C479&gt;0,VLOOKUP(C479,Foundation_Calc!$A$2:$C$986,3,1),
IF(J479&gt;0,VLOOKUP(J479,Foundation_Calc!$A$2:$C$986,3,1),""))</f>
        <v/>
      </c>
      <c r="AX479" s="8" t="str">
        <f>IF(C479&gt;0,VLOOKUP(C479,Foundation_Calc!$E$2:$G$986,3,1),
IF(J479&gt;0,VLOOKUP(J479,Foundation_Calc!$E$2:$G$986,3,1),""))</f>
        <v/>
      </c>
      <c r="AY479" s="631" t="str">
        <f>IF(L479="","",
IF(AX479="PT",VLOOKUP(L479,Foundation_Calc!$K$4:$R$37,VLOOKUP(AW479,Foundation_Calc!$I$2:$J$8,2,FALSE),0),
IF(AX479="K",VLOOKUP(L479,Foundation_Calc!$K$41:$R$74,VLOOKUP(AW479,Foundation_Calc!$I$2:$J$8,2,FALSE),0),"")))</f>
        <v/>
      </c>
      <c r="AZ479" s="631" t="str">
        <f>IF(K479="","",
IF(AX479="PT",VLOOKUP(K479,Foundation_Calc!$K$4:$R$37,VLOOKUP(AW479,Foundation_Calc!$I$2:$J$8,2,FALSE),0),
IF(AX479="K",VLOOKUP(K479,Foundation_Calc!$K$41:$R$74,VLOOKUP(AW479,Foundation_Calc!$I$2:$J$8,2,FALSE),0),"")))</f>
        <v/>
      </c>
      <c r="BA479" s="632" t="str">
        <f t="shared" si="32"/>
        <v/>
      </c>
      <c r="BB479" s="632" t="str">
        <f t="shared" si="33"/>
        <v/>
      </c>
      <c r="BC479" s="632" t="str">
        <f t="shared" si="34"/>
        <v/>
      </c>
      <c r="BD479" s="633" t="str">
        <f>IF(AND(L479="",H479=""),"",
IF(H479="",Pole_Calc!A507,
IF(H479="MP",Pole_Calc!A508,
IF(H479="AnMP",Pole_Calc!A509,
IF(H479="A",Pole_Calc!A510,
IF(H479="S/A",Pole_Calc!A511,
IF(H479="A/S",Pole_Calc!A512,"Poner a mano")))))))</f>
        <v/>
      </c>
      <c r="BE479" s="448" t="s">
        <v>1726</v>
      </c>
      <c r="BF479" s="635"/>
      <c r="BG479" s="635"/>
      <c r="BH479" s="634"/>
      <c r="BI479" s="635"/>
    </row>
    <row r="480" spans="1:61" ht="16.2" customHeight="1">
      <c r="A480" s="12"/>
      <c r="B480" s="446"/>
      <c r="C480" s="89"/>
      <c r="D480" s="13"/>
      <c r="E480" s="14"/>
      <c r="F480" s="14"/>
      <c r="G480" s="15"/>
      <c r="H480" s="8"/>
      <c r="I480" s="8"/>
      <c r="J480" s="89"/>
      <c r="K480" s="8"/>
      <c r="L480" s="8"/>
      <c r="M480" s="8" t="str">
        <f>IF(L480="","",
IF(AX480="PT",VLOOKUP(L480,Foundation_Calc!$V$4:$X$37,VLOOKUP(AX480,Foundation_Calc!$I$10:$J$13,2,FALSE),0),
IF(AX480="K",VLOOKUP(L480,Foundation_Calc!$V$41:$X$74,VLOOKUP(AX480,Foundation_Calc!$I$10:$J$13,2,FALSE),0),"")))</f>
        <v/>
      </c>
      <c r="N480" s="8"/>
      <c r="O480" s="8"/>
      <c r="P480" s="8"/>
      <c r="Q480" s="14"/>
      <c r="R480" s="15"/>
      <c r="S480" s="15"/>
      <c r="T480" s="14"/>
      <c r="U480" s="14"/>
      <c r="V480" s="14"/>
      <c r="W480" s="18"/>
      <c r="X480" s="18"/>
      <c r="Y480" s="18"/>
      <c r="Z480" s="18"/>
      <c r="AA480" s="18"/>
      <c r="AB480" s="18"/>
      <c r="AC480" s="8" t="str">
        <f t="shared" si="31"/>
        <v/>
      </c>
      <c r="AD480" s="8"/>
      <c r="AE480" s="8"/>
      <c r="AF480" s="14"/>
      <c r="AG480" s="13"/>
      <c r="AH480" s="14"/>
      <c r="AI480" s="14"/>
      <c r="AJ480" s="8"/>
      <c r="AK480" s="8"/>
      <c r="AL480" s="8"/>
      <c r="AM480" s="8"/>
      <c r="AN480" s="631"/>
      <c r="AO480" s="18"/>
      <c r="AP480" s="18"/>
      <c r="AQ480" s="18"/>
      <c r="AR480" s="18"/>
      <c r="AS480" s="18"/>
      <c r="AU480" s="448"/>
      <c r="AV480" s="448"/>
      <c r="AW480" s="8" t="str">
        <f>IF(C480&gt;0,VLOOKUP(C480,Foundation_Calc!$A$2:$C$986,3,1),
IF(J480&gt;0,VLOOKUP(J480,Foundation_Calc!$A$2:$C$986,3,1),""))</f>
        <v/>
      </c>
      <c r="AX480" s="8" t="str">
        <f>IF(C480&gt;0,VLOOKUP(C480,Foundation_Calc!$E$2:$G$986,3,1),
IF(J480&gt;0,VLOOKUP(J480,Foundation_Calc!$E$2:$G$986,3,1),""))</f>
        <v/>
      </c>
      <c r="AY480" s="631" t="str">
        <f>IF(L480="","",
IF(AX480="PT",VLOOKUP(L480,Foundation_Calc!$K$4:$R$37,VLOOKUP(AW480,Foundation_Calc!$I$2:$J$8,2,FALSE),0),
IF(AX480="K",VLOOKUP(L480,Foundation_Calc!$K$41:$R$74,VLOOKUP(AW480,Foundation_Calc!$I$2:$J$8,2,FALSE),0),"")))</f>
        <v/>
      </c>
      <c r="AZ480" s="631" t="str">
        <f>IF(K480="","",
IF(AX480="PT",VLOOKUP(K480,Foundation_Calc!$K$4:$R$37,VLOOKUP(AW480,Foundation_Calc!$I$2:$J$8,2,FALSE),0),
IF(AX480="K",VLOOKUP(K480,Foundation_Calc!$K$41:$R$74,VLOOKUP(AW480,Foundation_Calc!$I$2:$J$8,2,FALSE),0),"")))</f>
        <v/>
      </c>
      <c r="BA480" s="632" t="str">
        <f t="shared" si="32"/>
        <v/>
      </c>
      <c r="BB480" s="632" t="str">
        <f t="shared" si="33"/>
        <v/>
      </c>
      <c r="BC480" s="632" t="str">
        <f t="shared" si="34"/>
        <v/>
      </c>
      <c r="BD480" s="633" t="str">
        <f>IF(AND(L480="",H480=""),"",
IF(H480="",Pole_Calc!A508,
IF(H480="MP",Pole_Calc!A509,
IF(H480="AnMP",Pole_Calc!A510,
IF(H480="A",Pole_Calc!A511,
IF(H480="S/A",Pole_Calc!A512,
IF(H480="A/S",Pole_Calc!A513,"Poner a mano")))))))</f>
        <v/>
      </c>
      <c r="BE480" s="448" t="s">
        <v>1726</v>
      </c>
      <c r="BF480" s="634"/>
      <c r="BG480" s="634"/>
      <c r="BH480" s="634"/>
      <c r="BI480" s="634"/>
    </row>
    <row r="481" spans="1:61" ht="16.2" customHeight="1">
      <c r="A481" s="12"/>
      <c r="B481" s="446"/>
      <c r="C481" s="89"/>
      <c r="D481" s="13"/>
      <c r="E481" s="14"/>
      <c r="F481" s="14"/>
      <c r="G481" s="15"/>
      <c r="H481" s="8"/>
      <c r="I481" s="8"/>
      <c r="J481" s="89"/>
      <c r="K481" s="8"/>
      <c r="L481" s="8"/>
      <c r="M481" s="8" t="str">
        <f>IF(L481="","",
IF(AX481="PT",VLOOKUP(L481,Foundation_Calc!$V$4:$X$37,VLOOKUP(AX481,Foundation_Calc!$I$10:$J$13,2,FALSE),0),
IF(AX481="K",VLOOKUP(L481,Foundation_Calc!$V$41:$X$74,VLOOKUP(AX481,Foundation_Calc!$I$10:$J$13,2,FALSE),0),"")))</f>
        <v/>
      </c>
      <c r="N481" s="8"/>
      <c r="O481" s="8"/>
      <c r="P481" s="8"/>
      <c r="Q481" s="14"/>
      <c r="R481" s="15"/>
      <c r="S481" s="15"/>
      <c r="T481" s="14"/>
      <c r="U481" s="14"/>
      <c r="V481" s="14"/>
      <c r="W481" s="18"/>
      <c r="X481" s="18"/>
      <c r="Y481" s="18"/>
      <c r="Z481" s="18"/>
      <c r="AA481" s="18"/>
      <c r="AB481" s="18"/>
      <c r="AC481" s="8" t="str">
        <f t="shared" si="31"/>
        <v/>
      </c>
      <c r="AD481" s="8"/>
      <c r="AE481" s="8"/>
      <c r="AF481" s="14"/>
      <c r="AG481" s="13"/>
      <c r="AH481" s="14"/>
      <c r="AI481" s="14"/>
      <c r="AJ481" s="8"/>
      <c r="AK481" s="8"/>
      <c r="AL481" s="8"/>
      <c r="AM481" s="8"/>
      <c r="AN481" s="631"/>
      <c r="AO481" s="18"/>
      <c r="AP481" s="18"/>
      <c r="AQ481" s="18"/>
      <c r="AR481" s="18"/>
      <c r="AS481" s="18"/>
      <c r="AU481" s="448"/>
      <c r="AV481" s="448"/>
      <c r="AW481" s="8" t="str">
        <f>IF(C481&gt;0,VLOOKUP(C481,Foundation_Calc!$A$2:$C$986,3,1),
IF(J481&gt;0,VLOOKUP(J481,Foundation_Calc!$A$2:$C$986,3,1),""))</f>
        <v/>
      </c>
      <c r="AX481" s="8" t="str">
        <f>IF(C481&gt;0,VLOOKUP(C481,Foundation_Calc!$E$2:$G$986,3,1),
IF(J481&gt;0,VLOOKUP(J481,Foundation_Calc!$E$2:$G$986,3,1),""))</f>
        <v/>
      </c>
      <c r="AY481" s="631" t="str">
        <f>IF(L481="","",
IF(AX481="PT",VLOOKUP(L481,Foundation_Calc!$K$4:$R$37,VLOOKUP(AW481,Foundation_Calc!$I$2:$J$8,2,FALSE),0),
IF(AX481="K",VLOOKUP(L481,Foundation_Calc!$K$41:$R$74,VLOOKUP(AW481,Foundation_Calc!$I$2:$J$8,2,FALSE),0),"")))</f>
        <v/>
      </c>
      <c r="AZ481" s="631" t="str">
        <f>IF(K481="","",
IF(AX481="PT",VLOOKUP(K481,Foundation_Calc!$K$4:$R$37,VLOOKUP(AW481,Foundation_Calc!$I$2:$J$8,2,FALSE),0),
IF(AX481="K",VLOOKUP(K481,Foundation_Calc!$K$41:$R$74,VLOOKUP(AW481,Foundation_Calc!$I$2:$J$8,2,FALSE),0),"")))</f>
        <v/>
      </c>
      <c r="BA481" s="632" t="str">
        <f t="shared" si="32"/>
        <v/>
      </c>
      <c r="BB481" s="632" t="str">
        <f t="shared" si="33"/>
        <v/>
      </c>
      <c r="BC481" s="632" t="str">
        <f t="shared" si="34"/>
        <v/>
      </c>
      <c r="BD481" s="633" t="str">
        <f>IF(AND(L481="",H481=""),"",
IF(H481="",Pole_Calc!A509,
IF(H481="MP",Pole_Calc!A510,
IF(H481="AnMP",Pole_Calc!A511,
IF(H481="A",Pole_Calc!A512,
IF(H481="S/A",Pole_Calc!A513,
IF(H481="A/S",Pole_Calc!A514,"Poner a mano")))))))</f>
        <v/>
      </c>
      <c r="BE481" s="448" t="s">
        <v>1726</v>
      </c>
      <c r="BF481" s="635"/>
      <c r="BG481" s="635"/>
      <c r="BH481" s="634"/>
      <c r="BI481" s="635"/>
    </row>
    <row r="482" spans="1:61" ht="16.2" customHeight="1">
      <c r="A482" s="12"/>
      <c r="B482" s="446"/>
      <c r="C482" s="89"/>
      <c r="D482" s="13"/>
      <c r="E482" s="14"/>
      <c r="F482" s="14"/>
      <c r="G482" s="15"/>
      <c r="H482" s="8"/>
      <c r="I482" s="8"/>
      <c r="J482" s="89"/>
      <c r="K482" s="8"/>
      <c r="L482" s="8"/>
      <c r="M482" s="8" t="str">
        <f>IF(L482="","",
IF(AX482="PT",VLOOKUP(L482,Foundation_Calc!$V$4:$X$37,VLOOKUP(AX482,Foundation_Calc!$I$10:$J$13,2,FALSE),0),
IF(AX482="K",VLOOKUP(L482,Foundation_Calc!$V$41:$X$74,VLOOKUP(AX482,Foundation_Calc!$I$10:$J$13,2,FALSE),0),"")))</f>
        <v/>
      </c>
      <c r="N482" s="8"/>
      <c r="O482" s="8"/>
      <c r="P482" s="8"/>
      <c r="Q482" s="14"/>
      <c r="R482" s="15"/>
      <c r="S482" s="15"/>
      <c r="T482" s="14"/>
      <c r="U482" s="14"/>
      <c r="V482" s="14"/>
      <c r="W482" s="18"/>
      <c r="X482" s="18"/>
      <c r="Y482" s="18"/>
      <c r="Z482" s="18"/>
      <c r="AA482" s="18"/>
      <c r="AB482" s="18"/>
      <c r="AC482" s="8" t="str">
        <f t="shared" si="31"/>
        <v/>
      </c>
      <c r="AD482" s="8"/>
      <c r="AE482" s="8"/>
      <c r="AF482" s="14"/>
      <c r="AG482" s="13"/>
      <c r="AH482" s="14"/>
      <c r="AI482" s="14"/>
      <c r="AJ482" s="8"/>
      <c r="AK482" s="8"/>
      <c r="AL482" s="8"/>
      <c r="AM482" s="8"/>
      <c r="AN482" s="631"/>
      <c r="AO482" s="18"/>
      <c r="AP482" s="18"/>
      <c r="AQ482" s="18"/>
      <c r="AR482" s="18"/>
      <c r="AS482" s="18"/>
      <c r="AU482" s="448"/>
      <c r="AV482" s="448"/>
      <c r="AW482" s="8" t="str">
        <f>IF(C482&gt;0,VLOOKUP(C482,Foundation_Calc!$A$2:$C$986,3,1),
IF(J482&gt;0,VLOOKUP(J482,Foundation_Calc!$A$2:$C$986,3,1),""))</f>
        <v/>
      </c>
      <c r="AX482" s="8" t="str">
        <f>IF(C482&gt;0,VLOOKUP(C482,Foundation_Calc!$E$2:$G$986,3,1),
IF(J482&gt;0,VLOOKUP(J482,Foundation_Calc!$E$2:$G$986,3,1),""))</f>
        <v/>
      </c>
      <c r="AY482" s="631" t="str">
        <f>IF(L482="","",
IF(AX482="PT",VLOOKUP(L482,Foundation_Calc!$K$4:$R$37,VLOOKUP(AW482,Foundation_Calc!$I$2:$J$8,2,FALSE),0),
IF(AX482="K",VLOOKUP(L482,Foundation_Calc!$K$41:$R$74,VLOOKUP(AW482,Foundation_Calc!$I$2:$J$8,2,FALSE),0),"")))</f>
        <v/>
      </c>
      <c r="AZ482" s="631" t="str">
        <f>IF(K482="","",
IF(AX482="PT",VLOOKUP(K482,Foundation_Calc!$K$4:$R$37,VLOOKUP(AW482,Foundation_Calc!$I$2:$J$8,2,FALSE),0),
IF(AX482="K",VLOOKUP(K482,Foundation_Calc!$K$41:$R$74,VLOOKUP(AW482,Foundation_Calc!$I$2:$J$8,2,FALSE),0),"")))</f>
        <v/>
      </c>
      <c r="BA482" s="632" t="str">
        <f t="shared" si="32"/>
        <v/>
      </c>
      <c r="BB482" s="632" t="str">
        <f t="shared" si="33"/>
        <v/>
      </c>
      <c r="BC482" s="632" t="str">
        <f t="shared" si="34"/>
        <v/>
      </c>
      <c r="BD482" s="633" t="str">
        <f>IF(AND(L482="",H482=""),"",
IF(H482="",Pole_Calc!A510,
IF(H482="MP",Pole_Calc!A511,
IF(H482="AnMP",Pole_Calc!A512,
IF(H482="A",Pole_Calc!A513,
IF(H482="S/A",Pole_Calc!A514,
IF(H482="A/S",Pole_Calc!A515,"Poner a mano")))))))</f>
        <v/>
      </c>
      <c r="BE482" s="448" t="s">
        <v>1726</v>
      </c>
      <c r="BF482" s="634"/>
      <c r="BG482" s="634"/>
      <c r="BH482" s="634"/>
      <c r="BI482" s="634"/>
    </row>
    <row r="483" spans="1:61" ht="16.2" customHeight="1">
      <c r="A483" s="12"/>
      <c r="B483" s="446"/>
      <c r="C483" s="89"/>
      <c r="D483" s="13"/>
      <c r="E483" s="14"/>
      <c r="F483" s="14"/>
      <c r="G483" s="15"/>
      <c r="H483" s="8"/>
      <c r="I483" s="8"/>
      <c r="J483" s="89"/>
      <c r="K483" s="8"/>
      <c r="L483" s="8"/>
      <c r="M483" s="8" t="str">
        <f>IF(L483="","",
IF(AX483="PT",VLOOKUP(L483,Foundation_Calc!$V$4:$X$37,VLOOKUP(AX483,Foundation_Calc!$I$10:$J$13,2,FALSE),0),
IF(AX483="K",VLOOKUP(L483,Foundation_Calc!$V$41:$X$74,VLOOKUP(AX483,Foundation_Calc!$I$10:$J$13,2,FALSE),0),"")))</f>
        <v/>
      </c>
      <c r="N483" s="8"/>
      <c r="O483" s="8"/>
      <c r="P483" s="8"/>
      <c r="Q483" s="14"/>
      <c r="R483" s="15"/>
      <c r="S483" s="15"/>
      <c r="T483" s="14"/>
      <c r="U483" s="14"/>
      <c r="V483" s="14"/>
      <c r="W483" s="18"/>
      <c r="X483" s="18"/>
      <c r="Y483" s="18"/>
      <c r="Z483" s="18"/>
      <c r="AA483" s="18"/>
      <c r="AB483" s="18"/>
      <c r="AC483" s="8" t="str">
        <f t="shared" si="31"/>
        <v/>
      </c>
      <c r="AD483" s="8"/>
      <c r="AE483" s="8"/>
      <c r="AF483" s="14"/>
      <c r="AG483" s="13"/>
      <c r="AH483" s="14"/>
      <c r="AI483" s="14"/>
      <c r="AJ483" s="8"/>
      <c r="AK483" s="8"/>
      <c r="AL483" s="8"/>
      <c r="AM483" s="8"/>
      <c r="AN483" s="631"/>
      <c r="AO483" s="18"/>
      <c r="AP483" s="18"/>
      <c r="AQ483" s="18"/>
      <c r="AR483" s="18"/>
      <c r="AS483" s="18"/>
      <c r="AU483" s="448"/>
      <c r="AV483" s="448"/>
      <c r="AW483" s="8" t="str">
        <f>IF(C483&gt;0,VLOOKUP(C483,Foundation_Calc!$A$2:$C$986,3,1),
IF(J483&gt;0,VLOOKUP(J483,Foundation_Calc!$A$2:$C$986,3,1),""))</f>
        <v/>
      </c>
      <c r="AX483" s="8" t="str">
        <f>IF(C483&gt;0,VLOOKUP(C483,Foundation_Calc!$E$2:$G$986,3,1),
IF(J483&gt;0,VLOOKUP(J483,Foundation_Calc!$E$2:$G$986,3,1),""))</f>
        <v/>
      </c>
      <c r="AY483" s="631" t="str">
        <f>IF(L483="","",
IF(AX483="PT",VLOOKUP(L483,Foundation_Calc!$K$4:$R$37,VLOOKUP(AW483,Foundation_Calc!$I$2:$J$8,2,FALSE),0),
IF(AX483="K",VLOOKUP(L483,Foundation_Calc!$K$41:$R$74,VLOOKUP(AW483,Foundation_Calc!$I$2:$J$8,2,FALSE),0),"")))</f>
        <v/>
      </c>
      <c r="AZ483" s="631" t="str">
        <f>IF(K483="","",
IF(AX483="PT",VLOOKUP(K483,Foundation_Calc!$K$4:$R$37,VLOOKUP(AW483,Foundation_Calc!$I$2:$J$8,2,FALSE),0),
IF(AX483="K",VLOOKUP(K483,Foundation_Calc!$K$41:$R$74,VLOOKUP(AW483,Foundation_Calc!$I$2:$J$8,2,FALSE),0),"")))</f>
        <v/>
      </c>
      <c r="BA483" s="632" t="str">
        <f t="shared" si="32"/>
        <v/>
      </c>
      <c r="BB483" s="632" t="str">
        <f t="shared" si="33"/>
        <v/>
      </c>
      <c r="BC483" s="632" t="str">
        <f t="shared" si="34"/>
        <v/>
      </c>
      <c r="BD483" s="633" t="str">
        <f>IF(AND(L483="",H483=""),"",
IF(H483="",Pole_Calc!A511,
IF(H483="MP",Pole_Calc!A512,
IF(H483="AnMP",Pole_Calc!A513,
IF(H483="A",Pole_Calc!A514,
IF(H483="S/A",Pole_Calc!A515,
IF(H483="A/S",Pole_Calc!A516,"Poner a mano")))))))</f>
        <v/>
      </c>
      <c r="BE483" s="448" t="s">
        <v>1726</v>
      </c>
      <c r="BF483" s="635"/>
      <c r="BG483" s="635"/>
      <c r="BH483" s="634"/>
      <c r="BI483" s="635"/>
    </row>
    <row r="484" spans="1:61" ht="16.2" customHeight="1">
      <c r="A484" s="12"/>
      <c r="B484" s="446"/>
      <c r="C484" s="89"/>
      <c r="D484" s="13"/>
      <c r="E484" s="14"/>
      <c r="F484" s="14"/>
      <c r="G484" s="15"/>
      <c r="H484" s="8"/>
      <c r="I484" s="8"/>
      <c r="J484" s="89"/>
      <c r="K484" s="8"/>
      <c r="L484" s="8"/>
      <c r="M484" s="8" t="str">
        <f>IF(L484="","",
IF(AX484="PT",VLOOKUP(L484,Foundation_Calc!$V$4:$X$37,VLOOKUP(AX484,Foundation_Calc!$I$10:$J$13,2,FALSE),0),
IF(AX484="K",VLOOKUP(L484,Foundation_Calc!$V$41:$X$74,VLOOKUP(AX484,Foundation_Calc!$I$10:$J$13,2,FALSE),0),"")))</f>
        <v/>
      </c>
      <c r="N484" s="8"/>
      <c r="O484" s="8"/>
      <c r="P484" s="8"/>
      <c r="Q484" s="14"/>
      <c r="R484" s="15"/>
      <c r="S484" s="15"/>
      <c r="T484" s="14"/>
      <c r="U484" s="14"/>
      <c r="V484" s="14"/>
      <c r="W484" s="18"/>
      <c r="X484" s="18"/>
      <c r="Y484" s="18"/>
      <c r="Z484" s="18"/>
      <c r="AA484" s="18"/>
      <c r="AB484" s="18"/>
      <c r="AC484" s="8" t="str">
        <f t="shared" si="31"/>
        <v/>
      </c>
      <c r="AD484" s="8"/>
      <c r="AE484" s="8"/>
      <c r="AF484" s="14"/>
      <c r="AG484" s="13"/>
      <c r="AH484" s="14"/>
      <c r="AI484" s="14"/>
      <c r="AJ484" s="8"/>
      <c r="AK484" s="8"/>
      <c r="AL484" s="8"/>
      <c r="AM484" s="8"/>
      <c r="AN484" s="631"/>
      <c r="AO484" s="18"/>
      <c r="AP484" s="18"/>
      <c r="AQ484" s="18"/>
      <c r="AR484" s="18"/>
      <c r="AS484" s="18"/>
      <c r="AU484" s="448"/>
      <c r="AV484" s="448"/>
      <c r="AW484" s="8" t="str">
        <f>IF(C484&gt;0,VLOOKUP(C484,Foundation_Calc!$A$2:$C$986,3,1),
IF(J484&gt;0,VLOOKUP(J484,Foundation_Calc!$A$2:$C$986,3,1),""))</f>
        <v/>
      </c>
      <c r="AX484" s="8" t="str">
        <f>IF(C484&gt;0,VLOOKUP(C484,Foundation_Calc!$E$2:$G$986,3,1),
IF(J484&gt;0,VLOOKUP(J484,Foundation_Calc!$E$2:$G$986,3,1),""))</f>
        <v/>
      </c>
      <c r="AY484" s="631" t="str">
        <f>IF(L484="","",
IF(AX484="PT",VLOOKUP(L484,Foundation_Calc!$K$4:$R$37,VLOOKUP(AW484,Foundation_Calc!$I$2:$J$8,2,FALSE),0),
IF(AX484="K",VLOOKUP(L484,Foundation_Calc!$K$41:$R$74,VLOOKUP(AW484,Foundation_Calc!$I$2:$J$8,2,FALSE),0),"")))</f>
        <v/>
      </c>
      <c r="AZ484" s="631" t="str">
        <f>IF(K484="","",
IF(AX484="PT",VLOOKUP(K484,Foundation_Calc!$K$4:$R$37,VLOOKUP(AW484,Foundation_Calc!$I$2:$J$8,2,FALSE),0),
IF(AX484="K",VLOOKUP(K484,Foundation_Calc!$K$41:$R$74,VLOOKUP(AW484,Foundation_Calc!$I$2:$J$8,2,FALSE),0),"")))</f>
        <v/>
      </c>
      <c r="BA484" s="632" t="str">
        <f t="shared" si="32"/>
        <v/>
      </c>
      <c r="BB484" s="632" t="str">
        <f t="shared" si="33"/>
        <v/>
      </c>
      <c r="BC484" s="632" t="str">
        <f t="shared" si="34"/>
        <v/>
      </c>
      <c r="BD484" s="633" t="str">
        <f>IF(AND(L484="",H484=""),"",
IF(H484="",Pole_Calc!A512,
IF(H484="MP",Pole_Calc!A513,
IF(H484="AnMP",Pole_Calc!A514,
IF(H484="A",Pole_Calc!A515,
IF(H484="S/A",Pole_Calc!A516,
IF(H484="A/S",Pole_Calc!A517,"Poner a mano")))))))</f>
        <v/>
      </c>
      <c r="BE484" s="448" t="s">
        <v>1726</v>
      </c>
      <c r="BF484" s="634"/>
      <c r="BG484" s="634"/>
      <c r="BH484" s="634"/>
      <c r="BI484" s="634"/>
    </row>
    <row r="485" spans="1:61" ht="16.2" customHeight="1">
      <c r="A485" s="12"/>
      <c r="B485" s="446"/>
      <c r="C485" s="89"/>
      <c r="D485" s="13"/>
      <c r="E485" s="14"/>
      <c r="F485" s="14"/>
      <c r="G485" s="15"/>
      <c r="H485" s="8"/>
      <c r="I485" s="8"/>
      <c r="J485" s="89"/>
      <c r="K485" s="8"/>
      <c r="L485" s="8"/>
      <c r="M485" s="8" t="str">
        <f>IF(L485="","",
IF(AX485="PT",VLOOKUP(L485,Foundation_Calc!$V$4:$X$37,VLOOKUP(AX485,Foundation_Calc!$I$10:$J$13,2,FALSE),0),
IF(AX485="K",VLOOKUP(L485,Foundation_Calc!$V$41:$X$74,VLOOKUP(AX485,Foundation_Calc!$I$10:$J$13,2,FALSE),0),"")))</f>
        <v/>
      </c>
      <c r="N485" s="8"/>
      <c r="O485" s="8"/>
      <c r="P485" s="8"/>
      <c r="Q485" s="14"/>
      <c r="R485" s="15"/>
      <c r="S485" s="15"/>
      <c r="T485" s="14"/>
      <c r="U485" s="14"/>
      <c r="V485" s="14"/>
      <c r="W485" s="18"/>
      <c r="X485" s="18"/>
      <c r="Y485" s="18"/>
      <c r="Z485" s="18"/>
      <c r="AA485" s="18"/>
      <c r="AB485" s="18"/>
      <c r="AC485" s="8" t="str">
        <f t="shared" si="31"/>
        <v/>
      </c>
      <c r="AD485" s="8"/>
      <c r="AE485" s="8"/>
      <c r="AF485" s="14"/>
      <c r="AG485" s="13"/>
      <c r="AH485" s="14"/>
      <c r="AI485" s="14"/>
      <c r="AJ485" s="8"/>
      <c r="AK485" s="8"/>
      <c r="AL485" s="8"/>
      <c r="AM485" s="8"/>
      <c r="AN485" s="631"/>
      <c r="AO485" s="18"/>
      <c r="AP485" s="18"/>
      <c r="AQ485" s="18"/>
      <c r="AR485" s="18"/>
      <c r="AS485" s="18"/>
      <c r="AU485" s="448"/>
      <c r="AV485" s="448"/>
      <c r="AW485" s="8" t="str">
        <f>IF(C485&gt;0,VLOOKUP(C485,Foundation_Calc!$A$2:$C$986,3,1),
IF(J485&gt;0,VLOOKUP(J485,Foundation_Calc!$A$2:$C$986,3,1),""))</f>
        <v/>
      </c>
      <c r="AX485" s="8" t="str">
        <f>IF(C485&gt;0,VLOOKUP(C485,Foundation_Calc!$E$2:$G$986,3,1),
IF(J485&gt;0,VLOOKUP(J485,Foundation_Calc!$E$2:$G$986,3,1),""))</f>
        <v/>
      </c>
      <c r="AY485" s="631" t="str">
        <f>IF(L485="","",
IF(AX485="PT",VLOOKUP(L485,Foundation_Calc!$K$4:$R$37,VLOOKUP(AW485,Foundation_Calc!$I$2:$J$8,2,FALSE),0),
IF(AX485="K",VLOOKUP(L485,Foundation_Calc!$K$41:$R$74,VLOOKUP(AW485,Foundation_Calc!$I$2:$J$8,2,FALSE),0),"")))</f>
        <v/>
      </c>
      <c r="AZ485" s="631" t="str">
        <f>IF(K485="","",
IF(AX485="PT",VLOOKUP(K485,Foundation_Calc!$K$4:$R$37,VLOOKUP(AW485,Foundation_Calc!$I$2:$J$8,2,FALSE),0),
IF(AX485="K",VLOOKUP(K485,Foundation_Calc!$K$41:$R$74,VLOOKUP(AW485,Foundation_Calc!$I$2:$J$8,2,FALSE),0),"")))</f>
        <v/>
      </c>
      <c r="BA485" s="632" t="str">
        <f t="shared" si="32"/>
        <v/>
      </c>
      <c r="BB485" s="632" t="str">
        <f t="shared" si="33"/>
        <v/>
      </c>
      <c r="BC485" s="632" t="str">
        <f t="shared" si="34"/>
        <v/>
      </c>
      <c r="BD485" s="633" t="str">
        <f>IF(AND(L485="",H485=""),"",
IF(H485="",Pole_Calc!A513,
IF(H485="MP",Pole_Calc!A514,
IF(H485="AnMP",Pole_Calc!A515,
IF(H485="A",Pole_Calc!A516,
IF(H485="S/A",Pole_Calc!A517,
IF(H485="A/S",Pole_Calc!A518,"Poner a mano")))))))</f>
        <v/>
      </c>
      <c r="BE485" s="448" t="s">
        <v>1726</v>
      </c>
      <c r="BF485" s="635"/>
      <c r="BG485" s="635"/>
      <c r="BH485" s="634"/>
      <c r="BI485" s="635"/>
    </row>
    <row r="486" spans="1:61" ht="16.2" customHeight="1">
      <c r="A486" s="12"/>
      <c r="B486" s="446"/>
      <c r="C486" s="89"/>
      <c r="D486" s="13"/>
      <c r="E486" s="14"/>
      <c r="F486" s="14"/>
      <c r="G486" s="15"/>
      <c r="H486" s="8"/>
      <c r="I486" s="8"/>
      <c r="J486" s="89"/>
      <c r="K486" s="8"/>
      <c r="L486" s="8"/>
      <c r="M486" s="8" t="str">
        <f>IF(L486="","",
IF(AX486="PT",VLOOKUP(L486,Foundation_Calc!$V$4:$X$37,VLOOKUP(AX486,Foundation_Calc!$I$10:$J$13,2,FALSE),0),
IF(AX486="K",VLOOKUP(L486,Foundation_Calc!$V$41:$X$74,VLOOKUP(AX486,Foundation_Calc!$I$10:$J$13,2,FALSE),0),"")))</f>
        <v/>
      </c>
      <c r="N486" s="8"/>
      <c r="O486" s="8"/>
      <c r="P486" s="8"/>
      <c r="Q486" s="14"/>
      <c r="R486" s="15"/>
      <c r="S486" s="15"/>
      <c r="T486" s="14"/>
      <c r="U486" s="14"/>
      <c r="V486" s="14"/>
      <c r="W486" s="18"/>
      <c r="X486" s="18"/>
      <c r="Y486" s="18"/>
      <c r="Z486" s="18"/>
      <c r="AA486" s="18"/>
      <c r="AB486" s="18"/>
      <c r="AC486" s="8" t="str">
        <f t="shared" si="31"/>
        <v/>
      </c>
      <c r="AD486" s="8"/>
      <c r="AE486" s="8"/>
      <c r="AF486" s="14"/>
      <c r="AG486" s="13"/>
      <c r="AH486" s="14"/>
      <c r="AI486" s="14"/>
      <c r="AJ486" s="8"/>
      <c r="AK486" s="8"/>
      <c r="AL486" s="8"/>
      <c r="AM486" s="8"/>
      <c r="AN486" s="631"/>
      <c r="AO486" s="18"/>
      <c r="AP486" s="18"/>
      <c r="AQ486" s="18"/>
      <c r="AR486" s="18"/>
      <c r="AS486" s="18"/>
      <c r="AU486" s="448"/>
      <c r="AV486" s="448"/>
      <c r="AW486" s="8" t="str">
        <f>IF(C486&gt;0,VLOOKUP(C486,Foundation_Calc!$A$2:$C$986,3,1),
IF(J486&gt;0,VLOOKUP(J486,Foundation_Calc!$A$2:$C$986,3,1),""))</f>
        <v/>
      </c>
      <c r="AX486" s="8" t="str">
        <f>IF(C486&gt;0,VLOOKUP(C486,Foundation_Calc!$E$2:$G$986,3,1),
IF(J486&gt;0,VLOOKUP(J486,Foundation_Calc!$E$2:$G$986,3,1),""))</f>
        <v/>
      </c>
      <c r="AY486" s="631" t="str">
        <f>IF(L486="","",
IF(AX486="PT",VLOOKUP(L486,Foundation_Calc!$K$4:$R$37,VLOOKUP(AW486,Foundation_Calc!$I$2:$J$8,2,FALSE),0),
IF(AX486="K",VLOOKUP(L486,Foundation_Calc!$K$41:$R$74,VLOOKUP(AW486,Foundation_Calc!$I$2:$J$8,2,FALSE),0),"")))</f>
        <v/>
      </c>
      <c r="AZ486" s="631" t="str">
        <f>IF(K486="","",
IF(AX486="PT",VLOOKUP(K486,Foundation_Calc!$K$4:$R$37,VLOOKUP(AW486,Foundation_Calc!$I$2:$J$8,2,FALSE),0),
IF(AX486="K",VLOOKUP(K486,Foundation_Calc!$K$41:$R$74,VLOOKUP(AW486,Foundation_Calc!$I$2:$J$8,2,FALSE),0),"")))</f>
        <v/>
      </c>
      <c r="BA486" s="632" t="str">
        <f t="shared" si="32"/>
        <v/>
      </c>
      <c r="BB486" s="632" t="str">
        <f t="shared" si="33"/>
        <v/>
      </c>
      <c r="BC486" s="632" t="str">
        <f t="shared" si="34"/>
        <v/>
      </c>
      <c r="BD486" s="633" t="str">
        <f>IF(AND(L486="",H486=""),"",
IF(H486="",Pole_Calc!A514,
IF(H486="MP",Pole_Calc!A515,
IF(H486="AnMP",Pole_Calc!A516,
IF(H486="A",Pole_Calc!A517,
IF(H486="S/A",Pole_Calc!A518,
IF(H486="A/S",Pole_Calc!A519,"Poner a mano")))))))</f>
        <v/>
      </c>
      <c r="BE486" s="448" t="s">
        <v>1726</v>
      </c>
      <c r="BF486" s="634"/>
      <c r="BG486" s="634"/>
      <c r="BH486" s="634"/>
      <c r="BI486" s="634"/>
    </row>
    <row r="487" spans="1:61" ht="16.2" customHeight="1">
      <c r="A487" s="12"/>
      <c r="B487" s="446"/>
      <c r="C487" s="89"/>
      <c r="D487" s="13"/>
      <c r="E487" s="14"/>
      <c r="F487" s="14"/>
      <c r="G487" s="15"/>
      <c r="H487" s="8"/>
      <c r="I487" s="8"/>
      <c r="J487" s="89"/>
      <c r="K487" s="8"/>
      <c r="L487" s="8"/>
      <c r="M487" s="8" t="str">
        <f>IF(L487="","",
IF(AX487="PT",VLOOKUP(L487,Foundation_Calc!$V$4:$X$37,VLOOKUP(AX487,Foundation_Calc!$I$10:$J$13,2,FALSE),0),
IF(AX487="K",VLOOKUP(L487,Foundation_Calc!$V$41:$X$74,VLOOKUP(AX487,Foundation_Calc!$I$10:$J$13,2,FALSE),0),"")))</f>
        <v/>
      </c>
      <c r="N487" s="8"/>
      <c r="O487" s="8"/>
      <c r="P487" s="8"/>
      <c r="Q487" s="14"/>
      <c r="R487" s="15"/>
      <c r="S487" s="15"/>
      <c r="T487" s="14"/>
      <c r="U487" s="14"/>
      <c r="V487" s="14"/>
      <c r="W487" s="18"/>
      <c r="X487" s="18"/>
      <c r="Y487" s="18"/>
      <c r="Z487" s="18"/>
      <c r="AA487" s="18"/>
      <c r="AB487" s="18"/>
      <c r="AC487" s="8" t="str">
        <f t="shared" si="31"/>
        <v/>
      </c>
      <c r="AD487" s="8"/>
      <c r="AE487" s="8"/>
      <c r="AF487" s="14"/>
      <c r="AG487" s="13"/>
      <c r="AH487" s="14"/>
      <c r="AI487" s="14"/>
      <c r="AJ487" s="8"/>
      <c r="AK487" s="8"/>
      <c r="AL487" s="8"/>
      <c r="AM487" s="8"/>
      <c r="AN487" s="631"/>
      <c r="AO487" s="18"/>
      <c r="AP487" s="18"/>
      <c r="AQ487" s="18"/>
      <c r="AR487" s="18"/>
      <c r="AS487" s="18"/>
      <c r="AU487" s="448"/>
      <c r="AV487" s="448"/>
      <c r="AW487" s="8" t="str">
        <f>IF(C487&gt;0,VLOOKUP(C487,Foundation_Calc!$A$2:$C$986,3,1),
IF(J487&gt;0,VLOOKUP(J487,Foundation_Calc!$A$2:$C$986,3,1),""))</f>
        <v/>
      </c>
      <c r="AX487" s="8" t="str">
        <f>IF(C487&gt;0,VLOOKUP(C487,Foundation_Calc!$E$2:$G$986,3,1),
IF(J487&gt;0,VLOOKUP(J487,Foundation_Calc!$E$2:$G$986,3,1),""))</f>
        <v/>
      </c>
      <c r="AY487" s="631" t="str">
        <f>IF(L487="","",
IF(AX487="PT",VLOOKUP(L487,Foundation_Calc!$K$4:$R$37,VLOOKUP(AW487,Foundation_Calc!$I$2:$J$8,2,FALSE),0),
IF(AX487="K",VLOOKUP(L487,Foundation_Calc!$K$41:$R$74,VLOOKUP(AW487,Foundation_Calc!$I$2:$J$8,2,FALSE),0),"")))</f>
        <v/>
      </c>
      <c r="AZ487" s="631" t="str">
        <f>IF(K487="","",
IF(AX487="PT",VLOOKUP(K487,Foundation_Calc!$K$4:$R$37,VLOOKUP(AW487,Foundation_Calc!$I$2:$J$8,2,FALSE),0),
IF(AX487="K",VLOOKUP(K487,Foundation_Calc!$K$41:$R$74,VLOOKUP(AW487,Foundation_Calc!$I$2:$J$8,2,FALSE),0),"")))</f>
        <v/>
      </c>
      <c r="BA487" s="632" t="str">
        <f t="shared" si="32"/>
        <v/>
      </c>
      <c r="BB487" s="632" t="str">
        <f t="shared" si="33"/>
        <v/>
      </c>
      <c r="BC487" s="632" t="str">
        <f t="shared" si="34"/>
        <v/>
      </c>
      <c r="BD487" s="633" t="str">
        <f>IF(AND(L487="",H487=""),"",
IF(H487="",Pole_Calc!A515,
IF(H487="MP",Pole_Calc!A516,
IF(H487="AnMP",Pole_Calc!A517,
IF(H487="A",Pole_Calc!A518,
IF(H487="S/A",Pole_Calc!A519,
IF(H487="A/S",Pole_Calc!A520,"Poner a mano")))))))</f>
        <v/>
      </c>
      <c r="BE487" s="448" t="s">
        <v>1726</v>
      </c>
      <c r="BF487" s="635"/>
      <c r="BG487" s="635"/>
      <c r="BH487" s="634"/>
      <c r="BI487" s="635"/>
    </row>
    <row r="488" spans="1:61" ht="16.2" customHeight="1">
      <c r="A488" s="12"/>
      <c r="B488" s="446"/>
      <c r="C488" s="89"/>
      <c r="D488" s="13"/>
      <c r="E488" s="14"/>
      <c r="F488" s="14"/>
      <c r="G488" s="15"/>
      <c r="H488" s="8"/>
      <c r="I488" s="8"/>
      <c r="J488" s="89"/>
      <c r="K488" s="8"/>
      <c r="L488" s="8"/>
      <c r="M488" s="8" t="str">
        <f>IF(L488="","",
IF(AX488="PT",VLOOKUP(L488,Foundation_Calc!$V$4:$X$37,VLOOKUP(AX488,Foundation_Calc!$I$10:$J$13,2,FALSE),0),
IF(AX488="K",VLOOKUP(L488,Foundation_Calc!$V$41:$X$74,VLOOKUP(AX488,Foundation_Calc!$I$10:$J$13,2,FALSE),0),"")))</f>
        <v/>
      </c>
      <c r="N488" s="8"/>
      <c r="O488" s="8"/>
      <c r="P488" s="8"/>
      <c r="Q488" s="14"/>
      <c r="R488" s="15"/>
      <c r="S488" s="15"/>
      <c r="T488" s="14"/>
      <c r="U488" s="14"/>
      <c r="V488" s="14"/>
      <c r="W488" s="18"/>
      <c r="X488" s="18"/>
      <c r="Y488" s="18"/>
      <c r="Z488" s="18"/>
      <c r="AA488" s="18"/>
      <c r="AB488" s="18"/>
      <c r="AC488" s="8" t="str">
        <f t="shared" si="31"/>
        <v/>
      </c>
      <c r="AD488" s="8"/>
      <c r="AE488" s="8"/>
      <c r="AF488" s="14"/>
      <c r="AG488" s="13"/>
      <c r="AH488" s="14"/>
      <c r="AI488" s="14"/>
      <c r="AJ488" s="8"/>
      <c r="AK488" s="8"/>
      <c r="AL488" s="8"/>
      <c r="AM488" s="8"/>
      <c r="AN488" s="631"/>
      <c r="AO488" s="18"/>
      <c r="AP488" s="18"/>
      <c r="AQ488" s="18"/>
      <c r="AR488" s="18"/>
      <c r="AS488" s="18"/>
      <c r="AU488" s="448"/>
      <c r="AV488" s="448"/>
      <c r="AW488" s="8" t="str">
        <f>IF(C488&gt;0,VLOOKUP(C488,Foundation_Calc!$A$2:$C$986,3,1),
IF(J488&gt;0,VLOOKUP(J488,Foundation_Calc!$A$2:$C$986,3,1),""))</f>
        <v/>
      </c>
      <c r="AX488" s="8" t="str">
        <f>IF(C488&gt;0,VLOOKUP(C488,Foundation_Calc!$E$2:$G$986,3,1),
IF(J488&gt;0,VLOOKUP(J488,Foundation_Calc!$E$2:$G$986,3,1),""))</f>
        <v/>
      </c>
      <c r="AY488" s="631" t="str">
        <f>IF(L488="","",
IF(AX488="PT",VLOOKUP(L488,Foundation_Calc!$K$4:$R$37,VLOOKUP(AW488,Foundation_Calc!$I$2:$J$8,2,FALSE),0),
IF(AX488="K",VLOOKUP(L488,Foundation_Calc!$K$41:$R$74,VLOOKUP(AW488,Foundation_Calc!$I$2:$J$8,2,FALSE),0),"")))</f>
        <v/>
      </c>
      <c r="AZ488" s="631" t="str">
        <f>IF(K488="","",
IF(AX488="PT",VLOOKUP(K488,Foundation_Calc!$K$4:$R$37,VLOOKUP(AW488,Foundation_Calc!$I$2:$J$8,2,FALSE),0),
IF(AX488="K",VLOOKUP(K488,Foundation_Calc!$K$41:$R$74,VLOOKUP(AW488,Foundation_Calc!$I$2:$J$8,2,FALSE),0),"")))</f>
        <v/>
      </c>
      <c r="BA488" s="632" t="str">
        <f t="shared" si="32"/>
        <v/>
      </c>
      <c r="BB488" s="632" t="str">
        <f t="shared" si="33"/>
        <v/>
      </c>
      <c r="BC488" s="632" t="str">
        <f t="shared" si="34"/>
        <v/>
      </c>
      <c r="BD488" s="633" t="str">
        <f>IF(AND(L488="",H488=""),"",
IF(H488="",Pole_Calc!A516,
IF(H488="MP",Pole_Calc!A517,
IF(H488="AnMP",Pole_Calc!A518,
IF(H488="A",Pole_Calc!A519,
IF(H488="S/A",Pole_Calc!A520,
IF(H488="A/S",Pole_Calc!A521,"Poner a mano")))))))</f>
        <v/>
      </c>
      <c r="BE488" s="448" t="s">
        <v>1726</v>
      </c>
      <c r="BF488" s="634"/>
      <c r="BG488" s="634"/>
      <c r="BH488" s="634"/>
      <c r="BI488" s="634"/>
    </row>
    <row r="489" spans="1:61" ht="16.2" customHeight="1">
      <c r="A489" s="12"/>
      <c r="B489" s="446"/>
      <c r="C489" s="89"/>
      <c r="D489" s="13"/>
      <c r="E489" s="14"/>
      <c r="F489" s="14"/>
      <c r="G489" s="15"/>
      <c r="H489" s="8"/>
      <c r="I489" s="8"/>
      <c r="J489" s="89"/>
      <c r="K489" s="8"/>
      <c r="L489" s="8"/>
      <c r="M489" s="8" t="str">
        <f>IF(L489="","",
IF(AX489="PT",VLOOKUP(L489,Foundation_Calc!$V$4:$X$37,VLOOKUP(AX489,Foundation_Calc!$I$10:$J$13,2,FALSE),0),
IF(AX489="K",VLOOKUP(L489,Foundation_Calc!$V$41:$X$74,VLOOKUP(AX489,Foundation_Calc!$I$10:$J$13,2,FALSE),0),"")))</f>
        <v/>
      </c>
      <c r="N489" s="8"/>
      <c r="O489" s="8"/>
      <c r="P489" s="8"/>
      <c r="Q489" s="14"/>
      <c r="R489" s="15"/>
      <c r="S489" s="15"/>
      <c r="T489" s="14"/>
      <c r="U489" s="14"/>
      <c r="V489" s="14"/>
      <c r="W489" s="18"/>
      <c r="X489" s="18"/>
      <c r="Y489" s="18"/>
      <c r="Z489" s="18"/>
      <c r="AA489" s="18"/>
      <c r="AB489" s="18"/>
      <c r="AC489" s="8" t="str">
        <f t="shared" si="31"/>
        <v/>
      </c>
      <c r="AD489" s="8"/>
      <c r="AE489" s="8"/>
      <c r="AF489" s="14"/>
      <c r="AG489" s="13"/>
      <c r="AH489" s="14"/>
      <c r="AI489" s="14"/>
      <c r="AJ489" s="8"/>
      <c r="AK489" s="8"/>
      <c r="AL489" s="8"/>
      <c r="AM489" s="8"/>
      <c r="AN489" s="631"/>
      <c r="AO489" s="18"/>
      <c r="AP489" s="18"/>
      <c r="AQ489" s="18"/>
      <c r="AR489" s="18"/>
      <c r="AS489" s="18"/>
      <c r="AU489" s="448"/>
      <c r="AV489" s="448"/>
      <c r="AW489" s="8" t="str">
        <f>IF(C489&gt;0,VLOOKUP(C489,Foundation_Calc!$A$2:$C$986,3,1),
IF(J489&gt;0,VLOOKUP(J489,Foundation_Calc!$A$2:$C$986,3,1),""))</f>
        <v/>
      </c>
      <c r="AX489" s="8" t="str">
        <f>IF(C489&gt;0,VLOOKUP(C489,Foundation_Calc!$E$2:$G$986,3,1),
IF(J489&gt;0,VLOOKUP(J489,Foundation_Calc!$E$2:$G$986,3,1),""))</f>
        <v/>
      </c>
      <c r="AY489" s="631" t="str">
        <f>IF(L489="","",
IF(AX489="PT",VLOOKUP(L489,Foundation_Calc!$K$4:$R$37,VLOOKUP(AW489,Foundation_Calc!$I$2:$J$8,2,FALSE),0),
IF(AX489="K",VLOOKUP(L489,Foundation_Calc!$K$41:$R$74,VLOOKUP(AW489,Foundation_Calc!$I$2:$J$8,2,FALSE),0),"")))</f>
        <v/>
      </c>
      <c r="AZ489" s="631" t="str">
        <f>IF(K489="","",
IF(AX489="PT",VLOOKUP(K489,Foundation_Calc!$K$4:$R$37,VLOOKUP(AW489,Foundation_Calc!$I$2:$J$8,2,FALSE),0),
IF(AX489="K",VLOOKUP(K489,Foundation_Calc!$K$41:$R$74,VLOOKUP(AW489,Foundation_Calc!$I$2:$J$8,2,FALSE),0),"")))</f>
        <v/>
      </c>
      <c r="BA489" s="632" t="str">
        <f t="shared" si="32"/>
        <v/>
      </c>
      <c r="BB489" s="632" t="str">
        <f t="shared" si="33"/>
        <v/>
      </c>
      <c r="BC489" s="632" t="str">
        <f t="shared" si="34"/>
        <v/>
      </c>
      <c r="BD489" s="633" t="str">
        <f>IF(AND(L489="",H489=""),"",
IF(H489="",Pole_Calc!A517,
IF(H489="MP",Pole_Calc!A518,
IF(H489="AnMP",Pole_Calc!A519,
IF(H489="A",Pole_Calc!A520,
IF(H489="S/A",Pole_Calc!A521,
IF(H489="A/S",Pole_Calc!A522,"Poner a mano")))))))</f>
        <v/>
      </c>
      <c r="BE489" s="448" t="s">
        <v>1726</v>
      </c>
      <c r="BF489" s="635"/>
      <c r="BG489" s="635"/>
      <c r="BH489" s="634"/>
      <c r="BI489" s="635"/>
    </row>
    <row r="490" spans="1:61" ht="16.2" customHeight="1">
      <c r="A490" s="12"/>
      <c r="B490" s="446"/>
      <c r="C490" s="89"/>
      <c r="D490" s="13"/>
      <c r="E490" s="14"/>
      <c r="F490" s="14"/>
      <c r="G490" s="15"/>
      <c r="H490" s="8"/>
      <c r="I490" s="8"/>
      <c r="J490" s="89"/>
      <c r="K490" s="8"/>
      <c r="L490" s="8"/>
      <c r="M490" s="8" t="str">
        <f>IF(L490="","",
IF(AX490="PT",VLOOKUP(L490,Foundation_Calc!$V$4:$X$37,VLOOKUP(AX490,Foundation_Calc!$I$10:$J$13,2,FALSE),0),
IF(AX490="K",VLOOKUP(L490,Foundation_Calc!$V$41:$X$74,VLOOKUP(AX490,Foundation_Calc!$I$10:$J$13,2,FALSE),0),"")))</f>
        <v/>
      </c>
      <c r="N490" s="8"/>
      <c r="O490" s="8"/>
      <c r="P490" s="8"/>
      <c r="Q490" s="14"/>
      <c r="R490" s="15"/>
      <c r="S490" s="15"/>
      <c r="T490" s="14"/>
      <c r="U490" s="14"/>
      <c r="V490" s="14"/>
      <c r="W490" s="18"/>
      <c r="X490" s="18"/>
      <c r="Y490" s="18"/>
      <c r="Z490" s="18"/>
      <c r="AA490" s="18"/>
      <c r="AB490" s="18"/>
      <c r="AC490" s="8" t="str">
        <f t="shared" si="31"/>
        <v/>
      </c>
      <c r="AD490" s="8"/>
      <c r="AE490" s="8"/>
      <c r="AF490" s="14"/>
      <c r="AG490" s="13"/>
      <c r="AH490" s="14"/>
      <c r="AI490" s="14"/>
      <c r="AJ490" s="8"/>
      <c r="AK490" s="8"/>
      <c r="AL490" s="8"/>
      <c r="AM490" s="8"/>
      <c r="AN490" s="631"/>
      <c r="AO490" s="18"/>
      <c r="AP490" s="18"/>
      <c r="AQ490" s="18"/>
      <c r="AR490" s="18"/>
      <c r="AS490" s="18"/>
      <c r="AU490" s="448"/>
      <c r="AV490" s="448"/>
      <c r="AW490" s="8" t="str">
        <f>IF(C490&gt;0,VLOOKUP(C490,Foundation_Calc!$A$2:$C$986,3,1),
IF(J490&gt;0,VLOOKUP(J490,Foundation_Calc!$A$2:$C$986,3,1),""))</f>
        <v/>
      </c>
      <c r="AX490" s="8" t="str">
        <f>IF(C490&gt;0,VLOOKUP(C490,Foundation_Calc!$E$2:$G$986,3,1),
IF(J490&gt;0,VLOOKUP(J490,Foundation_Calc!$E$2:$G$986,3,1),""))</f>
        <v/>
      </c>
      <c r="AY490" s="631" t="str">
        <f>IF(L490="","",
IF(AX490="PT",VLOOKUP(L490,Foundation_Calc!$K$4:$R$37,VLOOKUP(AW490,Foundation_Calc!$I$2:$J$8,2,FALSE),0),
IF(AX490="K",VLOOKUP(L490,Foundation_Calc!$K$41:$R$74,VLOOKUP(AW490,Foundation_Calc!$I$2:$J$8,2,FALSE),0),"")))</f>
        <v/>
      </c>
      <c r="AZ490" s="631" t="str">
        <f>IF(K490="","",
IF(AX490="PT",VLOOKUP(K490,Foundation_Calc!$K$4:$R$37,VLOOKUP(AW490,Foundation_Calc!$I$2:$J$8,2,FALSE),0),
IF(AX490="K",VLOOKUP(K490,Foundation_Calc!$K$41:$R$74,VLOOKUP(AW490,Foundation_Calc!$I$2:$J$8,2,FALSE),0),"")))</f>
        <v/>
      </c>
      <c r="BA490" s="632" t="str">
        <f t="shared" si="32"/>
        <v/>
      </c>
      <c r="BB490" s="632" t="str">
        <f t="shared" si="33"/>
        <v/>
      </c>
      <c r="BC490" s="632" t="str">
        <f t="shared" si="34"/>
        <v/>
      </c>
      <c r="BD490" s="633" t="str">
        <f>IF(AND(L490="",H490=""),"",
IF(H490="",Pole_Calc!A518,
IF(H490="MP",Pole_Calc!A519,
IF(H490="AnMP",Pole_Calc!A520,
IF(H490="A",Pole_Calc!A521,
IF(H490="S/A",Pole_Calc!A522,
IF(H490="A/S",Pole_Calc!A523,"Poner a mano")))))))</f>
        <v/>
      </c>
      <c r="BE490" s="448" t="s">
        <v>1726</v>
      </c>
      <c r="BF490" s="634"/>
      <c r="BG490" s="634"/>
      <c r="BH490" s="634"/>
      <c r="BI490" s="634"/>
    </row>
    <row r="491" spans="1:61" ht="16.2" customHeight="1">
      <c r="A491" s="12"/>
      <c r="B491" s="446"/>
      <c r="C491" s="89"/>
      <c r="D491" s="13"/>
      <c r="E491" s="14"/>
      <c r="F491" s="14"/>
      <c r="G491" s="15"/>
      <c r="H491" s="8"/>
      <c r="I491" s="8"/>
      <c r="J491" s="89"/>
      <c r="K491" s="8"/>
      <c r="L491" s="8"/>
      <c r="M491" s="8" t="str">
        <f>IF(L491="","",
IF(AX491="PT",VLOOKUP(L491,Foundation_Calc!$V$4:$X$37,VLOOKUP(AX491,Foundation_Calc!$I$10:$J$13,2,FALSE),0),
IF(AX491="K",VLOOKUP(L491,Foundation_Calc!$V$41:$X$74,VLOOKUP(AX491,Foundation_Calc!$I$10:$J$13,2,FALSE),0),"")))</f>
        <v/>
      </c>
      <c r="N491" s="8"/>
      <c r="O491" s="8"/>
      <c r="P491" s="8"/>
      <c r="Q491" s="14"/>
      <c r="R491" s="15"/>
      <c r="S491" s="15"/>
      <c r="T491" s="14"/>
      <c r="U491" s="14"/>
      <c r="V491" s="14"/>
      <c r="W491" s="18"/>
      <c r="X491" s="18"/>
      <c r="Y491" s="18"/>
      <c r="Z491" s="18"/>
      <c r="AA491" s="18"/>
      <c r="AB491" s="18"/>
      <c r="AC491" s="8" t="str">
        <f t="shared" si="31"/>
        <v/>
      </c>
      <c r="AD491" s="8"/>
      <c r="AE491" s="8"/>
      <c r="AF491" s="14"/>
      <c r="AG491" s="13"/>
      <c r="AH491" s="14"/>
      <c r="AI491" s="14"/>
      <c r="AJ491" s="8"/>
      <c r="AK491" s="8"/>
      <c r="AL491" s="8"/>
      <c r="AM491" s="8"/>
      <c r="AN491" s="631"/>
      <c r="AO491" s="18"/>
      <c r="AP491" s="18"/>
      <c r="AQ491" s="18"/>
      <c r="AR491" s="18"/>
      <c r="AS491" s="18"/>
      <c r="AU491" s="448"/>
      <c r="AV491" s="448"/>
      <c r="AW491" s="8" t="str">
        <f>IF(C491&gt;0,VLOOKUP(C491,Foundation_Calc!$A$2:$C$986,3,1),
IF(J491&gt;0,VLOOKUP(J491,Foundation_Calc!$A$2:$C$986,3,1),""))</f>
        <v/>
      </c>
      <c r="AX491" s="8" t="str">
        <f>IF(C491&gt;0,VLOOKUP(C491,Foundation_Calc!$E$2:$G$986,3,1),
IF(J491&gt;0,VLOOKUP(J491,Foundation_Calc!$E$2:$G$986,3,1),""))</f>
        <v/>
      </c>
      <c r="AY491" s="631" t="str">
        <f>IF(L491="","",
IF(AX491="PT",VLOOKUP(L491,Foundation_Calc!$K$4:$R$37,VLOOKUP(AW491,Foundation_Calc!$I$2:$J$8,2,FALSE),0),
IF(AX491="K",VLOOKUP(L491,Foundation_Calc!$K$41:$R$74,VLOOKUP(AW491,Foundation_Calc!$I$2:$J$8,2,FALSE),0),"")))</f>
        <v/>
      </c>
      <c r="AZ491" s="631" t="str">
        <f>IF(K491="","",
IF(AX491="PT",VLOOKUP(K491,Foundation_Calc!$K$4:$R$37,VLOOKUP(AW491,Foundation_Calc!$I$2:$J$8,2,FALSE),0),
IF(AX491="K",VLOOKUP(K491,Foundation_Calc!$K$41:$R$74,VLOOKUP(AW491,Foundation_Calc!$I$2:$J$8,2,FALSE),0),"")))</f>
        <v/>
      </c>
      <c r="BA491" s="632" t="str">
        <f t="shared" si="32"/>
        <v/>
      </c>
      <c r="BB491" s="632" t="str">
        <f t="shared" si="33"/>
        <v/>
      </c>
      <c r="BC491" s="632" t="str">
        <f t="shared" si="34"/>
        <v/>
      </c>
      <c r="BD491" s="633" t="str">
        <f>IF(AND(L491="",H491=""),"",
IF(H491="",Pole_Calc!A519,
IF(H491="MP",Pole_Calc!A520,
IF(H491="AnMP",Pole_Calc!A521,
IF(H491="A",Pole_Calc!A522,
IF(H491="S/A",Pole_Calc!A523,
IF(H491="A/S",Pole_Calc!A524,"Poner a mano")))))))</f>
        <v/>
      </c>
      <c r="BE491" s="448" t="s">
        <v>1726</v>
      </c>
      <c r="BF491" s="635"/>
      <c r="BG491" s="635"/>
      <c r="BH491" s="634"/>
      <c r="BI491" s="635"/>
    </row>
    <row r="492" spans="1:61" ht="16.2" customHeight="1">
      <c r="A492" s="12"/>
      <c r="B492" s="446"/>
      <c r="C492" s="89"/>
      <c r="D492" s="13"/>
      <c r="E492" s="14"/>
      <c r="F492" s="14"/>
      <c r="G492" s="15"/>
      <c r="H492" s="8"/>
      <c r="I492" s="8"/>
      <c r="J492" s="89"/>
      <c r="K492" s="8"/>
      <c r="L492" s="8"/>
      <c r="M492" s="8" t="str">
        <f>IF(L492="","",
IF(AX492="PT",VLOOKUP(L492,Foundation_Calc!$V$4:$X$37,VLOOKUP(AX492,Foundation_Calc!$I$10:$J$13,2,FALSE),0),
IF(AX492="K",VLOOKUP(L492,Foundation_Calc!$V$41:$X$74,VLOOKUP(AX492,Foundation_Calc!$I$10:$J$13,2,FALSE),0),"")))</f>
        <v/>
      </c>
      <c r="N492" s="8"/>
      <c r="O492" s="8"/>
      <c r="P492" s="8"/>
      <c r="Q492" s="14"/>
      <c r="R492" s="15"/>
      <c r="S492" s="15"/>
      <c r="T492" s="14"/>
      <c r="U492" s="14"/>
      <c r="V492" s="14"/>
      <c r="W492" s="18"/>
      <c r="X492" s="18"/>
      <c r="Y492" s="18"/>
      <c r="Z492" s="18"/>
      <c r="AA492" s="18"/>
      <c r="AB492" s="18"/>
      <c r="AC492" s="8" t="str">
        <f t="shared" si="31"/>
        <v/>
      </c>
      <c r="AD492" s="8"/>
      <c r="AE492" s="8"/>
      <c r="AF492" s="14"/>
      <c r="AG492" s="13"/>
      <c r="AH492" s="14"/>
      <c r="AI492" s="14"/>
      <c r="AJ492" s="8"/>
      <c r="AK492" s="8"/>
      <c r="AL492" s="8"/>
      <c r="AM492" s="8"/>
      <c r="AN492" s="631"/>
      <c r="AO492" s="18"/>
      <c r="AP492" s="18"/>
      <c r="AQ492" s="18"/>
      <c r="AR492" s="18"/>
      <c r="AS492" s="18"/>
      <c r="AU492" s="448"/>
      <c r="AV492" s="448"/>
      <c r="AW492" s="8" t="str">
        <f>IF(C492&gt;0,VLOOKUP(C492,Foundation_Calc!$A$2:$C$986,3,1),
IF(J492&gt;0,VLOOKUP(J492,Foundation_Calc!$A$2:$C$986,3,1),""))</f>
        <v/>
      </c>
      <c r="AX492" s="8" t="str">
        <f>IF(C492&gt;0,VLOOKUP(C492,Foundation_Calc!$E$2:$G$986,3,1),
IF(J492&gt;0,VLOOKUP(J492,Foundation_Calc!$E$2:$G$986,3,1),""))</f>
        <v/>
      </c>
      <c r="AY492" s="631" t="str">
        <f>IF(L492="","",
IF(AX492="PT",VLOOKUP(L492,Foundation_Calc!$K$4:$R$37,VLOOKUP(AW492,Foundation_Calc!$I$2:$J$8,2,FALSE),0),
IF(AX492="K",VLOOKUP(L492,Foundation_Calc!$K$41:$R$74,VLOOKUP(AW492,Foundation_Calc!$I$2:$J$8,2,FALSE),0),"")))</f>
        <v/>
      </c>
      <c r="AZ492" s="631" t="str">
        <f>IF(K492="","",
IF(AX492="PT",VLOOKUP(K492,Foundation_Calc!$K$4:$R$37,VLOOKUP(AW492,Foundation_Calc!$I$2:$J$8,2,FALSE),0),
IF(AX492="K",VLOOKUP(K492,Foundation_Calc!$K$41:$R$74,VLOOKUP(AW492,Foundation_Calc!$I$2:$J$8,2,FALSE),0),"")))</f>
        <v/>
      </c>
      <c r="BA492" s="632" t="str">
        <f t="shared" si="32"/>
        <v/>
      </c>
      <c r="BB492" s="632" t="str">
        <f t="shared" si="33"/>
        <v/>
      </c>
      <c r="BC492" s="632" t="str">
        <f t="shared" si="34"/>
        <v/>
      </c>
      <c r="BD492" s="633" t="str">
        <f>IF(AND(L492="",H492=""),"",
IF(H492="",Pole_Calc!A520,
IF(H492="MP",Pole_Calc!A521,
IF(H492="AnMP",Pole_Calc!A522,
IF(H492="A",Pole_Calc!A523,
IF(H492="S/A",Pole_Calc!A524,
IF(H492="A/S",Pole_Calc!A525,"Poner a mano")))))))</f>
        <v/>
      </c>
      <c r="BE492" s="448" t="s">
        <v>1726</v>
      </c>
      <c r="BF492" s="634"/>
      <c r="BG492" s="634"/>
      <c r="BH492" s="634"/>
      <c r="BI492" s="634"/>
    </row>
    <row r="493" spans="1:61" ht="16.2" customHeight="1">
      <c r="A493" s="12"/>
      <c r="B493" s="446"/>
      <c r="C493" s="89"/>
      <c r="D493" s="13"/>
      <c r="E493" s="14"/>
      <c r="F493" s="14"/>
      <c r="G493" s="15"/>
      <c r="H493" s="8"/>
      <c r="I493" s="8"/>
      <c r="J493" s="89"/>
      <c r="K493" s="8"/>
      <c r="L493" s="8"/>
      <c r="M493" s="8" t="str">
        <f>IF(L493="","",
IF(AX493="PT",VLOOKUP(L493,Foundation_Calc!$V$4:$X$37,VLOOKUP(AX493,Foundation_Calc!$I$10:$J$13,2,FALSE),0),
IF(AX493="K",VLOOKUP(L493,Foundation_Calc!$V$41:$X$74,VLOOKUP(AX493,Foundation_Calc!$I$10:$J$13,2,FALSE),0),"")))</f>
        <v/>
      </c>
      <c r="N493" s="8"/>
      <c r="O493" s="8"/>
      <c r="P493" s="8"/>
      <c r="Q493" s="14"/>
      <c r="R493" s="15"/>
      <c r="S493" s="15"/>
      <c r="T493" s="14"/>
      <c r="U493" s="14"/>
      <c r="V493" s="14"/>
      <c r="W493" s="18"/>
      <c r="X493" s="18"/>
      <c r="Y493" s="18"/>
      <c r="Z493" s="18"/>
      <c r="AA493" s="18"/>
      <c r="AB493" s="18"/>
      <c r="AC493" s="8" t="str">
        <f t="shared" si="31"/>
        <v/>
      </c>
      <c r="AD493" s="8"/>
      <c r="AE493" s="8"/>
      <c r="AF493" s="14"/>
      <c r="AG493" s="13"/>
      <c r="AH493" s="14"/>
      <c r="AI493" s="14"/>
      <c r="AJ493" s="8"/>
      <c r="AK493" s="8"/>
      <c r="AL493" s="8"/>
      <c r="AM493" s="8"/>
      <c r="AN493" s="631"/>
      <c r="AO493" s="18"/>
      <c r="AP493" s="18"/>
      <c r="AQ493" s="18"/>
      <c r="AR493" s="18"/>
      <c r="AS493" s="18"/>
      <c r="AU493" s="448"/>
      <c r="AV493" s="448"/>
      <c r="AW493" s="8" t="str">
        <f>IF(C493&gt;0,VLOOKUP(C493,Foundation_Calc!$A$2:$C$986,3,1),
IF(J493&gt;0,VLOOKUP(J493,Foundation_Calc!$A$2:$C$986,3,1),""))</f>
        <v/>
      </c>
      <c r="AX493" s="8" t="str">
        <f>IF(C493&gt;0,VLOOKUP(C493,Foundation_Calc!$E$2:$G$986,3,1),
IF(J493&gt;0,VLOOKUP(J493,Foundation_Calc!$E$2:$G$986,3,1),""))</f>
        <v/>
      </c>
      <c r="AY493" s="631" t="str">
        <f>IF(L493="","",
IF(AX493="PT",VLOOKUP(L493,Foundation_Calc!$K$4:$R$37,VLOOKUP(AW493,Foundation_Calc!$I$2:$J$8,2,FALSE),0),
IF(AX493="K",VLOOKUP(L493,Foundation_Calc!$K$41:$R$74,VLOOKUP(AW493,Foundation_Calc!$I$2:$J$8,2,FALSE),0),"")))</f>
        <v/>
      </c>
      <c r="AZ493" s="631" t="str">
        <f>IF(K493="","",
IF(AX493="PT",VLOOKUP(K493,Foundation_Calc!$K$4:$R$37,VLOOKUP(AW493,Foundation_Calc!$I$2:$J$8,2,FALSE),0),
IF(AX493="K",VLOOKUP(K493,Foundation_Calc!$K$41:$R$74,VLOOKUP(AW493,Foundation_Calc!$I$2:$J$8,2,FALSE),0),"")))</f>
        <v/>
      </c>
      <c r="BA493" s="632" t="str">
        <f t="shared" si="32"/>
        <v/>
      </c>
      <c r="BB493" s="632" t="str">
        <f t="shared" si="33"/>
        <v/>
      </c>
      <c r="BC493" s="632" t="str">
        <f t="shared" si="34"/>
        <v/>
      </c>
      <c r="BD493" s="633" t="str">
        <f>IF(AND(L493="",H493=""),"",
IF(H493="",Pole_Calc!A521,
IF(H493="MP",Pole_Calc!A522,
IF(H493="AnMP",Pole_Calc!A523,
IF(H493="A",Pole_Calc!A524,
IF(H493="S/A",Pole_Calc!A525,
IF(H493="A/S",Pole_Calc!A526,"Poner a mano")))))))</f>
        <v/>
      </c>
      <c r="BE493" s="448" t="s">
        <v>1726</v>
      </c>
      <c r="BF493" s="635"/>
      <c r="BG493" s="635"/>
      <c r="BH493" s="634"/>
      <c r="BI493" s="635"/>
    </row>
    <row r="494" spans="1:61" ht="16.2" customHeight="1">
      <c r="A494" s="12"/>
      <c r="B494" s="446"/>
      <c r="C494" s="89"/>
      <c r="D494" s="13"/>
      <c r="E494" s="14"/>
      <c r="F494" s="14"/>
      <c r="G494" s="15"/>
      <c r="H494" s="8"/>
      <c r="I494" s="8"/>
      <c r="J494" s="89"/>
      <c r="K494" s="8"/>
      <c r="L494" s="8"/>
      <c r="M494" s="8" t="str">
        <f>IF(L494="","",
IF(AX494="PT",VLOOKUP(L494,Foundation_Calc!$V$4:$X$37,VLOOKUP(AX494,Foundation_Calc!$I$10:$J$13,2,FALSE),0),
IF(AX494="K",VLOOKUP(L494,Foundation_Calc!$V$41:$X$74,VLOOKUP(AX494,Foundation_Calc!$I$10:$J$13,2,FALSE),0),"")))</f>
        <v/>
      </c>
      <c r="N494" s="8"/>
      <c r="O494" s="8"/>
      <c r="P494" s="8"/>
      <c r="Q494" s="14"/>
      <c r="R494" s="15"/>
      <c r="S494" s="15"/>
      <c r="T494" s="14"/>
      <c r="U494" s="14"/>
      <c r="V494" s="14"/>
      <c r="W494" s="18"/>
      <c r="X494" s="18"/>
      <c r="Y494" s="18"/>
      <c r="Z494" s="18"/>
      <c r="AA494" s="18"/>
      <c r="AB494" s="18"/>
      <c r="AC494" s="8" t="str">
        <f t="shared" si="31"/>
        <v/>
      </c>
      <c r="AD494" s="8"/>
      <c r="AE494" s="8"/>
      <c r="AF494" s="14"/>
      <c r="AG494" s="13"/>
      <c r="AH494" s="14"/>
      <c r="AI494" s="14"/>
      <c r="AJ494" s="8"/>
      <c r="AK494" s="8"/>
      <c r="AL494" s="8"/>
      <c r="AM494" s="8"/>
      <c r="AN494" s="631"/>
      <c r="AO494" s="18"/>
      <c r="AP494" s="18"/>
      <c r="AQ494" s="18"/>
      <c r="AR494" s="18"/>
      <c r="AS494" s="18"/>
      <c r="AU494" s="448"/>
      <c r="AV494" s="448"/>
      <c r="AW494" s="8" t="str">
        <f>IF(C494&gt;0,VLOOKUP(C494,Foundation_Calc!$A$2:$C$986,3,1),
IF(J494&gt;0,VLOOKUP(J494,Foundation_Calc!$A$2:$C$986,3,1),""))</f>
        <v/>
      </c>
      <c r="AX494" s="8" t="str">
        <f>IF(C494&gt;0,VLOOKUP(C494,Foundation_Calc!$E$2:$G$986,3,1),
IF(J494&gt;0,VLOOKUP(J494,Foundation_Calc!$E$2:$G$986,3,1),""))</f>
        <v/>
      </c>
      <c r="AY494" s="631" t="str">
        <f>IF(L494="","",
IF(AX494="PT",VLOOKUP(L494,Foundation_Calc!$K$4:$R$37,VLOOKUP(AW494,Foundation_Calc!$I$2:$J$8,2,FALSE),0),
IF(AX494="K",VLOOKUP(L494,Foundation_Calc!$K$41:$R$74,VLOOKUP(AW494,Foundation_Calc!$I$2:$J$8,2,FALSE),0),"")))</f>
        <v/>
      </c>
      <c r="AZ494" s="631" t="str">
        <f>IF(K494="","",
IF(AX494="PT",VLOOKUP(K494,Foundation_Calc!$K$4:$R$37,VLOOKUP(AW494,Foundation_Calc!$I$2:$J$8,2,FALSE),0),
IF(AX494="K",VLOOKUP(K494,Foundation_Calc!$K$41:$R$74,VLOOKUP(AW494,Foundation_Calc!$I$2:$J$8,2,FALSE),0),"")))</f>
        <v/>
      </c>
      <c r="BA494" s="632" t="str">
        <f t="shared" si="32"/>
        <v/>
      </c>
      <c r="BB494" s="632" t="str">
        <f t="shared" si="33"/>
        <v/>
      </c>
      <c r="BC494" s="632" t="str">
        <f t="shared" si="34"/>
        <v/>
      </c>
      <c r="BD494" s="633" t="str">
        <f>IF(AND(L494="",H494=""),"",
IF(H494="",Pole_Calc!A522,
IF(H494="MP",Pole_Calc!A523,
IF(H494="AnMP",Pole_Calc!A524,
IF(H494="A",Pole_Calc!A525,
IF(H494="S/A",Pole_Calc!A526,
IF(H494="A/S",Pole_Calc!A527,"Poner a mano")))))))</f>
        <v/>
      </c>
      <c r="BE494" s="448" t="s">
        <v>1726</v>
      </c>
      <c r="BF494" s="634"/>
      <c r="BG494" s="634"/>
      <c r="BH494" s="634"/>
      <c r="BI494" s="634"/>
    </row>
    <row r="495" spans="1:61" ht="16.2" customHeight="1">
      <c r="A495" s="12"/>
      <c r="B495" s="446"/>
      <c r="C495" s="89"/>
      <c r="D495" s="13"/>
      <c r="E495" s="14"/>
      <c r="F495" s="14"/>
      <c r="G495" s="15"/>
      <c r="H495" s="8"/>
      <c r="I495" s="8"/>
      <c r="J495" s="89"/>
      <c r="K495" s="8"/>
      <c r="L495" s="8"/>
      <c r="M495" s="8" t="str">
        <f>IF(L495="","",
IF(AX495="PT",VLOOKUP(L495,Foundation_Calc!$V$4:$X$37,VLOOKUP(AX495,Foundation_Calc!$I$10:$J$13,2,FALSE),0),
IF(AX495="K",VLOOKUP(L495,Foundation_Calc!$V$41:$X$74,VLOOKUP(AX495,Foundation_Calc!$I$10:$J$13,2,FALSE),0),"")))</f>
        <v/>
      </c>
      <c r="N495" s="8"/>
      <c r="O495" s="8"/>
      <c r="P495" s="8"/>
      <c r="Q495" s="14"/>
      <c r="R495" s="15"/>
      <c r="S495" s="15"/>
      <c r="T495" s="14"/>
      <c r="U495" s="14"/>
      <c r="V495" s="14"/>
      <c r="W495" s="18"/>
      <c r="X495" s="18"/>
      <c r="Y495" s="18"/>
      <c r="Z495" s="18"/>
      <c r="AA495" s="18"/>
      <c r="AB495" s="18"/>
      <c r="AC495" s="8" t="str">
        <f t="shared" si="31"/>
        <v/>
      </c>
      <c r="AD495" s="8"/>
      <c r="AE495" s="8"/>
      <c r="AF495" s="14"/>
      <c r="AG495" s="13"/>
      <c r="AH495" s="14"/>
      <c r="AI495" s="14"/>
      <c r="AJ495" s="8"/>
      <c r="AK495" s="8"/>
      <c r="AL495" s="8"/>
      <c r="AM495" s="8"/>
      <c r="AN495" s="631"/>
      <c r="AO495" s="18"/>
      <c r="AP495" s="18"/>
      <c r="AQ495" s="18"/>
      <c r="AR495" s="18"/>
      <c r="AS495" s="18"/>
      <c r="AU495" s="448"/>
      <c r="AV495" s="448"/>
      <c r="AW495" s="8" t="str">
        <f>IF(C495&gt;0,VLOOKUP(C495,Foundation_Calc!$A$2:$C$986,3,1),
IF(J495&gt;0,VLOOKUP(J495,Foundation_Calc!$A$2:$C$986,3,1),""))</f>
        <v/>
      </c>
      <c r="AX495" s="8" t="str">
        <f>IF(C495&gt;0,VLOOKUP(C495,Foundation_Calc!$E$2:$G$986,3,1),
IF(J495&gt;0,VLOOKUP(J495,Foundation_Calc!$E$2:$G$986,3,1),""))</f>
        <v/>
      </c>
      <c r="AY495" s="631" t="str">
        <f>IF(L495="","",
IF(AX495="PT",VLOOKUP(L495,Foundation_Calc!$K$4:$R$37,VLOOKUP(AW495,Foundation_Calc!$I$2:$J$8,2,FALSE),0),
IF(AX495="K",VLOOKUP(L495,Foundation_Calc!$K$41:$R$74,VLOOKUP(AW495,Foundation_Calc!$I$2:$J$8,2,FALSE),0),"")))</f>
        <v/>
      </c>
      <c r="AZ495" s="631" t="str">
        <f>IF(K495="","",
IF(AX495="PT",VLOOKUP(K495,Foundation_Calc!$K$4:$R$37,VLOOKUP(AW495,Foundation_Calc!$I$2:$J$8,2,FALSE),0),
IF(AX495="K",VLOOKUP(K495,Foundation_Calc!$K$41:$R$74,VLOOKUP(AW495,Foundation_Calc!$I$2:$J$8,2,FALSE),0),"")))</f>
        <v/>
      </c>
      <c r="BA495" s="632" t="str">
        <f t="shared" si="32"/>
        <v/>
      </c>
      <c r="BB495" s="632" t="str">
        <f t="shared" si="33"/>
        <v/>
      </c>
      <c r="BC495" s="632" t="str">
        <f t="shared" si="34"/>
        <v/>
      </c>
      <c r="BD495" s="633" t="str">
        <f>IF(AND(L495="",H495=""),"",
IF(H495="",Pole_Calc!A523,
IF(H495="MP",Pole_Calc!A524,
IF(H495="AnMP",Pole_Calc!A525,
IF(H495="A",Pole_Calc!A526,
IF(H495="S/A",Pole_Calc!A527,
IF(H495="A/S",Pole_Calc!A528,"Poner a mano")))))))</f>
        <v/>
      </c>
      <c r="BE495" s="448" t="s">
        <v>1726</v>
      </c>
      <c r="BF495" s="635"/>
      <c r="BG495" s="635"/>
      <c r="BH495" s="634"/>
      <c r="BI495" s="635"/>
    </row>
    <row r="496" spans="1:61" ht="16.2" customHeight="1">
      <c r="A496" s="12"/>
      <c r="B496" s="446"/>
      <c r="C496" s="89"/>
      <c r="D496" s="13"/>
      <c r="E496" s="14"/>
      <c r="F496" s="14"/>
      <c r="G496" s="15"/>
      <c r="H496" s="8"/>
      <c r="I496" s="8"/>
      <c r="J496" s="89"/>
      <c r="K496" s="8"/>
      <c r="L496" s="8"/>
      <c r="M496" s="8" t="str">
        <f>IF(L496="","",
IF(AX496="PT",VLOOKUP(L496,Foundation_Calc!$V$4:$X$37,VLOOKUP(AX496,Foundation_Calc!$I$10:$J$13,2,FALSE),0),
IF(AX496="K",VLOOKUP(L496,Foundation_Calc!$V$41:$X$74,VLOOKUP(AX496,Foundation_Calc!$I$10:$J$13,2,FALSE),0),"")))</f>
        <v/>
      </c>
      <c r="N496" s="8"/>
      <c r="O496" s="8"/>
      <c r="P496" s="8"/>
      <c r="Q496" s="14"/>
      <c r="R496" s="15"/>
      <c r="S496" s="15"/>
      <c r="T496" s="14"/>
      <c r="U496" s="14"/>
      <c r="V496" s="14"/>
      <c r="W496" s="18"/>
      <c r="X496" s="18"/>
      <c r="Y496" s="18"/>
      <c r="Z496" s="18"/>
      <c r="AA496" s="18"/>
      <c r="AB496" s="18"/>
      <c r="AC496" s="8" t="str">
        <f t="shared" si="31"/>
        <v/>
      </c>
      <c r="AD496" s="8"/>
      <c r="AE496" s="8"/>
      <c r="AF496" s="14"/>
      <c r="AG496" s="13"/>
      <c r="AH496" s="14"/>
      <c r="AI496" s="14"/>
      <c r="AJ496" s="8"/>
      <c r="AK496" s="8"/>
      <c r="AL496" s="8"/>
      <c r="AM496" s="8"/>
      <c r="AN496" s="631"/>
      <c r="AO496" s="18"/>
      <c r="AP496" s="18"/>
      <c r="AQ496" s="18"/>
      <c r="AR496" s="18"/>
      <c r="AS496" s="18"/>
      <c r="AU496" s="448"/>
      <c r="AV496" s="448"/>
      <c r="AW496" s="8" t="str">
        <f>IF(C496&gt;0,VLOOKUP(C496,Foundation_Calc!$A$2:$C$986,3,1),
IF(J496&gt;0,VLOOKUP(J496,Foundation_Calc!$A$2:$C$986,3,1),""))</f>
        <v/>
      </c>
      <c r="AX496" s="8" t="str">
        <f>IF(C496&gt;0,VLOOKUP(C496,Foundation_Calc!$E$2:$G$986,3,1),
IF(J496&gt;0,VLOOKUP(J496,Foundation_Calc!$E$2:$G$986,3,1),""))</f>
        <v/>
      </c>
      <c r="AY496" s="631" t="str">
        <f>IF(L496="","",
IF(AX496="PT",VLOOKUP(L496,Foundation_Calc!$K$4:$R$37,VLOOKUP(AW496,Foundation_Calc!$I$2:$J$8,2,FALSE),0),
IF(AX496="K",VLOOKUP(L496,Foundation_Calc!$K$41:$R$74,VLOOKUP(AW496,Foundation_Calc!$I$2:$J$8,2,FALSE),0),"")))</f>
        <v/>
      </c>
      <c r="AZ496" s="631" t="str">
        <f>IF(K496="","",
IF(AX496="PT",VLOOKUP(K496,Foundation_Calc!$K$4:$R$37,VLOOKUP(AW496,Foundation_Calc!$I$2:$J$8,2,FALSE),0),
IF(AX496="K",VLOOKUP(K496,Foundation_Calc!$K$41:$R$74,VLOOKUP(AW496,Foundation_Calc!$I$2:$J$8,2,FALSE),0),"")))</f>
        <v/>
      </c>
      <c r="BA496" s="632" t="str">
        <f t="shared" si="32"/>
        <v/>
      </c>
      <c r="BB496" s="632" t="str">
        <f t="shared" si="33"/>
        <v/>
      </c>
      <c r="BC496" s="632" t="str">
        <f t="shared" si="34"/>
        <v/>
      </c>
      <c r="BD496" s="633" t="str">
        <f>IF(AND(L496="",H496=""),"",
IF(H496="",Pole_Calc!A524,
IF(H496="MP",Pole_Calc!A525,
IF(H496="AnMP",Pole_Calc!A526,
IF(H496="A",Pole_Calc!A527,
IF(H496="S/A",Pole_Calc!A528,
IF(H496="A/S",Pole_Calc!A529,"Poner a mano")))))))</f>
        <v/>
      </c>
      <c r="BE496" s="448" t="s">
        <v>1726</v>
      </c>
      <c r="BF496" s="634"/>
      <c r="BG496" s="634"/>
      <c r="BH496" s="634"/>
      <c r="BI496" s="634"/>
    </row>
    <row r="497" spans="1:61" ht="16.2" customHeight="1">
      <c r="A497" s="12"/>
      <c r="B497" s="446"/>
      <c r="C497" s="89"/>
      <c r="D497" s="13"/>
      <c r="E497" s="14"/>
      <c r="F497" s="14"/>
      <c r="G497" s="15"/>
      <c r="H497" s="8"/>
      <c r="I497" s="8"/>
      <c r="J497" s="89"/>
      <c r="K497" s="8"/>
      <c r="L497" s="8"/>
      <c r="M497" s="8" t="str">
        <f>IF(L497="","",
IF(AX497="PT",VLOOKUP(L497,Foundation_Calc!$V$4:$X$37,VLOOKUP(AX497,Foundation_Calc!$I$10:$J$13,2,FALSE),0),
IF(AX497="K",VLOOKUP(L497,Foundation_Calc!$V$41:$X$74,VLOOKUP(AX497,Foundation_Calc!$I$10:$J$13,2,FALSE),0),"")))</f>
        <v/>
      </c>
      <c r="N497" s="8"/>
      <c r="O497" s="8"/>
      <c r="P497" s="8"/>
      <c r="Q497" s="14"/>
      <c r="R497" s="15"/>
      <c r="S497" s="15"/>
      <c r="T497" s="14"/>
      <c r="U497" s="14"/>
      <c r="V497" s="14"/>
      <c r="W497" s="18"/>
      <c r="X497" s="18"/>
      <c r="Y497" s="18"/>
      <c r="Z497" s="18"/>
      <c r="AA497" s="18"/>
      <c r="AB497" s="18"/>
      <c r="AC497" s="8" t="str">
        <f t="shared" si="31"/>
        <v/>
      </c>
      <c r="AD497" s="8"/>
      <c r="AE497" s="8"/>
      <c r="AF497" s="14"/>
      <c r="AG497" s="13"/>
      <c r="AH497" s="14"/>
      <c r="AI497" s="14"/>
      <c r="AJ497" s="8"/>
      <c r="AK497" s="8"/>
      <c r="AL497" s="8"/>
      <c r="AM497" s="8"/>
      <c r="AN497" s="631"/>
      <c r="AO497" s="18"/>
      <c r="AP497" s="18"/>
      <c r="AQ497" s="18"/>
      <c r="AR497" s="18"/>
      <c r="AS497" s="18"/>
      <c r="AU497" s="448"/>
      <c r="AV497" s="448"/>
      <c r="AW497" s="8" t="str">
        <f>IF(C497&gt;0,VLOOKUP(C497,Foundation_Calc!$A$2:$C$986,3,1),
IF(J497&gt;0,VLOOKUP(J497,Foundation_Calc!$A$2:$C$986,3,1),""))</f>
        <v/>
      </c>
      <c r="AX497" s="8" t="str">
        <f>IF(C497&gt;0,VLOOKUP(C497,Foundation_Calc!$E$2:$G$986,3,1),
IF(J497&gt;0,VLOOKUP(J497,Foundation_Calc!$E$2:$G$986,3,1),""))</f>
        <v/>
      </c>
      <c r="AY497" s="631" t="str">
        <f>IF(L497="","",
IF(AX497="PT",VLOOKUP(L497,Foundation_Calc!$K$4:$R$37,VLOOKUP(AW497,Foundation_Calc!$I$2:$J$8,2,FALSE),0),
IF(AX497="K",VLOOKUP(L497,Foundation_Calc!$K$41:$R$74,VLOOKUP(AW497,Foundation_Calc!$I$2:$J$8,2,FALSE),0),"")))</f>
        <v/>
      </c>
      <c r="AZ497" s="631" t="str">
        <f>IF(K497="","",
IF(AX497="PT",VLOOKUP(K497,Foundation_Calc!$K$4:$R$37,VLOOKUP(AW497,Foundation_Calc!$I$2:$J$8,2,FALSE),0),
IF(AX497="K",VLOOKUP(K497,Foundation_Calc!$K$41:$R$74,VLOOKUP(AW497,Foundation_Calc!$I$2:$J$8,2,FALSE),0),"")))</f>
        <v/>
      </c>
      <c r="BA497" s="632" t="str">
        <f t="shared" si="32"/>
        <v/>
      </c>
      <c r="BB497" s="632" t="str">
        <f t="shared" si="33"/>
        <v/>
      </c>
      <c r="BC497" s="632" t="str">
        <f t="shared" si="34"/>
        <v/>
      </c>
      <c r="BD497" s="633" t="str">
        <f>IF(AND(L497="",H497=""),"",
IF(H497="",Pole_Calc!A525,
IF(H497="MP",Pole_Calc!A526,
IF(H497="AnMP",Pole_Calc!A527,
IF(H497="A",Pole_Calc!A528,
IF(H497="S/A",Pole_Calc!A529,
IF(H497="A/S",Pole_Calc!A530,"Poner a mano")))))))</f>
        <v/>
      </c>
      <c r="BE497" s="448" t="s">
        <v>1726</v>
      </c>
      <c r="BF497" s="635"/>
      <c r="BG497" s="635"/>
      <c r="BH497" s="634"/>
      <c r="BI497" s="635"/>
    </row>
    <row r="498" spans="1:61" ht="16.2" customHeight="1">
      <c r="A498" s="12"/>
      <c r="B498" s="446"/>
      <c r="C498" s="89"/>
      <c r="D498" s="13"/>
      <c r="E498" s="14"/>
      <c r="F498" s="14"/>
      <c r="G498" s="15"/>
      <c r="H498" s="8"/>
      <c r="I498" s="8"/>
      <c r="J498" s="89"/>
      <c r="K498" s="8"/>
      <c r="L498" s="8"/>
      <c r="M498" s="8" t="str">
        <f>IF(L498="","",
IF(AX498="PT",VLOOKUP(L498,Foundation_Calc!$V$4:$X$37,VLOOKUP(AX498,Foundation_Calc!$I$10:$J$13,2,FALSE),0),
IF(AX498="K",VLOOKUP(L498,Foundation_Calc!$V$41:$X$74,VLOOKUP(AX498,Foundation_Calc!$I$10:$J$13,2,FALSE),0),"")))</f>
        <v/>
      </c>
      <c r="N498" s="8"/>
      <c r="O498" s="8"/>
      <c r="P498" s="8"/>
      <c r="Q498" s="14"/>
      <c r="R498" s="15"/>
      <c r="S498" s="15"/>
      <c r="T498" s="14"/>
      <c r="U498" s="14"/>
      <c r="V498" s="14"/>
      <c r="W498" s="18"/>
      <c r="X498" s="18"/>
      <c r="Y498" s="18"/>
      <c r="Z498" s="18"/>
      <c r="AA498" s="18"/>
      <c r="AB498" s="18"/>
      <c r="AC498" s="8" t="str">
        <f t="shared" si="31"/>
        <v/>
      </c>
      <c r="AD498" s="8"/>
      <c r="AE498" s="8"/>
      <c r="AF498" s="14"/>
      <c r="AG498" s="13"/>
      <c r="AH498" s="14"/>
      <c r="AI498" s="14"/>
      <c r="AJ498" s="8"/>
      <c r="AK498" s="8"/>
      <c r="AL498" s="8"/>
      <c r="AM498" s="8"/>
      <c r="AN498" s="631"/>
      <c r="AO498" s="18"/>
      <c r="AP498" s="18"/>
      <c r="AQ498" s="18"/>
      <c r="AR498" s="18"/>
      <c r="AS498" s="18"/>
      <c r="AU498" s="448"/>
      <c r="AV498" s="448"/>
      <c r="AW498" s="8" t="str">
        <f>IF(C498&gt;0,VLOOKUP(C498,Foundation_Calc!$A$2:$C$986,3,1),
IF(J498&gt;0,VLOOKUP(J498,Foundation_Calc!$A$2:$C$986,3,1),""))</f>
        <v/>
      </c>
      <c r="AX498" s="8" t="str">
        <f>IF(C498&gt;0,VLOOKUP(C498,Foundation_Calc!$E$2:$G$986,3,1),
IF(J498&gt;0,VLOOKUP(J498,Foundation_Calc!$E$2:$G$986,3,1),""))</f>
        <v/>
      </c>
      <c r="AY498" s="631" t="str">
        <f>IF(L498="","",
IF(AX498="PT",VLOOKUP(L498,Foundation_Calc!$K$4:$R$37,VLOOKUP(AW498,Foundation_Calc!$I$2:$J$8,2,FALSE),0),
IF(AX498="K",VLOOKUP(L498,Foundation_Calc!$K$41:$R$74,VLOOKUP(AW498,Foundation_Calc!$I$2:$J$8,2,FALSE),0),"")))</f>
        <v/>
      </c>
      <c r="AZ498" s="631" t="str">
        <f>IF(K498="","",
IF(AX498="PT",VLOOKUP(K498,Foundation_Calc!$K$4:$R$37,VLOOKUP(AW498,Foundation_Calc!$I$2:$J$8,2,FALSE),0),
IF(AX498="K",VLOOKUP(K498,Foundation_Calc!$K$41:$R$74,VLOOKUP(AW498,Foundation_Calc!$I$2:$J$8,2,FALSE),0),"")))</f>
        <v/>
      </c>
      <c r="BA498" s="632" t="str">
        <f t="shared" si="32"/>
        <v/>
      </c>
      <c r="BB498" s="632" t="str">
        <f t="shared" si="33"/>
        <v/>
      </c>
      <c r="BC498" s="632" t="str">
        <f t="shared" si="34"/>
        <v/>
      </c>
      <c r="BD498" s="633" t="str">
        <f>IF(AND(L498="",H498=""),"",
IF(H498="",Pole_Calc!A526,
IF(H498="MP",Pole_Calc!A527,
IF(H498="AnMP",Pole_Calc!A528,
IF(H498="A",Pole_Calc!A529,
IF(H498="S/A",Pole_Calc!A530,
IF(H498="A/S",Pole_Calc!A531,"Poner a mano")))))))</f>
        <v/>
      </c>
      <c r="BE498" s="448" t="s">
        <v>1726</v>
      </c>
      <c r="BF498" s="634"/>
      <c r="BG498" s="634"/>
      <c r="BH498" s="634"/>
      <c r="BI498" s="634"/>
    </row>
    <row r="499" spans="1:61" ht="16.2" customHeight="1">
      <c r="A499" s="12"/>
      <c r="B499" s="446"/>
      <c r="C499" s="89"/>
      <c r="D499" s="13"/>
      <c r="E499" s="14"/>
      <c r="F499" s="14"/>
      <c r="G499" s="15"/>
      <c r="H499" s="8"/>
      <c r="I499" s="8"/>
      <c r="J499" s="89"/>
      <c r="K499" s="8"/>
      <c r="L499" s="8"/>
      <c r="M499" s="8" t="str">
        <f>IF(L499="","",
IF(AX499="PT",VLOOKUP(L499,Foundation_Calc!$V$4:$X$37,VLOOKUP(AX499,Foundation_Calc!$I$10:$J$13,2,FALSE),0),
IF(AX499="K",VLOOKUP(L499,Foundation_Calc!$V$41:$X$74,VLOOKUP(AX499,Foundation_Calc!$I$10:$J$13,2,FALSE),0),"")))</f>
        <v/>
      </c>
      <c r="N499" s="8"/>
      <c r="O499" s="8"/>
      <c r="P499" s="8"/>
      <c r="Q499" s="14"/>
      <c r="R499" s="15"/>
      <c r="S499" s="15"/>
      <c r="T499" s="14"/>
      <c r="U499" s="14"/>
      <c r="V499" s="14"/>
      <c r="W499" s="18"/>
      <c r="X499" s="18"/>
      <c r="Y499" s="18"/>
      <c r="Z499" s="18"/>
      <c r="AA499" s="18"/>
      <c r="AB499" s="18"/>
      <c r="AC499" s="8" t="str">
        <f t="shared" si="31"/>
        <v/>
      </c>
      <c r="AD499" s="8"/>
      <c r="AE499" s="8"/>
      <c r="AF499" s="14"/>
      <c r="AG499" s="13"/>
      <c r="AH499" s="14"/>
      <c r="AI499" s="14"/>
      <c r="AJ499" s="8"/>
      <c r="AK499" s="8"/>
      <c r="AL499" s="8"/>
      <c r="AM499" s="8"/>
      <c r="AN499" s="631"/>
      <c r="AO499" s="18"/>
      <c r="AP499" s="18"/>
      <c r="AQ499" s="18"/>
      <c r="AR499" s="18"/>
      <c r="AS499" s="18"/>
      <c r="AU499" s="448"/>
      <c r="AV499" s="448"/>
      <c r="AW499" s="8" t="str">
        <f>IF(C499&gt;0,VLOOKUP(C499,Foundation_Calc!$A$2:$C$986,3,1),
IF(J499&gt;0,VLOOKUP(J499,Foundation_Calc!$A$2:$C$986,3,1),""))</f>
        <v/>
      </c>
      <c r="AX499" s="8" t="str">
        <f>IF(C499&gt;0,VLOOKUP(C499,Foundation_Calc!$E$2:$G$986,3,1),
IF(J499&gt;0,VLOOKUP(J499,Foundation_Calc!$E$2:$G$986,3,1),""))</f>
        <v/>
      </c>
      <c r="AY499" s="631" t="str">
        <f>IF(L499="","",
IF(AX499="PT",VLOOKUP(L499,Foundation_Calc!$K$4:$R$37,VLOOKUP(AW499,Foundation_Calc!$I$2:$J$8,2,FALSE),0),
IF(AX499="K",VLOOKUP(L499,Foundation_Calc!$K$41:$R$74,VLOOKUP(AW499,Foundation_Calc!$I$2:$J$8,2,FALSE),0),"")))</f>
        <v/>
      </c>
      <c r="AZ499" s="631" t="str">
        <f>IF(K499="","",
IF(AX499="PT",VLOOKUP(K499,Foundation_Calc!$K$4:$R$37,VLOOKUP(AW499,Foundation_Calc!$I$2:$J$8,2,FALSE),0),
IF(AX499="K",VLOOKUP(K499,Foundation_Calc!$K$41:$R$74,VLOOKUP(AW499,Foundation_Calc!$I$2:$J$8,2,FALSE),0),"")))</f>
        <v/>
      </c>
      <c r="BA499" s="632" t="str">
        <f t="shared" si="32"/>
        <v/>
      </c>
      <c r="BB499" s="632" t="str">
        <f t="shared" si="33"/>
        <v/>
      </c>
      <c r="BC499" s="632" t="str">
        <f t="shared" si="34"/>
        <v/>
      </c>
      <c r="BD499" s="633" t="str">
        <f>IF(AND(L499="",H499=""),"",
IF(H499="",Pole_Calc!A527,
IF(H499="MP",Pole_Calc!A528,
IF(H499="AnMP",Pole_Calc!A529,
IF(H499="A",Pole_Calc!A530,
IF(H499="S/A",Pole_Calc!A531,
IF(H499="A/S",Pole_Calc!A532,"Poner a mano")))))))</f>
        <v/>
      </c>
      <c r="BE499" s="448" t="s">
        <v>1726</v>
      </c>
      <c r="BF499" s="635"/>
      <c r="BG499" s="635"/>
      <c r="BH499" s="634"/>
      <c r="BI499" s="635"/>
    </row>
    <row r="500" spans="1:61" ht="16.2" customHeight="1">
      <c r="A500" s="12"/>
      <c r="B500" s="446"/>
      <c r="C500" s="89"/>
      <c r="D500" s="13"/>
      <c r="E500" s="14"/>
      <c r="F500" s="14"/>
      <c r="G500" s="15"/>
      <c r="H500" s="8"/>
      <c r="I500" s="8"/>
      <c r="J500" s="89"/>
      <c r="K500" s="8"/>
      <c r="L500" s="8"/>
      <c r="M500" s="8" t="str">
        <f>IF(L500="","",
IF(AX500="PT",VLOOKUP(L500,Foundation_Calc!$V$4:$X$37,VLOOKUP(AX500,Foundation_Calc!$I$10:$J$13,2,FALSE),0),
IF(AX500="K",VLOOKUP(L500,Foundation_Calc!$V$41:$X$74,VLOOKUP(AX500,Foundation_Calc!$I$10:$J$13,2,FALSE),0),"")))</f>
        <v/>
      </c>
      <c r="N500" s="8"/>
      <c r="O500" s="8"/>
      <c r="P500" s="8"/>
      <c r="Q500" s="14"/>
      <c r="R500" s="15"/>
      <c r="S500" s="15"/>
      <c r="T500" s="14"/>
      <c r="U500" s="14"/>
      <c r="V500" s="14"/>
      <c r="W500" s="18"/>
      <c r="X500" s="18"/>
      <c r="Y500" s="18"/>
      <c r="Z500" s="18"/>
      <c r="AA500" s="18"/>
      <c r="AB500" s="18"/>
      <c r="AC500" s="8" t="str">
        <f t="shared" si="31"/>
        <v/>
      </c>
      <c r="AD500" s="8"/>
      <c r="AE500" s="8"/>
      <c r="AF500" s="14"/>
      <c r="AG500" s="13"/>
      <c r="AH500" s="14"/>
      <c r="AI500" s="14"/>
      <c r="AJ500" s="8"/>
      <c r="AK500" s="8"/>
      <c r="AL500" s="8"/>
      <c r="AM500" s="8"/>
      <c r="AN500" s="631"/>
      <c r="AO500" s="18"/>
      <c r="AP500" s="18"/>
      <c r="AQ500" s="18"/>
      <c r="AR500" s="18"/>
      <c r="AS500" s="18"/>
      <c r="AU500" s="448"/>
      <c r="AV500" s="448"/>
      <c r="AW500" s="8" t="str">
        <f>IF(C500&gt;0,VLOOKUP(C500,Foundation_Calc!$A$2:$C$986,3,1),
IF(J500&gt;0,VLOOKUP(J500,Foundation_Calc!$A$2:$C$986,3,1),""))</f>
        <v/>
      </c>
      <c r="AX500" s="8" t="str">
        <f>IF(C500&gt;0,VLOOKUP(C500,Foundation_Calc!$E$2:$G$986,3,1),
IF(J500&gt;0,VLOOKUP(J500,Foundation_Calc!$E$2:$G$986,3,1),""))</f>
        <v/>
      </c>
      <c r="AY500" s="631" t="str">
        <f>IF(L500="","",
IF(AX500="PT",VLOOKUP(L500,Foundation_Calc!$K$4:$R$37,VLOOKUP(AW500,Foundation_Calc!$I$2:$J$8,2,FALSE),0),
IF(AX500="K",VLOOKUP(L500,Foundation_Calc!$K$41:$R$74,VLOOKUP(AW500,Foundation_Calc!$I$2:$J$8,2,FALSE),0),"")))</f>
        <v/>
      </c>
      <c r="AZ500" s="631" t="str">
        <f>IF(K500="","",
IF(AX500="PT",VLOOKUP(K500,Foundation_Calc!$K$4:$R$37,VLOOKUP(AW500,Foundation_Calc!$I$2:$J$8,2,FALSE),0),
IF(AX500="K",VLOOKUP(K500,Foundation_Calc!$K$41:$R$74,VLOOKUP(AW500,Foundation_Calc!$I$2:$J$8,2,FALSE),0),"")))</f>
        <v/>
      </c>
      <c r="BA500" s="632" t="str">
        <f t="shared" si="32"/>
        <v/>
      </c>
      <c r="BB500" s="632" t="str">
        <f t="shared" si="33"/>
        <v/>
      </c>
      <c r="BC500" s="632" t="str">
        <f t="shared" si="34"/>
        <v/>
      </c>
      <c r="BD500" s="633" t="str">
        <f>IF(AND(L500="",H500=""),"",
IF(H500="",Pole_Calc!A528,
IF(H500="MP",Pole_Calc!A529,
IF(H500="AnMP",Pole_Calc!A530,
IF(H500="A",Pole_Calc!A531,
IF(H500="S/A",Pole_Calc!A532,
IF(H500="A/S",Pole_Calc!A533,"Poner a mano")))))))</f>
        <v/>
      </c>
      <c r="BE500" s="448" t="s">
        <v>1726</v>
      </c>
      <c r="BF500" s="634"/>
      <c r="BG500" s="634"/>
      <c r="BH500" s="634"/>
      <c r="BI500" s="634"/>
    </row>
    <row r="501" spans="1:61" ht="16.2" customHeight="1">
      <c r="A501" s="12"/>
      <c r="B501" s="446"/>
      <c r="C501" s="89"/>
      <c r="D501" s="13"/>
      <c r="E501" s="14"/>
      <c r="F501" s="14"/>
      <c r="G501" s="15"/>
      <c r="H501" s="8"/>
      <c r="I501" s="8"/>
      <c r="J501" s="89"/>
      <c r="K501" s="8"/>
      <c r="L501" s="8"/>
      <c r="M501" s="8" t="str">
        <f>IF(L501="","",
IF(AX501="PT",VLOOKUP(L501,Foundation_Calc!$V$4:$X$37,VLOOKUP(AX501,Foundation_Calc!$I$10:$J$13,2,FALSE),0),
IF(AX501="K",VLOOKUP(L501,Foundation_Calc!$V$41:$X$74,VLOOKUP(AX501,Foundation_Calc!$I$10:$J$13,2,FALSE),0),"")))</f>
        <v/>
      </c>
      <c r="N501" s="8"/>
      <c r="O501" s="8"/>
      <c r="P501" s="8"/>
      <c r="Q501" s="14"/>
      <c r="R501" s="15"/>
      <c r="S501" s="15"/>
      <c r="T501" s="14"/>
      <c r="U501" s="14"/>
      <c r="V501" s="14"/>
      <c r="W501" s="18"/>
      <c r="X501" s="18"/>
      <c r="Y501" s="18"/>
      <c r="Z501" s="18"/>
      <c r="AA501" s="18"/>
      <c r="AB501" s="18"/>
      <c r="AC501" s="8" t="str">
        <f t="shared" si="31"/>
        <v/>
      </c>
      <c r="AD501" s="8"/>
      <c r="AE501" s="8"/>
      <c r="AF501" s="14"/>
      <c r="AG501" s="13"/>
      <c r="AH501" s="14"/>
      <c r="AI501" s="14"/>
      <c r="AJ501" s="8"/>
      <c r="AK501" s="8"/>
      <c r="AL501" s="8"/>
      <c r="AM501" s="8"/>
      <c r="AN501" s="631"/>
      <c r="AO501" s="18"/>
      <c r="AP501" s="18"/>
      <c r="AQ501" s="18"/>
      <c r="AR501" s="18"/>
      <c r="AS501" s="18"/>
      <c r="AU501" s="448"/>
      <c r="AV501" s="448"/>
      <c r="AW501" s="8" t="str">
        <f>IF(C501&gt;0,VLOOKUP(C501,Foundation_Calc!$A$2:$C$986,3,1),
IF(J501&gt;0,VLOOKUP(J501,Foundation_Calc!$A$2:$C$986,3,1),""))</f>
        <v/>
      </c>
      <c r="AX501" s="8" t="str">
        <f>IF(C501&gt;0,VLOOKUP(C501,Foundation_Calc!$E$2:$G$986,3,1),
IF(J501&gt;0,VLOOKUP(J501,Foundation_Calc!$E$2:$G$986,3,1),""))</f>
        <v/>
      </c>
      <c r="AY501" s="631" t="str">
        <f>IF(L501="","",
IF(AX501="PT",VLOOKUP(L501,Foundation_Calc!$K$4:$R$37,VLOOKUP(AW501,Foundation_Calc!$I$2:$J$8,2,FALSE),0),
IF(AX501="K",VLOOKUP(L501,Foundation_Calc!$K$41:$R$74,VLOOKUP(AW501,Foundation_Calc!$I$2:$J$8,2,FALSE),0),"")))</f>
        <v/>
      </c>
      <c r="AZ501" s="631" t="str">
        <f>IF(K501="","",
IF(AX501="PT",VLOOKUP(K501,Foundation_Calc!$K$4:$R$37,VLOOKUP(AW501,Foundation_Calc!$I$2:$J$8,2,FALSE),0),
IF(AX501="K",VLOOKUP(K501,Foundation_Calc!$K$41:$R$74,VLOOKUP(AW501,Foundation_Calc!$I$2:$J$8,2,FALSE),0),"")))</f>
        <v/>
      </c>
      <c r="BA501" s="632" t="str">
        <f t="shared" si="32"/>
        <v/>
      </c>
      <c r="BB501" s="632" t="str">
        <f t="shared" si="33"/>
        <v/>
      </c>
      <c r="BC501" s="632" t="str">
        <f t="shared" si="34"/>
        <v/>
      </c>
      <c r="BD501" s="633" t="str">
        <f>IF(AND(L501="",H501=""),"",
IF(H501="",Pole_Calc!A529,
IF(H501="MP",Pole_Calc!A530,
IF(H501="AnMP",Pole_Calc!A531,
IF(H501="A",Pole_Calc!A532,
IF(H501="S/A",Pole_Calc!A533,
IF(H501="A/S",Pole_Calc!A534,"Poner a mano")))))))</f>
        <v/>
      </c>
      <c r="BE501" s="448" t="s">
        <v>1726</v>
      </c>
      <c r="BF501" s="635"/>
      <c r="BG501" s="635"/>
      <c r="BH501" s="634"/>
      <c r="BI501" s="635"/>
    </row>
    <row r="502" spans="1:61" ht="16.2" customHeight="1">
      <c r="A502" s="12"/>
      <c r="B502" s="446"/>
      <c r="C502" s="89"/>
      <c r="D502" s="13"/>
      <c r="E502" s="14"/>
      <c r="F502" s="14"/>
      <c r="G502" s="15"/>
      <c r="H502" s="8"/>
      <c r="I502" s="8"/>
      <c r="J502" s="89"/>
      <c r="K502" s="8"/>
      <c r="L502" s="8"/>
      <c r="M502" s="8" t="str">
        <f>IF(L502="","",
IF(AX502="PT",VLOOKUP(L502,Foundation_Calc!$V$4:$X$37,VLOOKUP(AX502,Foundation_Calc!$I$10:$J$13,2,FALSE),0),
IF(AX502="K",VLOOKUP(L502,Foundation_Calc!$V$41:$X$74,VLOOKUP(AX502,Foundation_Calc!$I$10:$J$13,2,FALSE),0),"")))</f>
        <v/>
      </c>
      <c r="N502" s="8"/>
      <c r="O502" s="8"/>
      <c r="P502" s="8"/>
      <c r="Q502" s="14"/>
      <c r="R502" s="15"/>
      <c r="S502" s="15"/>
      <c r="T502" s="14"/>
      <c r="U502" s="14"/>
      <c r="V502" s="14"/>
      <c r="W502" s="18"/>
      <c r="X502" s="18"/>
      <c r="Y502" s="18"/>
      <c r="Z502" s="18"/>
      <c r="AA502" s="18"/>
      <c r="AB502" s="18"/>
      <c r="AC502" s="8" t="str">
        <f t="shared" si="31"/>
        <v/>
      </c>
      <c r="AD502" s="8"/>
      <c r="AE502" s="8"/>
      <c r="AF502" s="14"/>
      <c r="AG502" s="13"/>
      <c r="AH502" s="14"/>
      <c r="AI502" s="14"/>
      <c r="AJ502" s="8"/>
      <c r="AK502" s="8"/>
      <c r="AL502" s="8"/>
      <c r="AM502" s="8"/>
      <c r="AN502" s="631"/>
      <c r="AO502" s="18"/>
      <c r="AP502" s="18"/>
      <c r="AQ502" s="18"/>
      <c r="AR502" s="18"/>
      <c r="AS502" s="18"/>
      <c r="AU502" s="448"/>
      <c r="AV502" s="448"/>
      <c r="AW502" s="8" t="str">
        <f>IF(C502&gt;0,VLOOKUP(C502,Foundation_Calc!$A$2:$C$986,3,1),
IF(J502&gt;0,VLOOKUP(J502,Foundation_Calc!$A$2:$C$986,3,1),""))</f>
        <v/>
      </c>
      <c r="AX502" s="8" t="str">
        <f>IF(C502&gt;0,VLOOKUP(C502,Foundation_Calc!$E$2:$G$986,3,1),
IF(J502&gt;0,VLOOKUP(J502,Foundation_Calc!$E$2:$G$986,3,1),""))</f>
        <v/>
      </c>
      <c r="AY502" s="631" t="str">
        <f>IF(L502="","",
IF(AX502="PT",VLOOKUP(L502,Foundation_Calc!$K$4:$R$37,VLOOKUP(AW502,Foundation_Calc!$I$2:$J$8,2,FALSE),0),
IF(AX502="K",VLOOKUP(L502,Foundation_Calc!$K$41:$R$74,VLOOKUP(AW502,Foundation_Calc!$I$2:$J$8,2,FALSE),0),"")))</f>
        <v/>
      </c>
      <c r="AZ502" s="631" t="str">
        <f>IF(K502="","",
IF(AX502="PT",VLOOKUP(K502,Foundation_Calc!$K$4:$R$37,VLOOKUP(AW502,Foundation_Calc!$I$2:$J$8,2,FALSE),0),
IF(AX502="K",VLOOKUP(K502,Foundation_Calc!$K$41:$R$74,VLOOKUP(AW502,Foundation_Calc!$I$2:$J$8,2,FALSE),0),"")))</f>
        <v/>
      </c>
      <c r="BA502" s="632" t="str">
        <f t="shared" si="32"/>
        <v/>
      </c>
      <c r="BB502" s="632" t="str">
        <f t="shared" si="33"/>
        <v/>
      </c>
      <c r="BC502" s="632" t="str">
        <f t="shared" si="34"/>
        <v/>
      </c>
      <c r="BD502" s="633" t="str">
        <f>IF(AND(L502="",H502=""),"",
IF(H502="",Pole_Calc!A530,
IF(H502="MP",Pole_Calc!A531,
IF(H502="AnMP",Pole_Calc!A532,
IF(H502="A",Pole_Calc!A533,
IF(H502="S/A",Pole_Calc!A534,
IF(H502="A/S",Pole_Calc!A535,"Poner a mano")))))))</f>
        <v/>
      </c>
      <c r="BE502" s="448" t="s">
        <v>1726</v>
      </c>
      <c r="BF502" s="634"/>
      <c r="BG502" s="634"/>
      <c r="BH502" s="634"/>
      <c r="BI502" s="634"/>
    </row>
    <row r="503" spans="1:61" ht="16.2" customHeight="1">
      <c r="A503" s="12"/>
      <c r="B503" s="446"/>
      <c r="C503" s="89"/>
      <c r="D503" s="13"/>
      <c r="E503" s="14"/>
      <c r="F503" s="14"/>
      <c r="G503" s="15"/>
      <c r="H503" s="8"/>
      <c r="I503" s="8"/>
      <c r="J503" s="89"/>
      <c r="K503" s="8"/>
      <c r="L503" s="8"/>
      <c r="M503" s="8" t="str">
        <f>IF(L503="","",
IF(AX503="PT",VLOOKUP(L503,Foundation_Calc!$V$4:$X$37,VLOOKUP(AX503,Foundation_Calc!$I$10:$J$13,2,FALSE),0),
IF(AX503="K",VLOOKUP(L503,Foundation_Calc!$V$41:$X$74,VLOOKUP(AX503,Foundation_Calc!$I$10:$J$13,2,FALSE),0),"")))</f>
        <v/>
      </c>
      <c r="N503" s="8"/>
      <c r="O503" s="8"/>
      <c r="P503" s="8"/>
      <c r="Q503" s="14"/>
      <c r="R503" s="15"/>
      <c r="S503" s="15"/>
      <c r="T503" s="14"/>
      <c r="U503" s="14"/>
      <c r="V503" s="14"/>
      <c r="W503" s="18"/>
      <c r="X503" s="18"/>
      <c r="Y503" s="18"/>
      <c r="Z503" s="18"/>
      <c r="AA503" s="18"/>
      <c r="AB503" s="18"/>
      <c r="AC503" s="8" t="str">
        <f t="shared" si="31"/>
        <v/>
      </c>
      <c r="AD503" s="8"/>
      <c r="AE503" s="8"/>
      <c r="AF503" s="14"/>
      <c r="AG503" s="13"/>
      <c r="AH503" s="14"/>
      <c r="AI503" s="14"/>
      <c r="AJ503" s="8"/>
      <c r="AK503" s="8"/>
      <c r="AL503" s="8"/>
      <c r="AM503" s="8"/>
      <c r="AN503" s="631"/>
      <c r="AO503" s="18"/>
      <c r="AP503" s="18"/>
      <c r="AQ503" s="18"/>
      <c r="AR503" s="18"/>
      <c r="AS503" s="18"/>
      <c r="AU503" s="448"/>
      <c r="AV503" s="448"/>
      <c r="AW503" s="8" t="str">
        <f>IF(C503&gt;0,VLOOKUP(C503,Foundation_Calc!$A$2:$C$986,3,1),
IF(J503&gt;0,VLOOKUP(J503,Foundation_Calc!$A$2:$C$986,3,1),""))</f>
        <v/>
      </c>
      <c r="AX503" s="8" t="str">
        <f>IF(C503&gt;0,VLOOKUP(C503,Foundation_Calc!$E$2:$G$986,3,1),
IF(J503&gt;0,VLOOKUP(J503,Foundation_Calc!$E$2:$G$986,3,1),""))</f>
        <v/>
      </c>
      <c r="AY503" s="631" t="str">
        <f>IF(L503="","",
IF(AX503="PT",VLOOKUP(L503,Foundation_Calc!$K$4:$R$37,VLOOKUP(AW503,Foundation_Calc!$I$2:$J$8,2,FALSE),0),
IF(AX503="K",VLOOKUP(L503,Foundation_Calc!$K$41:$R$74,VLOOKUP(AW503,Foundation_Calc!$I$2:$J$8,2,FALSE),0),"")))</f>
        <v/>
      </c>
      <c r="AZ503" s="631" t="str">
        <f>IF(K503="","",
IF(AX503="PT",VLOOKUP(K503,Foundation_Calc!$K$4:$R$37,VLOOKUP(AW503,Foundation_Calc!$I$2:$J$8,2,FALSE),0),
IF(AX503="K",VLOOKUP(K503,Foundation_Calc!$K$41:$R$74,VLOOKUP(AW503,Foundation_Calc!$I$2:$J$8,2,FALSE),0),"")))</f>
        <v/>
      </c>
      <c r="BA503" s="632" t="str">
        <f t="shared" si="32"/>
        <v/>
      </c>
      <c r="BB503" s="632" t="str">
        <f t="shared" si="33"/>
        <v/>
      </c>
      <c r="BC503" s="632" t="str">
        <f t="shared" si="34"/>
        <v/>
      </c>
      <c r="BD503" s="633" t="str">
        <f>IF(AND(L503="",H503=""),"",
IF(H503="",Pole_Calc!A531,
IF(H503="MP",Pole_Calc!A532,
IF(H503="AnMP",Pole_Calc!A533,
IF(H503="A",Pole_Calc!A534,
IF(H503="S/A",Pole_Calc!A535,
IF(H503="A/S",Pole_Calc!A536,"Poner a mano")))))))</f>
        <v/>
      </c>
      <c r="BE503" s="448" t="s">
        <v>1726</v>
      </c>
      <c r="BF503" s="635"/>
      <c r="BG503" s="635"/>
      <c r="BH503" s="634"/>
      <c r="BI503" s="635"/>
    </row>
    <row r="504" spans="1:61" ht="16.2" customHeight="1">
      <c r="A504" s="12"/>
      <c r="B504" s="446"/>
      <c r="C504" s="89"/>
      <c r="D504" s="13"/>
      <c r="E504" s="14"/>
      <c r="F504" s="14"/>
      <c r="G504" s="15"/>
      <c r="H504" s="8"/>
      <c r="I504" s="8"/>
      <c r="J504" s="89"/>
      <c r="K504" s="8"/>
      <c r="L504" s="8"/>
      <c r="M504" s="8" t="str">
        <f>IF(L504="","",
IF(AX504="PT",VLOOKUP(L504,Foundation_Calc!$V$4:$X$37,VLOOKUP(AX504,Foundation_Calc!$I$10:$J$13,2,FALSE),0),
IF(AX504="K",VLOOKUP(L504,Foundation_Calc!$V$41:$X$74,VLOOKUP(AX504,Foundation_Calc!$I$10:$J$13,2,FALSE),0),"")))</f>
        <v/>
      </c>
      <c r="N504" s="8"/>
      <c r="O504" s="8"/>
      <c r="P504" s="8"/>
      <c r="Q504" s="14"/>
      <c r="R504" s="15"/>
      <c r="S504" s="15"/>
      <c r="T504" s="14"/>
      <c r="U504" s="14"/>
      <c r="V504" s="14"/>
      <c r="W504" s="18"/>
      <c r="X504" s="18"/>
      <c r="Y504" s="18"/>
      <c r="Z504" s="18"/>
      <c r="AA504" s="18"/>
      <c r="AB504" s="18"/>
      <c r="AC504" s="8" t="str">
        <f t="shared" si="31"/>
        <v/>
      </c>
      <c r="AD504" s="8"/>
      <c r="AE504" s="8"/>
      <c r="AF504" s="14"/>
      <c r="AG504" s="13"/>
      <c r="AH504" s="14"/>
      <c r="AI504" s="14"/>
      <c r="AJ504" s="8"/>
      <c r="AK504" s="8"/>
      <c r="AL504" s="8"/>
      <c r="AM504" s="8"/>
      <c r="AN504" s="631"/>
      <c r="AO504" s="18"/>
      <c r="AP504" s="18"/>
      <c r="AQ504" s="18"/>
      <c r="AR504" s="18"/>
      <c r="AS504" s="18"/>
      <c r="AU504" s="448"/>
      <c r="AV504" s="448"/>
      <c r="AW504" s="8" t="str">
        <f>IF(C504&gt;0,VLOOKUP(C504,Foundation_Calc!$A$2:$C$986,3,1),
IF(J504&gt;0,VLOOKUP(J504,Foundation_Calc!$A$2:$C$986,3,1),""))</f>
        <v/>
      </c>
      <c r="AX504" s="8" t="str">
        <f>IF(C504&gt;0,VLOOKUP(C504,Foundation_Calc!$E$2:$G$986,3,1),
IF(J504&gt;0,VLOOKUP(J504,Foundation_Calc!$E$2:$G$986,3,1),""))</f>
        <v/>
      </c>
      <c r="AY504" s="631" t="str">
        <f>IF(L504="","",
IF(AX504="PT",VLOOKUP(L504,Foundation_Calc!$K$4:$R$37,VLOOKUP(AW504,Foundation_Calc!$I$2:$J$8,2,FALSE),0),
IF(AX504="K",VLOOKUP(L504,Foundation_Calc!$K$41:$R$74,VLOOKUP(AW504,Foundation_Calc!$I$2:$J$8,2,FALSE),0),"")))</f>
        <v/>
      </c>
      <c r="AZ504" s="631" t="str">
        <f>IF(K504="","",
IF(AX504="PT",VLOOKUP(K504,Foundation_Calc!$K$4:$R$37,VLOOKUP(AW504,Foundation_Calc!$I$2:$J$8,2,FALSE),0),
IF(AX504="K",VLOOKUP(K504,Foundation_Calc!$K$41:$R$74,VLOOKUP(AW504,Foundation_Calc!$I$2:$J$8,2,FALSE),0),"")))</f>
        <v/>
      </c>
      <c r="BA504" s="632" t="str">
        <f t="shared" si="32"/>
        <v/>
      </c>
      <c r="BB504" s="632" t="str">
        <f t="shared" si="33"/>
        <v/>
      </c>
      <c r="BC504" s="632" t="str">
        <f t="shared" si="34"/>
        <v/>
      </c>
      <c r="BD504" s="633" t="str">
        <f>IF(AND(L504="",H504=""),"",
IF(H504="",Pole_Calc!A532,
IF(H504="MP",Pole_Calc!A533,
IF(H504="AnMP",Pole_Calc!A534,
IF(H504="A",Pole_Calc!A535,
IF(H504="S/A",Pole_Calc!A536,
IF(H504="A/S",Pole_Calc!A537,"Poner a mano")))))))</f>
        <v/>
      </c>
      <c r="BE504" s="448" t="s">
        <v>1726</v>
      </c>
      <c r="BF504" s="634"/>
      <c r="BG504" s="634"/>
      <c r="BH504" s="634"/>
      <c r="BI504" s="634"/>
    </row>
    <row r="505" spans="1:61" ht="16.2" customHeight="1">
      <c r="A505" s="12"/>
      <c r="B505" s="446"/>
      <c r="C505" s="89"/>
      <c r="D505" s="13"/>
      <c r="E505" s="14"/>
      <c r="F505" s="14"/>
      <c r="G505" s="15"/>
      <c r="H505" s="8"/>
      <c r="I505" s="8"/>
      <c r="J505" s="89"/>
      <c r="K505" s="8"/>
      <c r="L505" s="8"/>
      <c r="M505" s="8" t="str">
        <f>IF(L505="","",
IF(AX505="PT",VLOOKUP(L505,Foundation_Calc!$V$4:$X$37,VLOOKUP(AX505,Foundation_Calc!$I$10:$J$13,2,FALSE),0),
IF(AX505="K",VLOOKUP(L505,Foundation_Calc!$V$41:$X$74,VLOOKUP(AX505,Foundation_Calc!$I$10:$J$13,2,FALSE),0),"")))</f>
        <v/>
      </c>
      <c r="N505" s="8"/>
      <c r="O505" s="8"/>
      <c r="P505" s="8"/>
      <c r="Q505" s="14"/>
      <c r="R505" s="15"/>
      <c r="S505" s="15"/>
      <c r="T505" s="14"/>
      <c r="U505" s="14"/>
      <c r="V505" s="14"/>
      <c r="W505" s="18"/>
      <c r="X505" s="18"/>
      <c r="Y505" s="18"/>
      <c r="Z505" s="18"/>
      <c r="AA505" s="18"/>
      <c r="AB505" s="18"/>
      <c r="AC505" s="8" t="str">
        <f t="shared" si="31"/>
        <v/>
      </c>
      <c r="AD505" s="8"/>
      <c r="AE505" s="8"/>
      <c r="AF505" s="14"/>
      <c r="AG505" s="13"/>
      <c r="AH505" s="14"/>
      <c r="AI505" s="14"/>
      <c r="AJ505" s="8"/>
      <c r="AK505" s="8"/>
      <c r="AL505" s="8"/>
      <c r="AM505" s="8"/>
      <c r="AN505" s="631"/>
      <c r="AO505" s="18"/>
      <c r="AP505" s="18"/>
      <c r="AQ505" s="18"/>
      <c r="AR505" s="18"/>
      <c r="AS505" s="18"/>
      <c r="AU505" s="448"/>
      <c r="AV505" s="448"/>
      <c r="AW505" s="8" t="str">
        <f>IF(C505&gt;0,VLOOKUP(C505,Foundation_Calc!$A$2:$C$986,3,1),
IF(J505&gt;0,VLOOKUP(J505,Foundation_Calc!$A$2:$C$986,3,1),""))</f>
        <v/>
      </c>
      <c r="AX505" s="8" t="str">
        <f>IF(C505&gt;0,VLOOKUP(C505,Foundation_Calc!$E$2:$G$986,3,1),
IF(J505&gt;0,VLOOKUP(J505,Foundation_Calc!$E$2:$G$986,3,1),""))</f>
        <v/>
      </c>
      <c r="AY505" s="631" t="str">
        <f>IF(L505="","",
IF(AX505="PT",VLOOKUP(L505,Foundation_Calc!$K$4:$R$37,VLOOKUP(AW505,Foundation_Calc!$I$2:$J$8,2,FALSE),0),
IF(AX505="K",VLOOKUP(L505,Foundation_Calc!$K$41:$R$74,VLOOKUP(AW505,Foundation_Calc!$I$2:$J$8,2,FALSE),0),"")))</f>
        <v/>
      </c>
      <c r="AZ505" s="631" t="str">
        <f>IF(K505="","",
IF(AX505="PT",VLOOKUP(K505,Foundation_Calc!$K$4:$R$37,VLOOKUP(AW505,Foundation_Calc!$I$2:$J$8,2,FALSE),0),
IF(AX505="K",VLOOKUP(K505,Foundation_Calc!$K$41:$R$74,VLOOKUP(AW505,Foundation_Calc!$I$2:$J$8,2,FALSE),0),"")))</f>
        <v/>
      </c>
      <c r="BA505" s="632" t="str">
        <f t="shared" si="32"/>
        <v/>
      </c>
      <c r="BB505" s="632" t="str">
        <f t="shared" si="33"/>
        <v/>
      </c>
      <c r="BC505" s="632" t="str">
        <f t="shared" si="34"/>
        <v/>
      </c>
      <c r="BD505" s="633" t="str">
        <f>IF(AND(L505="",H505=""),"",
IF(H505="",Pole_Calc!A533,
IF(H505="MP",Pole_Calc!A534,
IF(H505="AnMP",Pole_Calc!A535,
IF(H505="A",Pole_Calc!A536,
IF(H505="S/A",Pole_Calc!A537,
IF(H505="A/S",Pole_Calc!A538,"Poner a mano")))))))</f>
        <v/>
      </c>
      <c r="BE505" s="448" t="s">
        <v>1726</v>
      </c>
      <c r="BF505" s="635"/>
      <c r="BG505" s="635"/>
      <c r="BH505" s="634"/>
      <c r="BI505" s="635"/>
    </row>
    <row r="506" spans="1:61" ht="16.2" customHeight="1">
      <c r="A506" s="12"/>
      <c r="B506" s="446"/>
      <c r="C506" s="89"/>
      <c r="D506" s="13"/>
      <c r="E506" s="14"/>
      <c r="F506" s="14"/>
      <c r="G506" s="15"/>
      <c r="H506" s="8"/>
      <c r="I506" s="8"/>
      <c r="J506" s="89"/>
      <c r="K506" s="8"/>
      <c r="L506" s="8"/>
      <c r="M506" s="8" t="str">
        <f>IF(L506="","",
IF(AX506="PT",VLOOKUP(L506,Foundation_Calc!$V$4:$X$37,VLOOKUP(AX506,Foundation_Calc!$I$10:$J$13,2,FALSE),0),
IF(AX506="K",VLOOKUP(L506,Foundation_Calc!$V$41:$X$74,VLOOKUP(AX506,Foundation_Calc!$I$10:$J$13,2,FALSE),0),"")))</f>
        <v/>
      </c>
      <c r="N506" s="8"/>
      <c r="O506" s="8"/>
      <c r="P506" s="8"/>
      <c r="Q506" s="14"/>
      <c r="R506" s="15"/>
      <c r="S506" s="15"/>
      <c r="T506" s="14"/>
      <c r="U506" s="14"/>
      <c r="V506" s="14"/>
      <c r="W506" s="18"/>
      <c r="X506" s="18"/>
      <c r="Y506" s="18"/>
      <c r="Z506" s="18"/>
      <c r="AA506" s="18"/>
      <c r="AB506" s="18"/>
      <c r="AC506" s="8" t="str">
        <f t="shared" si="31"/>
        <v/>
      </c>
      <c r="AD506" s="8"/>
      <c r="AE506" s="8"/>
      <c r="AF506" s="14"/>
      <c r="AG506" s="13"/>
      <c r="AH506" s="14"/>
      <c r="AI506" s="14"/>
      <c r="AJ506" s="8"/>
      <c r="AK506" s="8"/>
      <c r="AL506" s="8"/>
      <c r="AM506" s="8"/>
      <c r="AN506" s="631"/>
      <c r="AO506" s="18"/>
      <c r="AP506" s="18"/>
      <c r="AQ506" s="18"/>
      <c r="AR506" s="18"/>
      <c r="AS506" s="18"/>
      <c r="AU506" s="448"/>
      <c r="AV506" s="448"/>
      <c r="AW506" s="8" t="str">
        <f>IF(C506&gt;0,VLOOKUP(C506,Foundation_Calc!$A$2:$C$986,3,1),
IF(J506&gt;0,VLOOKUP(J506,Foundation_Calc!$A$2:$C$986,3,1),""))</f>
        <v/>
      </c>
      <c r="AX506" s="8" t="str">
        <f>IF(C506&gt;0,VLOOKUP(C506,Foundation_Calc!$E$2:$G$986,3,1),
IF(J506&gt;0,VLOOKUP(J506,Foundation_Calc!$E$2:$G$986,3,1),""))</f>
        <v/>
      </c>
      <c r="AY506" s="631" t="str">
        <f>IF(L506="","",
IF(AX506="PT",VLOOKUP(L506,Foundation_Calc!$K$4:$R$37,VLOOKUP(AW506,Foundation_Calc!$I$2:$J$8,2,FALSE),0),
IF(AX506="K",VLOOKUP(L506,Foundation_Calc!$K$41:$R$74,VLOOKUP(AW506,Foundation_Calc!$I$2:$J$8,2,FALSE),0),"")))</f>
        <v/>
      </c>
      <c r="AZ506" s="631" t="str">
        <f>IF(K506="","",
IF(AX506="PT",VLOOKUP(K506,Foundation_Calc!$K$4:$R$37,VLOOKUP(AW506,Foundation_Calc!$I$2:$J$8,2,FALSE),0),
IF(AX506="K",VLOOKUP(K506,Foundation_Calc!$K$41:$R$74,VLOOKUP(AW506,Foundation_Calc!$I$2:$J$8,2,FALSE),0),"")))</f>
        <v/>
      </c>
      <c r="BA506" s="632" t="str">
        <f t="shared" si="32"/>
        <v/>
      </c>
      <c r="BB506" s="632" t="str">
        <f t="shared" si="33"/>
        <v/>
      </c>
      <c r="BC506" s="632" t="str">
        <f t="shared" si="34"/>
        <v/>
      </c>
      <c r="BD506" s="633" t="str">
        <f>IF(AND(L506="",H506=""),"",
IF(H506="",Pole_Calc!A534,
IF(H506="MP",Pole_Calc!A535,
IF(H506="AnMP",Pole_Calc!A536,
IF(H506="A",Pole_Calc!A537,
IF(H506="S/A",Pole_Calc!A538,
IF(H506="A/S",Pole_Calc!A539,"Poner a mano")))))))</f>
        <v/>
      </c>
      <c r="BE506" s="448" t="s">
        <v>1726</v>
      </c>
      <c r="BF506" s="634"/>
      <c r="BG506" s="634"/>
      <c r="BH506" s="634"/>
      <c r="BI506" s="634"/>
    </row>
    <row r="507" spans="1:61" ht="16.2" customHeight="1">
      <c r="A507" s="12"/>
      <c r="B507" s="446"/>
      <c r="C507" s="89"/>
      <c r="D507" s="13"/>
      <c r="E507" s="14"/>
      <c r="F507" s="14"/>
      <c r="G507" s="15"/>
      <c r="H507" s="8"/>
      <c r="I507" s="8"/>
      <c r="J507" s="89"/>
      <c r="K507" s="8"/>
      <c r="L507" s="8"/>
      <c r="M507" s="8" t="str">
        <f>IF(L507="","",
IF(AX507="PT",VLOOKUP(L507,Foundation_Calc!$V$4:$X$37,VLOOKUP(AX507,Foundation_Calc!$I$10:$J$13,2,FALSE),0),
IF(AX507="K",VLOOKUP(L507,Foundation_Calc!$V$41:$X$74,VLOOKUP(AX507,Foundation_Calc!$I$10:$J$13,2,FALSE),0),"")))</f>
        <v/>
      </c>
      <c r="N507" s="8"/>
      <c r="O507" s="8"/>
      <c r="P507" s="8"/>
      <c r="Q507" s="14"/>
      <c r="R507" s="15"/>
      <c r="S507" s="15"/>
      <c r="T507" s="14"/>
      <c r="U507" s="14"/>
      <c r="V507" s="14"/>
      <c r="W507" s="18"/>
      <c r="X507" s="18"/>
      <c r="Y507" s="18"/>
      <c r="Z507" s="18"/>
      <c r="AA507" s="18"/>
      <c r="AB507" s="18"/>
      <c r="AC507" s="8" t="str">
        <f t="shared" si="31"/>
        <v/>
      </c>
      <c r="AD507" s="8"/>
      <c r="AE507" s="8"/>
      <c r="AF507" s="14"/>
      <c r="AG507" s="13"/>
      <c r="AH507" s="14"/>
      <c r="AI507" s="14"/>
      <c r="AJ507" s="8"/>
      <c r="AK507" s="8"/>
      <c r="AL507" s="8"/>
      <c r="AM507" s="8"/>
      <c r="AN507" s="631"/>
      <c r="AO507" s="18"/>
      <c r="AP507" s="18"/>
      <c r="AQ507" s="18"/>
      <c r="AR507" s="18"/>
      <c r="AS507" s="18"/>
      <c r="AU507" s="448"/>
      <c r="AV507" s="448"/>
      <c r="AW507" s="8" t="str">
        <f>IF(C507&gt;0,VLOOKUP(C507,Foundation_Calc!$A$2:$C$986,3,1),
IF(J507&gt;0,VLOOKUP(J507,Foundation_Calc!$A$2:$C$986,3,1),""))</f>
        <v/>
      </c>
      <c r="AX507" s="8" t="str">
        <f>IF(C507&gt;0,VLOOKUP(C507,Foundation_Calc!$E$2:$G$986,3,1),
IF(J507&gt;0,VLOOKUP(J507,Foundation_Calc!$E$2:$G$986,3,1),""))</f>
        <v/>
      </c>
      <c r="AY507" s="631" t="str">
        <f>IF(L507="","",
IF(AX507="PT",VLOOKUP(L507,Foundation_Calc!$K$4:$R$37,VLOOKUP(AW507,Foundation_Calc!$I$2:$J$8,2,FALSE),0),
IF(AX507="K",VLOOKUP(L507,Foundation_Calc!$K$41:$R$74,VLOOKUP(AW507,Foundation_Calc!$I$2:$J$8,2,FALSE),0),"")))</f>
        <v/>
      </c>
      <c r="AZ507" s="631" t="str">
        <f>IF(K507="","",
IF(AX507="PT",VLOOKUP(K507,Foundation_Calc!$K$4:$R$37,VLOOKUP(AW507,Foundation_Calc!$I$2:$J$8,2,FALSE),0),
IF(AX507="K",VLOOKUP(K507,Foundation_Calc!$K$41:$R$74,VLOOKUP(AW507,Foundation_Calc!$I$2:$J$8,2,FALSE),0),"")))</f>
        <v/>
      </c>
      <c r="BA507" s="632" t="str">
        <f t="shared" si="32"/>
        <v/>
      </c>
      <c r="BB507" s="632" t="str">
        <f t="shared" si="33"/>
        <v/>
      </c>
      <c r="BC507" s="632" t="str">
        <f t="shared" si="34"/>
        <v/>
      </c>
      <c r="BD507" s="633" t="str">
        <f>IF(AND(L507="",H507=""),"",
IF(H507="",Pole_Calc!A535,
IF(H507="MP",Pole_Calc!A536,
IF(H507="AnMP",Pole_Calc!A537,
IF(H507="A",Pole_Calc!A538,
IF(H507="S/A",Pole_Calc!A539,
IF(H507="A/S",Pole_Calc!A540,"Poner a mano")))))))</f>
        <v/>
      </c>
      <c r="BE507" s="448" t="s">
        <v>1726</v>
      </c>
      <c r="BF507" s="635"/>
      <c r="BG507" s="635"/>
      <c r="BH507" s="634"/>
      <c r="BI507" s="635"/>
    </row>
    <row r="508" spans="1:61" ht="16.2" customHeight="1">
      <c r="A508" s="12"/>
      <c r="B508" s="446"/>
      <c r="C508" s="89"/>
      <c r="D508" s="13"/>
      <c r="E508" s="14"/>
      <c r="F508" s="14"/>
      <c r="G508" s="15"/>
      <c r="H508" s="8"/>
      <c r="I508" s="8"/>
      <c r="J508" s="89"/>
      <c r="K508" s="8"/>
      <c r="L508" s="8"/>
      <c r="M508" s="8" t="str">
        <f>IF(L508="","",
IF(AX508="PT",VLOOKUP(L508,Foundation_Calc!$V$4:$X$37,VLOOKUP(AX508,Foundation_Calc!$I$10:$J$13,2,FALSE),0),
IF(AX508="K",VLOOKUP(L508,Foundation_Calc!$V$41:$X$74,VLOOKUP(AX508,Foundation_Calc!$I$10:$J$13,2,FALSE),0),"")))</f>
        <v/>
      </c>
      <c r="N508" s="8"/>
      <c r="O508" s="8"/>
      <c r="P508" s="8"/>
      <c r="Q508" s="14"/>
      <c r="R508" s="15"/>
      <c r="S508" s="15"/>
      <c r="T508" s="14"/>
      <c r="U508" s="14"/>
      <c r="V508" s="14"/>
      <c r="W508" s="18"/>
      <c r="X508" s="18"/>
      <c r="Y508" s="18"/>
      <c r="Z508" s="18"/>
      <c r="AA508" s="18"/>
      <c r="AB508" s="18"/>
      <c r="AC508" s="8" t="str">
        <f t="shared" si="31"/>
        <v/>
      </c>
      <c r="AD508" s="8"/>
      <c r="AE508" s="8"/>
      <c r="AF508" s="14"/>
      <c r="AG508" s="13"/>
      <c r="AH508" s="14"/>
      <c r="AI508" s="14"/>
      <c r="AJ508" s="8"/>
      <c r="AK508" s="8"/>
      <c r="AL508" s="8"/>
      <c r="AM508" s="8"/>
      <c r="AN508" s="631"/>
      <c r="AO508" s="18"/>
      <c r="AP508" s="18"/>
      <c r="AQ508" s="18"/>
      <c r="AR508" s="18"/>
      <c r="AS508" s="18"/>
      <c r="AU508" s="448"/>
      <c r="AV508" s="448"/>
      <c r="AW508" s="8" t="str">
        <f>IF(C508&gt;0,VLOOKUP(C508,Foundation_Calc!$A$2:$C$986,3,1),
IF(J508&gt;0,VLOOKUP(J508,Foundation_Calc!$A$2:$C$986,3,1),""))</f>
        <v/>
      </c>
      <c r="AX508" s="8" t="str">
        <f>IF(C508&gt;0,VLOOKUP(C508,Foundation_Calc!$E$2:$G$986,3,1),
IF(J508&gt;0,VLOOKUP(J508,Foundation_Calc!$E$2:$G$986,3,1),""))</f>
        <v/>
      </c>
      <c r="AY508" s="631" t="str">
        <f>IF(L508="","",
IF(AX508="PT",VLOOKUP(L508,Foundation_Calc!$K$4:$R$37,VLOOKUP(AW508,Foundation_Calc!$I$2:$J$8,2,FALSE),0),
IF(AX508="K",VLOOKUP(L508,Foundation_Calc!$K$41:$R$74,VLOOKUP(AW508,Foundation_Calc!$I$2:$J$8,2,FALSE),0),"")))</f>
        <v/>
      </c>
      <c r="AZ508" s="631" t="str">
        <f>IF(K508="","",
IF(AX508="PT",VLOOKUP(K508,Foundation_Calc!$K$4:$R$37,VLOOKUP(AW508,Foundation_Calc!$I$2:$J$8,2,FALSE),0),
IF(AX508="K",VLOOKUP(K508,Foundation_Calc!$K$41:$R$74,VLOOKUP(AW508,Foundation_Calc!$I$2:$J$8,2,FALSE),0),"")))</f>
        <v/>
      </c>
      <c r="BA508" s="632" t="str">
        <f t="shared" si="32"/>
        <v/>
      </c>
      <c r="BB508" s="632" t="str">
        <f t="shared" si="33"/>
        <v/>
      </c>
      <c r="BC508" s="632" t="str">
        <f t="shared" si="34"/>
        <v/>
      </c>
      <c r="BD508" s="633" t="str">
        <f>IF(AND(L508="",H508=""),"",
IF(H508="",Pole_Calc!A536,
IF(H508="MP",Pole_Calc!A537,
IF(H508="AnMP",Pole_Calc!A538,
IF(H508="A",Pole_Calc!A539,
IF(H508="S/A",Pole_Calc!A540,
IF(H508="A/S",Pole_Calc!A541,"Poner a mano")))))))</f>
        <v/>
      </c>
      <c r="BE508" s="448" t="s">
        <v>1726</v>
      </c>
      <c r="BF508" s="634"/>
      <c r="BG508" s="634"/>
      <c r="BH508" s="634"/>
      <c r="BI508" s="634"/>
    </row>
    <row r="509" spans="1:61" ht="16.2" customHeight="1">
      <c r="A509" s="12"/>
      <c r="B509" s="446"/>
      <c r="C509" s="89"/>
      <c r="D509" s="13"/>
      <c r="E509" s="14"/>
      <c r="F509" s="14"/>
      <c r="G509" s="15"/>
      <c r="H509" s="8"/>
      <c r="I509" s="8"/>
      <c r="J509" s="89"/>
      <c r="K509" s="8"/>
      <c r="L509" s="8"/>
      <c r="M509" s="8" t="str">
        <f>IF(L509="","",
IF(AX509="PT",VLOOKUP(L509,Foundation_Calc!$V$4:$X$37,VLOOKUP(AX509,Foundation_Calc!$I$10:$J$13,2,FALSE),0),
IF(AX509="K",VLOOKUP(L509,Foundation_Calc!$V$41:$X$74,VLOOKUP(AX509,Foundation_Calc!$I$10:$J$13,2,FALSE),0),"")))</f>
        <v/>
      </c>
      <c r="N509" s="8"/>
      <c r="O509" s="8"/>
      <c r="P509" s="8"/>
      <c r="Q509" s="14"/>
      <c r="R509" s="15"/>
      <c r="S509" s="15"/>
      <c r="T509" s="14"/>
      <c r="U509" s="14"/>
      <c r="V509" s="14"/>
      <c r="W509" s="18"/>
      <c r="X509" s="18"/>
      <c r="Y509" s="18"/>
      <c r="Z509" s="18"/>
      <c r="AA509" s="18"/>
      <c r="AB509" s="18"/>
      <c r="AC509" s="8" t="str">
        <f t="shared" si="31"/>
        <v/>
      </c>
      <c r="AD509" s="8"/>
      <c r="AE509" s="8"/>
      <c r="AF509" s="14"/>
      <c r="AG509" s="13"/>
      <c r="AH509" s="14"/>
      <c r="AI509" s="14"/>
      <c r="AJ509" s="8"/>
      <c r="AK509" s="8"/>
      <c r="AL509" s="8"/>
      <c r="AM509" s="8"/>
      <c r="AN509" s="631"/>
      <c r="AO509" s="18"/>
      <c r="AP509" s="18"/>
      <c r="AQ509" s="18"/>
      <c r="AR509" s="18"/>
      <c r="AS509" s="18"/>
      <c r="AU509" s="448"/>
      <c r="AV509" s="448"/>
      <c r="AW509" s="8" t="str">
        <f>IF(C509&gt;0,VLOOKUP(C509,Foundation_Calc!$A$2:$C$986,3,1),
IF(J509&gt;0,VLOOKUP(J509,Foundation_Calc!$A$2:$C$986,3,1),""))</f>
        <v/>
      </c>
      <c r="AX509" s="8" t="str">
        <f>IF(C509&gt;0,VLOOKUP(C509,Foundation_Calc!$E$2:$G$986,3,1),
IF(J509&gt;0,VLOOKUP(J509,Foundation_Calc!$E$2:$G$986,3,1),""))</f>
        <v/>
      </c>
      <c r="AY509" s="631" t="str">
        <f>IF(L509="","",
IF(AX509="PT",VLOOKUP(L509,Foundation_Calc!$K$4:$R$37,VLOOKUP(AW509,Foundation_Calc!$I$2:$J$8,2,FALSE),0),
IF(AX509="K",VLOOKUP(L509,Foundation_Calc!$K$41:$R$74,VLOOKUP(AW509,Foundation_Calc!$I$2:$J$8,2,FALSE),0),"")))</f>
        <v/>
      </c>
      <c r="AZ509" s="631" t="str">
        <f>IF(K509="","",
IF(AX509="PT",VLOOKUP(K509,Foundation_Calc!$K$4:$R$37,VLOOKUP(AW509,Foundation_Calc!$I$2:$J$8,2,FALSE),0),
IF(AX509="K",VLOOKUP(K509,Foundation_Calc!$K$41:$R$74,VLOOKUP(AW509,Foundation_Calc!$I$2:$J$8,2,FALSE),0),"")))</f>
        <v/>
      </c>
      <c r="BA509" s="632" t="str">
        <f t="shared" si="32"/>
        <v/>
      </c>
      <c r="BB509" s="632" t="str">
        <f t="shared" si="33"/>
        <v/>
      </c>
      <c r="BC509" s="632" t="str">
        <f t="shared" si="34"/>
        <v/>
      </c>
      <c r="BD509" s="633" t="str">
        <f>IF(AND(L509="",H509=""),"",
IF(H509="",Pole_Calc!A537,
IF(H509="MP",Pole_Calc!A538,
IF(H509="AnMP",Pole_Calc!A539,
IF(H509="A",Pole_Calc!A540,
IF(H509="S/A",Pole_Calc!A541,
IF(H509="A/S",Pole_Calc!A542,"Poner a mano")))))))</f>
        <v/>
      </c>
      <c r="BE509" s="448" t="s">
        <v>1726</v>
      </c>
      <c r="BF509" s="635"/>
      <c r="BG509" s="635"/>
      <c r="BH509" s="634"/>
      <c r="BI509" s="635"/>
    </row>
    <row r="510" spans="1:61" ht="16.2" customHeight="1">
      <c r="A510" s="12"/>
      <c r="B510" s="446"/>
      <c r="C510" s="89"/>
      <c r="D510" s="13"/>
      <c r="E510" s="14"/>
      <c r="F510" s="14"/>
      <c r="G510" s="15"/>
      <c r="H510" s="8"/>
      <c r="I510" s="8"/>
      <c r="J510" s="89"/>
      <c r="K510" s="8"/>
      <c r="L510" s="8"/>
      <c r="M510" s="8" t="str">
        <f>IF(L510="","",
IF(AX510="PT",VLOOKUP(L510,Foundation_Calc!$V$4:$X$37,VLOOKUP(AX510,Foundation_Calc!$I$10:$J$13,2,FALSE),0),
IF(AX510="K",VLOOKUP(L510,Foundation_Calc!$V$41:$X$74,VLOOKUP(AX510,Foundation_Calc!$I$10:$J$13,2,FALSE),0),"")))</f>
        <v/>
      </c>
      <c r="N510" s="8"/>
      <c r="O510" s="8"/>
      <c r="P510" s="8"/>
      <c r="Q510" s="14"/>
      <c r="R510" s="15"/>
      <c r="S510" s="15"/>
      <c r="T510" s="14"/>
      <c r="U510" s="14"/>
      <c r="V510" s="14"/>
      <c r="W510" s="18"/>
      <c r="X510" s="18"/>
      <c r="Y510" s="18"/>
      <c r="Z510" s="18"/>
      <c r="AA510" s="18"/>
      <c r="AB510" s="18"/>
      <c r="AC510" s="8" t="str">
        <f t="shared" si="31"/>
        <v/>
      </c>
      <c r="AD510" s="8"/>
      <c r="AE510" s="8"/>
      <c r="AF510" s="14"/>
      <c r="AG510" s="13"/>
      <c r="AH510" s="14"/>
      <c r="AI510" s="14"/>
      <c r="AJ510" s="8"/>
      <c r="AK510" s="8"/>
      <c r="AL510" s="8"/>
      <c r="AM510" s="8"/>
      <c r="AN510" s="631"/>
      <c r="AO510" s="18"/>
      <c r="AP510" s="18"/>
      <c r="AQ510" s="18"/>
      <c r="AR510" s="18"/>
      <c r="AS510" s="18"/>
      <c r="AU510" s="448"/>
      <c r="AV510" s="448"/>
      <c r="AW510" s="8" t="str">
        <f>IF(C510&gt;0,VLOOKUP(C510,Foundation_Calc!$A$2:$C$986,3,1),
IF(J510&gt;0,VLOOKUP(J510,Foundation_Calc!$A$2:$C$986,3,1),""))</f>
        <v/>
      </c>
      <c r="AX510" s="8" t="str">
        <f>IF(C510&gt;0,VLOOKUP(C510,Foundation_Calc!$E$2:$G$986,3,1),
IF(J510&gt;0,VLOOKUP(J510,Foundation_Calc!$E$2:$G$986,3,1),""))</f>
        <v/>
      </c>
      <c r="AY510" s="631" t="str">
        <f>IF(L510="","",
IF(AX510="PT",VLOOKUP(L510,Foundation_Calc!$K$4:$R$37,VLOOKUP(AW510,Foundation_Calc!$I$2:$J$8,2,FALSE),0),
IF(AX510="K",VLOOKUP(L510,Foundation_Calc!$K$41:$R$74,VLOOKUP(AW510,Foundation_Calc!$I$2:$J$8,2,FALSE),0),"")))</f>
        <v/>
      </c>
      <c r="AZ510" s="631" t="str">
        <f>IF(K510="","",
IF(AX510="PT",VLOOKUP(K510,Foundation_Calc!$K$4:$R$37,VLOOKUP(AW510,Foundation_Calc!$I$2:$J$8,2,FALSE),0),
IF(AX510="K",VLOOKUP(K510,Foundation_Calc!$K$41:$R$74,VLOOKUP(AW510,Foundation_Calc!$I$2:$J$8,2,FALSE),0),"")))</f>
        <v/>
      </c>
      <c r="BA510" s="632" t="str">
        <f t="shared" si="32"/>
        <v/>
      </c>
      <c r="BB510" s="632" t="str">
        <f t="shared" si="33"/>
        <v/>
      </c>
      <c r="BC510" s="632" t="str">
        <f t="shared" si="34"/>
        <v/>
      </c>
      <c r="BD510" s="633" t="str">
        <f>IF(AND(L510="",H510=""),"",
IF(H510="",Pole_Calc!A538,
IF(H510="MP",Pole_Calc!A539,
IF(H510="AnMP",Pole_Calc!A540,
IF(H510="A",Pole_Calc!A541,
IF(H510="S/A",Pole_Calc!A542,
IF(H510="A/S",Pole_Calc!A543,"Poner a mano")))))))</f>
        <v/>
      </c>
      <c r="BE510" s="448" t="s">
        <v>1726</v>
      </c>
      <c r="BF510" s="634"/>
      <c r="BG510" s="634"/>
      <c r="BH510" s="634"/>
      <c r="BI510" s="634"/>
    </row>
    <row r="511" spans="1:61" ht="16.2" customHeight="1">
      <c r="A511" s="12"/>
      <c r="B511" s="446"/>
      <c r="C511" s="89"/>
      <c r="D511" s="13"/>
      <c r="E511" s="14"/>
      <c r="F511" s="14"/>
      <c r="G511" s="15"/>
      <c r="H511" s="8"/>
      <c r="I511" s="8"/>
      <c r="J511" s="89"/>
      <c r="K511" s="8"/>
      <c r="L511" s="8"/>
      <c r="M511" s="8" t="str">
        <f>IF(L511="","",
IF(AX511="PT",VLOOKUP(L511,Foundation_Calc!$V$4:$X$37,VLOOKUP(AX511,Foundation_Calc!$I$10:$J$13,2,FALSE),0),
IF(AX511="K",VLOOKUP(L511,Foundation_Calc!$V$41:$X$74,VLOOKUP(AX511,Foundation_Calc!$I$10:$J$13,2,FALSE),0),"")))</f>
        <v/>
      </c>
      <c r="N511" s="8"/>
      <c r="O511" s="8"/>
      <c r="P511" s="8"/>
      <c r="Q511" s="14"/>
      <c r="R511" s="15"/>
      <c r="S511" s="15"/>
      <c r="T511" s="14"/>
      <c r="U511" s="14"/>
      <c r="V511" s="14"/>
      <c r="W511" s="18"/>
      <c r="X511" s="18"/>
      <c r="Y511" s="18"/>
      <c r="Z511" s="18"/>
      <c r="AA511" s="18"/>
      <c r="AB511" s="18"/>
      <c r="AC511" s="8" t="str">
        <f t="shared" si="31"/>
        <v/>
      </c>
      <c r="AD511" s="8"/>
      <c r="AE511" s="8"/>
      <c r="AF511" s="14"/>
      <c r="AG511" s="13"/>
      <c r="AH511" s="14"/>
      <c r="AI511" s="14"/>
      <c r="AJ511" s="8"/>
      <c r="AK511" s="8"/>
      <c r="AL511" s="8"/>
      <c r="AM511" s="8"/>
      <c r="AN511" s="631"/>
      <c r="AO511" s="18"/>
      <c r="AP511" s="18"/>
      <c r="AQ511" s="18"/>
      <c r="AR511" s="18"/>
      <c r="AS511" s="18"/>
      <c r="AU511" s="448"/>
      <c r="AV511" s="448"/>
      <c r="AW511" s="8" t="str">
        <f>IF(C511&gt;0,VLOOKUP(C511,Foundation_Calc!$A$2:$C$986,3,1),
IF(J511&gt;0,VLOOKUP(J511,Foundation_Calc!$A$2:$C$986,3,1),""))</f>
        <v/>
      </c>
      <c r="AX511" s="8" t="str">
        <f>IF(C511&gt;0,VLOOKUP(C511,Foundation_Calc!$E$2:$G$986,3,1),
IF(J511&gt;0,VLOOKUP(J511,Foundation_Calc!$E$2:$G$986,3,1),""))</f>
        <v/>
      </c>
      <c r="AY511" s="631" t="str">
        <f>IF(L511="","",
IF(AX511="PT",VLOOKUP(L511,Foundation_Calc!$K$4:$R$37,VLOOKUP(AW511,Foundation_Calc!$I$2:$J$8,2,FALSE),0),
IF(AX511="K",VLOOKUP(L511,Foundation_Calc!$K$41:$R$74,VLOOKUP(AW511,Foundation_Calc!$I$2:$J$8,2,FALSE),0),"")))</f>
        <v/>
      </c>
      <c r="AZ511" s="631" t="str">
        <f>IF(K511="","",
IF(AX511="PT",VLOOKUP(K511,Foundation_Calc!$K$4:$R$37,VLOOKUP(AW511,Foundation_Calc!$I$2:$J$8,2,FALSE),0),
IF(AX511="K",VLOOKUP(K511,Foundation_Calc!$K$41:$R$74,VLOOKUP(AW511,Foundation_Calc!$I$2:$J$8,2,FALSE),0),"")))</f>
        <v/>
      </c>
      <c r="BA511" s="632" t="str">
        <f t="shared" si="32"/>
        <v/>
      </c>
      <c r="BB511" s="632" t="str">
        <f t="shared" si="33"/>
        <v/>
      </c>
      <c r="BC511" s="632" t="str">
        <f t="shared" si="34"/>
        <v/>
      </c>
      <c r="BD511" s="633" t="str">
        <f>IF(AND(L511="",H511=""),"",
IF(H511="",Pole_Calc!A539,
IF(H511="MP",Pole_Calc!A540,
IF(H511="AnMP",Pole_Calc!A541,
IF(H511="A",Pole_Calc!A542,
IF(H511="S/A",Pole_Calc!A543,
IF(H511="A/S",Pole_Calc!A544,"Poner a mano")))))))</f>
        <v/>
      </c>
      <c r="BE511" s="448" t="s">
        <v>1726</v>
      </c>
      <c r="BF511" s="635"/>
      <c r="BG511" s="635"/>
      <c r="BH511" s="634"/>
      <c r="BI511" s="635"/>
    </row>
    <row r="512" spans="1:61" ht="16.2" customHeight="1">
      <c r="A512" s="12"/>
      <c r="B512" s="446"/>
      <c r="C512" s="89"/>
      <c r="D512" s="13"/>
      <c r="E512" s="14"/>
      <c r="F512" s="14"/>
      <c r="G512" s="15"/>
      <c r="H512" s="8"/>
      <c r="I512" s="8"/>
      <c r="J512" s="89"/>
      <c r="K512" s="8"/>
      <c r="L512" s="8"/>
      <c r="M512" s="8" t="str">
        <f>IF(L512="","",
IF(AX512="PT",VLOOKUP(L512,Foundation_Calc!$V$4:$X$37,VLOOKUP(AX512,Foundation_Calc!$I$10:$J$13,2,FALSE),0),
IF(AX512="K",VLOOKUP(L512,Foundation_Calc!$V$41:$X$74,VLOOKUP(AX512,Foundation_Calc!$I$10:$J$13,2,FALSE),0),"")))</f>
        <v/>
      </c>
      <c r="N512" s="8"/>
      <c r="O512" s="8"/>
      <c r="P512" s="8"/>
      <c r="Q512" s="14"/>
      <c r="R512" s="15"/>
      <c r="S512" s="15"/>
      <c r="T512" s="14"/>
      <c r="U512" s="14"/>
      <c r="V512" s="14"/>
      <c r="W512" s="18"/>
      <c r="X512" s="18"/>
      <c r="Y512" s="18"/>
      <c r="Z512" s="18"/>
      <c r="AA512" s="18"/>
      <c r="AB512" s="18"/>
      <c r="AC512" s="8" t="str">
        <f t="shared" si="31"/>
        <v/>
      </c>
      <c r="AD512" s="8"/>
      <c r="AE512" s="8"/>
      <c r="AF512" s="14"/>
      <c r="AG512" s="13"/>
      <c r="AH512" s="14"/>
      <c r="AI512" s="14"/>
      <c r="AJ512" s="8"/>
      <c r="AK512" s="8"/>
      <c r="AL512" s="8"/>
      <c r="AM512" s="8"/>
      <c r="AN512" s="631"/>
      <c r="AO512" s="18"/>
      <c r="AP512" s="18"/>
      <c r="AQ512" s="18"/>
      <c r="AR512" s="18"/>
      <c r="AS512" s="18"/>
      <c r="AU512" s="448"/>
      <c r="AV512" s="448"/>
      <c r="AW512" s="8" t="str">
        <f>IF(C512&gt;0,VLOOKUP(C512,Foundation_Calc!$A$2:$C$986,3,1),
IF(J512&gt;0,VLOOKUP(J512,Foundation_Calc!$A$2:$C$986,3,1),""))</f>
        <v/>
      </c>
      <c r="AX512" s="8" t="str">
        <f>IF(C512&gt;0,VLOOKUP(C512,Foundation_Calc!$E$2:$G$986,3,1),
IF(J512&gt;0,VLOOKUP(J512,Foundation_Calc!$E$2:$G$986,3,1),""))</f>
        <v/>
      </c>
      <c r="AY512" s="631" t="str">
        <f>IF(L512="","",
IF(AX512="PT",VLOOKUP(L512,Foundation_Calc!$K$4:$R$37,VLOOKUP(AW512,Foundation_Calc!$I$2:$J$8,2,FALSE),0),
IF(AX512="K",VLOOKUP(L512,Foundation_Calc!$K$41:$R$74,VLOOKUP(AW512,Foundation_Calc!$I$2:$J$8,2,FALSE),0),"")))</f>
        <v/>
      </c>
      <c r="AZ512" s="631" t="str">
        <f>IF(K512="","",
IF(AX512="PT",VLOOKUP(K512,Foundation_Calc!$K$4:$R$37,VLOOKUP(AW512,Foundation_Calc!$I$2:$J$8,2,FALSE),0),
IF(AX512="K",VLOOKUP(K512,Foundation_Calc!$K$41:$R$74,VLOOKUP(AW512,Foundation_Calc!$I$2:$J$8,2,FALSE),0),"")))</f>
        <v/>
      </c>
      <c r="BA512" s="632" t="str">
        <f t="shared" si="32"/>
        <v/>
      </c>
      <c r="BB512" s="632" t="str">
        <f t="shared" si="33"/>
        <v/>
      </c>
      <c r="BC512" s="632" t="str">
        <f t="shared" si="34"/>
        <v/>
      </c>
      <c r="BD512" s="633" t="str">
        <f>IF(AND(L512="",H512=""),"",
IF(H512="",Pole_Calc!A540,
IF(H512="MP",Pole_Calc!A541,
IF(H512="AnMP",Pole_Calc!A542,
IF(H512="A",Pole_Calc!A543,
IF(H512="S/A",Pole_Calc!A544,
IF(H512="A/S",Pole_Calc!A545,"Poner a mano")))))))</f>
        <v/>
      </c>
      <c r="BE512" s="448" t="s">
        <v>1726</v>
      </c>
      <c r="BF512" s="634"/>
      <c r="BG512" s="634"/>
      <c r="BH512" s="634"/>
      <c r="BI512" s="634"/>
    </row>
    <row r="513" spans="1:61" ht="16.2" customHeight="1">
      <c r="A513" s="12"/>
      <c r="B513" s="446"/>
      <c r="C513" s="89"/>
      <c r="D513" s="13"/>
      <c r="E513" s="14"/>
      <c r="F513" s="14"/>
      <c r="G513" s="15"/>
      <c r="H513" s="8"/>
      <c r="I513" s="8"/>
      <c r="J513" s="89"/>
      <c r="K513" s="8"/>
      <c r="L513" s="8"/>
      <c r="M513" s="8" t="str">
        <f>IF(L513="","",
IF(AX513="PT",VLOOKUP(L513,Foundation_Calc!$V$4:$X$37,VLOOKUP(AX513,Foundation_Calc!$I$10:$J$13,2,FALSE),0),
IF(AX513="K",VLOOKUP(L513,Foundation_Calc!$V$41:$X$74,VLOOKUP(AX513,Foundation_Calc!$I$10:$J$13,2,FALSE),0),"")))</f>
        <v/>
      </c>
      <c r="N513" s="8"/>
      <c r="O513" s="8"/>
      <c r="P513" s="8"/>
      <c r="Q513" s="14"/>
      <c r="R513" s="15"/>
      <c r="S513" s="15"/>
      <c r="T513" s="14"/>
      <c r="U513" s="14"/>
      <c r="V513" s="14"/>
      <c r="W513" s="18"/>
      <c r="X513" s="18"/>
      <c r="Y513" s="18"/>
      <c r="Z513" s="18"/>
      <c r="AA513" s="18"/>
      <c r="AB513" s="18"/>
      <c r="AC513" s="8" t="str">
        <f t="shared" si="31"/>
        <v/>
      </c>
      <c r="AD513" s="8"/>
      <c r="AE513" s="8"/>
      <c r="AF513" s="14"/>
      <c r="AG513" s="13"/>
      <c r="AH513" s="14"/>
      <c r="AI513" s="14"/>
      <c r="AJ513" s="8"/>
      <c r="AK513" s="8"/>
      <c r="AL513" s="8"/>
      <c r="AM513" s="8"/>
      <c r="AN513" s="631"/>
      <c r="AO513" s="18"/>
      <c r="AP513" s="18"/>
      <c r="AQ513" s="18"/>
      <c r="AR513" s="18"/>
      <c r="AS513" s="18"/>
      <c r="AU513" s="448"/>
      <c r="AV513" s="448"/>
      <c r="AW513" s="8" t="str">
        <f>IF(C513&gt;0,VLOOKUP(C513,Foundation_Calc!$A$2:$C$986,3,1),
IF(J513&gt;0,VLOOKUP(J513,Foundation_Calc!$A$2:$C$986,3,1),""))</f>
        <v/>
      </c>
      <c r="AX513" s="8" t="str">
        <f>IF(C513&gt;0,VLOOKUP(C513,Foundation_Calc!$E$2:$G$986,3,1),
IF(J513&gt;0,VLOOKUP(J513,Foundation_Calc!$E$2:$G$986,3,1),""))</f>
        <v/>
      </c>
      <c r="AY513" s="631" t="str">
        <f>IF(L513="","",
IF(AX513="PT",VLOOKUP(L513,Foundation_Calc!$K$4:$R$37,VLOOKUP(AW513,Foundation_Calc!$I$2:$J$8,2,FALSE),0),
IF(AX513="K",VLOOKUP(L513,Foundation_Calc!$K$41:$R$74,VLOOKUP(AW513,Foundation_Calc!$I$2:$J$8,2,FALSE),0),"")))</f>
        <v/>
      </c>
      <c r="AZ513" s="631" t="str">
        <f>IF(K513="","",
IF(AX513="PT",VLOOKUP(K513,Foundation_Calc!$K$4:$R$37,VLOOKUP(AW513,Foundation_Calc!$I$2:$J$8,2,FALSE),0),
IF(AX513="K",VLOOKUP(K513,Foundation_Calc!$K$41:$R$74,VLOOKUP(AW513,Foundation_Calc!$I$2:$J$8,2,FALSE),0),"")))</f>
        <v/>
      </c>
      <c r="BA513" s="632" t="str">
        <f t="shared" si="32"/>
        <v/>
      </c>
      <c r="BB513" s="632" t="str">
        <f t="shared" si="33"/>
        <v/>
      </c>
      <c r="BC513" s="632" t="str">
        <f t="shared" si="34"/>
        <v/>
      </c>
      <c r="BD513" s="633" t="str">
        <f>IF(AND(L513="",H513=""),"",
IF(H513="",Pole_Calc!A541,
IF(H513="MP",Pole_Calc!A542,
IF(H513="AnMP",Pole_Calc!A543,
IF(H513="A",Pole_Calc!A544,
IF(H513="S/A",Pole_Calc!A545,
IF(H513="A/S",Pole_Calc!A546,"Poner a mano")))))))</f>
        <v/>
      </c>
      <c r="BE513" s="448" t="s">
        <v>1726</v>
      </c>
      <c r="BF513" s="635"/>
      <c r="BG513" s="635"/>
      <c r="BH513" s="634"/>
      <c r="BI513" s="635"/>
    </row>
    <row r="514" spans="1:61" ht="16.2" customHeight="1">
      <c r="A514" s="12"/>
      <c r="B514" s="446"/>
      <c r="C514" s="89"/>
      <c r="D514" s="13"/>
      <c r="E514" s="14"/>
      <c r="F514" s="14"/>
      <c r="G514" s="15"/>
      <c r="H514" s="8"/>
      <c r="I514" s="8"/>
      <c r="J514" s="89"/>
      <c r="K514" s="8"/>
      <c r="L514" s="8"/>
      <c r="M514" s="8" t="str">
        <f>IF(L514="","",
IF(AX514="PT",VLOOKUP(L514,Foundation_Calc!$V$4:$X$37,VLOOKUP(AX514,Foundation_Calc!$I$10:$J$13,2,FALSE),0),
IF(AX514="K",VLOOKUP(L514,Foundation_Calc!$V$41:$X$74,VLOOKUP(AX514,Foundation_Calc!$I$10:$J$13,2,FALSE),0),"")))</f>
        <v/>
      </c>
      <c r="N514" s="8"/>
      <c r="O514" s="8"/>
      <c r="P514" s="8"/>
      <c r="Q514" s="14"/>
      <c r="R514" s="15"/>
      <c r="S514" s="15"/>
      <c r="T514" s="14"/>
      <c r="U514" s="14"/>
      <c r="V514" s="14"/>
      <c r="W514" s="18"/>
      <c r="X514" s="18"/>
      <c r="Y514" s="18"/>
      <c r="Z514" s="18"/>
      <c r="AA514" s="18"/>
      <c r="AB514" s="18"/>
      <c r="AC514" s="8" t="str">
        <f t="shared" si="31"/>
        <v/>
      </c>
      <c r="AD514" s="8"/>
      <c r="AE514" s="8"/>
      <c r="AF514" s="14"/>
      <c r="AG514" s="13"/>
      <c r="AH514" s="14"/>
      <c r="AI514" s="14"/>
      <c r="AJ514" s="8"/>
      <c r="AK514" s="8"/>
      <c r="AL514" s="8"/>
      <c r="AM514" s="8"/>
      <c r="AN514" s="631"/>
      <c r="AO514" s="18"/>
      <c r="AP514" s="18"/>
      <c r="AQ514" s="18"/>
      <c r="AR514" s="18"/>
      <c r="AS514" s="18"/>
      <c r="AU514" s="448"/>
      <c r="AV514" s="448"/>
      <c r="AW514" s="8" t="str">
        <f>IF(C514&gt;0,VLOOKUP(C514,Foundation_Calc!$A$2:$C$986,3,1),
IF(J514&gt;0,VLOOKUP(J514,Foundation_Calc!$A$2:$C$986,3,1),""))</f>
        <v/>
      </c>
      <c r="AX514" s="8" t="str">
        <f>IF(C514&gt;0,VLOOKUP(C514,Foundation_Calc!$E$2:$G$986,3,1),
IF(J514&gt;0,VLOOKUP(J514,Foundation_Calc!$E$2:$G$986,3,1),""))</f>
        <v/>
      </c>
      <c r="AY514" s="631" t="str">
        <f>IF(L514="","",
IF(AX514="PT",VLOOKUP(L514,Foundation_Calc!$K$4:$R$37,VLOOKUP(AW514,Foundation_Calc!$I$2:$J$8,2,FALSE),0),
IF(AX514="K",VLOOKUP(L514,Foundation_Calc!$K$41:$R$74,VLOOKUP(AW514,Foundation_Calc!$I$2:$J$8,2,FALSE),0),"")))</f>
        <v/>
      </c>
      <c r="AZ514" s="631" t="str">
        <f>IF(K514="","",
IF(AX514="PT",VLOOKUP(K514,Foundation_Calc!$K$4:$R$37,VLOOKUP(AW514,Foundation_Calc!$I$2:$J$8,2,FALSE),0),
IF(AX514="K",VLOOKUP(K514,Foundation_Calc!$K$41:$R$74,VLOOKUP(AW514,Foundation_Calc!$I$2:$J$8,2,FALSE),0),"")))</f>
        <v/>
      </c>
      <c r="BA514" s="632" t="str">
        <f t="shared" si="32"/>
        <v/>
      </c>
      <c r="BB514" s="632" t="str">
        <f t="shared" si="33"/>
        <v/>
      </c>
      <c r="BC514" s="632" t="str">
        <f t="shared" si="34"/>
        <v/>
      </c>
      <c r="BD514" s="633" t="str">
        <f>IF(AND(L514="",H514=""),"",
IF(H514="",Pole_Calc!A542,
IF(H514="MP",Pole_Calc!A543,
IF(H514="AnMP",Pole_Calc!A544,
IF(H514="A",Pole_Calc!A545,
IF(H514="S/A",Pole_Calc!A546,
IF(H514="A/S",Pole_Calc!A547,"Poner a mano")))))))</f>
        <v/>
      </c>
      <c r="BE514" s="448" t="s">
        <v>1726</v>
      </c>
      <c r="BF514" s="634"/>
      <c r="BG514" s="634"/>
      <c r="BH514" s="634"/>
      <c r="BI514" s="634"/>
    </row>
    <row r="515" spans="1:61" ht="16.2" customHeight="1">
      <c r="A515" s="12"/>
      <c r="B515" s="446"/>
      <c r="C515" s="89"/>
      <c r="D515" s="13"/>
      <c r="E515" s="14"/>
      <c r="F515" s="14"/>
      <c r="G515" s="15"/>
      <c r="H515" s="8"/>
      <c r="I515" s="8"/>
      <c r="J515" s="89"/>
      <c r="K515" s="8"/>
      <c r="L515" s="8"/>
      <c r="M515" s="8" t="str">
        <f>IF(L515="","",
IF(AX515="PT",VLOOKUP(L515,Foundation_Calc!$V$4:$X$37,VLOOKUP(AX515,Foundation_Calc!$I$10:$J$13,2,FALSE),0),
IF(AX515="K",VLOOKUP(L515,Foundation_Calc!$V$41:$X$74,VLOOKUP(AX515,Foundation_Calc!$I$10:$J$13,2,FALSE),0),"")))</f>
        <v/>
      </c>
      <c r="N515" s="8"/>
      <c r="O515" s="8"/>
      <c r="P515" s="8"/>
      <c r="Q515" s="14"/>
      <c r="R515" s="15"/>
      <c r="S515" s="15"/>
      <c r="T515" s="14"/>
      <c r="U515" s="14"/>
      <c r="V515" s="14"/>
      <c r="W515" s="18"/>
      <c r="X515" s="18"/>
      <c r="Y515" s="18"/>
      <c r="Z515" s="18"/>
      <c r="AA515" s="18"/>
      <c r="AB515" s="18"/>
      <c r="AC515" s="8" t="str">
        <f t="shared" si="31"/>
        <v/>
      </c>
      <c r="AD515" s="8"/>
      <c r="AE515" s="8"/>
      <c r="AF515" s="14"/>
      <c r="AG515" s="13"/>
      <c r="AH515" s="14"/>
      <c r="AI515" s="14"/>
      <c r="AJ515" s="8"/>
      <c r="AK515" s="8"/>
      <c r="AL515" s="8"/>
      <c r="AM515" s="8"/>
      <c r="AN515" s="631"/>
      <c r="AO515" s="18"/>
      <c r="AP515" s="18"/>
      <c r="AQ515" s="18"/>
      <c r="AR515" s="18"/>
      <c r="AS515" s="18"/>
      <c r="AU515" s="448"/>
      <c r="AV515" s="448"/>
      <c r="AW515" s="8" t="str">
        <f>IF(C515&gt;0,VLOOKUP(C515,Foundation_Calc!$A$2:$C$986,3,1),
IF(J515&gt;0,VLOOKUP(J515,Foundation_Calc!$A$2:$C$986,3,1),""))</f>
        <v/>
      </c>
      <c r="AX515" s="8" t="str">
        <f>IF(C515&gt;0,VLOOKUP(C515,Foundation_Calc!$E$2:$G$986,3,1),
IF(J515&gt;0,VLOOKUP(J515,Foundation_Calc!$E$2:$G$986,3,1),""))</f>
        <v/>
      </c>
      <c r="AY515" s="631" t="str">
        <f>IF(L515="","",
IF(AX515="PT",VLOOKUP(L515,Foundation_Calc!$K$4:$R$37,VLOOKUP(AW515,Foundation_Calc!$I$2:$J$8,2,FALSE),0),
IF(AX515="K",VLOOKUP(L515,Foundation_Calc!$K$41:$R$74,VLOOKUP(AW515,Foundation_Calc!$I$2:$J$8,2,FALSE),0),"")))</f>
        <v/>
      </c>
      <c r="AZ515" s="631" t="str">
        <f>IF(K515="","",
IF(AX515="PT",VLOOKUP(K515,Foundation_Calc!$K$4:$R$37,VLOOKUP(AW515,Foundation_Calc!$I$2:$J$8,2,FALSE),0),
IF(AX515="K",VLOOKUP(K515,Foundation_Calc!$K$41:$R$74,VLOOKUP(AW515,Foundation_Calc!$I$2:$J$8,2,FALSE),0),"")))</f>
        <v/>
      </c>
      <c r="BA515" s="632" t="str">
        <f t="shared" si="32"/>
        <v/>
      </c>
      <c r="BB515" s="632" t="str">
        <f t="shared" si="33"/>
        <v/>
      </c>
      <c r="BC515" s="632" t="str">
        <f t="shared" si="34"/>
        <v/>
      </c>
      <c r="BD515" s="633" t="str">
        <f>IF(AND(L515="",H515=""),"",
IF(H515="",Pole_Calc!A543,
IF(H515="MP",Pole_Calc!A544,
IF(H515="AnMP",Pole_Calc!A545,
IF(H515="A",Pole_Calc!A546,
IF(H515="S/A",Pole_Calc!A547,
IF(H515="A/S",Pole_Calc!A548,"Poner a mano")))))))</f>
        <v/>
      </c>
      <c r="BE515" s="448" t="s">
        <v>1726</v>
      </c>
      <c r="BF515" s="635"/>
      <c r="BG515" s="635"/>
      <c r="BH515" s="634"/>
      <c r="BI515" s="635"/>
    </row>
    <row r="516" spans="1:61" ht="16.2" customHeight="1">
      <c r="A516" s="12"/>
      <c r="B516" s="446"/>
      <c r="C516" s="89"/>
      <c r="D516" s="13"/>
      <c r="E516" s="14"/>
      <c r="F516" s="14"/>
      <c r="G516" s="15"/>
      <c r="H516" s="8"/>
      <c r="I516" s="8"/>
      <c r="J516" s="89"/>
      <c r="K516" s="8"/>
      <c r="L516" s="8"/>
      <c r="M516" s="8" t="str">
        <f>IF(L516="","",
IF(AX516="PT",VLOOKUP(L516,Foundation_Calc!$V$4:$X$37,VLOOKUP(AX516,Foundation_Calc!$I$10:$J$13,2,FALSE),0),
IF(AX516="K",VLOOKUP(L516,Foundation_Calc!$V$41:$X$74,VLOOKUP(AX516,Foundation_Calc!$I$10:$J$13,2,FALSE),0),"")))</f>
        <v/>
      </c>
      <c r="N516" s="8"/>
      <c r="O516" s="8"/>
      <c r="P516" s="8"/>
      <c r="Q516" s="14"/>
      <c r="R516" s="15"/>
      <c r="S516" s="15"/>
      <c r="T516" s="14"/>
      <c r="U516" s="14"/>
      <c r="V516" s="14"/>
      <c r="W516" s="18"/>
      <c r="X516" s="18"/>
      <c r="Y516" s="18"/>
      <c r="Z516" s="18"/>
      <c r="AA516" s="18"/>
      <c r="AB516" s="18"/>
      <c r="AC516" s="8" t="str">
        <f t="shared" si="31"/>
        <v/>
      </c>
      <c r="AD516" s="8"/>
      <c r="AE516" s="8"/>
      <c r="AF516" s="14"/>
      <c r="AG516" s="13"/>
      <c r="AH516" s="14"/>
      <c r="AI516" s="14"/>
      <c r="AJ516" s="8"/>
      <c r="AK516" s="8"/>
      <c r="AL516" s="8"/>
      <c r="AM516" s="8"/>
      <c r="AN516" s="631"/>
      <c r="AO516" s="18"/>
      <c r="AP516" s="18"/>
      <c r="AQ516" s="18"/>
      <c r="AR516" s="18"/>
      <c r="AS516" s="18"/>
      <c r="AU516" s="448"/>
      <c r="AV516" s="448"/>
      <c r="AW516" s="8" t="str">
        <f>IF(C516&gt;0,VLOOKUP(C516,Foundation_Calc!$A$2:$C$986,3,1),
IF(J516&gt;0,VLOOKUP(J516,Foundation_Calc!$A$2:$C$986,3,1),""))</f>
        <v/>
      </c>
      <c r="AX516" s="8" t="str">
        <f>IF(C516&gt;0,VLOOKUP(C516,Foundation_Calc!$E$2:$G$986,3,1),
IF(J516&gt;0,VLOOKUP(J516,Foundation_Calc!$E$2:$G$986,3,1),""))</f>
        <v/>
      </c>
      <c r="AY516" s="631" t="str">
        <f>IF(L516="","",
IF(AX516="PT",VLOOKUP(L516,Foundation_Calc!$K$4:$R$37,VLOOKUP(AW516,Foundation_Calc!$I$2:$J$8,2,FALSE),0),
IF(AX516="K",VLOOKUP(L516,Foundation_Calc!$K$41:$R$74,VLOOKUP(AW516,Foundation_Calc!$I$2:$J$8,2,FALSE),0),"")))</f>
        <v/>
      </c>
      <c r="AZ516" s="631" t="str">
        <f>IF(K516="","",
IF(AX516="PT",VLOOKUP(K516,Foundation_Calc!$K$4:$R$37,VLOOKUP(AW516,Foundation_Calc!$I$2:$J$8,2,FALSE),0),
IF(AX516="K",VLOOKUP(K516,Foundation_Calc!$K$41:$R$74,VLOOKUP(AW516,Foundation_Calc!$I$2:$J$8,2,FALSE),0),"")))</f>
        <v/>
      </c>
      <c r="BA516" s="632" t="str">
        <f t="shared" si="32"/>
        <v/>
      </c>
      <c r="BB516" s="632" t="str">
        <f t="shared" si="33"/>
        <v/>
      </c>
      <c r="BC516" s="632" t="str">
        <f t="shared" si="34"/>
        <v/>
      </c>
      <c r="BD516" s="633" t="str">
        <f>IF(AND(L516="",H516=""),"",
IF(H516="",Pole_Calc!A544,
IF(H516="MP",Pole_Calc!A545,
IF(H516="AnMP",Pole_Calc!A546,
IF(H516="A",Pole_Calc!A547,
IF(H516="S/A",Pole_Calc!A548,
IF(H516="A/S",Pole_Calc!A549,"Poner a mano")))))))</f>
        <v/>
      </c>
      <c r="BE516" s="448" t="s">
        <v>1726</v>
      </c>
      <c r="BF516" s="634"/>
      <c r="BG516" s="634"/>
      <c r="BH516" s="634"/>
      <c r="BI516" s="634"/>
    </row>
    <row r="517" spans="1:61" ht="16.2" customHeight="1">
      <c r="A517" s="12"/>
      <c r="B517" s="446"/>
      <c r="C517" s="89"/>
      <c r="D517" s="13"/>
      <c r="E517" s="14"/>
      <c r="F517" s="14"/>
      <c r="G517" s="15"/>
      <c r="H517" s="8"/>
      <c r="I517" s="8"/>
      <c r="J517" s="89"/>
      <c r="K517" s="8"/>
      <c r="L517" s="8"/>
      <c r="M517" s="8" t="str">
        <f>IF(L517="","",
IF(AX517="PT",VLOOKUP(L517,Foundation_Calc!$V$4:$X$37,VLOOKUP(AX517,Foundation_Calc!$I$10:$J$13,2,FALSE),0),
IF(AX517="K",VLOOKUP(L517,Foundation_Calc!$V$41:$X$74,VLOOKUP(AX517,Foundation_Calc!$I$10:$J$13,2,FALSE),0),"")))</f>
        <v/>
      </c>
      <c r="N517" s="8"/>
      <c r="O517" s="8"/>
      <c r="P517" s="8"/>
      <c r="Q517" s="14"/>
      <c r="R517" s="15"/>
      <c r="S517" s="15"/>
      <c r="T517" s="14"/>
      <c r="U517" s="14"/>
      <c r="V517" s="14"/>
      <c r="W517" s="18"/>
      <c r="X517" s="18"/>
      <c r="Y517" s="18"/>
      <c r="Z517" s="18"/>
      <c r="AA517" s="18"/>
      <c r="AB517" s="18"/>
      <c r="AC517" s="8" t="str">
        <f t="shared" si="31"/>
        <v/>
      </c>
      <c r="AD517" s="8"/>
      <c r="AE517" s="8"/>
      <c r="AF517" s="14"/>
      <c r="AG517" s="13"/>
      <c r="AH517" s="14"/>
      <c r="AI517" s="14"/>
      <c r="AJ517" s="8"/>
      <c r="AK517" s="8"/>
      <c r="AL517" s="8"/>
      <c r="AM517" s="8"/>
      <c r="AN517" s="631"/>
      <c r="AO517" s="18"/>
      <c r="AP517" s="18"/>
      <c r="AQ517" s="18"/>
      <c r="AR517" s="18"/>
      <c r="AS517" s="18"/>
      <c r="AU517" s="448"/>
      <c r="AV517" s="448"/>
      <c r="AW517" s="8" t="str">
        <f>IF(C517&gt;0,VLOOKUP(C517,Foundation_Calc!$A$2:$C$986,3,1),
IF(J517&gt;0,VLOOKUP(J517,Foundation_Calc!$A$2:$C$986,3,1),""))</f>
        <v/>
      </c>
      <c r="AX517" s="8" t="str">
        <f>IF(C517&gt;0,VLOOKUP(C517,Foundation_Calc!$E$2:$G$986,3,1),
IF(J517&gt;0,VLOOKUP(J517,Foundation_Calc!$E$2:$G$986,3,1),""))</f>
        <v/>
      </c>
      <c r="AY517" s="631" t="str">
        <f>IF(L517="","",
IF(AX517="PT",VLOOKUP(L517,Foundation_Calc!$K$4:$R$37,VLOOKUP(AW517,Foundation_Calc!$I$2:$J$8,2,FALSE),0),
IF(AX517="K",VLOOKUP(L517,Foundation_Calc!$K$41:$R$74,VLOOKUP(AW517,Foundation_Calc!$I$2:$J$8,2,FALSE),0),"")))</f>
        <v/>
      </c>
      <c r="AZ517" s="631" t="str">
        <f>IF(K517="","",
IF(AX517="PT",VLOOKUP(K517,Foundation_Calc!$K$4:$R$37,VLOOKUP(AW517,Foundation_Calc!$I$2:$J$8,2,FALSE),0),
IF(AX517="K",VLOOKUP(K517,Foundation_Calc!$K$41:$R$74,VLOOKUP(AW517,Foundation_Calc!$I$2:$J$8,2,FALSE),0),"")))</f>
        <v/>
      </c>
      <c r="BA517" s="632" t="str">
        <f t="shared" si="32"/>
        <v/>
      </c>
      <c r="BB517" s="632" t="str">
        <f t="shared" si="33"/>
        <v/>
      </c>
      <c r="BC517" s="632" t="str">
        <f t="shared" si="34"/>
        <v/>
      </c>
      <c r="BD517" s="633" t="str">
        <f>IF(AND(L517="",H517=""),"",
IF(H517="",Pole_Calc!A545,
IF(H517="MP",Pole_Calc!A546,
IF(H517="AnMP",Pole_Calc!A547,
IF(H517="A",Pole_Calc!A548,
IF(H517="S/A",Pole_Calc!A549,
IF(H517="A/S",Pole_Calc!A550,"Poner a mano")))))))</f>
        <v/>
      </c>
      <c r="BE517" s="448" t="s">
        <v>1726</v>
      </c>
      <c r="BF517" s="635"/>
      <c r="BG517" s="635"/>
      <c r="BH517" s="634"/>
      <c r="BI517" s="635"/>
    </row>
    <row r="518" spans="1:61" ht="16.2" customHeight="1">
      <c r="A518" s="12"/>
      <c r="B518" s="446"/>
      <c r="C518" s="89"/>
      <c r="D518" s="13"/>
      <c r="E518" s="14"/>
      <c r="F518" s="14"/>
      <c r="G518" s="15"/>
      <c r="H518" s="8"/>
      <c r="I518" s="8"/>
      <c r="J518" s="89"/>
      <c r="K518" s="8"/>
      <c r="L518" s="8"/>
      <c r="M518" s="8" t="str">
        <f>IF(L518="","",
IF(AX518="PT",VLOOKUP(L518,Foundation_Calc!$V$4:$X$37,VLOOKUP(AX518,Foundation_Calc!$I$10:$J$13,2,FALSE),0),
IF(AX518="K",VLOOKUP(L518,Foundation_Calc!$V$41:$X$74,VLOOKUP(AX518,Foundation_Calc!$I$10:$J$13,2,FALSE),0),"")))</f>
        <v/>
      </c>
      <c r="N518" s="8"/>
      <c r="O518" s="8"/>
      <c r="P518" s="8"/>
      <c r="Q518" s="14"/>
      <c r="R518" s="15"/>
      <c r="S518" s="15"/>
      <c r="T518" s="14"/>
      <c r="U518" s="14"/>
      <c r="V518" s="14"/>
      <c r="W518" s="18"/>
      <c r="X518" s="18"/>
      <c r="Y518" s="18"/>
      <c r="Z518" s="18"/>
      <c r="AA518" s="18"/>
      <c r="AB518" s="18"/>
      <c r="AC518" s="8" t="str">
        <f t="shared" ref="AC518:AC581" si="35">IF(OR(AT518&gt;8,AT518&lt;-8),"PH",
IF(OR(AT518&gt;5,AT518&lt;-5),"PHQ",
IF(OR(AT518&gt;1,AT518&lt;-1),
"PHC","")))</f>
        <v/>
      </c>
      <c r="AD518" s="8"/>
      <c r="AE518" s="8"/>
      <c r="AF518" s="14"/>
      <c r="AG518" s="13"/>
      <c r="AH518" s="14"/>
      <c r="AI518" s="14"/>
      <c r="AJ518" s="8"/>
      <c r="AK518" s="8"/>
      <c r="AL518" s="8"/>
      <c r="AM518" s="8"/>
      <c r="AN518" s="631"/>
      <c r="AO518" s="18"/>
      <c r="AP518" s="18"/>
      <c r="AQ518" s="18"/>
      <c r="AR518" s="18"/>
      <c r="AS518" s="18"/>
      <c r="AU518" s="448"/>
      <c r="AV518" s="448"/>
      <c r="AW518" s="8" t="str">
        <f>IF(C518&gt;0,VLOOKUP(C518,Foundation_Calc!$A$2:$C$986,3,1),
IF(J518&gt;0,VLOOKUP(J518,Foundation_Calc!$A$2:$C$986,3,1),""))</f>
        <v/>
      </c>
      <c r="AX518" s="8" t="str">
        <f>IF(C518&gt;0,VLOOKUP(C518,Foundation_Calc!$E$2:$G$986,3,1),
IF(J518&gt;0,VLOOKUP(J518,Foundation_Calc!$E$2:$G$986,3,1),""))</f>
        <v/>
      </c>
      <c r="AY518" s="631" t="str">
        <f>IF(L518="","",
IF(AX518="PT",VLOOKUP(L518,Foundation_Calc!$K$4:$R$37,VLOOKUP(AW518,Foundation_Calc!$I$2:$J$8,2,FALSE),0),
IF(AX518="K",VLOOKUP(L518,Foundation_Calc!$K$41:$R$74,VLOOKUP(AW518,Foundation_Calc!$I$2:$J$8,2,FALSE),0),"")))</f>
        <v/>
      </c>
      <c r="AZ518" s="631" t="str">
        <f>IF(K518="","",
IF(AX518="PT",VLOOKUP(K518,Foundation_Calc!$K$4:$R$37,VLOOKUP(AW518,Foundation_Calc!$I$2:$J$8,2,FALSE),0),
IF(AX518="K",VLOOKUP(K518,Foundation_Calc!$K$41:$R$74,VLOOKUP(AW518,Foundation_Calc!$I$2:$J$8,2,FALSE),0),"")))</f>
        <v/>
      </c>
      <c r="BA518" s="632" t="str">
        <f t="shared" ref="BA518:BA581" si="36">IF(AY518="","",IF(AY518&gt;0,"ü",""))</f>
        <v/>
      </c>
      <c r="BB518" s="632" t="str">
        <f t="shared" ref="BB518:BB581" si="37">IF(AZ518="","",IF(AZ518&gt;0,"ü",""))</f>
        <v/>
      </c>
      <c r="BC518" s="632" t="str">
        <f t="shared" ref="BC518:BC581" si="38">IF(M518="","",IF(M518="Unique Solution","ü",""))</f>
        <v/>
      </c>
      <c r="BD518" s="633" t="str">
        <f>IF(AND(L518="",H518=""),"",
IF(H518="",Pole_Calc!A546,
IF(H518="MP",Pole_Calc!A547,
IF(H518="AnMP",Pole_Calc!A548,
IF(H518="A",Pole_Calc!A549,
IF(H518="S/A",Pole_Calc!A550,
IF(H518="A/S",Pole_Calc!A551,"Poner a mano")))))))</f>
        <v/>
      </c>
      <c r="BE518" s="448" t="s">
        <v>1726</v>
      </c>
      <c r="BF518" s="634"/>
      <c r="BG518" s="634"/>
      <c r="BH518" s="634"/>
      <c r="BI518" s="634"/>
    </row>
    <row r="519" spans="1:61" ht="16.2" customHeight="1">
      <c r="A519" s="12"/>
      <c r="B519" s="446"/>
      <c r="C519" s="89"/>
      <c r="D519" s="13"/>
      <c r="E519" s="14"/>
      <c r="F519" s="14"/>
      <c r="G519" s="15"/>
      <c r="H519" s="8"/>
      <c r="I519" s="8"/>
      <c r="J519" s="89"/>
      <c r="K519" s="8"/>
      <c r="L519" s="8"/>
      <c r="M519" s="8" t="str">
        <f>IF(L519="","",
IF(AX519="PT",VLOOKUP(L519,Foundation_Calc!$V$4:$X$37,VLOOKUP(AX519,Foundation_Calc!$I$10:$J$13,2,FALSE),0),
IF(AX519="K",VLOOKUP(L519,Foundation_Calc!$V$41:$X$74,VLOOKUP(AX519,Foundation_Calc!$I$10:$J$13,2,FALSE),0),"")))</f>
        <v/>
      </c>
      <c r="N519" s="8"/>
      <c r="O519" s="8"/>
      <c r="P519" s="8"/>
      <c r="Q519" s="14"/>
      <c r="R519" s="15"/>
      <c r="S519" s="15"/>
      <c r="T519" s="14"/>
      <c r="U519" s="14"/>
      <c r="V519" s="14"/>
      <c r="W519" s="18"/>
      <c r="X519" s="18"/>
      <c r="Y519" s="18"/>
      <c r="Z519" s="18"/>
      <c r="AA519" s="18"/>
      <c r="AB519" s="18"/>
      <c r="AC519" s="8" t="str">
        <f t="shared" si="35"/>
        <v/>
      </c>
      <c r="AD519" s="8"/>
      <c r="AE519" s="8"/>
      <c r="AF519" s="14"/>
      <c r="AG519" s="13"/>
      <c r="AH519" s="14"/>
      <c r="AI519" s="14"/>
      <c r="AJ519" s="8"/>
      <c r="AK519" s="8"/>
      <c r="AL519" s="8"/>
      <c r="AM519" s="8"/>
      <c r="AN519" s="631"/>
      <c r="AO519" s="18"/>
      <c r="AP519" s="18"/>
      <c r="AQ519" s="18"/>
      <c r="AR519" s="18"/>
      <c r="AS519" s="18"/>
      <c r="AU519" s="448"/>
      <c r="AV519" s="448"/>
      <c r="AW519" s="8" t="str">
        <f>IF(C519&gt;0,VLOOKUP(C519,Foundation_Calc!$A$2:$C$986,3,1),
IF(J519&gt;0,VLOOKUP(J519,Foundation_Calc!$A$2:$C$986,3,1),""))</f>
        <v/>
      </c>
      <c r="AX519" s="8" t="str">
        <f>IF(C519&gt;0,VLOOKUP(C519,Foundation_Calc!$E$2:$G$986,3,1),
IF(J519&gt;0,VLOOKUP(J519,Foundation_Calc!$E$2:$G$986,3,1),""))</f>
        <v/>
      </c>
      <c r="AY519" s="631" t="str">
        <f>IF(L519="","",
IF(AX519="PT",VLOOKUP(L519,Foundation_Calc!$K$4:$R$37,VLOOKUP(AW519,Foundation_Calc!$I$2:$J$8,2,FALSE),0),
IF(AX519="K",VLOOKUP(L519,Foundation_Calc!$K$41:$R$74,VLOOKUP(AW519,Foundation_Calc!$I$2:$J$8,2,FALSE),0),"")))</f>
        <v/>
      </c>
      <c r="AZ519" s="631" t="str">
        <f>IF(K519="","",
IF(AX519="PT",VLOOKUP(K519,Foundation_Calc!$K$4:$R$37,VLOOKUP(AW519,Foundation_Calc!$I$2:$J$8,2,FALSE),0),
IF(AX519="K",VLOOKUP(K519,Foundation_Calc!$K$41:$R$74,VLOOKUP(AW519,Foundation_Calc!$I$2:$J$8,2,FALSE),0),"")))</f>
        <v/>
      </c>
      <c r="BA519" s="632" t="str">
        <f t="shared" si="36"/>
        <v/>
      </c>
      <c r="BB519" s="632" t="str">
        <f t="shared" si="37"/>
        <v/>
      </c>
      <c r="BC519" s="632" t="str">
        <f t="shared" si="38"/>
        <v/>
      </c>
      <c r="BD519" s="633" t="str">
        <f>IF(AND(L519="",H519=""),"",
IF(H519="",Pole_Calc!A547,
IF(H519="MP",Pole_Calc!A548,
IF(H519="AnMP",Pole_Calc!A549,
IF(H519="A",Pole_Calc!A550,
IF(H519="S/A",Pole_Calc!A551,
IF(H519="A/S",Pole_Calc!A552,"Poner a mano")))))))</f>
        <v/>
      </c>
      <c r="BE519" s="448" t="s">
        <v>1726</v>
      </c>
      <c r="BF519" s="635"/>
      <c r="BG519" s="635"/>
      <c r="BH519" s="634"/>
      <c r="BI519" s="635"/>
    </row>
    <row r="520" spans="1:61" ht="16.2" customHeight="1">
      <c r="A520" s="12"/>
      <c r="B520" s="446"/>
      <c r="C520" s="89"/>
      <c r="D520" s="13"/>
      <c r="E520" s="14"/>
      <c r="F520" s="14"/>
      <c r="G520" s="15"/>
      <c r="H520" s="8"/>
      <c r="I520" s="8"/>
      <c r="J520" s="89"/>
      <c r="K520" s="8"/>
      <c r="L520" s="8"/>
      <c r="M520" s="8" t="str">
        <f>IF(L520="","",
IF(AX520="PT",VLOOKUP(L520,Foundation_Calc!$V$4:$X$37,VLOOKUP(AX520,Foundation_Calc!$I$10:$J$13,2,FALSE),0),
IF(AX520="K",VLOOKUP(L520,Foundation_Calc!$V$41:$X$74,VLOOKUP(AX520,Foundation_Calc!$I$10:$J$13,2,FALSE),0),"")))</f>
        <v/>
      </c>
      <c r="N520" s="8"/>
      <c r="O520" s="8"/>
      <c r="P520" s="8"/>
      <c r="Q520" s="14"/>
      <c r="R520" s="15"/>
      <c r="S520" s="15"/>
      <c r="T520" s="14"/>
      <c r="U520" s="14"/>
      <c r="V520" s="14"/>
      <c r="W520" s="18"/>
      <c r="X520" s="18"/>
      <c r="Y520" s="18"/>
      <c r="Z520" s="18"/>
      <c r="AA520" s="18"/>
      <c r="AB520" s="18"/>
      <c r="AC520" s="8" t="str">
        <f t="shared" si="35"/>
        <v/>
      </c>
      <c r="AD520" s="8"/>
      <c r="AE520" s="8"/>
      <c r="AF520" s="14"/>
      <c r="AG520" s="13"/>
      <c r="AH520" s="14"/>
      <c r="AI520" s="14"/>
      <c r="AJ520" s="8"/>
      <c r="AK520" s="8"/>
      <c r="AL520" s="8"/>
      <c r="AM520" s="8"/>
      <c r="AN520" s="631"/>
      <c r="AO520" s="18"/>
      <c r="AP520" s="18"/>
      <c r="AQ520" s="18"/>
      <c r="AR520" s="18"/>
      <c r="AS520" s="18"/>
      <c r="AU520" s="448"/>
      <c r="AV520" s="448"/>
      <c r="AW520" s="8" t="str">
        <f>IF(C520&gt;0,VLOOKUP(C520,Foundation_Calc!$A$2:$C$986,3,1),
IF(J520&gt;0,VLOOKUP(J520,Foundation_Calc!$A$2:$C$986,3,1),""))</f>
        <v/>
      </c>
      <c r="AX520" s="8" t="str">
        <f>IF(C520&gt;0,VLOOKUP(C520,Foundation_Calc!$E$2:$G$986,3,1),
IF(J520&gt;0,VLOOKUP(J520,Foundation_Calc!$E$2:$G$986,3,1),""))</f>
        <v/>
      </c>
      <c r="AY520" s="631" t="str">
        <f>IF(L520="","",
IF(AX520="PT",VLOOKUP(L520,Foundation_Calc!$K$4:$R$37,VLOOKUP(AW520,Foundation_Calc!$I$2:$J$8,2,FALSE),0),
IF(AX520="K",VLOOKUP(L520,Foundation_Calc!$K$41:$R$74,VLOOKUP(AW520,Foundation_Calc!$I$2:$J$8,2,FALSE),0),"")))</f>
        <v/>
      </c>
      <c r="AZ520" s="631" t="str">
        <f>IF(K520="","",
IF(AX520="PT",VLOOKUP(K520,Foundation_Calc!$K$4:$R$37,VLOOKUP(AW520,Foundation_Calc!$I$2:$J$8,2,FALSE),0),
IF(AX520="K",VLOOKUP(K520,Foundation_Calc!$K$41:$R$74,VLOOKUP(AW520,Foundation_Calc!$I$2:$J$8,2,FALSE),0),"")))</f>
        <v/>
      </c>
      <c r="BA520" s="632" t="str">
        <f t="shared" si="36"/>
        <v/>
      </c>
      <c r="BB520" s="632" t="str">
        <f t="shared" si="37"/>
        <v/>
      </c>
      <c r="BC520" s="632" t="str">
        <f t="shared" si="38"/>
        <v/>
      </c>
      <c r="BD520" s="633" t="str">
        <f>IF(AND(L520="",H520=""),"",
IF(H520="",Pole_Calc!A548,
IF(H520="MP",Pole_Calc!A549,
IF(H520="AnMP",Pole_Calc!A550,
IF(H520="A",Pole_Calc!A551,
IF(H520="S/A",Pole_Calc!A552,
IF(H520="A/S",Pole_Calc!A553,"Poner a mano")))))))</f>
        <v/>
      </c>
      <c r="BE520" s="448" t="s">
        <v>1726</v>
      </c>
      <c r="BF520" s="634"/>
      <c r="BG520" s="634"/>
      <c r="BH520" s="634"/>
      <c r="BI520" s="634"/>
    </row>
    <row r="521" spans="1:61" ht="16.2" customHeight="1">
      <c r="A521" s="12"/>
      <c r="B521" s="446"/>
      <c r="C521" s="89"/>
      <c r="D521" s="13"/>
      <c r="E521" s="14"/>
      <c r="F521" s="14"/>
      <c r="G521" s="15"/>
      <c r="H521" s="8"/>
      <c r="I521" s="8"/>
      <c r="J521" s="89"/>
      <c r="K521" s="8"/>
      <c r="L521" s="8"/>
      <c r="M521" s="8" t="str">
        <f>IF(L521="","",
IF(AX521="PT",VLOOKUP(L521,Foundation_Calc!$V$4:$X$37,VLOOKUP(AX521,Foundation_Calc!$I$10:$J$13,2,FALSE),0),
IF(AX521="K",VLOOKUP(L521,Foundation_Calc!$V$41:$X$74,VLOOKUP(AX521,Foundation_Calc!$I$10:$J$13,2,FALSE),0),"")))</f>
        <v/>
      </c>
      <c r="N521" s="8"/>
      <c r="O521" s="8"/>
      <c r="P521" s="8"/>
      <c r="Q521" s="14"/>
      <c r="R521" s="15"/>
      <c r="S521" s="15"/>
      <c r="T521" s="14"/>
      <c r="U521" s="14"/>
      <c r="V521" s="14"/>
      <c r="W521" s="18"/>
      <c r="X521" s="18"/>
      <c r="Y521" s="18"/>
      <c r="Z521" s="18"/>
      <c r="AA521" s="18"/>
      <c r="AB521" s="18"/>
      <c r="AC521" s="8" t="str">
        <f t="shared" si="35"/>
        <v/>
      </c>
      <c r="AD521" s="8"/>
      <c r="AE521" s="8"/>
      <c r="AF521" s="14"/>
      <c r="AG521" s="13"/>
      <c r="AH521" s="14"/>
      <c r="AI521" s="14"/>
      <c r="AJ521" s="8"/>
      <c r="AK521" s="8"/>
      <c r="AL521" s="8"/>
      <c r="AM521" s="8"/>
      <c r="AN521" s="631"/>
      <c r="AO521" s="18"/>
      <c r="AP521" s="18"/>
      <c r="AQ521" s="18"/>
      <c r="AR521" s="18"/>
      <c r="AS521" s="18"/>
      <c r="AU521" s="448"/>
      <c r="AV521" s="448"/>
      <c r="AW521" s="8" t="str">
        <f>IF(C521&gt;0,VLOOKUP(C521,Foundation_Calc!$A$2:$C$986,3,1),
IF(J521&gt;0,VLOOKUP(J521,Foundation_Calc!$A$2:$C$986,3,1),""))</f>
        <v/>
      </c>
      <c r="AX521" s="8" t="str">
        <f>IF(C521&gt;0,VLOOKUP(C521,Foundation_Calc!$E$2:$G$986,3,1),
IF(J521&gt;0,VLOOKUP(J521,Foundation_Calc!$E$2:$G$986,3,1),""))</f>
        <v/>
      </c>
      <c r="AY521" s="631" t="str">
        <f>IF(L521="","",
IF(AX521="PT",VLOOKUP(L521,Foundation_Calc!$K$4:$R$37,VLOOKUP(AW521,Foundation_Calc!$I$2:$J$8,2,FALSE),0),
IF(AX521="K",VLOOKUP(L521,Foundation_Calc!$K$41:$R$74,VLOOKUP(AW521,Foundation_Calc!$I$2:$J$8,2,FALSE),0),"")))</f>
        <v/>
      </c>
      <c r="AZ521" s="631" t="str">
        <f>IF(K521="","",
IF(AX521="PT",VLOOKUP(K521,Foundation_Calc!$K$4:$R$37,VLOOKUP(AW521,Foundation_Calc!$I$2:$J$8,2,FALSE),0),
IF(AX521="K",VLOOKUP(K521,Foundation_Calc!$K$41:$R$74,VLOOKUP(AW521,Foundation_Calc!$I$2:$J$8,2,FALSE),0),"")))</f>
        <v/>
      </c>
      <c r="BA521" s="632" t="str">
        <f t="shared" si="36"/>
        <v/>
      </c>
      <c r="BB521" s="632" t="str">
        <f t="shared" si="37"/>
        <v/>
      </c>
      <c r="BC521" s="632" t="str">
        <f t="shared" si="38"/>
        <v/>
      </c>
      <c r="BD521" s="633" t="str">
        <f>IF(AND(L521="",H521=""),"",
IF(H521="",Pole_Calc!A549,
IF(H521="MP",Pole_Calc!A550,
IF(H521="AnMP",Pole_Calc!A551,
IF(H521="A",Pole_Calc!A552,
IF(H521="S/A",Pole_Calc!A553,
IF(H521="A/S",Pole_Calc!A554,"Poner a mano")))))))</f>
        <v/>
      </c>
      <c r="BE521" s="448" t="s">
        <v>1726</v>
      </c>
      <c r="BF521" s="635"/>
      <c r="BG521" s="635"/>
      <c r="BH521" s="634"/>
      <c r="BI521" s="635"/>
    </row>
    <row r="522" spans="1:61" ht="16.2" customHeight="1">
      <c r="A522" s="12"/>
      <c r="B522" s="446"/>
      <c r="C522" s="89"/>
      <c r="D522" s="13"/>
      <c r="E522" s="14"/>
      <c r="F522" s="14"/>
      <c r="G522" s="15"/>
      <c r="H522" s="8"/>
      <c r="I522" s="8"/>
      <c r="J522" s="89"/>
      <c r="K522" s="8"/>
      <c r="L522" s="8"/>
      <c r="M522" s="8" t="str">
        <f>IF(L522="","",
IF(AX522="PT",VLOOKUP(L522,Foundation_Calc!$V$4:$X$37,VLOOKUP(AX522,Foundation_Calc!$I$10:$J$13,2,FALSE),0),
IF(AX522="K",VLOOKUP(L522,Foundation_Calc!$V$41:$X$74,VLOOKUP(AX522,Foundation_Calc!$I$10:$J$13,2,FALSE),0),"")))</f>
        <v/>
      </c>
      <c r="N522" s="8"/>
      <c r="O522" s="8"/>
      <c r="P522" s="8"/>
      <c r="Q522" s="14"/>
      <c r="R522" s="15"/>
      <c r="S522" s="15"/>
      <c r="T522" s="14"/>
      <c r="U522" s="14"/>
      <c r="V522" s="14"/>
      <c r="W522" s="18"/>
      <c r="X522" s="18"/>
      <c r="Y522" s="18"/>
      <c r="Z522" s="18"/>
      <c r="AA522" s="18"/>
      <c r="AB522" s="18"/>
      <c r="AC522" s="8" t="str">
        <f t="shared" si="35"/>
        <v/>
      </c>
      <c r="AD522" s="8"/>
      <c r="AE522" s="8"/>
      <c r="AF522" s="14"/>
      <c r="AG522" s="13"/>
      <c r="AH522" s="14"/>
      <c r="AI522" s="14"/>
      <c r="AJ522" s="8"/>
      <c r="AK522" s="8"/>
      <c r="AL522" s="8"/>
      <c r="AM522" s="8"/>
      <c r="AN522" s="631"/>
      <c r="AO522" s="18"/>
      <c r="AP522" s="18"/>
      <c r="AQ522" s="18"/>
      <c r="AR522" s="18"/>
      <c r="AS522" s="18"/>
      <c r="AU522" s="448"/>
      <c r="AV522" s="448"/>
      <c r="AW522" s="8" t="str">
        <f>IF(C522&gt;0,VLOOKUP(C522,Foundation_Calc!$A$2:$C$986,3,1),
IF(J522&gt;0,VLOOKUP(J522,Foundation_Calc!$A$2:$C$986,3,1),""))</f>
        <v/>
      </c>
      <c r="AX522" s="8" t="str">
        <f>IF(C522&gt;0,VLOOKUP(C522,Foundation_Calc!$E$2:$G$986,3,1),
IF(J522&gt;0,VLOOKUP(J522,Foundation_Calc!$E$2:$G$986,3,1),""))</f>
        <v/>
      </c>
      <c r="AY522" s="631" t="str">
        <f>IF(L522="","",
IF(AX522="PT",VLOOKUP(L522,Foundation_Calc!$K$4:$R$37,VLOOKUP(AW522,Foundation_Calc!$I$2:$J$8,2,FALSE),0),
IF(AX522="K",VLOOKUP(L522,Foundation_Calc!$K$41:$R$74,VLOOKUP(AW522,Foundation_Calc!$I$2:$J$8,2,FALSE),0),"")))</f>
        <v/>
      </c>
      <c r="AZ522" s="631" t="str">
        <f>IF(K522="","",
IF(AX522="PT",VLOOKUP(K522,Foundation_Calc!$K$4:$R$37,VLOOKUP(AW522,Foundation_Calc!$I$2:$J$8,2,FALSE),0),
IF(AX522="K",VLOOKUP(K522,Foundation_Calc!$K$41:$R$74,VLOOKUP(AW522,Foundation_Calc!$I$2:$J$8,2,FALSE),0),"")))</f>
        <v/>
      </c>
      <c r="BA522" s="632" t="str">
        <f t="shared" si="36"/>
        <v/>
      </c>
      <c r="BB522" s="632" t="str">
        <f t="shared" si="37"/>
        <v/>
      </c>
      <c r="BC522" s="632" t="str">
        <f t="shared" si="38"/>
        <v/>
      </c>
      <c r="BD522" s="633" t="str">
        <f>IF(AND(L522="",H522=""),"",
IF(H522="",Pole_Calc!A550,
IF(H522="MP",Pole_Calc!A551,
IF(H522="AnMP",Pole_Calc!A552,
IF(H522="A",Pole_Calc!A553,
IF(H522="S/A",Pole_Calc!A554,
IF(H522="A/S",Pole_Calc!A555,"Poner a mano")))))))</f>
        <v/>
      </c>
      <c r="BE522" s="448" t="s">
        <v>1726</v>
      </c>
      <c r="BF522" s="634"/>
      <c r="BG522" s="634"/>
      <c r="BH522" s="634"/>
      <c r="BI522" s="634"/>
    </row>
    <row r="523" spans="1:61" ht="16.2" customHeight="1">
      <c r="A523" s="12"/>
      <c r="B523" s="446"/>
      <c r="C523" s="89"/>
      <c r="D523" s="13"/>
      <c r="E523" s="14"/>
      <c r="F523" s="14"/>
      <c r="G523" s="15"/>
      <c r="H523" s="8"/>
      <c r="I523" s="8"/>
      <c r="J523" s="89"/>
      <c r="K523" s="8"/>
      <c r="L523" s="8"/>
      <c r="M523" s="8" t="str">
        <f>IF(L523="","",
IF(AX523="PT",VLOOKUP(L523,Foundation_Calc!$V$4:$X$37,VLOOKUP(AX523,Foundation_Calc!$I$10:$J$13,2,FALSE),0),
IF(AX523="K",VLOOKUP(L523,Foundation_Calc!$V$41:$X$74,VLOOKUP(AX523,Foundation_Calc!$I$10:$J$13,2,FALSE),0),"")))</f>
        <v/>
      </c>
      <c r="N523" s="8"/>
      <c r="O523" s="8"/>
      <c r="P523" s="8"/>
      <c r="Q523" s="14"/>
      <c r="R523" s="15"/>
      <c r="S523" s="15"/>
      <c r="T523" s="14"/>
      <c r="U523" s="14"/>
      <c r="V523" s="14"/>
      <c r="W523" s="18"/>
      <c r="X523" s="18"/>
      <c r="Y523" s="18"/>
      <c r="Z523" s="18"/>
      <c r="AA523" s="18"/>
      <c r="AB523" s="18"/>
      <c r="AC523" s="8" t="str">
        <f t="shared" si="35"/>
        <v/>
      </c>
      <c r="AD523" s="8"/>
      <c r="AE523" s="8"/>
      <c r="AF523" s="14"/>
      <c r="AG523" s="13"/>
      <c r="AH523" s="14"/>
      <c r="AI523" s="14"/>
      <c r="AJ523" s="8"/>
      <c r="AK523" s="8"/>
      <c r="AL523" s="8"/>
      <c r="AM523" s="8"/>
      <c r="AN523" s="631"/>
      <c r="AO523" s="18"/>
      <c r="AP523" s="18"/>
      <c r="AQ523" s="18"/>
      <c r="AR523" s="18"/>
      <c r="AS523" s="18"/>
      <c r="AU523" s="448"/>
      <c r="AV523" s="448"/>
      <c r="AW523" s="8" t="str">
        <f>IF(C523&gt;0,VLOOKUP(C523,Foundation_Calc!$A$2:$C$986,3,1),
IF(J523&gt;0,VLOOKUP(J523,Foundation_Calc!$A$2:$C$986,3,1),""))</f>
        <v/>
      </c>
      <c r="AX523" s="8" t="str">
        <f>IF(C523&gt;0,VLOOKUP(C523,Foundation_Calc!$E$2:$G$986,3,1),
IF(J523&gt;0,VLOOKUP(J523,Foundation_Calc!$E$2:$G$986,3,1),""))</f>
        <v/>
      </c>
      <c r="AY523" s="631" t="str">
        <f>IF(L523="","",
IF(AX523="PT",VLOOKUP(L523,Foundation_Calc!$K$4:$R$37,VLOOKUP(AW523,Foundation_Calc!$I$2:$J$8,2,FALSE),0),
IF(AX523="K",VLOOKUP(L523,Foundation_Calc!$K$41:$R$74,VLOOKUP(AW523,Foundation_Calc!$I$2:$J$8,2,FALSE),0),"")))</f>
        <v/>
      </c>
      <c r="AZ523" s="631" t="str">
        <f>IF(K523="","",
IF(AX523="PT",VLOOKUP(K523,Foundation_Calc!$K$4:$R$37,VLOOKUP(AW523,Foundation_Calc!$I$2:$J$8,2,FALSE),0),
IF(AX523="K",VLOOKUP(K523,Foundation_Calc!$K$41:$R$74,VLOOKUP(AW523,Foundation_Calc!$I$2:$J$8,2,FALSE),0),"")))</f>
        <v/>
      </c>
      <c r="BA523" s="632" t="str">
        <f t="shared" si="36"/>
        <v/>
      </c>
      <c r="BB523" s="632" t="str">
        <f t="shared" si="37"/>
        <v/>
      </c>
      <c r="BC523" s="632" t="str">
        <f t="shared" si="38"/>
        <v/>
      </c>
      <c r="BD523" s="633" t="str">
        <f>IF(AND(L523="",H523=""),"",
IF(H523="",Pole_Calc!A551,
IF(H523="MP",Pole_Calc!A552,
IF(H523="AnMP",Pole_Calc!A553,
IF(H523="A",Pole_Calc!A554,
IF(H523="S/A",Pole_Calc!A555,
IF(H523="A/S",Pole_Calc!A556,"Poner a mano")))))))</f>
        <v/>
      </c>
      <c r="BE523" s="448" t="s">
        <v>1726</v>
      </c>
      <c r="BF523" s="635"/>
      <c r="BG523" s="635"/>
      <c r="BH523" s="634"/>
      <c r="BI523" s="635"/>
    </row>
    <row r="524" spans="1:61" ht="16.2" customHeight="1">
      <c r="A524" s="12"/>
      <c r="B524" s="446"/>
      <c r="C524" s="89"/>
      <c r="D524" s="13"/>
      <c r="E524" s="14"/>
      <c r="F524" s="14"/>
      <c r="G524" s="15"/>
      <c r="H524" s="8"/>
      <c r="I524" s="8"/>
      <c r="J524" s="89"/>
      <c r="K524" s="8"/>
      <c r="L524" s="8"/>
      <c r="M524" s="8" t="str">
        <f>IF(L524="","",
IF(AX524="PT",VLOOKUP(L524,Foundation_Calc!$V$4:$X$37,VLOOKUP(AX524,Foundation_Calc!$I$10:$J$13,2,FALSE),0),
IF(AX524="K",VLOOKUP(L524,Foundation_Calc!$V$41:$X$74,VLOOKUP(AX524,Foundation_Calc!$I$10:$J$13,2,FALSE),0),"")))</f>
        <v/>
      </c>
      <c r="N524" s="8"/>
      <c r="O524" s="8"/>
      <c r="P524" s="8"/>
      <c r="Q524" s="14"/>
      <c r="R524" s="15"/>
      <c r="S524" s="15"/>
      <c r="T524" s="14"/>
      <c r="U524" s="14"/>
      <c r="V524" s="14"/>
      <c r="W524" s="18"/>
      <c r="X524" s="18"/>
      <c r="Y524" s="18"/>
      <c r="Z524" s="18"/>
      <c r="AA524" s="18"/>
      <c r="AB524" s="18"/>
      <c r="AC524" s="8" t="str">
        <f t="shared" si="35"/>
        <v/>
      </c>
      <c r="AD524" s="8"/>
      <c r="AE524" s="8"/>
      <c r="AF524" s="14"/>
      <c r="AG524" s="13"/>
      <c r="AH524" s="14"/>
      <c r="AI524" s="14"/>
      <c r="AJ524" s="8"/>
      <c r="AK524" s="8"/>
      <c r="AL524" s="8"/>
      <c r="AM524" s="8"/>
      <c r="AN524" s="631"/>
      <c r="AO524" s="18"/>
      <c r="AP524" s="18"/>
      <c r="AQ524" s="18"/>
      <c r="AR524" s="18"/>
      <c r="AS524" s="18"/>
      <c r="AU524" s="448"/>
      <c r="AV524" s="448"/>
      <c r="AW524" s="8" t="str">
        <f>IF(C524&gt;0,VLOOKUP(C524,Foundation_Calc!$A$2:$C$986,3,1),
IF(J524&gt;0,VLOOKUP(J524,Foundation_Calc!$A$2:$C$986,3,1),""))</f>
        <v/>
      </c>
      <c r="AX524" s="8" t="str">
        <f>IF(C524&gt;0,VLOOKUP(C524,Foundation_Calc!$E$2:$G$986,3,1),
IF(J524&gt;0,VLOOKUP(J524,Foundation_Calc!$E$2:$G$986,3,1),""))</f>
        <v/>
      </c>
      <c r="AY524" s="631" t="str">
        <f>IF(L524="","",
IF(AX524="PT",VLOOKUP(L524,Foundation_Calc!$K$4:$R$37,VLOOKUP(AW524,Foundation_Calc!$I$2:$J$8,2,FALSE),0),
IF(AX524="K",VLOOKUP(L524,Foundation_Calc!$K$41:$R$74,VLOOKUP(AW524,Foundation_Calc!$I$2:$J$8,2,FALSE),0),"")))</f>
        <v/>
      </c>
      <c r="AZ524" s="631" t="str">
        <f>IF(K524="","",
IF(AX524="PT",VLOOKUP(K524,Foundation_Calc!$K$4:$R$37,VLOOKUP(AW524,Foundation_Calc!$I$2:$J$8,2,FALSE),0),
IF(AX524="K",VLOOKUP(K524,Foundation_Calc!$K$41:$R$74,VLOOKUP(AW524,Foundation_Calc!$I$2:$J$8,2,FALSE),0),"")))</f>
        <v/>
      </c>
      <c r="BA524" s="632" t="str">
        <f t="shared" si="36"/>
        <v/>
      </c>
      <c r="BB524" s="632" t="str">
        <f t="shared" si="37"/>
        <v/>
      </c>
      <c r="BC524" s="632" t="str">
        <f t="shared" si="38"/>
        <v/>
      </c>
      <c r="BD524" s="633" t="str">
        <f>IF(AND(L524="",H524=""),"",
IF(H524="",Pole_Calc!A552,
IF(H524="MP",Pole_Calc!A553,
IF(H524="AnMP",Pole_Calc!A554,
IF(H524="A",Pole_Calc!A555,
IF(H524="S/A",Pole_Calc!A556,
IF(H524="A/S",Pole_Calc!A557,"Poner a mano")))))))</f>
        <v/>
      </c>
      <c r="BE524" s="448" t="s">
        <v>1726</v>
      </c>
      <c r="BF524" s="634"/>
      <c r="BG524" s="634"/>
      <c r="BH524" s="634"/>
      <c r="BI524" s="634"/>
    </row>
    <row r="525" spans="1:61" ht="16.2" customHeight="1">
      <c r="A525" s="12"/>
      <c r="B525" s="446"/>
      <c r="C525" s="89"/>
      <c r="D525" s="13"/>
      <c r="E525" s="14"/>
      <c r="F525" s="14"/>
      <c r="G525" s="15"/>
      <c r="H525" s="8"/>
      <c r="I525" s="8"/>
      <c r="J525" s="89"/>
      <c r="K525" s="8"/>
      <c r="L525" s="8"/>
      <c r="M525" s="8" t="str">
        <f>IF(L525="","",
IF(AX525="PT",VLOOKUP(L525,Foundation_Calc!$V$4:$X$37,VLOOKUP(AX525,Foundation_Calc!$I$10:$J$13,2,FALSE),0),
IF(AX525="K",VLOOKUP(L525,Foundation_Calc!$V$41:$X$74,VLOOKUP(AX525,Foundation_Calc!$I$10:$J$13,2,FALSE),0),"")))</f>
        <v/>
      </c>
      <c r="N525" s="8"/>
      <c r="O525" s="8"/>
      <c r="P525" s="8"/>
      <c r="Q525" s="14"/>
      <c r="R525" s="15"/>
      <c r="S525" s="15"/>
      <c r="T525" s="14"/>
      <c r="U525" s="14"/>
      <c r="V525" s="14"/>
      <c r="W525" s="18"/>
      <c r="X525" s="18"/>
      <c r="Y525" s="18"/>
      <c r="Z525" s="18"/>
      <c r="AA525" s="18"/>
      <c r="AB525" s="18"/>
      <c r="AC525" s="8" t="str">
        <f t="shared" si="35"/>
        <v/>
      </c>
      <c r="AD525" s="8"/>
      <c r="AE525" s="8"/>
      <c r="AF525" s="14"/>
      <c r="AG525" s="13"/>
      <c r="AH525" s="14"/>
      <c r="AI525" s="14"/>
      <c r="AJ525" s="8"/>
      <c r="AK525" s="8"/>
      <c r="AL525" s="8"/>
      <c r="AM525" s="8"/>
      <c r="AN525" s="631"/>
      <c r="AO525" s="18"/>
      <c r="AP525" s="18"/>
      <c r="AQ525" s="18"/>
      <c r="AR525" s="18"/>
      <c r="AS525" s="18"/>
      <c r="AU525" s="448"/>
      <c r="AV525" s="448"/>
      <c r="AW525" s="8" t="str">
        <f>IF(C525&gt;0,VLOOKUP(C525,Foundation_Calc!$A$2:$C$986,3,1),
IF(J525&gt;0,VLOOKUP(J525,Foundation_Calc!$A$2:$C$986,3,1),""))</f>
        <v/>
      </c>
      <c r="AX525" s="8" t="str">
        <f>IF(C525&gt;0,VLOOKUP(C525,Foundation_Calc!$E$2:$G$986,3,1),
IF(J525&gt;0,VLOOKUP(J525,Foundation_Calc!$E$2:$G$986,3,1),""))</f>
        <v/>
      </c>
      <c r="AY525" s="631" t="str">
        <f>IF(L525="","",
IF(AX525="PT",VLOOKUP(L525,Foundation_Calc!$K$4:$R$37,VLOOKUP(AW525,Foundation_Calc!$I$2:$J$8,2,FALSE),0),
IF(AX525="K",VLOOKUP(L525,Foundation_Calc!$K$41:$R$74,VLOOKUP(AW525,Foundation_Calc!$I$2:$J$8,2,FALSE),0),"")))</f>
        <v/>
      </c>
      <c r="AZ525" s="631" t="str">
        <f>IF(K525="","",
IF(AX525="PT",VLOOKUP(K525,Foundation_Calc!$K$4:$R$37,VLOOKUP(AW525,Foundation_Calc!$I$2:$J$8,2,FALSE),0),
IF(AX525="K",VLOOKUP(K525,Foundation_Calc!$K$41:$R$74,VLOOKUP(AW525,Foundation_Calc!$I$2:$J$8,2,FALSE),0),"")))</f>
        <v/>
      </c>
      <c r="BA525" s="632" t="str">
        <f t="shared" si="36"/>
        <v/>
      </c>
      <c r="BB525" s="632" t="str">
        <f t="shared" si="37"/>
        <v/>
      </c>
      <c r="BC525" s="632" t="str">
        <f t="shared" si="38"/>
        <v/>
      </c>
      <c r="BD525" s="633" t="str">
        <f>IF(AND(L525="",H525=""),"",
IF(H525="",Pole_Calc!A553,
IF(H525="MP",Pole_Calc!A554,
IF(H525="AnMP",Pole_Calc!A555,
IF(H525="A",Pole_Calc!A556,
IF(H525="S/A",Pole_Calc!A557,
IF(H525="A/S",Pole_Calc!A558,"Poner a mano")))))))</f>
        <v/>
      </c>
      <c r="BE525" s="448" t="s">
        <v>1726</v>
      </c>
      <c r="BF525" s="635"/>
      <c r="BG525" s="635"/>
      <c r="BH525" s="634"/>
      <c r="BI525" s="635"/>
    </row>
    <row r="526" spans="1:61" ht="16.2" customHeight="1">
      <c r="A526" s="12"/>
      <c r="B526" s="446"/>
      <c r="C526" s="89"/>
      <c r="D526" s="13"/>
      <c r="E526" s="14"/>
      <c r="F526" s="14"/>
      <c r="G526" s="15"/>
      <c r="H526" s="8"/>
      <c r="I526" s="8"/>
      <c r="J526" s="89"/>
      <c r="K526" s="8"/>
      <c r="L526" s="8"/>
      <c r="M526" s="8" t="str">
        <f>IF(L526="","",
IF(AX526="PT",VLOOKUP(L526,Foundation_Calc!$V$4:$X$37,VLOOKUP(AX526,Foundation_Calc!$I$10:$J$13,2,FALSE),0),
IF(AX526="K",VLOOKUP(L526,Foundation_Calc!$V$41:$X$74,VLOOKUP(AX526,Foundation_Calc!$I$10:$J$13,2,FALSE),0),"")))</f>
        <v/>
      </c>
      <c r="N526" s="8"/>
      <c r="O526" s="8"/>
      <c r="P526" s="8"/>
      <c r="Q526" s="14"/>
      <c r="R526" s="15"/>
      <c r="S526" s="15"/>
      <c r="T526" s="14"/>
      <c r="U526" s="14"/>
      <c r="V526" s="14"/>
      <c r="W526" s="18"/>
      <c r="X526" s="18"/>
      <c r="Y526" s="18"/>
      <c r="Z526" s="18"/>
      <c r="AA526" s="18"/>
      <c r="AB526" s="18"/>
      <c r="AC526" s="8" t="str">
        <f t="shared" si="35"/>
        <v/>
      </c>
      <c r="AD526" s="8"/>
      <c r="AE526" s="8"/>
      <c r="AF526" s="14"/>
      <c r="AG526" s="13"/>
      <c r="AH526" s="14"/>
      <c r="AI526" s="14"/>
      <c r="AJ526" s="8"/>
      <c r="AK526" s="8"/>
      <c r="AL526" s="8"/>
      <c r="AM526" s="8"/>
      <c r="AN526" s="631"/>
      <c r="AO526" s="18"/>
      <c r="AP526" s="18"/>
      <c r="AQ526" s="18"/>
      <c r="AR526" s="18"/>
      <c r="AS526" s="18"/>
      <c r="AU526" s="448"/>
      <c r="AV526" s="448"/>
      <c r="AW526" s="8" t="str">
        <f>IF(C526&gt;0,VLOOKUP(C526,Foundation_Calc!$A$2:$C$986,3,1),
IF(J526&gt;0,VLOOKUP(J526,Foundation_Calc!$A$2:$C$986,3,1),""))</f>
        <v/>
      </c>
      <c r="AX526" s="8" t="str">
        <f>IF(C526&gt;0,VLOOKUP(C526,Foundation_Calc!$E$2:$G$986,3,1),
IF(J526&gt;0,VLOOKUP(J526,Foundation_Calc!$E$2:$G$986,3,1),""))</f>
        <v/>
      </c>
      <c r="AY526" s="631" t="str">
        <f>IF(L526="","",
IF(AX526="PT",VLOOKUP(L526,Foundation_Calc!$K$4:$R$37,VLOOKUP(AW526,Foundation_Calc!$I$2:$J$8,2,FALSE),0),
IF(AX526="K",VLOOKUP(L526,Foundation_Calc!$K$41:$R$74,VLOOKUP(AW526,Foundation_Calc!$I$2:$J$8,2,FALSE),0),"")))</f>
        <v/>
      </c>
      <c r="AZ526" s="631" t="str">
        <f>IF(K526="","",
IF(AX526="PT",VLOOKUP(K526,Foundation_Calc!$K$4:$R$37,VLOOKUP(AW526,Foundation_Calc!$I$2:$J$8,2,FALSE),0),
IF(AX526="K",VLOOKUP(K526,Foundation_Calc!$K$41:$R$74,VLOOKUP(AW526,Foundation_Calc!$I$2:$J$8,2,FALSE),0),"")))</f>
        <v/>
      </c>
      <c r="BA526" s="632" t="str">
        <f t="shared" si="36"/>
        <v/>
      </c>
      <c r="BB526" s="632" t="str">
        <f t="shared" si="37"/>
        <v/>
      </c>
      <c r="BC526" s="632" t="str">
        <f t="shared" si="38"/>
        <v/>
      </c>
      <c r="BD526" s="633" t="str">
        <f>IF(AND(L526="",H526=""),"",
IF(H526="",Pole_Calc!A554,
IF(H526="MP",Pole_Calc!A555,
IF(H526="AnMP",Pole_Calc!A556,
IF(H526="A",Pole_Calc!A557,
IF(H526="S/A",Pole_Calc!A558,
IF(H526="A/S",Pole_Calc!A559,"Poner a mano")))))))</f>
        <v/>
      </c>
      <c r="BE526" s="448" t="s">
        <v>1726</v>
      </c>
      <c r="BF526" s="634"/>
      <c r="BG526" s="634"/>
      <c r="BH526" s="634"/>
      <c r="BI526" s="634"/>
    </row>
    <row r="527" spans="1:61" ht="16.2" customHeight="1">
      <c r="A527" s="12"/>
      <c r="B527" s="446"/>
      <c r="C527" s="89"/>
      <c r="D527" s="13"/>
      <c r="E527" s="14"/>
      <c r="F527" s="14"/>
      <c r="G527" s="15"/>
      <c r="H527" s="8"/>
      <c r="I527" s="8"/>
      <c r="J527" s="89"/>
      <c r="K527" s="8"/>
      <c r="L527" s="8"/>
      <c r="M527" s="8" t="str">
        <f>IF(L527="","",
IF(AX527="PT",VLOOKUP(L527,Foundation_Calc!$V$4:$X$37,VLOOKUP(AX527,Foundation_Calc!$I$10:$J$13,2,FALSE),0),
IF(AX527="K",VLOOKUP(L527,Foundation_Calc!$V$41:$X$74,VLOOKUP(AX527,Foundation_Calc!$I$10:$J$13,2,FALSE),0),"")))</f>
        <v/>
      </c>
      <c r="N527" s="8"/>
      <c r="O527" s="8"/>
      <c r="P527" s="8"/>
      <c r="Q527" s="14"/>
      <c r="R527" s="15"/>
      <c r="S527" s="15"/>
      <c r="T527" s="14"/>
      <c r="U527" s="14"/>
      <c r="V527" s="14"/>
      <c r="W527" s="18"/>
      <c r="X527" s="18"/>
      <c r="Y527" s="18"/>
      <c r="Z527" s="18"/>
      <c r="AA527" s="18"/>
      <c r="AB527" s="18"/>
      <c r="AC527" s="8" t="str">
        <f t="shared" si="35"/>
        <v/>
      </c>
      <c r="AD527" s="8"/>
      <c r="AE527" s="8"/>
      <c r="AF527" s="14"/>
      <c r="AG527" s="13"/>
      <c r="AH527" s="14"/>
      <c r="AI527" s="14"/>
      <c r="AJ527" s="8"/>
      <c r="AK527" s="8"/>
      <c r="AL527" s="8"/>
      <c r="AM527" s="8"/>
      <c r="AN527" s="631"/>
      <c r="AO527" s="18"/>
      <c r="AP527" s="18"/>
      <c r="AQ527" s="18"/>
      <c r="AR527" s="18"/>
      <c r="AS527" s="18"/>
      <c r="AU527" s="448"/>
      <c r="AV527" s="448"/>
      <c r="AW527" s="8" t="str">
        <f>IF(C527&gt;0,VLOOKUP(C527,Foundation_Calc!$A$2:$C$986,3,1),
IF(J527&gt;0,VLOOKUP(J527,Foundation_Calc!$A$2:$C$986,3,1),""))</f>
        <v/>
      </c>
      <c r="AX527" s="8" t="str">
        <f>IF(C527&gt;0,VLOOKUP(C527,Foundation_Calc!$E$2:$G$986,3,1),
IF(J527&gt;0,VLOOKUP(J527,Foundation_Calc!$E$2:$G$986,3,1),""))</f>
        <v/>
      </c>
      <c r="AY527" s="631" t="str">
        <f>IF(L527="","",
IF(AX527="PT",VLOOKUP(L527,Foundation_Calc!$K$4:$R$37,VLOOKUP(AW527,Foundation_Calc!$I$2:$J$8,2,FALSE),0),
IF(AX527="K",VLOOKUP(L527,Foundation_Calc!$K$41:$R$74,VLOOKUP(AW527,Foundation_Calc!$I$2:$J$8,2,FALSE),0),"")))</f>
        <v/>
      </c>
      <c r="AZ527" s="631" t="str">
        <f>IF(K527="","",
IF(AX527="PT",VLOOKUP(K527,Foundation_Calc!$K$4:$R$37,VLOOKUP(AW527,Foundation_Calc!$I$2:$J$8,2,FALSE),0),
IF(AX527="K",VLOOKUP(K527,Foundation_Calc!$K$41:$R$74,VLOOKUP(AW527,Foundation_Calc!$I$2:$J$8,2,FALSE),0),"")))</f>
        <v/>
      </c>
      <c r="BA527" s="632" t="str">
        <f t="shared" si="36"/>
        <v/>
      </c>
      <c r="BB527" s="632" t="str">
        <f t="shared" si="37"/>
        <v/>
      </c>
      <c r="BC527" s="632" t="str">
        <f t="shared" si="38"/>
        <v/>
      </c>
      <c r="BD527" s="633" t="str">
        <f>IF(AND(L527="",H527=""),"",
IF(H527="",Pole_Calc!A555,
IF(H527="MP",Pole_Calc!A556,
IF(H527="AnMP",Pole_Calc!A557,
IF(H527="A",Pole_Calc!A558,
IF(H527="S/A",Pole_Calc!A559,
IF(H527="A/S",Pole_Calc!A560,"Poner a mano")))))))</f>
        <v/>
      </c>
      <c r="BE527" s="448" t="s">
        <v>1726</v>
      </c>
      <c r="BF527" s="635"/>
      <c r="BG527" s="635"/>
      <c r="BH527" s="634"/>
      <c r="BI527" s="635"/>
    </row>
    <row r="528" spans="1:61" ht="16.2" customHeight="1">
      <c r="A528" s="12"/>
      <c r="B528" s="446"/>
      <c r="C528" s="89"/>
      <c r="D528" s="13"/>
      <c r="E528" s="14"/>
      <c r="F528" s="14"/>
      <c r="G528" s="15"/>
      <c r="H528" s="8"/>
      <c r="I528" s="8"/>
      <c r="J528" s="89"/>
      <c r="K528" s="8"/>
      <c r="L528" s="8"/>
      <c r="M528" s="8" t="str">
        <f>IF(L528="","",
IF(AX528="PT",VLOOKUP(L528,Foundation_Calc!$V$4:$X$37,VLOOKUP(AX528,Foundation_Calc!$I$10:$J$13,2,FALSE),0),
IF(AX528="K",VLOOKUP(L528,Foundation_Calc!$V$41:$X$74,VLOOKUP(AX528,Foundation_Calc!$I$10:$J$13,2,FALSE),0),"")))</f>
        <v/>
      </c>
      <c r="N528" s="8"/>
      <c r="O528" s="8"/>
      <c r="P528" s="8"/>
      <c r="Q528" s="14"/>
      <c r="R528" s="15"/>
      <c r="S528" s="15"/>
      <c r="T528" s="14"/>
      <c r="U528" s="14"/>
      <c r="V528" s="14"/>
      <c r="W528" s="18"/>
      <c r="X528" s="18"/>
      <c r="Y528" s="18"/>
      <c r="Z528" s="18"/>
      <c r="AA528" s="18"/>
      <c r="AB528" s="18"/>
      <c r="AC528" s="8" t="str">
        <f t="shared" si="35"/>
        <v/>
      </c>
      <c r="AD528" s="8"/>
      <c r="AE528" s="8"/>
      <c r="AF528" s="14"/>
      <c r="AG528" s="13"/>
      <c r="AH528" s="14"/>
      <c r="AI528" s="14"/>
      <c r="AJ528" s="8"/>
      <c r="AK528" s="8"/>
      <c r="AL528" s="8"/>
      <c r="AM528" s="8"/>
      <c r="AN528" s="631"/>
      <c r="AO528" s="18"/>
      <c r="AP528" s="18"/>
      <c r="AQ528" s="18"/>
      <c r="AR528" s="18"/>
      <c r="AS528" s="18"/>
      <c r="AU528" s="448"/>
      <c r="AV528" s="448"/>
      <c r="AW528" s="8" t="str">
        <f>IF(C528&gt;0,VLOOKUP(C528,Foundation_Calc!$A$2:$C$986,3,1),
IF(J528&gt;0,VLOOKUP(J528,Foundation_Calc!$A$2:$C$986,3,1),""))</f>
        <v/>
      </c>
      <c r="AX528" s="8" t="str">
        <f>IF(C528&gt;0,VLOOKUP(C528,Foundation_Calc!$E$2:$G$986,3,1),
IF(J528&gt;0,VLOOKUP(J528,Foundation_Calc!$E$2:$G$986,3,1),""))</f>
        <v/>
      </c>
      <c r="AY528" s="631" t="str">
        <f>IF(L528="","",
IF(AX528="PT",VLOOKUP(L528,Foundation_Calc!$K$4:$R$37,VLOOKUP(AW528,Foundation_Calc!$I$2:$J$8,2,FALSE),0),
IF(AX528="K",VLOOKUP(L528,Foundation_Calc!$K$41:$R$74,VLOOKUP(AW528,Foundation_Calc!$I$2:$J$8,2,FALSE),0),"")))</f>
        <v/>
      </c>
      <c r="AZ528" s="631" t="str">
        <f>IF(K528="","",
IF(AX528="PT",VLOOKUP(K528,Foundation_Calc!$K$4:$R$37,VLOOKUP(AW528,Foundation_Calc!$I$2:$J$8,2,FALSE),0),
IF(AX528="K",VLOOKUP(K528,Foundation_Calc!$K$41:$R$74,VLOOKUP(AW528,Foundation_Calc!$I$2:$J$8,2,FALSE),0),"")))</f>
        <v/>
      </c>
      <c r="BA528" s="632" t="str">
        <f t="shared" si="36"/>
        <v/>
      </c>
      <c r="BB528" s="632" t="str">
        <f t="shared" si="37"/>
        <v/>
      </c>
      <c r="BC528" s="632" t="str">
        <f t="shared" si="38"/>
        <v/>
      </c>
      <c r="BD528" s="633" t="str">
        <f>IF(AND(L528="",H528=""),"",
IF(H528="",Pole_Calc!A556,
IF(H528="MP",Pole_Calc!A557,
IF(H528="AnMP",Pole_Calc!A558,
IF(H528="A",Pole_Calc!A559,
IF(H528="S/A",Pole_Calc!A560,
IF(H528="A/S",Pole_Calc!A561,"Poner a mano")))))))</f>
        <v/>
      </c>
      <c r="BE528" s="448" t="s">
        <v>1726</v>
      </c>
      <c r="BF528" s="634"/>
      <c r="BG528" s="634"/>
      <c r="BH528" s="634"/>
      <c r="BI528" s="634"/>
    </row>
    <row r="529" spans="1:61" ht="16.2" customHeight="1">
      <c r="A529" s="12"/>
      <c r="B529" s="446"/>
      <c r="C529" s="89"/>
      <c r="D529" s="13"/>
      <c r="E529" s="14"/>
      <c r="F529" s="14"/>
      <c r="G529" s="15"/>
      <c r="H529" s="8"/>
      <c r="I529" s="8"/>
      <c r="J529" s="89"/>
      <c r="K529" s="8"/>
      <c r="L529" s="8"/>
      <c r="M529" s="8" t="str">
        <f>IF(L529="","",
IF(AX529="PT",VLOOKUP(L529,Foundation_Calc!$V$4:$X$37,VLOOKUP(AX529,Foundation_Calc!$I$10:$J$13,2,FALSE),0),
IF(AX529="K",VLOOKUP(L529,Foundation_Calc!$V$41:$X$74,VLOOKUP(AX529,Foundation_Calc!$I$10:$J$13,2,FALSE),0),"")))</f>
        <v/>
      </c>
      <c r="N529" s="8"/>
      <c r="O529" s="8"/>
      <c r="P529" s="8"/>
      <c r="Q529" s="14"/>
      <c r="R529" s="15"/>
      <c r="S529" s="15"/>
      <c r="T529" s="14"/>
      <c r="U529" s="14"/>
      <c r="V529" s="14"/>
      <c r="W529" s="18"/>
      <c r="X529" s="18"/>
      <c r="Y529" s="18"/>
      <c r="Z529" s="18"/>
      <c r="AA529" s="18"/>
      <c r="AB529" s="18"/>
      <c r="AC529" s="8" t="str">
        <f t="shared" si="35"/>
        <v/>
      </c>
      <c r="AD529" s="8"/>
      <c r="AE529" s="8"/>
      <c r="AF529" s="14"/>
      <c r="AG529" s="13"/>
      <c r="AH529" s="14"/>
      <c r="AI529" s="14"/>
      <c r="AJ529" s="8"/>
      <c r="AK529" s="8"/>
      <c r="AL529" s="8"/>
      <c r="AM529" s="8"/>
      <c r="AN529" s="631"/>
      <c r="AO529" s="18"/>
      <c r="AP529" s="18"/>
      <c r="AQ529" s="18"/>
      <c r="AR529" s="18"/>
      <c r="AS529" s="18"/>
      <c r="AU529" s="448"/>
      <c r="AV529" s="448"/>
      <c r="AW529" s="8" t="str">
        <f>IF(C529&gt;0,VLOOKUP(C529,Foundation_Calc!$A$2:$C$986,3,1),
IF(J529&gt;0,VLOOKUP(J529,Foundation_Calc!$A$2:$C$986,3,1),""))</f>
        <v/>
      </c>
      <c r="AX529" s="8" t="str">
        <f>IF(C529&gt;0,VLOOKUP(C529,Foundation_Calc!$E$2:$G$986,3,1),
IF(J529&gt;0,VLOOKUP(J529,Foundation_Calc!$E$2:$G$986,3,1),""))</f>
        <v/>
      </c>
      <c r="AY529" s="631" t="str">
        <f>IF(L529="","",
IF(AX529="PT",VLOOKUP(L529,Foundation_Calc!$K$4:$R$37,VLOOKUP(AW529,Foundation_Calc!$I$2:$J$8,2,FALSE),0),
IF(AX529="K",VLOOKUP(L529,Foundation_Calc!$K$41:$R$74,VLOOKUP(AW529,Foundation_Calc!$I$2:$J$8,2,FALSE),0),"")))</f>
        <v/>
      </c>
      <c r="AZ529" s="631" t="str">
        <f>IF(K529="","",
IF(AX529="PT",VLOOKUP(K529,Foundation_Calc!$K$4:$R$37,VLOOKUP(AW529,Foundation_Calc!$I$2:$J$8,2,FALSE),0),
IF(AX529="K",VLOOKUP(K529,Foundation_Calc!$K$41:$R$74,VLOOKUP(AW529,Foundation_Calc!$I$2:$J$8,2,FALSE),0),"")))</f>
        <v/>
      </c>
      <c r="BA529" s="632" t="str">
        <f t="shared" si="36"/>
        <v/>
      </c>
      <c r="BB529" s="632" t="str">
        <f t="shared" si="37"/>
        <v/>
      </c>
      <c r="BC529" s="632" t="str">
        <f t="shared" si="38"/>
        <v/>
      </c>
      <c r="BD529" s="633" t="str">
        <f>IF(AND(L529="",H529=""),"",
IF(H529="",Pole_Calc!A557,
IF(H529="MP",Pole_Calc!A558,
IF(H529="AnMP",Pole_Calc!A559,
IF(H529="A",Pole_Calc!A560,
IF(H529="S/A",Pole_Calc!A561,
IF(H529="A/S",Pole_Calc!A562,"Poner a mano")))))))</f>
        <v/>
      </c>
      <c r="BE529" s="448" t="s">
        <v>1726</v>
      </c>
      <c r="BF529" s="635"/>
      <c r="BG529" s="635"/>
      <c r="BH529" s="634"/>
      <c r="BI529" s="635"/>
    </row>
    <row r="530" spans="1:61" ht="16.2" customHeight="1">
      <c r="A530" s="12"/>
      <c r="B530" s="446"/>
      <c r="C530" s="89"/>
      <c r="D530" s="13"/>
      <c r="E530" s="14"/>
      <c r="F530" s="14"/>
      <c r="G530" s="15"/>
      <c r="H530" s="8"/>
      <c r="I530" s="8"/>
      <c r="J530" s="89"/>
      <c r="K530" s="8"/>
      <c r="L530" s="8"/>
      <c r="M530" s="8" t="str">
        <f>IF(L530="","",
IF(AX530="PT",VLOOKUP(L530,Foundation_Calc!$V$4:$X$37,VLOOKUP(AX530,Foundation_Calc!$I$10:$J$13,2,FALSE),0),
IF(AX530="K",VLOOKUP(L530,Foundation_Calc!$V$41:$X$74,VLOOKUP(AX530,Foundation_Calc!$I$10:$J$13,2,FALSE),0),"")))</f>
        <v/>
      </c>
      <c r="N530" s="8"/>
      <c r="O530" s="8"/>
      <c r="P530" s="8"/>
      <c r="Q530" s="14"/>
      <c r="R530" s="15"/>
      <c r="S530" s="15"/>
      <c r="T530" s="14"/>
      <c r="U530" s="14"/>
      <c r="V530" s="14"/>
      <c r="W530" s="18"/>
      <c r="X530" s="18"/>
      <c r="Y530" s="18"/>
      <c r="Z530" s="18"/>
      <c r="AA530" s="18"/>
      <c r="AB530" s="18"/>
      <c r="AC530" s="8" t="str">
        <f t="shared" si="35"/>
        <v/>
      </c>
      <c r="AD530" s="8"/>
      <c r="AE530" s="8"/>
      <c r="AF530" s="14"/>
      <c r="AG530" s="13"/>
      <c r="AH530" s="14"/>
      <c r="AI530" s="14"/>
      <c r="AJ530" s="8"/>
      <c r="AK530" s="8"/>
      <c r="AL530" s="8"/>
      <c r="AM530" s="8"/>
      <c r="AN530" s="631"/>
      <c r="AO530" s="18"/>
      <c r="AP530" s="18"/>
      <c r="AQ530" s="18"/>
      <c r="AR530" s="18"/>
      <c r="AS530" s="18"/>
      <c r="AU530" s="448"/>
      <c r="AV530" s="448"/>
      <c r="AW530" s="8" t="str">
        <f>IF(C530&gt;0,VLOOKUP(C530,Foundation_Calc!$A$2:$C$986,3,1),
IF(J530&gt;0,VLOOKUP(J530,Foundation_Calc!$A$2:$C$986,3,1),""))</f>
        <v/>
      </c>
      <c r="AX530" s="8" t="str">
        <f>IF(C530&gt;0,VLOOKUP(C530,Foundation_Calc!$E$2:$G$986,3,1),
IF(J530&gt;0,VLOOKUP(J530,Foundation_Calc!$E$2:$G$986,3,1),""))</f>
        <v/>
      </c>
      <c r="AY530" s="631" t="str">
        <f>IF(L530="","",
IF(AX530="PT",VLOOKUP(L530,Foundation_Calc!$K$4:$R$37,VLOOKUP(AW530,Foundation_Calc!$I$2:$J$8,2,FALSE),0),
IF(AX530="K",VLOOKUP(L530,Foundation_Calc!$K$41:$R$74,VLOOKUP(AW530,Foundation_Calc!$I$2:$J$8,2,FALSE),0),"")))</f>
        <v/>
      </c>
      <c r="AZ530" s="631" t="str">
        <f>IF(K530="","",
IF(AX530="PT",VLOOKUP(K530,Foundation_Calc!$K$4:$R$37,VLOOKUP(AW530,Foundation_Calc!$I$2:$J$8,2,FALSE),0),
IF(AX530="K",VLOOKUP(K530,Foundation_Calc!$K$41:$R$74,VLOOKUP(AW530,Foundation_Calc!$I$2:$J$8,2,FALSE),0),"")))</f>
        <v/>
      </c>
      <c r="BA530" s="632" t="str">
        <f t="shared" si="36"/>
        <v/>
      </c>
      <c r="BB530" s="632" t="str">
        <f t="shared" si="37"/>
        <v/>
      </c>
      <c r="BC530" s="632" t="str">
        <f t="shared" si="38"/>
        <v/>
      </c>
      <c r="BD530" s="633" t="str">
        <f>IF(AND(L530="",H530=""),"",
IF(H530="",Pole_Calc!A558,
IF(H530="MP",Pole_Calc!A559,
IF(H530="AnMP",Pole_Calc!A560,
IF(H530="A",Pole_Calc!A561,
IF(H530="S/A",Pole_Calc!A562,
IF(H530="A/S",Pole_Calc!A563,"Poner a mano")))))))</f>
        <v/>
      </c>
      <c r="BE530" s="448" t="s">
        <v>1726</v>
      </c>
      <c r="BF530" s="634"/>
      <c r="BG530" s="634"/>
      <c r="BH530" s="634"/>
      <c r="BI530" s="634"/>
    </row>
    <row r="531" spans="1:61" ht="16.2" customHeight="1">
      <c r="A531" s="12"/>
      <c r="B531" s="446"/>
      <c r="C531" s="89"/>
      <c r="D531" s="13"/>
      <c r="E531" s="14"/>
      <c r="F531" s="14"/>
      <c r="G531" s="15"/>
      <c r="H531" s="8"/>
      <c r="I531" s="8"/>
      <c r="J531" s="89"/>
      <c r="K531" s="8"/>
      <c r="L531" s="8"/>
      <c r="M531" s="8" t="str">
        <f>IF(L531="","",
IF(AX531="PT",VLOOKUP(L531,Foundation_Calc!$V$4:$X$37,VLOOKUP(AX531,Foundation_Calc!$I$10:$J$13,2,FALSE),0),
IF(AX531="K",VLOOKUP(L531,Foundation_Calc!$V$41:$X$74,VLOOKUP(AX531,Foundation_Calc!$I$10:$J$13,2,FALSE),0),"")))</f>
        <v/>
      </c>
      <c r="N531" s="8"/>
      <c r="O531" s="8"/>
      <c r="P531" s="8"/>
      <c r="Q531" s="14"/>
      <c r="R531" s="15"/>
      <c r="S531" s="15"/>
      <c r="T531" s="14"/>
      <c r="U531" s="14"/>
      <c r="V531" s="14"/>
      <c r="W531" s="18"/>
      <c r="X531" s="18"/>
      <c r="Y531" s="18"/>
      <c r="Z531" s="18"/>
      <c r="AA531" s="18"/>
      <c r="AB531" s="18"/>
      <c r="AC531" s="8" t="str">
        <f t="shared" si="35"/>
        <v/>
      </c>
      <c r="AD531" s="8"/>
      <c r="AE531" s="8"/>
      <c r="AF531" s="14"/>
      <c r="AG531" s="13"/>
      <c r="AH531" s="14"/>
      <c r="AI531" s="14"/>
      <c r="AJ531" s="8"/>
      <c r="AK531" s="8"/>
      <c r="AL531" s="8"/>
      <c r="AM531" s="8"/>
      <c r="AN531" s="631"/>
      <c r="AO531" s="18"/>
      <c r="AP531" s="18"/>
      <c r="AQ531" s="18"/>
      <c r="AR531" s="18"/>
      <c r="AS531" s="18"/>
      <c r="AU531" s="448"/>
      <c r="AV531" s="448"/>
      <c r="AW531" s="8" t="str">
        <f>IF(C531&gt;0,VLOOKUP(C531,Foundation_Calc!$A$2:$C$986,3,1),
IF(J531&gt;0,VLOOKUP(J531,Foundation_Calc!$A$2:$C$986,3,1),""))</f>
        <v/>
      </c>
      <c r="AX531" s="8" t="str">
        <f>IF(C531&gt;0,VLOOKUP(C531,Foundation_Calc!$E$2:$G$986,3,1),
IF(J531&gt;0,VLOOKUP(J531,Foundation_Calc!$E$2:$G$986,3,1),""))</f>
        <v/>
      </c>
      <c r="AY531" s="631" t="str">
        <f>IF(L531="","",
IF(AX531="PT",VLOOKUP(L531,Foundation_Calc!$K$4:$R$37,VLOOKUP(AW531,Foundation_Calc!$I$2:$J$8,2,FALSE),0),
IF(AX531="K",VLOOKUP(L531,Foundation_Calc!$K$41:$R$74,VLOOKUP(AW531,Foundation_Calc!$I$2:$J$8,2,FALSE),0),"")))</f>
        <v/>
      </c>
      <c r="AZ531" s="631" t="str">
        <f>IF(K531="","",
IF(AX531="PT",VLOOKUP(K531,Foundation_Calc!$K$4:$R$37,VLOOKUP(AW531,Foundation_Calc!$I$2:$J$8,2,FALSE),0),
IF(AX531="K",VLOOKUP(K531,Foundation_Calc!$K$41:$R$74,VLOOKUP(AW531,Foundation_Calc!$I$2:$J$8,2,FALSE),0),"")))</f>
        <v/>
      </c>
      <c r="BA531" s="632" t="str">
        <f t="shared" si="36"/>
        <v/>
      </c>
      <c r="BB531" s="632" t="str">
        <f t="shared" si="37"/>
        <v/>
      </c>
      <c r="BC531" s="632" t="str">
        <f t="shared" si="38"/>
        <v/>
      </c>
      <c r="BD531" s="633" t="str">
        <f>IF(AND(L531="",H531=""),"",
IF(H531="",Pole_Calc!A559,
IF(H531="MP",Pole_Calc!A560,
IF(H531="AnMP",Pole_Calc!A561,
IF(H531="A",Pole_Calc!A562,
IF(H531="S/A",Pole_Calc!A563,
IF(H531="A/S",Pole_Calc!A564,"Poner a mano")))))))</f>
        <v/>
      </c>
      <c r="BE531" s="448" t="s">
        <v>1726</v>
      </c>
      <c r="BF531" s="635"/>
      <c r="BG531" s="635"/>
      <c r="BH531" s="634"/>
      <c r="BI531" s="635"/>
    </row>
    <row r="532" spans="1:61" ht="16.2" customHeight="1">
      <c r="A532" s="12"/>
      <c r="B532" s="446"/>
      <c r="C532" s="89"/>
      <c r="D532" s="13"/>
      <c r="E532" s="14"/>
      <c r="F532" s="14"/>
      <c r="G532" s="15"/>
      <c r="H532" s="8"/>
      <c r="I532" s="8"/>
      <c r="J532" s="89"/>
      <c r="K532" s="8"/>
      <c r="L532" s="8"/>
      <c r="M532" s="8" t="str">
        <f>IF(L532="","",
IF(AX532="PT",VLOOKUP(L532,Foundation_Calc!$V$4:$X$37,VLOOKUP(AX532,Foundation_Calc!$I$10:$J$13,2,FALSE),0),
IF(AX532="K",VLOOKUP(L532,Foundation_Calc!$V$41:$X$74,VLOOKUP(AX532,Foundation_Calc!$I$10:$J$13,2,FALSE),0),"")))</f>
        <v/>
      </c>
      <c r="N532" s="8"/>
      <c r="O532" s="8"/>
      <c r="P532" s="8"/>
      <c r="Q532" s="14"/>
      <c r="R532" s="15"/>
      <c r="S532" s="15"/>
      <c r="T532" s="14"/>
      <c r="U532" s="14"/>
      <c r="V532" s="14"/>
      <c r="W532" s="18"/>
      <c r="X532" s="18"/>
      <c r="Y532" s="18"/>
      <c r="Z532" s="18"/>
      <c r="AA532" s="18"/>
      <c r="AB532" s="18"/>
      <c r="AC532" s="8" t="str">
        <f t="shared" si="35"/>
        <v/>
      </c>
      <c r="AD532" s="8"/>
      <c r="AE532" s="8"/>
      <c r="AF532" s="14"/>
      <c r="AG532" s="13"/>
      <c r="AH532" s="14"/>
      <c r="AI532" s="14"/>
      <c r="AJ532" s="8"/>
      <c r="AK532" s="8"/>
      <c r="AL532" s="8"/>
      <c r="AM532" s="8"/>
      <c r="AN532" s="631"/>
      <c r="AO532" s="18"/>
      <c r="AP532" s="18"/>
      <c r="AQ532" s="18"/>
      <c r="AR532" s="18"/>
      <c r="AS532" s="18"/>
      <c r="AU532" s="448"/>
      <c r="AV532" s="448"/>
      <c r="AW532" s="8" t="str">
        <f>IF(C532&gt;0,VLOOKUP(C532,Foundation_Calc!$A$2:$C$986,3,1),
IF(J532&gt;0,VLOOKUP(J532,Foundation_Calc!$A$2:$C$986,3,1),""))</f>
        <v/>
      </c>
      <c r="AX532" s="8" t="str">
        <f>IF(C532&gt;0,VLOOKUP(C532,Foundation_Calc!$E$2:$G$986,3,1),
IF(J532&gt;0,VLOOKUP(J532,Foundation_Calc!$E$2:$G$986,3,1),""))</f>
        <v/>
      </c>
      <c r="AY532" s="631" t="str">
        <f>IF(L532="","",
IF(AX532="PT",VLOOKUP(L532,Foundation_Calc!$K$4:$R$37,VLOOKUP(AW532,Foundation_Calc!$I$2:$J$8,2,FALSE),0),
IF(AX532="K",VLOOKUP(L532,Foundation_Calc!$K$41:$R$74,VLOOKUP(AW532,Foundation_Calc!$I$2:$J$8,2,FALSE),0),"")))</f>
        <v/>
      </c>
      <c r="AZ532" s="631" t="str">
        <f>IF(K532="","",
IF(AX532="PT",VLOOKUP(K532,Foundation_Calc!$K$4:$R$37,VLOOKUP(AW532,Foundation_Calc!$I$2:$J$8,2,FALSE),0),
IF(AX532="K",VLOOKUP(K532,Foundation_Calc!$K$41:$R$74,VLOOKUP(AW532,Foundation_Calc!$I$2:$J$8,2,FALSE),0),"")))</f>
        <v/>
      </c>
      <c r="BA532" s="632" t="str">
        <f t="shared" si="36"/>
        <v/>
      </c>
      <c r="BB532" s="632" t="str">
        <f t="shared" si="37"/>
        <v/>
      </c>
      <c r="BC532" s="632" t="str">
        <f t="shared" si="38"/>
        <v/>
      </c>
      <c r="BD532" s="633" t="str">
        <f>IF(AND(L532="",H532=""),"",
IF(H532="",Pole_Calc!A560,
IF(H532="MP",Pole_Calc!A561,
IF(H532="AnMP",Pole_Calc!A562,
IF(H532="A",Pole_Calc!A563,
IF(H532="S/A",Pole_Calc!A564,
IF(H532="A/S",Pole_Calc!A565,"Poner a mano")))))))</f>
        <v/>
      </c>
      <c r="BE532" s="448" t="s">
        <v>1726</v>
      </c>
      <c r="BF532" s="634"/>
      <c r="BG532" s="634"/>
      <c r="BH532" s="634"/>
      <c r="BI532" s="634"/>
    </row>
    <row r="533" spans="1:61" ht="16.2" customHeight="1">
      <c r="A533" s="12"/>
      <c r="B533" s="446"/>
      <c r="C533" s="89"/>
      <c r="D533" s="13"/>
      <c r="E533" s="14"/>
      <c r="F533" s="14"/>
      <c r="G533" s="15"/>
      <c r="H533" s="8"/>
      <c r="I533" s="8"/>
      <c r="J533" s="89"/>
      <c r="K533" s="8"/>
      <c r="L533" s="8"/>
      <c r="M533" s="8" t="str">
        <f>IF(L533="","",
IF(AX533="PT",VLOOKUP(L533,Foundation_Calc!$V$4:$X$37,VLOOKUP(AX533,Foundation_Calc!$I$10:$J$13,2,FALSE),0),
IF(AX533="K",VLOOKUP(L533,Foundation_Calc!$V$41:$X$74,VLOOKUP(AX533,Foundation_Calc!$I$10:$J$13,2,FALSE),0),"")))</f>
        <v/>
      </c>
      <c r="N533" s="8"/>
      <c r="O533" s="8"/>
      <c r="P533" s="8"/>
      <c r="Q533" s="14"/>
      <c r="R533" s="15"/>
      <c r="S533" s="15"/>
      <c r="T533" s="14"/>
      <c r="U533" s="14"/>
      <c r="V533" s="14"/>
      <c r="W533" s="18"/>
      <c r="X533" s="18"/>
      <c r="Y533" s="18"/>
      <c r="Z533" s="18"/>
      <c r="AA533" s="18"/>
      <c r="AB533" s="18"/>
      <c r="AC533" s="8" t="str">
        <f t="shared" si="35"/>
        <v/>
      </c>
      <c r="AD533" s="8"/>
      <c r="AE533" s="8"/>
      <c r="AF533" s="14"/>
      <c r="AG533" s="13"/>
      <c r="AH533" s="14"/>
      <c r="AI533" s="14"/>
      <c r="AJ533" s="8"/>
      <c r="AK533" s="8"/>
      <c r="AL533" s="8"/>
      <c r="AM533" s="8"/>
      <c r="AN533" s="631"/>
      <c r="AO533" s="18"/>
      <c r="AP533" s="18"/>
      <c r="AQ533" s="18"/>
      <c r="AR533" s="18"/>
      <c r="AS533" s="18"/>
      <c r="AU533" s="448"/>
      <c r="AV533" s="448"/>
      <c r="AW533" s="8" t="str">
        <f>IF(C533&gt;0,VLOOKUP(C533,Foundation_Calc!$A$2:$C$986,3,1),
IF(J533&gt;0,VLOOKUP(J533,Foundation_Calc!$A$2:$C$986,3,1),""))</f>
        <v/>
      </c>
      <c r="AX533" s="8" t="str">
        <f>IF(C533&gt;0,VLOOKUP(C533,Foundation_Calc!$E$2:$G$986,3,1),
IF(J533&gt;0,VLOOKUP(J533,Foundation_Calc!$E$2:$G$986,3,1),""))</f>
        <v/>
      </c>
      <c r="AY533" s="631" t="str">
        <f>IF(L533="","",
IF(AX533="PT",VLOOKUP(L533,Foundation_Calc!$K$4:$R$37,VLOOKUP(AW533,Foundation_Calc!$I$2:$J$8,2,FALSE),0),
IF(AX533="K",VLOOKUP(L533,Foundation_Calc!$K$41:$R$74,VLOOKUP(AW533,Foundation_Calc!$I$2:$J$8,2,FALSE),0),"")))</f>
        <v/>
      </c>
      <c r="AZ533" s="631" t="str">
        <f>IF(K533="","",
IF(AX533="PT",VLOOKUP(K533,Foundation_Calc!$K$4:$R$37,VLOOKUP(AW533,Foundation_Calc!$I$2:$J$8,2,FALSE),0),
IF(AX533="K",VLOOKUP(K533,Foundation_Calc!$K$41:$R$74,VLOOKUP(AW533,Foundation_Calc!$I$2:$J$8,2,FALSE),0),"")))</f>
        <v/>
      </c>
      <c r="BA533" s="632" t="str">
        <f t="shared" si="36"/>
        <v/>
      </c>
      <c r="BB533" s="632" t="str">
        <f t="shared" si="37"/>
        <v/>
      </c>
      <c r="BC533" s="632" t="str">
        <f t="shared" si="38"/>
        <v/>
      </c>
      <c r="BD533" s="633" t="str">
        <f>IF(AND(L533="",H533=""),"",
IF(H533="",Pole_Calc!A561,
IF(H533="MP",Pole_Calc!A562,
IF(H533="AnMP",Pole_Calc!A563,
IF(H533="A",Pole_Calc!A564,
IF(H533="S/A",Pole_Calc!A565,
IF(H533="A/S",Pole_Calc!A566,"Poner a mano")))))))</f>
        <v/>
      </c>
      <c r="BE533" s="448" t="s">
        <v>1726</v>
      </c>
      <c r="BF533" s="635"/>
      <c r="BG533" s="635"/>
      <c r="BH533" s="634"/>
      <c r="BI533" s="635"/>
    </row>
    <row r="534" spans="1:61" ht="16.2" customHeight="1">
      <c r="A534" s="12"/>
      <c r="B534" s="446"/>
      <c r="C534" s="89"/>
      <c r="D534" s="13"/>
      <c r="E534" s="14"/>
      <c r="F534" s="14"/>
      <c r="G534" s="15"/>
      <c r="H534" s="8"/>
      <c r="I534" s="8"/>
      <c r="J534" s="89"/>
      <c r="K534" s="8"/>
      <c r="L534" s="8"/>
      <c r="M534" s="8" t="str">
        <f>IF(L534="","",
IF(AX534="PT",VLOOKUP(L534,Foundation_Calc!$V$4:$X$37,VLOOKUP(AX534,Foundation_Calc!$I$10:$J$13,2,FALSE),0),
IF(AX534="K",VLOOKUP(L534,Foundation_Calc!$V$41:$X$74,VLOOKUP(AX534,Foundation_Calc!$I$10:$J$13,2,FALSE),0),"")))</f>
        <v/>
      </c>
      <c r="N534" s="8"/>
      <c r="O534" s="8"/>
      <c r="P534" s="8"/>
      <c r="Q534" s="14"/>
      <c r="R534" s="15"/>
      <c r="S534" s="15"/>
      <c r="T534" s="14"/>
      <c r="U534" s="14"/>
      <c r="V534" s="14"/>
      <c r="W534" s="18"/>
      <c r="X534" s="18"/>
      <c r="Y534" s="18"/>
      <c r="Z534" s="18"/>
      <c r="AA534" s="18"/>
      <c r="AB534" s="18"/>
      <c r="AC534" s="8" t="str">
        <f t="shared" si="35"/>
        <v/>
      </c>
      <c r="AD534" s="8"/>
      <c r="AE534" s="8"/>
      <c r="AF534" s="14"/>
      <c r="AG534" s="13"/>
      <c r="AH534" s="14"/>
      <c r="AI534" s="14"/>
      <c r="AJ534" s="8"/>
      <c r="AK534" s="8"/>
      <c r="AL534" s="8"/>
      <c r="AM534" s="8"/>
      <c r="AN534" s="631"/>
      <c r="AO534" s="18"/>
      <c r="AP534" s="18"/>
      <c r="AQ534" s="18"/>
      <c r="AR534" s="18"/>
      <c r="AS534" s="18"/>
      <c r="AU534" s="448"/>
      <c r="AV534" s="448"/>
      <c r="AW534" s="8" t="str">
        <f>IF(C534&gt;0,VLOOKUP(C534,Foundation_Calc!$A$2:$C$986,3,1),
IF(J534&gt;0,VLOOKUP(J534,Foundation_Calc!$A$2:$C$986,3,1),""))</f>
        <v/>
      </c>
      <c r="AX534" s="8" t="str">
        <f>IF(C534&gt;0,VLOOKUP(C534,Foundation_Calc!$E$2:$G$986,3,1),
IF(J534&gt;0,VLOOKUP(J534,Foundation_Calc!$E$2:$G$986,3,1),""))</f>
        <v/>
      </c>
      <c r="AY534" s="631" t="str">
        <f>IF(L534="","",
IF(AX534="PT",VLOOKUP(L534,Foundation_Calc!$K$4:$R$37,VLOOKUP(AW534,Foundation_Calc!$I$2:$J$8,2,FALSE),0),
IF(AX534="K",VLOOKUP(L534,Foundation_Calc!$K$41:$R$74,VLOOKUP(AW534,Foundation_Calc!$I$2:$J$8,2,FALSE),0),"")))</f>
        <v/>
      </c>
      <c r="AZ534" s="631" t="str">
        <f>IF(K534="","",
IF(AX534="PT",VLOOKUP(K534,Foundation_Calc!$K$4:$R$37,VLOOKUP(AW534,Foundation_Calc!$I$2:$J$8,2,FALSE),0),
IF(AX534="K",VLOOKUP(K534,Foundation_Calc!$K$41:$R$74,VLOOKUP(AW534,Foundation_Calc!$I$2:$J$8,2,FALSE),0),"")))</f>
        <v/>
      </c>
      <c r="BA534" s="632" t="str">
        <f t="shared" si="36"/>
        <v/>
      </c>
      <c r="BB534" s="632" t="str">
        <f t="shared" si="37"/>
        <v/>
      </c>
      <c r="BC534" s="632" t="str">
        <f t="shared" si="38"/>
        <v/>
      </c>
      <c r="BD534" s="633" t="str">
        <f>IF(AND(L534="",H534=""),"",
IF(H534="",Pole_Calc!A562,
IF(H534="MP",Pole_Calc!A563,
IF(H534="AnMP",Pole_Calc!A564,
IF(H534="A",Pole_Calc!A565,
IF(H534="S/A",Pole_Calc!A566,
IF(H534="A/S",Pole_Calc!A567,"Poner a mano")))))))</f>
        <v/>
      </c>
      <c r="BE534" s="448" t="s">
        <v>1726</v>
      </c>
      <c r="BF534" s="634"/>
      <c r="BG534" s="634"/>
      <c r="BH534" s="634"/>
      <c r="BI534" s="634"/>
    </row>
    <row r="535" spans="1:61" ht="16.2" customHeight="1">
      <c r="A535" s="12"/>
      <c r="B535" s="446"/>
      <c r="C535" s="89"/>
      <c r="D535" s="13"/>
      <c r="E535" s="14"/>
      <c r="F535" s="14"/>
      <c r="G535" s="15"/>
      <c r="H535" s="8"/>
      <c r="I535" s="8"/>
      <c r="J535" s="89"/>
      <c r="K535" s="8"/>
      <c r="L535" s="8"/>
      <c r="M535" s="8" t="str">
        <f>IF(L535="","",
IF(AX535="PT",VLOOKUP(L535,Foundation_Calc!$V$4:$X$37,VLOOKUP(AX535,Foundation_Calc!$I$10:$J$13,2,FALSE),0),
IF(AX535="K",VLOOKUP(L535,Foundation_Calc!$V$41:$X$74,VLOOKUP(AX535,Foundation_Calc!$I$10:$J$13,2,FALSE),0),"")))</f>
        <v/>
      </c>
      <c r="N535" s="8"/>
      <c r="O535" s="8"/>
      <c r="P535" s="8"/>
      <c r="Q535" s="14"/>
      <c r="R535" s="15"/>
      <c r="S535" s="15"/>
      <c r="T535" s="14"/>
      <c r="U535" s="14"/>
      <c r="V535" s="14"/>
      <c r="W535" s="18"/>
      <c r="X535" s="18"/>
      <c r="Y535" s="18"/>
      <c r="Z535" s="18"/>
      <c r="AA535" s="18"/>
      <c r="AB535" s="18"/>
      <c r="AC535" s="8" t="str">
        <f t="shared" si="35"/>
        <v/>
      </c>
      <c r="AD535" s="8"/>
      <c r="AE535" s="8"/>
      <c r="AF535" s="14"/>
      <c r="AG535" s="13"/>
      <c r="AH535" s="14"/>
      <c r="AI535" s="14"/>
      <c r="AJ535" s="8"/>
      <c r="AK535" s="8"/>
      <c r="AL535" s="8"/>
      <c r="AM535" s="8"/>
      <c r="AN535" s="631"/>
      <c r="AO535" s="18"/>
      <c r="AP535" s="18"/>
      <c r="AQ535" s="18"/>
      <c r="AR535" s="18"/>
      <c r="AS535" s="18"/>
      <c r="AU535" s="448"/>
      <c r="AV535" s="448"/>
      <c r="AW535" s="8" t="str">
        <f>IF(C535&gt;0,VLOOKUP(C535,Foundation_Calc!$A$2:$C$986,3,1),
IF(J535&gt;0,VLOOKUP(J535,Foundation_Calc!$A$2:$C$986,3,1),""))</f>
        <v/>
      </c>
      <c r="AX535" s="8" t="str">
        <f>IF(C535&gt;0,VLOOKUP(C535,Foundation_Calc!$E$2:$G$986,3,1),
IF(J535&gt;0,VLOOKUP(J535,Foundation_Calc!$E$2:$G$986,3,1),""))</f>
        <v/>
      </c>
      <c r="AY535" s="631" t="str">
        <f>IF(L535="","",
IF(AX535="PT",VLOOKUP(L535,Foundation_Calc!$K$4:$R$37,VLOOKUP(AW535,Foundation_Calc!$I$2:$J$8,2,FALSE),0),
IF(AX535="K",VLOOKUP(L535,Foundation_Calc!$K$41:$R$74,VLOOKUP(AW535,Foundation_Calc!$I$2:$J$8,2,FALSE),0),"")))</f>
        <v/>
      </c>
      <c r="AZ535" s="631" t="str">
        <f>IF(K535="","",
IF(AX535="PT",VLOOKUP(K535,Foundation_Calc!$K$4:$R$37,VLOOKUP(AW535,Foundation_Calc!$I$2:$J$8,2,FALSE),0),
IF(AX535="K",VLOOKUP(K535,Foundation_Calc!$K$41:$R$74,VLOOKUP(AW535,Foundation_Calc!$I$2:$J$8,2,FALSE),0),"")))</f>
        <v/>
      </c>
      <c r="BA535" s="632" t="str">
        <f t="shared" si="36"/>
        <v/>
      </c>
      <c r="BB535" s="632" t="str">
        <f t="shared" si="37"/>
        <v/>
      </c>
      <c r="BC535" s="632" t="str">
        <f t="shared" si="38"/>
        <v/>
      </c>
      <c r="BD535" s="633" t="str">
        <f>IF(AND(L535="",H535=""),"",
IF(H535="",Pole_Calc!A563,
IF(H535="MP",Pole_Calc!A564,
IF(H535="AnMP",Pole_Calc!A565,
IF(H535="A",Pole_Calc!A566,
IF(H535="S/A",Pole_Calc!A567,
IF(H535="A/S",Pole_Calc!A568,"Poner a mano")))))))</f>
        <v/>
      </c>
      <c r="BE535" s="448" t="s">
        <v>1726</v>
      </c>
      <c r="BF535" s="635"/>
      <c r="BG535" s="635"/>
      <c r="BH535" s="634"/>
      <c r="BI535" s="635"/>
    </row>
    <row r="536" spans="1:61" ht="16.2" customHeight="1">
      <c r="A536" s="12"/>
      <c r="B536" s="446"/>
      <c r="C536" s="89"/>
      <c r="D536" s="13"/>
      <c r="E536" s="14"/>
      <c r="F536" s="14"/>
      <c r="G536" s="15"/>
      <c r="H536" s="8"/>
      <c r="I536" s="8"/>
      <c r="J536" s="89"/>
      <c r="K536" s="8"/>
      <c r="L536" s="8"/>
      <c r="M536" s="8" t="str">
        <f>IF(L536="","",
IF(AX536="PT",VLOOKUP(L536,Foundation_Calc!$V$4:$X$37,VLOOKUP(AX536,Foundation_Calc!$I$10:$J$13,2,FALSE),0),
IF(AX536="K",VLOOKUP(L536,Foundation_Calc!$V$41:$X$74,VLOOKUP(AX536,Foundation_Calc!$I$10:$J$13,2,FALSE),0),"")))</f>
        <v/>
      </c>
      <c r="N536" s="8"/>
      <c r="O536" s="8"/>
      <c r="P536" s="8"/>
      <c r="Q536" s="14"/>
      <c r="R536" s="15"/>
      <c r="S536" s="15"/>
      <c r="T536" s="14"/>
      <c r="U536" s="14"/>
      <c r="V536" s="14"/>
      <c r="W536" s="18"/>
      <c r="X536" s="18"/>
      <c r="Y536" s="18"/>
      <c r="Z536" s="18"/>
      <c r="AA536" s="18"/>
      <c r="AB536" s="18"/>
      <c r="AC536" s="8" t="str">
        <f t="shared" si="35"/>
        <v/>
      </c>
      <c r="AD536" s="8"/>
      <c r="AE536" s="8"/>
      <c r="AF536" s="14"/>
      <c r="AG536" s="13"/>
      <c r="AH536" s="14"/>
      <c r="AI536" s="14"/>
      <c r="AJ536" s="8"/>
      <c r="AK536" s="8"/>
      <c r="AL536" s="8"/>
      <c r="AM536" s="8"/>
      <c r="AN536" s="631"/>
      <c r="AO536" s="18"/>
      <c r="AP536" s="18"/>
      <c r="AQ536" s="18"/>
      <c r="AR536" s="18"/>
      <c r="AS536" s="18"/>
      <c r="AU536" s="448"/>
      <c r="AV536" s="448"/>
      <c r="AW536" s="8" t="str">
        <f>IF(C536&gt;0,VLOOKUP(C536,Foundation_Calc!$A$2:$C$986,3,1),
IF(J536&gt;0,VLOOKUP(J536,Foundation_Calc!$A$2:$C$986,3,1),""))</f>
        <v/>
      </c>
      <c r="AX536" s="8" t="str">
        <f>IF(C536&gt;0,VLOOKUP(C536,Foundation_Calc!$E$2:$G$986,3,1),
IF(J536&gt;0,VLOOKUP(J536,Foundation_Calc!$E$2:$G$986,3,1),""))</f>
        <v/>
      </c>
      <c r="AY536" s="631" t="str">
        <f>IF(L536="","",
IF(AX536="PT",VLOOKUP(L536,Foundation_Calc!$K$4:$R$37,VLOOKUP(AW536,Foundation_Calc!$I$2:$J$8,2,FALSE),0),
IF(AX536="K",VLOOKUP(L536,Foundation_Calc!$K$41:$R$74,VLOOKUP(AW536,Foundation_Calc!$I$2:$J$8,2,FALSE),0),"")))</f>
        <v/>
      </c>
      <c r="AZ536" s="631" t="str">
        <f>IF(K536="","",
IF(AX536="PT",VLOOKUP(K536,Foundation_Calc!$K$4:$R$37,VLOOKUP(AW536,Foundation_Calc!$I$2:$J$8,2,FALSE),0),
IF(AX536="K",VLOOKUP(K536,Foundation_Calc!$K$41:$R$74,VLOOKUP(AW536,Foundation_Calc!$I$2:$J$8,2,FALSE),0),"")))</f>
        <v/>
      </c>
      <c r="BA536" s="632" t="str">
        <f t="shared" si="36"/>
        <v/>
      </c>
      <c r="BB536" s="632" t="str">
        <f t="shared" si="37"/>
        <v/>
      </c>
      <c r="BC536" s="632" t="str">
        <f t="shared" si="38"/>
        <v/>
      </c>
      <c r="BD536" s="633" t="str">
        <f>IF(AND(L536="",H536=""),"",
IF(H536="",Pole_Calc!A564,
IF(H536="MP",Pole_Calc!A565,
IF(H536="AnMP",Pole_Calc!A566,
IF(H536="A",Pole_Calc!A567,
IF(H536="S/A",Pole_Calc!A568,
IF(H536="A/S",Pole_Calc!A569,"Poner a mano")))))))</f>
        <v/>
      </c>
      <c r="BE536" s="448" t="s">
        <v>1726</v>
      </c>
      <c r="BF536" s="634"/>
      <c r="BG536" s="634"/>
      <c r="BH536" s="634"/>
      <c r="BI536" s="634"/>
    </row>
    <row r="537" spans="1:61" ht="16.2" customHeight="1">
      <c r="A537" s="12"/>
      <c r="B537" s="446"/>
      <c r="C537" s="89"/>
      <c r="D537" s="13"/>
      <c r="E537" s="14"/>
      <c r="F537" s="14"/>
      <c r="G537" s="15"/>
      <c r="H537" s="8"/>
      <c r="I537" s="8"/>
      <c r="J537" s="89"/>
      <c r="K537" s="8"/>
      <c r="L537" s="8"/>
      <c r="M537" s="8" t="str">
        <f>IF(L537="","",
IF(AX537="PT",VLOOKUP(L537,Foundation_Calc!$V$4:$X$37,VLOOKUP(AX537,Foundation_Calc!$I$10:$J$13,2,FALSE),0),
IF(AX537="K",VLOOKUP(L537,Foundation_Calc!$V$41:$X$74,VLOOKUP(AX537,Foundation_Calc!$I$10:$J$13,2,FALSE),0),"")))</f>
        <v/>
      </c>
      <c r="N537" s="8"/>
      <c r="O537" s="8"/>
      <c r="P537" s="8"/>
      <c r="Q537" s="14"/>
      <c r="R537" s="15"/>
      <c r="S537" s="15"/>
      <c r="T537" s="14"/>
      <c r="U537" s="14"/>
      <c r="V537" s="14"/>
      <c r="W537" s="18"/>
      <c r="X537" s="18"/>
      <c r="Y537" s="18"/>
      <c r="Z537" s="18"/>
      <c r="AA537" s="18"/>
      <c r="AB537" s="18"/>
      <c r="AC537" s="8" t="str">
        <f t="shared" si="35"/>
        <v/>
      </c>
      <c r="AD537" s="8"/>
      <c r="AE537" s="8"/>
      <c r="AF537" s="14"/>
      <c r="AG537" s="13"/>
      <c r="AH537" s="14"/>
      <c r="AI537" s="14"/>
      <c r="AJ537" s="8"/>
      <c r="AK537" s="8"/>
      <c r="AL537" s="8"/>
      <c r="AM537" s="8"/>
      <c r="AN537" s="631"/>
      <c r="AO537" s="18"/>
      <c r="AP537" s="18"/>
      <c r="AQ537" s="18"/>
      <c r="AR537" s="18"/>
      <c r="AS537" s="18"/>
      <c r="AU537" s="448"/>
      <c r="AV537" s="448"/>
      <c r="AW537" s="8" t="str">
        <f>IF(C537&gt;0,VLOOKUP(C537,Foundation_Calc!$A$2:$C$986,3,1),
IF(J537&gt;0,VLOOKUP(J537,Foundation_Calc!$A$2:$C$986,3,1),""))</f>
        <v/>
      </c>
      <c r="AX537" s="8" t="str">
        <f>IF(C537&gt;0,VLOOKUP(C537,Foundation_Calc!$E$2:$G$986,3,1),
IF(J537&gt;0,VLOOKUP(J537,Foundation_Calc!$E$2:$G$986,3,1),""))</f>
        <v/>
      </c>
      <c r="AY537" s="631" t="str">
        <f>IF(L537="","",
IF(AX537="PT",VLOOKUP(L537,Foundation_Calc!$K$4:$R$37,VLOOKUP(AW537,Foundation_Calc!$I$2:$J$8,2,FALSE),0),
IF(AX537="K",VLOOKUP(L537,Foundation_Calc!$K$41:$R$74,VLOOKUP(AW537,Foundation_Calc!$I$2:$J$8,2,FALSE),0),"")))</f>
        <v/>
      </c>
      <c r="AZ537" s="631" t="str">
        <f>IF(K537="","",
IF(AX537="PT",VLOOKUP(K537,Foundation_Calc!$K$4:$R$37,VLOOKUP(AW537,Foundation_Calc!$I$2:$J$8,2,FALSE),0),
IF(AX537="K",VLOOKUP(K537,Foundation_Calc!$K$41:$R$74,VLOOKUP(AW537,Foundation_Calc!$I$2:$J$8,2,FALSE),0),"")))</f>
        <v/>
      </c>
      <c r="BA537" s="632" t="str">
        <f t="shared" si="36"/>
        <v/>
      </c>
      <c r="BB537" s="632" t="str">
        <f t="shared" si="37"/>
        <v/>
      </c>
      <c r="BC537" s="632" t="str">
        <f t="shared" si="38"/>
        <v/>
      </c>
      <c r="BD537" s="633" t="str">
        <f>IF(AND(L537="",H537=""),"",
IF(H537="",Pole_Calc!A565,
IF(H537="MP",Pole_Calc!A566,
IF(H537="AnMP",Pole_Calc!A567,
IF(H537="A",Pole_Calc!A568,
IF(H537="S/A",Pole_Calc!A569,
IF(H537="A/S",Pole_Calc!A570,"Poner a mano")))))))</f>
        <v/>
      </c>
      <c r="BE537" s="448" t="s">
        <v>1726</v>
      </c>
      <c r="BF537" s="635"/>
      <c r="BG537" s="635"/>
      <c r="BH537" s="634"/>
      <c r="BI537" s="635"/>
    </row>
    <row r="538" spans="1:61" ht="16.2" customHeight="1">
      <c r="A538" s="12"/>
      <c r="B538" s="446"/>
      <c r="C538" s="89"/>
      <c r="D538" s="13"/>
      <c r="E538" s="14"/>
      <c r="F538" s="14"/>
      <c r="G538" s="15"/>
      <c r="H538" s="8"/>
      <c r="I538" s="8"/>
      <c r="J538" s="89"/>
      <c r="K538" s="8"/>
      <c r="L538" s="8"/>
      <c r="M538" s="8" t="str">
        <f>IF(L538="","",
IF(AX538="PT",VLOOKUP(L538,Foundation_Calc!$V$4:$X$37,VLOOKUP(AX538,Foundation_Calc!$I$10:$J$13,2,FALSE),0),
IF(AX538="K",VLOOKUP(L538,Foundation_Calc!$V$41:$X$74,VLOOKUP(AX538,Foundation_Calc!$I$10:$J$13,2,FALSE),0),"")))</f>
        <v/>
      </c>
      <c r="N538" s="8"/>
      <c r="O538" s="8"/>
      <c r="P538" s="8"/>
      <c r="Q538" s="14"/>
      <c r="R538" s="15"/>
      <c r="S538" s="15"/>
      <c r="T538" s="14"/>
      <c r="U538" s="14"/>
      <c r="V538" s="14"/>
      <c r="W538" s="18"/>
      <c r="X538" s="18"/>
      <c r="Y538" s="18"/>
      <c r="Z538" s="18"/>
      <c r="AA538" s="18"/>
      <c r="AB538" s="18"/>
      <c r="AC538" s="8" t="str">
        <f t="shared" si="35"/>
        <v/>
      </c>
      <c r="AD538" s="8"/>
      <c r="AE538" s="8"/>
      <c r="AF538" s="14"/>
      <c r="AG538" s="13"/>
      <c r="AH538" s="14"/>
      <c r="AI538" s="14"/>
      <c r="AJ538" s="8"/>
      <c r="AK538" s="8"/>
      <c r="AL538" s="8"/>
      <c r="AM538" s="8"/>
      <c r="AN538" s="631"/>
      <c r="AO538" s="18"/>
      <c r="AP538" s="18"/>
      <c r="AQ538" s="18"/>
      <c r="AR538" s="18"/>
      <c r="AS538" s="18"/>
      <c r="AU538" s="448"/>
      <c r="AV538" s="448"/>
      <c r="AW538" s="8" t="str">
        <f>IF(C538&gt;0,VLOOKUP(C538,Foundation_Calc!$A$2:$C$986,3,1),
IF(J538&gt;0,VLOOKUP(J538,Foundation_Calc!$A$2:$C$986,3,1),""))</f>
        <v/>
      </c>
      <c r="AX538" s="8" t="str">
        <f>IF(C538&gt;0,VLOOKUP(C538,Foundation_Calc!$E$2:$G$986,3,1),
IF(J538&gt;0,VLOOKUP(J538,Foundation_Calc!$E$2:$G$986,3,1),""))</f>
        <v/>
      </c>
      <c r="AY538" s="631" t="str">
        <f>IF(L538="","",
IF(AX538="PT",VLOOKUP(L538,Foundation_Calc!$K$4:$R$37,VLOOKUP(AW538,Foundation_Calc!$I$2:$J$8,2,FALSE),0),
IF(AX538="K",VLOOKUP(L538,Foundation_Calc!$K$41:$R$74,VLOOKUP(AW538,Foundation_Calc!$I$2:$J$8,2,FALSE),0),"")))</f>
        <v/>
      </c>
      <c r="AZ538" s="631" t="str">
        <f>IF(K538="","",
IF(AX538="PT",VLOOKUP(K538,Foundation_Calc!$K$4:$R$37,VLOOKUP(AW538,Foundation_Calc!$I$2:$J$8,2,FALSE),0),
IF(AX538="K",VLOOKUP(K538,Foundation_Calc!$K$41:$R$74,VLOOKUP(AW538,Foundation_Calc!$I$2:$J$8,2,FALSE),0),"")))</f>
        <v/>
      </c>
      <c r="BA538" s="632" t="str">
        <f t="shared" si="36"/>
        <v/>
      </c>
      <c r="BB538" s="632" t="str">
        <f t="shared" si="37"/>
        <v/>
      </c>
      <c r="BC538" s="632" t="str">
        <f t="shared" si="38"/>
        <v/>
      </c>
      <c r="BD538" s="633" t="str">
        <f>IF(AND(L538="",H538=""),"",
IF(H538="",Pole_Calc!A566,
IF(H538="MP",Pole_Calc!A567,
IF(H538="AnMP",Pole_Calc!A568,
IF(H538="A",Pole_Calc!A569,
IF(H538="S/A",Pole_Calc!A570,
IF(H538="A/S",Pole_Calc!A571,"Poner a mano")))))))</f>
        <v/>
      </c>
      <c r="BE538" s="448" t="s">
        <v>1726</v>
      </c>
      <c r="BF538" s="634"/>
      <c r="BG538" s="634"/>
      <c r="BH538" s="634"/>
      <c r="BI538" s="634"/>
    </row>
    <row r="539" spans="1:61" ht="16.2" customHeight="1">
      <c r="A539" s="12"/>
      <c r="B539" s="446"/>
      <c r="C539" s="89"/>
      <c r="D539" s="13"/>
      <c r="E539" s="14"/>
      <c r="F539" s="14"/>
      <c r="G539" s="15"/>
      <c r="H539" s="8"/>
      <c r="I539" s="8"/>
      <c r="J539" s="89"/>
      <c r="K539" s="8"/>
      <c r="L539" s="8"/>
      <c r="M539" s="8" t="str">
        <f>IF(L539="","",
IF(AX539="PT",VLOOKUP(L539,Foundation_Calc!$V$4:$X$37,VLOOKUP(AX539,Foundation_Calc!$I$10:$J$13,2,FALSE),0),
IF(AX539="K",VLOOKUP(L539,Foundation_Calc!$V$41:$X$74,VLOOKUP(AX539,Foundation_Calc!$I$10:$J$13,2,FALSE),0),"")))</f>
        <v/>
      </c>
      <c r="N539" s="8"/>
      <c r="O539" s="8"/>
      <c r="P539" s="8"/>
      <c r="Q539" s="14"/>
      <c r="R539" s="15"/>
      <c r="S539" s="15"/>
      <c r="T539" s="14"/>
      <c r="U539" s="14"/>
      <c r="V539" s="14"/>
      <c r="W539" s="18"/>
      <c r="X539" s="18"/>
      <c r="Y539" s="18"/>
      <c r="Z539" s="18"/>
      <c r="AA539" s="18"/>
      <c r="AB539" s="18"/>
      <c r="AC539" s="8" t="str">
        <f t="shared" si="35"/>
        <v/>
      </c>
      <c r="AD539" s="8"/>
      <c r="AE539" s="8"/>
      <c r="AF539" s="14"/>
      <c r="AG539" s="13"/>
      <c r="AH539" s="14"/>
      <c r="AI539" s="14"/>
      <c r="AJ539" s="8"/>
      <c r="AK539" s="8"/>
      <c r="AL539" s="8"/>
      <c r="AM539" s="8"/>
      <c r="AN539" s="631"/>
      <c r="AO539" s="18"/>
      <c r="AP539" s="18"/>
      <c r="AQ539" s="18"/>
      <c r="AR539" s="18"/>
      <c r="AS539" s="18"/>
      <c r="AU539" s="448"/>
      <c r="AV539" s="448"/>
      <c r="AW539" s="8" t="str">
        <f>IF(C539&gt;0,VLOOKUP(C539,Foundation_Calc!$A$2:$C$986,3,1),
IF(J539&gt;0,VLOOKUP(J539,Foundation_Calc!$A$2:$C$986,3,1),""))</f>
        <v/>
      </c>
      <c r="AX539" s="8" t="str">
        <f>IF(C539&gt;0,VLOOKUP(C539,Foundation_Calc!$E$2:$G$986,3,1),
IF(J539&gt;0,VLOOKUP(J539,Foundation_Calc!$E$2:$G$986,3,1),""))</f>
        <v/>
      </c>
      <c r="AY539" s="631" t="str">
        <f>IF(L539="","",
IF(AX539="PT",VLOOKUP(L539,Foundation_Calc!$K$4:$R$37,VLOOKUP(AW539,Foundation_Calc!$I$2:$J$8,2,FALSE),0),
IF(AX539="K",VLOOKUP(L539,Foundation_Calc!$K$41:$R$74,VLOOKUP(AW539,Foundation_Calc!$I$2:$J$8,2,FALSE),0),"")))</f>
        <v/>
      </c>
      <c r="AZ539" s="631" t="str">
        <f>IF(K539="","",
IF(AX539="PT",VLOOKUP(K539,Foundation_Calc!$K$4:$R$37,VLOOKUP(AW539,Foundation_Calc!$I$2:$J$8,2,FALSE),0),
IF(AX539="K",VLOOKUP(K539,Foundation_Calc!$K$41:$R$74,VLOOKUP(AW539,Foundation_Calc!$I$2:$J$8,2,FALSE),0),"")))</f>
        <v/>
      </c>
      <c r="BA539" s="632" t="str">
        <f t="shared" si="36"/>
        <v/>
      </c>
      <c r="BB539" s="632" t="str">
        <f t="shared" si="37"/>
        <v/>
      </c>
      <c r="BC539" s="632" t="str">
        <f t="shared" si="38"/>
        <v/>
      </c>
      <c r="BD539" s="633" t="str">
        <f>IF(AND(L539="",H539=""),"",
IF(H539="",Pole_Calc!A567,
IF(H539="MP",Pole_Calc!A568,
IF(H539="AnMP",Pole_Calc!A569,
IF(H539="A",Pole_Calc!A570,
IF(H539="S/A",Pole_Calc!A571,
IF(H539="A/S",Pole_Calc!A572,"Poner a mano")))))))</f>
        <v/>
      </c>
      <c r="BE539" s="448" t="s">
        <v>1726</v>
      </c>
      <c r="BF539" s="635"/>
      <c r="BG539" s="635"/>
      <c r="BH539" s="634"/>
      <c r="BI539" s="635"/>
    </row>
    <row r="540" spans="1:61" ht="16.2" customHeight="1">
      <c r="A540" s="12"/>
      <c r="B540" s="446"/>
      <c r="C540" s="89"/>
      <c r="D540" s="13"/>
      <c r="E540" s="14"/>
      <c r="F540" s="14"/>
      <c r="G540" s="15"/>
      <c r="H540" s="8"/>
      <c r="I540" s="8"/>
      <c r="J540" s="89"/>
      <c r="K540" s="8"/>
      <c r="L540" s="8"/>
      <c r="M540" s="8" t="str">
        <f>IF(L540="","",
IF(AX540="PT",VLOOKUP(L540,Foundation_Calc!$V$4:$X$37,VLOOKUP(AX540,Foundation_Calc!$I$10:$J$13,2,FALSE),0),
IF(AX540="K",VLOOKUP(L540,Foundation_Calc!$V$41:$X$74,VLOOKUP(AX540,Foundation_Calc!$I$10:$J$13,2,FALSE),0),"")))</f>
        <v/>
      </c>
      <c r="N540" s="8"/>
      <c r="O540" s="8"/>
      <c r="P540" s="8"/>
      <c r="Q540" s="14"/>
      <c r="R540" s="15"/>
      <c r="S540" s="15"/>
      <c r="T540" s="14"/>
      <c r="U540" s="14"/>
      <c r="V540" s="14"/>
      <c r="W540" s="18"/>
      <c r="X540" s="18"/>
      <c r="Y540" s="18"/>
      <c r="Z540" s="18"/>
      <c r="AA540" s="18"/>
      <c r="AB540" s="18"/>
      <c r="AC540" s="8" t="str">
        <f t="shared" si="35"/>
        <v/>
      </c>
      <c r="AD540" s="8"/>
      <c r="AE540" s="8"/>
      <c r="AF540" s="14"/>
      <c r="AG540" s="13"/>
      <c r="AH540" s="14"/>
      <c r="AI540" s="14"/>
      <c r="AJ540" s="8"/>
      <c r="AK540" s="8"/>
      <c r="AL540" s="8"/>
      <c r="AM540" s="8"/>
      <c r="AN540" s="631"/>
      <c r="AO540" s="18"/>
      <c r="AP540" s="18"/>
      <c r="AQ540" s="18"/>
      <c r="AR540" s="18"/>
      <c r="AS540" s="18"/>
      <c r="AU540" s="448"/>
      <c r="AV540" s="448"/>
      <c r="AW540" s="8" t="str">
        <f>IF(C540&gt;0,VLOOKUP(C540,Foundation_Calc!$A$2:$C$986,3,1),
IF(J540&gt;0,VLOOKUP(J540,Foundation_Calc!$A$2:$C$986,3,1),""))</f>
        <v/>
      </c>
      <c r="AX540" s="8" t="str">
        <f>IF(C540&gt;0,VLOOKUP(C540,Foundation_Calc!$E$2:$G$986,3,1),
IF(J540&gt;0,VLOOKUP(J540,Foundation_Calc!$E$2:$G$986,3,1),""))</f>
        <v/>
      </c>
      <c r="AY540" s="631" t="str">
        <f>IF(L540="","",
IF(AX540="PT",VLOOKUP(L540,Foundation_Calc!$K$4:$R$37,VLOOKUP(AW540,Foundation_Calc!$I$2:$J$8,2,FALSE),0),
IF(AX540="K",VLOOKUP(L540,Foundation_Calc!$K$41:$R$74,VLOOKUP(AW540,Foundation_Calc!$I$2:$J$8,2,FALSE),0),"")))</f>
        <v/>
      </c>
      <c r="AZ540" s="631" t="str">
        <f>IF(K540="","",
IF(AX540="PT",VLOOKUP(K540,Foundation_Calc!$K$4:$R$37,VLOOKUP(AW540,Foundation_Calc!$I$2:$J$8,2,FALSE),0),
IF(AX540="K",VLOOKUP(K540,Foundation_Calc!$K$41:$R$74,VLOOKUP(AW540,Foundation_Calc!$I$2:$J$8,2,FALSE),0),"")))</f>
        <v/>
      </c>
      <c r="BA540" s="632" t="str">
        <f t="shared" si="36"/>
        <v/>
      </c>
      <c r="BB540" s="632" t="str">
        <f t="shared" si="37"/>
        <v/>
      </c>
      <c r="BC540" s="632" t="str">
        <f t="shared" si="38"/>
        <v/>
      </c>
      <c r="BD540" s="633" t="str">
        <f>IF(AND(L540="",H540=""),"",
IF(H540="",Pole_Calc!A568,
IF(H540="MP",Pole_Calc!A569,
IF(H540="AnMP",Pole_Calc!A570,
IF(H540="A",Pole_Calc!A571,
IF(H540="S/A",Pole_Calc!A572,
IF(H540="A/S",Pole_Calc!A573,"Poner a mano")))))))</f>
        <v/>
      </c>
      <c r="BE540" s="448" t="s">
        <v>1726</v>
      </c>
      <c r="BF540" s="634"/>
      <c r="BG540" s="634"/>
      <c r="BH540" s="634"/>
      <c r="BI540" s="634"/>
    </row>
    <row r="541" spans="1:61" ht="16.2" customHeight="1">
      <c r="A541" s="12"/>
      <c r="B541" s="446"/>
      <c r="C541" s="89"/>
      <c r="D541" s="13"/>
      <c r="E541" s="14"/>
      <c r="F541" s="14"/>
      <c r="G541" s="15"/>
      <c r="H541" s="8"/>
      <c r="I541" s="8"/>
      <c r="J541" s="89"/>
      <c r="K541" s="8"/>
      <c r="L541" s="8"/>
      <c r="M541" s="8" t="str">
        <f>IF(L541="","",
IF(AX541="PT",VLOOKUP(L541,Foundation_Calc!$V$4:$X$37,VLOOKUP(AX541,Foundation_Calc!$I$10:$J$13,2,FALSE),0),
IF(AX541="K",VLOOKUP(L541,Foundation_Calc!$V$41:$X$74,VLOOKUP(AX541,Foundation_Calc!$I$10:$J$13,2,FALSE),0),"")))</f>
        <v/>
      </c>
      <c r="N541" s="8"/>
      <c r="O541" s="8"/>
      <c r="P541" s="8"/>
      <c r="Q541" s="14"/>
      <c r="R541" s="15"/>
      <c r="S541" s="15"/>
      <c r="T541" s="14"/>
      <c r="U541" s="14"/>
      <c r="V541" s="14"/>
      <c r="W541" s="18"/>
      <c r="X541" s="18"/>
      <c r="Y541" s="18"/>
      <c r="Z541" s="18"/>
      <c r="AA541" s="18"/>
      <c r="AB541" s="18"/>
      <c r="AC541" s="8" t="str">
        <f t="shared" si="35"/>
        <v/>
      </c>
      <c r="AD541" s="8"/>
      <c r="AE541" s="8"/>
      <c r="AF541" s="14"/>
      <c r="AG541" s="13"/>
      <c r="AH541" s="14"/>
      <c r="AI541" s="14"/>
      <c r="AJ541" s="8"/>
      <c r="AK541" s="8"/>
      <c r="AL541" s="8"/>
      <c r="AM541" s="8"/>
      <c r="AN541" s="631"/>
      <c r="AO541" s="18"/>
      <c r="AP541" s="18"/>
      <c r="AQ541" s="18"/>
      <c r="AR541" s="18"/>
      <c r="AS541" s="18"/>
      <c r="AU541" s="448"/>
      <c r="AV541" s="448"/>
      <c r="AW541" s="8" t="str">
        <f>IF(C541&gt;0,VLOOKUP(C541,Foundation_Calc!$A$2:$C$986,3,1),
IF(J541&gt;0,VLOOKUP(J541,Foundation_Calc!$A$2:$C$986,3,1),""))</f>
        <v/>
      </c>
      <c r="AX541" s="8" t="str">
        <f>IF(C541&gt;0,VLOOKUP(C541,Foundation_Calc!$E$2:$G$986,3,1),
IF(J541&gt;0,VLOOKUP(J541,Foundation_Calc!$E$2:$G$986,3,1),""))</f>
        <v/>
      </c>
      <c r="AY541" s="631" t="str">
        <f>IF(L541="","",
IF(AX541="PT",VLOOKUP(L541,Foundation_Calc!$K$4:$R$37,VLOOKUP(AW541,Foundation_Calc!$I$2:$J$8,2,FALSE),0),
IF(AX541="K",VLOOKUP(L541,Foundation_Calc!$K$41:$R$74,VLOOKUP(AW541,Foundation_Calc!$I$2:$J$8,2,FALSE),0),"")))</f>
        <v/>
      </c>
      <c r="AZ541" s="631" t="str">
        <f>IF(K541="","",
IF(AX541="PT",VLOOKUP(K541,Foundation_Calc!$K$4:$R$37,VLOOKUP(AW541,Foundation_Calc!$I$2:$J$8,2,FALSE),0),
IF(AX541="K",VLOOKUP(K541,Foundation_Calc!$K$41:$R$74,VLOOKUP(AW541,Foundation_Calc!$I$2:$J$8,2,FALSE),0),"")))</f>
        <v/>
      </c>
      <c r="BA541" s="632" t="str">
        <f t="shared" si="36"/>
        <v/>
      </c>
      <c r="BB541" s="632" t="str">
        <f t="shared" si="37"/>
        <v/>
      </c>
      <c r="BC541" s="632" t="str">
        <f t="shared" si="38"/>
        <v/>
      </c>
      <c r="BD541" s="633" t="str">
        <f>IF(AND(L541="",H541=""),"",
IF(H541="",Pole_Calc!A569,
IF(H541="MP",Pole_Calc!A570,
IF(H541="AnMP",Pole_Calc!A571,
IF(H541="A",Pole_Calc!A572,
IF(H541="S/A",Pole_Calc!A573,
IF(H541="A/S",Pole_Calc!A574,"Poner a mano")))))))</f>
        <v/>
      </c>
      <c r="BE541" s="448" t="s">
        <v>1726</v>
      </c>
      <c r="BF541" s="635"/>
      <c r="BG541" s="635"/>
      <c r="BH541" s="634"/>
      <c r="BI541" s="635"/>
    </row>
    <row r="542" spans="1:61" ht="16.2" customHeight="1">
      <c r="A542" s="12"/>
      <c r="B542" s="446"/>
      <c r="C542" s="89"/>
      <c r="D542" s="13"/>
      <c r="E542" s="14"/>
      <c r="F542" s="14"/>
      <c r="G542" s="15"/>
      <c r="H542" s="8"/>
      <c r="I542" s="8"/>
      <c r="J542" s="89"/>
      <c r="K542" s="8"/>
      <c r="L542" s="8"/>
      <c r="M542" s="8" t="str">
        <f>IF(L542="","",
IF(AX542="PT",VLOOKUP(L542,Foundation_Calc!$V$4:$X$37,VLOOKUP(AX542,Foundation_Calc!$I$10:$J$13,2,FALSE),0),
IF(AX542="K",VLOOKUP(L542,Foundation_Calc!$V$41:$X$74,VLOOKUP(AX542,Foundation_Calc!$I$10:$J$13,2,FALSE),0),"")))</f>
        <v/>
      </c>
      <c r="N542" s="8"/>
      <c r="O542" s="8"/>
      <c r="P542" s="8"/>
      <c r="Q542" s="14"/>
      <c r="R542" s="15"/>
      <c r="S542" s="15"/>
      <c r="T542" s="14"/>
      <c r="U542" s="14"/>
      <c r="V542" s="14"/>
      <c r="W542" s="18"/>
      <c r="X542" s="18"/>
      <c r="Y542" s="18"/>
      <c r="Z542" s="18"/>
      <c r="AA542" s="18"/>
      <c r="AB542" s="18"/>
      <c r="AC542" s="8" t="str">
        <f t="shared" si="35"/>
        <v/>
      </c>
      <c r="AD542" s="8"/>
      <c r="AE542" s="8"/>
      <c r="AF542" s="14"/>
      <c r="AG542" s="13"/>
      <c r="AH542" s="14"/>
      <c r="AI542" s="14"/>
      <c r="AJ542" s="8"/>
      <c r="AK542" s="8"/>
      <c r="AL542" s="8"/>
      <c r="AM542" s="8"/>
      <c r="AN542" s="631"/>
      <c r="AO542" s="18"/>
      <c r="AP542" s="18"/>
      <c r="AQ542" s="18"/>
      <c r="AR542" s="18"/>
      <c r="AS542" s="18"/>
      <c r="AU542" s="448"/>
      <c r="AV542" s="448"/>
      <c r="AW542" s="8" t="str">
        <f>IF(C542&gt;0,VLOOKUP(C542,Foundation_Calc!$A$2:$C$986,3,1),
IF(J542&gt;0,VLOOKUP(J542,Foundation_Calc!$A$2:$C$986,3,1),""))</f>
        <v/>
      </c>
      <c r="AX542" s="8" t="str">
        <f>IF(C542&gt;0,VLOOKUP(C542,Foundation_Calc!$E$2:$G$986,3,1),
IF(J542&gt;0,VLOOKUP(J542,Foundation_Calc!$E$2:$G$986,3,1),""))</f>
        <v/>
      </c>
      <c r="AY542" s="631" t="str">
        <f>IF(L542="","",
IF(AX542="PT",VLOOKUP(L542,Foundation_Calc!$K$4:$R$37,VLOOKUP(AW542,Foundation_Calc!$I$2:$J$8,2,FALSE),0),
IF(AX542="K",VLOOKUP(L542,Foundation_Calc!$K$41:$R$74,VLOOKUP(AW542,Foundation_Calc!$I$2:$J$8,2,FALSE),0),"")))</f>
        <v/>
      </c>
      <c r="AZ542" s="631" t="str">
        <f>IF(K542="","",
IF(AX542="PT",VLOOKUP(K542,Foundation_Calc!$K$4:$R$37,VLOOKUP(AW542,Foundation_Calc!$I$2:$J$8,2,FALSE),0),
IF(AX542="K",VLOOKUP(K542,Foundation_Calc!$K$41:$R$74,VLOOKUP(AW542,Foundation_Calc!$I$2:$J$8,2,FALSE),0),"")))</f>
        <v/>
      </c>
      <c r="BA542" s="632" t="str">
        <f t="shared" si="36"/>
        <v/>
      </c>
      <c r="BB542" s="632" t="str">
        <f t="shared" si="37"/>
        <v/>
      </c>
      <c r="BC542" s="632" t="str">
        <f t="shared" si="38"/>
        <v/>
      </c>
      <c r="BD542" s="633" t="str">
        <f>IF(AND(L542="",H542=""),"",
IF(H542="",Pole_Calc!A570,
IF(H542="MP",Pole_Calc!A571,
IF(H542="AnMP",Pole_Calc!A572,
IF(H542="A",Pole_Calc!A573,
IF(H542="S/A",Pole_Calc!A574,
IF(H542="A/S",Pole_Calc!A575,"Poner a mano")))))))</f>
        <v/>
      </c>
      <c r="BE542" s="448" t="s">
        <v>1726</v>
      </c>
      <c r="BF542" s="634"/>
      <c r="BG542" s="634"/>
      <c r="BH542" s="634"/>
      <c r="BI542" s="634"/>
    </row>
    <row r="543" spans="1:61" ht="16.2" customHeight="1">
      <c r="A543" s="12"/>
      <c r="B543" s="446"/>
      <c r="C543" s="89"/>
      <c r="D543" s="13"/>
      <c r="E543" s="14"/>
      <c r="F543" s="14"/>
      <c r="G543" s="15"/>
      <c r="H543" s="8"/>
      <c r="I543" s="8"/>
      <c r="J543" s="89"/>
      <c r="K543" s="8"/>
      <c r="L543" s="8"/>
      <c r="M543" s="8" t="str">
        <f>IF(L543="","",
IF(AX543="PT",VLOOKUP(L543,Foundation_Calc!$V$4:$X$37,VLOOKUP(AX543,Foundation_Calc!$I$10:$J$13,2,FALSE),0),
IF(AX543="K",VLOOKUP(L543,Foundation_Calc!$V$41:$X$74,VLOOKUP(AX543,Foundation_Calc!$I$10:$J$13,2,FALSE),0),"")))</f>
        <v/>
      </c>
      <c r="N543" s="8"/>
      <c r="O543" s="8"/>
      <c r="P543" s="8"/>
      <c r="Q543" s="14"/>
      <c r="R543" s="15"/>
      <c r="S543" s="15"/>
      <c r="T543" s="14"/>
      <c r="U543" s="14"/>
      <c r="V543" s="14"/>
      <c r="W543" s="18"/>
      <c r="X543" s="18"/>
      <c r="Y543" s="18"/>
      <c r="Z543" s="18"/>
      <c r="AA543" s="18"/>
      <c r="AB543" s="18"/>
      <c r="AC543" s="8" t="str">
        <f t="shared" si="35"/>
        <v/>
      </c>
      <c r="AD543" s="8"/>
      <c r="AE543" s="8"/>
      <c r="AF543" s="14"/>
      <c r="AG543" s="13"/>
      <c r="AH543" s="14"/>
      <c r="AI543" s="14"/>
      <c r="AJ543" s="8"/>
      <c r="AK543" s="8"/>
      <c r="AL543" s="8"/>
      <c r="AM543" s="8"/>
      <c r="AN543" s="631"/>
      <c r="AO543" s="18"/>
      <c r="AP543" s="18"/>
      <c r="AQ543" s="18"/>
      <c r="AR543" s="18"/>
      <c r="AS543" s="18"/>
      <c r="AU543" s="448"/>
      <c r="AV543" s="448"/>
      <c r="AW543" s="8" t="str">
        <f>IF(C543&gt;0,VLOOKUP(C543,Foundation_Calc!$A$2:$C$986,3,1),
IF(J543&gt;0,VLOOKUP(J543,Foundation_Calc!$A$2:$C$986,3,1),""))</f>
        <v/>
      </c>
      <c r="AX543" s="8" t="str">
        <f>IF(C543&gt;0,VLOOKUP(C543,Foundation_Calc!$E$2:$G$986,3,1),
IF(J543&gt;0,VLOOKUP(J543,Foundation_Calc!$E$2:$G$986,3,1),""))</f>
        <v/>
      </c>
      <c r="AY543" s="631" t="str">
        <f>IF(L543="","",
IF(AX543="PT",VLOOKUP(L543,Foundation_Calc!$K$4:$R$37,VLOOKUP(AW543,Foundation_Calc!$I$2:$J$8,2,FALSE),0),
IF(AX543="K",VLOOKUP(L543,Foundation_Calc!$K$41:$R$74,VLOOKUP(AW543,Foundation_Calc!$I$2:$J$8,2,FALSE),0),"")))</f>
        <v/>
      </c>
      <c r="AZ543" s="631" t="str">
        <f>IF(K543="","",
IF(AX543="PT",VLOOKUP(K543,Foundation_Calc!$K$4:$R$37,VLOOKUP(AW543,Foundation_Calc!$I$2:$J$8,2,FALSE),0),
IF(AX543="K",VLOOKUP(K543,Foundation_Calc!$K$41:$R$74,VLOOKUP(AW543,Foundation_Calc!$I$2:$J$8,2,FALSE),0),"")))</f>
        <v/>
      </c>
      <c r="BA543" s="632" t="str">
        <f t="shared" si="36"/>
        <v/>
      </c>
      <c r="BB543" s="632" t="str">
        <f t="shared" si="37"/>
        <v/>
      </c>
      <c r="BC543" s="632" t="str">
        <f t="shared" si="38"/>
        <v/>
      </c>
      <c r="BD543" s="633" t="str">
        <f>IF(AND(L543="",H543=""),"",
IF(H543="",Pole_Calc!A571,
IF(H543="MP",Pole_Calc!A572,
IF(H543="AnMP",Pole_Calc!A573,
IF(H543="A",Pole_Calc!A574,
IF(H543="S/A",Pole_Calc!A575,
IF(H543="A/S",Pole_Calc!A576,"Poner a mano")))))))</f>
        <v/>
      </c>
      <c r="BE543" s="448" t="s">
        <v>1726</v>
      </c>
      <c r="BF543" s="635"/>
      <c r="BG543" s="635"/>
      <c r="BH543" s="634"/>
      <c r="BI543" s="635"/>
    </row>
    <row r="544" spans="1:61" ht="16.2" customHeight="1">
      <c r="A544" s="12"/>
      <c r="B544" s="446"/>
      <c r="C544" s="89"/>
      <c r="D544" s="13"/>
      <c r="E544" s="14"/>
      <c r="F544" s="14"/>
      <c r="G544" s="15"/>
      <c r="H544" s="8"/>
      <c r="I544" s="8"/>
      <c r="J544" s="89"/>
      <c r="K544" s="8"/>
      <c r="L544" s="8"/>
      <c r="M544" s="8" t="str">
        <f>IF(L544="","",
IF(AX544="PT",VLOOKUP(L544,Foundation_Calc!$V$4:$X$37,VLOOKUP(AX544,Foundation_Calc!$I$10:$J$13,2,FALSE),0),
IF(AX544="K",VLOOKUP(L544,Foundation_Calc!$V$41:$X$74,VLOOKUP(AX544,Foundation_Calc!$I$10:$J$13,2,FALSE),0),"")))</f>
        <v/>
      </c>
      <c r="N544" s="8"/>
      <c r="O544" s="8"/>
      <c r="P544" s="8"/>
      <c r="Q544" s="14"/>
      <c r="R544" s="15"/>
      <c r="S544" s="15"/>
      <c r="T544" s="14"/>
      <c r="U544" s="14"/>
      <c r="V544" s="14"/>
      <c r="W544" s="18"/>
      <c r="X544" s="18"/>
      <c r="Y544" s="18"/>
      <c r="Z544" s="18"/>
      <c r="AA544" s="18"/>
      <c r="AB544" s="18"/>
      <c r="AC544" s="8" t="str">
        <f t="shared" si="35"/>
        <v/>
      </c>
      <c r="AD544" s="8"/>
      <c r="AE544" s="8"/>
      <c r="AF544" s="14"/>
      <c r="AG544" s="13"/>
      <c r="AH544" s="14"/>
      <c r="AI544" s="14"/>
      <c r="AJ544" s="8"/>
      <c r="AK544" s="8"/>
      <c r="AL544" s="8"/>
      <c r="AM544" s="8"/>
      <c r="AN544" s="631"/>
      <c r="AO544" s="18"/>
      <c r="AP544" s="18"/>
      <c r="AQ544" s="18"/>
      <c r="AR544" s="18"/>
      <c r="AS544" s="18"/>
      <c r="AU544" s="448"/>
      <c r="AV544" s="448"/>
      <c r="AW544" s="8" t="str">
        <f>IF(C544&gt;0,VLOOKUP(C544,Foundation_Calc!$A$2:$C$986,3,1),
IF(J544&gt;0,VLOOKUP(J544,Foundation_Calc!$A$2:$C$986,3,1),""))</f>
        <v/>
      </c>
      <c r="AX544" s="8" t="str">
        <f>IF(C544&gt;0,VLOOKUP(C544,Foundation_Calc!$E$2:$G$986,3,1),
IF(J544&gt;0,VLOOKUP(J544,Foundation_Calc!$E$2:$G$986,3,1),""))</f>
        <v/>
      </c>
      <c r="AY544" s="631" t="str">
        <f>IF(L544="","",
IF(AX544="PT",VLOOKUP(L544,Foundation_Calc!$K$4:$R$37,VLOOKUP(AW544,Foundation_Calc!$I$2:$J$8,2,FALSE),0),
IF(AX544="K",VLOOKUP(L544,Foundation_Calc!$K$41:$R$74,VLOOKUP(AW544,Foundation_Calc!$I$2:$J$8,2,FALSE),0),"")))</f>
        <v/>
      </c>
      <c r="AZ544" s="631" t="str">
        <f>IF(K544="","",
IF(AX544="PT",VLOOKUP(K544,Foundation_Calc!$K$4:$R$37,VLOOKUP(AW544,Foundation_Calc!$I$2:$J$8,2,FALSE),0),
IF(AX544="K",VLOOKUP(K544,Foundation_Calc!$K$41:$R$74,VLOOKUP(AW544,Foundation_Calc!$I$2:$J$8,2,FALSE),0),"")))</f>
        <v/>
      </c>
      <c r="BA544" s="632" t="str">
        <f t="shared" si="36"/>
        <v/>
      </c>
      <c r="BB544" s="632" t="str">
        <f t="shared" si="37"/>
        <v/>
      </c>
      <c r="BC544" s="632" t="str">
        <f t="shared" si="38"/>
        <v/>
      </c>
      <c r="BD544" s="633" t="str">
        <f>IF(AND(L544="",H544=""),"",
IF(H544="",Pole_Calc!A572,
IF(H544="MP",Pole_Calc!A573,
IF(H544="AnMP",Pole_Calc!A574,
IF(H544="A",Pole_Calc!A575,
IF(H544="S/A",Pole_Calc!A576,
IF(H544="A/S",Pole_Calc!A577,"Poner a mano")))))))</f>
        <v/>
      </c>
      <c r="BE544" s="448" t="s">
        <v>1726</v>
      </c>
      <c r="BF544" s="634"/>
      <c r="BG544" s="634"/>
      <c r="BH544" s="634"/>
      <c r="BI544" s="634"/>
    </row>
    <row r="545" spans="1:61" ht="16.2" customHeight="1">
      <c r="A545" s="12"/>
      <c r="B545" s="446"/>
      <c r="C545" s="89"/>
      <c r="D545" s="13"/>
      <c r="E545" s="14"/>
      <c r="F545" s="14"/>
      <c r="G545" s="15"/>
      <c r="H545" s="8"/>
      <c r="I545" s="8"/>
      <c r="J545" s="89"/>
      <c r="K545" s="8"/>
      <c r="L545" s="8"/>
      <c r="M545" s="8" t="str">
        <f>IF(L545="","",
IF(AX545="PT",VLOOKUP(L545,Foundation_Calc!$V$4:$X$37,VLOOKUP(AX545,Foundation_Calc!$I$10:$J$13,2,FALSE),0),
IF(AX545="K",VLOOKUP(L545,Foundation_Calc!$V$41:$X$74,VLOOKUP(AX545,Foundation_Calc!$I$10:$J$13,2,FALSE),0),"")))</f>
        <v/>
      </c>
      <c r="N545" s="8"/>
      <c r="O545" s="8"/>
      <c r="P545" s="8"/>
      <c r="Q545" s="14"/>
      <c r="R545" s="15"/>
      <c r="S545" s="15"/>
      <c r="T545" s="14"/>
      <c r="U545" s="14"/>
      <c r="V545" s="14"/>
      <c r="W545" s="18"/>
      <c r="X545" s="18"/>
      <c r="Y545" s="18"/>
      <c r="Z545" s="18"/>
      <c r="AA545" s="18"/>
      <c r="AB545" s="18"/>
      <c r="AC545" s="8" t="str">
        <f t="shared" si="35"/>
        <v/>
      </c>
      <c r="AD545" s="8"/>
      <c r="AE545" s="8"/>
      <c r="AF545" s="14"/>
      <c r="AG545" s="13"/>
      <c r="AH545" s="14"/>
      <c r="AI545" s="14"/>
      <c r="AJ545" s="8"/>
      <c r="AK545" s="8"/>
      <c r="AL545" s="8"/>
      <c r="AM545" s="8"/>
      <c r="AN545" s="631"/>
      <c r="AO545" s="18"/>
      <c r="AP545" s="18"/>
      <c r="AQ545" s="18"/>
      <c r="AR545" s="18"/>
      <c r="AS545" s="18"/>
      <c r="AU545" s="448"/>
      <c r="AV545" s="448"/>
      <c r="AW545" s="8" t="str">
        <f>IF(C545&gt;0,VLOOKUP(C545,Foundation_Calc!$A$2:$C$986,3,1),
IF(J545&gt;0,VLOOKUP(J545,Foundation_Calc!$A$2:$C$986,3,1),""))</f>
        <v/>
      </c>
      <c r="AX545" s="8" t="str">
        <f>IF(C545&gt;0,VLOOKUP(C545,Foundation_Calc!$E$2:$G$986,3,1),
IF(J545&gt;0,VLOOKUP(J545,Foundation_Calc!$E$2:$G$986,3,1),""))</f>
        <v/>
      </c>
      <c r="AY545" s="631" t="str">
        <f>IF(L545="","",
IF(AX545="PT",VLOOKUP(L545,Foundation_Calc!$K$4:$R$37,VLOOKUP(AW545,Foundation_Calc!$I$2:$J$8,2,FALSE),0),
IF(AX545="K",VLOOKUP(L545,Foundation_Calc!$K$41:$R$74,VLOOKUP(AW545,Foundation_Calc!$I$2:$J$8,2,FALSE),0),"")))</f>
        <v/>
      </c>
      <c r="AZ545" s="631" t="str">
        <f>IF(K545="","",
IF(AX545="PT",VLOOKUP(K545,Foundation_Calc!$K$4:$R$37,VLOOKUP(AW545,Foundation_Calc!$I$2:$J$8,2,FALSE),0),
IF(AX545="K",VLOOKUP(K545,Foundation_Calc!$K$41:$R$74,VLOOKUP(AW545,Foundation_Calc!$I$2:$J$8,2,FALSE),0),"")))</f>
        <v/>
      </c>
      <c r="BA545" s="632" t="str">
        <f t="shared" si="36"/>
        <v/>
      </c>
      <c r="BB545" s="632" t="str">
        <f t="shared" si="37"/>
        <v/>
      </c>
      <c r="BC545" s="632" t="str">
        <f t="shared" si="38"/>
        <v/>
      </c>
      <c r="BD545" s="633" t="str">
        <f>IF(AND(L545="",H545=""),"",
IF(H545="",Pole_Calc!A573,
IF(H545="MP",Pole_Calc!A574,
IF(H545="AnMP",Pole_Calc!A575,
IF(H545="A",Pole_Calc!A576,
IF(H545="S/A",Pole_Calc!A577,
IF(H545="A/S",Pole_Calc!A578,"Poner a mano")))))))</f>
        <v/>
      </c>
      <c r="BE545" s="448" t="s">
        <v>1726</v>
      </c>
      <c r="BF545" s="635"/>
      <c r="BG545" s="635"/>
      <c r="BH545" s="634"/>
      <c r="BI545" s="635"/>
    </row>
    <row r="546" spans="1:61" ht="16.2" customHeight="1">
      <c r="A546" s="12"/>
      <c r="B546" s="446"/>
      <c r="C546" s="89"/>
      <c r="D546" s="13"/>
      <c r="E546" s="14"/>
      <c r="F546" s="14"/>
      <c r="G546" s="15"/>
      <c r="H546" s="8"/>
      <c r="I546" s="8"/>
      <c r="J546" s="89"/>
      <c r="K546" s="8"/>
      <c r="L546" s="8"/>
      <c r="M546" s="8" t="str">
        <f>IF(L546="","",
IF(AX546="PT",VLOOKUP(L546,Foundation_Calc!$V$4:$X$37,VLOOKUP(AX546,Foundation_Calc!$I$10:$J$13,2,FALSE),0),
IF(AX546="K",VLOOKUP(L546,Foundation_Calc!$V$41:$X$74,VLOOKUP(AX546,Foundation_Calc!$I$10:$J$13,2,FALSE),0),"")))</f>
        <v/>
      </c>
      <c r="N546" s="8"/>
      <c r="O546" s="8"/>
      <c r="P546" s="8"/>
      <c r="Q546" s="14"/>
      <c r="R546" s="15"/>
      <c r="S546" s="15"/>
      <c r="T546" s="14"/>
      <c r="U546" s="14"/>
      <c r="V546" s="14"/>
      <c r="W546" s="18"/>
      <c r="X546" s="18"/>
      <c r="Y546" s="18"/>
      <c r="Z546" s="18"/>
      <c r="AA546" s="18"/>
      <c r="AB546" s="18"/>
      <c r="AC546" s="8" t="str">
        <f t="shared" si="35"/>
        <v/>
      </c>
      <c r="AD546" s="8"/>
      <c r="AE546" s="8"/>
      <c r="AF546" s="14"/>
      <c r="AG546" s="13"/>
      <c r="AH546" s="14"/>
      <c r="AI546" s="14"/>
      <c r="AJ546" s="8"/>
      <c r="AK546" s="8"/>
      <c r="AL546" s="8"/>
      <c r="AM546" s="8"/>
      <c r="AN546" s="631"/>
      <c r="AO546" s="18"/>
      <c r="AP546" s="18"/>
      <c r="AQ546" s="18"/>
      <c r="AR546" s="18"/>
      <c r="AS546" s="18"/>
      <c r="AU546" s="448"/>
      <c r="AV546" s="448"/>
      <c r="AW546" s="8" t="str">
        <f>IF(C546&gt;0,VLOOKUP(C546,Foundation_Calc!$A$2:$C$986,3,1),
IF(J546&gt;0,VLOOKUP(J546,Foundation_Calc!$A$2:$C$986,3,1),""))</f>
        <v/>
      </c>
      <c r="AX546" s="8" t="str">
        <f>IF(C546&gt;0,VLOOKUP(C546,Foundation_Calc!$E$2:$G$986,3,1),
IF(J546&gt;0,VLOOKUP(J546,Foundation_Calc!$E$2:$G$986,3,1),""))</f>
        <v/>
      </c>
      <c r="AY546" s="631" t="str">
        <f>IF(L546="","",
IF(AX546="PT",VLOOKUP(L546,Foundation_Calc!$K$4:$R$37,VLOOKUP(AW546,Foundation_Calc!$I$2:$J$8,2,FALSE),0),
IF(AX546="K",VLOOKUP(L546,Foundation_Calc!$K$41:$R$74,VLOOKUP(AW546,Foundation_Calc!$I$2:$J$8,2,FALSE),0),"")))</f>
        <v/>
      </c>
      <c r="AZ546" s="631" t="str">
        <f>IF(K546="","",
IF(AX546="PT",VLOOKUP(K546,Foundation_Calc!$K$4:$R$37,VLOOKUP(AW546,Foundation_Calc!$I$2:$J$8,2,FALSE),0),
IF(AX546="K",VLOOKUP(K546,Foundation_Calc!$K$41:$R$74,VLOOKUP(AW546,Foundation_Calc!$I$2:$J$8,2,FALSE),0),"")))</f>
        <v/>
      </c>
      <c r="BA546" s="632" t="str">
        <f t="shared" si="36"/>
        <v/>
      </c>
      <c r="BB546" s="632" t="str">
        <f t="shared" si="37"/>
        <v/>
      </c>
      <c r="BC546" s="632" t="str">
        <f t="shared" si="38"/>
        <v/>
      </c>
      <c r="BD546" s="633" t="str">
        <f>IF(AND(L546="",H546=""),"",
IF(H546="",Pole_Calc!A574,
IF(H546="MP",Pole_Calc!A575,
IF(H546="AnMP",Pole_Calc!A576,
IF(H546="A",Pole_Calc!A577,
IF(H546="S/A",Pole_Calc!A578,
IF(H546="A/S",Pole_Calc!A579,"Poner a mano")))))))</f>
        <v/>
      </c>
      <c r="BE546" s="448" t="s">
        <v>1726</v>
      </c>
      <c r="BF546" s="634"/>
      <c r="BG546" s="634"/>
      <c r="BH546" s="634"/>
      <c r="BI546" s="634"/>
    </row>
    <row r="547" spans="1:61" ht="16.2" customHeight="1">
      <c r="A547" s="12"/>
      <c r="B547" s="446"/>
      <c r="C547" s="89"/>
      <c r="D547" s="13"/>
      <c r="E547" s="14"/>
      <c r="F547" s="14"/>
      <c r="G547" s="15"/>
      <c r="H547" s="8"/>
      <c r="I547" s="8"/>
      <c r="J547" s="89"/>
      <c r="K547" s="8"/>
      <c r="L547" s="8"/>
      <c r="M547" s="8" t="str">
        <f>IF(L547="","",
IF(AX547="PT",VLOOKUP(L547,Foundation_Calc!$V$4:$X$37,VLOOKUP(AX547,Foundation_Calc!$I$10:$J$13,2,FALSE),0),
IF(AX547="K",VLOOKUP(L547,Foundation_Calc!$V$41:$X$74,VLOOKUP(AX547,Foundation_Calc!$I$10:$J$13,2,FALSE),0),"")))</f>
        <v/>
      </c>
      <c r="N547" s="8"/>
      <c r="O547" s="8"/>
      <c r="P547" s="8"/>
      <c r="Q547" s="14"/>
      <c r="R547" s="15"/>
      <c r="S547" s="15"/>
      <c r="T547" s="14"/>
      <c r="U547" s="14"/>
      <c r="V547" s="14"/>
      <c r="W547" s="18"/>
      <c r="X547" s="18"/>
      <c r="Y547" s="18"/>
      <c r="Z547" s="18"/>
      <c r="AA547" s="18"/>
      <c r="AB547" s="18"/>
      <c r="AC547" s="8" t="str">
        <f t="shared" si="35"/>
        <v/>
      </c>
      <c r="AD547" s="8"/>
      <c r="AE547" s="8"/>
      <c r="AF547" s="14"/>
      <c r="AG547" s="13"/>
      <c r="AH547" s="14"/>
      <c r="AI547" s="14"/>
      <c r="AJ547" s="8"/>
      <c r="AK547" s="8"/>
      <c r="AL547" s="8"/>
      <c r="AM547" s="8"/>
      <c r="AN547" s="631"/>
      <c r="AO547" s="18"/>
      <c r="AP547" s="18"/>
      <c r="AQ547" s="18"/>
      <c r="AR547" s="18"/>
      <c r="AS547" s="18"/>
      <c r="AU547" s="448"/>
      <c r="AV547" s="448"/>
      <c r="AW547" s="8" t="str">
        <f>IF(C547&gt;0,VLOOKUP(C547,Foundation_Calc!$A$2:$C$986,3,1),
IF(J547&gt;0,VLOOKUP(J547,Foundation_Calc!$A$2:$C$986,3,1),""))</f>
        <v/>
      </c>
      <c r="AX547" s="8" t="str">
        <f>IF(C547&gt;0,VLOOKUP(C547,Foundation_Calc!$E$2:$G$986,3,1),
IF(J547&gt;0,VLOOKUP(J547,Foundation_Calc!$E$2:$G$986,3,1),""))</f>
        <v/>
      </c>
      <c r="AY547" s="631" t="str">
        <f>IF(L547="","",
IF(AX547="PT",VLOOKUP(L547,Foundation_Calc!$K$4:$R$37,VLOOKUP(AW547,Foundation_Calc!$I$2:$J$8,2,FALSE),0),
IF(AX547="K",VLOOKUP(L547,Foundation_Calc!$K$41:$R$74,VLOOKUP(AW547,Foundation_Calc!$I$2:$J$8,2,FALSE),0),"")))</f>
        <v/>
      </c>
      <c r="AZ547" s="631" t="str">
        <f>IF(K547="","",
IF(AX547="PT",VLOOKUP(K547,Foundation_Calc!$K$4:$R$37,VLOOKUP(AW547,Foundation_Calc!$I$2:$J$8,2,FALSE),0),
IF(AX547="K",VLOOKUP(K547,Foundation_Calc!$K$41:$R$74,VLOOKUP(AW547,Foundation_Calc!$I$2:$J$8,2,FALSE),0),"")))</f>
        <v/>
      </c>
      <c r="BA547" s="632" t="str">
        <f t="shared" si="36"/>
        <v/>
      </c>
      <c r="BB547" s="632" t="str">
        <f t="shared" si="37"/>
        <v/>
      </c>
      <c r="BC547" s="632" t="str">
        <f t="shared" si="38"/>
        <v/>
      </c>
      <c r="BD547" s="633" t="str">
        <f>IF(AND(L547="",H547=""),"",
IF(H547="",Pole_Calc!A575,
IF(H547="MP",Pole_Calc!A576,
IF(H547="AnMP",Pole_Calc!A577,
IF(H547="A",Pole_Calc!A578,
IF(H547="S/A",Pole_Calc!A579,
IF(H547="A/S",Pole_Calc!A580,"Poner a mano")))))))</f>
        <v/>
      </c>
      <c r="BE547" s="448" t="s">
        <v>1726</v>
      </c>
      <c r="BF547" s="635"/>
      <c r="BG547" s="635"/>
      <c r="BH547" s="634"/>
      <c r="BI547" s="635"/>
    </row>
    <row r="548" spans="1:61" ht="16.2" customHeight="1">
      <c r="A548" s="12"/>
      <c r="B548" s="446"/>
      <c r="C548" s="89"/>
      <c r="D548" s="13"/>
      <c r="E548" s="14"/>
      <c r="F548" s="14"/>
      <c r="G548" s="15"/>
      <c r="H548" s="8"/>
      <c r="I548" s="8"/>
      <c r="J548" s="89"/>
      <c r="K548" s="8"/>
      <c r="L548" s="8"/>
      <c r="M548" s="8" t="str">
        <f>IF(L548="","",
IF(AX548="PT",VLOOKUP(L548,Foundation_Calc!$V$4:$X$37,VLOOKUP(AX548,Foundation_Calc!$I$10:$J$13,2,FALSE),0),
IF(AX548="K",VLOOKUP(L548,Foundation_Calc!$V$41:$X$74,VLOOKUP(AX548,Foundation_Calc!$I$10:$J$13,2,FALSE),0),"")))</f>
        <v/>
      </c>
      <c r="N548" s="8"/>
      <c r="O548" s="8"/>
      <c r="P548" s="8"/>
      <c r="Q548" s="14"/>
      <c r="R548" s="15"/>
      <c r="S548" s="15"/>
      <c r="T548" s="14"/>
      <c r="U548" s="14"/>
      <c r="V548" s="14"/>
      <c r="W548" s="18"/>
      <c r="X548" s="18"/>
      <c r="Y548" s="18"/>
      <c r="Z548" s="18"/>
      <c r="AA548" s="18"/>
      <c r="AB548" s="18"/>
      <c r="AC548" s="8" t="str">
        <f t="shared" si="35"/>
        <v/>
      </c>
      <c r="AD548" s="8"/>
      <c r="AE548" s="8"/>
      <c r="AF548" s="14"/>
      <c r="AG548" s="13"/>
      <c r="AH548" s="14"/>
      <c r="AI548" s="14"/>
      <c r="AJ548" s="8"/>
      <c r="AK548" s="8"/>
      <c r="AL548" s="8"/>
      <c r="AM548" s="8"/>
      <c r="AN548" s="631"/>
      <c r="AO548" s="18"/>
      <c r="AP548" s="18"/>
      <c r="AQ548" s="18"/>
      <c r="AR548" s="18"/>
      <c r="AS548" s="18"/>
      <c r="AU548" s="448"/>
      <c r="AV548" s="448"/>
      <c r="AW548" s="8" t="str">
        <f>IF(C548&gt;0,VLOOKUP(C548,Foundation_Calc!$A$2:$C$986,3,1),
IF(J548&gt;0,VLOOKUP(J548,Foundation_Calc!$A$2:$C$986,3,1),""))</f>
        <v/>
      </c>
      <c r="AX548" s="8" t="str">
        <f>IF(C548&gt;0,VLOOKUP(C548,Foundation_Calc!$E$2:$G$986,3,1),
IF(J548&gt;0,VLOOKUP(J548,Foundation_Calc!$E$2:$G$986,3,1),""))</f>
        <v/>
      </c>
      <c r="AY548" s="631" t="str">
        <f>IF(L548="","",
IF(AX548="PT",VLOOKUP(L548,Foundation_Calc!$K$4:$R$37,VLOOKUP(AW548,Foundation_Calc!$I$2:$J$8,2,FALSE),0),
IF(AX548="K",VLOOKUP(L548,Foundation_Calc!$K$41:$R$74,VLOOKUP(AW548,Foundation_Calc!$I$2:$J$8,2,FALSE),0),"")))</f>
        <v/>
      </c>
      <c r="AZ548" s="631" t="str">
        <f>IF(K548="","",
IF(AX548="PT",VLOOKUP(K548,Foundation_Calc!$K$4:$R$37,VLOOKUP(AW548,Foundation_Calc!$I$2:$J$8,2,FALSE),0),
IF(AX548="K",VLOOKUP(K548,Foundation_Calc!$K$41:$R$74,VLOOKUP(AW548,Foundation_Calc!$I$2:$J$8,2,FALSE),0),"")))</f>
        <v/>
      </c>
      <c r="BA548" s="632" t="str">
        <f t="shared" si="36"/>
        <v/>
      </c>
      <c r="BB548" s="632" t="str">
        <f t="shared" si="37"/>
        <v/>
      </c>
      <c r="BC548" s="632" t="str">
        <f t="shared" si="38"/>
        <v/>
      </c>
      <c r="BD548" s="633" t="str">
        <f>IF(AND(L548="",H548=""),"",
IF(H548="",Pole_Calc!A576,
IF(H548="MP",Pole_Calc!A577,
IF(H548="AnMP",Pole_Calc!A578,
IF(H548="A",Pole_Calc!A579,
IF(H548="S/A",Pole_Calc!A580,
IF(H548="A/S",Pole_Calc!A581,"Poner a mano")))))))</f>
        <v/>
      </c>
      <c r="BE548" s="448" t="s">
        <v>1726</v>
      </c>
      <c r="BF548" s="634"/>
      <c r="BG548" s="634"/>
      <c r="BH548" s="634"/>
      <c r="BI548" s="634"/>
    </row>
    <row r="549" spans="1:61" ht="16.2" customHeight="1">
      <c r="A549" s="12"/>
      <c r="B549" s="446"/>
      <c r="C549" s="89"/>
      <c r="D549" s="13"/>
      <c r="E549" s="14"/>
      <c r="F549" s="14"/>
      <c r="G549" s="15"/>
      <c r="H549" s="8"/>
      <c r="I549" s="8"/>
      <c r="J549" s="89"/>
      <c r="K549" s="8"/>
      <c r="L549" s="8"/>
      <c r="M549" s="8" t="str">
        <f>IF(L549="","",
IF(AX549="PT",VLOOKUP(L549,Foundation_Calc!$V$4:$X$37,VLOOKUP(AX549,Foundation_Calc!$I$10:$J$13,2,FALSE),0),
IF(AX549="K",VLOOKUP(L549,Foundation_Calc!$V$41:$X$74,VLOOKUP(AX549,Foundation_Calc!$I$10:$J$13,2,FALSE),0),"")))</f>
        <v/>
      </c>
      <c r="N549" s="8"/>
      <c r="O549" s="8"/>
      <c r="P549" s="8"/>
      <c r="Q549" s="14"/>
      <c r="R549" s="15"/>
      <c r="S549" s="15"/>
      <c r="T549" s="14"/>
      <c r="U549" s="14"/>
      <c r="V549" s="14"/>
      <c r="W549" s="18"/>
      <c r="X549" s="18"/>
      <c r="Y549" s="18"/>
      <c r="Z549" s="18"/>
      <c r="AA549" s="18"/>
      <c r="AB549" s="18"/>
      <c r="AC549" s="8" t="str">
        <f t="shared" si="35"/>
        <v/>
      </c>
      <c r="AD549" s="8"/>
      <c r="AE549" s="8"/>
      <c r="AF549" s="14"/>
      <c r="AG549" s="13"/>
      <c r="AH549" s="14"/>
      <c r="AI549" s="14"/>
      <c r="AJ549" s="8"/>
      <c r="AK549" s="8"/>
      <c r="AL549" s="8"/>
      <c r="AM549" s="8"/>
      <c r="AN549" s="631"/>
      <c r="AO549" s="18"/>
      <c r="AP549" s="18"/>
      <c r="AQ549" s="18"/>
      <c r="AR549" s="18"/>
      <c r="AS549" s="18"/>
      <c r="AU549" s="448"/>
      <c r="AV549" s="448"/>
      <c r="AW549" s="8" t="str">
        <f>IF(C549&gt;0,VLOOKUP(C549,Foundation_Calc!$A$2:$C$986,3,1),
IF(J549&gt;0,VLOOKUP(J549,Foundation_Calc!$A$2:$C$986,3,1),""))</f>
        <v/>
      </c>
      <c r="AX549" s="8" t="str">
        <f>IF(C549&gt;0,VLOOKUP(C549,Foundation_Calc!$E$2:$G$986,3,1),
IF(J549&gt;0,VLOOKUP(J549,Foundation_Calc!$E$2:$G$986,3,1),""))</f>
        <v/>
      </c>
      <c r="AY549" s="631" t="str">
        <f>IF(L549="","",
IF(AX549="PT",VLOOKUP(L549,Foundation_Calc!$K$4:$R$37,VLOOKUP(AW549,Foundation_Calc!$I$2:$J$8,2,FALSE),0),
IF(AX549="K",VLOOKUP(L549,Foundation_Calc!$K$41:$R$74,VLOOKUP(AW549,Foundation_Calc!$I$2:$J$8,2,FALSE),0),"")))</f>
        <v/>
      </c>
      <c r="AZ549" s="631" t="str">
        <f>IF(K549="","",
IF(AX549="PT",VLOOKUP(K549,Foundation_Calc!$K$4:$R$37,VLOOKUP(AW549,Foundation_Calc!$I$2:$J$8,2,FALSE),0),
IF(AX549="K",VLOOKUP(K549,Foundation_Calc!$K$41:$R$74,VLOOKUP(AW549,Foundation_Calc!$I$2:$J$8,2,FALSE),0),"")))</f>
        <v/>
      </c>
      <c r="BA549" s="632" t="str">
        <f t="shared" si="36"/>
        <v/>
      </c>
      <c r="BB549" s="632" t="str">
        <f t="shared" si="37"/>
        <v/>
      </c>
      <c r="BC549" s="632" t="str">
        <f t="shared" si="38"/>
        <v/>
      </c>
      <c r="BD549" s="633" t="str">
        <f>IF(AND(L549="",H549=""),"",
IF(H549="",Pole_Calc!A577,
IF(H549="MP",Pole_Calc!A578,
IF(H549="AnMP",Pole_Calc!A579,
IF(H549="A",Pole_Calc!A580,
IF(H549="S/A",Pole_Calc!A581,
IF(H549="A/S",Pole_Calc!A582,"Poner a mano")))))))</f>
        <v/>
      </c>
      <c r="BE549" s="448" t="s">
        <v>1726</v>
      </c>
      <c r="BF549" s="635"/>
      <c r="BG549" s="635"/>
      <c r="BH549" s="634"/>
      <c r="BI549" s="635"/>
    </row>
    <row r="550" spans="1:61" ht="16.2" customHeight="1">
      <c r="A550" s="12"/>
      <c r="B550" s="446"/>
      <c r="C550" s="89"/>
      <c r="D550" s="13"/>
      <c r="E550" s="14"/>
      <c r="F550" s="14"/>
      <c r="G550" s="15"/>
      <c r="H550" s="8"/>
      <c r="I550" s="8"/>
      <c r="J550" s="89"/>
      <c r="K550" s="8"/>
      <c r="L550" s="8"/>
      <c r="M550" s="8" t="str">
        <f>IF(L550="","",
IF(AX550="PT",VLOOKUP(L550,Foundation_Calc!$V$4:$X$37,VLOOKUP(AX550,Foundation_Calc!$I$10:$J$13,2,FALSE),0),
IF(AX550="K",VLOOKUP(L550,Foundation_Calc!$V$41:$X$74,VLOOKUP(AX550,Foundation_Calc!$I$10:$J$13,2,FALSE),0),"")))</f>
        <v/>
      </c>
      <c r="N550" s="8"/>
      <c r="O550" s="8"/>
      <c r="P550" s="8"/>
      <c r="Q550" s="14"/>
      <c r="R550" s="15"/>
      <c r="S550" s="15"/>
      <c r="T550" s="14"/>
      <c r="U550" s="14"/>
      <c r="V550" s="14"/>
      <c r="W550" s="18"/>
      <c r="X550" s="18"/>
      <c r="Y550" s="18"/>
      <c r="Z550" s="18"/>
      <c r="AA550" s="18"/>
      <c r="AB550" s="18"/>
      <c r="AC550" s="8" t="str">
        <f t="shared" si="35"/>
        <v/>
      </c>
      <c r="AD550" s="8"/>
      <c r="AE550" s="8"/>
      <c r="AF550" s="14"/>
      <c r="AG550" s="13"/>
      <c r="AH550" s="14"/>
      <c r="AI550" s="14"/>
      <c r="AJ550" s="8"/>
      <c r="AK550" s="8"/>
      <c r="AL550" s="8"/>
      <c r="AM550" s="8"/>
      <c r="AN550" s="631"/>
      <c r="AO550" s="18"/>
      <c r="AP550" s="18"/>
      <c r="AQ550" s="18"/>
      <c r="AR550" s="18"/>
      <c r="AS550" s="18"/>
      <c r="AU550" s="448"/>
      <c r="AV550" s="448"/>
      <c r="AW550" s="8" t="str">
        <f>IF(C550&gt;0,VLOOKUP(C550,Foundation_Calc!$A$2:$C$986,3,1),
IF(J550&gt;0,VLOOKUP(J550,Foundation_Calc!$A$2:$C$986,3,1),""))</f>
        <v/>
      </c>
      <c r="AX550" s="8" t="str">
        <f>IF(C550&gt;0,VLOOKUP(C550,Foundation_Calc!$E$2:$G$986,3,1),
IF(J550&gt;0,VLOOKUP(J550,Foundation_Calc!$E$2:$G$986,3,1),""))</f>
        <v/>
      </c>
      <c r="AY550" s="631" t="str">
        <f>IF(L550="","",
IF(AX550="PT",VLOOKUP(L550,Foundation_Calc!$K$4:$R$37,VLOOKUP(AW550,Foundation_Calc!$I$2:$J$8,2,FALSE),0),
IF(AX550="K",VLOOKUP(L550,Foundation_Calc!$K$41:$R$74,VLOOKUP(AW550,Foundation_Calc!$I$2:$J$8,2,FALSE),0),"")))</f>
        <v/>
      </c>
      <c r="AZ550" s="631" t="str">
        <f>IF(K550="","",
IF(AX550="PT",VLOOKUP(K550,Foundation_Calc!$K$4:$R$37,VLOOKUP(AW550,Foundation_Calc!$I$2:$J$8,2,FALSE),0),
IF(AX550="K",VLOOKUP(K550,Foundation_Calc!$K$41:$R$74,VLOOKUP(AW550,Foundation_Calc!$I$2:$J$8,2,FALSE),0),"")))</f>
        <v/>
      </c>
      <c r="BA550" s="632" t="str">
        <f t="shared" si="36"/>
        <v/>
      </c>
      <c r="BB550" s="632" t="str">
        <f t="shared" si="37"/>
        <v/>
      </c>
      <c r="BC550" s="632" t="str">
        <f t="shared" si="38"/>
        <v/>
      </c>
      <c r="BD550" s="633" t="str">
        <f>IF(AND(L550="",H550=""),"",
IF(H550="",Pole_Calc!A578,
IF(H550="MP",Pole_Calc!A579,
IF(H550="AnMP",Pole_Calc!A580,
IF(H550="A",Pole_Calc!A581,
IF(H550="S/A",Pole_Calc!A582,
IF(H550="A/S",Pole_Calc!A583,"Poner a mano")))))))</f>
        <v/>
      </c>
      <c r="BE550" s="448" t="s">
        <v>1726</v>
      </c>
      <c r="BF550" s="634"/>
      <c r="BG550" s="634"/>
      <c r="BH550" s="634"/>
      <c r="BI550" s="634"/>
    </row>
    <row r="551" spans="1:61" ht="16.2" customHeight="1">
      <c r="A551" s="12"/>
      <c r="B551" s="446"/>
      <c r="C551" s="89"/>
      <c r="D551" s="13"/>
      <c r="E551" s="14"/>
      <c r="F551" s="14"/>
      <c r="G551" s="15"/>
      <c r="H551" s="8"/>
      <c r="I551" s="8"/>
      <c r="J551" s="89"/>
      <c r="K551" s="8"/>
      <c r="L551" s="8"/>
      <c r="M551" s="8" t="str">
        <f>IF(L551="","",
IF(AX551="PT",VLOOKUP(L551,Foundation_Calc!$V$4:$X$37,VLOOKUP(AX551,Foundation_Calc!$I$10:$J$13,2,FALSE),0),
IF(AX551="K",VLOOKUP(L551,Foundation_Calc!$V$41:$X$74,VLOOKUP(AX551,Foundation_Calc!$I$10:$J$13,2,FALSE),0),"")))</f>
        <v/>
      </c>
      <c r="N551" s="8"/>
      <c r="O551" s="8"/>
      <c r="P551" s="8"/>
      <c r="Q551" s="14"/>
      <c r="R551" s="15"/>
      <c r="S551" s="15"/>
      <c r="T551" s="14"/>
      <c r="U551" s="14"/>
      <c r="V551" s="14"/>
      <c r="W551" s="18"/>
      <c r="X551" s="18"/>
      <c r="Y551" s="18"/>
      <c r="Z551" s="18"/>
      <c r="AA551" s="18"/>
      <c r="AB551" s="18"/>
      <c r="AC551" s="8" t="str">
        <f t="shared" si="35"/>
        <v/>
      </c>
      <c r="AD551" s="8"/>
      <c r="AE551" s="8"/>
      <c r="AF551" s="14"/>
      <c r="AG551" s="13"/>
      <c r="AH551" s="14"/>
      <c r="AI551" s="14"/>
      <c r="AJ551" s="8"/>
      <c r="AK551" s="8"/>
      <c r="AL551" s="8"/>
      <c r="AM551" s="8"/>
      <c r="AN551" s="631"/>
      <c r="AO551" s="18"/>
      <c r="AP551" s="18"/>
      <c r="AQ551" s="18"/>
      <c r="AR551" s="18"/>
      <c r="AS551" s="18"/>
      <c r="AU551" s="448"/>
      <c r="AV551" s="448"/>
      <c r="AW551" s="8" t="str">
        <f>IF(C551&gt;0,VLOOKUP(C551,Foundation_Calc!$A$2:$C$986,3,1),
IF(J551&gt;0,VLOOKUP(J551,Foundation_Calc!$A$2:$C$986,3,1),""))</f>
        <v/>
      </c>
      <c r="AX551" s="8" t="str">
        <f>IF(C551&gt;0,VLOOKUP(C551,Foundation_Calc!$E$2:$G$986,3,1),
IF(J551&gt;0,VLOOKUP(J551,Foundation_Calc!$E$2:$G$986,3,1),""))</f>
        <v/>
      </c>
      <c r="AY551" s="631" t="str">
        <f>IF(L551="","",
IF(AX551="PT",VLOOKUP(L551,Foundation_Calc!$K$4:$R$37,VLOOKUP(AW551,Foundation_Calc!$I$2:$J$8,2,FALSE),0),
IF(AX551="K",VLOOKUP(L551,Foundation_Calc!$K$41:$R$74,VLOOKUP(AW551,Foundation_Calc!$I$2:$J$8,2,FALSE),0),"")))</f>
        <v/>
      </c>
      <c r="AZ551" s="631" t="str">
        <f>IF(K551="","",
IF(AX551="PT",VLOOKUP(K551,Foundation_Calc!$K$4:$R$37,VLOOKUP(AW551,Foundation_Calc!$I$2:$J$8,2,FALSE),0),
IF(AX551="K",VLOOKUP(K551,Foundation_Calc!$K$41:$R$74,VLOOKUP(AW551,Foundation_Calc!$I$2:$J$8,2,FALSE),0),"")))</f>
        <v/>
      </c>
      <c r="BA551" s="632" t="str">
        <f t="shared" si="36"/>
        <v/>
      </c>
      <c r="BB551" s="632" t="str">
        <f t="shared" si="37"/>
        <v/>
      </c>
      <c r="BC551" s="632" t="str">
        <f t="shared" si="38"/>
        <v/>
      </c>
      <c r="BD551" s="633" t="str">
        <f>IF(AND(L551="",H551=""),"",
IF(H551="",Pole_Calc!A579,
IF(H551="MP",Pole_Calc!A580,
IF(H551="AnMP",Pole_Calc!A581,
IF(H551="A",Pole_Calc!A582,
IF(H551="S/A",Pole_Calc!A583,
IF(H551="A/S",Pole_Calc!A584,"Poner a mano")))))))</f>
        <v/>
      </c>
      <c r="BE551" s="448" t="s">
        <v>1726</v>
      </c>
      <c r="BF551" s="635"/>
      <c r="BG551" s="635"/>
      <c r="BH551" s="634"/>
      <c r="BI551" s="635"/>
    </row>
    <row r="552" spans="1:61" ht="16.2" customHeight="1">
      <c r="A552" s="12"/>
      <c r="B552" s="446"/>
      <c r="C552" s="89"/>
      <c r="D552" s="13"/>
      <c r="E552" s="14"/>
      <c r="F552" s="14"/>
      <c r="G552" s="15"/>
      <c r="H552" s="8"/>
      <c r="I552" s="8"/>
      <c r="J552" s="89"/>
      <c r="K552" s="8"/>
      <c r="L552" s="8"/>
      <c r="M552" s="8" t="str">
        <f>IF(L552="","",
IF(AX552="PT",VLOOKUP(L552,Foundation_Calc!$V$4:$X$37,VLOOKUP(AX552,Foundation_Calc!$I$10:$J$13,2,FALSE),0),
IF(AX552="K",VLOOKUP(L552,Foundation_Calc!$V$41:$X$74,VLOOKUP(AX552,Foundation_Calc!$I$10:$J$13,2,FALSE),0),"")))</f>
        <v/>
      </c>
      <c r="N552" s="8"/>
      <c r="O552" s="8"/>
      <c r="P552" s="8"/>
      <c r="Q552" s="14"/>
      <c r="R552" s="15"/>
      <c r="S552" s="15"/>
      <c r="T552" s="14"/>
      <c r="U552" s="14"/>
      <c r="V552" s="14"/>
      <c r="W552" s="18"/>
      <c r="X552" s="18"/>
      <c r="Y552" s="18"/>
      <c r="Z552" s="18"/>
      <c r="AA552" s="18"/>
      <c r="AB552" s="18"/>
      <c r="AC552" s="8" t="str">
        <f t="shared" si="35"/>
        <v/>
      </c>
      <c r="AD552" s="8"/>
      <c r="AE552" s="8"/>
      <c r="AF552" s="14"/>
      <c r="AG552" s="13"/>
      <c r="AH552" s="14"/>
      <c r="AI552" s="14"/>
      <c r="AJ552" s="8"/>
      <c r="AK552" s="8"/>
      <c r="AL552" s="8"/>
      <c r="AM552" s="8"/>
      <c r="AN552" s="631"/>
      <c r="AO552" s="18"/>
      <c r="AP552" s="18"/>
      <c r="AQ552" s="18"/>
      <c r="AR552" s="18"/>
      <c r="AS552" s="18"/>
      <c r="AU552" s="448"/>
      <c r="AV552" s="448"/>
      <c r="AW552" s="8" t="str">
        <f>IF(C552&gt;0,VLOOKUP(C552,Foundation_Calc!$A$2:$C$986,3,1),
IF(J552&gt;0,VLOOKUP(J552,Foundation_Calc!$A$2:$C$986,3,1),""))</f>
        <v/>
      </c>
      <c r="AX552" s="8" t="str">
        <f>IF(C552&gt;0,VLOOKUP(C552,Foundation_Calc!$E$2:$G$986,3,1),
IF(J552&gt;0,VLOOKUP(J552,Foundation_Calc!$E$2:$G$986,3,1),""))</f>
        <v/>
      </c>
      <c r="AY552" s="631" t="str">
        <f>IF(L552="","",
IF(AX552="PT",VLOOKUP(L552,Foundation_Calc!$K$4:$R$37,VLOOKUP(AW552,Foundation_Calc!$I$2:$J$8,2,FALSE),0),
IF(AX552="K",VLOOKUP(L552,Foundation_Calc!$K$41:$R$74,VLOOKUP(AW552,Foundation_Calc!$I$2:$J$8,2,FALSE),0),"")))</f>
        <v/>
      </c>
      <c r="AZ552" s="631" t="str">
        <f>IF(K552="","",
IF(AX552="PT",VLOOKUP(K552,Foundation_Calc!$K$4:$R$37,VLOOKUP(AW552,Foundation_Calc!$I$2:$J$8,2,FALSE),0),
IF(AX552="K",VLOOKUP(K552,Foundation_Calc!$K$41:$R$74,VLOOKUP(AW552,Foundation_Calc!$I$2:$J$8,2,FALSE),0),"")))</f>
        <v/>
      </c>
      <c r="BA552" s="632" t="str">
        <f t="shared" si="36"/>
        <v/>
      </c>
      <c r="BB552" s="632" t="str">
        <f t="shared" si="37"/>
        <v/>
      </c>
      <c r="BC552" s="632" t="str">
        <f t="shared" si="38"/>
        <v/>
      </c>
      <c r="BD552" s="633" t="str">
        <f>IF(AND(L552="",H552=""),"",
IF(H552="",Pole_Calc!A580,
IF(H552="MP",Pole_Calc!A581,
IF(H552="AnMP",Pole_Calc!A582,
IF(H552="A",Pole_Calc!A583,
IF(H552="S/A",Pole_Calc!A584,
IF(H552="A/S",Pole_Calc!A585,"Poner a mano")))))))</f>
        <v/>
      </c>
      <c r="BE552" s="448" t="s">
        <v>1726</v>
      </c>
      <c r="BF552" s="634"/>
      <c r="BG552" s="634"/>
      <c r="BH552" s="634"/>
      <c r="BI552" s="634"/>
    </row>
    <row r="553" spans="1:61" ht="16.2" customHeight="1">
      <c r="A553" s="12"/>
      <c r="B553" s="446"/>
      <c r="C553" s="89"/>
      <c r="D553" s="13"/>
      <c r="E553" s="14"/>
      <c r="F553" s="14"/>
      <c r="G553" s="15"/>
      <c r="H553" s="8"/>
      <c r="I553" s="8"/>
      <c r="J553" s="89"/>
      <c r="K553" s="8"/>
      <c r="L553" s="8"/>
      <c r="M553" s="8" t="str">
        <f>IF(L553="","",
IF(AX553="PT",VLOOKUP(L553,Foundation_Calc!$V$4:$X$37,VLOOKUP(AX553,Foundation_Calc!$I$10:$J$13,2,FALSE),0),
IF(AX553="K",VLOOKUP(L553,Foundation_Calc!$V$41:$X$74,VLOOKUP(AX553,Foundation_Calc!$I$10:$J$13,2,FALSE),0),"")))</f>
        <v/>
      </c>
      <c r="N553" s="8"/>
      <c r="O553" s="8"/>
      <c r="P553" s="8"/>
      <c r="Q553" s="14"/>
      <c r="R553" s="15"/>
      <c r="S553" s="15"/>
      <c r="T553" s="14"/>
      <c r="U553" s="14"/>
      <c r="V553" s="14"/>
      <c r="W553" s="18"/>
      <c r="X553" s="18"/>
      <c r="Y553" s="18"/>
      <c r="Z553" s="18"/>
      <c r="AA553" s="18"/>
      <c r="AB553" s="18"/>
      <c r="AC553" s="8" t="str">
        <f t="shared" si="35"/>
        <v/>
      </c>
      <c r="AD553" s="8"/>
      <c r="AE553" s="8"/>
      <c r="AF553" s="14"/>
      <c r="AG553" s="13"/>
      <c r="AH553" s="14"/>
      <c r="AI553" s="14"/>
      <c r="AJ553" s="8"/>
      <c r="AK553" s="8"/>
      <c r="AL553" s="8"/>
      <c r="AM553" s="8"/>
      <c r="AN553" s="631"/>
      <c r="AO553" s="18"/>
      <c r="AP553" s="18"/>
      <c r="AQ553" s="18"/>
      <c r="AR553" s="18"/>
      <c r="AS553" s="18"/>
      <c r="AU553" s="448"/>
      <c r="AV553" s="448"/>
      <c r="AW553" s="8" t="str">
        <f>IF(C553&gt;0,VLOOKUP(C553,Foundation_Calc!$A$2:$C$986,3,1),
IF(J553&gt;0,VLOOKUP(J553,Foundation_Calc!$A$2:$C$986,3,1),""))</f>
        <v/>
      </c>
      <c r="AX553" s="8" t="str">
        <f>IF(C553&gt;0,VLOOKUP(C553,Foundation_Calc!$E$2:$G$986,3,1),
IF(J553&gt;0,VLOOKUP(J553,Foundation_Calc!$E$2:$G$986,3,1),""))</f>
        <v/>
      </c>
      <c r="AY553" s="631" t="str">
        <f>IF(L553="","",
IF(AX553="PT",VLOOKUP(L553,Foundation_Calc!$K$4:$R$37,VLOOKUP(AW553,Foundation_Calc!$I$2:$J$8,2,FALSE),0),
IF(AX553="K",VLOOKUP(L553,Foundation_Calc!$K$41:$R$74,VLOOKUP(AW553,Foundation_Calc!$I$2:$J$8,2,FALSE),0),"")))</f>
        <v/>
      </c>
      <c r="AZ553" s="631" t="str">
        <f>IF(K553="","",
IF(AX553="PT",VLOOKUP(K553,Foundation_Calc!$K$4:$R$37,VLOOKUP(AW553,Foundation_Calc!$I$2:$J$8,2,FALSE),0),
IF(AX553="K",VLOOKUP(K553,Foundation_Calc!$K$41:$R$74,VLOOKUP(AW553,Foundation_Calc!$I$2:$J$8,2,FALSE),0),"")))</f>
        <v/>
      </c>
      <c r="BA553" s="632" t="str">
        <f t="shared" si="36"/>
        <v/>
      </c>
      <c r="BB553" s="632" t="str">
        <f t="shared" si="37"/>
        <v/>
      </c>
      <c r="BC553" s="632" t="str">
        <f t="shared" si="38"/>
        <v/>
      </c>
      <c r="BD553" s="633" t="str">
        <f>IF(AND(L553="",H553=""),"",
IF(H553="",Pole_Calc!A581,
IF(H553="MP",Pole_Calc!A582,
IF(H553="AnMP",Pole_Calc!A583,
IF(H553="A",Pole_Calc!A584,
IF(H553="S/A",Pole_Calc!A585,
IF(H553="A/S",Pole_Calc!A586,"Poner a mano")))))))</f>
        <v/>
      </c>
      <c r="BE553" s="448" t="s">
        <v>1726</v>
      </c>
      <c r="BF553" s="635"/>
      <c r="BG553" s="635"/>
      <c r="BH553" s="634"/>
      <c r="BI553" s="635"/>
    </row>
    <row r="554" spans="1:61" ht="16.2" customHeight="1">
      <c r="A554" s="12"/>
      <c r="B554" s="446"/>
      <c r="C554" s="89"/>
      <c r="D554" s="13"/>
      <c r="E554" s="14"/>
      <c r="F554" s="14"/>
      <c r="G554" s="15"/>
      <c r="H554" s="8"/>
      <c r="I554" s="8"/>
      <c r="J554" s="89"/>
      <c r="K554" s="8"/>
      <c r="L554" s="8"/>
      <c r="M554" s="8" t="str">
        <f>IF(L554="","",
IF(AX554="PT",VLOOKUP(L554,Foundation_Calc!$V$4:$X$37,VLOOKUP(AX554,Foundation_Calc!$I$10:$J$13,2,FALSE),0),
IF(AX554="K",VLOOKUP(L554,Foundation_Calc!$V$41:$X$74,VLOOKUP(AX554,Foundation_Calc!$I$10:$J$13,2,FALSE),0),"")))</f>
        <v/>
      </c>
      <c r="N554" s="8"/>
      <c r="O554" s="8"/>
      <c r="P554" s="8"/>
      <c r="Q554" s="14"/>
      <c r="R554" s="15"/>
      <c r="S554" s="15"/>
      <c r="T554" s="14"/>
      <c r="U554" s="14"/>
      <c r="V554" s="14"/>
      <c r="W554" s="18"/>
      <c r="X554" s="18"/>
      <c r="Y554" s="18"/>
      <c r="Z554" s="18"/>
      <c r="AA554" s="18"/>
      <c r="AB554" s="18"/>
      <c r="AC554" s="8" t="str">
        <f t="shared" si="35"/>
        <v/>
      </c>
      <c r="AD554" s="8"/>
      <c r="AE554" s="8"/>
      <c r="AF554" s="14"/>
      <c r="AG554" s="13"/>
      <c r="AH554" s="14"/>
      <c r="AI554" s="14"/>
      <c r="AJ554" s="8"/>
      <c r="AK554" s="8"/>
      <c r="AL554" s="8"/>
      <c r="AM554" s="8"/>
      <c r="AN554" s="631"/>
      <c r="AO554" s="18"/>
      <c r="AP554" s="18"/>
      <c r="AQ554" s="18"/>
      <c r="AR554" s="18"/>
      <c r="AS554" s="18"/>
      <c r="AU554" s="448"/>
      <c r="AV554" s="448"/>
      <c r="AW554" s="8" t="str">
        <f>IF(C554&gt;0,VLOOKUP(C554,Foundation_Calc!$A$2:$C$986,3,1),
IF(J554&gt;0,VLOOKUP(J554,Foundation_Calc!$A$2:$C$986,3,1),""))</f>
        <v/>
      </c>
      <c r="AX554" s="8" t="str">
        <f>IF(C554&gt;0,VLOOKUP(C554,Foundation_Calc!$E$2:$G$986,3,1),
IF(J554&gt;0,VLOOKUP(J554,Foundation_Calc!$E$2:$G$986,3,1),""))</f>
        <v/>
      </c>
      <c r="AY554" s="631" t="str">
        <f>IF(L554="","",
IF(AX554="PT",VLOOKUP(L554,Foundation_Calc!$K$4:$R$37,VLOOKUP(AW554,Foundation_Calc!$I$2:$J$8,2,FALSE),0),
IF(AX554="K",VLOOKUP(L554,Foundation_Calc!$K$41:$R$74,VLOOKUP(AW554,Foundation_Calc!$I$2:$J$8,2,FALSE),0),"")))</f>
        <v/>
      </c>
      <c r="AZ554" s="631" t="str">
        <f>IF(K554="","",
IF(AX554="PT",VLOOKUP(K554,Foundation_Calc!$K$4:$R$37,VLOOKUP(AW554,Foundation_Calc!$I$2:$J$8,2,FALSE),0),
IF(AX554="K",VLOOKUP(K554,Foundation_Calc!$K$41:$R$74,VLOOKUP(AW554,Foundation_Calc!$I$2:$J$8,2,FALSE),0),"")))</f>
        <v/>
      </c>
      <c r="BA554" s="632" t="str">
        <f t="shared" si="36"/>
        <v/>
      </c>
      <c r="BB554" s="632" t="str">
        <f t="shared" si="37"/>
        <v/>
      </c>
      <c r="BC554" s="632" t="str">
        <f t="shared" si="38"/>
        <v/>
      </c>
      <c r="BD554" s="633" t="str">
        <f>IF(AND(L554="",H554=""),"",
IF(H554="",Pole_Calc!A582,
IF(H554="MP",Pole_Calc!A583,
IF(H554="AnMP",Pole_Calc!A584,
IF(H554="A",Pole_Calc!A585,
IF(H554="S/A",Pole_Calc!A586,
IF(H554="A/S",Pole_Calc!A587,"Poner a mano")))))))</f>
        <v/>
      </c>
      <c r="BE554" s="448" t="s">
        <v>1726</v>
      </c>
      <c r="BF554" s="634"/>
      <c r="BG554" s="634"/>
      <c r="BH554" s="634"/>
      <c r="BI554" s="634"/>
    </row>
    <row r="555" spans="1:61" ht="16.2" customHeight="1">
      <c r="A555" s="12"/>
      <c r="B555" s="446"/>
      <c r="C555" s="89"/>
      <c r="D555" s="13"/>
      <c r="E555" s="14"/>
      <c r="F555" s="14"/>
      <c r="G555" s="15"/>
      <c r="H555" s="8"/>
      <c r="I555" s="8"/>
      <c r="J555" s="89"/>
      <c r="K555" s="8"/>
      <c r="L555" s="8"/>
      <c r="M555" s="8" t="str">
        <f>IF(L555="","",
IF(AX555="PT",VLOOKUP(L555,Foundation_Calc!$V$4:$X$37,VLOOKUP(AX555,Foundation_Calc!$I$10:$J$13,2,FALSE),0),
IF(AX555="K",VLOOKUP(L555,Foundation_Calc!$V$41:$X$74,VLOOKUP(AX555,Foundation_Calc!$I$10:$J$13,2,FALSE),0),"")))</f>
        <v/>
      </c>
      <c r="N555" s="8"/>
      <c r="O555" s="8"/>
      <c r="P555" s="8"/>
      <c r="Q555" s="14"/>
      <c r="R555" s="15"/>
      <c r="S555" s="15"/>
      <c r="T555" s="14"/>
      <c r="U555" s="14"/>
      <c r="V555" s="14"/>
      <c r="W555" s="18"/>
      <c r="X555" s="18"/>
      <c r="Y555" s="18"/>
      <c r="Z555" s="18"/>
      <c r="AA555" s="18"/>
      <c r="AB555" s="18"/>
      <c r="AC555" s="8" t="str">
        <f t="shared" si="35"/>
        <v/>
      </c>
      <c r="AD555" s="8"/>
      <c r="AE555" s="8"/>
      <c r="AF555" s="14"/>
      <c r="AG555" s="13"/>
      <c r="AH555" s="14"/>
      <c r="AI555" s="14"/>
      <c r="AJ555" s="8"/>
      <c r="AK555" s="8"/>
      <c r="AL555" s="8"/>
      <c r="AM555" s="8"/>
      <c r="AN555" s="631"/>
      <c r="AO555" s="18"/>
      <c r="AP555" s="18"/>
      <c r="AQ555" s="18"/>
      <c r="AR555" s="18"/>
      <c r="AS555" s="18"/>
      <c r="AU555" s="448"/>
      <c r="AV555" s="448"/>
      <c r="AW555" s="8" t="str">
        <f>IF(C555&gt;0,VLOOKUP(C555,Foundation_Calc!$A$2:$C$986,3,1),
IF(J555&gt;0,VLOOKUP(J555,Foundation_Calc!$A$2:$C$986,3,1),""))</f>
        <v/>
      </c>
      <c r="AX555" s="8" t="str">
        <f>IF(C555&gt;0,VLOOKUP(C555,Foundation_Calc!$E$2:$G$986,3,1),
IF(J555&gt;0,VLOOKUP(J555,Foundation_Calc!$E$2:$G$986,3,1),""))</f>
        <v/>
      </c>
      <c r="AY555" s="631" t="str">
        <f>IF(L555="","",
IF(AX555="PT",VLOOKUP(L555,Foundation_Calc!$K$4:$R$37,VLOOKUP(AW555,Foundation_Calc!$I$2:$J$8,2,FALSE),0),
IF(AX555="K",VLOOKUP(L555,Foundation_Calc!$K$41:$R$74,VLOOKUP(AW555,Foundation_Calc!$I$2:$J$8,2,FALSE),0),"")))</f>
        <v/>
      </c>
      <c r="AZ555" s="631" t="str">
        <f>IF(K555="","",
IF(AX555="PT",VLOOKUP(K555,Foundation_Calc!$K$4:$R$37,VLOOKUP(AW555,Foundation_Calc!$I$2:$J$8,2,FALSE),0),
IF(AX555="K",VLOOKUP(K555,Foundation_Calc!$K$41:$R$74,VLOOKUP(AW555,Foundation_Calc!$I$2:$J$8,2,FALSE),0),"")))</f>
        <v/>
      </c>
      <c r="BA555" s="632" t="str">
        <f t="shared" si="36"/>
        <v/>
      </c>
      <c r="BB555" s="632" t="str">
        <f t="shared" si="37"/>
        <v/>
      </c>
      <c r="BC555" s="632" t="str">
        <f t="shared" si="38"/>
        <v/>
      </c>
      <c r="BD555" s="633" t="str">
        <f>IF(AND(L555="",H555=""),"",
IF(H555="",Pole_Calc!A583,
IF(H555="MP",Pole_Calc!A584,
IF(H555="AnMP",Pole_Calc!A585,
IF(H555="A",Pole_Calc!A586,
IF(H555="S/A",Pole_Calc!A587,
IF(H555="A/S",Pole_Calc!A588,"Poner a mano")))))))</f>
        <v/>
      </c>
      <c r="BE555" s="448" t="s">
        <v>1726</v>
      </c>
      <c r="BF555" s="635"/>
      <c r="BG555" s="635"/>
      <c r="BH555" s="634"/>
      <c r="BI555" s="635"/>
    </row>
    <row r="556" spans="1:61" ht="16.2" customHeight="1">
      <c r="A556" s="12"/>
      <c r="B556" s="446"/>
      <c r="C556" s="89"/>
      <c r="D556" s="13"/>
      <c r="E556" s="14"/>
      <c r="F556" s="14"/>
      <c r="G556" s="15"/>
      <c r="H556" s="8"/>
      <c r="I556" s="8"/>
      <c r="J556" s="89"/>
      <c r="K556" s="8"/>
      <c r="L556" s="8"/>
      <c r="M556" s="8" t="str">
        <f>IF(L556="","",
IF(AX556="PT",VLOOKUP(L556,Foundation_Calc!$V$4:$X$37,VLOOKUP(AX556,Foundation_Calc!$I$10:$J$13,2,FALSE),0),
IF(AX556="K",VLOOKUP(L556,Foundation_Calc!$V$41:$X$74,VLOOKUP(AX556,Foundation_Calc!$I$10:$J$13,2,FALSE),0),"")))</f>
        <v/>
      </c>
      <c r="N556" s="8"/>
      <c r="O556" s="8"/>
      <c r="P556" s="8"/>
      <c r="Q556" s="14"/>
      <c r="R556" s="15"/>
      <c r="S556" s="15"/>
      <c r="T556" s="14"/>
      <c r="U556" s="14"/>
      <c r="V556" s="14"/>
      <c r="W556" s="18"/>
      <c r="X556" s="18"/>
      <c r="Y556" s="18"/>
      <c r="Z556" s="18"/>
      <c r="AA556" s="18"/>
      <c r="AB556" s="18"/>
      <c r="AC556" s="8" t="str">
        <f t="shared" si="35"/>
        <v/>
      </c>
      <c r="AD556" s="8"/>
      <c r="AE556" s="8"/>
      <c r="AF556" s="14"/>
      <c r="AG556" s="13"/>
      <c r="AH556" s="14"/>
      <c r="AI556" s="14"/>
      <c r="AJ556" s="8"/>
      <c r="AK556" s="8"/>
      <c r="AL556" s="8"/>
      <c r="AM556" s="8"/>
      <c r="AN556" s="631"/>
      <c r="AO556" s="18"/>
      <c r="AP556" s="18"/>
      <c r="AQ556" s="18"/>
      <c r="AR556" s="18"/>
      <c r="AS556" s="18"/>
      <c r="AU556" s="448"/>
      <c r="AV556" s="448"/>
      <c r="AW556" s="8" t="str">
        <f>IF(C556&gt;0,VLOOKUP(C556,Foundation_Calc!$A$2:$C$986,3,1),
IF(J556&gt;0,VLOOKUP(J556,Foundation_Calc!$A$2:$C$986,3,1),""))</f>
        <v/>
      </c>
      <c r="AX556" s="8" t="str">
        <f>IF(C556&gt;0,VLOOKUP(C556,Foundation_Calc!$E$2:$G$986,3,1),
IF(J556&gt;0,VLOOKUP(J556,Foundation_Calc!$E$2:$G$986,3,1),""))</f>
        <v/>
      </c>
      <c r="AY556" s="631" t="str">
        <f>IF(L556="","",
IF(AX556="PT",VLOOKUP(L556,Foundation_Calc!$K$4:$R$37,VLOOKUP(AW556,Foundation_Calc!$I$2:$J$8,2,FALSE),0),
IF(AX556="K",VLOOKUP(L556,Foundation_Calc!$K$41:$R$74,VLOOKUP(AW556,Foundation_Calc!$I$2:$J$8,2,FALSE),0),"")))</f>
        <v/>
      </c>
      <c r="AZ556" s="631" t="str">
        <f>IF(K556="","",
IF(AX556="PT",VLOOKUP(K556,Foundation_Calc!$K$4:$R$37,VLOOKUP(AW556,Foundation_Calc!$I$2:$J$8,2,FALSE),0),
IF(AX556="K",VLOOKUP(K556,Foundation_Calc!$K$41:$R$74,VLOOKUP(AW556,Foundation_Calc!$I$2:$J$8,2,FALSE),0),"")))</f>
        <v/>
      </c>
      <c r="BA556" s="632" t="str">
        <f t="shared" si="36"/>
        <v/>
      </c>
      <c r="BB556" s="632" t="str">
        <f t="shared" si="37"/>
        <v/>
      </c>
      <c r="BC556" s="632" t="str">
        <f t="shared" si="38"/>
        <v/>
      </c>
      <c r="BD556" s="633" t="str">
        <f>IF(AND(L556="",H556=""),"",
IF(H556="",Pole_Calc!A584,
IF(H556="MP",Pole_Calc!A585,
IF(H556="AnMP",Pole_Calc!A586,
IF(H556="A",Pole_Calc!A587,
IF(H556="S/A",Pole_Calc!A588,
IF(H556="A/S",Pole_Calc!A589,"Poner a mano")))))))</f>
        <v/>
      </c>
      <c r="BE556" s="448" t="s">
        <v>1726</v>
      </c>
      <c r="BF556" s="634"/>
      <c r="BG556" s="634"/>
      <c r="BH556" s="634"/>
      <c r="BI556" s="634"/>
    </row>
    <row r="557" spans="1:61" ht="16.2" customHeight="1">
      <c r="A557" s="12"/>
      <c r="B557" s="446"/>
      <c r="C557" s="89"/>
      <c r="D557" s="13"/>
      <c r="E557" s="14"/>
      <c r="F557" s="14"/>
      <c r="G557" s="15"/>
      <c r="H557" s="8"/>
      <c r="I557" s="8"/>
      <c r="J557" s="89"/>
      <c r="K557" s="8"/>
      <c r="L557" s="8"/>
      <c r="M557" s="8" t="str">
        <f>IF(L557="","",
IF(AX557="PT",VLOOKUP(L557,Foundation_Calc!$V$4:$X$37,VLOOKUP(AX557,Foundation_Calc!$I$10:$J$13,2,FALSE),0),
IF(AX557="K",VLOOKUP(L557,Foundation_Calc!$V$41:$X$74,VLOOKUP(AX557,Foundation_Calc!$I$10:$J$13,2,FALSE),0),"")))</f>
        <v/>
      </c>
      <c r="N557" s="8"/>
      <c r="O557" s="8"/>
      <c r="P557" s="8"/>
      <c r="Q557" s="14"/>
      <c r="R557" s="15"/>
      <c r="S557" s="15"/>
      <c r="T557" s="14"/>
      <c r="U557" s="14"/>
      <c r="V557" s="14"/>
      <c r="W557" s="18"/>
      <c r="X557" s="18"/>
      <c r="Y557" s="18"/>
      <c r="Z557" s="18"/>
      <c r="AA557" s="18"/>
      <c r="AB557" s="18"/>
      <c r="AC557" s="8" t="str">
        <f t="shared" si="35"/>
        <v/>
      </c>
      <c r="AD557" s="8"/>
      <c r="AE557" s="8"/>
      <c r="AF557" s="14"/>
      <c r="AG557" s="13"/>
      <c r="AH557" s="14"/>
      <c r="AI557" s="14"/>
      <c r="AJ557" s="8"/>
      <c r="AK557" s="8"/>
      <c r="AL557" s="8"/>
      <c r="AM557" s="8"/>
      <c r="AN557" s="631"/>
      <c r="AO557" s="18"/>
      <c r="AP557" s="18"/>
      <c r="AQ557" s="18"/>
      <c r="AR557" s="18"/>
      <c r="AS557" s="18"/>
      <c r="AU557" s="448"/>
      <c r="AV557" s="448"/>
      <c r="AW557" s="8" t="str">
        <f>IF(C557&gt;0,VLOOKUP(C557,Foundation_Calc!$A$2:$C$986,3,1),
IF(J557&gt;0,VLOOKUP(J557,Foundation_Calc!$A$2:$C$986,3,1),""))</f>
        <v/>
      </c>
      <c r="AX557" s="8" t="str">
        <f>IF(C557&gt;0,VLOOKUP(C557,Foundation_Calc!$E$2:$G$986,3,1),
IF(J557&gt;0,VLOOKUP(J557,Foundation_Calc!$E$2:$G$986,3,1),""))</f>
        <v/>
      </c>
      <c r="AY557" s="631" t="str">
        <f>IF(L557="","",
IF(AX557="PT",VLOOKUP(L557,Foundation_Calc!$K$4:$R$37,VLOOKUP(AW557,Foundation_Calc!$I$2:$J$8,2,FALSE),0),
IF(AX557="K",VLOOKUP(L557,Foundation_Calc!$K$41:$R$74,VLOOKUP(AW557,Foundation_Calc!$I$2:$J$8,2,FALSE),0),"")))</f>
        <v/>
      </c>
      <c r="AZ557" s="631" t="str">
        <f>IF(K557="","",
IF(AX557="PT",VLOOKUP(K557,Foundation_Calc!$K$4:$R$37,VLOOKUP(AW557,Foundation_Calc!$I$2:$J$8,2,FALSE),0),
IF(AX557="K",VLOOKUP(K557,Foundation_Calc!$K$41:$R$74,VLOOKUP(AW557,Foundation_Calc!$I$2:$J$8,2,FALSE),0),"")))</f>
        <v/>
      </c>
      <c r="BA557" s="632" t="str">
        <f t="shared" si="36"/>
        <v/>
      </c>
      <c r="BB557" s="632" t="str">
        <f t="shared" si="37"/>
        <v/>
      </c>
      <c r="BC557" s="632" t="str">
        <f t="shared" si="38"/>
        <v/>
      </c>
      <c r="BD557" s="633" t="str">
        <f>IF(AND(L557="",H557=""),"",
IF(H557="",Pole_Calc!A585,
IF(H557="MP",Pole_Calc!A586,
IF(H557="AnMP",Pole_Calc!A587,
IF(H557="A",Pole_Calc!A588,
IF(H557="S/A",Pole_Calc!A589,
IF(H557="A/S",Pole_Calc!A590,"Poner a mano")))))))</f>
        <v/>
      </c>
      <c r="BE557" s="448" t="s">
        <v>1726</v>
      </c>
      <c r="BF557" s="635"/>
      <c r="BG557" s="635"/>
      <c r="BH557" s="634"/>
      <c r="BI557" s="635"/>
    </row>
    <row r="558" spans="1:61" ht="16.2" customHeight="1">
      <c r="A558" s="12"/>
      <c r="B558" s="446"/>
      <c r="C558" s="89"/>
      <c r="D558" s="13"/>
      <c r="E558" s="14"/>
      <c r="F558" s="14"/>
      <c r="G558" s="15"/>
      <c r="H558" s="8"/>
      <c r="I558" s="8"/>
      <c r="J558" s="89"/>
      <c r="K558" s="8"/>
      <c r="L558" s="8"/>
      <c r="M558" s="8" t="str">
        <f>IF(L558="","",
IF(AX558="PT",VLOOKUP(L558,Foundation_Calc!$V$4:$X$37,VLOOKUP(AX558,Foundation_Calc!$I$10:$J$13,2,FALSE),0),
IF(AX558="K",VLOOKUP(L558,Foundation_Calc!$V$41:$X$74,VLOOKUP(AX558,Foundation_Calc!$I$10:$J$13,2,FALSE),0),"")))</f>
        <v/>
      </c>
      <c r="N558" s="8"/>
      <c r="O558" s="8"/>
      <c r="P558" s="8"/>
      <c r="Q558" s="14"/>
      <c r="R558" s="15"/>
      <c r="S558" s="15"/>
      <c r="T558" s="14"/>
      <c r="U558" s="14"/>
      <c r="V558" s="14"/>
      <c r="W558" s="18"/>
      <c r="X558" s="18"/>
      <c r="Y558" s="18"/>
      <c r="Z558" s="18"/>
      <c r="AA558" s="18"/>
      <c r="AB558" s="18"/>
      <c r="AC558" s="8" t="str">
        <f t="shared" si="35"/>
        <v/>
      </c>
      <c r="AD558" s="8"/>
      <c r="AE558" s="8"/>
      <c r="AF558" s="14"/>
      <c r="AG558" s="13"/>
      <c r="AH558" s="14"/>
      <c r="AI558" s="14"/>
      <c r="AJ558" s="8"/>
      <c r="AK558" s="8"/>
      <c r="AL558" s="8"/>
      <c r="AM558" s="8"/>
      <c r="AN558" s="631"/>
      <c r="AO558" s="18"/>
      <c r="AP558" s="18"/>
      <c r="AQ558" s="18"/>
      <c r="AR558" s="18"/>
      <c r="AS558" s="18"/>
      <c r="AU558" s="448"/>
      <c r="AV558" s="448"/>
      <c r="AW558" s="8" t="str">
        <f>IF(C558&gt;0,VLOOKUP(C558,Foundation_Calc!$A$2:$C$986,3,1),
IF(J558&gt;0,VLOOKUP(J558,Foundation_Calc!$A$2:$C$986,3,1),""))</f>
        <v/>
      </c>
      <c r="AX558" s="8" t="str">
        <f>IF(C558&gt;0,VLOOKUP(C558,Foundation_Calc!$E$2:$G$986,3,1),
IF(J558&gt;0,VLOOKUP(J558,Foundation_Calc!$E$2:$G$986,3,1),""))</f>
        <v/>
      </c>
      <c r="AY558" s="631" t="str">
        <f>IF(L558="","",
IF(AX558="PT",VLOOKUP(L558,Foundation_Calc!$K$4:$R$37,VLOOKUP(AW558,Foundation_Calc!$I$2:$J$8,2,FALSE),0),
IF(AX558="K",VLOOKUP(L558,Foundation_Calc!$K$41:$R$74,VLOOKUP(AW558,Foundation_Calc!$I$2:$J$8,2,FALSE),0),"")))</f>
        <v/>
      </c>
      <c r="AZ558" s="631" t="str">
        <f>IF(K558="","",
IF(AX558="PT",VLOOKUP(K558,Foundation_Calc!$K$4:$R$37,VLOOKUP(AW558,Foundation_Calc!$I$2:$J$8,2,FALSE),0),
IF(AX558="K",VLOOKUP(K558,Foundation_Calc!$K$41:$R$74,VLOOKUP(AW558,Foundation_Calc!$I$2:$J$8,2,FALSE),0),"")))</f>
        <v/>
      </c>
      <c r="BA558" s="632" t="str">
        <f t="shared" si="36"/>
        <v/>
      </c>
      <c r="BB558" s="632" t="str">
        <f t="shared" si="37"/>
        <v/>
      </c>
      <c r="BC558" s="632" t="str">
        <f t="shared" si="38"/>
        <v/>
      </c>
      <c r="BD558" s="633" t="str">
        <f>IF(AND(L558="",H558=""),"",
IF(H558="",Pole_Calc!A586,
IF(H558="MP",Pole_Calc!A587,
IF(H558="AnMP",Pole_Calc!A588,
IF(H558="A",Pole_Calc!A589,
IF(H558="S/A",Pole_Calc!A590,
IF(H558="A/S",Pole_Calc!A591,"Poner a mano")))))))</f>
        <v/>
      </c>
      <c r="BE558" s="448" t="s">
        <v>1726</v>
      </c>
      <c r="BF558" s="634"/>
      <c r="BG558" s="634"/>
      <c r="BH558" s="634"/>
      <c r="BI558" s="634"/>
    </row>
    <row r="559" spans="1:61" ht="16.2" customHeight="1">
      <c r="A559" s="12"/>
      <c r="B559" s="446"/>
      <c r="C559" s="89"/>
      <c r="D559" s="13"/>
      <c r="E559" s="14"/>
      <c r="F559" s="14"/>
      <c r="G559" s="15"/>
      <c r="H559" s="8"/>
      <c r="I559" s="8"/>
      <c r="J559" s="89"/>
      <c r="K559" s="8"/>
      <c r="L559" s="8"/>
      <c r="M559" s="8" t="str">
        <f>IF(L559="","",
IF(AX559="PT",VLOOKUP(L559,Foundation_Calc!$V$4:$X$37,VLOOKUP(AX559,Foundation_Calc!$I$10:$J$13,2,FALSE),0),
IF(AX559="K",VLOOKUP(L559,Foundation_Calc!$V$41:$X$74,VLOOKUP(AX559,Foundation_Calc!$I$10:$J$13,2,FALSE),0),"")))</f>
        <v/>
      </c>
      <c r="N559" s="8"/>
      <c r="O559" s="8"/>
      <c r="P559" s="8"/>
      <c r="Q559" s="14"/>
      <c r="R559" s="15"/>
      <c r="S559" s="15"/>
      <c r="T559" s="14"/>
      <c r="U559" s="14"/>
      <c r="V559" s="14"/>
      <c r="W559" s="18"/>
      <c r="X559" s="18"/>
      <c r="Y559" s="18"/>
      <c r="Z559" s="18"/>
      <c r="AA559" s="18"/>
      <c r="AB559" s="18"/>
      <c r="AC559" s="8" t="str">
        <f t="shared" si="35"/>
        <v/>
      </c>
      <c r="AD559" s="8"/>
      <c r="AE559" s="8"/>
      <c r="AF559" s="14"/>
      <c r="AG559" s="13"/>
      <c r="AH559" s="14"/>
      <c r="AI559" s="14"/>
      <c r="AJ559" s="8"/>
      <c r="AK559" s="8"/>
      <c r="AL559" s="8"/>
      <c r="AM559" s="8"/>
      <c r="AN559" s="631"/>
      <c r="AO559" s="18"/>
      <c r="AP559" s="18"/>
      <c r="AQ559" s="18"/>
      <c r="AR559" s="18"/>
      <c r="AS559" s="18"/>
      <c r="AU559" s="448"/>
      <c r="AV559" s="448"/>
      <c r="AW559" s="8" t="str">
        <f>IF(C559&gt;0,VLOOKUP(C559,Foundation_Calc!$A$2:$C$986,3,1),
IF(J559&gt;0,VLOOKUP(J559,Foundation_Calc!$A$2:$C$986,3,1),""))</f>
        <v/>
      </c>
      <c r="AX559" s="8" t="str">
        <f>IF(C559&gt;0,VLOOKUP(C559,Foundation_Calc!$E$2:$G$986,3,1),
IF(J559&gt;0,VLOOKUP(J559,Foundation_Calc!$E$2:$G$986,3,1),""))</f>
        <v/>
      </c>
      <c r="AY559" s="631" t="str">
        <f>IF(L559="","",
IF(AX559="PT",VLOOKUP(L559,Foundation_Calc!$K$4:$R$37,VLOOKUP(AW559,Foundation_Calc!$I$2:$J$8,2,FALSE),0),
IF(AX559="K",VLOOKUP(L559,Foundation_Calc!$K$41:$R$74,VLOOKUP(AW559,Foundation_Calc!$I$2:$J$8,2,FALSE),0),"")))</f>
        <v/>
      </c>
      <c r="AZ559" s="631" t="str">
        <f>IF(K559="","",
IF(AX559="PT",VLOOKUP(K559,Foundation_Calc!$K$4:$R$37,VLOOKUP(AW559,Foundation_Calc!$I$2:$J$8,2,FALSE),0),
IF(AX559="K",VLOOKUP(K559,Foundation_Calc!$K$41:$R$74,VLOOKUP(AW559,Foundation_Calc!$I$2:$J$8,2,FALSE),0),"")))</f>
        <v/>
      </c>
      <c r="BA559" s="632" t="str">
        <f t="shared" si="36"/>
        <v/>
      </c>
      <c r="BB559" s="632" t="str">
        <f t="shared" si="37"/>
        <v/>
      </c>
      <c r="BC559" s="632" t="str">
        <f t="shared" si="38"/>
        <v/>
      </c>
      <c r="BD559" s="633" t="str">
        <f>IF(AND(L559="",H559=""),"",
IF(H559="",Pole_Calc!A587,
IF(H559="MP",Pole_Calc!A588,
IF(H559="AnMP",Pole_Calc!A589,
IF(H559="A",Pole_Calc!A590,
IF(H559="S/A",Pole_Calc!A591,
IF(H559="A/S",Pole_Calc!A592,"Poner a mano")))))))</f>
        <v/>
      </c>
      <c r="BE559" s="448" t="s">
        <v>1726</v>
      </c>
      <c r="BF559" s="635"/>
      <c r="BG559" s="635"/>
      <c r="BH559" s="634"/>
      <c r="BI559" s="635"/>
    </row>
    <row r="560" spans="1:61" ht="16.2" customHeight="1">
      <c r="A560" s="12"/>
      <c r="B560" s="446"/>
      <c r="C560" s="89"/>
      <c r="D560" s="13"/>
      <c r="E560" s="14"/>
      <c r="F560" s="14"/>
      <c r="G560" s="15"/>
      <c r="H560" s="8"/>
      <c r="I560" s="8"/>
      <c r="J560" s="89"/>
      <c r="K560" s="8"/>
      <c r="L560" s="8"/>
      <c r="M560" s="8" t="str">
        <f>IF(L560="","",
IF(AX560="PT",VLOOKUP(L560,Foundation_Calc!$V$4:$X$37,VLOOKUP(AX560,Foundation_Calc!$I$10:$J$13,2,FALSE),0),
IF(AX560="K",VLOOKUP(L560,Foundation_Calc!$V$41:$X$74,VLOOKUP(AX560,Foundation_Calc!$I$10:$J$13,2,FALSE),0),"")))</f>
        <v/>
      </c>
      <c r="N560" s="8"/>
      <c r="O560" s="8"/>
      <c r="P560" s="8"/>
      <c r="Q560" s="14"/>
      <c r="R560" s="15"/>
      <c r="S560" s="15"/>
      <c r="T560" s="14"/>
      <c r="U560" s="14"/>
      <c r="V560" s="14"/>
      <c r="W560" s="18"/>
      <c r="X560" s="18"/>
      <c r="Y560" s="18"/>
      <c r="Z560" s="18"/>
      <c r="AA560" s="18"/>
      <c r="AB560" s="18"/>
      <c r="AC560" s="8" t="str">
        <f t="shared" si="35"/>
        <v/>
      </c>
      <c r="AD560" s="8"/>
      <c r="AE560" s="8"/>
      <c r="AF560" s="14"/>
      <c r="AG560" s="13"/>
      <c r="AH560" s="14"/>
      <c r="AI560" s="14"/>
      <c r="AJ560" s="8"/>
      <c r="AK560" s="8"/>
      <c r="AL560" s="8"/>
      <c r="AM560" s="8"/>
      <c r="AN560" s="631"/>
      <c r="AO560" s="18"/>
      <c r="AP560" s="18"/>
      <c r="AQ560" s="18"/>
      <c r="AR560" s="18"/>
      <c r="AS560" s="18"/>
      <c r="AU560" s="448"/>
      <c r="AV560" s="448"/>
      <c r="AW560" s="8" t="str">
        <f>IF(C560&gt;0,VLOOKUP(C560,Foundation_Calc!$A$2:$C$986,3,1),
IF(J560&gt;0,VLOOKUP(J560,Foundation_Calc!$A$2:$C$986,3,1),""))</f>
        <v/>
      </c>
      <c r="AX560" s="8" t="str">
        <f>IF(C560&gt;0,VLOOKUP(C560,Foundation_Calc!$E$2:$G$986,3,1),
IF(J560&gt;0,VLOOKUP(J560,Foundation_Calc!$E$2:$G$986,3,1),""))</f>
        <v/>
      </c>
      <c r="AY560" s="631" t="str">
        <f>IF(L560="","",
IF(AX560="PT",VLOOKUP(L560,Foundation_Calc!$K$4:$R$37,VLOOKUP(AW560,Foundation_Calc!$I$2:$J$8,2,FALSE),0),
IF(AX560="K",VLOOKUP(L560,Foundation_Calc!$K$41:$R$74,VLOOKUP(AW560,Foundation_Calc!$I$2:$J$8,2,FALSE),0),"")))</f>
        <v/>
      </c>
      <c r="AZ560" s="631" t="str">
        <f>IF(K560="","",
IF(AX560="PT",VLOOKUP(K560,Foundation_Calc!$K$4:$R$37,VLOOKUP(AW560,Foundation_Calc!$I$2:$J$8,2,FALSE),0),
IF(AX560="K",VLOOKUP(K560,Foundation_Calc!$K$41:$R$74,VLOOKUP(AW560,Foundation_Calc!$I$2:$J$8,2,FALSE),0),"")))</f>
        <v/>
      </c>
      <c r="BA560" s="632" t="str">
        <f t="shared" si="36"/>
        <v/>
      </c>
      <c r="BB560" s="632" t="str">
        <f t="shared" si="37"/>
        <v/>
      </c>
      <c r="BC560" s="632" t="str">
        <f t="shared" si="38"/>
        <v/>
      </c>
      <c r="BD560" s="633" t="str">
        <f>IF(AND(L560="",H560=""),"",
IF(H560="",Pole_Calc!A588,
IF(H560="MP",Pole_Calc!A589,
IF(H560="AnMP",Pole_Calc!A590,
IF(H560="A",Pole_Calc!A591,
IF(H560="S/A",Pole_Calc!A592,
IF(H560="A/S",Pole_Calc!A593,"Poner a mano")))))))</f>
        <v/>
      </c>
      <c r="BE560" s="448" t="s">
        <v>1726</v>
      </c>
      <c r="BF560" s="634"/>
      <c r="BG560" s="634"/>
      <c r="BH560" s="634"/>
      <c r="BI560" s="634"/>
    </row>
    <row r="561" spans="1:61" ht="16.2" customHeight="1">
      <c r="A561" s="12"/>
      <c r="B561" s="446"/>
      <c r="C561" s="89"/>
      <c r="D561" s="13"/>
      <c r="E561" s="14"/>
      <c r="F561" s="14"/>
      <c r="G561" s="15"/>
      <c r="H561" s="8"/>
      <c r="I561" s="8"/>
      <c r="J561" s="89"/>
      <c r="K561" s="8"/>
      <c r="L561" s="8"/>
      <c r="M561" s="8" t="str">
        <f>IF(L561="","",
IF(AX561="PT",VLOOKUP(L561,Foundation_Calc!$V$4:$X$37,VLOOKUP(AX561,Foundation_Calc!$I$10:$J$13,2,FALSE),0),
IF(AX561="K",VLOOKUP(L561,Foundation_Calc!$V$41:$X$74,VLOOKUP(AX561,Foundation_Calc!$I$10:$J$13,2,FALSE),0),"")))</f>
        <v/>
      </c>
      <c r="N561" s="8"/>
      <c r="O561" s="8"/>
      <c r="P561" s="8"/>
      <c r="Q561" s="14"/>
      <c r="R561" s="15"/>
      <c r="S561" s="15"/>
      <c r="T561" s="14"/>
      <c r="U561" s="14"/>
      <c r="V561" s="14"/>
      <c r="W561" s="18"/>
      <c r="X561" s="18"/>
      <c r="Y561" s="18"/>
      <c r="Z561" s="18"/>
      <c r="AA561" s="18"/>
      <c r="AB561" s="18"/>
      <c r="AC561" s="8" t="str">
        <f t="shared" si="35"/>
        <v/>
      </c>
      <c r="AD561" s="8"/>
      <c r="AE561" s="8"/>
      <c r="AF561" s="14"/>
      <c r="AG561" s="13"/>
      <c r="AH561" s="14"/>
      <c r="AI561" s="14"/>
      <c r="AJ561" s="8"/>
      <c r="AK561" s="8"/>
      <c r="AL561" s="8"/>
      <c r="AM561" s="8"/>
      <c r="AN561" s="631"/>
      <c r="AO561" s="18"/>
      <c r="AP561" s="18"/>
      <c r="AQ561" s="18"/>
      <c r="AR561" s="18"/>
      <c r="AS561" s="18"/>
      <c r="AU561" s="448"/>
      <c r="AV561" s="448"/>
      <c r="AW561" s="8" t="str">
        <f>IF(C561&gt;0,VLOOKUP(C561,Foundation_Calc!$A$2:$C$986,3,1),
IF(J561&gt;0,VLOOKUP(J561,Foundation_Calc!$A$2:$C$986,3,1),""))</f>
        <v/>
      </c>
      <c r="AX561" s="8" t="str">
        <f>IF(C561&gt;0,VLOOKUP(C561,Foundation_Calc!$E$2:$G$986,3,1),
IF(J561&gt;0,VLOOKUP(J561,Foundation_Calc!$E$2:$G$986,3,1),""))</f>
        <v/>
      </c>
      <c r="AY561" s="631" t="str">
        <f>IF(L561="","",
IF(AX561="PT",VLOOKUP(L561,Foundation_Calc!$K$4:$R$37,VLOOKUP(AW561,Foundation_Calc!$I$2:$J$8,2,FALSE),0),
IF(AX561="K",VLOOKUP(L561,Foundation_Calc!$K$41:$R$74,VLOOKUP(AW561,Foundation_Calc!$I$2:$J$8,2,FALSE),0),"")))</f>
        <v/>
      </c>
      <c r="AZ561" s="631" t="str">
        <f>IF(K561="","",
IF(AX561="PT",VLOOKUP(K561,Foundation_Calc!$K$4:$R$37,VLOOKUP(AW561,Foundation_Calc!$I$2:$J$8,2,FALSE),0),
IF(AX561="K",VLOOKUP(K561,Foundation_Calc!$K$41:$R$74,VLOOKUP(AW561,Foundation_Calc!$I$2:$J$8,2,FALSE),0),"")))</f>
        <v/>
      </c>
      <c r="BA561" s="632" t="str">
        <f t="shared" si="36"/>
        <v/>
      </c>
      <c r="BB561" s="632" t="str">
        <f t="shared" si="37"/>
        <v/>
      </c>
      <c r="BC561" s="632" t="str">
        <f t="shared" si="38"/>
        <v/>
      </c>
      <c r="BD561" s="633" t="str">
        <f>IF(AND(L561="",H561=""),"",
IF(H561="",Pole_Calc!A589,
IF(H561="MP",Pole_Calc!A590,
IF(H561="AnMP",Pole_Calc!A591,
IF(H561="A",Pole_Calc!A592,
IF(H561="S/A",Pole_Calc!A593,
IF(H561="A/S",Pole_Calc!A594,"Poner a mano")))))))</f>
        <v/>
      </c>
      <c r="BE561" s="448" t="s">
        <v>1726</v>
      </c>
      <c r="BF561" s="635"/>
      <c r="BG561" s="635"/>
      <c r="BH561" s="634"/>
      <c r="BI561" s="635"/>
    </row>
    <row r="562" spans="1:61" ht="16.2" customHeight="1">
      <c r="A562" s="12"/>
      <c r="B562" s="446"/>
      <c r="C562" s="89"/>
      <c r="D562" s="13"/>
      <c r="E562" s="14"/>
      <c r="F562" s="14"/>
      <c r="G562" s="15"/>
      <c r="H562" s="8"/>
      <c r="I562" s="8"/>
      <c r="J562" s="89"/>
      <c r="K562" s="8"/>
      <c r="L562" s="8"/>
      <c r="M562" s="8" t="str">
        <f>IF(L562="","",
IF(AX562="PT",VLOOKUP(L562,Foundation_Calc!$V$4:$X$37,VLOOKUP(AX562,Foundation_Calc!$I$10:$J$13,2,FALSE),0),
IF(AX562="K",VLOOKUP(L562,Foundation_Calc!$V$41:$X$74,VLOOKUP(AX562,Foundation_Calc!$I$10:$J$13,2,FALSE),0),"")))</f>
        <v/>
      </c>
      <c r="N562" s="8"/>
      <c r="O562" s="8"/>
      <c r="P562" s="8"/>
      <c r="Q562" s="14"/>
      <c r="R562" s="15"/>
      <c r="S562" s="15"/>
      <c r="T562" s="14"/>
      <c r="U562" s="14"/>
      <c r="V562" s="14"/>
      <c r="W562" s="18"/>
      <c r="X562" s="18"/>
      <c r="Y562" s="18"/>
      <c r="Z562" s="18"/>
      <c r="AA562" s="18"/>
      <c r="AB562" s="18"/>
      <c r="AC562" s="8" t="str">
        <f t="shared" si="35"/>
        <v/>
      </c>
      <c r="AD562" s="8"/>
      <c r="AE562" s="8"/>
      <c r="AF562" s="14"/>
      <c r="AG562" s="13"/>
      <c r="AH562" s="14"/>
      <c r="AI562" s="14"/>
      <c r="AJ562" s="8"/>
      <c r="AK562" s="8"/>
      <c r="AL562" s="8"/>
      <c r="AM562" s="8"/>
      <c r="AN562" s="631"/>
      <c r="AO562" s="18"/>
      <c r="AP562" s="18"/>
      <c r="AQ562" s="18"/>
      <c r="AR562" s="18"/>
      <c r="AS562" s="18"/>
      <c r="AU562" s="448"/>
      <c r="AV562" s="448"/>
      <c r="AW562" s="8" t="str">
        <f>IF(C562&gt;0,VLOOKUP(C562,Foundation_Calc!$A$2:$C$986,3,1),
IF(J562&gt;0,VLOOKUP(J562,Foundation_Calc!$A$2:$C$986,3,1),""))</f>
        <v/>
      </c>
      <c r="AX562" s="8" t="str">
        <f>IF(C562&gt;0,VLOOKUP(C562,Foundation_Calc!$E$2:$G$986,3,1),
IF(J562&gt;0,VLOOKUP(J562,Foundation_Calc!$E$2:$G$986,3,1),""))</f>
        <v/>
      </c>
      <c r="AY562" s="631" t="str">
        <f>IF(L562="","",
IF(AX562="PT",VLOOKUP(L562,Foundation_Calc!$K$4:$R$37,VLOOKUP(AW562,Foundation_Calc!$I$2:$J$8,2,FALSE),0),
IF(AX562="K",VLOOKUP(L562,Foundation_Calc!$K$41:$R$74,VLOOKUP(AW562,Foundation_Calc!$I$2:$J$8,2,FALSE),0),"")))</f>
        <v/>
      </c>
      <c r="AZ562" s="631" t="str">
        <f>IF(K562="","",
IF(AX562="PT",VLOOKUP(K562,Foundation_Calc!$K$4:$R$37,VLOOKUP(AW562,Foundation_Calc!$I$2:$J$8,2,FALSE),0),
IF(AX562="K",VLOOKUP(K562,Foundation_Calc!$K$41:$R$74,VLOOKUP(AW562,Foundation_Calc!$I$2:$J$8,2,FALSE),0),"")))</f>
        <v/>
      </c>
      <c r="BA562" s="632" t="str">
        <f t="shared" si="36"/>
        <v/>
      </c>
      <c r="BB562" s="632" t="str">
        <f t="shared" si="37"/>
        <v/>
      </c>
      <c r="BC562" s="632" t="str">
        <f t="shared" si="38"/>
        <v/>
      </c>
      <c r="BD562" s="633" t="str">
        <f>IF(AND(L562="",H562=""),"",
IF(H562="",Pole_Calc!A590,
IF(H562="MP",Pole_Calc!A591,
IF(H562="AnMP",Pole_Calc!A592,
IF(H562="A",Pole_Calc!A593,
IF(H562="S/A",Pole_Calc!A594,
IF(H562="A/S",Pole_Calc!A595,"Poner a mano")))))))</f>
        <v/>
      </c>
      <c r="BE562" s="448" t="s">
        <v>1726</v>
      </c>
      <c r="BF562" s="634"/>
      <c r="BG562" s="634"/>
      <c r="BH562" s="634"/>
      <c r="BI562" s="634"/>
    </row>
    <row r="563" spans="1:61" ht="16.2" customHeight="1">
      <c r="A563" s="12"/>
      <c r="B563" s="446"/>
      <c r="C563" s="89"/>
      <c r="D563" s="13"/>
      <c r="E563" s="14"/>
      <c r="F563" s="14"/>
      <c r="G563" s="15"/>
      <c r="H563" s="8"/>
      <c r="I563" s="8"/>
      <c r="J563" s="89"/>
      <c r="K563" s="8"/>
      <c r="L563" s="8"/>
      <c r="M563" s="8" t="str">
        <f>IF(L563="","",
IF(AX563="PT",VLOOKUP(L563,Foundation_Calc!$V$4:$X$37,VLOOKUP(AX563,Foundation_Calc!$I$10:$J$13,2,FALSE),0),
IF(AX563="K",VLOOKUP(L563,Foundation_Calc!$V$41:$X$74,VLOOKUP(AX563,Foundation_Calc!$I$10:$J$13,2,FALSE),0),"")))</f>
        <v/>
      </c>
      <c r="N563" s="8"/>
      <c r="O563" s="8"/>
      <c r="P563" s="8"/>
      <c r="Q563" s="14"/>
      <c r="R563" s="15"/>
      <c r="S563" s="15"/>
      <c r="T563" s="14"/>
      <c r="U563" s="14"/>
      <c r="V563" s="14"/>
      <c r="W563" s="18"/>
      <c r="X563" s="18"/>
      <c r="Y563" s="18"/>
      <c r="Z563" s="18"/>
      <c r="AA563" s="18"/>
      <c r="AB563" s="18"/>
      <c r="AC563" s="8" t="str">
        <f t="shared" si="35"/>
        <v/>
      </c>
      <c r="AD563" s="8"/>
      <c r="AE563" s="8"/>
      <c r="AF563" s="14"/>
      <c r="AG563" s="13"/>
      <c r="AH563" s="14"/>
      <c r="AI563" s="14"/>
      <c r="AJ563" s="8"/>
      <c r="AK563" s="8"/>
      <c r="AL563" s="8"/>
      <c r="AM563" s="8"/>
      <c r="AN563" s="631"/>
      <c r="AO563" s="18"/>
      <c r="AP563" s="18"/>
      <c r="AQ563" s="18"/>
      <c r="AR563" s="18"/>
      <c r="AS563" s="18"/>
      <c r="AU563" s="448"/>
      <c r="AV563" s="448"/>
      <c r="AW563" s="8" t="str">
        <f>IF(C563&gt;0,VLOOKUP(C563,Foundation_Calc!$A$2:$C$986,3,1),
IF(J563&gt;0,VLOOKUP(J563,Foundation_Calc!$A$2:$C$986,3,1),""))</f>
        <v/>
      </c>
      <c r="AX563" s="8" t="str">
        <f>IF(C563&gt;0,VLOOKUP(C563,Foundation_Calc!$E$2:$G$986,3,1),
IF(J563&gt;0,VLOOKUP(J563,Foundation_Calc!$E$2:$G$986,3,1),""))</f>
        <v/>
      </c>
      <c r="AY563" s="631" t="str">
        <f>IF(L563="","",
IF(AX563="PT",VLOOKUP(L563,Foundation_Calc!$K$4:$R$37,VLOOKUP(AW563,Foundation_Calc!$I$2:$J$8,2,FALSE),0),
IF(AX563="K",VLOOKUP(L563,Foundation_Calc!$K$41:$R$74,VLOOKUP(AW563,Foundation_Calc!$I$2:$J$8,2,FALSE),0),"")))</f>
        <v/>
      </c>
      <c r="AZ563" s="631" t="str">
        <f>IF(K563="","",
IF(AX563="PT",VLOOKUP(K563,Foundation_Calc!$K$4:$R$37,VLOOKUP(AW563,Foundation_Calc!$I$2:$J$8,2,FALSE),0),
IF(AX563="K",VLOOKUP(K563,Foundation_Calc!$K$41:$R$74,VLOOKUP(AW563,Foundation_Calc!$I$2:$J$8,2,FALSE),0),"")))</f>
        <v/>
      </c>
      <c r="BA563" s="632" t="str">
        <f t="shared" si="36"/>
        <v/>
      </c>
      <c r="BB563" s="632" t="str">
        <f t="shared" si="37"/>
        <v/>
      </c>
      <c r="BC563" s="632" t="str">
        <f t="shared" si="38"/>
        <v/>
      </c>
      <c r="BD563" s="633" t="str">
        <f>IF(AND(L563="",H563=""),"",
IF(H563="",Pole_Calc!A591,
IF(H563="MP",Pole_Calc!A592,
IF(H563="AnMP",Pole_Calc!A593,
IF(H563="A",Pole_Calc!A594,
IF(H563="S/A",Pole_Calc!A595,
IF(H563="A/S",Pole_Calc!A596,"Poner a mano")))))))</f>
        <v/>
      </c>
      <c r="BE563" s="448" t="s">
        <v>1726</v>
      </c>
      <c r="BF563" s="635"/>
      <c r="BG563" s="635"/>
      <c r="BH563" s="634"/>
      <c r="BI563" s="635"/>
    </row>
    <row r="564" spans="1:61" ht="16.2" customHeight="1">
      <c r="A564" s="12"/>
      <c r="B564" s="446"/>
      <c r="C564" s="89"/>
      <c r="D564" s="13"/>
      <c r="E564" s="14"/>
      <c r="F564" s="14"/>
      <c r="G564" s="15"/>
      <c r="H564" s="8"/>
      <c r="I564" s="8"/>
      <c r="J564" s="89"/>
      <c r="K564" s="8"/>
      <c r="L564" s="8"/>
      <c r="M564" s="8" t="str">
        <f>IF(L564="","",
IF(AX564="PT",VLOOKUP(L564,Foundation_Calc!$V$4:$X$37,VLOOKUP(AX564,Foundation_Calc!$I$10:$J$13,2,FALSE),0),
IF(AX564="K",VLOOKUP(L564,Foundation_Calc!$V$41:$X$74,VLOOKUP(AX564,Foundation_Calc!$I$10:$J$13,2,FALSE),0),"")))</f>
        <v/>
      </c>
      <c r="N564" s="8"/>
      <c r="O564" s="8"/>
      <c r="P564" s="8"/>
      <c r="Q564" s="14"/>
      <c r="R564" s="15"/>
      <c r="S564" s="15"/>
      <c r="T564" s="14"/>
      <c r="U564" s="14"/>
      <c r="V564" s="14"/>
      <c r="W564" s="18"/>
      <c r="X564" s="18"/>
      <c r="Y564" s="18"/>
      <c r="Z564" s="18"/>
      <c r="AA564" s="18"/>
      <c r="AB564" s="18"/>
      <c r="AC564" s="8" t="str">
        <f t="shared" si="35"/>
        <v/>
      </c>
      <c r="AD564" s="8"/>
      <c r="AE564" s="8"/>
      <c r="AF564" s="14"/>
      <c r="AG564" s="13"/>
      <c r="AH564" s="14"/>
      <c r="AI564" s="14"/>
      <c r="AJ564" s="8"/>
      <c r="AK564" s="8"/>
      <c r="AL564" s="8"/>
      <c r="AM564" s="8"/>
      <c r="AN564" s="631"/>
      <c r="AO564" s="18"/>
      <c r="AP564" s="18"/>
      <c r="AQ564" s="18"/>
      <c r="AR564" s="18"/>
      <c r="AS564" s="18"/>
      <c r="AU564" s="448"/>
      <c r="AV564" s="448"/>
      <c r="AW564" s="8" t="str">
        <f>IF(C564&gt;0,VLOOKUP(C564,Foundation_Calc!$A$2:$C$986,3,1),
IF(J564&gt;0,VLOOKUP(J564,Foundation_Calc!$A$2:$C$986,3,1),""))</f>
        <v/>
      </c>
      <c r="AX564" s="8" t="str">
        <f>IF(C564&gt;0,VLOOKUP(C564,Foundation_Calc!$E$2:$G$986,3,1),
IF(J564&gt;0,VLOOKUP(J564,Foundation_Calc!$E$2:$G$986,3,1),""))</f>
        <v/>
      </c>
      <c r="AY564" s="631" t="str">
        <f>IF(L564="","",
IF(AX564="PT",VLOOKUP(L564,Foundation_Calc!$K$4:$R$37,VLOOKUP(AW564,Foundation_Calc!$I$2:$J$8,2,FALSE),0),
IF(AX564="K",VLOOKUP(L564,Foundation_Calc!$K$41:$R$74,VLOOKUP(AW564,Foundation_Calc!$I$2:$J$8,2,FALSE),0),"")))</f>
        <v/>
      </c>
      <c r="AZ564" s="631" t="str">
        <f>IF(K564="","",
IF(AX564="PT",VLOOKUP(K564,Foundation_Calc!$K$4:$R$37,VLOOKUP(AW564,Foundation_Calc!$I$2:$J$8,2,FALSE),0),
IF(AX564="K",VLOOKUP(K564,Foundation_Calc!$K$41:$R$74,VLOOKUP(AW564,Foundation_Calc!$I$2:$J$8,2,FALSE),0),"")))</f>
        <v/>
      </c>
      <c r="BA564" s="632" t="str">
        <f t="shared" si="36"/>
        <v/>
      </c>
      <c r="BB564" s="632" t="str">
        <f t="shared" si="37"/>
        <v/>
      </c>
      <c r="BC564" s="632" t="str">
        <f t="shared" si="38"/>
        <v/>
      </c>
      <c r="BD564" s="633" t="str">
        <f>IF(AND(L564="",H564=""),"",
IF(H564="",Pole_Calc!A592,
IF(H564="MP",Pole_Calc!A593,
IF(H564="AnMP",Pole_Calc!A594,
IF(H564="A",Pole_Calc!A595,
IF(H564="S/A",Pole_Calc!A596,
IF(H564="A/S",Pole_Calc!A597,"Poner a mano")))))))</f>
        <v/>
      </c>
      <c r="BE564" s="448" t="s">
        <v>1726</v>
      </c>
      <c r="BF564" s="634"/>
      <c r="BG564" s="634"/>
      <c r="BH564" s="634"/>
      <c r="BI564" s="634"/>
    </row>
    <row r="565" spans="1:61" ht="16.2" customHeight="1">
      <c r="A565" s="12"/>
      <c r="B565" s="446"/>
      <c r="C565" s="89"/>
      <c r="D565" s="13"/>
      <c r="E565" s="14"/>
      <c r="F565" s="14"/>
      <c r="G565" s="15"/>
      <c r="H565" s="8"/>
      <c r="I565" s="8"/>
      <c r="J565" s="89"/>
      <c r="K565" s="8"/>
      <c r="L565" s="8"/>
      <c r="M565" s="8" t="str">
        <f>IF(L565="","",
IF(AX565="PT",VLOOKUP(L565,Foundation_Calc!$V$4:$X$37,VLOOKUP(AX565,Foundation_Calc!$I$10:$J$13,2,FALSE),0),
IF(AX565="K",VLOOKUP(L565,Foundation_Calc!$V$41:$X$74,VLOOKUP(AX565,Foundation_Calc!$I$10:$J$13,2,FALSE),0),"")))</f>
        <v/>
      </c>
      <c r="N565" s="8"/>
      <c r="O565" s="8"/>
      <c r="P565" s="8"/>
      <c r="Q565" s="14"/>
      <c r="R565" s="15"/>
      <c r="S565" s="15"/>
      <c r="T565" s="14"/>
      <c r="U565" s="14"/>
      <c r="V565" s="14"/>
      <c r="W565" s="18"/>
      <c r="X565" s="18"/>
      <c r="Y565" s="18"/>
      <c r="Z565" s="18"/>
      <c r="AA565" s="18"/>
      <c r="AB565" s="18"/>
      <c r="AC565" s="8" t="str">
        <f t="shared" si="35"/>
        <v/>
      </c>
      <c r="AD565" s="8"/>
      <c r="AE565" s="8"/>
      <c r="AF565" s="14"/>
      <c r="AG565" s="13"/>
      <c r="AH565" s="14"/>
      <c r="AI565" s="14"/>
      <c r="AJ565" s="8"/>
      <c r="AK565" s="8"/>
      <c r="AL565" s="8"/>
      <c r="AM565" s="8"/>
      <c r="AN565" s="631"/>
      <c r="AO565" s="18"/>
      <c r="AP565" s="18"/>
      <c r="AQ565" s="18"/>
      <c r="AR565" s="18"/>
      <c r="AS565" s="18"/>
      <c r="AU565" s="448"/>
      <c r="AV565" s="448"/>
      <c r="AW565" s="8" t="str">
        <f>IF(C565&gt;0,VLOOKUP(C565,Foundation_Calc!$A$2:$C$986,3,1),
IF(J565&gt;0,VLOOKUP(J565,Foundation_Calc!$A$2:$C$986,3,1),""))</f>
        <v/>
      </c>
      <c r="AX565" s="8" t="str">
        <f>IF(C565&gt;0,VLOOKUP(C565,Foundation_Calc!$E$2:$G$986,3,1),
IF(J565&gt;0,VLOOKUP(J565,Foundation_Calc!$E$2:$G$986,3,1),""))</f>
        <v/>
      </c>
      <c r="AY565" s="631" t="str">
        <f>IF(L565="","",
IF(AX565="PT",VLOOKUP(L565,Foundation_Calc!$K$4:$R$37,VLOOKUP(AW565,Foundation_Calc!$I$2:$J$8,2,FALSE),0),
IF(AX565="K",VLOOKUP(L565,Foundation_Calc!$K$41:$R$74,VLOOKUP(AW565,Foundation_Calc!$I$2:$J$8,2,FALSE),0),"")))</f>
        <v/>
      </c>
      <c r="AZ565" s="631" t="str">
        <f>IF(K565="","",
IF(AX565="PT",VLOOKUP(K565,Foundation_Calc!$K$4:$R$37,VLOOKUP(AW565,Foundation_Calc!$I$2:$J$8,2,FALSE),0),
IF(AX565="K",VLOOKUP(K565,Foundation_Calc!$K$41:$R$74,VLOOKUP(AW565,Foundation_Calc!$I$2:$J$8,2,FALSE),0),"")))</f>
        <v/>
      </c>
      <c r="BA565" s="632" t="str">
        <f t="shared" si="36"/>
        <v/>
      </c>
      <c r="BB565" s="632" t="str">
        <f t="shared" si="37"/>
        <v/>
      </c>
      <c r="BC565" s="632" t="str">
        <f t="shared" si="38"/>
        <v/>
      </c>
      <c r="BD565" s="633" t="str">
        <f>IF(AND(L565="",H565=""),"",
IF(H565="",Pole_Calc!A593,
IF(H565="MP",Pole_Calc!A594,
IF(H565="AnMP",Pole_Calc!A595,
IF(H565="A",Pole_Calc!A596,
IF(H565="S/A",Pole_Calc!A597,
IF(H565="A/S",Pole_Calc!A598,"Poner a mano")))))))</f>
        <v/>
      </c>
      <c r="BE565" s="448" t="s">
        <v>1726</v>
      </c>
      <c r="BF565" s="635"/>
      <c r="BG565" s="635"/>
      <c r="BH565" s="634"/>
      <c r="BI565" s="635"/>
    </row>
    <row r="566" spans="1:61" ht="16.2" customHeight="1">
      <c r="A566" s="12"/>
      <c r="B566" s="446"/>
      <c r="C566" s="89"/>
      <c r="D566" s="13"/>
      <c r="E566" s="14"/>
      <c r="F566" s="14"/>
      <c r="G566" s="15"/>
      <c r="H566" s="8"/>
      <c r="I566" s="8"/>
      <c r="J566" s="89"/>
      <c r="K566" s="8"/>
      <c r="L566" s="8"/>
      <c r="M566" s="8" t="str">
        <f>IF(L566="","",
IF(AX566="PT",VLOOKUP(L566,Foundation_Calc!$V$4:$X$37,VLOOKUP(AX566,Foundation_Calc!$I$10:$J$13,2,FALSE),0),
IF(AX566="K",VLOOKUP(L566,Foundation_Calc!$V$41:$X$74,VLOOKUP(AX566,Foundation_Calc!$I$10:$J$13,2,FALSE),0),"")))</f>
        <v/>
      </c>
      <c r="N566" s="8"/>
      <c r="O566" s="8"/>
      <c r="P566" s="8"/>
      <c r="Q566" s="14"/>
      <c r="R566" s="15"/>
      <c r="S566" s="15"/>
      <c r="T566" s="14"/>
      <c r="U566" s="14"/>
      <c r="V566" s="14"/>
      <c r="W566" s="18"/>
      <c r="X566" s="18"/>
      <c r="Y566" s="18"/>
      <c r="Z566" s="18"/>
      <c r="AA566" s="18"/>
      <c r="AB566" s="18"/>
      <c r="AC566" s="8" t="str">
        <f t="shared" si="35"/>
        <v/>
      </c>
      <c r="AD566" s="8"/>
      <c r="AE566" s="8"/>
      <c r="AF566" s="14"/>
      <c r="AG566" s="13"/>
      <c r="AH566" s="14"/>
      <c r="AI566" s="14"/>
      <c r="AJ566" s="8"/>
      <c r="AK566" s="8"/>
      <c r="AL566" s="8"/>
      <c r="AM566" s="8"/>
      <c r="AN566" s="631"/>
      <c r="AO566" s="18"/>
      <c r="AP566" s="18"/>
      <c r="AQ566" s="18"/>
      <c r="AR566" s="18"/>
      <c r="AS566" s="18"/>
      <c r="AU566" s="448"/>
      <c r="AV566" s="448"/>
      <c r="AW566" s="8" t="str">
        <f>IF(C566&gt;0,VLOOKUP(C566,Foundation_Calc!$A$2:$C$986,3,1),
IF(J566&gt;0,VLOOKUP(J566,Foundation_Calc!$A$2:$C$986,3,1),""))</f>
        <v/>
      </c>
      <c r="AX566" s="8" t="str">
        <f>IF(C566&gt;0,VLOOKUP(C566,Foundation_Calc!$E$2:$G$986,3,1),
IF(J566&gt;0,VLOOKUP(J566,Foundation_Calc!$E$2:$G$986,3,1),""))</f>
        <v/>
      </c>
      <c r="AY566" s="631" t="str">
        <f>IF(L566="","",
IF(AX566="PT",VLOOKUP(L566,Foundation_Calc!$K$4:$R$37,VLOOKUP(AW566,Foundation_Calc!$I$2:$J$8,2,FALSE),0),
IF(AX566="K",VLOOKUP(L566,Foundation_Calc!$K$41:$R$74,VLOOKUP(AW566,Foundation_Calc!$I$2:$J$8,2,FALSE),0),"")))</f>
        <v/>
      </c>
      <c r="AZ566" s="631" t="str">
        <f>IF(K566="","",
IF(AX566="PT",VLOOKUP(K566,Foundation_Calc!$K$4:$R$37,VLOOKUP(AW566,Foundation_Calc!$I$2:$J$8,2,FALSE),0),
IF(AX566="K",VLOOKUP(K566,Foundation_Calc!$K$41:$R$74,VLOOKUP(AW566,Foundation_Calc!$I$2:$J$8,2,FALSE),0),"")))</f>
        <v/>
      </c>
      <c r="BA566" s="632" t="str">
        <f t="shared" si="36"/>
        <v/>
      </c>
      <c r="BB566" s="632" t="str">
        <f t="shared" si="37"/>
        <v/>
      </c>
      <c r="BC566" s="632" t="str">
        <f t="shared" si="38"/>
        <v/>
      </c>
      <c r="BD566" s="633" t="str">
        <f>IF(AND(L566="",H566=""),"",
IF(H566="",Pole_Calc!A594,
IF(H566="MP",Pole_Calc!A595,
IF(H566="AnMP",Pole_Calc!A596,
IF(H566="A",Pole_Calc!A597,
IF(H566="S/A",Pole_Calc!A598,
IF(H566="A/S",Pole_Calc!A599,"Poner a mano")))))))</f>
        <v/>
      </c>
      <c r="BE566" s="448" t="s">
        <v>1726</v>
      </c>
      <c r="BF566" s="634"/>
      <c r="BG566" s="634"/>
      <c r="BH566" s="634"/>
      <c r="BI566" s="634"/>
    </row>
    <row r="567" spans="1:61" ht="16.2" customHeight="1">
      <c r="A567" s="12"/>
      <c r="B567" s="446"/>
      <c r="C567" s="89"/>
      <c r="D567" s="13"/>
      <c r="E567" s="14"/>
      <c r="F567" s="14"/>
      <c r="G567" s="15"/>
      <c r="H567" s="8"/>
      <c r="I567" s="8"/>
      <c r="J567" s="89"/>
      <c r="K567" s="8"/>
      <c r="L567" s="8"/>
      <c r="M567" s="8" t="str">
        <f>IF(L567="","",
IF(AX567="PT",VLOOKUP(L567,Foundation_Calc!$V$4:$X$37,VLOOKUP(AX567,Foundation_Calc!$I$10:$J$13,2,FALSE),0),
IF(AX567="K",VLOOKUP(L567,Foundation_Calc!$V$41:$X$74,VLOOKUP(AX567,Foundation_Calc!$I$10:$J$13,2,FALSE),0),"")))</f>
        <v/>
      </c>
      <c r="N567" s="8"/>
      <c r="O567" s="8"/>
      <c r="P567" s="8"/>
      <c r="Q567" s="14"/>
      <c r="R567" s="15"/>
      <c r="S567" s="15"/>
      <c r="T567" s="14"/>
      <c r="U567" s="14"/>
      <c r="V567" s="14"/>
      <c r="W567" s="18"/>
      <c r="X567" s="18"/>
      <c r="Y567" s="18"/>
      <c r="Z567" s="18"/>
      <c r="AA567" s="18"/>
      <c r="AB567" s="18"/>
      <c r="AC567" s="8" t="str">
        <f t="shared" si="35"/>
        <v/>
      </c>
      <c r="AD567" s="8"/>
      <c r="AE567" s="8"/>
      <c r="AF567" s="14"/>
      <c r="AG567" s="13"/>
      <c r="AH567" s="14"/>
      <c r="AI567" s="14"/>
      <c r="AJ567" s="8"/>
      <c r="AK567" s="8"/>
      <c r="AL567" s="8"/>
      <c r="AM567" s="8"/>
      <c r="AN567" s="631"/>
      <c r="AO567" s="18"/>
      <c r="AP567" s="18"/>
      <c r="AQ567" s="18"/>
      <c r="AR567" s="18"/>
      <c r="AS567" s="18"/>
      <c r="AU567" s="448"/>
      <c r="AV567" s="448"/>
      <c r="AW567" s="8" t="str">
        <f>IF(C567&gt;0,VLOOKUP(C567,Foundation_Calc!$A$2:$C$986,3,1),
IF(J567&gt;0,VLOOKUP(J567,Foundation_Calc!$A$2:$C$986,3,1),""))</f>
        <v/>
      </c>
      <c r="AX567" s="8" t="str">
        <f>IF(C567&gt;0,VLOOKUP(C567,Foundation_Calc!$E$2:$G$986,3,1),
IF(J567&gt;0,VLOOKUP(J567,Foundation_Calc!$E$2:$G$986,3,1),""))</f>
        <v/>
      </c>
      <c r="AY567" s="631" t="str">
        <f>IF(L567="","",
IF(AX567="PT",VLOOKUP(L567,Foundation_Calc!$K$4:$R$37,VLOOKUP(AW567,Foundation_Calc!$I$2:$J$8,2,FALSE),0),
IF(AX567="K",VLOOKUP(L567,Foundation_Calc!$K$41:$R$74,VLOOKUP(AW567,Foundation_Calc!$I$2:$J$8,2,FALSE),0),"")))</f>
        <v/>
      </c>
      <c r="AZ567" s="631" t="str">
        <f>IF(K567="","",
IF(AX567="PT",VLOOKUP(K567,Foundation_Calc!$K$4:$R$37,VLOOKUP(AW567,Foundation_Calc!$I$2:$J$8,2,FALSE),0),
IF(AX567="K",VLOOKUP(K567,Foundation_Calc!$K$41:$R$74,VLOOKUP(AW567,Foundation_Calc!$I$2:$J$8,2,FALSE),0),"")))</f>
        <v/>
      </c>
      <c r="BA567" s="632" t="str">
        <f t="shared" si="36"/>
        <v/>
      </c>
      <c r="BB567" s="632" t="str">
        <f t="shared" si="37"/>
        <v/>
      </c>
      <c r="BC567" s="632" t="str">
        <f t="shared" si="38"/>
        <v/>
      </c>
      <c r="BD567" s="633" t="str">
        <f>IF(AND(L567="",H567=""),"",
IF(H567="",Pole_Calc!A595,
IF(H567="MP",Pole_Calc!A596,
IF(H567="AnMP",Pole_Calc!A597,
IF(H567="A",Pole_Calc!A598,
IF(H567="S/A",Pole_Calc!A599,
IF(H567="A/S",Pole_Calc!A600,"Poner a mano")))))))</f>
        <v/>
      </c>
      <c r="BE567" s="448" t="s">
        <v>1726</v>
      </c>
      <c r="BF567" s="635"/>
      <c r="BG567" s="635"/>
      <c r="BH567" s="634"/>
      <c r="BI567" s="635"/>
    </row>
    <row r="568" spans="1:61" ht="16.2" customHeight="1">
      <c r="A568" s="12"/>
      <c r="B568" s="446"/>
      <c r="C568" s="89"/>
      <c r="D568" s="13"/>
      <c r="E568" s="14"/>
      <c r="F568" s="14"/>
      <c r="G568" s="15"/>
      <c r="H568" s="8"/>
      <c r="I568" s="8"/>
      <c r="J568" s="89"/>
      <c r="K568" s="8"/>
      <c r="L568" s="8"/>
      <c r="M568" s="8" t="str">
        <f>IF(L568="","",
IF(AX568="PT",VLOOKUP(L568,Foundation_Calc!$V$4:$X$37,VLOOKUP(AX568,Foundation_Calc!$I$10:$J$13,2,FALSE),0),
IF(AX568="K",VLOOKUP(L568,Foundation_Calc!$V$41:$X$74,VLOOKUP(AX568,Foundation_Calc!$I$10:$J$13,2,FALSE),0),"")))</f>
        <v/>
      </c>
      <c r="N568" s="8"/>
      <c r="O568" s="8"/>
      <c r="P568" s="8"/>
      <c r="Q568" s="14"/>
      <c r="R568" s="15"/>
      <c r="S568" s="15"/>
      <c r="T568" s="14"/>
      <c r="U568" s="14"/>
      <c r="V568" s="14"/>
      <c r="W568" s="18"/>
      <c r="X568" s="18"/>
      <c r="Y568" s="18"/>
      <c r="Z568" s="18"/>
      <c r="AA568" s="18"/>
      <c r="AB568" s="18"/>
      <c r="AC568" s="8" t="str">
        <f t="shared" si="35"/>
        <v/>
      </c>
      <c r="AD568" s="8"/>
      <c r="AE568" s="8"/>
      <c r="AF568" s="14"/>
      <c r="AG568" s="13"/>
      <c r="AH568" s="14"/>
      <c r="AI568" s="14"/>
      <c r="AJ568" s="8"/>
      <c r="AK568" s="8"/>
      <c r="AL568" s="8"/>
      <c r="AM568" s="8"/>
      <c r="AN568" s="631"/>
      <c r="AO568" s="18"/>
      <c r="AP568" s="18"/>
      <c r="AQ568" s="18"/>
      <c r="AR568" s="18"/>
      <c r="AS568" s="18"/>
      <c r="AU568" s="448"/>
      <c r="AV568" s="448"/>
      <c r="AW568" s="8" t="str">
        <f>IF(C568&gt;0,VLOOKUP(C568,Foundation_Calc!$A$2:$C$986,3,1),
IF(J568&gt;0,VLOOKUP(J568,Foundation_Calc!$A$2:$C$986,3,1),""))</f>
        <v/>
      </c>
      <c r="AX568" s="8" t="str">
        <f>IF(C568&gt;0,VLOOKUP(C568,Foundation_Calc!$E$2:$G$986,3,1),
IF(J568&gt;0,VLOOKUP(J568,Foundation_Calc!$E$2:$G$986,3,1),""))</f>
        <v/>
      </c>
      <c r="AY568" s="631" t="str">
        <f>IF(L568="","",
IF(AX568="PT",VLOOKUP(L568,Foundation_Calc!$K$4:$R$37,VLOOKUP(AW568,Foundation_Calc!$I$2:$J$8,2,FALSE),0),
IF(AX568="K",VLOOKUP(L568,Foundation_Calc!$K$41:$R$74,VLOOKUP(AW568,Foundation_Calc!$I$2:$J$8,2,FALSE),0),"")))</f>
        <v/>
      </c>
      <c r="AZ568" s="631" t="str">
        <f>IF(K568="","",
IF(AX568="PT",VLOOKUP(K568,Foundation_Calc!$K$4:$R$37,VLOOKUP(AW568,Foundation_Calc!$I$2:$J$8,2,FALSE),0),
IF(AX568="K",VLOOKUP(K568,Foundation_Calc!$K$41:$R$74,VLOOKUP(AW568,Foundation_Calc!$I$2:$J$8,2,FALSE),0),"")))</f>
        <v/>
      </c>
      <c r="BA568" s="632" t="str">
        <f t="shared" si="36"/>
        <v/>
      </c>
      <c r="BB568" s="632" t="str">
        <f t="shared" si="37"/>
        <v/>
      </c>
      <c r="BC568" s="632" t="str">
        <f t="shared" si="38"/>
        <v/>
      </c>
      <c r="BD568" s="633" t="str">
        <f>IF(AND(L568="",H568=""),"",
IF(H568="",Pole_Calc!A596,
IF(H568="MP",Pole_Calc!A597,
IF(H568="AnMP",Pole_Calc!A598,
IF(H568="A",Pole_Calc!A599,
IF(H568="S/A",Pole_Calc!A600,
IF(H568="A/S",Pole_Calc!A601,"Poner a mano")))))))</f>
        <v/>
      </c>
      <c r="BE568" s="448" t="s">
        <v>1726</v>
      </c>
      <c r="BF568" s="634"/>
      <c r="BG568" s="634"/>
      <c r="BH568" s="634"/>
      <c r="BI568" s="634"/>
    </row>
    <row r="569" spans="1:61" ht="16.2" customHeight="1">
      <c r="A569" s="12"/>
      <c r="B569" s="446"/>
      <c r="C569" s="89"/>
      <c r="D569" s="13"/>
      <c r="E569" s="14"/>
      <c r="F569" s="14"/>
      <c r="G569" s="15"/>
      <c r="H569" s="8"/>
      <c r="I569" s="8"/>
      <c r="J569" s="89"/>
      <c r="K569" s="8"/>
      <c r="L569" s="8"/>
      <c r="M569" s="8" t="str">
        <f>IF(L569="","",
IF(AX569="PT",VLOOKUP(L569,Foundation_Calc!$V$4:$X$37,VLOOKUP(AX569,Foundation_Calc!$I$10:$J$13,2,FALSE),0),
IF(AX569="K",VLOOKUP(L569,Foundation_Calc!$V$41:$X$74,VLOOKUP(AX569,Foundation_Calc!$I$10:$J$13,2,FALSE),0),"")))</f>
        <v/>
      </c>
      <c r="N569" s="8"/>
      <c r="O569" s="8"/>
      <c r="P569" s="8"/>
      <c r="Q569" s="14"/>
      <c r="R569" s="15"/>
      <c r="S569" s="15"/>
      <c r="T569" s="14"/>
      <c r="U569" s="14"/>
      <c r="V569" s="14"/>
      <c r="W569" s="18"/>
      <c r="X569" s="18"/>
      <c r="Y569" s="18"/>
      <c r="Z569" s="18"/>
      <c r="AA569" s="18"/>
      <c r="AB569" s="18"/>
      <c r="AC569" s="8" t="str">
        <f t="shared" si="35"/>
        <v/>
      </c>
      <c r="AD569" s="8"/>
      <c r="AE569" s="8"/>
      <c r="AF569" s="14"/>
      <c r="AG569" s="13"/>
      <c r="AH569" s="14"/>
      <c r="AI569" s="14"/>
      <c r="AJ569" s="8"/>
      <c r="AK569" s="8"/>
      <c r="AL569" s="8"/>
      <c r="AM569" s="8"/>
      <c r="AN569" s="631"/>
      <c r="AO569" s="18"/>
      <c r="AP569" s="18"/>
      <c r="AQ569" s="18"/>
      <c r="AR569" s="18"/>
      <c r="AS569" s="18"/>
      <c r="AU569" s="448"/>
      <c r="AV569" s="448"/>
      <c r="AW569" s="8" t="str">
        <f>IF(C569&gt;0,VLOOKUP(C569,Foundation_Calc!$A$2:$C$986,3,1),
IF(J569&gt;0,VLOOKUP(J569,Foundation_Calc!$A$2:$C$986,3,1),""))</f>
        <v/>
      </c>
      <c r="AX569" s="8" t="str">
        <f>IF(C569&gt;0,VLOOKUP(C569,Foundation_Calc!$E$2:$G$986,3,1),
IF(J569&gt;0,VLOOKUP(J569,Foundation_Calc!$E$2:$G$986,3,1),""))</f>
        <v/>
      </c>
      <c r="AY569" s="631" t="str">
        <f>IF(L569="","",
IF(AX569="PT",VLOOKUP(L569,Foundation_Calc!$K$4:$R$37,VLOOKUP(AW569,Foundation_Calc!$I$2:$J$8,2,FALSE),0),
IF(AX569="K",VLOOKUP(L569,Foundation_Calc!$K$41:$R$74,VLOOKUP(AW569,Foundation_Calc!$I$2:$J$8,2,FALSE),0),"")))</f>
        <v/>
      </c>
      <c r="AZ569" s="631" t="str">
        <f>IF(K569="","",
IF(AX569="PT",VLOOKUP(K569,Foundation_Calc!$K$4:$R$37,VLOOKUP(AW569,Foundation_Calc!$I$2:$J$8,2,FALSE),0),
IF(AX569="K",VLOOKUP(K569,Foundation_Calc!$K$41:$R$74,VLOOKUP(AW569,Foundation_Calc!$I$2:$J$8,2,FALSE),0),"")))</f>
        <v/>
      </c>
      <c r="BA569" s="632" t="str">
        <f t="shared" si="36"/>
        <v/>
      </c>
      <c r="BB569" s="632" t="str">
        <f t="shared" si="37"/>
        <v/>
      </c>
      <c r="BC569" s="632" t="str">
        <f t="shared" si="38"/>
        <v/>
      </c>
      <c r="BD569" s="633" t="str">
        <f>IF(AND(L569="",H569=""),"",
IF(H569="",Pole_Calc!A597,
IF(H569="MP",Pole_Calc!A598,
IF(H569="AnMP",Pole_Calc!A599,
IF(H569="A",Pole_Calc!A600,
IF(H569="S/A",Pole_Calc!A601,
IF(H569="A/S",Pole_Calc!A602,"Poner a mano")))))))</f>
        <v/>
      </c>
      <c r="BE569" s="448" t="s">
        <v>1726</v>
      </c>
      <c r="BF569" s="635"/>
      <c r="BG569" s="635"/>
      <c r="BH569" s="634"/>
      <c r="BI569" s="635"/>
    </row>
    <row r="570" spans="1:61" ht="16.2" customHeight="1">
      <c r="A570" s="12"/>
      <c r="B570" s="446"/>
      <c r="C570" s="89"/>
      <c r="D570" s="13"/>
      <c r="E570" s="14"/>
      <c r="F570" s="14"/>
      <c r="G570" s="15"/>
      <c r="H570" s="8"/>
      <c r="I570" s="8"/>
      <c r="J570" s="89"/>
      <c r="K570" s="8"/>
      <c r="L570" s="8"/>
      <c r="M570" s="8" t="str">
        <f>IF(L570="","",
IF(AX570="PT",VLOOKUP(L570,Foundation_Calc!$V$4:$X$37,VLOOKUP(AX570,Foundation_Calc!$I$10:$J$13,2,FALSE),0),
IF(AX570="K",VLOOKUP(L570,Foundation_Calc!$V$41:$X$74,VLOOKUP(AX570,Foundation_Calc!$I$10:$J$13,2,FALSE),0),"")))</f>
        <v/>
      </c>
      <c r="N570" s="8"/>
      <c r="O570" s="8"/>
      <c r="P570" s="8"/>
      <c r="Q570" s="14"/>
      <c r="R570" s="15"/>
      <c r="S570" s="15"/>
      <c r="T570" s="14"/>
      <c r="U570" s="14"/>
      <c r="V570" s="14"/>
      <c r="W570" s="18"/>
      <c r="X570" s="18"/>
      <c r="Y570" s="18"/>
      <c r="Z570" s="18"/>
      <c r="AA570" s="18"/>
      <c r="AB570" s="18"/>
      <c r="AC570" s="8" t="str">
        <f t="shared" si="35"/>
        <v/>
      </c>
      <c r="AD570" s="8"/>
      <c r="AE570" s="8"/>
      <c r="AF570" s="14"/>
      <c r="AG570" s="13"/>
      <c r="AH570" s="14"/>
      <c r="AI570" s="14"/>
      <c r="AJ570" s="8"/>
      <c r="AK570" s="8"/>
      <c r="AL570" s="8"/>
      <c r="AM570" s="8"/>
      <c r="AN570" s="631"/>
      <c r="AO570" s="18"/>
      <c r="AP570" s="18"/>
      <c r="AQ570" s="18"/>
      <c r="AR570" s="18"/>
      <c r="AS570" s="18"/>
      <c r="AU570" s="448"/>
      <c r="AV570" s="448"/>
      <c r="AW570" s="8" t="str">
        <f>IF(C570&gt;0,VLOOKUP(C570,Foundation_Calc!$A$2:$C$986,3,1),
IF(J570&gt;0,VLOOKUP(J570,Foundation_Calc!$A$2:$C$986,3,1),""))</f>
        <v/>
      </c>
      <c r="AX570" s="8" t="str">
        <f>IF(C570&gt;0,VLOOKUP(C570,Foundation_Calc!$E$2:$G$986,3,1),
IF(J570&gt;0,VLOOKUP(J570,Foundation_Calc!$E$2:$G$986,3,1),""))</f>
        <v/>
      </c>
      <c r="AY570" s="631" t="str">
        <f>IF(L570="","",
IF(AX570="PT",VLOOKUP(L570,Foundation_Calc!$K$4:$R$37,VLOOKUP(AW570,Foundation_Calc!$I$2:$J$8,2,FALSE),0),
IF(AX570="K",VLOOKUP(L570,Foundation_Calc!$K$41:$R$74,VLOOKUP(AW570,Foundation_Calc!$I$2:$J$8,2,FALSE),0),"")))</f>
        <v/>
      </c>
      <c r="AZ570" s="631" t="str">
        <f>IF(K570="","",
IF(AX570="PT",VLOOKUP(K570,Foundation_Calc!$K$4:$R$37,VLOOKUP(AW570,Foundation_Calc!$I$2:$J$8,2,FALSE),0),
IF(AX570="K",VLOOKUP(K570,Foundation_Calc!$K$41:$R$74,VLOOKUP(AW570,Foundation_Calc!$I$2:$J$8,2,FALSE),0),"")))</f>
        <v/>
      </c>
      <c r="BA570" s="632" t="str">
        <f t="shared" si="36"/>
        <v/>
      </c>
      <c r="BB570" s="632" t="str">
        <f t="shared" si="37"/>
        <v/>
      </c>
      <c r="BC570" s="632" t="str">
        <f t="shared" si="38"/>
        <v/>
      </c>
      <c r="BD570" s="633" t="str">
        <f>IF(AND(L570="",H570=""),"",
IF(H570="",Pole_Calc!A598,
IF(H570="MP",Pole_Calc!A599,
IF(H570="AnMP",Pole_Calc!A600,
IF(H570="A",Pole_Calc!A601,
IF(H570="S/A",Pole_Calc!A602,
IF(H570="A/S",Pole_Calc!A603,"Poner a mano")))))))</f>
        <v/>
      </c>
      <c r="BE570" s="448" t="s">
        <v>1726</v>
      </c>
      <c r="BF570" s="634"/>
      <c r="BG570" s="634"/>
      <c r="BH570" s="634"/>
      <c r="BI570" s="634"/>
    </row>
    <row r="571" spans="1:61" ht="16.2" customHeight="1">
      <c r="A571" s="12"/>
      <c r="B571" s="446"/>
      <c r="C571" s="89"/>
      <c r="D571" s="13"/>
      <c r="E571" s="14"/>
      <c r="F571" s="14"/>
      <c r="G571" s="15"/>
      <c r="H571" s="8"/>
      <c r="I571" s="8"/>
      <c r="J571" s="89"/>
      <c r="K571" s="8"/>
      <c r="L571" s="8"/>
      <c r="M571" s="8" t="str">
        <f>IF(L571="","",
IF(AX571="PT",VLOOKUP(L571,Foundation_Calc!$V$4:$X$37,VLOOKUP(AX571,Foundation_Calc!$I$10:$J$13,2,FALSE),0),
IF(AX571="K",VLOOKUP(L571,Foundation_Calc!$V$41:$X$74,VLOOKUP(AX571,Foundation_Calc!$I$10:$J$13,2,FALSE),0),"")))</f>
        <v/>
      </c>
      <c r="N571" s="8"/>
      <c r="O571" s="8"/>
      <c r="P571" s="8"/>
      <c r="Q571" s="14"/>
      <c r="R571" s="15"/>
      <c r="S571" s="15"/>
      <c r="T571" s="14"/>
      <c r="U571" s="14"/>
      <c r="V571" s="14"/>
      <c r="W571" s="18"/>
      <c r="X571" s="18"/>
      <c r="Y571" s="18"/>
      <c r="Z571" s="18"/>
      <c r="AA571" s="18"/>
      <c r="AB571" s="18"/>
      <c r="AC571" s="8" t="str">
        <f t="shared" si="35"/>
        <v/>
      </c>
      <c r="AD571" s="8"/>
      <c r="AE571" s="8"/>
      <c r="AF571" s="14"/>
      <c r="AG571" s="13"/>
      <c r="AH571" s="14"/>
      <c r="AI571" s="14"/>
      <c r="AJ571" s="8"/>
      <c r="AK571" s="8"/>
      <c r="AL571" s="8"/>
      <c r="AM571" s="8"/>
      <c r="AN571" s="631"/>
      <c r="AO571" s="18"/>
      <c r="AP571" s="18"/>
      <c r="AQ571" s="18"/>
      <c r="AR571" s="18"/>
      <c r="AS571" s="18"/>
      <c r="AU571" s="448"/>
      <c r="AV571" s="448"/>
      <c r="AW571" s="8" t="str">
        <f>IF(C571&gt;0,VLOOKUP(C571,Foundation_Calc!$A$2:$C$986,3,1),
IF(J571&gt;0,VLOOKUP(J571,Foundation_Calc!$A$2:$C$986,3,1),""))</f>
        <v/>
      </c>
      <c r="AX571" s="8" t="str">
        <f>IF(C571&gt;0,VLOOKUP(C571,Foundation_Calc!$E$2:$G$986,3,1),
IF(J571&gt;0,VLOOKUP(J571,Foundation_Calc!$E$2:$G$986,3,1),""))</f>
        <v/>
      </c>
      <c r="AY571" s="631" t="str">
        <f>IF(L571="","",
IF(AX571="PT",VLOOKUP(L571,Foundation_Calc!$K$4:$R$37,VLOOKUP(AW571,Foundation_Calc!$I$2:$J$8,2,FALSE),0),
IF(AX571="K",VLOOKUP(L571,Foundation_Calc!$K$41:$R$74,VLOOKUP(AW571,Foundation_Calc!$I$2:$J$8,2,FALSE),0),"")))</f>
        <v/>
      </c>
      <c r="AZ571" s="631" t="str">
        <f>IF(K571="","",
IF(AX571="PT",VLOOKUP(K571,Foundation_Calc!$K$4:$R$37,VLOOKUP(AW571,Foundation_Calc!$I$2:$J$8,2,FALSE),0),
IF(AX571="K",VLOOKUP(K571,Foundation_Calc!$K$41:$R$74,VLOOKUP(AW571,Foundation_Calc!$I$2:$J$8,2,FALSE),0),"")))</f>
        <v/>
      </c>
      <c r="BA571" s="632" t="str">
        <f t="shared" si="36"/>
        <v/>
      </c>
      <c r="BB571" s="632" t="str">
        <f t="shared" si="37"/>
        <v/>
      </c>
      <c r="BC571" s="632" t="str">
        <f t="shared" si="38"/>
        <v/>
      </c>
      <c r="BD571" s="633" t="str">
        <f>IF(AND(L571="",H571=""),"",
IF(H571="",Pole_Calc!A599,
IF(H571="MP",Pole_Calc!A600,
IF(H571="AnMP",Pole_Calc!A601,
IF(H571="A",Pole_Calc!A602,
IF(H571="S/A",Pole_Calc!A603,
IF(H571="A/S",Pole_Calc!A604,"Poner a mano")))))))</f>
        <v/>
      </c>
      <c r="BE571" s="448" t="s">
        <v>1726</v>
      </c>
      <c r="BF571" s="635"/>
      <c r="BG571" s="635"/>
      <c r="BH571" s="634"/>
      <c r="BI571" s="635"/>
    </row>
    <row r="572" spans="1:61" ht="16.2" customHeight="1">
      <c r="A572" s="12"/>
      <c r="B572" s="446"/>
      <c r="C572" s="89"/>
      <c r="D572" s="13"/>
      <c r="E572" s="14"/>
      <c r="F572" s="14"/>
      <c r="G572" s="15"/>
      <c r="H572" s="8"/>
      <c r="I572" s="8"/>
      <c r="J572" s="89"/>
      <c r="K572" s="8"/>
      <c r="L572" s="8"/>
      <c r="M572" s="8" t="str">
        <f>IF(L572="","",
IF(AX572="PT",VLOOKUP(L572,Foundation_Calc!$V$4:$X$37,VLOOKUP(AX572,Foundation_Calc!$I$10:$J$13,2,FALSE),0),
IF(AX572="K",VLOOKUP(L572,Foundation_Calc!$V$41:$X$74,VLOOKUP(AX572,Foundation_Calc!$I$10:$J$13,2,FALSE),0),"")))</f>
        <v/>
      </c>
      <c r="N572" s="8"/>
      <c r="O572" s="8"/>
      <c r="P572" s="8"/>
      <c r="Q572" s="14"/>
      <c r="R572" s="15"/>
      <c r="S572" s="15"/>
      <c r="T572" s="14"/>
      <c r="U572" s="14"/>
      <c r="V572" s="14"/>
      <c r="W572" s="18"/>
      <c r="X572" s="18"/>
      <c r="Y572" s="18"/>
      <c r="Z572" s="18"/>
      <c r="AA572" s="18"/>
      <c r="AB572" s="18"/>
      <c r="AC572" s="8" t="str">
        <f t="shared" si="35"/>
        <v/>
      </c>
      <c r="AD572" s="8"/>
      <c r="AE572" s="8"/>
      <c r="AF572" s="14"/>
      <c r="AG572" s="13"/>
      <c r="AH572" s="14"/>
      <c r="AI572" s="14"/>
      <c r="AJ572" s="8"/>
      <c r="AK572" s="8"/>
      <c r="AL572" s="8"/>
      <c r="AM572" s="8"/>
      <c r="AN572" s="631"/>
      <c r="AO572" s="18"/>
      <c r="AP572" s="18"/>
      <c r="AQ572" s="18"/>
      <c r="AR572" s="18"/>
      <c r="AS572" s="18"/>
      <c r="AU572" s="448"/>
      <c r="AV572" s="448"/>
      <c r="AW572" s="8" t="str">
        <f>IF(C572&gt;0,VLOOKUP(C572,Foundation_Calc!$A$2:$C$986,3,1),
IF(J572&gt;0,VLOOKUP(J572,Foundation_Calc!$A$2:$C$986,3,1),""))</f>
        <v/>
      </c>
      <c r="AX572" s="8" t="str">
        <f>IF(C572&gt;0,VLOOKUP(C572,Foundation_Calc!$E$2:$G$986,3,1),
IF(J572&gt;0,VLOOKUP(J572,Foundation_Calc!$E$2:$G$986,3,1),""))</f>
        <v/>
      </c>
      <c r="AY572" s="631" t="str">
        <f>IF(L572="","",
IF(AX572="PT",VLOOKUP(L572,Foundation_Calc!$K$4:$R$37,VLOOKUP(AW572,Foundation_Calc!$I$2:$J$8,2,FALSE),0),
IF(AX572="K",VLOOKUP(L572,Foundation_Calc!$K$41:$R$74,VLOOKUP(AW572,Foundation_Calc!$I$2:$J$8,2,FALSE),0),"")))</f>
        <v/>
      </c>
      <c r="AZ572" s="631" t="str">
        <f>IF(K572="","",
IF(AX572="PT",VLOOKUP(K572,Foundation_Calc!$K$4:$R$37,VLOOKUP(AW572,Foundation_Calc!$I$2:$J$8,2,FALSE),0),
IF(AX572="K",VLOOKUP(K572,Foundation_Calc!$K$41:$R$74,VLOOKUP(AW572,Foundation_Calc!$I$2:$J$8,2,FALSE),0),"")))</f>
        <v/>
      </c>
      <c r="BA572" s="632" t="str">
        <f t="shared" si="36"/>
        <v/>
      </c>
      <c r="BB572" s="632" t="str">
        <f t="shared" si="37"/>
        <v/>
      </c>
      <c r="BC572" s="632" t="str">
        <f t="shared" si="38"/>
        <v/>
      </c>
      <c r="BD572" s="633" t="str">
        <f>IF(AND(L572="",H572=""),"",
IF(H572="",Pole_Calc!A600,
IF(H572="MP",Pole_Calc!A601,
IF(H572="AnMP",Pole_Calc!A602,
IF(H572="A",Pole_Calc!A603,
IF(H572="S/A",Pole_Calc!A604,
IF(H572="A/S",Pole_Calc!A605,"Poner a mano")))))))</f>
        <v/>
      </c>
      <c r="BE572" s="448" t="s">
        <v>1726</v>
      </c>
      <c r="BF572" s="634"/>
      <c r="BG572" s="634"/>
      <c r="BH572" s="634"/>
      <c r="BI572" s="634"/>
    </row>
    <row r="573" spans="1:61" ht="16.2" customHeight="1">
      <c r="A573" s="12"/>
      <c r="B573" s="446"/>
      <c r="C573" s="89"/>
      <c r="D573" s="13"/>
      <c r="E573" s="14"/>
      <c r="F573" s="14"/>
      <c r="G573" s="15"/>
      <c r="H573" s="8"/>
      <c r="I573" s="8"/>
      <c r="J573" s="89"/>
      <c r="K573" s="8"/>
      <c r="L573" s="8"/>
      <c r="M573" s="8" t="str">
        <f>IF(L573="","",
IF(AX573="PT",VLOOKUP(L573,Foundation_Calc!$V$4:$X$37,VLOOKUP(AX573,Foundation_Calc!$I$10:$J$13,2,FALSE),0),
IF(AX573="K",VLOOKUP(L573,Foundation_Calc!$V$41:$X$74,VLOOKUP(AX573,Foundation_Calc!$I$10:$J$13,2,FALSE),0),"")))</f>
        <v/>
      </c>
      <c r="N573" s="8"/>
      <c r="O573" s="8"/>
      <c r="P573" s="8"/>
      <c r="Q573" s="14"/>
      <c r="R573" s="15"/>
      <c r="S573" s="15"/>
      <c r="T573" s="14"/>
      <c r="U573" s="14"/>
      <c r="V573" s="14"/>
      <c r="W573" s="18"/>
      <c r="X573" s="18"/>
      <c r="Y573" s="18"/>
      <c r="Z573" s="18"/>
      <c r="AA573" s="18"/>
      <c r="AB573" s="18"/>
      <c r="AC573" s="8" t="str">
        <f t="shared" si="35"/>
        <v/>
      </c>
      <c r="AD573" s="8"/>
      <c r="AE573" s="8"/>
      <c r="AF573" s="14"/>
      <c r="AG573" s="13"/>
      <c r="AH573" s="14"/>
      <c r="AI573" s="14"/>
      <c r="AJ573" s="8"/>
      <c r="AK573" s="8"/>
      <c r="AL573" s="8"/>
      <c r="AM573" s="8"/>
      <c r="AN573" s="631"/>
      <c r="AO573" s="18"/>
      <c r="AP573" s="18"/>
      <c r="AQ573" s="18"/>
      <c r="AR573" s="18"/>
      <c r="AS573" s="18"/>
      <c r="AU573" s="448"/>
      <c r="AV573" s="448"/>
      <c r="AW573" s="8" t="str">
        <f>IF(C573&gt;0,VLOOKUP(C573,Foundation_Calc!$A$2:$C$986,3,1),
IF(J573&gt;0,VLOOKUP(J573,Foundation_Calc!$A$2:$C$986,3,1),""))</f>
        <v/>
      </c>
      <c r="AX573" s="8" t="str">
        <f>IF(C573&gt;0,VLOOKUP(C573,Foundation_Calc!$E$2:$G$986,3,1),
IF(J573&gt;0,VLOOKUP(J573,Foundation_Calc!$E$2:$G$986,3,1),""))</f>
        <v/>
      </c>
      <c r="AY573" s="631" t="str">
        <f>IF(L573="","",
IF(AX573="PT",VLOOKUP(L573,Foundation_Calc!$K$4:$R$37,VLOOKUP(AW573,Foundation_Calc!$I$2:$J$8,2,FALSE),0),
IF(AX573="K",VLOOKUP(L573,Foundation_Calc!$K$41:$R$74,VLOOKUP(AW573,Foundation_Calc!$I$2:$J$8,2,FALSE),0),"")))</f>
        <v/>
      </c>
      <c r="AZ573" s="631" t="str">
        <f>IF(K573="","",
IF(AX573="PT",VLOOKUP(K573,Foundation_Calc!$K$4:$R$37,VLOOKUP(AW573,Foundation_Calc!$I$2:$J$8,2,FALSE),0),
IF(AX573="K",VLOOKUP(K573,Foundation_Calc!$K$41:$R$74,VLOOKUP(AW573,Foundation_Calc!$I$2:$J$8,2,FALSE),0),"")))</f>
        <v/>
      </c>
      <c r="BA573" s="632" t="str">
        <f t="shared" si="36"/>
        <v/>
      </c>
      <c r="BB573" s="632" t="str">
        <f t="shared" si="37"/>
        <v/>
      </c>
      <c r="BC573" s="632" t="str">
        <f t="shared" si="38"/>
        <v/>
      </c>
      <c r="BD573" s="633" t="str">
        <f>IF(AND(L573="",H573=""),"",
IF(H573="",Pole_Calc!A601,
IF(H573="MP",Pole_Calc!A602,
IF(H573="AnMP",Pole_Calc!A603,
IF(H573="A",Pole_Calc!A604,
IF(H573="S/A",Pole_Calc!A605,
IF(H573="A/S",Pole_Calc!A606,"Poner a mano")))))))</f>
        <v/>
      </c>
      <c r="BE573" s="448" t="s">
        <v>1726</v>
      </c>
      <c r="BF573" s="635"/>
      <c r="BG573" s="635"/>
      <c r="BH573" s="634"/>
      <c r="BI573" s="635"/>
    </row>
    <row r="574" spans="1:61" ht="16.2" customHeight="1">
      <c r="A574" s="12"/>
      <c r="B574" s="446"/>
      <c r="C574" s="89"/>
      <c r="D574" s="13"/>
      <c r="E574" s="14"/>
      <c r="F574" s="14"/>
      <c r="G574" s="15"/>
      <c r="H574" s="8"/>
      <c r="I574" s="8"/>
      <c r="J574" s="89"/>
      <c r="K574" s="8"/>
      <c r="L574" s="8"/>
      <c r="M574" s="8" t="str">
        <f>IF(L574="","",
IF(AX574="PT",VLOOKUP(L574,Foundation_Calc!$V$4:$X$37,VLOOKUP(AX574,Foundation_Calc!$I$10:$J$13,2,FALSE),0),
IF(AX574="K",VLOOKUP(L574,Foundation_Calc!$V$41:$X$74,VLOOKUP(AX574,Foundation_Calc!$I$10:$J$13,2,FALSE),0),"")))</f>
        <v/>
      </c>
      <c r="N574" s="8"/>
      <c r="O574" s="8"/>
      <c r="P574" s="8"/>
      <c r="Q574" s="14"/>
      <c r="R574" s="15"/>
      <c r="S574" s="15"/>
      <c r="T574" s="14"/>
      <c r="U574" s="14"/>
      <c r="V574" s="14"/>
      <c r="W574" s="18"/>
      <c r="X574" s="18"/>
      <c r="Y574" s="18"/>
      <c r="Z574" s="18"/>
      <c r="AA574" s="18"/>
      <c r="AB574" s="18"/>
      <c r="AC574" s="8" t="str">
        <f t="shared" si="35"/>
        <v/>
      </c>
      <c r="AD574" s="8"/>
      <c r="AE574" s="8"/>
      <c r="AF574" s="14"/>
      <c r="AG574" s="13"/>
      <c r="AH574" s="14"/>
      <c r="AI574" s="14"/>
      <c r="AJ574" s="8"/>
      <c r="AK574" s="8"/>
      <c r="AL574" s="8"/>
      <c r="AM574" s="8"/>
      <c r="AN574" s="631"/>
      <c r="AO574" s="18"/>
      <c r="AP574" s="18"/>
      <c r="AQ574" s="18"/>
      <c r="AR574" s="18"/>
      <c r="AS574" s="18"/>
      <c r="AU574" s="448"/>
      <c r="AV574" s="448"/>
      <c r="AW574" s="8" t="str">
        <f>IF(C574&gt;0,VLOOKUP(C574,Foundation_Calc!$A$2:$C$986,3,1),
IF(J574&gt;0,VLOOKUP(J574,Foundation_Calc!$A$2:$C$986,3,1),""))</f>
        <v/>
      </c>
      <c r="AX574" s="8" t="str">
        <f>IF(C574&gt;0,VLOOKUP(C574,Foundation_Calc!$E$2:$G$986,3,1),
IF(J574&gt;0,VLOOKUP(J574,Foundation_Calc!$E$2:$G$986,3,1),""))</f>
        <v/>
      </c>
      <c r="AY574" s="631" t="str">
        <f>IF(L574="","",
IF(AX574="PT",VLOOKUP(L574,Foundation_Calc!$K$4:$R$37,VLOOKUP(AW574,Foundation_Calc!$I$2:$J$8,2,FALSE),0),
IF(AX574="K",VLOOKUP(L574,Foundation_Calc!$K$41:$R$74,VLOOKUP(AW574,Foundation_Calc!$I$2:$J$8,2,FALSE),0),"")))</f>
        <v/>
      </c>
      <c r="AZ574" s="631" t="str">
        <f>IF(K574="","",
IF(AX574="PT",VLOOKUP(K574,Foundation_Calc!$K$4:$R$37,VLOOKUP(AW574,Foundation_Calc!$I$2:$J$8,2,FALSE),0),
IF(AX574="K",VLOOKUP(K574,Foundation_Calc!$K$41:$R$74,VLOOKUP(AW574,Foundation_Calc!$I$2:$J$8,2,FALSE),0),"")))</f>
        <v/>
      </c>
      <c r="BA574" s="632" t="str">
        <f t="shared" si="36"/>
        <v/>
      </c>
      <c r="BB574" s="632" t="str">
        <f t="shared" si="37"/>
        <v/>
      </c>
      <c r="BC574" s="632" t="str">
        <f t="shared" si="38"/>
        <v/>
      </c>
      <c r="BD574" s="633" t="str">
        <f>IF(AND(L574="",H574=""),"",
IF(H574="",Pole_Calc!A602,
IF(H574="MP",Pole_Calc!A603,
IF(H574="AnMP",Pole_Calc!A604,
IF(H574="A",Pole_Calc!A605,
IF(H574="S/A",Pole_Calc!A606,
IF(H574="A/S",Pole_Calc!A607,"Poner a mano")))))))</f>
        <v/>
      </c>
      <c r="BE574" s="448" t="s">
        <v>1726</v>
      </c>
      <c r="BF574" s="634"/>
      <c r="BG574" s="634"/>
      <c r="BH574" s="634"/>
      <c r="BI574" s="634"/>
    </row>
    <row r="575" spans="1:61" ht="16.2" customHeight="1">
      <c r="A575" s="12"/>
      <c r="B575" s="446"/>
      <c r="C575" s="89"/>
      <c r="D575" s="13"/>
      <c r="E575" s="14"/>
      <c r="F575" s="14"/>
      <c r="G575" s="15"/>
      <c r="H575" s="8"/>
      <c r="I575" s="8"/>
      <c r="J575" s="89"/>
      <c r="K575" s="8"/>
      <c r="L575" s="8"/>
      <c r="M575" s="8" t="str">
        <f>IF(L575="","",
IF(AX575="PT",VLOOKUP(L575,Foundation_Calc!$V$4:$X$37,VLOOKUP(AX575,Foundation_Calc!$I$10:$J$13,2,FALSE),0),
IF(AX575="K",VLOOKUP(L575,Foundation_Calc!$V$41:$X$74,VLOOKUP(AX575,Foundation_Calc!$I$10:$J$13,2,FALSE),0),"")))</f>
        <v/>
      </c>
      <c r="N575" s="8"/>
      <c r="O575" s="8"/>
      <c r="P575" s="8"/>
      <c r="Q575" s="14"/>
      <c r="R575" s="15"/>
      <c r="S575" s="15"/>
      <c r="T575" s="14"/>
      <c r="U575" s="14"/>
      <c r="V575" s="14"/>
      <c r="W575" s="18"/>
      <c r="X575" s="18"/>
      <c r="Y575" s="18"/>
      <c r="Z575" s="18"/>
      <c r="AA575" s="18"/>
      <c r="AB575" s="18"/>
      <c r="AC575" s="8" t="str">
        <f t="shared" si="35"/>
        <v/>
      </c>
      <c r="AD575" s="8"/>
      <c r="AE575" s="8"/>
      <c r="AF575" s="14"/>
      <c r="AG575" s="13"/>
      <c r="AH575" s="14"/>
      <c r="AI575" s="14"/>
      <c r="AJ575" s="8"/>
      <c r="AK575" s="8"/>
      <c r="AL575" s="8"/>
      <c r="AM575" s="8"/>
      <c r="AN575" s="631"/>
      <c r="AO575" s="18"/>
      <c r="AP575" s="18"/>
      <c r="AQ575" s="18"/>
      <c r="AR575" s="18"/>
      <c r="AS575" s="18"/>
      <c r="AU575" s="448"/>
      <c r="AV575" s="448"/>
      <c r="AW575" s="8" t="str">
        <f>IF(C575&gt;0,VLOOKUP(C575,Foundation_Calc!$A$2:$C$986,3,1),
IF(J575&gt;0,VLOOKUP(J575,Foundation_Calc!$A$2:$C$986,3,1),""))</f>
        <v/>
      </c>
      <c r="AX575" s="8" t="str">
        <f>IF(C575&gt;0,VLOOKUP(C575,Foundation_Calc!$E$2:$G$986,3,1),
IF(J575&gt;0,VLOOKUP(J575,Foundation_Calc!$E$2:$G$986,3,1),""))</f>
        <v/>
      </c>
      <c r="AY575" s="631" t="str">
        <f>IF(L575="","",
IF(AX575="PT",VLOOKUP(L575,Foundation_Calc!$K$4:$R$37,VLOOKUP(AW575,Foundation_Calc!$I$2:$J$8,2,FALSE),0),
IF(AX575="K",VLOOKUP(L575,Foundation_Calc!$K$41:$R$74,VLOOKUP(AW575,Foundation_Calc!$I$2:$J$8,2,FALSE),0),"")))</f>
        <v/>
      </c>
      <c r="AZ575" s="631" t="str">
        <f>IF(K575="","",
IF(AX575="PT",VLOOKUP(K575,Foundation_Calc!$K$4:$R$37,VLOOKUP(AW575,Foundation_Calc!$I$2:$J$8,2,FALSE),0),
IF(AX575="K",VLOOKUP(K575,Foundation_Calc!$K$41:$R$74,VLOOKUP(AW575,Foundation_Calc!$I$2:$J$8,2,FALSE),0),"")))</f>
        <v/>
      </c>
      <c r="BA575" s="632" t="str">
        <f t="shared" si="36"/>
        <v/>
      </c>
      <c r="BB575" s="632" t="str">
        <f t="shared" si="37"/>
        <v/>
      </c>
      <c r="BC575" s="632" t="str">
        <f t="shared" si="38"/>
        <v/>
      </c>
      <c r="BD575" s="633" t="str">
        <f>IF(AND(L575="",H575=""),"",
IF(H575="",Pole_Calc!A603,
IF(H575="MP",Pole_Calc!A604,
IF(H575="AnMP",Pole_Calc!A605,
IF(H575="A",Pole_Calc!A606,
IF(H575="S/A",Pole_Calc!A607,
IF(H575="A/S",Pole_Calc!A608,"Poner a mano")))))))</f>
        <v/>
      </c>
      <c r="BE575" s="448" t="s">
        <v>1726</v>
      </c>
      <c r="BF575" s="635"/>
      <c r="BG575" s="635"/>
      <c r="BH575" s="634"/>
      <c r="BI575" s="635"/>
    </row>
    <row r="576" spans="1:61" ht="16.2" customHeight="1">
      <c r="A576" s="12"/>
      <c r="B576" s="446"/>
      <c r="C576" s="89"/>
      <c r="D576" s="13"/>
      <c r="E576" s="14"/>
      <c r="F576" s="14"/>
      <c r="G576" s="15"/>
      <c r="H576" s="8"/>
      <c r="I576" s="8"/>
      <c r="J576" s="89"/>
      <c r="K576" s="8"/>
      <c r="L576" s="8"/>
      <c r="M576" s="8" t="str">
        <f>IF(L576="","",
IF(AX576="PT",VLOOKUP(L576,Foundation_Calc!$V$4:$X$37,VLOOKUP(AX576,Foundation_Calc!$I$10:$J$13,2,FALSE),0),
IF(AX576="K",VLOOKUP(L576,Foundation_Calc!$V$41:$X$74,VLOOKUP(AX576,Foundation_Calc!$I$10:$J$13,2,FALSE),0),"")))</f>
        <v/>
      </c>
      <c r="N576" s="8"/>
      <c r="O576" s="8"/>
      <c r="P576" s="8"/>
      <c r="Q576" s="14"/>
      <c r="R576" s="15"/>
      <c r="S576" s="15"/>
      <c r="T576" s="14"/>
      <c r="U576" s="14"/>
      <c r="V576" s="14"/>
      <c r="W576" s="18"/>
      <c r="X576" s="18"/>
      <c r="Y576" s="18"/>
      <c r="Z576" s="18"/>
      <c r="AA576" s="18"/>
      <c r="AB576" s="18"/>
      <c r="AC576" s="8" t="str">
        <f t="shared" si="35"/>
        <v/>
      </c>
      <c r="AD576" s="8"/>
      <c r="AE576" s="8"/>
      <c r="AF576" s="14"/>
      <c r="AG576" s="13"/>
      <c r="AH576" s="14"/>
      <c r="AI576" s="14"/>
      <c r="AJ576" s="8"/>
      <c r="AK576" s="8"/>
      <c r="AL576" s="8"/>
      <c r="AM576" s="8"/>
      <c r="AN576" s="631"/>
      <c r="AO576" s="18"/>
      <c r="AP576" s="18"/>
      <c r="AQ576" s="18"/>
      <c r="AR576" s="18"/>
      <c r="AS576" s="18"/>
      <c r="AU576" s="448"/>
      <c r="AV576" s="448"/>
      <c r="AW576" s="8" t="str">
        <f>IF(C576&gt;0,VLOOKUP(C576,Foundation_Calc!$A$2:$C$986,3,1),
IF(J576&gt;0,VLOOKUP(J576,Foundation_Calc!$A$2:$C$986,3,1),""))</f>
        <v/>
      </c>
      <c r="AX576" s="8" t="str">
        <f>IF(C576&gt;0,VLOOKUP(C576,Foundation_Calc!$E$2:$G$986,3,1),
IF(J576&gt;0,VLOOKUP(J576,Foundation_Calc!$E$2:$G$986,3,1),""))</f>
        <v/>
      </c>
      <c r="AY576" s="631" t="str">
        <f>IF(L576="","",
IF(AX576="PT",VLOOKUP(L576,Foundation_Calc!$K$4:$R$37,VLOOKUP(AW576,Foundation_Calc!$I$2:$J$8,2,FALSE),0),
IF(AX576="K",VLOOKUP(L576,Foundation_Calc!$K$41:$R$74,VLOOKUP(AW576,Foundation_Calc!$I$2:$J$8,2,FALSE),0),"")))</f>
        <v/>
      </c>
      <c r="AZ576" s="631" t="str">
        <f>IF(K576="","",
IF(AX576="PT",VLOOKUP(K576,Foundation_Calc!$K$4:$R$37,VLOOKUP(AW576,Foundation_Calc!$I$2:$J$8,2,FALSE),0),
IF(AX576="K",VLOOKUP(K576,Foundation_Calc!$K$41:$R$74,VLOOKUP(AW576,Foundation_Calc!$I$2:$J$8,2,FALSE),0),"")))</f>
        <v/>
      </c>
      <c r="BA576" s="632" t="str">
        <f t="shared" si="36"/>
        <v/>
      </c>
      <c r="BB576" s="632" t="str">
        <f t="shared" si="37"/>
        <v/>
      </c>
      <c r="BC576" s="632" t="str">
        <f t="shared" si="38"/>
        <v/>
      </c>
      <c r="BD576" s="633" t="str">
        <f>IF(AND(L576="",H576=""),"",
IF(H576="",Pole_Calc!A604,
IF(H576="MP",Pole_Calc!A605,
IF(H576="AnMP",Pole_Calc!A606,
IF(H576="A",Pole_Calc!A607,
IF(H576="S/A",Pole_Calc!A608,
IF(H576="A/S",Pole_Calc!A609,"Poner a mano")))))))</f>
        <v/>
      </c>
      <c r="BE576" s="448" t="s">
        <v>1726</v>
      </c>
      <c r="BF576" s="634"/>
      <c r="BG576" s="634"/>
      <c r="BH576" s="634"/>
      <c r="BI576" s="634"/>
    </row>
    <row r="577" spans="1:61" ht="16.2" customHeight="1">
      <c r="A577" s="12"/>
      <c r="B577" s="446"/>
      <c r="C577" s="89"/>
      <c r="D577" s="13"/>
      <c r="E577" s="14"/>
      <c r="F577" s="14"/>
      <c r="G577" s="15"/>
      <c r="H577" s="8"/>
      <c r="I577" s="8"/>
      <c r="J577" s="89"/>
      <c r="K577" s="8"/>
      <c r="L577" s="8"/>
      <c r="M577" s="8" t="str">
        <f>IF(L577="","",
IF(AX577="PT",VLOOKUP(L577,Foundation_Calc!$V$4:$X$37,VLOOKUP(AX577,Foundation_Calc!$I$10:$J$13,2,FALSE),0),
IF(AX577="K",VLOOKUP(L577,Foundation_Calc!$V$41:$X$74,VLOOKUP(AX577,Foundation_Calc!$I$10:$J$13,2,FALSE),0),"")))</f>
        <v/>
      </c>
      <c r="N577" s="8"/>
      <c r="O577" s="8"/>
      <c r="P577" s="8"/>
      <c r="Q577" s="14"/>
      <c r="R577" s="15"/>
      <c r="S577" s="15"/>
      <c r="T577" s="14"/>
      <c r="U577" s="14"/>
      <c r="V577" s="14"/>
      <c r="W577" s="18"/>
      <c r="X577" s="18"/>
      <c r="Y577" s="18"/>
      <c r="Z577" s="18"/>
      <c r="AA577" s="18"/>
      <c r="AB577" s="18"/>
      <c r="AC577" s="8" t="str">
        <f t="shared" si="35"/>
        <v/>
      </c>
      <c r="AD577" s="8"/>
      <c r="AE577" s="8"/>
      <c r="AF577" s="14"/>
      <c r="AG577" s="13"/>
      <c r="AH577" s="14"/>
      <c r="AI577" s="14"/>
      <c r="AJ577" s="8"/>
      <c r="AK577" s="8"/>
      <c r="AL577" s="8"/>
      <c r="AM577" s="8"/>
      <c r="AN577" s="631"/>
      <c r="AO577" s="18"/>
      <c r="AP577" s="18"/>
      <c r="AQ577" s="18"/>
      <c r="AR577" s="18"/>
      <c r="AS577" s="18"/>
      <c r="AU577" s="448"/>
      <c r="AV577" s="448"/>
      <c r="AW577" s="8" t="str">
        <f>IF(C577&gt;0,VLOOKUP(C577,Foundation_Calc!$A$2:$C$986,3,1),
IF(J577&gt;0,VLOOKUP(J577,Foundation_Calc!$A$2:$C$986,3,1),""))</f>
        <v/>
      </c>
      <c r="AX577" s="8" t="str">
        <f>IF(C577&gt;0,VLOOKUP(C577,Foundation_Calc!$E$2:$G$986,3,1),
IF(J577&gt;0,VLOOKUP(J577,Foundation_Calc!$E$2:$G$986,3,1),""))</f>
        <v/>
      </c>
      <c r="AY577" s="631" t="str">
        <f>IF(L577="","",
IF(AX577="PT",VLOOKUP(L577,Foundation_Calc!$K$4:$R$37,VLOOKUP(AW577,Foundation_Calc!$I$2:$J$8,2,FALSE),0),
IF(AX577="K",VLOOKUP(L577,Foundation_Calc!$K$41:$R$74,VLOOKUP(AW577,Foundation_Calc!$I$2:$J$8,2,FALSE),0),"")))</f>
        <v/>
      </c>
      <c r="AZ577" s="631" t="str">
        <f>IF(K577="","",
IF(AX577="PT",VLOOKUP(K577,Foundation_Calc!$K$4:$R$37,VLOOKUP(AW577,Foundation_Calc!$I$2:$J$8,2,FALSE),0),
IF(AX577="K",VLOOKUP(K577,Foundation_Calc!$K$41:$R$74,VLOOKUP(AW577,Foundation_Calc!$I$2:$J$8,2,FALSE),0),"")))</f>
        <v/>
      </c>
      <c r="BA577" s="632" t="str">
        <f t="shared" si="36"/>
        <v/>
      </c>
      <c r="BB577" s="632" t="str">
        <f t="shared" si="37"/>
        <v/>
      </c>
      <c r="BC577" s="632" t="str">
        <f t="shared" si="38"/>
        <v/>
      </c>
      <c r="BD577" s="633" t="str">
        <f>IF(AND(L577="",H577=""),"",
IF(H577="",Pole_Calc!A605,
IF(H577="MP",Pole_Calc!A606,
IF(H577="AnMP",Pole_Calc!A607,
IF(H577="A",Pole_Calc!A608,
IF(H577="S/A",Pole_Calc!A609,
IF(H577="A/S",Pole_Calc!A610,"Poner a mano")))))))</f>
        <v/>
      </c>
      <c r="BE577" s="448" t="s">
        <v>1726</v>
      </c>
      <c r="BF577" s="635"/>
      <c r="BG577" s="635"/>
      <c r="BH577" s="634"/>
      <c r="BI577" s="635"/>
    </row>
    <row r="578" spans="1:61" ht="16.2" customHeight="1">
      <c r="A578" s="12"/>
      <c r="B578" s="446"/>
      <c r="C578" s="89"/>
      <c r="D578" s="13"/>
      <c r="E578" s="14"/>
      <c r="F578" s="14"/>
      <c r="G578" s="15"/>
      <c r="H578" s="8"/>
      <c r="I578" s="8"/>
      <c r="J578" s="89"/>
      <c r="K578" s="8"/>
      <c r="L578" s="8"/>
      <c r="M578" s="8" t="str">
        <f>IF(L578="","",
IF(AX578="PT",VLOOKUP(L578,Foundation_Calc!$V$4:$X$37,VLOOKUP(AX578,Foundation_Calc!$I$10:$J$13,2,FALSE),0),
IF(AX578="K",VLOOKUP(L578,Foundation_Calc!$V$41:$X$74,VLOOKUP(AX578,Foundation_Calc!$I$10:$J$13,2,FALSE),0),"")))</f>
        <v/>
      </c>
      <c r="N578" s="8"/>
      <c r="O578" s="8"/>
      <c r="P578" s="8"/>
      <c r="Q578" s="14"/>
      <c r="R578" s="15"/>
      <c r="S578" s="15"/>
      <c r="T578" s="14"/>
      <c r="U578" s="14"/>
      <c r="V578" s="14"/>
      <c r="W578" s="18"/>
      <c r="X578" s="18"/>
      <c r="Y578" s="18"/>
      <c r="Z578" s="18"/>
      <c r="AA578" s="18"/>
      <c r="AB578" s="18"/>
      <c r="AC578" s="8" t="str">
        <f t="shared" si="35"/>
        <v/>
      </c>
      <c r="AD578" s="8"/>
      <c r="AE578" s="8"/>
      <c r="AF578" s="14"/>
      <c r="AG578" s="13"/>
      <c r="AH578" s="14"/>
      <c r="AI578" s="14"/>
      <c r="AJ578" s="8"/>
      <c r="AK578" s="8"/>
      <c r="AL578" s="8"/>
      <c r="AM578" s="8"/>
      <c r="AN578" s="631"/>
      <c r="AO578" s="18"/>
      <c r="AP578" s="18"/>
      <c r="AQ578" s="18"/>
      <c r="AR578" s="18"/>
      <c r="AS578" s="18"/>
      <c r="AU578" s="448"/>
      <c r="AV578" s="448"/>
      <c r="AW578" s="8" t="str">
        <f>IF(C578&gt;0,VLOOKUP(C578,Foundation_Calc!$A$2:$C$986,3,1),
IF(J578&gt;0,VLOOKUP(J578,Foundation_Calc!$A$2:$C$986,3,1),""))</f>
        <v/>
      </c>
      <c r="AX578" s="8" t="str">
        <f>IF(C578&gt;0,VLOOKUP(C578,Foundation_Calc!$E$2:$G$986,3,1),
IF(J578&gt;0,VLOOKUP(J578,Foundation_Calc!$E$2:$G$986,3,1),""))</f>
        <v/>
      </c>
      <c r="AY578" s="631" t="str">
        <f>IF(L578="","",
IF(AX578="PT",VLOOKUP(L578,Foundation_Calc!$K$4:$R$37,VLOOKUP(AW578,Foundation_Calc!$I$2:$J$8,2,FALSE),0),
IF(AX578="K",VLOOKUP(L578,Foundation_Calc!$K$41:$R$74,VLOOKUP(AW578,Foundation_Calc!$I$2:$J$8,2,FALSE),0),"")))</f>
        <v/>
      </c>
      <c r="AZ578" s="631" t="str">
        <f>IF(K578="","",
IF(AX578="PT",VLOOKUP(K578,Foundation_Calc!$K$4:$R$37,VLOOKUP(AW578,Foundation_Calc!$I$2:$J$8,2,FALSE),0),
IF(AX578="K",VLOOKUP(K578,Foundation_Calc!$K$41:$R$74,VLOOKUP(AW578,Foundation_Calc!$I$2:$J$8,2,FALSE),0),"")))</f>
        <v/>
      </c>
      <c r="BA578" s="632" t="str">
        <f t="shared" si="36"/>
        <v/>
      </c>
      <c r="BB578" s="632" t="str">
        <f t="shared" si="37"/>
        <v/>
      </c>
      <c r="BC578" s="632" t="str">
        <f t="shared" si="38"/>
        <v/>
      </c>
      <c r="BD578" s="633" t="str">
        <f>IF(AND(L578="",H578=""),"",
IF(H578="",Pole_Calc!A606,
IF(H578="MP",Pole_Calc!A607,
IF(H578="AnMP",Pole_Calc!A608,
IF(H578="A",Pole_Calc!A609,
IF(H578="S/A",Pole_Calc!A610,
IF(H578="A/S",Pole_Calc!A611,"Poner a mano")))))))</f>
        <v/>
      </c>
      <c r="BE578" s="448" t="s">
        <v>1726</v>
      </c>
      <c r="BF578" s="634"/>
      <c r="BG578" s="634"/>
      <c r="BH578" s="634"/>
      <c r="BI578" s="634"/>
    </row>
    <row r="579" spans="1:61" ht="16.2" customHeight="1">
      <c r="A579" s="12"/>
      <c r="B579" s="446"/>
      <c r="C579" s="89"/>
      <c r="D579" s="13"/>
      <c r="E579" s="14"/>
      <c r="F579" s="14"/>
      <c r="G579" s="15"/>
      <c r="H579" s="8"/>
      <c r="I579" s="8"/>
      <c r="J579" s="89"/>
      <c r="K579" s="8"/>
      <c r="L579" s="8"/>
      <c r="M579" s="8" t="str">
        <f>IF(L579="","",
IF(AX579="PT",VLOOKUP(L579,Foundation_Calc!$V$4:$X$37,VLOOKUP(AX579,Foundation_Calc!$I$10:$J$13,2,FALSE),0),
IF(AX579="K",VLOOKUP(L579,Foundation_Calc!$V$41:$X$74,VLOOKUP(AX579,Foundation_Calc!$I$10:$J$13,2,FALSE),0),"")))</f>
        <v/>
      </c>
      <c r="N579" s="8"/>
      <c r="O579" s="8"/>
      <c r="P579" s="8"/>
      <c r="Q579" s="14"/>
      <c r="R579" s="15"/>
      <c r="S579" s="15"/>
      <c r="T579" s="14"/>
      <c r="U579" s="14"/>
      <c r="V579" s="14"/>
      <c r="W579" s="18"/>
      <c r="X579" s="18"/>
      <c r="Y579" s="18"/>
      <c r="Z579" s="18"/>
      <c r="AA579" s="18"/>
      <c r="AB579" s="18"/>
      <c r="AC579" s="8" t="str">
        <f t="shared" si="35"/>
        <v/>
      </c>
      <c r="AD579" s="8"/>
      <c r="AE579" s="8"/>
      <c r="AF579" s="14"/>
      <c r="AG579" s="13"/>
      <c r="AH579" s="14"/>
      <c r="AI579" s="14"/>
      <c r="AJ579" s="8"/>
      <c r="AK579" s="8"/>
      <c r="AL579" s="8"/>
      <c r="AM579" s="8"/>
      <c r="AN579" s="631"/>
      <c r="AO579" s="18"/>
      <c r="AP579" s="18"/>
      <c r="AQ579" s="18"/>
      <c r="AR579" s="18"/>
      <c r="AS579" s="18"/>
      <c r="AU579" s="448"/>
      <c r="AV579" s="448"/>
      <c r="AW579" s="8" t="str">
        <f>IF(C579&gt;0,VLOOKUP(C579,Foundation_Calc!$A$2:$C$986,3,1),
IF(J579&gt;0,VLOOKUP(J579,Foundation_Calc!$A$2:$C$986,3,1),""))</f>
        <v/>
      </c>
      <c r="AX579" s="8" t="str">
        <f>IF(C579&gt;0,VLOOKUP(C579,Foundation_Calc!$E$2:$G$986,3,1),
IF(J579&gt;0,VLOOKUP(J579,Foundation_Calc!$E$2:$G$986,3,1),""))</f>
        <v/>
      </c>
      <c r="AY579" s="631" t="str">
        <f>IF(L579="","",
IF(AX579="PT",VLOOKUP(L579,Foundation_Calc!$K$4:$R$37,VLOOKUP(AW579,Foundation_Calc!$I$2:$J$8,2,FALSE),0),
IF(AX579="K",VLOOKUP(L579,Foundation_Calc!$K$41:$R$74,VLOOKUP(AW579,Foundation_Calc!$I$2:$J$8,2,FALSE),0),"")))</f>
        <v/>
      </c>
      <c r="AZ579" s="631" t="str">
        <f>IF(K579="","",
IF(AX579="PT",VLOOKUP(K579,Foundation_Calc!$K$4:$R$37,VLOOKUP(AW579,Foundation_Calc!$I$2:$J$8,2,FALSE),0),
IF(AX579="K",VLOOKUP(K579,Foundation_Calc!$K$41:$R$74,VLOOKUP(AW579,Foundation_Calc!$I$2:$J$8,2,FALSE),0),"")))</f>
        <v/>
      </c>
      <c r="BA579" s="632" t="str">
        <f t="shared" si="36"/>
        <v/>
      </c>
      <c r="BB579" s="632" t="str">
        <f t="shared" si="37"/>
        <v/>
      </c>
      <c r="BC579" s="632" t="str">
        <f t="shared" si="38"/>
        <v/>
      </c>
      <c r="BD579" s="633" t="str">
        <f>IF(AND(L579="",H579=""),"",
IF(H579="",Pole_Calc!A607,
IF(H579="MP",Pole_Calc!A608,
IF(H579="AnMP",Pole_Calc!A609,
IF(H579="A",Pole_Calc!A610,
IF(H579="S/A",Pole_Calc!A611,
IF(H579="A/S",Pole_Calc!A612,"Poner a mano")))))))</f>
        <v/>
      </c>
      <c r="BE579" s="448" t="s">
        <v>1726</v>
      </c>
      <c r="BF579" s="635"/>
      <c r="BG579" s="635"/>
      <c r="BH579" s="634"/>
      <c r="BI579" s="635"/>
    </row>
    <row r="580" spans="1:61" ht="16.2" customHeight="1">
      <c r="A580" s="12"/>
      <c r="B580" s="446"/>
      <c r="C580" s="89"/>
      <c r="D580" s="13"/>
      <c r="E580" s="14"/>
      <c r="F580" s="14"/>
      <c r="G580" s="15"/>
      <c r="H580" s="8"/>
      <c r="I580" s="8"/>
      <c r="J580" s="89"/>
      <c r="K580" s="8"/>
      <c r="L580" s="8"/>
      <c r="M580" s="8" t="str">
        <f>IF(L580="","",
IF(AX580="PT",VLOOKUP(L580,Foundation_Calc!$V$4:$X$37,VLOOKUP(AX580,Foundation_Calc!$I$10:$J$13,2,FALSE),0),
IF(AX580="K",VLOOKUP(L580,Foundation_Calc!$V$41:$X$74,VLOOKUP(AX580,Foundation_Calc!$I$10:$J$13,2,FALSE),0),"")))</f>
        <v/>
      </c>
      <c r="N580" s="8"/>
      <c r="O580" s="8"/>
      <c r="P580" s="8"/>
      <c r="Q580" s="14"/>
      <c r="R580" s="15"/>
      <c r="S580" s="15"/>
      <c r="T580" s="14"/>
      <c r="U580" s="14"/>
      <c r="V580" s="14"/>
      <c r="W580" s="18"/>
      <c r="X580" s="18"/>
      <c r="Y580" s="18"/>
      <c r="Z580" s="18"/>
      <c r="AA580" s="18"/>
      <c r="AB580" s="18"/>
      <c r="AC580" s="8" t="str">
        <f t="shared" si="35"/>
        <v/>
      </c>
      <c r="AD580" s="8"/>
      <c r="AE580" s="8"/>
      <c r="AF580" s="14"/>
      <c r="AG580" s="13"/>
      <c r="AH580" s="14"/>
      <c r="AI580" s="14"/>
      <c r="AJ580" s="8"/>
      <c r="AK580" s="8"/>
      <c r="AL580" s="8"/>
      <c r="AM580" s="8"/>
      <c r="AN580" s="631"/>
      <c r="AO580" s="18"/>
      <c r="AP580" s="18"/>
      <c r="AQ580" s="18"/>
      <c r="AR580" s="18"/>
      <c r="AS580" s="18"/>
      <c r="AU580" s="448"/>
      <c r="AV580" s="448"/>
      <c r="AW580" s="8" t="str">
        <f>IF(C580&gt;0,VLOOKUP(C580,Foundation_Calc!$A$2:$C$986,3,1),
IF(J580&gt;0,VLOOKUP(J580,Foundation_Calc!$A$2:$C$986,3,1),""))</f>
        <v/>
      </c>
      <c r="AX580" s="8" t="str">
        <f>IF(C580&gt;0,VLOOKUP(C580,Foundation_Calc!$E$2:$G$986,3,1),
IF(J580&gt;0,VLOOKUP(J580,Foundation_Calc!$E$2:$G$986,3,1),""))</f>
        <v/>
      </c>
      <c r="AY580" s="631" t="str">
        <f>IF(L580="","",
IF(AX580="PT",VLOOKUP(L580,Foundation_Calc!$K$4:$R$37,VLOOKUP(AW580,Foundation_Calc!$I$2:$J$8,2,FALSE),0),
IF(AX580="K",VLOOKUP(L580,Foundation_Calc!$K$41:$R$74,VLOOKUP(AW580,Foundation_Calc!$I$2:$J$8,2,FALSE),0),"")))</f>
        <v/>
      </c>
      <c r="AZ580" s="631" t="str">
        <f>IF(K580="","",
IF(AX580="PT",VLOOKUP(K580,Foundation_Calc!$K$4:$R$37,VLOOKUP(AW580,Foundation_Calc!$I$2:$J$8,2,FALSE),0),
IF(AX580="K",VLOOKUP(K580,Foundation_Calc!$K$41:$R$74,VLOOKUP(AW580,Foundation_Calc!$I$2:$J$8,2,FALSE),0),"")))</f>
        <v/>
      </c>
      <c r="BA580" s="632" t="str">
        <f t="shared" si="36"/>
        <v/>
      </c>
      <c r="BB580" s="632" t="str">
        <f t="shared" si="37"/>
        <v/>
      </c>
      <c r="BC580" s="632" t="str">
        <f t="shared" si="38"/>
        <v/>
      </c>
      <c r="BD580" s="633" t="str">
        <f>IF(AND(L580="",H580=""),"",
IF(H580="",Pole_Calc!A608,
IF(H580="MP",Pole_Calc!A609,
IF(H580="AnMP",Pole_Calc!A610,
IF(H580="A",Pole_Calc!A611,
IF(H580="S/A",Pole_Calc!A612,
IF(H580="A/S",Pole_Calc!A613,"Poner a mano")))))))</f>
        <v/>
      </c>
      <c r="BE580" s="448" t="s">
        <v>1726</v>
      </c>
      <c r="BF580" s="634"/>
      <c r="BG580" s="634"/>
      <c r="BH580" s="634"/>
      <c r="BI580" s="634"/>
    </row>
    <row r="581" spans="1:61" ht="16.2" customHeight="1">
      <c r="A581" s="12"/>
      <c r="B581" s="446"/>
      <c r="C581" s="89"/>
      <c r="D581" s="13"/>
      <c r="E581" s="14"/>
      <c r="F581" s="14"/>
      <c r="G581" s="15"/>
      <c r="H581" s="8"/>
      <c r="I581" s="8"/>
      <c r="J581" s="89"/>
      <c r="K581" s="8"/>
      <c r="L581" s="8"/>
      <c r="M581" s="8" t="str">
        <f>IF(L581="","",
IF(AX581="PT",VLOOKUP(L581,Foundation_Calc!$V$4:$X$37,VLOOKUP(AX581,Foundation_Calc!$I$10:$J$13,2,FALSE),0),
IF(AX581="K",VLOOKUP(L581,Foundation_Calc!$V$41:$X$74,VLOOKUP(AX581,Foundation_Calc!$I$10:$J$13,2,FALSE),0),"")))</f>
        <v/>
      </c>
      <c r="N581" s="8"/>
      <c r="O581" s="8"/>
      <c r="P581" s="8"/>
      <c r="Q581" s="14"/>
      <c r="R581" s="15"/>
      <c r="S581" s="15"/>
      <c r="T581" s="14"/>
      <c r="U581" s="14"/>
      <c r="V581" s="14"/>
      <c r="W581" s="18"/>
      <c r="X581" s="18"/>
      <c r="Y581" s="18"/>
      <c r="Z581" s="18"/>
      <c r="AA581" s="18"/>
      <c r="AB581" s="18"/>
      <c r="AC581" s="8" t="str">
        <f t="shared" si="35"/>
        <v/>
      </c>
      <c r="AD581" s="8"/>
      <c r="AE581" s="8"/>
      <c r="AF581" s="14"/>
      <c r="AG581" s="13"/>
      <c r="AH581" s="14"/>
      <c r="AI581" s="14"/>
      <c r="AJ581" s="8"/>
      <c r="AK581" s="8"/>
      <c r="AL581" s="8"/>
      <c r="AM581" s="8"/>
      <c r="AN581" s="631"/>
      <c r="AO581" s="18"/>
      <c r="AP581" s="18"/>
      <c r="AQ581" s="18"/>
      <c r="AR581" s="18"/>
      <c r="AS581" s="18"/>
      <c r="AU581" s="448"/>
      <c r="AV581" s="448"/>
      <c r="AW581" s="8" t="str">
        <f>IF(C581&gt;0,VLOOKUP(C581,Foundation_Calc!$A$2:$C$986,3,1),
IF(J581&gt;0,VLOOKUP(J581,Foundation_Calc!$A$2:$C$986,3,1),""))</f>
        <v/>
      </c>
      <c r="AX581" s="8" t="str">
        <f>IF(C581&gt;0,VLOOKUP(C581,Foundation_Calc!$E$2:$G$986,3,1),
IF(J581&gt;0,VLOOKUP(J581,Foundation_Calc!$E$2:$G$986,3,1),""))</f>
        <v/>
      </c>
      <c r="AY581" s="631" t="str">
        <f>IF(L581="","",
IF(AX581="PT",VLOOKUP(L581,Foundation_Calc!$K$4:$R$37,VLOOKUP(AW581,Foundation_Calc!$I$2:$J$8,2,FALSE),0),
IF(AX581="K",VLOOKUP(L581,Foundation_Calc!$K$41:$R$74,VLOOKUP(AW581,Foundation_Calc!$I$2:$J$8,2,FALSE),0),"")))</f>
        <v/>
      </c>
      <c r="AZ581" s="631" t="str">
        <f>IF(K581="","",
IF(AX581="PT",VLOOKUP(K581,Foundation_Calc!$K$4:$R$37,VLOOKUP(AW581,Foundation_Calc!$I$2:$J$8,2,FALSE),0),
IF(AX581="K",VLOOKUP(K581,Foundation_Calc!$K$41:$R$74,VLOOKUP(AW581,Foundation_Calc!$I$2:$J$8,2,FALSE),0),"")))</f>
        <v/>
      </c>
      <c r="BA581" s="632" t="str">
        <f t="shared" si="36"/>
        <v/>
      </c>
      <c r="BB581" s="632" t="str">
        <f t="shared" si="37"/>
        <v/>
      </c>
      <c r="BC581" s="632" t="str">
        <f t="shared" si="38"/>
        <v/>
      </c>
      <c r="BD581" s="633" t="str">
        <f>IF(AND(L581="",H581=""),"",
IF(H581="",Pole_Calc!A609,
IF(H581="MP",Pole_Calc!A610,
IF(H581="AnMP",Pole_Calc!A611,
IF(H581="A",Pole_Calc!A612,
IF(H581="S/A",Pole_Calc!A613,
IF(H581="A/S",Pole_Calc!A614,"Poner a mano")))))))</f>
        <v/>
      </c>
      <c r="BE581" s="448" t="s">
        <v>1726</v>
      </c>
      <c r="BF581" s="635"/>
      <c r="BG581" s="635"/>
      <c r="BH581" s="634"/>
      <c r="BI581" s="635"/>
    </row>
    <row r="582" spans="1:61" ht="16.2" customHeight="1">
      <c r="A582" s="12"/>
      <c r="B582" s="446"/>
      <c r="C582" s="89"/>
      <c r="D582" s="13"/>
      <c r="E582" s="14"/>
      <c r="F582" s="14"/>
      <c r="G582" s="15"/>
      <c r="H582" s="8"/>
      <c r="I582" s="8"/>
      <c r="J582" s="89"/>
      <c r="K582" s="8"/>
      <c r="L582" s="8"/>
      <c r="M582" s="8" t="str">
        <f>IF(L582="","",
IF(AX582="PT",VLOOKUP(L582,Foundation_Calc!$V$4:$X$37,VLOOKUP(AX582,Foundation_Calc!$I$10:$J$13,2,FALSE),0),
IF(AX582="K",VLOOKUP(L582,Foundation_Calc!$V$41:$X$74,VLOOKUP(AX582,Foundation_Calc!$I$10:$J$13,2,FALSE),0),"")))</f>
        <v/>
      </c>
      <c r="N582" s="8"/>
      <c r="O582" s="8"/>
      <c r="P582" s="8"/>
      <c r="Q582" s="14"/>
      <c r="R582" s="15"/>
      <c r="S582" s="15"/>
      <c r="T582" s="14"/>
      <c r="U582" s="14"/>
      <c r="V582" s="14"/>
      <c r="W582" s="18"/>
      <c r="X582" s="18"/>
      <c r="Y582" s="18"/>
      <c r="Z582" s="18"/>
      <c r="AA582" s="18"/>
      <c r="AB582" s="18"/>
      <c r="AC582" s="8" t="str">
        <f t="shared" ref="AC582:AC645" si="39">IF(OR(AT582&gt;8,AT582&lt;-8),"PH",
IF(OR(AT582&gt;5,AT582&lt;-5),"PHQ",
IF(OR(AT582&gt;1,AT582&lt;-1),
"PHC","")))</f>
        <v/>
      </c>
      <c r="AD582" s="8"/>
      <c r="AE582" s="8"/>
      <c r="AF582" s="14"/>
      <c r="AG582" s="13"/>
      <c r="AH582" s="14"/>
      <c r="AI582" s="14"/>
      <c r="AJ582" s="8"/>
      <c r="AK582" s="8"/>
      <c r="AL582" s="8"/>
      <c r="AM582" s="8"/>
      <c r="AN582" s="631"/>
      <c r="AO582" s="18"/>
      <c r="AP582" s="18"/>
      <c r="AQ582" s="18"/>
      <c r="AR582" s="18"/>
      <c r="AS582" s="18"/>
      <c r="AU582" s="448"/>
      <c r="AV582" s="448"/>
      <c r="AW582" s="8" t="str">
        <f>IF(C582&gt;0,VLOOKUP(C582,Foundation_Calc!$A$2:$C$986,3,1),
IF(J582&gt;0,VLOOKUP(J582,Foundation_Calc!$A$2:$C$986,3,1),""))</f>
        <v/>
      </c>
      <c r="AX582" s="8" t="str">
        <f>IF(C582&gt;0,VLOOKUP(C582,Foundation_Calc!$E$2:$G$986,3,1),
IF(J582&gt;0,VLOOKUP(J582,Foundation_Calc!$E$2:$G$986,3,1),""))</f>
        <v/>
      </c>
      <c r="AY582" s="631" t="str">
        <f>IF(L582="","",
IF(AX582="PT",VLOOKUP(L582,Foundation_Calc!$K$4:$R$37,VLOOKUP(AW582,Foundation_Calc!$I$2:$J$8,2,FALSE),0),
IF(AX582="K",VLOOKUP(L582,Foundation_Calc!$K$41:$R$74,VLOOKUP(AW582,Foundation_Calc!$I$2:$J$8,2,FALSE),0),"")))</f>
        <v/>
      </c>
      <c r="AZ582" s="631" t="str">
        <f>IF(K582="","",
IF(AX582="PT",VLOOKUP(K582,Foundation_Calc!$K$4:$R$37,VLOOKUP(AW582,Foundation_Calc!$I$2:$J$8,2,FALSE),0),
IF(AX582="K",VLOOKUP(K582,Foundation_Calc!$K$41:$R$74,VLOOKUP(AW582,Foundation_Calc!$I$2:$J$8,2,FALSE),0),"")))</f>
        <v/>
      </c>
      <c r="BA582" s="632" t="str">
        <f t="shared" ref="BA582:BA645" si="40">IF(AY582="","",IF(AY582&gt;0,"ü",""))</f>
        <v/>
      </c>
      <c r="BB582" s="632" t="str">
        <f t="shared" ref="BB582:BB645" si="41">IF(AZ582="","",IF(AZ582&gt;0,"ü",""))</f>
        <v/>
      </c>
      <c r="BC582" s="632" t="str">
        <f t="shared" ref="BC582:BC645" si="42">IF(M582="","",IF(M582="Unique Solution","ü",""))</f>
        <v/>
      </c>
      <c r="BD582" s="633" t="str">
        <f>IF(AND(L582="",H582=""),"",
IF(H582="",Pole_Calc!A610,
IF(H582="MP",Pole_Calc!A611,
IF(H582="AnMP",Pole_Calc!A612,
IF(H582="A",Pole_Calc!A613,
IF(H582="S/A",Pole_Calc!A614,
IF(H582="A/S",Pole_Calc!A615,"Poner a mano")))))))</f>
        <v/>
      </c>
      <c r="BE582" s="448" t="s">
        <v>1726</v>
      </c>
      <c r="BF582" s="634"/>
      <c r="BG582" s="634"/>
      <c r="BH582" s="634"/>
      <c r="BI582" s="634"/>
    </row>
    <row r="583" spans="1:61" ht="16.2" customHeight="1">
      <c r="A583" s="12"/>
      <c r="B583" s="446"/>
      <c r="C583" s="89"/>
      <c r="D583" s="13"/>
      <c r="E583" s="14"/>
      <c r="F583" s="14"/>
      <c r="G583" s="15"/>
      <c r="H583" s="8"/>
      <c r="I583" s="8"/>
      <c r="J583" s="89"/>
      <c r="K583" s="8"/>
      <c r="L583" s="8"/>
      <c r="M583" s="8" t="str">
        <f>IF(L583="","",
IF(AX583="PT",VLOOKUP(L583,Foundation_Calc!$V$4:$X$37,VLOOKUP(AX583,Foundation_Calc!$I$10:$J$13,2,FALSE),0),
IF(AX583="K",VLOOKUP(L583,Foundation_Calc!$V$41:$X$74,VLOOKUP(AX583,Foundation_Calc!$I$10:$J$13,2,FALSE),0),"")))</f>
        <v/>
      </c>
      <c r="N583" s="8"/>
      <c r="O583" s="8"/>
      <c r="P583" s="8"/>
      <c r="Q583" s="14"/>
      <c r="R583" s="15"/>
      <c r="S583" s="15"/>
      <c r="T583" s="14"/>
      <c r="U583" s="14"/>
      <c r="V583" s="14"/>
      <c r="W583" s="18"/>
      <c r="X583" s="18"/>
      <c r="Y583" s="18"/>
      <c r="Z583" s="18"/>
      <c r="AA583" s="18"/>
      <c r="AB583" s="18"/>
      <c r="AC583" s="8" t="str">
        <f t="shared" si="39"/>
        <v/>
      </c>
      <c r="AD583" s="8"/>
      <c r="AE583" s="8"/>
      <c r="AF583" s="14"/>
      <c r="AG583" s="13"/>
      <c r="AH583" s="14"/>
      <c r="AI583" s="14"/>
      <c r="AJ583" s="8"/>
      <c r="AK583" s="8"/>
      <c r="AL583" s="8"/>
      <c r="AM583" s="8"/>
      <c r="AN583" s="631"/>
      <c r="AO583" s="18"/>
      <c r="AP583" s="18"/>
      <c r="AQ583" s="18"/>
      <c r="AR583" s="18"/>
      <c r="AS583" s="18"/>
      <c r="AU583" s="448"/>
      <c r="AV583" s="448"/>
      <c r="AW583" s="8" t="str">
        <f>IF(C583&gt;0,VLOOKUP(C583,Foundation_Calc!$A$2:$C$986,3,1),
IF(J583&gt;0,VLOOKUP(J583,Foundation_Calc!$A$2:$C$986,3,1),""))</f>
        <v/>
      </c>
      <c r="AX583" s="8" t="str">
        <f>IF(C583&gt;0,VLOOKUP(C583,Foundation_Calc!$E$2:$G$986,3,1),
IF(J583&gt;0,VLOOKUP(J583,Foundation_Calc!$E$2:$G$986,3,1),""))</f>
        <v/>
      </c>
      <c r="AY583" s="631" t="str">
        <f>IF(L583="","",
IF(AX583="PT",VLOOKUP(L583,Foundation_Calc!$K$4:$R$37,VLOOKUP(AW583,Foundation_Calc!$I$2:$J$8,2,FALSE),0),
IF(AX583="K",VLOOKUP(L583,Foundation_Calc!$K$41:$R$74,VLOOKUP(AW583,Foundation_Calc!$I$2:$J$8,2,FALSE),0),"")))</f>
        <v/>
      </c>
      <c r="AZ583" s="631" t="str">
        <f>IF(K583="","",
IF(AX583="PT",VLOOKUP(K583,Foundation_Calc!$K$4:$R$37,VLOOKUP(AW583,Foundation_Calc!$I$2:$J$8,2,FALSE),0),
IF(AX583="K",VLOOKUP(K583,Foundation_Calc!$K$41:$R$74,VLOOKUP(AW583,Foundation_Calc!$I$2:$J$8,2,FALSE),0),"")))</f>
        <v/>
      </c>
      <c r="BA583" s="632" t="str">
        <f t="shared" si="40"/>
        <v/>
      </c>
      <c r="BB583" s="632" t="str">
        <f t="shared" si="41"/>
        <v/>
      </c>
      <c r="BC583" s="632" t="str">
        <f t="shared" si="42"/>
        <v/>
      </c>
      <c r="BD583" s="633" t="str">
        <f>IF(AND(L583="",H583=""),"",
IF(H583="",Pole_Calc!A611,
IF(H583="MP",Pole_Calc!A612,
IF(H583="AnMP",Pole_Calc!A613,
IF(H583="A",Pole_Calc!A614,
IF(H583="S/A",Pole_Calc!A615,
IF(H583="A/S",Pole_Calc!A616,"Poner a mano")))))))</f>
        <v/>
      </c>
      <c r="BE583" s="448" t="s">
        <v>1726</v>
      </c>
      <c r="BF583" s="635"/>
      <c r="BG583" s="635"/>
      <c r="BH583" s="634"/>
      <c r="BI583" s="635"/>
    </row>
    <row r="584" spans="1:61" ht="16.2" customHeight="1">
      <c r="A584" s="12"/>
      <c r="B584" s="446"/>
      <c r="C584" s="89"/>
      <c r="D584" s="13"/>
      <c r="E584" s="14"/>
      <c r="F584" s="14"/>
      <c r="G584" s="15"/>
      <c r="H584" s="8"/>
      <c r="I584" s="8"/>
      <c r="J584" s="89"/>
      <c r="K584" s="8"/>
      <c r="L584" s="8"/>
      <c r="M584" s="8" t="str">
        <f>IF(L584="","",
IF(AX584="PT",VLOOKUP(L584,Foundation_Calc!$V$4:$X$37,VLOOKUP(AX584,Foundation_Calc!$I$10:$J$13,2,FALSE),0),
IF(AX584="K",VLOOKUP(L584,Foundation_Calc!$V$41:$X$74,VLOOKUP(AX584,Foundation_Calc!$I$10:$J$13,2,FALSE),0),"")))</f>
        <v/>
      </c>
      <c r="N584" s="8"/>
      <c r="O584" s="8"/>
      <c r="P584" s="8"/>
      <c r="Q584" s="14"/>
      <c r="R584" s="15"/>
      <c r="S584" s="15"/>
      <c r="T584" s="14"/>
      <c r="U584" s="14"/>
      <c r="V584" s="14"/>
      <c r="W584" s="18"/>
      <c r="X584" s="18"/>
      <c r="Y584" s="18"/>
      <c r="Z584" s="18"/>
      <c r="AA584" s="18"/>
      <c r="AB584" s="18"/>
      <c r="AC584" s="8" t="str">
        <f t="shared" si="39"/>
        <v/>
      </c>
      <c r="AD584" s="8"/>
      <c r="AE584" s="8"/>
      <c r="AF584" s="14"/>
      <c r="AG584" s="13"/>
      <c r="AH584" s="14"/>
      <c r="AI584" s="14"/>
      <c r="AJ584" s="8"/>
      <c r="AK584" s="8"/>
      <c r="AL584" s="8"/>
      <c r="AM584" s="8"/>
      <c r="AN584" s="631"/>
      <c r="AO584" s="18"/>
      <c r="AP584" s="18"/>
      <c r="AQ584" s="18"/>
      <c r="AR584" s="18"/>
      <c r="AS584" s="18"/>
      <c r="AU584" s="448"/>
      <c r="AV584" s="448"/>
      <c r="AW584" s="8" t="str">
        <f>IF(C584&gt;0,VLOOKUP(C584,Foundation_Calc!$A$2:$C$986,3,1),
IF(J584&gt;0,VLOOKUP(J584,Foundation_Calc!$A$2:$C$986,3,1),""))</f>
        <v/>
      </c>
      <c r="AX584" s="8" t="str">
        <f>IF(C584&gt;0,VLOOKUP(C584,Foundation_Calc!$E$2:$G$986,3,1),
IF(J584&gt;0,VLOOKUP(J584,Foundation_Calc!$E$2:$G$986,3,1),""))</f>
        <v/>
      </c>
      <c r="AY584" s="631" t="str">
        <f>IF(L584="","",
IF(AX584="PT",VLOOKUP(L584,Foundation_Calc!$K$4:$R$37,VLOOKUP(AW584,Foundation_Calc!$I$2:$J$8,2,FALSE),0),
IF(AX584="K",VLOOKUP(L584,Foundation_Calc!$K$41:$R$74,VLOOKUP(AW584,Foundation_Calc!$I$2:$J$8,2,FALSE),0),"")))</f>
        <v/>
      </c>
      <c r="AZ584" s="631" t="str">
        <f>IF(K584="","",
IF(AX584="PT",VLOOKUP(K584,Foundation_Calc!$K$4:$R$37,VLOOKUP(AW584,Foundation_Calc!$I$2:$J$8,2,FALSE),0),
IF(AX584="K",VLOOKUP(K584,Foundation_Calc!$K$41:$R$74,VLOOKUP(AW584,Foundation_Calc!$I$2:$J$8,2,FALSE),0),"")))</f>
        <v/>
      </c>
      <c r="BA584" s="632" t="str">
        <f t="shared" si="40"/>
        <v/>
      </c>
      <c r="BB584" s="632" t="str">
        <f t="shared" si="41"/>
        <v/>
      </c>
      <c r="BC584" s="632" t="str">
        <f t="shared" si="42"/>
        <v/>
      </c>
      <c r="BD584" s="633" t="str">
        <f>IF(AND(L584="",H584=""),"",
IF(H584="",Pole_Calc!A612,
IF(H584="MP",Pole_Calc!A613,
IF(H584="AnMP",Pole_Calc!A614,
IF(H584="A",Pole_Calc!A615,
IF(H584="S/A",Pole_Calc!A616,
IF(H584="A/S",Pole_Calc!A617,"Poner a mano")))))))</f>
        <v/>
      </c>
      <c r="BE584" s="448" t="s">
        <v>1726</v>
      </c>
      <c r="BF584" s="634"/>
      <c r="BG584" s="634"/>
      <c r="BH584" s="634"/>
      <c r="BI584" s="634"/>
    </row>
    <row r="585" spans="1:61" ht="16.2" customHeight="1">
      <c r="A585" s="12"/>
      <c r="B585" s="446"/>
      <c r="C585" s="89"/>
      <c r="D585" s="13"/>
      <c r="E585" s="14"/>
      <c r="F585" s="14"/>
      <c r="G585" s="15"/>
      <c r="H585" s="8"/>
      <c r="I585" s="8"/>
      <c r="J585" s="89"/>
      <c r="K585" s="8"/>
      <c r="L585" s="8"/>
      <c r="M585" s="8" t="str">
        <f>IF(L585="","",
IF(AX585="PT",VLOOKUP(L585,Foundation_Calc!$V$4:$X$37,VLOOKUP(AX585,Foundation_Calc!$I$10:$J$13,2,FALSE),0),
IF(AX585="K",VLOOKUP(L585,Foundation_Calc!$V$41:$X$74,VLOOKUP(AX585,Foundation_Calc!$I$10:$J$13,2,FALSE),0),"")))</f>
        <v/>
      </c>
      <c r="N585" s="8"/>
      <c r="O585" s="8"/>
      <c r="P585" s="8"/>
      <c r="Q585" s="14"/>
      <c r="R585" s="15"/>
      <c r="S585" s="15"/>
      <c r="T585" s="14"/>
      <c r="U585" s="14"/>
      <c r="V585" s="14"/>
      <c r="W585" s="18"/>
      <c r="X585" s="18"/>
      <c r="Y585" s="18"/>
      <c r="Z585" s="18"/>
      <c r="AA585" s="18"/>
      <c r="AB585" s="18"/>
      <c r="AC585" s="8" t="str">
        <f t="shared" si="39"/>
        <v/>
      </c>
      <c r="AD585" s="8"/>
      <c r="AE585" s="8"/>
      <c r="AF585" s="14"/>
      <c r="AG585" s="13"/>
      <c r="AH585" s="14"/>
      <c r="AI585" s="14"/>
      <c r="AJ585" s="8"/>
      <c r="AK585" s="8"/>
      <c r="AL585" s="8"/>
      <c r="AM585" s="8"/>
      <c r="AN585" s="631"/>
      <c r="AO585" s="18"/>
      <c r="AP585" s="18"/>
      <c r="AQ585" s="18"/>
      <c r="AR585" s="18"/>
      <c r="AS585" s="18"/>
      <c r="AU585" s="448"/>
      <c r="AV585" s="448"/>
      <c r="AW585" s="8" t="str">
        <f>IF(C585&gt;0,VLOOKUP(C585,Foundation_Calc!$A$2:$C$986,3,1),
IF(J585&gt;0,VLOOKUP(J585,Foundation_Calc!$A$2:$C$986,3,1),""))</f>
        <v/>
      </c>
      <c r="AX585" s="8" t="str">
        <f>IF(C585&gt;0,VLOOKUP(C585,Foundation_Calc!$E$2:$G$986,3,1),
IF(J585&gt;0,VLOOKUP(J585,Foundation_Calc!$E$2:$G$986,3,1),""))</f>
        <v/>
      </c>
      <c r="AY585" s="631" t="str">
        <f>IF(L585="","",
IF(AX585="PT",VLOOKUP(L585,Foundation_Calc!$K$4:$R$37,VLOOKUP(AW585,Foundation_Calc!$I$2:$J$8,2,FALSE),0),
IF(AX585="K",VLOOKUP(L585,Foundation_Calc!$K$41:$R$74,VLOOKUP(AW585,Foundation_Calc!$I$2:$J$8,2,FALSE),0),"")))</f>
        <v/>
      </c>
      <c r="AZ585" s="631" t="str">
        <f>IF(K585="","",
IF(AX585="PT",VLOOKUP(K585,Foundation_Calc!$K$4:$R$37,VLOOKUP(AW585,Foundation_Calc!$I$2:$J$8,2,FALSE),0),
IF(AX585="K",VLOOKUP(K585,Foundation_Calc!$K$41:$R$74,VLOOKUP(AW585,Foundation_Calc!$I$2:$J$8,2,FALSE),0),"")))</f>
        <v/>
      </c>
      <c r="BA585" s="632" t="str">
        <f t="shared" si="40"/>
        <v/>
      </c>
      <c r="BB585" s="632" t="str">
        <f t="shared" si="41"/>
        <v/>
      </c>
      <c r="BC585" s="632" t="str">
        <f t="shared" si="42"/>
        <v/>
      </c>
      <c r="BD585" s="633" t="str">
        <f>IF(AND(L585="",H585=""),"",
IF(H585="",Pole_Calc!A613,
IF(H585="MP",Pole_Calc!A614,
IF(H585="AnMP",Pole_Calc!A615,
IF(H585="A",Pole_Calc!A616,
IF(H585="S/A",Pole_Calc!A617,
IF(H585="A/S",Pole_Calc!A618,"Poner a mano")))))))</f>
        <v/>
      </c>
      <c r="BE585" s="448" t="s">
        <v>1726</v>
      </c>
      <c r="BF585" s="635"/>
      <c r="BG585" s="635"/>
      <c r="BH585" s="634"/>
      <c r="BI585" s="635"/>
    </row>
    <row r="586" spans="1:61" ht="16.2" customHeight="1">
      <c r="A586" s="12"/>
      <c r="B586" s="446"/>
      <c r="C586" s="89"/>
      <c r="D586" s="13"/>
      <c r="E586" s="14"/>
      <c r="F586" s="14"/>
      <c r="G586" s="15"/>
      <c r="H586" s="8"/>
      <c r="I586" s="8"/>
      <c r="J586" s="89"/>
      <c r="K586" s="8"/>
      <c r="L586" s="8"/>
      <c r="M586" s="8" t="str">
        <f>IF(L586="","",
IF(AX586="PT",VLOOKUP(L586,Foundation_Calc!$V$4:$X$37,VLOOKUP(AX586,Foundation_Calc!$I$10:$J$13,2,FALSE),0),
IF(AX586="K",VLOOKUP(L586,Foundation_Calc!$V$41:$X$74,VLOOKUP(AX586,Foundation_Calc!$I$10:$J$13,2,FALSE),0),"")))</f>
        <v/>
      </c>
      <c r="N586" s="8"/>
      <c r="O586" s="8"/>
      <c r="P586" s="8"/>
      <c r="Q586" s="14"/>
      <c r="R586" s="15"/>
      <c r="S586" s="15"/>
      <c r="T586" s="14"/>
      <c r="U586" s="14"/>
      <c r="V586" s="14"/>
      <c r="W586" s="18"/>
      <c r="X586" s="18"/>
      <c r="Y586" s="18"/>
      <c r="Z586" s="18"/>
      <c r="AA586" s="18"/>
      <c r="AB586" s="18"/>
      <c r="AC586" s="8" t="str">
        <f t="shared" si="39"/>
        <v/>
      </c>
      <c r="AD586" s="8"/>
      <c r="AE586" s="8"/>
      <c r="AF586" s="14"/>
      <c r="AG586" s="13"/>
      <c r="AH586" s="14"/>
      <c r="AI586" s="14"/>
      <c r="AJ586" s="8"/>
      <c r="AK586" s="8"/>
      <c r="AL586" s="8"/>
      <c r="AM586" s="8"/>
      <c r="AN586" s="631"/>
      <c r="AO586" s="18"/>
      <c r="AP586" s="18"/>
      <c r="AQ586" s="18"/>
      <c r="AR586" s="18"/>
      <c r="AS586" s="18"/>
      <c r="AU586" s="448"/>
      <c r="AV586" s="448"/>
      <c r="AW586" s="8" t="str">
        <f>IF(C586&gt;0,VLOOKUP(C586,Foundation_Calc!$A$2:$C$986,3,1),
IF(J586&gt;0,VLOOKUP(J586,Foundation_Calc!$A$2:$C$986,3,1),""))</f>
        <v/>
      </c>
      <c r="AX586" s="8" t="str">
        <f>IF(C586&gt;0,VLOOKUP(C586,Foundation_Calc!$E$2:$G$986,3,1),
IF(J586&gt;0,VLOOKUP(J586,Foundation_Calc!$E$2:$G$986,3,1),""))</f>
        <v/>
      </c>
      <c r="AY586" s="631" t="str">
        <f>IF(L586="","",
IF(AX586="PT",VLOOKUP(L586,Foundation_Calc!$K$4:$R$37,VLOOKUP(AW586,Foundation_Calc!$I$2:$J$8,2,FALSE),0),
IF(AX586="K",VLOOKUP(L586,Foundation_Calc!$K$41:$R$74,VLOOKUP(AW586,Foundation_Calc!$I$2:$J$8,2,FALSE),0),"")))</f>
        <v/>
      </c>
      <c r="AZ586" s="631" t="str">
        <f>IF(K586="","",
IF(AX586="PT",VLOOKUP(K586,Foundation_Calc!$K$4:$R$37,VLOOKUP(AW586,Foundation_Calc!$I$2:$J$8,2,FALSE),0),
IF(AX586="K",VLOOKUP(K586,Foundation_Calc!$K$41:$R$74,VLOOKUP(AW586,Foundation_Calc!$I$2:$J$8,2,FALSE),0),"")))</f>
        <v/>
      </c>
      <c r="BA586" s="632" t="str">
        <f t="shared" si="40"/>
        <v/>
      </c>
      <c r="BB586" s="632" t="str">
        <f t="shared" si="41"/>
        <v/>
      </c>
      <c r="BC586" s="632" t="str">
        <f t="shared" si="42"/>
        <v/>
      </c>
      <c r="BD586" s="633" t="str">
        <f>IF(AND(L586="",H586=""),"",
IF(H586="",Pole_Calc!A614,
IF(H586="MP",Pole_Calc!A615,
IF(H586="AnMP",Pole_Calc!A616,
IF(H586="A",Pole_Calc!A617,
IF(H586="S/A",Pole_Calc!A618,
IF(H586="A/S",Pole_Calc!A619,"Poner a mano")))))))</f>
        <v/>
      </c>
      <c r="BE586" s="448" t="s">
        <v>1726</v>
      </c>
      <c r="BF586" s="634"/>
      <c r="BG586" s="634"/>
      <c r="BH586" s="634"/>
      <c r="BI586" s="634"/>
    </row>
    <row r="587" spans="1:61" ht="16.2" customHeight="1">
      <c r="A587" s="12"/>
      <c r="B587" s="446"/>
      <c r="C587" s="89"/>
      <c r="D587" s="13"/>
      <c r="E587" s="14"/>
      <c r="F587" s="14"/>
      <c r="G587" s="15"/>
      <c r="H587" s="8"/>
      <c r="I587" s="8"/>
      <c r="J587" s="89"/>
      <c r="K587" s="8"/>
      <c r="L587" s="8"/>
      <c r="M587" s="8" t="str">
        <f>IF(L587="","",
IF(AX587="PT",VLOOKUP(L587,Foundation_Calc!$V$4:$X$37,VLOOKUP(AX587,Foundation_Calc!$I$10:$J$13,2,FALSE),0),
IF(AX587="K",VLOOKUP(L587,Foundation_Calc!$V$41:$X$74,VLOOKUP(AX587,Foundation_Calc!$I$10:$J$13,2,FALSE),0),"")))</f>
        <v/>
      </c>
      <c r="N587" s="8"/>
      <c r="O587" s="8"/>
      <c r="P587" s="8"/>
      <c r="Q587" s="14"/>
      <c r="R587" s="15"/>
      <c r="S587" s="15"/>
      <c r="T587" s="14"/>
      <c r="U587" s="14"/>
      <c r="V587" s="14"/>
      <c r="W587" s="18"/>
      <c r="X587" s="18"/>
      <c r="Y587" s="18"/>
      <c r="Z587" s="18"/>
      <c r="AA587" s="18"/>
      <c r="AB587" s="18"/>
      <c r="AC587" s="8" t="str">
        <f t="shared" si="39"/>
        <v/>
      </c>
      <c r="AD587" s="8"/>
      <c r="AE587" s="8"/>
      <c r="AF587" s="14"/>
      <c r="AG587" s="13"/>
      <c r="AH587" s="14"/>
      <c r="AI587" s="14"/>
      <c r="AJ587" s="8"/>
      <c r="AK587" s="8"/>
      <c r="AL587" s="8"/>
      <c r="AM587" s="8"/>
      <c r="AN587" s="631"/>
      <c r="AO587" s="18"/>
      <c r="AP587" s="18"/>
      <c r="AQ587" s="18"/>
      <c r="AR587" s="18"/>
      <c r="AS587" s="18"/>
      <c r="AU587" s="448"/>
      <c r="AV587" s="448"/>
      <c r="AW587" s="8" t="str">
        <f>IF(C587&gt;0,VLOOKUP(C587,Foundation_Calc!$A$2:$C$986,3,1),
IF(J587&gt;0,VLOOKUP(J587,Foundation_Calc!$A$2:$C$986,3,1),""))</f>
        <v/>
      </c>
      <c r="AX587" s="8" t="str">
        <f>IF(C587&gt;0,VLOOKUP(C587,Foundation_Calc!$E$2:$G$986,3,1),
IF(J587&gt;0,VLOOKUP(J587,Foundation_Calc!$E$2:$G$986,3,1),""))</f>
        <v/>
      </c>
      <c r="AY587" s="631" t="str">
        <f>IF(L587="","",
IF(AX587="PT",VLOOKUP(L587,Foundation_Calc!$K$4:$R$37,VLOOKUP(AW587,Foundation_Calc!$I$2:$J$8,2,FALSE),0),
IF(AX587="K",VLOOKUP(L587,Foundation_Calc!$K$41:$R$74,VLOOKUP(AW587,Foundation_Calc!$I$2:$J$8,2,FALSE),0),"")))</f>
        <v/>
      </c>
      <c r="AZ587" s="631" t="str">
        <f>IF(K587="","",
IF(AX587="PT",VLOOKUP(K587,Foundation_Calc!$K$4:$R$37,VLOOKUP(AW587,Foundation_Calc!$I$2:$J$8,2,FALSE),0),
IF(AX587="K",VLOOKUP(K587,Foundation_Calc!$K$41:$R$74,VLOOKUP(AW587,Foundation_Calc!$I$2:$J$8,2,FALSE),0),"")))</f>
        <v/>
      </c>
      <c r="BA587" s="632" t="str">
        <f t="shared" si="40"/>
        <v/>
      </c>
      <c r="BB587" s="632" t="str">
        <f t="shared" si="41"/>
        <v/>
      </c>
      <c r="BC587" s="632" t="str">
        <f t="shared" si="42"/>
        <v/>
      </c>
      <c r="BD587" s="633" t="str">
        <f>IF(AND(L587="",H587=""),"",
IF(H587="",Pole_Calc!A615,
IF(H587="MP",Pole_Calc!A616,
IF(H587="AnMP",Pole_Calc!A617,
IF(H587="A",Pole_Calc!A618,
IF(H587="S/A",Pole_Calc!A619,
IF(H587="A/S",Pole_Calc!A620,"Poner a mano")))))))</f>
        <v/>
      </c>
      <c r="BE587" s="448" t="s">
        <v>1726</v>
      </c>
      <c r="BF587" s="635"/>
      <c r="BG587" s="635"/>
      <c r="BH587" s="634"/>
      <c r="BI587" s="635"/>
    </row>
    <row r="588" spans="1:61" ht="16.2" customHeight="1">
      <c r="A588" s="12"/>
      <c r="B588" s="446"/>
      <c r="C588" s="89"/>
      <c r="D588" s="13"/>
      <c r="E588" s="14"/>
      <c r="F588" s="14"/>
      <c r="G588" s="15"/>
      <c r="H588" s="8"/>
      <c r="I588" s="8"/>
      <c r="J588" s="89"/>
      <c r="K588" s="8"/>
      <c r="L588" s="8"/>
      <c r="M588" s="8" t="str">
        <f>IF(L588="","",
IF(AX588="PT",VLOOKUP(L588,Foundation_Calc!$V$4:$X$37,VLOOKUP(AX588,Foundation_Calc!$I$10:$J$13,2,FALSE),0),
IF(AX588="K",VLOOKUP(L588,Foundation_Calc!$V$41:$X$74,VLOOKUP(AX588,Foundation_Calc!$I$10:$J$13,2,FALSE),0),"")))</f>
        <v/>
      </c>
      <c r="N588" s="8"/>
      <c r="O588" s="8"/>
      <c r="P588" s="8"/>
      <c r="Q588" s="14"/>
      <c r="R588" s="15"/>
      <c r="S588" s="15"/>
      <c r="T588" s="14"/>
      <c r="U588" s="14"/>
      <c r="V588" s="14"/>
      <c r="W588" s="18"/>
      <c r="X588" s="18"/>
      <c r="Y588" s="18"/>
      <c r="Z588" s="18"/>
      <c r="AA588" s="18"/>
      <c r="AB588" s="18"/>
      <c r="AC588" s="8" t="str">
        <f t="shared" si="39"/>
        <v/>
      </c>
      <c r="AD588" s="8"/>
      <c r="AE588" s="8"/>
      <c r="AF588" s="14"/>
      <c r="AG588" s="13"/>
      <c r="AH588" s="14"/>
      <c r="AI588" s="14"/>
      <c r="AJ588" s="8"/>
      <c r="AK588" s="8"/>
      <c r="AL588" s="8"/>
      <c r="AM588" s="8"/>
      <c r="AN588" s="631"/>
      <c r="AO588" s="18"/>
      <c r="AP588" s="18"/>
      <c r="AQ588" s="18"/>
      <c r="AR588" s="18"/>
      <c r="AS588" s="18"/>
      <c r="AU588" s="448"/>
      <c r="AV588" s="448"/>
      <c r="AW588" s="8" t="str">
        <f>IF(C588&gt;0,VLOOKUP(C588,Foundation_Calc!$A$2:$C$986,3,1),
IF(J588&gt;0,VLOOKUP(J588,Foundation_Calc!$A$2:$C$986,3,1),""))</f>
        <v/>
      </c>
      <c r="AX588" s="8" t="str">
        <f>IF(C588&gt;0,VLOOKUP(C588,Foundation_Calc!$E$2:$G$986,3,1),
IF(J588&gt;0,VLOOKUP(J588,Foundation_Calc!$E$2:$G$986,3,1),""))</f>
        <v/>
      </c>
      <c r="AY588" s="631" t="str">
        <f>IF(L588="","",
IF(AX588="PT",VLOOKUP(L588,Foundation_Calc!$K$4:$R$37,VLOOKUP(AW588,Foundation_Calc!$I$2:$J$8,2,FALSE),0),
IF(AX588="K",VLOOKUP(L588,Foundation_Calc!$K$41:$R$74,VLOOKUP(AW588,Foundation_Calc!$I$2:$J$8,2,FALSE),0),"")))</f>
        <v/>
      </c>
      <c r="AZ588" s="631" t="str">
        <f>IF(K588="","",
IF(AX588="PT",VLOOKUP(K588,Foundation_Calc!$K$4:$R$37,VLOOKUP(AW588,Foundation_Calc!$I$2:$J$8,2,FALSE),0),
IF(AX588="K",VLOOKUP(K588,Foundation_Calc!$K$41:$R$74,VLOOKUP(AW588,Foundation_Calc!$I$2:$J$8,2,FALSE),0),"")))</f>
        <v/>
      </c>
      <c r="BA588" s="632" t="str">
        <f t="shared" si="40"/>
        <v/>
      </c>
      <c r="BB588" s="632" t="str">
        <f t="shared" si="41"/>
        <v/>
      </c>
      <c r="BC588" s="632" t="str">
        <f t="shared" si="42"/>
        <v/>
      </c>
      <c r="BD588" s="633" t="str">
        <f>IF(AND(L588="",H588=""),"",
IF(H588="",Pole_Calc!A616,
IF(H588="MP",Pole_Calc!A617,
IF(H588="AnMP",Pole_Calc!A618,
IF(H588="A",Pole_Calc!A619,
IF(H588="S/A",Pole_Calc!A620,
IF(H588="A/S",Pole_Calc!A621,"Poner a mano")))))))</f>
        <v/>
      </c>
      <c r="BE588" s="448" t="s">
        <v>1726</v>
      </c>
      <c r="BF588" s="634"/>
      <c r="BG588" s="634"/>
      <c r="BH588" s="634"/>
      <c r="BI588" s="634"/>
    </row>
    <row r="589" spans="1:61" ht="16.2" customHeight="1">
      <c r="A589" s="12"/>
      <c r="B589" s="446"/>
      <c r="C589" s="89"/>
      <c r="D589" s="13"/>
      <c r="E589" s="14"/>
      <c r="F589" s="14"/>
      <c r="G589" s="15"/>
      <c r="H589" s="8"/>
      <c r="I589" s="8"/>
      <c r="J589" s="89"/>
      <c r="K589" s="8"/>
      <c r="L589" s="8"/>
      <c r="M589" s="8" t="str">
        <f>IF(L589="","",
IF(AX589="PT",VLOOKUP(L589,Foundation_Calc!$V$4:$X$37,VLOOKUP(AX589,Foundation_Calc!$I$10:$J$13,2,FALSE),0),
IF(AX589="K",VLOOKUP(L589,Foundation_Calc!$V$41:$X$74,VLOOKUP(AX589,Foundation_Calc!$I$10:$J$13,2,FALSE),0),"")))</f>
        <v/>
      </c>
      <c r="N589" s="8"/>
      <c r="O589" s="8"/>
      <c r="P589" s="8"/>
      <c r="Q589" s="14"/>
      <c r="R589" s="15"/>
      <c r="S589" s="15"/>
      <c r="T589" s="14"/>
      <c r="U589" s="14"/>
      <c r="V589" s="14"/>
      <c r="W589" s="18"/>
      <c r="X589" s="18"/>
      <c r="Y589" s="18"/>
      <c r="Z589" s="18"/>
      <c r="AA589" s="18"/>
      <c r="AB589" s="18"/>
      <c r="AC589" s="8" t="str">
        <f t="shared" si="39"/>
        <v/>
      </c>
      <c r="AD589" s="8"/>
      <c r="AE589" s="8"/>
      <c r="AF589" s="14"/>
      <c r="AG589" s="13"/>
      <c r="AH589" s="14"/>
      <c r="AI589" s="14"/>
      <c r="AJ589" s="8"/>
      <c r="AK589" s="8"/>
      <c r="AL589" s="8"/>
      <c r="AM589" s="8"/>
      <c r="AN589" s="631"/>
      <c r="AO589" s="18"/>
      <c r="AP589" s="18"/>
      <c r="AQ589" s="18"/>
      <c r="AR589" s="18"/>
      <c r="AS589" s="18"/>
      <c r="AU589" s="448"/>
      <c r="AV589" s="448"/>
      <c r="AW589" s="8" t="str">
        <f>IF(C589&gt;0,VLOOKUP(C589,Foundation_Calc!$A$2:$C$986,3,1),
IF(J589&gt;0,VLOOKUP(J589,Foundation_Calc!$A$2:$C$986,3,1),""))</f>
        <v/>
      </c>
      <c r="AX589" s="8" t="str">
        <f>IF(C589&gt;0,VLOOKUP(C589,Foundation_Calc!$E$2:$G$986,3,1),
IF(J589&gt;0,VLOOKUP(J589,Foundation_Calc!$E$2:$G$986,3,1),""))</f>
        <v/>
      </c>
      <c r="AY589" s="631" t="str">
        <f>IF(L589="","",
IF(AX589="PT",VLOOKUP(L589,Foundation_Calc!$K$4:$R$37,VLOOKUP(AW589,Foundation_Calc!$I$2:$J$8,2,FALSE),0),
IF(AX589="K",VLOOKUP(L589,Foundation_Calc!$K$41:$R$74,VLOOKUP(AW589,Foundation_Calc!$I$2:$J$8,2,FALSE),0),"")))</f>
        <v/>
      </c>
      <c r="AZ589" s="631" t="str">
        <f>IF(K589="","",
IF(AX589="PT",VLOOKUP(K589,Foundation_Calc!$K$4:$R$37,VLOOKUP(AW589,Foundation_Calc!$I$2:$J$8,2,FALSE),0),
IF(AX589="K",VLOOKUP(K589,Foundation_Calc!$K$41:$R$74,VLOOKUP(AW589,Foundation_Calc!$I$2:$J$8,2,FALSE),0),"")))</f>
        <v/>
      </c>
      <c r="BA589" s="632" t="str">
        <f t="shared" si="40"/>
        <v/>
      </c>
      <c r="BB589" s="632" t="str">
        <f t="shared" si="41"/>
        <v/>
      </c>
      <c r="BC589" s="632" t="str">
        <f t="shared" si="42"/>
        <v/>
      </c>
      <c r="BD589" s="633" t="str">
        <f>IF(AND(L589="",H589=""),"",
IF(H589="",Pole_Calc!A617,
IF(H589="MP",Pole_Calc!A618,
IF(H589="AnMP",Pole_Calc!A619,
IF(H589="A",Pole_Calc!A620,
IF(H589="S/A",Pole_Calc!A621,
IF(H589="A/S",Pole_Calc!A622,"Poner a mano")))))))</f>
        <v/>
      </c>
      <c r="BE589" s="448" t="s">
        <v>1726</v>
      </c>
      <c r="BF589" s="635"/>
      <c r="BG589" s="635"/>
      <c r="BH589" s="634"/>
      <c r="BI589" s="635"/>
    </row>
    <row r="590" spans="1:61" ht="16.2" customHeight="1">
      <c r="A590" s="12"/>
      <c r="B590" s="446"/>
      <c r="C590" s="89"/>
      <c r="D590" s="13"/>
      <c r="E590" s="14"/>
      <c r="F590" s="14"/>
      <c r="G590" s="15"/>
      <c r="H590" s="8"/>
      <c r="I590" s="8"/>
      <c r="J590" s="89"/>
      <c r="K590" s="8"/>
      <c r="L590" s="8"/>
      <c r="M590" s="8" t="str">
        <f>IF(L590="","",
IF(AX590="PT",VLOOKUP(L590,Foundation_Calc!$V$4:$X$37,VLOOKUP(AX590,Foundation_Calc!$I$10:$J$13,2,FALSE),0),
IF(AX590="K",VLOOKUP(L590,Foundation_Calc!$V$41:$X$74,VLOOKUP(AX590,Foundation_Calc!$I$10:$J$13,2,FALSE),0),"")))</f>
        <v/>
      </c>
      <c r="N590" s="8"/>
      <c r="O590" s="8"/>
      <c r="P590" s="8"/>
      <c r="Q590" s="14"/>
      <c r="R590" s="15"/>
      <c r="S590" s="15"/>
      <c r="T590" s="14"/>
      <c r="U590" s="14"/>
      <c r="V590" s="14"/>
      <c r="W590" s="18"/>
      <c r="X590" s="18"/>
      <c r="Y590" s="18"/>
      <c r="Z590" s="18"/>
      <c r="AA590" s="18"/>
      <c r="AB590" s="18"/>
      <c r="AC590" s="8" t="str">
        <f t="shared" si="39"/>
        <v/>
      </c>
      <c r="AD590" s="8"/>
      <c r="AE590" s="8"/>
      <c r="AF590" s="14"/>
      <c r="AG590" s="13"/>
      <c r="AH590" s="14"/>
      <c r="AI590" s="14"/>
      <c r="AJ590" s="8"/>
      <c r="AK590" s="8"/>
      <c r="AL590" s="8"/>
      <c r="AM590" s="8"/>
      <c r="AN590" s="631"/>
      <c r="AO590" s="18"/>
      <c r="AP590" s="18"/>
      <c r="AQ590" s="18"/>
      <c r="AR590" s="18"/>
      <c r="AS590" s="18"/>
      <c r="AU590" s="448"/>
      <c r="AV590" s="448"/>
      <c r="AW590" s="8" t="str">
        <f>IF(C590&gt;0,VLOOKUP(C590,Foundation_Calc!$A$2:$C$986,3,1),
IF(J590&gt;0,VLOOKUP(J590,Foundation_Calc!$A$2:$C$986,3,1),""))</f>
        <v/>
      </c>
      <c r="AX590" s="8" t="str">
        <f>IF(C590&gt;0,VLOOKUP(C590,Foundation_Calc!$E$2:$G$986,3,1),
IF(J590&gt;0,VLOOKUP(J590,Foundation_Calc!$E$2:$G$986,3,1),""))</f>
        <v/>
      </c>
      <c r="AY590" s="631" t="str">
        <f>IF(L590="","",
IF(AX590="PT",VLOOKUP(L590,Foundation_Calc!$K$4:$R$37,VLOOKUP(AW590,Foundation_Calc!$I$2:$J$8,2,FALSE),0),
IF(AX590="K",VLOOKUP(L590,Foundation_Calc!$K$41:$R$74,VLOOKUP(AW590,Foundation_Calc!$I$2:$J$8,2,FALSE),0),"")))</f>
        <v/>
      </c>
      <c r="AZ590" s="631" t="str">
        <f>IF(K590="","",
IF(AX590="PT",VLOOKUP(K590,Foundation_Calc!$K$4:$R$37,VLOOKUP(AW590,Foundation_Calc!$I$2:$J$8,2,FALSE),0),
IF(AX590="K",VLOOKUP(K590,Foundation_Calc!$K$41:$R$74,VLOOKUP(AW590,Foundation_Calc!$I$2:$J$8,2,FALSE),0),"")))</f>
        <v/>
      </c>
      <c r="BA590" s="632" t="str">
        <f t="shared" si="40"/>
        <v/>
      </c>
      <c r="BB590" s="632" t="str">
        <f t="shared" si="41"/>
        <v/>
      </c>
      <c r="BC590" s="632" t="str">
        <f t="shared" si="42"/>
        <v/>
      </c>
      <c r="BD590" s="633" t="str">
        <f>IF(AND(L590="",H590=""),"",
IF(H590="",Pole_Calc!A618,
IF(H590="MP",Pole_Calc!A619,
IF(H590="AnMP",Pole_Calc!A620,
IF(H590="A",Pole_Calc!A621,
IF(H590="S/A",Pole_Calc!A622,
IF(H590="A/S",Pole_Calc!A623,"Poner a mano")))))))</f>
        <v/>
      </c>
      <c r="BE590" s="448" t="s">
        <v>1726</v>
      </c>
      <c r="BF590" s="634"/>
      <c r="BG590" s="634"/>
      <c r="BH590" s="634"/>
      <c r="BI590" s="634"/>
    </row>
    <row r="591" spans="1:61" ht="16.2" customHeight="1">
      <c r="A591" s="12"/>
      <c r="B591" s="446"/>
      <c r="C591" s="89"/>
      <c r="D591" s="13"/>
      <c r="E591" s="14"/>
      <c r="F591" s="14"/>
      <c r="G591" s="15"/>
      <c r="H591" s="8"/>
      <c r="I591" s="8"/>
      <c r="J591" s="89"/>
      <c r="K591" s="8"/>
      <c r="L591" s="8"/>
      <c r="M591" s="8" t="str">
        <f>IF(L591="","",
IF(AX591="PT",VLOOKUP(L591,Foundation_Calc!$V$4:$X$37,VLOOKUP(AX591,Foundation_Calc!$I$10:$J$13,2,FALSE),0),
IF(AX591="K",VLOOKUP(L591,Foundation_Calc!$V$41:$X$74,VLOOKUP(AX591,Foundation_Calc!$I$10:$J$13,2,FALSE),0),"")))</f>
        <v/>
      </c>
      <c r="N591" s="8"/>
      <c r="O591" s="8"/>
      <c r="P591" s="8"/>
      <c r="Q591" s="14"/>
      <c r="R591" s="15"/>
      <c r="S591" s="15"/>
      <c r="T591" s="14"/>
      <c r="U591" s="14"/>
      <c r="V591" s="14"/>
      <c r="W591" s="18"/>
      <c r="X591" s="18"/>
      <c r="Y591" s="18"/>
      <c r="Z591" s="18"/>
      <c r="AA591" s="18"/>
      <c r="AB591" s="18"/>
      <c r="AC591" s="8" t="str">
        <f t="shared" si="39"/>
        <v/>
      </c>
      <c r="AD591" s="8"/>
      <c r="AE591" s="8"/>
      <c r="AF591" s="14"/>
      <c r="AG591" s="13"/>
      <c r="AH591" s="14"/>
      <c r="AI591" s="14"/>
      <c r="AJ591" s="8"/>
      <c r="AK591" s="8"/>
      <c r="AL591" s="8"/>
      <c r="AM591" s="8"/>
      <c r="AN591" s="631"/>
      <c r="AO591" s="18"/>
      <c r="AP591" s="18"/>
      <c r="AQ591" s="18"/>
      <c r="AR591" s="18"/>
      <c r="AS591" s="18"/>
      <c r="AU591" s="448"/>
      <c r="AV591" s="448"/>
      <c r="AW591" s="8" t="str">
        <f>IF(C591&gt;0,VLOOKUP(C591,Foundation_Calc!$A$2:$C$986,3,1),
IF(J591&gt;0,VLOOKUP(J591,Foundation_Calc!$A$2:$C$986,3,1),""))</f>
        <v/>
      </c>
      <c r="AX591" s="8" t="str">
        <f>IF(C591&gt;0,VLOOKUP(C591,Foundation_Calc!$E$2:$G$986,3,1),
IF(J591&gt;0,VLOOKUP(J591,Foundation_Calc!$E$2:$G$986,3,1),""))</f>
        <v/>
      </c>
      <c r="AY591" s="631" t="str">
        <f>IF(L591="","",
IF(AX591="PT",VLOOKUP(L591,Foundation_Calc!$K$4:$R$37,VLOOKUP(AW591,Foundation_Calc!$I$2:$J$8,2,FALSE),0),
IF(AX591="K",VLOOKUP(L591,Foundation_Calc!$K$41:$R$74,VLOOKUP(AW591,Foundation_Calc!$I$2:$J$8,2,FALSE),0),"")))</f>
        <v/>
      </c>
      <c r="AZ591" s="631" t="str">
        <f>IF(K591="","",
IF(AX591="PT",VLOOKUP(K591,Foundation_Calc!$K$4:$R$37,VLOOKUP(AW591,Foundation_Calc!$I$2:$J$8,2,FALSE),0),
IF(AX591="K",VLOOKUP(K591,Foundation_Calc!$K$41:$R$74,VLOOKUP(AW591,Foundation_Calc!$I$2:$J$8,2,FALSE),0),"")))</f>
        <v/>
      </c>
      <c r="BA591" s="632" t="str">
        <f t="shared" si="40"/>
        <v/>
      </c>
      <c r="BB591" s="632" t="str">
        <f t="shared" si="41"/>
        <v/>
      </c>
      <c r="BC591" s="632" t="str">
        <f t="shared" si="42"/>
        <v/>
      </c>
      <c r="BD591" s="633" t="str">
        <f>IF(AND(L591="",H591=""),"",
IF(H591="",Pole_Calc!A619,
IF(H591="MP",Pole_Calc!A620,
IF(H591="AnMP",Pole_Calc!A621,
IF(H591="A",Pole_Calc!A622,
IF(H591="S/A",Pole_Calc!A623,
IF(H591="A/S",Pole_Calc!A624,"Poner a mano")))))))</f>
        <v/>
      </c>
      <c r="BE591" s="448" t="s">
        <v>1726</v>
      </c>
      <c r="BF591" s="635"/>
      <c r="BG591" s="635"/>
      <c r="BH591" s="634"/>
      <c r="BI591" s="635"/>
    </row>
    <row r="592" spans="1:61" ht="16.2" customHeight="1">
      <c r="A592" s="12"/>
      <c r="B592" s="446"/>
      <c r="C592" s="89"/>
      <c r="D592" s="13"/>
      <c r="E592" s="14"/>
      <c r="F592" s="14"/>
      <c r="G592" s="15"/>
      <c r="H592" s="8"/>
      <c r="I592" s="8"/>
      <c r="J592" s="89"/>
      <c r="K592" s="8"/>
      <c r="L592" s="8"/>
      <c r="M592" s="8" t="str">
        <f>IF(L592="","",
IF(AX592="PT",VLOOKUP(L592,Foundation_Calc!$V$4:$X$37,VLOOKUP(AX592,Foundation_Calc!$I$10:$J$13,2,FALSE),0),
IF(AX592="K",VLOOKUP(L592,Foundation_Calc!$V$41:$X$74,VLOOKUP(AX592,Foundation_Calc!$I$10:$J$13,2,FALSE),0),"")))</f>
        <v/>
      </c>
      <c r="N592" s="8"/>
      <c r="O592" s="8"/>
      <c r="P592" s="8"/>
      <c r="Q592" s="14"/>
      <c r="R592" s="15"/>
      <c r="S592" s="15"/>
      <c r="T592" s="14"/>
      <c r="U592" s="14"/>
      <c r="V592" s="14"/>
      <c r="W592" s="18"/>
      <c r="X592" s="18"/>
      <c r="Y592" s="18"/>
      <c r="Z592" s="18"/>
      <c r="AA592" s="18"/>
      <c r="AB592" s="18"/>
      <c r="AC592" s="8" t="str">
        <f t="shared" si="39"/>
        <v/>
      </c>
      <c r="AD592" s="8"/>
      <c r="AE592" s="8"/>
      <c r="AF592" s="14"/>
      <c r="AG592" s="13"/>
      <c r="AH592" s="14"/>
      <c r="AI592" s="14"/>
      <c r="AJ592" s="8"/>
      <c r="AK592" s="8"/>
      <c r="AL592" s="8"/>
      <c r="AM592" s="8"/>
      <c r="AN592" s="631"/>
      <c r="AO592" s="18"/>
      <c r="AP592" s="18"/>
      <c r="AQ592" s="18"/>
      <c r="AR592" s="18"/>
      <c r="AS592" s="18"/>
      <c r="AU592" s="448"/>
      <c r="AV592" s="448"/>
      <c r="AW592" s="8" t="str">
        <f>IF(C592&gt;0,VLOOKUP(C592,Foundation_Calc!$A$2:$C$986,3,1),
IF(J592&gt;0,VLOOKUP(J592,Foundation_Calc!$A$2:$C$986,3,1),""))</f>
        <v/>
      </c>
      <c r="AX592" s="8" t="str">
        <f>IF(C592&gt;0,VLOOKUP(C592,Foundation_Calc!$E$2:$G$986,3,1),
IF(J592&gt;0,VLOOKUP(J592,Foundation_Calc!$E$2:$G$986,3,1),""))</f>
        <v/>
      </c>
      <c r="AY592" s="631" t="str">
        <f>IF(L592="","",
IF(AX592="PT",VLOOKUP(L592,Foundation_Calc!$K$4:$R$37,VLOOKUP(AW592,Foundation_Calc!$I$2:$J$8,2,FALSE),0),
IF(AX592="K",VLOOKUP(L592,Foundation_Calc!$K$41:$R$74,VLOOKUP(AW592,Foundation_Calc!$I$2:$J$8,2,FALSE),0),"")))</f>
        <v/>
      </c>
      <c r="AZ592" s="631" t="str">
        <f>IF(K592="","",
IF(AX592="PT",VLOOKUP(K592,Foundation_Calc!$K$4:$R$37,VLOOKUP(AW592,Foundation_Calc!$I$2:$J$8,2,FALSE),0),
IF(AX592="K",VLOOKUP(K592,Foundation_Calc!$K$41:$R$74,VLOOKUP(AW592,Foundation_Calc!$I$2:$J$8,2,FALSE),0),"")))</f>
        <v/>
      </c>
      <c r="BA592" s="632" t="str">
        <f t="shared" si="40"/>
        <v/>
      </c>
      <c r="BB592" s="632" t="str">
        <f t="shared" si="41"/>
        <v/>
      </c>
      <c r="BC592" s="632" t="str">
        <f t="shared" si="42"/>
        <v/>
      </c>
      <c r="BD592" s="633" t="str">
        <f>IF(AND(L592="",H592=""),"",
IF(H592="",Pole_Calc!A620,
IF(H592="MP",Pole_Calc!A621,
IF(H592="AnMP",Pole_Calc!A622,
IF(H592="A",Pole_Calc!A623,
IF(H592="S/A",Pole_Calc!A624,
IF(H592="A/S",Pole_Calc!A625,"Poner a mano")))))))</f>
        <v/>
      </c>
      <c r="BE592" s="448" t="s">
        <v>1726</v>
      </c>
      <c r="BF592" s="634"/>
      <c r="BG592" s="634"/>
      <c r="BH592" s="634"/>
      <c r="BI592" s="634"/>
    </row>
    <row r="593" spans="1:61" ht="16.2" customHeight="1">
      <c r="A593" s="12"/>
      <c r="B593" s="446"/>
      <c r="C593" s="89"/>
      <c r="D593" s="13"/>
      <c r="E593" s="14"/>
      <c r="F593" s="14"/>
      <c r="G593" s="15"/>
      <c r="H593" s="8"/>
      <c r="I593" s="8"/>
      <c r="J593" s="89"/>
      <c r="K593" s="8"/>
      <c r="L593" s="8"/>
      <c r="M593" s="8" t="str">
        <f>IF(L593="","",
IF(AX593="PT",VLOOKUP(L593,Foundation_Calc!$V$4:$X$37,VLOOKUP(AX593,Foundation_Calc!$I$10:$J$13,2,FALSE),0),
IF(AX593="K",VLOOKUP(L593,Foundation_Calc!$V$41:$X$74,VLOOKUP(AX593,Foundation_Calc!$I$10:$J$13,2,FALSE),0),"")))</f>
        <v/>
      </c>
      <c r="N593" s="8"/>
      <c r="O593" s="8"/>
      <c r="P593" s="8"/>
      <c r="Q593" s="14"/>
      <c r="R593" s="15"/>
      <c r="S593" s="15"/>
      <c r="T593" s="14"/>
      <c r="U593" s="14"/>
      <c r="V593" s="14"/>
      <c r="W593" s="18"/>
      <c r="X593" s="18"/>
      <c r="Y593" s="18"/>
      <c r="Z593" s="18"/>
      <c r="AA593" s="18"/>
      <c r="AB593" s="18"/>
      <c r="AC593" s="8" t="str">
        <f t="shared" si="39"/>
        <v/>
      </c>
      <c r="AD593" s="8"/>
      <c r="AE593" s="8"/>
      <c r="AF593" s="14"/>
      <c r="AG593" s="13"/>
      <c r="AH593" s="14"/>
      <c r="AI593" s="14"/>
      <c r="AJ593" s="8"/>
      <c r="AK593" s="8"/>
      <c r="AL593" s="8"/>
      <c r="AM593" s="8"/>
      <c r="AN593" s="631"/>
      <c r="AO593" s="18"/>
      <c r="AP593" s="18"/>
      <c r="AQ593" s="18"/>
      <c r="AR593" s="18"/>
      <c r="AS593" s="18"/>
      <c r="AU593" s="448"/>
      <c r="AV593" s="448"/>
      <c r="AW593" s="8" t="str">
        <f>IF(C593&gt;0,VLOOKUP(C593,Foundation_Calc!$A$2:$C$986,3,1),
IF(J593&gt;0,VLOOKUP(J593,Foundation_Calc!$A$2:$C$986,3,1),""))</f>
        <v/>
      </c>
      <c r="AX593" s="8" t="str">
        <f>IF(C593&gt;0,VLOOKUP(C593,Foundation_Calc!$E$2:$G$986,3,1),
IF(J593&gt;0,VLOOKUP(J593,Foundation_Calc!$E$2:$G$986,3,1),""))</f>
        <v/>
      </c>
      <c r="AY593" s="631" t="str">
        <f>IF(L593="","",
IF(AX593="PT",VLOOKUP(L593,Foundation_Calc!$K$4:$R$37,VLOOKUP(AW593,Foundation_Calc!$I$2:$J$8,2,FALSE),0),
IF(AX593="K",VLOOKUP(L593,Foundation_Calc!$K$41:$R$74,VLOOKUP(AW593,Foundation_Calc!$I$2:$J$8,2,FALSE),0),"")))</f>
        <v/>
      </c>
      <c r="AZ593" s="631" t="str">
        <f>IF(K593="","",
IF(AX593="PT",VLOOKUP(K593,Foundation_Calc!$K$4:$R$37,VLOOKUP(AW593,Foundation_Calc!$I$2:$J$8,2,FALSE),0),
IF(AX593="K",VLOOKUP(K593,Foundation_Calc!$K$41:$R$74,VLOOKUP(AW593,Foundation_Calc!$I$2:$J$8,2,FALSE),0),"")))</f>
        <v/>
      </c>
      <c r="BA593" s="632" t="str">
        <f t="shared" si="40"/>
        <v/>
      </c>
      <c r="BB593" s="632" t="str">
        <f t="shared" si="41"/>
        <v/>
      </c>
      <c r="BC593" s="632" t="str">
        <f t="shared" si="42"/>
        <v/>
      </c>
      <c r="BD593" s="633" t="str">
        <f>IF(AND(L593="",H593=""),"",
IF(H593="",Pole_Calc!A621,
IF(H593="MP",Pole_Calc!A622,
IF(H593="AnMP",Pole_Calc!A623,
IF(H593="A",Pole_Calc!A624,
IF(H593="S/A",Pole_Calc!A625,
IF(H593="A/S",Pole_Calc!A626,"Poner a mano")))))))</f>
        <v/>
      </c>
      <c r="BE593" s="448" t="s">
        <v>1726</v>
      </c>
      <c r="BF593" s="635"/>
      <c r="BG593" s="635"/>
      <c r="BH593" s="634"/>
      <c r="BI593" s="635"/>
    </row>
    <row r="594" spans="1:61" ht="16.2" customHeight="1">
      <c r="A594" s="12"/>
      <c r="B594" s="446"/>
      <c r="C594" s="89"/>
      <c r="D594" s="13"/>
      <c r="E594" s="14"/>
      <c r="F594" s="14"/>
      <c r="G594" s="15"/>
      <c r="H594" s="8"/>
      <c r="I594" s="8"/>
      <c r="J594" s="89"/>
      <c r="K594" s="8"/>
      <c r="L594" s="8"/>
      <c r="M594" s="8" t="str">
        <f>IF(L594="","",
IF(AX594="PT",VLOOKUP(L594,Foundation_Calc!$V$4:$X$37,VLOOKUP(AX594,Foundation_Calc!$I$10:$J$13,2,FALSE),0),
IF(AX594="K",VLOOKUP(L594,Foundation_Calc!$V$41:$X$74,VLOOKUP(AX594,Foundation_Calc!$I$10:$J$13,2,FALSE),0),"")))</f>
        <v/>
      </c>
      <c r="N594" s="8"/>
      <c r="O594" s="8"/>
      <c r="P594" s="8"/>
      <c r="Q594" s="14"/>
      <c r="R594" s="15"/>
      <c r="S594" s="15"/>
      <c r="T594" s="14"/>
      <c r="U594" s="14"/>
      <c r="V594" s="14"/>
      <c r="W594" s="18"/>
      <c r="X594" s="18"/>
      <c r="Y594" s="18"/>
      <c r="Z594" s="18"/>
      <c r="AA594" s="18"/>
      <c r="AB594" s="18"/>
      <c r="AC594" s="8" t="str">
        <f t="shared" si="39"/>
        <v/>
      </c>
      <c r="AD594" s="8"/>
      <c r="AE594" s="8"/>
      <c r="AF594" s="14"/>
      <c r="AG594" s="13"/>
      <c r="AH594" s="14"/>
      <c r="AI594" s="14"/>
      <c r="AJ594" s="8"/>
      <c r="AK594" s="8"/>
      <c r="AL594" s="8"/>
      <c r="AM594" s="8"/>
      <c r="AN594" s="631"/>
      <c r="AO594" s="18"/>
      <c r="AP594" s="18"/>
      <c r="AQ594" s="18"/>
      <c r="AR594" s="18"/>
      <c r="AS594" s="18"/>
      <c r="AU594" s="448"/>
      <c r="AV594" s="448"/>
      <c r="AW594" s="8" t="str">
        <f>IF(C594&gt;0,VLOOKUP(C594,Foundation_Calc!$A$2:$C$986,3,1),
IF(J594&gt;0,VLOOKUP(J594,Foundation_Calc!$A$2:$C$986,3,1),""))</f>
        <v/>
      </c>
      <c r="AX594" s="8" t="str">
        <f>IF(C594&gt;0,VLOOKUP(C594,Foundation_Calc!$E$2:$G$986,3,1),
IF(J594&gt;0,VLOOKUP(J594,Foundation_Calc!$E$2:$G$986,3,1),""))</f>
        <v/>
      </c>
      <c r="AY594" s="631" t="str">
        <f>IF(L594="","",
IF(AX594="PT",VLOOKUP(L594,Foundation_Calc!$K$4:$R$37,VLOOKUP(AW594,Foundation_Calc!$I$2:$J$8,2,FALSE),0),
IF(AX594="K",VLOOKUP(L594,Foundation_Calc!$K$41:$R$74,VLOOKUP(AW594,Foundation_Calc!$I$2:$J$8,2,FALSE),0),"")))</f>
        <v/>
      </c>
      <c r="AZ594" s="631" t="str">
        <f>IF(K594="","",
IF(AX594="PT",VLOOKUP(K594,Foundation_Calc!$K$4:$R$37,VLOOKUP(AW594,Foundation_Calc!$I$2:$J$8,2,FALSE),0),
IF(AX594="K",VLOOKUP(K594,Foundation_Calc!$K$41:$R$74,VLOOKUP(AW594,Foundation_Calc!$I$2:$J$8,2,FALSE),0),"")))</f>
        <v/>
      </c>
      <c r="BA594" s="632" t="str">
        <f t="shared" si="40"/>
        <v/>
      </c>
      <c r="BB594" s="632" t="str">
        <f t="shared" si="41"/>
        <v/>
      </c>
      <c r="BC594" s="632" t="str">
        <f t="shared" si="42"/>
        <v/>
      </c>
      <c r="BD594" s="633" t="str">
        <f>IF(AND(L594="",H594=""),"",
IF(H594="",Pole_Calc!A622,
IF(H594="MP",Pole_Calc!A623,
IF(H594="AnMP",Pole_Calc!A624,
IF(H594="A",Pole_Calc!A625,
IF(H594="S/A",Pole_Calc!A626,
IF(H594="A/S",Pole_Calc!A627,"Poner a mano")))))))</f>
        <v/>
      </c>
      <c r="BE594" s="448" t="s">
        <v>1726</v>
      </c>
      <c r="BF594" s="634"/>
      <c r="BG594" s="634"/>
      <c r="BH594" s="634"/>
      <c r="BI594" s="634"/>
    </row>
    <row r="595" spans="1:61" ht="16.2" customHeight="1">
      <c r="A595" s="12"/>
      <c r="B595" s="446"/>
      <c r="C595" s="89"/>
      <c r="D595" s="13"/>
      <c r="E595" s="14"/>
      <c r="F595" s="14"/>
      <c r="G595" s="15"/>
      <c r="H595" s="8"/>
      <c r="I595" s="8"/>
      <c r="J595" s="89"/>
      <c r="K595" s="8"/>
      <c r="L595" s="8"/>
      <c r="M595" s="8" t="str">
        <f>IF(L595="","",
IF(AX595="PT",VLOOKUP(L595,Foundation_Calc!$V$4:$X$37,VLOOKUP(AX595,Foundation_Calc!$I$10:$J$13,2,FALSE),0),
IF(AX595="K",VLOOKUP(L595,Foundation_Calc!$V$41:$X$74,VLOOKUP(AX595,Foundation_Calc!$I$10:$J$13,2,FALSE),0),"")))</f>
        <v/>
      </c>
      <c r="N595" s="8"/>
      <c r="O595" s="8"/>
      <c r="P595" s="8"/>
      <c r="Q595" s="14"/>
      <c r="R595" s="15"/>
      <c r="S595" s="15"/>
      <c r="T595" s="14"/>
      <c r="U595" s="14"/>
      <c r="V595" s="14"/>
      <c r="W595" s="18"/>
      <c r="X595" s="18"/>
      <c r="Y595" s="18"/>
      <c r="Z595" s="18"/>
      <c r="AA595" s="18"/>
      <c r="AB595" s="18"/>
      <c r="AC595" s="8" t="str">
        <f t="shared" si="39"/>
        <v/>
      </c>
      <c r="AD595" s="8"/>
      <c r="AE595" s="8"/>
      <c r="AF595" s="14"/>
      <c r="AG595" s="13"/>
      <c r="AH595" s="14"/>
      <c r="AI595" s="14"/>
      <c r="AJ595" s="8"/>
      <c r="AK595" s="8"/>
      <c r="AL595" s="8"/>
      <c r="AM595" s="8"/>
      <c r="AN595" s="631"/>
      <c r="AO595" s="18"/>
      <c r="AP595" s="18"/>
      <c r="AQ595" s="18"/>
      <c r="AR595" s="18"/>
      <c r="AS595" s="18"/>
      <c r="AU595" s="448"/>
      <c r="AV595" s="448"/>
      <c r="AW595" s="8" t="str">
        <f>IF(C595&gt;0,VLOOKUP(C595,Foundation_Calc!$A$2:$C$986,3,1),
IF(J595&gt;0,VLOOKUP(J595,Foundation_Calc!$A$2:$C$986,3,1),""))</f>
        <v/>
      </c>
      <c r="AX595" s="8" t="str">
        <f>IF(C595&gt;0,VLOOKUP(C595,Foundation_Calc!$E$2:$G$986,3,1),
IF(J595&gt;0,VLOOKUP(J595,Foundation_Calc!$E$2:$G$986,3,1),""))</f>
        <v/>
      </c>
      <c r="AY595" s="631" t="str">
        <f>IF(L595="","",
IF(AX595="PT",VLOOKUP(L595,Foundation_Calc!$K$4:$R$37,VLOOKUP(AW595,Foundation_Calc!$I$2:$J$8,2,FALSE),0),
IF(AX595="K",VLOOKUP(L595,Foundation_Calc!$K$41:$R$74,VLOOKUP(AW595,Foundation_Calc!$I$2:$J$8,2,FALSE),0),"")))</f>
        <v/>
      </c>
      <c r="AZ595" s="631" t="str">
        <f>IF(K595="","",
IF(AX595="PT",VLOOKUP(K595,Foundation_Calc!$K$4:$R$37,VLOOKUP(AW595,Foundation_Calc!$I$2:$J$8,2,FALSE),0),
IF(AX595="K",VLOOKUP(K595,Foundation_Calc!$K$41:$R$74,VLOOKUP(AW595,Foundation_Calc!$I$2:$J$8,2,FALSE),0),"")))</f>
        <v/>
      </c>
      <c r="BA595" s="632" t="str">
        <f t="shared" si="40"/>
        <v/>
      </c>
      <c r="BB595" s="632" t="str">
        <f t="shared" si="41"/>
        <v/>
      </c>
      <c r="BC595" s="632" t="str">
        <f t="shared" si="42"/>
        <v/>
      </c>
      <c r="BD595" s="633" t="str">
        <f>IF(AND(L595="",H595=""),"",
IF(H595="",Pole_Calc!A623,
IF(H595="MP",Pole_Calc!A624,
IF(H595="AnMP",Pole_Calc!A625,
IF(H595="A",Pole_Calc!A626,
IF(H595="S/A",Pole_Calc!A627,
IF(H595="A/S",Pole_Calc!A628,"Poner a mano")))))))</f>
        <v/>
      </c>
      <c r="BE595" s="448" t="s">
        <v>1726</v>
      </c>
      <c r="BF595" s="635"/>
      <c r="BG595" s="635"/>
      <c r="BH595" s="634"/>
      <c r="BI595" s="635"/>
    </row>
    <row r="596" spans="1:61" ht="16.2" customHeight="1">
      <c r="A596" s="12"/>
      <c r="B596" s="446"/>
      <c r="C596" s="89"/>
      <c r="D596" s="13"/>
      <c r="E596" s="14"/>
      <c r="F596" s="14"/>
      <c r="G596" s="15"/>
      <c r="H596" s="8"/>
      <c r="I596" s="8"/>
      <c r="J596" s="89"/>
      <c r="K596" s="8"/>
      <c r="L596" s="8"/>
      <c r="M596" s="8" t="str">
        <f>IF(L596="","",
IF(AX596="PT",VLOOKUP(L596,Foundation_Calc!$V$4:$X$37,VLOOKUP(AX596,Foundation_Calc!$I$10:$J$13,2,FALSE),0),
IF(AX596="K",VLOOKUP(L596,Foundation_Calc!$V$41:$X$74,VLOOKUP(AX596,Foundation_Calc!$I$10:$J$13,2,FALSE),0),"")))</f>
        <v/>
      </c>
      <c r="N596" s="8"/>
      <c r="O596" s="8"/>
      <c r="P596" s="8"/>
      <c r="Q596" s="14"/>
      <c r="R596" s="15"/>
      <c r="S596" s="15"/>
      <c r="T596" s="14"/>
      <c r="U596" s="14"/>
      <c r="V596" s="14"/>
      <c r="W596" s="18"/>
      <c r="X596" s="18"/>
      <c r="Y596" s="18"/>
      <c r="Z596" s="18"/>
      <c r="AA596" s="18"/>
      <c r="AB596" s="18"/>
      <c r="AC596" s="8" t="str">
        <f t="shared" si="39"/>
        <v/>
      </c>
      <c r="AD596" s="8"/>
      <c r="AE596" s="8"/>
      <c r="AF596" s="14"/>
      <c r="AG596" s="13"/>
      <c r="AH596" s="14"/>
      <c r="AI596" s="14"/>
      <c r="AJ596" s="8"/>
      <c r="AK596" s="8"/>
      <c r="AL596" s="8"/>
      <c r="AM596" s="8"/>
      <c r="AN596" s="631"/>
      <c r="AO596" s="18"/>
      <c r="AP596" s="18"/>
      <c r="AQ596" s="18"/>
      <c r="AR596" s="18"/>
      <c r="AS596" s="18"/>
      <c r="AU596" s="448"/>
      <c r="AV596" s="448"/>
      <c r="AW596" s="8" t="str">
        <f>IF(C596&gt;0,VLOOKUP(C596,Foundation_Calc!$A$2:$C$986,3,1),
IF(J596&gt;0,VLOOKUP(J596,Foundation_Calc!$A$2:$C$986,3,1),""))</f>
        <v/>
      </c>
      <c r="AX596" s="8" t="str">
        <f>IF(C596&gt;0,VLOOKUP(C596,Foundation_Calc!$E$2:$G$986,3,1),
IF(J596&gt;0,VLOOKUP(J596,Foundation_Calc!$E$2:$G$986,3,1),""))</f>
        <v/>
      </c>
      <c r="AY596" s="631" t="str">
        <f>IF(L596="","",
IF(AX596="PT",VLOOKUP(L596,Foundation_Calc!$K$4:$R$37,VLOOKUP(AW596,Foundation_Calc!$I$2:$J$8,2,FALSE),0),
IF(AX596="K",VLOOKUP(L596,Foundation_Calc!$K$41:$R$74,VLOOKUP(AW596,Foundation_Calc!$I$2:$J$8,2,FALSE),0),"")))</f>
        <v/>
      </c>
      <c r="AZ596" s="631" t="str">
        <f>IF(K596="","",
IF(AX596="PT",VLOOKUP(K596,Foundation_Calc!$K$4:$R$37,VLOOKUP(AW596,Foundation_Calc!$I$2:$J$8,2,FALSE),0),
IF(AX596="K",VLOOKUP(K596,Foundation_Calc!$K$41:$R$74,VLOOKUP(AW596,Foundation_Calc!$I$2:$J$8,2,FALSE),0),"")))</f>
        <v/>
      </c>
      <c r="BA596" s="632" t="str">
        <f t="shared" si="40"/>
        <v/>
      </c>
      <c r="BB596" s="632" t="str">
        <f t="shared" si="41"/>
        <v/>
      </c>
      <c r="BC596" s="632" t="str">
        <f t="shared" si="42"/>
        <v/>
      </c>
      <c r="BD596" s="633" t="str">
        <f>IF(AND(L596="",H596=""),"",
IF(H596="",Pole_Calc!A624,
IF(H596="MP",Pole_Calc!A625,
IF(H596="AnMP",Pole_Calc!A626,
IF(H596="A",Pole_Calc!A627,
IF(H596="S/A",Pole_Calc!A628,
IF(H596="A/S",Pole_Calc!A629,"Poner a mano")))))))</f>
        <v/>
      </c>
      <c r="BE596" s="448" t="s">
        <v>1726</v>
      </c>
      <c r="BF596" s="634"/>
      <c r="BG596" s="634"/>
      <c r="BH596" s="634"/>
      <c r="BI596" s="634"/>
    </row>
    <row r="597" spans="1:61" ht="16.2" customHeight="1">
      <c r="A597" s="12"/>
      <c r="B597" s="446"/>
      <c r="C597" s="89"/>
      <c r="D597" s="13"/>
      <c r="E597" s="14"/>
      <c r="F597" s="14"/>
      <c r="G597" s="15"/>
      <c r="H597" s="8"/>
      <c r="I597" s="8"/>
      <c r="J597" s="89"/>
      <c r="K597" s="8"/>
      <c r="L597" s="8"/>
      <c r="M597" s="8" t="str">
        <f>IF(L597="","",
IF(AX597="PT",VLOOKUP(L597,Foundation_Calc!$V$4:$X$37,VLOOKUP(AX597,Foundation_Calc!$I$10:$J$13,2,FALSE),0),
IF(AX597="K",VLOOKUP(L597,Foundation_Calc!$V$41:$X$74,VLOOKUP(AX597,Foundation_Calc!$I$10:$J$13,2,FALSE),0),"")))</f>
        <v/>
      </c>
      <c r="N597" s="8"/>
      <c r="O597" s="8"/>
      <c r="P597" s="8"/>
      <c r="Q597" s="14"/>
      <c r="R597" s="15"/>
      <c r="S597" s="15"/>
      <c r="T597" s="14"/>
      <c r="U597" s="14"/>
      <c r="V597" s="14"/>
      <c r="W597" s="18"/>
      <c r="X597" s="18"/>
      <c r="Y597" s="18"/>
      <c r="Z597" s="18"/>
      <c r="AA597" s="18"/>
      <c r="AB597" s="18"/>
      <c r="AC597" s="8" t="str">
        <f t="shared" si="39"/>
        <v/>
      </c>
      <c r="AD597" s="8"/>
      <c r="AE597" s="8"/>
      <c r="AF597" s="14"/>
      <c r="AG597" s="13"/>
      <c r="AH597" s="14"/>
      <c r="AI597" s="14"/>
      <c r="AJ597" s="8"/>
      <c r="AK597" s="8"/>
      <c r="AL597" s="8"/>
      <c r="AM597" s="8"/>
      <c r="AN597" s="631"/>
      <c r="AO597" s="18"/>
      <c r="AP597" s="18"/>
      <c r="AQ597" s="18"/>
      <c r="AR597" s="18"/>
      <c r="AS597" s="18"/>
      <c r="AU597" s="448"/>
      <c r="AV597" s="448"/>
      <c r="AW597" s="8" t="str">
        <f>IF(C597&gt;0,VLOOKUP(C597,Foundation_Calc!$A$2:$C$986,3,1),
IF(J597&gt;0,VLOOKUP(J597,Foundation_Calc!$A$2:$C$986,3,1),""))</f>
        <v/>
      </c>
      <c r="AX597" s="8" t="str">
        <f>IF(C597&gt;0,VLOOKUP(C597,Foundation_Calc!$E$2:$G$986,3,1),
IF(J597&gt;0,VLOOKUP(J597,Foundation_Calc!$E$2:$G$986,3,1),""))</f>
        <v/>
      </c>
      <c r="AY597" s="631" t="str">
        <f>IF(L597="","",
IF(AX597="PT",VLOOKUP(L597,Foundation_Calc!$K$4:$R$37,VLOOKUP(AW597,Foundation_Calc!$I$2:$J$8,2,FALSE),0),
IF(AX597="K",VLOOKUP(L597,Foundation_Calc!$K$41:$R$74,VLOOKUP(AW597,Foundation_Calc!$I$2:$J$8,2,FALSE),0),"")))</f>
        <v/>
      </c>
      <c r="AZ597" s="631" t="str">
        <f>IF(K597="","",
IF(AX597="PT",VLOOKUP(K597,Foundation_Calc!$K$4:$R$37,VLOOKUP(AW597,Foundation_Calc!$I$2:$J$8,2,FALSE),0),
IF(AX597="K",VLOOKUP(K597,Foundation_Calc!$K$41:$R$74,VLOOKUP(AW597,Foundation_Calc!$I$2:$J$8,2,FALSE),0),"")))</f>
        <v/>
      </c>
      <c r="BA597" s="632" t="str">
        <f t="shared" si="40"/>
        <v/>
      </c>
      <c r="BB597" s="632" t="str">
        <f t="shared" si="41"/>
        <v/>
      </c>
      <c r="BC597" s="632" t="str">
        <f t="shared" si="42"/>
        <v/>
      </c>
      <c r="BD597" s="633" t="str">
        <f>IF(AND(L597="",H597=""),"",
IF(H597="",Pole_Calc!A625,
IF(H597="MP",Pole_Calc!A626,
IF(H597="AnMP",Pole_Calc!A627,
IF(H597="A",Pole_Calc!A628,
IF(H597="S/A",Pole_Calc!A629,
IF(H597="A/S",Pole_Calc!A630,"Poner a mano")))))))</f>
        <v/>
      </c>
      <c r="BE597" s="448" t="s">
        <v>1726</v>
      </c>
      <c r="BF597" s="635"/>
      <c r="BG597" s="635"/>
      <c r="BH597" s="634"/>
      <c r="BI597" s="635"/>
    </row>
    <row r="598" spans="1:61" ht="16.2" customHeight="1">
      <c r="A598" s="12"/>
      <c r="B598" s="446"/>
      <c r="C598" s="89"/>
      <c r="D598" s="13"/>
      <c r="E598" s="14"/>
      <c r="F598" s="14"/>
      <c r="G598" s="15"/>
      <c r="H598" s="8"/>
      <c r="I598" s="8"/>
      <c r="J598" s="89"/>
      <c r="K598" s="8"/>
      <c r="L598" s="8"/>
      <c r="M598" s="8" t="str">
        <f>IF(L598="","",
IF(AX598="PT",VLOOKUP(L598,Foundation_Calc!$V$4:$X$37,VLOOKUP(AX598,Foundation_Calc!$I$10:$J$13,2,FALSE),0),
IF(AX598="K",VLOOKUP(L598,Foundation_Calc!$V$41:$X$74,VLOOKUP(AX598,Foundation_Calc!$I$10:$J$13,2,FALSE),0),"")))</f>
        <v/>
      </c>
      <c r="N598" s="8"/>
      <c r="O598" s="8"/>
      <c r="P598" s="8"/>
      <c r="Q598" s="14"/>
      <c r="R598" s="15"/>
      <c r="S598" s="15"/>
      <c r="T598" s="14"/>
      <c r="U598" s="14"/>
      <c r="V598" s="14"/>
      <c r="W598" s="18"/>
      <c r="X598" s="18"/>
      <c r="Y598" s="18"/>
      <c r="Z598" s="18"/>
      <c r="AA598" s="18"/>
      <c r="AB598" s="18"/>
      <c r="AC598" s="8" t="str">
        <f t="shared" si="39"/>
        <v/>
      </c>
      <c r="AD598" s="8"/>
      <c r="AE598" s="8"/>
      <c r="AF598" s="14"/>
      <c r="AG598" s="13"/>
      <c r="AH598" s="14"/>
      <c r="AI598" s="14"/>
      <c r="AJ598" s="8"/>
      <c r="AK598" s="8"/>
      <c r="AL598" s="8"/>
      <c r="AM598" s="8"/>
      <c r="AN598" s="631"/>
      <c r="AO598" s="18"/>
      <c r="AP598" s="18"/>
      <c r="AQ598" s="18"/>
      <c r="AR598" s="18"/>
      <c r="AS598" s="18"/>
      <c r="AU598" s="448"/>
      <c r="AV598" s="448"/>
      <c r="AW598" s="8" t="str">
        <f>IF(C598&gt;0,VLOOKUP(C598,Foundation_Calc!$A$2:$C$986,3,1),
IF(J598&gt;0,VLOOKUP(J598,Foundation_Calc!$A$2:$C$986,3,1),""))</f>
        <v/>
      </c>
      <c r="AX598" s="8" t="str">
        <f>IF(C598&gt;0,VLOOKUP(C598,Foundation_Calc!$E$2:$G$986,3,1),
IF(J598&gt;0,VLOOKUP(J598,Foundation_Calc!$E$2:$G$986,3,1),""))</f>
        <v/>
      </c>
      <c r="AY598" s="631" t="str">
        <f>IF(L598="","",
IF(AX598="PT",VLOOKUP(L598,Foundation_Calc!$K$4:$R$37,VLOOKUP(AW598,Foundation_Calc!$I$2:$J$8,2,FALSE),0),
IF(AX598="K",VLOOKUP(L598,Foundation_Calc!$K$41:$R$74,VLOOKUP(AW598,Foundation_Calc!$I$2:$J$8,2,FALSE),0),"")))</f>
        <v/>
      </c>
      <c r="AZ598" s="631" t="str">
        <f>IF(K598="","",
IF(AX598="PT",VLOOKUP(K598,Foundation_Calc!$K$4:$R$37,VLOOKUP(AW598,Foundation_Calc!$I$2:$J$8,2,FALSE),0),
IF(AX598="K",VLOOKUP(K598,Foundation_Calc!$K$41:$R$74,VLOOKUP(AW598,Foundation_Calc!$I$2:$J$8,2,FALSE),0),"")))</f>
        <v/>
      </c>
      <c r="BA598" s="632" t="str">
        <f t="shared" si="40"/>
        <v/>
      </c>
      <c r="BB598" s="632" t="str">
        <f t="shared" si="41"/>
        <v/>
      </c>
      <c r="BC598" s="632" t="str">
        <f t="shared" si="42"/>
        <v/>
      </c>
      <c r="BD598" s="633" t="str">
        <f>IF(AND(L598="",H598=""),"",
IF(H598="",Pole_Calc!A626,
IF(H598="MP",Pole_Calc!A627,
IF(H598="AnMP",Pole_Calc!A628,
IF(H598="A",Pole_Calc!A629,
IF(H598="S/A",Pole_Calc!A630,
IF(H598="A/S",Pole_Calc!A631,"Poner a mano")))))))</f>
        <v/>
      </c>
      <c r="BE598" s="448" t="s">
        <v>1726</v>
      </c>
      <c r="BF598" s="634"/>
      <c r="BG598" s="634"/>
      <c r="BH598" s="634"/>
      <c r="BI598" s="634"/>
    </row>
    <row r="599" spans="1:61" ht="16.2" customHeight="1">
      <c r="A599" s="12"/>
      <c r="B599" s="446"/>
      <c r="C599" s="89"/>
      <c r="D599" s="13"/>
      <c r="E599" s="14"/>
      <c r="F599" s="14"/>
      <c r="G599" s="15"/>
      <c r="H599" s="8"/>
      <c r="I599" s="8"/>
      <c r="J599" s="89"/>
      <c r="K599" s="8"/>
      <c r="L599" s="8"/>
      <c r="M599" s="8" t="str">
        <f>IF(L599="","",
IF(AX599="PT",VLOOKUP(L599,Foundation_Calc!$V$4:$X$37,VLOOKUP(AX599,Foundation_Calc!$I$10:$J$13,2,FALSE),0),
IF(AX599="K",VLOOKUP(L599,Foundation_Calc!$V$41:$X$74,VLOOKUP(AX599,Foundation_Calc!$I$10:$J$13,2,FALSE),0),"")))</f>
        <v/>
      </c>
      <c r="N599" s="8"/>
      <c r="O599" s="8"/>
      <c r="P599" s="8"/>
      <c r="Q599" s="14"/>
      <c r="R599" s="15"/>
      <c r="S599" s="15"/>
      <c r="T599" s="14"/>
      <c r="U599" s="14"/>
      <c r="V599" s="14"/>
      <c r="W599" s="18"/>
      <c r="X599" s="18"/>
      <c r="Y599" s="18"/>
      <c r="Z599" s="18"/>
      <c r="AA599" s="18"/>
      <c r="AB599" s="18"/>
      <c r="AC599" s="8" t="str">
        <f t="shared" si="39"/>
        <v/>
      </c>
      <c r="AD599" s="8"/>
      <c r="AE599" s="8"/>
      <c r="AF599" s="14"/>
      <c r="AG599" s="13"/>
      <c r="AH599" s="14"/>
      <c r="AI599" s="14"/>
      <c r="AJ599" s="8"/>
      <c r="AK599" s="8"/>
      <c r="AL599" s="8"/>
      <c r="AM599" s="8"/>
      <c r="AN599" s="631"/>
      <c r="AO599" s="18"/>
      <c r="AP599" s="18"/>
      <c r="AQ599" s="18"/>
      <c r="AR599" s="18"/>
      <c r="AS599" s="18"/>
      <c r="AU599" s="448"/>
      <c r="AV599" s="448"/>
      <c r="AW599" s="8" t="str">
        <f>IF(C599&gt;0,VLOOKUP(C599,Foundation_Calc!$A$2:$C$986,3,1),
IF(J599&gt;0,VLOOKUP(J599,Foundation_Calc!$A$2:$C$986,3,1),""))</f>
        <v/>
      </c>
      <c r="AX599" s="8" t="str">
        <f>IF(C599&gt;0,VLOOKUP(C599,Foundation_Calc!$E$2:$G$986,3,1),
IF(J599&gt;0,VLOOKUP(J599,Foundation_Calc!$E$2:$G$986,3,1),""))</f>
        <v/>
      </c>
      <c r="AY599" s="631" t="str">
        <f>IF(L599="","",
IF(AX599="PT",VLOOKUP(L599,Foundation_Calc!$K$4:$R$37,VLOOKUP(AW599,Foundation_Calc!$I$2:$J$8,2,FALSE),0),
IF(AX599="K",VLOOKUP(L599,Foundation_Calc!$K$41:$R$74,VLOOKUP(AW599,Foundation_Calc!$I$2:$J$8,2,FALSE),0),"")))</f>
        <v/>
      </c>
      <c r="AZ599" s="631" t="str">
        <f>IF(K599="","",
IF(AX599="PT",VLOOKUP(K599,Foundation_Calc!$K$4:$R$37,VLOOKUP(AW599,Foundation_Calc!$I$2:$J$8,2,FALSE),0),
IF(AX599="K",VLOOKUP(K599,Foundation_Calc!$K$41:$R$74,VLOOKUP(AW599,Foundation_Calc!$I$2:$J$8,2,FALSE),0),"")))</f>
        <v/>
      </c>
      <c r="BA599" s="632" t="str">
        <f t="shared" si="40"/>
        <v/>
      </c>
      <c r="BB599" s="632" t="str">
        <f t="shared" si="41"/>
        <v/>
      </c>
      <c r="BC599" s="632" t="str">
        <f t="shared" si="42"/>
        <v/>
      </c>
      <c r="BD599" s="633" t="str">
        <f>IF(AND(L599="",H599=""),"",
IF(H599="",Pole_Calc!A627,
IF(H599="MP",Pole_Calc!A628,
IF(H599="AnMP",Pole_Calc!A629,
IF(H599="A",Pole_Calc!A630,
IF(H599="S/A",Pole_Calc!A631,
IF(H599="A/S",Pole_Calc!A632,"Poner a mano")))))))</f>
        <v/>
      </c>
      <c r="BE599" s="448" t="s">
        <v>1726</v>
      </c>
      <c r="BF599" s="635"/>
      <c r="BG599" s="635"/>
      <c r="BH599" s="634"/>
      <c r="BI599" s="635"/>
    </row>
    <row r="600" spans="1:61" ht="16.2" customHeight="1">
      <c r="A600" s="12"/>
      <c r="B600" s="446"/>
      <c r="C600" s="89"/>
      <c r="D600" s="13"/>
      <c r="E600" s="14"/>
      <c r="F600" s="14"/>
      <c r="G600" s="15"/>
      <c r="H600" s="8"/>
      <c r="I600" s="8"/>
      <c r="J600" s="89"/>
      <c r="K600" s="8"/>
      <c r="L600" s="8"/>
      <c r="M600" s="8" t="str">
        <f>IF(L600="","",
IF(AX600="PT",VLOOKUP(L600,Foundation_Calc!$V$4:$X$37,VLOOKUP(AX600,Foundation_Calc!$I$10:$J$13,2,FALSE),0),
IF(AX600="K",VLOOKUP(L600,Foundation_Calc!$V$41:$X$74,VLOOKUP(AX600,Foundation_Calc!$I$10:$J$13,2,FALSE),0),"")))</f>
        <v/>
      </c>
      <c r="N600" s="8"/>
      <c r="O600" s="8"/>
      <c r="P600" s="8"/>
      <c r="Q600" s="14"/>
      <c r="R600" s="15"/>
      <c r="S600" s="15"/>
      <c r="T600" s="14"/>
      <c r="U600" s="14"/>
      <c r="V600" s="14"/>
      <c r="W600" s="18"/>
      <c r="X600" s="18"/>
      <c r="Y600" s="18"/>
      <c r="Z600" s="18"/>
      <c r="AA600" s="18"/>
      <c r="AB600" s="18"/>
      <c r="AC600" s="8" t="str">
        <f t="shared" si="39"/>
        <v/>
      </c>
      <c r="AD600" s="8"/>
      <c r="AE600" s="8"/>
      <c r="AF600" s="14"/>
      <c r="AG600" s="13"/>
      <c r="AH600" s="14"/>
      <c r="AI600" s="14"/>
      <c r="AJ600" s="8"/>
      <c r="AK600" s="8"/>
      <c r="AL600" s="8"/>
      <c r="AM600" s="8"/>
      <c r="AN600" s="631"/>
      <c r="AO600" s="18"/>
      <c r="AP600" s="18"/>
      <c r="AQ600" s="18"/>
      <c r="AR600" s="18"/>
      <c r="AS600" s="18"/>
      <c r="AU600" s="448"/>
      <c r="AV600" s="448"/>
      <c r="AW600" s="8" t="str">
        <f>IF(C600&gt;0,VLOOKUP(C600,Foundation_Calc!$A$2:$C$986,3,1),
IF(J600&gt;0,VLOOKUP(J600,Foundation_Calc!$A$2:$C$986,3,1),""))</f>
        <v/>
      </c>
      <c r="AX600" s="8" t="str">
        <f>IF(C600&gt;0,VLOOKUP(C600,Foundation_Calc!$E$2:$G$986,3,1),
IF(J600&gt;0,VLOOKUP(J600,Foundation_Calc!$E$2:$G$986,3,1),""))</f>
        <v/>
      </c>
      <c r="AY600" s="631" t="str">
        <f>IF(L600="","",
IF(AX600="PT",VLOOKUP(L600,Foundation_Calc!$K$4:$R$37,VLOOKUP(AW600,Foundation_Calc!$I$2:$J$8,2,FALSE),0),
IF(AX600="K",VLOOKUP(L600,Foundation_Calc!$K$41:$R$74,VLOOKUP(AW600,Foundation_Calc!$I$2:$J$8,2,FALSE),0),"")))</f>
        <v/>
      </c>
      <c r="AZ600" s="631" t="str">
        <f>IF(K600="","",
IF(AX600="PT",VLOOKUP(K600,Foundation_Calc!$K$4:$R$37,VLOOKUP(AW600,Foundation_Calc!$I$2:$J$8,2,FALSE),0),
IF(AX600="K",VLOOKUP(K600,Foundation_Calc!$K$41:$R$74,VLOOKUP(AW600,Foundation_Calc!$I$2:$J$8,2,FALSE),0),"")))</f>
        <v/>
      </c>
      <c r="BA600" s="632" t="str">
        <f t="shared" si="40"/>
        <v/>
      </c>
      <c r="BB600" s="632" t="str">
        <f t="shared" si="41"/>
        <v/>
      </c>
      <c r="BC600" s="632" t="str">
        <f t="shared" si="42"/>
        <v/>
      </c>
      <c r="BD600" s="633" t="str">
        <f>IF(AND(L600="",H600=""),"",
IF(H600="",Pole_Calc!A628,
IF(H600="MP",Pole_Calc!A629,
IF(H600="AnMP",Pole_Calc!A630,
IF(H600="A",Pole_Calc!A631,
IF(H600="S/A",Pole_Calc!A632,
IF(H600="A/S",Pole_Calc!A633,"Poner a mano")))))))</f>
        <v/>
      </c>
      <c r="BE600" s="448" t="s">
        <v>1726</v>
      </c>
      <c r="BF600" s="634"/>
      <c r="BG600" s="634"/>
      <c r="BH600" s="634"/>
      <c r="BI600" s="634"/>
    </row>
    <row r="601" spans="1:61" ht="16.2" customHeight="1">
      <c r="A601" s="12"/>
      <c r="B601" s="446"/>
      <c r="C601" s="89"/>
      <c r="D601" s="13"/>
      <c r="E601" s="14"/>
      <c r="F601" s="14"/>
      <c r="G601" s="15"/>
      <c r="H601" s="8"/>
      <c r="I601" s="8"/>
      <c r="J601" s="89"/>
      <c r="K601" s="8"/>
      <c r="L601" s="8"/>
      <c r="M601" s="8" t="str">
        <f>IF(L601="","",
IF(AX601="PT",VLOOKUP(L601,Foundation_Calc!$V$4:$X$37,VLOOKUP(AX601,Foundation_Calc!$I$10:$J$13,2,FALSE),0),
IF(AX601="K",VLOOKUP(L601,Foundation_Calc!$V$41:$X$74,VLOOKUP(AX601,Foundation_Calc!$I$10:$J$13,2,FALSE),0),"")))</f>
        <v/>
      </c>
      <c r="N601" s="8"/>
      <c r="O601" s="8"/>
      <c r="P601" s="8"/>
      <c r="Q601" s="14"/>
      <c r="R601" s="15"/>
      <c r="S601" s="15"/>
      <c r="T601" s="14"/>
      <c r="U601" s="14"/>
      <c r="V601" s="14"/>
      <c r="W601" s="18"/>
      <c r="X601" s="18"/>
      <c r="Y601" s="18"/>
      <c r="Z601" s="18"/>
      <c r="AA601" s="18"/>
      <c r="AB601" s="18"/>
      <c r="AC601" s="8" t="str">
        <f t="shared" si="39"/>
        <v/>
      </c>
      <c r="AD601" s="8"/>
      <c r="AE601" s="8"/>
      <c r="AF601" s="14"/>
      <c r="AG601" s="13"/>
      <c r="AH601" s="14"/>
      <c r="AI601" s="14"/>
      <c r="AJ601" s="8"/>
      <c r="AK601" s="8"/>
      <c r="AL601" s="8"/>
      <c r="AM601" s="8"/>
      <c r="AN601" s="631"/>
      <c r="AO601" s="18"/>
      <c r="AP601" s="18"/>
      <c r="AQ601" s="18"/>
      <c r="AR601" s="18"/>
      <c r="AS601" s="18"/>
      <c r="AU601" s="448"/>
      <c r="AV601" s="448"/>
      <c r="AW601" s="8" t="str">
        <f>IF(C601&gt;0,VLOOKUP(C601,Foundation_Calc!$A$2:$C$986,3,1),
IF(J601&gt;0,VLOOKUP(J601,Foundation_Calc!$A$2:$C$986,3,1),""))</f>
        <v/>
      </c>
      <c r="AX601" s="8" t="str">
        <f>IF(C601&gt;0,VLOOKUP(C601,Foundation_Calc!$E$2:$G$986,3,1),
IF(J601&gt;0,VLOOKUP(J601,Foundation_Calc!$E$2:$G$986,3,1),""))</f>
        <v/>
      </c>
      <c r="AY601" s="631" t="str">
        <f>IF(L601="","",
IF(AX601="PT",VLOOKUP(L601,Foundation_Calc!$K$4:$R$37,VLOOKUP(AW601,Foundation_Calc!$I$2:$J$8,2,FALSE),0),
IF(AX601="K",VLOOKUP(L601,Foundation_Calc!$K$41:$R$74,VLOOKUP(AW601,Foundation_Calc!$I$2:$J$8,2,FALSE),0),"")))</f>
        <v/>
      </c>
      <c r="AZ601" s="631" t="str">
        <f>IF(K601="","",
IF(AX601="PT",VLOOKUP(K601,Foundation_Calc!$K$4:$R$37,VLOOKUP(AW601,Foundation_Calc!$I$2:$J$8,2,FALSE),0),
IF(AX601="K",VLOOKUP(K601,Foundation_Calc!$K$41:$R$74,VLOOKUP(AW601,Foundation_Calc!$I$2:$J$8,2,FALSE),0),"")))</f>
        <v/>
      </c>
      <c r="BA601" s="632" t="str">
        <f t="shared" si="40"/>
        <v/>
      </c>
      <c r="BB601" s="632" t="str">
        <f t="shared" si="41"/>
        <v/>
      </c>
      <c r="BC601" s="632" t="str">
        <f t="shared" si="42"/>
        <v/>
      </c>
      <c r="BD601" s="633" t="str">
        <f>IF(AND(L601="",H601=""),"",
IF(H601="",Pole_Calc!A629,
IF(H601="MP",Pole_Calc!A630,
IF(H601="AnMP",Pole_Calc!A631,
IF(H601="A",Pole_Calc!A632,
IF(H601="S/A",Pole_Calc!A633,
IF(H601="A/S",Pole_Calc!A634,"Poner a mano")))))))</f>
        <v/>
      </c>
      <c r="BE601" s="448" t="s">
        <v>1726</v>
      </c>
      <c r="BF601" s="635"/>
      <c r="BG601" s="635"/>
      <c r="BH601" s="634"/>
      <c r="BI601" s="635"/>
    </row>
    <row r="602" spans="1:61" ht="16.2" customHeight="1">
      <c r="A602" s="12"/>
      <c r="B602" s="446"/>
      <c r="C602" s="89"/>
      <c r="D602" s="13"/>
      <c r="E602" s="14"/>
      <c r="F602" s="14"/>
      <c r="G602" s="15"/>
      <c r="H602" s="8"/>
      <c r="I602" s="8"/>
      <c r="J602" s="89"/>
      <c r="K602" s="8"/>
      <c r="L602" s="8"/>
      <c r="M602" s="8" t="str">
        <f>IF(L602="","",
IF(AX602="PT",VLOOKUP(L602,Foundation_Calc!$V$4:$X$37,VLOOKUP(AX602,Foundation_Calc!$I$10:$J$13,2,FALSE),0),
IF(AX602="K",VLOOKUP(L602,Foundation_Calc!$V$41:$X$74,VLOOKUP(AX602,Foundation_Calc!$I$10:$J$13,2,FALSE),0),"")))</f>
        <v/>
      </c>
      <c r="N602" s="8"/>
      <c r="O602" s="8"/>
      <c r="P602" s="8"/>
      <c r="Q602" s="14"/>
      <c r="R602" s="15"/>
      <c r="S602" s="15"/>
      <c r="T602" s="14"/>
      <c r="U602" s="14"/>
      <c r="V602" s="14"/>
      <c r="W602" s="18"/>
      <c r="X602" s="18"/>
      <c r="Y602" s="18"/>
      <c r="Z602" s="18"/>
      <c r="AA602" s="18"/>
      <c r="AB602" s="18"/>
      <c r="AC602" s="8" t="str">
        <f t="shared" si="39"/>
        <v/>
      </c>
      <c r="AD602" s="8"/>
      <c r="AE602" s="8"/>
      <c r="AF602" s="14"/>
      <c r="AG602" s="13"/>
      <c r="AH602" s="14"/>
      <c r="AI602" s="14"/>
      <c r="AJ602" s="8"/>
      <c r="AK602" s="8"/>
      <c r="AL602" s="8"/>
      <c r="AM602" s="8"/>
      <c r="AN602" s="631"/>
      <c r="AO602" s="18"/>
      <c r="AP602" s="18"/>
      <c r="AQ602" s="18"/>
      <c r="AR602" s="18"/>
      <c r="AS602" s="18"/>
      <c r="AU602" s="448"/>
      <c r="AV602" s="448"/>
      <c r="AW602" s="8" t="str">
        <f>IF(C602&gt;0,VLOOKUP(C602,Foundation_Calc!$A$2:$C$986,3,1),
IF(J602&gt;0,VLOOKUP(J602,Foundation_Calc!$A$2:$C$986,3,1),""))</f>
        <v/>
      </c>
      <c r="AX602" s="8" t="str">
        <f>IF(C602&gt;0,VLOOKUP(C602,Foundation_Calc!$E$2:$G$986,3,1),
IF(J602&gt;0,VLOOKUP(J602,Foundation_Calc!$E$2:$G$986,3,1),""))</f>
        <v/>
      </c>
      <c r="AY602" s="631" t="str">
        <f>IF(L602="","",
IF(AX602="PT",VLOOKUP(L602,Foundation_Calc!$K$4:$R$37,VLOOKUP(AW602,Foundation_Calc!$I$2:$J$8,2,FALSE),0),
IF(AX602="K",VLOOKUP(L602,Foundation_Calc!$K$41:$R$74,VLOOKUP(AW602,Foundation_Calc!$I$2:$J$8,2,FALSE),0),"")))</f>
        <v/>
      </c>
      <c r="AZ602" s="631" t="str">
        <f>IF(K602="","",
IF(AX602="PT",VLOOKUP(K602,Foundation_Calc!$K$4:$R$37,VLOOKUP(AW602,Foundation_Calc!$I$2:$J$8,2,FALSE),0),
IF(AX602="K",VLOOKUP(K602,Foundation_Calc!$K$41:$R$74,VLOOKUP(AW602,Foundation_Calc!$I$2:$J$8,2,FALSE),0),"")))</f>
        <v/>
      </c>
      <c r="BA602" s="632" t="str">
        <f t="shared" si="40"/>
        <v/>
      </c>
      <c r="BB602" s="632" t="str">
        <f t="shared" si="41"/>
        <v/>
      </c>
      <c r="BC602" s="632" t="str">
        <f t="shared" si="42"/>
        <v/>
      </c>
      <c r="BD602" s="633" t="str">
        <f>IF(AND(L602="",H602=""),"",
IF(H602="",Pole_Calc!A630,
IF(H602="MP",Pole_Calc!A631,
IF(H602="AnMP",Pole_Calc!A632,
IF(H602="A",Pole_Calc!A633,
IF(H602="S/A",Pole_Calc!A634,
IF(H602="A/S",Pole_Calc!A635,"Poner a mano")))))))</f>
        <v/>
      </c>
      <c r="BE602" s="448" t="s">
        <v>1726</v>
      </c>
      <c r="BF602" s="634"/>
      <c r="BG602" s="634"/>
      <c r="BH602" s="634"/>
      <c r="BI602" s="634"/>
    </row>
    <row r="603" spans="1:61" ht="16.2" customHeight="1">
      <c r="A603" s="12"/>
      <c r="B603" s="446"/>
      <c r="C603" s="89"/>
      <c r="D603" s="13"/>
      <c r="E603" s="14"/>
      <c r="F603" s="14"/>
      <c r="G603" s="15"/>
      <c r="H603" s="8"/>
      <c r="I603" s="8"/>
      <c r="J603" s="89"/>
      <c r="K603" s="8"/>
      <c r="L603" s="8"/>
      <c r="M603" s="8" t="str">
        <f>IF(L603="","",
IF(AX603="PT",VLOOKUP(L603,Foundation_Calc!$V$4:$X$37,VLOOKUP(AX603,Foundation_Calc!$I$10:$J$13,2,FALSE),0),
IF(AX603="K",VLOOKUP(L603,Foundation_Calc!$V$41:$X$74,VLOOKUP(AX603,Foundation_Calc!$I$10:$J$13,2,FALSE),0),"")))</f>
        <v/>
      </c>
      <c r="N603" s="8"/>
      <c r="O603" s="8"/>
      <c r="P603" s="8"/>
      <c r="Q603" s="14"/>
      <c r="R603" s="15"/>
      <c r="S603" s="15"/>
      <c r="T603" s="14"/>
      <c r="U603" s="14"/>
      <c r="V603" s="14"/>
      <c r="W603" s="18"/>
      <c r="X603" s="18"/>
      <c r="Y603" s="18"/>
      <c r="Z603" s="18"/>
      <c r="AA603" s="18"/>
      <c r="AB603" s="18"/>
      <c r="AC603" s="8" t="str">
        <f t="shared" si="39"/>
        <v/>
      </c>
      <c r="AD603" s="8"/>
      <c r="AE603" s="8"/>
      <c r="AF603" s="14"/>
      <c r="AG603" s="13"/>
      <c r="AH603" s="14"/>
      <c r="AI603" s="14"/>
      <c r="AJ603" s="8"/>
      <c r="AK603" s="8"/>
      <c r="AL603" s="8"/>
      <c r="AM603" s="8"/>
      <c r="AN603" s="631"/>
      <c r="AO603" s="18"/>
      <c r="AP603" s="18"/>
      <c r="AQ603" s="18"/>
      <c r="AR603" s="18"/>
      <c r="AS603" s="18"/>
      <c r="AU603" s="448"/>
      <c r="AV603" s="448"/>
      <c r="AW603" s="8" t="str">
        <f>IF(C603&gt;0,VLOOKUP(C603,Foundation_Calc!$A$2:$C$986,3,1),
IF(J603&gt;0,VLOOKUP(J603,Foundation_Calc!$A$2:$C$986,3,1),""))</f>
        <v/>
      </c>
      <c r="AX603" s="8" t="str">
        <f>IF(C603&gt;0,VLOOKUP(C603,Foundation_Calc!$E$2:$G$986,3,1),
IF(J603&gt;0,VLOOKUP(J603,Foundation_Calc!$E$2:$G$986,3,1),""))</f>
        <v/>
      </c>
      <c r="AY603" s="631" t="str">
        <f>IF(L603="","",
IF(AX603="PT",VLOOKUP(L603,Foundation_Calc!$K$4:$R$37,VLOOKUP(AW603,Foundation_Calc!$I$2:$J$8,2,FALSE),0),
IF(AX603="K",VLOOKUP(L603,Foundation_Calc!$K$41:$R$74,VLOOKUP(AW603,Foundation_Calc!$I$2:$J$8,2,FALSE),0),"")))</f>
        <v/>
      </c>
      <c r="AZ603" s="631" t="str">
        <f>IF(K603="","",
IF(AX603="PT",VLOOKUP(K603,Foundation_Calc!$K$4:$R$37,VLOOKUP(AW603,Foundation_Calc!$I$2:$J$8,2,FALSE),0),
IF(AX603="K",VLOOKUP(K603,Foundation_Calc!$K$41:$R$74,VLOOKUP(AW603,Foundation_Calc!$I$2:$J$8,2,FALSE),0),"")))</f>
        <v/>
      </c>
      <c r="BA603" s="632" t="str">
        <f t="shared" si="40"/>
        <v/>
      </c>
      <c r="BB603" s="632" t="str">
        <f t="shared" si="41"/>
        <v/>
      </c>
      <c r="BC603" s="632" t="str">
        <f t="shared" si="42"/>
        <v/>
      </c>
      <c r="BD603" s="633" t="str">
        <f>IF(AND(L603="",H603=""),"",
IF(H603="",Pole_Calc!A631,
IF(H603="MP",Pole_Calc!A632,
IF(H603="AnMP",Pole_Calc!A633,
IF(H603="A",Pole_Calc!A634,
IF(H603="S/A",Pole_Calc!A635,
IF(H603="A/S",Pole_Calc!A636,"Poner a mano")))))))</f>
        <v/>
      </c>
      <c r="BE603" s="448" t="s">
        <v>1726</v>
      </c>
      <c r="BF603" s="635"/>
      <c r="BG603" s="635"/>
      <c r="BH603" s="634"/>
      <c r="BI603" s="635"/>
    </row>
    <row r="604" spans="1:61" ht="16.2" customHeight="1">
      <c r="A604" s="12"/>
      <c r="B604" s="446"/>
      <c r="C604" s="89"/>
      <c r="D604" s="13"/>
      <c r="E604" s="14"/>
      <c r="F604" s="14"/>
      <c r="G604" s="15"/>
      <c r="H604" s="8"/>
      <c r="I604" s="8"/>
      <c r="J604" s="89"/>
      <c r="K604" s="8"/>
      <c r="L604" s="8"/>
      <c r="M604" s="8" t="str">
        <f>IF(L604="","",
IF(AX604="PT",VLOOKUP(L604,Foundation_Calc!$V$4:$X$37,VLOOKUP(AX604,Foundation_Calc!$I$10:$J$13,2,FALSE),0),
IF(AX604="K",VLOOKUP(L604,Foundation_Calc!$V$41:$X$74,VLOOKUP(AX604,Foundation_Calc!$I$10:$J$13,2,FALSE),0),"")))</f>
        <v/>
      </c>
      <c r="N604" s="8"/>
      <c r="O604" s="8"/>
      <c r="P604" s="8"/>
      <c r="Q604" s="14"/>
      <c r="R604" s="15"/>
      <c r="S604" s="15"/>
      <c r="T604" s="14"/>
      <c r="U604" s="14"/>
      <c r="V604" s="14"/>
      <c r="W604" s="18"/>
      <c r="X604" s="18"/>
      <c r="Y604" s="18"/>
      <c r="Z604" s="18"/>
      <c r="AA604" s="18"/>
      <c r="AB604" s="18"/>
      <c r="AC604" s="8" t="str">
        <f t="shared" si="39"/>
        <v/>
      </c>
      <c r="AD604" s="8"/>
      <c r="AE604" s="8"/>
      <c r="AF604" s="14"/>
      <c r="AG604" s="13"/>
      <c r="AH604" s="14"/>
      <c r="AI604" s="14"/>
      <c r="AJ604" s="8"/>
      <c r="AK604" s="8"/>
      <c r="AL604" s="8"/>
      <c r="AM604" s="8"/>
      <c r="AN604" s="631"/>
      <c r="AO604" s="18"/>
      <c r="AP604" s="18"/>
      <c r="AQ604" s="18"/>
      <c r="AR604" s="18"/>
      <c r="AS604" s="18"/>
      <c r="AU604" s="448"/>
      <c r="AV604" s="448"/>
      <c r="AW604" s="8" t="str">
        <f>IF(C604&gt;0,VLOOKUP(C604,Foundation_Calc!$A$2:$C$986,3,1),
IF(J604&gt;0,VLOOKUP(J604,Foundation_Calc!$A$2:$C$986,3,1),""))</f>
        <v/>
      </c>
      <c r="AX604" s="8" t="str">
        <f>IF(C604&gt;0,VLOOKUP(C604,Foundation_Calc!$E$2:$G$986,3,1),
IF(J604&gt;0,VLOOKUP(J604,Foundation_Calc!$E$2:$G$986,3,1),""))</f>
        <v/>
      </c>
      <c r="AY604" s="631" t="str">
        <f>IF(L604="","",
IF(AX604="PT",VLOOKUP(L604,Foundation_Calc!$K$4:$R$37,VLOOKUP(AW604,Foundation_Calc!$I$2:$J$8,2,FALSE),0),
IF(AX604="K",VLOOKUP(L604,Foundation_Calc!$K$41:$R$74,VLOOKUP(AW604,Foundation_Calc!$I$2:$J$8,2,FALSE),0),"")))</f>
        <v/>
      </c>
      <c r="AZ604" s="631" t="str">
        <f>IF(K604="","",
IF(AX604="PT",VLOOKUP(K604,Foundation_Calc!$K$4:$R$37,VLOOKUP(AW604,Foundation_Calc!$I$2:$J$8,2,FALSE),0),
IF(AX604="K",VLOOKUP(K604,Foundation_Calc!$K$41:$R$74,VLOOKUP(AW604,Foundation_Calc!$I$2:$J$8,2,FALSE),0),"")))</f>
        <v/>
      </c>
      <c r="BA604" s="632" t="str">
        <f t="shared" si="40"/>
        <v/>
      </c>
      <c r="BB604" s="632" t="str">
        <f t="shared" si="41"/>
        <v/>
      </c>
      <c r="BC604" s="632" t="str">
        <f t="shared" si="42"/>
        <v/>
      </c>
      <c r="BD604" s="633" t="str">
        <f>IF(AND(L604="",H604=""),"",
IF(H604="",Pole_Calc!A632,
IF(H604="MP",Pole_Calc!A633,
IF(H604="AnMP",Pole_Calc!A634,
IF(H604="A",Pole_Calc!A635,
IF(H604="S/A",Pole_Calc!A636,
IF(H604="A/S",Pole_Calc!A637,"Poner a mano")))))))</f>
        <v/>
      </c>
      <c r="BE604" s="448" t="s">
        <v>1726</v>
      </c>
      <c r="BF604" s="634"/>
      <c r="BG604" s="634"/>
      <c r="BH604" s="634"/>
      <c r="BI604" s="634"/>
    </row>
    <row r="605" spans="1:61" ht="16.2" customHeight="1">
      <c r="A605" s="12"/>
      <c r="B605" s="446"/>
      <c r="C605" s="89"/>
      <c r="D605" s="13"/>
      <c r="E605" s="14"/>
      <c r="F605" s="14"/>
      <c r="G605" s="15"/>
      <c r="H605" s="8"/>
      <c r="I605" s="8"/>
      <c r="J605" s="89"/>
      <c r="K605" s="8"/>
      <c r="L605" s="8"/>
      <c r="M605" s="8" t="str">
        <f>IF(L605="","",
IF(AX605="PT",VLOOKUP(L605,Foundation_Calc!$V$4:$X$37,VLOOKUP(AX605,Foundation_Calc!$I$10:$J$13,2,FALSE),0),
IF(AX605="K",VLOOKUP(L605,Foundation_Calc!$V$41:$X$74,VLOOKUP(AX605,Foundation_Calc!$I$10:$J$13,2,FALSE),0),"")))</f>
        <v/>
      </c>
      <c r="N605" s="8"/>
      <c r="O605" s="8"/>
      <c r="P605" s="8"/>
      <c r="Q605" s="14"/>
      <c r="R605" s="15"/>
      <c r="S605" s="15"/>
      <c r="T605" s="14"/>
      <c r="U605" s="14"/>
      <c r="V605" s="14"/>
      <c r="W605" s="18"/>
      <c r="X605" s="18"/>
      <c r="Y605" s="18"/>
      <c r="Z605" s="18"/>
      <c r="AA605" s="18"/>
      <c r="AB605" s="18"/>
      <c r="AC605" s="8" t="str">
        <f t="shared" si="39"/>
        <v/>
      </c>
      <c r="AD605" s="8"/>
      <c r="AE605" s="8"/>
      <c r="AF605" s="14"/>
      <c r="AG605" s="13"/>
      <c r="AH605" s="14"/>
      <c r="AI605" s="14"/>
      <c r="AJ605" s="8"/>
      <c r="AK605" s="8"/>
      <c r="AL605" s="8"/>
      <c r="AM605" s="8"/>
      <c r="AN605" s="631"/>
      <c r="AO605" s="18"/>
      <c r="AP605" s="18"/>
      <c r="AQ605" s="18"/>
      <c r="AR605" s="18"/>
      <c r="AS605" s="18"/>
      <c r="AU605" s="448"/>
      <c r="AV605" s="448"/>
      <c r="AW605" s="8" t="str">
        <f>IF(C605&gt;0,VLOOKUP(C605,Foundation_Calc!$A$2:$C$986,3,1),
IF(J605&gt;0,VLOOKUP(J605,Foundation_Calc!$A$2:$C$986,3,1),""))</f>
        <v/>
      </c>
      <c r="AX605" s="8" t="str">
        <f>IF(C605&gt;0,VLOOKUP(C605,Foundation_Calc!$E$2:$G$986,3,1),
IF(J605&gt;0,VLOOKUP(J605,Foundation_Calc!$E$2:$G$986,3,1),""))</f>
        <v/>
      </c>
      <c r="AY605" s="631" t="str">
        <f>IF(L605="","",
IF(AX605="PT",VLOOKUP(L605,Foundation_Calc!$K$4:$R$37,VLOOKUP(AW605,Foundation_Calc!$I$2:$J$8,2,FALSE),0),
IF(AX605="K",VLOOKUP(L605,Foundation_Calc!$K$41:$R$74,VLOOKUP(AW605,Foundation_Calc!$I$2:$J$8,2,FALSE),0),"")))</f>
        <v/>
      </c>
      <c r="AZ605" s="631" t="str">
        <f>IF(K605="","",
IF(AX605="PT",VLOOKUP(K605,Foundation_Calc!$K$4:$R$37,VLOOKUP(AW605,Foundation_Calc!$I$2:$J$8,2,FALSE),0),
IF(AX605="K",VLOOKUP(K605,Foundation_Calc!$K$41:$R$74,VLOOKUP(AW605,Foundation_Calc!$I$2:$J$8,2,FALSE),0),"")))</f>
        <v/>
      </c>
      <c r="BA605" s="632" t="str">
        <f t="shared" si="40"/>
        <v/>
      </c>
      <c r="BB605" s="632" t="str">
        <f t="shared" si="41"/>
        <v/>
      </c>
      <c r="BC605" s="632" t="str">
        <f t="shared" si="42"/>
        <v/>
      </c>
      <c r="BD605" s="633" t="str">
        <f>IF(AND(L605="",H605=""),"",
IF(H605="",Pole_Calc!A633,
IF(H605="MP",Pole_Calc!A634,
IF(H605="AnMP",Pole_Calc!A635,
IF(H605="A",Pole_Calc!A636,
IF(H605="S/A",Pole_Calc!A637,
IF(H605="A/S",Pole_Calc!A638,"Poner a mano")))))))</f>
        <v/>
      </c>
      <c r="BE605" s="448" t="s">
        <v>1726</v>
      </c>
      <c r="BF605" s="635"/>
      <c r="BG605" s="635"/>
      <c r="BH605" s="634"/>
      <c r="BI605" s="635"/>
    </row>
    <row r="606" spans="1:61" ht="16.2" customHeight="1">
      <c r="A606" s="12"/>
      <c r="B606" s="446"/>
      <c r="C606" s="89"/>
      <c r="D606" s="13"/>
      <c r="E606" s="14"/>
      <c r="F606" s="14"/>
      <c r="G606" s="15"/>
      <c r="H606" s="8"/>
      <c r="I606" s="8"/>
      <c r="J606" s="89"/>
      <c r="K606" s="8"/>
      <c r="L606" s="8"/>
      <c r="M606" s="8" t="str">
        <f>IF(L606="","",
IF(AX606="PT",VLOOKUP(L606,Foundation_Calc!$V$4:$X$37,VLOOKUP(AX606,Foundation_Calc!$I$10:$J$13,2,FALSE),0),
IF(AX606="K",VLOOKUP(L606,Foundation_Calc!$V$41:$X$74,VLOOKUP(AX606,Foundation_Calc!$I$10:$J$13,2,FALSE),0),"")))</f>
        <v/>
      </c>
      <c r="N606" s="8"/>
      <c r="O606" s="8"/>
      <c r="P606" s="8"/>
      <c r="Q606" s="14"/>
      <c r="R606" s="15"/>
      <c r="S606" s="15"/>
      <c r="T606" s="14"/>
      <c r="U606" s="14"/>
      <c r="V606" s="14"/>
      <c r="W606" s="18"/>
      <c r="X606" s="18"/>
      <c r="Y606" s="18"/>
      <c r="Z606" s="18"/>
      <c r="AA606" s="18"/>
      <c r="AB606" s="18"/>
      <c r="AC606" s="8" t="str">
        <f t="shared" si="39"/>
        <v/>
      </c>
      <c r="AD606" s="8"/>
      <c r="AE606" s="8"/>
      <c r="AF606" s="14"/>
      <c r="AG606" s="13"/>
      <c r="AH606" s="14"/>
      <c r="AI606" s="14"/>
      <c r="AJ606" s="8"/>
      <c r="AK606" s="8"/>
      <c r="AL606" s="8"/>
      <c r="AM606" s="8"/>
      <c r="AN606" s="631"/>
      <c r="AO606" s="18"/>
      <c r="AP606" s="18"/>
      <c r="AQ606" s="18"/>
      <c r="AR606" s="18"/>
      <c r="AS606" s="18"/>
      <c r="AU606" s="448"/>
      <c r="AV606" s="448"/>
      <c r="AW606" s="8" t="str">
        <f>IF(C606&gt;0,VLOOKUP(C606,Foundation_Calc!$A$2:$C$986,3,1),
IF(J606&gt;0,VLOOKUP(J606,Foundation_Calc!$A$2:$C$986,3,1),""))</f>
        <v/>
      </c>
      <c r="AX606" s="8" t="str">
        <f>IF(C606&gt;0,VLOOKUP(C606,Foundation_Calc!$E$2:$G$986,3,1),
IF(J606&gt;0,VLOOKUP(J606,Foundation_Calc!$E$2:$G$986,3,1),""))</f>
        <v/>
      </c>
      <c r="AY606" s="631" t="str">
        <f>IF(L606="","",
IF(AX606="PT",VLOOKUP(L606,Foundation_Calc!$K$4:$R$37,VLOOKUP(AW606,Foundation_Calc!$I$2:$J$8,2,FALSE),0),
IF(AX606="K",VLOOKUP(L606,Foundation_Calc!$K$41:$R$74,VLOOKUP(AW606,Foundation_Calc!$I$2:$J$8,2,FALSE),0),"")))</f>
        <v/>
      </c>
      <c r="AZ606" s="631" t="str">
        <f>IF(K606="","",
IF(AX606="PT",VLOOKUP(K606,Foundation_Calc!$K$4:$R$37,VLOOKUP(AW606,Foundation_Calc!$I$2:$J$8,2,FALSE),0),
IF(AX606="K",VLOOKUP(K606,Foundation_Calc!$K$41:$R$74,VLOOKUP(AW606,Foundation_Calc!$I$2:$J$8,2,FALSE),0),"")))</f>
        <v/>
      </c>
      <c r="BA606" s="632" t="str">
        <f t="shared" si="40"/>
        <v/>
      </c>
      <c r="BB606" s="632" t="str">
        <f t="shared" si="41"/>
        <v/>
      </c>
      <c r="BC606" s="632" t="str">
        <f t="shared" si="42"/>
        <v/>
      </c>
      <c r="BD606" s="633" t="str">
        <f>IF(AND(L606="",H606=""),"",
IF(H606="",Pole_Calc!A634,
IF(H606="MP",Pole_Calc!A635,
IF(H606="AnMP",Pole_Calc!A636,
IF(H606="A",Pole_Calc!A637,
IF(H606="S/A",Pole_Calc!A638,
IF(H606="A/S",Pole_Calc!A639,"Poner a mano")))))))</f>
        <v/>
      </c>
      <c r="BE606" s="448" t="s">
        <v>1726</v>
      </c>
      <c r="BF606" s="634"/>
      <c r="BG606" s="634"/>
      <c r="BH606" s="634"/>
      <c r="BI606" s="634"/>
    </row>
    <row r="607" spans="1:61" ht="16.2" customHeight="1">
      <c r="A607" s="12"/>
      <c r="B607" s="446"/>
      <c r="C607" s="89"/>
      <c r="D607" s="13"/>
      <c r="E607" s="14"/>
      <c r="F607" s="14"/>
      <c r="G607" s="15"/>
      <c r="H607" s="8"/>
      <c r="I607" s="8"/>
      <c r="J607" s="89"/>
      <c r="K607" s="8"/>
      <c r="L607" s="8"/>
      <c r="M607" s="8" t="str">
        <f>IF(L607="","",
IF(AX607="PT",VLOOKUP(L607,Foundation_Calc!$V$4:$X$37,VLOOKUP(AX607,Foundation_Calc!$I$10:$J$13,2,FALSE),0),
IF(AX607="K",VLOOKUP(L607,Foundation_Calc!$V$41:$X$74,VLOOKUP(AX607,Foundation_Calc!$I$10:$J$13,2,FALSE),0),"")))</f>
        <v/>
      </c>
      <c r="N607" s="8"/>
      <c r="O607" s="8"/>
      <c r="P607" s="8"/>
      <c r="Q607" s="14"/>
      <c r="R607" s="15"/>
      <c r="S607" s="15"/>
      <c r="T607" s="14"/>
      <c r="U607" s="14"/>
      <c r="V607" s="14"/>
      <c r="W607" s="18"/>
      <c r="X607" s="18"/>
      <c r="Y607" s="18"/>
      <c r="Z607" s="18"/>
      <c r="AA607" s="18"/>
      <c r="AB607" s="18"/>
      <c r="AC607" s="8" t="str">
        <f t="shared" si="39"/>
        <v/>
      </c>
      <c r="AD607" s="8"/>
      <c r="AE607" s="8"/>
      <c r="AF607" s="14"/>
      <c r="AG607" s="13"/>
      <c r="AH607" s="14"/>
      <c r="AI607" s="14"/>
      <c r="AJ607" s="8"/>
      <c r="AK607" s="8"/>
      <c r="AL607" s="8"/>
      <c r="AM607" s="8"/>
      <c r="AN607" s="631"/>
      <c r="AO607" s="18"/>
      <c r="AP607" s="18"/>
      <c r="AQ607" s="18"/>
      <c r="AR607" s="18"/>
      <c r="AS607" s="18"/>
      <c r="AU607" s="448"/>
      <c r="AV607" s="448"/>
      <c r="AW607" s="8" t="str">
        <f>IF(C607&gt;0,VLOOKUP(C607,Foundation_Calc!$A$2:$C$986,3,1),
IF(J607&gt;0,VLOOKUP(J607,Foundation_Calc!$A$2:$C$986,3,1),""))</f>
        <v/>
      </c>
      <c r="AX607" s="8" t="str">
        <f>IF(C607&gt;0,VLOOKUP(C607,Foundation_Calc!$E$2:$G$986,3,1),
IF(J607&gt;0,VLOOKUP(J607,Foundation_Calc!$E$2:$G$986,3,1),""))</f>
        <v/>
      </c>
      <c r="AY607" s="631" t="str">
        <f>IF(L607="","",
IF(AX607="PT",VLOOKUP(L607,Foundation_Calc!$K$4:$R$37,VLOOKUP(AW607,Foundation_Calc!$I$2:$J$8,2,FALSE),0),
IF(AX607="K",VLOOKUP(L607,Foundation_Calc!$K$41:$R$74,VLOOKUP(AW607,Foundation_Calc!$I$2:$J$8,2,FALSE),0),"")))</f>
        <v/>
      </c>
      <c r="AZ607" s="631" t="str">
        <f>IF(K607="","",
IF(AX607="PT",VLOOKUP(K607,Foundation_Calc!$K$4:$R$37,VLOOKUP(AW607,Foundation_Calc!$I$2:$J$8,2,FALSE),0),
IF(AX607="K",VLOOKUP(K607,Foundation_Calc!$K$41:$R$74,VLOOKUP(AW607,Foundation_Calc!$I$2:$J$8,2,FALSE),0),"")))</f>
        <v/>
      </c>
      <c r="BA607" s="632" t="str">
        <f t="shared" si="40"/>
        <v/>
      </c>
      <c r="BB607" s="632" t="str">
        <f t="shared" si="41"/>
        <v/>
      </c>
      <c r="BC607" s="632" t="str">
        <f t="shared" si="42"/>
        <v/>
      </c>
      <c r="BD607" s="633" t="str">
        <f>IF(AND(L607="",H607=""),"",
IF(H607="",Pole_Calc!A635,
IF(H607="MP",Pole_Calc!A636,
IF(H607="AnMP",Pole_Calc!A637,
IF(H607="A",Pole_Calc!A638,
IF(H607="S/A",Pole_Calc!A639,
IF(H607="A/S",Pole_Calc!A640,"Poner a mano")))))))</f>
        <v/>
      </c>
      <c r="BE607" s="448" t="s">
        <v>1726</v>
      </c>
      <c r="BF607" s="635"/>
      <c r="BG607" s="635"/>
      <c r="BH607" s="634"/>
      <c r="BI607" s="635"/>
    </row>
    <row r="608" spans="1:61" ht="16.2" customHeight="1">
      <c r="A608" s="12"/>
      <c r="B608" s="446"/>
      <c r="C608" s="89"/>
      <c r="D608" s="13"/>
      <c r="E608" s="14"/>
      <c r="F608" s="14"/>
      <c r="G608" s="15"/>
      <c r="H608" s="8"/>
      <c r="I608" s="8"/>
      <c r="J608" s="89"/>
      <c r="K608" s="8"/>
      <c r="L608" s="8"/>
      <c r="M608" s="8" t="str">
        <f>IF(L608="","",
IF(AX608="PT",VLOOKUP(L608,Foundation_Calc!$V$4:$X$37,VLOOKUP(AX608,Foundation_Calc!$I$10:$J$13,2,FALSE),0),
IF(AX608="K",VLOOKUP(L608,Foundation_Calc!$V$41:$X$74,VLOOKUP(AX608,Foundation_Calc!$I$10:$J$13,2,FALSE),0),"")))</f>
        <v/>
      </c>
      <c r="N608" s="8"/>
      <c r="O608" s="8"/>
      <c r="P608" s="8"/>
      <c r="Q608" s="14"/>
      <c r="R608" s="15"/>
      <c r="S608" s="15"/>
      <c r="T608" s="14"/>
      <c r="U608" s="14"/>
      <c r="V608" s="14"/>
      <c r="W608" s="18"/>
      <c r="X608" s="18"/>
      <c r="Y608" s="18"/>
      <c r="Z608" s="18"/>
      <c r="AA608" s="18"/>
      <c r="AB608" s="18"/>
      <c r="AC608" s="8" t="str">
        <f t="shared" si="39"/>
        <v/>
      </c>
      <c r="AD608" s="8"/>
      <c r="AE608" s="8"/>
      <c r="AF608" s="14"/>
      <c r="AG608" s="13"/>
      <c r="AH608" s="14"/>
      <c r="AI608" s="14"/>
      <c r="AJ608" s="8"/>
      <c r="AK608" s="8"/>
      <c r="AL608" s="8"/>
      <c r="AM608" s="8"/>
      <c r="AN608" s="631"/>
      <c r="AO608" s="18"/>
      <c r="AP608" s="18"/>
      <c r="AQ608" s="18"/>
      <c r="AR608" s="18"/>
      <c r="AS608" s="18"/>
      <c r="AU608" s="448"/>
      <c r="AV608" s="448"/>
      <c r="AW608" s="8" t="str">
        <f>IF(C608&gt;0,VLOOKUP(C608,Foundation_Calc!$A$2:$C$986,3,1),
IF(J608&gt;0,VLOOKUP(J608,Foundation_Calc!$A$2:$C$986,3,1),""))</f>
        <v/>
      </c>
      <c r="AX608" s="8" t="str">
        <f>IF(C608&gt;0,VLOOKUP(C608,Foundation_Calc!$E$2:$G$986,3,1),
IF(J608&gt;0,VLOOKUP(J608,Foundation_Calc!$E$2:$G$986,3,1),""))</f>
        <v/>
      </c>
      <c r="AY608" s="631" t="str">
        <f>IF(L608="","",
IF(AX608="PT",VLOOKUP(L608,Foundation_Calc!$K$4:$R$37,VLOOKUP(AW608,Foundation_Calc!$I$2:$J$8,2,FALSE),0),
IF(AX608="K",VLOOKUP(L608,Foundation_Calc!$K$41:$R$74,VLOOKUP(AW608,Foundation_Calc!$I$2:$J$8,2,FALSE),0),"")))</f>
        <v/>
      </c>
      <c r="AZ608" s="631" t="str">
        <f>IF(K608="","",
IF(AX608="PT",VLOOKUP(K608,Foundation_Calc!$K$4:$R$37,VLOOKUP(AW608,Foundation_Calc!$I$2:$J$8,2,FALSE),0),
IF(AX608="K",VLOOKUP(K608,Foundation_Calc!$K$41:$R$74,VLOOKUP(AW608,Foundation_Calc!$I$2:$J$8,2,FALSE),0),"")))</f>
        <v/>
      </c>
      <c r="BA608" s="632" t="str">
        <f t="shared" si="40"/>
        <v/>
      </c>
      <c r="BB608" s="632" t="str">
        <f t="shared" si="41"/>
        <v/>
      </c>
      <c r="BC608" s="632" t="str">
        <f t="shared" si="42"/>
        <v/>
      </c>
      <c r="BD608" s="633" t="str">
        <f>IF(AND(L608="",H608=""),"",
IF(H608="",Pole_Calc!A636,
IF(H608="MP",Pole_Calc!A637,
IF(H608="AnMP",Pole_Calc!A638,
IF(H608="A",Pole_Calc!A639,
IF(H608="S/A",Pole_Calc!A640,
IF(H608="A/S",Pole_Calc!A641,"Poner a mano")))))))</f>
        <v/>
      </c>
      <c r="BE608" s="448" t="s">
        <v>1726</v>
      </c>
      <c r="BF608" s="634"/>
      <c r="BG608" s="634"/>
      <c r="BH608" s="634"/>
      <c r="BI608" s="634"/>
    </row>
    <row r="609" spans="1:61" ht="16.2" customHeight="1">
      <c r="A609" s="12"/>
      <c r="B609" s="446"/>
      <c r="C609" s="89"/>
      <c r="D609" s="13"/>
      <c r="E609" s="14"/>
      <c r="F609" s="14"/>
      <c r="G609" s="15"/>
      <c r="H609" s="8"/>
      <c r="I609" s="8"/>
      <c r="J609" s="89"/>
      <c r="K609" s="8"/>
      <c r="L609" s="8"/>
      <c r="M609" s="8" t="str">
        <f>IF(L609="","",
IF(AX609="PT",VLOOKUP(L609,Foundation_Calc!$V$4:$X$37,VLOOKUP(AX609,Foundation_Calc!$I$10:$J$13,2,FALSE),0),
IF(AX609="K",VLOOKUP(L609,Foundation_Calc!$V$41:$X$74,VLOOKUP(AX609,Foundation_Calc!$I$10:$J$13,2,FALSE),0),"")))</f>
        <v/>
      </c>
      <c r="N609" s="8"/>
      <c r="O609" s="8"/>
      <c r="P609" s="8"/>
      <c r="Q609" s="14"/>
      <c r="R609" s="15"/>
      <c r="S609" s="15"/>
      <c r="T609" s="14"/>
      <c r="U609" s="14"/>
      <c r="V609" s="14"/>
      <c r="W609" s="18"/>
      <c r="X609" s="18"/>
      <c r="Y609" s="18"/>
      <c r="Z609" s="18"/>
      <c r="AA609" s="18"/>
      <c r="AB609" s="18"/>
      <c r="AC609" s="8" t="str">
        <f t="shared" si="39"/>
        <v/>
      </c>
      <c r="AD609" s="8"/>
      <c r="AE609" s="8"/>
      <c r="AF609" s="14"/>
      <c r="AG609" s="13"/>
      <c r="AH609" s="14"/>
      <c r="AI609" s="14"/>
      <c r="AJ609" s="8"/>
      <c r="AK609" s="8"/>
      <c r="AL609" s="8"/>
      <c r="AM609" s="8"/>
      <c r="AN609" s="631"/>
      <c r="AO609" s="18"/>
      <c r="AP609" s="18"/>
      <c r="AQ609" s="18"/>
      <c r="AR609" s="18"/>
      <c r="AS609" s="18"/>
      <c r="AU609" s="448"/>
      <c r="AV609" s="448"/>
      <c r="AW609" s="8" t="str">
        <f>IF(C609&gt;0,VLOOKUP(C609,Foundation_Calc!$A$2:$C$986,3,1),
IF(J609&gt;0,VLOOKUP(J609,Foundation_Calc!$A$2:$C$986,3,1),""))</f>
        <v/>
      </c>
      <c r="AX609" s="8" t="str">
        <f>IF(C609&gt;0,VLOOKUP(C609,Foundation_Calc!$E$2:$G$986,3,1),
IF(J609&gt;0,VLOOKUP(J609,Foundation_Calc!$E$2:$G$986,3,1),""))</f>
        <v/>
      </c>
      <c r="AY609" s="631" t="str">
        <f>IF(L609="","",
IF(AX609="PT",VLOOKUP(L609,Foundation_Calc!$K$4:$R$37,VLOOKUP(AW609,Foundation_Calc!$I$2:$J$8,2,FALSE),0),
IF(AX609="K",VLOOKUP(L609,Foundation_Calc!$K$41:$R$74,VLOOKUP(AW609,Foundation_Calc!$I$2:$J$8,2,FALSE),0),"")))</f>
        <v/>
      </c>
      <c r="AZ609" s="631" t="str">
        <f>IF(K609="","",
IF(AX609="PT",VLOOKUP(K609,Foundation_Calc!$K$4:$R$37,VLOOKUP(AW609,Foundation_Calc!$I$2:$J$8,2,FALSE),0),
IF(AX609="K",VLOOKUP(K609,Foundation_Calc!$K$41:$R$74,VLOOKUP(AW609,Foundation_Calc!$I$2:$J$8,2,FALSE),0),"")))</f>
        <v/>
      </c>
      <c r="BA609" s="632" t="str">
        <f t="shared" si="40"/>
        <v/>
      </c>
      <c r="BB609" s="632" t="str">
        <f t="shared" si="41"/>
        <v/>
      </c>
      <c r="BC609" s="632" t="str">
        <f t="shared" si="42"/>
        <v/>
      </c>
      <c r="BD609" s="633" t="str">
        <f>IF(AND(L609="",H609=""),"",
IF(H609="",Pole_Calc!A637,
IF(H609="MP",Pole_Calc!A638,
IF(H609="AnMP",Pole_Calc!A639,
IF(H609="A",Pole_Calc!A640,
IF(H609="S/A",Pole_Calc!A641,
IF(H609="A/S",Pole_Calc!A642,"Poner a mano")))))))</f>
        <v/>
      </c>
      <c r="BE609" s="448" t="s">
        <v>1726</v>
      </c>
      <c r="BF609" s="635"/>
      <c r="BG609" s="635"/>
      <c r="BH609" s="634"/>
      <c r="BI609" s="635"/>
    </row>
    <row r="610" spans="1:61" ht="16.2" customHeight="1">
      <c r="A610" s="12"/>
      <c r="B610" s="446"/>
      <c r="C610" s="89"/>
      <c r="D610" s="13"/>
      <c r="E610" s="14"/>
      <c r="F610" s="14"/>
      <c r="G610" s="15"/>
      <c r="H610" s="8"/>
      <c r="I610" s="8"/>
      <c r="J610" s="89"/>
      <c r="K610" s="8"/>
      <c r="L610" s="8"/>
      <c r="M610" s="8" t="str">
        <f>IF(L610="","",
IF(AX610="PT",VLOOKUP(L610,Foundation_Calc!$V$4:$X$37,VLOOKUP(AX610,Foundation_Calc!$I$10:$J$13,2,FALSE),0),
IF(AX610="K",VLOOKUP(L610,Foundation_Calc!$V$41:$X$74,VLOOKUP(AX610,Foundation_Calc!$I$10:$J$13,2,FALSE),0),"")))</f>
        <v/>
      </c>
      <c r="N610" s="8"/>
      <c r="O610" s="8"/>
      <c r="P610" s="8"/>
      <c r="Q610" s="14"/>
      <c r="R610" s="15"/>
      <c r="S610" s="15"/>
      <c r="T610" s="14"/>
      <c r="U610" s="14"/>
      <c r="V610" s="14"/>
      <c r="W610" s="18"/>
      <c r="X610" s="18"/>
      <c r="Y610" s="18"/>
      <c r="Z610" s="18"/>
      <c r="AA610" s="18"/>
      <c r="AB610" s="18"/>
      <c r="AC610" s="8" t="str">
        <f t="shared" si="39"/>
        <v/>
      </c>
      <c r="AD610" s="8"/>
      <c r="AE610" s="8"/>
      <c r="AF610" s="14"/>
      <c r="AG610" s="13"/>
      <c r="AH610" s="14"/>
      <c r="AI610" s="14"/>
      <c r="AJ610" s="8"/>
      <c r="AK610" s="8"/>
      <c r="AL610" s="8"/>
      <c r="AM610" s="8"/>
      <c r="AN610" s="631"/>
      <c r="AO610" s="18"/>
      <c r="AP610" s="18"/>
      <c r="AQ610" s="18"/>
      <c r="AR610" s="18"/>
      <c r="AS610" s="18"/>
      <c r="AU610" s="448"/>
      <c r="AV610" s="448"/>
      <c r="AW610" s="8" t="str">
        <f>IF(C610&gt;0,VLOOKUP(C610,Foundation_Calc!$A$2:$C$986,3,1),
IF(J610&gt;0,VLOOKUP(J610,Foundation_Calc!$A$2:$C$986,3,1),""))</f>
        <v/>
      </c>
      <c r="AX610" s="8" t="str">
        <f>IF(C610&gt;0,VLOOKUP(C610,Foundation_Calc!$E$2:$G$986,3,1),
IF(J610&gt;0,VLOOKUP(J610,Foundation_Calc!$E$2:$G$986,3,1),""))</f>
        <v/>
      </c>
      <c r="AY610" s="631" t="str">
        <f>IF(L610="","",
IF(AX610="PT",VLOOKUP(L610,Foundation_Calc!$K$4:$R$37,VLOOKUP(AW610,Foundation_Calc!$I$2:$J$8,2,FALSE),0),
IF(AX610="K",VLOOKUP(L610,Foundation_Calc!$K$41:$R$74,VLOOKUP(AW610,Foundation_Calc!$I$2:$J$8,2,FALSE),0),"")))</f>
        <v/>
      </c>
      <c r="AZ610" s="631" t="str">
        <f>IF(K610="","",
IF(AX610="PT",VLOOKUP(K610,Foundation_Calc!$K$4:$R$37,VLOOKUP(AW610,Foundation_Calc!$I$2:$J$8,2,FALSE),0),
IF(AX610="K",VLOOKUP(K610,Foundation_Calc!$K$41:$R$74,VLOOKUP(AW610,Foundation_Calc!$I$2:$J$8,2,FALSE),0),"")))</f>
        <v/>
      </c>
      <c r="BA610" s="632" t="str">
        <f t="shared" si="40"/>
        <v/>
      </c>
      <c r="BB610" s="632" t="str">
        <f t="shared" si="41"/>
        <v/>
      </c>
      <c r="BC610" s="632" t="str">
        <f t="shared" si="42"/>
        <v/>
      </c>
      <c r="BD610" s="633" t="str">
        <f>IF(AND(L610="",H610=""),"",
IF(H610="",Pole_Calc!A638,
IF(H610="MP",Pole_Calc!A639,
IF(H610="AnMP",Pole_Calc!A640,
IF(H610="A",Pole_Calc!A641,
IF(H610="S/A",Pole_Calc!A642,
IF(H610="A/S",Pole_Calc!A643,"Poner a mano")))))))</f>
        <v/>
      </c>
      <c r="BE610" s="448" t="s">
        <v>1726</v>
      </c>
      <c r="BF610" s="634"/>
      <c r="BG610" s="634"/>
      <c r="BH610" s="634"/>
      <c r="BI610" s="634"/>
    </row>
    <row r="611" spans="1:61" ht="16.2" customHeight="1">
      <c r="A611" s="12"/>
      <c r="B611" s="446"/>
      <c r="C611" s="89"/>
      <c r="D611" s="13"/>
      <c r="E611" s="14"/>
      <c r="F611" s="14"/>
      <c r="G611" s="15"/>
      <c r="H611" s="8"/>
      <c r="I611" s="8"/>
      <c r="J611" s="89"/>
      <c r="K611" s="8"/>
      <c r="L611" s="8"/>
      <c r="M611" s="8" t="str">
        <f>IF(L611="","",
IF(AX611="PT",VLOOKUP(L611,Foundation_Calc!$V$4:$X$37,VLOOKUP(AX611,Foundation_Calc!$I$10:$J$13,2,FALSE),0),
IF(AX611="K",VLOOKUP(L611,Foundation_Calc!$V$41:$X$74,VLOOKUP(AX611,Foundation_Calc!$I$10:$J$13,2,FALSE),0),"")))</f>
        <v/>
      </c>
      <c r="N611" s="8"/>
      <c r="O611" s="8"/>
      <c r="P611" s="8"/>
      <c r="Q611" s="14"/>
      <c r="R611" s="15"/>
      <c r="S611" s="15"/>
      <c r="T611" s="14"/>
      <c r="U611" s="14"/>
      <c r="V611" s="14"/>
      <c r="W611" s="18"/>
      <c r="X611" s="18"/>
      <c r="Y611" s="18"/>
      <c r="Z611" s="18"/>
      <c r="AA611" s="18"/>
      <c r="AB611" s="18"/>
      <c r="AC611" s="8" t="str">
        <f t="shared" si="39"/>
        <v/>
      </c>
      <c r="AD611" s="8"/>
      <c r="AE611" s="8"/>
      <c r="AF611" s="14"/>
      <c r="AG611" s="13"/>
      <c r="AH611" s="14"/>
      <c r="AI611" s="14"/>
      <c r="AJ611" s="8"/>
      <c r="AK611" s="8"/>
      <c r="AL611" s="8"/>
      <c r="AM611" s="8"/>
      <c r="AN611" s="631"/>
      <c r="AO611" s="18"/>
      <c r="AP611" s="18"/>
      <c r="AQ611" s="18"/>
      <c r="AR611" s="18"/>
      <c r="AS611" s="18"/>
      <c r="AU611" s="448"/>
      <c r="AV611" s="448"/>
      <c r="AW611" s="8" t="str">
        <f>IF(C611&gt;0,VLOOKUP(C611,Foundation_Calc!$A$2:$C$986,3,1),
IF(J611&gt;0,VLOOKUP(J611,Foundation_Calc!$A$2:$C$986,3,1),""))</f>
        <v/>
      </c>
      <c r="AX611" s="8" t="str">
        <f>IF(C611&gt;0,VLOOKUP(C611,Foundation_Calc!$E$2:$G$986,3,1),
IF(J611&gt;0,VLOOKUP(J611,Foundation_Calc!$E$2:$G$986,3,1),""))</f>
        <v/>
      </c>
      <c r="AY611" s="631" t="str">
        <f>IF(L611="","",
IF(AX611="PT",VLOOKUP(L611,Foundation_Calc!$K$4:$R$37,VLOOKUP(AW611,Foundation_Calc!$I$2:$J$8,2,FALSE),0),
IF(AX611="K",VLOOKUP(L611,Foundation_Calc!$K$41:$R$74,VLOOKUP(AW611,Foundation_Calc!$I$2:$J$8,2,FALSE),0),"")))</f>
        <v/>
      </c>
      <c r="AZ611" s="631" t="str">
        <f>IF(K611="","",
IF(AX611="PT",VLOOKUP(K611,Foundation_Calc!$K$4:$R$37,VLOOKUP(AW611,Foundation_Calc!$I$2:$J$8,2,FALSE),0),
IF(AX611="K",VLOOKUP(K611,Foundation_Calc!$K$41:$R$74,VLOOKUP(AW611,Foundation_Calc!$I$2:$J$8,2,FALSE),0),"")))</f>
        <v/>
      </c>
      <c r="BA611" s="632" t="str">
        <f t="shared" si="40"/>
        <v/>
      </c>
      <c r="BB611" s="632" t="str">
        <f t="shared" si="41"/>
        <v/>
      </c>
      <c r="BC611" s="632" t="str">
        <f t="shared" si="42"/>
        <v/>
      </c>
      <c r="BD611" s="633" t="str">
        <f>IF(AND(L611="",H611=""),"",
IF(H611="",Pole_Calc!A639,
IF(H611="MP",Pole_Calc!A640,
IF(H611="AnMP",Pole_Calc!A641,
IF(H611="A",Pole_Calc!A642,
IF(H611="S/A",Pole_Calc!A643,
IF(H611="A/S",Pole_Calc!A644,"Poner a mano")))))))</f>
        <v/>
      </c>
      <c r="BE611" s="448" t="s">
        <v>1726</v>
      </c>
      <c r="BF611" s="635"/>
      <c r="BG611" s="635"/>
      <c r="BH611" s="634"/>
      <c r="BI611" s="635"/>
    </row>
    <row r="612" spans="1:61" ht="16.2" customHeight="1">
      <c r="A612" s="12"/>
      <c r="B612" s="446"/>
      <c r="C612" s="89"/>
      <c r="D612" s="13"/>
      <c r="E612" s="14"/>
      <c r="F612" s="14"/>
      <c r="G612" s="15"/>
      <c r="H612" s="8"/>
      <c r="I612" s="8"/>
      <c r="J612" s="89"/>
      <c r="K612" s="8"/>
      <c r="L612" s="8"/>
      <c r="M612" s="8" t="str">
        <f>IF(L612="","",
IF(AX612="PT",VLOOKUP(L612,Foundation_Calc!$V$4:$X$37,VLOOKUP(AX612,Foundation_Calc!$I$10:$J$13,2,FALSE),0),
IF(AX612="K",VLOOKUP(L612,Foundation_Calc!$V$41:$X$74,VLOOKUP(AX612,Foundation_Calc!$I$10:$J$13,2,FALSE),0),"")))</f>
        <v/>
      </c>
      <c r="N612" s="8"/>
      <c r="O612" s="8"/>
      <c r="P612" s="8"/>
      <c r="Q612" s="14"/>
      <c r="R612" s="15"/>
      <c r="S612" s="15"/>
      <c r="T612" s="14"/>
      <c r="U612" s="14"/>
      <c r="V612" s="14"/>
      <c r="W612" s="18"/>
      <c r="X612" s="18"/>
      <c r="Y612" s="18"/>
      <c r="Z612" s="18"/>
      <c r="AA612" s="18"/>
      <c r="AB612" s="18"/>
      <c r="AC612" s="8" t="str">
        <f t="shared" si="39"/>
        <v/>
      </c>
      <c r="AD612" s="8"/>
      <c r="AE612" s="8"/>
      <c r="AF612" s="14"/>
      <c r="AG612" s="13"/>
      <c r="AH612" s="14"/>
      <c r="AI612" s="14"/>
      <c r="AJ612" s="8"/>
      <c r="AK612" s="8"/>
      <c r="AL612" s="8"/>
      <c r="AM612" s="8"/>
      <c r="AN612" s="631"/>
      <c r="AO612" s="18"/>
      <c r="AP612" s="18"/>
      <c r="AQ612" s="18"/>
      <c r="AR612" s="18"/>
      <c r="AS612" s="18"/>
      <c r="AU612" s="448"/>
      <c r="AV612" s="448"/>
      <c r="AW612" s="8" t="str">
        <f>IF(C612&gt;0,VLOOKUP(C612,Foundation_Calc!$A$2:$C$986,3,1),
IF(J612&gt;0,VLOOKUP(J612,Foundation_Calc!$A$2:$C$986,3,1),""))</f>
        <v/>
      </c>
      <c r="AX612" s="8" t="str">
        <f>IF(C612&gt;0,VLOOKUP(C612,Foundation_Calc!$E$2:$G$986,3,1),
IF(J612&gt;0,VLOOKUP(J612,Foundation_Calc!$E$2:$G$986,3,1),""))</f>
        <v/>
      </c>
      <c r="AY612" s="631" t="str">
        <f>IF(L612="","",
IF(AX612="PT",VLOOKUP(L612,Foundation_Calc!$K$4:$R$37,VLOOKUP(AW612,Foundation_Calc!$I$2:$J$8,2,FALSE),0),
IF(AX612="K",VLOOKUP(L612,Foundation_Calc!$K$41:$R$74,VLOOKUP(AW612,Foundation_Calc!$I$2:$J$8,2,FALSE),0),"")))</f>
        <v/>
      </c>
      <c r="AZ612" s="631" t="str">
        <f>IF(K612="","",
IF(AX612="PT",VLOOKUP(K612,Foundation_Calc!$K$4:$R$37,VLOOKUP(AW612,Foundation_Calc!$I$2:$J$8,2,FALSE),0),
IF(AX612="K",VLOOKUP(K612,Foundation_Calc!$K$41:$R$74,VLOOKUP(AW612,Foundation_Calc!$I$2:$J$8,2,FALSE),0),"")))</f>
        <v/>
      </c>
      <c r="BA612" s="632" t="str">
        <f t="shared" si="40"/>
        <v/>
      </c>
      <c r="BB612" s="632" t="str">
        <f t="shared" si="41"/>
        <v/>
      </c>
      <c r="BC612" s="632" t="str">
        <f t="shared" si="42"/>
        <v/>
      </c>
      <c r="BD612" s="633" t="str">
        <f>IF(AND(L612="",H612=""),"",
IF(H612="",Pole_Calc!A640,
IF(H612="MP",Pole_Calc!A641,
IF(H612="AnMP",Pole_Calc!A642,
IF(H612="A",Pole_Calc!A643,
IF(H612="S/A",Pole_Calc!A644,
IF(H612="A/S",Pole_Calc!A645,"Poner a mano")))))))</f>
        <v/>
      </c>
      <c r="BE612" s="448" t="s">
        <v>1726</v>
      </c>
      <c r="BF612" s="634"/>
      <c r="BG612" s="634"/>
      <c r="BH612" s="634"/>
      <c r="BI612" s="634"/>
    </row>
    <row r="613" spans="1:61" ht="16.2" customHeight="1">
      <c r="A613" s="12"/>
      <c r="B613" s="446"/>
      <c r="C613" s="89"/>
      <c r="D613" s="13"/>
      <c r="E613" s="14"/>
      <c r="F613" s="14"/>
      <c r="G613" s="15"/>
      <c r="H613" s="8"/>
      <c r="I613" s="8"/>
      <c r="J613" s="89"/>
      <c r="K613" s="8"/>
      <c r="L613" s="8"/>
      <c r="M613" s="8" t="str">
        <f>IF(L613="","",
IF(AX613="PT",VLOOKUP(L613,Foundation_Calc!$V$4:$X$37,VLOOKUP(AX613,Foundation_Calc!$I$10:$J$13,2,FALSE),0),
IF(AX613="K",VLOOKUP(L613,Foundation_Calc!$V$41:$X$74,VLOOKUP(AX613,Foundation_Calc!$I$10:$J$13,2,FALSE),0),"")))</f>
        <v/>
      </c>
      <c r="N613" s="8"/>
      <c r="O613" s="8"/>
      <c r="P613" s="8"/>
      <c r="Q613" s="14"/>
      <c r="R613" s="15"/>
      <c r="S613" s="15"/>
      <c r="T613" s="14"/>
      <c r="U613" s="14"/>
      <c r="V613" s="14"/>
      <c r="W613" s="18"/>
      <c r="X613" s="18"/>
      <c r="Y613" s="18"/>
      <c r="Z613" s="18"/>
      <c r="AA613" s="18"/>
      <c r="AB613" s="18"/>
      <c r="AC613" s="8" t="str">
        <f t="shared" si="39"/>
        <v/>
      </c>
      <c r="AD613" s="8"/>
      <c r="AE613" s="8"/>
      <c r="AF613" s="14"/>
      <c r="AG613" s="13"/>
      <c r="AH613" s="14"/>
      <c r="AI613" s="14"/>
      <c r="AJ613" s="8"/>
      <c r="AK613" s="8"/>
      <c r="AL613" s="8"/>
      <c r="AM613" s="8"/>
      <c r="AN613" s="631"/>
      <c r="AO613" s="18"/>
      <c r="AP613" s="18"/>
      <c r="AQ613" s="18"/>
      <c r="AR613" s="18"/>
      <c r="AS613" s="18"/>
      <c r="AU613" s="448"/>
      <c r="AV613" s="448"/>
      <c r="AW613" s="8" t="str">
        <f>IF(C613&gt;0,VLOOKUP(C613,Foundation_Calc!$A$2:$C$986,3,1),
IF(J613&gt;0,VLOOKUP(J613,Foundation_Calc!$A$2:$C$986,3,1),""))</f>
        <v/>
      </c>
      <c r="AX613" s="8" t="str">
        <f>IF(C613&gt;0,VLOOKUP(C613,Foundation_Calc!$E$2:$G$986,3,1),
IF(J613&gt;0,VLOOKUP(J613,Foundation_Calc!$E$2:$G$986,3,1),""))</f>
        <v/>
      </c>
      <c r="AY613" s="631" t="str">
        <f>IF(L613="","",
IF(AX613="PT",VLOOKUP(L613,Foundation_Calc!$K$4:$R$37,VLOOKUP(AW613,Foundation_Calc!$I$2:$J$8,2,FALSE),0),
IF(AX613="K",VLOOKUP(L613,Foundation_Calc!$K$41:$R$74,VLOOKUP(AW613,Foundation_Calc!$I$2:$J$8,2,FALSE),0),"")))</f>
        <v/>
      </c>
      <c r="AZ613" s="631" t="str">
        <f>IF(K613="","",
IF(AX613="PT",VLOOKUP(K613,Foundation_Calc!$K$4:$R$37,VLOOKUP(AW613,Foundation_Calc!$I$2:$J$8,2,FALSE),0),
IF(AX613="K",VLOOKUP(K613,Foundation_Calc!$K$41:$R$74,VLOOKUP(AW613,Foundation_Calc!$I$2:$J$8,2,FALSE),0),"")))</f>
        <v/>
      </c>
      <c r="BA613" s="632" t="str">
        <f t="shared" si="40"/>
        <v/>
      </c>
      <c r="BB613" s="632" t="str">
        <f t="shared" si="41"/>
        <v/>
      </c>
      <c r="BC613" s="632" t="str">
        <f t="shared" si="42"/>
        <v/>
      </c>
      <c r="BD613" s="633" t="str">
        <f>IF(AND(L613="",H613=""),"",
IF(H613="",Pole_Calc!A641,
IF(H613="MP",Pole_Calc!A642,
IF(H613="AnMP",Pole_Calc!A643,
IF(H613="A",Pole_Calc!A644,
IF(H613="S/A",Pole_Calc!A645,
IF(H613="A/S",Pole_Calc!A646,"Poner a mano")))))))</f>
        <v/>
      </c>
      <c r="BE613" s="448" t="s">
        <v>1726</v>
      </c>
      <c r="BF613" s="635"/>
      <c r="BG613" s="635"/>
      <c r="BH613" s="634"/>
      <c r="BI613" s="635"/>
    </row>
    <row r="614" spans="1:61" ht="16.2" customHeight="1">
      <c r="A614" s="12"/>
      <c r="B614" s="446"/>
      <c r="C614" s="89"/>
      <c r="D614" s="13"/>
      <c r="E614" s="14"/>
      <c r="F614" s="14"/>
      <c r="G614" s="15"/>
      <c r="H614" s="8"/>
      <c r="I614" s="8"/>
      <c r="J614" s="89"/>
      <c r="K614" s="8"/>
      <c r="L614" s="8"/>
      <c r="M614" s="8" t="str">
        <f>IF(L614="","",
IF(AX614="PT",VLOOKUP(L614,Foundation_Calc!$V$4:$X$37,VLOOKUP(AX614,Foundation_Calc!$I$10:$J$13,2,FALSE),0),
IF(AX614="K",VLOOKUP(L614,Foundation_Calc!$V$41:$X$74,VLOOKUP(AX614,Foundation_Calc!$I$10:$J$13,2,FALSE),0),"")))</f>
        <v/>
      </c>
      <c r="N614" s="8"/>
      <c r="O614" s="8"/>
      <c r="P614" s="8"/>
      <c r="Q614" s="14"/>
      <c r="R614" s="15"/>
      <c r="S614" s="15"/>
      <c r="T614" s="14"/>
      <c r="U614" s="14"/>
      <c r="V614" s="14"/>
      <c r="W614" s="18"/>
      <c r="X614" s="18"/>
      <c r="Y614" s="18"/>
      <c r="Z614" s="18"/>
      <c r="AA614" s="18"/>
      <c r="AB614" s="18"/>
      <c r="AC614" s="8" t="str">
        <f t="shared" si="39"/>
        <v/>
      </c>
      <c r="AD614" s="8"/>
      <c r="AE614" s="8"/>
      <c r="AF614" s="14"/>
      <c r="AG614" s="13"/>
      <c r="AH614" s="14"/>
      <c r="AI614" s="14"/>
      <c r="AJ614" s="8"/>
      <c r="AK614" s="8"/>
      <c r="AL614" s="8"/>
      <c r="AM614" s="8"/>
      <c r="AN614" s="631"/>
      <c r="AO614" s="18"/>
      <c r="AP614" s="18"/>
      <c r="AQ614" s="18"/>
      <c r="AR614" s="18"/>
      <c r="AS614" s="18"/>
      <c r="AU614" s="448"/>
      <c r="AV614" s="448"/>
      <c r="AW614" s="8" t="str">
        <f>IF(C614&gt;0,VLOOKUP(C614,Foundation_Calc!$A$2:$C$986,3,1),
IF(J614&gt;0,VLOOKUP(J614,Foundation_Calc!$A$2:$C$986,3,1),""))</f>
        <v/>
      </c>
      <c r="AX614" s="8" t="str">
        <f>IF(C614&gt;0,VLOOKUP(C614,Foundation_Calc!$E$2:$G$986,3,1),
IF(J614&gt;0,VLOOKUP(J614,Foundation_Calc!$E$2:$G$986,3,1),""))</f>
        <v/>
      </c>
      <c r="AY614" s="631" t="str">
        <f>IF(L614="","",
IF(AX614="PT",VLOOKUP(L614,Foundation_Calc!$K$4:$R$37,VLOOKUP(AW614,Foundation_Calc!$I$2:$J$8,2,FALSE),0),
IF(AX614="K",VLOOKUP(L614,Foundation_Calc!$K$41:$R$74,VLOOKUP(AW614,Foundation_Calc!$I$2:$J$8,2,FALSE),0),"")))</f>
        <v/>
      </c>
      <c r="AZ614" s="631" t="str">
        <f>IF(K614="","",
IF(AX614="PT",VLOOKUP(K614,Foundation_Calc!$K$4:$R$37,VLOOKUP(AW614,Foundation_Calc!$I$2:$J$8,2,FALSE),0),
IF(AX614="K",VLOOKUP(K614,Foundation_Calc!$K$41:$R$74,VLOOKUP(AW614,Foundation_Calc!$I$2:$J$8,2,FALSE),0),"")))</f>
        <v/>
      </c>
      <c r="BA614" s="632" t="str">
        <f t="shared" si="40"/>
        <v/>
      </c>
      <c r="BB614" s="632" t="str">
        <f t="shared" si="41"/>
        <v/>
      </c>
      <c r="BC614" s="632" t="str">
        <f t="shared" si="42"/>
        <v/>
      </c>
      <c r="BD614" s="633" t="str">
        <f>IF(AND(L614="",H614=""),"",
IF(H614="",Pole_Calc!A642,
IF(H614="MP",Pole_Calc!A643,
IF(H614="AnMP",Pole_Calc!A644,
IF(H614="A",Pole_Calc!A645,
IF(H614="S/A",Pole_Calc!A646,
IF(H614="A/S",Pole_Calc!A647,"Poner a mano")))))))</f>
        <v/>
      </c>
      <c r="BE614" s="448" t="s">
        <v>1726</v>
      </c>
      <c r="BF614" s="634"/>
      <c r="BG614" s="634"/>
      <c r="BH614" s="634"/>
      <c r="BI614" s="634"/>
    </row>
    <row r="615" spans="1:61" ht="16.2" customHeight="1">
      <c r="A615" s="12"/>
      <c r="B615" s="446"/>
      <c r="C615" s="89"/>
      <c r="D615" s="13"/>
      <c r="E615" s="14"/>
      <c r="F615" s="14"/>
      <c r="G615" s="15"/>
      <c r="H615" s="8"/>
      <c r="I615" s="8"/>
      <c r="J615" s="89"/>
      <c r="K615" s="8"/>
      <c r="L615" s="8"/>
      <c r="M615" s="8" t="str">
        <f>IF(L615="","",
IF(AX615="PT",VLOOKUP(L615,Foundation_Calc!$V$4:$X$37,VLOOKUP(AX615,Foundation_Calc!$I$10:$J$13,2,FALSE),0),
IF(AX615="K",VLOOKUP(L615,Foundation_Calc!$V$41:$X$74,VLOOKUP(AX615,Foundation_Calc!$I$10:$J$13,2,FALSE),0),"")))</f>
        <v/>
      </c>
      <c r="N615" s="8"/>
      <c r="O615" s="8"/>
      <c r="P615" s="8"/>
      <c r="Q615" s="14"/>
      <c r="R615" s="15"/>
      <c r="S615" s="15"/>
      <c r="T615" s="14"/>
      <c r="U615" s="14"/>
      <c r="V615" s="14"/>
      <c r="W615" s="18"/>
      <c r="X615" s="18"/>
      <c r="Y615" s="18"/>
      <c r="Z615" s="18"/>
      <c r="AA615" s="18"/>
      <c r="AB615" s="18"/>
      <c r="AC615" s="8" t="str">
        <f t="shared" si="39"/>
        <v/>
      </c>
      <c r="AD615" s="8"/>
      <c r="AE615" s="8"/>
      <c r="AF615" s="14"/>
      <c r="AG615" s="13"/>
      <c r="AH615" s="14"/>
      <c r="AI615" s="14"/>
      <c r="AJ615" s="8"/>
      <c r="AK615" s="8"/>
      <c r="AL615" s="8"/>
      <c r="AM615" s="8"/>
      <c r="AN615" s="631"/>
      <c r="AO615" s="18"/>
      <c r="AP615" s="18"/>
      <c r="AQ615" s="18"/>
      <c r="AR615" s="18"/>
      <c r="AS615" s="18"/>
      <c r="AU615" s="448"/>
      <c r="AV615" s="448"/>
      <c r="AW615" s="8" t="str">
        <f>IF(C615&gt;0,VLOOKUP(C615,Foundation_Calc!$A$2:$C$986,3,1),
IF(J615&gt;0,VLOOKUP(J615,Foundation_Calc!$A$2:$C$986,3,1),""))</f>
        <v/>
      </c>
      <c r="AX615" s="8" t="str">
        <f>IF(C615&gt;0,VLOOKUP(C615,Foundation_Calc!$E$2:$G$986,3,1),
IF(J615&gt;0,VLOOKUP(J615,Foundation_Calc!$E$2:$G$986,3,1),""))</f>
        <v/>
      </c>
      <c r="AY615" s="631" t="str">
        <f>IF(L615="","",
IF(AX615="PT",VLOOKUP(L615,Foundation_Calc!$K$4:$R$37,VLOOKUP(AW615,Foundation_Calc!$I$2:$J$8,2,FALSE),0),
IF(AX615="K",VLOOKUP(L615,Foundation_Calc!$K$41:$R$74,VLOOKUP(AW615,Foundation_Calc!$I$2:$J$8,2,FALSE),0),"")))</f>
        <v/>
      </c>
      <c r="AZ615" s="631" t="str">
        <f>IF(K615="","",
IF(AX615="PT",VLOOKUP(K615,Foundation_Calc!$K$4:$R$37,VLOOKUP(AW615,Foundation_Calc!$I$2:$J$8,2,FALSE),0),
IF(AX615="K",VLOOKUP(K615,Foundation_Calc!$K$41:$R$74,VLOOKUP(AW615,Foundation_Calc!$I$2:$J$8,2,FALSE),0),"")))</f>
        <v/>
      </c>
      <c r="BA615" s="632" t="str">
        <f t="shared" si="40"/>
        <v/>
      </c>
      <c r="BB615" s="632" t="str">
        <f t="shared" si="41"/>
        <v/>
      </c>
      <c r="BC615" s="632" t="str">
        <f t="shared" si="42"/>
        <v/>
      </c>
      <c r="BD615" s="633" t="str">
        <f>IF(AND(L615="",H615=""),"",
IF(H615="",Pole_Calc!A643,
IF(H615="MP",Pole_Calc!A644,
IF(H615="AnMP",Pole_Calc!A645,
IF(H615="A",Pole_Calc!A646,
IF(H615="S/A",Pole_Calc!A647,
IF(H615="A/S",Pole_Calc!A648,"Poner a mano")))))))</f>
        <v/>
      </c>
      <c r="BE615" s="448" t="s">
        <v>1726</v>
      </c>
      <c r="BF615" s="635"/>
      <c r="BG615" s="635"/>
      <c r="BH615" s="634"/>
      <c r="BI615" s="635"/>
    </row>
    <row r="616" spans="1:61" ht="16.2" customHeight="1">
      <c r="A616" s="12"/>
      <c r="B616" s="446"/>
      <c r="C616" s="89"/>
      <c r="D616" s="13"/>
      <c r="E616" s="14"/>
      <c r="F616" s="14"/>
      <c r="G616" s="15"/>
      <c r="H616" s="8"/>
      <c r="I616" s="8"/>
      <c r="J616" s="89"/>
      <c r="K616" s="8"/>
      <c r="L616" s="8"/>
      <c r="M616" s="8" t="str">
        <f>IF(L616="","",
IF(AX616="PT",VLOOKUP(L616,Foundation_Calc!$V$4:$X$37,VLOOKUP(AX616,Foundation_Calc!$I$10:$J$13,2,FALSE),0),
IF(AX616="K",VLOOKUP(L616,Foundation_Calc!$V$41:$X$74,VLOOKUP(AX616,Foundation_Calc!$I$10:$J$13,2,FALSE),0),"")))</f>
        <v/>
      </c>
      <c r="N616" s="8"/>
      <c r="O616" s="8"/>
      <c r="P616" s="8"/>
      <c r="Q616" s="14"/>
      <c r="R616" s="15"/>
      <c r="S616" s="15"/>
      <c r="T616" s="14"/>
      <c r="U616" s="14"/>
      <c r="V616" s="14"/>
      <c r="W616" s="18"/>
      <c r="X616" s="18"/>
      <c r="Y616" s="18"/>
      <c r="Z616" s="18"/>
      <c r="AA616" s="18"/>
      <c r="AB616" s="18"/>
      <c r="AC616" s="8" t="str">
        <f t="shared" si="39"/>
        <v/>
      </c>
      <c r="AD616" s="8"/>
      <c r="AE616" s="8"/>
      <c r="AF616" s="14"/>
      <c r="AG616" s="13"/>
      <c r="AH616" s="14"/>
      <c r="AI616" s="14"/>
      <c r="AJ616" s="8"/>
      <c r="AK616" s="8"/>
      <c r="AL616" s="8"/>
      <c r="AM616" s="8"/>
      <c r="AN616" s="631"/>
      <c r="AO616" s="18"/>
      <c r="AP616" s="18"/>
      <c r="AQ616" s="18"/>
      <c r="AR616" s="18"/>
      <c r="AS616" s="18"/>
      <c r="AU616" s="448"/>
      <c r="AV616" s="448"/>
      <c r="AW616" s="8" t="str">
        <f>IF(C616&gt;0,VLOOKUP(C616,Foundation_Calc!$A$2:$C$986,3,1),
IF(J616&gt;0,VLOOKUP(J616,Foundation_Calc!$A$2:$C$986,3,1),""))</f>
        <v/>
      </c>
      <c r="AX616" s="8" t="str">
        <f>IF(C616&gt;0,VLOOKUP(C616,Foundation_Calc!$E$2:$G$986,3,1),
IF(J616&gt;0,VLOOKUP(J616,Foundation_Calc!$E$2:$G$986,3,1),""))</f>
        <v/>
      </c>
      <c r="AY616" s="631" t="str">
        <f>IF(L616="","",
IF(AX616="PT",VLOOKUP(L616,Foundation_Calc!$K$4:$R$37,VLOOKUP(AW616,Foundation_Calc!$I$2:$J$8,2,FALSE),0),
IF(AX616="K",VLOOKUP(L616,Foundation_Calc!$K$41:$R$74,VLOOKUP(AW616,Foundation_Calc!$I$2:$J$8,2,FALSE),0),"")))</f>
        <v/>
      </c>
      <c r="AZ616" s="631" t="str">
        <f>IF(K616="","",
IF(AX616="PT",VLOOKUP(K616,Foundation_Calc!$K$4:$R$37,VLOOKUP(AW616,Foundation_Calc!$I$2:$J$8,2,FALSE),0),
IF(AX616="K",VLOOKUP(K616,Foundation_Calc!$K$41:$R$74,VLOOKUP(AW616,Foundation_Calc!$I$2:$J$8,2,FALSE),0),"")))</f>
        <v/>
      </c>
      <c r="BA616" s="632" t="str">
        <f t="shared" si="40"/>
        <v/>
      </c>
      <c r="BB616" s="632" t="str">
        <f t="shared" si="41"/>
        <v/>
      </c>
      <c r="BC616" s="632" t="str">
        <f t="shared" si="42"/>
        <v/>
      </c>
      <c r="BD616" s="633" t="str">
        <f>IF(AND(L616="",H616=""),"",
IF(H616="",Pole_Calc!A644,
IF(H616="MP",Pole_Calc!A645,
IF(H616="AnMP",Pole_Calc!A646,
IF(H616="A",Pole_Calc!A647,
IF(H616="S/A",Pole_Calc!A648,
IF(H616="A/S",Pole_Calc!A649,"Poner a mano")))))))</f>
        <v/>
      </c>
      <c r="BE616" s="448" t="s">
        <v>1726</v>
      </c>
      <c r="BF616" s="634"/>
      <c r="BG616" s="634"/>
      <c r="BH616" s="634"/>
      <c r="BI616" s="634"/>
    </row>
    <row r="617" spans="1:61" ht="16.2" customHeight="1">
      <c r="A617" s="12"/>
      <c r="B617" s="446"/>
      <c r="C617" s="89"/>
      <c r="D617" s="13"/>
      <c r="E617" s="14"/>
      <c r="F617" s="14"/>
      <c r="G617" s="15"/>
      <c r="H617" s="8"/>
      <c r="I617" s="8"/>
      <c r="J617" s="89"/>
      <c r="K617" s="8"/>
      <c r="L617" s="8"/>
      <c r="M617" s="8" t="str">
        <f>IF(L617="","",
IF(AX617="PT",VLOOKUP(L617,Foundation_Calc!$V$4:$X$37,VLOOKUP(AX617,Foundation_Calc!$I$10:$J$13,2,FALSE),0),
IF(AX617="K",VLOOKUP(L617,Foundation_Calc!$V$41:$X$74,VLOOKUP(AX617,Foundation_Calc!$I$10:$J$13,2,FALSE),0),"")))</f>
        <v/>
      </c>
      <c r="N617" s="8"/>
      <c r="O617" s="8"/>
      <c r="P617" s="8"/>
      <c r="Q617" s="14"/>
      <c r="R617" s="15"/>
      <c r="S617" s="15"/>
      <c r="T617" s="14"/>
      <c r="U617" s="14"/>
      <c r="V617" s="14"/>
      <c r="W617" s="18"/>
      <c r="X617" s="18"/>
      <c r="Y617" s="18"/>
      <c r="Z617" s="18"/>
      <c r="AA617" s="18"/>
      <c r="AB617" s="18"/>
      <c r="AC617" s="8" t="str">
        <f t="shared" si="39"/>
        <v/>
      </c>
      <c r="AD617" s="8"/>
      <c r="AE617" s="8"/>
      <c r="AF617" s="14"/>
      <c r="AG617" s="13"/>
      <c r="AH617" s="14"/>
      <c r="AI617" s="14"/>
      <c r="AJ617" s="8"/>
      <c r="AK617" s="8"/>
      <c r="AL617" s="8"/>
      <c r="AM617" s="8"/>
      <c r="AN617" s="631"/>
      <c r="AO617" s="18"/>
      <c r="AP617" s="18"/>
      <c r="AQ617" s="18"/>
      <c r="AR617" s="18"/>
      <c r="AS617" s="18"/>
      <c r="AU617" s="448"/>
      <c r="AV617" s="448"/>
      <c r="AW617" s="8" t="str">
        <f>IF(C617&gt;0,VLOOKUP(C617,Foundation_Calc!$A$2:$C$986,3,1),
IF(J617&gt;0,VLOOKUP(J617,Foundation_Calc!$A$2:$C$986,3,1),""))</f>
        <v/>
      </c>
      <c r="AX617" s="8" t="str">
        <f>IF(C617&gt;0,VLOOKUP(C617,Foundation_Calc!$E$2:$G$986,3,1),
IF(J617&gt;0,VLOOKUP(J617,Foundation_Calc!$E$2:$G$986,3,1),""))</f>
        <v/>
      </c>
      <c r="AY617" s="631" t="str">
        <f>IF(L617="","",
IF(AX617="PT",VLOOKUP(L617,Foundation_Calc!$K$4:$R$37,VLOOKUP(AW617,Foundation_Calc!$I$2:$J$8,2,FALSE),0),
IF(AX617="K",VLOOKUP(L617,Foundation_Calc!$K$41:$R$74,VLOOKUP(AW617,Foundation_Calc!$I$2:$J$8,2,FALSE),0),"")))</f>
        <v/>
      </c>
      <c r="AZ617" s="631" t="str">
        <f>IF(K617="","",
IF(AX617="PT",VLOOKUP(K617,Foundation_Calc!$K$4:$R$37,VLOOKUP(AW617,Foundation_Calc!$I$2:$J$8,2,FALSE),0),
IF(AX617="K",VLOOKUP(K617,Foundation_Calc!$K$41:$R$74,VLOOKUP(AW617,Foundation_Calc!$I$2:$J$8,2,FALSE),0),"")))</f>
        <v/>
      </c>
      <c r="BA617" s="632" t="str">
        <f t="shared" si="40"/>
        <v/>
      </c>
      <c r="BB617" s="632" t="str">
        <f t="shared" si="41"/>
        <v/>
      </c>
      <c r="BC617" s="632" t="str">
        <f t="shared" si="42"/>
        <v/>
      </c>
      <c r="BD617" s="633" t="str">
        <f>IF(AND(L617="",H617=""),"",
IF(H617="",Pole_Calc!A645,
IF(H617="MP",Pole_Calc!A646,
IF(H617="AnMP",Pole_Calc!A647,
IF(H617="A",Pole_Calc!A648,
IF(H617="S/A",Pole_Calc!A649,
IF(H617="A/S",Pole_Calc!A650,"Poner a mano")))))))</f>
        <v/>
      </c>
      <c r="BE617" s="448" t="s">
        <v>1726</v>
      </c>
      <c r="BF617" s="635"/>
      <c r="BG617" s="635"/>
      <c r="BH617" s="634"/>
      <c r="BI617" s="635"/>
    </row>
    <row r="618" spans="1:61" ht="16.2" customHeight="1">
      <c r="A618" s="12"/>
      <c r="B618" s="446"/>
      <c r="C618" s="89"/>
      <c r="D618" s="13"/>
      <c r="E618" s="14"/>
      <c r="F618" s="14"/>
      <c r="G618" s="15"/>
      <c r="H618" s="8"/>
      <c r="I618" s="8"/>
      <c r="J618" s="89"/>
      <c r="K618" s="8"/>
      <c r="L618" s="8"/>
      <c r="M618" s="8" t="str">
        <f>IF(L618="","",
IF(AX618="PT",VLOOKUP(L618,Foundation_Calc!$V$4:$X$37,VLOOKUP(AX618,Foundation_Calc!$I$10:$J$13,2,FALSE),0),
IF(AX618="K",VLOOKUP(L618,Foundation_Calc!$V$41:$X$74,VLOOKUP(AX618,Foundation_Calc!$I$10:$J$13,2,FALSE),0),"")))</f>
        <v/>
      </c>
      <c r="N618" s="8"/>
      <c r="O618" s="8"/>
      <c r="P618" s="8"/>
      <c r="Q618" s="14"/>
      <c r="R618" s="15"/>
      <c r="S618" s="15"/>
      <c r="T618" s="14"/>
      <c r="U618" s="14"/>
      <c r="V618" s="14"/>
      <c r="W618" s="18"/>
      <c r="X618" s="18"/>
      <c r="Y618" s="18"/>
      <c r="Z618" s="18"/>
      <c r="AA618" s="18"/>
      <c r="AB618" s="18"/>
      <c r="AC618" s="8" t="str">
        <f t="shared" si="39"/>
        <v/>
      </c>
      <c r="AD618" s="8"/>
      <c r="AE618" s="8"/>
      <c r="AF618" s="14"/>
      <c r="AG618" s="13"/>
      <c r="AH618" s="14"/>
      <c r="AI618" s="14"/>
      <c r="AJ618" s="8"/>
      <c r="AK618" s="8"/>
      <c r="AL618" s="8"/>
      <c r="AM618" s="8"/>
      <c r="AN618" s="631"/>
      <c r="AO618" s="18"/>
      <c r="AP618" s="18"/>
      <c r="AQ618" s="18"/>
      <c r="AR618" s="18"/>
      <c r="AS618" s="18"/>
      <c r="AU618" s="448"/>
      <c r="AV618" s="448"/>
      <c r="AW618" s="8" t="str">
        <f>IF(C618&gt;0,VLOOKUP(C618,Foundation_Calc!$A$2:$C$986,3,1),
IF(J618&gt;0,VLOOKUP(J618,Foundation_Calc!$A$2:$C$986,3,1),""))</f>
        <v/>
      </c>
      <c r="AX618" s="8" t="str">
        <f>IF(C618&gt;0,VLOOKUP(C618,Foundation_Calc!$E$2:$G$986,3,1),
IF(J618&gt;0,VLOOKUP(J618,Foundation_Calc!$E$2:$G$986,3,1),""))</f>
        <v/>
      </c>
      <c r="AY618" s="631" t="str">
        <f>IF(L618="","",
IF(AX618="PT",VLOOKUP(L618,Foundation_Calc!$K$4:$R$37,VLOOKUP(AW618,Foundation_Calc!$I$2:$J$8,2,FALSE),0),
IF(AX618="K",VLOOKUP(L618,Foundation_Calc!$K$41:$R$74,VLOOKUP(AW618,Foundation_Calc!$I$2:$J$8,2,FALSE),0),"")))</f>
        <v/>
      </c>
      <c r="AZ618" s="631" t="str">
        <f>IF(K618="","",
IF(AX618="PT",VLOOKUP(K618,Foundation_Calc!$K$4:$R$37,VLOOKUP(AW618,Foundation_Calc!$I$2:$J$8,2,FALSE),0),
IF(AX618="K",VLOOKUP(K618,Foundation_Calc!$K$41:$R$74,VLOOKUP(AW618,Foundation_Calc!$I$2:$J$8,2,FALSE),0),"")))</f>
        <v/>
      </c>
      <c r="BA618" s="632" t="str">
        <f t="shared" si="40"/>
        <v/>
      </c>
      <c r="BB618" s="632" t="str">
        <f t="shared" si="41"/>
        <v/>
      </c>
      <c r="BC618" s="632" t="str">
        <f t="shared" si="42"/>
        <v/>
      </c>
      <c r="BD618" s="633" t="str">
        <f>IF(AND(L618="",H618=""),"",
IF(H618="",Pole_Calc!A646,
IF(H618="MP",Pole_Calc!A647,
IF(H618="AnMP",Pole_Calc!A648,
IF(H618="A",Pole_Calc!A649,
IF(H618="S/A",Pole_Calc!A650,
IF(H618="A/S",Pole_Calc!A651,"Poner a mano")))))))</f>
        <v/>
      </c>
      <c r="BE618" s="448" t="s">
        <v>1726</v>
      </c>
      <c r="BF618" s="634"/>
      <c r="BG618" s="634"/>
      <c r="BH618" s="634"/>
      <c r="BI618" s="634"/>
    </row>
    <row r="619" spans="1:61" ht="16.2" customHeight="1">
      <c r="A619" s="12"/>
      <c r="B619" s="446"/>
      <c r="C619" s="89"/>
      <c r="D619" s="13"/>
      <c r="E619" s="14"/>
      <c r="F619" s="14"/>
      <c r="G619" s="15"/>
      <c r="H619" s="8"/>
      <c r="I619" s="8"/>
      <c r="J619" s="89"/>
      <c r="K619" s="8"/>
      <c r="L619" s="8"/>
      <c r="M619" s="8" t="str">
        <f>IF(L619="","",
IF(AX619="PT",VLOOKUP(L619,Foundation_Calc!$V$4:$X$37,VLOOKUP(AX619,Foundation_Calc!$I$10:$J$13,2,FALSE),0),
IF(AX619="K",VLOOKUP(L619,Foundation_Calc!$V$41:$X$74,VLOOKUP(AX619,Foundation_Calc!$I$10:$J$13,2,FALSE),0),"")))</f>
        <v/>
      </c>
      <c r="N619" s="8"/>
      <c r="O619" s="8"/>
      <c r="P619" s="8"/>
      <c r="Q619" s="14"/>
      <c r="R619" s="15"/>
      <c r="S619" s="15"/>
      <c r="T619" s="14"/>
      <c r="U619" s="14"/>
      <c r="V619" s="14"/>
      <c r="W619" s="18"/>
      <c r="X619" s="18"/>
      <c r="Y619" s="18"/>
      <c r="Z619" s="18"/>
      <c r="AA619" s="18"/>
      <c r="AB619" s="18"/>
      <c r="AC619" s="8" t="str">
        <f t="shared" si="39"/>
        <v/>
      </c>
      <c r="AD619" s="8"/>
      <c r="AE619" s="8"/>
      <c r="AF619" s="14"/>
      <c r="AG619" s="13"/>
      <c r="AH619" s="14"/>
      <c r="AI619" s="14"/>
      <c r="AJ619" s="8"/>
      <c r="AK619" s="8"/>
      <c r="AL619" s="8"/>
      <c r="AM619" s="8"/>
      <c r="AN619" s="631"/>
      <c r="AO619" s="18"/>
      <c r="AP619" s="18"/>
      <c r="AQ619" s="18"/>
      <c r="AR619" s="18"/>
      <c r="AS619" s="18"/>
      <c r="AU619" s="448"/>
      <c r="AV619" s="448"/>
      <c r="AW619" s="8" t="str">
        <f>IF(C619&gt;0,VLOOKUP(C619,Foundation_Calc!$A$2:$C$986,3,1),
IF(J619&gt;0,VLOOKUP(J619,Foundation_Calc!$A$2:$C$986,3,1),""))</f>
        <v/>
      </c>
      <c r="AX619" s="8" t="str">
        <f>IF(C619&gt;0,VLOOKUP(C619,Foundation_Calc!$E$2:$G$986,3,1),
IF(J619&gt;0,VLOOKUP(J619,Foundation_Calc!$E$2:$G$986,3,1),""))</f>
        <v/>
      </c>
      <c r="AY619" s="631" t="str">
        <f>IF(L619="","",
IF(AX619="PT",VLOOKUP(L619,Foundation_Calc!$K$4:$R$37,VLOOKUP(AW619,Foundation_Calc!$I$2:$J$8,2,FALSE),0),
IF(AX619="K",VLOOKUP(L619,Foundation_Calc!$K$41:$R$74,VLOOKUP(AW619,Foundation_Calc!$I$2:$J$8,2,FALSE),0),"")))</f>
        <v/>
      </c>
      <c r="AZ619" s="631" t="str">
        <f>IF(K619="","",
IF(AX619="PT",VLOOKUP(K619,Foundation_Calc!$K$4:$R$37,VLOOKUP(AW619,Foundation_Calc!$I$2:$J$8,2,FALSE),0),
IF(AX619="K",VLOOKUP(K619,Foundation_Calc!$K$41:$R$74,VLOOKUP(AW619,Foundation_Calc!$I$2:$J$8,2,FALSE),0),"")))</f>
        <v/>
      </c>
      <c r="BA619" s="632" t="str">
        <f t="shared" si="40"/>
        <v/>
      </c>
      <c r="BB619" s="632" t="str">
        <f t="shared" si="41"/>
        <v/>
      </c>
      <c r="BC619" s="632" t="str">
        <f t="shared" si="42"/>
        <v/>
      </c>
      <c r="BD619" s="633" t="str">
        <f>IF(AND(L619="",H619=""),"",
IF(H619="",Pole_Calc!A647,
IF(H619="MP",Pole_Calc!A648,
IF(H619="AnMP",Pole_Calc!A649,
IF(H619="A",Pole_Calc!A650,
IF(H619="S/A",Pole_Calc!A651,
IF(H619="A/S",Pole_Calc!A652,"Poner a mano")))))))</f>
        <v/>
      </c>
      <c r="BE619" s="448" t="s">
        <v>1726</v>
      </c>
      <c r="BF619" s="635"/>
      <c r="BG619" s="635"/>
      <c r="BH619" s="634"/>
      <c r="BI619" s="635"/>
    </row>
    <row r="620" spans="1:61" ht="16.2" customHeight="1">
      <c r="A620" s="12"/>
      <c r="B620" s="446"/>
      <c r="C620" s="89"/>
      <c r="D620" s="13"/>
      <c r="E620" s="14"/>
      <c r="F620" s="14"/>
      <c r="G620" s="15"/>
      <c r="H620" s="8"/>
      <c r="I620" s="8"/>
      <c r="J620" s="89"/>
      <c r="K620" s="8"/>
      <c r="L620" s="8"/>
      <c r="M620" s="8" t="str">
        <f>IF(L620="","",
IF(AX620="PT",VLOOKUP(L620,Foundation_Calc!$V$4:$X$37,VLOOKUP(AX620,Foundation_Calc!$I$10:$J$13,2,FALSE),0),
IF(AX620="K",VLOOKUP(L620,Foundation_Calc!$V$41:$X$74,VLOOKUP(AX620,Foundation_Calc!$I$10:$J$13,2,FALSE),0),"")))</f>
        <v/>
      </c>
      <c r="N620" s="8"/>
      <c r="O620" s="8"/>
      <c r="P620" s="8"/>
      <c r="Q620" s="14"/>
      <c r="R620" s="15"/>
      <c r="S620" s="15"/>
      <c r="T620" s="14"/>
      <c r="U620" s="14"/>
      <c r="V620" s="14"/>
      <c r="W620" s="18"/>
      <c r="X620" s="18"/>
      <c r="Y620" s="18"/>
      <c r="Z620" s="18"/>
      <c r="AA620" s="18"/>
      <c r="AB620" s="18"/>
      <c r="AC620" s="8" t="str">
        <f t="shared" si="39"/>
        <v/>
      </c>
      <c r="AD620" s="8"/>
      <c r="AE620" s="8"/>
      <c r="AF620" s="14"/>
      <c r="AG620" s="13"/>
      <c r="AH620" s="14"/>
      <c r="AI620" s="14"/>
      <c r="AJ620" s="8"/>
      <c r="AK620" s="8"/>
      <c r="AL620" s="8"/>
      <c r="AM620" s="8"/>
      <c r="AN620" s="631"/>
      <c r="AO620" s="18"/>
      <c r="AP620" s="18"/>
      <c r="AQ620" s="18"/>
      <c r="AR620" s="18"/>
      <c r="AS620" s="18"/>
      <c r="AU620" s="448"/>
      <c r="AV620" s="448"/>
      <c r="AW620" s="8" t="str">
        <f>IF(C620&gt;0,VLOOKUP(C620,Foundation_Calc!$A$2:$C$986,3,1),
IF(J620&gt;0,VLOOKUP(J620,Foundation_Calc!$A$2:$C$986,3,1),""))</f>
        <v/>
      </c>
      <c r="AX620" s="8" t="str">
        <f>IF(C620&gt;0,VLOOKUP(C620,Foundation_Calc!$E$2:$G$986,3,1),
IF(J620&gt;0,VLOOKUP(J620,Foundation_Calc!$E$2:$G$986,3,1),""))</f>
        <v/>
      </c>
      <c r="AY620" s="631" t="str">
        <f>IF(L620="","",
IF(AX620="PT",VLOOKUP(L620,Foundation_Calc!$K$4:$R$37,VLOOKUP(AW620,Foundation_Calc!$I$2:$J$8,2,FALSE),0),
IF(AX620="K",VLOOKUP(L620,Foundation_Calc!$K$41:$R$74,VLOOKUP(AW620,Foundation_Calc!$I$2:$J$8,2,FALSE),0),"")))</f>
        <v/>
      </c>
      <c r="AZ620" s="631" t="str">
        <f>IF(K620="","",
IF(AX620="PT",VLOOKUP(K620,Foundation_Calc!$K$4:$R$37,VLOOKUP(AW620,Foundation_Calc!$I$2:$J$8,2,FALSE),0),
IF(AX620="K",VLOOKUP(K620,Foundation_Calc!$K$41:$R$74,VLOOKUP(AW620,Foundation_Calc!$I$2:$J$8,2,FALSE),0),"")))</f>
        <v/>
      </c>
      <c r="BA620" s="632" t="str">
        <f t="shared" si="40"/>
        <v/>
      </c>
      <c r="BB620" s="632" t="str">
        <f t="shared" si="41"/>
        <v/>
      </c>
      <c r="BC620" s="632" t="str">
        <f t="shared" si="42"/>
        <v/>
      </c>
      <c r="BD620" s="633" t="str">
        <f>IF(AND(L620="",H620=""),"",
IF(H620="",Pole_Calc!A648,
IF(H620="MP",Pole_Calc!A649,
IF(H620="AnMP",Pole_Calc!A650,
IF(H620="A",Pole_Calc!A651,
IF(H620="S/A",Pole_Calc!A652,
IF(H620="A/S",Pole_Calc!A653,"Poner a mano")))))))</f>
        <v/>
      </c>
      <c r="BE620" s="448" t="s">
        <v>1726</v>
      </c>
      <c r="BF620" s="634"/>
      <c r="BG620" s="634"/>
      <c r="BH620" s="634"/>
      <c r="BI620" s="634"/>
    </row>
    <row r="621" spans="1:61" ht="16.2" customHeight="1">
      <c r="A621" s="12"/>
      <c r="B621" s="446"/>
      <c r="C621" s="89"/>
      <c r="D621" s="13"/>
      <c r="E621" s="14"/>
      <c r="F621" s="14"/>
      <c r="G621" s="15"/>
      <c r="H621" s="8"/>
      <c r="I621" s="8"/>
      <c r="J621" s="89"/>
      <c r="K621" s="8"/>
      <c r="L621" s="8"/>
      <c r="M621" s="8" t="str">
        <f>IF(L621="","",
IF(AX621="PT",VLOOKUP(L621,Foundation_Calc!$V$4:$X$37,VLOOKUP(AX621,Foundation_Calc!$I$10:$J$13,2,FALSE),0),
IF(AX621="K",VLOOKUP(L621,Foundation_Calc!$V$41:$X$74,VLOOKUP(AX621,Foundation_Calc!$I$10:$J$13,2,FALSE),0),"")))</f>
        <v/>
      </c>
      <c r="N621" s="8"/>
      <c r="O621" s="8"/>
      <c r="P621" s="8"/>
      <c r="Q621" s="14"/>
      <c r="R621" s="15"/>
      <c r="S621" s="15"/>
      <c r="T621" s="14"/>
      <c r="U621" s="14"/>
      <c r="V621" s="14"/>
      <c r="W621" s="18"/>
      <c r="X621" s="18"/>
      <c r="Y621" s="18"/>
      <c r="Z621" s="18"/>
      <c r="AA621" s="18"/>
      <c r="AB621" s="18"/>
      <c r="AC621" s="8" t="str">
        <f t="shared" si="39"/>
        <v/>
      </c>
      <c r="AD621" s="8"/>
      <c r="AE621" s="8"/>
      <c r="AF621" s="14"/>
      <c r="AG621" s="13"/>
      <c r="AH621" s="14"/>
      <c r="AI621" s="14"/>
      <c r="AJ621" s="8"/>
      <c r="AK621" s="8"/>
      <c r="AL621" s="8"/>
      <c r="AM621" s="8"/>
      <c r="AN621" s="631"/>
      <c r="AO621" s="18"/>
      <c r="AP621" s="18"/>
      <c r="AQ621" s="18"/>
      <c r="AR621" s="18"/>
      <c r="AS621" s="18"/>
      <c r="AU621" s="448"/>
      <c r="AV621" s="448"/>
      <c r="AW621" s="8" t="str">
        <f>IF(C621&gt;0,VLOOKUP(C621,Foundation_Calc!$A$2:$C$986,3,1),
IF(J621&gt;0,VLOOKUP(J621,Foundation_Calc!$A$2:$C$986,3,1),""))</f>
        <v/>
      </c>
      <c r="AX621" s="8" t="str">
        <f>IF(C621&gt;0,VLOOKUP(C621,Foundation_Calc!$E$2:$G$986,3,1),
IF(J621&gt;0,VLOOKUP(J621,Foundation_Calc!$E$2:$G$986,3,1),""))</f>
        <v/>
      </c>
      <c r="AY621" s="631" t="str">
        <f>IF(L621="","",
IF(AX621="PT",VLOOKUP(L621,Foundation_Calc!$K$4:$R$37,VLOOKUP(AW621,Foundation_Calc!$I$2:$J$8,2,FALSE),0),
IF(AX621="K",VLOOKUP(L621,Foundation_Calc!$K$41:$R$74,VLOOKUP(AW621,Foundation_Calc!$I$2:$J$8,2,FALSE),0),"")))</f>
        <v/>
      </c>
      <c r="AZ621" s="631" t="str">
        <f>IF(K621="","",
IF(AX621="PT",VLOOKUP(K621,Foundation_Calc!$K$4:$R$37,VLOOKUP(AW621,Foundation_Calc!$I$2:$J$8,2,FALSE),0),
IF(AX621="K",VLOOKUP(K621,Foundation_Calc!$K$41:$R$74,VLOOKUP(AW621,Foundation_Calc!$I$2:$J$8,2,FALSE),0),"")))</f>
        <v/>
      </c>
      <c r="BA621" s="632" t="str">
        <f t="shared" si="40"/>
        <v/>
      </c>
      <c r="BB621" s="632" t="str">
        <f t="shared" si="41"/>
        <v/>
      </c>
      <c r="BC621" s="632" t="str">
        <f t="shared" si="42"/>
        <v/>
      </c>
      <c r="BD621" s="633" t="str">
        <f>IF(AND(L621="",H621=""),"",
IF(H621="",Pole_Calc!A649,
IF(H621="MP",Pole_Calc!A650,
IF(H621="AnMP",Pole_Calc!A651,
IF(H621="A",Pole_Calc!A652,
IF(H621="S/A",Pole_Calc!A653,
IF(H621="A/S",Pole_Calc!A654,"Poner a mano")))))))</f>
        <v/>
      </c>
      <c r="BE621" s="448" t="s">
        <v>1726</v>
      </c>
      <c r="BF621" s="635"/>
      <c r="BG621" s="635"/>
      <c r="BH621" s="634"/>
      <c r="BI621" s="635"/>
    </row>
    <row r="622" spans="1:61" ht="16.2" customHeight="1">
      <c r="A622" s="12"/>
      <c r="B622" s="446"/>
      <c r="C622" s="89"/>
      <c r="D622" s="13"/>
      <c r="E622" s="14"/>
      <c r="F622" s="14"/>
      <c r="G622" s="15"/>
      <c r="H622" s="8"/>
      <c r="I622" s="8"/>
      <c r="J622" s="89"/>
      <c r="K622" s="8"/>
      <c r="L622" s="8"/>
      <c r="M622" s="8" t="str">
        <f>IF(L622="","",
IF(AX622="PT",VLOOKUP(L622,Foundation_Calc!$V$4:$X$37,VLOOKUP(AX622,Foundation_Calc!$I$10:$J$13,2,FALSE),0),
IF(AX622="K",VLOOKUP(L622,Foundation_Calc!$V$41:$X$74,VLOOKUP(AX622,Foundation_Calc!$I$10:$J$13,2,FALSE),0),"")))</f>
        <v/>
      </c>
      <c r="N622" s="8"/>
      <c r="O622" s="8"/>
      <c r="P622" s="8"/>
      <c r="Q622" s="14"/>
      <c r="R622" s="15"/>
      <c r="S622" s="15"/>
      <c r="T622" s="14"/>
      <c r="U622" s="14"/>
      <c r="V622" s="14"/>
      <c r="W622" s="18"/>
      <c r="X622" s="18"/>
      <c r="Y622" s="18"/>
      <c r="Z622" s="18"/>
      <c r="AA622" s="18"/>
      <c r="AB622" s="18"/>
      <c r="AC622" s="8" t="str">
        <f t="shared" si="39"/>
        <v/>
      </c>
      <c r="AD622" s="8"/>
      <c r="AE622" s="8"/>
      <c r="AF622" s="14"/>
      <c r="AG622" s="13"/>
      <c r="AH622" s="14"/>
      <c r="AI622" s="14"/>
      <c r="AJ622" s="8"/>
      <c r="AK622" s="8"/>
      <c r="AL622" s="8"/>
      <c r="AM622" s="8"/>
      <c r="AN622" s="631"/>
      <c r="AO622" s="18"/>
      <c r="AP622" s="18"/>
      <c r="AQ622" s="18"/>
      <c r="AR622" s="18"/>
      <c r="AS622" s="18"/>
      <c r="AU622" s="448"/>
      <c r="AV622" s="448"/>
      <c r="AW622" s="8" t="str">
        <f>IF(C622&gt;0,VLOOKUP(C622,Foundation_Calc!$A$2:$C$986,3,1),
IF(J622&gt;0,VLOOKUP(J622,Foundation_Calc!$A$2:$C$986,3,1),""))</f>
        <v/>
      </c>
      <c r="AX622" s="8" t="str">
        <f>IF(C622&gt;0,VLOOKUP(C622,Foundation_Calc!$E$2:$G$986,3,1),
IF(J622&gt;0,VLOOKUP(J622,Foundation_Calc!$E$2:$G$986,3,1),""))</f>
        <v/>
      </c>
      <c r="AY622" s="631" t="str">
        <f>IF(L622="","",
IF(AX622="PT",VLOOKUP(L622,Foundation_Calc!$K$4:$R$37,VLOOKUP(AW622,Foundation_Calc!$I$2:$J$8,2,FALSE),0),
IF(AX622="K",VLOOKUP(L622,Foundation_Calc!$K$41:$R$74,VLOOKUP(AW622,Foundation_Calc!$I$2:$J$8,2,FALSE),0),"")))</f>
        <v/>
      </c>
      <c r="AZ622" s="631" t="str">
        <f>IF(K622="","",
IF(AX622="PT",VLOOKUP(K622,Foundation_Calc!$K$4:$R$37,VLOOKUP(AW622,Foundation_Calc!$I$2:$J$8,2,FALSE),0),
IF(AX622="K",VLOOKUP(K622,Foundation_Calc!$K$41:$R$74,VLOOKUP(AW622,Foundation_Calc!$I$2:$J$8,2,FALSE),0),"")))</f>
        <v/>
      </c>
      <c r="BA622" s="632" t="str">
        <f t="shared" si="40"/>
        <v/>
      </c>
      <c r="BB622" s="632" t="str">
        <f t="shared" si="41"/>
        <v/>
      </c>
      <c r="BC622" s="632" t="str">
        <f t="shared" si="42"/>
        <v/>
      </c>
      <c r="BD622" s="633" t="str">
        <f>IF(AND(L622="",H622=""),"",
IF(H622="",Pole_Calc!A650,
IF(H622="MP",Pole_Calc!A651,
IF(H622="AnMP",Pole_Calc!A652,
IF(H622="A",Pole_Calc!A653,
IF(H622="S/A",Pole_Calc!A654,
IF(H622="A/S",Pole_Calc!A655,"Poner a mano")))))))</f>
        <v/>
      </c>
      <c r="BE622" s="448" t="s">
        <v>1726</v>
      </c>
      <c r="BF622" s="634"/>
      <c r="BG622" s="634"/>
      <c r="BH622" s="634"/>
      <c r="BI622" s="634"/>
    </row>
    <row r="623" spans="1:61" ht="16.2" customHeight="1">
      <c r="A623" s="12"/>
      <c r="B623" s="446"/>
      <c r="C623" s="89"/>
      <c r="D623" s="13"/>
      <c r="E623" s="14"/>
      <c r="F623" s="14"/>
      <c r="G623" s="15"/>
      <c r="H623" s="8"/>
      <c r="I623" s="8"/>
      <c r="J623" s="89"/>
      <c r="K623" s="8"/>
      <c r="L623" s="8"/>
      <c r="M623" s="8" t="str">
        <f>IF(L623="","",
IF(AX623="PT",VLOOKUP(L623,Foundation_Calc!$V$4:$X$37,VLOOKUP(AX623,Foundation_Calc!$I$10:$J$13,2,FALSE),0),
IF(AX623="K",VLOOKUP(L623,Foundation_Calc!$V$41:$X$74,VLOOKUP(AX623,Foundation_Calc!$I$10:$J$13,2,FALSE),0),"")))</f>
        <v/>
      </c>
      <c r="N623" s="8"/>
      <c r="O623" s="8"/>
      <c r="P623" s="8"/>
      <c r="Q623" s="14"/>
      <c r="R623" s="15"/>
      <c r="S623" s="15"/>
      <c r="T623" s="14"/>
      <c r="U623" s="14"/>
      <c r="V623" s="14"/>
      <c r="W623" s="18"/>
      <c r="X623" s="18"/>
      <c r="Y623" s="18"/>
      <c r="Z623" s="18"/>
      <c r="AA623" s="18"/>
      <c r="AB623" s="18"/>
      <c r="AC623" s="8" t="str">
        <f t="shared" si="39"/>
        <v/>
      </c>
      <c r="AD623" s="8"/>
      <c r="AE623" s="8"/>
      <c r="AF623" s="14"/>
      <c r="AG623" s="13"/>
      <c r="AH623" s="14"/>
      <c r="AI623" s="14"/>
      <c r="AJ623" s="8"/>
      <c r="AK623" s="8"/>
      <c r="AL623" s="8"/>
      <c r="AM623" s="8"/>
      <c r="AN623" s="631"/>
      <c r="AO623" s="18"/>
      <c r="AP623" s="18"/>
      <c r="AQ623" s="18"/>
      <c r="AR623" s="18"/>
      <c r="AS623" s="18"/>
      <c r="AU623" s="448"/>
      <c r="AV623" s="448"/>
      <c r="AW623" s="8" t="str">
        <f>IF(C623&gt;0,VLOOKUP(C623,Foundation_Calc!$A$2:$C$986,3,1),
IF(J623&gt;0,VLOOKUP(J623,Foundation_Calc!$A$2:$C$986,3,1),""))</f>
        <v/>
      </c>
      <c r="AX623" s="8" t="str">
        <f>IF(C623&gt;0,VLOOKUP(C623,Foundation_Calc!$E$2:$G$986,3,1),
IF(J623&gt;0,VLOOKUP(J623,Foundation_Calc!$E$2:$G$986,3,1),""))</f>
        <v/>
      </c>
      <c r="AY623" s="631" t="str">
        <f>IF(L623="","",
IF(AX623="PT",VLOOKUP(L623,Foundation_Calc!$K$4:$R$37,VLOOKUP(AW623,Foundation_Calc!$I$2:$J$8,2,FALSE),0),
IF(AX623="K",VLOOKUP(L623,Foundation_Calc!$K$41:$R$74,VLOOKUP(AW623,Foundation_Calc!$I$2:$J$8,2,FALSE),0),"")))</f>
        <v/>
      </c>
      <c r="AZ623" s="631" t="str">
        <f>IF(K623="","",
IF(AX623="PT",VLOOKUP(K623,Foundation_Calc!$K$4:$R$37,VLOOKUP(AW623,Foundation_Calc!$I$2:$J$8,2,FALSE),0),
IF(AX623="K",VLOOKUP(K623,Foundation_Calc!$K$41:$R$74,VLOOKUP(AW623,Foundation_Calc!$I$2:$J$8,2,FALSE),0),"")))</f>
        <v/>
      </c>
      <c r="BA623" s="632" t="str">
        <f t="shared" si="40"/>
        <v/>
      </c>
      <c r="BB623" s="632" t="str">
        <f t="shared" si="41"/>
        <v/>
      </c>
      <c r="BC623" s="632" t="str">
        <f t="shared" si="42"/>
        <v/>
      </c>
      <c r="BD623" s="633" t="str">
        <f>IF(AND(L623="",H623=""),"",
IF(H623="",Pole_Calc!A651,
IF(H623="MP",Pole_Calc!A652,
IF(H623="AnMP",Pole_Calc!A653,
IF(H623="A",Pole_Calc!A654,
IF(H623="S/A",Pole_Calc!A655,
IF(H623="A/S",Pole_Calc!A656,"Poner a mano")))))))</f>
        <v/>
      </c>
      <c r="BE623" s="448" t="s">
        <v>1726</v>
      </c>
      <c r="BF623" s="635"/>
      <c r="BG623" s="635"/>
      <c r="BH623" s="634"/>
      <c r="BI623" s="635"/>
    </row>
    <row r="624" spans="1:61" ht="16.2" customHeight="1">
      <c r="A624" s="12"/>
      <c r="B624" s="446"/>
      <c r="C624" s="89"/>
      <c r="D624" s="13"/>
      <c r="E624" s="14"/>
      <c r="F624" s="14"/>
      <c r="G624" s="15"/>
      <c r="H624" s="8"/>
      <c r="I624" s="8"/>
      <c r="J624" s="89"/>
      <c r="K624" s="8"/>
      <c r="L624" s="8"/>
      <c r="M624" s="8" t="str">
        <f>IF(L624="","",
IF(AX624="PT",VLOOKUP(L624,Foundation_Calc!$V$4:$X$37,VLOOKUP(AX624,Foundation_Calc!$I$10:$J$13,2,FALSE),0),
IF(AX624="K",VLOOKUP(L624,Foundation_Calc!$V$41:$X$74,VLOOKUP(AX624,Foundation_Calc!$I$10:$J$13,2,FALSE),0),"")))</f>
        <v/>
      </c>
      <c r="N624" s="8"/>
      <c r="O624" s="8"/>
      <c r="P624" s="8"/>
      <c r="Q624" s="14"/>
      <c r="R624" s="15"/>
      <c r="S624" s="15"/>
      <c r="T624" s="14"/>
      <c r="U624" s="14"/>
      <c r="V624" s="14"/>
      <c r="W624" s="18"/>
      <c r="X624" s="18"/>
      <c r="Y624" s="18"/>
      <c r="Z624" s="18"/>
      <c r="AA624" s="18"/>
      <c r="AB624" s="18"/>
      <c r="AC624" s="8" t="str">
        <f t="shared" si="39"/>
        <v/>
      </c>
      <c r="AD624" s="8"/>
      <c r="AE624" s="8"/>
      <c r="AF624" s="14"/>
      <c r="AG624" s="13"/>
      <c r="AH624" s="14"/>
      <c r="AI624" s="14"/>
      <c r="AJ624" s="8"/>
      <c r="AK624" s="8"/>
      <c r="AL624" s="8"/>
      <c r="AM624" s="8"/>
      <c r="AN624" s="631"/>
      <c r="AO624" s="18"/>
      <c r="AP624" s="18"/>
      <c r="AQ624" s="18"/>
      <c r="AR624" s="18"/>
      <c r="AS624" s="18"/>
      <c r="AU624" s="448"/>
      <c r="AV624" s="448"/>
      <c r="AW624" s="8" t="str">
        <f>IF(C624&gt;0,VLOOKUP(C624,Foundation_Calc!$A$2:$C$986,3,1),
IF(J624&gt;0,VLOOKUP(J624,Foundation_Calc!$A$2:$C$986,3,1),""))</f>
        <v/>
      </c>
      <c r="AX624" s="8" t="str">
        <f>IF(C624&gt;0,VLOOKUP(C624,Foundation_Calc!$E$2:$G$986,3,1),
IF(J624&gt;0,VLOOKUP(J624,Foundation_Calc!$E$2:$G$986,3,1),""))</f>
        <v/>
      </c>
      <c r="AY624" s="631" t="str">
        <f>IF(L624="","",
IF(AX624="PT",VLOOKUP(L624,Foundation_Calc!$K$4:$R$37,VLOOKUP(AW624,Foundation_Calc!$I$2:$J$8,2,FALSE),0),
IF(AX624="K",VLOOKUP(L624,Foundation_Calc!$K$41:$R$74,VLOOKUP(AW624,Foundation_Calc!$I$2:$J$8,2,FALSE),0),"")))</f>
        <v/>
      </c>
      <c r="AZ624" s="631" t="str">
        <f>IF(K624="","",
IF(AX624="PT",VLOOKUP(K624,Foundation_Calc!$K$4:$R$37,VLOOKUP(AW624,Foundation_Calc!$I$2:$J$8,2,FALSE),0),
IF(AX624="K",VLOOKUP(K624,Foundation_Calc!$K$41:$R$74,VLOOKUP(AW624,Foundation_Calc!$I$2:$J$8,2,FALSE),0),"")))</f>
        <v/>
      </c>
      <c r="BA624" s="632" t="str">
        <f t="shared" si="40"/>
        <v/>
      </c>
      <c r="BB624" s="632" t="str">
        <f t="shared" si="41"/>
        <v/>
      </c>
      <c r="BC624" s="632" t="str">
        <f t="shared" si="42"/>
        <v/>
      </c>
      <c r="BD624" s="633" t="str">
        <f>IF(AND(L624="",H624=""),"",
IF(H624="",Pole_Calc!A652,
IF(H624="MP",Pole_Calc!A653,
IF(H624="AnMP",Pole_Calc!A654,
IF(H624="A",Pole_Calc!A655,
IF(H624="S/A",Pole_Calc!A656,
IF(H624="A/S",Pole_Calc!A657,"Poner a mano")))))))</f>
        <v/>
      </c>
      <c r="BE624" s="448" t="s">
        <v>1726</v>
      </c>
      <c r="BF624" s="634"/>
      <c r="BG624" s="634"/>
      <c r="BH624" s="634"/>
      <c r="BI624" s="634"/>
    </row>
    <row r="625" spans="1:61" ht="16.2" customHeight="1">
      <c r="A625" s="12"/>
      <c r="B625" s="446"/>
      <c r="C625" s="89"/>
      <c r="D625" s="13"/>
      <c r="E625" s="14"/>
      <c r="F625" s="14"/>
      <c r="G625" s="15"/>
      <c r="H625" s="8"/>
      <c r="I625" s="8"/>
      <c r="J625" s="89"/>
      <c r="K625" s="8"/>
      <c r="L625" s="8"/>
      <c r="M625" s="8" t="str">
        <f>IF(L625="","",
IF(AX625="PT",VLOOKUP(L625,Foundation_Calc!$V$4:$X$37,VLOOKUP(AX625,Foundation_Calc!$I$10:$J$13,2,FALSE),0),
IF(AX625="K",VLOOKUP(L625,Foundation_Calc!$V$41:$X$74,VLOOKUP(AX625,Foundation_Calc!$I$10:$J$13,2,FALSE),0),"")))</f>
        <v/>
      </c>
      <c r="N625" s="8"/>
      <c r="O625" s="8"/>
      <c r="P625" s="8"/>
      <c r="Q625" s="14"/>
      <c r="R625" s="15"/>
      <c r="S625" s="15"/>
      <c r="T625" s="14"/>
      <c r="U625" s="14"/>
      <c r="V625" s="14"/>
      <c r="W625" s="18"/>
      <c r="X625" s="18"/>
      <c r="Y625" s="18"/>
      <c r="Z625" s="18"/>
      <c r="AA625" s="18"/>
      <c r="AB625" s="18"/>
      <c r="AC625" s="8" t="str">
        <f t="shared" si="39"/>
        <v/>
      </c>
      <c r="AD625" s="8"/>
      <c r="AE625" s="8"/>
      <c r="AF625" s="14"/>
      <c r="AG625" s="13"/>
      <c r="AH625" s="14"/>
      <c r="AI625" s="14"/>
      <c r="AJ625" s="8"/>
      <c r="AK625" s="8"/>
      <c r="AL625" s="8"/>
      <c r="AM625" s="8"/>
      <c r="AN625" s="631"/>
      <c r="AO625" s="18"/>
      <c r="AP625" s="18"/>
      <c r="AQ625" s="18"/>
      <c r="AR625" s="18"/>
      <c r="AS625" s="18"/>
      <c r="AU625" s="448"/>
      <c r="AV625" s="448"/>
      <c r="AW625" s="8" t="str">
        <f>IF(C625&gt;0,VLOOKUP(C625,Foundation_Calc!$A$2:$C$986,3,1),
IF(J625&gt;0,VLOOKUP(J625,Foundation_Calc!$A$2:$C$986,3,1),""))</f>
        <v/>
      </c>
      <c r="AX625" s="8" t="str">
        <f>IF(C625&gt;0,VLOOKUP(C625,Foundation_Calc!$E$2:$G$986,3,1),
IF(J625&gt;0,VLOOKUP(J625,Foundation_Calc!$E$2:$G$986,3,1),""))</f>
        <v/>
      </c>
      <c r="AY625" s="631" t="str">
        <f>IF(L625="","",
IF(AX625="PT",VLOOKUP(L625,Foundation_Calc!$K$4:$R$37,VLOOKUP(AW625,Foundation_Calc!$I$2:$J$8,2,FALSE),0),
IF(AX625="K",VLOOKUP(L625,Foundation_Calc!$K$41:$R$74,VLOOKUP(AW625,Foundation_Calc!$I$2:$J$8,2,FALSE),0),"")))</f>
        <v/>
      </c>
      <c r="AZ625" s="631" t="str">
        <f>IF(K625="","",
IF(AX625="PT",VLOOKUP(K625,Foundation_Calc!$K$4:$R$37,VLOOKUP(AW625,Foundation_Calc!$I$2:$J$8,2,FALSE),0),
IF(AX625="K",VLOOKUP(K625,Foundation_Calc!$K$41:$R$74,VLOOKUP(AW625,Foundation_Calc!$I$2:$J$8,2,FALSE),0),"")))</f>
        <v/>
      </c>
      <c r="BA625" s="632" t="str">
        <f t="shared" si="40"/>
        <v/>
      </c>
      <c r="BB625" s="632" t="str">
        <f t="shared" si="41"/>
        <v/>
      </c>
      <c r="BC625" s="632" t="str">
        <f t="shared" si="42"/>
        <v/>
      </c>
      <c r="BD625" s="633" t="str">
        <f>IF(AND(L625="",H625=""),"",
IF(H625="",Pole_Calc!A653,
IF(H625="MP",Pole_Calc!A654,
IF(H625="AnMP",Pole_Calc!A655,
IF(H625="A",Pole_Calc!A656,
IF(H625="S/A",Pole_Calc!A657,
IF(H625="A/S",Pole_Calc!A658,"Poner a mano")))))))</f>
        <v/>
      </c>
      <c r="BE625" s="448" t="s">
        <v>1726</v>
      </c>
      <c r="BF625" s="635"/>
      <c r="BG625" s="635"/>
      <c r="BH625" s="634"/>
      <c r="BI625" s="635"/>
    </row>
    <row r="626" spans="1:61" ht="16.2" customHeight="1">
      <c r="A626" s="12"/>
      <c r="B626" s="446"/>
      <c r="C626" s="89"/>
      <c r="D626" s="13"/>
      <c r="E626" s="14"/>
      <c r="F626" s="14"/>
      <c r="G626" s="15"/>
      <c r="H626" s="8"/>
      <c r="I626" s="8"/>
      <c r="J626" s="89"/>
      <c r="K626" s="8"/>
      <c r="L626" s="8"/>
      <c r="M626" s="8" t="str">
        <f>IF(L626="","",
IF(AX626="PT",VLOOKUP(L626,Foundation_Calc!$V$4:$X$37,VLOOKUP(AX626,Foundation_Calc!$I$10:$J$13,2,FALSE),0),
IF(AX626="K",VLOOKUP(L626,Foundation_Calc!$V$41:$X$74,VLOOKUP(AX626,Foundation_Calc!$I$10:$J$13,2,FALSE),0),"")))</f>
        <v/>
      </c>
      <c r="N626" s="8"/>
      <c r="O626" s="8"/>
      <c r="P626" s="8"/>
      <c r="Q626" s="14"/>
      <c r="R626" s="15"/>
      <c r="S626" s="15"/>
      <c r="T626" s="14"/>
      <c r="U626" s="14"/>
      <c r="V626" s="14"/>
      <c r="W626" s="18"/>
      <c r="X626" s="18"/>
      <c r="Y626" s="18"/>
      <c r="Z626" s="18"/>
      <c r="AA626" s="18"/>
      <c r="AB626" s="18"/>
      <c r="AC626" s="8" t="str">
        <f t="shared" si="39"/>
        <v/>
      </c>
      <c r="AD626" s="8"/>
      <c r="AE626" s="8"/>
      <c r="AF626" s="14"/>
      <c r="AG626" s="13"/>
      <c r="AH626" s="14"/>
      <c r="AI626" s="14"/>
      <c r="AJ626" s="8"/>
      <c r="AK626" s="8"/>
      <c r="AL626" s="8"/>
      <c r="AM626" s="8"/>
      <c r="AN626" s="631"/>
      <c r="AO626" s="18"/>
      <c r="AP626" s="18"/>
      <c r="AQ626" s="18"/>
      <c r="AR626" s="18"/>
      <c r="AS626" s="18"/>
      <c r="AU626" s="448"/>
      <c r="AV626" s="448"/>
      <c r="AW626" s="8" t="str">
        <f>IF(C626&gt;0,VLOOKUP(C626,Foundation_Calc!$A$2:$C$986,3,1),
IF(J626&gt;0,VLOOKUP(J626,Foundation_Calc!$A$2:$C$986,3,1),""))</f>
        <v/>
      </c>
      <c r="AX626" s="8" t="str">
        <f>IF(C626&gt;0,VLOOKUP(C626,Foundation_Calc!$E$2:$G$986,3,1),
IF(J626&gt;0,VLOOKUP(J626,Foundation_Calc!$E$2:$G$986,3,1),""))</f>
        <v/>
      </c>
      <c r="AY626" s="631" t="str">
        <f>IF(L626="","",
IF(AX626="PT",VLOOKUP(L626,Foundation_Calc!$K$4:$R$37,VLOOKUP(AW626,Foundation_Calc!$I$2:$J$8,2,FALSE),0),
IF(AX626="K",VLOOKUP(L626,Foundation_Calc!$K$41:$R$74,VLOOKUP(AW626,Foundation_Calc!$I$2:$J$8,2,FALSE),0),"")))</f>
        <v/>
      </c>
      <c r="AZ626" s="631" t="str">
        <f>IF(K626="","",
IF(AX626="PT",VLOOKUP(K626,Foundation_Calc!$K$4:$R$37,VLOOKUP(AW626,Foundation_Calc!$I$2:$J$8,2,FALSE),0),
IF(AX626="K",VLOOKUP(K626,Foundation_Calc!$K$41:$R$74,VLOOKUP(AW626,Foundation_Calc!$I$2:$J$8,2,FALSE),0),"")))</f>
        <v/>
      </c>
      <c r="BA626" s="632" t="str">
        <f t="shared" si="40"/>
        <v/>
      </c>
      <c r="BB626" s="632" t="str">
        <f t="shared" si="41"/>
        <v/>
      </c>
      <c r="BC626" s="632" t="str">
        <f t="shared" si="42"/>
        <v/>
      </c>
      <c r="BD626" s="633" t="str">
        <f>IF(AND(L626="",H626=""),"",
IF(H626="",Pole_Calc!A654,
IF(H626="MP",Pole_Calc!A655,
IF(H626="AnMP",Pole_Calc!A656,
IF(H626="A",Pole_Calc!A657,
IF(H626="S/A",Pole_Calc!A658,
IF(H626="A/S",Pole_Calc!A659,"Poner a mano")))))))</f>
        <v/>
      </c>
      <c r="BE626" s="448" t="s">
        <v>1726</v>
      </c>
      <c r="BF626" s="634"/>
      <c r="BG626" s="634"/>
      <c r="BH626" s="634"/>
      <c r="BI626" s="634"/>
    </row>
    <row r="627" spans="1:61" ht="16.2" customHeight="1">
      <c r="A627" s="12"/>
      <c r="B627" s="446"/>
      <c r="C627" s="89"/>
      <c r="D627" s="13"/>
      <c r="E627" s="14"/>
      <c r="F627" s="14"/>
      <c r="G627" s="15"/>
      <c r="H627" s="8"/>
      <c r="I627" s="8"/>
      <c r="J627" s="89"/>
      <c r="K627" s="8"/>
      <c r="L627" s="8"/>
      <c r="M627" s="8" t="str">
        <f>IF(L627="","",
IF(AX627="PT",VLOOKUP(L627,Foundation_Calc!$V$4:$X$37,VLOOKUP(AX627,Foundation_Calc!$I$10:$J$13,2,FALSE),0),
IF(AX627="K",VLOOKUP(L627,Foundation_Calc!$V$41:$X$74,VLOOKUP(AX627,Foundation_Calc!$I$10:$J$13,2,FALSE),0),"")))</f>
        <v/>
      </c>
      <c r="N627" s="8"/>
      <c r="O627" s="8"/>
      <c r="P627" s="8"/>
      <c r="Q627" s="14"/>
      <c r="R627" s="15"/>
      <c r="S627" s="15"/>
      <c r="T627" s="14"/>
      <c r="U627" s="14"/>
      <c r="V627" s="14"/>
      <c r="W627" s="18"/>
      <c r="X627" s="18"/>
      <c r="Y627" s="18"/>
      <c r="Z627" s="18"/>
      <c r="AA627" s="18"/>
      <c r="AB627" s="18"/>
      <c r="AC627" s="8" t="str">
        <f t="shared" si="39"/>
        <v/>
      </c>
      <c r="AD627" s="8"/>
      <c r="AE627" s="8"/>
      <c r="AF627" s="14"/>
      <c r="AG627" s="13"/>
      <c r="AH627" s="14"/>
      <c r="AI627" s="14"/>
      <c r="AJ627" s="8"/>
      <c r="AK627" s="8"/>
      <c r="AL627" s="8"/>
      <c r="AM627" s="8"/>
      <c r="AN627" s="631"/>
      <c r="AO627" s="18"/>
      <c r="AP627" s="18"/>
      <c r="AQ627" s="18"/>
      <c r="AR627" s="18"/>
      <c r="AS627" s="18"/>
      <c r="AU627" s="448"/>
      <c r="AV627" s="448"/>
      <c r="AW627" s="8" t="str">
        <f>IF(C627&gt;0,VLOOKUP(C627,Foundation_Calc!$A$2:$C$986,3,1),
IF(J627&gt;0,VLOOKUP(J627,Foundation_Calc!$A$2:$C$986,3,1),""))</f>
        <v/>
      </c>
      <c r="AX627" s="8" t="str">
        <f>IF(C627&gt;0,VLOOKUP(C627,Foundation_Calc!$E$2:$G$986,3,1),
IF(J627&gt;0,VLOOKUP(J627,Foundation_Calc!$E$2:$G$986,3,1),""))</f>
        <v/>
      </c>
      <c r="AY627" s="631" t="str">
        <f>IF(L627="","",
IF(AX627="PT",VLOOKUP(L627,Foundation_Calc!$K$4:$R$37,VLOOKUP(AW627,Foundation_Calc!$I$2:$J$8,2,FALSE),0),
IF(AX627="K",VLOOKUP(L627,Foundation_Calc!$K$41:$R$74,VLOOKUP(AW627,Foundation_Calc!$I$2:$J$8,2,FALSE),0),"")))</f>
        <v/>
      </c>
      <c r="AZ627" s="631" t="str">
        <f>IF(K627="","",
IF(AX627="PT",VLOOKUP(K627,Foundation_Calc!$K$4:$R$37,VLOOKUP(AW627,Foundation_Calc!$I$2:$J$8,2,FALSE),0),
IF(AX627="K",VLOOKUP(K627,Foundation_Calc!$K$41:$R$74,VLOOKUP(AW627,Foundation_Calc!$I$2:$J$8,2,FALSE),0),"")))</f>
        <v/>
      </c>
      <c r="BA627" s="632" t="str">
        <f t="shared" si="40"/>
        <v/>
      </c>
      <c r="BB627" s="632" t="str">
        <f t="shared" si="41"/>
        <v/>
      </c>
      <c r="BC627" s="632" t="str">
        <f t="shared" si="42"/>
        <v/>
      </c>
      <c r="BD627" s="633" t="str">
        <f>IF(AND(L627="",H627=""),"",
IF(H627="",Pole_Calc!A655,
IF(H627="MP",Pole_Calc!A656,
IF(H627="AnMP",Pole_Calc!A657,
IF(H627="A",Pole_Calc!A658,
IF(H627="S/A",Pole_Calc!A659,
IF(H627="A/S",Pole_Calc!A660,"Poner a mano")))))))</f>
        <v/>
      </c>
      <c r="BE627" s="448" t="s">
        <v>1726</v>
      </c>
      <c r="BF627" s="635"/>
      <c r="BG627" s="635"/>
      <c r="BH627" s="634"/>
      <c r="BI627" s="635"/>
    </row>
    <row r="628" spans="1:61" ht="16.2" customHeight="1">
      <c r="A628" s="12"/>
      <c r="B628" s="446"/>
      <c r="C628" s="89"/>
      <c r="D628" s="13"/>
      <c r="E628" s="14"/>
      <c r="F628" s="14"/>
      <c r="G628" s="15"/>
      <c r="H628" s="8"/>
      <c r="I628" s="8"/>
      <c r="J628" s="89"/>
      <c r="K628" s="8"/>
      <c r="L628" s="8"/>
      <c r="M628" s="8" t="str">
        <f>IF(L628="","",
IF(AX628="PT",VLOOKUP(L628,Foundation_Calc!$V$4:$X$37,VLOOKUP(AX628,Foundation_Calc!$I$10:$J$13,2,FALSE),0),
IF(AX628="K",VLOOKUP(L628,Foundation_Calc!$V$41:$X$74,VLOOKUP(AX628,Foundation_Calc!$I$10:$J$13,2,FALSE),0),"")))</f>
        <v/>
      </c>
      <c r="N628" s="8"/>
      <c r="O628" s="8"/>
      <c r="P628" s="8"/>
      <c r="Q628" s="14"/>
      <c r="R628" s="15"/>
      <c r="S628" s="15"/>
      <c r="T628" s="14"/>
      <c r="U628" s="14"/>
      <c r="V628" s="14"/>
      <c r="W628" s="18"/>
      <c r="X628" s="18"/>
      <c r="Y628" s="18"/>
      <c r="Z628" s="18"/>
      <c r="AA628" s="18"/>
      <c r="AB628" s="18"/>
      <c r="AC628" s="8" t="str">
        <f t="shared" si="39"/>
        <v/>
      </c>
      <c r="AD628" s="8"/>
      <c r="AE628" s="8"/>
      <c r="AF628" s="14"/>
      <c r="AG628" s="13"/>
      <c r="AH628" s="14"/>
      <c r="AI628" s="14"/>
      <c r="AJ628" s="8"/>
      <c r="AK628" s="8"/>
      <c r="AL628" s="8"/>
      <c r="AM628" s="8"/>
      <c r="AN628" s="631"/>
      <c r="AO628" s="18"/>
      <c r="AP628" s="18"/>
      <c r="AQ628" s="18"/>
      <c r="AR628" s="18"/>
      <c r="AS628" s="18"/>
      <c r="AU628" s="448"/>
      <c r="AV628" s="448"/>
      <c r="AW628" s="8" t="str">
        <f>IF(C628&gt;0,VLOOKUP(C628,Foundation_Calc!$A$2:$C$986,3,1),
IF(J628&gt;0,VLOOKUP(J628,Foundation_Calc!$A$2:$C$986,3,1),""))</f>
        <v/>
      </c>
      <c r="AX628" s="8" t="str">
        <f>IF(C628&gt;0,VLOOKUP(C628,Foundation_Calc!$E$2:$G$986,3,1),
IF(J628&gt;0,VLOOKUP(J628,Foundation_Calc!$E$2:$G$986,3,1),""))</f>
        <v/>
      </c>
      <c r="AY628" s="631" t="str">
        <f>IF(L628="","",
IF(AX628="PT",VLOOKUP(L628,Foundation_Calc!$K$4:$R$37,VLOOKUP(AW628,Foundation_Calc!$I$2:$J$8,2,FALSE),0),
IF(AX628="K",VLOOKUP(L628,Foundation_Calc!$K$41:$R$74,VLOOKUP(AW628,Foundation_Calc!$I$2:$J$8,2,FALSE),0),"")))</f>
        <v/>
      </c>
      <c r="AZ628" s="631" t="str">
        <f>IF(K628="","",
IF(AX628="PT",VLOOKUP(K628,Foundation_Calc!$K$4:$R$37,VLOOKUP(AW628,Foundation_Calc!$I$2:$J$8,2,FALSE),0),
IF(AX628="K",VLOOKUP(K628,Foundation_Calc!$K$41:$R$74,VLOOKUP(AW628,Foundation_Calc!$I$2:$J$8,2,FALSE),0),"")))</f>
        <v/>
      </c>
      <c r="BA628" s="632" t="str">
        <f t="shared" si="40"/>
        <v/>
      </c>
      <c r="BB628" s="632" t="str">
        <f t="shared" si="41"/>
        <v/>
      </c>
      <c r="BC628" s="632" t="str">
        <f t="shared" si="42"/>
        <v/>
      </c>
      <c r="BD628" s="633" t="str">
        <f>IF(AND(L628="",H628=""),"",
IF(H628="",Pole_Calc!A656,
IF(H628="MP",Pole_Calc!A657,
IF(H628="AnMP",Pole_Calc!A658,
IF(H628="A",Pole_Calc!A659,
IF(H628="S/A",Pole_Calc!A660,
IF(H628="A/S",Pole_Calc!A661,"Poner a mano")))))))</f>
        <v/>
      </c>
      <c r="BE628" s="448" t="s">
        <v>1726</v>
      </c>
      <c r="BF628" s="634"/>
      <c r="BG628" s="634"/>
      <c r="BH628" s="634"/>
      <c r="BI628" s="634"/>
    </row>
    <row r="629" spans="1:61" ht="16.2" customHeight="1">
      <c r="A629" s="12"/>
      <c r="B629" s="446"/>
      <c r="C629" s="89"/>
      <c r="D629" s="13"/>
      <c r="E629" s="14"/>
      <c r="F629" s="14"/>
      <c r="G629" s="15"/>
      <c r="H629" s="8"/>
      <c r="I629" s="8"/>
      <c r="J629" s="89"/>
      <c r="K629" s="8"/>
      <c r="L629" s="8"/>
      <c r="M629" s="8" t="str">
        <f>IF(L629="","",
IF(AX629="PT",VLOOKUP(L629,Foundation_Calc!$V$4:$X$37,VLOOKUP(AX629,Foundation_Calc!$I$10:$J$13,2,FALSE),0),
IF(AX629="K",VLOOKUP(L629,Foundation_Calc!$V$41:$X$74,VLOOKUP(AX629,Foundation_Calc!$I$10:$J$13,2,FALSE),0),"")))</f>
        <v/>
      </c>
      <c r="N629" s="8"/>
      <c r="O629" s="8"/>
      <c r="P629" s="8"/>
      <c r="Q629" s="14"/>
      <c r="R629" s="15"/>
      <c r="S629" s="15"/>
      <c r="T629" s="14"/>
      <c r="U629" s="14"/>
      <c r="V629" s="14"/>
      <c r="W629" s="18"/>
      <c r="X629" s="18"/>
      <c r="Y629" s="18"/>
      <c r="Z629" s="18"/>
      <c r="AA629" s="18"/>
      <c r="AB629" s="18"/>
      <c r="AC629" s="8" t="str">
        <f t="shared" si="39"/>
        <v/>
      </c>
      <c r="AD629" s="8"/>
      <c r="AE629" s="8"/>
      <c r="AF629" s="14"/>
      <c r="AG629" s="13"/>
      <c r="AH629" s="14"/>
      <c r="AI629" s="14"/>
      <c r="AJ629" s="8"/>
      <c r="AK629" s="8"/>
      <c r="AL629" s="8"/>
      <c r="AM629" s="8"/>
      <c r="AN629" s="631"/>
      <c r="AO629" s="18"/>
      <c r="AP629" s="18"/>
      <c r="AQ629" s="18"/>
      <c r="AR629" s="18"/>
      <c r="AS629" s="18"/>
      <c r="AU629" s="448"/>
      <c r="AV629" s="448"/>
      <c r="AW629" s="8" t="str">
        <f>IF(C629&gt;0,VLOOKUP(C629,Foundation_Calc!$A$2:$C$986,3,1),
IF(J629&gt;0,VLOOKUP(J629,Foundation_Calc!$A$2:$C$986,3,1),""))</f>
        <v/>
      </c>
      <c r="AX629" s="8" t="str">
        <f>IF(C629&gt;0,VLOOKUP(C629,Foundation_Calc!$E$2:$G$986,3,1),
IF(J629&gt;0,VLOOKUP(J629,Foundation_Calc!$E$2:$G$986,3,1),""))</f>
        <v/>
      </c>
      <c r="AY629" s="631" t="str">
        <f>IF(L629="","",
IF(AX629="PT",VLOOKUP(L629,Foundation_Calc!$K$4:$R$37,VLOOKUP(AW629,Foundation_Calc!$I$2:$J$8,2,FALSE),0),
IF(AX629="K",VLOOKUP(L629,Foundation_Calc!$K$41:$R$74,VLOOKUP(AW629,Foundation_Calc!$I$2:$J$8,2,FALSE),0),"")))</f>
        <v/>
      </c>
      <c r="AZ629" s="631" t="str">
        <f>IF(K629="","",
IF(AX629="PT",VLOOKUP(K629,Foundation_Calc!$K$4:$R$37,VLOOKUP(AW629,Foundation_Calc!$I$2:$J$8,2,FALSE),0),
IF(AX629="K",VLOOKUP(K629,Foundation_Calc!$K$41:$R$74,VLOOKUP(AW629,Foundation_Calc!$I$2:$J$8,2,FALSE),0),"")))</f>
        <v/>
      </c>
      <c r="BA629" s="632" t="str">
        <f t="shared" si="40"/>
        <v/>
      </c>
      <c r="BB629" s="632" t="str">
        <f t="shared" si="41"/>
        <v/>
      </c>
      <c r="BC629" s="632" t="str">
        <f t="shared" si="42"/>
        <v/>
      </c>
      <c r="BD629" s="633" t="str">
        <f>IF(AND(L629="",H629=""),"",
IF(H629="",Pole_Calc!A657,
IF(H629="MP",Pole_Calc!A658,
IF(H629="AnMP",Pole_Calc!A659,
IF(H629="A",Pole_Calc!A660,
IF(H629="S/A",Pole_Calc!A661,
IF(H629="A/S",Pole_Calc!A662,"Poner a mano")))))))</f>
        <v/>
      </c>
      <c r="BE629" s="448" t="s">
        <v>1726</v>
      </c>
      <c r="BF629" s="635"/>
      <c r="BG629" s="635"/>
      <c r="BH629" s="634"/>
      <c r="BI629" s="635"/>
    </row>
    <row r="630" spans="1:61" ht="16.2" customHeight="1">
      <c r="A630" s="12"/>
      <c r="B630" s="446"/>
      <c r="C630" s="89"/>
      <c r="D630" s="13"/>
      <c r="E630" s="14"/>
      <c r="F630" s="14"/>
      <c r="G630" s="15"/>
      <c r="H630" s="8"/>
      <c r="I630" s="8"/>
      <c r="J630" s="89"/>
      <c r="K630" s="8"/>
      <c r="L630" s="8"/>
      <c r="M630" s="8" t="str">
        <f>IF(L630="","",
IF(AX630="PT",VLOOKUP(L630,Foundation_Calc!$V$4:$X$37,VLOOKUP(AX630,Foundation_Calc!$I$10:$J$13,2,FALSE),0),
IF(AX630="K",VLOOKUP(L630,Foundation_Calc!$V$41:$X$74,VLOOKUP(AX630,Foundation_Calc!$I$10:$J$13,2,FALSE),0),"")))</f>
        <v/>
      </c>
      <c r="N630" s="8"/>
      <c r="O630" s="8"/>
      <c r="P630" s="8"/>
      <c r="Q630" s="14"/>
      <c r="R630" s="15"/>
      <c r="S630" s="15"/>
      <c r="T630" s="14"/>
      <c r="U630" s="14"/>
      <c r="V630" s="14"/>
      <c r="W630" s="18"/>
      <c r="X630" s="18"/>
      <c r="Y630" s="18"/>
      <c r="Z630" s="18"/>
      <c r="AA630" s="18"/>
      <c r="AB630" s="18"/>
      <c r="AC630" s="8" t="str">
        <f t="shared" si="39"/>
        <v/>
      </c>
      <c r="AD630" s="8"/>
      <c r="AE630" s="8"/>
      <c r="AF630" s="14"/>
      <c r="AG630" s="13"/>
      <c r="AH630" s="14"/>
      <c r="AI630" s="14"/>
      <c r="AJ630" s="8"/>
      <c r="AK630" s="8"/>
      <c r="AL630" s="8"/>
      <c r="AM630" s="8"/>
      <c r="AN630" s="631"/>
      <c r="AO630" s="18"/>
      <c r="AP630" s="18"/>
      <c r="AQ630" s="18"/>
      <c r="AR630" s="18"/>
      <c r="AS630" s="18"/>
      <c r="AU630" s="448"/>
      <c r="AV630" s="448"/>
      <c r="AW630" s="8" t="str">
        <f>IF(C630&gt;0,VLOOKUP(C630,Foundation_Calc!$A$2:$C$986,3,1),
IF(J630&gt;0,VLOOKUP(J630,Foundation_Calc!$A$2:$C$986,3,1),""))</f>
        <v/>
      </c>
      <c r="AX630" s="8" t="str">
        <f>IF(C630&gt;0,VLOOKUP(C630,Foundation_Calc!$E$2:$G$986,3,1),
IF(J630&gt;0,VLOOKUP(J630,Foundation_Calc!$E$2:$G$986,3,1),""))</f>
        <v/>
      </c>
      <c r="AY630" s="631" t="str">
        <f>IF(L630="","",
IF(AX630="PT",VLOOKUP(L630,Foundation_Calc!$K$4:$R$37,VLOOKUP(AW630,Foundation_Calc!$I$2:$J$8,2,FALSE),0),
IF(AX630="K",VLOOKUP(L630,Foundation_Calc!$K$41:$R$74,VLOOKUP(AW630,Foundation_Calc!$I$2:$J$8,2,FALSE),0),"")))</f>
        <v/>
      </c>
      <c r="AZ630" s="631" t="str">
        <f>IF(K630="","",
IF(AX630="PT",VLOOKUP(K630,Foundation_Calc!$K$4:$R$37,VLOOKUP(AW630,Foundation_Calc!$I$2:$J$8,2,FALSE),0),
IF(AX630="K",VLOOKUP(K630,Foundation_Calc!$K$41:$R$74,VLOOKUP(AW630,Foundation_Calc!$I$2:$J$8,2,FALSE),0),"")))</f>
        <v/>
      </c>
      <c r="BA630" s="632" t="str">
        <f t="shared" si="40"/>
        <v/>
      </c>
      <c r="BB630" s="632" t="str">
        <f t="shared" si="41"/>
        <v/>
      </c>
      <c r="BC630" s="632" t="str">
        <f t="shared" si="42"/>
        <v/>
      </c>
      <c r="BD630" s="633" t="str">
        <f>IF(AND(L630="",H630=""),"",
IF(H630="",Pole_Calc!A658,
IF(H630="MP",Pole_Calc!A659,
IF(H630="AnMP",Pole_Calc!A660,
IF(H630="A",Pole_Calc!A661,
IF(H630="S/A",Pole_Calc!A662,
IF(H630="A/S",Pole_Calc!A663,"Poner a mano")))))))</f>
        <v/>
      </c>
      <c r="BE630" s="448" t="s">
        <v>1726</v>
      </c>
      <c r="BF630" s="634"/>
      <c r="BG630" s="634"/>
      <c r="BH630" s="634"/>
      <c r="BI630" s="634"/>
    </row>
    <row r="631" spans="1:61" ht="16.2" customHeight="1">
      <c r="A631" s="12"/>
      <c r="B631" s="446"/>
      <c r="C631" s="89"/>
      <c r="D631" s="13"/>
      <c r="E631" s="14"/>
      <c r="F631" s="14"/>
      <c r="G631" s="15"/>
      <c r="H631" s="8"/>
      <c r="I631" s="8"/>
      <c r="J631" s="89"/>
      <c r="K631" s="8"/>
      <c r="L631" s="8"/>
      <c r="M631" s="8" t="str">
        <f>IF(L631="","",
IF(AX631="PT",VLOOKUP(L631,Foundation_Calc!$V$4:$X$37,VLOOKUP(AX631,Foundation_Calc!$I$10:$J$13,2,FALSE),0),
IF(AX631="K",VLOOKUP(L631,Foundation_Calc!$V$41:$X$74,VLOOKUP(AX631,Foundation_Calc!$I$10:$J$13,2,FALSE),0),"")))</f>
        <v/>
      </c>
      <c r="N631" s="8"/>
      <c r="O631" s="8"/>
      <c r="P631" s="8"/>
      <c r="Q631" s="14"/>
      <c r="R631" s="15"/>
      <c r="S631" s="15"/>
      <c r="T631" s="14"/>
      <c r="U631" s="14"/>
      <c r="V631" s="14"/>
      <c r="W631" s="18"/>
      <c r="X631" s="18"/>
      <c r="Y631" s="18"/>
      <c r="Z631" s="18"/>
      <c r="AA631" s="18"/>
      <c r="AB631" s="18"/>
      <c r="AC631" s="8" t="str">
        <f t="shared" si="39"/>
        <v/>
      </c>
      <c r="AD631" s="8"/>
      <c r="AE631" s="8"/>
      <c r="AF631" s="14"/>
      <c r="AG631" s="13"/>
      <c r="AH631" s="14"/>
      <c r="AI631" s="14"/>
      <c r="AJ631" s="8"/>
      <c r="AK631" s="8"/>
      <c r="AL631" s="8"/>
      <c r="AM631" s="8"/>
      <c r="AN631" s="631"/>
      <c r="AO631" s="18"/>
      <c r="AP631" s="18"/>
      <c r="AQ631" s="18"/>
      <c r="AR631" s="18"/>
      <c r="AS631" s="18"/>
      <c r="AU631" s="448"/>
      <c r="AV631" s="448"/>
      <c r="AW631" s="8" t="str">
        <f>IF(C631&gt;0,VLOOKUP(C631,Foundation_Calc!$A$2:$C$986,3,1),
IF(J631&gt;0,VLOOKUP(J631,Foundation_Calc!$A$2:$C$986,3,1),""))</f>
        <v/>
      </c>
      <c r="AX631" s="8" t="str">
        <f>IF(C631&gt;0,VLOOKUP(C631,Foundation_Calc!$E$2:$G$986,3,1),
IF(J631&gt;0,VLOOKUP(J631,Foundation_Calc!$E$2:$G$986,3,1),""))</f>
        <v/>
      </c>
      <c r="AY631" s="631" t="str">
        <f>IF(L631="","",
IF(AX631="PT",VLOOKUP(L631,Foundation_Calc!$K$4:$R$37,VLOOKUP(AW631,Foundation_Calc!$I$2:$J$8,2,FALSE),0),
IF(AX631="K",VLOOKUP(L631,Foundation_Calc!$K$41:$R$74,VLOOKUP(AW631,Foundation_Calc!$I$2:$J$8,2,FALSE),0),"")))</f>
        <v/>
      </c>
      <c r="AZ631" s="631" t="str">
        <f>IF(K631="","",
IF(AX631="PT",VLOOKUP(K631,Foundation_Calc!$K$4:$R$37,VLOOKUP(AW631,Foundation_Calc!$I$2:$J$8,2,FALSE),0),
IF(AX631="K",VLOOKUP(K631,Foundation_Calc!$K$41:$R$74,VLOOKUP(AW631,Foundation_Calc!$I$2:$J$8,2,FALSE),0),"")))</f>
        <v/>
      </c>
      <c r="BA631" s="632" t="str">
        <f t="shared" si="40"/>
        <v/>
      </c>
      <c r="BB631" s="632" t="str">
        <f t="shared" si="41"/>
        <v/>
      </c>
      <c r="BC631" s="632" t="str">
        <f t="shared" si="42"/>
        <v/>
      </c>
      <c r="BD631" s="633" t="str">
        <f>IF(AND(L631="",H631=""),"",
IF(H631="",Pole_Calc!A659,
IF(H631="MP",Pole_Calc!A660,
IF(H631="AnMP",Pole_Calc!A661,
IF(H631="A",Pole_Calc!A662,
IF(H631="S/A",Pole_Calc!A663,
IF(H631="A/S",Pole_Calc!A664,"Poner a mano")))))))</f>
        <v/>
      </c>
      <c r="BE631" s="448" t="s">
        <v>1726</v>
      </c>
      <c r="BF631" s="635"/>
      <c r="BG631" s="635"/>
      <c r="BH631" s="634"/>
      <c r="BI631" s="635"/>
    </row>
    <row r="632" spans="1:61" ht="16.2" customHeight="1">
      <c r="A632" s="12"/>
      <c r="B632" s="446"/>
      <c r="C632" s="89"/>
      <c r="D632" s="13"/>
      <c r="E632" s="14"/>
      <c r="F632" s="14"/>
      <c r="G632" s="15"/>
      <c r="H632" s="8"/>
      <c r="I632" s="8"/>
      <c r="J632" s="89"/>
      <c r="K632" s="8"/>
      <c r="L632" s="8"/>
      <c r="M632" s="8" t="str">
        <f>IF(L632="","",
IF(AX632="PT",VLOOKUP(L632,Foundation_Calc!$V$4:$X$37,VLOOKUP(AX632,Foundation_Calc!$I$10:$J$13,2,FALSE),0),
IF(AX632="K",VLOOKUP(L632,Foundation_Calc!$V$41:$X$74,VLOOKUP(AX632,Foundation_Calc!$I$10:$J$13,2,FALSE),0),"")))</f>
        <v/>
      </c>
      <c r="N632" s="8"/>
      <c r="O632" s="8"/>
      <c r="P632" s="8"/>
      <c r="Q632" s="14"/>
      <c r="R632" s="15"/>
      <c r="S632" s="15"/>
      <c r="T632" s="14"/>
      <c r="U632" s="14"/>
      <c r="V632" s="14"/>
      <c r="W632" s="18"/>
      <c r="X632" s="18"/>
      <c r="Y632" s="18"/>
      <c r="Z632" s="18"/>
      <c r="AA632" s="18"/>
      <c r="AB632" s="18"/>
      <c r="AC632" s="8" t="str">
        <f t="shared" si="39"/>
        <v/>
      </c>
      <c r="AD632" s="8"/>
      <c r="AE632" s="8"/>
      <c r="AF632" s="14"/>
      <c r="AG632" s="13"/>
      <c r="AH632" s="14"/>
      <c r="AI632" s="14"/>
      <c r="AJ632" s="8"/>
      <c r="AK632" s="8"/>
      <c r="AL632" s="8"/>
      <c r="AM632" s="8"/>
      <c r="AN632" s="631"/>
      <c r="AO632" s="18"/>
      <c r="AP632" s="18"/>
      <c r="AQ632" s="18"/>
      <c r="AR632" s="18"/>
      <c r="AS632" s="18"/>
      <c r="AU632" s="448"/>
      <c r="AV632" s="448"/>
      <c r="AW632" s="8" t="str">
        <f>IF(C632&gt;0,VLOOKUP(C632,Foundation_Calc!$A$2:$C$986,3,1),
IF(J632&gt;0,VLOOKUP(J632,Foundation_Calc!$A$2:$C$986,3,1),""))</f>
        <v/>
      </c>
      <c r="AX632" s="8" t="str">
        <f>IF(C632&gt;0,VLOOKUP(C632,Foundation_Calc!$E$2:$G$986,3,1),
IF(J632&gt;0,VLOOKUP(J632,Foundation_Calc!$E$2:$G$986,3,1),""))</f>
        <v/>
      </c>
      <c r="AY632" s="631" t="str">
        <f>IF(L632="","",
IF(AX632="PT",VLOOKUP(L632,Foundation_Calc!$K$4:$R$37,VLOOKUP(AW632,Foundation_Calc!$I$2:$J$8,2,FALSE),0),
IF(AX632="K",VLOOKUP(L632,Foundation_Calc!$K$41:$R$74,VLOOKUP(AW632,Foundation_Calc!$I$2:$J$8,2,FALSE),0),"")))</f>
        <v/>
      </c>
      <c r="AZ632" s="631" t="str">
        <f>IF(K632="","",
IF(AX632="PT",VLOOKUP(K632,Foundation_Calc!$K$4:$R$37,VLOOKUP(AW632,Foundation_Calc!$I$2:$J$8,2,FALSE),0),
IF(AX632="K",VLOOKUP(K632,Foundation_Calc!$K$41:$R$74,VLOOKUP(AW632,Foundation_Calc!$I$2:$J$8,2,FALSE),0),"")))</f>
        <v/>
      </c>
      <c r="BA632" s="632" t="str">
        <f t="shared" si="40"/>
        <v/>
      </c>
      <c r="BB632" s="632" t="str">
        <f t="shared" si="41"/>
        <v/>
      </c>
      <c r="BC632" s="632" t="str">
        <f t="shared" si="42"/>
        <v/>
      </c>
      <c r="BD632" s="633" t="str">
        <f>IF(AND(L632="",H632=""),"",
IF(H632="",Pole_Calc!A660,
IF(H632="MP",Pole_Calc!A661,
IF(H632="AnMP",Pole_Calc!A662,
IF(H632="A",Pole_Calc!A663,
IF(H632="S/A",Pole_Calc!A664,
IF(H632="A/S",Pole_Calc!A665,"Poner a mano")))))))</f>
        <v/>
      </c>
      <c r="BE632" s="448" t="s">
        <v>1726</v>
      </c>
      <c r="BF632" s="634"/>
      <c r="BG632" s="634"/>
      <c r="BH632" s="634"/>
      <c r="BI632" s="634"/>
    </row>
    <row r="633" spans="1:61" ht="16.2" customHeight="1">
      <c r="A633" s="12"/>
      <c r="B633" s="446"/>
      <c r="C633" s="89"/>
      <c r="D633" s="13"/>
      <c r="E633" s="14"/>
      <c r="F633" s="14"/>
      <c r="G633" s="15"/>
      <c r="H633" s="8"/>
      <c r="I633" s="8"/>
      <c r="J633" s="89"/>
      <c r="K633" s="8"/>
      <c r="L633" s="8"/>
      <c r="M633" s="8" t="str">
        <f>IF(L633="","",
IF(AX633="PT",VLOOKUP(L633,Foundation_Calc!$V$4:$X$37,VLOOKUP(AX633,Foundation_Calc!$I$10:$J$13,2,FALSE),0),
IF(AX633="K",VLOOKUP(L633,Foundation_Calc!$V$41:$X$74,VLOOKUP(AX633,Foundation_Calc!$I$10:$J$13,2,FALSE),0),"")))</f>
        <v/>
      </c>
      <c r="N633" s="8"/>
      <c r="O633" s="8"/>
      <c r="P633" s="8"/>
      <c r="Q633" s="14"/>
      <c r="R633" s="15"/>
      <c r="S633" s="15"/>
      <c r="T633" s="14"/>
      <c r="U633" s="14"/>
      <c r="V633" s="14"/>
      <c r="W633" s="18"/>
      <c r="X633" s="18"/>
      <c r="Y633" s="18"/>
      <c r="Z633" s="18"/>
      <c r="AA633" s="18"/>
      <c r="AB633" s="18"/>
      <c r="AC633" s="8" t="str">
        <f t="shared" si="39"/>
        <v/>
      </c>
      <c r="AD633" s="8"/>
      <c r="AE633" s="8"/>
      <c r="AF633" s="14"/>
      <c r="AG633" s="13"/>
      <c r="AH633" s="14"/>
      <c r="AI633" s="14"/>
      <c r="AJ633" s="8"/>
      <c r="AK633" s="8"/>
      <c r="AL633" s="8"/>
      <c r="AM633" s="8"/>
      <c r="AN633" s="631"/>
      <c r="AO633" s="18"/>
      <c r="AP633" s="18"/>
      <c r="AQ633" s="18"/>
      <c r="AR633" s="18"/>
      <c r="AS633" s="18"/>
      <c r="AU633" s="448"/>
      <c r="AV633" s="448"/>
      <c r="AW633" s="8" t="str">
        <f>IF(C633&gt;0,VLOOKUP(C633,Foundation_Calc!$A$2:$C$986,3,1),
IF(J633&gt;0,VLOOKUP(J633,Foundation_Calc!$A$2:$C$986,3,1),""))</f>
        <v/>
      </c>
      <c r="AX633" s="8" t="str">
        <f>IF(C633&gt;0,VLOOKUP(C633,Foundation_Calc!$E$2:$G$986,3,1),
IF(J633&gt;0,VLOOKUP(J633,Foundation_Calc!$E$2:$G$986,3,1),""))</f>
        <v/>
      </c>
      <c r="AY633" s="631" t="str">
        <f>IF(L633="","",
IF(AX633="PT",VLOOKUP(L633,Foundation_Calc!$K$4:$R$37,VLOOKUP(AW633,Foundation_Calc!$I$2:$J$8,2,FALSE),0),
IF(AX633="K",VLOOKUP(L633,Foundation_Calc!$K$41:$R$74,VLOOKUP(AW633,Foundation_Calc!$I$2:$J$8,2,FALSE),0),"")))</f>
        <v/>
      </c>
      <c r="AZ633" s="631" t="str">
        <f>IF(K633="","",
IF(AX633="PT",VLOOKUP(K633,Foundation_Calc!$K$4:$R$37,VLOOKUP(AW633,Foundation_Calc!$I$2:$J$8,2,FALSE),0),
IF(AX633="K",VLOOKUP(K633,Foundation_Calc!$K$41:$R$74,VLOOKUP(AW633,Foundation_Calc!$I$2:$J$8,2,FALSE),0),"")))</f>
        <v/>
      </c>
      <c r="BA633" s="632" t="str">
        <f t="shared" si="40"/>
        <v/>
      </c>
      <c r="BB633" s="632" t="str">
        <f t="shared" si="41"/>
        <v/>
      </c>
      <c r="BC633" s="632" t="str">
        <f t="shared" si="42"/>
        <v/>
      </c>
      <c r="BD633" s="633" t="str">
        <f>IF(AND(L633="",H633=""),"",
IF(H633="",Pole_Calc!A661,
IF(H633="MP",Pole_Calc!A662,
IF(H633="AnMP",Pole_Calc!A663,
IF(H633="A",Pole_Calc!A664,
IF(H633="S/A",Pole_Calc!A665,
IF(H633="A/S",Pole_Calc!A666,"Poner a mano")))))))</f>
        <v/>
      </c>
      <c r="BE633" s="448" t="s">
        <v>1726</v>
      </c>
      <c r="BF633" s="635"/>
      <c r="BG633" s="635"/>
      <c r="BH633" s="634"/>
      <c r="BI633" s="635"/>
    </row>
    <row r="634" spans="1:61" ht="16.2" customHeight="1">
      <c r="A634" s="12"/>
      <c r="B634" s="446"/>
      <c r="C634" s="89"/>
      <c r="D634" s="13"/>
      <c r="E634" s="14"/>
      <c r="F634" s="14"/>
      <c r="G634" s="15"/>
      <c r="H634" s="8"/>
      <c r="I634" s="8"/>
      <c r="J634" s="89"/>
      <c r="K634" s="8"/>
      <c r="L634" s="8"/>
      <c r="M634" s="8" t="str">
        <f>IF(L634="","",
IF(AX634="PT",VLOOKUP(L634,Foundation_Calc!$V$4:$X$37,VLOOKUP(AX634,Foundation_Calc!$I$10:$J$13,2,FALSE),0),
IF(AX634="K",VLOOKUP(L634,Foundation_Calc!$V$41:$X$74,VLOOKUP(AX634,Foundation_Calc!$I$10:$J$13,2,FALSE),0),"")))</f>
        <v/>
      </c>
      <c r="N634" s="8"/>
      <c r="O634" s="8"/>
      <c r="P634" s="8"/>
      <c r="Q634" s="14"/>
      <c r="R634" s="15"/>
      <c r="S634" s="15"/>
      <c r="T634" s="14"/>
      <c r="U634" s="14"/>
      <c r="V634" s="14"/>
      <c r="W634" s="18"/>
      <c r="X634" s="18"/>
      <c r="Y634" s="18"/>
      <c r="Z634" s="18"/>
      <c r="AA634" s="18"/>
      <c r="AB634" s="18"/>
      <c r="AC634" s="8" t="str">
        <f t="shared" si="39"/>
        <v/>
      </c>
      <c r="AD634" s="8"/>
      <c r="AE634" s="8"/>
      <c r="AF634" s="14"/>
      <c r="AG634" s="13"/>
      <c r="AH634" s="14"/>
      <c r="AI634" s="14"/>
      <c r="AJ634" s="8"/>
      <c r="AK634" s="8"/>
      <c r="AL634" s="8"/>
      <c r="AM634" s="8"/>
      <c r="AN634" s="631"/>
      <c r="AO634" s="18"/>
      <c r="AP634" s="18"/>
      <c r="AQ634" s="18"/>
      <c r="AR634" s="18"/>
      <c r="AS634" s="18"/>
      <c r="AU634" s="448"/>
      <c r="AV634" s="448"/>
      <c r="AW634" s="8" t="str">
        <f>IF(C634&gt;0,VLOOKUP(C634,Foundation_Calc!$A$2:$C$986,3,1),
IF(J634&gt;0,VLOOKUP(J634,Foundation_Calc!$A$2:$C$986,3,1),""))</f>
        <v/>
      </c>
      <c r="AX634" s="8" t="str">
        <f>IF(C634&gt;0,VLOOKUP(C634,Foundation_Calc!$E$2:$G$986,3,1),
IF(J634&gt;0,VLOOKUP(J634,Foundation_Calc!$E$2:$G$986,3,1),""))</f>
        <v/>
      </c>
      <c r="AY634" s="631" t="str">
        <f>IF(L634="","",
IF(AX634="PT",VLOOKUP(L634,Foundation_Calc!$K$4:$R$37,VLOOKUP(AW634,Foundation_Calc!$I$2:$J$8,2,FALSE),0),
IF(AX634="K",VLOOKUP(L634,Foundation_Calc!$K$41:$R$74,VLOOKUP(AW634,Foundation_Calc!$I$2:$J$8,2,FALSE),0),"")))</f>
        <v/>
      </c>
      <c r="AZ634" s="631" t="str">
        <f>IF(K634="","",
IF(AX634="PT",VLOOKUP(K634,Foundation_Calc!$K$4:$R$37,VLOOKUP(AW634,Foundation_Calc!$I$2:$J$8,2,FALSE),0),
IF(AX634="K",VLOOKUP(K634,Foundation_Calc!$K$41:$R$74,VLOOKUP(AW634,Foundation_Calc!$I$2:$J$8,2,FALSE),0),"")))</f>
        <v/>
      </c>
      <c r="BA634" s="632" t="str">
        <f t="shared" si="40"/>
        <v/>
      </c>
      <c r="BB634" s="632" t="str">
        <f t="shared" si="41"/>
        <v/>
      </c>
      <c r="BC634" s="632" t="str">
        <f t="shared" si="42"/>
        <v/>
      </c>
      <c r="BD634" s="633" t="str">
        <f>IF(AND(L634="",H634=""),"",
IF(H634="",Pole_Calc!A662,
IF(H634="MP",Pole_Calc!A663,
IF(H634="AnMP",Pole_Calc!A664,
IF(H634="A",Pole_Calc!A665,
IF(H634="S/A",Pole_Calc!A666,
IF(H634="A/S",Pole_Calc!A667,"Poner a mano")))))))</f>
        <v/>
      </c>
      <c r="BE634" s="448" t="s">
        <v>1726</v>
      </c>
      <c r="BF634" s="634"/>
      <c r="BG634" s="634"/>
      <c r="BH634" s="634"/>
      <c r="BI634" s="634"/>
    </row>
    <row r="635" spans="1:61" ht="16.2" customHeight="1">
      <c r="A635" s="12"/>
      <c r="B635" s="446"/>
      <c r="C635" s="89"/>
      <c r="D635" s="13"/>
      <c r="E635" s="14"/>
      <c r="F635" s="14"/>
      <c r="G635" s="15"/>
      <c r="H635" s="8"/>
      <c r="I635" s="8"/>
      <c r="J635" s="89"/>
      <c r="K635" s="8"/>
      <c r="L635" s="8"/>
      <c r="M635" s="8" t="str">
        <f>IF(L635="","",
IF(AX635="PT",VLOOKUP(L635,Foundation_Calc!$V$4:$X$37,VLOOKUP(AX635,Foundation_Calc!$I$10:$J$13,2,FALSE),0),
IF(AX635="K",VLOOKUP(L635,Foundation_Calc!$V$41:$X$74,VLOOKUP(AX635,Foundation_Calc!$I$10:$J$13,2,FALSE),0),"")))</f>
        <v/>
      </c>
      <c r="N635" s="8"/>
      <c r="O635" s="8"/>
      <c r="P635" s="8"/>
      <c r="Q635" s="14"/>
      <c r="R635" s="15"/>
      <c r="S635" s="15"/>
      <c r="T635" s="14"/>
      <c r="U635" s="14"/>
      <c r="V635" s="14"/>
      <c r="W635" s="18"/>
      <c r="X635" s="18"/>
      <c r="Y635" s="18"/>
      <c r="Z635" s="18"/>
      <c r="AA635" s="18"/>
      <c r="AB635" s="18"/>
      <c r="AC635" s="8" t="str">
        <f t="shared" si="39"/>
        <v/>
      </c>
      <c r="AD635" s="8"/>
      <c r="AE635" s="8"/>
      <c r="AF635" s="14"/>
      <c r="AG635" s="13"/>
      <c r="AH635" s="14"/>
      <c r="AI635" s="14"/>
      <c r="AJ635" s="8"/>
      <c r="AK635" s="8"/>
      <c r="AL635" s="8"/>
      <c r="AM635" s="8"/>
      <c r="AN635" s="631"/>
      <c r="AO635" s="18"/>
      <c r="AP635" s="18"/>
      <c r="AQ635" s="18"/>
      <c r="AR635" s="18"/>
      <c r="AS635" s="18"/>
      <c r="AU635" s="448"/>
      <c r="AV635" s="448"/>
      <c r="AW635" s="8" t="str">
        <f>IF(C635&gt;0,VLOOKUP(C635,Foundation_Calc!$A$2:$C$986,3,1),
IF(J635&gt;0,VLOOKUP(J635,Foundation_Calc!$A$2:$C$986,3,1),""))</f>
        <v/>
      </c>
      <c r="AX635" s="8" t="str">
        <f>IF(C635&gt;0,VLOOKUP(C635,Foundation_Calc!$E$2:$G$986,3,1),
IF(J635&gt;0,VLOOKUP(J635,Foundation_Calc!$E$2:$G$986,3,1),""))</f>
        <v/>
      </c>
      <c r="AY635" s="631" t="str">
        <f>IF(L635="","",
IF(AX635="PT",VLOOKUP(L635,Foundation_Calc!$K$4:$R$37,VLOOKUP(AW635,Foundation_Calc!$I$2:$J$8,2,FALSE),0),
IF(AX635="K",VLOOKUP(L635,Foundation_Calc!$K$41:$R$74,VLOOKUP(AW635,Foundation_Calc!$I$2:$J$8,2,FALSE),0),"")))</f>
        <v/>
      </c>
      <c r="AZ635" s="631" t="str">
        <f>IF(K635="","",
IF(AX635="PT",VLOOKUP(K635,Foundation_Calc!$K$4:$R$37,VLOOKUP(AW635,Foundation_Calc!$I$2:$J$8,2,FALSE),0),
IF(AX635="K",VLOOKUP(K635,Foundation_Calc!$K$41:$R$74,VLOOKUP(AW635,Foundation_Calc!$I$2:$J$8,2,FALSE),0),"")))</f>
        <v/>
      </c>
      <c r="BA635" s="632" t="str">
        <f t="shared" si="40"/>
        <v/>
      </c>
      <c r="BB635" s="632" t="str">
        <f t="shared" si="41"/>
        <v/>
      </c>
      <c r="BC635" s="632" t="str">
        <f t="shared" si="42"/>
        <v/>
      </c>
      <c r="BD635" s="633" t="str">
        <f>IF(AND(L635="",H635=""),"",
IF(H635="",Pole_Calc!A663,
IF(H635="MP",Pole_Calc!A664,
IF(H635="AnMP",Pole_Calc!A665,
IF(H635="A",Pole_Calc!A666,
IF(H635="S/A",Pole_Calc!A667,
IF(H635="A/S",Pole_Calc!A668,"Poner a mano")))))))</f>
        <v/>
      </c>
      <c r="BE635" s="448" t="s">
        <v>1726</v>
      </c>
      <c r="BF635" s="635"/>
      <c r="BG635" s="635"/>
      <c r="BH635" s="634"/>
      <c r="BI635" s="635"/>
    </row>
    <row r="636" spans="1:61" ht="16.2" customHeight="1">
      <c r="A636" s="12"/>
      <c r="B636" s="446"/>
      <c r="C636" s="89"/>
      <c r="D636" s="13"/>
      <c r="E636" s="14"/>
      <c r="F636" s="14"/>
      <c r="G636" s="15"/>
      <c r="H636" s="8"/>
      <c r="I636" s="8"/>
      <c r="J636" s="89"/>
      <c r="K636" s="8"/>
      <c r="L636" s="8"/>
      <c r="M636" s="8" t="str">
        <f>IF(L636="","",
IF(AX636="PT",VLOOKUP(L636,Foundation_Calc!$V$4:$X$37,VLOOKUP(AX636,Foundation_Calc!$I$10:$J$13,2,FALSE),0),
IF(AX636="K",VLOOKUP(L636,Foundation_Calc!$V$41:$X$74,VLOOKUP(AX636,Foundation_Calc!$I$10:$J$13,2,FALSE),0),"")))</f>
        <v/>
      </c>
      <c r="N636" s="8"/>
      <c r="O636" s="8"/>
      <c r="P636" s="8"/>
      <c r="Q636" s="14"/>
      <c r="R636" s="15"/>
      <c r="S636" s="15"/>
      <c r="T636" s="14"/>
      <c r="U636" s="14"/>
      <c r="V636" s="14"/>
      <c r="W636" s="18"/>
      <c r="X636" s="18"/>
      <c r="Y636" s="18"/>
      <c r="Z636" s="18"/>
      <c r="AA636" s="18"/>
      <c r="AB636" s="18"/>
      <c r="AC636" s="8" t="str">
        <f t="shared" si="39"/>
        <v/>
      </c>
      <c r="AD636" s="8"/>
      <c r="AE636" s="8"/>
      <c r="AF636" s="14"/>
      <c r="AG636" s="13"/>
      <c r="AH636" s="14"/>
      <c r="AI636" s="14"/>
      <c r="AJ636" s="8"/>
      <c r="AK636" s="8"/>
      <c r="AL636" s="8"/>
      <c r="AM636" s="8"/>
      <c r="AN636" s="631"/>
      <c r="AO636" s="18"/>
      <c r="AP636" s="18"/>
      <c r="AQ636" s="18"/>
      <c r="AR636" s="18"/>
      <c r="AS636" s="18"/>
      <c r="AU636" s="448"/>
      <c r="AV636" s="448"/>
      <c r="AW636" s="8" t="str">
        <f>IF(C636&gt;0,VLOOKUP(C636,Foundation_Calc!$A$2:$C$986,3,1),
IF(J636&gt;0,VLOOKUP(J636,Foundation_Calc!$A$2:$C$986,3,1),""))</f>
        <v/>
      </c>
      <c r="AX636" s="8" t="str">
        <f>IF(C636&gt;0,VLOOKUP(C636,Foundation_Calc!$E$2:$G$986,3,1),
IF(J636&gt;0,VLOOKUP(J636,Foundation_Calc!$E$2:$G$986,3,1),""))</f>
        <v/>
      </c>
      <c r="AY636" s="631" t="str">
        <f>IF(L636="","",
IF(AX636="PT",VLOOKUP(L636,Foundation_Calc!$K$4:$R$37,VLOOKUP(AW636,Foundation_Calc!$I$2:$J$8,2,FALSE),0),
IF(AX636="K",VLOOKUP(L636,Foundation_Calc!$K$41:$R$74,VLOOKUP(AW636,Foundation_Calc!$I$2:$J$8,2,FALSE),0),"")))</f>
        <v/>
      </c>
      <c r="AZ636" s="631" t="str">
        <f>IF(K636="","",
IF(AX636="PT",VLOOKUP(K636,Foundation_Calc!$K$4:$R$37,VLOOKUP(AW636,Foundation_Calc!$I$2:$J$8,2,FALSE),0),
IF(AX636="K",VLOOKUP(K636,Foundation_Calc!$K$41:$R$74,VLOOKUP(AW636,Foundation_Calc!$I$2:$J$8,2,FALSE),0),"")))</f>
        <v/>
      </c>
      <c r="BA636" s="632" t="str">
        <f t="shared" si="40"/>
        <v/>
      </c>
      <c r="BB636" s="632" t="str">
        <f t="shared" si="41"/>
        <v/>
      </c>
      <c r="BC636" s="632" t="str">
        <f t="shared" si="42"/>
        <v/>
      </c>
      <c r="BD636" s="633" t="str">
        <f>IF(AND(L636="",H636=""),"",
IF(H636="",Pole_Calc!A664,
IF(H636="MP",Pole_Calc!A665,
IF(H636="AnMP",Pole_Calc!A666,
IF(H636="A",Pole_Calc!A667,
IF(H636="S/A",Pole_Calc!A668,
IF(H636="A/S",Pole_Calc!A669,"Poner a mano")))))))</f>
        <v/>
      </c>
      <c r="BE636" s="448" t="s">
        <v>1726</v>
      </c>
      <c r="BF636" s="634"/>
      <c r="BG636" s="634"/>
      <c r="BH636" s="634"/>
      <c r="BI636" s="634"/>
    </row>
    <row r="637" spans="1:61" ht="16.2" customHeight="1">
      <c r="A637" s="12"/>
      <c r="B637" s="446"/>
      <c r="C637" s="89"/>
      <c r="D637" s="13"/>
      <c r="E637" s="14"/>
      <c r="F637" s="14"/>
      <c r="G637" s="15"/>
      <c r="H637" s="8"/>
      <c r="I637" s="8"/>
      <c r="J637" s="89"/>
      <c r="K637" s="8"/>
      <c r="L637" s="8"/>
      <c r="M637" s="8" t="str">
        <f>IF(L637="","",
IF(AX637="PT",VLOOKUP(L637,Foundation_Calc!$V$4:$X$37,VLOOKUP(AX637,Foundation_Calc!$I$10:$J$13,2,FALSE),0),
IF(AX637="K",VLOOKUP(L637,Foundation_Calc!$V$41:$X$74,VLOOKUP(AX637,Foundation_Calc!$I$10:$J$13,2,FALSE),0),"")))</f>
        <v/>
      </c>
      <c r="N637" s="8"/>
      <c r="O637" s="8"/>
      <c r="P637" s="8"/>
      <c r="Q637" s="14"/>
      <c r="R637" s="15"/>
      <c r="S637" s="15"/>
      <c r="T637" s="14"/>
      <c r="U637" s="14"/>
      <c r="V637" s="14"/>
      <c r="W637" s="18"/>
      <c r="X637" s="18"/>
      <c r="Y637" s="18"/>
      <c r="Z637" s="18"/>
      <c r="AA637" s="18"/>
      <c r="AB637" s="18"/>
      <c r="AC637" s="8" t="str">
        <f t="shared" si="39"/>
        <v/>
      </c>
      <c r="AD637" s="8"/>
      <c r="AE637" s="8"/>
      <c r="AF637" s="14"/>
      <c r="AG637" s="13"/>
      <c r="AH637" s="14"/>
      <c r="AI637" s="14"/>
      <c r="AJ637" s="8"/>
      <c r="AK637" s="8"/>
      <c r="AL637" s="8"/>
      <c r="AM637" s="8"/>
      <c r="AN637" s="631"/>
      <c r="AO637" s="18"/>
      <c r="AP637" s="18"/>
      <c r="AQ637" s="18"/>
      <c r="AR637" s="18"/>
      <c r="AS637" s="18"/>
      <c r="AU637" s="448"/>
      <c r="AV637" s="448"/>
      <c r="AW637" s="8" t="str">
        <f>IF(C637&gt;0,VLOOKUP(C637,Foundation_Calc!$A$2:$C$986,3,1),
IF(J637&gt;0,VLOOKUP(J637,Foundation_Calc!$A$2:$C$986,3,1),""))</f>
        <v/>
      </c>
      <c r="AX637" s="8" t="str">
        <f>IF(C637&gt;0,VLOOKUP(C637,Foundation_Calc!$E$2:$G$986,3,1),
IF(J637&gt;0,VLOOKUP(J637,Foundation_Calc!$E$2:$G$986,3,1),""))</f>
        <v/>
      </c>
      <c r="AY637" s="631" t="str">
        <f>IF(L637="","",
IF(AX637="PT",VLOOKUP(L637,Foundation_Calc!$K$4:$R$37,VLOOKUP(AW637,Foundation_Calc!$I$2:$J$8,2,FALSE),0),
IF(AX637="K",VLOOKUP(L637,Foundation_Calc!$K$41:$R$74,VLOOKUP(AW637,Foundation_Calc!$I$2:$J$8,2,FALSE),0),"")))</f>
        <v/>
      </c>
      <c r="AZ637" s="631" t="str">
        <f>IF(K637="","",
IF(AX637="PT",VLOOKUP(K637,Foundation_Calc!$K$4:$R$37,VLOOKUP(AW637,Foundation_Calc!$I$2:$J$8,2,FALSE),0),
IF(AX637="K",VLOOKUP(K637,Foundation_Calc!$K$41:$R$74,VLOOKUP(AW637,Foundation_Calc!$I$2:$J$8,2,FALSE),0),"")))</f>
        <v/>
      </c>
      <c r="BA637" s="632" t="str">
        <f t="shared" si="40"/>
        <v/>
      </c>
      <c r="BB637" s="632" t="str">
        <f t="shared" si="41"/>
        <v/>
      </c>
      <c r="BC637" s="632" t="str">
        <f t="shared" si="42"/>
        <v/>
      </c>
      <c r="BD637" s="633" t="str">
        <f>IF(AND(L637="",H637=""),"",
IF(H637="",Pole_Calc!A665,
IF(H637="MP",Pole_Calc!A666,
IF(H637="AnMP",Pole_Calc!A667,
IF(H637="A",Pole_Calc!A668,
IF(H637="S/A",Pole_Calc!A669,
IF(H637="A/S",Pole_Calc!A670,"Poner a mano")))))))</f>
        <v/>
      </c>
      <c r="BE637" s="448" t="s">
        <v>1726</v>
      </c>
      <c r="BF637" s="635"/>
      <c r="BG637" s="635"/>
      <c r="BH637" s="634"/>
      <c r="BI637" s="635"/>
    </row>
    <row r="638" spans="1:61" ht="16.2" customHeight="1">
      <c r="A638" s="12"/>
      <c r="B638" s="446"/>
      <c r="C638" s="89"/>
      <c r="D638" s="13"/>
      <c r="E638" s="14"/>
      <c r="F638" s="14"/>
      <c r="G638" s="15"/>
      <c r="H638" s="8"/>
      <c r="I638" s="8"/>
      <c r="J638" s="89"/>
      <c r="K638" s="8"/>
      <c r="L638" s="8"/>
      <c r="M638" s="8" t="str">
        <f>IF(L638="","",
IF(AX638="PT",VLOOKUP(L638,Foundation_Calc!$V$4:$X$37,VLOOKUP(AX638,Foundation_Calc!$I$10:$J$13,2,FALSE),0),
IF(AX638="K",VLOOKUP(L638,Foundation_Calc!$V$41:$X$74,VLOOKUP(AX638,Foundation_Calc!$I$10:$J$13,2,FALSE),0),"")))</f>
        <v/>
      </c>
      <c r="N638" s="8"/>
      <c r="O638" s="8"/>
      <c r="P638" s="8"/>
      <c r="Q638" s="14"/>
      <c r="R638" s="15"/>
      <c r="S638" s="15"/>
      <c r="T638" s="14"/>
      <c r="U638" s="14"/>
      <c r="V638" s="14"/>
      <c r="W638" s="18"/>
      <c r="X638" s="18"/>
      <c r="Y638" s="18"/>
      <c r="Z638" s="18"/>
      <c r="AA638" s="18"/>
      <c r="AB638" s="18"/>
      <c r="AC638" s="8" t="str">
        <f t="shared" si="39"/>
        <v/>
      </c>
      <c r="AD638" s="8"/>
      <c r="AE638" s="8"/>
      <c r="AF638" s="14"/>
      <c r="AG638" s="13"/>
      <c r="AH638" s="14"/>
      <c r="AI638" s="14"/>
      <c r="AJ638" s="8"/>
      <c r="AK638" s="8"/>
      <c r="AL638" s="8"/>
      <c r="AM638" s="8"/>
      <c r="AN638" s="631"/>
      <c r="AO638" s="18"/>
      <c r="AP638" s="18"/>
      <c r="AQ638" s="18"/>
      <c r="AR638" s="18"/>
      <c r="AS638" s="18"/>
      <c r="AU638" s="448"/>
      <c r="AV638" s="448"/>
      <c r="AW638" s="8" t="str">
        <f>IF(C638&gt;0,VLOOKUP(C638,Foundation_Calc!$A$2:$C$986,3,1),
IF(J638&gt;0,VLOOKUP(J638,Foundation_Calc!$A$2:$C$986,3,1),""))</f>
        <v/>
      </c>
      <c r="AX638" s="8" t="str">
        <f>IF(C638&gt;0,VLOOKUP(C638,Foundation_Calc!$E$2:$G$986,3,1),
IF(J638&gt;0,VLOOKUP(J638,Foundation_Calc!$E$2:$G$986,3,1),""))</f>
        <v/>
      </c>
      <c r="AY638" s="631" t="str">
        <f>IF(L638="","",
IF(AX638="PT",VLOOKUP(L638,Foundation_Calc!$K$4:$R$37,VLOOKUP(AW638,Foundation_Calc!$I$2:$J$8,2,FALSE),0),
IF(AX638="K",VLOOKUP(L638,Foundation_Calc!$K$41:$R$74,VLOOKUP(AW638,Foundation_Calc!$I$2:$J$8,2,FALSE),0),"")))</f>
        <v/>
      </c>
      <c r="AZ638" s="631" t="str">
        <f>IF(K638="","",
IF(AX638="PT",VLOOKUP(K638,Foundation_Calc!$K$4:$R$37,VLOOKUP(AW638,Foundation_Calc!$I$2:$J$8,2,FALSE),0),
IF(AX638="K",VLOOKUP(K638,Foundation_Calc!$K$41:$R$74,VLOOKUP(AW638,Foundation_Calc!$I$2:$J$8,2,FALSE),0),"")))</f>
        <v/>
      </c>
      <c r="BA638" s="632" t="str">
        <f t="shared" si="40"/>
        <v/>
      </c>
      <c r="BB638" s="632" t="str">
        <f t="shared" si="41"/>
        <v/>
      </c>
      <c r="BC638" s="632" t="str">
        <f t="shared" si="42"/>
        <v/>
      </c>
      <c r="BD638" s="633" t="str">
        <f>IF(AND(L638="",H638=""),"",
IF(H638="",Pole_Calc!A666,
IF(H638="MP",Pole_Calc!A667,
IF(H638="AnMP",Pole_Calc!A668,
IF(H638="A",Pole_Calc!A669,
IF(H638="S/A",Pole_Calc!A670,
IF(H638="A/S",Pole_Calc!A671,"Poner a mano")))))))</f>
        <v/>
      </c>
      <c r="BE638" s="448" t="s">
        <v>1726</v>
      </c>
      <c r="BF638" s="634"/>
      <c r="BG638" s="634"/>
      <c r="BH638" s="634"/>
      <c r="BI638" s="634"/>
    </row>
    <row r="639" spans="1:61" ht="16.2" customHeight="1">
      <c r="A639" s="12"/>
      <c r="B639" s="446"/>
      <c r="C639" s="89"/>
      <c r="D639" s="13"/>
      <c r="E639" s="14"/>
      <c r="F639" s="14"/>
      <c r="G639" s="15"/>
      <c r="H639" s="8"/>
      <c r="I639" s="8"/>
      <c r="J639" s="89"/>
      <c r="K639" s="8"/>
      <c r="L639" s="8"/>
      <c r="M639" s="8" t="str">
        <f>IF(L639="","",
IF(AX639="PT",VLOOKUP(L639,Foundation_Calc!$V$4:$X$37,VLOOKUP(AX639,Foundation_Calc!$I$10:$J$13,2,FALSE),0),
IF(AX639="K",VLOOKUP(L639,Foundation_Calc!$V$41:$X$74,VLOOKUP(AX639,Foundation_Calc!$I$10:$J$13,2,FALSE),0),"")))</f>
        <v/>
      </c>
      <c r="N639" s="8"/>
      <c r="O639" s="8"/>
      <c r="P639" s="8"/>
      <c r="Q639" s="14"/>
      <c r="R639" s="15"/>
      <c r="S639" s="15"/>
      <c r="T639" s="14"/>
      <c r="U639" s="14"/>
      <c r="V639" s="14"/>
      <c r="W639" s="18"/>
      <c r="X639" s="18"/>
      <c r="Y639" s="18"/>
      <c r="Z639" s="18"/>
      <c r="AA639" s="18"/>
      <c r="AB639" s="18"/>
      <c r="AC639" s="8" t="str">
        <f t="shared" si="39"/>
        <v/>
      </c>
      <c r="AD639" s="8"/>
      <c r="AE639" s="8"/>
      <c r="AF639" s="14"/>
      <c r="AG639" s="13"/>
      <c r="AH639" s="14"/>
      <c r="AI639" s="14"/>
      <c r="AJ639" s="8"/>
      <c r="AK639" s="8"/>
      <c r="AL639" s="8"/>
      <c r="AM639" s="8"/>
      <c r="AN639" s="631"/>
      <c r="AO639" s="18"/>
      <c r="AP639" s="18"/>
      <c r="AQ639" s="18"/>
      <c r="AR639" s="18"/>
      <c r="AS639" s="18"/>
      <c r="AU639" s="448"/>
      <c r="AV639" s="448"/>
      <c r="AW639" s="8" t="str">
        <f>IF(C639&gt;0,VLOOKUP(C639,Foundation_Calc!$A$2:$C$986,3,1),
IF(J639&gt;0,VLOOKUP(J639,Foundation_Calc!$A$2:$C$986,3,1),""))</f>
        <v/>
      </c>
      <c r="AX639" s="8" t="str">
        <f>IF(C639&gt;0,VLOOKUP(C639,Foundation_Calc!$E$2:$G$986,3,1),
IF(J639&gt;0,VLOOKUP(J639,Foundation_Calc!$E$2:$G$986,3,1),""))</f>
        <v/>
      </c>
      <c r="AY639" s="631" t="str">
        <f>IF(L639="","",
IF(AX639="PT",VLOOKUP(L639,Foundation_Calc!$K$4:$R$37,VLOOKUP(AW639,Foundation_Calc!$I$2:$J$8,2,FALSE),0),
IF(AX639="K",VLOOKUP(L639,Foundation_Calc!$K$41:$R$74,VLOOKUP(AW639,Foundation_Calc!$I$2:$J$8,2,FALSE),0),"")))</f>
        <v/>
      </c>
      <c r="AZ639" s="631" t="str">
        <f>IF(K639="","",
IF(AX639="PT",VLOOKUP(K639,Foundation_Calc!$K$4:$R$37,VLOOKUP(AW639,Foundation_Calc!$I$2:$J$8,2,FALSE),0),
IF(AX639="K",VLOOKUP(K639,Foundation_Calc!$K$41:$R$74,VLOOKUP(AW639,Foundation_Calc!$I$2:$J$8,2,FALSE),0),"")))</f>
        <v/>
      </c>
      <c r="BA639" s="632" t="str">
        <f t="shared" si="40"/>
        <v/>
      </c>
      <c r="BB639" s="632" t="str">
        <f t="shared" si="41"/>
        <v/>
      </c>
      <c r="BC639" s="632" t="str">
        <f t="shared" si="42"/>
        <v/>
      </c>
      <c r="BD639" s="633" t="str">
        <f>IF(AND(L639="",H639=""),"",
IF(H639="",Pole_Calc!A667,
IF(H639="MP",Pole_Calc!A668,
IF(H639="AnMP",Pole_Calc!A669,
IF(H639="A",Pole_Calc!A670,
IF(H639="S/A",Pole_Calc!A671,
IF(H639="A/S",Pole_Calc!A672,"Poner a mano")))))))</f>
        <v/>
      </c>
      <c r="BE639" s="448" t="s">
        <v>1726</v>
      </c>
      <c r="BF639" s="635"/>
      <c r="BG639" s="635"/>
      <c r="BH639" s="634"/>
      <c r="BI639" s="635"/>
    </row>
    <row r="640" spans="1:61" ht="16.2" customHeight="1">
      <c r="A640" s="12"/>
      <c r="B640" s="446"/>
      <c r="C640" s="89"/>
      <c r="D640" s="13"/>
      <c r="E640" s="14"/>
      <c r="F640" s="14"/>
      <c r="G640" s="15"/>
      <c r="H640" s="8"/>
      <c r="I640" s="8"/>
      <c r="J640" s="89"/>
      <c r="K640" s="8"/>
      <c r="L640" s="8"/>
      <c r="M640" s="8" t="str">
        <f>IF(L640="","",
IF(AX640="PT",VLOOKUP(L640,Foundation_Calc!$V$4:$X$37,VLOOKUP(AX640,Foundation_Calc!$I$10:$J$13,2,FALSE),0),
IF(AX640="K",VLOOKUP(L640,Foundation_Calc!$V$41:$X$74,VLOOKUP(AX640,Foundation_Calc!$I$10:$J$13,2,FALSE),0),"")))</f>
        <v/>
      </c>
      <c r="N640" s="8"/>
      <c r="O640" s="8"/>
      <c r="P640" s="8"/>
      <c r="Q640" s="14"/>
      <c r="R640" s="15"/>
      <c r="S640" s="15"/>
      <c r="T640" s="14"/>
      <c r="U640" s="14"/>
      <c r="V640" s="14"/>
      <c r="W640" s="18"/>
      <c r="X640" s="18"/>
      <c r="Y640" s="18"/>
      <c r="Z640" s="18"/>
      <c r="AA640" s="18"/>
      <c r="AB640" s="18"/>
      <c r="AC640" s="8" t="str">
        <f t="shared" si="39"/>
        <v/>
      </c>
      <c r="AD640" s="8"/>
      <c r="AE640" s="8"/>
      <c r="AF640" s="14"/>
      <c r="AG640" s="13"/>
      <c r="AH640" s="14"/>
      <c r="AI640" s="14"/>
      <c r="AJ640" s="8"/>
      <c r="AK640" s="8"/>
      <c r="AL640" s="8"/>
      <c r="AM640" s="8"/>
      <c r="AN640" s="631"/>
      <c r="AO640" s="18"/>
      <c r="AP640" s="18"/>
      <c r="AQ640" s="18"/>
      <c r="AR640" s="18"/>
      <c r="AS640" s="18"/>
      <c r="AU640" s="448"/>
      <c r="AV640" s="448"/>
      <c r="AW640" s="8" t="str">
        <f>IF(C640&gt;0,VLOOKUP(C640,Foundation_Calc!$A$2:$C$986,3,1),
IF(J640&gt;0,VLOOKUP(J640,Foundation_Calc!$A$2:$C$986,3,1),""))</f>
        <v/>
      </c>
      <c r="AX640" s="8" t="str">
        <f>IF(C640&gt;0,VLOOKUP(C640,Foundation_Calc!$E$2:$G$986,3,1),
IF(J640&gt;0,VLOOKUP(J640,Foundation_Calc!$E$2:$G$986,3,1),""))</f>
        <v/>
      </c>
      <c r="AY640" s="631" t="str">
        <f>IF(L640="","",
IF(AX640="PT",VLOOKUP(L640,Foundation_Calc!$K$4:$R$37,VLOOKUP(AW640,Foundation_Calc!$I$2:$J$8,2,FALSE),0),
IF(AX640="K",VLOOKUP(L640,Foundation_Calc!$K$41:$R$74,VLOOKUP(AW640,Foundation_Calc!$I$2:$J$8,2,FALSE),0),"")))</f>
        <v/>
      </c>
      <c r="AZ640" s="631" t="str">
        <f>IF(K640="","",
IF(AX640="PT",VLOOKUP(K640,Foundation_Calc!$K$4:$R$37,VLOOKUP(AW640,Foundation_Calc!$I$2:$J$8,2,FALSE),0),
IF(AX640="K",VLOOKUP(K640,Foundation_Calc!$K$41:$R$74,VLOOKUP(AW640,Foundation_Calc!$I$2:$J$8,2,FALSE),0),"")))</f>
        <v/>
      </c>
      <c r="BA640" s="632" t="str">
        <f t="shared" si="40"/>
        <v/>
      </c>
      <c r="BB640" s="632" t="str">
        <f t="shared" si="41"/>
        <v/>
      </c>
      <c r="BC640" s="632" t="str">
        <f t="shared" si="42"/>
        <v/>
      </c>
      <c r="BD640" s="633" t="str">
        <f>IF(AND(L640="",H640=""),"",
IF(H640="",Pole_Calc!A668,
IF(H640="MP",Pole_Calc!A669,
IF(H640="AnMP",Pole_Calc!A670,
IF(H640="A",Pole_Calc!A671,
IF(H640="S/A",Pole_Calc!A672,
IF(H640="A/S",Pole_Calc!A673,"Poner a mano")))))))</f>
        <v/>
      </c>
      <c r="BE640" s="448" t="s">
        <v>1726</v>
      </c>
      <c r="BF640" s="634"/>
      <c r="BG640" s="634"/>
      <c r="BH640" s="634"/>
      <c r="BI640" s="634"/>
    </row>
    <row r="641" spans="1:61" ht="16.2" customHeight="1">
      <c r="A641" s="12"/>
      <c r="B641" s="446"/>
      <c r="C641" s="89"/>
      <c r="D641" s="13"/>
      <c r="E641" s="14"/>
      <c r="F641" s="14"/>
      <c r="G641" s="15"/>
      <c r="H641" s="8"/>
      <c r="I641" s="8"/>
      <c r="J641" s="89"/>
      <c r="K641" s="8"/>
      <c r="L641" s="8"/>
      <c r="M641" s="8" t="str">
        <f>IF(L641="","",
IF(AX641="PT",VLOOKUP(L641,Foundation_Calc!$V$4:$X$37,VLOOKUP(AX641,Foundation_Calc!$I$10:$J$13,2,FALSE),0),
IF(AX641="K",VLOOKUP(L641,Foundation_Calc!$V$41:$X$74,VLOOKUP(AX641,Foundation_Calc!$I$10:$J$13,2,FALSE),0),"")))</f>
        <v/>
      </c>
      <c r="N641" s="8"/>
      <c r="O641" s="8"/>
      <c r="P641" s="8"/>
      <c r="Q641" s="14"/>
      <c r="R641" s="15"/>
      <c r="S641" s="15"/>
      <c r="T641" s="14"/>
      <c r="U641" s="14"/>
      <c r="V641" s="14"/>
      <c r="W641" s="18"/>
      <c r="X641" s="18"/>
      <c r="Y641" s="18"/>
      <c r="Z641" s="18"/>
      <c r="AA641" s="18"/>
      <c r="AB641" s="18"/>
      <c r="AC641" s="8" t="str">
        <f t="shared" si="39"/>
        <v/>
      </c>
      <c r="AD641" s="8"/>
      <c r="AE641" s="8"/>
      <c r="AF641" s="14"/>
      <c r="AG641" s="13"/>
      <c r="AH641" s="14"/>
      <c r="AI641" s="14"/>
      <c r="AJ641" s="8"/>
      <c r="AK641" s="8"/>
      <c r="AL641" s="8"/>
      <c r="AM641" s="8"/>
      <c r="AN641" s="631"/>
      <c r="AO641" s="18"/>
      <c r="AP641" s="18"/>
      <c r="AQ641" s="18"/>
      <c r="AR641" s="18"/>
      <c r="AS641" s="18"/>
      <c r="AU641" s="448"/>
      <c r="AV641" s="448"/>
      <c r="AW641" s="8" t="str">
        <f>IF(C641&gt;0,VLOOKUP(C641,Foundation_Calc!$A$2:$C$986,3,1),
IF(J641&gt;0,VLOOKUP(J641,Foundation_Calc!$A$2:$C$986,3,1),""))</f>
        <v/>
      </c>
      <c r="AX641" s="8" t="str">
        <f>IF(C641&gt;0,VLOOKUP(C641,Foundation_Calc!$E$2:$G$986,3,1),
IF(J641&gt;0,VLOOKUP(J641,Foundation_Calc!$E$2:$G$986,3,1),""))</f>
        <v/>
      </c>
      <c r="AY641" s="631" t="str">
        <f>IF(L641="","",
IF(AX641="PT",VLOOKUP(L641,Foundation_Calc!$K$4:$R$37,VLOOKUP(AW641,Foundation_Calc!$I$2:$J$8,2,FALSE),0),
IF(AX641="K",VLOOKUP(L641,Foundation_Calc!$K$41:$R$74,VLOOKUP(AW641,Foundation_Calc!$I$2:$J$8,2,FALSE),0),"")))</f>
        <v/>
      </c>
      <c r="AZ641" s="631" t="str">
        <f>IF(K641="","",
IF(AX641="PT",VLOOKUP(K641,Foundation_Calc!$K$4:$R$37,VLOOKUP(AW641,Foundation_Calc!$I$2:$J$8,2,FALSE),0),
IF(AX641="K",VLOOKUP(K641,Foundation_Calc!$K$41:$R$74,VLOOKUP(AW641,Foundation_Calc!$I$2:$J$8,2,FALSE),0),"")))</f>
        <v/>
      </c>
      <c r="BA641" s="632" t="str">
        <f t="shared" si="40"/>
        <v/>
      </c>
      <c r="BB641" s="632" t="str">
        <f t="shared" si="41"/>
        <v/>
      </c>
      <c r="BC641" s="632" t="str">
        <f t="shared" si="42"/>
        <v/>
      </c>
      <c r="BD641" s="633" t="str">
        <f>IF(AND(L641="",H641=""),"",
IF(H641="",Pole_Calc!A669,
IF(H641="MP",Pole_Calc!A670,
IF(H641="AnMP",Pole_Calc!A671,
IF(H641="A",Pole_Calc!A672,
IF(H641="S/A",Pole_Calc!A673,
IF(H641="A/S",Pole_Calc!A674,"Poner a mano")))))))</f>
        <v/>
      </c>
      <c r="BE641" s="448" t="s">
        <v>1726</v>
      </c>
      <c r="BF641" s="635"/>
      <c r="BG641" s="635"/>
      <c r="BH641" s="634"/>
      <c r="BI641" s="635"/>
    </row>
    <row r="642" spans="1:61" ht="16.2" customHeight="1">
      <c r="A642" s="12"/>
      <c r="B642" s="446"/>
      <c r="C642" s="89"/>
      <c r="D642" s="13"/>
      <c r="E642" s="14"/>
      <c r="F642" s="14"/>
      <c r="G642" s="15"/>
      <c r="H642" s="8"/>
      <c r="I642" s="8"/>
      <c r="J642" s="89"/>
      <c r="K642" s="8"/>
      <c r="L642" s="8"/>
      <c r="M642" s="8" t="str">
        <f>IF(L642="","",
IF(AX642="PT",VLOOKUP(L642,Foundation_Calc!$V$4:$X$37,VLOOKUP(AX642,Foundation_Calc!$I$10:$J$13,2,FALSE),0),
IF(AX642="K",VLOOKUP(L642,Foundation_Calc!$V$41:$X$74,VLOOKUP(AX642,Foundation_Calc!$I$10:$J$13,2,FALSE),0),"")))</f>
        <v/>
      </c>
      <c r="N642" s="8"/>
      <c r="O642" s="8"/>
      <c r="P642" s="8"/>
      <c r="Q642" s="14"/>
      <c r="R642" s="15"/>
      <c r="S642" s="15"/>
      <c r="T642" s="14"/>
      <c r="U642" s="14"/>
      <c r="V642" s="14"/>
      <c r="W642" s="18"/>
      <c r="X642" s="18"/>
      <c r="Y642" s="18"/>
      <c r="Z642" s="18"/>
      <c r="AA642" s="18"/>
      <c r="AB642" s="18"/>
      <c r="AC642" s="8" t="str">
        <f t="shared" si="39"/>
        <v/>
      </c>
      <c r="AD642" s="8"/>
      <c r="AE642" s="8"/>
      <c r="AF642" s="14"/>
      <c r="AG642" s="13"/>
      <c r="AH642" s="14"/>
      <c r="AI642" s="14"/>
      <c r="AJ642" s="8"/>
      <c r="AK642" s="8"/>
      <c r="AL642" s="8"/>
      <c r="AM642" s="8"/>
      <c r="AN642" s="631"/>
      <c r="AO642" s="18"/>
      <c r="AP642" s="18"/>
      <c r="AQ642" s="18"/>
      <c r="AR642" s="18"/>
      <c r="AS642" s="18"/>
      <c r="AU642" s="448"/>
      <c r="AV642" s="448"/>
      <c r="AW642" s="8" t="str">
        <f>IF(C642&gt;0,VLOOKUP(C642,Foundation_Calc!$A$2:$C$986,3,1),
IF(J642&gt;0,VLOOKUP(J642,Foundation_Calc!$A$2:$C$986,3,1),""))</f>
        <v/>
      </c>
      <c r="AX642" s="8" t="str">
        <f>IF(C642&gt;0,VLOOKUP(C642,Foundation_Calc!$E$2:$G$986,3,1),
IF(J642&gt;0,VLOOKUP(J642,Foundation_Calc!$E$2:$G$986,3,1),""))</f>
        <v/>
      </c>
      <c r="AY642" s="631" t="str">
        <f>IF(L642="","",
IF(AX642="PT",VLOOKUP(L642,Foundation_Calc!$K$4:$R$37,VLOOKUP(AW642,Foundation_Calc!$I$2:$J$8,2,FALSE),0),
IF(AX642="K",VLOOKUP(L642,Foundation_Calc!$K$41:$R$74,VLOOKUP(AW642,Foundation_Calc!$I$2:$J$8,2,FALSE),0),"")))</f>
        <v/>
      </c>
      <c r="AZ642" s="631" t="str">
        <f>IF(K642="","",
IF(AX642="PT",VLOOKUP(K642,Foundation_Calc!$K$4:$R$37,VLOOKUP(AW642,Foundation_Calc!$I$2:$J$8,2,FALSE),0),
IF(AX642="K",VLOOKUP(K642,Foundation_Calc!$K$41:$R$74,VLOOKUP(AW642,Foundation_Calc!$I$2:$J$8,2,FALSE),0),"")))</f>
        <v/>
      </c>
      <c r="BA642" s="632" t="str">
        <f t="shared" si="40"/>
        <v/>
      </c>
      <c r="BB642" s="632" t="str">
        <f t="shared" si="41"/>
        <v/>
      </c>
      <c r="BC642" s="632" t="str">
        <f t="shared" si="42"/>
        <v/>
      </c>
      <c r="BD642" s="633" t="str">
        <f>IF(AND(L642="",H642=""),"",
IF(H642="",Pole_Calc!A670,
IF(H642="MP",Pole_Calc!A671,
IF(H642="AnMP",Pole_Calc!A672,
IF(H642="A",Pole_Calc!A673,
IF(H642="S/A",Pole_Calc!A674,
IF(H642="A/S",Pole_Calc!A675,"Poner a mano")))))))</f>
        <v/>
      </c>
      <c r="BE642" s="448" t="s">
        <v>1726</v>
      </c>
      <c r="BF642" s="634"/>
      <c r="BG642" s="634"/>
      <c r="BH642" s="634"/>
      <c r="BI642" s="634"/>
    </row>
    <row r="643" spans="1:61" ht="16.2" customHeight="1">
      <c r="A643" s="12"/>
      <c r="B643" s="446"/>
      <c r="C643" s="89"/>
      <c r="D643" s="13"/>
      <c r="E643" s="14"/>
      <c r="F643" s="14"/>
      <c r="G643" s="15"/>
      <c r="H643" s="8"/>
      <c r="I643" s="8"/>
      <c r="J643" s="89"/>
      <c r="K643" s="8"/>
      <c r="L643" s="8"/>
      <c r="M643" s="8" t="str">
        <f>IF(L643="","",
IF(AX643="PT",VLOOKUP(L643,Foundation_Calc!$V$4:$X$37,VLOOKUP(AX643,Foundation_Calc!$I$10:$J$13,2,FALSE),0),
IF(AX643="K",VLOOKUP(L643,Foundation_Calc!$V$41:$X$74,VLOOKUP(AX643,Foundation_Calc!$I$10:$J$13,2,FALSE),0),"")))</f>
        <v/>
      </c>
      <c r="N643" s="8"/>
      <c r="O643" s="8"/>
      <c r="P643" s="8"/>
      <c r="Q643" s="14"/>
      <c r="R643" s="15"/>
      <c r="S643" s="15"/>
      <c r="T643" s="14"/>
      <c r="U643" s="14"/>
      <c r="V643" s="14"/>
      <c r="W643" s="18"/>
      <c r="X643" s="18"/>
      <c r="Y643" s="18"/>
      <c r="Z643" s="18"/>
      <c r="AA643" s="18"/>
      <c r="AB643" s="18"/>
      <c r="AC643" s="8" t="str">
        <f t="shared" si="39"/>
        <v/>
      </c>
      <c r="AD643" s="8"/>
      <c r="AE643" s="8"/>
      <c r="AF643" s="14"/>
      <c r="AG643" s="13"/>
      <c r="AH643" s="14"/>
      <c r="AI643" s="14"/>
      <c r="AJ643" s="8"/>
      <c r="AK643" s="8"/>
      <c r="AL643" s="8"/>
      <c r="AM643" s="8"/>
      <c r="AN643" s="631"/>
      <c r="AO643" s="18"/>
      <c r="AP643" s="18"/>
      <c r="AQ643" s="18"/>
      <c r="AR643" s="18"/>
      <c r="AS643" s="18"/>
      <c r="AU643" s="448"/>
      <c r="AV643" s="448"/>
      <c r="AW643" s="8" t="str">
        <f>IF(C643&gt;0,VLOOKUP(C643,Foundation_Calc!$A$2:$C$986,3,1),
IF(J643&gt;0,VLOOKUP(J643,Foundation_Calc!$A$2:$C$986,3,1),""))</f>
        <v/>
      </c>
      <c r="AX643" s="8" t="str">
        <f>IF(C643&gt;0,VLOOKUP(C643,Foundation_Calc!$E$2:$G$986,3,1),
IF(J643&gt;0,VLOOKUP(J643,Foundation_Calc!$E$2:$G$986,3,1),""))</f>
        <v/>
      </c>
      <c r="AY643" s="631" t="str">
        <f>IF(L643="","",
IF(AX643="PT",VLOOKUP(L643,Foundation_Calc!$K$4:$R$37,VLOOKUP(AW643,Foundation_Calc!$I$2:$J$8,2,FALSE),0),
IF(AX643="K",VLOOKUP(L643,Foundation_Calc!$K$41:$R$74,VLOOKUP(AW643,Foundation_Calc!$I$2:$J$8,2,FALSE),0),"")))</f>
        <v/>
      </c>
      <c r="AZ643" s="631" t="str">
        <f>IF(K643="","",
IF(AX643="PT",VLOOKUP(K643,Foundation_Calc!$K$4:$R$37,VLOOKUP(AW643,Foundation_Calc!$I$2:$J$8,2,FALSE),0),
IF(AX643="K",VLOOKUP(K643,Foundation_Calc!$K$41:$R$74,VLOOKUP(AW643,Foundation_Calc!$I$2:$J$8,2,FALSE),0),"")))</f>
        <v/>
      </c>
      <c r="BA643" s="632" t="str">
        <f t="shared" si="40"/>
        <v/>
      </c>
      <c r="BB643" s="632" t="str">
        <f t="shared" si="41"/>
        <v/>
      </c>
      <c r="BC643" s="632" t="str">
        <f t="shared" si="42"/>
        <v/>
      </c>
      <c r="BD643" s="633" t="str">
        <f>IF(AND(L643="",H643=""),"",
IF(H643="",Pole_Calc!A671,
IF(H643="MP",Pole_Calc!A672,
IF(H643="AnMP",Pole_Calc!A673,
IF(H643="A",Pole_Calc!A674,
IF(H643="S/A",Pole_Calc!A675,
IF(H643="A/S",Pole_Calc!A676,"Poner a mano")))))))</f>
        <v/>
      </c>
      <c r="BE643" s="448" t="s">
        <v>1726</v>
      </c>
      <c r="BF643" s="635"/>
      <c r="BG643" s="635"/>
      <c r="BH643" s="634"/>
      <c r="BI643" s="635"/>
    </row>
    <row r="644" spans="1:61" ht="16.2" customHeight="1">
      <c r="A644" s="12"/>
      <c r="B644" s="446"/>
      <c r="C644" s="89"/>
      <c r="D644" s="13"/>
      <c r="E644" s="14"/>
      <c r="F644" s="14"/>
      <c r="G644" s="15"/>
      <c r="H644" s="8"/>
      <c r="I644" s="8"/>
      <c r="J644" s="89"/>
      <c r="K644" s="8"/>
      <c r="L644" s="8"/>
      <c r="M644" s="8" t="str">
        <f>IF(L644="","",
IF(AX644="PT",VLOOKUP(L644,Foundation_Calc!$V$4:$X$37,VLOOKUP(AX644,Foundation_Calc!$I$10:$J$13,2,FALSE),0),
IF(AX644="K",VLOOKUP(L644,Foundation_Calc!$V$41:$X$74,VLOOKUP(AX644,Foundation_Calc!$I$10:$J$13,2,FALSE),0),"")))</f>
        <v/>
      </c>
      <c r="N644" s="8"/>
      <c r="O644" s="8"/>
      <c r="P644" s="8"/>
      <c r="Q644" s="14"/>
      <c r="R644" s="15"/>
      <c r="S644" s="15"/>
      <c r="T644" s="14"/>
      <c r="U644" s="14"/>
      <c r="V644" s="14"/>
      <c r="W644" s="18"/>
      <c r="X644" s="18"/>
      <c r="Y644" s="18"/>
      <c r="Z644" s="18"/>
      <c r="AA644" s="18"/>
      <c r="AB644" s="18"/>
      <c r="AC644" s="8" t="str">
        <f t="shared" si="39"/>
        <v/>
      </c>
      <c r="AD644" s="8"/>
      <c r="AE644" s="8"/>
      <c r="AF644" s="14"/>
      <c r="AG644" s="13"/>
      <c r="AH644" s="14"/>
      <c r="AI644" s="14"/>
      <c r="AJ644" s="8"/>
      <c r="AK644" s="8"/>
      <c r="AL644" s="8"/>
      <c r="AM644" s="8"/>
      <c r="AN644" s="631"/>
      <c r="AO644" s="18"/>
      <c r="AP644" s="18"/>
      <c r="AQ644" s="18"/>
      <c r="AR644" s="18"/>
      <c r="AS644" s="18"/>
      <c r="AU644" s="448"/>
      <c r="AV644" s="448"/>
      <c r="AW644" s="8" t="str">
        <f>IF(C644&gt;0,VLOOKUP(C644,Foundation_Calc!$A$2:$C$986,3,1),
IF(J644&gt;0,VLOOKUP(J644,Foundation_Calc!$A$2:$C$986,3,1),""))</f>
        <v/>
      </c>
      <c r="AX644" s="8" t="str">
        <f>IF(C644&gt;0,VLOOKUP(C644,Foundation_Calc!$E$2:$G$986,3,1),
IF(J644&gt;0,VLOOKUP(J644,Foundation_Calc!$E$2:$G$986,3,1),""))</f>
        <v/>
      </c>
      <c r="AY644" s="631" t="str">
        <f>IF(L644="","",
IF(AX644="PT",VLOOKUP(L644,Foundation_Calc!$K$4:$R$37,VLOOKUP(AW644,Foundation_Calc!$I$2:$J$8,2,FALSE),0),
IF(AX644="K",VLOOKUP(L644,Foundation_Calc!$K$41:$R$74,VLOOKUP(AW644,Foundation_Calc!$I$2:$J$8,2,FALSE),0),"")))</f>
        <v/>
      </c>
      <c r="AZ644" s="631" t="str">
        <f>IF(K644="","",
IF(AX644="PT",VLOOKUP(K644,Foundation_Calc!$K$4:$R$37,VLOOKUP(AW644,Foundation_Calc!$I$2:$J$8,2,FALSE),0),
IF(AX644="K",VLOOKUP(K644,Foundation_Calc!$K$41:$R$74,VLOOKUP(AW644,Foundation_Calc!$I$2:$J$8,2,FALSE),0),"")))</f>
        <v/>
      </c>
      <c r="BA644" s="632" t="str">
        <f t="shared" si="40"/>
        <v/>
      </c>
      <c r="BB644" s="632" t="str">
        <f t="shared" si="41"/>
        <v/>
      </c>
      <c r="BC644" s="632" t="str">
        <f t="shared" si="42"/>
        <v/>
      </c>
      <c r="BD644" s="633" t="str">
        <f>IF(AND(L644="",H644=""),"",
IF(H644="",Pole_Calc!A672,
IF(H644="MP",Pole_Calc!A673,
IF(H644="AnMP",Pole_Calc!A674,
IF(H644="A",Pole_Calc!A675,
IF(H644="S/A",Pole_Calc!A676,
IF(H644="A/S",Pole_Calc!A677,"Poner a mano")))))))</f>
        <v/>
      </c>
      <c r="BE644" s="448" t="s">
        <v>1726</v>
      </c>
      <c r="BF644" s="634"/>
      <c r="BG644" s="634"/>
      <c r="BH644" s="634"/>
      <c r="BI644" s="634"/>
    </row>
    <row r="645" spans="1:61" ht="16.2" customHeight="1">
      <c r="A645" s="12"/>
      <c r="B645" s="446"/>
      <c r="C645" s="89"/>
      <c r="D645" s="13"/>
      <c r="E645" s="14"/>
      <c r="F645" s="14"/>
      <c r="G645" s="15"/>
      <c r="H645" s="8"/>
      <c r="I645" s="8"/>
      <c r="J645" s="89"/>
      <c r="K645" s="8"/>
      <c r="L645" s="8"/>
      <c r="M645" s="8" t="str">
        <f>IF(L645="","",
IF(AX645="PT",VLOOKUP(L645,Foundation_Calc!$V$4:$X$37,VLOOKUP(AX645,Foundation_Calc!$I$10:$J$13,2,FALSE),0),
IF(AX645="K",VLOOKUP(L645,Foundation_Calc!$V$41:$X$74,VLOOKUP(AX645,Foundation_Calc!$I$10:$J$13,2,FALSE),0),"")))</f>
        <v/>
      </c>
      <c r="N645" s="8"/>
      <c r="O645" s="8"/>
      <c r="P645" s="8"/>
      <c r="Q645" s="14"/>
      <c r="R645" s="15"/>
      <c r="S645" s="15"/>
      <c r="T645" s="14"/>
      <c r="U645" s="14"/>
      <c r="V645" s="14"/>
      <c r="W645" s="18"/>
      <c r="X645" s="18"/>
      <c r="Y645" s="18"/>
      <c r="Z645" s="18"/>
      <c r="AA645" s="18"/>
      <c r="AB645" s="18"/>
      <c r="AC645" s="8" t="str">
        <f t="shared" si="39"/>
        <v/>
      </c>
      <c r="AD645" s="8"/>
      <c r="AE645" s="8"/>
      <c r="AF645" s="14"/>
      <c r="AG645" s="13"/>
      <c r="AH645" s="14"/>
      <c r="AI645" s="14"/>
      <c r="AJ645" s="8"/>
      <c r="AK645" s="8"/>
      <c r="AL645" s="8"/>
      <c r="AM645" s="8"/>
      <c r="AN645" s="631"/>
      <c r="AO645" s="18"/>
      <c r="AP645" s="18"/>
      <c r="AQ645" s="18"/>
      <c r="AR645" s="18"/>
      <c r="AS645" s="18"/>
      <c r="AU645" s="448"/>
      <c r="AV645" s="448"/>
      <c r="AW645" s="8" t="str">
        <f>IF(C645&gt;0,VLOOKUP(C645,Foundation_Calc!$A$2:$C$986,3,1),
IF(J645&gt;0,VLOOKUP(J645,Foundation_Calc!$A$2:$C$986,3,1),""))</f>
        <v/>
      </c>
      <c r="AX645" s="8" t="str">
        <f>IF(C645&gt;0,VLOOKUP(C645,Foundation_Calc!$E$2:$G$986,3,1),
IF(J645&gt;0,VLOOKUP(J645,Foundation_Calc!$E$2:$G$986,3,1),""))</f>
        <v/>
      </c>
      <c r="AY645" s="631" t="str">
        <f>IF(L645="","",
IF(AX645="PT",VLOOKUP(L645,Foundation_Calc!$K$4:$R$37,VLOOKUP(AW645,Foundation_Calc!$I$2:$J$8,2,FALSE),0),
IF(AX645="K",VLOOKUP(L645,Foundation_Calc!$K$41:$R$74,VLOOKUP(AW645,Foundation_Calc!$I$2:$J$8,2,FALSE),0),"")))</f>
        <v/>
      </c>
      <c r="AZ645" s="631" t="str">
        <f>IF(K645="","",
IF(AX645="PT",VLOOKUP(K645,Foundation_Calc!$K$4:$R$37,VLOOKUP(AW645,Foundation_Calc!$I$2:$J$8,2,FALSE),0),
IF(AX645="K",VLOOKUP(K645,Foundation_Calc!$K$41:$R$74,VLOOKUP(AW645,Foundation_Calc!$I$2:$J$8,2,FALSE),0),"")))</f>
        <v/>
      </c>
      <c r="BA645" s="632" t="str">
        <f t="shared" si="40"/>
        <v/>
      </c>
      <c r="BB645" s="632" t="str">
        <f t="shared" si="41"/>
        <v/>
      </c>
      <c r="BC645" s="632" t="str">
        <f t="shared" si="42"/>
        <v/>
      </c>
      <c r="BD645" s="633" t="str">
        <f>IF(AND(L645="",H645=""),"",
IF(H645="",Pole_Calc!A673,
IF(H645="MP",Pole_Calc!A674,
IF(H645="AnMP",Pole_Calc!A675,
IF(H645="A",Pole_Calc!A676,
IF(H645="S/A",Pole_Calc!A677,
IF(H645="A/S",Pole_Calc!A678,"Poner a mano")))))))</f>
        <v/>
      </c>
      <c r="BE645" s="448" t="s">
        <v>1726</v>
      </c>
      <c r="BF645" s="635"/>
      <c r="BG645" s="635"/>
      <c r="BH645" s="634"/>
      <c r="BI645" s="635"/>
    </row>
    <row r="646" spans="1:61" ht="16.2" customHeight="1">
      <c r="A646" s="12"/>
      <c r="B646" s="446"/>
      <c r="C646" s="89"/>
      <c r="D646" s="13"/>
      <c r="E646" s="14"/>
      <c r="F646" s="14"/>
      <c r="G646" s="15"/>
      <c r="H646" s="8"/>
      <c r="I646" s="8"/>
      <c r="J646" s="89"/>
      <c r="K646" s="8"/>
      <c r="L646" s="8"/>
      <c r="M646" s="8" t="str">
        <f>IF(L646="","",
IF(AX646="PT",VLOOKUP(L646,Foundation_Calc!$V$4:$X$37,VLOOKUP(AX646,Foundation_Calc!$I$10:$J$13,2,FALSE),0),
IF(AX646="K",VLOOKUP(L646,Foundation_Calc!$V$41:$X$74,VLOOKUP(AX646,Foundation_Calc!$I$10:$J$13,2,FALSE),0),"")))</f>
        <v/>
      </c>
      <c r="N646" s="8"/>
      <c r="O646" s="8"/>
      <c r="P646" s="8"/>
      <c r="Q646" s="14"/>
      <c r="R646" s="15"/>
      <c r="S646" s="15"/>
      <c r="T646" s="14"/>
      <c r="U646" s="14"/>
      <c r="V646" s="14"/>
      <c r="W646" s="18"/>
      <c r="X646" s="18"/>
      <c r="Y646" s="18"/>
      <c r="Z646" s="18"/>
      <c r="AA646" s="18"/>
      <c r="AB646" s="18"/>
      <c r="AC646" s="8" t="str">
        <f t="shared" ref="AC646:AC709" si="43">IF(OR(AT646&gt;8,AT646&lt;-8),"PH",
IF(OR(AT646&gt;5,AT646&lt;-5),"PHQ",
IF(OR(AT646&gt;1,AT646&lt;-1),
"PHC","")))</f>
        <v/>
      </c>
      <c r="AD646" s="8"/>
      <c r="AE646" s="8"/>
      <c r="AF646" s="14"/>
      <c r="AG646" s="13"/>
      <c r="AH646" s="14"/>
      <c r="AI646" s="14"/>
      <c r="AJ646" s="8"/>
      <c r="AK646" s="8"/>
      <c r="AL646" s="8"/>
      <c r="AM646" s="8"/>
      <c r="AN646" s="631"/>
      <c r="AO646" s="18"/>
      <c r="AP646" s="18"/>
      <c r="AQ646" s="18"/>
      <c r="AR646" s="18"/>
      <c r="AS646" s="18"/>
      <c r="AU646" s="448"/>
      <c r="AV646" s="448"/>
      <c r="AW646" s="8" t="str">
        <f>IF(C646&gt;0,VLOOKUP(C646,Foundation_Calc!$A$2:$C$986,3,1),
IF(J646&gt;0,VLOOKUP(J646,Foundation_Calc!$A$2:$C$986,3,1),""))</f>
        <v/>
      </c>
      <c r="AX646" s="8" t="str">
        <f>IF(C646&gt;0,VLOOKUP(C646,Foundation_Calc!$E$2:$G$986,3,1),
IF(J646&gt;0,VLOOKUP(J646,Foundation_Calc!$E$2:$G$986,3,1),""))</f>
        <v/>
      </c>
      <c r="AY646" s="631" t="str">
        <f>IF(L646="","",
IF(AX646="PT",VLOOKUP(L646,Foundation_Calc!$K$4:$R$37,VLOOKUP(AW646,Foundation_Calc!$I$2:$J$8,2,FALSE),0),
IF(AX646="K",VLOOKUP(L646,Foundation_Calc!$K$41:$R$74,VLOOKUP(AW646,Foundation_Calc!$I$2:$J$8,2,FALSE),0),"")))</f>
        <v/>
      </c>
      <c r="AZ646" s="631" t="str">
        <f>IF(K646="","",
IF(AX646="PT",VLOOKUP(K646,Foundation_Calc!$K$4:$R$37,VLOOKUP(AW646,Foundation_Calc!$I$2:$J$8,2,FALSE),0),
IF(AX646="K",VLOOKUP(K646,Foundation_Calc!$K$41:$R$74,VLOOKUP(AW646,Foundation_Calc!$I$2:$J$8,2,FALSE),0),"")))</f>
        <v/>
      </c>
      <c r="BA646" s="632" t="str">
        <f t="shared" ref="BA646:BA709" si="44">IF(AY646="","",IF(AY646&gt;0,"ü",""))</f>
        <v/>
      </c>
      <c r="BB646" s="632" t="str">
        <f t="shared" ref="BB646:BB709" si="45">IF(AZ646="","",IF(AZ646&gt;0,"ü",""))</f>
        <v/>
      </c>
      <c r="BC646" s="632" t="str">
        <f t="shared" ref="BC646:BC709" si="46">IF(M646="","",IF(M646="Unique Solution","ü",""))</f>
        <v/>
      </c>
      <c r="BD646" s="633" t="str">
        <f>IF(AND(L646="",H646=""),"",
IF(H646="",Pole_Calc!A674,
IF(H646="MP",Pole_Calc!A675,
IF(H646="AnMP",Pole_Calc!A676,
IF(H646="A",Pole_Calc!A677,
IF(H646="S/A",Pole_Calc!A678,
IF(H646="A/S",Pole_Calc!A679,"Poner a mano")))))))</f>
        <v/>
      </c>
      <c r="BE646" s="448" t="s">
        <v>1726</v>
      </c>
      <c r="BF646" s="634"/>
      <c r="BG646" s="634"/>
      <c r="BH646" s="634"/>
      <c r="BI646" s="634"/>
    </row>
    <row r="647" spans="1:61" ht="16.2" customHeight="1">
      <c r="A647" s="12"/>
      <c r="B647" s="446"/>
      <c r="C647" s="89"/>
      <c r="D647" s="13"/>
      <c r="E647" s="14"/>
      <c r="F647" s="14"/>
      <c r="G647" s="15"/>
      <c r="H647" s="8"/>
      <c r="I647" s="8"/>
      <c r="J647" s="89"/>
      <c r="K647" s="8"/>
      <c r="L647" s="8"/>
      <c r="M647" s="8" t="str">
        <f>IF(L647="","",
IF(AX647="PT",VLOOKUP(L647,Foundation_Calc!$V$4:$X$37,VLOOKUP(AX647,Foundation_Calc!$I$10:$J$13,2,FALSE),0),
IF(AX647="K",VLOOKUP(L647,Foundation_Calc!$V$41:$X$74,VLOOKUP(AX647,Foundation_Calc!$I$10:$J$13,2,FALSE),0),"")))</f>
        <v/>
      </c>
      <c r="N647" s="8"/>
      <c r="O647" s="8"/>
      <c r="P647" s="8"/>
      <c r="Q647" s="14"/>
      <c r="R647" s="15"/>
      <c r="S647" s="15"/>
      <c r="T647" s="14"/>
      <c r="U647" s="14"/>
      <c r="V647" s="14"/>
      <c r="W647" s="18"/>
      <c r="X647" s="18"/>
      <c r="Y647" s="18"/>
      <c r="Z647" s="18"/>
      <c r="AA647" s="18"/>
      <c r="AB647" s="18"/>
      <c r="AC647" s="8" t="str">
        <f t="shared" si="43"/>
        <v/>
      </c>
      <c r="AD647" s="8"/>
      <c r="AE647" s="8"/>
      <c r="AF647" s="14"/>
      <c r="AG647" s="13"/>
      <c r="AH647" s="14"/>
      <c r="AI647" s="14"/>
      <c r="AJ647" s="8"/>
      <c r="AK647" s="8"/>
      <c r="AL647" s="8"/>
      <c r="AM647" s="8"/>
      <c r="AN647" s="631"/>
      <c r="AO647" s="18"/>
      <c r="AP647" s="18"/>
      <c r="AQ647" s="18"/>
      <c r="AR647" s="18"/>
      <c r="AS647" s="18"/>
      <c r="AU647" s="448"/>
      <c r="AV647" s="448"/>
      <c r="AW647" s="8" t="str">
        <f>IF(C647&gt;0,VLOOKUP(C647,Foundation_Calc!$A$2:$C$986,3,1),
IF(J647&gt;0,VLOOKUP(J647,Foundation_Calc!$A$2:$C$986,3,1),""))</f>
        <v/>
      </c>
      <c r="AX647" s="8" t="str">
        <f>IF(C647&gt;0,VLOOKUP(C647,Foundation_Calc!$E$2:$G$986,3,1),
IF(J647&gt;0,VLOOKUP(J647,Foundation_Calc!$E$2:$G$986,3,1),""))</f>
        <v/>
      </c>
      <c r="AY647" s="631" t="str">
        <f>IF(L647="","",
IF(AX647="PT",VLOOKUP(L647,Foundation_Calc!$K$4:$R$37,VLOOKUP(AW647,Foundation_Calc!$I$2:$J$8,2,FALSE),0),
IF(AX647="K",VLOOKUP(L647,Foundation_Calc!$K$41:$R$74,VLOOKUP(AW647,Foundation_Calc!$I$2:$J$8,2,FALSE),0),"")))</f>
        <v/>
      </c>
      <c r="AZ647" s="631" t="str">
        <f>IF(K647="","",
IF(AX647="PT",VLOOKUP(K647,Foundation_Calc!$K$4:$R$37,VLOOKUP(AW647,Foundation_Calc!$I$2:$J$8,2,FALSE),0),
IF(AX647="K",VLOOKUP(K647,Foundation_Calc!$K$41:$R$74,VLOOKUP(AW647,Foundation_Calc!$I$2:$J$8,2,FALSE),0),"")))</f>
        <v/>
      </c>
      <c r="BA647" s="632" t="str">
        <f t="shared" si="44"/>
        <v/>
      </c>
      <c r="BB647" s="632" t="str">
        <f t="shared" si="45"/>
        <v/>
      </c>
      <c r="BC647" s="632" t="str">
        <f t="shared" si="46"/>
        <v/>
      </c>
      <c r="BD647" s="633" t="str">
        <f>IF(AND(L647="",H647=""),"",
IF(H647="",Pole_Calc!A675,
IF(H647="MP",Pole_Calc!A676,
IF(H647="AnMP",Pole_Calc!A677,
IF(H647="A",Pole_Calc!A678,
IF(H647="S/A",Pole_Calc!A679,
IF(H647="A/S",Pole_Calc!A680,"Poner a mano")))))))</f>
        <v/>
      </c>
      <c r="BE647" s="448" t="s">
        <v>1726</v>
      </c>
      <c r="BF647" s="635"/>
      <c r="BG647" s="635"/>
      <c r="BH647" s="634"/>
      <c r="BI647" s="635"/>
    </row>
    <row r="648" spans="1:61" ht="16.2" customHeight="1">
      <c r="A648" s="12"/>
      <c r="B648" s="446"/>
      <c r="C648" s="89"/>
      <c r="D648" s="13"/>
      <c r="E648" s="14"/>
      <c r="F648" s="14"/>
      <c r="G648" s="15"/>
      <c r="H648" s="8"/>
      <c r="I648" s="8"/>
      <c r="J648" s="89"/>
      <c r="K648" s="8"/>
      <c r="L648" s="8"/>
      <c r="M648" s="8" t="str">
        <f>IF(L648="","",
IF(AX648="PT",VLOOKUP(L648,Foundation_Calc!$V$4:$X$37,VLOOKUP(AX648,Foundation_Calc!$I$10:$J$13,2,FALSE),0),
IF(AX648="K",VLOOKUP(L648,Foundation_Calc!$V$41:$X$74,VLOOKUP(AX648,Foundation_Calc!$I$10:$J$13,2,FALSE),0),"")))</f>
        <v/>
      </c>
      <c r="N648" s="8"/>
      <c r="O648" s="8"/>
      <c r="P648" s="8"/>
      <c r="Q648" s="14"/>
      <c r="R648" s="15"/>
      <c r="S648" s="15"/>
      <c r="T648" s="14"/>
      <c r="U648" s="14"/>
      <c r="V648" s="14"/>
      <c r="W648" s="18"/>
      <c r="X648" s="18"/>
      <c r="Y648" s="18"/>
      <c r="Z648" s="18"/>
      <c r="AA648" s="18"/>
      <c r="AB648" s="18"/>
      <c r="AC648" s="8" t="str">
        <f t="shared" si="43"/>
        <v/>
      </c>
      <c r="AD648" s="8"/>
      <c r="AE648" s="8"/>
      <c r="AF648" s="14"/>
      <c r="AG648" s="13"/>
      <c r="AH648" s="14"/>
      <c r="AI648" s="14"/>
      <c r="AJ648" s="8"/>
      <c r="AK648" s="8"/>
      <c r="AL648" s="8"/>
      <c r="AM648" s="8"/>
      <c r="AN648" s="631"/>
      <c r="AO648" s="18"/>
      <c r="AP648" s="18"/>
      <c r="AQ648" s="18"/>
      <c r="AR648" s="18"/>
      <c r="AS648" s="18"/>
      <c r="AU648" s="448"/>
      <c r="AV648" s="448"/>
      <c r="AW648" s="8" t="str">
        <f>IF(C648&gt;0,VLOOKUP(C648,Foundation_Calc!$A$2:$C$986,3,1),
IF(J648&gt;0,VLOOKUP(J648,Foundation_Calc!$A$2:$C$986,3,1),""))</f>
        <v/>
      </c>
      <c r="AX648" s="8" t="str">
        <f>IF(C648&gt;0,VLOOKUP(C648,Foundation_Calc!$E$2:$G$986,3,1),
IF(J648&gt;0,VLOOKUP(J648,Foundation_Calc!$E$2:$G$986,3,1),""))</f>
        <v/>
      </c>
      <c r="AY648" s="631" t="str">
        <f>IF(L648="","",
IF(AX648="PT",VLOOKUP(L648,Foundation_Calc!$K$4:$R$37,VLOOKUP(AW648,Foundation_Calc!$I$2:$J$8,2,FALSE),0),
IF(AX648="K",VLOOKUP(L648,Foundation_Calc!$K$41:$R$74,VLOOKUP(AW648,Foundation_Calc!$I$2:$J$8,2,FALSE),0),"")))</f>
        <v/>
      </c>
      <c r="AZ648" s="631" t="str">
        <f>IF(K648="","",
IF(AX648="PT",VLOOKUP(K648,Foundation_Calc!$K$4:$R$37,VLOOKUP(AW648,Foundation_Calc!$I$2:$J$8,2,FALSE),0),
IF(AX648="K",VLOOKUP(K648,Foundation_Calc!$K$41:$R$74,VLOOKUP(AW648,Foundation_Calc!$I$2:$J$8,2,FALSE),0),"")))</f>
        <v/>
      </c>
      <c r="BA648" s="632" t="str">
        <f t="shared" si="44"/>
        <v/>
      </c>
      <c r="BB648" s="632" t="str">
        <f t="shared" si="45"/>
        <v/>
      </c>
      <c r="BC648" s="632" t="str">
        <f t="shared" si="46"/>
        <v/>
      </c>
      <c r="BD648" s="633" t="str">
        <f>IF(AND(L648="",H648=""),"",
IF(H648="",Pole_Calc!A676,
IF(H648="MP",Pole_Calc!A677,
IF(H648="AnMP",Pole_Calc!A678,
IF(H648="A",Pole_Calc!A679,
IF(H648="S/A",Pole_Calc!A680,
IF(H648="A/S",Pole_Calc!A681,"Poner a mano")))))))</f>
        <v/>
      </c>
      <c r="BE648" s="448" t="s">
        <v>1726</v>
      </c>
      <c r="BF648" s="634"/>
      <c r="BG648" s="634"/>
      <c r="BH648" s="634"/>
      <c r="BI648" s="634"/>
    </row>
    <row r="649" spans="1:61" ht="16.2" customHeight="1">
      <c r="A649" s="12"/>
      <c r="B649" s="446"/>
      <c r="C649" s="89"/>
      <c r="D649" s="13"/>
      <c r="E649" s="14"/>
      <c r="F649" s="14"/>
      <c r="G649" s="15"/>
      <c r="H649" s="8"/>
      <c r="I649" s="8"/>
      <c r="J649" s="89"/>
      <c r="K649" s="8"/>
      <c r="L649" s="8"/>
      <c r="M649" s="8" t="str">
        <f>IF(L649="","",
IF(AX649="PT",VLOOKUP(L649,Foundation_Calc!$V$4:$X$37,VLOOKUP(AX649,Foundation_Calc!$I$10:$J$13,2,FALSE),0),
IF(AX649="K",VLOOKUP(L649,Foundation_Calc!$V$41:$X$74,VLOOKUP(AX649,Foundation_Calc!$I$10:$J$13,2,FALSE),0),"")))</f>
        <v/>
      </c>
      <c r="N649" s="8"/>
      <c r="O649" s="8"/>
      <c r="P649" s="8"/>
      <c r="Q649" s="14"/>
      <c r="R649" s="15"/>
      <c r="S649" s="15"/>
      <c r="T649" s="14"/>
      <c r="U649" s="14"/>
      <c r="V649" s="14"/>
      <c r="W649" s="18"/>
      <c r="X649" s="18"/>
      <c r="Y649" s="18"/>
      <c r="Z649" s="18"/>
      <c r="AA649" s="18"/>
      <c r="AB649" s="18"/>
      <c r="AC649" s="8" t="str">
        <f t="shared" si="43"/>
        <v/>
      </c>
      <c r="AD649" s="8"/>
      <c r="AE649" s="8"/>
      <c r="AF649" s="14"/>
      <c r="AG649" s="13"/>
      <c r="AH649" s="14"/>
      <c r="AI649" s="14"/>
      <c r="AJ649" s="8"/>
      <c r="AK649" s="8"/>
      <c r="AL649" s="8"/>
      <c r="AM649" s="8"/>
      <c r="AN649" s="631"/>
      <c r="AO649" s="18"/>
      <c r="AP649" s="18"/>
      <c r="AQ649" s="18"/>
      <c r="AR649" s="18"/>
      <c r="AS649" s="18"/>
      <c r="AU649" s="448"/>
      <c r="AV649" s="448"/>
      <c r="AW649" s="8" t="str">
        <f>IF(C649&gt;0,VLOOKUP(C649,Foundation_Calc!$A$2:$C$986,3,1),
IF(J649&gt;0,VLOOKUP(J649,Foundation_Calc!$A$2:$C$986,3,1),""))</f>
        <v/>
      </c>
      <c r="AX649" s="8" t="str">
        <f>IF(C649&gt;0,VLOOKUP(C649,Foundation_Calc!$E$2:$G$986,3,1),
IF(J649&gt;0,VLOOKUP(J649,Foundation_Calc!$E$2:$G$986,3,1),""))</f>
        <v/>
      </c>
      <c r="AY649" s="631" t="str">
        <f>IF(L649="","",
IF(AX649="PT",VLOOKUP(L649,Foundation_Calc!$K$4:$R$37,VLOOKUP(AW649,Foundation_Calc!$I$2:$J$8,2,FALSE),0),
IF(AX649="K",VLOOKUP(L649,Foundation_Calc!$K$41:$R$74,VLOOKUP(AW649,Foundation_Calc!$I$2:$J$8,2,FALSE),0),"")))</f>
        <v/>
      </c>
      <c r="AZ649" s="631" t="str">
        <f>IF(K649="","",
IF(AX649="PT",VLOOKUP(K649,Foundation_Calc!$K$4:$R$37,VLOOKUP(AW649,Foundation_Calc!$I$2:$J$8,2,FALSE),0),
IF(AX649="K",VLOOKUP(K649,Foundation_Calc!$K$41:$R$74,VLOOKUP(AW649,Foundation_Calc!$I$2:$J$8,2,FALSE),0),"")))</f>
        <v/>
      </c>
      <c r="BA649" s="632" t="str">
        <f t="shared" si="44"/>
        <v/>
      </c>
      <c r="BB649" s="632" t="str">
        <f t="shared" si="45"/>
        <v/>
      </c>
      <c r="BC649" s="632" t="str">
        <f t="shared" si="46"/>
        <v/>
      </c>
      <c r="BD649" s="633" t="str">
        <f>IF(AND(L649="",H649=""),"",
IF(H649="",Pole_Calc!A677,
IF(H649="MP",Pole_Calc!A678,
IF(H649="AnMP",Pole_Calc!A679,
IF(H649="A",Pole_Calc!A680,
IF(H649="S/A",Pole_Calc!A681,
IF(H649="A/S",Pole_Calc!A682,"Poner a mano")))))))</f>
        <v/>
      </c>
      <c r="BE649" s="448" t="s">
        <v>1726</v>
      </c>
      <c r="BF649" s="635"/>
      <c r="BG649" s="635"/>
      <c r="BH649" s="634"/>
      <c r="BI649" s="635"/>
    </row>
    <row r="650" spans="1:61" ht="16.2" customHeight="1">
      <c r="A650" s="12"/>
      <c r="B650" s="446"/>
      <c r="C650" s="89"/>
      <c r="D650" s="13"/>
      <c r="E650" s="14"/>
      <c r="F650" s="14"/>
      <c r="G650" s="15"/>
      <c r="H650" s="8"/>
      <c r="I650" s="8"/>
      <c r="J650" s="89"/>
      <c r="K650" s="8"/>
      <c r="L650" s="8"/>
      <c r="M650" s="8" t="str">
        <f>IF(L650="","",
IF(AX650="PT",VLOOKUP(L650,Foundation_Calc!$V$4:$X$37,VLOOKUP(AX650,Foundation_Calc!$I$10:$J$13,2,FALSE),0),
IF(AX650="K",VLOOKUP(L650,Foundation_Calc!$V$41:$X$74,VLOOKUP(AX650,Foundation_Calc!$I$10:$J$13,2,FALSE),0),"")))</f>
        <v/>
      </c>
      <c r="N650" s="8"/>
      <c r="O650" s="8"/>
      <c r="P650" s="8"/>
      <c r="Q650" s="14"/>
      <c r="R650" s="15"/>
      <c r="S650" s="15"/>
      <c r="T650" s="14"/>
      <c r="U650" s="14"/>
      <c r="V650" s="14"/>
      <c r="W650" s="18"/>
      <c r="X650" s="18"/>
      <c r="Y650" s="18"/>
      <c r="Z650" s="18"/>
      <c r="AA650" s="18"/>
      <c r="AB650" s="18"/>
      <c r="AC650" s="8" t="str">
        <f t="shared" si="43"/>
        <v/>
      </c>
      <c r="AD650" s="8"/>
      <c r="AE650" s="8"/>
      <c r="AF650" s="14"/>
      <c r="AG650" s="13"/>
      <c r="AH650" s="14"/>
      <c r="AI650" s="14"/>
      <c r="AJ650" s="8"/>
      <c r="AK650" s="8"/>
      <c r="AL650" s="8"/>
      <c r="AM650" s="8"/>
      <c r="AN650" s="631"/>
      <c r="AO650" s="18"/>
      <c r="AP650" s="18"/>
      <c r="AQ650" s="18"/>
      <c r="AR650" s="18"/>
      <c r="AS650" s="18"/>
      <c r="AU650" s="448"/>
      <c r="AV650" s="448"/>
      <c r="AW650" s="8" t="str">
        <f>IF(C650&gt;0,VLOOKUP(C650,Foundation_Calc!$A$2:$C$986,3,1),
IF(J650&gt;0,VLOOKUP(J650,Foundation_Calc!$A$2:$C$986,3,1),""))</f>
        <v/>
      </c>
      <c r="AX650" s="8" t="str">
        <f>IF(C650&gt;0,VLOOKUP(C650,Foundation_Calc!$E$2:$G$986,3,1),
IF(J650&gt;0,VLOOKUP(J650,Foundation_Calc!$E$2:$G$986,3,1),""))</f>
        <v/>
      </c>
      <c r="AY650" s="631" t="str">
        <f>IF(L650="","",
IF(AX650="PT",VLOOKUP(L650,Foundation_Calc!$K$4:$R$37,VLOOKUP(AW650,Foundation_Calc!$I$2:$J$8,2,FALSE),0),
IF(AX650="K",VLOOKUP(L650,Foundation_Calc!$K$41:$R$74,VLOOKUP(AW650,Foundation_Calc!$I$2:$J$8,2,FALSE),0),"")))</f>
        <v/>
      </c>
      <c r="AZ650" s="631" t="str">
        <f>IF(K650="","",
IF(AX650="PT",VLOOKUP(K650,Foundation_Calc!$K$4:$R$37,VLOOKUP(AW650,Foundation_Calc!$I$2:$J$8,2,FALSE),0),
IF(AX650="K",VLOOKUP(K650,Foundation_Calc!$K$41:$R$74,VLOOKUP(AW650,Foundation_Calc!$I$2:$J$8,2,FALSE),0),"")))</f>
        <v/>
      </c>
      <c r="BA650" s="632" t="str">
        <f t="shared" si="44"/>
        <v/>
      </c>
      <c r="BB650" s="632" t="str">
        <f t="shared" si="45"/>
        <v/>
      </c>
      <c r="BC650" s="632" t="str">
        <f t="shared" si="46"/>
        <v/>
      </c>
      <c r="BD650" s="633" t="str">
        <f>IF(AND(L650="",H650=""),"",
IF(H650="",Pole_Calc!A678,
IF(H650="MP",Pole_Calc!A679,
IF(H650="AnMP",Pole_Calc!A680,
IF(H650="A",Pole_Calc!A681,
IF(H650="S/A",Pole_Calc!A682,
IF(H650="A/S",Pole_Calc!A683,"Poner a mano")))))))</f>
        <v/>
      </c>
      <c r="BE650" s="448" t="s">
        <v>1726</v>
      </c>
      <c r="BF650" s="634"/>
      <c r="BG650" s="634"/>
      <c r="BH650" s="634"/>
      <c r="BI650" s="634"/>
    </row>
    <row r="651" spans="1:61" ht="16.2" customHeight="1">
      <c r="A651" s="12"/>
      <c r="B651" s="446"/>
      <c r="C651" s="89"/>
      <c r="D651" s="13"/>
      <c r="E651" s="14"/>
      <c r="F651" s="14"/>
      <c r="G651" s="15"/>
      <c r="H651" s="8"/>
      <c r="I651" s="8"/>
      <c r="J651" s="89"/>
      <c r="K651" s="8"/>
      <c r="L651" s="8"/>
      <c r="M651" s="8" t="str">
        <f>IF(L651="","",
IF(AX651="PT",VLOOKUP(L651,Foundation_Calc!$V$4:$X$37,VLOOKUP(AX651,Foundation_Calc!$I$10:$J$13,2,FALSE),0),
IF(AX651="K",VLOOKUP(L651,Foundation_Calc!$V$41:$X$74,VLOOKUP(AX651,Foundation_Calc!$I$10:$J$13,2,FALSE),0),"")))</f>
        <v/>
      </c>
      <c r="N651" s="8"/>
      <c r="O651" s="8"/>
      <c r="P651" s="8"/>
      <c r="Q651" s="14"/>
      <c r="R651" s="15"/>
      <c r="S651" s="15"/>
      <c r="T651" s="14"/>
      <c r="U651" s="14"/>
      <c r="V651" s="14"/>
      <c r="W651" s="18"/>
      <c r="X651" s="18"/>
      <c r="Y651" s="18"/>
      <c r="Z651" s="18"/>
      <c r="AA651" s="18"/>
      <c r="AB651" s="18"/>
      <c r="AC651" s="8" t="str">
        <f t="shared" si="43"/>
        <v/>
      </c>
      <c r="AD651" s="8"/>
      <c r="AE651" s="8"/>
      <c r="AF651" s="14"/>
      <c r="AG651" s="13"/>
      <c r="AH651" s="14"/>
      <c r="AI651" s="14"/>
      <c r="AJ651" s="8"/>
      <c r="AK651" s="8"/>
      <c r="AL651" s="8"/>
      <c r="AM651" s="8"/>
      <c r="AN651" s="631"/>
      <c r="AO651" s="18"/>
      <c r="AP651" s="18"/>
      <c r="AQ651" s="18"/>
      <c r="AR651" s="18"/>
      <c r="AS651" s="18"/>
      <c r="AU651" s="448"/>
      <c r="AV651" s="448"/>
      <c r="AW651" s="8" t="str">
        <f>IF(C651&gt;0,VLOOKUP(C651,Foundation_Calc!$A$2:$C$986,3,1),
IF(J651&gt;0,VLOOKUP(J651,Foundation_Calc!$A$2:$C$986,3,1),""))</f>
        <v/>
      </c>
      <c r="AX651" s="8" t="str">
        <f>IF(C651&gt;0,VLOOKUP(C651,Foundation_Calc!$E$2:$G$986,3,1),
IF(J651&gt;0,VLOOKUP(J651,Foundation_Calc!$E$2:$G$986,3,1),""))</f>
        <v/>
      </c>
      <c r="AY651" s="631" t="str">
        <f>IF(L651="","",
IF(AX651="PT",VLOOKUP(L651,Foundation_Calc!$K$4:$R$37,VLOOKUP(AW651,Foundation_Calc!$I$2:$J$8,2,FALSE),0),
IF(AX651="K",VLOOKUP(L651,Foundation_Calc!$K$41:$R$74,VLOOKUP(AW651,Foundation_Calc!$I$2:$J$8,2,FALSE),0),"")))</f>
        <v/>
      </c>
      <c r="AZ651" s="631" t="str">
        <f>IF(K651="","",
IF(AX651="PT",VLOOKUP(K651,Foundation_Calc!$K$4:$R$37,VLOOKUP(AW651,Foundation_Calc!$I$2:$J$8,2,FALSE),0),
IF(AX651="K",VLOOKUP(K651,Foundation_Calc!$K$41:$R$74,VLOOKUP(AW651,Foundation_Calc!$I$2:$J$8,2,FALSE),0),"")))</f>
        <v/>
      </c>
      <c r="BA651" s="632" t="str">
        <f t="shared" si="44"/>
        <v/>
      </c>
      <c r="BB651" s="632" t="str">
        <f t="shared" si="45"/>
        <v/>
      </c>
      <c r="BC651" s="632" t="str">
        <f t="shared" si="46"/>
        <v/>
      </c>
      <c r="BD651" s="633" t="str">
        <f>IF(AND(L651="",H651=""),"",
IF(H651="",Pole_Calc!A679,
IF(H651="MP",Pole_Calc!A680,
IF(H651="AnMP",Pole_Calc!A681,
IF(H651="A",Pole_Calc!A682,
IF(H651="S/A",Pole_Calc!A683,
IF(H651="A/S",Pole_Calc!A684,"Poner a mano")))))))</f>
        <v/>
      </c>
      <c r="BE651" s="448" t="s">
        <v>1726</v>
      </c>
      <c r="BF651" s="635"/>
      <c r="BG651" s="635"/>
      <c r="BH651" s="634"/>
      <c r="BI651" s="635"/>
    </row>
    <row r="652" spans="1:61" ht="16.2" customHeight="1">
      <c r="A652" s="12"/>
      <c r="B652" s="446"/>
      <c r="C652" s="89"/>
      <c r="D652" s="13"/>
      <c r="E652" s="14"/>
      <c r="F652" s="14"/>
      <c r="G652" s="15"/>
      <c r="H652" s="8"/>
      <c r="I652" s="8"/>
      <c r="J652" s="89"/>
      <c r="K652" s="8"/>
      <c r="L652" s="8"/>
      <c r="M652" s="8" t="str">
        <f>IF(L652="","",
IF(AX652="PT",VLOOKUP(L652,Foundation_Calc!$V$4:$X$37,VLOOKUP(AX652,Foundation_Calc!$I$10:$J$13,2,FALSE),0),
IF(AX652="K",VLOOKUP(L652,Foundation_Calc!$V$41:$X$74,VLOOKUP(AX652,Foundation_Calc!$I$10:$J$13,2,FALSE),0),"")))</f>
        <v/>
      </c>
      <c r="N652" s="8"/>
      <c r="O652" s="8"/>
      <c r="P652" s="8"/>
      <c r="Q652" s="14"/>
      <c r="R652" s="15"/>
      <c r="S652" s="15"/>
      <c r="T652" s="14"/>
      <c r="U652" s="14"/>
      <c r="V652" s="14"/>
      <c r="W652" s="18"/>
      <c r="X652" s="18"/>
      <c r="Y652" s="18"/>
      <c r="Z652" s="18"/>
      <c r="AA652" s="18"/>
      <c r="AB652" s="18"/>
      <c r="AC652" s="8" t="str">
        <f t="shared" si="43"/>
        <v/>
      </c>
      <c r="AD652" s="8"/>
      <c r="AE652" s="8"/>
      <c r="AF652" s="14"/>
      <c r="AG652" s="13"/>
      <c r="AH652" s="14"/>
      <c r="AI652" s="14"/>
      <c r="AJ652" s="8"/>
      <c r="AK652" s="8"/>
      <c r="AL652" s="8"/>
      <c r="AM652" s="8"/>
      <c r="AN652" s="631"/>
      <c r="AO652" s="18"/>
      <c r="AP652" s="18"/>
      <c r="AQ652" s="18"/>
      <c r="AR652" s="18"/>
      <c r="AS652" s="18"/>
      <c r="AU652" s="448"/>
      <c r="AV652" s="448"/>
      <c r="AW652" s="8" t="str">
        <f>IF(C652&gt;0,VLOOKUP(C652,Foundation_Calc!$A$2:$C$986,3,1),
IF(J652&gt;0,VLOOKUP(J652,Foundation_Calc!$A$2:$C$986,3,1),""))</f>
        <v/>
      </c>
      <c r="AX652" s="8" t="str">
        <f>IF(C652&gt;0,VLOOKUP(C652,Foundation_Calc!$E$2:$G$986,3,1),
IF(J652&gt;0,VLOOKUP(J652,Foundation_Calc!$E$2:$G$986,3,1),""))</f>
        <v/>
      </c>
      <c r="AY652" s="631" t="str">
        <f>IF(L652="","",
IF(AX652="PT",VLOOKUP(L652,Foundation_Calc!$K$4:$R$37,VLOOKUP(AW652,Foundation_Calc!$I$2:$J$8,2,FALSE),0),
IF(AX652="K",VLOOKUP(L652,Foundation_Calc!$K$41:$R$74,VLOOKUP(AW652,Foundation_Calc!$I$2:$J$8,2,FALSE),0),"")))</f>
        <v/>
      </c>
      <c r="AZ652" s="631" t="str">
        <f>IF(K652="","",
IF(AX652="PT",VLOOKUP(K652,Foundation_Calc!$K$4:$R$37,VLOOKUP(AW652,Foundation_Calc!$I$2:$J$8,2,FALSE),0),
IF(AX652="K",VLOOKUP(K652,Foundation_Calc!$K$41:$R$74,VLOOKUP(AW652,Foundation_Calc!$I$2:$J$8,2,FALSE),0),"")))</f>
        <v/>
      </c>
      <c r="BA652" s="632" t="str">
        <f t="shared" si="44"/>
        <v/>
      </c>
      <c r="BB652" s="632" t="str">
        <f t="shared" si="45"/>
        <v/>
      </c>
      <c r="BC652" s="632" t="str">
        <f t="shared" si="46"/>
        <v/>
      </c>
      <c r="BD652" s="633" t="str">
        <f>IF(AND(L652="",H652=""),"",
IF(H652="",Pole_Calc!A680,
IF(H652="MP",Pole_Calc!A681,
IF(H652="AnMP",Pole_Calc!A682,
IF(H652="A",Pole_Calc!A683,
IF(H652="S/A",Pole_Calc!A684,
IF(H652="A/S",Pole_Calc!A685,"Poner a mano")))))))</f>
        <v/>
      </c>
      <c r="BE652" s="448" t="s">
        <v>1726</v>
      </c>
      <c r="BF652" s="634"/>
      <c r="BG652" s="634"/>
      <c r="BH652" s="634"/>
      <c r="BI652" s="634"/>
    </row>
    <row r="653" spans="1:61" ht="16.2" customHeight="1">
      <c r="A653" s="12"/>
      <c r="B653" s="446"/>
      <c r="C653" s="89"/>
      <c r="D653" s="13"/>
      <c r="E653" s="14"/>
      <c r="F653" s="14"/>
      <c r="G653" s="15"/>
      <c r="H653" s="8"/>
      <c r="I653" s="8"/>
      <c r="J653" s="89"/>
      <c r="K653" s="8"/>
      <c r="L653" s="8"/>
      <c r="M653" s="8" t="str">
        <f>IF(L653="","",
IF(AX653="PT",VLOOKUP(L653,Foundation_Calc!$V$4:$X$37,VLOOKUP(AX653,Foundation_Calc!$I$10:$J$13,2,FALSE),0),
IF(AX653="K",VLOOKUP(L653,Foundation_Calc!$V$41:$X$74,VLOOKUP(AX653,Foundation_Calc!$I$10:$J$13,2,FALSE),0),"")))</f>
        <v/>
      </c>
      <c r="N653" s="8"/>
      <c r="O653" s="8"/>
      <c r="P653" s="8"/>
      <c r="Q653" s="14"/>
      <c r="R653" s="15"/>
      <c r="S653" s="15"/>
      <c r="T653" s="14"/>
      <c r="U653" s="14"/>
      <c r="V653" s="14"/>
      <c r="W653" s="18"/>
      <c r="X653" s="18"/>
      <c r="Y653" s="18"/>
      <c r="Z653" s="18"/>
      <c r="AA653" s="18"/>
      <c r="AB653" s="18"/>
      <c r="AC653" s="8" t="str">
        <f t="shared" si="43"/>
        <v/>
      </c>
      <c r="AD653" s="8"/>
      <c r="AE653" s="8"/>
      <c r="AF653" s="14"/>
      <c r="AG653" s="13"/>
      <c r="AH653" s="14"/>
      <c r="AI653" s="14"/>
      <c r="AJ653" s="8"/>
      <c r="AK653" s="8"/>
      <c r="AL653" s="8"/>
      <c r="AM653" s="8"/>
      <c r="AN653" s="631"/>
      <c r="AO653" s="18"/>
      <c r="AP653" s="18"/>
      <c r="AQ653" s="18"/>
      <c r="AR653" s="18"/>
      <c r="AS653" s="18"/>
      <c r="AU653" s="448"/>
      <c r="AV653" s="448"/>
      <c r="AW653" s="8" t="str">
        <f>IF(C653&gt;0,VLOOKUP(C653,Foundation_Calc!$A$2:$C$986,3,1),
IF(J653&gt;0,VLOOKUP(J653,Foundation_Calc!$A$2:$C$986,3,1),""))</f>
        <v/>
      </c>
      <c r="AX653" s="8" t="str">
        <f>IF(C653&gt;0,VLOOKUP(C653,Foundation_Calc!$E$2:$G$986,3,1),
IF(J653&gt;0,VLOOKUP(J653,Foundation_Calc!$E$2:$G$986,3,1),""))</f>
        <v/>
      </c>
      <c r="AY653" s="631" t="str">
        <f>IF(L653="","",
IF(AX653="PT",VLOOKUP(L653,Foundation_Calc!$K$4:$R$37,VLOOKUP(AW653,Foundation_Calc!$I$2:$J$8,2,FALSE),0),
IF(AX653="K",VLOOKUP(L653,Foundation_Calc!$K$41:$R$74,VLOOKUP(AW653,Foundation_Calc!$I$2:$J$8,2,FALSE),0),"")))</f>
        <v/>
      </c>
      <c r="AZ653" s="631" t="str">
        <f>IF(K653="","",
IF(AX653="PT",VLOOKUP(K653,Foundation_Calc!$K$4:$R$37,VLOOKUP(AW653,Foundation_Calc!$I$2:$J$8,2,FALSE),0),
IF(AX653="K",VLOOKUP(K653,Foundation_Calc!$K$41:$R$74,VLOOKUP(AW653,Foundation_Calc!$I$2:$J$8,2,FALSE),0),"")))</f>
        <v/>
      </c>
      <c r="BA653" s="632" t="str">
        <f t="shared" si="44"/>
        <v/>
      </c>
      <c r="BB653" s="632" t="str">
        <f t="shared" si="45"/>
        <v/>
      </c>
      <c r="BC653" s="632" t="str">
        <f t="shared" si="46"/>
        <v/>
      </c>
      <c r="BD653" s="633" t="str">
        <f>IF(AND(L653="",H653=""),"",
IF(H653="",Pole_Calc!A681,
IF(H653="MP",Pole_Calc!A682,
IF(H653="AnMP",Pole_Calc!A683,
IF(H653="A",Pole_Calc!A684,
IF(H653="S/A",Pole_Calc!A685,
IF(H653="A/S",Pole_Calc!A686,"Poner a mano")))))))</f>
        <v/>
      </c>
      <c r="BE653" s="448" t="s">
        <v>1726</v>
      </c>
      <c r="BF653" s="635"/>
      <c r="BG653" s="635"/>
      <c r="BH653" s="634"/>
      <c r="BI653" s="635"/>
    </row>
    <row r="654" spans="1:61" ht="16.2" customHeight="1">
      <c r="A654" s="12"/>
      <c r="B654" s="446"/>
      <c r="C654" s="89"/>
      <c r="D654" s="13"/>
      <c r="E654" s="14"/>
      <c r="F654" s="14"/>
      <c r="G654" s="15"/>
      <c r="H654" s="8"/>
      <c r="I654" s="8"/>
      <c r="J654" s="89"/>
      <c r="K654" s="8"/>
      <c r="L654" s="8"/>
      <c r="M654" s="8" t="str">
        <f>IF(L654="","",
IF(AX654="PT",VLOOKUP(L654,Foundation_Calc!$V$4:$X$37,VLOOKUP(AX654,Foundation_Calc!$I$10:$J$13,2,FALSE),0),
IF(AX654="K",VLOOKUP(L654,Foundation_Calc!$V$41:$X$74,VLOOKUP(AX654,Foundation_Calc!$I$10:$J$13,2,FALSE),0),"")))</f>
        <v/>
      </c>
      <c r="N654" s="8"/>
      <c r="O654" s="8"/>
      <c r="P654" s="8"/>
      <c r="Q654" s="14"/>
      <c r="R654" s="15"/>
      <c r="S654" s="15"/>
      <c r="T654" s="14"/>
      <c r="U654" s="14"/>
      <c r="V654" s="14"/>
      <c r="W654" s="18"/>
      <c r="X654" s="18"/>
      <c r="Y654" s="18"/>
      <c r="Z654" s="18"/>
      <c r="AA654" s="18"/>
      <c r="AB654" s="18"/>
      <c r="AC654" s="8" t="str">
        <f t="shared" si="43"/>
        <v/>
      </c>
      <c r="AD654" s="8"/>
      <c r="AE654" s="8"/>
      <c r="AF654" s="14"/>
      <c r="AG654" s="13"/>
      <c r="AH654" s="14"/>
      <c r="AI654" s="14"/>
      <c r="AJ654" s="8"/>
      <c r="AK654" s="8"/>
      <c r="AL654" s="8"/>
      <c r="AM654" s="8"/>
      <c r="AN654" s="631"/>
      <c r="AO654" s="18"/>
      <c r="AP654" s="18"/>
      <c r="AQ654" s="18"/>
      <c r="AR654" s="18"/>
      <c r="AS654" s="18"/>
      <c r="AU654" s="448"/>
      <c r="AV654" s="448"/>
      <c r="AW654" s="8" t="str">
        <f>IF(C654&gt;0,VLOOKUP(C654,Foundation_Calc!$A$2:$C$986,3,1),
IF(J654&gt;0,VLOOKUP(J654,Foundation_Calc!$A$2:$C$986,3,1),""))</f>
        <v/>
      </c>
      <c r="AX654" s="8" t="str">
        <f>IF(C654&gt;0,VLOOKUP(C654,Foundation_Calc!$E$2:$G$986,3,1),
IF(J654&gt;0,VLOOKUP(J654,Foundation_Calc!$E$2:$G$986,3,1),""))</f>
        <v/>
      </c>
      <c r="AY654" s="631" t="str">
        <f>IF(L654="","",
IF(AX654="PT",VLOOKUP(L654,Foundation_Calc!$K$4:$R$37,VLOOKUP(AW654,Foundation_Calc!$I$2:$J$8,2,FALSE),0),
IF(AX654="K",VLOOKUP(L654,Foundation_Calc!$K$41:$R$74,VLOOKUP(AW654,Foundation_Calc!$I$2:$J$8,2,FALSE),0),"")))</f>
        <v/>
      </c>
      <c r="AZ654" s="631" t="str">
        <f>IF(K654="","",
IF(AX654="PT",VLOOKUP(K654,Foundation_Calc!$K$4:$R$37,VLOOKUP(AW654,Foundation_Calc!$I$2:$J$8,2,FALSE),0),
IF(AX654="K",VLOOKUP(K654,Foundation_Calc!$K$41:$R$74,VLOOKUP(AW654,Foundation_Calc!$I$2:$J$8,2,FALSE),0),"")))</f>
        <v/>
      </c>
      <c r="BA654" s="632" t="str">
        <f t="shared" si="44"/>
        <v/>
      </c>
      <c r="BB654" s="632" t="str">
        <f t="shared" si="45"/>
        <v/>
      </c>
      <c r="BC654" s="632" t="str">
        <f t="shared" si="46"/>
        <v/>
      </c>
      <c r="BD654" s="633" t="str">
        <f>IF(AND(L654="",H654=""),"",
IF(H654="",Pole_Calc!A682,
IF(H654="MP",Pole_Calc!A683,
IF(H654="AnMP",Pole_Calc!A684,
IF(H654="A",Pole_Calc!A685,
IF(H654="S/A",Pole_Calc!A686,
IF(H654="A/S",Pole_Calc!A687,"Poner a mano")))))))</f>
        <v/>
      </c>
      <c r="BE654" s="448" t="s">
        <v>1726</v>
      </c>
      <c r="BF654" s="634"/>
      <c r="BG654" s="634"/>
      <c r="BH654" s="634"/>
      <c r="BI654" s="634"/>
    </row>
    <row r="655" spans="1:61" ht="16.2" customHeight="1">
      <c r="A655" s="12"/>
      <c r="B655" s="446"/>
      <c r="C655" s="89"/>
      <c r="D655" s="13"/>
      <c r="E655" s="14"/>
      <c r="F655" s="14"/>
      <c r="G655" s="15"/>
      <c r="H655" s="8"/>
      <c r="I655" s="8"/>
      <c r="J655" s="89"/>
      <c r="K655" s="8"/>
      <c r="L655" s="8"/>
      <c r="M655" s="8" t="str">
        <f>IF(L655="","",
IF(AX655="PT",VLOOKUP(L655,Foundation_Calc!$V$4:$X$37,VLOOKUP(AX655,Foundation_Calc!$I$10:$J$13,2,FALSE),0),
IF(AX655="K",VLOOKUP(L655,Foundation_Calc!$V$41:$X$74,VLOOKUP(AX655,Foundation_Calc!$I$10:$J$13,2,FALSE),0),"")))</f>
        <v/>
      </c>
      <c r="N655" s="8"/>
      <c r="O655" s="8"/>
      <c r="P655" s="8"/>
      <c r="Q655" s="14"/>
      <c r="R655" s="15"/>
      <c r="S655" s="15"/>
      <c r="T655" s="14"/>
      <c r="U655" s="14"/>
      <c r="V655" s="14"/>
      <c r="W655" s="18"/>
      <c r="X655" s="18"/>
      <c r="Y655" s="18"/>
      <c r="Z655" s="18"/>
      <c r="AA655" s="18"/>
      <c r="AB655" s="18"/>
      <c r="AC655" s="8" t="str">
        <f t="shared" si="43"/>
        <v/>
      </c>
      <c r="AD655" s="8"/>
      <c r="AE655" s="8"/>
      <c r="AF655" s="14"/>
      <c r="AG655" s="13"/>
      <c r="AH655" s="14"/>
      <c r="AI655" s="14"/>
      <c r="AJ655" s="8"/>
      <c r="AK655" s="8"/>
      <c r="AL655" s="8"/>
      <c r="AM655" s="8"/>
      <c r="AN655" s="631"/>
      <c r="AO655" s="18"/>
      <c r="AP655" s="18"/>
      <c r="AQ655" s="18"/>
      <c r="AR655" s="18"/>
      <c r="AS655" s="18"/>
      <c r="AU655" s="448"/>
      <c r="AV655" s="448"/>
      <c r="AW655" s="8" t="str">
        <f>IF(C655&gt;0,VLOOKUP(C655,Foundation_Calc!$A$2:$C$986,3,1),
IF(J655&gt;0,VLOOKUP(J655,Foundation_Calc!$A$2:$C$986,3,1),""))</f>
        <v/>
      </c>
      <c r="AX655" s="8" t="str">
        <f>IF(C655&gt;0,VLOOKUP(C655,Foundation_Calc!$E$2:$G$986,3,1),
IF(J655&gt;0,VLOOKUP(J655,Foundation_Calc!$E$2:$G$986,3,1),""))</f>
        <v/>
      </c>
      <c r="AY655" s="631" t="str">
        <f>IF(L655="","",
IF(AX655="PT",VLOOKUP(L655,Foundation_Calc!$K$4:$R$37,VLOOKUP(AW655,Foundation_Calc!$I$2:$J$8,2,FALSE),0),
IF(AX655="K",VLOOKUP(L655,Foundation_Calc!$K$41:$R$74,VLOOKUP(AW655,Foundation_Calc!$I$2:$J$8,2,FALSE),0),"")))</f>
        <v/>
      </c>
      <c r="AZ655" s="631" t="str">
        <f>IF(K655="","",
IF(AX655="PT",VLOOKUP(K655,Foundation_Calc!$K$4:$R$37,VLOOKUP(AW655,Foundation_Calc!$I$2:$J$8,2,FALSE),0),
IF(AX655="K",VLOOKUP(K655,Foundation_Calc!$K$41:$R$74,VLOOKUP(AW655,Foundation_Calc!$I$2:$J$8,2,FALSE),0),"")))</f>
        <v/>
      </c>
      <c r="BA655" s="632" t="str">
        <f t="shared" si="44"/>
        <v/>
      </c>
      <c r="BB655" s="632" t="str">
        <f t="shared" si="45"/>
        <v/>
      </c>
      <c r="BC655" s="632" t="str">
        <f t="shared" si="46"/>
        <v/>
      </c>
      <c r="BD655" s="633" t="str">
        <f>IF(AND(L655="",H655=""),"",
IF(H655="",Pole_Calc!A683,
IF(H655="MP",Pole_Calc!A684,
IF(H655="AnMP",Pole_Calc!A685,
IF(H655="A",Pole_Calc!A686,
IF(H655="S/A",Pole_Calc!A687,
IF(H655="A/S",Pole_Calc!A688,"Poner a mano")))))))</f>
        <v/>
      </c>
      <c r="BE655" s="448" t="s">
        <v>1726</v>
      </c>
      <c r="BF655" s="635"/>
      <c r="BG655" s="635"/>
      <c r="BH655" s="634"/>
      <c r="BI655" s="635"/>
    </row>
    <row r="656" spans="1:61" ht="16.2" customHeight="1">
      <c r="A656" s="12"/>
      <c r="B656" s="446"/>
      <c r="C656" s="89"/>
      <c r="D656" s="13"/>
      <c r="E656" s="14"/>
      <c r="F656" s="14"/>
      <c r="G656" s="15"/>
      <c r="H656" s="8"/>
      <c r="I656" s="8"/>
      <c r="J656" s="89"/>
      <c r="K656" s="8"/>
      <c r="L656" s="8"/>
      <c r="M656" s="8" t="str">
        <f>IF(L656="","",
IF(AX656="PT",VLOOKUP(L656,Foundation_Calc!$V$4:$X$37,VLOOKUP(AX656,Foundation_Calc!$I$10:$J$13,2,FALSE),0),
IF(AX656="K",VLOOKUP(L656,Foundation_Calc!$V$41:$X$74,VLOOKUP(AX656,Foundation_Calc!$I$10:$J$13,2,FALSE),0),"")))</f>
        <v/>
      </c>
      <c r="N656" s="8"/>
      <c r="O656" s="8"/>
      <c r="P656" s="8"/>
      <c r="Q656" s="14"/>
      <c r="R656" s="15"/>
      <c r="S656" s="15"/>
      <c r="T656" s="14"/>
      <c r="U656" s="14"/>
      <c r="V656" s="14"/>
      <c r="W656" s="18"/>
      <c r="X656" s="18"/>
      <c r="Y656" s="18"/>
      <c r="Z656" s="18"/>
      <c r="AA656" s="18"/>
      <c r="AB656" s="18"/>
      <c r="AC656" s="8" t="str">
        <f t="shared" si="43"/>
        <v/>
      </c>
      <c r="AD656" s="8"/>
      <c r="AE656" s="8"/>
      <c r="AF656" s="14"/>
      <c r="AG656" s="13"/>
      <c r="AH656" s="14"/>
      <c r="AI656" s="14"/>
      <c r="AJ656" s="8"/>
      <c r="AK656" s="8"/>
      <c r="AL656" s="8"/>
      <c r="AM656" s="8"/>
      <c r="AN656" s="631"/>
      <c r="AO656" s="18"/>
      <c r="AP656" s="18"/>
      <c r="AQ656" s="18"/>
      <c r="AR656" s="18"/>
      <c r="AS656" s="18"/>
      <c r="AU656" s="448"/>
      <c r="AV656" s="448"/>
      <c r="AW656" s="8" t="str">
        <f>IF(C656&gt;0,VLOOKUP(C656,Foundation_Calc!$A$2:$C$986,3,1),
IF(J656&gt;0,VLOOKUP(J656,Foundation_Calc!$A$2:$C$986,3,1),""))</f>
        <v/>
      </c>
      <c r="AX656" s="8" t="str">
        <f>IF(C656&gt;0,VLOOKUP(C656,Foundation_Calc!$E$2:$G$986,3,1),
IF(J656&gt;0,VLOOKUP(J656,Foundation_Calc!$E$2:$G$986,3,1),""))</f>
        <v/>
      </c>
      <c r="AY656" s="631" t="str">
        <f>IF(L656="","",
IF(AX656="PT",VLOOKUP(L656,Foundation_Calc!$K$4:$R$37,VLOOKUP(AW656,Foundation_Calc!$I$2:$J$8,2,FALSE),0),
IF(AX656="K",VLOOKUP(L656,Foundation_Calc!$K$41:$R$74,VLOOKUP(AW656,Foundation_Calc!$I$2:$J$8,2,FALSE),0),"")))</f>
        <v/>
      </c>
      <c r="AZ656" s="631" t="str">
        <f>IF(K656="","",
IF(AX656="PT",VLOOKUP(K656,Foundation_Calc!$K$4:$R$37,VLOOKUP(AW656,Foundation_Calc!$I$2:$J$8,2,FALSE),0),
IF(AX656="K",VLOOKUP(K656,Foundation_Calc!$K$41:$R$74,VLOOKUP(AW656,Foundation_Calc!$I$2:$J$8,2,FALSE),0),"")))</f>
        <v/>
      </c>
      <c r="BA656" s="632" t="str">
        <f t="shared" si="44"/>
        <v/>
      </c>
      <c r="BB656" s="632" t="str">
        <f t="shared" si="45"/>
        <v/>
      </c>
      <c r="BC656" s="632" t="str">
        <f t="shared" si="46"/>
        <v/>
      </c>
      <c r="BD656" s="633" t="str">
        <f>IF(AND(L656="",H656=""),"",
IF(H656="",Pole_Calc!A684,
IF(H656="MP",Pole_Calc!A685,
IF(H656="AnMP",Pole_Calc!A686,
IF(H656="A",Pole_Calc!A687,
IF(H656="S/A",Pole_Calc!A688,
IF(H656="A/S",Pole_Calc!A689,"Poner a mano")))))))</f>
        <v/>
      </c>
      <c r="BE656" s="448" t="s">
        <v>1726</v>
      </c>
      <c r="BF656" s="634"/>
      <c r="BG656" s="634"/>
      <c r="BH656" s="634"/>
      <c r="BI656" s="634"/>
    </row>
    <row r="657" spans="1:61" ht="16.2" customHeight="1">
      <c r="A657" s="12"/>
      <c r="B657" s="446"/>
      <c r="C657" s="89"/>
      <c r="D657" s="13"/>
      <c r="E657" s="14"/>
      <c r="F657" s="14"/>
      <c r="G657" s="15"/>
      <c r="H657" s="8"/>
      <c r="I657" s="8"/>
      <c r="J657" s="89"/>
      <c r="K657" s="8"/>
      <c r="L657" s="8"/>
      <c r="M657" s="8" t="str">
        <f>IF(L657="","",
IF(AX657="PT",VLOOKUP(L657,Foundation_Calc!$V$4:$X$37,VLOOKUP(AX657,Foundation_Calc!$I$10:$J$13,2,FALSE),0),
IF(AX657="K",VLOOKUP(L657,Foundation_Calc!$V$41:$X$74,VLOOKUP(AX657,Foundation_Calc!$I$10:$J$13,2,FALSE),0),"")))</f>
        <v/>
      </c>
      <c r="N657" s="8"/>
      <c r="O657" s="8"/>
      <c r="P657" s="8"/>
      <c r="Q657" s="14"/>
      <c r="R657" s="15"/>
      <c r="S657" s="15"/>
      <c r="T657" s="14"/>
      <c r="U657" s="14"/>
      <c r="V657" s="14"/>
      <c r="W657" s="18"/>
      <c r="X657" s="18"/>
      <c r="Y657" s="18"/>
      <c r="Z657" s="18"/>
      <c r="AA657" s="18"/>
      <c r="AB657" s="18"/>
      <c r="AC657" s="8" t="str">
        <f t="shared" si="43"/>
        <v/>
      </c>
      <c r="AD657" s="8"/>
      <c r="AE657" s="8"/>
      <c r="AF657" s="14"/>
      <c r="AG657" s="13"/>
      <c r="AH657" s="14"/>
      <c r="AI657" s="14"/>
      <c r="AJ657" s="8"/>
      <c r="AK657" s="8"/>
      <c r="AL657" s="8"/>
      <c r="AM657" s="8"/>
      <c r="AN657" s="631"/>
      <c r="AO657" s="18"/>
      <c r="AP657" s="18"/>
      <c r="AQ657" s="18"/>
      <c r="AR657" s="18"/>
      <c r="AS657" s="18"/>
      <c r="AU657" s="448"/>
      <c r="AV657" s="448"/>
      <c r="AW657" s="8" t="str">
        <f>IF(C657&gt;0,VLOOKUP(C657,Foundation_Calc!$A$2:$C$986,3,1),
IF(J657&gt;0,VLOOKUP(J657,Foundation_Calc!$A$2:$C$986,3,1),""))</f>
        <v/>
      </c>
      <c r="AX657" s="8" t="str">
        <f>IF(C657&gt;0,VLOOKUP(C657,Foundation_Calc!$E$2:$G$986,3,1),
IF(J657&gt;0,VLOOKUP(J657,Foundation_Calc!$E$2:$G$986,3,1),""))</f>
        <v/>
      </c>
      <c r="AY657" s="631" t="str">
        <f>IF(L657="","",
IF(AX657="PT",VLOOKUP(L657,Foundation_Calc!$K$4:$R$37,VLOOKUP(AW657,Foundation_Calc!$I$2:$J$8,2,FALSE),0),
IF(AX657="K",VLOOKUP(L657,Foundation_Calc!$K$41:$R$74,VLOOKUP(AW657,Foundation_Calc!$I$2:$J$8,2,FALSE),0),"")))</f>
        <v/>
      </c>
      <c r="AZ657" s="631" t="str">
        <f>IF(K657="","",
IF(AX657="PT",VLOOKUP(K657,Foundation_Calc!$K$4:$R$37,VLOOKUP(AW657,Foundation_Calc!$I$2:$J$8,2,FALSE),0),
IF(AX657="K",VLOOKUP(K657,Foundation_Calc!$K$41:$R$74,VLOOKUP(AW657,Foundation_Calc!$I$2:$J$8,2,FALSE),0),"")))</f>
        <v/>
      </c>
      <c r="BA657" s="632" t="str">
        <f t="shared" si="44"/>
        <v/>
      </c>
      <c r="BB657" s="632" t="str">
        <f t="shared" si="45"/>
        <v/>
      </c>
      <c r="BC657" s="632" t="str">
        <f t="shared" si="46"/>
        <v/>
      </c>
      <c r="BD657" s="633" t="str">
        <f>IF(AND(L657="",H657=""),"",
IF(H657="",Pole_Calc!A685,
IF(H657="MP",Pole_Calc!A686,
IF(H657="AnMP",Pole_Calc!A687,
IF(H657="A",Pole_Calc!A688,
IF(H657="S/A",Pole_Calc!A689,
IF(H657="A/S",Pole_Calc!A690,"Poner a mano")))))))</f>
        <v/>
      </c>
      <c r="BE657" s="448" t="s">
        <v>1726</v>
      </c>
      <c r="BF657" s="635"/>
      <c r="BG657" s="635"/>
      <c r="BH657" s="634"/>
      <c r="BI657" s="635"/>
    </row>
    <row r="658" spans="1:61" ht="16.2" customHeight="1">
      <c r="A658" s="12"/>
      <c r="B658" s="446"/>
      <c r="C658" s="89"/>
      <c r="D658" s="13"/>
      <c r="E658" s="14"/>
      <c r="F658" s="14"/>
      <c r="G658" s="15"/>
      <c r="H658" s="8"/>
      <c r="I658" s="8"/>
      <c r="J658" s="89"/>
      <c r="K658" s="8"/>
      <c r="L658" s="8"/>
      <c r="M658" s="8" t="str">
        <f>IF(L658="","",
IF(AX658="PT",VLOOKUP(L658,Foundation_Calc!$V$4:$X$37,VLOOKUP(AX658,Foundation_Calc!$I$10:$J$13,2,FALSE),0),
IF(AX658="K",VLOOKUP(L658,Foundation_Calc!$V$41:$X$74,VLOOKUP(AX658,Foundation_Calc!$I$10:$J$13,2,FALSE),0),"")))</f>
        <v/>
      </c>
      <c r="N658" s="8"/>
      <c r="O658" s="8"/>
      <c r="P658" s="8"/>
      <c r="Q658" s="14"/>
      <c r="R658" s="15"/>
      <c r="S658" s="15"/>
      <c r="T658" s="14"/>
      <c r="U658" s="14"/>
      <c r="V658" s="14"/>
      <c r="W658" s="18"/>
      <c r="X658" s="18"/>
      <c r="Y658" s="18"/>
      <c r="Z658" s="18"/>
      <c r="AA658" s="18"/>
      <c r="AB658" s="18"/>
      <c r="AC658" s="8" t="str">
        <f t="shared" si="43"/>
        <v/>
      </c>
      <c r="AD658" s="8"/>
      <c r="AE658" s="8"/>
      <c r="AF658" s="14"/>
      <c r="AG658" s="13"/>
      <c r="AH658" s="14"/>
      <c r="AI658" s="14"/>
      <c r="AJ658" s="8"/>
      <c r="AK658" s="8"/>
      <c r="AL658" s="8"/>
      <c r="AM658" s="8"/>
      <c r="AN658" s="631"/>
      <c r="AO658" s="18"/>
      <c r="AP658" s="18"/>
      <c r="AQ658" s="18"/>
      <c r="AR658" s="18"/>
      <c r="AS658" s="18"/>
      <c r="AU658" s="448"/>
      <c r="AV658" s="448"/>
      <c r="AW658" s="8" t="str">
        <f>IF(C658&gt;0,VLOOKUP(C658,Foundation_Calc!$A$2:$C$986,3,1),
IF(J658&gt;0,VLOOKUP(J658,Foundation_Calc!$A$2:$C$986,3,1),""))</f>
        <v/>
      </c>
      <c r="AX658" s="8" t="str">
        <f>IF(C658&gt;0,VLOOKUP(C658,Foundation_Calc!$E$2:$G$986,3,1),
IF(J658&gt;0,VLOOKUP(J658,Foundation_Calc!$E$2:$G$986,3,1),""))</f>
        <v/>
      </c>
      <c r="AY658" s="631" t="str">
        <f>IF(L658="","",
IF(AX658="PT",VLOOKUP(L658,Foundation_Calc!$K$4:$R$37,VLOOKUP(AW658,Foundation_Calc!$I$2:$J$8,2,FALSE),0),
IF(AX658="K",VLOOKUP(L658,Foundation_Calc!$K$41:$R$74,VLOOKUP(AW658,Foundation_Calc!$I$2:$J$8,2,FALSE),0),"")))</f>
        <v/>
      </c>
      <c r="AZ658" s="631" t="str">
        <f>IF(K658="","",
IF(AX658="PT",VLOOKUP(K658,Foundation_Calc!$K$4:$R$37,VLOOKUP(AW658,Foundation_Calc!$I$2:$J$8,2,FALSE),0),
IF(AX658="K",VLOOKUP(K658,Foundation_Calc!$K$41:$R$74,VLOOKUP(AW658,Foundation_Calc!$I$2:$J$8,2,FALSE),0),"")))</f>
        <v/>
      </c>
      <c r="BA658" s="632" t="str">
        <f t="shared" si="44"/>
        <v/>
      </c>
      <c r="BB658" s="632" t="str">
        <f t="shared" si="45"/>
        <v/>
      </c>
      <c r="BC658" s="632" t="str">
        <f t="shared" si="46"/>
        <v/>
      </c>
      <c r="BD658" s="633" t="str">
        <f>IF(AND(L658="",H658=""),"",
IF(H658="",Pole_Calc!A686,
IF(H658="MP",Pole_Calc!A687,
IF(H658="AnMP",Pole_Calc!A688,
IF(H658="A",Pole_Calc!A689,
IF(H658="S/A",Pole_Calc!A690,
IF(H658="A/S",Pole_Calc!A691,"Poner a mano")))))))</f>
        <v/>
      </c>
      <c r="BE658" s="448" t="s">
        <v>1726</v>
      </c>
      <c r="BF658" s="634"/>
      <c r="BG658" s="634"/>
      <c r="BH658" s="634"/>
      <c r="BI658" s="634"/>
    </row>
    <row r="659" spans="1:61" ht="16.2" customHeight="1">
      <c r="A659" s="12"/>
      <c r="B659" s="446"/>
      <c r="C659" s="89"/>
      <c r="D659" s="13"/>
      <c r="E659" s="14"/>
      <c r="F659" s="14"/>
      <c r="G659" s="15"/>
      <c r="H659" s="8"/>
      <c r="I659" s="8"/>
      <c r="J659" s="89"/>
      <c r="K659" s="8"/>
      <c r="L659" s="8"/>
      <c r="M659" s="8" t="str">
        <f>IF(L659="","",
IF(AX659="PT",VLOOKUP(L659,Foundation_Calc!$V$4:$X$37,VLOOKUP(AX659,Foundation_Calc!$I$10:$J$13,2,FALSE),0),
IF(AX659="K",VLOOKUP(L659,Foundation_Calc!$V$41:$X$74,VLOOKUP(AX659,Foundation_Calc!$I$10:$J$13,2,FALSE),0),"")))</f>
        <v/>
      </c>
      <c r="N659" s="8"/>
      <c r="O659" s="8"/>
      <c r="P659" s="8"/>
      <c r="Q659" s="14"/>
      <c r="R659" s="15"/>
      <c r="S659" s="15"/>
      <c r="T659" s="14"/>
      <c r="U659" s="14"/>
      <c r="V659" s="14"/>
      <c r="W659" s="18"/>
      <c r="X659" s="18"/>
      <c r="Y659" s="18"/>
      <c r="Z659" s="18"/>
      <c r="AA659" s="18"/>
      <c r="AB659" s="18"/>
      <c r="AC659" s="8" t="str">
        <f t="shared" si="43"/>
        <v/>
      </c>
      <c r="AD659" s="8"/>
      <c r="AE659" s="8"/>
      <c r="AF659" s="14"/>
      <c r="AG659" s="13"/>
      <c r="AH659" s="14"/>
      <c r="AI659" s="14"/>
      <c r="AJ659" s="8"/>
      <c r="AK659" s="8"/>
      <c r="AL659" s="8"/>
      <c r="AM659" s="8"/>
      <c r="AN659" s="631"/>
      <c r="AO659" s="18"/>
      <c r="AP659" s="18"/>
      <c r="AQ659" s="18"/>
      <c r="AR659" s="18"/>
      <c r="AS659" s="18"/>
      <c r="AU659" s="448"/>
      <c r="AV659" s="448"/>
      <c r="AW659" s="8" t="str">
        <f>IF(C659&gt;0,VLOOKUP(C659,Foundation_Calc!$A$2:$C$986,3,1),
IF(J659&gt;0,VLOOKUP(J659,Foundation_Calc!$A$2:$C$986,3,1),""))</f>
        <v/>
      </c>
      <c r="AX659" s="8" t="str">
        <f>IF(C659&gt;0,VLOOKUP(C659,Foundation_Calc!$E$2:$G$986,3,1),
IF(J659&gt;0,VLOOKUP(J659,Foundation_Calc!$E$2:$G$986,3,1),""))</f>
        <v/>
      </c>
      <c r="AY659" s="631" t="str">
        <f>IF(L659="","",
IF(AX659="PT",VLOOKUP(L659,Foundation_Calc!$K$4:$R$37,VLOOKUP(AW659,Foundation_Calc!$I$2:$J$8,2,FALSE),0),
IF(AX659="K",VLOOKUP(L659,Foundation_Calc!$K$41:$R$74,VLOOKUP(AW659,Foundation_Calc!$I$2:$J$8,2,FALSE),0),"")))</f>
        <v/>
      </c>
      <c r="AZ659" s="631" t="str">
        <f>IF(K659="","",
IF(AX659="PT",VLOOKUP(K659,Foundation_Calc!$K$4:$R$37,VLOOKUP(AW659,Foundation_Calc!$I$2:$J$8,2,FALSE),0),
IF(AX659="K",VLOOKUP(K659,Foundation_Calc!$K$41:$R$74,VLOOKUP(AW659,Foundation_Calc!$I$2:$J$8,2,FALSE),0),"")))</f>
        <v/>
      </c>
      <c r="BA659" s="632" t="str">
        <f t="shared" si="44"/>
        <v/>
      </c>
      <c r="BB659" s="632" t="str">
        <f t="shared" si="45"/>
        <v/>
      </c>
      <c r="BC659" s="632" t="str">
        <f t="shared" si="46"/>
        <v/>
      </c>
      <c r="BD659" s="633" t="str">
        <f>IF(AND(L659="",H659=""),"",
IF(H659="",Pole_Calc!A687,
IF(H659="MP",Pole_Calc!A688,
IF(H659="AnMP",Pole_Calc!A689,
IF(H659="A",Pole_Calc!A690,
IF(H659="S/A",Pole_Calc!A691,
IF(H659="A/S",Pole_Calc!A692,"Poner a mano")))))))</f>
        <v/>
      </c>
      <c r="BE659" s="448" t="s">
        <v>1726</v>
      </c>
      <c r="BF659" s="635"/>
      <c r="BG659" s="635"/>
      <c r="BH659" s="634"/>
      <c r="BI659" s="635"/>
    </row>
    <row r="660" spans="1:61" ht="16.2" customHeight="1">
      <c r="A660" s="12"/>
      <c r="B660" s="446"/>
      <c r="C660" s="89"/>
      <c r="D660" s="13"/>
      <c r="E660" s="14"/>
      <c r="F660" s="14"/>
      <c r="G660" s="15"/>
      <c r="H660" s="8"/>
      <c r="I660" s="8"/>
      <c r="J660" s="89"/>
      <c r="K660" s="8"/>
      <c r="L660" s="8"/>
      <c r="M660" s="8" t="str">
        <f>IF(L660="","",
IF(AX660="PT",VLOOKUP(L660,Foundation_Calc!$V$4:$X$37,VLOOKUP(AX660,Foundation_Calc!$I$10:$J$13,2,FALSE),0),
IF(AX660="K",VLOOKUP(L660,Foundation_Calc!$V$41:$X$74,VLOOKUP(AX660,Foundation_Calc!$I$10:$J$13,2,FALSE),0),"")))</f>
        <v/>
      </c>
      <c r="N660" s="8"/>
      <c r="O660" s="8"/>
      <c r="P660" s="8"/>
      <c r="Q660" s="14"/>
      <c r="R660" s="15"/>
      <c r="S660" s="15"/>
      <c r="T660" s="14"/>
      <c r="U660" s="14"/>
      <c r="V660" s="14"/>
      <c r="W660" s="18"/>
      <c r="X660" s="18"/>
      <c r="Y660" s="18"/>
      <c r="Z660" s="18"/>
      <c r="AA660" s="18"/>
      <c r="AB660" s="18"/>
      <c r="AC660" s="8" t="str">
        <f t="shared" si="43"/>
        <v/>
      </c>
      <c r="AD660" s="8"/>
      <c r="AE660" s="8"/>
      <c r="AF660" s="14"/>
      <c r="AG660" s="13"/>
      <c r="AH660" s="14"/>
      <c r="AI660" s="14"/>
      <c r="AJ660" s="8"/>
      <c r="AK660" s="8"/>
      <c r="AL660" s="8"/>
      <c r="AM660" s="8"/>
      <c r="AN660" s="631"/>
      <c r="AO660" s="18"/>
      <c r="AP660" s="18"/>
      <c r="AQ660" s="18"/>
      <c r="AR660" s="18"/>
      <c r="AS660" s="18"/>
      <c r="AU660" s="448"/>
      <c r="AV660" s="448"/>
      <c r="AW660" s="8" t="str">
        <f>IF(C660&gt;0,VLOOKUP(C660,Foundation_Calc!$A$2:$C$986,3,1),
IF(J660&gt;0,VLOOKUP(J660,Foundation_Calc!$A$2:$C$986,3,1),""))</f>
        <v/>
      </c>
      <c r="AX660" s="8" t="str">
        <f>IF(C660&gt;0,VLOOKUP(C660,Foundation_Calc!$E$2:$G$986,3,1),
IF(J660&gt;0,VLOOKUP(J660,Foundation_Calc!$E$2:$G$986,3,1),""))</f>
        <v/>
      </c>
      <c r="AY660" s="631" t="str">
        <f>IF(L660="","",
IF(AX660="PT",VLOOKUP(L660,Foundation_Calc!$K$4:$R$37,VLOOKUP(AW660,Foundation_Calc!$I$2:$J$8,2,FALSE),0),
IF(AX660="K",VLOOKUP(L660,Foundation_Calc!$K$41:$R$74,VLOOKUP(AW660,Foundation_Calc!$I$2:$J$8,2,FALSE),0),"")))</f>
        <v/>
      </c>
      <c r="AZ660" s="631" t="str">
        <f>IF(K660="","",
IF(AX660="PT",VLOOKUP(K660,Foundation_Calc!$K$4:$R$37,VLOOKUP(AW660,Foundation_Calc!$I$2:$J$8,2,FALSE),0),
IF(AX660="K",VLOOKUP(K660,Foundation_Calc!$K$41:$R$74,VLOOKUP(AW660,Foundation_Calc!$I$2:$J$8,2,FALSE),0),"")))</f>
        <v/>
      </c>
      <c r="BA660" s="632" t="str">
        <f t="shared" si="44"/>
        <v/>
      </c>
      <c r="BB660" s="632" t="str">
        <f t="shared" si="45"/>
        <v/>
      </c>
      <c r="BC660" s="632" t="str">
        <f t="shared" si="46"/>
        <v/>
      </c>
      <c r="BD660" s="633" t="str">
        <f>IF(AND(L660="",H660=""),"",
IF(H660="",Pole_Calc!A688,
IF(H660="MP",Pole_Calc!A689,
IF(H660="AnMP",Pole_Calc!A690,
IF(H660="A",Pole_Calc!A691,
IF(H660="S/A",Pole_Calc!A692,
IF(H660="A/S",Pole_Calc!A693,"Poner a mano")))))))</f>
        <v/>
      </c>
      <c r="BE660" s="448" t="s">
        <v>1726</v>
      </c>
      <c r="BF660" s="634"/>
      <c r="BG660" s="634"/>
      <c r="BH660" s="634"/>
      <c r="BI660" s="634"/>
    </row>
    <row r="661" spans="1:61" ht="16.2" customHeight="1">
      <c r="A661" s="12"/>
      <c r="B661" s="446"/>
      <c r="C661" s="89"/>
      <c r="D661" s="13"/>
      <c r="E661" s="14"/>
      <c r="F661" s="14"/>
      <c r="G661" s="15"/>
      <c r="H661" s="8"/>
      <c r="I661" s="8"/>
      <c r="J661" s="89"/>
      <c r="K661" s="8"/>
      <c r="L661" s="8"/>
      <c r="M661" s="8" t="str">
        <f>IF(L661="","",
IF(AX661="PT",VLOOKUP(L661,Foundation_Calc!$V$4:$X$37,VLOOKUP(AX661,Foundation_Calc!$I$10:$J$13,2,FALSE),0),
IF(AX661="K",VLOOKUP(L661,Foundation_Calc!$V$41:$X$74,VLOOKUP(AX661,Foundation_Calc!$I$10:$J$13,2,FALSE),0),"")))</f>
        <v/>
      </c>
      <c r="N661" s="8"/>
      <c r="O661" s="8"/>
      <c r="P661" s="8"/>
      <c r="Q661" s="14"/>
      <c r="R661" s="15"/>
      <c r="S661" s="15"/>
      <c r="T661" s="14"/>
      <c r="U661" s="14"/>
      <c r="V661" s="14"/>
      <c r="W661" s="18"/>
      <c r="X661" s="18"/>
      <c r="Y661" s="18"/>
      <c r="Z661" s="18"/>
      <c r="AA661" s="18"/>
      <c r="AB661" s="18"/>
      <c r="AC661" s="8" t="str">
        <f t="shared" si="43"/>
        <v/>
      </c>
      <c r="AD661" s="8"/>
      <c r="AE661" s="8"/>
      <c r="AF661" s="14"/>
      <c r="AG661" s="13"/>
      <c r="AH661" s="14"/>
      <c r="AI661" s="14"/>
      <c r="AJ661" s="8"/>
      <c r="AK661" s="8"/>
      <c r="AL661" s="8"/>
      <c r="AM661" s="8"/>
      <c r="AN661" s="631"/>
      <c r="AO661" s="18"/>
      <c r="AP661" s="18"/>
      <c r="AQ661" s="18"/>
      <c r="AR661" s="18"/>
      <c r="AS661" s="18"/>
      <c r="AU661" s="448"/>
      <c r="AV661" s="448"/>
      <c r="AW661" s="8" t="str">
        <f>IF(C661&gt;0,VLOOKUP(C661,Foundation_Calc!$A$2:$C$986,3,1),
IF(J661&gt;0,VLOOKUP(J661,Foundation_Calc!$A$2:$C$986,3,1),""))</f>
        <v/>
      </c>
      <c r="AX661" s="8" t="str">
        <f>IF(C661&gt;0,VLOOKUP(C661,Foundation_Calc!$E$2:$G$986,3,1),
IF(J661&gt;0,VLOOKUP(J661,Foundation_Calc!$E$2:$G$986,3,1),""))</f>
        <v/>
      </c>
      <c r="AY661" s="631" t="str">
        <f>IF(L661="","",
IF(AX661="PT",VLOOKUP(L661,Foundation_Calc!$K$4:$R$37,VLOOKUP(AW661,Foundation_Calc!$I$2:$J$8,2,FALSE),0),
IF(AX661="K",VLOOKUP(L661,Foundation_Calc!$K$41:$R$74,VLOOKUP(AW661,Foundation_Calc!$I$2:$J$8,2,FALSE),0),"")))</f>
        <v/>
      </c>
      <c r="AZ661" s="631" t="str">
        <f>IF(K661="","",
IF(AX661="PT",VLOOKUP(K661,Foundation_Calc!$K$4:$R$37,VLOOKUP(AW661,Foundation_Calc!$I$2:$J$8,2,FALSE),0),
IF(AX661="K",VLOOKUP(K661,Foundation_Calc!$K$41:$R$74,VLOOKUP(AW661,Foundation_Calc!$I$2:$J$8,2,FALSE),0),"")))</f>
        <v/>
      </c>
      <c r="BA661" s="632" t="str">
        <f t="shared" si="44"/>
        <v/>
      </c>
      <c r="BB661" s="632" t="str">
        <f t="shared" si="45"/>
        <v/>
      </c>
      <c r="BC661" s="632" t="str">
        <f t="shared" si="46"/>
        <v/>
      </c>
      <c r="BD661" s="633" t="str">
        <f>IF(AND(L661="",H661=""),"",
IF(H661="",Pole_Calc!A689,
IF(H661="MP",Pole_Calc!A690,
IF(H661="AnMP",Pole_Calc!A691,
IF(H661="A",Pole_Calc!A692,
IF(H661="S/A",Pole_Calc!A693,
IF(H661="A/S",Pole_Calc!A694,"Poner a mano")))))))</f>
        <v/>
      </c>
      <c r="BE661" s="448" t="s">
        <v>1726</v>
      </c>
      <c r="BF661" s="635"/>
      <c r="BG661" s="635"/>
      <c r="BH661" s="634"/>
      <c r="BI661" s="635"/>
    </row>
    <row r="662" spans="1:61" ht="16.2" customHeight="1">
      <c r="A662" s="12"/>
      <c r="B662" s="446"/>
      <c r="C662" s="89"/>
      <c r="D662" s="13"/>
      <c r="E662" s="14"/>
      <c r="F662" s="14"/>
      <c r="G662" s="15"/>
      <c r="H662" s="8"/>
      <c r="I662" s="8"/>
      <c r="J662" s="89"/>
      <c r="K662" s="8"/>
      <c r="L662" s="8"/>
      <c r="M662" s="8" t="str">
        <f>IF(L662="","",
IF(AX662="PT",VLOOKUP(L662,Foundation_Calc!$V$4:$X$37,VLOOKUP(AX662,Foundation_Calc!$I$10:$J$13,2,FALSE),0),
IF(AX662="K",VLOOKUP(L662,Foundation_Calc!$V$41:$X$74,VLOOKUP(AX662,Foundation_Calc!$I$10:$J$13,2,FALSE),0),"")))</f>
        <v/>
      </c>
      <c r="N662" s="8"/>
      <c r="O662" s="8"/>
      <c r="P662" s="8"/>
      <c r="Q662" s="14"/>
      <c r="R662" s="15"/>
      <c r="S662" s="15"/>
      <c r="T662" s="14"/>
      <c r="U662" s="14"/>
      <c r="V662" s="14"/>
      <c r="W662" s="18"/>
      <c r="X662" s="18"/>
      <c r="Y662" s="18"/>
      <c r="Z662" s="18"/>
      <c r="AA662" s="18"/>
      <c r="AB662" s="18"/>
      <c r="AC662" s="8" t="str">
        <f t="shared" si="43"/>
        <v/>
      </c>
      <c r="AD662" s="8"/>
      <c r="AE662" s="8"/>
      <c r="AF662" s="14"/>
      <c r="AG662" s="13"/>
      <c r="AH662" s="14"/>
      <c r="AI662" s="14"/>
      <c r="AJ662" s="8"/>
      <c r="AK662" s="8"/>
      <c r="AL662" s="8"/>
      <c r="AM662" s="8"/>
      <c r="AN662" s="631"/>
      <c r="AO662" s="18"/>
      <c r="AP662" s="18"/>
      <c r="AQ662" s="18"/>
      <c r="AR662" s="18"/>
      <c r="AS662" s="18"/>
      <c r="AU662" s="448"/>
      <c r="AV662" s="448"/>
      <c r="AW662" s="8" t="str">
        <f>IF(C662&gt;0,VLOOKUP(C662,Foundation_Calc!$A$2:$C$986,3,1),
IF(J662&gt;0,VLOOKUP(J662,Foundation_Calc!$A$2:$C$986,3,1),""))</f>
        <v/>
      </c>
      <c r="AX662" s="8" t="str">
        <f>IF(C662&gt;0,VLOOKUP(C662,Foundation_Calc!$E$2:$G$986,3,1),
IF(J662&gt;0,VLOOKUP(J662,Foundation_Calc!$E$2:$G$986,3,1),""))</f>
        <v/>
      </c>
      <c r="AY662" s="631" t="str">
        <f>IF(L662="","",
IF(AX662="PT",VLOOKUP(L662,Foundation_Calc!$K$4:$R$37,VLOOKUP(AW662,Foundation_Calc!$I$2:$J$8,2,FALSE),0),
IF(AX662="K",VLOOKUP(L662,Foundation_Calc!$K$41:$R$74,VLOOKUP(AW662,Foundation_Calc!$I$2:$J$8,2,FALSE),0),"")))</f>
        <v/>
      </c>
      <c r="AZ662" s="631" t="str">
        <f>IF(K662="","",
IF(AX662="PT",VLOOKUP(K662,Foundation_Calc!$K$4:$R$37,VLOOKUP(AW662,Foundation_Calc!$I$2:$J$8,2,FALSE),0),
IF(AX662="K",VLOOKUP(K662,Foundation_Calc!$K$41:$R$74,VLOOKUP(AW662,Foundation_Calc!$I$2:$J$8,2,FALSE),0),"")))</f>
        <v/>
      </c>
      <c r="BA662" s="632" t="str">
        <f t="shared" si="44"/>
        <v/>
      </c>
      <c r="BB662" s="632" t="str">
        <f t="shared" si="45"/>
        <v/>
      </c>
      <c r="BC662" s="632" t="str">
        <f t="shared" si="46"/>
        <v/>
      </c>
      <c r="BD662" s="633" t="str">
        <f>IF(AND(L662="",H662=""),"",
IF(H662="",Pole_Calc!A690,
IF(H662="MP",Pole_Calc!A691,
IF(H662="AnMP",Pole_Calc!A692,
IF(H662="A",Pole_Calc!A693,
IF(H662="S/A",Pole_Calc!A694,
IF(H662="A/S",Pole_Calc!A695,"Poner a mano")))))))</f>
        <v/>
      </c>
      <c r="BE662" s="448" t="s">
        <v>1726</v>
      </c>
      <c r="BF662" s="634"/>
      <c r="BG662" s="634"/>
      <c r="BH662" s="634"/>
      <c r="BI662" s="634"/>
    </row>
    <row r="663" spans="1:61" ht="16.2" customHeight="1">
      <c r="A663" s="12"/>
      <c r="B663" s="446"/>
      <c r="C663" s="89"/>
      <c r="D663" s="13"/>
      <c r="E663" s="14"/>
      <c r="F663" s="14"/>
      <c r="G663" s="15"/>
      <c r="H663" s="8"/>
      <c r="I663" s="8"/>
      <c r="J663" s="89"/>
      <c r="K663" s="8"/>
      <c r="L663" s="8"/>
      <c r="M663" s="8" t="str">
        <f>IF(L663="","",
IF(AX663="PT",VLOOKUP(L663,Foundation_Calc!$V$4:$X$37,VLOOKUP(AX663,Foundation_Calc!$I$10:$J$13,2,FALSE),0),
IF(AX663="K",VLOOKUP(L663,Foundation_Calc!$V$41:$X$74,VLOOKUP(AX663,Foundation_Calc!$I$10:$J$13,2,FALSE),0),"")))</f>
        <v/>
      </c>
      <c r="N663" s="8"/>
      <c r="O663" s="8"/>
      <c r="P663" s="8"/>
      <c r="Q663" s="14"/>
      <c r="R663" s="15"/>
      <c r="S663" s="15"/>
      <c r="T663" s="14"/>
      <c r="U663" s="14"/>
      <c r="V663" s="14"/>
      <c r="W663" s="18"/>
      <c r="X663" s="18"/>
      <c r="Y663" s="18"/>
      <c r="Z663" s="18"/>
      <c r="AA663" s="18"/>
      <c r="AB663" s="18"/>
      <c r="AC663" s="8" t="str">
        <f t="shared" si="43"/>
        <v/>
      </c>
      <c r="AD663" s="8"/>
      <c r="AE663" s="8"/>
      <c r="AF663" s="14"/>
      <c r="AG663" s="13"/>
      <c r="AH663" s="14"/>
      <c r="AI663" s="14"/>
      <c r="AJ663" s="8"/>
      <c r="AK663" s="8"/>
      <c r="AL663" s="8"/>
      <c r="AM663" s="8"/>
      <c r="AN663" s="631"/>
      <c r="AO663" s="18"/>
      <c r="AP663" s="18"/>
      <c r="AQ663" s="18"/>
      <c r="AR663" s="18"/>
      <c r="AS663" s="18"/>
      <c r="AU663" s="448"/>
      <c r="AV663" s="448"/>
      <c r="AW663" s="8" t="str">
        <f>IF(C663&gt;0,VLOOKUP(C663,Foundation_Calc!$A$2:$C$986,3,1),
IF(J663&gt;0,VLOOKUP(J663,Foundation_Calc!$A$2:$C$986,3,1),""))</f>
        <v/>
      </c>
      <c r="AX663" s="8" t="str">
        <f>IF(C663&gt;0,VLOOKUP(C663,Foundation_Calc!$E$2:$G$986,3,1),
IF(J663&gt;0,VLOOKUP(J663,Foundation_Calc!$E$2:$G$986,3,1),""))</f>
        <v/>
      </c>
      <c r="AY663" s="631" t="str">
        <f>IF(L663="","",
IF(AX663="PT",VLOOKUP(L663,Foundation_Calc!$K$4:$R$37,VLOOKUP(AW663,Foundation_Calc!$I$2:$J$8,2,FALSE),0),
IF(AX663="K",VLOOKUP(L663,Foundation_Calc!$K$41:$R$74,VLOOKUP(AW663,Foundation_Calc!$I$2:$J$8,2,FALSE),0),"")))</f>
        <v/>
      </c>
      <c r="AZ663" s="631" t="str">
        <f>IF(K663="","",
IF(AX663="PT",VLOOKUP(K663,Foundation_Calc!$K$4:$R$37,VLOOKUP(AW663,Foundation_Calc!$I$2:$J$8,2,FALSE),0),
IF(AX663="K",VLOOKUP(K663,Foundation_Calc!$K$41:$R$74,VLOOKUP(AW663,Foundation_Calc!$I$2:$J$8,2,FALSE),0),"")))</f>
        <v/>
      </c>
      <c r="BA663" s="632" t="str">
        <f t="shared" si="44"/>
        <v/>
      </c>
      <c r="BB663" s="632" t="str">
        <f t="shared" si="45"/>
        <v/>
      </c>
      <c r="BC663" s="632" t="str">
        <f t="shared" si="46"/>
        <v/>
      </c>
      <c r="BD663" s="633" t="str">
        <f>IF(AND(L663="",H663=""),"",
IF(H663="",Pole_Calc!A691,
IF(H663="MP",Pole_Calc!A692,
IF(H663="AnMP",Pole_Calc!A693,
IF(H663="A",Pole_Calc!A694,
IF(H663="S/A",Pole_Calc!A695,
IF(H663="A/S",Pole_Calc!A696,"Poner a mano")))))))</f>
        <v/>
      </c>
      <c r="BE663" s="448" t="s">
        <v>1726</v>
      </c>
      <c r="BF663" s="635"/>
      <c r="BG663" s="635"/>
      <c r="BH663" s="634"/>
      <c r="BI663" s="635"/>
    </row>
    <row r="664" spans="1:61" ht="16.2" customHeight="1">
      <c r="A664" s="12"/>
      <c r="B664" s="446"/>
      <c r="C664" s="89"/>
      <c r="D664" s="13"/>
      <c r="E664" s="14"/>
      <c r="F664" s="14"/>
      <c r="G664" s="15"/>
      <c r="H664" s="8"/>
      <c r="I664" s="8"/>
      <c r="J664" s="89"/>
      <c r="K664" s="8"/>
      <c r="L664" s="8"/>
      <c r="M664" s="8" t="str">
        <f>IF(L664="","",
IF(AX664="PT",VLOOKUP(L664,Foundation_Calc!$V$4:$X$37,VLOOKUP(AX664,Foundation_Calc!$I$10:$J$13,2,FALSE),0),
IF(AX664="K",VLOOKUP(L664,Foundation_Calc!$V$41:$X$74,VLOOKUP(AX664,Foundation_Calc!$I$10:$J$13,2,FALSE),0),"")))</f>
        <v/>
      </c>
      <c r="N664" s="8"/>
      <c r="O664" s="8"/>
      <c r="P664" s="8"/>
      <c r="Q664" s="14"/>
      <c r="R664" s="15"/>
      <c r="S664" s="15"/>
      <c r="T664" s="14"/>
      <c r="U664" s="14"/>
      <c r="V664" s="14"/>
      <c r="W664" s="18"/>
      <c r="X664" s="18"/>
      <c r="Y664" s="18"/>
      <c r="Z664" s="18"/>
      <c r="AA664" s="18"/>
      <c r="AB664" s="18"/>
      <c r="AC664" s="8" t="str">
        <f t="shared" si="43"/>
        <v/>
      </c>
      <c r="AD664" s="8"/>
      <c r="AE664" s="8"/>
      <c r="AF664" s="14"/>
      <c r="AG664" s="13"/>
      <c r="AH664" s="14"/>
      <c r="AI664" s="14"/>
      <c r="AJ664" s="8"/>
      <c r="AK664" s="8"/>
      <c r="AL664" s="8"/>
      <c r="AM664" s="8"/>
      <c r="AN664" s="631"/>
      <c r="AO664" s="18"/>
      <c r="AP664" s="18"/>
      <c r="AQ664" s="18"/>
      <c r="AR664" s="18"/>
      <c r="AS664" s="18"/>
      <c r="AU664" s="448"/>
      <c r="AV664" s="448"/>
      <c r="AW664" s="8" t="str">
        <f>IF(C664&gt;0,VLOOKUP(C664,Foundation_Calc!$A$2:$C$986,3,1),
IF(J664&gt;0,VLOOKUP(J664,Foundation_Calc!$A$2:$C$986,3,1),""))</f>
        <v/>
      </c>
      <c r="AX664" s="8" t="str">
        <f>IF(C664&gt;0,VLOOKUP(C664,Foundation_Calc!$E$2:$G$986,3,1),
IF(J664&gt;0,VLOOKUP(J664,Foundation_Calc!$E$2:$G$986,3,1),""))</f>
        <v/>
      </c>
      <c r="AY664" s="631" t="str">
        <f>IF(L664="","",
IF(AX664="PT",VLOOKUP(L664,Foundation_Calc!$K$4:$R$37,VLOOKUP(AW664,Foundation_Calc!$I$2:$J$8,2,FALSE),0),
IF(AX664="K",VLOOKUP(L664,Foundation_Calc!$K$41:$R$74,VLOOKUP(AW664,Foundation_Calc!$I$2:$J$8,2,FALSE),0),"")))</f>
        <v/>
      </c>
      <c r="AZ664" s="631" t="str">
        <f>IF(K664="","",
IF(AX664="PT",VLOOKUP(K664,Foundation_Calc!$K$4:$R$37,VLOOKUP(AW664,Foundation_Calc!$I$2:$J$8,2,FALSE),0),
IF(AX664="K",VLOOKUP(K664,Foundation_Calc!$K$41:$R$74,VLOOKUP(AW664,Foundation_Calc!$I$2:$J$8,2,FALSE),0),"")))</f>
        <v/>
      </c>
      <c r="BA664" s="632" t="str">
        <f t="shared" si="44"/>
        <v/>
      </c>
      <c r="BB664" s="632" t="str">
        <f t="shared" si="45"/>
        <v/>
      </c>
      <c r="BC664" s="632" t="str">
        <f t="shared" si="46"/>
        <v/>
      </c>
      <c r="BD664" s="633" t="str">
        <f>IF(AND(L664="",H664=""),"",
IF(H664="",Pole_Calc!A692,
IF(H664="MP",Pole_Calc!A693,
IF(H664="AnMP",Pole_Calc!A694,
IF(H664="A",Pole_Calc!A695,
IF(H664="S/A",Pole_Calc!A696,
IF(H664="A/S",Pole_Calc!A697,"Poner a mano")))))))</f>
        <v/>
      </c>
      <c r="BE664" s="448" t="s">
        <v>1726</v>
      </c>
      <c r="BF664" s="634"/>
      <c r="BG664" s="634"/>
      <c r="BH664" s="634"/>
      <c r="BI664" s="634"/>
    </row>
    <row r="665" spans="1:61" ht="16.2" customHeight="1">
      <c r="A665" s="12"/>
      <c r="B665" s="446"/>
      <c r="C665" s="89"/>
      <c r="D665" s="13"/>
      <c r="E665" s="14"/>
      <c r="F665" s="14"/>
      <c r="G665" s="15"/>
      <c r="H665" s="8"/>
      <c r="I665" s="8"/>
      <c r="J665" s="89"/>
      <c r="K665" s="8"/>
      <c r="L665" s="8"/>
      <c r="M665" s="8" t="str">
        <f>IF(L665="","",
IF(AX665="PT",VLOOKUP(L665,Foundation_Calc!$V$4:$X$37,VLOOKUP(AX665,Foundation_Calc!$I$10:$J$13,2,FALSE),0),
IF(AX665="K",VLOOKUP(L665,Foundation_Calc!$V$41:$X$74,VLOOKUP(AX665,Foundation_Calc!$I$10:$J$13,2,FALSE),0),"")))</f>
        <v/>
      </c>
      <c r="N665" s="8"/>
      <c r="O665" s="8"/>
      <c r="P665" s="8"/>
      <c r="Q665" s="14"/>
      <c r="R665" s="15"/>
      <c r="S665" s="15"/>
      <c r="T665" s="14"/>
      <c r="U665" s="14"/>
      <c r="V665" s="14"/>
      <c r="W665" s="18"/>
      <c r="X665" s="18"/>
      <c r="Y665" s="18"/>
      <c r="Z665" s="18"/>
      <c r="AA665" s="18"/>
      <c r="AB665" s="18"/>
      <c r="AC665" s="8" t="str">
        <f t="shared" si="43"/>
        <v/>
      </c>
      <c r="AD665" s="8"/>
      <c r="AE665" s="8"/>
      <c r="AF665" s="14"/>
      <c r="AG665" s="13"/>
      <c r="AH665" s="14"/>
      <c r="AI665" s="14"/>
      <c r="AJ665" s="8"/>
      <c r="AK665" s="8"/>
      <c r="AL665" s="8"/>
      <c r="AM665" s="8"/>
      <c r="AN665" s="631"/>
      <c r="AO665" s="18"/>
      <c r="AP665" s="18"/>
      <c r="AQ665" s="18"/>
      <c r="AR665" s="18"/>
      <c r="AS665" s="18"/>
      <c r="AU665" s="448"/>
      <c r="AV665" s="448"/>
      <c r="AW665" s="8" t="str">
        <f>IF(C665&gt;0,VLOOKUP(C665,Foundation_Calc!$A$2:$C$986,3,1),
IF(J665&gt;0,VLOOKUP(J665,Foundation_Calc!$A$2:$C$986,3,1),""))</f>
        <v/>
      </c>
      <c r="AX665" s="8" t="str">
        <f>IF(C665&gt;0,VLOOKUP(C665,Foundation_Calc!$E$2:$G$986,3,1),
IF(J665&gt;0,VLOOKUP(J665,Foundation_Calc!$E$2:$G$986,3,1),""))</f>
        <v/>
      </c>
      <c r="AY665" s="631" t="str">
        <f>IF(L665="","",
IF(AX665="PT",VLOOKUP(L665,Foundation_Calc!$K$4:$R$37,VLOOKUP(AW665,Foundation_Calc!$I$2:$J$8,2,FALSE),0),
IF(AX665="K",VLOOKUP(L665,Foundation_Calc!$K$41:$R$74,VLOOKUP(AW665,Foundation_Calc!$I$2:$J$8,2,FALSE),0),"")))</f>
        <v/>
      </c>
      <c r="AZ665" s="631" t="str">
        <f>IF(K665="","",
IF(AX665="PT",VLOOKUP(K665,Foundation_Calc!$K$4:$R$37,VLOOKUP(AW665,Foundation_Calc!$I$2:$J$8,2,FALSE),0),
IF(AX665="K",VLOOKUP(K665,Foundation_Calc!$K$41:$R$74,VLOOKUP(AW665,Foundation_Calc!$I$2:$J$8,2,FALSE),0),"")))</f>
        <v/>
      </c>
      <c r="BA665" s="632" t="str">
        <f t="shared" si="44"/>
        <v/>
      </c>
      <c r="BB665" s="632" t="str">
        <f t="shared" si="45"/>
        <v/>
      </c>
      <c r="BC665" s="632" t="str">
        <f t="shared" si="46"/>
        <v/>
      </c>
      <c r="BD665" s="633" t="str">
        <f>IF(AND(L665="",H665=""),"",
IF(H665="",Pole_Calc!A693,
IF(H665="MP",Pole_Calc!A694,
IF(H665="AnMP",Pole_Calc!A695,
IF(H665="A",Pole_Calc!A696,
IF(H665="S/A",Pole_Calc!A697,
IF(H665="A/S",Pole_Calc!A698,"Poner a mano")))))))</f>
        <v/>
      </c>
      <c r="BE665" s="448" t="s">
        <v>1726</v>
      </c>
      <c r="BF665" s="635"/>
      <c r="BG665" s="635"/>
      <c r="BH665" s="634"/>
      <c r="BI665" s="635"/>
    </row>
    <row r="666" spans="1:61" ht="16.2" customHeight="1">
      <c r="A666" s="12"/>
      <c r="B666" s="446"/>
      <c r="C666" s="89"/>
      <c r="D666" s="13"/>
      <c r="E666" s="14"/>
      <c r="F666" s="14"/>
      <c r="G666" s="15"/>
      <c r="H666" s="8"/>
      <c r="I666" s="8"/>
      <c r="J666" s="89"/>
      <c r="K666" s="8"/>
      <c r="L666" s="8"/>
      <c r="M666" s="8" t="str">
        <f>IF(L666="","",
IF(AX666="PT",VLOOKUP(L666,Foundation_Calc!$V$4:$X$37,VLOOKUP(AX666,Foundation_Calc!$I$10:$J$13,2,FALSE),0),
IF(AX666="K",VLOOKUP(L666,Foundation_Calc!$V$41:$X$74,VLOOKUP(AX666,Foundation_Calc!$I$10:$J$13,2,FALSE),0),"")))</f>
        <v/>
      </c>
      <c r="N666" s="8"/>
      <c r="O666" s="8"/>
      <c r="P666" s="8"/>
      <c r="Q666" s="14"/>
      <c r="R666" s="15"/>
      <c r="S666" s="15"/>
      <c r="T666" s="14"/>
      <c r="U666" s="14"/>
      <c r="V666" s="14"/>
      <c r="W666" s="18"/>
      <c r="X666" s="18"/>
      <c r="Y666" s="18"/>
      <c r="Z666" s="18"/>
      <c r="AA666" s="18"/>
      <c r="AB666" s="18"/>
      <c r="AC666" s="8" t="str">
        <f t="shared" si="43"/>
        <v/>
      </c>
      <c r="AD666" s="8"/>
      <c r="AE666" s="8"/>
      <c r="AF666" s="14"/>
      <c r="AG666" s="13"/>
      <c r="AH666" s="14"/>
      <c r="AI666" s="14"/>
      <c r="AJ666" s="8"/>
      <c r="AK666" s="8"/>
      <c r="AL666" s="8"/>
      <c r="AM666" s="8"/>
      <c r="AN666" s="631"/>
      <c r="AO666" s="18"/>
      <c r="AP666" s="18"/>
      <c r="AQ666" s="18"/>
      <c r="AR666" s="18"/>
      <c r="AS666" s="18"/>
      <c r="AU666" s="448"/>
      <c r="AV666" s="448"/>
      <c r="AW666" s="8" t="str">
        <f>IF(C666&gt;0,VLOOKUP(C666,Foundation_Calc!$A$2:$C$986,3,1),
IF(J666&gt;0,VLOOKUP(J666,Foundation_Calc!$A$2:$C$986,3,1),""))</f>
        <v/>
      </c>
      <c r="AX666" s="8" t="str">
        <f>IF(C666&gt;0,VLOOKUP(C666,Foundation_Calc!$E$2:$G$986,3,1),
IF(J666&gt;0,VLOOKUP(J666,Foundation_Calc!$E$2:$G$986,3,1),""))</f>
        <v/>
      </c>
      <c r="AY666" s="631" t="str">
        <f>IF(L666="","",
IF(AX666="PT",VLOOKUP(L666,Foundation_Calc!$K$4:$R$37,VLOOKUP(AW666,Foundation_Calc!$I$2:$J$8,2,FALSE),0),
IF(AX666="K",VLOOKUP(L666,Foundation_Calc!$K$41:$R$74,VLOOKUP(AW666,Foundation_Calc!$I$2:$J$8,2,FALSE),0),"")))</f>
        <v/>
      </c>
      <c r="AZ666" s="631" t="str">
        <f>IF(K666="","",
IF(AX666="PT",VLOOKUP(K666,Foundation_Calc!$K$4:$R$37,VLOOKUP(AW666,Foundation_Calc!$I$2:$J$8,2,FALSE),0),
IF(AX666="K",VLOOKUP(K666,Foundation_Calc!$K$41:$R$74,VLOOKUP(AW666,Foundation_Calc!$I$2:$J$8,2,FALSE),0),"")))</f>
        <v/>
      </c>
      <c r="BA666" s="632" t="str">
        <f t="shared" si="44"/>
        <v/>
      </c>
      <c r="BB666" s="632" t="str">
        <f t="shared" si="45"/>
        <v/>
      </c>
      <c r="BC666" s="632" t="str">
        <f t="shared" si="46"/>
        <v/>
      </c>
      <c r="BD666" s="633" t="str">
        <f>IF(AND(L666="",H666=""),"",
IF(H666="",Pole_Calc!A694,
IF(H666="MP",Pole_Calc!A695,
IF(H666="AnMP",Pole_Calc!A696,
IF(H666="A",Pole_Calc!A697,
IF(H666="S/A",Pole_Calc!A698,
IF(H666="A/S",Pole_Calc!A699,"Poner a mano")))))))</f>
        <v/>
      </c>
      <c r="BE666" s="448" t="s">
        <v>1726</v>
      </c>
      <c r="BF666" s="634"/>
      <c r="BG666" s="634"/>
      <c r="BH666" s="634"/>
      <c r="BI666" s="634"/>
    </row>
    <row r="667" spans="1:61" ht="16.2" customHeight="1">
      <c r="A667" s="12"/>
      <c r="B667" s="446"/>
      <c r="C667" s="89"/>
      <c r="D667" s="13"/>
      <c r="E667" s="14"/>
      <c r="F667" s="14"/>
      <c r="G667" s="15"/>
      <c r="H667" s="8"/>
      <c r="I667" s="8"/>
      <c r="J667" s="89"/>
      <c r="K667" s="8"/>
      <c r="L667" s="8"/>
      <c r="M667" s="8" t="str">
        <f>IF(L667="","",
IF(AX667="PT",VLOOKUP(L667,Foundation_Calc!$V$4:$X$37,VLOOKUP(AX667,Foundation_Calc!$I$10:$J$13,2,FALSE),0),
IF(AX667="K",VLOOKUP(L667,Foundation_Calc!$V$41:$X$74,VLOOKUP(AX667,Foundation_Calc!$I$10:$J$13,2,FALSE),0),"")))</f>
        <v/>
      </c>
      <c r="N667" s="8"/>
      <c r="O667" s="8"/>
      <c r="P667" s="8"/>
      <c r="Q667" s="14"/>
      <c r="R667" s="15"/>
      <c r="S667" s="15"/>
      <c r="T667" s="14"/>
      <c r="U667" s="14"/>
      <c r="V667" s="14"/>
      <c r="W667" s="18"/>
      <c r="X667" s="18"/>
      <c r="Y667" s="18"/>
      <c r="Z667" s="18"/>
      <c r="AA667" s="18"/>
      <c r="AB667" s="18"/>
      <c r="AC667" s="8" t="str">
        <f t="shared" si="43"/>
        <v/>
      </c>
      <c r="AD667" s="8"/>
      <c r="AE667" s="8"/>
      <c r="AF667" s="14"/>
      <c r="AG667" s="13"/>
      <c r="AH667" s="14"/>
      <c r="AI667" s="14"/>
      <c r="AJ667" s="8"/>
      <c r="AK667" s="8"/>
      <c r="AL667" s="8"/>
      <c r="AM667" s="8"/>
      <c r="AN667" s="631"/>
      <c r="AO667" s="18"/>
      <c r="AP667" s="18"/>
      <c r="AQ667" s="18"/>
      <c r="AR667" s="18"/>
      <c r="AS667" s="18"/>
      <c r="AU667" s="448"/>
      <c r="AV667" s="448"/>
      <c r="AW667" s="8" t="str">
        <f>IF(C667&gt;0,VLOOKUP(C667,Foundation_Calc!$A$2:$C$986,3,1),
IF(J667&gt;0,VLOOKUP(J667,Foundation_Calc!$A$2:$C$986,3,1),""))</f>
        <v/>
      </c>
      <c r="AX667" s="8" t="str">
        <f>IF(C667&gt;0,VLOOKUP(C667,Foundation_Calc!$E$2:$G$986,3,1),
IF(J667&gt;0,VLOOKUP(J667,Foundation_Calc!$E$2:$G$986,3,1),""))</f>
        <v/>
      </c>
      <c r="AY667" s="631" t="str">
        <f>IF(L667="","",
IF(AX667="PT",VLOOKUP(L667,Foundation_Calc!$K$4:$R$37,VLOOKUP(AW667,Foundation_Calc!$I$2:$J$8,2,FALSE),0),
IF(AX667="K",VLOOKUP(L667,Foundation_Calc!$K$41:$R$74,VLOOKUP(AW667,Foundation_Calc!$I$2:$J$8,2,FALSE),0),"")))</f>
        <v/>
      </c>
      <c r="AZ667" s="631" t="str">
        <f>IF(K667="","",
IF(AX667="PT",VLOOKUP(K667,Foundation_Calc!$K$4:$R$37,VLOOKUP(AW667,Foundation_Calc!$I$2:$J$8,2,FALSE),0),
IF(AX667="K",VLOOKUP(K667,Foundation_Calc!$K$41:$R$74,VLOOKUP(AW667,Foundation_Calc!$I$2:$J$8,2,FALSE),0),"")))</f>
        <v/>
      </c>
      <c r="BA667" s="632" t="str">
        <f t="shared" si="44"/>
        <v/>
      </c>
      <c r="BB667" s="632" t="str">
        <f t="shared" si="45"/>
        <v/>
      </c>
      <c r="BC667" s="632" t="str">
        <f t="shared" si="46"/>
        <v/>
      </c>
      <c r="BD667" s="633" t="str">
        <f>IF(AND(L667="",H667=""),"",
IF(H667="",Pole_Calc!A695,
IF(H667="MP",Pole_Calc!A696,
IF(H667="AnMP",Pole_Calc!A697,
IF(H667="A",Pole_Calc!A698,
IF(H667="S/A",Pole_Calc!A699,
IF(H667="A/S",Pole_Calc!A700,"Poner a mano")))))))</f>
        <v/>
      </c>
      <c r="BE667" s="448" t="s">
        <v>1726</v>
      </c>
      <c r="BF667" s="635"/>
      <c r="BG667" s="635"/>
      <c r="BH667" s="634"/>
      <c r="BI667" s="635"/>
    </row>
    <row r="668" spans="1:61" ht="16.2" customHeight="1">
      <c r="A668" s="12"/>
      <c r="B668" s="446"/>
      <c r="C668" s="89"/>
      <c r="D668" s="13"/>
      <c r="E668" s="14"/>
      <c r="F668" s="14"/>
      <c r="G668" s="15"/>
      <c r="H668" s="8"/>
      <c r="I668" s="8"/>
      <c r="J668" s="89"/>
      <c r="K668" s="8"/>
      <c r="L668" s="8"/>
      <c r="M668" s="8" t="str">
        <f>IF(L668="","",
IF(AX668="PT",VLOOKUP(L668,Foundation_Calc!$V$4:$X$37,VLOOKUP(AX668,Foundation_Calc!$I$10:$J$13,2,FALSE),0),
IF(AX668="K",VLOOKUP(L668,Foundation_Calc!$V$41:$X$74,VLOOKUP(AX668,Foundation_Calc!$I$10:$J$13,2,FALSE),0),"")))</f>
        <v/>
      </c>
      <c r="N668" s="8"/>
      <c r="O668" s="8"/>
      <c r="P668" s="8"/>
      <c r="Q668" s="14"/>
      <c r="R668" s="15"/>
      <c r="S668" s="15"/>
      <c r="T668" s="14"/>
      <c r="U668" s="14"/>
      <c r="V668" s="14"/>
      <c r="W668" s="18"/>
      <c r="X668" s="18"/>
      <c r="Y668" s="18"/>
      <c r="Z668" s="18"/>
      <c r="AA668" s="18"/>
      <c r="AB668" s="18"/>
      <c r="AC668" s="8" t="str">
        <f t="shared" si="43"/>
        <v/>
      </c>
      <c r="AD668" s="8"/>
      <c r="AE668" s="8"/>
      <c r="AF668" s="14"/>
      <c r="AG668" s="13"/>
      <c r="AH668" s="14"/>
      <c r="AI668" s="14"/>
      <c r="AJ668" s="8"/>
      <c r="AK668" s="8"/>
      <c r="AL668" s="8"/>
      <c r="AM668" s="8"/>
      <c r="AN668" s="631"/>
      <c r="AO668" s="18"/>
      <c r="AP668" s="18"/>
      <c r="AQ668" s="18"/>
      <c r="AR668" s="18"/>
      <c r="AS668" s="18"/>
      <c r="AU668" s="448"/>
      <c r="AV668" s="448"/>
      <c r="AW668" s="8" t="str">
        <f>IF(C668&gt;0,VLOOKUP(C668,Foundation_Calc!$A$2:$C$986,3,1),
IF(J668&gt;0,VLOOKUP(J668,Foundation_Calc!$A$2:$C$986,3,1),""))</f>
        <v/>
      </c>
      <c r="AX668" s="8" t="str">
        <f>IF(C668&gt;0,VLOOKUP(C668,Foundation_Calc!$E$2:$G$986,3,1),
IF(J668&gt;0,VLOOKUP(J668,Foundation_Calc!$E$2:$G$986,3,1),""))</f>
        <v/>
      </c>
      <c r="AY668" s="631" t="str">
        <f>IF(L668="","",
IF(AX668="PT",VLOOKUP(L668,Foundation_Calc!$K$4:$R$37,VLOOKUP(AW668,Foundation_Calc!$I$2:$J$8,2,FALSE),0),
IF(AX668="K",VLOOKUP(L668,Foundation_Calc!$K$41:$R$74,VLOOKUP(AW668,Foundation_Calc!$I$2:$J$8,2,FALSE),0),"")))</f>
        <v/>
      </c>
      <c r="AZ668" s="631" t="str">
        <f>IF(K668="","",
IF(AX668="PT",VLOOKUP(K668,Foundation_Calc!$K$4:$R$37,VLOOKUP(AW668,Foundation_Calc!$I$2:$J$8,2,FALSE),0),
IF(AX668="K",VLOOKUP(K668,Foundation_Calc!$K$41:$R$74,VLOOKUP(AW668,Foundation_Calc!$I$2:$J$8,2,FALSE),0),"")))</f>
        <v/>
      </c>
      <c r="BA668" s="632" t="str">
        <f t="shared" si="44"/>
        <v/>
      </c>
      <c r="BB668" s="632" t="str">
        <f t="shared" si="45"/>
        <v/>
      </c>
      <c r="BC668" s="632" t="str">
        <f t="shared" si="46"/>
        <v/>
      </c>
      <c r="BD668" s="633" t="str">
        <f>IF(AND(L668="",H668=""),"",
IF(H668="",Pole_Calc!A696,
IF(H668="MP",Pole_Calc!A697,
IF(H668="AnMP",Pole_Calc!A698,
IF(H668="A",Pole_Calc!A699,
IF(H668="S/A",Pole_Calc!A700,
IF(H668="A/S",Pole_Calc!A701,"Poner a mano")))))))</f>
        <v/>
      </c>
      <c r="BE668" s="448" t="s">
        <v>1726</v>
      </c>
      <c r="BF668" s="634"/>
      <c r="BG668" s="634"/>
      <c r="BH668" s="634"/>
      <c r="BI668" s="634"/>
    </row>
    <row r="669" spans="1:61" ht="16.2" customHeight="1">
      <c r="A669" s="12"/>
      <c r="B669" s="446"/>
      <c r="C669" s="89"/>
      <c r="D669" s="13"/>
      <c r="E669" s="14"/>
      <c r="F669" s="14"/>
      <c r="G669" s="15"/>
      <c r="H669" s="8"/>
      <c r="I669" s="8"/>
      <c r="J669" s="89"/>
      <c r="K669" s="8"/>
      <c r="L669" s="8"/>
      <c r="M669" s="8" t="str">
        <f>IF(L669="","",
IF(AX669="PT",VLOOKUP(L669,Foundation_Calc!$V$4:$X$37,VLOOKUP(AX669,Foundation_Calc!$I$10:$J$13,2,FALSE),0),
IF(AX669="K",VLOOKUP(L669,Foundation_Calc!$V$41:$X$74,VLOOKUP(AX669,Foundation_Calc!$I$10:$J$13,2,FALSE),0),"")))</f>
        <v/>
      </c>
      <c r="N669" s="8"/>
      <c r="O669" s="8"/>
      <c r="P669" s="8"/>
      <c r="Q669" s="14"/>
      <c r="R669" s="15"/>
      <c r="S669" s="15"/>
      <c r="T669" s="14"/>
      <c r="U669" s="14"/>
      <c r="V669" s="14"/>
      <c r="W669" s="18"/>
      <c r="X669" s="18"/>
      <c r="Y669" s="18"/>
      <c r="Z669" s="18"/>
      <c r="AA669" s="18"/>
      <c r="AB669" s="18"/>
      <c r="AC669" s="8" t="str">
        <f t="shared" si="43"/>
        <v/>
      </c>
      <c r="AD669" s="8"/>
      <c r="AE669" s="8"/>
      <c r="AF669" s="14"/>
      <c r="AG669" s="13"/>
      <c r="AH669" s="14"/>
      <c r="AI669" s="14"/>
      <c r="AJ669" s="8"/>
      <c r="AK669" s="8"/>
      <c r="AL669" s="8"/>
      <c r="AM669" s="8"/>
      <c r="AN669" s="631"/>
      <c r="AO669" s="18"/>
      <c r="AP669" s="18"/>
      <c r="AQ669" s="18"/>
      <c r="AR669" s="18"/>
      <c r="AS669" s="18"/>
      <c r="AU669" s="448"/>
      <c r="AV669" s="448"/>
      <c r="AW669" s="8" t="str">
        <f>IF(C669&gt;0,VLOOKUP(C669,Foundation_Calc!$A$2:$C$986,3,1),
IF(J669&gt;0,VLOOKUP(J669,Foundation_Calc!$A$2:$C$986,3,1),""))</f>
        <v/>
      </c>
      <c r="AX669" s="8" t="str">
        <f>IF(C669&gt;0,VLOOKUP(C669,Foundation_Calc!$E$2:$G$986,3,1),
IF(J669&gt;0,VLOOKUP(J669,Foundation_Calc!$E$2:$G$986,3,1),""))</f>
        <v/>
      </c>
      <c r="AY669" s="631" t="str">
        <f>IF(L669="","",
IF(AX669="PT",VLOOKUP(L669,Foundation_Calc!$K$4:$R$37,VLOOKUP(AW669,Foundation_Calc!$I$2:$J$8,2,FALSE),0),
IF(AX669="K",VLOOKUP(L669,Foundation_Calc!$K$41:$R$74,VLOOKUP(AW669,Foundation_Calc!$I$2:$J$8,2,FALSE),0),"")))</f>
        <v/>
      </c>
      <c r="AZ669" s="631" t="str">
        <f>IF(K669="","",
IF(AX669="PT",VLOOKUP(K669,Foundation_Calc!$K$4:$R$37,VLOOKUP(AW669,Foundation_Calc!$I$2:$J$8,2,FALSE),0),
IF(AX669="K",VLOOKUP(K669,Foundation_Calc!$K$41:$R$74,VLOOKUP(AW669,Foundation_Calc!$I$2:$J$8,2,FALSE),0),"")))</f>
        <v/>
      </c>
      <c r="BA669" s="632" t="str">
        <f t="shared" si="44"/>
        <v/>
      </c>
      <c r="BB669" s="632" t="str">
        <f t="shared" si="45"/>
        <v/>
      </c>
      <c r="BC669" s="632" t="str">
        <f t="shared" si="46"/>
        <v/>
      </c>
      <c r="BD669" s="633" t="str">
        <f>IF(AND(L669="",H669=""),"",
IF(H669="",Pole_Calc!A697,
IF(H669="MP",Pole_Calc!A698,
IF(H669="AnMP",Pole_Calc!A699,
IF(H669="A",Pole_Calc!A700,
IF(H669="S/A",Pole_Calc!A701,
IF(H669="A/S",Pole_Calc!A702,"Poner a mano")))))))</f>
        <v/>
      </c>
      <c r="BE669" s="448" t="s">
        <v>1726</v>
      </c>
      <c r="BF669" s="635"/>
      <c r="BG669" s="635"/>
      <c r="BH669" s="634"/>
      <c r="BI669" s="635"/>
    </row>
    <row r="670" spans="1:61" ht="16.2" customHeight="1">
      <c r="A670" s="12"/>
      <c r="B670" s="446"/>
      <c r="C670" s="89"/>
      <c r="D670" s="13"/>
      <c r="E670" s="14"/>
      <c r="F670" s="14"/>
      <c r="G670" s="15"/>
      <c r="H670" s="8"/>
      <c r="I670" s="8"/>
      <c r="J670" s="89"/>
      <c r="K670" s="8"/>
      <c r="L670" s="8"/>
      <c r="M670" s="8" t="str">
        <f>IF(L670="","",
IF(AX670="PT",VLOOKUP(L670,Foundation_Calc!$V$4:$X$37,VLOOKUP(AX670,Foundation_Calc!$I$10:$J$13,2,FALSE),0),
IF(AX670="K",VLOOKUP(L670,Foundation_Calc!$V$41:$X$74,VLOOKUP(AX670,Foundation_Calc!$I$10:$J$13,2,FALSE),0),"")))</f>
        <v/>
      </c>
      <c r="N670" s="8"/>
      <c r="O670" s="8"/>
      <c r="P670" s="8"/>
      <c r="Q670" s="14"/>
      <c r="R670" s="15"/>
      <c r="S670" s="15"/>
      <c r="T670" s="14"/>
      <c r="U670" s="14"/>
      <c r="V670" s="14"/>
      <c r="W670" s="18"/>
      <c r="X670" s="18"/>
      <c r="Y670" s="18"/>
      <c r="Z670" s="18"/>
      <c r="AA670" s="18"/>
      <c r="AB670" s="18"/>
      <c r="AC670" s="8" t="str">
        <f t="shared" si="43"/>
        <v/>
      </c>
      <c r="AD670" s="8"/>
      <c r="AE670" s="8"/>
      <c r="AF670" s="14"/>
      <c r="AG670" s="13"/>
      <c r="AH670" s="14"/>
      <c r="AI670" s="14"/>
      <c r="AJ670" s="8"/>
      <c r="AK670" s="8"/>
      <c r="AL670" s="8"/>
      <c r="AM670" s="8"/>
      <c r="AN670" s="631"/>
      <c r="AO670" s="18"/>
      <c r="AP670" s="18"/>
      <c r="AQ670" s="18"/>
      <c r="AR670" s="18"/>
      <c r="AS670" s="18"/>
      <c r="AU670" s="448"/>
      <c r="AV670" s="448"/>
      <c r="AW670" s="8" t="str">
        <f>IF(C670&gt;0,VLOOKUP(C670,Foundation_Calc!$A$2:$C$986,3,1),
IF(J670&gt;0,VLOOKUP(J670,Foundation_Calc!$A$2:$C$986,3,1),""))</f>
        <v/>
      </c>
      <c r="AX670" s="8" t="str">
        <f>IF(C670&gt;0,VLOOKUP(C670,Foundation_Calc!$E$2:$G$986,3,1),
IF(J670&gt;0,VLOOKUP(J670,Foundation_Calc!$E$2:$G$986,3,1),""))</f>
        <v/>
      </c>
      <c r="AY670" s="631" t="str">
        <f>IF(L670="","",
IF(AX670="PT",VLOOKUP(L670,Foundation_Calc!$K$4:$R$37,VLOOKUP(AW670,Foundation_Calc!$I$2:$J$8,2,FALSE),0),
IF(AX670="K",VLOOKUP(L670,Foundation_Calc!$K$41:$R$74,VLOOKUP(AW670,Foundation_Calc!$I$2:$J$8,2,FALSE),0),"")))</f>
        <v/>
      </c>
      <c r="AZ670" s="631" t="str">
        <f>IF(K670="","",
IF(AX670="PT",VLOOKUP(K670,Foundation_Calc!$K$4:$R$37,VLOOKUP(AW670,Foundation_Calc!$I$2:$J$8,2,FALSE),0),
IF(AX670="K",VLOOKUP(K670,Foundation_Calc!$K$41:$R$74,VLOOKUP(AW670,Foundation_Calc!$I$2:$J$8,2,FALSE),0),"")))</f>
        <v/>
      </c>
      <c r="BA670" s="632" t="str">
        <f t="shared" si="44"/>
        <v/>
      </c>
      <c r="BB670" s="632" t="str">
        <f t="shared" si="45"/>
        <v/>
      </c>
      <c r="BC670" s="632" t="str">
        <f t="shared" si="46"/>
        <v/>
      </c>
      <c r="BD670" s="633" t="str">
        <f>IF(AND(L670="",H670=""),"",
IF(H670="",Pole_Calc!A698,
IF(H670="MP",Pole_Calc!A699,
IF(H670="AnMP",Pole_Calc!A700,
IF(H670="A",Pole_Calc!A701,
IF(H670="S/A",Pole_Calc!A702,
IF(H670="A/S",Pole_Calc!A703,"Poner a mano")))))))</f>
        <v/>
      </c>
      <c r="BE670" s="448" t="s">
        <v>1726</v>
      </c>
      <c r="BF670" s="634"/>
      <c r="BG670" s="634"/>
      <c r="BH670" s="634"/>
      <c r="BI670" s="634"/>
    </row>
    <row r="671" spans="1:61" ht="16.2" customHeight="1">
      <c r="A671" s="12"/>
      <c r="B671" s="446"/>
      <c r="C671" s="89"/>
      <c r="D671" s="13"/>
      <c r="E671" s="14"/>
      <c r="F671" s="14"/>
      <c r="G671" s="15"/>
      <c r="H671" s="8"/>
      <c r="I671" s="8"/>
      <c r="J671" s="89"/>
      <c r="K671" s="8"/>
      <c r="L671" s="8"/>
      <c r="M671" s="8" t="str">
        <f>IF(L671="","",
IF(AX671="PT",VLOOKUP(L671,Foundation_Calc!$V$4:$X$37,VLOOKUP(AX671,Foundation_Calc!$I$10:$J$13,2,FALSE),0),
IF(AX671="K",VLOOKUP(L671,Foundation_Calc!$V$41:$X$74,VLOOKUP(AX671,Foundation_Calc!$I$10:$J$13,2,FALSE),0),"")))</f>
        <v/>
      </c>
      <c r="N671" s="8"/>
      <c r="O671" s="8"/>
      <c r="P671" s="8"/>
      <c r="Q671" s="14"/>
      <c r="R671" s="15"/>
      <c r="S671" s="15"/>
      <c r="T671" s="14"/>
      <c r="U671" s="14"/>
      <c r="V671" s="14"/>
      <c r="W671" s="18"/>
      <c r="X671" s="18"/>
      <c r="Y671" s="18"/>
      <c r="Z671" s="18"/>
      <c r="AA671" s="18"/>
      <c r="AB671" s="18"/>
      <c r="AC671" s="8" t="str">
        <f t="shared" si="43"/>
        <v/>
      </c>
      <c r="AD671" s="8"/>
      <c r="AE671" s="8"/>
      <c r="AF671" s="14"/>
      <c r="AG671" s="13"/>
      <c r="AH671" s="14"/>
      <c r="AI671" s="14"/>
      <c r="AJ671" s="8"/>
      <c r="AK671" s="8"/>
      <c r="AL671" s="8"/>
      <c r="AM671" s="8"/>
      <c r="AN671" s="631"/>
      <c r="AO671" s="18"/>
      <c r="AP671" s="18"/>
      <c r="AQ671" s="18"/>
      <c r="AR671" s="18"/>
      <c r="AS671" s="18"/>
      <c r="AU671" s="448"/>
      <c r="AV671" s="448"/>
      <c r="AW671" s="8" t="str">
        <f>IF(C671&gt;0,VLOOKUP(C671,Foundation_Calc!$A$2:$C$986,3,1),
IF(J671&gt;0,VLOOKUP(J671,Foundation_Calc!$A$2:$C$986,3,1),""))</f>
        <v/>
      </c>
      <c r="AX671" s="8" t="str">
        <f>IF(C671&gt;0,VLOOKUP(C671,Foundation_Calc!$E$2:$G$986,3,1),
IF(J671&gt;0,VLOOKUP(J671,Foundation_Calc!$E$2:$G$986,3,1),""))</f>
        <v/>
      </c>
      <c r="AY671" s="631" t="str">
        <f>IF(L671="","",
IF(AX671="PT",VLOOKUP(L671,Foundation_Calc!$K$4:$R$37,VLOOKUP(AW671,Foundation_Calc!$I$2:$J$8,2,FALSE),0),
IF(AX671="K",VLOOKUP(L671,Foundation_Calc!$K$41:$R$74,VLOOKUP(AW671,Foundation_Calc!$I$2:$J$8,2,FALSE),0),"")))</f>
        <v/>
      </c>
      <c r="AZ671" s="631" t="str">
        <f>IF(K671="","",
IF(AX671="PT",VLOOKUP(K671,Foundation_Calc!$K$4:$R$37,VLOOKUP(AW671,Foundation_Calc!$I$2:$J$8,2,FALSE),0),
IF(AX671="K",VLOOKUP(K671,Foundation_Calc!$K$41:$R$74,VLOOKUP(AW671,Foundation_Calc!$I$2:$J$8,2,FALSE),0),"")))</f>
        <v/>
      </c>
      <c r="BA671" s="632" t="str">
        <f t="shared" si="44"/>
        <v/>
      </c>
      <c r="BB671" s="632" t="str">
        <f t="shared" si="45"/>
        <v/>
      </c>
      <c r="BC671" s="632" t="str">
        <f t="shared" si="46"/>
        <v/>
      </c>
      <c r="BD671" s="633" t="str">
        <f>IF(AND(L671="",H671=""),"",
IF(H671="",Pole_Calc!A699,
IF(H671="MP",Pole_Calc!A700,
IF(H671="AnMP",Pole_Calc!A701,
IF(H671="A",Pole_Calc!A702,
IF(H671="S/A",Pole_Calc!A703,
IF(H671="A/S",Pole_Calc!A704,"Poner a mano")))))))</f>
        <v/>
      </c>
      <c r="BE671" s="448" t="s">
        <v>1726</v>
      </c>
      <c r="BF671" s="635"/>
      <c r="BG671" s="635"/>
      <c r="BH671" s="634"/>
      <c r="BI671" s="635"/>
    </row>
    <row r="672" spans="1:61" ht="16.2" customHeight="1">
      <c r="A672" s="12"/>
      <c r="B672" s="446"/>
      <c r="C672" s="89"/>
      <c r="D672" s="13"/>
      <c r="E672" s="14"/>
      <c r="F672" s="14"/>
      <c r="G672" s="15"/>
      <c r="H672" s="8"/>
      <c r="I672" s="8"/>
      <c r="J672" s="89"/>
      <c r="K672" s="8"/>
      <c r="L672" s="8"/>
      <c r="M672" s="8" t="str">
        <f>IF(L672="","",
IF(AX672="PT",VLOOKUP(L672,Foundation_Calc!$V$4:$X$37,VLOOKUP(AX672,Foundation_Calc!$I$10:$J$13,2,FALSE),0),
IF(AX672="K",VLOOKUP(L672,Foundation_Calc!$V$41:$X$74,VLOOKUP(AX672,Foundation_Calc!$I$10:$J$13,2,FALSE),0),"")))</f>
        <v/>
      </c>
      <c r="N672" s="8"/>
      <c r="O672" s="8"/>
      <c r="P672" s="8"/>
      <c r="Q672" s="14"/>
      <c r="R672" s="15"/>
      <c r="S672" s="15"/>
      <c r="T672" s="14"/>
      <c r="U672" s="14"/>
      <c r="V672" s="14"/>
      <c r="W672" s="18"/>
      <c r="X672" s="18"/>
      <c r="Y672" s="18"/>
      <c r="Z672" s="18"/>
      <c r="AA672" s="18"/>
      <c r="AB672" s="18"/>
      <c r="AC672" s="8" t="str">
        <f t="shared" si="43"/>
        <v/>
      </c>
      <c r="AD672" s="8"/>
      <c r="AE672" s="8"/>
      <c r="AF672" s="14"/>
      <c r="AG672" s="13"/>
      <c r="AH672" s="14"/>
      <c r="AI672" s="14"/>
      <c r="AJ672" s="8"/>
      <c r="AK672" s="8"/>
      <c r="AL672" s="8"/>
      <c r="AM672" s="8"/>
      <c r="AN672" s="631"/>
      <c r="AO672" s="18"/>
      <c r="AP672" s="18"/>
      <c r="AQ672" s="18"/>
      <c r="AR672" s="18"/>
      <c r="AS672" s="18"/>
      <c r="AU672" s="448"/>
      <c r="AV672" s="448"/>
      <c r="AW672" s="8" t="str">
        <f>IF(C672&gt;0,VLOOKUP(C672,Foundation_Calc!$A$2:$C$986,3,1),
IF(J672&gt;0,VLOOKUP(J672,Foundation_Calc!$A$2:$C$986,3,1),""))</f>
        <v/>
      </c>
      <c r="AX672" s="8" t="str">
        <f>IF(C672&gt;0,VLOOKUP(C672,Foundation_Calc!$E$2:$G$986,3,1),
IF(J672&gt;0,VLOOKUP(J672,Foundation_Calc!$E$2:$G$986,3,1),""))</f>
        <v/>
      </c>
      <c r="AY672" s="631" t="str">
        <f>IF(L672="","",
IF(AX672="PT",VLOOKUP(L672,Foundation_Calc!$K$4:$R$37,VLOOKUP(AW672,Foundation_Calc!$I$2:$J$8,2,FALSE),0),
IF(AX672="K",VLOOKUP(L672,Foundation_Calc!$K$41:$R$74,VLOOKUP(AW672,Foundation_Calc!$I$2:$J$8,2,FALSE),0),"")))</f>
        <v/>
      </c>
      <c r="AZ672" s="631" t="str">
        <f>IF(K672="","",
IF(AX672="PT",VLOOKUP(K672,Foundation_Calc!$K$4:$R$37,VLOOKUP(AW672,Foundation_Calc!$I$2:$J$8,2,FALSE),0),
IF(AX672="K",VLOOKUP(K672,Foundation_Calc!$K$41:$R$74,VLOOKUP(AW672,Foundation_Calc!$I$2:$J$8,2,FALSE),0),"")))</f>
        <v/>
      </c>
      <c r="BA672" s="632" t="str">
        <f t="shared" si="44"/>
        <v/>
      </c>
      <c r="BB672" s="632" t="str">
        <f t="shared" si="45"/>
        <v/>
      </c>
      <c r="BC672" s="632" t="str">
        <f t="shared" si="46"/>
        <v/>
      </c>
      <c r="BD672" s="633" t="str">
        <f>IF(AND(L672="",H672=""),"",
IF(H672="",Pole_Calc!A700,
IF(H672="MP",Pole_Calc!A701,
IF(H672="AnMP",Pole_Calc!A702,
IF(H672="A",Pole_Calc!A703,
IF(H672="S/A",Pole_Calc!A704,
IF(H672="A/S",Pole_Calc!A705,"Poner a mano")))))))</f>
        <v/>
      </c>
      <c r="BE672" s="448" t="s">
        <v>1726</v>
      </c>
      <c r="BF672" s="634"/>
      <c r="BG672" s="634"/>
      <c r="BH672" s="634"/>
      <c r="BI672" s="634"/>
    </row>
    <row r="673" spans="1:61" ht="16.2" customHeight="1">
      <c r="A673" s="12"/>
      <c r="B673" s="446"/>
      <c r="C673" s="89"/>
      <c r="D673" s="13"/>
      <c r="E673" s="14"/>
      <c r="F673" s="14"/>
      <c r="G673" s="15"/>
      <c r="H673" s="8"/>
      <c r="I673" s="8"/>
      <c r="J673" s="89"/>
      <c r="K673" s="8"/>
      <c r="L673" s="8"/>
      <c r="M673" s="8" t="str">
        <f>IF(L673="","",
IF(AX673="PT",VLOOKUP(L673,Foundation_Calc!$V$4:$X$37,VLOOKUP(AX673,Foundation_Calc!$I$10:$J$13,2,FALSE),0),
IF(AX673="K",VLOOKUP(L673,Foundation_Calc!$V$41:$X$74,VLOOKUP(AX673,Foundation_Calc!$I$10:$J$13,2,FALSE),0),"")))</f>
        <v/>
      </c>
      <c r="N673" s="8"/>
      <c r="O673" s="8"/>
      <c r="P673" s="8"/>
      <c r="Q673" s="14"/>
      <c r="R673" s="15"/>
      <c r="S673" s="15"/>
      <c r="T673" s="14"/>
      <c r="U673" s="14"/>
      <c r="V673" s="14"/>
      <c r="W673" s="18"/>
      <c r="X673" s="18"/>
      <c r="Y673" s="18"/>
      <c r="Z673" s="18"/>
      <c r="AA673" s="18"/>
      <c r="AB673" s="18"/>
      <c r="AC673" s="8" t="str">
        <f t="shared" si="43"/>
        <v/>
      </c>
      <c r="AD673" s="8"/>
      <c r="AE673" s="8"/>
      <c r="AF673" s="14"/>
      <c r="AG673" s="13"/>
      <c r="AH673" s="14"/>
      <c r="AI673" s="14"/>
      <c r="AJ673" s="8"/>
      <c r="AK673" s="8"/>
      <c r="AL673" s="8"/>
      <c r="AM673" s="8"/>
      <c r="AN673" s="631"/>
      <c r="AO673" s="18"/>
      <c r="AP673" s="18"/>
      <c r="AQ673" s="18"/>
      <c r="AR673" s="18"/>
      <c r="AS673" s="18"/>
      <c r="AU673" s="448"/>
      <c r="AV673" s="448"/>
      <c r="AW673" s="8" t="str">
        <f>IF(C673&gt;0,VLOOKUP(C673,Foundation_Calc!$A$2:$C$986,3,1),
IF(J673&gt;0,VLOOKUP(J673,Foundation_Calc!$A$2:$C$986,3,1),""))</f>
        <v/>
      </c>
      <c r="AX673" s="8" t="str">
        <f>IF(C673&gt;0,VLOOKUP(C673,Foundation_Calc!$E$2:$G$986,3,1),
IF(J673&gt;0,VLOOKUP(J673,Foundation_Calc!$E$2:$G$986,3,1),""))</f>
        <v/>
      </c>
      <c r="AY673" s="631" t="str">
        <f>IF(L673="","",
IF(AX673="PT",VLOOKUP(L673,Foundation_Calc!$K$4:$R$37,VLOOKUP(AW673,Foundation_Calc!$I$2:$J$8,2,FALSE),0),
IF(AX673="K",VLOOKUP(L673,Foundation_Calc!$K$41:$R$74,VLOOKUP(AW673,Foundation_Calc!$I$2:$J$8,2,FALSE),0),"")))</f>
        <v/>
      </c>
      <c r="AZ673" s="631" t="str">
        <f>IF(K673="","",
IF(AX673="PT",VLOOKUP(K673,Foundation_Calc!$K$4:$R$37,VLOOKUP(AW673,Foundation_Calc!$I$2:$J$8,2,FALSE),0),
IF(AX673="K",VLOOKUP(K673,Foundation_Calc!$K$41:$R$74,VLOOKUP(AW673,Foundation_Calc!$I$2:$J$8,2,FALSE),0),"")))</f>
        <v/>
      </c>
      <c r="BA673" s="632" t="str">
        <f t="shared" si="44"/>
        <v/>
      </c>
      <c r="BB673" s="632" t="str">
        <f t="shared" si="45"/>
        <v/>
      </c>
      <c r="BC673" s="632" t="str">
        <f t="shared" si="46"/>
        <v/>
      </c>
      <c r="BD673" s="633" t="str">
        <f>IF(AND(L673="",H673=""),"",
IF(H673="",Pole_Calc!A701,
IF(H673="MP",Pole_Calc!A702,
IF(H673="AnMP",Pole_Calc!A703,
IF(H673="A",Pole_Calc!A704,
IF(H673="S/A",Pole_Calc!A705,
IF(H673="A/S",Pole_Calc!A706,"Poner a mano")))))))</f>
        <v/>
      </c>
      <c r="BE673" s="448" t="s">
        <v>1726</v>
      </c>
      <c r="BF673" s="635"/>
      <c r="BG673" s="635"/>
      <c r="BH673" s="634"/>
      <c r="BI673" s="635"/>
    </row>
    <row r="674" spans="1:61" ht="16.2" customHeight="1">
      <c r="A674" s="12"/>
      <c r="B674" s="446"/>
      <c r="C674" s="89"/>
      <c r="D674" s="13"/>
      <c r="E674" s="14"/>
      <c r="F674" s="14"/>
      <c r="G674" s="15"/>
      <c r="H674" s="8"/>
      <c r="I674" s="8"/>
      <c r="J674" s="89"/>
      <c r="K674" s="8"/>
      <c r="L674" s="8"/>
      <c r="M674" s="8" t="str">
        <f>IF(L674="","",
IF(AX674="PT",VLOOKUP(L674,Foundation_Calc!$V$4:$X$37,VLOOKUP(AX674,Foundation_Calc!$I$10:$J$13,2,FALSE),0),
IF(AX674="K",VLOOKUP(L674,Foundation_Calc!$V$41:$X$74,VLOOKUP(AX674,Foundation_Calc!$I$10:$J$13,2,FALSE),0),"")))</f>
        <v/>
      </c>
      <c r="N674" s="8"/>
      <c r="O674" s="8"/>
      <c r="P674" s="8"/>
      <c r="Q674" s="14"/>
      <c r="R674" s="15"/>
      <c r="S674" s="15"/>
      <c r="T674" s="14"/>
      <c r="U674" s="14"/>
      <c r="V674" s="14"/>
      <c r="W674" s="18"/>
      <c r="X674" s="18"/>
      <c r="Y674" s="18"/>
      <c r="Z674" s="18"/>
      <c r="AA674" s="18"/>
      <c r="AB674" s="18"/>
      <c r="AC674" s="8" t="str">
        <f t="shared" si="43"/>
        <v/>
      </c>
      <c r="AD674" s="8"/>
      <c r="AE674" s="8"/>
      <c r="AF674" s="14"/>
      <c r="AG674" s="13"/>
      <c r="AH674" s="14"/>
      <c r="AI674" s="14"/>
      <c r="AJ674" s="8"/>
      <c r="AK674" s="8"/>
      <c r="AL674" s="8"/>
      <c r="AM674" s="8"/>
      <c r="AN674" s="631"/>
      <c r="AO674" s="18"/>
      <c r="AP674" s="18"/>
      <c r="AQ674" s="18"/>
      <c r="AR674" s="18"/>
      <c r="AS674" s="18"/>
      <c r="AU674" s="448"/>
      <c r="AV674" s="448"/>
      <c r="AW674" s="8" t="str">
        <f>IF(C674&gt;0,VLOOKUP(C674,Foundation_Calc!$A$2:$C$986,3,1),
IF(J674&gt;0,VLOOKUP(J674,Foundation_Calc!$A$2:$C$986,3,1),""))</f>
        <v/>
      </c>
      <c r="AX674" s="8" t="str">
        <f>IF(C674&gt;0,VLOOKUP(C674,Foundation_Calc!$E$2:$G$986,3,1),
IF(J674&gt;0,VLOOKUP(J674,Foundation_Calc!$E$2:$G$986,3,1),""))</f>
        <v/>
      </c>
      <c r="AY674" s="631" t="str">
        <f>IF(L674="","",
IF(AX674="PT",VLOOKUP(L674,Foundation_Calc!$K$4:$R$37,VLOOKUP(AW674,Foundation_Calc!$I$2:$J$8,2,FALSE),0),
IF(AX674="K",VLOOKUP(L674,Foundation_Calc!$K$41:$R$74,VLOOKUP(AW674,Foundation_Calc!$I$2:$J$8,2,FALSE),0),"")))</f>
        <v/>
      </c>
      <c r="AZ674" s="631" t="str">
        <f>IF(K674="","",
IF(AX674="PT",VLOOKUP(K674,Foundation_Calc!$K$4:$R$37,VLOOKUP(AW674,Foundation_Calc!$I$2:$J$8,2,FALSE),0),
IF(AX674="K",VLOOKUP(K674,Foundation_Calc!$K$41:$R$74,VLOOKUP(AW674,Foundation_Calc!$I$2:$J$8,2,FALSE),0),"")))</f>
        <v/>
      </c>
      <c r="BA674" s="632" t="str">
        <f t="shared" si="44"/>
        <v/>
      </c>
      <c r="BB674" s="632" t="str">
        <f t="shared" si="45"/>
        <v/>
      </c>
      <c r="BC674" s="632" t="str">
        <f t="shared" si="46"/>
        <v/>
      </c>
      <c r="BD674" s="633" t="str">
        <f>IF(AND(L674="",H674=""),"",
IF(H674="",Pole_Calc!A702,
IF(H674="MP",Pole_Calc!A703,
IF(H674="AnMP",Pole_Calc!A704,
IF(H674="A",Pole_Calc!A705,
IF(H674="S/A",Pole_Calc!A706,
IF(H674="A/S",Pole_Calc!A707,"Poner a mano")))))))</f>
        <v/>
      </c>
      <c r="BE674" s="448" t="s">
        <v>1726</v>
      </c>
      <c r="BF674" s="634"/>
      <c r="BG674" s="634"/>
      <c r="BH674" s="634"/>
      <c r="BI674" s="634"/>
    </row>
    <row r="675" spans="1:61" ht="16.2" customHeight="1">
      <c r="A675" s="12"/>
      <c r="B675" s="446"/>
      <c r="C675" s="89"/>
      <c r="D675" s="13"/>
      <c r="E675" s="14"/>
      <c r="F675" s="14"/>
      <c r="G675" s="15"/>
      <c r="H675" s="8"/>
      <c r="I675" s="8"/>
      <c r="J675" s="89"/>
      <c r="K675" s="8"/>
      <c r="L675" s="8"/>
      <c r="M675" s="8" t="str">
        <f>IF(L675="","",
IF(AX675="PT",VLOOKUP(L675,Foundation_Calc!$V$4:$X$37,VLOOKUP(AX675,Foundation_Calc!$I$10:$J$13,2,FALSE),0),
IF(AX675="K",VLOOKUP(L675,Foundation_Calc!$V$41:$X$74,VLOOKUP(AX675,Foundation_Calc!$I$10:$J$13,2,FALSE),0),"")))</f>
        <v/>
      </c>
      <c r="N675" s="8"/>
      <c r="O675" s="8"/>
      <c r="P675" s="8"/>
      <c r="Q675" s="14"/>
      <c r="R675" s="15"/>
      <c r="S675" s="15"/>
      <c r="T675" s="14"/>
      <c r="U675" s="14"/>
      <c r="V675" s="14"/>
      <c r="W675" s="18"/>
      <c r="X675" s="18"/>
      <c r="Y675" s="18"/>
      <c r="Z675" s="18"/>
      <c r="AA675" s="18"/>
      <c r="AB675" s="18"/>
      <c r="AC675" s="8" t="str">
        <f t="shared" si="43"/>
        <v/>
      </c>
      <c r="AD675" s="8"/>
      <c r="AE675" s="8"/>
      <c r="AF675" s="14"/>
      <c r="AG675" s="13"/>
      <c r="AH675" s="14"/>
      <c r="AI675" s="14"/>
      <c r="AJ675" s="8"/>
      <c r="AK675" s="8"/>
      <c r="AL675" s="8"/>
      <c r="AM675" s="8"/>
      <c r="AN675" s="631"/>
      <c r="AO675" s="18"/>
      <c r="AP675" s="18"/>
      <c r="AQ675" s="18"/>
      <c r="AR675" s="18"/>
      <c r="AS675" s="18"/>
      <c r="AU675" s="448"/>
      <c r="AV675" s="448"/>
      <c r="AW675" s="8" t="str">
        <f>IF(C675&gt;0,VLOOKUP(C675,Foundation_Calc!$A$2:$C$986,3,1),
IF(J675&gt;0,VLOOKUP(J675,Foundation_Calc!$A$2:$C$986,3,1),""))</f>
        <v/>
      </c>
      <c r="AX675" s="8" t="str">
        <f>IF(C675&gt;0,VLOOKUP(C675,Foundation_Calc!$E$2:$G$986,3,1),
IF(J675&gt;0,VLOOKUP(J675,Foundation_Calc!$E$2:$G$986,3,1),""))</f>
        <v/>
      </c>
      <c r="AY675" s="631" t="str">
        <f>IF(L675="","",
IF(AX675="PT",VLOOKUP(L675,Foundation_Calc!$K$4:$R$37,VLOOKUP(AW675,Foundation_Calc!$I$2:$J$8,2,FALSE),0),
IF(AX675="K",VLOOKUP(L675,Foundation_Calc!$K$41:$R$74,VLOOKUP(AW675,Foundation_Calc!$I$2:$J$8,2,FALSE),0),"")))</f>
        <v/>
      </c>
      <c r="AZ675" s="631" t="str">
        <f>IF(K675="","",
IF(AX675="PT",VLOOKUP(K675,Foundation_Calc!$K$4:$R$37,VLOOKUP(AW675,Foundation_Calc!$I$2:$J$8,2,FALSE),0),
IF(AX675="K",VLOOKUP(K675,Foundation_Calc!$K$41:$R$74,VLOOKUP(AW675,Foundation_Calc!$I$2:$J$8,2,FALSE),0),"")))</f>
        <v/>
      </c>
      <c r="BA675" s="632" t="str">
        <f t="shared" si="44"/>
        <v/>
      </c>
      <c r="BB675" s="632" t="str">
        <f t="shared" si="45"/>
        <v/>
      </c>
      <c r="BC675" s="632" t="str">
        <f t="shared" si="46"/>
        <v/>
      </c>
      <c r="BD675" s="633" t="str">
        <f>IF(AND(L675="",H675=""),"",
IF(H675="",Pole_Calc!A703,
IF(H675="MP",Pole_Calc!A704,
IF(H675="AnMP",Pole_Calc!A705,
IF(H675="A",Pole_Calc!A706,
IF(H675="S/A",Pole_Calc!A707,
IF(H675="A/S",Pole_Calc!A708,"Poner a mano")))))))</f>
        <v/>
      </c>
      <c r="BE675" s="448" t="s">
        <v>1726</v>
      </c>
      <c r="BF675" s="635"/>
      <c r="BG675" s="635"/>
      <c r="BH675" s="634"/>
      <c r="BI675" s="635"/>
    </row>
    <row r="676" spans="1:61" ht="16.2" customHeight="1">
      <c r="A676" s="12"/>
      <c r="B676" s="446"/>
      <c r="C676" s="89"/>
      <c r="D676" s="13"/>
      <c r="E676" s="14"/>
      <c r="F676" s="14"/>
      <c r="G676" s="15"/>
      <c r="H676" s="8"/>
      <c r="I676" s="8"/>
      <c r="J676" s="89"/>
      <c r="K676" s="8"/>
      <c r="L676" s="8"/>
      <c r="M676" s="8" t="str">
        <f>IF(L676="","",
IF(AX676="PT",VLOOKUP(L676,Foundation_Calc!$V$4:$X$37,VLOOKUP(AX676,Foundation_Calc!$I$10:$J$13,2,FALSE),0),
IF(AX676="K",VLOOKUP(L676,Foundation_Calc!$V$41:$X$74,VLOOKUP(AX676,Foundation_Calc!$I$10:$J$13,2,FALSE),0),"")))</f>
        <v/>
      </c>
      <c r="N676" s="8"/>
      <c r="O676" s="8"/>
      <c r="P676" s="8"/>
      <c r="Q676" s="14"/>
      <c r="R676" s="15"/>
      <c r="S676" s="15"/>
      <c r="T676" s="14"/>
      <c r="U676" s="14"/>
      <c r="V676" s="14"/>
      <c r="W676" s="18"/>
      <c r="X676" s="18"/>
      <c r="Y676" s="18"/>
      <c r="Z676" s="18"/>
      <c r="AA676" s="18"/>
      <c r="AB676" s="18"/>
      <c r="AC676" s="8" t="str">
        <f t="shared" si="43"/>
        <v/>
      </c>
      <c r="AD676" s="8"/>
      <c r="AE676" s="8"/>
      <c r="AF676" s="14"/>
      <c r="AG676" s="13"/>
      <c r="AH676" s="14"/>
      <c r="AI676" s="14"/>
      <c r="AJ676" s="8"/>
      <c r="AK676" s="8"/>
      <c r="AL676" s="8"/>
      <c r="AM676" s="8"/>
      <c r="AN676" s="631"/>
      <c r="AO676" s="18"/>
      <c r="AP676" s="18"/>
      <c r="AQ676" s="18"/>
      <c r="AR676" s="18"/>
      <c r="AS676" s="18"/>
      <c r="AU676" s="448"/>
      <c r="AV676" s="448"/>
      <c r="AW676" s="8" t="str">
        <f>IF(C676&gt;0,VLOOKUP(C676,Foundation_Calc!$A$2:$C$986,3,1),
IF(J676&gt;0,VLOOKUP(J676,Foundation_Calc!$A$2:$C$986,3,1),""))</f>
        <v/>
      </c>
      <c r="AX676" s="8" t="str">
        <f>IF(C676&gt;0,VLOOKUP(C676,Foundation_Calc!$E$2:$G$986,3,1),
IF(J676&gt;0,VLOOKUP(J676,Foundation_Calc!$E$2:$G$986,3,1),""))</f>
        <v/>
      </c>
      <c r="AY676" s="631" t="str">
        <f>IF(L676="","",
IF(AX676="PT",VLOOKUP(L676,Foundation_Calc!$K$4:$R$37,VLOOKUP(AW676,Foundation_Calc!$I$2:$J$8,2,FALSE),0),
IF(AX676="K",VLOOKUP(L676,Foundation_Calc!$K$41:$R$74,VLOOKUP(AW676,Foundation_Calc!$I$2:$J$8,2,FALSE),0),"")))</f>
        <v/>
      </c>
      <c r="AZ676" s="631" t="str">
        <f>IF(K676="","",
IF(AX676="PT",VLOOKUP(K676,Foundation_Calc!$K$4:$R$37,VLOOKUP(AW676,Foundation_Calc!$I$2:$J$8,2,FALSE),0),
IF(AX676="K",VLOOKUP(K676,Foundation_Calc!$K$41:$R$74,VLOOKUP(AW676,Foundation_Calc!$I$2:$J$8,2,FALSE),0),"")))</f>
        <v/>
      </c>
      <c r="BA676" s="632" t="str">
        <f t="shared" si="44"/>
        <v/>
      </c>
      <c r="BB676" s="632" t="str">
        <f t="shared" si="45"/>
        <v/>
      </c>
      <c r="BC676" s="632" t="str">
        <f t="shared" si="46"/>
        <v/>
      </c>
      <c r="BD676" s="633" t="str">
        <f>IF(AND(L676="",H676=""),"",
IF(H676="",Pole_Calc!A704,
IF(H676="MP",Pole_Calc!A705,
IF(H676="AnMP",Pole_Calc!A706,
IF(H676="A",Pole_Calc!A707,
IF(H676="S/A",Pole_Calc!A708,
IF(H676="A/S",Pole_Calc!A709,"Poner a mano")))))))</f>
        <v/>
      </c>
      <c r="BE676" s="448" t="s">
        <v>1726</v>
      </c>
      <c r="BF676" s="634"/>
      <c r="BG676" s="634"/>
      <c r="BH676" s="634"/>
      <c r="BI676" s="634"/>
    </row>
    <row r="677" spans="1:61" ht="16.2" customHeight="1">
      <c r="A677" s="12"/>
      <c r="B677" s="446"/>
      <c r="C677" s="89"/>
      <c r="D677" s="13"/>
      <c r="E677" s="14"/>
      <c r="F677" s="14"/>
      <c r="G677" s="15"/>
      <c r="H677" s="8"/>
      <c r="I677" s="8"/>
      <c r="J677" s="89"/>
      <c r="K677" s="8"/>
      <c r="L677" s="8"/>
      <c r="M677" s="8" t="str">
        <f>IF(L677="","",
IF(AX677="PT",VLOOKUP(L677,Foundation_Calc!$V$4:$X$37,VLOOKUP(AX677,Foundation_Calc!$I$10:$J$13,2,FALSE),0),
IF(AX677="K",VLOOKUP(L677,Foundation_Calc!$V$41:$X$74,VLOOKUP(AX677,Foundation_Calc!$I$10:$J$13,2,FALSE),0),"")))</f>
        <v/>
      </c>
      <c r="N677" s="8"/>
      <c r="O677" s="8"/>
      <c r="P677" s="8"/>
      <c r="Q677" s="14"/>
      <c r="R677" s="15"/>
      <c r="S677" s="15"/>
      <c r="T677" s="14"/>
      <c r="U677" s="14"/>
      <c r="V677" s="14"/>
      <c r="W677" s="18"/>
      <c r="X677" s="18"/>
      <c r="Y677" s="18"/>
      <c r="Z677" s="18"/>
      <c r="AA677" s="18"/>
      <c r="AB677" s="18"/>
      <c r="AC677" s="8" t="str">
        <f t="shared" si="43"/>
        <v/>
      </c>
      <c r="AD677" s="8"/>
      <c r="AE677" s="8"/>
      <c r="AF677" s="14"/>
      <c r="AG677" s="13"/>
      <c r="AH677" s="14"/>
      <c r="AI677" s="14"/>
      <c r="AJ677" s="8"/>
      <c r="AK677" s="8"/>
      <c r="AL677" s="8"/>
      <c r="AM677" s="8"/>
      <c r="AN677" s="631"/>
      <c r="AO677" s="18"/>
      <c r="AP677" s="18"/>
      <c r="AQ677" s="18"/>
      <c r="AR677" s="18"/>
      <c r="AS677" s="18"/>
      <c r="AU677" s="448"/>
      <c r="AV677" s="448"/>
      <c r="AW677" s="8" t="str">
        <f>IF(C677&gt;0,VLOOKUP(C677,Foundation_Calc!$A$2:$C$986,3,1),
IF(J677&gt;0,VLOOKUP(J677,Foundation_Calc!$A$2:$C$986,3,1),""))</f>
        <v/>
      </c>
      <c r="AX677" s="8" t="str">
        <f>IF(C677&gt;0,VLOOKUP(C677,Foundation_Calc!$E$2:$G$986,3,1),
IF(J677&gt;0,VLOOKUP(J677,Foundation_Calc!$E$2:$G$986,3,1),""))</f>
        <v/>
      </c>
      <c r="AY677" s="631" t="str">
        <f>IF(L677="","",
IF(AX677="PT",VLOOKUP(L677,Foundation_Calc!$K$4:$R$37,VLOOKUP(AW677,Foundation_Calc!$I$2:$J$8,2,FALSE),0),
IF(AX677="K",VLOOKUP(L677,Foundation_Calc!$K$41:$R$74,VLOOKUP(AW677,Foundation_Calc!$I$2:$J$8,2,FALSE),0),"")))</f>
        <v/>
      </c>
      <c r="AZ677" s="631" t="str">
        <f>IF(K677="","",
IF(AX677="PT",VLOOKUP(K677,Foundation_Calc!$K$4:$R$37,VLOOKUP(AW677,Foundation_Calc!$I$2:$J$8,2,FALSE),0),
IF(AX677="K",VLOOKUP(K677,Foundation_Calc!$K$41:$R$74,VLOOKUP(AW677,Foundation_Calc!$I$2:$J$8,2,FALSE),0),"")))</f>
        <v/>
      </c>
      <c r="BA677" s="632" t="str">
        <f t="shared" si="44"/>
        <v/>
      </c>
      <c r="BB677" s="632" t="str">
        <f t="shared" si="45"/>
        <v/>
      </c>
      <c r="BC677" s="632" t="str">
        <f t="shared" si="46"/>
        <v/>
      </c>
      <c r="BD677" s="633" t="str">
        <f>IF(AND(L677="",H677=""),"",
IF(H677="",Pole_Calc!A705,
IF(H677="MP",Pole_Calc!A706,
IF(H677="AnMP",Pole_Calc!A707,
IF(H677="A",Pole_Calc!A708,
IF(H677="S/A",Pole_Calc!A709,
IF(H677="A/S",Pole_Calc!A710,"Poner a mano")))))))</f>
        <v/>
      </c>
      <c r="BE677" s="448" t="s">
        <v>1726</v>
      </c>
      <c r="BF677" s="635"/>
      <c r="BG677" s="635"/>
      <c r="BH677" s="634"/>
      <c r="BI677" s="635"/>
    </row>
    <row r="678" spans="1:61" ht="16.2" customHeight="1">
      <c r="A678" s="12"/>
      <c r="B678" s="446"/>
      <c r="C678" s="89"/>
      <c r="D678" s="13"/>
      <c r="E678" s="14"/>
      <c r="F678" s="14"/>
      <c r="G678" s="15"/>
      <c r="H678" s="8"/>
      <c r="I678" s="8"/>
      <c r="J678" s="89"/>
      <c r="K678" s="8"/>
      <c r="L678" s="8"/>
      <c r="M678" s="8" t="str">
        <f>IF(L678="","",
IF(AX678="PT",VLOOKUP(L678,Foundation_Calc!$V$4:$X$37,VLOOKUP(AX678,Foundation_Calc!$I$10:$J$13,2,FALSE),0),
IF(AX678="K",VLOOKUP(L678,Foundation_Calc!$V$41:$X$74,VLOOKUP(AX678,Foundation_Calc!$I$10:$J$13,2,FALSE),0),"")))</f>
        <v/>
      </c>
      <c r="N678" s="8"/>
      <c r="O678" s="8"/>
      <c r="P678" s="8"/>
      <c r="Q678" s="14"/>
      <c r="R678" s="15"/>
      <c r="S678" s="15"/>
      <c r="T678" s="14"/>
      <c r="U678" s="14"/>
      <c r="V678" s="14"/>
      <c r="W678" s="18"/>
      <c r="X678" s="18"/>
      <c r="Y678" s="18"/>
      <c r="Z678" s="18"/>
      <c r="AA678" s="18"/>
      <c r="AB678" s="18"/>
      <c r="AC678" s="8" t="str">
        <f t="shared" si="43"/>
        <v/>
      </c>
      <c r="AD678" s="8"/>
      <c r="AE678" s="8"/>
      <c r="AF678" s="14"/>
      <c r="AG678" s="13"/>
      <c r="AH678" s="14"/>
      <c r="AI678" s="14"/>
      <c r="AJ678" s="8"/>
      <c r="AK678" s="8"/>
      <c r="AL678" s="8"/>
      <c r="AM678" s="8"/>
      <c r="AN678" s="631"/>
      <c r="AO678" s="18"/>
      <c r="AP678" s="18"/>
      <c r="AQ678" s="18"/>
      <c r="AR678" s="18"/>
      <c r="AS678" s="18"/>
      <c r="AU678" s="448"/>
      <c r="AV678" s="448"/>
      <c r="AW678" s="8" t="str">
        <f>IF(C678&gt;0,VLOOKUP(C678,Foundation_Calc!$A$2:$C$986,3,1),
IF(J678&gt;0,VLOOKUP(J678,Foundation_Calc!$A$2:$C$986,3,1),""))</f>
        <v/>
      </c>
      <c r="AX678" s="8" t="str">
        <f>IF(C678&gt;0,VLOOKUP(C678,Foundation_Calc!$E$2:$G$986,3,1),
IF(J678&gt;0,VLOOKUP(J678,Foundation_Calc!$E$2:$G$986,3,1),""))</f>
        <v/>
      </c>
      <c r="AY678" s="631" t="str">
        <f>IF(L678="","",
IF(AX678="PT",VLOOKUP(L678,Foundation_Calc!$K$4:$R$37,VLOOKUP(AW678,Foundation_Calc!$I$2:$J$8,2,FALSE),0),
IF(AX678="K",VLOOKUP(L678,Foundation_Calc!$K$41:$R$74,VLOOKUP(AW678,Foundation_Calc!$I$2:$J$8,2,FALSE),0),"")))</f>
        <v/>
      </c>
      <c r="AZ678" s="631" t="str">
        <f>IF(K678="","",
IF(AX678="PT",VLOOKUP(K678,Foundation_Calc!$K$4:$R$37,VLOOKUP(AW678,Foundation_Calc!$I$2:$J$8,2,FALSE),0),
IF(AX678="K",VLOOKUP(K678,Foundation_Calc!$K$41:$R$74,VLOOKUP(AW678,Foundation_Calc!$I$2:$J$8,2,FALSE),0),"")))</f>
        <v/>
      </c>
      <c r="BA678" s="632" t="str">
        <f t="shared" si="44"/>
        <v/>
      </c>
      <c r="BB678" s="632" t="str">
        <f t="shared" si="45"/>
        <v/>
      </c>
      <c r="BC678" s="632" t="str">
        <f t="shared" si="46"/>
        <v/>
      </c>
      <c r="BD678" s="633" t="str">
        <f>IF(AND(L678="",H678=""),"",
IF(H678="",Pole_Calc!A706,
IF(H678="MP",Pole_Calc!A707,
IF(H678="AnMP",Pole_Calc!A708,
IF(H678="A",Pole_Calc!A709,
IF(H678="S/A",Pole_Calc!A710,
IF(H678="A/S",Pole_Calc!A711,"Poner a mano")))))))</f>
        <v/>
      </c>
      <c r="BE678" s="448" t="s">
        <v>1726</v>
      </c>
      <c r="BF678" s="634"/>
      <c r="BG678" s="634"/>
      <c r="BH678" s="634"/>
      <c r="BI678" s="634"/>
    </row>
    <row r="679" spans="1:61" ht="16.2" customHeight="1">
      <c r="A679" s="12"/>
      <c r="B679" s="446"/>
      <c r="C679" s="89"/>
      <c r="D679" s="13"/>
      <c r="E679" s="14"/>
      <c r="F679" s="14"/>
      <c r="G679" s="15"/>
      <c r="H679" s="8"/>
      <c r="I679" s="8"/>
      <c r="J679" s="89"/>
      <c r="K679" s="8"/>
      <c r="L679" s="8"/>
      <c r="M679" s="8" t="str">
        <f>IF(L679="","",
IF(AX679="PT",VLOOKUP(L679,Foundation_Calc!$V$4:$X$37,VLOOKUP(AX679,Foundation_Calc!$I$10:$J$13,2,FALSE),0),
IF(AX679="K",VLOOKUP(L679,Foundation_Calc!$V$41:$X$74,VLOOKUP(AX679,Foundation_Calc!$I$10:$J$13,2,FALSE),0),"")))</f>
        <v/>
      </c>
      <c r="N679" s="8"/>
      <c r="O679" s="8"/>
      <c r="P679" s="8"/>
      <c r="Q679" s="14"/>
      <c r="R679" s="15"/>
      <c r="S679" s="15"/>
      <c r="T679" s="14"/>
      <c r="U679" s="14"/>
      <c r="V679" s="14"/>
      <c r="W679" s="18"/>
      <c r="X679" s="18"/>
      <c r="Y679" s="18"/>
      <c r="Z679" s="18"/>
      <c r="AA679" s="18"/>
      <c r="AB679" s="18"/>
      <c r="AC679" s="8" t="str">
        <f t="shared" si="43"/>
        <v/>
      </c>
      <c r="AD679" s="8"/>
      <c r="AE679" s="8"/>
      <c r="AF679" s="14"/>
      <c r="AG679" s="13"/>
      <c r="AH679" s="14"/>
      <c r="AI679" s="14"/>
      <c r="AJ679" s="8"/>
      <c r="AK679" s="8"/>
      <c r="AL679" s="8"/>
      <c r="AM679" s="8"/>
      <c r="AN679" s="631"/>
      <c r="AO679" s="18"/>
      <c r="AP679" s="18"/>
      <c r="AQ679" s="18"/>
      <c r="AR679" s="18"/>
      <c r="AS679" s="18"/>
      <c r="AU679" s="448"/>
      <c r="AV679" s="448"/>
      <c r="AW679" s="8" t="str">
        <f>IF(C679&gt;0,VLOOKUP(C679,Foundation_Calc!$A$2:$C$986,3,1),
IF(J679&gt;0,VLOOKUP(J679,Foundation_Calc!$A$2:$C$986,3,1),""))</f>
        <v/>
      </c>
      <c r="AX679" s="8" t="str">
        <f>IF(C679&gt;0,VLOOKUP(C679,Foundation_Calc!$E$2:$G$986,3,1),
IF(J679&gt;0,VLOOKUP(J679,Foundation_Calc!$E$2:$G$986,3,1),""))</f>
        <v/>
      </c>
      <c r="AY679" s="631" t="str">
        <f>IF(L679="","",
IF(AX679="PT",VLOOKUP(L679,Foundation_Calc!$K$4:$R$37,VLOOKUP(AW679,Foundation_Calc!$I$2:$J$8,2,FALSE),0),
IF(AX679="K",VLOOKUP(L679,Foundation_Calc!$K$41:$R$74,VLOOKUP(AW679,Foundation_Calc!$I$2:$J$8,2,FALSE),0),"")))</f>
        <v/>
      </c>
      <c r="AZ679" s="631" t="str">
        <f>IF(K679="","",
IF(AX679="PT",VLOOKUP(K679,Foundation_Calc!$K$4:$R$37,VLOOKUP(AW679,Foundation_Calc!$I$2:$J$8,2,FALSE),0),
IF(AX679="K",VLOOKUP(K679,Foundation_Calc!$K$41:$R$74,VLOOKUP(AW679,Foundation_Calc!$I$2:$J$8,2,FALSE),0),"")))</f>
        <v/>
      </c>
      <c r="BA679" s="632" t="str">
        <f t="shared" si="44"/>
        <v/>
      </c>
      <c r="BB679" s="632" t="str">
        <f t="shared" si="45"/>
        <v/>
      </c>
      <c r="BC679" s="632" t="str">
        <f t="shared" si="46"/>
        <v/>
      </c>
      <c r="BD679" s="633" t="str">
        <f>IF(AND(L679="",H679=""),"",
IF(H679="",Pole_Calc!A707,
IF(H679="MP",Pole_Calc!A708,
IF(H679="AnMP",Pole_Calc!A709,
IF(H679="A",Pole_Calc!A710,
IF(H679="S/A",Pole_Calc!A711,
IF(H679="A/S",Pole_Calc!A712,"Poner a mano")))))))</f>
        <v/>
      </c>
      <c r="BE679" s="448" t="s">
        <v>1726</v>
      </c>
      <c r="BF679" s="635"/>
      <c r="BG679" s="635"/>
      <c r="BH679" s="634"/>
      <c r="BI679" s="635"/>
    </row>
    <row r="680" spans="1:61" ht="16.2" customHeight="1">
      <c r="A680" s="12"/>
      <c r="B680" s="446"/>
      <c r="C680" s="89"/>
      <c r="D680" s="13"/>
      <c r="E680" s="14"/>
      <c r="F680" s="14"/>
      <c r="G680" s="15"/>
      <c r="H680" s="8"/>
      <c r="I680" s="8"/>
      <c r="J680" s="89"/>
      <c r="K680" s="8"/>
      <c r="L680" s="8"/>
      <c r="M680" s="8" t="str">
        <f>IF(L680="","",
IF(AX680="PT",VLOOKUP(L680,Foundation_Calc!$V$4:$X$37,VLOOKUP(AX680,Foundation_Calc!$I$10:$J$13,2,FALSE),0),
IF(AX680="K",VLOOKUP(L680,Foundation_Calc!$V$41:$X$74,VLOOKUP(AX680,Foundation_Calc!$I$10:$J$13,2,FALSE),0),"")))</f>
        <v/>
      </c>
      <c r="N680" s="8"/>
      <c r="O680" s="8"/>
      <c r="P680" s="8"/>
      <c r="Q680" s="14"/>
      <c r="R680" s="15"/>
      <c r="S680" s="15"/>
      <c r="T680" s="14"/>
      <c r="U680" s="14"/>
      <c r="V680" s="14"/>
      <c r="W680" s="18"/>
      <c r="X680" s="18"/>
      <c r="Y680" s="18"/>
      <c r="Z680" s="18"/>
      <c r="AA680" s="18"/>
      <c r="AB680" s="18"/>
      <c r="AC680" s="8" t="str">
        <f t="shared" si="43"/>
        <v/>
      </c>
      <c r="AD680" s="8"/>
      <c r="AE680" s="8"/>
      <c r="AF680" s="14"/>
      <c r="AG680" s="13"/>
      <c r="AH680" s="14"/>
      <c r="AI680" s="14"/>
      <c r="AJ680" s="8"/>
      <c r="AK680" s="8"/>
      <c r="AL680" s="8"/>
      <c r="AM680" s="8"/>
      <c r="AN680" s="631"/>
      <c r="AO680" s="18"/>
      <c r="AP680" s="18"/>
      <c r="AQ680" s="18"/>
      <c r="AR680" s="18"/>
      <c r="AS680" s="18"/>
      <c r="AU680" s="448"/>
      <c r="AV680" s="448"/>
      <c r="AW680" s="8" t="str">
        <f>IF(C680&gt;0,VLOOKUP(C680,Foundation_Calc!$A$2:$C$986,3,1),
IF(J680&gt;0,VLOOKUP(J680,Foundation_Calc!$A$2:$C$986,3,1),""))</f>
        <v/>
      </c>
      <c r="AX680" s="8" t="str">
        <f>IF(C680&gt;0,VLOOKUP(C680,Foundation_Calc!$E$2:$G$986,3,1),
IF(J680&gt;0,VLOOKUP(J680,Foundation_Calc!$E$2:$G$986,3,1),""))</f>
        <v/>
      </c>
      <c r="AY680" s="631" t="str">
        <f>IF(L680="","",
IF(AX680="PT",VLOOKUP(L680,Foundation_Calc!$K$4:$R$37,VLOOKUP(AW680,Foundation_Calc!$I$2:$J$8,2,FALSE),0),
IF(AX680="K",VLOOKUP(L680,Foundation_Calc!$K$41:$R$74,VLOOKUP(AW680,Foundation_Calc!$I$2:$J$8,2,FALSE),0),"")))</f>
        <v/>
      </c>
      <c r="AZ680" s="631" t="str">
        <f>IF(K680="","",
IF(AX680="PT",VLOOKUP(K680,Foundation_Calc!$K$4:$R$37,VLOOKUP(AW680,Foundation_Calc!$I$2:$J$8,2,FALSE),0),
IF(AX680="K",VLOOKUP(K680,Foundation_Calc!$K$41:$R$74,VLOOKUP(AW680,Foundation_Calc!$I$2:$J$8,2,FALSE),0),"")))</f>
        <v/>
      </c>
      <c r="BA680" s="632" t="str">
        <f t="shared" si="44"/>
        <v/>
      </c>
      <c r="BB680" s="632" t="str">
        <f t="shared" si="45"/>
        <v/>
      </c>
      <c r="BC680" s="632" t="str">
        <f t="shared" si="46"/>
        <v/>
      </c>
      <c r="BD680" s="633" t="str">
        <f>IF(AND(L680="",H680=""),"",
IF(H680="",Pole_Calc!A708,
IF(H680="MP",Pole_Calc!A709,
IF(H680="AnMP",Pole_Calc!A710,
IF(H680="A",Pole_Calc!A711,
IF(H680="S/A",Pole_Calc!A712,
IF(H680="A/S",Pole_Calc!A713,"Poner a mano")))))))</f>
        <v/>
      </c>
      <c r="BE680" s="448" t="s">
        <v>1726</v>
      </c>
      <c r="BF680" s="634"/>
      <c r="BG680" s="634"/>
      <c r="BH680" s="634"/>
      <c r="BI680" s="634"/>
    </row>
    <row r="681" spans="1:61" ht="16.2" customHeight="1">
      <c r="A681" s="12"/>
      <c r="B681" s="446"/>
      <c r="C681" s="89"/>
      <c r="D681" s="13"/>
      <c r="E681" s="14"/>
      <c r="F681" s="14"/>
      <c r="G681" s="15"/>
      <c r="H681" s="8"/>
      <c r="I681" s="8"/>
      <c r="J681" s="89"/>
      <c r="K681" s="8"/>
      <c r="L681" s="8"/>
      <c r="M681" s="8" t="str">
        <f>IF(L681="","",
IF(AX681="PT",VLOOKUP(L681,Foundation_Calc!$V$4:$X$37,VLOOKUP(AX681,Foundation_Calc!$I$10:$J$13,2,FALSE),0),
IF(AX681="K",VLOOKUP(L681,Foundation_Calc!$V$41:$X$74,VLOOKUP(AX681,Foundation_Calc!$I$10:$J$13,2,FALSE),0),"")))</f>
        <v/>
      </c>
      <c r="N681" s="8"/>
      <c r="O681" s="8"/>
      <c r="P681" s="8"/>
      <c r="Q681" s="14"/>
      <c r="R681" s="15"/>
      <c r="S681" s="15"/>
      <c r="T681" s="14"/>
      <c r="U681" s="14"/>
      <c r="V681" s="14"/>
      <c r="W681" s="18"/>
      <c r="X681" s="18"/>
      <c r="Y681" s="18"/>
      <c r="Z681" s="18"/>
      <c r="AA681" s="18"/>
      <c r="AB681" s="18"/>
      <c r="AC681" s="8" t="str">
        <f t="shared" si="43"/>
        <v/>
      </c>
      <c r="AD681" s="8"/>
      <c r="AE681" s="8"/>
      <c r="AF681" s="14"/>
      <c r="AG681" s="13"/>
      <c r="AH681" s="14"/>
      <c r="AI681" s="14"/>
      <c r="AJ681" s="8"/>
      <c r="AK681" s="8"/>
      <c r="AL681" s="8"/>
      <c r="AM681" s="8"/>
      <c r="AN681" s="631"/>
      <c r="AO681" s="18"/>
      <c r="AP681" s="18"/>
      <c r="AQ681" s="18"/>
      <c r="AR681" s="18"/>
      <c r="AS681" s="18"/>
      <c r="AU681" s="448"/>
      <c r="AV681" s="448"/>
      <c r="AW681" s="8" t="str">
        <f>IF(C681&gt;0,VLOOKUP(C681,Foundation_Calc!$A$2:$C$986,3,1),
IF(J681&gt;0,VLOOKUP(J681,Foundation_Calc!$A$2:$C$986,3,1),""))</f>
        <v/>
      </c>
      <c r="AX681" s="8" t="str">
        <f>IF(C681&gt;0,VLOOKUP(C681,Foundation_Calc!$E$2:$G$986,3,1),
IF(J681&gt;0,VLOOKUP(J681,Foundation_Calc!$E$2:$G$986,3,1),""))</f>
        <v/>
      </c>
      <c r="AY681" s="631" t="str">
        <f>IF(L681="","",
IF(AX681="PT",VLOOKUP(L681,Foundation_Calc!$K$4:$R$37,VLOOKUP(AW681,Foundation_Calc!$I$2:$J$8,2,FALSE),0),
IF(AX681="K",VLOOKUP(L681,Foundation_Calc!$K$41:$R$74,VLOOKUP(AW681,Foundation_Calc!$I$2:$J$8,2,FALSE),0),"")))</f>
        <v/>
      </c>
      <c r="AZ681" s="631" t="str">
        <f>IF(K681="","",
IF(AX681="PT",VLOOKUP(K681,Foundation_Calc!$K$4:$R$37,VLOOKUP(AW681,Foundation_Calc!$I$2:$J$8,2,FALSE),0),
IF(AX681="K",VLOOKUP(K681,Foundation_Calc!$K$41:$R$74,VLOOKUP(AW681,Foundation_Calc!$I$2:$J$8,2,FALSE),0),"")))</f>
        <v/>
      </c>
      <c r="BA681" s="632" t="str">
        <f t="shared" si="44"/>
        <v/>
      </c>
      <c r="BB681" s="632" t="str">
        <f t="shared" si="45"/>
        <v/>
      </c>
      <c r="BC681" s="632" t="str">
        <f t="shared" si="46"/>
        <v/>
      </c>
      <c r="BD681" s="633" t="str">
        <f>IF(AND(L681="",H681=""),"",
IF(H681="",Pole_Calc!A709,
IF(H681="MP",Pole_Calc!A710,
IF(H681="AnMP",Pole_Calc!A711,
IF(H681="A",Pole_Calc!A712,
IF(H681="S/A",Pole_Calc!A713,
IF(H681="A/S",Pole_Calc!A714,"Poner a mano")))))))</f>
        <v/>
      </c>
      <c r="BE681" s="448" t="s">
        <v>1726</v>
      </c>
      <c r="BF681" s="635"/>
      <c r="BG681" s="635"/>
      <c r="BH681" s="634"/>
      <c r="BI681" s="635"/>
    </row>
    <row r="682" spans="1:61" ht="16.2" customHeight="1">
      <c r="A682" s="12"/>
      <c r="B682" s="446"/>
      <c r="C682" s="89"/>
      <c r="D682" s="13"/>
      <c r="E682" s="14"/>
      <c r="F682" s="14"/>
      <c r="G682" s="15"/>
      <c r="H682" s="8"/>
      <c r="I682" s="8"/>
      <c r="J682" s="89"/>
      <c r="K682" s="8"/>
      <c r="L682" s="8"/>
      <c r="M682" s="8" t="str">
        <f>IF(L682="","",
IF(AX682="PT",VLOOKUP(L682,Foundation_Calc!$V$4:$X$37,VLOOKUP(AX682,Foundation_Calc!$I$10:$J$13,2,FALSE),0),
IF(AX682="K",VLOOKUP(L682,Foundation_Calc!$V$41:$X$74,VLOOKUP(AX682,Foundation_Calc!$I$10:$J$13,2,FALSE),0),"")))</f>
        <v/>
      </c>
      <c r="N682" s="8"/>
      <c r="O682" s="8"/>
      <c r="P682" s="8"/>
      <c r="Q682" s="14"/>
      <c r="R682" s="15"/>
      <c r="S682" s="15"/>
      <c r="T682" s="14"/>
      <c r="U682" s="14"/>
      <c r="V682" s="14"/>
      <c r="W682" s="18"/>
      <c r="X682" s="18"/>
      <c r="Y682" s="18"/>
      <c r="Z682" s="18"/>
      <c r="AA682" s="18"/>
      <c r="AB682" s="18"/>
      <c r="AC682" s="8" t="str">
        <f t="shared" si="43"/>
        <v/>
      </c>
      <c r="AD682" s="8"/>
      <c r="AE682" s="8"/>
      <c r="AF682" s="14"/>
      <c r="AG682" s="13"/>
      <c r="AH682" s="14"/>
      <c r="AI682" s="14"/>
      <c r="AJ682" s="8"/>
      <c r="AK682" s="8"/>
      <c r="AL682" s="8"/>
      <c r="AM682" s="8"/>
      <c r="AN682" s="631"/>
      <c r="AO682" s="18"/>
      <c r="AP682" s="18"/>
      <c r="AQ682" s="18"/>
      <c r="AR682" s="18"/>
      <c r="AS682" s="18"/>
      <c r="AU682" s="448"/>
      <c r="AV682" s="448"/>
      <c r="AW682" s="8" t="str">
        <f>IF(C682&gt;0,VLOOKUP(C682,Foundation_Calc!$A$2:$C$986,3,1),
IF(J682&gt;0,VLOOKUP(J682,Foundation_Calc!$A$2:$C$986,3,1),""))</f>
        <v/>
      </c>
      <c r="AX682" s="8" t="str">
        <f>IF(C682&gt;0,VLOOKUP(C682,Foundation_Calc!$E$2:$G$986,3,1),
IF(J682&gt;0,VLOOKUP(J682,Foundation_Calc!$E$2:$G$986,3,1),""))</f>
        <v/>
      </c>
      <c r="AY682" s="631" t="str">
        <f>IF(L682="","",
IF(AX682="PT",VLOOKUP(L682,Foundation_Calc!$K$4:$R$37,VLOOKUP(AW682,Foundation_Calc!$I$2:$J$8,2,FALSE),0),
IF(AX682="K",VLOOKUP(L682,Foundation_Calc!$K$41:$R$74,VLOOKUP(AW682,Foundation_Calc!$I$2:$J$8,2,FALSE),0),"")))</f>
        <v/>
      </c>
      <c r="AZ682" s="631" t="str">
        <f>IF(K682="","",
IF(AX682="PT",VLOOKUP(K682,Foundation_Calc!$K$4:$R$37,VLOOKUP(AW682,Foundation_Calc!$I$2:$J$8,2,FALSE),0),
IF(AX682="K",VLOOKUP(K682,Foundation_Calc!$K$41:$R$74,VLOOKUP(AW682,Foundation_Calc!$I$2:$J$8,2,FALSE),0),"")))</f>
        <v/>
      </c>
      <c r="BA682" s="632" t="str">
        <f t="shared" si="44"/>
        <v/>
      </c>
      <c r="BB682" s="632" t="str">
        <f t="shared" si="45"/>
        <v/>
      </c>
      <c r="BC682" s="632" t="str">
        <f t="shared" si="46"/>
        <v/>
      </c>
      <c r="BD682" s="633" t="str">
        <f>IF(AND(L682="",H682=""),"",
IF(H682="",Pole_Calc!A710,
IF(H682="MP",Pole_Calc!A711,
IF(H682="AnMP",Pole_Calc!A712,
IF(H682="A",Pole_Calc!A713,
IF(H682="S/A",Pole_Calc!A714,
IF(H682="A/S",Pole_Calc!A715,"Poner a mano")))))))</f>
        <v/>
      </c>
      <c r="BE682" s="448" t="s">
        <v>1726</v>
      </c>
      <c r="BF682" s="634"/>
      <c r="BG682" s="634"/>
      <c r="BH682" s="634"/>
      <c r="BI682" s="634"/>
    </row>
    <row r="683" spans="1:61" ht="16.2" customHeight="1">
      <c r="A683" s="12"/>
      <c r="B683" s="446"/>
      <c r="C683" s="89"/>
      <c r="D683" s="13"/>
      <c r="E683" s="14"/>
      <c r="F683" s="14"/>
      <c r="G683" s="15"/>
      <c r="H683" s="8"/>
      <c r="I683" s="8"/>
      <c r="J683" s="89"/>
      <c r="K683" s="8"/>
      <c r="L683" s="8"/>
      <c r="M683" s="8" t="str">
        <f>IF(L683="","",
IF(AX683="PT",VLOOKUP(L683,Foundation_Calc!$V$4:$X$37,VLOOKUP(AX683,Foundation_Calc!$I$10:$J$13,2,FALSE),0),
IF(AX683="K",VLOOKUP(L683,Foundation_Calc!$V$41:$X$74,VLOOKUP(AX683,Foundation_Calc!$I$10:$J$13,2,FALSE),0),"")))</f>
        <v/>
      </c>
      <c r="N683" s="8"/>
      <c r="O683" s="8"/>
      <c r="P683" s="8"/>
      <c r="Q683" s="14"/>
      <c r="R683" s="15"/>
      <c r="S683" s="15"/>
      <c r="T683" s="14"/>
      <c r="U683" s="14"/>
      <c r="V683" s="14"/>
      <c r="W683" s="18"/>
      <c r="X683" s="18"/>
      <c r="Y683" s="18"/>
      <c r="Z683" s="18"/>
      <c r="AA683" s="18"/>
      <c r="AB683" s="18"/>
      <c r="AC683" s="8" t="str">
        <f t="shared" si="43"/>
        <v/>
      </c>
      <c r="AD683" s="8"/>
      <c r="AE683" s="8"/>
      <c r="AF683" s="14"/>
      <c r="AG683" s="13"/>
      <c r="AH683" s="14"/>
      <c r="AI683" s="14"/>
      <c r="AJ683" s="8"/>
      <c r="AK683" s="8"/>
      <c r="AL683" s="8"/>
      <c r="AM683" s="8"/>
      <c r="AN683" s="631"/>
      <c r="AO683" s="18"/>
      <c r="AP683" s="18"/>
      <c r="AQ683" s="18"/>
      <c r="AR683" s="18"/>
      <c r="AS683" s="18"/>
      <c r="AU683" s="448"/>
      <c r="AV683" s="448"/>
      <c r="AW683" s="8" t="str">
        <f>IF(C683&gt;0,VLOOKUP(C683,Foundation_Calc!$A$2:$C$986,3,1),
IF(J683&gt;0,VLOOKUP(J683,Foundation_Calc!$A$2:$C$986,3,1),""))</f>
        <v/>
      </c>
      <c r="AX683" s="8" t="str">
        <f>IF(C683&gt;0,VLOOKUP(C683,Foundation_Calc!$E$2:$G$986,3,1),
IF(J683&gt;0,VLOOKUP(J683,Foundation_Calc!$E$2:$G$986,3,1),""))</f>
        <v/>
      </c>
      <c r="AY683" s="631" t="str">
        <f>IF(L683="","",
IF(AX683="PT",VLOOKUP(L683,Foundation_Calc!$K$4:$R$37,VLOOKUP(AW683,Foundation_Calc!$I$2:$J$8,2,FALSE),0),
IF(AX683="K",VLOOKUP(L683,Foundation_Calc!$K$41:$R$74,VLOOKUP(AW683,Foundation_Calc!$I$2:$J$8,2,FALSE),0),"")))</f>
        <v/>
      </c>
      <c r="AZ683" s="631" t="str">
        <f>IF(K683="","",
IF(AX683="PT",VLOOKUP(K683,Foundation_Calc!$K$4:$R$37,VLOOKUP(AW683,Foundation_Calc!$I$2:$J$8,2,FALSE),0),
IF(AX683="K",VLOOKUP(K683,Foundation_Calc!$K$41:$R$74,VLOOKUP(AW683,Foundation_Calc!$I$2:$J$8,2,FALSE),0),"")))</f>
        <v/>
      </c>
      <c r="BA683" s="632" t="str">
        <f t="shared" si="44"/>
        <v/>
      </c>
      <c r="BB683" s="632" t="str">
        <f t="shared" si="45"/>
        <v/>
      </c>
      <c r="BC683" s="632" t="str">
        <f t="shared" si="46"/>
        <v/>
      </c>
      <c r="BD683" s="633" t="str">
        <f>IF(AND(L683="",H683=""),"",
IF(H683="",Pole_Calc!A711,
IF(H683="MP",Pole_Calc!A712,
IF(H683="AnMP",Pole_Calc!A713,
IF(H683="A",Pole_Calc!A714,
IF(H683="S/A",Pole_Calc!A715,
IF(H683="A/S",Pole_Calc!A716,"Poner a mano")))))))</f>
        <v/>
      </c>
      <c r="BE683" s="448" t="s">
        <v>1726</v>
      </c>
      <c r="BF683" s="635"/>
      <c r="BG683" s="635"/>
      <c r="BH683" s="634"/>
      <c r="BI683" s="635"/>
    </row>
    <row r="684" spans="1:61" ht="16.2" customHeight="1">
      <c r="A684" s="12"/>
      <c r="B684" s="446"/>
      <c r="C684" s="89"/>
      <c r="D684" s="13"/>
      <c r="E684" s="14"/>
      <c r="F684" s="14"/>
      <c r="G684" s="15"/>
      <c r="H684" s="8"/>
      <c r="I684" s="8"/>
      <c r="J684" s="89"/>
      <c r="K684" s="8"/>
      <c r="L684" s="8"/>
      <c r="M684" s="8" t="str">
        <f>IF(L684="","",
IF(AX684="PT",VLOOKUP(L684,Foundation_Calc!$V$4:$X$37,VLOOKUP(AX684,Foundation_Calc!$I$10:$J$13,2,FALSE),0),
IF(AX684="K",VLOOKUP(L684,Foundation_Calc!$V$41:$X$74,VLOOKUP(AX684,Foundation_Calc!$I$10:$J$13,2,FALSE),0),"")))</f>
        <v/>
      </c>
      <c r="N684" s="8"/>
      <c r="O684" s="8"/>
      <c r="P684" s="8"/>
      <c r="Q684" s="14"/>
      <c r="R684" s="15"/>
      <c r="S684" s="15"/>
      <c r="T684" s="14"/>
      <c r="U684" s="14"/>
      <c r="V684" s="14"/>
      <c r="W684" s="18"/>
      <c r="X684" s="18"/>
      <c r="Y684" s="18"/>
      <c r="Z684" s="18"/>
      <c r="AA684" s="18"/>
      <c r="AB684" s="18"/>
      <c r="AC684" s="8" t="str">
        <f t="shared" si="43"/>
        <v/>
      </c>
      <c r="AD684" s="8"/>
      <c r="AE684" s="8"/>
      <c r="AF684" s="14"/>
      <c r="AG684" s="13"/>
      <c r="AH684" s="14"/>
      <c r="AI684" s="14"/>
      <c r="AJ684" s="8"/>
      <c r="AK684" s="8"/>
      <c r="AL684" s="8"/>
      <c r="AM684" s="8"/>
      <c r="AN684" s="631"/>
      <c r="AO684" s="18"/>
      <c r="AP684" s="18"/>
      <c r="AQ684" s="18"/>
      <c r="AR684" s="18"/>
      <c r="AS684" s="18"/>
      <c r="AU684" s="448"/>
      <c r="AV684" s="448"/>
      <c r="AW684" s="8" t="str">
        <f>IF(C684&gt;0,VLOOKUP(C684,Foundation_Calc!$A$2:$C$986,3,1),
IF(J684&gt;0,VLOOKUP(J684,Foundation_Calc!$A$2:$C$986,3,1),""))</f>
        <v/>
      </c>
      <c r="AX684" s="8" t="str">
        <f>IF(C684&gt;0,VLOOKUP(C684,Foundation_Calc!$E$2:$G$986,3,1),
IF(J684&gt;0,VLOOKUP(J684,Foundation_Calc!$E$2:$G$986,3,1),""))</f>
        <v/>
      </c>
      <c r="AY684" s="631" t="str">
        <f>IF(L684="","",
IF(AX684="PT",VLOOKUP(L684,Foundation_Calc!$K$4:$R$37,VLOOKUP(AW684,Foundation_Calc!$I$2:$J$8,2,FALSE),0),
IF(AX684="K",VLOOKUP(L684,Foundation_Calc!$K$41:$R$74,VLOOKUP(AW684,Foundation_Calc!$I$2:$J$8,2,FALSE),0),"")))</f>
        <v/>
      </c>
      <c r="AZ684" s="631" t="str">
        <f>IF(K684="","",
IF(AX684="PT",VLOOKUP(K684,Foundation_Calc!$K$4:$R$37,VLOOKUP(AW684,Foundation_Calc!$I$2:$J$8,2,FALSE),0),
IF(AX684="K",VLOOKUP(K684,Foundation_Calc!$K$41:$R$74,VLOOKUP(AW684,Foundation_Calc!$I$2:$J$8,2,FALSE),0),"")))</f>
        <v/>
      </c>
      <c r="BA684" s="632" t="str">
        <f t="shared" si="44"/>
        <v/>
      </c>
      <c r="BB684" s="632" t="str">
        <f t="shared" si="45"/>
        <v/>
      </c>
      <c r="BC684" s="632" t="str">
        <f t="shared" si="46"/>
        <v/>
      </c>
      <c r="BD684" s="633" t="str">
        <f>IF(AND(L684="",H684=""),"",
IF(H684="",Pole_Calc!A712,
IF(H684="MP",Pole_Calc!A713,
IF(H684="AnMP",Pole_Calc!A714,
IF(H684="A",Pole_Calc!A715,
IF(H684="S/A",Pole_Calc!A716,
IF(H684="A/S",Pole_Calc!A717,"Poner a mano")))))))</f>
        <v/>
      </c>
      <c r="BE684" s="448" t="s">
        <v>1726</v>
      </c>
      <c r="BF684" s="634"/>
      <c r="BG684" s="634"/>
      <c r="BH684" s="634"/>
      <c r="BI684" s="634"/>
    </row>
    <row r="685" spans="1:61" ht="16.2" customHeight="1">
      <c r="A685" s="12"/>
      <c r="B685" s="446"/>
      <c r="C685" s="89"/>
      <c r="D685" s="13"/>
      <c r="E685" s="14"/>
      <c r="F685" s="14"/>
      <c r="G685" s="15"/>
      <c r="H685" s="8"/>
      <c r="I685" s="8"/>
      <c r="J685" s="89"/>
      <c r="K685" s="8"/>
      <c r="L685" s="8"/>
      <c r="M685" s="8" t="str">
        <f>IF(L685="","",
IF(AX685="PT",VLOOKUP(L685,Foundation_Calc!$V$4:$X$37,VLOOKUP(AX685,Foundation_Calc!$I$10:$J$13,2,FALSE),0),
IF(AX685="K",VLOOKUP(L685,Foundation_Calc!$V$41:$X$74,VLOOKUP(AX685,Foundation_Calc!$I$10:$J$13,2,FALSE),0),"")))</f>
        <v/>
      </c>
      <c r="N685" s="8"/>
      <c r="O685" s="8"/>
      <c r="P685" s="8"/>
      <c r="Q685" s="14"/>
      <c r="R685" s="15"/>
      <c r="S685" s="15"/>
      <c r="T685" s="14"/>
      <c r="U685" s="14"/>
      <c r="V685" s="14"/>
      <c r="W685" s="18"/>
      <c r="X685" s="18"/>
      <c r="Y685" s="18"/>
      <c r="Z685" s="18"/>
      <c r="AA685" s="18"/>
      <c r="AB685" s="18"/>
      <c r="AC685" s="8" t="str">
        <f t="shared" si="43"/>
        <v/>
      </c>
      <c r="AD685" s="8"/>
      <c r="AE685" s="8"/>
      <c r="AF685" s="14"/>
      <c r="AG685" s="13"/>
      <c r="AH685" s="14"/>
      <c r="AI685" s="14"/>
      <c r="AJ685" s="8"/>
      <c r="AK685" s="8"/>
      <c r="AL685" s="8"/>
      <c r="AM685" s="8"/>
      <c r="AN685" s="631"/>
      <c r="AO685" s="18"/>
      <c r="AP685" s="18"/>
      <c r="AQ685" s="18"/>
      <c r="AR685" s="18"/>
      <c r="AS685" s="18"/>
      <c r="AU685" s="448"/>
      <c r="AV685" s="448"/>
      <c r="AW685" s="8" t="str">
        <f>IF(C685&gt;0,VLOOKUP(C685,Foundation_Calc!$A$2:$C$986,3,1),
IF(J685&gt;0,VLOOKUP(J685,Foundation_Calc!$A$2:$C$986,3,1),""))</f>
        <v/>
      </c>
      <c r="AX685" s="8" t="str">
        <f>IF(C685&gt;0,VLOOKUP(C685,Foundation_Calc!$E$2:$G$986,3,1),
IF(J685&gt;0,VLOOKUP(J685,Foundation_Calc!$E$2:$G$986,3,1),""))</f>
        <v/>
      </c>
      <c r="AY685" s="631" t="str">
        <f>IF(L685="","",
IF(AX685="PT",VLOOKUP(L685,Foundation_Calc!$K$4:$R$37,VLOOKUP(AW685,Foundation_Calc!$I$2:$J$8,2,FALSE),0),
IF(AX685="K",VLOOKUP(L685,Foundation_Calc!$K$41:$R$74,VLOOKUP(AW685,Foundation_Calc!$I$2:$J$8,2,FALSE),0),"")))</f>
        <v/>
      </c>
      <c r="AZ685" s="631" t="str">
        <f>IF(K685="","",
IF(AX685="PT",VLOOKUP(K685,Foundation_Calc!$K$4:$R$37,VLOOKUP(AW685,Foundation_Calc!$I$2:$J$8,2,FALSE),0),
IF(AX685="K",VLOOKUP(K685,Foundation_Calc!$K$41:$R$74,VLOOKUP(AW685,Foundation_Calc!$I$2:$J$8,2,FALSE),0),"")))</f>
        <v/>
      </c>
      <c r="BA685" s="632" t="str">
        <f t="shared" si="44"/>
        <v/>
      </c>
      <c r="BB685" s="632" t="str">
        <f t="shared" si="45"/>
        <v/>
      </c>
      <c r="BC685" s="632" t="str">
        <f t="shared" si="46"/>
        <v/>
      </c>
      <c r="BD685" s="633" t="str">
        <f>IF(AND(L685="",H685=""),"",
IF(H685="",Pole_Calc!A713,
IF(H685="MP",Pole_Calc!A714,
IF(H685="AnMP",Pole_Calc!A715,
IF(H685="A",Pole_Calc!A716,
IF(H685="S/A",Pole_Calc!A717,
IF(H685="A/S",Pole_Calc!A718,"Poner a mano")))))))</f>
        <v/>
      </c>
      <c r="BE685" s="448" t="s">
        <v>1726</v>
      </c>
      <c r="BF685" s="635"/>
      <c r="BG685" s="635"/>
      <c r="BH685" s="634"/>
      <c r="BI685" s="635"/>
    </row>
    <row r="686" spans="1:61" ht="16.2" customHeight="1">
      <c r="A686" s="12"/>
      <c r="B686" s="446"/>
      <c r="C686" s="89"/>
      <c r="D686" s="13"/>
      <c r="E686" s="14"/>
      <c r="F686" s="14"/>
      <c r="G686" s="15"/>
      <c r="H686" s="8"/>
      <c r="I686" s="8"/>
      <c r="J686" s="89"/>
      <c r="K686" s="8"/>
      <c r="L686" s="8"/>
      <c r="M686" s="8" t="str">
        <f>IF(L686="","",
IF(AX686="PT",VLOOKUP(L686,Foundation_Calc!$V$4:$X$37,VLOOKUP(AX686,Foundation_Calc!$I$10:$J$13,2,FALSE),0),
IF(AX686="K",VLOOKUP(L686,Foundation_Calc!$V$41:$X$74,VLOOKUP(AX686,Foundation_Calc!$I$10:$J$13,2,FALSE),0),"")))</f>
        <v/>
      </c>
      <c r="N686" s="8"/>
      <c r="O686" s="8"/>
      <c r="P686" s="8"/>
      <c r="Q686" s="14"/>
      <c r="R686" s="15"/>
      <c r="S686" s="15"/>
      <c r="T686" s="14"/>
      <c r="U686" s="14"/>
      <c r="V686" s="14"/>
      <c r="W686" s="18"/>
      <c r="X686" s="18"/>
      <c r="Y686" s="18"/>
      <c r="Z686" s="18"/>
      <c r="AA686" s="18"/>
      <c r="AB686" s="18"/>
      <c r="AC686" s="8" t="str">
        <f t="shared" si="43"/>
        <v/>
      </c>
      <c r="AD686" s="8"/>
      <c r="AE686" s="8"/>
      <c r="AF686" s="14"/>
      <c r="AG686" s="13"/>
      <c r="AH686" s="14"/>
      <c r="AI686" s="14"/>
      <c r="AJ686" s="8"/>
      <c r="AK686" s="8"/>
      <c r="AL686" s="8"/>
      <c r="AM686" s="8"/>
      <c r="AN686" s="631"/>
      <c r="AO686" s="18"/>
      <c r="AP686" s="18"/>
      <c r="AQ686" s="18"/>
      <c r="AR686" s="18"/>
      <c r="AS686" s="18"/>
      <c r="AU686" s="448"/>
      <c r="AV686" s="448"/>
      <c r="AW686" s="8" t="str">
        <f>IF(C686&gt;0,VLOOKUP(C686,Foundation_Calc!$A$2:$C$986,3,1),
IF(J686&gt;0,VLOOKUP(J686,Foundation_Calc!$A$2:$C$986,3,1),""))</f>
        <v/>
      </c>
      <c r="AX686" s="8" t="str">
        <f>IF(C686&gt;0,VLOOKUP(C686,Foundation_Calc!$E$2:$G$986,3,1),
IF(J686&gt;0,VLOOKUP(J686,Foundation_Calc!$E$2:$G$986,3,1),""))</f>
        <v/>
      </c>
      <c r="AY686" s="631" t="str">
        <f>IF(L686="","",
IF(AX686="PT",VLOOKUP(L686,Foundation_Calc!$K$4:$R$37,VLOOKUP(AW686,Foundation_Calc!$I$2:$J$8,2,FALSE),0),
IF(AX686="K",VLOOKUP(L686,Foundation_Calc!$K$41:$R$74,VLOOKUP(AW686,Foundation_Calc!$I$2:$J$8,2,FALSE),0),"")))</f>
        <v/>
      </c>
      <c r="AZ686" s="631" t="str">
        <f>IF(K686="","",
IF(AX686="PT",VLOOKUP(K686,Foundation_Calc!$K$4:$R$37,VLOOKUP(AW686,Foundation_Calc!$I$2:$J$8,2,FALSE),0),
IF(AX686="K",VLOOKUP(K686,Foundation_Calc!$K$41:$R$74,VLOOKUP(AW686,Foundation_Calc!$I$2:$J$8,2,FALSE),0),"")))</f>
        <v/>
      </c>
      <c r="BA686" s="632" t="str">
        <f t="shared" si="44"/>
        <v/>
      </c>
      <c r="BB686" s="632" t="str">
        <f t="shared" si="45"/>
        <v/>
      </c>
      <c r="BC686" s="632" t="str">
        <f t="shared" si="46"/>
        <v/>
      </c>
      <c r="BD686" s="633" t="str">
        <f>IF(AND(L686="",H686=""),"",
IF(H686="",Pole_Calc!A714,
IF(H686="MP",Pole_Calc!A715,
IF(H686="AnMP",Pole_Calc!A716,
IF(H686="A",Pole_Calc!A717,
IF(H686="S/A",Pole_Calc!A718,
IF(H686="A/S",Pole_Calc!A719,"Poner a mano")))))))</f>
        <v/>
      </c>
      <c r="BE686" s="448" t="s">
        <v>1726</v>
      </c>
      <c r="BF686" s="634"/>
      <c r="BG686" s="634"/>
      <c r="BH686" s="634"/>
      <c r="BI686" s="634"/>
    </row>
    <row r="687" spans="1:61" ht="16.2" customHeight="1">
      <c r="A687" s="12"/>
      <c r="B687" s="446"/>
      <c r="C687" s="89"/>
      <c r="D687" s="13"/>
      <c r="E687" s="14"/>
      <c r="F687" s="14"/>
      <c r="G687" s="15"/>
      <c r="H687" s="8"/>
      <c r="I687" s="8"/>
      <c r="J687" s="89"/>
      <c r="K687" s="8"/>
      <c r="L687" s="8"/>
      <c r="M687" s="8" t="str">
        <f>IF(L687="","",
IF(AX687="PT",VLOOKUP(L687,Foundation_Calc!$V$4:$X$37,VLOOKUP(AX687,Foundation_Calc!$I$10:$J$13,2,FALSE),0),
IF(AX687="K",VLOOKUP(L687,Foundation_Calc!$V$41:$X$74,VLOOKUP(AX687,Foundation_Calc!$I$10:$J$13,2,FALSE),0),"")))</f>
        <v/>
      </c>
      <c r="N687" s="8"/>
      <c r="O687" s="8"/>
      <c r="P687" s="8"/>
      <c r="Q687" s="14"/>
      <c r="R687" s="15"/>
      <c r="S687" s="15"/>
      <c r="T687" s="14"/>
      <c r="U687" s="14"/>
      <c r="V687" s="14"/>
      <c r="W687" s="18"/>
      <c r="X687" s="18"/>
      <c r="Y687" s="18"/>
      <c r="Z687" s="18"/>
      <c r="AA687" s="18"/>
      <c r="AB687" s="18"/>
      <c r="AC687" s="8" t="str">
        <f t="shared" si="43"/>
        <v/>
      </c>
      <c r="AD687" s="8"/>
      <c r="AE687" s="8"/>
      <c r="AF687" s="14"/>
      <c r="AG687" s="13"/>
      <c r="AH687" s="14"/>
      <c r="AI687" s="14"/>
      <c r="AJ687" s="8"/>
      <c r="AK687" s="8"/>
      <c r="AL687" s="8"/>
      <c r="AM687" s="8"/>
      <c r="AN687" s="631"/>
      <c r="AO687" s="18"/>
      <c r="AP687" s="18"/>
      <c r="AQ687" s="18"/>
      <c r="AR687" s="18"/>
      <c r="AS687" s="18"/>
      <c r="AU687" s="448"/>
      <c r="AV687" s="448"/>
      <c r="AW687" s="8" t="str">
        <f>IF(C687&gt;0,VLOOKUP(C687,Foundation_Calc!$A$2:$C$986,3,1),
IF(J687&gt;0,VLOOKUP(J687,Foundation_Calc!$A$2:$C$986,3,1),""))</f>
        <v/>
      </c>
      <c r="AX687" s="8" t="str">
        <f>IF(C687&gt;0,VLOOKUP(C687,Foundation_Calc!$E$2:$G$986,3,1),
IF(J687&gt;0,VLOOKUP(J687,Foundation_Calc!$E$2:$G$986,3,1),""))</f>
        <v/>
      </c>
      <c r="AY687" s="631" t="str">
        <f>IF(L687="","",
IF(AX687="PT",VLOOKUP(L687,Foundation_Calc!$K$4:$R$37,VLOOKUP(AW687,Foundation_Calc!$I$2:$J$8,2,FALSE),0),
IF(AX687="K",VLOOKUP(L687,Foundation_Calc!$K$41:$R$74,VLOOKUP(AW687,Foundation_Calc!$I$2:$J$8,2,FALSE),0),"")))</f>
        <v/>
      </c>
      <c r="AZ687" s="631" t="str">
        <f>IF(K687="","",
IF(AX687="PT",VLOOKUP(K687,Foundation_Calc!$K$4:$R$37,VLOOKUP(AW687,Foundation_Calc!$I$2:$J$8,2,FALSE),0),
IF(AX687="K",VLOOKUP(K687,Foundation_Calc!$K$41:$R$74,VLOOKUP(AW687,Foundation_Calc!$I$2:$J$8,2,FALSE),0),"")))</f>
        <v/>
      </c>
      <c r="BA687" s="632" t="str">
        <f t="shared" si="44"/>
        <v/>
      </c>
      <c r="BB687" s="632" t="str">
        <f t="shared" si="45"/>
        <v/>
      </c>
      <c r="BC687" s="632" t="str">
        <f t="shared" si="46"/>
        <v/>
      </c>
      <c r="BD687" s="633" t="str">
        <f>IF(AND(L687="",H687=""),"",
IF(H687="",Pole_Calc!A715,
IF(H687="MP",Pole_Calc!A716,
IF(H687="AnMP",Pole_Calc!A717,
IF(H687="A",Pole_Calc!A718,
IF(H687="S/A",Pole_Calc!A719,
IF(H687="A/S",Pole_Calc!A720,"Poner a mano")))))))</f>
        <v/>
      </c>
      <c r="BE687" s="448" t="s">
        <v>1726</v>
      </c>
      <c r="BF687" s="635"/>
      <c r="BG687" s="635"/>
      <c r="BH687" s="634"/>
      <c r="BI687" s="635"/>
    </row>
    <row r="688" spans="1:61" ht="16.2" customHeight="1">
      <c r="A688" s="12"/>
      <c r="B688" s="446"/>
      <c r="C688" s="89"/>
      <c r="D688" s="13"/>
      <c r="E688" s="14"/>
      <c r="F688" s="14"/>
      <c r="G688" s="15"/>
      <c r="H688" s="8"/>
      <c r="I688" s="8"/>
      <c r="J688" s="89"/>
      <c r="K688" s="8"/>
      <c r="L688" s="8"/>
      <c r="M688" s="8" t="str">
        <f>IF(L688="","",
IF(AX688="PT",VLOOKUP(L688,Foundation_Calc!$V$4:$X$37,VLOOKUP(AX688,Foundation_Calc!$I$10:$J$13,2,FALSE),0),
IF(AX688="K",VLOOKUP(L688,Foundation_Calc!$V$41:$X$74,VLOOKUP(AX688,Foundation_Calc!$I$10:$J$13,2,FALSE),0),"")))</f>
        <v/>
      </c>
      <c r="N688" s="8"/>
      <c r="O688" s="8"/>
      <c r="P688" s="8"/>
      <c r="Q688" s="14"/>
      <c r="R688" s="15"/>
      <c r="S688" s="15"/>
      <c r="T688" s="14"/>
      <c r="U688" s="14"/>
      <c r="V688" s="14"/>
      <c r="W688" s="18"/>
      <c r="X688" s="18"/>
      <c r="Y688" s="18"/>
      <c r="Z688" s="18"/>
      <c r="AA688" s="18"/>
      <c r="AB688" s="18"/>
      <c r="AC688" s="8" t="str">
        <f t="shared" si="43"/>
        <v/>
      </c>
      <c r="AD688" s="8"/>
      <c r="AE688" s="8"/>
      <c r="AF688" s="14"/>
      <c r="AG688" s="13"/>
      <c r="AH688" s="14"/>
      <c r="AI688" s="14"/>
      <c r="AJ688" s="8"/>
      <c r="AK688" s="8"/>
      <c r="AL688" s="8"/>
      <c r="AM688" s="8"/>
      <c r="AN688" s="631"/>
      <c r="AO688" s="18"/>
      <c r="AP688" s="18"/>
      <c r="AQ688" s="18"/>
      <c r="AR688" s="18"/>
      <c r="AS688" s="18"/>
      <c r="AU688" s="448"/>
      <c r="AV688" s="448"/>
      <c r="AW688" s="8" t="str">
        <f>IF(C688&gt;0,VLOOKUP(C688,Foundation_Calc!$A$2:$C$986,3,1),
IF(J688&gt;0,VLOOKUP(J688,Foundation_Calc!$A$2:$C$986,3,1),""))</f>
        <v/>
      </c>
      <c r="AX688" s="8" t="str">
        <f>IF(C688&gt;0,VLOOKUP(C688,Foundation_Calc!$E$2:$G$986,3,1),
IF(J688&gt;0,VLOOKUP(J688,Foundation_Calc!$E$2:$G$986,3,1),""))</f>
        <v/>
      </c>
      <c r="AY688" s="631" t="str">
        <f>IF(L688="","",
IF(AX688="PT",VLOOKUP(L688,Foundation_Calc!$K$4:$R$37,VLOOKUP(AW688,Foundation_Calc!$I$2:$J$8,2,FALSE),0),
IF(AX688="K",VLOOKUP(L688,Foundation_Calc!$K$41:$R$74,VLOOKUP(AW688,Foundation_Calc!$I$2:$J$8,2,FALSE),0),"")))</f>
        <v/>
      </c>
      <c r="AZ688" s="631" t="str">
        <f>IF(K688="","",
IF(AX688="PT",VLOOKUP(K688,Foundation_Calc!$K$4:$R$37,VLOOKUP(AW688,Foundation_Calc!$I$2:$J$8,2,FALSE),0),
IF(AX688="K",VLOOKUP(K688,Foundation_Calc!$K$41:$R$74,VLOOKUP(AW688,Foundation_Calc!$I$2:$J$8,2,FALSE),0),"")))</f>
        <v/>
      </c>
      <c r="BA688" s="632" t="str">
        <f t="shared" si="44"/>
        <v/>
      </c>
      <c r="BB688" s="632" t="str">
        <f t="shared" si="45"/>
        <v/>
      </c>
      <c r="BC688" s="632" t="str">
        <f t="shared" si="46"/>
        <v/>
      </c>
      <c r="BD688" s="633" t="str">
        <f>IF(AND(L688="",H688=""),"",
IF(H688="",Pole_Calc!A716,
IF(H688="MP",Pole_Calc!A717,
IF(H688="AnMP",Pole_Calc!A718,
IF(H688="A",Pole_Calc!A719,
IF(H688="S/A",Pole_Calc!A720,
IF(H688="A/S",Pole_Calc!A721,"Poner a mano")))))))</f>
        <v/>
      </c>
      <c r="BE688" s="448" t="s">
        <v>1726</v>
      </c>
      <c r="BF688" s="634"/>
      <c r="BG688" s="634"/>
      <c r="BH688" s="634"/>
      <c r="BI688" s="634"/>
    </row>
    <row r="689" spans="1:61" ht="16.2" customHeight="1">
      <c r="A689" s="12"/>
      <c r="B689" s="446"/>
      <c r="C689" s="89"/>
      <c r="D689" s="13"/>
      <c r="E689" s="14"/>
      <c r="F689" s="14"/>
      <c r="G689" s="15"/>
      <c r="H689" s="8"/>
      <c r="I689" s="8"/>
      <c r="J689" s="89"/>
      <c r="K689" s="8"/>
      <c r="L689" s="8"/>
      <c r="M689" s="8" t="str">
        <f>IF(L689="","",
IF(AX689="PT",VLOOKUP(L689,Foundation_Calc!$V$4:$X$37,VLOOKUP(AX689,Foundation_Calc!$I$10:$J$13,2,FALSE),0),
IF(AX689="K",VLOOKUP(L689,Foundation_Calc!$V$41:$X$74,VLOOKUP(AX689,Foundation_Calc!$I$10:$J$13,2,FALSE),0),"")))</f>
        <v/>
      </c>
      <c r="N689" s="8"/>
      <c r="O689" s="8"/>
      <c r="P689" s="8"/>
      <c r="Q689" s="14"/>
      <c r="R689" s="15"/>
      <c r="S689" s="15"/>
      <c r="T689" s="14"/>
      <c r="U689" s="14"/>
      <c r="V689" s="14"/>
      <c r="W689" s="18"/>
      <c r="X689" s="18"/>
      <c r="Y689" s="18"/>
      <c r="Z689" s="18"/>
      <c r="AA689" s="18"/>
      <c r="AB689" s="18"/>
      <c r="AC689" s="8" t="str">
        <f t="shared" si="43"/>
        <v/>
      </c>
      <c r="AD689" s="8"/>
      <c r="AE689" s="8"/>
      <c r="AF689" s="14"/>
      <c r="AG689" s="13"/>
      <c r="AH689" s="14"/>
      <c r="AI689" s="14"/>
      <c r="AJ689" s="8"/>
      <c r="AK689" s="8"/>
      <c r="AL689" s="8"/>
      <c r="AM689" s="8"/>
      <c r="AN689" s="631"/>
      <c r="AO689" s="18"/>
      <c r="AP689" s="18"/>
      <c r="AQ689" s="18"/>
      <c r="AR689" s="18"/>
      <c r="AS689" s="18"/>
      <c r="AU689" s="448"/>
      <c r="AV689" s="448"/>
      <c r="AW689" s="8" t="str">
        <f>IF(C689&gt;0,VLOOKUP(C689,Foundation_Calc!$A$2:$C$986,3,1),
IF(J689&gt;0,VLOOKUP(J689,Foundation_Calc!$A$2:$C$986,3,1),""))</f>
        <v/>
      </c>
      <c r="AX689" s="8" t="str">
        <f>IF(C689&gt;0,VLOOKUP(C689,Foundation_Calc!$E$2:$G$986,3,1),
IF(J689&gt;0,VLOOKUP(J689,Foundation_Calc!$E$2:$G$986,3,1),""))</f>
        <v/>
      </c>
      <c r="AY689" s="631" t="str">
        <f>IF(L689="","",
IF(AX689="PT",VLOOKUP(L689,Foundation_Calc!$K$4:$R$37,VLOOKUP(AW689,Foundation_Calc!$I$2:$J$8,2,FALSE),0),
IF(AX689="K",VLOOKUP(L689,Foundation_Calc!$K$41:$R$74,VLOOKUP(AW689,Foundation_Calc!$I$2:$J$8,2,FALSE),0),"")))</f>
        <v/>
      </c>
      <c r="AZ689" s="631" t="str">
        <f>IF(K689="","",
IF(AX689="PT",VLOOKUP(K689,Foundation_Calc!$K$4:$R$37,VLOOKUP(AW689,Foundation_Calc!$I$2:$J$8,2,FALSE),0),
IF(AX689="K",VLOOKUP(K689,Foundation_Calc!$K$41:$R$74,VLOOKUP(AW689,Foundation_Calc!$I$2:$J$8,2,FALSE),0),"")))</f>
        <v/>
      </c>
      <c r="BA689" s="632" t="str">
        <f t="shared" si="44"/>
        <v/>
      </c>
      <c r="BB689" s="632" t="str">
        <f t="shared" si="45"/>
        <v/>
      </c>
      <c r="BC689" s="632" t="str">
        <f t="shared" si="46"/>
        <v/>
      </c>
      <c r="BD689" s="633" t="str">
        <f>IF(AND(L689="",H689=""),"",
IF(H689="",Pole_Calc!A717,
IF(H689="MP",Pole_Calc!A718,
IF(H689="AnMP",Pole_Calc!A719,
IF(H689="A",Pole_Calc!A720,
IF(H689="S/A",Pole_Calc!A721,
IF(H689="A/S",Pole_Calc!A722,"Poner a mano")))))))</f>
        <v/>
      </c>
      <c r="BE689" s="448" t="s">
        <v>1726</v>
      </c>
      <c r="BF689" s="635"/>
      <c r="BG689" s="635"/>
      <c r="BH689" s="634"/>
      <c r="BI689" s="635"/>
    </row>
    <row r="690" spans="1:61" ht="16.2" customHeight="1">
      <c r="A690" s="12"/>
      <c r="B690" s="446"/>
      <c r="C690" s="89"/>
      <c r="D690" s="13"/>
      <c r="E690" s="14"/>
      <c r="F690" s="14"/>
      <c r="G690" s="15"/>
      <c r="H690" s="8"/>
      <c r="I690" s="8"/>
      <c r="J690" s="89"/>
      <c r="K690" s="8"/>
      <c r="L690" s="8"/>
      <c r="M690" s="8" t="str">
        <f>IF(L690="","",
IF(AX690="PT",VLOOKUP(L690,Foundation_Calc!$V$4:$X$37,VLOOKUP(AX690,Foundation_Calc!$I$10:$J$13,2,FALSE),0),
IF(AX690="K",VLOOKUP(L690,Foundation_Calc!$V$41:$X$74,VLOOKUP(AX690,Foundation_Calc!$I$10:$J$13,2,FALSE),0),"")))</f>
        <v/>
      </c>
      <c r="N690" s="8"/>
      <c r="O690" s="8"/>
      <c r="P690" s="8"/>
      <c r="Q690" s="14"/>
      <c r="R690" s="15"/>
      <c r="S690" s="15"/>
      <c r="T690" s="14"/>
      <c r="U690" s="14"/>
      <c r="V690" s="14"/>
      <c r="W690" s="18"/>
      <c r="X690" s="18"/>
      <c r="Y690" s="18"/>
      <c r="Z690" s="18"/>
      <c r="AA690" s="18"/>
      <c r="AB690" s="18"/>
      <c r="AC690" s="8" t="str">
        <f t="shared" si="43"/>
        <v/>
      </c>
      <c r="AD690" s="8"/>
      <c r="AE690" s="8"/>
      <c r="AF690" s="14"/>
      <c r="AG690" s="13"/>
      <c r="AH690" s="14"/>
      <c r="AI690" s="14"/>
      <c r="AJ690" s="8"/>
      <c r="AK690" s="8"/>
      <c r="AL690" s="8"/>
      <c r="AM690" s="8"/>
      <c r="AN690" s="631"/>
      <c r="AO690" s="18"/>
      <c r="AP690" s="18"/>
      <c r="AQ690" s="18"/>
      <c r="AR690" s="18"/>
      <c r="AS690" s="18"/>
      <c r="AU690" s="448"/>
      <c r="AV690" s="448"/>
      <c r="AW690" s="8" t="str">
        <f>IF(C690&gt;0,VLOOKUP(C690,Foundation_Calc!$A$2:$C$986,3,1),
IF(J690&gt;0,VLOOKUP(J690,Foundation_Calc!$A$2:$C$986,3,1),""))</f>
        <v/>
      </c>
      <c r="AX690" s="8" t="str">
        <f>IF(C690&gt;0,VLOOKUP(C690,Foundation_Calc!$E$2:$G$986,3,1),
IF(J690&gt;0,VLOOKUP(J690,Foundation_Calc!$E$2:$G$986,3,1),""))</f>
        <v/>
      </c>
      <c r="AY690" s="631" t="str">
        <f>IF(L690="","",
IF(AX690="PT",VLOOKUP(L690,Foundation_Calc!$K$4:$R$37,VLOOKUP(AW690,Foundation_Calc!$I$2:$J$8,2,FALSE),0),
IF(AX690="K",VLOOKUP(L690,Foundation_Calc!$K$41:$R$74,VLOOKUP(AW690,Foundation_Calc!$I$2:$J$8,2,FALSE),0),"")))</f>
        <v/>
      </c>
      <c r="AZ690" s="631" t="str">
        <f>IF(K690="","",
IF(AX690="PT",VLOOKUP(K690,Foundation_Calc!$K$4:$R$37,VLOOKUP(AW690,Foundation_Calc!$I$2:$J$8,2,FALSE),0),
IF(AX690="K",VLOOKUP(K690,Foundation_Calc!$K$41:$R$74,VLOOKUP(AW690,Foundation_Calc!$I$2:$J$8,2,FALSE),0),"")))</f>
        <v/>
      </c>
      <c r="BA690" s="632" t="str">
        <f t="shared" si="44"/>
        <v/>
      </c>
      <c r="BB690" s="632" t="str">
        <f t="shared" si="45"/>
        <v/>
      </c>
      <c r="BC690" s="632" t="str">
        <f t="shared" si="46"/>
        <v/>
      </c>
      <c r="BD690" s="633" t="str">
        <f>IF(AND(L690="",H690=""),"",
IF(H690="",Pole_Calc!A718,
IF(H690="MP",Pole_Calc!A719,
IF(H690="AnMP",Pole_Calc!A720,
IF(H690="A",Pole_Calc!A721,
IF(H690="S/A",Pole_Calc!A722,
IF(H690="A/S",Pole_Calc!A723,"Poner a mano")))))))</f>
        <v/>
      </c>
      <c r="BE690" s="448" t="s">
        <v>1726</v>
      </c>
      <c r="BF690" s="634"/>
      <c r="BG690" s="634"/>
      <c r="BH690" s="634"/>
      <c r="BI690" s="634"/>
    </row>
    <row r="691" spans="1:61" ht="16.2" customHeight="1">
      <c r="A691" s="12"/>
      <c r="B691" s="446"/>
      <c r="C691" s="89"/>
      <c r="D691" s="13"/>
      <c r="E691" s="14"/>
      <c r="F691" s="14"/>
      <c r="G691" s="15"/>
      <c r="H691" s="8"/>
      <c r="I691" s="8"/>
      <c r="J691" s="89"/>
      <c r="K691" s="8"/>
      <c r="L691" s="8"/>
      <c r="M691" s="8" t="str">
        <f>IF(L691="","",
IF(AX691="PT",VLOOKUP(L691,Foundation_Calc!$V$4:$X$37,VLOOKUP(AX691,Foundation_Calc!$I$10:$J$13,2,FALSE),0),
IF(AX691="K",VLOOKUP(L691,Foundation_Calc!$V$41:$X$74,VLOOKUP(AX691,Foundation_Calc!$I$10:$J$13,2,FALSE),0),"")))</f>
        <v/>
      </c>
      <c r="N691" s="8"/>
      <c r="O691" s="8"/>
      <c r="P691" s="8"/>
      <c r="Q691" s="14"/>
      <c r="R691" s="15"/>
      <c r="S691" s="15"/>
      <c r="T691" s="14"/>
      <c r="U691" s="14"/>
      <c r="V691" s="14"/>
      <c r="W691" s="18"/>
      <c r="X691" s="18"/>
      <c r="Y691" s="18"/>
      <c r="Z691" s="18"/>
      <c r="AA691" s="18"/>
      <c r="AB691" s="18"/>
      <c r="AC691" s="8" t="str">
        <f t="shared" si="43"/>
        <v/>
      </c>
      <c r="AD691" s="8"/>
      <c r="AE691" s="8"/>
      <c r="AF691" s="14"/>
      <c r="AG691" s="13"/>
      <c r="AH691" s="14"/>
      <c r="AI691" s="14"/>
      <c r="AJ691" s="8"/>
      <c r="AK691" s="8"/>
      <c r="AL691" s="8"/>
      <c r="AM691" s="8"/>
      <c r="AN691" s="631"/>
      <c r="AO691" s="18"/>
      <c r="AP691" s="18"/>
      <c r="AQ691" s="18"/>
      <c r="AR691" s="18"/>
      <c r="AS691" s="18"/>
      <c r="AU691" s="448"/>
      <c r="AV691" s="448"/>
      <c r="AW691" s="8" t="str">
        <f>IF(C691&gt;0,VLOOKUP(C691,Foundation_Calc!$A$2:$C$986,3,1),
IF(J691&gt;0,VLOOKUP(J691,Foundation_Calc!$A$2:$C$986,3,1),""))</f>
        <v/>
      </c>
      <c r="AX691" s="8" t="str">
        <f>IF(C691&gt;0,VLOOKUP(C691,Foundation_Calc!$E$2:$G$986,3,1),
IF(J691&gt;0,VLOOKUP(J691,Foundation_Calc!$E$2:$G$986,3,1),""))</f>
        <v/>
      </c>
      <c r="AY691" s="631" t="str">
        <f>IF(L691="","",
IF(AX691="PT",VLOOKUP(L691,Foundation_Calc!$K$4:$R$37,VLOOKUP(AW691,Foundation_Calc!$I$2:$J$8,2,FALSE),0),
IF(AX691="K",VLOOKUP(L691,Foundation_Calc!$K$41:$R$74,VLOOKUP(AW691,Foundation_Calc!$I$2:$J$8,2,FALSE),0),"")))</f>
        <v/>
      </c>
      <c r="AZ691" s="631" t="str">
        <f>IF(K691="","",
IF(AX691="PT",VLOOKUP(K691,Foundation_Calc!$K$4:$R$37,VLOOKUP(AW691,Foundation_Calc!$I$2:$J$8,2,FALSE),0),
IF(AX691="K",VLOOKUP(K691,Foundation_Calc!$K$41:$R$74,VLOOKUP(AW691,Foundation_Calc!$I$2:$J$8,2,FALSE),0),"")))</f>
        <v/>
      </c>
      <c r="BA691" s="632" t="str">
        <f t="shared" si="44"/>
        <v/>
      </c>
      <c r="BB691" s="632" t="str">
        <f t="shared" si="45"/>
        <v/>
      </c>
      <c r="BC691" s="632" t="str">
        <f t="shared" si="46"/>
        <v/>
      </c>
      <c r="BD691" s="633" t="str">
        <f>IF(AND(L691="",H691=""),"",
IF(H691="",Pole_Calc!A719,
IF(H691="MP",Pole_Calc!A720,
IF(H691="AnMP",Pole_Calc!A721,
IF(H691="A",Pole_Calc!A722,
IF(H691="S/A",Pole_Calc!A723,
IF(H691="A/S",Pole_Calc!A724,"Poner a mano")))))))</f>
        <v/>
      </c>
      <c r="BE691" s="448" t="s">
        <v>1726</v>
      </c>
      <c r="BF691" s="635"/>
      <c r="BG691" s="635"/>
      <c r="BH691" s="634"/>
      <c r="BI691" s="635"/>
    </row>
    <row r="692" spans="1:61" ht="16.2" customHeight="1">
      <c r="A692" s="12"/>
      <c r="B692" s="446"/>
      <c r="C692" s="89"/>
      <c r="D692" s="13"/>
      <c r="E692" s="14"/>
      <c r="F692" s="14"/>
      <c r="G692" s="15"/>
      <c r="H692" s="8"/>
      <c r="I692" s="8"/>
      <c r="J692" s="89"/>
      <c r="K692" s="8"/>
      <c r="L692" s="8"/>
      <c r="M692" s="8" t="str">
        <f>IF(L692="","",
IF(AX692="PT",VLOOKUP(L692,Foundation_Calc!$V$4:$X$37,VLOOKUP(AX692,Foundation_Calc!$I$10:$J$13,2,FALSE),0),
IF(AX692="K",VLOOKUP(L692,Foundation_Calc!$V$41:$X$74,VLOOKUP(AX692,Foundation_Calc!$I$10:$J$13,2,FALSE),0),"")))</f>
        <v/>
      </c>
      <c r="N692" s="8"/>
      <c r="O692" s="8"/>
      <c r="P692" s="8"/>
      <c r="Q692" s="14"/>
      <c r="R692" s="15"/>
      <c r="S692" s="15"/>
      <c r="T692" s="14"/>
      <c r="U692" s="14"/>
      <c r="V692" s="14"/>
      <c r="W692" s="18"/>
      <c r="X692" s="18"/>
      <c r="Y692" s="18"/>
      <c r="Z692" s="18"/>
      <c r="AA692" s="18"/>
      <c r="AB692" s="18"/>
      <c r="AC692" s="8" t="str">
        <f t="shared" si="43"/>
        <v/>
      </c>
      <c r="AD692" s="8"/>
      <c r="AE692" s="8"/>
      <c r="AF692" s="14"/>
      <c r="AG692" s="13"/>
      <c r="AH692" s="14"/>
      <c r="AI692" s="14"/>
      <c r="AJ692" s="8"/>
      <c r="AK692" s="8"/>
      <c r="AL692" s="8"/>
      <c r="AM692" s="8"/>
      <c r="AN692" s="631"/>
      <c r="AO692" s="18"/>
      <c r="AP692" s="18"/>
      <c r="AQ692" s="18"/>
      <c r="AR692" s="18"/>
      <c r="AS692" s="18"/>
      <c r="AU692" s="448"/>
      <c r="AV692" s="448"/>
      <c r="AW692" s="8" t="str">
        <f>IF(C692&gt;0,VLOOKUP(C692,Foundation_Calc!$A$2:$C$986,3,1),
IF(J692&gt;0,VLOOKUP(J692,Foundation_Calc!$A$2:$C$986,3,1),""))</f>
        <v/>
      </c>
      <c r="AX692" s="8" t="str">
        <f>IF(C692&gt;0,VLOOKUP(C692,Foundation_Calc!$E$2:$G$986,3,1),
IF(J692&gt;0,VLOOKUP(J692,Foundation_Calc!$E$2:$G$986,3,1),""))</f>
        <v/>
      </c>
      <c r="AY692" s="631" t="str">
        <f>IF(L692="","",
IF(AX692="PT",VLOOKUP(L692,Foundation_Calc!$K$4:$R$37,VLOOKUP(AW692,Foundation_Calc!$I$2:$J$8,2,FALSE),0),
IF(AX692="K",VLOOKUP(L692,Foundation_Calc!$K$41:$R$74,VLOOKUP(AW692,Foundation_Calc!$I$2:$J$8,2,FALSE),0),"")))</f>
        <v/>
      </c>
      <c r="AZ692" s="631" t="str">
        <f>IF(K692="","",
IF(AX692="PT",VLOOKUP(K692,Foundation_Calc!$K$4:$R$37,VLOOKUP(AW692,Foundation_Calc!$I$2:$J$8,2,FALSE),0),
IF(AX692="K",VLOOKUP(K692,Foundation_Calc!$K$41:$R$74,VLOOKUP(AW692,Foundation_Calc!$I$2:$J$8,2,FALSE),0),"")))</f>
        <v/>
      </c>
      <c r="BA692" s="632" t="str">
        <f t="shared" si="44"/>
        <v/>
      </c>
      <c r="BB692" s="632" t="str">
        <f t="shared" si="45"/>
        <v/>
      </c>
      <c r="BC692" s="632" t="str">
        <f t="shared" si="46"/>
        <v/>
      </c>
      <c r="BD692" s="633" t="str">
        <f>IF(AND(L692="",H692=""),"",
IF(H692="",Pole_Calc!A720,
IF(H692="MP",Pole_Calc!A721,
IF(H692="AnMP",Pole_Calc!A722,
IF(H692="A",Pole_Calc!A723,
IF(H692="S/A",Pole_Calc!A724,
IF(H692="A/S",Pole_Calc!A725,"Poner a mano")))))))</f>
        <v/>
      </c>
      <c r="BE692" s="448" t="s">
        <v>1726</v>
      </c>
      <c r="BF692" s="634"/>
      <c r="BG692" s="634"/>
      <c r="BH692" s="634"/>
      <c r="BI692" s="634"/>
    </row>
    <row r="693" spans="1:61" ht="16.2" customHeight="1">
      <c r="A693" s="12"/>
      <c r="B693" s="446"/>
      <c r="C693" s="89"/>
      <c r="D693" s="13"/>
      <c r="E693" s="14"/>
      <c r="F693" s="14"/>
      <c r="G693" s="15"/>
      <c r="H693" s="8"/>
      <c r="I693" s="8"/>
      <c r="J693" s="89"/>
      <c r="K693" s="8"/>
      <c r="L693" s="8"/>
      <c r="M693" s="8" t="str">
        <f>IF(L693="","",
IF(AX693="PT",VLOOKUP(L693,Foundation_Calc!$V$4:$X$37,VLOOKUP(AX693,Foundation_Calc!$I$10:$J$13,2,FALSE),0),
IF(AX693="K",VLOOKUP(L693,Foundation_Calc!$V$41:$X$74,VLOOKUP(AX693,Foundation_Calc!$I$10:$J$13,2,FALSE),0),"")))</f>
        <v/>
      </c>
      <c r="N693" s="8"/>
      <c r="O693" s="8"/>
      <c r="P693" s="8"/>
      <c r="Q693" s="14"/>
      <c r="R693" s="15"/>
      <c r="S693" s="15"/>
      <c r="T693" s="14"/>
      <c r="U693" s="14"/>
      <c r="V693" s="14"/>
      <c r="W693" s="18"/>
      <c r="X693" s="18"/>
      <c r="Y693" s="18"/>
      <c r="Z693" s="18"/>
      <c r="AA693" s="18"/>
      <c r="AB693" s="18"/>
      <c r="AC693" s="8" t="str">
        <f t="shared" si="43"/>
        <v/>
      </c>
      <c r="AD693" s="8"/>
      <c r="AE693" s="8"/>
      <c r="AF693" s="14"/>
      <c r="AG693" s="13"/>
      <c r="AH693" s="14"/>
      <c r="AI693" s="14"/>
      <c r="AJ693" s="8"/>
      <c r="AK693" s="8"/>
      <c r="AL693" s="8"/>
      <c r="AM693" s="8"/>
      <c r="AN693" s="631"/>
      <c r="AO693" s="18"/>
      <c r="AP693" s="18"/>
      <c r="AQ693" s="18"/>
      <c r="AR693" s="18"/>
      <c r="AS693" s="18"/>
      <c r="AU693" s="448"/>
      <c r="AV693" s="448"/>
      <c r="AW693" s="8" t="str">
        <f>IF(C693&gt;0,VLOOKUP(C693,Foundation_Calc!$A$2:$C$986,3,1),
IF(J693&gt;0,VLOOKUP(J693,Foundation_Calc!$A$2:$C$986,3,1),""))</f>
        <v/>
      </c>
      <c r="AX693" s="8" t="str">
        <f>IF(C693&gt;0,VLOOKUP(C693,Foundation_Calc!$E$2:$G$986,3,1),
IF(J693&gt;0,VLOOKUP(J693,Foundation_Calc!$E$2:$G$986,3,1),""))</f>
        <v/>
      </c>
      <c r="AY693" s="631" t="str">
        <f>IF(L693="","",
IF(AX693="PT",VLOOKUP(L693,Foundation_Calc!$K$4:$R$37,VLOOKUP(AW693,Foundation_Calc!$I$2:$J$8,2,FALSE),0),
IF(AX693="K",VLOOKUP(L693,Foundation_Calc!$K$41:$R$74,VLOOKUP(AW693,Foundation_Calc!$I$2:$J$8,2,FALSE),0),"")))</f>
        <v/>
      </c>
      <c r="AZ693" s="631" t="str">
        <f>IF(K693="","",
IF(AX693="PT",VLOOKUP(K693,Foundation_Calc!$K$4:$R$37,VLOOKUP(AW693,Foundation_Calc!$I$2:$J$8,2,FALSE),0),
IF(AX693="K",VLOOKUP(K693,Foundation_Calc!$K$41:$R$74,VLOOKUP(AW693,Foundation_Calc!$I$2:$J$8,2,FALSE),0),"")))</f>
        <v/>
      </c>
      <c r="BA693" s="632" t="str">
        <f t="shared" si="44"/>
        <v/>
      </c>
      <c r="BB693" s="632" t="str">
        <f t="shared" si="45"/>
        <v/>
      </c>
      <c r="BC693" s="632" t="str">
        <f t="shared" si="46"/>
        <v/>
      </c>
      <c r="BD693" s="633" t="str">
        <f>IF(AND(L693="",H693=""),"",
IF(H693="",Pole_Calc!A721,
IF(H693="MP",Pole_Calc!A722,
IF(H693="AnMP",Pole_Calc!A723,
IF(H693="A",Pole_Calc!A724,
IF(H693="S/A",Pole_Calc!A725,
IF(H693="A/S",Pole_Calc!A726,"Poner a mano")))))))</f>
        <v/>
      </c>
      <c r="BE693" s="448" t="s">
        <v>1726</v>
      </c>
      <c r="BF693" s="635"/>
      <c r="BG693" s="635"/>
      <c r="BH693" s="634"/>
      <c r="BI693" s="635"/>
    </row>
    <row r="694" spans="1:61" ht="16.2" customHeight="1">
      <c r="A694" s="12"/>
      <c r="B694" s="446"/>
      <c r="C694" s="89"/>
      <c r="D694" s="13"/>
      <c r="E694" s="14"/>
      <c r="F694" s="14"/>
      <c r="G694" s="15"/>
      <c r="H694" s="8"/>
      <c r="I694" s="8"/>
      <c r="J694" s="89"/>
      <c r="K694" s="8"/>
      <c r="L694" s="8"/>
      <c r="M694" s="8" t="str">
        <f>IF(L694="","",
IF(AX694="PT",VLOOKUP(L694,Foundation_Calc!$V$4:$X$37,VLOOKUP(AX694,Foundation_Calc!$I$10:$J$13,2,FALSE),0),
IF(AX694="K",VLOOKUP(L694,Foundation_Calc!$V$41:$X$74,VLOOKUP(AX694,Foundation_Calc!$I$10:$J$13,2,FALSE),0),"")))</f>
        <v/>
      </c>
      <c r="N694" s="8"/>
      <c r="O694" s="8"/>
      <c r="P694" s="8"/>
      <c r="Q694" s="14"/>
      <c r="R694" s="15"/>
      <c r="S694" s="15"/>
      <c r="T694" s="14"/>
      <c r="U694" s="14"/>
      <c r="V694" s="14"/>
      <c r="W694" s="18"/>
      <c r="X694" s="18"/>
      <c r="Y694" s="18"/>
      <c r="Z694" s="18"/>
      <c r="AA694" s="18"/>
      <c r="AB694" s="18"/>
      <c r="AC694" s="8" t="str">
        <f t="shared" si="43"/>
        <v/>
      </c>
      <c r="AD694" s="8"/>
      <c r="AE694" s="8"/>
      <c r="AF694" s="14"/>
      <c r="AG694" s="13"/>
      <c r="AH694" s="14"/>
      <c r="AI694" s="14"/>
      <c r="AJ694" s="8"/>
      <c r="AK694" s="8"/>
      <c r="AL694" s="8"/>
      <c r="AM694" s="8"/>
      <c r="AN694" s="631"/>
      <c r="AO694" s="18"/>
      <c r="AP694" s="18"/>
      <c r="AQ694" s="18"/>
      <c r="AR694" s="18"/>
      <c r="AS694" s="18"/>
      <c r="AU694" s="448"/>
      <c r="AV694" s="448"/>
      <c r="AW694" s="8" t="str">
        <f>IF(C694&gt;0,VLOOKUP(C694,Foundation_Calc!$A$2:$C$986,3,1),
IF(J694&gt;0,VLOOKUP(J694,Foundation_Calc!$A$2:$C$986,3,1),""))</f>
        <v/>
      </c>
      <c r="AX694" s="8" t="str">
        <f>IF(C694&gt;0,VLOOKUP(C694,Foundation_Calc!$E$2:$G$986,3,1),
IF(J694&gt;0,VLOOKUP(J694,Foundation_Calc!$E$2:$G$986,3,1),""))</f>
        <v/>
      </c>
      <c r="AY694" s="631" t="str">
        <f>IF(L694="","",
IF(AX694="PT",VLOOKUP(L694,Foundation_Calc!$K$4:$R$37,VLOOKUP(AW694,Foundation_Calc!$I$2:$J$8,2,FALSE),0),
IF(AX694="K",VLOOKUP(L694,Foundation_Calc!$K$41:$R$74,VLOOKUP(AW694,Foundation_Calc!$I$2:$J$8,2,FALSE),0),"")))</f>
        <v/>
      </c>
      <c r="AZ694" s="631" t="str">
        <f>IF(K694="","",
IF(AX694="PT",VLOOKUP(K694,Foundation_Calc!$K$4:$R$37,VLOOKUP(AW694,Foundation_Calc!$I$2:$J$8,2,FALSE),0),
IF(AX694="K",VLOOKUP(K694,Foundation_Calc!$K$41:$R$74,VLOOKUP(AW694,Foundation_Calc!$I$2:$J$8,2,FALSE),0),"")))</f>
        <v/>
      </c>
      <c r="BA694" s="632" t="str">
        <f t="shared" si="44"/>
        <v/>
      </c>
      <c r="BB694" s="632" t="str">
        <f t="shared" si="45"/>
        <v/>
      </c>
      <c r="BC694" s="632" t="str">
        <f t="shared" si="46"/>
        <v/>
      </c>
      <c r="BD694" s="633" t="str">
        <f>IF(AND(L694="",H694=""),"",
IF(H694="",Pole_Calc!A722,
IF(H694="MP",Pole_Calc!A723,
IF(H694="AnMP",Pole_Calc!A724,
IF(H694="A",Pole_Calc!A725,
IF(H694="S/A",Pole_Calc!A726,
IF(H694="A/S",Pole_Calc!A727,"Poner a mano")))))))</f>
        <v/>
      </c>
      <c r="BE694" s="448" t="s">
        <v>1726</v>
      </c>
      <c r="BF694" s="634"/>
      <c r="BG694" s="634"/>
      <c r="BH694" s="634"/>
      <c r="BI694" s="634"/>
    </row>
    <row r="695" spans="1:61" ht="16.2" customHeight="1">
      <c r="A695" s="12"/>
      <c r="B695" s="446"/>
      <c r="C695" s="89"/>
      <c r="D695" s="13"/>
      <c r="E695" s="14"/>
      <c r="F695" s="14"/>
      <c r="G695" s="15"/>
      <c r="H695" s="8"/>
      <c r="I695" s="8"/>
      <c r="J695" s="89"/>
      <c r="K695" s="8"/>
      <c r="L695" s="8"/>
      <c r="M695" s="8" t="str">
        <f>IF(L695="","",
IF(AX695="PT",VLOOKUP(L695,Foundation_Calc!$V$4:$X$37,VLOOKUP(AX695,Foundation_Calc!$I$10:$J$13,2,FALSE),0),
IF(AX695="K",VLOOKUP(L695,Foundation_Calc!$V$41:$X$74,VLOOKUP(AX695,Foundation_Calc!$I$10:$J$13,2,FALSE),0),"")))</f>
        <v/>
      </c>
      <c r="N695" s="8"/>
      <c r="O695" s="8"/>
      <c r="P695" s="8"/>
      <c r="Q695" s="14"/>
      <c r="R695" s="15"/>
      <c r="S695" s="15"/>
      <c r="T695" s="14"/>
      <c r="U695" s="14"/>
      <c r="V695" s="14"/>
      <c r="W695" s="18"/>
      <c r="X695" s="18"/>
      <c r="Y695" s="18"/>
      <c r="Z695" s="18"/>
      <c r="AA695" s="18"/>
      <c r="AB695" s="18"/>
      <c r="AC695" s="8" t="str">
        <f t="shared" si="43"/>
        <v/>
      </c>
      <c r="AD695" s="8"/>
      <c r="AE695" s="8"/>
      <c r="AF695" s="14"/>
      <c r="AG695" s="13"/>
      <c r="AH695" s="14"/>
      <c r="AI695" s="14"/>
      <c r="AJ695" s="8"/>
      <c r="AK695" s="8"/>
      <c r="AL695" s="8"/>
      <c r="AM695" s="8"/>
      <c r="AN695" s="631"/>
      <c r="AO695" s="18"/>
      <c r="AP695" s="18"/>
      <c r="AQ695" s="18"/>
      <c r="AR695" s="18"/>
      <c r="AS695" s="18"/>
      <c r="AU695" s="448"/>
      <c r="AV695" s="448"/>
      <c r="AW695" s="8" t="str">
        <f>IF(C695&gt;0,VLOOKUP(C695,Foundation_Calc!$A$2:$C$986,3,1),
IF(J695&gt;0,VLOOKUP(J695,Foundation_Calc!$A$2:$C$986,3,1),""))</f>
        <v/>
      </c>
      <c r="AX695" s="8" t="str">
        <f>IF(C695&gt;0,VLOOKUP(C695,Foundation_Calc!$E$2:$G$986,3,1),
IF(J695&gt;0,VLOOKUP(J695,Foundation_Calc!$E$2:$G$986,3,1),""))</f>
        <v/>
      </c>
      <c r="AY695" s="631" t="str">
        <f>IF(L695="","",
IF(AX695="PT",VLOOKUP(L695,Foundation_Calc!$K$4:$R$37,VLOOKUP(AW695,Foundation_Calc!$I$2:$J$8,2,FALSE),0),
IF(AX695="K",VLOOKUP(L695,Foundation_Calc!$K$41:$R$74,VLOOKUP(AW695,Foundation_Calc!$I$2:$J$8,2,FALSE),0),"")))</f>
        <v/>
      </c>
      <c r="AZ695" s="631" t="str">
        <f>IF(K695="","",
IF(AX695="PT",VLOOKUP(K695,Foundation_Calc!$K$4:$R$37,VLOOKUP(AW695,Foundation_Calc!$I$2:$J$8,2,FALSE),0),
IF(AX695="K",VLOOKUP(K695,Foundation_Calc!$K$41:$R$74,VLOOKUP(AW695,Foundation_Calc!$I$2:$J$8,2,FALSE),0),"")))</f>
        <v/>
      </c>
      <c r="BA695" s="632" t="str">
        <f t="shared" si="44"/>
        <v/>
      </c>
      <c r="BB695" s="632" t="str">
        <f t="shared" si="45"/>
        <v/>
      </c>
      <c r="BC695" s="632" t="str">
        <f t="shared" si="46"/>
        <v/>
      </c>
      <c r="BD695" s="633" t="str">
        <f>IF(AND(L695="",H695=""),"",
IF(H695="",Pole_Calc!A723,
IF(H695="MP",Pole_Calc!A724,
IF(H695="AnMP",Pole_Calc!A725,
IF(H695="A",Pole_Calc!A726,
IF(H695="S/A",Pole_Calc!A727,
IF(H695="A/S",Pole_Calc!A728,"Poner a mano")))))))</f>
        <v/>
      </c>
      <c r="BE695" s="448" t="s">
        <v>1726</v>
      </c>
      <c r="BF695" s="635"/>
      <c r="BG695" s="635"/>
      <c r="BH695" s="634"/>
      <c r="BI695" s="635"/>
    </row>
    <row r="696" spans="1:61" ht="16.2" customHeight="1">
      <c r="A696" s="12"/>
      <c r="B696" s="446"/>
      <c r="C696" s="89"/>
      <c r="D696" s="13"/>
      <c r="E696" s="14"/>
      <c r="F696" s="14"/>
      <c r="G696" s="15"/>
      <c r="H696" s="8"/>
      <c r="I696" s="8"/>
      <c r="J696" s="89"/>
      <c r="K696" s="8"/>
      <c r="L696" s="8"/>
      <c r="M696" s="8" t="str">
        <f>IF(L696="","",
IF(AX696="PT",VLOOKUP(L696,Foundation_Calc!$V$4:$X$37,VLOOKUP(AX696,Foundation_Calc!$I$10:$J$13,2,FALSE),0),
IF(AX696="K",VLOOKUP(L696,Foundation_Calc!$V$41:$X$74,VLOOKUP(AX696,Foundation_Calc!$I$10:$J$13,2,FALSE),0),"")))</f>
        <v/>
      </c>
      <c r="N696" s="8"/>
      <c r="O696" s="8"/>
      <c r="P696" s="8"/>
      <c r="Q696" s="14"/>
      <c r="R696" s="15"/>
      <c r="S696" s="15"/>
      <c r="T696" s="14"/>
      <c r="U696" s="14"/>
      <c r="V696" s="14"/>
      <c r="W696" s="18"/>
      <c r="X696" s="18"/>
      <c r="Y696" s="18"/>
      <c r="Z696" s="18"/>
      <c r="AA696" s="18"/>
      <c r="AB696" s="18"/>
      <c r="AC696" s="8" t="str">
        <f t="shared" si="43"/>
        <v/>
      </c>
      <c r="AD696" s="8"/>
      <c r="AE696" s="8"/>
      <c r="AF696" s="14"/>
      <c r="AG696" s="13"/>
      <c r="AH696" s="14"/>
      <c r="AI696" s="14"/>
      <c r="AJ696" s="8"/>
      <c r="AK696" s="8"/>
      <c r="AL696" s="8"/>
      <c r="AM696" s="8"/>
      <c r="AN696" s="631"/>
      <c r="AO696" s="18"/>
      <c r="AP696" s="18"/>
      <c r="AQ696" s="18"/>
      <c r="AR696" s="18"/>
      <c r="AS696" s="18"/>
      <c r="AU696" s="448"/>
      <c r="AV696" s="448"/>
      <c r="AW696" s="8" t="str">
        <f>IF(C696&gt;0,VLOOKUP(C696,Foundation_Calc!$A$2:$C$986,3,1),
IF(J696&gt;0,VLOOKUP(J696,Foundation_Calc!$A$2:$C$986,3,1),""))</f>
        <v/>
      </c>
      <c r="AX696" s="8" t="str">
        <f>IF(C696&gt;0,VLOOKUP(C696,Foundation_Calc!$E$2:$G$986,3,1),
IF(J696&gt;0,VLOOKUP(J696,Foundation_Calc!$E$2:$G$986,3,1),""))</f>
        <v/>
      </c>
      <c r="AY696" s="631" t="str">
        <f>IF(L696="","",
IF(AX696="PT",VLOOKUP(L696,Foundation_Calc!$K$4:$R$37,VLOOKUP(AW696,Foundation_Calc!$I$2:$J$8,2,FALSE),0),
IF(AX696="K",VLOOKUP(L696,Foundation_Calc!$K$41:$R$74,VLOOKUP(AW696,Foundation_Calc!$I$2:$J$8,2,FALSE),0),"")))</f>
        <v/>
      </c>
      <c r="AZ696" s="631" t="str">
        <f>IF(K696="","",
IF(AX696="PT",VLOOKUP(K696,Foundation_Calc!$K$4:$R$37,VLOOKUP(AW696,Foundation_Calc!$I$2:$J$8,2,FALSE),0),
IF(AX696="K",VLOOKUP(K696,Foundation_Calc!$K$41:$R$74,VLOOKUP(AW696,Foundation_Calc!$I$2:$J$8,2,FALSE),0),"")))</f>
        <v/>
      </c>
      <c r="BA696" s="632" t="str">
        <f t="shared" si="44"/>
        <v/>
      </c>
      <c r="BB696" s="632" t="str">
        <f t="shared" si="45"/>
        <v/>
      </c>
      <c r="BC696" s="632" t="str">
        <f t="shared" si="46"/>
        <v/>
      </c>
      <c r="BD696" s="633" t="str">
        <f>IF(AND(L696="",H696=""),"",
IF(H696="",Pole_Calc!A724,
IF(H696="MP",Pole_Calc!A725,
IF(H696="AnMP",Pole_Calc!A726,
IF(H696="A",Pole_Calc!A727,
IF(H696="S/A",Pole_Calc!A728,
IF(H696="A/S",Pole_Calc!A729,"Poner a mano")))))))</f>
        <v/>
      </c>
      <c r="BE696" s="448" t="s">
        <v>1726</v>
      </c>
      <c r="BF696" s="634"/>
      <c r="BG696" s="634"/>
      <c r="BH696" s="634"/>
      <c r="BI696" s="634"/>
    </row>
    <row r="697" spans="1:61" ht="16.2" customHeight="1">
      <c r="A697" s="12"/>
      <c r="B697" s="446"/>
      <c r="C697" s="89"/>
      <c r="D697" s="13"/>
      <c r="E697" s="14"/>
      <c r="F697" s="14"/>
      <c r="G697" s="15"/>
      <c r="H697" s="8"/>
      <c r="I697" s="8"/>
      <c r="J697" s="89"/>
      <c r="K697" s="8"/>
      <c r="L697" s="8"/>
      <c r="M697" s="8" t="str">
        <f>IF(L697="","",
IF(AX697="PT",VLOOKUP(L697,Foundation_Calc!$V$4:$X$37,VLOOKUP(AX697,Foundation_Calc!$I$10:$J$13,2,FALSE),0),
IF(AX697="K",VLOOKUP(L697,Foundation_Calc!$V$41:$X$74,VLOOKUP(AX697,Foundation_Calc!$I$10:$J$13,2,FALSE),0),"")))</f>
        <v/>
      </c>
      <c r="N697" s="8"/>
      <c r="O697" s="8"/>
      <c r="P697" s="8"/>
      <c r="Q697" s="14"/>
      <c r="R697" s="15"/>
      <c r="S697" s="15"/>
      <c r="T697" s="14"/>
      <c r="U697" s="14"/>
      <c r="V697" s="14"/>
      <c r="W697" s="18"/>
      <c r="X697" s="18"/>
      <c r="Y697" s="18"/>
      <c r="Z697" s="18"/>
      <c r="AA697" s="18"/>
      <c r="AB697" s="18"/>
      <c r="AC697" s="8" t="str">
        <f t="shared" si="43"/>
        <v/>
      </c>
      <c r="AD697" s="8"/>
      <c r="AE697" s="8"/>
      <c r="AF697" s="14"/>
      <c r="AG697" s="13"/>
      <c r="AH697" s="14"/>
      <c r="AI697" s="14"/>
      <c r="AJ697" s="8"/>
      <c r="AK697" s="8"/>
      <c r="AL697" s="8"/>
      <c r="AM697" s="8"/>
      <c r="AN697" s="631"/>
      <c r="AO697" s="18"/>
      <c r="AP697" s="18"/>
      <c r="AQ697" s="18"/>
      <c r="AR697" s="18"/>
      <c r="AS697" s="18"/>
      <c r="AU697" s="448"/>
      <c r="AV697" s="448"/>
      <c r="AW697" s="8" t="str">
        <f>IF(C697&gt;0,VLOOKUP(C697,Foundation_Calc!$A$2:$C$986,3,1),
IF(J697&gt;0,VLOOKUP(J697,Foundation_Calc!$A$2:$C$986,3,1),""))</f>
        <v/>
      </c>
      <c r="AX697" s="8" t="str">
        <f>IF(C697&gt;0,VLOOKUP(C697,Foundation_Calc!$E$2:$G$986,3,1),
IF(J697&gt;0,VLOOKUP(J697,Foundation_Calc!$E$2:$G$986,3,1),""))</f>
        <v/>
      </c>
      <c r="AY697" s="631" t="str">
        <f>IF(L697="","",
IF(AX697="PT",VLOOKUP(L697,Foundation_Calc!$K$4:$R$37,VLOOKUP(AW697,Foundation_Calc!$I$2:$J$8,2,FALSE),0),
IF(AX697="K",VLOOKUP(L697,Foundation_Calc!$K$41:$R$74,VLOOKUP(AW697,Foundation_Calc!$I$2:$J$8,2,FALSE),0),"")))</f>
        <v/>
      </c>
      <c r="AZ697" s="631" t="str">
        <f>IF(K697="","",
IF(AX697="PT",VLOOKUP(K697,Foundation_Calc!$K$4:$R$37,VLOOKUP(AW697,Foundation_Calc!$I$2:$J$8,2,FALSE),0),
IF(AX697="K",VLOOKUP(K697,Foundation_Calc!$K$41:$R$74,VLOOKUP(AW697,Foundation_Calc!$I$2:$J$8,2,FALSE),0),"")))</f>
        <v/>
      </c>
      <c r="BA697" s="632" t="str">
        <f t="shared" si="44"/>
        <v/>
      </c>
      <c r="BB697" s="632" t="str">
        <f t="shared" si="45"/>
        <v/>
      </c>
      <c r="BC697" s="632" t="str">
        <f t="shared" si="46"/>
        <v/>
      </c>
      <c r="BD697" s="633" t="str">
        <f>IF(AND(L697="",H697=""),"",
IF(H697="",Pole_Calc!A725,
IF(H697="MP",Pole_Calc!A726,
IF(H697="AnMP",Pole_Calc!A727,
IF(H697="A",Pole_Calc!A728,
IF(H697="S/A",Pole_Calc!A729,
IF(H697="A/S",Pole_Calc!A730,"Poner a mano")))))))</f>
        <v/>
      </c>
      <c r="BE697" s="448" t="s">
        <v>1726</v>
      </c>
      <c r="BF697" s="635"/>
      <c r="BG697" s="635"/>
      <c r="BH697" s="634"/>
      <c r="BI697" s="635"/>
    </row>
    <row r="698" spans="1:61" ht="16.2" customHeight="1">
      <c r="A698" s="12"/>
      <c r="B698" s="446"/>
      <c r="C698" s="89"/>
      <c r="D698" s="13"/>
      <c r="E698" s="14"/>
      <c r="F698" s="14"/>
      <c r="G698" s="15"/>
      <c r="H698" s="8"/>
      <c r="I698" s="8"/>
      <c r="J698" s="89"/>
      <c r="K698" s="8"/>
      <c r="L698" s="8"/>
      <c r="M698" s="8" t="str">
        <f>IF(L698="","",
IF(AX698="PT",VLOOKUP(L698,Foundation_Calc!$V$4:$X$37,VLOOKUP(AX698,Foundation_Calc!$I$10:$J$13,2,FALSE),0),
IF(AX698="K",VLOOKUP(L698,Foundation_Calc!$V$41:$X$74,VLOOKUP(AX698,Foundation_Calc!$I$10:$J$13,2,FALSE),0),"")))</f>
        <v/>
      </c>
      <c r="N698" s="8"/>
      <c r="O698" s="8"/>
      <c r="P698" s="8"/>
      <c r="Q698" s="14"/>
      <c r="R698" s="15"/>
      <c r="S698" s="15"/>
      <c r="T698" s="14"/>
      <c r="U698" s="14"/>
      <c r="V698" s="14"/>
      <c r="W698" s="18"/>
      <c r="X698" s="18"/>
      <c r="Y698" s="18"/>
      <c r="Z698" s="18"/>
      <c r="AA698" s="18"/>
      <c r="AB698" s="18"/>
      <c r="AC698" s="8" t="str">
        <f t="shared" si="43"/>
        <v/>
      </c>
      <c r="AD698" s="8"/>
      <c r="AE698" s="8"/>
      <c r="AF698" s="14"/>
      <c r="AG698" s="13"/>
      <c r="AH698" s="14"/>
      <c r="AI698" s="14"/>
      <c r="AJ698" s="8"/>
      <c r="AK698" s="8"/>
      <c r="AL698" s="8"/>
      <c r="AM698" s="8"/>
      <c r="AN698" s="631"/>
      <c r="AO698" s="18"/>
      <c r="AP698" s="18"/>
      <c r="AQ698" s="18"/>
      <c r="AR698" s="18"/>
      <c r="AS698" s="18"/>
      <c r="AU698" s="448"/>
      <c r="AV698" s="448"/>
      <c r="AW698" s="8" t="str">
        <f>IF(C698&gt;0,VLOOKUP(C698,Foundation_Calc!$A$2:$C$986,3,1),
IF(J698&gt;0,VLOOKUP(J698,Foundation_Calc!$A$2:$C$986,3,1),""))</f>
        <v/>
      </c>
      <c r="AX698" s="8" t="str">
        <f>IF(C698&gt;0,VLOOKUP(C698,Foundation_Calc!$E$2:$G$986,3,1),
IF(J698&gt;0,VLOOKUP(J698,Foundation_Calc!$E$2:$G$986,3,1),""))</f>
        <v/>
      </c>
      <c r="AY698" s="631" t="str">
        <f>IF(L698="","",
IF(AX698="PT",VLOOKUP(L698,Foundation_Calc!$K$4:$R$37,VLOOKUP(AW698,Foundation_Calc!$I$2:$J$8,2,FALSE),0),
IF(AX698="K",VLOOKUP(L698,Foundation_Calc!$K$41:$R$74,VLOOKUP(AW698,Foundation_Calc!$I$2:$J$8,2,FALSE),0),"")))</f>
        <v/>
      </c>
      <c r="AZ698" s="631" t="str">
        <f>IF(K698="","",
IF(AX698="PT",VLOOKUP(K698,Foundation_Calc!$K$4:$R$37,VLOOKUP(AW698,Foundation_Calc!$I$2:$J$8,2,FALSE),0),
IF(AX698="K",VLOOKUP(K698,Foundation_Calc!$K$41:$R$74,VLOOKUP(AW698,Foundation_Calc!$I$2:$J$8,2,FALSE),0),"")))</f>
        <v/>
      </c>
      <c r="BA698" s="632" t="str">
        <f t="shared" si="44"/>
        <v/>
      </c>
      <c r="BB698" s="632" t="str">
        <f t="shared" si="45"/>
        <v/>
      </c>
      <c r="BC698" s="632" t="str">
        <f t="shared" si="46"/>
        <v/>
      </c>
      <c r="BD698" s="633" t="str">
        <f>IF(AND(L698="",H698=""),"",
IF(H698="",Pole_Calc!A726,
IF(H698="MP",Pole_Calc!A727,
IF(H698="AnMP",Pole_Calc!A728,
IF(H698="A",Pole_Calc!A729,
IF(H698="S/A",Pole_Calc!A730,
IF(H698="A/S",Pole_Calc!A731,"Poner a mano")))))))</f>
        <v/>
      </c>
      <c r="BE698" s="448" t="s">
        <v>1726</v>
      </c>
      <c r="BF698" s="634"/>
      <c r="BG698" s="634"/>
      <c r="BH698" s="634"/>
      <c r="BI698" s="634"/>
    </row>
    <row r="699" spans="1:61" ht="16.2" customHeight="1">
      <c r="A699" s="12"/>
      <c r="B699" s="446"/>
      <c r="C699" s="89"/>
      <c r="D699" s="13"/>
      <c r="E699" s="14"/>
      <c r="F699" s="14"/>
      <c r="G699" s="15"/>
      <c r="H699" s="8"/>
      <c r="I699" s="8"/>
      <c r="J699" s="89"/>
      <c r="K699" s="8"/>
      <c r="L699" s="8"/>
      <c r="M699" s="8" t="str">
        <f>IF(L699="","",
IF(AX699="PT",VLOOKUP(L699,Foundation_Calc!$V$4:$X$37,VLOOKUP(AX699,Foundation_Calc!$I$10:$J$13,2,FALSE),0),
IF(AX699="K",VLOOKUP(L699,Foundation_Calc!$V$41:$X$74,VLOOKUP(AX699,Foundation_Calc!$I$10:$J$13,2,FALSE),0),"")))</f>
        <v/>
      </c>
      <c r="N699" s="8"/>
      <c r="O699" s="8"/>
      <c r="P699" s="8"/>
      <c r="Q699" s="14"/>
      <c r="R699" s="15"/>
      <c r="S699" s="15"/>
      <c r="T699" s="14"/>
      <c r="U699" s="14"/>
      <c r="V699" s="14"/>
      <c r="W699" s="18"/>
      <c r="X699" s="18"/>
      <c r="Y699" s="18"/>
      <c r="Z699" s="18"/>
      <c r="AA699" s="18"/>
      <c r="AB699" s="18"/>
      <c r="AC699" s="8" t="str">
        <f t="shared" si="43"/>
        <v/>
      </c>
      <c r="AD699" s="8"/>
      <c r="AE699" s="8"/>
      <c r="AF699" s="14"/>
      <c r="AG699" s="13"/>
      <c r="AH699" s="14"/>
      <c r="AI699" s="14"/>
      <c r="AJ699" s="8"/>
      <c r="AK699" s="8"/>
      <c r="AL699" s="8"/>
      <c r="AM699" s="8"/>
      <c r="AN699" s="631"/>
      <c r="AO699" s="18"/>
      <c r="AP699" s="18"/>
      <c r="AQ699" s="18"/>
      <c r="AR699" s="18"/>
      <c r="AS699" s="18"/>
      <c r="AU699" s="448"/>
      <c r="AV699" s="448"/>
      <c r="AW699" s="8" t="str">
        <f>IF(C699&gt;0,VLOOKUP(C699,Foundation_Calc!$A$2:$C$986,3,1),
IF(J699&gt;0,VLOOKUP(J699,Foundation_Calc!$A$2:$C$986,3,1),""))</f>
        <v/>
      </c>
      <c r="AX699" s="8" t="str">
        <f>IF(C699&gt;0,VLOOKUP(C699,Foundation_Calc!$E$2:$G$986,3,1),
IF(J699&gt;0,VLOOKUP(J699,Foundation_Calc!$E$2:$G$986,3,1),""))</f>
        <v/>
      </c>
      <c r="AY699" s="631" t="str">
        <f>IF(L699="","",
IF(AX699="PT",VLOOKUP(L699,Foundation_Calc!$K$4:$R$37,VLOOKUP(AW699,Foundation_Calc!$I$2:$J$8,2,FALSE),0),
IF(AX699="K",VLOOKUP(L699,Foundation_Calc!$K$41:$R$74,VLOOKUP(AW699,Foundation_Calc!$I$2:$J$8,2,FALSE),0),"")))</f>
        <v/>
      </c>
      <c r="AZ699" s="631" t="str">
        <f>IF(K699="","",
IF(AX699="PT",VLOOKUP(K699,Foundation_Calc!$K$4:$R$37,VLOOKUP(AW699,Foundation_Calc!$I$2:$J$8,2,FALSE),0),
IF(AX699="K",VLOOKUP(K699,Foundation_Calc!$K$41:$R$74,VLOOKUP(AW699,Foundation_Calc!$I$2:$J$8,2,FALSE),0),"")))</f>
        <v/>
      </c>
      <c r="BA699" s="632" t="str">
        <f t="shared" si="44"/>
        <v/>
      </c>
      <c r="BB699" s="632" t="str">
        <f t="shared" si="45"/>
        <v/>
      </c>
      <c r="BC699" s="632" t="str">
        <f t="shared" si="46"/>
        <v/>
      </c>
      <c r="BD699" s="633" t="str">
        <f>IF(AND(L699="",H699=""),"",
IF(H699="",Pole_Calc!A727,
IF(H699="MP",Pole_Calc!A728,
IF(H699="AnMP",Pole_Calc!A729,
IF(H699="A",Pole_Calc!A730,
IF(H699="S/A",Pole_Calc!A731,
IF(H699="A/S",Pole_Calc!A732,"Poner a mano")))))))</f>
        <v/>
      </c>
      <c r="BE699" s="448" t="s">
        <v>1726</v>
      </c>
      <c r="BF699" s="635"/>
      <c r="BG699" s="635"/>
      <c r="BH699" s="634"/>
      <c r="BI699" s="635"/>
    </row>
    <row r="700" spans="1:61" ht="16.2" customHeight="1">
      <c r="A700" s="12"/>
      <c r="B700" s="446"/>
      <c r="C700" s="89"/>
      <c r="D700" s="13"/>
      <c r="E700" s="14"/>
      <c r="F700" s="14"/>
      <c r="G700" s="15"/>
      <c r="H700" s="8"/>
      <c r="I700" s="8"/>
      <c r="J700" s="89"/>
      <c r="K700" s="8"/>
      <c r="L700" s="8"/>
      <c r="M700" s="8" t="str">
        <f>IF(L700="","",
IF(AX700="PT",VLOOKUP(L700,Foundation_Calc!$V$4:$X$37,VLOOKUP(AX700,Foundation_Calc!$I$10:$J$13,2,FALSE),0),
IF(AX700="K",VLOOKUP(L700,Foundation_Calc!$V$41:$X$74,VLOOKUP(AX700,Foundation_Calc!$I$10:$J$13,2,FALSE),0),"")))</f>
        <v/>
      </c>
      <c r="N700" s="8"/>
      <c r="O700" s="8"/>
      <c r="P700" s="8"/>
      <c r="Q700" s="14"/>
      <c r="R700" s="15"/>
      <c r="S700" s="15"/>
      <c r="T700" s="14"/>
      <c r="U700" s="14"/>
      <c r="V700" s="14"/>
      <c r="W700" s="18"/>
      <c r="X700" s="18"/>
      <c r="Y700" s="18"/>
      <c r="Z700" s="18"/>
      <c r="AA700" s="18"/>
      <c r="AB700" s="18"/>
      <c r="AC700" s="8" t="str">
        <f t="shared" si="43"/>
        <v/>
      </c>
      <c r="AD700" s="8"/>
      <c r="AE700" s="8"/>
      <c r="AF700" s="14"/>
      <c r="AG700" s="13"/>
      <c r="AH700" s="14"/>
      <c r="AI700" s="14"/>
      <c r="AJ700" s="8"/>
      <c r="AK700" s="8"/>
      <c r="AL700" s="8"/>
      <c r="AM700" s="8"/>
      <c r="AN700" s="631"/>
      <c r="AO700" s="18"/>
      <c r="AP700" s="18"/>
      <c r="AQ700" s="18"/>
      <c r="AR700" s="18"/>
      <c r="AS700" s="18"/>
      <c r="AU700" s="448"/>
      <c r="AV700" s="448"/>
      <c r="AW700" s="8" t="str">
        <f>IF(C700&gt;0,VLOOKUP(C700,Foundation_Calc!$A$2:$C$986,3,1),
IF(J700&gt;0,VLOOKUP(J700,Foundation_Calc!$A$2:$C$986,3,1),""))</f>
        <v/>
      </c>
      <c r="AX700" s="8" t="str">
        <f>IF(C700&gt;0,VLOOKUP(C700,Foundation_Calc!$E$2:$G$986,3,1),
IF(J700&gt;0,VLOOKUP(J700,Foundation_Calc!$E$2:$G$986,3,1),""))</f>
        <v/>
      </c>
      <c r="AY700" s="631" t="str">
        <f>IF(L700="","",
IF(AX700="PT",VLOOKUP(L700,Foundation_Calc!$K$4:$R$37,VLOOKUP(AW700,Foundation_Calc!$I$2:$J$8,2,FALSE),0),
IF(AX700="K",VLOOKUP(L700,Foundation_Calc!$K$41:$R$74,VLOOKUP(AW700,Foundation_Calc!$I$2:$J$8,2,FALSE),0),"")))</f>
        <v/>
      </c>
      <c r="AZ700" s="631" t="str">
        <f>IF(K700="","",
IF(AX700="PT",VLOOKUP(K700,Foundation_Calc!$K$4:$R$37,VLOOKUP(AW700,Foundation_Calc!$I$2:$J$8,2,FALSE),0),
IF(AX700="K",VLOOKUP(K700,Foundation_Calc!$K$41:$R$74,VLOOKUP(AW700,Foundation_Calc!$I$2:$J$8,2,FALSE),0),"")))</f>
        <v/>
      </c>
      <c r="BA700" s="632" t="str">
        <f t="shared" si="44"/>
        <v/>
      </c>
      <c r="BB700" s="632" t="str">
        <f t="shared" si="45"/>
        <v/>
      </c>
      <c r="BC700" s="632" t="str">
        <f t="shared" si="46"/>
        <v/>
      </c>
      <c r="BD700" s="633" t="str">
        <f>IF(AND(L700="",H700=""),"",
IF(H700="",Pole_Calc!A728,
IF(H700="MP",Pole_Calc!A729,
IF(H700="AnMP",Pole_Calc!A730,
IF(H700="A",Pole_Calc!A731,
IF(H700="S/A",Pole_Calc!A732,
IF(H700="A/S",Pole_Calc!A733,"Poner a mano")))))))</f>
        <v/>
      </c>
      <c r="BE700" s="448" t="s">
        <v>1726</v>
      </c>
      <c r="BF700" s="634"/>
      <c r="BG700" s="634"/>
      <c r="BH700" s="634"/>
      <c r="BI700" s="634"/>
    </row>
    <row r="701" spans="1:61" ht="16.2" customHeight="1">
      <c r="A701" s="12"/>
      <c r="B701" s="446"/>
      <c r="C701" s="89"/>
      <c r="D701" s="13"/>
      <c r="E701" s="14"/>
      <c r="F701" s="14"/>
      <c r="G701" s="15"/>
      <c r="H701" s="8"/>
      <c r="I701" s="8"/>
      <c r="J701" s="89"/>
      <c r="K701" s="8"/>
      <c r="L701" s="8"/>
      <c r="M701" s="8" t="str">
        <f>IF(L701="","",
IF(AX701="PT",VLOOKUP(L701,Foundation_Calc!$V$4:$X$37,VLOOKUP(AX701,Foundation_Calc!$I$10:$J$13,2,FALSE),0),
IF(AX701="K",VLOOKUP(L701,Foundation_Calc!$V$41:$X$74,VLOOKUP(AX701,Foundation_Calc!$I$10:$J$13,2,FALSE),0),"")))</f>
        <v/>
      </c>
      <c r="N701" s="8"/>
      <c r="O701" s="8"/>
      <c r="P701" s="8"/>
      <c r="Q701" s="14"/>
      <c r="R701" s="15"/>
      <c r="S701" s="15"/>
      <c r="T701" s="14"/>
      <c r="U701" s="14"/>
      <c r="V701" s="14"/>
      <c r="W701" s="18"/>
      <c r="X701" s="18"/>
      <c r="Y701" s="18"/>
      <c r="Z701" s="18"/>
      <c r="AA701" s="18"/>
      <c r="AB701" s="18"/>
      <c r="AC701" s="8" t="str">
        <f t="shared" si="43"/>
        <v/>
      </c>
      <c r="AD701" s="8"/>
      <c r="AE701" s="8"/>
      <c r="AF701" s="14"/>
      <c r="AG701" s="13"/>
      <c r="AH701" s="14"/>
      <c r="AI701" s="14"/>
      <c r="AJ701" s="8"/>
      <c r="AK701" s="8"/>
      <c r="AL701" s="8"/>
      <c r="AM701" s="8"/>
      <c r="AN701" s="631"/>
      <c r="AO701" s="18"/>
      <c r="AP701" s="18"/>
      <c r="AQ701" s="18"/>
      <c r="AR701" s="18"/>
      <c r="AS701" s="18"/>
      <c r="AU701" s="448"/>
      <c r="AV701" s="448"/>
      <c r="AW701" s="8" t="str">
        <f>IF(C701&gt;0,VLOOKUP(C701,Foundation_Calc!$A$2:$C$986,3,1),
IF(J701&gt;0,VLOOKUP(J701,Foundation_Calc!$A$2:$C$986,3,1),""))</f>
        <v/>
      </c>
      <c r="AX701" s="8" t="str">
        <f>IF(C701&gt;0,VLOOKUP(C701,Foundation_Calc!$E$2:$G$986,3,1),
IF(J701&gt;0,VLOOKUP(J701,Foundation_Calc!$E$2:$G$986,3,1),""))</f>
        <v/>
      </c>
      <c r="AY701" s="631" t="str">
        <f>IF(L701="","",
IF(AX701="PT",VLOOKUP(L701,Foundation_Calc!$K$4:$R$37,VLOOKUP(AW701,Foundation_Calc!$I$2:$J$8,2,FALSE),0),
IF(AX701="K",VLOOKUP(L701,Foundation_Calc!$K$41:$R$74,VLOOKUP(AW701,Foundation_Calc!$I$2:$J$8,2,FALSE),0),"")))</f>
        <v/>
      </c>
      <c r="AZ701" s="631" t="str">
        <f>IF(K701="","",
IF(AX701="PT",VLOOKUP(K701,Foundation_Calc!$K$4:$R$37,VLOOKUP(AW701,Foundation_Calc!$I$2:$J$8,2,FALSE),0),
IF(AX701="K",VLOOKUP(K701,Foundation_Calc!$K$41:$R$74,VLOOKUP(AW701,Foundation_Calc!$I$2:$J$8,2,FALSE),0),"")))</f>
        <v/>
      </c>
      <c r="BA701" s="632" t="str">
        <f t="shared" si="44"/>
        <v/>
      </c>
      <c r="BB701" s="632" t="str">
        <f t="shared" si="45"/>
        <v/>
      </c>
      <c r="BC701" s="632" t="str">
        <f t="shared" si="46"/>
        <v/>
      </c>
      <c r="BD701" s="633" t="str">
        <f>IF(AND(L701="",H701=""),"",
IF(H701="",Pole_Calc!A729,
IF(H701="MP",Pole_Calc!A730,
IF(H701="AnMP",Pole_Calc!A731,
IF(H701="A",Pole_Calc!A732,
IF(H701="S/A",Pole_Calc!A733,
IF(H701="A/S",Pole_Calc!A734,"Poner a mano")))))))</f>
        <v/>
      </c>
      <c r="BE701" s="448" t="s">
        <v>1726</v>
      </c>
      <c r="BF701" s="635"/>
      <c r="BG701" s="635"/>
      <c r="BH701" s="634"/>
      <c r="BI701" s="635"/>
    </row>
    <row r="702" spans="1:61" ht="16.2" customHeight="1">
      <c r="A702" s="12"/>
      <c r="B702" s="446"/>
      <c r="C702" s="89"/>
      <c r="D702" s="13"/>
      <c r="E702" s="14"/>
      <c r="F702" s="14"/>
      <c r="G702" s="15"/>
      <c r="H702" s="8"/>
      <c r="I702" s="8"/>
      <c r="J702" s="89"/>
      <c r="K702" s="8"/>
      <c r="L702" s="8"/>
      <c r="M702" s="8" t="str">
        <f>IF(L702="","",
IF(AX702="PT",VLOOKUP(L702,Foundation_Calc!$V$4:$X$37,VLOOKUP(AX702,Foundation_Calc!$I$10:$J$13,2,FALSE),0),
IF(AX702="K",VLOOKUP(L702,Foundation_Calc!$V$41:$X$74,VLOOKUP(AX702,Foundation_Calc!$I$10:$J$13,2,FALSE),0),"")))</f>
        <v/>
      </c>
      <c r="N702" s="8"/>
      <c r="O702" s="8"/>
      <c r="P702" s="8"/>
      <c r="Q702" s="14"/>
      <c r="R702" s="15"/>
      <c r="S702" s="15"/>
      <c r="T702" s="14"/>
      <c r="U702" s="14"/>
      <c r="V702" s="14"/>
      <c r="W702" s="18"/>
      <c r="X702" s="18"/>
      <c r="Y702" s="18"/>
      <c r="Z702" s="18"/>
      <c r="AA702" s="18"/>
      <c r="AB702" s="18"/>
      <c r="AC702" s="8" t="str">
        <f t="shared" si="43"/>
        <v/>
      </c>
      <c r="AD702" s="8"/>
      <c r="AE702" s="8"/>
      <c r="AF702" s="14"/>
      <c r="AG702" s="13"/>
      <c r="AH702" s="14"/>
      <c r="AI702" s="14"/>
      <c r="AJ702" s="8"/>
      <c r="AK702" s="8"/>
      <c r="AL702" s="8"/>
      <c r="AM702" s="8"/>
      <c r="AN702" s="631"/>
      <c r="AO702" s="18"/>
      <c r="AP702" s="18"/>
      <c r="AQ702" s="18"/>
      <c r="AR702" s="18"/>
      <c r="AS702" s="18"/>
      <c r="AU702" s="448"/>
      <c r="AV702" s="448"/>
      <c r="AW702" s="8" t="str">
        <f>IF(C702&gt;0,VLOOKUP(C702,Foundation_Calc!$A$2:$C$986,3,1),
IF(J702&gt;0,VLOOKUP(J702,Foundation_Calc!$A$2:$C$986,3,1),""))</f>
        <v/>
      </c>
      <c r="AX702" s="8" t="str">
        <f>IF(C702&gt;0,VLOOKUP(C702,Foundation_Calc!$E$2:$G$986,3,1),
IF(J702&gt;0,VLOOKUP(J702,Foundation_Calc!$E$2:$G$986,3,1),""))</f>
        <v/>
      </c>
      <c r="AY702" s="631" t="str">
        <f>IF(L702="","",
IF(AX702="PT",VLOOKUP(L702,Foundation_Calc!$K$4:$R$37,VLOOKUP(AW702,Foundation_Calc!$I$2:$J$8,2,FALSE),0),
IF(AX702="K",VLOOKUP(L702,Foundation_Calc!$K$41:$R$74,VLOOKUP(AW702,Foundation_Calc!$I$2:$J$8,2,FALSE),0),"")))</f>
        <v/>
      </c>
      <c r="AZ702" s="631" t="str">
        <f>IF(K702="","",
IF(AX702="PT",VLOOKUP(K702,Foundation_Calc!$K$4:$R$37,VLOOKUP(AW702,Foundation_Calc!$I$2:$J$8,2,FALSE),0),
IF(AX702="K",VLOOKUP(K702,Foundation_Calc!$K$41:$R$74,VLOOKUP(AW702,Foundation_Calc!$I$2:$J$8,2,FALSE),0),"")))</f>
        <v/>
      </c>
      <c r="BA702" s="632" t="str">
        <f t="shared" si="44"/>
        <v/>
      </c>
      <c r="BB702" s="632" t="str">
        <f t="shared" si="45"/>
        <v/>
      </c>
      <c r="BC702" s="632" t="str">
        <f t="shared" si="46"/>
        <v/>
      </c>
      <c r="BD702" s="633" t="str">
        <f>IF(AND(L702="",H702=""),"",
IF(H702="",Pole_Calc!A730,
IF(H702="MP",Pole_Calc!A731,
IF(H702="AnMP",Pole_Calc!A732,
IF(H702="A",Pole_Calc!A733,
IF(H702="S/A",Pole_Calc!A734,
IF(H702="A/S",Pole_Calc!A735,"Poner a mano")))))))</f>
        <v/>
      </c>
      <c r="BE702" s="448" t="s">
        <v>1726</v>
      </c>
      <c r="BF702" s="634"/>
      <c r="BG702" s="634"/>
      <c r="BH702" s="634"/>
      <c r="BI702" s="634"/>
    </row>
    <row r="703" spans="1:61" ht="16.2" customHeight="1">
      <c r="A703" s="12"/>
      <c r="B703" s="446"/>
      <c r="C703" s="89"/>
      <c r="D703" s="13"/>
      <c r="E703" s="14"/>
      <c r="F703" s="14"/>
      <c r="G703" s="15"/>
      <c r="H703" s="8"/>
      <c r="I703" s="8"/>
      <c r="J703" s="89"/>
      <c r="K703" s="8"/>
      <c r="L703" s="8"/>
      <c r="M703" s="8" t="str">
        <f>IF(L703="","",
IF(AX703="PT",VLOOKUP(L703,Foundation_Calc!$V$4:$X$37,VLOOKUP(AX703,Foundation_Calc!$I$10:$J$13,2,FALSE),0),
IF(AX703="K",VLOOKUP(L703,Foundation_Calc!$V$41:$X$74,VLOOKUP(AX703,Foundation_Calc!$I$10:$J$13,2,FALSE),0),"")))</f>
        <v/>
      </c>
      <c r="N703" s="8"/>
      <c r="O703" s="8"/>
      <c r="P703" s="8"/>
      <c r="Q703" s="14"/>
      <c r="R703" s="15"/>
      <c r="S703" s="15"/>
      <c r="T703" s="14"/>
      <c r="U703" s="14"/>
      <c r="V703" s="14"/>
      <c r="W703" s="18"/>
      <c r="X703" s="18"/>
      <c r="Y703" s="18"/>
      <c r="Z703" s="18"/>
      <c r="AA703" s="18"/>
      <c r="AB703" s="18"/>
      <c r="AC703" s="8" t="str">
        <f t="shared" si="43"/>
        <v/>
      </c>
      <c r="AD703" s="8"/>
      <c r="AE703" s="8"/>
      <c r="AF703" s="14"/>
      <c r="AG703" s="13"/>
      <c r="AH703" s="14"/>
      <c r="AI703" s="14"/>
      <c r="AJ703" s="8"/>
      <c r="AK703" s="8"/>
      <c r="AL703" s="8"/>
      <c r="AM703" s="8"/>
      <c r="AN703" s="631"/>
      <c r="AO703" s="18"/>
      <c r="AP703" s="18"/>
      <c r="AQ703" s="18"/>
      <c r="AR703" s="18"/>
      <c r="AS703" s="18"/>
      <c r="AU703" s="448"/>
      <c r="AV703" s="448"/>
      <c r="AW703" s="8" t="str">
        <f>IF(C703&gt;0,VLOOKUP(C703,Foundation_Calc!$A$2:$C$986,3,1),
IF(J703&gt;0,VLOOKUP(J703,Foundation_Calc!$A$2:$C$986,3,1),""))</f>
        <v/>
      </c>
      <c r="AX703" s="8" t="str">
        <f>IF(C703&gt;0,VLOOKUP(C703,Foundation_Calc!$E$2:$G$986,3,1),
IF(J703&gt;0,VLOOKUP(J703,Foundation_Calc!$E$2:$G$986,3,1),""))</f>
        <v/>
      </c>
      <c r="AY703" s="631" t="str">
        <f>IF(L703="","",
IF(AX703="PT",VLOOKUP(L703,Foundation_Calc!$K$4:$R$37,VLOOKUP(AW703,Foundation_Calc!$I$2:$J$8,2,FALSE),0),
IF(AX703="K",VLOOKUP(L703,Foundation_Calc!$K$41:$R$74,VLOOKUP(AW703,Foundation_Calc!$I$2:$J$8,2,FALSE),0),"")))</f>
        <v/>
      </c>
      <c r="AZ703" s="631" t="str">
        <f>IF(K703="","",
IF(AX703="PT",VLOOKUP(K703,Foundation_Calc!$K$4:$R$37,VLOOKUP(AW703,Foundation_Calc!$I$2:$J$8,2,FALSE),0),
IF(AX703="K",VLOOKUP(K703,Foundation_Calc!$K$41:$R$74,VLOOKUP(AW703,Foundation_Calc!$I$2:$J$8,2,FALSE),0),"")))</f>
        <v/>
      </c>
      <c r="BA703" s="632" t="str">
        <f t="shared" si="44"/>
        <v/>
      </c>
      <c r="BB703" s="632" t="str">
        <f t="shared" si="45"/>
        <v/>
      </c>
      <c r="BC703" s="632" t="str">
        <f t="shared" si="46"/>
        <v/>
      </c>
      <c r="BD703" s="633" t="str">
        <f>IF(AND(L703="",H703=""),"",
IF(H703="",Pole_Calc!A731,
IF(H703="MP",Pole_Calc!A732,
IF(H703="AnMP",Pole_Calc!A733,
IF(H703="A",Pole_Calc!A734,
IF(H703="S/A",Pole_Calc!A735,
IF(H703="A/S",Pole_Calc!A736,"Poner a mano")))))))</f>
        <v/>
      </c>
      <c r="BE703" s="448" t="s">
        <v>1726</v>
      </c>
      <c r="BF703" s="635"/>
      <c r="BG703" s="635"/>
      <c r="BH703" s="634"/>
      <c r="BI703" s="635"/>
    </row>
    <row r="704" spans="1:61" ht="16.2" customHeight="1">
      <c r="A704" s="12"/>
      <c r="B704" s="446"/>
      <c r="C704" s="89"/>
      <c r="D704" s="13"/>
      <c r="E704" s="14"/>
      <c r="F704" s="14"/>
      <c r="G704" s="15"/>
      <c r="H704" s="8"/>
      <c r="I704" s="8"/>
      <c r="J704" s="89"/>
      <c r="K704" s="8"/>
      <c r="L704" s="8"/>
      <c r="M704" s="8" t="str">
        <f>IF(L704="","",
IF(AX704="PT",VLOOKUP(L704,Foundation_Calc!$V$4:$X$37,VLOOKUP(AX704,Foundation_Calc!$I$10:$J$13,2,FALSE),0),
IF(AX704="K",VLOOKUP(L704,Foundation_Calc!$V$41:$X$74,VLOOKUP(AX704,Foundation_Calc!$I$10:$J$13,2,FALSE),0),"")))</f>
        <v/>
      </c>
      <c r="N704" s="8"/>
      <c r="O704" s="8"/>
      <c r="P704" s="8"/>
      <c r="Q704" s="14"/>
      <c r="R704" s="15"/>
      <c r="S704" s="15"/>
      <c r="T704" s="14"/>
      <c r="U704" s="14"/>
      <c r="V704" s="14"/>
      <c r="W704" s="18"/>
      <c r="X704" s="18"/>
      <c r="Y704" s="18"/>
      <c r="Z704" s="18"/>
      <c r="AA704" s="18"/>
      <c r="AB704" s="18"/>
      <c r="AC704" s="8" t="str">
        <f t="shared" si="43"/>
        <v/>
      </c>
      <c r="AD704" s="8"/>
      <c r="AE704" s="8"/>
      <c r="AF704" s="14"/>
      <c r="AG704" s="13"/>
      <c r="AH704" s="14"/>
      <c r="AI704" s="14"/>
      <c r="AJ704" s="8"/>
      <c r="AK704" s="8"/>
      <c r="AL704" s="8"/>
      <c r="AM704" s="8"/>
      <c r="AN704" s="631"/>
      <c r="AO704" s="18"/>
      <c r="AP704" s="18"/>
      <c r="AQ704" s="18"/>
      <c r="AR704" s="18"/>
      <c r="AS704" s="18"/>
      <c r="AU704" s="448"/>
      <c r="AV704" s="448"/>
      <c r="AW704" s="8" t="str">
        <f>IF(C704&gt;0,VLOOKUP(C704,Foundation_Calc!$A$2:$C$986,3,1),
IF(J704&gt;0,VLOOKUP(J704,Foundation_Calc!$A$2:$C$986,3,1),""))</f>
        <v/>
      </c>
      <c r="AX704" s="8" t="str">
        <f>IF(C704&gt;0,VLOOKUP(C704,Foundation_Calc!$E$2:$G$986,3,1),
IF(J704&gt;0,VLOOKUP(J704,Foundation_Calc!$E$2:$G$986,3,1),""))</f>
        <v/>
      </c>
      <c r="AY704" s="631" t="str">
        <f>IF(L704="","",
IF(AX704="PT",VLOOKUP(L704,Foundation_Calc!$K$4:$R$37,VLOOKUP(AW704,Foundation_Calc!$I$2:$J$8,2,FALSE),0),
IF(AX704="K",VLOOKUP(L704,Foundation_Calc!$K$41:$R$74,VLOOKUP(AW704,Foundation_Calc!$I$2:$J$8,2,FALSE),0),"")))</f>
        <v/>
      </c>
      <c r="AZ704" s="631" t="str">
        <f>IF(K704="","",
IF(AX704="PT",VLOOKUP(K704,Foundation_Calc!$K$4:$R$37,VLOOKUP(AW704,Foundation_Calc!$I$2:$J$8,2,FALSE),0),
IF(AX704="K",VLOOKUP(K704,Foundation_Calc!$K$41:$R$74,VLOOKUP(AW704,Foundation_Calc!$I$2:$J$8,2,FALSE),0),"")))</f>
        <v/>
      </c>
      <c r="BA704" s="632" t="str">
        <f t="shared" si="44"/>
        <v/>
      </c>
      <c r="BB704" s="632" t="str">
        <f t="shared" si="45"/>
        <v/>
      </c>
      <c r="BC704" s="632" t="str">
        <f t="shared" si="46"/>
        <v/>
      </c>
      <c r="BD704" s="633" t="str">
        <f>IF(AND(L704="",H704=""),"",
IF(H704="",Pole_Calc!A732,
IF(H704="MP",Pole_Calc!A733,
IF(H704="AnMP",Pole_Calc!A734,
IF(H704="A",Pole_Calc!A735,
IF(H704="S/A",Pole_Calc!A736,
IF(H704="A/S",Pole_Calc!A737,"Poner a mano")))))))</f>
        <v/>
      </c>
      <c r="BE704" s="448" t="s">
        <v>1726</v>
      </c>
      <c r="BF704" s="634"/>
      <c r="BG704" s="634"/>
      <c r="BH704" s="634"/>
      <c r="BI704" s="634"/>
    </row>
    <row r="705" spans="1:61" ht="16.2" customHeight="1">
      <c r="A705" s="12"/>
      <c r="B705" s="446"/>
      <c r="C705" s="89"/>
      <c r="D705" s="13"/>
      <c r="E705" s="14"/>
      <c r="F705" s="14"/>
      <c r="G705" s="15"/>
      <c r="H705" s="8"/>
      <c r="I705" s="8"/>
      <c r="J705" s="89"/>
      <c r="K705" s="8"/>
      <c r="L705" s="8"/>
      <c r="M705" s="8" t="str">
        <f>IF(L705="","",
IF(AX705="PT",VLOOKUP(L705,Foundation_Calc!$V$4:$X$37,VLOOKUP(AX705,Foundation_Calc!$I$10:$J$13,2,FALSE),0),
IF(AX705="K",VLOOKUP(L705,Foundation_Calc!$V$41:$X$74,VLOOKUP(AX705,Foundation_Calc!$I$10:$J$13,2,FALSE),0),"")))</f>
        <v/>
      </c>
      <c r="N705" s="8"/>
      <c r="O705" s="8"/>
      <c r="P705" s="8"/>
      <c r="Q705" s="14"/>
      <c r="R705" s="15"/>
      <c r="S705" s="15"/>
      <c r="T705" s="14"/>
      <c r="U705" s="14"/>
      <c r="V705" s="14"/>
      <c r="W705" s="18"/>
      <c r="X705" s="18"/>
      <c r="Y705" s="18"/>
      <c r="Z705" s="18"/>
      <c r="AA705" s="18"/>
      <c r="AB705" s="18"/>
      <c r="AC705" s="8" t="str">
        <f t="shared" si="43"/>
        <v/>
      </c>
      <c r="AD705" s="8"/>
      <c r="AE705" s="8"/>
      <c r="AF705" s="14"/>
      <c r="AG705" s="13"/>
      <c r="AH705" s="14"/>
      <c r="AI705" s="14"/>
      <c r="AJ705" s="8"/>
      <c r="AK705" s="8"/>
      <c r="AL705" s="8"/>
      <c r="AM705" s="8"/>
      <c r="AN705" s="631"/>
      <c r="AO705" s="18"/>
      <c r="AP705" s="18"/>
      <c r="AQ705" s="18"/>
      <c r="AR705" s="18"/>
      <c r="AS705" s="18"/>
      <c r="AU705" s="448"/>
      <c r="AV705" s="448"/>
      <c r="AW705" s="8" t="str">
        <f>IF(C705&gt;0,VLOOKUP(C705,Foundation_Calc!$A$2:$C$986,3,1),
IF(J705&gt;0,VLOOKUP(J705,Foundation_Calc!$A$2:$C$986,3,1),""))</f>
        <v/>
      </c>
      <c r="AX705" s="8" t="str">
        <f>IF(C705&gt;0,VLOOKUP(C705,Foundation_Calc!$E$2:$G$986,3,1),
IF(J705&gt;0,VLOOKUP(J705,Foundation_Calc!$E$2:$G$986,3,1),""))</f>
        <v/>
      </c>
      <c r="AY705" s="631" t="str">
        <f>IF(L705="","",
IF(AX705="PT",VLOOKUP(L705,Foundation_Calc!$K$4:$R$37,VLOOKUP(AW705,Foundation_Calc!$I$2:$J$8,2,FALSE),0),
IF(AX705="K",VLOOKUP(L705,Foundation_Calc!$K$41:$R$74,VLOOKUP(AW705,Foundation_Calc!$I$2:$J$8,2,FALSE),0),"")))</f>
        <v/>
      </c>
      <c r="AZ705" s="631" t="str">
        <f>IF(K705="","",
IF(AX705="PT",VLOOKUP(K705,Foundation_Calc!$K$4:$R$37,VLOOKUP(AW705,Foundation_Calc!$I$2:$J$8,2,FALSE),0),
IF(AX705="K",VLOOKUP(K705,Foundation_Calc!$K$41:$R$74,VLOOKUP(AW705,Foundation_Calc!$I$2:$J$8,2,FALSE),0),"")))</f>
        <v/>
      </c>
      <c r="BA705" s="632" t="str">
        <f t="shared" si="44"/>
        <v/>
      </c>
      <c r="BB705" s="632" t="str">
        <f t="shared" si="45"/>
        <v/>
      </c>
      <c r="BC705" s="632" t="str">
        <f t="shared" si="46"/>
        <v/>
      </c>
      <c r="BD705" s="633" t="str">
        <f>IF(AND(L705="",H705=""),"",
IF(H705="",Pole_Calc!A733,
IF(H705="MP",Pole_Calc!A734,
IF(H705="AnMP",Pole_Calc!A735,
IF(H705="A",Pole_Calc!A736,
IF(H705="S/A",Pole_Calc!A737,
IF(H705="A/S",Pole_Calc!A738,"Poner a mano")))))))</f>
        <v/>
      </c>
      <c r="BE705" s="448" t="s">
        <v>1726</v>
      </c>
      <c r="BF705" s="635"/>
      <c r="BG705" s="635"/>
      <c r="BH705" s="634"/>
      <c r="BI705" s="635"/>
    </row>
    <row r="706" spans="1:61" ht="16.2" customHeight="1">
      <c r="A706" s="12"/>
      <c r="B706" s="446"/>
      <c r="C706" s="89"/>
      <c r="D706" s="13"/>
      <c r="E706" s="14"/>
      <c r="F706" s="14"/>
      <c r="G706" s="15"/>
      <c r="H706" s="8"/>
      <c r="I706" s="8"/>
      <c r="J706" s="89"/>
      <c r="K706" s="8"/>
      <c r="L706" s="8"/>
      <c r="M706" s="8" t="str">
        <f>IF(L706="","",
IF(AX706="PT",VLOOKUP(L706,Foundation_Calc!$V$4:$X$37,VLOOKUP(AX706,Foundation_Calc!$I$10:$J$13,2,FALSE),0),
IF(AX706="K",VLOOKUP(L706,Foundation_Calc!$V$41:$X$74,VLOOKUP(AX706,Foundation_Calc!$I$10:$J$13,2,FALSE),0),"")))</f>
        <v/>
      </c>
      <c r="N706" s="8"/>
      <c r="O706" s="8"/>
      <c r="P706" s="8"/>
      <c r="Q706" s="14"/>
      <c r="R706" s="15"/>
      <c r="S706" s="15"/>
      <c r="T706" s="14"/>
      <c r="U706" s="14"/>
      <c r="V706" s="14"/>
      <c r="W706" s="18"/>
      <c r="X706" s="18"/>
      <c r="Y706" s="18"/>
      <c r="Z706" s="18"/>
      <c r="AA706" s="18"/>
      <c r="AB706" s="18"/>
      <c r="AC706" s="8" t="str">
        <f t="shared" si="43"/>
        <v/>
      </c>
      <c r="AD706" s="8"/>
      <c r="AE706" s="8"/>
      <c r="AF706" s="14"/>
      <c r="AG706" s="13"/>
      <c r="AH706" s="14"/>
      <c r="AI706" s="14"/>
      <c r="AJ706" s="8"/>
      <c r="AK706" s="8"/>
      <c r="AL706" s="8"/>
      <c r="AM706" s="8"/>
      <c r="AN706" s="631"/>
      <c r="AO706" s="18"/>
      <c r="AP706" s="18"/>
      <c r="AQ706" s="18"/>
      <c r="AR706" s="18"/>
      <c r="AS706" s="18"/>
      <c r="AU706" s="448"/>
      <c r="AV706" s="448"/>
      <c r="AW706" s="8" t="str">
        <f>IF(C706&gt;0,VLOOKUP(C706,Foundation_Calc!$A$2:$C$986,3,1),
IF(J706&gt;0,VLOOKUP(J706,Foundation_Calc!$A$2:$C$986,3,1),""))</f>
        <v/>
      </c>
      <c r="AX706" s="8" t="str">
        <f>IF(C706&gt;0,VLOOKUP(C706,Foundation_Calc!$E$2:$G$986,3,1),
IF(J706&gt;0,VLOOKUP(J706,Foundation_Calc!$E$2:$G$986,3,1),""))</f>
        <v/>
      </c>
      <c r="AY706" s="631" t="str">
        <f>IF(L706="","",
IF(AX706="PT",VLOOKUP(L706,Foundation_Calc!$K$4:$R$37,VLOOKUP(AW706,Foundation_Calc!$I$2:$J$8,2,FALSE),0),
IF(AX706="K",VLOOKUP(L706,Foundation_Calc!$K$41:$R$74,VLOOKUP(AW706,Foundation_Calc!$I$2:$J$8,2,FALSE),0),"")))</f>
        <v/>
      </c>
      <c r="AZ706" s="631" t="str">
        <f>IF(K706="","",
IF(AX706="PT",VLOOKUP(K706,Foundation_Calc!$K$4:$R$37,VLOOKUP(AW706,Foundation_Calc!$I$2:$J$8,2,FALSE),0),
IF(AX706="K",VLOOKUP(K706,Foundation_Calc!$K$41:$R$74,VLOOKUP(AW706,Foundation_Calc!$I$2:$J$8,2,FALSE),0),"")))</f>
        <v/>
      </c>
      <c r="BA706" s="632" t="str">
        <f t="shared" si="44"/>
        <v/>
      </c>
      <c r="BB706" s="632" t="str">
        <f t="shared" si="45"/>
        <v/>
      </c>
      <c r="BC706" s="632" t="str">
        <f t="shared" si="46"/>
        <v/>
      </c>
      <c r="BD706" s="633" t="str">
        <f>IF(AND(L706="",H706=""),"",
IF(H706="",Pole_Calc!A734,
IF(H706="MP",Pole_Calc!A735,
IF(H706="AnMP",Pole_Calc!A736,
IF(H706="A",Pole_Calc!A737,
IF(H706="S/A",Pole_Calc!A738,
IF(H706="A/S",Pole_Calc!A739,"Poner a mano")))))))</f>
        <v/>
      </c>
      <c r="BE706" s="448" t="s">
        <v>1726</v>
      </c>
      <c r="BF706" s="634"/>
      <c r="BG706" s="634"/>
      <c r="BH706" s="634"/>
      <c r="BI706" s="634"/>
    </row>
    <row r="707" spans="1:61" ht="16.2" customHeight="1">
      <c r="A707" s="12"/>
      <c r="B707" s="446"/>
      <c r="C707" s="89"/>
      <c r="D707" s="13"/>
      <c r="E707" s="14"/>
      <c r="F707" s="14"/>
      <c r="G707" s="15"/>
      <c r="H707" s="8"/>
      <c r="I707" s="8"/>
      <c r="J707" s="89"/>
      <c r="K707" s="8"/>
      <c r="L707" s="8"/>
      <c r="M707" s="8" t="str">
        <f>IF(L707="","",
IF(AX707="PT",VLOOKUP(L707,Foundation_Calc!$V$4:$X$37,VLOOKUP(AX707,Foundation_Calc!$I$10:$J$13,2,FALSE),0),
IF(AX707="K",VLOOKUP(L707,Foundation_Calc!$V$41:$X$74,VLOOKUP(AX707,Foundation_Calc!$I$10:$J$13,2,FALSE),0),"")))</f>
        <v/>
      </c>
      <c r="N707" s="8"/>
      <c r="O707" s="8"/>
      <c r="P707" s="8"/>
      <c r="Q707" s="14"/>
      <c r="R707" s="15"/>
      <c r="S707" s="15"/>
      <c r="T707" s="14"/>
      <c r="U707" s="14"/>
      <c r="V707" s="14"/>
      <c r="W707" s="18"/>
      <c r="X707" s="18"/>
      <c r="Y707" s="18"/>
      <c r="Z707" s="18"/>
      <c r="AA707" s="18"/>
      <c r="AB707" s="18"/>
      <c r="AC707" s="8" t="str">
        <f t="shared" si="43"/>
        <v/>
      </c>
      <c r="AD707" s="8"/>
      <c r="AE707" s="8"/>
      <c r="AF707" s="14"/>
      <c r="AG707" s="13"/>
      <c r="AH707" s="14"/>
      <c r="AI707" s="14"/>
      <c r="AJ707" s="8"/>
      <c r="AK707" s="8"/>
      <c r="AL707" s="8"/>
      <c r="AM707" s="8"/>
      <c r="AN707" s="631"/>
      <c r="AO707" s="18"/>
      <c r="AP707" s="18"/>
      <c r="AQ707" s="18"/>
      <c r="AR707" s="18"/>
      <c r="AS707" s="18"/>
      <c r="AU707" s="448"/>
      <c r="AV707" s="448"/>
      <c r="AW707" s="8" t="str">
        <f>IF(C707&gt;0,VLOOKUP(C707,Foundation_Calc!$A$2:$C$986,3,1),
IF(J707&gt;0,VLOOKUP(J707,Foundation_Calc!$A$2:$C$986,3,1),""))</f>
        <v/>
      </c>
      <c r="AX707" s="8" t="str">
        <f>IF(C707&gt;0,VLOOKUP(C707,Foundation_Calc!$E$2:$G$986,3,1),
IF(J707&gt;0,VLOOKUP(J707,Foundation_Calc!$E$2:$G$986,3,1),""))</f>
        <v/>
      </c>
      <c r="AY707" s="631" t="str">
        <f>IF(L707="","",
IF(AX707="PT",VLOOKUP(L707,Foundation_Calc!$K$4:$R$37,VLOOKUP(AW707,Foundation_Calc!$I$2:$J$8,2,FALSE),0),
IF(AX707="K",VLOOKUP(L707,Foundation_Calc!$K$41:$R$74,VLOOKUP(AW707,Foundation_Calc!$I$2:$J$8,2,FALSE),0),"")))</f>
        <v/>
      </c>
      <c r="AZ707" s="631" t="str">
        <f>IF(K707="","",
IF(AX707="PT",VLOOKUP(K707,Foundation_Calc!$K$4:$R$37,VLOOKUP(AW707,Foundation_Calc!$I$2:$J$8,2,FALSE),0),
IF(AX707="K",VLOOKUP(K707,Foundation_Calc!$K$41:$R$74,VLOOKUP(AW707,Foundation_Calc!$I$2:$J$8,2,FALSE),0),"")))</f>
        <v/>
      </c>
      <c r="BA707" s="632" t="str">
        <f t="shared" si="44"/>
        <v/>
      </c>
      <c r="BB707" s="632" t="str">
        <f t="shared" si="45"/>
        <v/>
      </c>
      <c r="BC707" s="632" t="str">
        <f t="shared" si="46"/>
        <v/>
      </c>
      <c r="BD707" s="633" t="str">
        <f>IF(AND(L707="",H707=""),"",
IF(H707="",Pole_Calc!A735,
IF(H707="MP",Pole_Calc!A736,
IF(H707="AnMP",Pole_Calc!A737,
IF(H707="A",Pole_Calc!A738,
IF(H707="S/A",Pole_Calc!A739,
IF(H707="A/S",Pole_Calc!A740,"Poner a mano")))))))</f>
        <v/>
      </c>
      <c r="BE707" s="448" t="s">
        <v>1726</v>
      </c>
      <c r="BF707" s="635"/>
      <c r="BG707" s="635"/>
      <c r="BH707" s="634"/>
      <c r="BI707" s="635"/>
    </row>
    <row r="708" spans="1:61" ht="16.2" customHeight="1">
      <c r="A708" s="12"/>
      <c r="B708" s="446"/>
      <c r="C708" s="89"/>
      <c r="D708" s="13"/>
      <c r="E708" s="14"/>
      <c r="F708" s="14"/>
      <c r="G708" s="15"/>
      <c r="H708" s="8"/>
      <c r="I708" s="8"/>
      <c r="J708" s="89"/>
      <c r="K708" s="8"/>
      <c r="L708" s="8"/>
      <c r="M708" s="8" t="str">
        <f>IF(L708="","",
IF(AX708="PT",VLOOKUP(L708,Foundation_Calc!$V$4:$X$37,VLOOKUP(AX708,Foundation_Calc!$I$10:$J$13,2,FALSE),0),
IF(AX708="K",VLOOKUP(L708,Foundation_Calc!$V$41:$X$74,VLOOKUP(AX708,Foundation_Calc!$I$10:$J$13,2,FALSE),0),"")))</f>
        <v/>
      </c>
      <c r="N708" s="8"/>
      <c r="O708" s="8"/>
      <c r="P708" s="8"/>
      <c r="Q708" s="14"/>
      <c r="R708" s="15"/>
      <c r="S708" s="15"/>
      <c r="T708" s="14"/>
      <c r="U708" s="14"/>
      <c r="V708" s="14"/>
      <c r="W708" s="18"/>
      <c r="X708" s="18"/>
      <c r="Y708" s="18"/>
      <c r="Z708" s="18"/>
      <c r="AA708" s="18"/>
      <c r="AB708" s="18"/>
      <c r="AC708" s="8" t="str">
        <f t="shared" si="43"/>
        <v/>
      </c>
      <c r="AD708" s="8"/>
      <c r="AE708" s="8"/>
      <c r="AF708" s="14"/>
      <c r="AG708" s="13"/>
      <c r="AH708" s="14"/>
      <c r="AI708" s="14"/>
      <c r="AJ708" s="8"/>
      <c r="AK708" s="8"/>
      <c r="AL708" s="8"/>
      <c r="AM708" s="8"/>
      <c r="AN708" s="631"/>
      <c r="AO708" s="18"/>
      <c r="AP708" s="18"/>
      <c r="AQ708" s="18"/>
      <c r="AR708" s="18"/>
      <c r="AS708" s="18"/>
      <c r="AU708" s="448"/>
      <c r="AV708" s="448"/>
      <c r="AW708" s="8" t="str">
        <f>IF(C708&gt;0,VLOOKUP(C708,Foundation_Calc!$A$2:$C$986,3,1),
IF(J708&gt;0,VLOOKUP(J708,Foundation_Calc!$A$2:$C$986,3,1),""))</f>
        <v/>
      </c>
      <c r="AX708" s="8" t="str">
        <f>IF(C708&gt;0,VLOOKUP(C708,Foundation_Calc!$E$2:$G$986,3,1),
IF(J708&gt;0,VLOOKUP(J708,Foundation_Calc!$E$2:$G$986,3,1),""))</f>
        <v/>
      </c>
      <c r="AY708" s="631" t="str">
        <f>IF(L708="","",
IF(AX708="PT",VLOOKUP(L708,Foundation_Calc!$K$4:$R$37,VLOOKUP(AW708,Foundation_Calc!$I$2:$J$8,2,FALSE),0),
IF(AX708="K",VLOOKUP(L708,Foundation_Calc!$K$41:$R$74,VLOOKUP(AW708,Foundation_Calc!$I$2:$J$8,2,FALSE),0),"")))</f>
        <v/>
      </c>
      <c r="AZ708" s="631" t="str">
        <f>IF(K708="","",
IF(AX708="PT",VLOOKUP(K708,Foundation_Calc!$K$4:$R$37,VLOOKUP(AW708,Foundation_Calc!$I$2:$J$8,2,FALSE),0),
IF(AX708="K",VLOOKUP(K708,Foundation_Calc!$K$41:$R$74,VLOOKUP(AW708,Foundation_Calc!$I$2:$J$8,2,FALSE),0),"")))</f>
        <v/>
      </c>
      <c r="BA708" s="632" t="str">
        <f t="shared" si="44"/>
        <v/>
      </c>
      <c r="BB708" s="632" t="str">
        <f t="shared" si="45"/>
        <v/>
      </c>
      <c r="BC708" s="632" t="str">
        <f t="shared" si="46"/>
        <v/>
      </c>
      <c r="BD708" s="633" t="str">
        <f>IF(AND(L708="",H708=""),"",
IF(H708="",Pole_Calc!A736,
IF(H708="MP",Pole_Calc!A737,
IF(H708="AnMP",Pole_Calc!A738,
IF(H708="A",Pole_Calc!A739,
IF(H708="S/A",Pole_Calc!A740,
IF(H708="A/S",Pole_Calc!A741,"Poner a mano")))))))</f>
        <v/>
      </c>
      <c r="BE708" s="448" t="s">
        <v>1726</v>
      </c>
      <c r="BF708" s="634"/>
      <c r="BG708" s="634"/>
      <c r="BH708" s="634"/>
      <c r="BI708" s="634"/>
    </row>
    <row r="709" spans="1:61" ht="16.2" customHeight="1">
      <c r="A709" s="12"/>
      <c r="B709" s="446"/>
      <c r="C709" s="89"/>
      <c r="D709" s="13"/>
      <c r="E709" s="14"/>
      <c r="F709" s="14"/>
      <c r="G709" s="15"/>
      <c r="H709" s="8"/>
      <c r="I709" s="8"/>
      <c r="J709" s="89"/>
      <c r="K709" s="8"/>
      <c r="L709" s="8"/>
      <c r="M709" s="8" t="str">
        <f>IF(L709="","",
IF(AX709="PT",VLOOKUP(L709,Foundation_Calc!$V$4:$X$37,VLOOKUP(AX709,Foundation_Calc!$I$10:$J$13,2,FALSE),0),
IF(AX709="K",VLOOKUP(L709,Foundation_Calc!$V$41:$X$74,VLOOKUP(AX709,Foundation_Calc!$I$10:$J$13,2,FALSE),0),"")))</f>
        <v/>
      </c>
      <c r="N709" s="8"/>
      <c r="O709" s="8"/>
      <c r="P709" s="8"/>
      <c r="Q709" s="14"/>
      <c r="R709" s="15"/>
      <c r="S709" s="15"/>
      <c r="T709" s="14"/>
      <c r="U709" s="14"/>
      <c r="V709" s="14"/>
      <c r="W709" s="18"/>
      <c r="X709" s="18"/>
      <c r="Y709" s="18"/>
      <c r="Z709" s="18"/>
      <c r="AA709" s="18"/>
      <c r="AB709" s="18"/>
      <c r="AC709" s="8" t="str">
        <f t="shared" si="43"/>
        <v/>
      </c>
      <c r="AD709" s="8"/>
      <c r="AE709" s="8"/>
      <c r="AF709" s="14"/>
      <c r="AG709" s="13"/>
      <c r="AH709" s="14"/>
      <c r="AI709" s="14"/>
      <c r="AJ709" s="8"/>
      <c r="AK709" s="8"/>
      <c r="AL709" s="8"/>
      <c r="AM709" s="8"/>
      <c r="AN709" s="631"/>
      <c r="AO709" s="18"/>
      <c r="AP709" s="18"/>
      <c r="AQ709" s="18"/>
      <c r="AR709" s="18"/>
      <c r="AS709" s="18"/>
      <c r="AU709" s="448"/>
      <c r="AV709" s="448"/>
      <c r="AW709" s="8" t="str">
        <f>IF(C709&gt;0,VLOOKUP(C709,Foundation_Calc!$A$2:$C$986,3,1),
IF(J709&gt;0,VLOOKUP(J709,Foundation_Calc!$A$2:$C$986,3,1),""))</f>
        <v/>
      </c>
      <c r="AX709" s="8" t="str">
        <f>IF(C709&gt;0,VLOOKUP(C709,Foundation_Calc!$E$2:$G$986,3,1),
IF(J709&gt;0,VLOOKUP(J709,Foundation_Calc!$E$2:$G$986,3,1),""))</f>
        <v/>
      </c>
      <c r="AY709" s="631" t="str">
        <f>IF(L709="","",
IF(AX709="PT",VLOOKUP(L709,Foundation_Calc!$K$4:$R$37,VLOOKUP(AW709,Foundation_Calc!$I$2:$J$8,2,FALSE),0),
IF(AX709="K",VLOOKUP(L709,Foundation_Calc!$K$41:$R$74,VLOOKUP(AW709,Foundation_Calc!$I$2:$J$8,2,FALSE),0),"")))</f>
        <v/>
      </c>
      <c r="AZ709" s="631" t="str">
        <f>IF(K709="","",
IF(AX709="PT",VLOOKUP(K709,Foundation_Calc!$K$4:$R$37,VLOOKUP(AW709,Foundation_Calc!$I$2:$J$8,2,FALSE),0),
IF(AX709="K",VLOOKUP(K709,Foundation_Calc!$K$41:$R$74,VLOOKUP(AW709,Foundation_Calc!$I$2:$J$8,2,FALSE),0),"")))</f>
        <v/>
      </c>
      <c r="BA709" s="632" t="str">
        <f t="shared" si="44"/>
        <v/>
      </c>
      <c r="BB709" s="632" t="str">
        <f t="shared" si="45"/>
        <v/>
      </c>
      <c r="BC709" s="632" t="str">
        <f t="shared" si="46"/>
        <v/>
      </c>
      <c r="BD709" s="633" t="str">
        <f>IF(AND(L709="",H709=""),"",
IF(H709="",Pole_Calc!A737,
IF(H709="MP",Pole_Calc!A738,
IF(H709="AnMP",Pole_Calc!A739,
IF(H709="A",Pole_Calc!A740,
IF(H709="S/A",Pole_Calc!A741,
IF(H709="A/S",Pole_Calc!A742,"Poner a mano")))))))</f>
        <v/>
      </c>
      <c r="BE709" s="448" t="s">
        <v>1726</v>
      </c>
      <c r="BF709" s="635"/>
      <c r="BG709" s="635"/>
      <c r="BH709" s="634"/>
      <c r="BI709" s="635"/>
    </row>
    <row r="710" spans="1:61" ht="16.2" customHeight="1">
      <c r="A710" s="12"/>
      <c r="B710" s="446"/>
      <c r="C710" s="89"/>
      <c r="D710" s="13"/>
      <c r="E710" s="14"/>
      <c r="F710" s="14"/>
      <c r="G710" s="15"/>
      <c r="H710" s="8"/>
      <c r="I710" s="8"/>
      <c r="J710" s="89"/>
      <c r="K710" s="8"/>
      <c r="L710" s="8"/>
      <c r="M710" s="8" t="str">
        <f>IF(L710="","",
IF(AX710="PT",VLOOKUP(L710,Foundation_Calc!$V$4:$X$37,VLOOKUP(AX710,Foundation_Calc!$I$10:$J$13,2,FALSE),0),
IF(AX710="K",VLOOKUP(L710,Foundation_Calc!$V$41:$X$74,VLOOKUP(AX710,Foundation_Calc!$I$10:$J$13,2,FALSE),0),"")))</f>
        <v/>
      </c>
      <c r="N710" s="8"/>
      <c r="O710" s="8"/>
      <c r="P710" s="8"/>
      <c r="Q710" s="14"/>
      <c r="R710" s="15"/>
      <c r="S710" s="15"/>
      <c r="T710" s="14"/>
      <c r="U710" s="14"/>
      <c r="V710" s="14"/>
      <c r="W710" s="18"/>
      <c r="X710" s="18"/>
      <c r="Y710" s="18"/>
      <c r="Z710" s="18"/>
      <c r="AA710" s="18"/>
      <c r="AB710" s="18"/>
      <c r="AC710" s="8" t="str">
        <f t="shared" ref="AC710:AC773" si="47">IF(OR(AT710&gt;8,AT710&lt;-8),"PH",
IF(OR(AT710&gt;5,AT710&lt;-5),"PHQ",
IF(OR(AT710&gt;1,AT710&lt;-1),
"PHC","")))</f>
        <v/>
      </c>
      <c r="AD710" s="8"/>
      <c r="AE710" s="8"/>
      <c r="AF710" s="14"/>
      <c r="AG710" s="13"/>
      <c r="AH710" s="14"/>
      <c r="AI710" s="14"/>
      <c r="AJ710" s="8"/>
      <c r="AK710" s="8"/>
      <c r="AL710" s="8"/>
      <c r="AM710" s="8"/>
      <c r="AN710" s="631"/>
      <c r="AO710" s="18"/>
      <c r="AP710" s="18"/>
      <c r="AQ710" s="18"/>
      <c r="AR710" s="18"/>
      <c r="AS710" s="18"/>
      <c r="AU710" s="448"/>
      <c r="AV710" s="448"/>
      <c r="AW710" s="8" t="str">
        <f>IF(C710&gt;0,VLOOKUP(C710,Foundation_Calc!$A$2:$C$986,3,1),
IF(J710&gt;0,VLOOKUP(J710,Foundation_Calc!$A$2:$C$986,3,1),""))</f>
        <v/>
      </c>
      <c r="AX710" s="8" t="str">
        <f>IF(C710&gt;0,VLOOKUP(C710,Foundation_Calc!$E$2:$G$986,3,1),
IF(J710&gt;0,VLOOKUP(J710,Foundation_Calc!$E$2:$G$986,3,1),""))</f>
        <v/>
      </c>
      <c r="AY710" s="631" t="str">
        <f>IF(L710="","",
IF(AX710="PT",VLOOKUP(L710,Foundation_Calc!$K$4:$R$37,VLOOKUP(AW710,Foundation_Calc!$I$2:$J$8,2,FALSE),0),
IF(AX710="K",VLOOKUP(L710,Foundation_Calc!$K$41:$R$74,VLOOKUP(AW710,Foundation_Calc!$I$2:$J$8,2,FALSE),0),"")))</f>
        <v/>
      </c>
      <c r="AZ710" s="631" t="str">
        <f>IF(K710="","",
IF(AX710="PT",VLOOKUP(K710,Foundation_Calc!$K$4:$R$37,VLOOKUP(AW710,Foundation_Calc!$I$2:$J$8,2,FALSE),0),
IF(AX710="K",VLOOKUP(K710,Foundation_Calc!$K$41:$R$74,VLOOKUP(AW710,Foundation_Calc!$I$2:$J$8,2,FALSE),0),"")))</f>
        <v/>
      </c>
      <c r="BA710" s="632" t="str">
        <f t="shared" ref="BA710:BA773" si="48">IF(AY710="","",IF(AY710&gt;0,"ü",""))</f>
        <v/>
      </c>
      <c r="BB710" s="632" t="str">
        <f t="shared" ref="BB710:BB773" si="49">IF(AZ710="","",IF(AZ710&gt;0,"ü",""))</f>
        <v/>
      </c>
      <c r="BC710" s="632" t="str">
        <f t="shared" ref="BC710:BC773" si="50">IF(M710="","",IF(M710="Unique Solution","ü",""))</f>
        <v/>
      </c>
      <c r="BD710" s="633" t="str">
        <f>IF(AND(L710="",H710=""),"",
IF(H710="",Pole_Calc!A738,
IF(H710="MP",Pole_Calc!A739,
IF(H710="AnMP",Pole_Calc!A740,
IF(H710="A",Pole_Calc!A741,
IF(H710="S/A",Pole_Calc!A742,
IF(H710="A/S",Pole_Calc!A743,"Poner a mano")))))))</f>
        <v/>
      </c>
      <c r="BE710" s="448" t="s">
        <v>1726</v>
      </c>
      <c r="BF710" s="634"/>
      <c r="BG710" s="634"/>
      <c r="BH710" s="634"/>
      <c r="BI710" s="634"/>
    </row>
    <row r="711" spans="1:61" ht="16.2" customHeight="1">
      <c r="A711" s="12"/>
      <c r="B711" s="446"/>
      <c r="C711" s="89"/>
      <c r="D711" s="13"/>
      <c r="E711" s="14"/>
      <c r="F711" s="14"/>
      <c r="G711" s="15"/>
      <c r="H711" s="8"/>
      <c r="I711" s="8"/>
      <c r="J711" s="89"/>
      <c r="K711" s="8"/>
      <c r="L711" s="8"/>
      <c r="M711" s="8" t="str">
        <f>IF(L711="","",
IF(AX711="PT",VLOOKUP(L711,Foundation_Calc!$V$4:$X$37,VLOOKUP(AX711,Foundation_Calc!$I$10:$J$13,2,FALSE),0),
IF(AX711="K",VLOOKUP(L711,Foundation_Calc!$V$41:$X$74,VLOOKUP(AX711,Foundation_Calc!$I$10:$J$13,2,FALSE),0),"")))</f>
        <v/>
      </c>
      <c r="N711" s="8"/>
      <c r="O711" s="8"/>
      <c r="P711" s="8"/>
      <c r="Q711" s="14"/>
      <c r="R711" s="15"/>
      <c r="S711" s="15"/>
      <c r="T711" s="14"/>
      <c r="U711" s="14"/>
      <c r="V711" s="14"/>
      <c r="W711" s="18"/>
      <c r="X711" s="18"/>
      <c r="Y711" s="18"/>
      <c r="Z711" s="18"/>
      <c r="AA711" s="18"/>
      <c r="AB711" s="18"/>
      <c r="AC711" s="8" t="str">
        <f t="shared" si="47"/>
        <v/>
      </c>
      <c r="AD711" s="8"/>
      <c r="AE711" s="8"/>
      <c r="AF711" s="14"/>
      <c r="AG711" s="13"/>
      <c r="AH711" s="14"/>
      <c r="AI711" s="14"/>
      <c r="AJ711" s="8"/>
      <c r="AK711" s="8"/>
      <c r="AL711" s="8"/>
      <c r="AM711" s="8"/>
      <c r="AN711" s="631"/>
      <c r="AO711" s="18"/>
      <c r="AP711" s="18"/>
      <c r="AQ711" s="18"/>
      <c r="AR711" s="18"/>
      <c r="AS711" s="18"/>
      <c r="AU711" s="448"/>
      <c r="AV711" s="448"/>
      <c r="AW711" s="8" t="str">
        <f>IF(C711&gt;0,VLOOKUP(C711,Foundation_Calc!$A$2:$C$986,3,1),
IF(J711&gt;0,VLOOKUP(J711,Foundation_Calc!$A$2:$C$986,3,1),""))</f>
        <v/>
      </c>
      <c r="AX711" s="8" t="str">
        <f>IF(C711&gt;0,VLOOKUP(C711,Foundation_Calc!$E$2:$G$986,3,1),
IF(J711&gt;0,VLOOKUP(J711,Foundation_Calc!$E$2:$G$986,3,1),""))</f>
        <v/>
      </c>
      <c r="AY711" s="631" t="str">
        <f>IF(L711="","",
IF(AX711="PT",VLOOKUP(L711,Foundation_Calc!$K$4:$R$37,VLOOKUP(AW711,Foundation_Calc!$I$2:$J$8,2,FALSE),0),
IF(AX711="K",VLOOKUP(L711,Foundation_Calc!$K$41:$R$74,VLOOKUP(AW711,Foundation_Calc!$I$2:$J$8,2,FALSE),0),"")))</f>
        <v/>
      </c>
      <c r="AZ711" s="631" t="str">
        <f>IF(K711="","",
IF(AX711="PT",VLOOKUP(K711,Foundation_Calc!$K$4:$R$37,VLOOKUP(AW711,Foundation_Calc!$I$2:$J$8,2,FALSE),0),
IF(AX711="K",VLOOKUP(K711,Foundation_Calc!$K$41:$R$74,VLOOKUP(AW711,Foundation_Calc!$I$2:$J$8,2,FALSE),0),"")))</f>
        <v/>
      </c>
      <c r="BA711" s="632" t="str">
        <f t="shared" si="48"/>
        <v/>
      </c>
      <c r="BB711" s="632" t="str">
        <f t="shared" si="49"/>
        <v/>
      </c>
      <c r="BC711" s="632" t="str">
        <f t="shared" si="50"/>
        <v/>
      </c>
      <c r="BD711" s="633" t="str">
        <f>IF(AND(L711="",H711=""),"",
IF(H711="",Pole_Calc!A739,
IF(H711="MP",Pole_Calc!A740,
IF(H711="AnMP",Pole_Calc!A741,
IF(H711="A",Pole_Calc!A742,
IF(H711="S/A",Pole_Calc!A743,
IF(H711="A/S",Pole_Calc!A744,"Poner a mano")))))))</f>
        <v/>
      </c>
      <c r="BE711" s="448" t="s">
        <v>1726</v>
      </c>
      <c r="BF711" s="635"/>
      <c r="BG711" s="635"/>
      <c r="BH711" s="634"/>
      <c r="BI711" s="635"/>
    </row>
    <row r="712" spans="1:61" ht="16.2" customHeight="1">
      <c r="A712" s="12"/>
      <c r="B712" s="446"/>
      <c r="C712" s="89"/>
      <c r="D712" s="13"/>
      <c r="E712" s="14"/>
      <c r="F712" s="14"/>
      <c r="G712" s="15"/>
      <c r="H712" s="8"/>
      <c r="I712" s="8"/>
      <c r="J712" s="89"/>
      <c r="K712" s="8"/>
      <c r="L712" s="8"/>
      <c r="M712" s="8" t="str">
        <f>IF(L712="","",
IF(AX712="PT",VLOOKUP(L712,Foundation_Calc!$V$4:$X$37,VLOOKUP(AX712,Foundation_Calc!$I$10:$J$13,2,FALSE),0),
IF(AX712="K",VLOOKUP(L712,Foundation_Calc!$V$41:$X$74,VLOOKUP(AX712,Foundation_Calc!$I$10:$J$13,2,FALSE),0),"")))</f>
        <v/>
      </c>
      <c r="N712" s="8"/>
      <c r="O712" s="8"/>
      <c r="P712" s="8"/>
      <c r="Q712" s="14"/>
      <c r="R712" s="15"/>
      <c r="S712" s="15"/>
      <c r="T712" s="14"/>
      <c r="U712" s="14"/>
      <c r="V712" s="14"/>
      <c r="W712" s="18"/>
      <c r="X712" s="18"/>
      <c r="Y712" s="18"/>
      <c r="Z712" s="18"/>
      <c r="AA712" s="18"/>
      <c r="AB712" s="18"/>
      <c r="AC712" s="8" t="str">
        <f t="shared" si="47"/>
        <v/>
      </c>
      <c r="AD712" s="8"/>
      <c r="AE712" s="8"/>
      <c r="AF712" s="14"/>
      <c r="AG712" s="13"/>
      <c r="AH712" s="14"/>
      <c r="AI712" s="14"/>
      <c r="AJ712" s="8"/>
      <c r="AK712" s="8"/>
      <c r="AL712" s="8"/>
      <c r="AM712" s="8"/>
      <c r="AN712" s="631"/>
      <c r="AO712" s="18"/>
      <c r="AP712" s="18"/>
      <c r="AQ712" s="18"/>
      <c r="AR712" s="18"/>
      <c r="AS712" s="18"/>
      <c r="AU712" s="448"/>
      <c r="AV712" s="448"/>
      <c r="AW712" s="8" t="str">
        <f>IF(C712&gt;0,VLOOKUP(C712,Foundation_Calc!$A$2:$C$986,3,1),
IF(J712&gt;0,VLOOKUP(J712,Foundation_Calc!$A$2:$C$986,3,1),""))</f>
        <v/>
      </c>
      <c r="AX712" s="8" t="str">
        <f>IF(C712&gt;0,VLOOKUP(C712,Foundation_Calc!$E$2:$G$986,3,1),
IF(J712&gt;0,VLOOKUP(J712,Foundation_Calc!$E$2:$G$986,3,1),""))</f>
        <v/>
      </c>
      <c r="AY712" s="631" t="str">
        <f>IF(L712="","",
IF(AX712="PT",VLOOKUP(L712,Foundation_Calc!$K$4:$R$37,VLOOKUP(AW712,Foundation_Calc!$I$2:$J$8,2,FALSE),0),
IF(AX712="K",VLOOKUP(L712,Foundation_Calc!$K$41:$R$74,VLOOKUP(AW712,Foundation_Calc!$I$2:$J$8,2,FALSE),0),"")))</f>
        <v/>
      </c>
      <c r="AZ712" s="631" t="str">
        <f>IF(K712="","",
IF(AX712="PT",VLOOKUP(K712,Foundation_Calc!$K$4:$R$37,VLOOKUP(AW712,Foundation_Calc!$I$2:$J$8,2,FALSE),0),
IF(AX712="K",VLOOKUP(K712,Foundation_Calc!$K$41:$R$74,VLOOKUP(AW712,Foundation_Calc!$I$2:$J$8,2,FALSE),0),"")))</f>
        <v/>
      </c>
      <c r="BA712" s="632" t="str">
        <f t="shared" si="48"/>
        <v/>
      </c>
      <c r="BB712" s="632" t="str">
        <f t="shared" si="49"/>
        <v/>
      </c>
      <c r="BC712" s="632" t="str">
        <f t="shared" si="50"/>
        <v/>
      </c>
      <c r="BD712" s="633" t="str">
        <f>IF(AND(L712="",H712=""),"",
IF(H712="",Pole_Calc!A740,
IF(H712="MP",Pole_Calc!A741,
IF(H712="AnMP",Pole_Calc!A742,
IF(H712="A",Pole_Calc!A743,
IF(H712="S/A",Pole_Calc!A744,
IF(H712="A/S",Pole_Calc!A745,"Poner a mano")))))))</f>
        <v/>
      </c>
      <c r="BE712" s="448" t="s">
        <v>1726</v>
      </c>
      <c r="BF712" s="634"/>
      <c r="BG712" s="634"/>
      <c r="BH712" s="634"/>
      <c r="BI712" s="634"/>
    </row>
    <row r="713" spans="1:61" ht="16.2" customHeight="1">
      <c r="A713" s="12"/>
      <c r="B713" s="446"/>
      <c r="C713" s="89"/>
      <c r="D713" s="13"/>
      <c r="E713" s="14"/>
      <c r="F713" s="14"/>
      <c r="G713" s="15"/>
      <c r="H713" s="8"/>
      <c r="I713" s="8"/>
      <c r="J713" s="89"/>
      <c r="K713" s="8"/>
      <c r="L713" s="8"/>
      <c r="M713" s="8" t="str">
        <f>IF(L713="","",
IF(AX713="PT",VLOOKUP(L713,Foundation_Calc!$V$4:$X$37,VLOOKUP(AX713,Foundation_Calc!$I$10:$J$13,2,FALSE),0),
IF(AX713="K",VLOOKUP(L713,Foundation_Calc!$V$41:$X$74,VLOOKUP(AX713,Foundation_Calc!$I$10:$J$13,2,FALSE),0),"")))</f>
        <v/>
      </c>
      <c r="N713" s="8"/>
      <c r="O713" s="8"/>
      <c r="P713" s="8"/>
      <c r="Q713" s="14"/>
      <c r="R713" s="15"/>
      <c r="S713" s="15"/>
      <c r="T713" s="14"/>
      <c r="U713" s="14"/>
      <c r="V713" s="14"/>
      <c r="W713" s="18"/>
      <c r="X713" s="18"/>
      <c r="Y713" s="18"/>
      <c r="Z713" s="18"/>
      <c r="AA713" s="18"/>
      <c r="AB713" s="18"/>
      <c r="AC713" s="8" t="str">
        <f t="shared" si="47"/>
        <v/>
      </c>
      <c r="AD713" s="8"/>
      <c r="AE713" s="8"/>
      <c r="AF713" s="14"/>
      <c r="AG713" s="13"/>
      <c r="AH713" s="14"/>
      <c r="AI713" s="14"/>
      <c r="AJ713" s="8"/>
      <c r="AK713" s="8"/>
      <c r="AL713" s="8"/>
      <c r="AM713" s="8"/>
      <c r="AN713" s="631"/>
      <c r="AO713" s="18"/>
      <c r="AP713" s="18"/>
      <c r="AQ713" s="18"/>
      <c r="AR713" s="18"/>
      <c r="AS713" s="18"/>
      <c r="AU713" s="448"/>
      <c r="AV713" s="448"/>
      <c r="AW713" s="8" t="str">
        <f>IF(C713&gt;0,VLOOKUP(C713,Foundation_Calc!$A$2:$C$986,3,1),
IF(J713&gt;0,VLOOKUP(J713,Foundation_Calc!$A$2:$C$986,3,1),""))</f>
        <v/>
      </c>
      <c r="AX713" s="8" t="str">
        <f>IF(C713&gt;0,VLOOKUP(C713,Foundation_Calc!$E$2:$G$986,3,1),
IF(J713&gt;0,VLOOKUP(J713,Foundation_Calc!$E$2:$G$986,3,1),""))</f>
        <v/>
      </c>
      <c r="AY713" s="631" t="str">
        <f>IF(L713="","",
IF(AX713="PT",VLOOKUP(L713,Foundation_Calc!$K$4:$R$37,VLOOKUP(AW713,Foundation_Calc!$I$2:$J$8,2,FALSE),0),
IF(AX713="K",VLOOKUP(L713,Foundation_Calc!$K$41:$R$74,VLOOKUP(AW713,Foundation_Calc!$I$2:$J$8,2,FALSE),0),"")))</f>
        <v/>
      </c>
      <c r="AZ713" s="631" t="str">
        <f>IF(K713="","",
IF(AX713="PT",VLOOKUP(K713,Foundation_Calc!$K$4:$R$37,VLOOKUP(AW713,Foundation_Calc!$I$2:$J$8,2,FALSE),0),
IF(AX713="K",VLOOKUP(K713,Foundation_Calc!$K$41:$R$74,VLOOKUP(AW713,Foundation_Calc!$I$2:$J$8,2,FALSE),0),"")))</f>
        <v/>
      </c>
      <c r="BA713" s="632" t="str">
        <f t="shared" si="48"/>
        <v/>
      </c>
      <c r="BB713" s="632" t="str">
        <f t="shared" si="49"/>
        <v/>
      </c>
      <c r="BC713" s="632" t="str">
        <f t="shared" si="50"/>
        <v/>
      </c>
      <c r="BD713" s="633" t="str">
        <f>IF(AND(L713="",H713=""),"",
IF(H713="",Pole_Calc!A741,
IF(H713="MP",Pole_Calc!A742,
IF(H713="AnMP",Pole_Calc!A743,
IF(H713="A",Pole_Calc!A744,
IF(H713="S/A",Pole_Calc!A745,
IF(H713="A/S",Pole_Calc!A746,"Poner a mano")))))))</f>
        <v/>
      </c>
      <c r="BE713" s="448" t="s">
        <v>1726</v>
      </c>
      <c r="BF713" s="635"/>
      <c r="BG713" s="635"/>
      <c r="BH713" s="634"/>
      <c r="BI713" s="635"/>
    </row>
    <row r="714" spans="1:61" ht="16.2" customHeight="1">
      <c r="A714" s="12"/>
      <c r="B714" s="446"/>
      <c r="C714" s="89"/>
      <c r="D714" s="13"/>
      <c r="E714" s="14"/>
      <c r="F714" s="14"/>
      <c r="G714" s="15"/>
      <c r="H714" s="8"/>
      <c r="I714" s="8"/>
      <c r="J714" s="89"/>
      <c r="K714" s="8"/>
      <c r="L714" s="8"/>
      <c r="M714" s="8" t="str">
        <f>IF(L714="","",
IF(AX714="PT",VLOOKUP(L714,Foundation_Calc!$V$4:$X$37,VLOOKUP(AX714,Foundation_Calc!$I$10:$J$13,2,FALSE),0),
IF(AX714="K",VLOOKUP(L714,Foundation_Calc!$V$41:$X$74,VLOOKUP(AX714,Foundation_Calc!$I$10:$J$13,2,FALSE),0),"")))</f>
        <v/>
      </c>
      <c r="N714" s="8"/>
      <c r="O714" s="8"/>
      <c r="P714" s="8"/>
      <c r="Q714" s="14"/>
      <c r="R714" s="15"/>
      <c r="S714" s="15"/>
      <c r="T714" s="14"/>
      <c r="U714" s="14"/>
      <c r="V714" s="14"/>
      <c r="W714" s="18"/>
      <c r="X714" s="18"/>
      <c r="Y714" s="18"/>
      <c r="Z714" s="18"/>
      <c r="AA714" s="18"/>
      <c r="AB714" s="18"/>
      <c r="AC714" s="8" t="str">
        <f t="shared" si="47"/>
        <v/>
      </c>
      <c r="AD714" s="8"/>
      <c r="AE714" s="8"/>
      <c r="AF714" s="14"/>
      <c r="AG714" s="13"/>
      <c r="AH714" s="14"/>
      <c r="AI714" s="14"/>
      <c r="AJ714" s="8"/>
      <c r="AK714" s="8"/>
      <c r="AL714" s="8"/>
      <c r="AM714" s="8"/>
      <c r="AN714" s="631"/>
      <c r="AO714" s="18"/>
      <c r="AP714" s="18"/>
      <c r="AQ714" s="18"/>
      <c r="AR714" s="18"/>
      <c r="AS714" s="18"/>
      <c r="AU714" s="448"/>
      <c r="AV714" s="448"/>
      <c r="AW714" s="8" t="str">
        <f>IF(C714&gt;0,VLOOKUP(C714,Foundation_Calc!$A$2:$C$986,3,1),
IF(J714&gt;0,VLOOKUP(J714,Foundation_Calc!$A$2:$C$986,3,1),""))</f>
        <v/>
      </c>
      <c r="AX714" s="8" t="str">
        <f>IF(C714&gt;0,VLOOKUP(C714,Foundation_Calc!$E$2:$G$986,3,1),
IF(J714&gt;0,VLOOKUP(J714,Foundation_Calc!$E$2:$G$986,3,1),""))</f>
        <v/>
      </c>
      <c r="AY714" s="631" t="str">
        <f>IF(L714="","",
IF(AX714="PT",VLOOKUP(L714,Foundation_Calc!$K$4:$R$37,VLOOKUP(AW714,Foundation_Calc!$I$2:$J$8,2,FALSE),0),
IF(AX714="K",VLOOKUP(L714,Foundation_Calc!$K$41:$R$74,VLOOKUP(AW714,Foundation_Calc!$I$2:$J$8,2,FALSE),0),"")))</f>
        <v/>
      </c>
      <c r="AZ714" s="631" t="str">
        <f>IF(K714="","",
IF(AX714="PT",VLOOKUP(K714,Foundation_Calc!$K$4:$R$37,VLOOKUP(AW714,Foundation_Calc!$I$2:$J$8,2,FALSE),0),
IF(AX714="K",VLOOKUP(K714,Foundation_Calc!$K$41:$R$74,VLOOKUP(AW714,Foundation_Calc!$I$2:$J$8,2,FALSE),0),"")))</f>
        <v/>
      </c>
      <c r="BA714" s="632" t="str">
        <f t="shared" si="48"/>
        <v/>
      </c>
      <c r="BB714" s="632" t="str">
        <f t="shared" si="49"/>
        <v/>
      </c>
      <c r="BC714" s="632" t="str">
        <f t="shared" si="50"/>
        <v/>
      </c>
      <c r="BD714" s="633" t="str">
        <f>IF(AND(L714="",H714=""),"",
IF(H714="",Pole_Calc!A742,
IF(H714="MP",Pole_Calc!A743,
IF(H714="AnMP",Pole_Calc!A744,
IF(H714="A",Pole_Calc!A745,
IF(H714="S/A",Pole_Calc!A746,
IF(H714="A/S",Pole_Calc!A747,"Poner a mano")))))))</f>
        <v/>
      </c>
      <c r="BE714" s="448" t="s">
        <v>1726</v>
      </c>
      <c r="BF714" s="634"/>
      <c r="BG714" s="634"/>
      <c r="BH714" s="634"/>
      <c r="BI714" s="634"/>
    </row>
    <row r="715" spans="1:61" ht="16.2" customHeight="1">
      <c r="A715" s="12"/>
      <c r="B715" s="446"/>
      <c r="C715" s="89"/>
      <c r="D715" s="13"/>
      <c r="E715" s="14"/>
      <c r="F715" s="14"/>
      <c r="G715" s="15"/>
      <c r="H715" s="8"/>
      <c r="I715" s="8"/>
      <c r="J715" s="89"/>
      <c r="K715" s="8"/>
      <c r="L715" s="8"/>
      <c r="M715" s="8" t="str">
        <f>IF(L715="","",
IF(AX715="PT",VLOOKUP(L715,Foundation_Calc!$V$4:$X$37,VLOOKUP(AX715,Foundation_Calc!$I$10:$J$13,2,FALSE),0),
IF(AX715="K",VLOOKUP(L715,Foundation_Calc!$V$41:$X$74,VLOOKUP(AX715,Foundation_Calc!$I$10:$J$13,2,FALSE),0),"")))</f>
        <v/>
      </c>
      <c r="N715" s="8"/>
      <c r="O715" s="8"/>
      <c r="P715" s="8"/>
      <c r="Q715" s="14"/>
      <c r="R715" s="15"/>
      <c r="S715" s="15"/>
      <c r="T715" s="14"/>
      <c r="U715" s="14"/>
      <c r="V715" s="14"/>
      <c r="W715" s="18"/>
      <c r="X715" s="18"/>
      <c r="Y715" s="18"/>
      <c r="Z715" s="18"/>
      <c r="AA715" s="18"/>
      <c r="AB715" s="18"/>
      <c r="AC715" s="8" t="str">
        <f t="shared" si="47"/>
        <v/>
      </c>
      <c r="AD715" s="8"/>
      <c r="AE715" s="8"/>
      <c r="AF715" s="14"/>
      <c r="AG715" s="13"/>
      <c r="AH715" s="14"/>
      <c r="AI715" s="14"/>
      <c r="AJ715" s="8"/>
      <c r="AK715" s="8"/>
      <c r="AL715" s="8"/>
      <c r="AM715" s="8"/>
      <c r="AN715" s="631"/>
      <c r="AO715" s="18"/>
      <c r="AP715" s="18"/>
      <c r="AQ715" s="18"/>
      <c r="AR715" s="18"/>
      <c r="AS715" s="18"/>
      <c r="AU715" s="448"/>
      <c r="AV715" s="448"/>
      <c r="AW715" s="8" t="str">
        <f>IF(C715&gt;0,VLOOKUP(C715,Foundation_Calc!$A$2:$C$986,3,1),
IF(J715&gt;0,VLOOKUP(J715,Foundation_Calc!$A$2:$C$986,3,1),""))</f>
        <v/>
      </c>
      <c r="AX715" s="8" t="str">
        <f>IF(C715&gt;0,VLOOKUP(C715,Foundation_Calc!$E$2:$G$986,3,1),
IF(J715&gt;0,VLOOKUP(J715,Foundation_Calc!$E$2:$G$986,3,1),""))</f>
        <v/>
      </c>
      <c r="AY715" s="631" t="str">
        <f>IF(L715="","",
IF(AX715="PT",VLOOKUP(L715,Foundation_Calc!$K$4:$R$37,VLOOKUP(AW715,Foundation_Calc!$I$2:$J$8,2,FALSE),0),
IF(AX715="K",VLOOKUP(L715,Foundation_Calc!$K$41:$R$74,VLOOKUP(AW715,Foundation_Calc!$I$2:$J$8,2,FALSE),0),"")))</f>
        <v/>
      </c>
      <c r="AZ715" s="631" t="str">
        <f>IF(K715="","",
IF(AX715="PT",VLOOKUP(K715,Foundation_Calc!$K$4:$R$37,VLOOKUP(AW715,Foundation_Calc!$I$2:$J$8,2,FALSE),0),
IF(AX715="K",VLOOKUP(K715,Foundation_Calc!$K$41:$R$74,VLOOKUP(AW715,Foundation_Calc!$I$2:$J$8,2,FALSE),0),"")))</f>
        <v/>
      </c>
      <c r="BA715" s="632" t="str">
        <f t="shared" si="48"/>
        <v/>
      </c>
      <c r="BB715" s="632" t="str">
        <f t="shared" si="49"/>
        <v/>
      </c>
      <c r="BC715" s="632" t="str">
        <f t="shared" si="50"/>
        <v/>
      </c>
      <c r="BD715" s="633" t="str">
        <f>IF(AND(L715="",H715=""),"",
IF(H715="",Pole_Calc!A743,
IF(H715="MP",Pole_Calc!A744,
IF(H715="AnMP",Pole_Calc!A745,
IF(H715="A",Pole_Calc!A746,
IF(H715="S/A",Pole_Calc!A747,
IF(H715="A/S",Pole_Calc!A748,"Poner a mano")))))))</f>
        <v/>
      </c>
      <c r="BE715" s="448" t="s">
        <v>1726</v>
      </c>
      <c r="BF715" s="635"/>
      <c r="BG715" s="635"/>
      <c r="BH715" s="634"/>
      <c r="BI715" s="635"/>
    </row>
    <row r="716" spans="1:61" ht="16.2" customHeight="1">
      <c r="A716" s="12"/>
      <c r="B716" s="446"/>
      <c r="C716" s="89"/>
      <c r="D716" s="13"/>
      <c r="E716" s="14"/>
      <c r="F716" s="14"/>
      <c r="G716" s="15"/>
      <c r="H716" s="8"/>
      <c r="I716" s="8"/>
      <c r="J716" s="89"/>
      <c r="K716" s="8"/>
      <c r="L716" s="8"/>
      <c r="M716" s="8" t="str">
        <f>IF(L716="","",
IF(AX716="PT",VLOOKUP(L716,Foundation_Calc!$V$4:$X$37,VLOOKUP(AX716,Foundation_Calc!$I$10:$J$13,2,FALSE),0),
IF(AX716="K",VLOOKUP(L716,Foundation_Calc!$V$41:$X$74,VLOOKUP(AX716,Foundation_Calc!$I$10:$J$13,2,FALSE),0),"")))</f>
        <v/>
      </c>
      <c r="N716" s="8"/>
      <c r="O716" s="8"/>
      <c r="P716" s="8"/>
      <c r="Q716" s="14"/>
      <c r="R716" s="15"/>
      <c r="S716" s="15"/>
      <c r="T716" s="14"/>
      <c r="U716" s="14"/>
      <c r="V716" s="14"/>
      <c r="W716" s="18"/>
      <c r="X716" s="18"/>
      <c r="Y716" s="18"/>
      <c r="Z716" s="18"/>
      <c r="AA716" s="18"/>
      <c r="AB716" s="18"/>
      <c r="AC716" s="8" t="str">
        <f t="shared" si="47"/>
        <v/>
      </c>
      <c r="AD716" s="8"/>
      <c r="AE716" s="8"/>
      <c r="AF716" s="14"/>
      <c r="AG716" s="13"/>
      <c r="AH716" s="14"/>
      <c r="AI716" s="14"/>
      <c r="AJ716" s="8"/>
      <c r="AK716" s="8"/>
      <c r="AL716" s="8"/>
      <c r="AM716" s="8"/>
      <c r="AN716" s="631"/>
      <c r="AO716" s="18"/>
      <c r="AP716" s="18"/>
      <c r="AQ716" s="18"/>
      <c r="AR716" s="18"/>
      <c r="AS716" s="18"/>
      <c r="AU716" s="448"/>
      <c r="AV716" s="448"/>
      <c r="AW716" s="8" t="str">
        <f>IF(C716&gt;0,VLOOKUP(C716,Foundation_Calc!$A$2:$C$986,3,1),
IF(J716&gt;0,VLOOKUP(J716,Foundation_Calc!$A$2:$C$986,3,1),""))</f>
        <v/>
      </c>
      <c r="AX716" s="8" t="str">
        <f>IF(C716&gt;0,VLOOKUP(C716,Foundation_Calc!$E$2:$G$986,3,1),
IF(J716&gt;0,VLOOKUP(J716,Foundation_Calc!$E$2:$G$986,3,1),""))</f>
        <v/>
      </c>
      <c r="AY716" s="631" t="str">
        <f>IF(L716="","",
IF(AX716="PT",VLOOKUP(L716,Foundation_Calc!$K$4:$R$37,VLOOKUP(AW716,Foundation_Calc!$I$2:$J$8,2,FALSE),0),
IF(AX716="K",VLOOKUP(L716,Foundation_Calc!$K$41:$R$74,VLOOKUP(AW716,Foundation_Calc!$I$2:$J$8,2,FALSE),0),"")))</f>
        <v/>
      </c>
      <c r="AZ716" s="631" t="str">
        <f>IF(K716="","",
IF(AX716="PT",VLOOKUP(K716,Foundation_Calc!$K$4:$R$37,VLOOKUP(AW716,Foundation_Calc!$I$2:$J$8,2,FALSE),0),
IF(AX716="K",VLOOKUP(K716,Foundation_Calc!$K$41:$R$74,VLOOKUP(AW716,Foundation_Calc!$I$2:$J$8,2,FALSE),0),"")))</f>
        <v/>
      </c>
      <c r="BA716" s="632" t="str">
        <f t="shared" si="48"/>
        <v/>
      </c>
      <c r="BB716" s="632" t="str">
        <f t="shared" si="49"/>
        <v/>
      </c>
      <c r="BC716" s="632" t="str">
        <f t="shared" si="50"/>
        <v/>
      </c>
      <c r="BD716" s="633" t="str">
        <f>IF(AND(L716="",H716=""),"",
IF(H716="",Pole_Calc!A744,
IF(H716="MP",Pole_Calc!A745,
IF(H716="AnMP",Pole_Calc!A746,
IF(H716="A",Pole_Calc!A747,
IF(H716="S/A",Pole_Calc!A748,
IF(H716="A/S",Pole_Calc!A749,"Poner a mano")))))))</f>
        <v/>
      </c>
      <c r="BE716" s="448" t="s">
        <v>1726</v>
      </c>
      <c r="BF716" s="634"/>
      <c r="BG716" s="634"/>
      <c r="BH716" s="634"/>
      <c r="BI716" s="634"/>
    </row>
    <row r="717" spans="1:61" ht="16.2" customHeight="1">
      <c r="A717" s="12"/>
      <c r="B717" s="446"/>
      <c r="C717" s="89"/>
      <c r="D717" s="13"/>
      <c r="E717" s="14"/>
      <c r="F717" s="14"/>
      <c r="G717" s="15"/>
      <c r="H717" s="8"/>
      <c r="I717" s="8"/>
      <c r="J717" s="89"/>
      <c r="K717" s="8"/>
      <c r="L717" s="8"/>
      <c r="M717" s="8" t="str">
        <f>IF(L717="","",
IF(AX717="PT",VLOOKUP(L717,Foundation_Calc!$V$4:$X$37,VLOOKUP(AX717,Foundation_Calc!$I$10:$J$13,2,FALSE),0),
IF(AX717="K",VLOOKUP(L717,Foundation_Calc!$V$41:$X$74,VLOOKUP(AX717,Foundation_Calc!$I$10:$J$13,2,FALSE),0),"")))</f>
        <v/>
      </c>
      <c r="N717" s="8"/>
      <c r="O717" s="8"/>
      <c r="P717" s="8"/>
      <c r="Q717" s="14"/>
      <c r="R717" s="15"/>
      <c r="S717" s="15"/>
      <c r="T717" s="14"/>
      <c r="U717" s="14"/>
      <c r="V717" s="14"/>
      <c r="W717" s="18"/>
      <c r="X717" s="18"/>
      <c r="Y717" s="18"/>
      <c r="Z717" s="18"/>
      <c r="AA717" s="18"/>
      <c r="AB717" s="18"/>
      <c r="AC717" s="8" t="str">
        <f t="shared" si="47"/>
        <v/>
      </c>
      <c r="AD717" s="8"/>
      <c r="AE717" s="8"/>
      <c r="AF717" s="14"/>
      <c r="AG717" s="13"/>
      <c r="AH717" s="14"/>
      <c r="AI717" s="14"/>
      <c r="AJ717" s="8"/>
      <c r="AK717" s="8"/>
      <c r="AL717" s="8"/>
      <c r="AM717" s="8"/>
      <c r="AN717" s="631"/>
      <c r="AO717" s="18"/>
      <c r="AP717" s="18"/>
      <c r="AQ717" s="18"/>
      <c r="AR717" s="18"/>
      <c r="AS717" s="18"/>
      <c r="AU717" s="448"/>
      <c r="AV717" s="448"/>
      <c r="AW717" s="8" t="str">
        <f>IF(C717&gt;0,VLOOKUP(C717,Foundation_Calc!$A$2:$C$986,3,1),
IF(J717&gt;0,VLOOKUP(J717,Foundation_Calc!$A$2:$C$986,3,1),""))</f>
        <v/>
      </c>
      <c r="AX717" s="8" t="str">
        <f>IF(C717&gt;0,VLOOKUP(C717,Foundation_Calc!$E$2:$G$986,3,1),
IF(J717&gt;0,VLOOKUP(J717,Foundation_Calc!$E$2:$G$986,3,1),""))</f>
        <v/>
      </c>
      <c r="AY717" s="631" t="str">
        <f>IF(L717="","",
IF(AX717="PT",VLOOKUP(L717,Foundation_Calc!$K$4:$R$37,VLOOKUP(AW717,Foundation_Calc!$I$2:$J$8,2,FALSE),0),
IF(AX717="K",VLOOKUP(L717,Foundation_Calc!$K$41:$R$74,VLOOKUP(AW717,Foundation_Calc!$I$2:$J$8,2,FALSE),0),"")))</f>
        <v/>
      </c>
      <c r="AZ717" s="631" t="str">
        <f>IF(K717="","",
IF(AX717="PT",VLOOKUP(K717,Foundation_Calc!$K$4:$R$37,VLOOKUP(AW717,Foundation_Calc!$I$2:$J$8,2,FALSE),0),
IF(AX717="K",VLOOKUP(K717,Foundation_Calc!$K$41:$R$74,VLOOKUP(AW717,Foundation_Calc!$I$2:$J$8,2,FALSE),0),"")))</f>
        <v/>
      </c>
      <c r="BA717" s="632" t="str">
        <f t="shared" si="48"/>
        <v/>
      </c>
      <c r="BB717" s="632" t="str">
        <f t="shared" si="49"/>
        <v/>
      </c>
      <c r="BC717" s="632" t="str">
        <f t="shared" si="50"/>
        <v/>
      </c>
      <c r="BD717" s="633" t="str">
        <f>IF(AND(L717="",H717=""),"",
IF(H717="",Pole_Calc!A745,
IF(H717="MP",Pole_Calc!A746,
IF(H717="AnMP",Pole_Calc!A747,
IF(H717="A",Pole_Calc!A748,
IF(H717="S/A",Pole_Calc!A749,
IF(H717="A/S",Pole_Calc!A750,"Poner a mano")))))))</f>
        <v/>
      </c>
      <c r="BE717" s="448" t="s">
        <v>1726</v>
      </c>
      <c r="BF717" s="635"/>
      <c r="BG717" s="635"/>
      <c r="BH717" s="634"/>
      <c r="BI717" s="635"/>
    </row>
    <row r="718" spans="1:61" ht="16.2" customHeight="1">
      <c r="A718" s="12"/>
      <c r="B718" s="446"/>
      <c r="C718" s="89"/>
      <c r="D718" s="13"/>
      <c r="E718" s="14"/>
      <c r="F718" s="14"/>
      <c r="G718" s="15"/>
      <c r="H718" s="8"/>
      <c r="I718" s="8"/>
      <c r="J718" s="89"/>
      <c r="K718" s="8"/>
      <c r="L718" s="8"/>
      <c r="M718" s="8" t="str">
        <f>IF(L718="","",
IF(AX718="PT",VLOOKUP(L718,Foundation_Calc!$V$4:$X$37,VLOOKUP(AX718,Foundation_Calc!$I$10:$J$13,2,FALSE),0),
IF(AX718="K",VLOOKUP(L718,Foundation_Calc!$V$41:$X$74,VLOOKUP(AX718,Foundation_Calc!$I$10:$J$13,2,FALSE),0),"")))</f>
        <v/>
      </c>
      <c r="N718" s="8"/>
      <c r="O718" s="8"/>
      <c r="P718" s="8"/>
      <c r="Q718" s="14"/>
      <c r="R718" s="15"/>
      <c r="S718" s="15"/>
      <c r="T718" s="14"/>
      <c r="U718" s="14"/>
      <c r="V718" s="14"/>
      <c r="W718" s="18"/>
      <c r="X718" s="18"/>
      <c r="Y718" s="18"/>
      <c r="Z718" s="18"/>
      <c r="AA718" s="18"/>
      <c r="AB718" s="18"/>
      <c r="AC718" s="8" t="str">
        <f t="shared" si="47"/>
        <v/>
      </c>
      <c r="AD718" s="8"/>
      <c r="AE718" s="8"/>
      <c r="AF718" s="14"/>
      <c r="AG718" s="13"/>
      <c r="AH718" s="14"/>
      <c r="AI718" s="14"/>
      <c r="AJ718" s="8"/>
      <c r="AK718" s="8"/>
      <c r="AL718" s="8"/>
      <c r="AM718" s="8"/>
      <c r="AN718" s="631"/>
      <c r="AO718" s="18"/>
      <c r="AP718" s="18"/>
      <c r="AQ718" s="18"/>
      <c r="AR718" s="18"/>
      <c r="AS718" s="18"/>
      <c r="AU718" s="448"/>
      <c r="AV718" s="448"/>
      <c r="AW718" s="8" t="str">
        <f>IF(C718&gt;0,VLOOKUP(C718,Foundation_Calc!$A$2:$C$986,3,1),
IF(J718&gt;0,VLOOKUP(J718,Foundation_Calc!$A$2:$C$986,3,1),""))</f>
        <v/>
      </c>
      <c r="AX718" s="8" t="str">
        <f>IF(C718&gt;0,VLOOKUP(C718,Foundation_Calc!$E$2:$G$986,3,1),
IF(J718&gt;0,VLOOKUP(J718,Foundation_Calc!$E$2:$G$986,3,1),""))</f>
        <v/>
      </c>
      <c r="AY718" s="631" t="str">
        <f>IF(L718="","",
IF(AX718="PT",VLOOKUP(L718,Foundation_Calc!$K$4:$R$37,VLOOKUP(AW718,Foundation_Calc!$I$2:$J$8,2,FALSE),0),
IF(AX718="K",VLOOKUP(L718,Foundation_Calc!$K$41:$R$74,VLOOKUP(AW718,Foundation_Calc!$I$2:$J$8,2,FALSE),0),"")))</f>
        <v/>
      </c>
      <c r="AZ718" s="631" t="str">
        <f>IF(K718="","",
IF(AX718="PT",VLOOKUP(K718,Foundation_Calc!$K$4:$R$37,VLOOKUP(AW718,Foundation_Calc!$I$2:$J$8,2,FALSE),0),
IF(AX718="K",VLOOKUP(K718,Foundation_Calc!$K$41:$R$74,VLOOKUP(AW718,Foundation_Calc!$I$2:$J$8,2,FALSE),0),"")))</f>
        <v/>
      </c>
      <c r="BA718" s="632" t="str">
        <f t="shared" si="48"/>
        <v/>
      </c>
      <c r="BB718" s="632" t="str">
        <f t="shared" si="49"/>
        <v/>
      </c>
      <c r="BC718" s="632" t="str">
        <f t="shared" si="50"/>
        <v/>
      </c>
      <c r="BD718" s="633" t="str">
        <f>IF(AND(L718="",H718=""),"",
IF(H718="",Pole_Calc!A746,
IF(H718="MP",Pole_Calc!A747,
IF(H718="AnMP",Pole_Calc!A748,
IF(H718="A",Pole_Calc!A749,
IF(H718="S/A",Pole_Calc!A750,
IF(H718="A/S",Pole_Calc!A751,"Poner a mano")))))))</f>
        <v/>
      </c>
      <c r="BE718" s="448" t="s">
        <v>1726</v>
      </c>
      <c r="BF718" s="634"/>
      <c r="BG718" s="634"/>
      <c r="BH718" s="634"/>
      <c r="BI718" s="634"/>
    </row>
    <row r="719" spans="1:61" ht="16.2" customHeight="1">
      <c r="A719" s="12"/>
      <c r="B719" s="446"/>
      <c r="C719" s="89"/>
      <c r="D719" s="13"/>
      <c r="E719" s="14"/>
      <c r="F719" s="14"/>
      <c r="G719" s="15"/>
      <c r="H719" s="8"/>
      <c r="I719" s="8"/>
      <c r="J719" s="89"/>
      <c r="K719" s="8"/>
      <c r="L719" s="8"/>
      <c r="M719" s="8" t="str">
        <f>IF(L719="","",
IF(AX719="PT",VLOOKUP(L719,Foundation_Calc!$V$4:$X$37,VLOOKUP(AX719,Foundation_Calc!$I$10:$J$13,2,FALSE),0),
IF(AX719="K",VLOOKUP(L719,Foundation_Calc!$V$41:$X$74,VLOOKUP(AX719,Foundation_Calc!$I$10:$J$13,2,FALSE),0),"")))</f>
        <v/>
      </c>
      <c r="N719" s="8"/>
      <c r="O719" s="8"/>
      <c r="P719" s="8"/>
      <c r="Q719" s="14"/>
      <c r="R719" s="15"/>
      <c r="S719" s="15"/>
      <c r="T719" s="14"/>
      <c r="U719" s="14"/>
      <c r="V719" s="14"/>
      <c r="W719" s="18"/>
      <c r="X719" s="18"/>
      <c r="Y719" s="18"/>
      <c r="Z719" s="18"/>
      <c r="AA719" s="18"/>
      <c r="AB719" s="18"/>
      <c r="AC719" s="8" t="str">
        <f t="shared" si="47"/>
        <v/>
      </c>
      <c r="AD719" s="8"/>
      <c r="AE719" s="8"/>
      <c r="AF719" s="14"/>
      <c r="AG719" s="13"/>
      <c r="AH719" s="14"/>
      <c r="AI719" s="14"/>
      <c r="AJ719" s="8"/>
      <c r="AK719" s="8"/>
      <c r="AL719" s="8"/>
      <c r="AM719" s="8"/>
      <c r="AN719" s="631"/>
      <c r="AO719" s="18"/>
      <c r="AP719" s="18"/>
      <c r="AQ719" s="18"/>
      <c r="AR719" s="18"/>
      <c r="AS719" s="18"/>
      <c r="AU719" s="448"/>
      <c r="AV719" s="448"/>
      <c r="AW719" s="8" t="str">
        <f>IF(C719&gt;0,VLOOKUP(C719,Foundation_Calc!$A$2:$C$986,3,1),
IF(J719&gt;0,VLOOKUP(J719,Foundation_Calc!$A$2:$C$986,3,1),""))</f>
        <v/>
      </c>
      <c r="AX719" s="8" t="str">
        <f>IF(C719&gt;0,VLOOKUP(C719,Foundation_Calc!$E$2:$G$986,3,1),
IF(J719&gt;0,VLOOKUP(J719,Foundation_Calc!$E$2:$G$986,3,1),""))</f>
        <v/>
      </c>
      <c r="AY719" s="631" t="str">
        <f>IF(L719="","",
IF(AX719="PT",VLOOKUP(L719,Foundation_Calc!$K$4:$R$37,VLOOKUP(AW719,Foundation_Calc!$I$2:$J$8,2,FALSE),0),
IF(AX719="K",VLOOKUP(L719,Foundation_Calc!$K$41:$R$74,VLOOKUP(AW719,Foundation_Calc!$I$2:$J$8,2,FALSE),0),"")))</f>
        <v/>
      </c>
      <c r="AZ719" s="631" t="str">
        <f>IF(K719="","",
IF(AX719="PT",VLOOKUP(K719,Foundation_Calc!$K$4:$R$37,VLOOKUP(AW719,Foundation_Calc!$I$2:$J$8,2,FALSE),0),
IF(AX719="K",VLOOKUP(K719,Foundation_Calc!$K$41:$R$74,VLOOKUP(AW719,Foundation_Calc!$I$2:$J$8,2,FALSE),0),"")))</f>
        <v/>
      </c>
      <c r="BA719" s="632" t="str">
        <f t="shared" si="48"/>
        <v/>
      </c>
      <c r="BB719" s="632" t="str">
        <f t="shared" si="49"/>
        <v/>
      </c>
      <c r="BC719" s="632" t="str">
        <f t="shared" si="50"/>
        <v/>
      </c>
      <c r="BD719" s="633" t="str">
        <f>IF(AND(L719="",H719=""),"",
IF(H719="",Pole_Calc!A747,
IF(H719="MP",Pole_Calc!A748,
IF(H719="AnMP",Pole_Calc!A749,
IF(H719="A",Pole_Calc!A750,
IF(H719="S/A",Pole_Calc!A751,
IF(H719="A/S",Pole_Calc!A752,"Poner a mano")))))))</f>
        <v/>
      </c>
      <c r="BE719" s="448" t="s">
        <v>1726</v>
      </c>
      <c r="BF719" s="635"/>
      <c r="BG719" s="635"/>
      <c r="BH719" s="634"/>
      <c r="BI719" s="635"/>
    </row>
    <row r="720" spans="1:61" ht="16.2" customHeight="1">
      <c r="A720" s="12"/>
      <c r="B720" s="446"/>
      <c r="C720" s="89"/>
      <c r="D720" s="13"/>
      <c r="E720" s="14"/>
      <c r="F720" s="14"/>
      <c r="G720" s="15"/>
      <c r="H720" s="8"/>
      <c r="I720" s="8"/>
      <c r="J720" s="89"/>
      <c r="K720" s="8"/>
      <c r="L720" s="8"/>
      <c r="M720" s="8" t="str">
        <f>IF(L720="","",
IF(AX720="PT",VLOOKUP(L720,Foundation_Calc!$V$4:$X$37,VLOOKUP(AX720,Foundation_Calc!$I$10:$J$13,2,FALSE),0),
IF(AX720="K",VLOOKUP(L720,Foundation_Calc!$V$41:$X$74,VLOOKUP(AX720,Foundation_Calc!$I$10:$J$13,2,FALSE),0),"")))</f>
        <v/>
      </c>
      <c r="N720" s="8"/>
      <c r="O720" s="8"/>
      <c r="P720" s="8"/>
      <c r="Q720" s="14"/>
      <c r="R720" s="15"/>
      <c r="S720" s="15"/>
      <c r="T720" s="14"/>
      <c r="U720" s="14"/>
      <c r="V720" s="14"/>
      <c r="W720" s="18"/>
      <c r="X720" s="18"/>
      <c r="Y720" s="18"/>
      <c r="Z720" s="18"/>
      <c r="AA720" s="18"/>
      <c r="AB720" s="18"/>
      <c r="AC720" s="8" t="str">
        <f t="shared" si="47"/>
        <v/>
      </c>
      <c r="AD720" s="8"/>
      <c r="AE720" s="8"/>
      <c r="AF720" s="14"/>
      <c r="AG720" s="13"/>
      <c r="AH720" s="14"/>
      <c r="AI720" s="14"/>
      <c r="AJ720" s="8"/>
      <c r="AK720" s="8"/>
      <c r="AL720" s="8"/>
      <c r="AM720" s="8"/>
      <c r="AN720" s="631"/>
      <c r="AO720" s="18"/>
      <c r="AP720" s="18"/>
      <c r="AQ720" s="18"/>
      <c r="AR720" s="18"/>
      <c r="AS720" s="18"/>
      <c r="AU720" s="448"/>
      <c r="AV720" s="448"/>
      <c r="AW720" s="8" t="str">
        <f>IF(C720&gt;0,VLOOKUP(C720,Foundation_Calc!$A$2:$C$986,3,1),
IF(J720&gt;0,VLOOKUP(J720,Foundation_Calc!$A$2:$C$986,3,1),""))</f>
        <v/>
      </c>
      <c r="AX720" s="8" t="str">
        <f>IF(C720&gt;0,VLOOKUP(C720,Foundation_Calc!$E$2:$G$986,3,1),
IF(J720&gt;0,VLOOKUP(J720,Foundation_Calc!$E$2:$G$986,3,1),""))</f>
        <v/>
      </c>
      <c r="AY720" s="631" t="str">
        <f>IF(L720="","",
IF(AX720="PT",VLOOKUP(L720,Foundation_Calc!$K$4:$R$37,VLOOKUP(AW720,Foundation_Calc!$I$2:$J$8,2,FALSE),0),
IF(AX720="K",VLOOKUP(L720,Foundation_Calc!$K$41:$R$74,VLOOKUP(AW720,Foundation_Calc!$I$2:$J$8,2,FALSE),0),"")))</f>
        <v/>
      </c>
      <c r="AZ720" s="631" t="str">
        <f>IF(K720="","",
IF(AX720="PT",VLOOKUP(K720,Foundation_Calc!$K$4:$R$37,VLOOKUP(AW720,Foundation_Calc!$I$2:$J$8,2,FALSE),0),
IF(AX720="K",VLOOKUP(K720,Foundation_Calc!$K$41:$R$74,VLOOKUP(AW720,Foundation_Calc!$I$2:$J$8,2,FALSE),0),"")))</f>
        <v/>
      </c>
      <c r="BA720" s="632" t="str">
        <f t="shared" si="48"/>
        <v/>
      </c>
      <c r="BB720" s="632" t="str">
        <f t="shared" si="49"/>
        <v/>
      </c>
      <c r="BC720" s="632" t="str">
        <f t="shared" si="50"/>
        <v/>
      </c>
      <c r="BD720" s="633" t="str">
        <f>IF(AND(L720="",H720=""),"",
IF(H720="",Pole_Calc!A748,
IF(H720="MP",Pole_Calc!A749,
IF(H720="AnMP",Pole_Calc!A750,
IF(H720="A",Pole_Calc!A751,
IF(H720="S/A",Pole_Calc!A752,
IF(H720="A/S",Pole_Calc!A753,"Poner a mano")))))))</f>
        <v/>
      </c>
      <c r="BE720" s="448" t="s">
        <v>1726</v>
      </c>
      <c r="BF720" s="634"/>
      <c r="BG720" s="634"/>
      <c r="BH720" s="634"/>
      <c r="BI720" s="634"/>
    </row>
    <row r="721" spans="1:61" ht="16.2" customHeight="1">
      <c r="A721" s="12"/>
      <c r="B721" s="446"/>
      <c r="C721" s="89"/>
      <c r="D721" s="13"/>
      <c r="E721" s="14"/>
      <c r="F721" s="14"/>
      <c r="G721" s="15"/>
      <c r="H721" s="8"/>
      <c r="I721" s="8"/>
      <c r="J721" s="89"/>
      <c r="K721" s="8"/>
      <c r="L721" s="8"/>
      <c r="M721" s="8" t="str">
        <f>IF(L721="","",
IF(AX721="PT",VLOOKUP(L721,Foundation_Calc!$V$4:$X$37,VLOOKUP(AX721,Foundation_Calc!$I$10:$J$13,2,FALSE),0),
IF(AX721="K",VLOOKUP(L721,Foundation_Calc!$V$41:$X$74,VLOOKUP(AX721,Foundation_Calc!$I$10:$J$13,2,FALSE),0),"")))</f>
        <v/>
      </c>
      <c r="N721" s="8"/>
      <c r="O721" s="8"/>
      <c r="P721" s="8"/>
      <c r="Q721" s="14"/>
      <c r="R721" s="15"/>
      <c r="S721" s="15"/>
      <c r="T721" s="14"/>
      <c r="U721" s="14"/>
      <c r="V721" s="14"/>
      <c r="W721" s="18"/>
      <c r="X721" s="18"/>
      <c r="Y721" s="18"/>
      <c r="Z721" s="18"/>
      <c r="AA721" s="18"/>
      <c r="AB721" s="18"/>
      <c r="AC721" s="8" t="str">
        <f t="shared" si="47"/>
        <v/>
      </c>
      <c r="AD721" s="8"/>
      <c r="AE721" s="8"/>
      <c r="AF721" s="14"/>
      <c r="AG721" s="13"/>
      <c r="AH721" s="14"/>
      <c r="AI721" s="14"/>
      <c r="AJ721" s="8"/>
      <c r="AK721" s="8"/>
      <c r="AL721" s="8"/>
      <c r="AM721" s="8"/>
      <c r="AN721" s="631"/>
      <c r="AO721" s="18"/>
      <c r="AP721" s="18"/>
      <c r="AQ721" s="18"/>
      <c r="AR721" s="18"/>
      <c r="AS721" s="18"/>
      <c r="AU721" s="448"/>
      <c r="AV721" s="448"/>
      <c r="AW721" s="8" t="str">
        <f>IF(C721&gt;0,VLOOKUP(C721,Foundation_Calc!$A$2:$C$986,3,1),
IF(J721&gt;0,VLOOKUP(J721,Foundation_Calc!$A$2:$C$986,3,1),""))</f>
        <v/>
      </c>
      <c r="AX721" s="8" t="str">
        <f>IF(C721&gt;0,VLOOKUP(C721,Foundation_Calc!$E$2:$G$986,3,1),
IF(J721&gt;0,VLOOKUP(J721,Foundation_Calc!$E$2:$G$986,3,1),""))</f>
        <v/>
      </c>
      <c r="AY721" s="631" t="str">
        <f>IF(L721="","",
IF(AX721="PT",VLOOKUP(L721,Foundation_Calc!$K$4:$R$37,VLOOKUP(AW721,Foundation_Calc!$I$2:$J$8,2,FALSE),0),
IF(AX721="K",VLOOKUP(L721,Foundation_Calc!$K$41:$R$74,VLOOKUP(AW721,Foundation_Calc!$I$2:$J$8,2,FALSE),0),"")))</f>
        <v/>
      </c>
      <c r="AZ721" s="631" t="str">
        <f>IF(K721="","",
IF(AX721="PT",VLOOKUP(K721,Foundation_Calc!$K$4:$R$37,VLOOKUP(AW721,Foundation_Calc!$I$2:$J$8,2,FALSE),0),
IF(AX721="K",VLOOKUP(K721,Foundation_Calc!$K$41:$R$74,VLOOKUP(AW721,Foundation_Calc!$I$2:$J$8,2,FALSE),0),"")))</f>
        <v/>
      </c>
      <c r="BA721" s="632" t="str">
        <f t="shared" si="48"/>
        <v/>
      </c>
      <c r="BB721" s="632" t="str">
        <f t="shared" si="49"/>
        <v/>
      </c>
      <c r="BC721" s="632" t="str">
        <f t="shared" si="50"/>
        <v/>
      </c>
      <c r="BD721" s="633" t="str">
        <f>IF(AND(L721="",H721=""),"",
IF(H721="",Pole_Calc!A749,
IF(H721="MP",Pole_Calc!A750,
IF(H721="AnMP",Pole_Calc!A751,
IF(H721="A",Pole_Calc!A752,
IF(H721="S/A",Pole_Calc!A753,
IF(H721="A/S",Pole_Calc!A754,"Poner a mano")))))))</f>
        <v/>
      </c>
      <c r="BE721" s="448" t="s">
        <v>1726</v>
      </c>
      <c r="BF721" s="635"/>
      <c r="BG721" s="635"/>
      <c r="BH721" s="634"/>
      <c r="BI721" s="635"/>
    </row>
    <row r="722" spans="1:61" ht="16.2" customHeight="1">
      <c r="A722" s="12"/>
      <c r="B722" s="446"/>
      <c r="C722" s="89"/>
      <c r="D722" s="13"/>
      <c r="E722" s="14"/>
      <c r="F722" s="14"/>
      <c r="G722" s="15"/>
      <c r="H722" s="8"/>
      <c r="I722" s="8"/>
      <c r="J722" s="89"/>
      <c r="K722" s="8"/>
      <c r="L722" s="8"/>
      <c r="M722" s="8" t="str">
        <f>IF(L722="","",
IF(AX722="PT",VLOOKUP(L722,Foundation_Calc!$V$4:$X$37,VLOOKUP(AX722,Foundation_Calc!$I$10:$J$13,2,FALSE),0),
IF(AX722="K",VLOOKUP(L722,Foundation_Calc!$V$41:$X$74,VLOOKUP(AX722,Foundation_Calc!$I$10:$J$13,2,FALSE),0),"")))</f>
        <v/>
      </c>
      <c r="N722" s="8"/>
      <c r="O722" s="8"/>
      <c r="P722" s="8"/>
      <c r="Q722" s="14"/>
      <c r="R722" s="15"/>
      <c r="S722" s="15"/>
      <c r="T722" s="14"/>
      <c r="U722" s="14"/>
      <c r="V722" s="14"/>
      <c r="W722" s="18"/>
      <c r="X722" s="18"/>
      <c r="Y722" s="18"/>
      <c r="Z722" s="18"/>
      <c r="AA722" s="18"/>
      <c r="AB722" s="18"/>
      <c r="AC722" s="8" t="str">
        <f t="shared" si="47"/>
        <v/>
      </c>
      <c r="AD722" s="8"/>
      <c r="AE722" s="8"/>
      <c r="AF722" s="14"/>
      <c r="AG722" s="13"/>
      <c r="AH722" s="14"/>
      <c r="AI722" s="14"/>
      <c r="AJ722" s="8"/>
      <c r="AK722" s="8"/>
      <c r="AL722" s="8"/>
      <c r="AM722" s="8"/>
      <c r="AN722" s="631"/>
      <c r="AO722" s="18"/>
      <c r="AP722" s="18"/>
      <c r="AQ722" s="18"/>
      <c r="AR722" s="18"/>
      <c r="AS722" s="18"/>
      <c r="AU722" s="448"/>
      <c r="AV722" s="448"/>
      <c r="AW722" s="8" t="str">
        <f>IF(C722&gt;0,VLOOKUP(C722,Foundation_Calc!$A$2:$C$986,3,1),
IF(J722&gt;0,VLOOKUP(J722,Foundation_Calc!$A$2:$C$986,3,1),""))</f>
        <v/>
      </c>
      <c r="AX722" s="8" t="str">
        <f>IF(C722&gt;0,VLOOKUP(C722,Foundation_Calc!$E$2:$G$986,3,1),
IF(J722&gt;0,VLOOKUP(J722,Foundation_Calc!$E$2:$G$986,3,1),""))</f>
        <v/>
      </c>
      <c r="AY722" s="631" t="str">
        <f>IF(L722="","",
IF(AX722="PT",VLOOKUP(L722,Foundation_Calc!$K$4:$R$37,VLOOKUP(AW722,Foundation_Calc!$I$2:$J$8,2,FALSE),0),
IF(AX722="K",VLOOKUP(L722,Foundation_Calc!$K$41:$R$74,VLOOKUP(AW722,Foundation_Calc!$I$2:$J$8,2,FALSE),0),"")))</f>
        <v/>
      </c>
      <c r="AZ722" s="631" t="str">
        <f>IF(K722="","",
IF(AX722="PT",VLOOKUP(K722,Foundation_Calc!$K$4:$R$37,VLOOKUP(AW722,Foundation_Calc!$I$2:$J$8,2,FALSE),0),
IF(AX722="K",VLOOKUP(K722,Foundation_Calc!$K$41:$R$74,VLOOKUP(AW722,Foundation_Calc!$I$2:$J$8,2,FALSE),0),"")))</f>
        <v/>
      </c>
      <c r="BA722" s="632" t="str">
        <f t="shared" si="48"/>
        <v/>
      </c>
      <c r="BB722" s="632" t="str">
        <f t="shared" si="49"/>
        <v/>
      </c>
      <c r="BC722" s="632" t="str">
        <f t="shared" si="50"/>
        <v/>
      </c>
      <c r="BD722" s="633" t="str">
        <f>IF(AND(L722="",H722=""),"",
IF(H722="",Pole_Calc!A750,
IF(H722="MP",Pole_Calc!A751,
IF(H722="AnMP",Pole_Calc!A752,
IF(H722="A",Pole_Calc!A753,
IF(H722="S/A",Pole_Calc!A754,
IF(H722="A/S",Pole_Calc!A755,"Poner a mano")))))))</f>
        <v/>
      </c>
      <c r="BE722" s="448" t="s">
        <v>1726</v>
      </c>
      <c r="BF722" s="634"/>
      <c r="BG722" s="634"/>
      <c r="BH722" s="634"/>
      <c r="BI722" s="634"/>
    </row>
    <row r="723" spans="1:61" ht="16.2" customHeight="1">
      <c r="A723" s="12"/>
      <c r="B723" s="446"/>
      <c r="C723" s="89"/>
      <c r="D723" s="13"/>
      <c r="E723" s="14"/>
      <c r="F723" s="14"/>
      <c r="G723" s="15"/>
      <c r="H723" s="8"/>
      <c r="I723" s="8"/>
      <c r="J723" s="89"/>
      <c r="K723" s="8"/>
      <c r="L723" s="8"/>
      <c r="M723" s="8" t="str">
        <f>IF(L723="","",
IF(AX723="PT",VLOOKUP(L723,Foundation_Calc!$V$4:$X$37,VLOOKUP(AX723,Foundation_Calc!$I$10:$J$13,2,FALSE),0),
IF(AX723="K",VLOOKUP(L723,Foundation_Calc!$V$41:$X$74,VLOOKUP(AX723,Foundation_Calc!$I$10:$J$13,2,FALSE),0),"")))</f>
        <v/>
      </c>
      <c r="N723" s="8"/>
      <c r="O723" s="8"/>
      <c r="P723" s="8"/>
      <c r="Q723" s="14"/>
      <c r="R723" s="15"/>
      <c r="S723" s="15"/>
      <c r="T723" s="14"/>
      <c r="U723" s="14"/>
      <c r="V723" s="14"/>
      <c r="W723" s="18"/>
      <c r="X723" s="18"/>
      <c r="Y723" s="18"/>
      <c r="Z723" s="18"/>
      <c r="AA723" s="18"/>
      <c r="AB723" s="18"/>
      <c r="AC723" s="8" t="str">
        <f t="shared" si="47"/>
        <v/>
      </c>
      <c r="AD723" s="8"/>
      <c r="AE723" s="8"/>
      <c r="AF723" s="14"/>
      <c r="AG723" s="13"/>
      <c r="AH723" s="14"/>
      <c r="AI723" s="14"/>
      <c r="AJ723" s="8"/>
      <c r="AK723" s="8"/>
      <c r="AL723" s="8"/>
      <c r="AM723" s="8"/>
      <c r="AN723" s="631"/>
      <c r="AO723" s="18"/>
      <c r="AP723" s="18"/>
      <c r="AQ723" s="18"/>
      <c r="AR723" s="18"/>
      <c r="AS723" s="18"/>
      <c r="AU723" s="448"/>
      <c r="AV723" s="448"/>
      <c r="AW723" s="8" t="str">
        <f>IF(C723&gt;0,VLOOKUP(C723,Foundation_Calc!$A$2:$C$986,3,1),
IF(J723&gt;0,VLOOKUP(J723,Foundation_Calc!$A$2:$C$986,3,1),""))</f>
        <v/>
      </c>
      <c r="AX723" s="8" t="str">
        <f>IF(C723&gt;0,VLOOKUP(C723,Foundation_Calc!$E$2:$G$986,3,1),
IF(J723&gt;0,VLOOKUP(J723,Foundation_Calc!$E$2:$G$986,3,1),""))</f>
        <v/>
      </c>
      <c r="AY723" s="631" t="str">
        <f>IF(L723="","",
IF(AX723="PT",VLOOKUP(L723,Foundation_Calc!$K$4:$R$37,VLOOKUP(AW723,Foundation_Calc!$I$2:$J$8,2,FALSE),0),
IF(AX723="K",VLOOKUP(L723,Foundation_Calc!$K$41:$R$74,VLOOKUP(AW723,Foundation_Calc!$I$2:$J$8,2,FALSE),0),"")))</f>
        <v/>
      </c>
      <c r="AZ723" s="631" t="str">
        <f>IF(K723="","",
IF(AX723="PT",VLOOKUP(K723,Foundation_Calc!$K$4:$R$37,VLOOKUP(AW723,Foundation_Calc!$I$2:$J$8,2,FALSE),0),
IF(AX723="K",VLOOKUP(K723,Foundation_Calc!$K$41:$R$74,VLOOKUP(AW723,Foundation_Calc!$I$2:$J$8,2,FALSE),0),"")))</f>
        <v/>
      </c>
      <c r="BA723" s="632" t="str">
        <f t="shared" si="48"/>
        <v/>
      </c>
      <c r="BB723" s="632" t="str">
        <f t="shared" si="49"/>
        <v/>
      </c>
      <c r="BC723" s="632" t="str">
        <f t="shared" si="50"/>
        <v/>
      </c>
      <c r="BD723" s="633" t="str">
        <f>IF(AND(L723="",H723=""),"",
IF(H723="",Pole_Calc!A751,
IF(H723="MP",Pole_Calc!A752,
IF(H723="AnMP",Pole_Calc!A753,
IF(H723="A",Pole_Calc!A754,
IF(H723="S/A",Pole_Calc!A755,
IF(H723="A/S",Pole_Calc!A756,"Poner a mano")))))))</f>
        <v/>
      </c>
      <c r="BE723" s="448" t="s">
        <v>1726</v>
      </c>
      <c r="BF723" s="635"/>
      <c r="BG723" s="635"/>
      <c r="BH723" s="634"/>
      <c r="BI723" s="635"/>
    </row>
    <row r="724" spans="1:61" ht="16.2" customHeight="1">
      <c r="A724" s="12"/>
      <c r="B724" s="446"/>
      <c r="C724" s="89"/>
      <c r="D724" s="13"/>
      <c r="E724" s="14"/>
      <c r="F724" s="14"/>
      <c r="G724" s="15"/>
      <c r="H724" s="8"/>
      <c r="I724" s="8"/>
      <c r="J724" s="89"/>
      <c r="K724" s="8"/>
      <c r="L724" s="8"/>
      <c r="M724" s="8" t="str">
        <f>IF(L724="","",
IF(AX724="PT",VLOOKUP(L724,Foundation_Calc!$V$4:$X$37,VLOOKUP(AX724,Foundation_Calc!$I$10:$J$13,2,FALSE),0),
IF(AX724="K",VLOOKUP(L724,Foundation_Calc!$V$41:$X$74,VLOOKUP(AX724,Foundation_Calc!$I$10:$J$13,2,FALSE),0),"")))</f>
        <v/>
      </c>
      <c r="N724" s="8"/>
      <c r="O724" s="8"/>
      <c r="P724" s="8"/>
      <c r="Q724" s="14"/>
      <c r="R724" s="15"/>
      <c r="S724" s="15"/>
      <c r="T724" s="14"/>
      <c r="U724" s="14"/>
      <c r="V724" s="14"/>
      <c r="W724" s="18"/>
      <c r="X724" s="18"/>
      <c r="Y724" s="18"/>
      <c r="Z724" s="18"/>
      <c r="AA724" s="18"/>
      <c r="AB724" s="18"/>
      <c r="AC724" s="8" t="str">
        <f t="shared" si="47"/>
        <v/>
      </c>
      <c r="AD724" s="8"/>
      <c r="AE724" s="8"/>
      <c r="AF724" s="14"/>
      <c r="AG724" s="13"/>
      <c r="AH724" s="14"/>
      <c r="AI724" s="14"/>
      <c r="AJ724" s="8"/>
      <c r="AK724" s="8"/>
      <c r="AL724" s="8"/>
      <c r="AM724" s="8"/>
      <c r="AN724" s="631"/>
      <c r="AO724" s="18"/>
      <c r="AP724" s="18"/>
      <c r="AQ724" s="18"/>
      <c r="AR724" s="18"/>
      <c r="AS724" s="18"/>
      <c r="AU724" s="448"/>
      <c r="AV724" s="448"/>
      <c r="AW724" s="8" t="str">
        <f>IF(C724&gt;0,VLOOKUP(C724,Foundation_Calc!$A$2:$C$986,3,1),
IF(J724&gt;0,VLOOKUP(J724,Foundation_Calc!$A$2:$C$986,3,1),""))</f>
        <v/>
      </c>
      <c r="AX724" s="8" t="str">
        <f>IF(C724&gt;0,VLOOKUP(C724,Foundation_Calc!$E$2:$G$986,3,1),
IF(J724&gt;0,VLOOKUP(J724,Foundation_Calc!$E$2:$G$986,3,1),""))</f>
        <v/>
      </c>
      <c r="AY724" s="631" t="str">
        <f>IF(L724="","",
IF(AX724="PT",VLOOKUP(L724,Foundation_Calc!$K$4:$R$37,VLOOKUP(AW724,Foundation_Calc!$I$2:$J$8,2,FALSE),0),
IF(AX724="K",VLOOKUP(L724,Foundation_Calc!$K$41:$R$74,VLOOKUP(AW724,Foundation_Calc!$I$2:$J$8,2,FALSE),0),"")))</f>
        <v/>
      </c>
      <c r="AZ724" s="631" t="str">
        <f>IF(K724="","",
IF(AX724="PT",VLOOKUP(K724,Foundation_Calc!$K$4:$R$37,VLOOKUP(AW724,Foundation_Calc!$I$2:$J$8,2,FALSE),0),
IF(AX724="K",VLOOKUP(K724,Foundation_Calc!$K$41:$R$74,VLOOKUP(AW724,Foundation_Calc!$I$2:$J$8,2,FALSE),0),"")))</f>
        <v/>
      </c>
      <c r="BA724" s="632" t="str">
        <f t="shared" si="48"/>
        <v/>
      </c>
      <c r="BB724" s="632" t="str">
        <f t="shared" si="49"/>
        <v/>
      </c>
      <c r="BC724" s="632" t="str">
        <f t="shared" si="50"/>
        <v/>
      </c>
      <c r="BD724" s="633" t="str">
        <f>IF(AND(L724="",H724=""),"",
IF(H724="",Pole_Calc!A752,
IF(H724="MP",Pole_Calc!A753,
IF(H724="AnMP",Pole_Calc!A754,
IF(H724="A",Pole_Calc!A755,
IF(H724="S/A",Pole_Calc!A756,
IF(H724="A/S",Pole_Calc!A757,"Poner a mano")))))))</f>
        <v/>
      </c>
      <c r="BE724" s="448" t="s">
        <v>1726</v>
      </c>
      <c r="BF724" s="634"/>
      <c r="BG724" s="634"/>
      <c r="BH724" s="634"/>
      <c r="BI724" s="634"/>
    </row>
    <row r="725" spans="1:61" ht="16.2" customHeight="1">
      <c r="A725" s="12"/>
      <c r="B725" s="446"/>
      <c r="C725" s="89"/>
      <c r="D725" s="13"/>
      <c r="E725" s="14"/>
      <c r="F725" s="14"/>
      <c r="G725" s="15"/>
      <c r="H725" s="8"/>
      <c r="I725" s="8"/>
      <c r="J725" s="89"/>
      <c r="K725" s="8"/>
      <c r="L725" s="8"/>
      <c r="M725" s="8" t="str">
        <f>IF(L725="","",
IF(AX725="PT",VLOOKUP(L725,Foundation_Calc!$V$4:$X$37,VLOOKUP(AX725,Foundation_Calc!$I$10:$J$13,2,FALSE),0),
IF(AX725="K",VLOOKUP(L725,Foundation_Calc!$V$41:$X$74,VLOOKUP(AX725,Foundation_Calc!$I$10:$J$13,2,FALSE),0),"")))</f>
        <v/>
      </c>
      <c r="N725" s="8"/>
      <c r="O725" s="8"/>
      <c r="P725" s="8"/>
      <c r="Q725" s="14"/>
      <c r="R725" s="15"/>
      <c r="S725" s="15"/>
      <c r="T725" s="14"/>
      <c r="U725" s="14"/>
      <c r="V725" s="14"/>
      <c r="W725" s="18"/>
      <c r="X725" s="18"/>
      <c r="Y725" s="18"/>
      <c r="Z725" s="18"/>
      <c r="AA725" s="18"/>
      <c r="AB725" s="18"/>
      <c r="AC725" s="8" t="str">
        <f t="shared" si="47"/>
        <v/>
      </c>
      <c r="AD725" s="8"/>
      <c r="AE725" s="8"/>
      <c r="AF725" s="14"/>
      <c r="AG725" s="13"/>
      <c r="AH725" s="14"/>
      <c r="AI725" s="14"/>
      <c r="AJ725" s="8"/>
      <c r="AK725" s="8"/>
      <c r="AL725" s="8"/>
      <c r="AM725" s="8"/>
      <c r="AN725" s="631"/>
      <c r="AO725" s="18"/>
      <c r="AP725" s="18"/>
      <c r="AQ725" s="18"/>
      <c r="AR725" s="18"/>
      <c r="AS725" s="18"/>
      <c r="AU725" s="448"/>
      <c r="AV725" s="448"/>
      <c r="AW725" s="8" t="str">
        <f>IF(C725&gt;0,VLOOKUP(C725,Foundation_Calc!$A$2:$C$986,3,1),
IF(J725&gt;0,VLOOKUP(J725,Foundation_Calc!$A$2:$C$986,3,1),""))</f>
        <v/>
      </c>
      <c r="AX725" s="8" t="str">
        <f>IF(C725&gt;0,VLOOKUP(C725,Foundation_Calc!$E$2:$G$986,3,1),
IF(J725&gt;0,VLOOKUP(J725,Foundation_Calc!$E$2:$G$986,3,1),""))</f>
        <v/>
      </c>
      <c r="AY725" s="631" t="str">
        <f>IF(L725="","",
IF(AX725="PT",VLOOKUP(L725,Foundation_Calc!$K$4:$R$37,VLOOKUP(AW725,Foundation_Calc!$I$2:$J$8,2,FALSE),0),
IF(AX725="K",VLOOKUP(L725,Foundation_Calc!$K$41:$R$74,VLOOKUP(AW725,Foundation_Calc!$I$2:$J$8,2,FALSE),0),"")))</f>
        <v/>
      </c>
      <c r="AZ725" s="631" t="str">
        <f>IF(K725="","",
IF(AX725="PT",VLOOKUP(K725,Foundation_Calc!$K$4:$R$37,VLOOKUP(AW725,Foundation_Calc!$I$2:$J$8,2,FALSE),0),
IF(AX725="K",VLOOKUP(K725,Foundation_Calc!$K$41:$R$74,VLOOKUP(AW725,Foundation_Calc!$I$2:$J$8,2,FALSE),0),"")))</f>
        <v/>
      </c>
      <c r="BA725" s="632" t="str">
        <f t="shared" si="48"/>
        <v/>
      </c>
      <c r="BB725" s="632" t="str">
        <f t="shared" si="49"/>
        <v/>
      </c>
      <c r="BC725" s="632" t="str">
        <f t="shared" si="50"/>
        <v/>
      </c>
      <c r="BD725" s="633" t="str">
        <f>IF(AND(L725="",H725=""),"",
IF(H725="",Pole_Calc!A753,
IF(H725="MP",Pole_Calc!A754,
IF(H725="AnMP",Pole_Calc!A755,
IF(H725="A",Pole_Calc!A756,
IF(H725="S/A",Pole_Calc!A757,
IF(H725="A/S",Pole_Calc!A758,"Poner a mano")))))))</f>
        <v/>
      </c>
      <c r="BE725" s="448" t="s">
        <v>1726</v>
      </c>
      <c r="BF725" s="635"/>
      <c r="BG725" s="635"/>
      <c r="BH725" s="634"/>
      <c r="BI725" s="635"/>
    </row>
    <row r="726" spans="1:61" ht="16.2" customHeight="1">
      <c r="A726" s="12"/>
      <c r="B726" s="446"/>
      <c r="C726" s="89"/>
      <c r="D726" s="13"/>
      <c r="E726" s="14"/>
      <c r="F726" s="14"/>
      <c r="G726" s="15"/>
      <c r="H726" s="8"/>
      <c r="I726" s="8"/>
      <c r="J726" s="89"/>
      <c r="K726" s="8"/>
      <c r="L726" s="8"/>
      <c r="M726" s="8" t="str">
        <f>IF(L726="","",
IF(AX726="PT",VLOOKUP(L726,Foundation_Calc!$V$4:$X$37,VLOOKUP(AX726,Foundation_Calc!$I$10:$J$13,2,FALSE),0),
IF(AX726="K",VLOOKUP(L726,Foundation_Calc!$V$41:$X$74,VLOOKUP(AX726,Foundation_Calc!$I$10:$J$13,2,FALSE),0),"")))</f>
        <v/>
      </c>
      <c r="N726" s="8"/>
      <c r="O726" s="8"/>
      <c r="P726" s="8"/>
      <c r="Q726" s="14"/>
      <c r="R726" s="15"/>
      <c r="S726" s="15"/>
      <c r="T726" s="14"/>
      <c r="U726" s="14"/>
      <c r="V726" s="14"/>
      <c r="W726" s="18"/>
      <c r="X726" s="18"/>
      <c r="Y726" s="18"/>
      <c r="Z726" s="18"/>
      <c r="AA726" s="18"/>
      <c r="AB726" s="18"/>
      <c r="AC726" s="8" t="str">
        <f t="shared" si="47"/>
        <v/>
      </c>
      <c r="AD726" s="8"/>
      <c r="AE726" s="8"/>
      <c r="AF726" s="14"/>
      <c r="AG726" s="13"/>
      <c r="AH726" s="14"/>
      <c r="AI726" s="14"/>
      <c r="AJ726" s="8"/>
      <c r="AK726" s="8"/>
      <c r="AL726" s="8"/>
      <c r="AM726" s="8"/>
      <c r="AN726" s="631"/>
      <c r="AO726" s="18"/>
      <c r="AP726" s="18"/>
      <c r="AQ726" s="18"/>
      <c r="AR726" s="18"/>
      <c r="AS726" s="18"/>
      <c r="AU726" s="448"/>
      <c r="AV726" s="448"/>
      <c r="AW726" s="8" t="str">
        <f>IF(C726&gt;0,VLOOKUP(C726,Foundation_Calc!$A$2:$C$986,3,1),
IF(J726&gt;0,VLOOKUP(J726,Foundation_Calc!$A$2:$C$986,3,1),""))</f>
        <v/>
      </c>
      <c r="AX726" s="8" t="str">
        <f>IF(C726&gt;0,VLOOKUP(C726,Foundation_Calc!$E$2:$G$986,3,1),
IF(J726&gt;0,VLOOKUP(J726,Foundation_Calc!$E$2:$G$986,3,1),""))</f>
        <v/>
      </c>
      <c r="AY726" s="631" t="str">
        <f>IF(L726="","",
IF(AX726="PT",VLOOKUP(L726,Foundation_Calc!$K$4:$R$37,VLOOKUP(AW726,Foundation_Calc!$I$2:$J$8,2,FALSE),0),
IF(AX726="K",VLOOKUP(L726,Foundation_Calc!$K$41:$R$74,VLOOKUP(AW726,Foundation_Calc!$I$2:$J$8,2,FALSE),0),"")))</f>
        <v/>
      </c>
      <c r="AZ726" s="631" t="str">
        <f>IF(K726="","",
IF(AX726="PT",VLOOKUP(K726,Foundation_Calc!$K$4:$R$37,VLOOKUP(AW726,Foundation_Calc!$I$2:$J$8,2,FALSE),0),
IF(AX726="K",VLOOKUP(K726,Foundation_Calc!$K$41:$R$74,VLOOKUP(AW726,Foundation_Calc!$I$2:$J$8,2,FALSE),0),"")))</f>
        <v/>
      </c>
      <c r="BA726" s="632" t="str">
        <f t="shared" si="48"/>
        <v/>
      </c>
      <c r="BB726" s="632" t="str">
        <f t="shared" si="49"/>
        <v/>
      </c>
      <c r="BC726" s="632" t="str">
        <f t="shared" si="50"/>
        <v/>
      </c>
      <c r="BD726" s="633" t="str">
        <f>IF(AND(L726="",H726=""),"",
IF(H726="",Pole_Calc!A754,
IF(H726="MP",Pole_Calc!A755,
IF(H726="AnMP",Pole_Calc!A756,
IF(H726="A",Pole_Calc!A757,
IF(H726="S/A",Pole_Calc!A758,
IF(H726="A/S",Pole_Calc!A759,"Poner a mano")))))))</f>
        <v/>
      </c>
      <c r="BE726" s="448" t="s">
        <v>1726</v>
      </c>
      <c r="BF726" s="634"/>
      <c r="BG726" s="634"/>
      <c r="BH726" s="634"/>
      <c r="BI726" s="634"/>
    </row>
    <row r="727" spans="1:61" ht="16.2" customHeight="1">
      <c r="A727" s="12"/>
      <c r="B727" s="446"/>
      <c r="C727" s="89"/>
      <c r="D727" s="13"/>
      <c r="E727" s="14"/>
      <c r="F727" s="14"/>
      <c r="G727" s="15"/>
      <c r="H727" s="8"/>
      <c r="I727" s="8"/>
      <c r="J727" s="89"/>
      <c r="K727" s="8"/>
      <c r="L727" s="8"/>
      <c r="M727" s="8" t="str">
        <f>IF(L727="","",
IF(AX727="PT",VLOOKUP(L727,Foundation_Calc!$V$4:$X$37,VLOOKUP(AX727,Foundation_Calc!$I$10:$J$13,2,FALSE),0),
IF(AX727="K",VLOOKUP(L727,Foundation_Calc!$V$41:$X$74,VLOOKUP(AX727,Foundation_Calc!$I$10:$J$13,2,FALSE),0),"")))</f>
        <v/>
      </c>
      <c r="N727" s="8"/>
      <c r="O727" s="8"/>
      <c r="P727" s="8"/>
      <c r="Q727" s="14"/>
      <c r="R727" s="15"/>
      <c r="S727" s="15"/>
      <c r="T727" s="14"/>
      <c r="U727" s="14"/>
      <c r="V727" s="14"/>
      <c r="W727" s="18"/>
      <c r="X727" s="18"/>
      <c r="Y727" s="18"/>
      <c r="Z727" s="18"/>
      <c r="AA727" s="18"/>
      <c r="AB727" s="18"/>
      <c r="AC727" s="8" t="str">
        <f t="shared" si="47"/>
        <v/>
      </c>
      <c r="AD727" s="8"/>
      <c r="AE727" s="8"/>
      <c r="AF727" s="14"/>
      <c r="AG727" s="13"/>
      <c r="AH727" s="14"/>
      <c r="AI727" s="14"/>
      <c r="AJ727" s="8"/>
      <c r="AK727" s="8"/>
      <c r="AL727" s="8"/>
      <c r="AM727" s="8"/>
      <c r="AN727" s="631"/>
      <c r="AO727" s="18"/>
      <c r="AP727" s="18"/>
      <c r="AQ727" s="18"/>
      <c r="AR727" s="18"/>
      <c r="AS727" s="18"/>
      <c r="AU727" s="448"/>
      <c r="AV727" s="448"/>
      <c r="AW727" s="8" t="str">
        <f>IF(C727&gt;0,VLOOKUP(C727,Foundation_Calc!$A$2:$C$986,3,1),
IF(J727&gt;0,VLOOKUP(J727,Foundation_Calc!$A$2:$C$986,3,1),""))</f>
        <v/>
      </c>
      <c r="AX727" s="8" t="str">
        <f>IF(C727&gt;0,VLOOKUP(C727,Foundation_Calc!$E$2:$G$986,3,1),
IF(J727&gt;0,VLOOKUP(J727,Foundation_Calc!$E$2:$G$986,3,1),""))</f>
        <v/>
      </c>
      <c r="AY727" s="631" t="str">
        <f>IF(L727="","",
IF(AX727="PT",VLOOKUP(L727,Foundation_Calc!$K$4:$R$37,VLOOKUP(AW727,Foundation_Calc!$I$2:$J$8,2,FALSE),0),
IF(AX727="K",VLOOKUP(L727,Foundation_Calc!$K$41:$R$74,VLOOKUP(AW727,Foundation_Calc!$I$2:$J$8,2,FALSE),0),"")))</f>
        <v/>
      </c>
      <c r="AZ727" s="631" t="str">
        <f>IF(K727="","",
IF(AX727="PT",VLOOKUP(K727,Foundation_Calc!$K$4:$R$37,VLOOKUP(AW727,Foundation_Calc!$I$2:$J$8,2,FALSE),0),
IF(AX727="K",VLOOKUP(K727,Foundation_Calc!$K$41:$R$74,VLOOKUP(AW727,Foundation_Calc!$I$2:$J$8,2,FALSE),0),"")))</f>
        <v/>
      </c>
      <c r="BA727" s="632" t="str">
        <f t="shared" si="48"/>
        <v/>
      </c>
      <c r="BB727" s="632" t="str">
        <f t="shared" si="49"/>
        <v/>
      </c>
      <c r="BC727" s="632" t="str">
        <f t="shared" si="50"/>
        <v/>
      </c>
      <c r="BD727" s="633" t="str">
        <f>IF(AND(L727="",H727=""),"",
IF(H727="",Pole_Calc!A755,
IF(H727="MP",Pole_Calc!A756,
IF(H727="AnMP",Pole_Calc!A757,
IF(H727="A",Pole_Calc!A758,
IF(H727="S/A",Pole_Calc!A759,
IF(H727="A/S",Pole_Calc!A760,"Poner a mano")))))))</f>
        <v/>
      </c>
      <c r="BE727" s="448" t="s">
        <v>1726</v>
      </c>
      <c r="BF727" s="635"/>
      <c r="BG727" s="635"/>
      <c r="BH727" s="634"/>
      <c r="BI727" s="635"/>
    </row>
    <row r="728" spans="1:61" ht="16.2" customHeight="1">
      <c r="A728" s="12"/>
      <c r="B728" s="446"/>
      <c r="C728" s="89"/>
      <c r="D728" s="13"/>
      <c r="E728" s="14"/>
      <c r="F728" s="14"/>
      <c r="G728" s="15"/>
      <c r="H728" s="8"/>
      <c r="I728" s="8"/>
      <c r="J728" s="89"/>
      <c r="K728" s="8"/>
      <c r="L728" s="8"/>
      <c r="M728" s="8" t="str">
        <f>IF(L728="","",
IF(AX728="PT",VLOOKUP(L728,Foundation_Calc!$V$4:$X$37,VLOOKUP(AX728,Foundation_Calc!$I$10:$J$13,2,FALSE),0),
IF(AX728="K",VLOOKUP(L728,Foundation_Calc!$V$41:$X$74,VLOOKUP(AX728,Foundation_Calc!$I$10:$J$13,2,FALSE),0),"")))</f>
        <v/>
      </c>
      <c r="N728" s="8"/>
      <c r="O728" s="8"/>
      <c r="P728" s="8"/>
      <c r="Q728" s="14"/>
      <c r="R728" s="15"/>
      <c r="S728" s="15"/>
      <c r="T728" s="14"/>
      <c r="U728" s="14"/>
      <c r="V728" s="14"/>
      <c r="W728" s="18"/>
      <c r="X728" s="18"/>
      <c r="Y728" s="18"/>
      <c r="Z728" s="18"/>
      <c r="AA728" s="18"/>
      <c r="AB728" s="18"/>
      <c r="AC728" s="8" t="str">
        <f t="shared" si="47"/>
        <v/>
      </c>
      <c r="AD728" s="8"/>
      <c r="AE728" s="8"/>
      <c r="AF728" s="14"/>
      <c r="AG728" s="13"/>
      <c r="AH728" s="14"/>
      <c r="AI728" s="14"/>
      <c r="AJ728" s="8"/>
      <c r="AK728" s="8"/>
      <c r="AL728" s="8"/>
      <c r="AM728" s="8"/>
      <c r="AN728" s="631"/>
      <c r="AO728" s="18"/>
      <c r="AP728" s="18"/>
      <c r="AQ728" s="18"/>
      <c r="AR728" s="18"/>
      <c r="AS728" s="18"/>
      <c r="AU728" s="448"/>
      <c r="AV728" s="448"/>
      <c r="AW728" s="8" t="str">
        <f>IF(C728&gt;0,VLOOKUP(C728,Foundation_Calc!$A$2:$C$986,3,1),
IF(J728&gt;0,VLOOKUP(J728,Foundation_Calc!$A$2:$C$986,3,1),""))</f>
        <v/>
      </c>
      <c r="AX728" s="8" t="str">
        <f>IF(C728&gt;0,VLOOKUP(C728,Foundation_Calc!$E$2:$G$986,3,1),
IF(J728&gt;0,VLOOKUP(J728,Foundation_Calc!$E$2:$G$986,3,1),""))</f>
        <v/>
      </c>
      <c r="AY728" s="631" t="str">
        <f>IF(L728="","",
IF(AX728="PT",VLOOKUP(L728,Foundation_Calc!$K$4:$R$37,VLOOKUP(AW728,Foundation_Calc!$I$2:$J$8,2,FALSE),0),
IF(AX728="K",VLOOKUP(L728,Foundation_Calc!$K$41:$R$74,VLOOKUP(AW728,Foundation_Calc!$I$2:$J$8,2,FALSE),0),"")))</f>
        <v/>
      </c>
      <c r="AZ728" s="631" t="str">
        <f>IF(K728="","",
IF(AX728="PT",VLOOKUP(K728,Foundation_Calc!$K$4:$R$37,VLOOKUP(AW728,Foundation_Calc!$I$2:$J$8,2,FALSE),0),
IF(AX728="K",VLOOKUP(K728,Foundation_Calc!$K$41:$R$74,VLOOKUP(AW728,Foundation_Calc!$I$2:$J$8,2,FALSE),0),"")))</f>
        <v/>
      </c>
      <c r="BA728" s="632" t="str">
        <f t="shared" si="48"/>
        <v/>
      </c>
      <c r="BB728" s="632" t="str">
        <f t="shared" si="49"/>
        <v/>
      </c>
      <c r="BC728" s="632" t="str">
        <f t="shared" si="50"/>
        <v/>
      </c>
      <c r="BD728" s="633" t="str">
        <f>IF(AND(L728="",H728=""),"",
IF(H728="",Pole_Calc!A756,
IF(H728="MP",Pole_Calc!A757,
IF(H728="AnMP",Pole_Calc!A758,
IF(H728="A",Pole_Calc!A759,
IF(H728="S/A",Pole_Calc!A760,
IF(H728="A/S",Pole_Calc!A761,"Poner a mano")))))))</f>
        <v/>
      </c>
      <c r="BE728" s="448" t="s">
        <v>1726</v>
      </c>
      <c r="BF728" s="634"/>
      <c r="BG728" s="634"/>
      <c r="BH728" s="634"/>
      <c r="BI728" s="634"/>
    </row>
    <row r="729" spans="1:61" ht="16.2" customHeight="1">
      <c r="A729" s="12"/>
      <c r="B729" s="446"/>
      <c r="C729" s="89"/>
      <c r="D729" s="13"/>
      <c r="E729" s="14"/>
      <c r="F729" s="14"/>
      <c r="G729" s="15"/>
      <c r="H729" s="8"/>
      <c r="I729" s="8"/>
      <c r="J729" s="89"/>
      <c r="K729" s="8"/>
      <c r="L729" s="8"/>
      <c r="M729" s="8" t="str">
        <f>IF(L729="","",
IF(AX729="PT",VLOOKUP(L729,Foundation_Calc!$V$4:$X$37,VLOOKUP(AX729,Foundation_Calc!$I$10:$J$13,2,FALSE),0),
IF(AX729="K",VLOOKUP(L729,Foundation_Calc!$V$41:$X$74,VLOOKUP(AX729,Foundation_Calc!$I$10:$J$13,2,FALSE),0),"")))</f>
        <v/>
      </c>
      <c r="N729" s="8"/>
      <c r="O729" s="8"/>
      <c r="P729" s="8"/>
      <c r="Q729" s="14"/>
      <c r="R729" s="15"/>
      <c r="S729" s="15"/>
      <c r="T729" s="14"/>
      <c r="U729" s="14"/>
      <c r="V729" s="14"/>
      <c r="W729" s="18"/>
      <c r="X729" s="18"/>
      <c r="Y729" s="18"/>
      <c r="Z729" s="18"/>
      <c r="AA729" s="18"/>
      <c r="AB729" s="18"/>
      <c r="AC729" s="8" t="str">
        <f t="shared" si="47"/>
        <v/>
      </c>
      <c r="AD729" s="8"/>
      <c r="AE729" s="8"/>
      <c r="AF729" s="14"/>
      <c r="AG729" s="13"/>
      <c r="AH729" s="14"/>
      <c r="AI729" s="14"/>
      <c r="AJ729" s="8"/>
      <c r="AK729" s="8"/>
      <c r="AL729" s="8"/>
      <c r="AM729" s="8"/>
      <c r="AN729" s="631"/>
      <c r="AO729" s="18"/>
      <c r="AP729" s="18"/>
      <c r="AQ729" s="18"/>
      <c r="AR729" s="18"/>
      <c r="AS729" s="18"/>
      <c r="AU729" s="448"/>
      <c r="AV729" s="448"/>
      <c r="AW729" s="8" t="str">
        <f>IF(C729&gt;0,VLOOKUP(C729,Foundation_Calc!$A$2:$C$986,3,1),
IF(J729&gt;0,VLOOKUP(J729,Foundation_Calc!$A$2:$C$986,3,1),""))</f>
        <v/>
      </c>
      <c r="AX729" s="8" t="str">
        <f>IF(C729&gt;0,VLOOKUP(C729,Foundation_Calc!$E$2:$G$986,3,1),
IF(J729&gt;0,VLOOKUP(J729,Foundation_Calc!$E$2:$G$986,3,1),""))</f>
        <v/>
      </c>
      <c r="AY729" s="631" t="str">
        <f>IF(L729="","",
IF(AX729="PT",VLOOKUP(L729,Foundation_Calc!$K$4:$R$37,VLOOKUP(AW729,Foundation_Calc!$I$2:$J$8,2,FALSE),0),
IF(AX729="K",VLOOKUP(L729,Foundation_Calc!$K$41:$R$74,VLOOKUP(AW729,Foundation_Calc!$I$2:$J$8,2,FALSE),0),"")))</f>
        <v/>
      </c>
      <c r="AZ729" s="631" t="str">
        <f>IF(K729="","",
IF(AX729="PT",VLOOKUP(K729,Foundation_Calc!$K$4:$R$37,VLOOKUP(AW729,Foundation_Calc!$I$2:$J$8,2,FALSE),0),
IF(AX729="K",VLOOKUP(K729,Foundation_Calc!$K$41:$R$74,VLOOKUP(AW729,Foundation_Calc!$I$2:$J$8,2,FALSE),0),"")))</f>
        <v/>
      </c>
      <c r="BA729" s="632" t="str">
        <f t="shared" si="48"/>
        <v/>
      </c>
      <c r="BB729" s="632" t="str">
        <f t="shared" si="49"/>
        <v/>
      </c>
      <c r="BC729" s="632" t="str">
        <f t="shared" si="50"/>
        <v/>
      </c>
      <c r="BD729" s="633" t="str">
        <f>IF(AND(L729="",H729=""),"",
IF(H729="",Pole_Calc!A757,
IF(H729="MP",Pole_Calc!A758,
IF(H729="AnMP",Pole_Calc!A759,
IF(H729="A",Pole_Calc!A760,
IF(H729="S/A",Pole_Calc!A761,
IF(H729="A/S",Pole_Calc!A762,"Poner a mano")))))))</f>
        <v/>
      </c>
      <c r="BE729" s="448" t="s">
        <v>1726</v>
      </c>
      <c r="BF729" s="635"/>
      <c r="BG729" s="635"/>
      <c r="BH729" s="634"/>
      <c r="BI729" s="635"/>
    </row>
    <row r="730" spans="1:61" ht="16.2" customHeight="1">
      <c r="A730" s="12"/>
      <c r="B730" s="446"/>
      <c r="C730" s="89"/>
      <c r="D730" s="13"/>
      <c r="E730" s="14"/>
      <c r="F730" s="14"/>
      <c r="G730" s="15"/>
      <c r="H730" s="8"/>
      <c r="I730" s="8"/>
      <c r="J730" s="89"/>
      <c r="K730" s="8"/>
      <c r="L730" s="8"/>
      <c r="M730" s="8" t="str">
        <f>IF(L730="","",
IF(AX730="PT",VLOOKUP(L730,Foundation_Calc!$V$4:$X$37,VLOOKUP(AX730,Foundation_Calc!$I$10:$J$13,2,FALSE),0),
IF(AX730="K",VLOOKUP(L730,Foundation_Calc!$V$41:$X$74,VLOOKUP(AX730,Foundation_Calc!$I$10:$J$13,2,FALSE),0),"")))</f>
        <v/>
      </c>
      <c r="N730" s="8"/>
      <c r="O730" s="8"/>
      <c r="P730" s="8"/>
      <c r="Q730" s="14"/>
      <c r="R730" s="15"/>
      <c r="S730" s="15"/>
      <c r="T730" s="14"/>
      <c r="U730" s="14"/>
      <c r="V730" s="14"/>
      <c r="W730" s="18"/>
      <c r="X730" s="18"/>
      <c r="Y730" s="18"/>
      <c r="Z730" s="18"/>
      <c r="AA730" s="18"/>
      <c r="AB730" s="18"/>
      <c r="AC730" s="8" t="str">
        <f t="shared" si="47"/>
        <v/>
      </c>
      <c r="AD730" s="8"/>
      <c r="AE730" s="8"/>
      <c r="AF730" s="14"/>
      <c r="AG730" s="13"/>
      <c r="AH730" s="14"/>
      <c r="AI730" s="14"/>
      <c r="AJ730" s="8"/>
      <c r="AK730" s="8"/>
      <c r="AL730" s="8"/>
      <c r="AM730" s="8"/>
      <c r="AN730" s="631"/>
      <c r="AO730" s="18"/>
      <c r="AP730" s="18"/>
      <c r="AQ730" s="18"/>
      <c r="AR730" s="18"/>
      <c r="AS730" s="18"/>
      <c r="AU730" s="448"/>
      <c r="AV730" s="448"/>
      <c r="AW730" s="8" t="str">
        <f>IF(C730&gt;0,VLOOKUP(C730,Foundation_Calc!$A$2:$C$986,3,1),
IF(J730&gt;0,VLOOKUP(J730,Foundation_Calc!$A$2:$C$986,3,1),""))</f>
        <v/>
      </c>
      <c r="AX730" s="8" t="str">
        <f>IF(C730&gt;0,VLOOKUP(C730,Foundation_Calc!$E$2:$G$986,3,1),
IF(J730&gt;0,VLOOKUP(J730,Foundation_Calc!$E$2:$G$986,3,1),""))</f>
        <v/>
      </c>
      <c r="AY730" s="631" t="str">
        <f>IF(L730="","",
IF(AX730="PT",VLOOKUP(L730,Foundation_Calc!$K$4:$R$37,VLOOKUP(AW730,Foundation_Calc!$I$2:$J$8,2,FALSE),0),
IF(AX730="K",VLOOKUP(L730,Foundation_Calc!$K$41:$R$74,VLOOKUP(AW730,Foundation_Calc!$I$2:$J$8,2,FALSE),0),"")))</f>
        <v/>
      </c>
      <c r="AZ730" s="631" t="str">
        <f>IF(K730="","",
IF(AX730="PT",VLOOKUP(K730,Foundation_Calc!$K$4:$R$37,VLOOKUP(AW730,Foundation_Calc!$I$2:$J$8,2,FALSE),0),
IF(AX730="K",VLOOKUP(K730,Foundation_Calc!$K$41:$R$74,VLOOKUP(AW730,Foundation_Calc!$I$2:$J$8,2,FALSE),0),"")))</f>
        <v/>
      </c>
      <c r="BA730" s="632" t="str">
        <f t="shared" si="48"/>
        <v/>
      </c>
      <c r="BB730" s="632" t="str">
        <f t="shared" si="49"/>
        <v/>
      </c>
      <c r="BC730" s="632" t="str">
        <f t="shared" si="50"/>
        <v/>
      </c>
      <c r="BD730" s="633" t="str">
        <f>IF(AND(L730="",H730=""),"",
IF(H730="",Pole_Calc!A758,
IF(H730="MP",Pole_Calc!A759,
IF(H730="AnMP",Pole_Calc!A760,
IF(H730="A",Pole_Calc!A761,
IF(H730="S/A",Pole_Calc!A762,
IF(H730="A/S",Pole_Calc!A763,"Poner a mano")))))))</f>
        <v/>
      </c>
      <c r="BE730" s="448" t="s">
        <v>1726</v>
      </c>
      <c r="BF730" s="634"/>
      <c r="BG730" s="634"/>
      <c r="BH730" s="634"/>
      <c r="BI730" s="634"/>
    </row>
    <row r="731" spans="1:61" ht="16.2" customHeight="1">
      <c r="A731" s="12"/>
      <c r="B731" s="446"/>
      <c r="C731" s="89"/>
      <c r="D731" s="13"/>
      <c r="E731" s="14"/>
      <c r="F731" s="14"/>
      <c r="G731" s="15"/>
      <c r="H731" s="8"/>
      <c r="I731" s="8"/>
      <c r="J731" s="89"/>
      <c r="K731" s="8"/>
      <c r="L731" s="8"/>
      <c r="M731" s="8" t="str">
        <f>IF(L731="","",
IF(AX731="PT",VLOOKUP(L731,Foundation_Calc!$V$4:$X$37,VLOOKUP(AX731,Foundation_Calc!$I$10:$J$13,2,FALSE),0),
IF(AX731="K",VLOOKUP(L731,Foundation_Calc!$V$41:$X$74,VLOOKUP(AX731,Foundation_Calc!$I$10:$J$13,2,FALSE),0),"")))</f>
        <v/>
      </c>
      <c r="N731" s="8"/>
      <c r="O731" s="8"/>
      <c r="P731" s="8"/>
      <c r="Q731" s="14"/>
      <c r="R731" s="15"/>
      <c r="S731" s="15"/>
      <c r="T731" s="14"/>
      <c r="U731" s="14"/>
      <c r="V731" s="14"/>
      <c r="W731" s="18"/>
      <c r="X731" s="18"/>
      <c r="Y731" s="18"/>
      <c r="Z731" s="18"/>
      <c r="AA731" s="18"/>
      <c r="AB731" s="18"/>
      <c r="AC731" s="8" t="str">
        <f t="shared" si="47"/>
        <v/>
      </c>
      <c r="AD731" s="8"/>
      <c r="AE731" s="8"/>
      <c r="AF731" s="14"/>
      <c r="AG731" s="13"/>
      <c r="AH731" s="14"/>
      <c r="AI731" s="14"/>
      <c r="AJ731" s="8"/>
      <c r="AK731" s="8"/>
      <c r="AL731" s="8"/>
      <c r="AM731" s="8"/>
      <c r="AN731" s="631"/>
      <c r="AO731" s="18"/>
      <c r="AP731" s="18"/>
      <c r="AQ731" s="18"/>
      <c r="AR731" s="18"/>
      <c r="AS731" s="18"/>
      <c r="AU731" s="448"/>
      <c r="AV731" s="448"/>
      <c r="AW731" s="8" t="str">
        <f>IF(C731&gt;0,VLOOKUP(C731,Foundation_Calc!$A$2:$C$986,3,1),
IF(J731&gt;0,VLOOKUP(J731,Foundation_Calc!$A$2:$C$986,3,1),""))</f>
        <v/>
      </c>
      <c r="AX731" s="8" t="str">
        <f>IF(C731&gt;0,VLOOKUP(C731,Foundation_Calc!$E$2:$G$986,3,1),
IF(J731&gt;0,VLOOKUP(J731,Foundation_Calc!$E$2:$G$986,3,1),""))</f>
        <v/>
      </c>
      <c r="AY731" s="631" t="str">
        <f>IF(L731="","",
IF(AX731="PT",VLOOKUP(L731,Foundation_Calc!$K$4:$R$37,VLOOKUP(AW731,Foundation_Calc!$I$2:$J$8,2,FALSE),0),
IF(AX731="K",VLOOKUP(L731,Foundation_Calc!$K$41:$R$74,VLOOKUP(AW731,Foundation_Calc!$I$2:$J$8,2,FALSE),0),"")))</f>
        <v/>
      </c>
      <c r="AZ731" s="631" t="str">
        <f>IF(K731="","",
IF(AX731="PT",VLOOKUP(K731,Foundation_Calc!$K$4:$R$37,VLOOKUP(AW731,Foundation_Calc!$I$2:$J$8,2,FALSE),0),
IF(AX731="K",VLOOKUP(K731,Foundation_Calc!$K$41:$R$74,VLOOKUP(AW731,Foundation_Calc!$I$2:$J$8,2,FALSE),0),"")))</f>
        <v/>
      </c>
      <c r="BA731" s="632" t="str">
        <f t="shared" si="48"/>
        <v/>
      </c>
      <c r="BB731" s="632" t="str">
        <f t="shared" si="49"/>
        <v/>
      </c>
      <c r="BC731" s="632" t="str">
        <f t="shared" si="50"/>
        <v/>
      </c>
      <c r="BD731" s="633" t="str">
        <f>IF(AND(L731="",H731=""),"",
IF(H731="",Pole_Calc!A759,
IF(H731="MP",Pole_Calc!A760,
IF(H731="AnMP",Pole_Calc!A761,
IF(H731="A",Pole_Calc!A762,
IF(H731="S/A",Pole_Calc!A763,
IF(H731="A/S",Pole_Calc!A764,"Poner a mano")))))))</f>
        <v/>
      </c>
      <c r="BE731" s="448" t="s">
        <v>1726</v>
      </c>
      <c r="BF731" s="635"/>
      <c r="BG731" s="635"/>
      <c r="BH731" s="634"/>
      <c r="BI731" s="635"/>
    </row>
    <row r="732" spans="1:61" ht="16.2" customHeight="1">
      <c r="A732" s="12"/>
      <c r="B732" s="446"/>
      <c r="C732" s="89"/>
      <c r="D732" s="13"/>
      <c r="E732" s="14"/>
      <c r="F732" s="14"/>
      <c r="G732" s="15"/>
      <c r="H732" s="8"/>
      <c r="I732" s="8"/>
      <c r="J732" s="89"/>
      <c r="K732" s="8"/>
      <c r="L732" s="8"/>
      <c r="M732" s="8" t="str">
        <f>IF(L732="","",
IF(AX732="PT",VLOOKUP(L732,Foundation_Calc!$V$4:$X$37,VLOOKUP(AX732,Foundation_Calc!$I$10:$J$13,2,FALSE),0),
IF(AX732="K",VLOOKUP(L732,Foundation_Calc!$V$41:$X$74,VLOOKUP(AX732,Foundation_Calc!$I$10:$J$13,2,FALSE),0),"")))</f>
        <v/>
      </c>
      <c r="N732" s="8"/>
      <c r="O732" s="8"/>
      <c r="P732" s="8"/>
      <c r="Q732" s="14"/>
      <c r="R732" s="15"/>
      <c r="S732" s="15"/>
      <c r="T732" s="14"/>
      <c r="U732" s="14"/>
      <c r="V732" s="14"/>
      <c r="W732" s="18"/>
      <c r="X732" s="18"/>
      <c r="Y732" s="18"/>
      <c r="Z732" s="18"/>
      <c r="AA732" s="18"/>
      <c r="AB732" s="18"/>
      <c r="AC732" s="8" t="str">
        <f t="shared" si="47"/>
        <v/>
      </c>
      <c r="AD732" s="8"/>
      <c r="AE732" s="8"/>
      <c r="AF732" s="14"/>
      <c r="AG732" s="13"/>
      <c r="AH732" s="14"/>
      <c r="AI732" s="14"/>
      <c r="AJ732" s="8"/>
      <c r="AK732" s="8"/>
      <c r="AL732" s="8"/>
      <c r="AM732" s="8"/>
      <c r="AN732" s="631"/>
      <c r="AO732" s="18"/>
      <c r="AP732" s="18"/>
      <c r="AQ732" s="18"/>
      <c r="AR732" s="18"/>
      <c r="AS732" s="18"/>
      <c r="AU732" s="448"/>
      <c r="AV732" s="448"/>
      <c r="AW732" s="8" t="str">
        <f>IF(C732&gt;0,VLOOKUP(C732,Foundation_Calc!$A$2:$C$986,3,1),
IF(J732&gt;0,VLOOKUP(J732,Foundation_Calc!$A$2:$C$986,3,1),""))</f>
        <v/>
      </c>
      <c r="AX732" s="8" t="str">
        <f>IF(C732&gt;0,VLOOKUP(C732,Foundation_Calc!$E$2:$G$986,3,1),
IF(J732&gt;0,VLOOKUP(J732,Foundation_Calc!$E$2:$G$986,3,1),""))</f>
        <v/>
      </c>
      <c r="AY732" s="631" t="str">
        <f>IF(L732="","",
IF(AX732="PT",VLOOKUP(L732,Foundation_Calc!$K$4:$R$37,VLOOKUP(AW732,Foundation_Calc!$I$2:$J$8,2,FALSE),0),
IF(AX732="K",VLOOKUP(L732,Foundation_Calc!$K$41:$R$74,VLOOKUP(AW732,Foundation_Calc!$I$2:$J$8,2,FALSE),0),"")))</f>
        <v/>
      </c>
      <c r="AZ732" s="631" t="str">
        <f>IF(K732="","",
IF(AX732="PT",VLOOKUP(K732,Foundation_Calc!$K$4:$R$37,VLOOKUP(AW732,Foundation_Calc!$I$2:$J$8,2,FALSE),0),
IF(AX732="K",VLOOKUP(K732,Foundation_Calc!$K$41:$R$74,VLOOKUP(AW732,Foundation_Calc!$I$2:$J$8,2,FALSE),0),"")))</f>
        <v/>
      </c>
      <c r="BA732" s="632" t="str">
        <f t="shared" si="48"/>
        <v/>
      </c>
      <c r="BB732" s="632" t="str">
        <f t="shared" si="49"/>
        <v/>
      </c>
      <c r="BC732" s="632" t="str">
        <f t="shared" si="50"/>
        <v/>
      </c>
      <c r="BD732" s="633" t="str">
        <f>IF(AND(L732="",H732=""),"",
IF(H732="",Pole_Calc!A760,
IF(H732="MP",Pole_Calc!A761,
IF(H732="AnMP",Pole_Calc!A762,
IF(H732="A",Pole_Calc!A763,
IF(H732="S/A",Pole_Calc!A764,
IF(H732="A/S",Pole_Calc!A765,"Poner a mano")))))))</f>
        <v/>
      </c>
      <c r="BE732" s="448" t="s">
        <v>1726</v>
      </c>
      <c r="BF732" s="634"/>
      <c r="BG732" s="634"/>
      <c r="BH732" s="634"/>
      <c r="BI732" s="634"/>
    </row>
    <row r="733" spans="1:61" ht="16.2" customHeight="1">
      <c r="A733" s="12"/>
      <c r="B733" s="446"/>
      <c r="C733" s="89"/>
      <c r="D733" s="13"/>
      <c r="E733" s="14"/>
      <c r="F733" s="14"/>
      <c r="G733" s="15"/>
      <c r="H733" s="8"/>
      <c r="I733" s="8"/>
      <c r="J733" s="89"/>
      <c r="K733" s="8"/>
      <c r="L733" s="8"/>
      <c r="M733" s="8" t="str">
        <f>IF(L733="","",
IF(AX733="PT",VLOOKUP(L733,Foundation_Calc!$V$4:$X$37,VLOOKUP(AX733,Foundation_Calc!$I$10:$J$13,2,FALSE),0),
IF(AX733="K",VLOOKUP(L733,Foundation_Calc!$V$41:$X$74,VLOOKUP(AX733,Foundation_Calc!$I$10:$J$13,2,FALSE),0),"")))</f>
        <v/>
      </c>
      <c r="N733" s="8"/>
      <c r="O733" s="8"/>
      <c r="P733" s="8"/>
      <c r="Q733" s="14"/>
      <c r="R733" s="15"/>
      <c r="S733" s="15"/>
      <c r="T733" s="14"/>
      <c r="U733" s="14"/>
      <c r="V733" s="14"/>
      <c r="W733" s="18"/>
      <c r="X733" s="18"/>
      <c r="Y733" s="18"/>
      <c r="Z733" s="18"/>
      <c r="AA733" s="18"/>
      <c r="AB733" s="18"/>
      <c r="AC733" s="8" t="str">
        <f t="shared" si="47"/>
        <v/>
      </c>
      <c r="AD733" s="8"/>
      <c r="AE733" s="8"/>
      <c r="AF733" s="14"/>
      <c r="AG733" s="13"/>
      <c r="AH733" s="14"/>
      <c r="AI733" s="14"/>
      <c r="AJ733" s="8"/>
      <c r="AK733" s="8"/>
      <c r="AL733" s="8"/>
      <c r="AM733" s="8"/>
      <c r="AN733" s="631"/>
      <c r="AO733" s="18"/>
      <c r="AP733" s="18"/>
      <c r="AQ733" s="18"/>
      <c r="AR733" s="18"/>
      <c r="AS733" s="18"/>
      <c r="AU733" s="448"/>
      <c r="AV733" s="448"/>
      <c r="AW733" s="8" t="str">
        <f>IF(C733&gt;0,VLOOKUP(C733,Foundation_Calc!$A$2:$C$986,3,1),
IF(J733&gt;0,VLOOKUP(J733,Foundation_Calc!$A$2:$C$986,3,1),""))</f>
        <v/>
      </c>
      <c r="AX733" s="8" t="str">
        <f>IF(C733&gt;0,VLOOKUP(C733,Foundation_Calc!$E$2:$G$986,3,1),
IF(J733&gt;0,VLOOKUP(J733,Foundation_Calc!$E$2:$G$986,3,1),""))</f>
        <v/>
      </c>
      <c r="AY733" s="631" t="str">
        <f>IF(L733="","",
IF(AX733="PT",VLOOKUP(L733,Foundation_Calc!$K$4:$R$37,VLOOKUP(AW733,Foundation_Calc!$I$2:$J$8,2,FALSE),0),
IF(AX733="K",VLOOKUP(L733,Foundation_Calc!$K$41:$R$74,VLOOKUP(AW733,Foundation_Calc!$I$2:$J$8,2,FALSE),0),"")))</f>
        <v/>
      </c>
      <c r="AZ733" s="631" t="str">
        <f>IF(K733="","",
IF(AX733="PT",VLOOKUP(K733,Foundation_Calc!$K$4:$R$37,VLOOKUP(AW733,Foundation_Calc!$I$2:$J$8,2,FALSE),0),
IF(AX733="K",VLOOKUP(K733,Foundation_Calc!$K$41:$R$74,VLOOKUP(AW733,Foundation_Calc!$I$2:$J$8,2,FALSE),0),"")))</f>
        <v/>
      </c>
      <c r="BA733" s="632" t="str">
        <f t="shared" si="48"/>
        <v/>
      </c>
      <c r="BB733" s="632" t="str">
        <f t="shared" si="49"/>
        <v/>
      </c>
      <c r="BC733" s="632" t="str">
        <f t="shared" si="50"/>
        <v/>
      </c>
      <c r="BD733" s="633" t="str">
        <f>IF(AND(L733="",H733=""),"",
IF(H733="",Pole_Calc!A761,
IF(H733="MP",Pole_Calc!A762,
IF(H733="AnMP",Pole_Calc!A763,
IF(H733="A",Pole_Calc!A764,
IF(H733="S/A",Pole_Calc!A765,
IF(H733="A/S",Pole_Calc!A766,"Poner a mano")))))))</f>
        <v/>
      </c>
      <c r="BE733" s="448" t="s">
        <v>1726</v>
      </c>
      <c r="BF733" s="635"/>
      <c r="BG733" s="635"/>
      <c r="BH733" s="634"/>
      <c r="BI733" s="635"/>
    </row>
    <row r="734" spans="1:61" ht="16.2" customHeight="1">
      <c r="A734" s="12"/>
      <c r="B734" s="446"/>
      <c r="C734" s="89"/>
      <c r="D734" s="13"/>
      <c r="E734" s="14"/>
      <c r="F734" s="14"/>
      <c r="G734" s="15"/>
      <c r="H734" s="8"/>
      <c r="I734" s="8"/>
      <c r="J734" s="89"/>
      <c r="K734" s="8"/>
      <c r="L734" s="8"/>
      <c r="M734" s="8" t="str">
        <f>IF(L734="","",
IF(AX734="PT",VLOOKUP(L734,Foundation_Calc!$V$4:$X$37,VLOOKUP(AX734,Foundation_Calc!$I$10:$J$13,2,FALSE),0),
IF(AX734="K",VLOOKUP(L734,Foundation_Calc!$V$41:$X$74,VLOOKUP(AX734,Foundation_Calc!$I$10:$J$13,2,FALSE),0),"")))</f>
        <v/>
      </c>
      <c r="N734" s="8"/>
      <c r="O734" s="8"/>
      <c r="P734" s="8"/>
      <c r="Q734" s="14"/>
      <c r="R734" s="15"/>
      <c r="S734" s="15"/>
      <c r="T734" s="14"/>
      <c r="U734" s="14"/>
      <c r="V734" s="14"/>
      <c r="W734" s="18"/>
      <c r="X734" s="18"/>
      <c r="Y734" s="18"/>
      <c r="Z734" s="18"/>
      <c r="AA734" s="18"/>
      <c r="AB734" s="18"/>
      <c r="AC734" s="8" t="str">
        <f t="shared" si="47"/>
        <v/>
      </c>
      <c r="AD734" s="8"/>
      <c r="AE734" s="8"/>
      <c r="AF734" s="14"/>
      <c r="AG734" s="13"/>
      <c r="AH734" s="14"/>
      <c r="AI734" s="14"/>
      <c r="AJ734" s="8"/>
      <c r="AK734" s="8"/>
      <c r="AL734" s="8"/>
      <c r="AM734" s="8"/>
      <c r="AN734" s="631"/>
      <c r="AO734" s="18"/>
      <c r="AP734" s="18"/>
      <c r="AQ734" s="18"/>
      <c r="AR734" s="18"/>
      <c r="AS734" s="18"/>
      <c r="AU734" s="448"/>
      <c r="AV734" s="448"/>
      <c r="AW734" s="8" t="str">
        <f>IF(C734&gt;0,VLOOKUP(C734,Foundation_Calc!$A$2:$C$986,3,1),
IF(J734&gt;0,VLOOKUP(J734,Foundation_Calc!$A$2:$C$986,3,1),""))</f>
        <v/>
      </c>
      <c r="AX734" s="8" t="str">
        <f>IF(C734&gt;0,VLOOKUP(C734,Foundation_Calc!$E$2:$G$986,3,1),
IF(J734&gt;0,VLOOKUP(J734,Foundation_Calc!$E$2:$G$986,3,1),""))</f>
        <v/>
      </c>
      <c r="AY734" s="631" t="str">
        <f>IF(L734="","",
IF(AX734="PT",VLOOKUP(L734,Foundation_Calc!$K$4:$R$37,VLOOKUP(AW734,Foundation_Calc!$I$2:$J$8,2,FALSE),0),
IF(AX734="K",VLOOKUP(L734,Foundation_Calc!$K$41:$R$74,VLOOKUP(AW734,Foundation_Calc!$I$2:$J$8,2,FALSE),0),"")))</f>
        <v/>
      </c>
      <c r="AZ734" s="631" t="str">
        <f>IF(K734="","",
IF(AX734="PT",VLOOKUP(K734,Foundation_Calc!$K$4:$R$37,VLOOKUP(AW734,Foundation_Calc!$I$2:$J$8,2,FALSE),0),
IF(AX734="K",VLOOKUP(K734,Foundation_Calc!$K$41:$R$74,VLOOKUP(AW734,Foundation_Calc!$I$2:$J$8,2,FALSE),0),"")))</f>
        <v/>
      </c>
      <c r="BA734" s="632" t="str">
        <f t="shared" si="48"/>
        <v/>
      </c>
      <c r="BB734" s="632" t="str">
        <f t="shared" si="49"/>
        <v/>
      </c>
      <c r="BC734" s="632" t="str">
        <f t="shared" si="50"/>
        <v/>
      </c>
      <c r="BD734" s="633" t="str">
        <f>IF(AND(L734="",H734=""),"",
IF(H734="",Pole_Calc!A762,
IF(H734="MP",Pole_Calc!A763,
IF(H734="AnMP",Pole_Calc!A764,
IF(H734="A",Pole_Calc!A765,
IF(H734="S/A",Pole_Calc!A766,
IF(H734="A/S",Pole_Calc!A767,"Poner a mano")))))))</f>
        <v/>
      </c>
      <c r="BE734" s="448" t="s">
        <v>1726</v>
      </c>
      <c r="BF734" s="634"/>
      <c r="BG734" s="634"/>
      <c r="BH734" s="634"/>
      <c r="BI734" s="634"/>
    </row>
    <row r="735" spans="1:61" ht="16.2" customHeight="1">
      <c r="A735" s="12"/>
      <c r="B735" s="446"/>
      <c r="C735" s="89"/>
      <c r="D735" s="13"/>
      <c r="E735" s="14"/>
      <c r="F735" s="14"/>
      <c r="G735" s="15"/>
      <c r="H735" s="8"/>
      <c r="I735" s="8"/>
      <c r="J735" s="89"/>
      <c r="K735" s="8"/>
      <c r="L735" s="8"/>
      <c r="M735" s="8" t="str">
        <f>IF(L735="","",
IF(AX735="PT",VLOOKUP(L735,Foundation_Calc!$V$4:$X$37,VLOOKUP(AX735,Foundation_Calc!$I$10:$J$13,2,FALSE),0),
IF(AX735="K",VLOOKUP(L735,Foundation_Calc!$V$41:$X$74,VLOOKUP(AX735,Foundation_Calc!$I$10:$J$13,2,FALSE),0),"")))</f>
        <v/>
      </c>
      <c r="N735" s="8"/>
      <c r="O735" s="8"/>
      <c r="P735" s="8"/>
      <c r="Q735" s="14"/>
      <c r="R735" s="15"/>
      <c r="S735" s="15"/>
      <c r="T735" s="14"/>
      <c r="U735" s="14"/>
      <c r="V735" s="14"/>
      <c r="W735" s="18"/>
      <c r="X735" s="18"/>
      <c r="Y735" s="18"/>
      <c r="Z735" s="18"/>
      <c r="AA735" s="18"/>
      <c r="AB735" s="18"/>
      <c r="AC735" s="8" t="str">
        <f t="shared" si="47"/>
        <v/>
      </c>
      <c r="AD735" s="8"/>
      <c r="AE735" s="8"/>
      <c r="AF735" s="14"/>
      <c r="AG735" s="13"/>
      <c r="AH735" s="14"/>
      <c r="AI735" s="14"/>
      <c r="AJ735" s="8"/>
      <c r="AK735" s="8"/>
      <c r="AL735" s="8"/>
      <c r="AM735" s="8"/>
      <c r="AN735" s="631"/>
      <c r="AO735" s="18"/>
      <c r="AP735" s="18"/>
      <c r="AQ735" s="18"/>
      <c r="AR735" s="18"/>
      <c r="AS735" s="18"/>
      <c r="AU735" s="448"/>
      <c r="AV735" s="448"/>
      <c r="AW735" s="8" t="str">
        <f>IF(C735&gt;0,VLOOKUP(C735,Foundation_Calc!$A$2:$C$986,3,1),
IF(J735&gt;0,VLOOKUP(J735,Foundation_Calc!$A$2:$C$986,3,1),""))</f>
        <v/>
      </c>
      <c r="AX735" s="8" t="str">
        <f>IF(C735&gt;0,VLOOKUP(C735,Foundation_Calc!$E$2:$G$986,3,1),
IF(J735&gt;0,VLOOKUP(J735,Foundation_Calc!$E$2:$G$986,3,1),""))</f>
        <v/>
      </c>
      <c r="AY735" s="631" t="str">
        <f>IF(L735="","",
IF(AX735="PT",VLOOKUP(L735,Foundation_Calc!$K$4:$R$37,VLOOKUP(AW735,Foundation_Calc!$I$2:$J$8,2,FALSE),0),
IF(AX735="K",VLOOKUP(L735,Foundation_Calc!$K$41:$R$74,VLOOKUP(AW735,Foundation_Calc!$I$2:$J$8,2,FALSE),0),"")))</f>
        <v/>
      </c>
      <c r="AZ735" s="631" t="str">
        <f>IF(K735="","",
IF(AX735="PT",VLOOKUP(K735,Foundation_Calc!$K$4:$R$37,VLOOKUP(AW735,Foundation_Calc!$I$2:$J$8,2,FALSE),0),
IF(AX735="K",VLOOKUP(K735,Foundation_Calc!$K$41:$R$74,VLOOKUP(AW735,Foundation_Calc!$I$2:$J$8,2,FALSE),0),"")))</f>
        <v/>
      </c>
      <c r="BA735" s="632" t="str">
        <f t="shared" si="48"/>
        <v/>
      </c>
      <c r="BB735" s="632" t="str">
        <f t="shared" si="49"/>
        <v/>
      </c>
      <c r="BC735" s="632" t="str">
        <f t="shared" si="50"/>
        <v/>
      </c>
      <c r="BD735" s="633" t="str">
        <f>IF(AND(L735="",H735=""),"",
IF(H735="",Pole_Calc!A763,
IF(H735="MP",Pole_Calc!A764,
IF(H735="AnMP",Pole_Calc!A765,
IF(H735="A",Pole_Calc!A766,
IF(H735="S/A",Pole_Calc!A767,
IF(H735="A/S",Pole_Calc!A768,"Poner a mano")))))))</f>
        <v/>
      </c>
      <c r="BE735" s="448" t="s">
        <v>1726</v>
      </c>
      <c r="BF735" s="635"/>
      <c r="BG735" s="635"/>
      <c r="BH735" s="634"/>
      <c r="BI735" s="635"/>
    </row>
    <row r="736" spans="1:61" ht="16.2" customHeight="1">
      <c r="A736" s="12"/>
      <c r="B736" s="446"/>
      <c r="C736" s="89"/>
      <c r="D736" s="13"/>
      <c r="E736" s="14"/>
      <c r="F736" s="14"/>
      <c r="G736" s="15"/>
      <c r="H736" s="8"/>
      <c r="I736" s="8"/>
      <c r="J736" s="89"/>
      <c r="K736" s="8"/>
      <c r="L736" s="8"/>
      <c r="M736" s="8" t="str">
        <f>IF(L736="","",
IF(AX736="PT",VLOOKUP(L736,Foundation_Calc!$V$4:$X$37,VLOOKUP(AX736,Foundation_Calc!$I$10:$J$13,2,FALSE),0),
IF(AX736="K",VLOOKUP(L736,Foundation_Calc!$V$41:$X$74,VLOOKUP(AX736,Foundation_Calc!$I$10:$J$13,2,FALSE),0),"")))</f>
        <v/>
      </c>
      <c r="N736" s="8"/>
      <c r="O736" s="8"/>
      <c r="P736" s="8"/>
      <c r="Q736" s="14"/>
      <c r="R736" s="15"/>
      <c r="S736" s="15"/>
      <c r="T736" s="14"/>
      <c r="U736" s="14"/>
      <c r="V736" s="14"/>
      <c r="W736" s="18"/>
      <c r="X736" s="18"/>
      <c r="Y736" s="18"/>
      <c r="Z736" s="18"/>
      <c r="AA736" s="18"/>
      <c r="AB736" s="18"/>
      <c r="AC736" s="8" t="str">
        <f t="shared" si="47"/>
        <v/>
      </c>
      <c r="AD736" s="8"/>
      <c r="AE736" s="8"/>
      <c r="AF736" s="14"/>
      <c r="AG736" s="13"/>
      <c r="AH736" s="14"/>
      <c r="AI736" s="14"/>
      <c r="AJ736" s="8"/>
      <c r="AK736" s="8"/>
      <c r="AL736" s="8"/>
      <c r="AM736" s="8"/>
      <c r="AN736" s="631"/>
      <c r="AO736" s="18"/>
      <c r="AP736" s="18"/>
      <c r="AQ736" s="18"/>
      <c r="AR736" s="18"/>
      <c r="AS736" s="18"/>
      <c r="AU736" s="448"/>
      <c r="AV736" s="448"/>
      <c r="AW736" s="8" t="str">
        <f>IF(C736&gt;0,VLOOKUP(C736,Foundation_Calc!$A$2:$C$986,3,1),
IF(J736&gt;0,VLOOKUP(J736,Foundation_Calc!$A$2:$C$986,3,1),""))</f>
        <v/>
      </c>
      <c r="AX736" s="8" t="str">
        <f>IF(C736&gt;0,VLOOKUP(C736,Foundation_Calc!$E$2:$G$986,3,1),
IF(J736&gt;0,VLOOKUP(J736,Foundation_Calc!$E$2:$G$986,3,1),""))</f>
        <v/>
      </c>
      <c r="AY736" s="631" t="str">
        <f>IF(L736="","",
IF(AX736="PT",VLOOKUP(L736,Foundation_Calc!$K$4:$R$37,VLOOKUP(AW736,Foundation_Calc!$I$2:$J$8,2,FALSE),0),
IF(AX736="K",VLOOKUP(L736,Foundation_Calc!$K$41:$R$74,VLOOKUP(AW736,Foundation_Calc!$I$2:$J$8,2,FALSE),0),"")))</f>
        <v/>
      </c>
      <c r="AZ736" s="631" t="str">
        <f>IF(K736="","",
IF(AX736="PT",VLOOKUP(K736,Foundation_Calc!$K$4:$R$37,VLOOKUP(AW736,Foundation_Calc!$I$2:$J$8,2,FALSE),0),
IF(AX736="K",VLOOKUP(K736,Foundation_Calc!$K$41:$R$74,VLOOKUP(AW736,Foundation_Calc!$I$2:$J$8,2,FALSE),0),"")))</f>
        <v/>
      </c>
      <c r="BA736" s="632" t="str">
        <f t="shared" si="48"/>
        <v/>
      </c>
      <c r="BB736" s="632" t="str">
        <f t="shared" si="49"/>
        <v/>
      </c>
      <c r="BC736" s="632" t="str">
        <f t="shared" si="50"/>
        <v/>
      </c>
      <c r="BD736" s="633" t="str">
        <f>IF(AND(L736="",H736=""),"",
IF(H736="",Pole_Calc!A764,
IF(H736="MP",Pole_Calc!A765,
IF(H736="AnMP",Pole_Calc!A766,
IF(H736="A",Pole_Calc!A767,
IF(H736="S/A",Pole_Calc!A768,
IF(H736="A/S",Pole_Calc!A769,"Poner a mano")))))))</f>
        <v/>
      </c>
      <c r="BE736" s="448" t="s">
        <v>1726</v>
      </c>
      <c r="BF736" s="634"/>
      <c r="BG736" s="634"/>
      <c r="BH736" s="634"/>
      <c r="BI736" s="634"/>
    </row>
    <row r="737" spans="1:61" ht="16.2" customHeight="1">
      <c r="A737" s="12"/>
      <c r="B737" s="446"/>
      <c r="C737" s="89"/>
      <c r="D737" s="13"/>
      <c r="E737" s="14"/>
      <c r="F737" s="14"/>
      <c r="G737" s="15"/>
      <c r="H737" s="8"/>
      <c r="I737" s="8"/>
      <c r="J737" s="89"/>
      <c r="K737" s="8"/>
      <c r="L737" s="8"/>
      <c r="M737" s="8" t="str">
        <f>IF(L737="","",
IF(AX737="PT",VLOOKUP(L737,Foundation_Calc!$V$4:$X$37,VLOOKUP(AX737,Foundation_Calc!$I$10:$J$13,2,FALSE),0),
IF(AX737="K",VLOOKUP(L737,Foundation_Calc!$V$41:$X$74,VLOOKUP(AX737,Foundation_Calc!$I$10:$J$13,2,FALSE),0),"")))</f>
        <v/>
      </c>
      <c r="N737" s="8"/>
      <c r="O737" s="8"/>
      <c r="P737" s="8"/>
      <c r="Q737" s="14"/>
      <c r="R737" s="15"/>
      <c r="S737" s="15"/>
      <c r="T737" s="14"/>
      <c r="U737" s="14"/>
      <c r="V737" s="14"/>
      <c r="W737" s="18"/>
      <c r="X737" s="18"/>
      <c r="Y737" s="18"/>
      <c r="Z737" s="18"/>
      <c r="AA737" s="18"/>
      <c r="AB737" s="18"/>
      <c r="AC737" s="8" t="str">
        <f t="shared" si="47"/>
        <v/>
      </c>
      <c r="AD737" s="8"/>
      <c r="AE737" s="8"/>
      <c r="AF737" s="14"/>
      <c r="AG737" s="13"/>
      <c r="AH737" s="14"/>
      <c r="AI737" s="14"/>
      <c r="AJ737" s="8"/>
      <c r="AK737" s="8"/>
      <c r="AL737" s="8"/>
      <c r="AM737" s="8"/>
      <c r="AN737" s="631"/>
      <c r="AO737" s="18"/>
      <c r="AP737" s="18"/>
      <c r="AQ737" s="18"/>
      <c r="AR737" s="18"/>
      <c r="AS737" s="18"/>
      <c r="AU737" s="448"/>
      <c r="AV737" s="448"/>
      <c r="AW737" s="8" t="str">
        <f>IF(C737&gt;0,VLOOKUP(C737,Foundation_Calc!$A$2:$C$986,3,1),
IF(J737&gt;0,VLOOKUP(J737,Foundation_Calc!$A$2:$C$986,3,1),""))</f>
        <v/>
      </c>
      <c r="AX737" s="8" t="str">
        <f>IF(C737&gt;0,VLOOKUP(C737,Foundation_Calc!$E$2:$G$986,3,1),
IF(J737&gt;0,VLOOKUP(J737,Foundation_Calc!$E$2:$G$986,3,1),""))</f>
        <v/>
      </c>
      <c r="AY737" s="631" t="str">
        <f>IF(L737="","",
IF(AX737="PT",VLOOKUP(L737,Foundation_Calc!$K$4:$R$37,VLOOKUP(AW737,Foundation_Calc!$I$2:$J$8,2,FALSE),0),
IF(AX737="K",VLOOKUP(L737,Foundation_Calc!$K$41:$R$74,VLOOKUP(AW737,Foundation_Calc!$I$2:$J$8,2,FALSE),0),"")))</f>
        <v/>
      </c>
      <c r="AZ737" s="631" t="str">
        <f>IF(K737="","",
IF(AX737="PT",VLOOKUP(K737,Foundation_Calc!$K$4:$R$37,VLOOKUP(AW737,Foundation_Calc!$I$2:$J$8,2,FALSE),0),
IF(AX737="K",VLOOKUP(K737,Foundation_Calc!$K$41:$R$74,VLOOKUP(AW737,Foundation_Calc!$I$2:$J$8,2,FALSE),0),"")))</f>
        <v/>
      </c>
      <c r="BA737" s="632" t="str">
        <f t="shared" si="48"/>
        <v/>
      </c>
      <c r="BB737" s="632" t="str">
        <f t="shared" si="49"/>
        <v/>
      </c>
      <c r="BC737" s="632" t="str">
        <f t="shared" si="50"/>
        <v/>
      </c>
      <c r="BD737" s="633" t="str">
        <f>IF(AND(L737="",H737=""),"",
IF(H737="",Pole_Calc!A765,
IF(H737="MP",Pole_Calc!A766,
IF(H737="AnMP",Pole_Calc!A767,
IF(H737="A",Pole_Calc!A768,
IF(H737="S/A",Pole_Calc!A769,
IF(H737="A/S",Pole_Calc!A770,"Poner a mano")))))))</f>
        <v/>
      </c>
      <c r="BE737" s="448" t="s">
        <v>1726</v>
      </c>
      <c r="BF737" s="635"/>
      <c r="BG737" s="635"/>
      <c r="BH737" s="634"/>
      <c r="BI737" s="635"/>
    </row>
    <row r="738" spans="1:61" ht="16.2" customHeight="1">
      <c r="A738" s="12"/>
      <c r="B738" s="446"/>
      <c r="C738" s="89"/>
      <c r="D738" s="13"/>
      <c r="E738" s="14"/>
      <c r="F738" s="14"/>
      <c r="G738" s="15"/>
      <c r="H738" s="8"/>
      <c r="I738" s="8"/>
      <c r="J738" s="89"/>
      <c r="K738" s="8"/>
      <c r="L738" s="8"/>
      <c r="M738" s="8" t="str">
        <f>IF(L738="","",
IF(AX738="PT",VLOOKUP(L738,Foundation_Calc!$V$4:$X$37,VLOOKUP(AX738,Foundation_Calc!$I$10:$J$13,2,FALSE),0),
IF(AX738="K",VLOOKUP(L738,Foundation_Calc!$V$41:$X$74,VLOOKUP(AX738,Foundation_Calc!$I$10:$J$13,2,FALSE),0),"")))</f>
        <v/>
      </c>
      <c r="N738" s="8"/>
      <c r="O738" s="8"/>
      <c r="P738" s="8"/>
      <c r="Q738" s="14"/>
      <c r="R738" s="15"/>
      <c r="S738" s="15"/>
      <c r="T738" s="14"/>
      <c r="U738" s="14"/>
      <c r="V738" s="14"/>
      <c r="W738" s="18"/>
      <c r="X738" s="18"/>
      <c r="Y738" s="18"/>
      <c r="Z738" s="18"/>
      <c r="AA738" s="18"/>
      <c r="AB738" s="18"/>
      <c r="AC738" s="8" t="str">
        <f t="shared" si="47"/>
        <v/>
      </c>
      <c r="AD738" s="8"/>
      <c r="AE738" s="8"/>
      <c r="AF738" s="14"/>
      <c r="AG738" s="13"/>
      <c r="AH738" s="14"/>
      <c r="AI738" s="14"/>
      <c r="AJ738" s="8"/>
      <c r="AK738" s="8"/>
      <c r="AL738" s="8"/>
      <c r="AM738" s="8"/>
      <c r="AN738" s="631"/>
      <c r="AO738" s="18"/>
      <c r="AP738" s="18"/>
      <c r="AQ738" s="18"/>
      <c r="AR738" s="18"/>
      <c r="AS738" s="18"/>
      <c r="AU738" s="448"/>
      <c r="AV738" s="448"/>
      <c r="AW738" s="8" t="str">
        <f>IF(C738&gt;0,VLOOKUP(C738,Foundation_Calc!$A$2:$C$986,3,1),
IF(J738&gt;0,VLOOKUP(J738,Foundation_Calc!$A$2:$C$986,3,1),""))</f>
        <v/>
      </c>
      <c r="AX738" s="8" t="str">
        <f>IF(C738&gt;0,VLOOKUP(C738,Foundation_Calc!$E$2:$G$986,3,1),
IF(J738&gt;0,VLOOKUP(J738,Foundation_Calc!$E$2:$G$986,3,1),""))</f>
        <v/>
      </c>
      <c r="AY738" s="631" t="str">
        <f>IF(L738="","",
IF(AX738="PT",VLOOKUP(L738,Foundation_Calc!$K$4:$R$37,VLOOKUP(AW738,Foundation_Calc!$I$2:$J$8,2,FALSE),0),
IF(AX738="K",VLOOKUP(L738,Foundation_Calc!$K$41:$R$74,VLOOKUP(AW738,Foundation_Calc!$I$2:$J$8,2,FALSE),0),"")))</f>
        <v/>
      </c>
      <c r="AZ738" s="631" t="str">
        <f>IF(K738="","",
IF(AX738="PT",VLOOKUP(K738,Foundation_Calc!$K$4:$R$37,VLOOKUP(AW738,Foundation_Calc!$I$2:$J$8,2,FALSE),0),
IF(AX738="K",VLOOKUP(K738,Foundation_Calc!$K$41:$R$74,VLOOKUP(AW738,Foundation_Calc!$I$2:$J$8,2,FALSE),0),"")))</f>
        <v/>
      </c>
      <c r="BA738" s="632" t="str">
        <f t="shared" si="48"/>
        <v/>
      </c>
      <c r="BB738" s="632" t="str">
        <f t="shared" si="49"/>
        <v/>
      </c>
      <c r="BC738" s="632" t="str">
        <f t="shared" si="50"/>
        <v/>
      </c>
      <c r="BD738" s="633" t="str">
        <f>IF(AND(L738="",H738=""),"",
IF(H738="",Pole_Calc!A766,
IF(H738="MP",Pole_Calc!A767,
IF(H738="AnMP",Pole_Calc!A768,
IF(H738="A",Pole_Calc!A769,
IF(H738="S/A",Pole_Calc!A770,
IF(H738="A/S",Pole_Calc!A771,"Poner a mano")))))))</f>
        <v/>
      </c>
      <c r="BE738" s="448" t="s">
        <v>1726</v>
      </c>
      <c r="BF738" s="634"/>
      <c r="BG738" s="634"/>
      <c r="BH738" s="634"/>
      <c r="BI738" s="634"/>
    </row>
    <row r="739" spans="1:61" ht="16.2" customHeight="1">
      <c r="A739" s="12"/>
      <c r="B739" s="446"/>
      <c r="C739" s="89"/>
      <c r="D739" s="13"/>
      <c r="E739" s="14"/>
      <c r="F739" s="14"/>
      <c r="G739" s="15"/>
      <c r="H739" s="8"/>
      <c r="I739" s="8"/>
      <c r="J739" s="89"/>
      <c r="K739" s="8"/>
      <c r="L739" s="8"/>
      <c r="M739" s="8" t="str">
        <f>IF(L739="","",
IF(AX739="PT",VLOOKUP(L739,Foundation_Calc!$V$4:$X$37,VLOOKUP(AX739,Foundation_Calc!$I$10:$J$13,2,FALSE),0),
IF(AX739="K",VLOOKUP(L739,Foundation_Calc!$V$41:$X$74,VLOOKUP(AX739,Foundation_Calc!$I$10:$J$13,2,FALSE),0),"")))</f>
        <v/>
      </c>
      <c r="N739" s="8"/>
      <c r="O739" s="8"/>
      <c r="P739" s="8"/>
      <c r="Q739" s="14"/>
      <c r="R739" s="15"/>
      <c r="S739" s="15"/>
      <c r="T739" s="14"/>
      <c r="U739" s="14"/>
      <c r="V739" s="14"/>
      <c r="W739" s="18"/>
      <c r="X739" s="18"/>
      <c r="Y739" s="18"/>
      <c r="Z739" s="18"/>
      <c r="AA739" s="18"/>
      <c r="AB739" s="18"/>
      <c r="AC739" s="8" t="str">
        <f t="shared" si="47"/>
        <v/>
      </c>
      <c r="AD739" s="8"/>
      <c r="AE739" s="8"/>
      <c r="AF739" s="14"/>
      <c r="AG739" s="13"/>
      <c r="AH739" s="14"/>
      <c r="AI739" s="14"/>
      <c r="AJ739" s="8"/>
      <c r="AK739" s="8"/>
      <c r="AL739" s="8"/>
      <c r="AM739" s="8"/>
      <c r="AN739" s="631"/>
      <c r="AO739" s="18"/>
      <c r="AP739" s="18"/>
      <c r="AQ739" s="18"/>
      <c r="AR739" s="18"/>
      <c r="AS739" s="18"/>
      <c r="AU739" s="448"/>
      <c r="AV739" s="448"/>
      <c r="AW739" s="8" t="str">
        <f>IF(C739&gt;0,VLOOKUP(C739,Foundation_Calc!$A$2:$C$986,3,1),
IF(J739&gt;0,VLOOKUP(J739,Foundation_Calc!$A$2:$C$986,3,1),""))</f>
        <v/>
      </c>
      <c r="AX739" s="8" t="str">
        <f>IF(C739&gt;0,VLOOKUP(C739,Foundation_Calc!$E$2:$G$986,3,1),
IF(J739&gt;0,VLOOKUP(J739,Foundation_Calc!$E$2:$G$986,3,1),""))</f>
        <v/>
      </c>
      <c r="AY739" s="631" t="str">
        <f>IF(L739="","",
IF(AX739="PT",VLOOKUP(L739,Foundation_Calc!$K$4:$R$37,VLOOKUP(AW739,Foundation_Calc!$I$2:$J$8,2,FALSE),0),
IF(AX739="K",VLOOKUP(L739,Foundation_Calc!$K$41:$R$74,VLOOKUP(AW739,Foundation_Calc!$I$2:$J$8,2,FALSE),0),"")))</f>
        <v/>
      </c>
      <c r="AZ739" s="631" t="str">
        <f>IF(K739="","",
IF(AX739="PT",VLOOKUP(K739,Foundation_Calc!$K$4:$R$37,VLOOKUP(AW739,Foundation_Calc!$I$2:$J$8,2,FALSE),0),
IF(AX739="K",VLOOKUP(K739,Foundation_Calc!$K$41:$R$74,VLOOKUP(AW739,Foundation_Calc!$I$2:$J$8,2,FALSE),0),"")))</f>
        <v/>
      </c>
      <c r="BA739" s="632" t="str">
        <f t="shared" si="48"/>
        <v/>
      </c>
      <c r="BB739" s="632" t="str">
        <f t="shared" si="49"/>
        <v/>
      </c>
      <c r="BC739" s="632" t="str">
        <f t="shared" si="50"/>
        <v/>
      </c>
      <c r="BD739" s="633" t="str">
        <f>IF(AND(L739="",H739=""),"",
IF(H739="",Pole_Calc!A767,
IF(H739="MP",Pole_Calc!A768,
IF(H739="AnMP",Pole_Calc!A769,
IF(H739="A",Pole_Calc!A770,
IF(H739="S/A",Pole_Calc!A771,
IF(H739="A/S",Pole_Calc!A772,"Poner a mano")))))))</f>
        <v/>
      </c>
      <c r="BE739" s="448" t="s">
        <v>1726</v>
      </c>
      <c r="BF739" s="635"/>
      <c r="BG739" s="635"/>
      <c r="BH739" s="634"/>
      <c r="BI739" s="635"/>
    </row>
    <row r="740" spans="1:61" ht="16.2" customHeight="1">
      <c r="A740" s="12"/>
      <c r="B740" s="446"/>
      <c r="C740" s="89"/>
      <c r="D740" s="13"/>
      <c r="E740" s="14"/>
      <c r="F740" s="14"/>
      <c r="G740" s="15"/>
      <c r="H740" s="8"/>
      <c r="I740" s="8"/>
      <c r="J740" s="89"/>
      <c r="K740" s="8"/>
      <c r="L740" s="8"/>
      <c r="M740" s="8" t="str">
        <f>IF(L740="","",
IF(AX740="PT",VLOOKUP(L740,Foundation_Calc!$V$4:$X$37,VLOOKUP(AX740,Foundation_Calc!$I$10:$J$13,2,FALSE),0),
IF(AX740="K",VLOOKUP(L740,Foundation_Calc!$V$41:$X$74,VLOOKUP(AX740,Foundation_Calc!$I$10:$J$13,2,FALSE),0),"")))</f>
        <v/>
      </c>
      <c r="N740" s="8"/>
      <c r="O740" s="8"/>
      <c r="P740" s="8"/>
      <c r="Q740" s="14"/>
      <c r="R740" s="15"/>
      <c r="S740" s="15"/>
      <c r="T740" s="14"/>
      <c r="U740" s="14"/>
      <c r="V740" s="14"/>
      <c r="W740" s="18"/>
      <c r="X740" s="18"/>
      <c r="Y740" s="18"/>
      <c r="Z740" s="18"/>
      <c r="AA740" s="18"/>
      <c r="AB740" s="18"/>
      <c r="AC740" s="8" t="str">
        <f t="shared" si="47"/>
        <v/>
      </c>
      <c r="AD740" s="8"/>
      <c r="AE740" s="8"/>
      <c r="AF740" s="14"/>
      <c r="AG740" s="13"/>
      <c r="AH740" s="14"/>
      <c r="AI740" s="14"/>
      <c r="AJ740" s="8"/>
      <c r="AK740" s="8"/>
      <c r="AL740" s="8"/>
      <c r="AM740" s="8"/>
      <c r="AN740" s="631"/>
      <c r="AO740" s="18"/>
      <c r="AP740" s="18"/>
      <c r="AQ740" s="18"/>
      <c r="AR740" s="18"/>
      <c r="AS740" s="18"/>
      <c r="AU740" s="448"/>
      <c r="AV740" s="448"/>
      <c r="AW740" s="8" t="str">
        <f>IF(C740&gt;0,VLOOKUP(C740,Foundation_Calc!$A$2:$C$986,3,1),
IF(J740&gt;0,VLOOKUP(J740,Foundation_Calc!$A$2:$C$986,3,1),""))</f>
        <v/>
      </c>
      <c r="AX740" s="8" t="str">
        <f>IF(C740&gt;0,VLOOKUP(C740,Foundation_Calc!$E$2:$G$986,3,1),
IF(J740&gt;0,VLOOKUP(J740,Foundation_Calc!$E$2:$G$986,3,1),""))</f>
        <v/>
      </c>
      <c r="AY740" s="631" t="str">
        <f>IF(L740="","",
IF(AX740="PT",VLOOKUP(L740,Foundation_Calc!$K$4:$R$37,VLOOKUP(AW740,Foundation_Calc!$I$2:$J$8,2,FALSE),0),
IF(AX740="K",VLOOKUP(L740,Foundation_Calc!$K$41:$R$74,VLOOKUP(AW740,Foundation_Calc!$I$2:$J$8,2,FALSE),0),"")))</f>
        <v/>
      </c>
      <c r="AZ740" s="631" t="str">
        <f>IF(K740="","",
IF(AX740="PT",VLOOKUP(K740,Foundation_Calc!$K$4:$R$37,VLOOKUP(AW740,Foundation_Calc!$I$2:$J$8,2,FALSE),0),
IF(AX740="K",VLOOKUP(K740,Foundation_Calc!$K$41:$R$74,VLOOKUP(AW740,Foundation_Calc!$I$2:$J$8,2,FALSE),0),"")))</f>
        <v/>
      </c>
      <c r="BA740" s="632" t="str">
        <f t="shared" si="48"/>
        <v/>
      </c>
      <c r="BB740" s="632" t="str">
        <f t="shared" si="49"/>
        <v/>
      </c>
      <c r="BC740" s="632" t="str">
        <f t="shared" si="50"/>
        <v/>
      </c>
      <c r="BD740" s="633" t="str">
        <f>IF(AND(L740="",H740=""),"",
IF(H740="",Pole_Calc!A768,
IF(H740="MP",Pole_Calc!A769,
IF(H740="AnMP",Pole_Calc!A770,
IF(H740="A",Pole_Calc!A771,
IF(H740="S/A",Pole_Calc!A772,
IF(H740="A/S",Pole_Calc!A773,"Poner a mano")))))))</f>
        <v/>
      </c>
      <c r="BE740" s="448" t="s">
        <v>1726</v>
      </c>
      <c r="BF740" s="634"/>
      <c r="BG740" s="634"/>
      <c r="BH740" s="634"/>
      <c r="BI740" s="634"/>
    </row>
    <row r="741" spans="1:61" ht="16.2" customHeight="1">
      <c r="A741" s="12"/>
      <c r="B741" s="446"/>
      <c r="C741" s="89"/>
      <c r="D741" s="13"/>
      <c r="E741" s="14"/>
      <c r="F741" s="14"/>
      <c r="G741" s="15"/>
      <c r="H741" s="8"/>
      <c r="I741" s="8"/>
      <c r="J741" s="89"/>
      <c r="K741" s="8"/>
      <c r="L741" s="8"/>
      <c r="M741" s="8" t="str">
        <f>IF(L741="","",
IF(AX741="PT",VLOOKUP(L741,Foundation_Calc!$V$4:$X$37,VLOOKUP(AX741,Foundation_Calc!$I$10:$J$13,2,FALSE),0),
IF(AX741="K",VLOOKUP(L741,Foundation_Calc!$V$41:$X$74,VLOOKUP(AX741,Foundation_Calc!$I$10:$J$13,2,FALSE),0),"")))</f>
        <v/>
      </c>
      <c r="N741" s="8"/>
      <c r="O741" s="8"/>
      <c r="P741" s="8"/>
      <c r="Q741" s="14"/>
      <c r="R741" s="15"/>
      <c r="S741" s="15"/>
      <c r="T741" s="14"/>
      <c r="U741" s="14"/>
      <c r="V741" s="14"/>
      <c r="W741" s="18"/>
      <c r="X741" s="18"/>
      <c r="Y741" s="18"/>
      <c r="Z741" s="18"/>
      <c r="AA741" s="18"/>
      <c r="AB741" s="18"/>
      <c r="AC741" s="8" t="str">
        <f t="shared" si="47"/>
        <v/>
      </c>
      <c r="AD741" s="8"/>
      <c r="AE741" s="8"/>
      <c r="AF741" s="14"/>
      <c r="AG741" s="13"/>
      <c r="AH741" s="14"/>
      <c r="AI741" s="14"/>
      <c r="AJ741" s="8"/>
      <c r="AK741" s="8"/>
      <c r="AL741" s="8"/>
      <c r="AM741" s="8"/>
      <c r="AN741" s="631"/>
      <c r="AO741" s="18"/>
      <c r="AP741" s="18"/>
      <c r="AQ741" s="18"/>
      <c r="AR741" s="18"/>
      <c r="AS741" s="18"/>
      <c r="AU741" s="448"/>
      <c r="AV741" s="448"/>
      <c r="AW741" s="8" t="str">
        <f>IF(C741&gt;0,VLOOKUP(C741,Foundation_Calc!$A$2:$C$986,3,1),
IF(J741&gt;0,VLOOKUP(J741,Foundation_Calc!$A$2:$C$986,3,1),""))</f>
        <v/>
      </c>
      <c r="AX741" s="8" t="str">
        <f>IF(C741&gt;0,VLOOKUP(C741,Foundation_Calc!$E$2:$G$986,3,1),
IF(J741&gt;0,VLOOKUP(J741,Foundation_Calc!$E$2:$G$986,3,1),""))</f>
        <v/>
      </c>
      <c r="AY741" s="631" t="str">
        <f>IF(L741="","",
IF(AX741="PT",VLOOKUP(L741,Foundation_Calc!$K$4:$R$37,VLOOKUP(AW741,Foundation_Calc!$I$2:$J$8,2,FALSE),0),
IF(AX741="K",VLOOKUP(L741,Foundation_Calc!$K$41:$R$74,VLOOKUP(AW741,Foundation_Calc!$I$2:$J$8,2,FALSE),0),"")))</f>
        <v/>
      </c>
      <c r="AZ741" s="631" t="str">
        <f>IF(K741="","",
IF(AX741="PT",VLOOKUP(K741,Foundation_Calc!$K$4:$R$37,VLOOKUP(AW741,Foundation_Calc!$I$2:$J$8,2,FALSE),0),
IF(AX741="K",VLOOKUP(K741,Foundation_Calc!$K$41:$R$74,VLOOKUP(AW741,Foundation_Calc!$I$2:$J$8,2,FALSE),0),"")))</f>
        <v/>
      </c>
      <c r="BA741" s="632" t="str">
        <f t="shared" si="48"/>
        <v/>
      </c>
      <c r="BB741" s="632" t="str">
        <f t="shared" si="49"/>
        <v/>
      </c>
      <c r="BC741" s="632" t="str">
        <f t="shared" si="50"/>
        <v/>
      </c>
      <c r="BD741" s="633" t="str">
        <f>IF(AND(L741="",H741=""),"",
IF(H741="",Pole_Calc!A769,
IF(H741="MP",Pole_Calc!A770,
IF(H741="AnMP",Pole_Calc!A771,
IF(H741="A",Pole_Calc!A772,
IF(H741="S/A",Pole_Calc!A773,
IF(H741="A/S",Pole_Calc!A774,"Poner a mano")))))))</f>
        <v/>
      </c>
      <c r="BE741" s="448" t="s">
        <v>1726</v>
      </c>
      <c r="BF741" s="635"/>
      <c r="BG741" s="635"/>
      <c r="BH741" s="634"/>
      <c r="BI741" s="635"/>
    </row>
    <row r="742" spans="1:61" ht="16.2" customHeight="1">
      <c r="A742" s="12"/>
      <c r="B742" s="446"/>
      <c r="C742" s="89"/>
      <c r="D742" s="13"/>
      <c r="E742" s="14"/>
      <c r="F742" s="14"/>
      <c r="G742" s="15"/>
      <c r="H742" s="8"/>
      <c r="I742" s="8"/>
      <c r="J742" s="89"/>
      <c r="K742" s="8"/>
      <c r="L742" s="8"/>
      <c r="M742" s="8" t="str">
        <f>IF(L742="","",
IF(AX742="PT",VLOOKUP(L742,Foundation_Calc!$V$4:$X$37,VLOOKUP(AX742,Foundation_Calc!$I$10:$J$13,2,FALSE),0),
IF(AX742="K",VLOOKUP(L742,Foundation_Calc!$V$41:$X$74,VLOOKUP(AX742,Foundation_Calc!$I$10:$J$13,2,FALSE),0),"")))</f>
        <v/>
      </c>
      <c r="N742" s="8"/>
      <c r="O742" s="8"/>
      <c r="P742" s="8"/>
      <c r="Q742" s="14"/>
      <c r="R742" s="15"/>
      <c r="S742" s="15"/>
      <c r="T742" s="14"/>
      <c r="U742" s="14"/>
      <c r="V742" s="14"/>
      <c r="W742" s="18"/>
      <c r="X742" s="18"/>
      <c r="Y742" s="18"/>
      <c r="Z742" s="18"/>
      <c r="AA742" s="18"/>
      <c r="AB742" s="18"/>
      <c r="AC742" s="8" t="str">
        <f t="shared" si="47"/>
        <v/>
      </c>
      <c r="AD742" s="8"/>
      <c r="AE742" s="8"/>
      <c r="AF742" s="14"/>
      <c r="AG742" s="13"/>
      <c r="AH742" s="14"/>
      <c r="AI742" s="14"/>
      <c r="AJ742" s="8"/>
      <c r="AK742" s="8"/>
      <c r="AL742" s="8"/>
      <c r="AM742" s="8"/>
      <c r="AN742" s="631"/>
      <c r="AO742" s="18"/>
      <c r="AP742" s="18"/>
      <c r="AQ742" s="18"/>
      <c r="AR742" s="18"/>
      <c r="AS742" s="18"/>
      <c r="AU742" s="448"/>
      <c r="AV742" s="448"/>
      <c r="AW742" s="8" t="str">
        <f>IF(C742&gt;0,VLOOKUP(C742,Foundation_Calc!$A$2:$C$986,3,1),
IF(J742&gt;0,VLOOKUP(J742,Foundation_Calc!$A$2:$C$986,3,1),""))</f>
        <v/>
      </c>
      <c r="AX742" s="8" t="str">
        <f>IF(C742&gt;0,VLOOKUP(C742,Foundation_Calc!$E$2:$G$986,3,1),
IF(J742&gt;0,VLOOKUP(J742,Foundation_Calc!$E$2:$G$986,3,1),""))</f>
        <v/>
      </c>
      <c r="AY742" s="631" t="str">
        <f>IF(L742="","",
IF(AX742="PT",VLOOKUP(L742,Foundation_Calc!$K$4:$R$37,VLOOKUP(AW742,Foundation_Calc!$I$2:$J$8,2,FALSE),0),
IF(AX742="K",VLOOKUP(L742,Foundation_Calc!$K$41:$R$74,VLOOKUP(AW742,Foundation_Calc!$I$2:$J$8,2,FALSE),0),"")))</f>
        <v/>
      </c>
      <c r="AZ742" s="631" t="str">
        <f>IF(K742="","",
IF(AX742="PT",VLOOKUP(K742,Foundation_Calc!$K$4:$R$37,VLOOKUP(AW742,Foundation_Calc!$I$2:$J$8,2,FALSE),0),
IF(AX742="K",VLOOKUP(K742,Foundation_Calc!$K$41:$R$74,VLOOKUP(AW742,Foundation_Calc!$I$2:$J$8,2,FALSE),0),"")))</f>
        <v/>
      </c>
      <c r="BA742" s="632" t="str">
        <f t="shared" si="48"/>
        <v/>
      </c>
      <c r="BB742" s="632" t="str">
        <f t="shared" si="49"/>
        <v/>
      </c>
      <c r="BC742" s="632" t="str">
        <f t="shared" si="50"/>
        <v/>
      </c>
      <c r="BD742" s="633" t="str">
        <f>IF(AND(L742="",H742=""),"",
IF(H742="",Pole_Calc!A770,
IF(H742="MP",Pole_Calc!A771,
IF(H742="AnMP",Pole_Calc!A772,
IF(H742="A",Pole_Calc!A773,
IF(H742="S/A",Pole_Calc!A774,
IF(H742="A/S",Pole_Calc!A775,"Poner a mano")))))))</f>
        <v/>
      </c>
      <c r="BE742" s="448" t="s">
        <v>1726</v>
      </c>
      <c r="BF742" s="634"/>
      <c r="BG742" s="634"/>
      <c r="BH742" s="634"/>
      <c r="BI742" s="634"/>
    </row>
    <row r="743" spans="1:61" ht="16.2" customHeight="1">
      <c r="A743" s="12"/>
      <c r="B743" s="446"/>
      <c r="C743" s="89"/>
      <c r="D743" s="13"/>
      <c r="E743" s="14"/>
      <c r="F743" s="14"/>
      <c r="G743" s="15"/>
      <c r="H743" s="8"/>
      <c r="I743" s="8"/>
      <c r="J743" s="89"/>
      <c r="K743" s="8"/>
      <c r="L743" s="8"/>
      <c r="M743" s="8" t="str">
        <f>IF(L743="","",
IF(AX743="PT",VLOOKUP(L743,Foundation_Calc!$V$4:$X$37,VLOOKUP(AX743,Foundation_Calc!$I$10:$J$13,2,FALSE),0),
IF(AX743="K",VLOOKUP(L743,Foundation_Calc!$V$41:$X$74,VLOOKUP(AX743,Foundation_Calc!$I$10:$J$13,2,FALSE),0),"")))</f>
        <v/>
      </c>
      <c r="N743" s="8"/>
      <c r="O743" s="8"/>
      <c r="P743" s="8"/>
      <c r="Q743" s="14"/>
      <c r="R743" s="15"/>
      <c r="S743" s="15"/>
      <c r="T743" s="14"/>
      <c r="U743" s="14"/>
      <c r="V743" s="14"/>
      <c r="W743" s="18"/>
      <c r="X743" s="18"/>
      <c r="Y743" s="18"/>
      <c r="Z743" s="18"/>
      <c r="AA743" s="18"/>
      <c r="AB743" s="18"/>
      <c r="AC743" s="8" t="str">
        <f t="shared" si="47"/>
        <v/>
      </c>
      <c r="AD743" s="8"/>
      <c r="AE743" s="8"/>
      <c r="AF743" s="14"/>
      <c r="AG743" s="13"/>
      <c r="AH743" s="14"/>
      <c r="AI743" s="14"/>
      <c r="AJ743" s="8"/>
      <c r="AK743" s="8"/>
      <c r="AL743" s="8"/>
      <c r="AM743" s="8"/>
      <c r="AN743" s="631"/>
      <c r="AO743" s="18"/>
      <c r="AP743" s="18"/>
      <c r="AQ743" s="18"/>
      <c r="AR743" s="18"/>
      <c r="AS743" s="18"/>
      <c r="AU743" s="448"/>
      <c r="AV743" s="448"/>
      <c r="AW743" s="8" t="str">
        <f>IF(C743&gt;0,VLOOKUP(C743,Foundation_Calc!$A$2:$C$986,3,1),
IF(J743&gt;0,VLOOKUP(J743,Foundation_Calc!$A$2:$C$986,3,1),""))</f>
        <v/>
      </c>
      <c r="AX743" s="8" t="str">
        <f>IF(C743&gt;0,VLOOKUP(C743,Foundation_Calc!$E$2:$G$986,3,1),
IF(J743&gt;0,VLOOKUP(J743,Foundation_Calc!$E$2:$G$986,3,1),""))</f>
        <v/>
      </c>
      <c r="AY743" s="631" t="str">
        <f>IF(L743="","",
IF(AX743="PT",VLOOKUP(L743,Foundation_Calc!$K$4:$R$37,VLOOKUP(AW743,Foundation_Calc!$I$2:$J$8,2,FALSE),0),
IF(AX743="K",VLOOKUP(L743,Foundation_Calc!$K$41:$R$74,VLOOKUP(AW743,Foundation_Calc!$I$2:$J$8,2,FALSE),0),"")))</f>
        <v/>
      </c>
      <c r="AZ743" s="631" t="str">
        <f>IF(K743="","",
IF(AX743="PT",VLOOKUP(K743,Foundation_Calc!$K$4:$R$37,VLOOKUP(AW743,Foundation_Calc!$I$2:$J$8,2,FALSE),0),
IF(AX743="K",VLOOKUP(K743,Foundation_Calc!$K$41:$R$74,VLOOKUP(AW743,Foundation_Calc!$I$2:$J$8,2,FALSE),0),"")))</f>
        <v/>
      </c>
      <c r="BA743" s="632" t="str">
        <f t="shared" si="48"/>
        <v/>
      </c>
      <c r="BB743" s="632" t="str">
        <f t="shared" si="49"/>
        <v/>
      </c>
      <c r="BC743" s="632" t="str">
        <f t="shared" si="50"/>
        <v/>
      </c>
      <c r="BD743" s="633" t="str">
        <f>IF(AND(L743="",H743=""),"",
IF(H743="",Pole_Calc!A771,
IF(H743="MP",Pole_Calc!A772,
IF(H743="AnMP",Pole_Calc!A773,
IF(H743="A",Pole_Calc!A774,
IF(H743="S/A",Pole_Calc!A775,
IF(H743="A/S",Pole_Calc!A776,"Poner a mano")))))))</f>
        <v/>
      </c>
      <c r="BE743" s="448" t="s">
        <v>1726</v>
      </c>
      <c r="BF743" s="635"/>
      <c r="BG743" s="635"/>
      <c r="BH743" s="634"/>
      <c r="BI743" s="635"/>
    </row>
    <row r="744" spans="1:61" ht="16.2" customHeight="1">
      <c r="A744" s="12"/>
      <c r="B744" s="446"/>
      <c r="C744" s="89"/>
      <c r="D744" s="13"/>
      <c r="E744" s="14"/>
      <c r="F744" s="14"/>
      <c r="G744" s="15"/>
      <c r="H744" s="8"/>
      <c r="I744" s="8"/>
      <c r="J744" s="89"/>
      <c r="K744" s="8"/>
      <c r="L744" s="8"/>
      <c r="M744" s="8" t="str">
        <f>IF(L744="","",
IF(AX744="PT",VLOOKUP(L744,Foundation_Calc!$V$4:$X$37,VLOOKUP(AX744,Foundation_Calc!$I$10:$J$13,2,FALSE),0),
IF(AX744="K",VLOOKUP(L744,Foundation_Calc!$V$41:$X$74,VLOOKUP(AX744,Foundation_Calc!$I$10:$J$13,2,FALSE),0),"")))</f>
        <v/>
      </c>
      <c r="N744" s="8"/>
      <c r="O744" s="8"/>
      <c r="P744" s="8"/>
      <c r="Q744" s="14"/>
      <c r="R744" s="15"/>
      <c r="S744" s="15"/>
      <c r="T744" s="14"/>
      <c r="U744" s="14"/>
      <c r="V744" s="14"/>
      <c r="W744" s="18"/>
      <c r="X744" s="18"/>
      <c r="Y744" s="18"/>
      <c r="Z744" s="18"/>
      <c r="AA744" s="18"/>
      <c r="AB744" s="18"/>
      <c r="AC744" s="8" t="str">
        <f t="shared" si="47"/>
        <v/>
      </c>
      <c r="AD744" s="8"/>
      <c r="AE744" s="8"/>
      <c r="AF744" s="14"/>
      <c r="AG744" s="13"/>
      <c r="AH744" s="14"/>
      <c r="AI744" s="14"/>
      <c r="AJ744" s="8"/>
      <c r="AK744" s="8"/>
      <c r="AL744" s="8"/>
      <c r="AM744" s="8"/>
      <c r="AN744" s="631"/>
      <c r="AO744" s="18"/>
      <c r="AP744" s="18"/>
      <c r="AQ744" s="18"/>
      <c r="AR744" s="18"/>
      <c r="AS744" s="18"/>
      <c r="AU744" s="448"/>
      <c r="AV744" s="448"/>
      <c r="AW744" s="8" t="str">
        <f>IF(C744&gt;0,VLOOKUP(C744,Foundation_Calc!$A$2:$C$986,3,1),
IF(J744&gt;0,VLOOKUP(J744,Foundation_Calc!$A$2:$C$986,3,1),""))</f>
        <v/>
      </c>
      <c r="AX744" s="8" t="str">
        <f>IF(C744&gt;0,VLOOKUP(C744,Foundation_Calc!$E$2:$G$986,3,1),
IF(J744&gt;0,VLOOKUP(J744,Foundation_Calc!$E$2:$G$986,3,1),""))</f>
        <v/>
      </c>
      <c r="AY744" s="631" t="str">
        <f>IF(L744="","",
IF(AX744="PT",VLOOKUP(L744,Foundation_Calc!$K$4:$R$37,VLOOKUP(AW744,Foundation_Calc!$I$2:$J$8,2,FALSE),0),
IF(AX744="K",VLOOKUP(L744,Foundation_Calc!$K$41:$R$74,VLOOKUP(AW744,Foundation_Calc!$I$2:$J$8,2,FALSE),0),"")))</f>
        <v/>
      </c>
      <c r="AZ744" s="631" t="str">
        <f>IF(K744="","",
IF(AX744="PT",VLOOKUP(K744,Foundation_Calc!$K$4:$R$37,VLOOKUP(AW744,Foundation_Calc!$I$2:$J$8,2,FALSE),0),
IF(AX744="K",VLOOKUP(K744,Foundation_Calc!$K$41:$R$74,VLOOKUP(AW744,Foundation_Calc!$I$2:$J$8,2,FALSE),0),"")))</f>
        <v/>
      </c>
      <c r="BA744" s="632" t="str">
        <f t="shared" si="48"/>
        <v/>
      </c>
      <c r="BB744" s="632" t="str">
        <f t="shared" si="49"/>
        <v/>
      </c>
      <c r="BC744" s="632" t="str">
        <f t="shared" si="50"/>
        <v/>
      </c>
      <c r="BD744" s="633" t="str">
        <f>IF(AND(L744="",H744=""),"",
IF(H744="",Pole_Calc!A772,
IF(H744="MP",Pole_Calc!A773,
IF(H744="AnMP",Pole_Calc!A774,
IF(H744="A",Pole_Calc!A775,
IF(H744="S/A",Pole_Calc!A776,
IF(H744="A/S",Pole_Calc!A777,"Poner a mano")))))))</f>
        <v/>
      </c>
      <c r="BE744" s="448" t="s">
        <v>1726</v>
      </c>
      <c r="BF744" s="634"/>
      <c r="BG744" s="634"/>
      <c r="BH744" s="634"/>
      <c r="BI744" s="634"/>
    </row>
    <row r="745" spans="1:61" ht="16.2" customHeight="1">
      <c r="A745" s="12"/>
      <c r="B745" s="446"/>
      <c r="C745" s="89"/>
      <c r="D745" s="13"/>
      <c r="E745" s="14"/>
      <c r="F745" s="14"/>
      <c r="G745" s="15"/>
      <c r="H745" s="8"/>
      <c r="I745" s="8"/>
      <c r="J745" s="89"/>
      <c r="K745" s="8"/>
      <c r="L745" s="8"/>
      <c r="M745" s="8" t="str">
        <f>IF(L745="","",
IF(AX745="PT",VLOOKUP(L745,Foundation_Calc!$V$4:$X$37,VLOOKUP(AX745,Foundation_Calc!$I$10:$J$13,2,FALSE),0),
IF(AX745="K",VLOOKUP(L745,Foundation_Calc!$V$41:$X$74,VLOOKUP(AX745,Foundation_Calc!$I$10:$J$13,2,FALSE),0),"")))</f>
        <v/>
      </c>
      <c r="N745" s="8"/>
      <c r="O745" s="8"/>
      <c r="P745" s="8"/>
      <c r="Q745" s="14"/>
      <c r="R745" s="15"/>
      <c r="S745" s="15"/>
      <c r="T745" s="14"/>
      <c r="U745" s="14"/>
      <c r="V745" s="14"/>
      <c r="W745" s="18"/>
      <c r="X745" s="18"/>
      <c r="Y745" s="18"/>
      <c r="Z745" s="18"/>
      <c r="AA745" s="18"/>
      <c r="AB745" s="18"/>
      <c r="AC745" s="8" t="str">
        <f t="shared" si="47"/>
        <v/>
      </c>
      <c r="AD745" s="8"/>
      <c r="AE745" s="8"/>
      <c r="AF745" s="14"/>
      <c r="AG745" s="13"/>
      <c r="AH745" s="14"/>
      <c r="AI745" s="14"/>
      <c r="AJ745" s="8"/>
      <c r="AK745" s="8"/>
      <c r="AL745" s="8"/>
      <c r="AM745" s="8"/>
      <c r="AN745" s="631"/>
      <c r="AO745" s="18"/>
      <c r="AP745" s="18"/>
      <c r="AQ745" s="18"/>
      <c r="AR745" s="18"/>
      <c r="AS745" s="18"/>
      <c r="AU745" s="448"/>
      <c r="AV745" s="448"/>
      <c r="AW745" s="8" t="str">
        <f>IF(C745&gt;0,VLOOKUP(C745,Foundation_Calc!$A$2:$C$986,3,1),
IF(J745&gt;0,VLOOKUP(J745,Foundation_Calc!$A$2:$C$986,3,1),""))</f>
        <v/>
      </c>
      <c r="AX745" s="8" t="str">
        <f>IF(C745&gt;0,VLOOKUP(C745,Foundation_Calc!$E$2:$G$986,3,1),
IF(J745&gt;0,VLOOKUP(J745,Foundation_Calc!$E$2:$G$986,3,1),""))</f>
        <v/>
      </c>
      <c r="AY745" s="631" t="str">
        <f>IF(L745="","",
IF(AX745="PT",VLOOKUP(L745,Foundation_Calc!$K$4:$R$37,VLOOKUP(AW745,Foundation_Calc!$I$2:$J$8,2,FALSE),0),
IF(AX745="K",VLOOKUP(L745,Foundation_Calc!$K$41:$R$74,VLOOKUP(AW745,Foundation_Calc!$I$2:$J$8,2,FALSE),0),"")))</f>
        <v/>
      </c>
      <c r="AZ745" s="631" t="str">
        <f>IF(K745="","",
IF(AX745="PT",VLOOKUP(K745,Foundation_Calc!$K$4:$R$37,VLOOKUP(AW745,Foundation_Calc!$I$2:$J$8,2,FALSE),0),
IF(AX745="K",VLOOKUP(K745,Foundation_Calc!$K$41:$R$74,VLOOKUP(AW745,Foundation_Calc!$I$2:$J$8,2,FALSE),0),"")))</f>
        <v/>
      </c>
      <c r="BA745" s="632" t="str">
        <f t="shared" si="48"/>
        <v/>
      </c>
      <c r="BB745" s="632" t="str">
        <f t="shared" si="49"/>
        <v/>
      </c>
      <c r="BC745" s="632" t="str">
        <f t="shared" si="50"/>
        <v/>
      </c>
      <c r="BD745" s="633" t="str">
        <f>IF(AND(L745="",H745=""),"",
IF(H745="",Pole_Calc!A773,
IF(H745="MP",Pole_Calc!A774,
IF(H745="AnMP",Pole_Calc!A775,
IF(H745="A",Pole_Calc!A776,
IF(H745="S/A",Pole_Calc!A777,
IF(H745="A/S",Pole_Calc!A778,"Poner a mano")))))))</f>
        <v/>
      </c>
      <c r="BE745" s="448" t="s">
        <v>1726</v>
      </c>
      <c r="BF745" s="635"/>
      <c r="BG745" s="635"/>
      <c r="BH745" s="634"/>
      <c r="BI745" s="635"/>
    </row>
    <row r="746" spans="1:61" ht="16.2" customHeight="1">
      <c r="A746" s="12"/>
      <c r="B746" s="446"/>
      <c r="C746" s="89"/>
      <c r="D746" s="13"/>
      <c r="E746" s="14"/>
      <c r="F746" s="14"/>
      <c r="G746" s="15"/>
      <c r="H746" s="8"/>
      <c r="I746" s="8"/>
      <c r="J746" s="89"/>
      <c r="K746" s="8"/>
      <c r="L746" s="8"/>
      <c r="M746" s="8" t="str">
        <f>IF(L746="","",
IF(AX746="PT",VLOOKUP(L746,Foundation_Calc!$V$4:$X$37,VLOOKUP(AX746,Foundation_Calc!$I$10:$J$13,2,FALSE),0),
IF(AX746="K",VLOOKUP(L746,Foundation_Calc!$V$41:$X$74,VLOOKUP(AX746,Foundation_Calc!$I$10:$J$13,2,FALSE),0),"")))</f>
        <v/>
      </c>
      <c r="N746" s="8"/>
      <c r="O746" s="8"/>
      <c r="P746" s="8"/>
      <c r="Q746" s="14"/>
      <c r="R746" s="15"/>
      <c r="S746" s="15"/>
      <c r="T746" s="14"/>
      <c r="U746" s="14"/>
      <c r="V746" s="14"/>
      <c r="W746" s="18"/>
      <c r="X746" s="18"/>
      <c r="Y746" s="18"/>
      <c r="Z746" s="18"/>
      <c r="AA746" s="18"/>
      <c r="AB746" s="18"/>
      <c r="AC746" s="8" t="str">
        <f t="shared" si="47"/>
        <v/>
      </c>
      <c r="AD746" s="8"/>
      <c r="AE746" s="8"/>
      <c r="AF746" s="14"/>
      <c r="AG746" s="13"/>
      <c r="AH746" s="14"/>
      <c r="AI746" s="14"/>
      <c r="AJ746" s="8"/>
      <c r="AK746" s="8"/>
      <c r="AL746" s="8"/>
      <c r="AM746" s="8"/>
      <c r="AN746" s="631"/>
      <c r="AO746" s="18"/>
      <c r="AP746" s="18"/>
      <c r="AQ746" s="18"/>
      <c r="AR746" s="18"/>
      <c r="AS746" s="18"/>
      <c r="AU746" s="448"/>
      <c r="AV746" s="448"/>
      <c r="AW746" s="8" t="str">
        <f>IF(C746&gt;0,VLOOKUP(C746,Foundation_Calc!$A$2:$C$986,3,1),
IF(J746&gt;0,VLOOKUP(J746,Foundation_Calc!$A$2:$C$986,3,1),""))</f>
        <v/>
      </c>
      <c r="AX746" s="8" t="str">
        <f>IF(C746&gt;0,VLOOKUP(C746,Foundation_Calc!$E$2:$G$986,3,1),
IF(J746&gt;0,VLOOKUP(J746,Foundation_Calc!$E$2:$G$986,3,1),""))</f>
        <v/>
      </c>
      <c r="AY746" s="631" t="str">
        <f>IF(L746="","",
IF(AX746="PT",VLOOKUP(L746,Foundation_Calc!$K$4:$R$37,VLOOKUP(AW746,Foundation_Calc!$I$2:$J$8,2,FALSE),0),
IF(AX746="K",VLOOKUP(L746,Foundation_Calc!$K$41:$R$74,VLOOKUP(AW746,Foundation_Calc!$I$2:$J$8,2,FALSE),0),"")))</f>
        <v/>
      </c>
      <c r="AZ746" s="631" t="str">
        <f>IF(K746="","",
IF(AX746="PT",VLOOKUP(K746,Foundation_Calc!$K$4:$R$37,VLOOKUP(AW746,Foundation_Calc!$I$2:$J$8,2,FALSE),0),
IF(AX746="K",VLOOKUP(K746,Foundation_Calc!$K$41:$R$74,VLOOKUP(AW746,Foundation_Calc!$I$2:$J$8,2,FALSE),0),"")))</f>
        <v/>
      </c>
      <c r="BA746" s="632" t="str">
        <f t="shared" si="48"/>
        <v/>
      </c>
      <c r="BB746" s="632" t="str">
        <f t="shared" si="49"/>
        <v/>
      </c>
      <c r="BC746" s="632" t="str">
        <f t="shared" si="50"/>
        <v/>
      </c>
      <c r="BD746" s="633" t="str">
        <f>IF(AND(L746="",H746=""),"",
IF(H746="",Pole_Calc!A774,
IF(H746="MP",Pole_Calc!A775,
IF(H746="AnMP",Pole_Calc!A776,
IF(H746="A",Pole_Calc!A777,
IF(H746="S/A",Pole_Calc!A778,
IF(H746="A/S",Pole_Calc!A779,"Poner a mano")))))))</f>
        <v/>
      </c>
      <c r="BE746" s="448" t="s">
        <v>1726</v>
      </c>
      <c r="BF746" s="634"/>
      <c r="BG746" s="634"/>
      <c r="BH746" s="634"/>
      <c r="BI746" s="634"/>
    </row>
    <row r="747" spans="1:61" ht="16.2" customHeight="1">
      <c r="A747" s="12"/>
      <c r="B747" s="446"/>
      <c r="C747" s="89"/>
      <c r="D747" s="13"/>
      <c r="E747" s="14"/>
      <c r="F747" s="14"/>
      <c r="G747" s="15"/>
      <c r="H747" s="8"/>
      <c r="I747" s="8"/>
      <c r="J747" s="89"/>
      <c r="K747" s="8"/>
      <c r="L747" s="8"/>
      <c r="M747" s="8" t="str">
        <f>IF(L747="","",
IF(AX747="PT",VLOOKUP(L747,Foundation_Calc!$V$4:$X$37,VLOOKUP(AX747,Foundation_Calc!$I$10:$J$13,2,FALSE),0),
IF(AX747="K",VLOOKUP(L747,Foundation_Calc!$V$41:$X$74,VLOOKUP(AX747,Foundation_Calc!$I$10:$J$13,2,FALSE),0),"")))</f>
        <v/>
      </c>
      <c r="N747" s="8"/>
      <c r="O747" s="8"/>
      <c r="P747" s="8"/>
      <c r="Q747" s="14"/>
      <c r="R747" s="15"/>
      <c r="S747" s="15"/>
      <c r="T747" s="14"/>
      <c r="U747" s="14"/>
      <c r="V747" s="14"/>
      <c r="W747" s="18"/>
      <c r="X747" s="18"/>
      <c r="Y747" s="18"/>
      <c r="Z747" s="18"/>
      <c r="AA747" s="18"/>
      <c r="AB747" s="18"/>
      <c r="AC747" s="8" t="str">
        <f t="shared" si="47"/>
        <v/>
      </c>
      <c r="AD747" s="8"/>
      <c r="AE747" s="8"/>
      <c r="AF747" s="14"/>
      <c r="AG747" s="13"/>
      <c r="AH747" s="14"/>
      <c r="AI747" s="14"/>
      <c r="AJ747" s="8"/>
      <c r="AK747" s="8"/>
      <c r="AL747" s="8"/>
      <c r="AM747" s="8"/>
      <c r="AN747" s="631"/>
      <c r="AO747" s="18"/>
      <c r="AP747" s="18"/>
      <c r="AQ747" s="18"/>
      <c r="AR747" s="18"/>
      <c r="AS747" s="18"/>
      <c r="AU747" s="448"/>
      <c r="AV747" s="448"/>
      <c r="AW747" s="8" t="str">
        <f>IF(C747&gt;0,VLOOKUP(C747,Foundation_Calc!$A$2:$C$986,3,1),
IF(J747&gt;0,VLOOKUP(J747,Foundation_Calc!$A$2:$C$986,3,1),""))</f>
        <v/>
      </c>
      <c r="AX747" s="8" t="str">
        <f>IF(C747&gt;0,VLOOKUP(C747,Foundation_Calc!$E$2:$G$986,3,1),
IF(J747&gt;0,VLOOKUP(J747,Foundation_Calc!$E$2:$G$986,3,1),""))</f>
        <v/>
      </c>
      <c r="AY747" s="631" t="str">
        <f>IF(L747="","",
IF(AX747="PT",VLOOKUP(L747,Foundation_Calc!$K$4:$R$37,VLOOKUP(AW747,Foundation_Calc!$I$2:$J$8,2,FALSE),0),
IF(AX747="K",VLOOKUP(L747,Foundation_Calc!$K$41:$R$74,VLOOKUP(AW747,Foundation_Calc!$I$2:$J$8,2,FALSE),0),"")))</f>
        <v/>
      </c>
      <c r="AZ747" s="631" t="str">
        <f>IF(K747="","",
IF(AX747="PT",VLOOKUP(K747,Foundation_Calc!$K$4:$R$37,VLOOKUP(AW747,Foundation_Calc!$I$2:$J$8,2,FALSE),0),
IF(AX747="K",VLOOKUP(K747,Foundation_Calc!$K$41:$R$74,VLOOKUP(AW747,Foundation_Calc!$I$2:$J$8,2,FALSE),0),"")))</f>
        <v/>
      </c>
      <c r="BA747" s="632" t="str">
        <f t="shared" si="48"/>
        <v/>
      </c>
      <c r="BB747" s="632" t="str">
        <f t="shared" si="49"/>
        <v/>
      </c>
      <c r="BC747" s="632" t="str">
        <f t="shared" si="50"/>
        <v/>
      </c>
      <c r="BD747" s="633" t="str">
        <f>IF(AND(L747="",H747=""),"",
IF(H747="",Pole_Calc!A775,
IF(H747="MP",Pole_Calc!A776,
IF(H747="AnMP",Pole_Calc!A777,
IF(H747="A",Pole_Calc!A778,
IF(H747="S/A",Pole_Calc!A779,
IF(H747="A/S",Pole_Calc!A780,"Poner a mano")))))))</f>
        <v/>
      </c>
      <c r="BE747" s="448" t="s">
        <v>1726</v>
      </c>
      <c r="BF747" s="635"/>
      <c r="BG747" s="635"/>
      <c r="BH747" s="634"/>
      <c r="BI747" s="635"/>
    </row>
    <row r="748" spans="1:61" ht="16.2" customHeight="1">
      <c r="A748" s="12"/>
      <c r="B748" s="446"/>
      <c r="C748" s="89"/>
      <c r="D748" s="13"/>
      <c r="E748" s="14"/>
      <c r="F748" s="14"/>
      <c r="G748" s="15"/>
      <c r="H748" s="8"/>
      <c r="I748" s="8"/>
      <c r="J748" s="89"/>
      <c r="K748" s="8"/>
      <c r="L748" s="8"/>
      <c r="M748" s="8" t="str">
        <f>IF(L748="","",
IF(AX748="PT",VLOOKUP(L748,Foundation_Calc!$V$4:$X$37,VLOOKUP(AX748,Foundation_Calc!$I$10:$J$13,2,FALSE),0),
IF(AX748="K",VLOOKUP(L748,Foundation_Calc!$V$41:$X$74,VLOOKUP(AX748,Foundation_Calc!$I$10:$J$13,2,FALSE),0),"")))</f>
        <v/>
      </c>
      <c r="N748" s="8"/>
      <c r="O748" s="8"/>
      <c r="P748" s="8"/>
      <c r="Q748" s="14"/>
      <c r="R748" s="15"/>
      <c r="S748" s="15"/>
      <c r="T748" s="14"/>
      <c r="U748" s="14"/>
      <c r="V748" s="14"/>
      <c r="W748" s="18"/>
      <c r="X748" s="18"/>
      <c r="Y748" s="18"/>
      <c r="Z748" s="18"/>
      <c r="AA748" s="18"/>
      <c r="AB748" s="18"/>
      <c r="AC748" s="8" t="str">
        <f t="shared" si="47"/>
        <v/>
      </c>
      <c r="AD748" s="8"/>
      <c r="AE748" s="8"/>
      <c r="AF748" s="14"/>
      <c r="AG748" s="13"/>
      <c r="AH748" s="14"/>
      <c r="AI748" s="14"/>
      <c r="AJ748" s="8"/>
      <c r="AK748" s="8"/>
      <c r="AL748" s="8"/>
      <c r="AM748" s="8"/>
      <c r="AN748" s="631"/>
      <c r="AO748" s="18"/>
      <c r="AP748" s="18"/>
      <c r="AQ748" s="18"/>
      <c r="AR748" s="18"/>
      <c r="AS748" s="18"/>
      <c r="AU748" s="448"/>
      <c r="AV748" s="448"/>
      <c r="AW748" s="8" t="str">
        <f>IF(C748&gt;0,VLOOKUP(C748,Foundation_Calc!$A$2:$C$986,3,1),
IF(J748&gt;0,VLOOKUP(J748,Foundation_Calc!$A$2:$C$986,3,1),""))</f>
        <v/>
      </c>
      <c r="AX748" s="8" t="str">
        <f>IF(C748&gt;0,VLOOKUP(C748,Foundation_Calc!$E$2:$G$986,3,1),
IF(J748&gt;0,VLOOKUP(J748,Foundation_Calc!$E$2:$G$986,3,1),""))</f>
        <v/>
      </c>
      <c r="AY748" s="631" t="str">
        <f>IF(L748="","",
IF(AX748="PT",VLOOKUP(L748,Foundation_Calc!$K$4:$R$37,VLOOKUP(AW748,Foundation_Calc!$I$2:$J$8,2,FALSE),0),
IF(AX748="K",VLOOKUP(L748,Foundation_Calc!$K$41:$R$74,VLOOKUP(AW748,Foundation_Calc!$I$2:$J$8,2,FALSE),0),"")))</f>
        <v/>
      </c>
      <c r="AZ748" s="631" t="str">
        <f>IF(K748="","",
IF(AX748="PT",VLOOKUP(K748,Foundation_Calc!$K$4:$R$37,VLOOKUP(AW748,Foundation_Calc!$I$2:$J$8,2,FALSE),0),
IF(AX748="K",VLOOKUP(K748,Foundation_Calc!$K$41:$R$74,VLOOKUP(AW748,Foundation_Calc!$I$2:$J$8,2,FALSE),0),"")))</f>
        <v/>
      </c>
      <c r="BA748" s="632" t="str">
        <f t="shared" si="48"/>
        <v/>
      </c>
      <c r="BB748" s="632" t="str">
        <f t="shared" si="49"/>
        <v/>
      </c>
      <c r="BC748" s="632" t="str">
        <f t="shared" si="50"/>
        <v/>
      </c>
      <c r="BD748" s="633" t="str">
        <f>IF(AND(L748="",H748=""),"",
IF(H748="",Pole_Calc!A776,
IF(H748="MP",Pole_Calc!A777,
IF(H748="AnMP",Pole_Calc!A778,
IF(H748="A",Pole_Calc!A779,
IF(H748="S/A",Pole_Calc!A780,
IF(H748="A/S",Pole_Calc!A781,"Poner a mano")))))))</f>
        <v/>
      </c>
      <c r="BE748" s="448" t="s">
        <v>1726</v>
      </c>
      <c r="BF748" s="634"/>
      <c r="BG748" s="634"/>
      <c r="BH748" s="634"/>
      <c r="BI748" s="634"/>
    </row>
    <row r="749" spans="1:61" ht="16.2" customHeight="1">
      <c r="A749" s="12"/>
      <c r="B749" s="446"/>
      <c r="C749" s="89"/>
      <c r="D749" s="13"/>
      <c r="E749" s="14"/>
      <c r="F749" s="14"/>
      <c r="G749" s="15"/>
      <c r="H749" s="8"/>
      <c r="I749" s="8"/>
      <c r="J749" s="89"/>
      <c r="K749" s="8"/>
      <c r="L749" s="8"/>
      <c r="M749" s="8" t="str">
        <f>IF(L749="","",
IF(AX749="PT",VLOOKUP(L749,Foundation_Calc!$V$4:$X$37,VLOOKUP(AX749,Foundation_Calc!$I$10:$J$13,2,FALSE),0),
IF(AX749="K",VLOOKUP(L749,Foundation_Calc!$V$41:$X$74,VLOOKUP(AX749,Foundation_Calc!$I$10:$J$13,2,FALSE),0),"")))</f>
        <v/>
      </c>
      <c r="N749" s="8"/>
      <c r="O749" s="8"/>
      <c r="P749" s="8"/>
      <c r="Q749" s="14"/>
      <c r="R749" s="15"/>
      <c r="S749" s="15"/>
      <c r="T749" s="14"/>
      <c r="U749" s="14"/>
      <c r="V749" s="14"/>
      <c r="W749" s="18"/>
      <c r="X749" s="18"/>
      <c r="Y749" s="18"/>
      <c r="Z749" s="18"/>
      <c r="AA749" s="18"/>
      <c r="AB749" s="18"/>
      <c r="AC749" s="8" t="str">
        <f t="shared" si="47"/>
        <v/>
      </c>
      <c r="AD749" s="8"/>
      <c r="AE749" s="8"/>
      <c r="AF749" s="14"/>
      <c r="AG749" s="13"/>
      <c r="AH749" s="14"/>
      <c r="AI749" s="14"/>
      <c r="AJ749" s="8"/>
      <c r="AK749" s="8"/>
      <c r="AL749" s="8"/>
      <c r="AM749" s="8"/>
      <c r="AN749" s="631"/>
      <c r="AO749" s="18"/>
      <c r="AP749" s="18"/>
      <c r="AQ749" s="18"/>
      <c r="AR749" s="18"/>
      <c r="AS749" s="18"/>
      <c r="AU749" s="448"/>
      <c r="AV749" s="448"/>
      <c r="AW749" s="8" t="str">
        <f>IF(C749&gt;0,VLOOKUP(C749,Foundation_Calc!$A$2:$C$986,3,1),
IF(J749&gt;0,VLOOKUP(J749,Foundation_Calc!$A$2:$C$986,3,1),""))</f>
        <v/>
      </c>
      <c r="AX749" s="8" t="str">
        <f>IF(C749&gt;0,VLOOKUP(C749,Foundation_Calc!$E$2:$G$986,3,1),
IF(J749&gt;0,VLOOKUP(J749,Foundation_Calc!$E$2:$G$986,3,1),""))</f>
        <v/>
      </c>
      <c r="AY749" s="631" t="str">
        <f>IF(L749="","",
IF(AX749="PT",VLOOKUP(L749,Foundation_Calc!$K$4:$R$37,VLOOKUP(AW749,Foundation_Calc!$I$2:$J$8,2,FALSE),0),
IF(AX749="K",VLOOKUP(L749,Foundation_Calc!$K$41:$R$74,VLOOKUP(AW749,Foundation_Calc!$I$2:$J$8,2,FALSE),0),"")))</f>
        <v/>
      </c>
      <c r="AZ749" s="631" t="str">
        <f>IF(K749="","",
IF(AX749="PT",VLOOKUP(K749,Foundation_Calc!$K$4:$R$37,VLOOKUP(AW749,Foundation_Calc!$I$2:$J$8,2,FALSE),0),
IF(AX749="K",VLOOKUP(K749,Foundation_Calc!$K$41:$R$74,VLOOKUP(AW749,Foundation_Calc!$I$2:$J$8,2,FALSE),0),"")))</f>
        <v/>
      </c>
      <c r="BA749" s="632" t="str">
        <f t="shared" si="48"/>
        <v/>
      </c>
      <c r="BB749" s="632" t="str">
        <f t="shared" si="49"/>
        <v/>
      </c>
      <c r="BC749" s="632" t="str">
        <f t="shared" si="50"/>
        <v/>
      </c>
      <c r="BD749" s="633" t="str">
        <f>IF(AND(L749="",H749=""),"",
IF(H749="",Pole_Calc!A777,
IF(H749="MP",Pole_Calc!A778,
IF(H749="AnMP",Pole_Calc!A779,
IF(H749="A",Pole_Calc!A780,
IF(H749="S/A",Pole_Calc!A781,
IF(H749="A/S",Pole_Calc!A782,"Poner a mano")))))))</f>
        <v/>
      </c>
      <c r="BE749" s="448" t="s">
        <v>1726</v>
      </c>
      <c r="BF749" s="635"/>
      <c r="BG749" s="635"/>
      <c r="BH749" s="634"/>
      <c r="BI749" s="635"/>
    </row>
    <row r="750" spans="1:61" ht="16.2" customHeight="1">
      <c r="A750" s="12"/>
      <c r="B750" s="446"/>
      <c r="C750" s="89"/>
      <c r="D750" s="13"/>
      <c r="E750" s="14"/>
      <c r="F750" s="14"/>
      <c r="G750" s="15"/>
      <c r="H750" s="8"/>
      <c r="I750" s="8"/>
      <c r="J750" s="89"/>
      <c r="K750" s="8"/>
      <c r="L750" s="8"/>
      <c r="M750" s="8" t="str">
        <f>IF(L750="","",
IF(AX750="PT",VLOOKUP(L750,Foundation_Calc!$V$4:$X$37,VLOOKUP(AX750,Foundation_Calc!$I$10:$J$13,2,FALSE),0),
IF(AX750="K",VLOOKUP(L750,Foundation_Calc!$V$41:$X$74,VLOOKUP(AX750,Foundation_Calc!$I$10:$J$13,2,FALSE),0),"")))</f>
        <v/>
      </c>
      <c r="N750" s="8"/>
      <c r="O750" s="8"/>
      <c r="P750" s="8"/>
      <c r="Q750" s="14"/>
      <c r="R750" s="15"/>
      <c r="S750" s="15"/>
      <c r="T750" s="14"/>
      <c r="U750" s="14"/>
      <c r="V750" s="14"/>
      <c r="W750" s="18"/>
      <c r="X750" s="18"/>
      <c r="Y750" s="18"/>
      <c r="Z750" s="18"/>
      <c r="AA750" s="18"/>
      <c r="AB750" s="18"/>
      <c r="AC750" s="8" t="str">
        <f t="shared" si="47"/>
        <v/>
      </c>
      <c r="AD750" s="8"/>
      <c r="AE750" s="8"/>
      <c r="AF750" s="14"/>
      <c r="AG750" s="13"/>
      <c r="AH750" s="14"/>
      <c r="AI750" s="14"/>
      <c r="AJ750" s="8"/>
      <c r="AK750" s="8"/>
      <c r="AL750" s="8"/>
      <c r="AM750" s="8"/>
      <c r="AN750" s="631"/>
      <c r="AO750" s="18"/>
      <c r="AP750" s="18"/>
      <c r="AQ750" s="18"/>
      <c r="AR750" s="18"/>
      <c r="AS750" s="18"/>
      <c r="AU750" s="448"/>
      <c r="AV750" s="448"/>
      <c r="AW750" s="8" t="str">
        <f>IF(C750&gt;0,VLOOKUP(C750,Foundation_Calc!$A$2:$C$986,3,1),
IF(J750&gt;0,VLOOKUP(J750,Foundation_Calc!$A$2:$C$986,3,1),""))</f>
        <v/>
      </c>
      <c r="AX750" s="8" t="str">
        <f>IF(C750&gt;0,VLOOKUP(C750,Foundation_Calc!$E$2:$G$986,3,1),
IF(J750&gt;0,VLOOKUP(J750,Foundation_Calc!$E$2:$G$986,3,1),""))</f>
        <v/>
      </c>
      <c r="AY750" s="631" t="str">
        <f>IF(L750="","",
IF(AX750="PT",VLOOKUP(L750,Foundation_Calc!$K$4:$R$37,VLOOKUP(AW750,Foundation_Calc!$I$2:$J$8,2,FALSE),0),
IF(AX750="K",VLOOKUP(L750,Foundation_Calc!$K$41:$R$74,VLOOKUP(AW750,Foundation_Calc!$I$2:$J$8,2,FALSE),0),"")))</f>
        <v/>
      </c>
      <c r="AZ750" s="631" t="str">
        <f>IF(K750="","",
IF(AX750="PT",VLOOKUP(K750,Foundation_Calc!$K$4:$R$37,VLOOKUP(AW750,Foundation_Calc!$I$2:$J$8,2,FALSE),0),
IF(AX750="K",VLOOKUP(K750,Foundation_Calc!$K$41:$R$74,VLOOKUP(AW750,Foundation_Calc!$I$2:$J$8,2,FALSE),0),"")))</f>
        <v/>
      </c>
      <c r="BA750" s="632" t="str">
        <f t="shared" si="48"/>
        <v/>
      </c>
      <c r="BB750" s="632" t="str">
        <f t="shared" si="49"/>
        <v/>
      </c>
      <c r="BC750" s="632" t="str">
        <f t="shared" si="50"/>
        <v/>
      </c>
      <c r="BD750" s="633" t="str">
        <f>IF(AND(L750="",H750=""),"",
IF(H750="",Pole_Calc!A778,
IF(H750="MP",Pole_Calc!A779,
IF(H750="AnMP",Pole_Calc!A780,
IF(H750="A",Pole_Calc!A781,
IF(H750="S/A",Pole_Calc!A782,
IF(H750="A/S",Pole_Calc!A783,"Poner a mano")))))))</f>
        <v/>
      </c>
      <c r="BE750" s="448" t="s">
        <v>1726</v>
      </c>
      <c r="BF750" s="634"/>
      <c r="BG750" s="634"/>
      <c r="BH750" s="634"/>
      <c r="BI750" s="634"/>
    </row>
    <row r="751" spans="1:61" ht="16.2" customHeight="1">
      <c r="A751" s="12"/>
      <c r="B751" s="446"/>
      <c r="C751" s="89"/>
      <c r="D751" s="13"/>
      <c r="E751" s="14"/>
      <c r="F751" s="14"/>
      <c r="G751" s="15"/>
      <c r="H751" s="8"/>
      <c r="I751" s="8"/>
      <c r="J751" s="89"/>
      <c r="K751" s="8"/>
      <c r="L751" s="8"/>
      <c r="M751" s="8" t="str">
        <f>IF(L751="","",
IF(AX751="PT",VLOOKUP(L751,Foundation_Calc!$V$4:$X$37,VLOOKUP(AX751,Foundation_Calc!$I$10:$J$13,2,FALSE),0),
IF(AX751="K",VLOOKUP(L751,Foundation_Calc!$V$41:$X$74,VLOOKUP(AX751,Foundation_Calc!$I$10:$J$13,2,FALSE),0),"")))</f>
        <v/>
      </c>
      <c r="N751" s="8"/>
      <c r="O751" s="8"/>
      <c r="P751" s="8"/>
      <c r="Q751" s="14"/>
      <c r="R751" s="15"/>
      <c r="S751" s="15"/>
      <c r="T751" s="14"/>
      <c r="U751" s="14"/>
      <c r="V751" s="14"/>
      <c r="W751" s="18"/>
      <c r="X751" s="18"/>
      <c r="Y751" s="18"/>
      <c r="Z751" s="18"/>
      <c r="AA751" s="18"/>
      <c r="AB751" s="18"/>
      <c r="AC751" s="8" t="str">
        <f t="shared" si="47"/>
        <v/>
      </c>
      <c r="AD751" s="8"/>
      <c r="AE751" s="8"/>
      <c r="AF751" s="14"/>
      <c r="AG751" s="13"/>
      <c r="AH751" s="14"/>
      <c r="AI751" s="14"/>
      <c r="AJ751" s="8"/>
      <c r="AK751" s="8"/>
      <c r="AL751" s="8"/>
      <c r="AM751" s="8"/>
      <c r="AN751" s="631"/>
      <c r="AO751" s="18"/>
      <c r="AP751" s="18"/>
      <c r="AQ751" s="18"/>
      <c r="AR751" s="18"/>
      <c r="AS751" s="18"/>
      <c r="AU751" s="448"/>
      <c r="AV751" s="448"/>
      <c r="AW751" s="8" t="str">
        <f>IF(C751&gt;0,VLOOKUP(C751,Foundation_Calc!$A$2:$C$986,3,1),
IF(J751&gt;0,VLOOKUP(J751,Foundation_Calc!$A$2:$C$986,3,1),""))</f>
        <v/>
      </c>
      <c r="AX751" s="8" t="str">
        <f>IF(C751&gt;0,VLOOKUP(C751,Foundation_Calc!$E$2:$G$986,3,1),
IF(J751&gt;0,VLOOKUP(J751,Foundation_Calc!$E$2:$G$986,3,1),""))</f>
        <v/>
      </c>
      <c r="AY751" s="631" t="str">
        <f>IF(L751="","",
IF(AX751="PT",VLOOKUP(L751,Foundation_Calc!$K$4:$R$37,VLOOKUP(AW751,Foundation_Calc!$I$2:$J$8,2,FALSE),0),
IF(AX751="K",VLOOKUP(L751,Foundation_Calc!$K$41:$R$74,VLOOKUP(AW751,Foundation_Calc!$I$2:$J$8,2,FALSE),0),"")))</f>
        <v/>
      </c>
      <c r="AZ751" s="631" t="str">
        <f>IF(K751="","",
IF(AX751="PT",VLOOKUP(K751,Foundation_Calc!$K$4:$R$37,VLOOKUP(AW751,Foundation_Calc!$I$2:$J$8,2,FALSE),0),
IF(AX751="K",VLOOKUP(K751,Foundation_Calc!$K$41:$R$74,VLOOKUP(AW751,Foundation_Calc!$I$2:$J$8,2,FALSE),0),"")))</f>
        <v/>
      </c>
      <c r="BA751" s="632" t="str">
        <f t="shared" si="48"/>
        <v/>
      </c>
      <c r="BB751" s="632" t="str">
        <f t="shared" si="49"/>
        <v/>
      </c>
      <c r="BC751" s="632" t="str">
        <f t="shared" si="50"/>
        <v/>
      </c>
      <c r="BD751" s="633" t="str">
        <f>IF(AND(L751="",H751=""),"",
IF(H751="",Pole_Calc!A779,
IF(H751="MP",Pole_Calc!A780,
IF(H751="AnMP",Pole_Calc!A781,
IF(H751="A",Pole_Calc!A782,
IF(H751="S/A",Pole_Calc!A783,
IF(H751="A/S",Pole_Calc!A784,"Poner a mano")))))))</f>
        <v/>
      </c>
      <c r="BE751" s="448" t="s">
        <v>1726</v>
      </c>
      <c r="BF751" s="635"/>
      <c r="BG751" s="635"/>
      <c r="BH751" s="634"/>
      <c r="BI751" s="635"/>
    </row>
    <row r="752" spans="1:61" ht="16.2" customHeight="1">
      <c r="A752" s="12"/>
      <c r="B752" s="446"/>
      <c r="C752" s="89"/>
      <c r="D752" s="13"/>
      <c r="E752" s="14"/>
      <c r="F752" s="14"/>
      <c r="G752" s="15"/>
      <c r="H752" s="8"/>
      <c r="I752" s="8"/>
      <c r="J752" s="89"/>
      <c r="K752" s="8"/>
      <c r="L752" s="8"/>
      <c r="M752" s="8" t="str">
        <f>IF(L752="","",
IF(AX752="PT",VLOOKUP(L752,Foundation_Calc!$V$4:$X$37,VLOOKUP(AX752,Foundation_Calc!$I$10:$J$13,2,FALSE),0),
IF(AX752="K",VLOOKUP(L752,Foundation_Calc!$V$41:$X$74,VLOOKUP(AX752,Foundation_Calc!$I$10:$J$13,2,FALSE),0),"")))</f>
        <v/>
      </c>
      <c r="N752" s="8"/>
      <c r="O752" s="8"/>
      <c r="P752" s="8"/>
      <c r="Q752" s="14"/>
      <c r="R752" s="15"/>
      <c r="S752" s="15"/>
      <c r="T752" s="14"/>
      <c r="U752" s="14"/>
      <c r="V752" s="14"/>
      <c r="W752" s="18"/>
      <c r="X752" s="18"/>
      <c r="Y752" s="18"/>
      <c r="Z752" s="18"/>
      <c r="AA752" s="18"/>
      <c r="AB752" s="18"/>
      <c r="AC752" s="8" t="str">
        <f t="shared" si="47"/>
        <v/>
      </c>
      <c r="AD752" s="8"/>
      <c r="AE752" s="8"/>
      <c r="AF752" s="14"/>
      <c r="AG752" s="13"/>
      <c r="AH752" s="14"/>
      <c r="AI752" s="14"/>
      <c r="AJ752" s="8"/>
      <c r="AK752" s="8"/>
      <c r="AL752" s="8"/>
      <c r="AM752" s="8"/>
      <c r="AN752" s="631"/>
      <c r="AO752" s="18"/>
      <c r="AP752" s="18"/>
      <c r="AQ752" s="18"/>
      <c r="AR752" s="18"/>
      <c r="AS752" s="18"/>
      <c r="AU752" s="448"/>
      <c r="AV752" s="448"/>
      <c r="AW752" s="8" t="str">
        <f>IF(C752&gt;0,VLOOKUP(C752,Foundation_Calc!$A$2:$C$986,3,1),
IF(J752&gt;0,VLOOKUP(J752,Foundation_Calc!$A$2:$C$986,3,1),""))</f>
        <v/>
      </c>
      <c r="AX752" s="8" t="str">
        <f>IF(C752&gt;0,VLOOKUP(C752,Foundation_Calc!$E$2:$G$986,3,1),
IF(J752&gt;0,VLOOKUP(J752,Foundation_Calc!$E$2:$G$986,3,1),""))</f>
        <v/>
      </c>
      <c r="AY752" s="631" t="str">
        <f>IF(L752="","",
IF(AX752="PT",VLOOKUP(L752,Foundation_Calc!$K$4:$R$37,VLOOKUP(AW752,Foundation_Calc!$I$2:$J$8,2,FALSE),0),
IF(AX752="K",VLOOKUP(L752,Foundation_Calc!$K$41:$R$74,VLOOKUP(AW752,Foundation_Calc!$I$2:$J$8,2,FALSE),0),"")))</f>
        <v/>
      </c>
      <c r="AZ752" s="631" t="str">
        <f>IF(K752="","",
IF(AX752="PT",VLOOKUP(K752,Foundation_Calc!$K$4:$R$37,VLOOKUP(AW752,Foundation_Calc!$I$2:$J$8,2,FALSE),0),
IF(AX752="K",VLOOKUP(K752,Foundation_Calc!$K$41:$R$74,VLOOKUP(AW752,Foundation_Calc!$I$2:$J$8,2,FALSE),0),"")))</f>
        <v/>
      </c>
      <c r="BA752" s="632" t="str">
        <f t="shared" si="48"/>
        <v/>
      </c>
      <c r="BB752" s="632" t="str">
        <f t="shared" si="49"/>
        <v/>
      </c>
      <c r="BC752" s="632" t="str">
        <f t="shared" si="50"/>
        <v/>
      </c>
      <c r="BD752" s="633" t="str">
        <f>IF(AND(L752="",H752=""),"",
IF(H752="",Pole_Calc!A780,
IF(H752="MP",Pole_Calc!A781,
IF(H752="AnMP",Pole_Calc!A782,
IF(H752="A",Pole_Calc!A783,
IF(H752="S/A",Pole_Calc!A784,
IF(H752="A/S",Pole_Calc!A785,"Poner a mano")))))))</f>
        <v/>
      </c>
      <c r="BE752" s="448" t="s">
        <v>1726</v>
      </c>
      <c r="BF752" s="634"/>
      <c r="BG752" s="634"/>
      <c r="BH752" s="634"/>
      <c r="BI752" s="634"/>
    </row>
    <row r="753" spans="1:61" ht="16.2" customHeight="1">
      <c r="A753" s="12"/>
      <c r="B753" s="446"/>
      <c r="C753" s="89"/>
      <c r="D753" s="13"/>
      <c r="E753" s="14"/>
      <c r="F753" s="14"/>
      <c r="G753" s="15"/>
      <c r="H753" s="8"/>
      <c r="I753" s="8"/>
      <c r="J753" s="89"/>
      <c r="K753" s="8"/>
      <c r="L753" s="8"/>
      <c r="M753" s="8" t="str">
        <f>IF(L753="","",
IF(AX753="PT",VLOOKUP(L753,Foundation_Calc!$V$4:$X$37,VLOOKUP(AX753,Foundation_Calc!$I$10:$J$13,2,FALSE),0),
IF(AX753="K",VLOOKUP(L753,Foundation_Calc!$V$41:$X$74,VLOOKUP(AX753,Foundation_Calc!$I$10:$J$13,2,FALSE),0),"")))</f>
        <v/>
      </c>
      <c r="N753" s="8"/>
      <c r="O753" s="8"/>
      <c r="P753" s="8"/>
      <c r="Q753" s="14"/>
      <c r="R753" s="15"/>
      <c r="S753" s="15"/>
      <c r="T753" s="14"/>
      <c r="U753" s="14"/>
      <c r="V753" s="14"/>
      <c r="W753" s="18"/>
      <c r="X753" s="18"/>
      <c r="Y753" s="18"/>
      <c r="Z753" s="18"/>
      <c r="AA753" s="18"/>
      <c r="AB753" s="18"/>
      <c r="AC753" s="8" t="str">
        <f t="shared" si="47"/>
        <v/>
      </c>
      <c r="AD753" s="8"/>
      <c r="AE753" s="8"/>
      <c r="AF753" s="14"/>
      <c r="AG753" s="13"/>
      <c r="AH753" s="14"/>
      <c r="AI753" s="14"/>
      <c r="AJ753" s="8"/>
      <c r="AK753" s="8"/>
      <c r="AL753" s="8"/>
      <c r="AM753" s="8"/>
      <c r="AN753" s="631"/>
      <c r="AO753" s="18"/>
      <c r="AP753" s="18"/>
      <c r="AQ753" s="18"/>
      <c r="AR753" s="18"/>
      <c r="AS753" s="18"/>
      <c r="AU753" s="448"/>
      <c r="AV753" s="448"/>
      <c r="AW753" s="8" t="str">
        <f>IF(C753&gt;0,VLOOKUP(C753,Foundation_Calc!$A$2:$C$986,3,1),
IF(J753&gt;0,VLOOKUP(J753,Foundation_Calc!$A$2:$C$986,3,1),""))</f>
        <v/>
      </c>
      <c r="AX753" s="8" t="str">
        <f>IF(C753&gt;0,VLOOKUP(C753,Foundation_Calc!$E$2:$G$986,3,1),
IF(J753&gt;0,VLOOKUP(J753,Foundation_Calc!$E$2:$G$986,3,1),""))</f>
        <v/>
      </c>
      <c r="AY753" s="631" t="str">
        <f>IF(L753="","",
IF(AX753="PT",VLOOKUP(L753,Foundation_Calc!$K$4:$R$37,VLOOKUP(AW753,Foundation_Calc!$I$2:$J$8,2,FALSE),0),
IF(AX753="K",VLOOKUP(L753,Foundation_Calc!$K$41:$R$74,VLOOKUP(AW753,Foundation_Calc!$I$2:$J$8,2,FALSE),0),"")))</f>
        <v/>
      </c>
      <c r="AZ753" s="631" t="str">
        <f>IF(K753="","",
IF(AX753="PT",VLOOKUP(K753,Foundation_Calc!$K$4:$R$37,VLOOKUP(AW753,Foundation_Calc!$I$2:$J$8,2,FALSE),0),
IF(AX753="K",VLOOKUP(K753,Foundation_Calc!$K$41:$R$74,VLOOKUP(AW753,Foundation_Calc!$I$2:$J$8,2,FALSE),0),"")))</f>
        <v/>
      </c>
      <c r="BA753" s="632" t="str">
        <f t="shared" si="48"/>
        <v/>
      </c>
      <c r="BB753" s="632" t="str">
        <f t="shared" si="49"/>
        <v/>
      </c>
      <c r="BC753" s="632" t="str">
        <f t="shared" si="50"/>
        <v/>
      </c>
      <c r="BD753" s="633" t="str">
        <f>IF(AND(L753="",H753=""),"",
IF(H753="",Pole_Calc!A781,
IF(H753="MP",Pole_Calc!A782,
IF(H753="AnMP",Pole_Calc!A783,
IF(H753="A",Pole_Calc!A784,
IF(H753="S/A",Pole_Calc!A785,
IF(H753="A/S",Pole_Calc!A786,"Poner a mano")))))))</f>
        <v/>
      </c>
      <c r="BE753" s="448" t="s">
        <v>1726</v>
      </c>
      <c r="BF753" s="635"/>
      <c r="BG753" s="635"/>
      <c r="BH753" s="634"/>
      <c r="BI753" s="635"/>
    </row>
    <row r="754" spans="1:61" ht="16.2" customHeight="1">
      <c r="A754" s="12"/>
      <c r="B754" s="446"/>
      <c r="C754" s="89"/>
      <c r="D754" s="13"/>
      <c r="E754" s="14"/>
      <c r="F754" s="14"/>
      <c r="G754" s="15"/>
      <c r="H754" s="8"/>
      <c r="I754" s="8"/>
      <c r="J754" s="89"/>
      <c r="K754" s="8"/>
      <c r="L754" s="8"/>
      <c r="M754" s="8" t="str">
        <f>IF(L754="","",
IF(AX754="PT",VLOOKUP(L754,Foundation_Calc!$V$4:$X$37,VLOOKUP(AX754,Foundation_Calc!$I$10:$J$13,2,FALSE),0),
IF(AX754="K",VLOOKUP(L754,Foundation_Calc!$V$41:$X$74,VLOOKUP(AX754,Foundation_Calc!$I$10:$J$13,2,FALSE),0),"")))</f>
        <v/>
      </c>
      <c r="N754" s="8"/>
      <c r="O754" s="8"/>
      <c r="P754" s="8"/>
      <c r="Q754" s="14"/>
      <c r="R754" s="15"/>
      <c r="S754" s="15"/>
      <c r="T754" s="14"/>
      <c r="U754" s="14"/>
      <c r="V754" s="14"/>
      <c r="W754" s="18"/>
      <c r="X754" s="18"/>
      <c r="Y754" s="18"/>
      <c r="Z754" s="18"/>
      <c r="AA754" s="18"/>
      <c r="AB754" s="18"/>
      <c r="AC754" s="8" t="str">
        <f t="shared" si="47"/>
        <v/>
      </c>
      <c r="AD754" s="8"/>
      <c r="AE754" s="8"/>
      <c r="AF754" s="14"/>
      <c r="AG754" s="13"/>
      <c r="AH754" s="14"/>
      <c r="AI754" s="14"/>
      <c r="AJ754" s="8"/>
      <c r="AK754" s="8"/>
      <c r="AL754" s="8"/>
      <c r="AM754" s="8"/>
      <c r="AN754" s="631"/>
      <c r="AO754" s="18"/>
      <c r="AP754" s="18"/>
      <c r="AQ754" s="18"/>
      <c r="AR754" s="18"/>
      <c r="AS754" s="18"/>
      <c r="AU754" s="448"/>
      <c r="AV754" s="448"/>
      <c r="AW754" s="8" t="str">
        <f>IF(C754&gt;0,VLOOKUP(C754,Foundation_Calc!$A$2:$C$986,3,1),
IF(J754&gt;0,VLOOKUP(J754,Foundation_Calc!$A$2:$C$986,3,1),""))</f>
        <v/>
      </c>
      <c r="AX754" s="8" t="str">
        <f>IF(C754&gt;0,VLOOKUP(C754,Foundation_Calc!$E$2:$G$986,3,1),
IF(J754&gt;0,VLOOKUP(J754,Foundation_Calc!$E$2:$G$986,3,1),""))</f>
        <v/>
      </c>
      <c r="AY754" s="631" t="str">
        <f>IF(L754="","",
IF(AX754="PT",VLOOKUP(L754,Foundation_Calc!$K$4:$R$37,VLOOKUP(AW754,Foundation_Calc!$I$2:$J$8,2,FALSE),0),
IF(AX754="K",VLOOKUP(L754,Foundation_Calc!$K$41:$R$74,VLOOKUP(AW754,Foundation_Calc!$I$2:$J$8,2,FALSE),0),"")))</f>
        <v/>
      </c>
      <c r="AZ754" s="631" t="str">
        <f>IF(K754="","",
IF(AX754="PT",VLOOKUP(K754,Foundation_Calc!$K$4:$R$37,VLOOKUP(AW754,Foundation_Calc!$I$2:$J$8,2,FALSE),0),
IF(AX754="K",VLOOKUP(K754,Foundation_Calc!$K$41:$R$74,VLOOKUP(AW754,Foundation_Calc!$I$2:$J$8,2,FALSE),0),"")))</f>
        <v/>
      </c>
      <c r="BA754" s="632" t="str">
        <f t="shared" si="48"/>
        <v/>
      </c>
      <c r="BB754" s="632" t="str">
        <f t="shared" si="49"/>
        <v/>
      </c>
      <c r="BC754" s="632" t="str">
        <f t="shared" si="50"/>
        <v/>
      </c>
      <c r="BD754" s="633" t="str">
        <f>IF(AND(L754="",H754=""),"",
IF(H754="",Pole_Calc!A782,
IF(H754="MP",Pole_Calc!A783,
IF(H754="AnMP",Pole_Calc!A784,
IF(H754="A",Pole_Calc!A785,
IF(H754="S/A",Pole_Calc!A786,
IF(H754="A/S",Pole_Calc!A787,"Poner a mano")))))))</f>
        <v/>
      </c>
      <c r="BE754" s="448" t="s">
        <v>1726</v>
      </c>
      <c r="BF754" s="634"/>
      <c r="BG754" s="634"/>
      <c r="BH754" s="634"/>
      <c r="BI754" s="634"/>
    </row>
    <row r="755" spans="1:61" ht="16.2" customHeight="1">
      <c r="A755" s="12"/>
      <c r="B755" s="446"/>
      <c r="C755" s="89"/>
      <c r="D755" s="13"/>
      <c r="E755" s="14"/>
      <c r="F755" s="14"/>
      <c r="G755" s="15"/>
      <c r="H755" s="8"/>
      <c r="I755" s="8"/>
      <c r="J755" s="89"/>
      <c r="K755" s="8"/>
      <c r="L755" s="8"/>
      <c r="M755" s="8" t="str">
        <f>IF(L755="","",
IF(AX755="PT",VLOOKUP(L755,Foundation_Calc!$V$4:$X$37,VLOOKUP(AX755,Foundation_Calc!$I$10:$J$13,2,FALSE),0),
IF(AX755="K",VLOOKUP(L755,Foundation_Calc!$V$41:$X$74,VLOOKUP(AX755,Foundation_Calc!$I$10:$J$13,2,FALSE),0),"")))</f>
        <v/>
      </c>
      <c r="N755" s="8"/>
      <c r="O755" s="8"/>
      <c r="P755" s="8"/>
      <c r="Q755" s="14"/>
      <c r="R755" s="15"/>
      <c r="S755" s="15"/>
      <c r="T755" s="14"/>
      <c r="U755" s="14"/>
      <c r="V755" s="14"/>
      <c r="W755" s="18"/>
      <c r="X755" s="18"/>
      <c r="Y755" s="18"/>
      <c r="Z755" s="18"/>
      <c r="AA755" s="18"/>
      <c r="AB755" s="18"/>
      <c r="AC755" s="8" t="str">
        <f t="shared" si="47"/>
        <v/>
      </c>
      <c r="AD755" s="8"/>
      <c r="AE755" s="8"/>
      <c r="AF755" s="14"/>
      <c r="AG755" s="13"/>
      <c r="AH755" s="14"/>
      <c r="AI755" s="14"/>
      <c r="AJ755" s="8"/>
      <c r="AK755" s="8"/>
      <c r="AL755" s="8"/>
      <c r="AM755" s="8"/>
      <c r="AN755" s="631"/>
      <c r="AO755" s="18"/>
      <c r="AP755" s="18"/>
      <c r="AQ755" s="18"/>
      <c r="AR755" s="18"/>
      <c r="AS755" s="18"/>
      <c r="AU755" s="448"/>
      <c r="AV755" s="448"/>
      <c r="AW755" s="8" t="str">
        <f>IF(C755&gt;0,VLOOKUP(C755,Foundation_Calc!$A$2:$C$986,3,1),
IF(J755&gt;0,VLOOKUP(J755,Foundation_Calc!$A$2:$C$986,3,1),""))</f>
        <v/>
      </c>
      <c r="AX755" s="8" t="str">
        <f>IF(C755&gt;0,VLOOKUP(C755,Foundation_Calc!$E$2:$G$986,3,1),
IF(J755&gt;0,VLOOKUP(J755,Foundation_Calc!$E$2:$G$986,3,1),""))</f>
        <v/>
      </c>
      <c r="AY755" s="631" t="str">
        <f>IF(L755="","",
IF(AX755="PT",VLOOKUP(L755,Foundation_Calc!$K$4:$R$37,VLOOKUP(AW755,Foundation_Calc!$I$2:$J$8,2,FALSE),0),
IF(AX755="K",VLOOKUP(L755,Foundation_Calc!$K$41:$R$74,VLOOKUP(AW755,Foundation_Calc!$I$2:$J$8,2,FALSE),0),"")))</f>
        <v/>
      </c>
      <c r="AZ755" s="631" t="str">
        <f>IF(K755="","",
IF(AX755="PT",VLOOKUP(K755,Foundation_Calc!$K$4:$R$37,VLOOKUP(AW755,Foundation_Calc!$I$2:$J$8,2,FALSE),0),
IF(AX755="K",VLOOKUP(K755,Foundation_Calc!$K$41:$R$74,VLOOKUP(AW755,Foundation_Calc!$I$2:$J$8,2,FALSE),0),"")))</f>
        <v/>
      </c>
      <c r="BA755" s="632" t="str">
        <f t="shared" si="48"/>
        <v/>
      </c>
      <c r="BB755" s="632" t="str">
        <f t="shared" si="49"/>
        <v/>
      </c>
      <c r="BC755" s="632" t="str">
        <f t="shared" si="50"/>
        <v/>
      </c>
      <c r="BD755" s="633" t="str">
        <f>IF(AND(L755="",H755=""),"",
IF(H755="",Pole_Calc!A783,
IF(H755="MP",Pole_Calc!A784,
IF(H755="AnMP",Pole_Calc!A785,
IF(H755="A",Pole_Calc!A786,
IF(H755="S/A",Pole_Calc!A787,
IF(H755="A/S",Pole_Calc!A788,"Poner a mano")))))))</f>
        <v/>
      </c>
      <c r="BE755" s="448" t="s">
        <v>1726</v>
      </c>
      <c r="BF755" s="635"/>
      <c r="BG755" s="635"/>
      <c r="BH755" s="634"/>
      <c r="BI755" s="635"/>
    </row>
    <row r="756" spans="1:61" ht="16.2" customHeight="1">
      <c r="A756" s="12"/>
      <c r="B756" s="446"/>
      <c r="C756" s="89"/>
      <c r="D756" s="13"/>
      <c r="E756" s="14"/>
      <c r="F756" s="14"/>
      <c r="G756" s="15"/>
      <c r="H756" s="8"/>
      <c r="I756" s="8"/>
      <c r="J756" s="89"/>
      <c r="K756" s="8"/>
      <c r="L756" s="8"/>
      <c r="M756" s="8" t="str">
        <f>IF(L756="","",
IF(AX756="PT",VLOOKUP(L756,Foundation_Calc!$V$4:$X$37,VLOOKUP(AX756,Foundation_Calc!$I$10:$J$13,2,FALSE),0),
IF(AX756="K",VLOOKUP(L756,Foundation_Calc!$V$41:$X$74,VLOOKUP(AX756,Foundation_Calc!$I$10:$J$13,2,FALSE),0),"")))</f>
        <v/>
      </c>
      <c r="N756" s="8"/>
      <c r="O756" s="8"/>
      <c r="P756" s="8"/>
      <c r="Q756" s="14"/>
      <c r="R756" s="15"/>
      <c r="S756" s="15"/>
      <c r="T756" s="14"/>
      <c r="U756" s="14"/>
      <c r="V756" s="14"/>
      <c r="W756" s="18"/>
      <c r="X756" s="18"/>
      <c r="Y756" s="18"/>
      <c r="Z756" s="18"/>
      <c r="AA756" s="18"/>
      <c r="AB756" s="18"/>
      <c r="AC756" s="8" t="str">
        <f t="shared" si="47"/>
        <v/>
      </c>
      <c r="AD756" s="8"/>
      <c r="AE756" s="8"/>
      <c r="AF756" s="14"/>
      <c r="AG756" s="13"/>
      <c r="AH756" s="14"/>
      <c r="AI756" s="14"/>
      <c r="AJ756" s="8"/>
      <c r="AK756" s="8"/>
      <c r="AL756" s="8"/>
      <c r="AM756" s="8"/>
      <c r="AN756" s="631"/>
      <c r="AO756" s="18"/>
      <c r="AP756" s="18"/>
      <c r="AQ756" s="18"/>
      <c r="AR756" s="18"/>
      <c r="AS756" s="18"/>
      <c r="AU756" s="448"/>
      <c r="AV756" s="448"/>
      <c r="AW756" s="8" t="str">
        <f>IF(C756&gt;0,VLOOKUP(C756,Foundation_Calc!$A$2:$C$986,3,1),
IF(J756&gt;0,VLOOKUP(J756,Foundation_Calc!$A$2:$C$986,3,1),""))</f>
        <v/>
      </c>
      <c r="AX756" s="8" t="str">
        <f>IF(C756&gt;0,VLOOKUP(C756,Foundation_Calc!$E$2:$G$986,3,1),
IF(J756&gt;0,VLOOKUP(J756,Foundation_Calc!$E$2:$G$986,3,1),""))</f>
        <v/>
      </c>
      <c r="AY756" s="631" t="str">
        <f>IF(L756="","",
IF(AX756="PT",VLOOKUP(L756,Foundation_Calc!$K$4:$R$37,VLOOKUP(AW756,Foundation_Calc!$I$2:$J$8,2,FALSE),0),
IF(AX756="K",VLOOKUP(L756,Foundation_Calc!$K$41:$R$74,VLOOKUP(AW756,Foundation_Calc!$I$2:$J$8,2,FALSE),0),"")))</f>
        <v/>
      </c>
      <c r="AZ756" s="631" t="str">
        <f>IF(K756="","",
IF(AX756="PT",VLOOKUP(K756,Foundation_Calc!$K$4:$R$37,VLOOKUP(AW756,Foundation_Calc!$I$2:$J$8,2,FALSE),0),
IF(AX756="K",VLOOKUP(K756,Foundation_Calc!$K$41:$R$74,VLOOKUP(AW756,Foundation_Calc!$I$2:$J$8,2,FALSE),0),"")))</f>
        <v/>
      </c>
      <c r="BA756" s="632" t="str">
        <f t="shared" si="48"/>
        <v/>
      </c>
      <c r="BB756" s="632" t="str">
        <f t="shared" si="49"/>
        <v/>
      </c>
      <c r="BC756" s="632" t="str">
        <f t="shared" si="50"/>
        <v/>
      </c>
      <c r="BD756" s="633" t="str">
        <f>IF(AND(L756="",H756=""),"",
IF(H756="",Pole_Calc!A784,
IF(H756="MP",Pole_Calc!A785,
IF(H756="AnMP",Pole_Calc!A786,
IF(H756="A",Pole_Calc!A787,
IF(H756="S/A",Pole_Calc!A788,
IF(H756="A/S",Pole_Calc!A789,"Poner a mano")))))))</f>
        <v/>
      </c>
      <c r="BE756" s="448" t="s">
        <v>1726</v>
      </c>
      <c r="BF756" s="634"/>
      <c r="BG756" s="634"/>
      <c r="BH756" s="634"/>
      <c r="BI756" s="634"/>
    </row>
    <row r="757" spans="1:61" ht="16.2" customHeight="1">
      <c r="A757" s="12"/>
      <c r="B757" s="446"/>
      <c r="C757" s="89"/>
      <c r="D757" s="13"/>
      <c r="E757" s="14"/>
      <c r="F757" s="14"/>
      <c r="G757" s="15"/>
      <c r="H757" s="8"/>
      <c r="I757" s="8"/>
      <c r="J757" s="89"/>
      <c r="K757" s="8"/>
      <c r="L757" s="8"/>
      <c r="M757" s="8" t="str">
        <f>IF(L757="","",
IF(AX757="PT",VLOOKUP(L757,Foundation_Calc!$V$4:$X$37,VLOOKUP(AX757,Foundation_Calc!$I$10:$J$13,2,FALSE),0),
IF(AX757="K",VLOOKUP(L757,Foundation_Calc!$V$41:$X$74,VLOOKUP(AX757,Foundation_Calc!$I$10:$J$13,2,FALSE),0),"")))</f>
        <v/>
      </c>
      <c r="N757" s="8"/>
      <c r="O757" s="8"/>
      <c r="P757" s="8"/>
      <c r="Q757" s="14"/>
      <c r="R757" s="15"/>
      <c r="S757" s="15"/>
      <c r="T757" s="14"/>
      <c r="U757" s="14"/>
      <c r="V757" s="14"/>
      <c r="W757" s="18"/>
      <c r="X757" s="18"/>
      <c r="Y757" s="18"/>
      <c r="Z757" s="18"/>
      <c r="AA757" s="18"/>
      <c r="AB757" s="18"/>
      <c r="AC757" s="8" t="str">
        <f t="shared" si="47"/>
        <v/>
      </c>
      <c r="AD757" s="8"/>
      <c r="AE757" s="8"/>
      <c r="AF757" s="14"/>
      <c r="AG757" s="13"/>
      <c r="AH757" s="14"/>
      <c r="AI757" s="14"/>
      <c r="AJ757" s="8"/>
      <c r="AK757" s="8"/>
      <c r="AL757" s="8"/>
      <c r="AM757" s="8"/>
      <c r="AN757" s="631"/>
      <c r="AO757" s="18"/>
      <c r="AP757" s="18"/>
      <c r="AQ757" s="18"/>
      <c r="AR757" s="18"/>
      <c r="AS757" s="18"/>
      <c r="AU757" s="448"/>
      <c r="AV757" s="448"/>
      <c r="AW757" s="8" t="str">
        <f>IF(C757&gt;0,VLOOKUP(C757,Foundation_Calc!$A$2:$C$986,3,1),
IF(J757&gt;0,VLOOKUP(J757,Foundation_Calc!$A$2:$C$986,3,1),""))</f>
        <v/>
      </c>
      <c r="AX757" s="8" t="str">
        <f>IF(C757&gt;0,VLOOKUP(C757,Foundation_Calc!$E$2:$G$986,3,1),
IF(J757&gt;0,VLOOKUP(J757,Foundation_Calc!$E$2:$G$986,3,1),""))</f>
        <v/>
      </c>
      <c r="AY757" s="631" t="str">
        <f>IF(L757="","",
IF(AX757="PT",VLOOKUP(L757,Foundation_Calc!$K$4:$R$37,VLOOKUP(AW757,Foundation_Calc!$I$2:$J$8,2,FALSE),0),
IF(AX757="K",VLOOKUP(L757,Foundation_Calc!$K$41:$R$74,VLOOKUP(AW757,Foundation_Calc!$I$2:$J$8,2,FALSE),0),"")))</f>
        <v/>
      </c>
      <c r="AZ757" s="631" t="str">
        <f>IF(K757="","",
IF(AX757="PT",VLOOKUP(K757,Foundation_Calc!$K$4:$R$37,VLOOKUP(AW757,Foundation_Calc!$I$2:$J$8,2,FALSE),0),
IF(AX757="K",VLOOKUP(K757,Foundation_Calc!$K$41:$R$74,VLOOKUP(AW757,Foundation_Calc!$I$2:$J$8,2,FALSE),0),"")))</f>
        <v/>
      </c>
      <c r="BA757" s="632" t="str">
        <f t="shared" si="48"/>
        <v/>
      </c>
      <c r="BB757" s="632" t="str">
        <f t="shared" si="49"/>
        <v/>
      </c>
      <c r="BC757" s="632" t="str">
        <f t="shared" si="50"/>
        <v/>
      </c>
      <c r="BD757" s="633" t="str">
        <f>IF(AND(L757="",H757=""),"",
IF(H757="",Pole_Calc!A785,
IF(H757="MP",Pole_Calc!A786,
IF(H757="AnMP",Pole_Calc!A787,
IF(H757="A",Pole_Calc!A788,
IF(H757="S/A",Pole_Calc!A789,
IF(H757="A/S",Pole_Calc!A790,"Poner a mano")))))))</f>
        <v/>
      </c>
      <c r="BE757" s="448" t="s">
        <v>1726</v>
      </c>
      <c r="BF757" s="635"/>
      <c r="BG757" s="635"/>
      <c r="BH757" s="634"/>
      <c r="BI757" s="635"/>
    </row>
    <row r="758" spans="1:61" ht="16.2" customHeight="1">
      <c r="A758" s="12"/>
      <c r="B758" s="446"/>
      <c r="C758" s="89"/>
      <c r="D758" s="13"/>
      <c r="E758" s="14"/>
      <c r="F758" s="14"/>
      <c r="G758" s="15"/>
      <c r="H758" s="8"/>
      <c r="I758" s="8"/>
      <c r="J758" s="89"/>
      <c r="K758" s="8"/>
      <c r="L758" s="8"/>
      <c r="M758" s="8" t="str">
        <f>IF(L758="","",
IF(AX758="PT",VLOOKUP(L758,Foundation_Calc!$V$4:$X$37,VLOOKUP(AX758,Foundation_Calc!$I$10:$J$13,2,FALSE),0),
IF(AX758="K",VLOOKUP(L758,Foundation_Calc!$V$41:$X$74,VLOOKUP(AX758,Foundation_Calc!$I$10:$J$13,2,FALSE),0),"")))</f>
        <v/>
      </c>
      <c r="N758" s="8"/>
      <c r="O758" s="8"/>
      <c r="P758" s="8"/>
      <c r="Q758" s="14"/>
      <c r="R758" s="15"/>
      <c r="S758" s="15"/>
      <c r="T758" s="14"/>
      <c r="U758" s="14"/>
      <c r="V758" s="14"/>
      <c r="W758" s="18"/>
      <c r="X758" s="18"/>
      <c r="Y758" s="18"/>
      <c r="Z758" s="18"/>
      <c r="AA758" s="18"/>
      <c r="AB758" s="18"/>
      <c r="AC758" s="8" t="str">
        <f t="shared" si="47"/>
        <v/>
      </c>
      <c r="AD758" s="8"/>
      <c r="AE758" s="8"/>
      <c r="AF758" s="14"/>
      <c r="AG758" s="13"/>
      <c r="AH758" s="14"/>
      <c r="AI758" s="14"/>
      <c r="AJ758" s="8"/>
      <c r="AK758" s="8"/>
      <c r="AL758" s="8"/>
      <c r="AM758" s="8"/>
      <c r="AN758" s="631"/>
      <c r="AO758" s="18"/>
      <c r="AP758" s="18"/>
      <c r="AQ758" s="18"/>
      <c r="AR758" s="18"/>
      <c r="AS758" s="18"/>
      <c r="AU758" s="448"/>
      <c r="AV758" s="448"/>
      <c r="AW758" s="8" t="str">
        <f>IF(C758&gt;0,VLOOKUP(C758,Foundation_Calc!$A$2:$C$986,3,1),
IF(J758&gt;0,VLOOKUP(J758,Foundation_Calc!$A$2:$C$986,3,1),""))</f>
        <v/>
      </c>
      <c r="AX758" s="8" t="str">
        <f>IF(C758&gt;0,VLOOKUP(C758,Foundation_Calc!$E$2:$G$986,3,1),
IF(J758&gt;0,VLOOKUP(J758,Foundation_Calc!$E$2:$G$986,3,1),""))</f>
        <v/>
      </c>
      <c r="AY758" s="631" t="str">
        <f>IF(L758="","",
IF(AX758="PT",VLOOKUP(L758,Foundation_Calc!$K$4:$R$37,VLOOKUP(AW758,Foundation_Calc!$I$2:$J$8,2,FALSE),0),
IF(AX758="K",VLOOKUP(L758,Foundation_Calc!$K$41:$R$74,VLOOKUP(AW758,Foundation_Calc!$I$2:$J$8,2,FALSE),0),"")))</f>
        <v/>
      </c>
      <c r="AZ758" s="631" t="str">
        <f>IF(K758="","",
IF(AX758="PT",VLOOKUP(K758,Foundation_Calc!$K$4:$R$37,VLOOKUP(AW758,Foundation_Calc!$I$2:$J$8,2,FALSE),0),
IF(AX758="K",VLOOKUP(K758,Foundation_Calc!$K$41:$R$74,VLOOKUP(AW758,Foundation_Calc!$I$2:$J$8,2,FALSE),0),"")))</f>
        <v/>
      </c>
      <c r="BA758" s="632" t="str">
        <f t="shared" si="48"/>
        <v/>
      </c>
      <c r="BB758" s="632" t="str">
        <f t="shared" si="49"/>
        <v/>
      </c>
      <c r="BC758" s="632" t="str">
        <f t="shared" si="50"/>
        <v/>
      </c>
      <c r="BD758" s="633" t="str">
        <f>IF(AND(L758="",H758=""),"",
IF(H758="",Pole_Calc!A786,
IF(H758="MP",Pole_Calc!A787,
IF(H758="AnMP",Pole_Calc!A788,
IF(H758="A",Pole_Calc!A789,
IF(H758="S/A",Pole_Calc!A790,
IF(H758="A/S",Pole_Calc!A791,"Poner a mano")))))))</f>
        <v/>
      </c>
      <c r="BE758" s="448" t="s">
        <v>1726</v>
      </c>
      <c r="BF758" s="634"/>
      <c r="BG758" s="634"/>
      <c r="BH758" s="634"/>
      <c r="BI758" s="634"/>
    </row>
    <row r="759" spans="1:61" ht="16.2" customHeight="1">
      <c r="A759" s="12"/>
      <c r="B759" s="446"/>
      <c r="C759" s="89"/>
      <c r="D759" s="13"/>
      <c r="E759" s="14"/>
      <c r="F759" s="14"/>
      <c r="G759" s="15"/>
      <c r="H759" s="8"/>
      <c r="I759" s="8"/>
      <c r="J759" s="89"/>
      <c r="K759" s="8"/>
      <c r="L759" s="8"/>
      <c r="M759" s="8" t="str">
        <f>IF(L759="","",
IF(AX759="PT",VLOOKUP(L759,Foundation_Calc!$V$4:$X$37,VLOOKUP(AX759,Foundation_Calc!$I$10:$J$13,2,FALSE),0),
IF(AX759="K",VLOOKUP(L759,Foundation_Calc!$V$41:$X$74,VLOOKUP(AX759,Foundation_Calc!$I$10:$J$13,2,FALSE),0),"")))</f>
        <v/>
      </c>
      <c r="N759" s="8"/>
      <c r="O759" s="8"/>
      <c r="P759" s="8"/>
      <c r="Q759" s="14"/>
      <c r="R759" s="15"/>
      <c r="S759" s="15"/>
      <c r="T759" s="14"/>
      <c r="U759" s="14"/>
      <c r="V759" s="14"/>
      <c r="W759" s="18"/>
      <c r="X759" s="18"/>
      <c r="Y759" s="18"/>
      <c r="Z759" s="18"/>
      <c r="AA759" s="18"/>
      <c r="AB759" s="18"/>
      <c r="AC759" s="8" t="str">
        <f t="shared" si="47"/>
        <v/>
      </c>
      <c r="AD759" s="8"/>
      <c r="AE759" s="8"/>
      <c r="AF759" s="14"/>
      <c r="AG759" s="13"/>
      <c r="AH759" s="14"/>
      <c r="AI759" s="14"/>
      <c r="AJ759" s="8"/>
      <c r="AK759" s="8"/>
      <c r="AL759" s="8"/>
      <c r="AM759" s="8"/>
      <c r="AN759" s="631"/>
      <c r="AO759" s="18"/>
      <c r="AP759" s="18"/>
      <c r="AQ759" s="18"/>
      <c r="AR759" s="18"/>
      <c r="AS759" s="18"/>
      <c r="AU759" s="448"/>
      <c r="AV759" s="448"/>
      <c r="AW759" s="8" t="str">
        <f>IF(C759&gt;0,VLOOKUP(C759,Foundation_Calc!$A$2:$C$986,3,1),
IF(J759&gt;0,VLOOKUP(J759,Foundation_Calc!$A$2:$C$986,3,1),""))</f>
        <v/>
      </c>
      <c r="AX759" s="8" t="str">
        <f>IF(C759&gt;0,VLOOKUP(C759,Foundation_Calc!$E$2:$G$986,3,1),
IF(J759&gt;0,VLOOKUP(J759,Foundation_Calc!$E$2:$G$986,3,1),""))</f>
        <v/>
      </c>
      <c r="AY759" s="631" t="str">
        <f>IF(L759="","",
IF(AX759="PT",VLOOKUP(L759,Foundation_Calc!$K$4:$R$37,VLOOKUP(AW759,Foundation_Calc!$I$2:$J$8,2,FALSE),0),
IF(AX759="K",VLOOKUP(L759,Foundation_Calc!$K$41:$R$74,VLOOKUP(AW759,Foundation_Calc!$I$2:$J$8,2,FALSE),0),"")))</f>
        <v/>
      </c>
      <c r="AZ759" s="631" t="str">
        <f>IF(K759="","",
IF(AX759="PT",VLOOKUP(K759,Foundation_Calc!$K$4:$R$37,VLOOKUP(AW759,Foundation_Calc!$I$2:$J$8,2,FALSE),0),
IF(AX759="K",VLOOKUP(K759,Foundation_Calc!$K$41:$R$74,VLOOKUP(AW759,Foundation_Calc!$I$2:$J$8,2,FALSE),0),"")))</f>
        <v/>
      </c>
      <c r="BA759" s="632" t="str">
        <f t="shared" si="48"/>
        <v/>
      </c>
      <c r="BB759" s="632" t="str">
        <f t="shared" si="49"/>
        <v/>
      </c>
      <c r="BC759" s="632" t="str">
        <f t="shared" si="50"/>
        <v/>
      </c>
      <c r="BD759" s="633" t="str">
        <f>IF(AND(L759="",H759=""),"",
IF(H759="",Pole_Calc!A787,
IF(H759="MP",Pole_Calc!A788,
IF(H759="AnMP",Pole_Calc!A789,
IF(H759="A",Pole_Calc!A790,
IF(H759="S/A",Pole_Calc!A791,
IF(H759="A/S",Pole_Calc!A792,"Poner a mano")))))))</f>
        <v/>
      </c>
      <c r="BE759" s="448" t="s">
        <v>1726</v>
      </c>
      <c r="BF759" s="635"/>
      <c r="BG759" s="635"/>
      <c r="BH759" s="634"/>
      <c r="BI759" s="635"/>
    </row>
    <row r="760" spans="1:61" ht="16.2" customHeight="1">
      <c r="A760" s="12"/>
      <c r="B760" s="446"/>
      <c r="C760" s="89"/>
      <c r="D760" s="13"/>
      <c r="E760" s="14"/>
      <c r="F760" s="14"/>
      <c r="G760" s="15"/>
      <c r="H760" s="8"/>
      <c r="I760" s="8"/>
      <c r="J760" s="89"/>
      <c r="K760" s="8"/>
      <c r="L760" s="8"/>
      <c r="M760" s="8" t="str">
        <f>IF(L760="","",
IF(AX760="PT",VLOOKUP(L760,Foundation_Calc!$V$4:$X$37,VLOOKUP(AX760,Foundation_Calc!$I$10:$J$13,2,FALSE),0),
IF(AX760="K",VLOOKUP(L760,Foundation_Calc!$V$41:$X$74,VLOOKUP(AX760,Foundation_Calc!$I$10:$J$13,2,FALSE),0),"")))</f>
        <v/>
      </c>
      <c r="N760" s="8"/>
      <c r="O760" s="8"/>
      <c r="P760" s="8"/>
      <c r="Q760" s="14"/>
      <c r="R760" s="15"/>
      <c r="S760" s="15"/>
      <c r="T760" s="14"/>
      <c r="U760" s="14"/>
      <c r="V760" s="14"/>
      <c r="W760" s="18"/>
      <c r="X760" s="18"/>
      <c r="Y760" s="18"/>
      <c r="Z760" s="18"/>
      <c r="AA760" s="18"/>
      <c r="AB760" s="18"/>
      <c r="AC760" s="8" t="str">
        <f t="shared" si="47"/>
        <v/>
      </c>
      <c r="AD760" s="8"/>
      <c r="AE760" s="8"/>
      <c r="AF760" s="14"/>
      <c r="AG760" s="13"/>
      <c r="AH760" s="14"/>
      <c r="AI760" s="14"/>
      <c r="AJ760" s="8"/>
      <c r="AK760" s="8"/>
      <c r="AL760" s="8"/>
      <c r="AM760" s="8"/>
      <c r="AN760" s="631"/>
      <c r="AO760" s="18"/>
      <c r="AP760" s="18"/>
      <c r="AQ760" s="18"/>
      <c r="AR760" s="18"/>
      <c r="AS760" s="18"/>
      <c r="AU760" s="448"/>
      <c r="AV760" s="448"/>
      <c r="AW760" s="8" t="str">
        <f>IF(C760&gt;0,VLOOKUP(C760,Foundation_Calc!$A$2:$C$986,3,1),
IF(J760&gt;0,VLOOKUP(J760,Foundation_Calc!$A$2:$C$986,3,1),""))</f>
        <v/>
      </c>
      <c r="AX760" s="8" t="str">
        <f>IF(C760&gt;0,VLOOKUP(C760,Foundation_Calc!$E$2:$G$986,3,1),
IF(J760&gt;0,VLOOKUP(J760,Foundation_Calc!$E$2:$G$986,3,1),""))</f>
        <v/>
      </c>
      <c r="AY760" s="631" t="str">
        <f>IF(L760="","",
IF(AX760="PT",VLOOKUP(L760,Foundation_Calc!$K$4:$R$37,VLOOKUP(AW760,Foundation_Calc!$I$2:$J$8,2,FALSE),0),
IF(AX760="K",VLOOKUP(L760,Foundation_Calc!$K$41:$R$74,VLOOKUP(AW760,Foundation_Calc!$I$2:$J$8,2,FALSE),0),"")))</f>
        <v/>
      </c>
      <c r="AZ760" s="631" t="str">
        <f>IF(K760="","",
IF(AX760="PT",VLOOKUP(K760,Foundation_Calc!$K$4:$R$37,VLOOKUP(AW760,Foundation_Calc!$I$2:$J$8,2,FALSE),0),
IF(AX760="K",VLOOKUP(K760,Foundation_Calc!$K$41:$R$74,VLOOKUP(AW760,Foundation_Calc!$I$2:$J$8,2,FALSE),0),"")))</f>
        <v/>
      </c>
      <c r="BA760" s="632" t="str">
        <f t="shared" si="48"/>
        <v/>
      </c>
      <c r="BB760" s="632" t="str">
        <f t="shared" si="49"/>
        <v/>
      </c>
      <c r="BC760" s="632" t="str">
        <f t="shared" si="50"/>
        <v/>
      </c>
      <c r="BD760" s="633" t="str">
        <f>IF(AND(L760="",H760=""),"",
IF(H760="",Pole_Calc!A788,
IF(H760="MP",Pole_Calc!A789,
IF(H760="AnMP",Pole_Calc!A790,
IF(H760="A",Pole_Calc!A791,
IF(H760="S/A",Pole_Calc!A792,
IF(H760="A/S",Pole_Calc!A793,"Poner a mano")))))))</f>
        <v/>
      </c>
      <c r="BE760" s="448" t="s">
        <v>1726</v>
      </c>
      <c r="BF760" s="634"/>
      <c r="BG760" s="634"/>
      <c r="BH760" s="634"/>
      <c r="BI760" s="634"/>
    </row>
    <row r="761" spans="1:61" ht="16.2" customHeight="1">
      <c r="A761" s="12"/>
      <c r="B761" s="446"/>
      <c r="C761" s="89"/>
      <c r="D761" s="13"/>
      <c r="E761" s="14"/>
      <c r="F761" s="14"/>
      <c r="G761" s="15"/>
      <c r="H761" s="8"/>
      <c r="I761" s="8"/>
      <c r="J761" s="89"/>
      <c r="K761" s="8"/>
      <c r="L761" s="8"/>
      <c r="M761" s="8" t="str">
        <f>IF(L761="","",
IF(AX761="PT",VLOOKUP(L761,Foundation_Calc!$V$4:$X$37,VLOOKUP(AX761,Foundation_Calc!$I$10:$J$13,2,FALSE),0),
IF(AX761="K",VLOOKUP(L761,Foundation_Calc!$V$41:$X$74,VLOOKUP(AX761,Foundation_Calc!$I$10:$J$13,2,FALSE),0),"")))</f>
        <v/>
      </c>
      <c r="N761" s="8"/>
      <c r="O761" s="8"/>
      <c r="P761" s="8"/>
      <c r="Q761" s="14"/>
      <c r="R761" s="15"/>
      <c r="S761" s="15"/>
      <c r="T761" s="14"/>
      <c r="U761" s="14"/>
      <c r="V761" s="14"/>
      <c r="W761" s="18"/>
      <c r="X761" s="18"/>
      <c r="Y761" s="18"/>
      <c r="Z761" s="18"/>
      <c r="AA761" s="18"/>
      <c r="AB761" s="18"/>
      <c r="AC761" s="8" t="str">
        <f t="shared" si="47"/>
        <v/>
      </c>
      <c r="AD761" s="8"/>
      <c r="AE761" s="8"/>
      <c r="AF761" s="14"/>
      <c r="AG761" s="13"/>
      <c r="AH761" s="14"/>
      <c r="AI761" s="14"/>
      <c r="AJ761" s="8"/>
      <c r="AK761" s="8"/>
      <c r="AL761" s="8"/>
      <c r="AM761" s="8"/>
      <c r="AN761" s="631"/>
      <c r="AO761" s="18"/>
      <c r="AP761" s="18"/>
      <c r="AQ761" s="18"/>
      <c r="AR761" s="18"/>
      <c r="AS761" s="18"/>
      <c r="AU761" s="448"/>
      <c r="AV761" s="448"/>
      <c r="AW761" s="8" t="str">
        <f>IF(C761&gt;0,VLOOKUP(C761,Foundation_Calc!$A$2:$C$986,3,1),
IF(J761&gt;0,VLOOKUP(J761,Foundation_Calc!$A$2:$C$986,3,1),""))</f>
        <v/>
      </c>
      <c r="AX761" s="8" t="str">
        <f>IF(C761&gt;0,VLOOKUP(C761,Foundation_Calc!$E$2:$G$986,3,1),
IF(J761&gt;0,VLOOKUP(J761,Foundation_Calc!$E$2:$G$986,3,1),""))</f>
        <v/>
      </c>
      <c r="AY761" s="631" t="str">
        <f>IF(L761="","",
IF(AX761="PT",VLOOKUP(L761,Foundation_Calc!$K$4:$R$37,VLOOKUP(AW761,Foundation_Calc!$I$2:$J$8,2,FALSE),0),
IF(AX761="K",VLOOKUP(L761,Foundation_Calc!$K$41:$R$74,VLOOKUP(AW761,Foundation_Calc!$I$2:$J$8,2,FALSE),0),"")))</f>
        <v/>
      </c>
      <c r="AZ761" s="631" t="str">
        <f>IF(K761="","",
IF(AX761="PT",VLOOKUP(K761,Foundation_Calc!$K$4:$R$37,VLOOKUP(AW761,Foundation_Calc!$I$2:$J$8,2,FALSE),0),
IF(AX761="K",VLOOKUP(K761,Foundation_Calc!$K$41:$R$74,VLOOKUP(AW761,Foundation_Calc!$I$2:$J$8,2,FALSE),0),"")))</f>
        <v/>
      </c>
      <c r="BA761" s="632" t="str">
        <f t="shared" si="48"/>
        <v/>
      </c>
      <c r="BB761" s="632" t="str">
        <f t="shared" si="49"/>
        <v/>
      </c>
      <c r="BC761" s="632" t="str">
        <f t="shared" si="50"/>
        <v/>
      </c>
      <c r="BD761" s="633" t="str">
        <f>IF(AND(L761="",H761=""),"",
IF(H761="",Pole_Calc!A789,
IF(H761="MP",Pole_Calc!A790,
IF(H761="AnMP",Pole_Calc!A791,
IF(H761="A",Pole_Calc!A792,
IF(H761="S/A",Pole_Calc!A793,
IF(H761="A/S",Pole_Calc!A794,"Poner a mano")))))))</f>
        <v/>
      </c>
      <c r="BE761" s="448" t="s">
        <v>1726</v>
      </c>
      <c r="BF761" s="635"/>
      <c r="BG761" s="635"/>
      <c r="BH761" s="634"/>
      <c r="BI761" s="635"/>
    </row>
    <row r="762" spans="1:61" ht="16.2" customHeight="1">
      <c r="A762" s="12"/>
      <c r="B762" s="446"/>
      <c r="C762" s="89"/>
      <c r="D762" s="13"/>
      <c r="E762" s="14"/>
      <c r="F762" s="14"/>
      <c r="G762" s="15"/>
      <c r="H762" s="8"/>
      <c r="I762" s="8"/>
      <c r="J762" s="89"/>
      <c r="K762" s="8"/>
      <c r="L762" s="8"/>
      <c r="M762" s="8" t="str">
        <f>IF(L762="","",
IF(AX762="PT",VLOOKUP(L762,Foundation_Calc!$V$4:$X$37,VLOOKUP(AX762,Foundation_Calc!$I$10:$J$13,2,FALSE),0),
IF(AX762="K",VLOOKUP(L762,Foundation_Calc!$V$41:$X$74,VLOOKUP(AX762,Foundation_Calc!$I$10:$J$13,2,FALSE),0),"")))</f>
        <v/>
      </c>
      <c r="N762" s="8"/>
      <c r="O762" s="8"/>
      <c r="P762" s="8"/>
      <c r="Q762" s="14"/>
      <c r="R762" s="15"/>
      <c r="S762" s="15"/>
      <c r="T762" s="14"/>
      <c r="U762" s="14"/>
      <c r="V762" s="14"/>
      <c r="W762" s="18"/>
      <c r="X762" s="18"/>
      <c r="Y762" s="18"/>
      <c r="Z762" s="18"/>
      <c r="AA762" s="18"/>
      <c r="AB762" s="18"/>
      <c r="AC762" s="8" t="str">
        <f t="shared" si="47"/>
        <v/>
      </c>
      <c r="AD762" s="8"/>
      <c r="AE762" s="8"/>
      <c r="AF762" s="14"/>
      <c r="AG762" s="13"/>
      <c r="AH762" s="14"/>
      <c r="AI762" s="14"/>
      <c r="AJ762" s="8"/>
      <c r="AK762" s="8"/>
      <c r="AL762" s="8"/>
      <c r="AM762" s="8"/>
      <c r="AN762" s="631"/>
      <c r="AO762" s="18"/>
      <c r="AP762" s="18"/>
      <c r="AQ762" s="18"/>
      <c r="AR762" s="18"/>
      <c r="AS762" s="18"/>
      <c r="AU762" s="448"/>
      <c r="AV762" s="448"/>
      <c r="AW762" s="8" t="str">
        <f>IF(C762&gt;0,VLOOKUP(C762,Foundation_Calc!$A$2:$C$986,3,1),
IF(J762&gt;0,VLOOKUP(J762,Foundation_Calc!$A$2:$C$986,3,1),""))</f>
        <v/>
      </c>
      <c r="AX762" s="8" t="str">
        <f>IF(C762&gt;0,VLOOKUP(C762,Foundation_Calc!$E$2:$G$986,3,1),
IF(J762&gt;0,VLOOKUP(J762,Foundation_Calc!$E$2:$G$986,3,1),""))</f>
        <v/>
      </c>
      <c r="AY762" s="631" t="str">
        <f>IF(L762="","",
IF(AX762="PT",VLOOKUP(L762,Foundation_Calc!$K$4:$R$37,VLOOKUP(AW762,Foundation_Calc!$I$2:$J$8,2,FALSE),0),
IF(AX762="K",VLOOKUP(L762,Foundation_Calc!$K$41:$R$74,VLOOKUP(AW762,Foundation_Calc!$I$2:$J$8,2,FALSE),0),"")))</f>
        <v/>
      </c>
      <c r="AZ762" s="631" t="str">
        <f>IF(K762="","",
IF(AX762="PT",VLOOKUP(K762,Foundation_Calc!$K$4:$R$37,VLOOKUP(AW762,Foundation_Calc!$I$2:$J$8,2,FALSE),0),
IF(AX762="K",VLOOKUP(K762,Foundation_Calc!$K$41:$R$74,VLOOKUP(AW762,Foundation_Calc!$I$2:$J$8,2,FALSE),0),"")))</f>
        <v/>
      </c>
      <c r="BA762" s="632" t="str">
        <f t="shared" si="48"/>
        <v/>
      </c>
      <c r="BB762" s="632" t="str">
        <f t="shared" si="49"/>
        <v/>
      </c>
      <c r="BC762" s="632" t="str">
        <f t="shared" si="50"/>
        <v/>
      </c>
      <c r="BD762" s="633" t="str">
        <f>IF(AND(L762="",H762=""),"",
IF(H762="",Pole_Calc!A790,
IF(H762="MP",Pole_Calc!A791,
IF(H762="AnMP",Pole_Calc!A792,
IF(H762="A",Pole_Calc!A793,
IF(H762="S/A",Pole_Calc!A794,
IF(H762="A/S",Pole_Calc!A795,"Poner a mano")))))))</f>
        <v/>
      </c>
      <c r="BE762" s="448" t="s">
        <v>1726</v>
      </c>
      <c r="BF762" s="634"/>
      <c r="BG762" s="634"/>
      <c r="BH762" s="634"/>
      <c r="BI762" s="634"/>
    </row>
    <row r="763" spans="1:61" ht="16.2" customHeight="1">
      <c r="A763" s="12"/>
      <c r="B763" s="446"/>
      <c r="C763" s="89"/>
      <c r="D763" s="13"/>
      <c r="E763" s="14"/>
      <c r="F763" s="14"/>
      <c r="G763" s="15"/>
      <c r="H763" s="8"/>
      <c r="I763" s="8"/>
      <c r="J763" s="89"/>
      <c r="K763" s="8"/>
      <c r="L763" s="8"/>
      <c r="M763" s="8" t="str">
        <f>IF(L763="","",
IF(AX763="PT",VLOOKUP(L763,Foundation_Calc!$V$4:$X$37,VLOOKUP(AX763,Foundation_Calc!$I$10:$J$13,2,FALSE),0),
IF(AX763="K",VLOOKUP(L763,Foundation_Calc!$V$41:$X$74,VLOOKUP(AX763,Foundation_Calc!$I$10:$J$13,2,FALSE),0),"")))</f>
        <v/>
      </c>
      <c r="N763" s="8"/>
      <c r="O763" s="8"/>
      <c r="P763" s="8"/>
      <c r="Q763" s="14"/>
      <c r="R763" s="15"/>
      <c r="S763" s="15"/>
      <c r="T763" s="14"/>
      <c r="U763" s="14"/>
      <c r="V763" s="14"/>
      <c r="W763" s="18"/>
      <c r="X763" s="18"/>
      <c r="Y763" s="18"/>
      <c r="Z763" s="18"/>
      <c r="AA763" s="18"/>
      <c r="AB763" s="18"/>
      <c r="AC763" s="8" t="str">
        <f t="shared" si="47"/>
        <v/>
      </c>
      <c r="AD763" s="8"/>
      <c r="AE763" s="8"/>
      <c r="AF763" s="14"/>
      <c r="AG763" s="13"/>
      <c r="AH763" s="14"/>
      <c r="AI763" s="14"/>
      <c r="AJ763" s="8"/>
      <c r="AK763" s="8"/>
      <c r="AL763" s="8"/>
      <c r="AM763" s="8"/>
      <c r="AN763" s="631"/>
      <c r="AO763" s="18"/>
      <c r="AP763" s="18"/>
      <c r="AQ763" s="18"/>
      <c r="AR763" s="18"/>
      <c r="AS763" s="18"/>
      <c r="AU763" s="448"/>
      <c r="AV763" s="448"/>
      <c r="AW763" s="8" t="str">
        <f>IF(C763&gt;0,VLOOKUP(C763,Foundation_Calc!$A$2:$C$986,3,1),
IF(J763&gt;0,VLOOKUP(J763,Foundation_Calc!$A$2:$C$986,3,1),""))</f>
        <v/>
      </c>
      <c r="AX763" s="8" t="str">
        <f>IF(C763&gt;0,VLOOKUP(C763,Foundation_Calc!$E$2:$G$986,3,1),
IF(J763&gt;0,VLOOKUP(J763,Foundation_Calc!$E$2:$G$986,3,1),""))</f>
        <v/>
      </c>
      <c r="AY763" s="631" t="str">
        <f>IF(L763="","",
IF(AX763="PT",VLOOKUP(L763,Foundation_Calc!$K$4:$R$37,VLOOKUP(AW763,Foundation_Calc!$I$2:$J$8,2,FALSE),0),
IF(AX763="K",VLOOKUP(L763,Foundation_Calc!$K$41:$R$74,VLOOKUP(AW763,Foundation_Calc!$I$2:$J$8,2,FALSE),0),"")))</f>
        <v/>
      </c>
      <c r="AZ763" s="631" t="str">
        <f>IF(K763="","",
IF(AX763="PT",VLOOKUP(K763,Foundation_Calc!$K$4:$R$37,VLOOKUP(AW763,Foundation_Calc!$I$2:$J$8,2,FALSE),0),
IF(AX763="K",VLOOKUP(K763,Foundation_Calc!$K$41:$R$74,VLOOKUP(AW763,Foundation_Calc!$I$2:$J$8,2,FALSE),0),"")))</f>
        <v/>
      </c>
      <c r="BA763" s="632" t="str">
        <f t="shared" si="48"/>
        <v/>
      </c>
      <c r="BB763" s="632" t="str">
        <f t="shared" si="49"/>
        <v/>
      </c>
      <c r="BC763" s="632" t="str">
        <f t="shared" si="50"/>
        <v/>
      </c>
      <c r="BD763" s="633" t="str">
        <f>IF(AND(L763="",H763=""),"",
IF(H763="",Pole_Calc!A791,
IF(H763="MP",Pole_Calc!A792,
IF(H763="AnMP",Pole_Calc!A793,
IF(H763="A",Pole_Calc!A794,
IF(H763="S/A",Pole_Calc!A795,
IF(H763="A/S",Pole_Calc!A796,"Poner a mano")))))))</f>
        <v/>
      </c>
      <c r="BE763" s="448" t="s">
        <v>1726</v>
      </c>
      <c r="BF763" s="635"/>
      <c r="BG763" s="635"/>
      <c r="BH763" s="634"/>
      <c r="BI763" s="635"/>
    </row>
    <row r="764" spans="1:61" ht="16.2" customHeight="1">
      <c r="A764" s="12"/>
      <c r="B764" s="446"/>
      <c r="C764" s="89"/>
      <c r="D764" s="13"/>
      <c r="E764" s="14"/>
      <c r="F764" s="14"/>
      <c r="G764" s="15"/>
      <c r="H764" s="8"/>
      <c r="I764" s="8"/>
      <c r="J764" s="89"/>
      <c r="K764" s="8"/>
      <c r="L764" s="8"/>
      <c r="M764" s="8" t="str">
        <f>IF(L764="","",
IF(AX764="PT",VLOOKUP(L764,Foundation_Calc!$V$4:$X$37,VLOOKUP(AX764,Foundation_Calc!$I$10:$J$13,2,FALSE),0),
IF(AX764="K",VLOOKUP(L764,Foundation_Calc!$V$41:$X$74,VLOOKUP(AX764,Foundation_Calc!$I$10:$J$13,2,FALSE),0),"")))</f>
        <v/>
      </c>
      <c r="N764" s="8"/>
      <c r="O764" s="8"/>
      <c r="P764" s="8"/>
      <c r="Q764" s="14"/>
      <c r="R764" s="15"/>
      <c r="S764" s="15"/>
      <c r="T764" s="14"/>
      <c r="U764" s="14"/>
      <c r="V764" s="14"/>
      <c r="W764" s="18"/>
      <c r="X764" s="18"/>
      <c r="Y764" s="18"/>
      <c r="Z764" s="18"/>
      <c r="AA764" s="18"/>
      <c r="AB764" s="18"/>
      <c r="AC764" s="8" t="str">
        <f t="shared" si="47"/>
        <v/>
      </c>
      <c r="AD764" s="8"/>
      <c r="AE764" s="8"/>
      <c r="AF764" s="14"/>
      <c r="AG764" s="13"/>
      <c r="AH764" s="14"/>
      <c r="AI764" s="14"/>
      <c r="AJ764" s="8"/>
      <c r="AK764" s="8"/>
      <c r="AL764" s="8"/>
      <c r="AM764" s="8"/>
      <c r="AN764" s="631"/>
      <c r="AO764" s="18"/>
      <c r="AP764" s="18"/>
      <c r="AQ764" s="18"/>
      <c r="AR764" s="18"/>
      <c r="AS764" s="18"/>
      <c r="AU764" s="448"/>
      <c r="AV764" s="448"/>
      <c r="AW764" s="8" t="str">
        <f>IF(C764&gt;0,VLOOKUP(C764,Foundation_Calc!$A$2:$C$986,3,1),
IF(J764&gt;0,VLOOKUP(J764,Foundation_Calc!$A$2:$C$986,3,1),""))</f>
        <v/>
      </c>
      <c r="AX764" s="8" t="str">
        <f>IF(C764&gt;0,VLOOKUP(C764,Foundation_Calc!$E$2:$G$986,3,1),
IF(J764&gt;0,VLOOKUP(J764,Foundation_Calc!$E$2:$G$986,3,1),""))</f>
        <v/>
      </c>
      <c r="AY764" s="631" t="str">
        <f>IF(L764="","",
IF(AX764="PT",VLOOKUP(L764,Foundation_Calc!$K$4:$R$37,VLOOKUP(AW764,Foundation_Calc!$I$2:$J$8,2,FALSE),0),
IF(AX764="K",VLOOKUP(L764,Foundation_Calc!$K$41:$R$74,VLOOKUP(AW764,Foundation_Calc!$I$2:$J$8,2,FALSE),0),"")))</f>
        <v/>
      </c>
      <c r="AZ764" s="631" t="str">
        <f>IF(K764="","",
IF(AX764="PT",VLOOKUP(K764,Foundation_Calc!$K$4:$R$37,VLOOKUP(AW764,Foundation_Calc!$I$2:$J$8,2,FALSE),0),
IF(AX764="K",VLOOKUP(K764,Foundation_Calc!$K$41:$R$74,VLOOKUP(AW764,Foundation_Calc!$I$2:$J$8,2,FALSE),0),"")))</f>
        <v/>
      </c>
      <c r="BA764" s="632" t="str">
        <f t="shared" si="48"/>
        <v/>
      </c>
      <c r="BB764" s="632" t="str">
        <f t="shared" si="49"/>
        <v/>
      </c>
      <c r="BC764" s="632" t="str">
        <f t="shared" si="50"/>
        <v/>
      </c>
      <c r="BD764" s="633" t="str">
        <f>IF(AND(L764="",H764=""),"",
IF(H764="",Pole_Calc!A792,
IF(H764="MP",Pole_Calc!A793,
IF(H764="AnMP",Pole_Calc!A794,
IF(H764="A",Pole_Calc!A795,
IF(H764="S/A",Pole_Calc!A796,
IF(H764="A/S",Pole_Calc!A797,"Poner a mano")))))))</f>
        <v/>
      </c>
      <c r="BE764" s="448" t="s">
        <v>1726</v>
      </c>
      <c r="BF764" s="634"/>
      <c r="BG764" s="634"/>
      <c r="BH764" s="634"/>
      <c r="BI764" s="634"/>
    </row>
    <row r="765" spans="1:61" ht="16.2" customHeight="1">
      <c r="A765" s="12"/>
      <c r="B765" s="446"/>
      <c r="C765" s="89"/>
      <c r="D765" s="13"/>
      <c r="E765" s="14"/>
      <c r="F765" s="14"/>
      <c r="G765" s="15"/>
      <c r="H765" s="8"/>
      <c r="I765" s="8"/>
      <c r="J765" s="89"/>
      <c r="K765" s="8"/>
      <c r="L765" s="8"/>
      <c r="M765" s="8" t="str">
        <f>IF(L765="","",
IF(AX765="PT",VLOOKUP(L765,Foundation_Calc!$V$4:$X$37,VLOOKUP(AX765,Foundation_Calc!$I$10:$J$13,2,FALSE),0),
IF(AX765="K",VLOOKUP(L765,Foundation_Calc!$V$41:$X$74,VLOOKUP(AX765,Foundation_Calc!$I$10:$J$13,2,FALSE),0),"")))</f>
        <v/>
      </c>
      <c r="N765" s="8"/>
      <c r="O765" s="8"/>
      <c r="P765" s="8"/>
      <c r="Q765" s="14"/>
      <c r="R765" s="15"/>
      <c r="S765" s="15"/>
      <c r="T765" s="14"/>
      <c r="U765" s="14"/>
      <c r="V765" s="14"/>
      <c r="W765" s="18"/>
      <c r="X765" s="18"/>
      <c r="Y765" s="18"/>
      <c r="Z765" s="18"/>
      <c r="AA765" s="18"/>
      <c r="AB765" s="18"/>
      <c r="AC765" s="8" t="str">
        <f t="shared" si="47"/>
        <v/>
      </c>
      <c r="AD765" s="8"/>
      <c r="AE765" s="8"/>
      <c r="AF765" s="14"/>
      <c r="AG765" s="13"/>
      <c r="AH765" s="14"/>
      <c r="AI765" s="14"/>
      <c r="AJ765" s="8"/>
      <c r="AK765" s="8"/>
      <c r="AL765" s="8"/>
      <c r="AM765" s="8"/>
      <c r="AN765" s="631"/>
      <c r="AO765" s="18"/>
      <c r="AP765" s="18"/>
      <c r="AQ765" s="18"/>
      <c r="AR765" s="18"/>
      <c r="AS765" s="18"/>
      <c r="AU765" s="448"/>
      <c r="AV765" s="448"/>
      <c r="AW765" s="8" t="str">
        <f>IF(C765&gt;0,VLOOKUP(C765,Foundation_Calc!$A$2:$C$986,3,1),
IF(J765&gt;0,VLOOKUP(J765,Foundation_Calc!$A$2:$C$986,3,1),""))</f>
        <v/>
      </c>
      <c r="AX765" s="8" t="str">
        <f>IF(C765&gt;0,VLOOKUP(C765,Foundation_Calc!$E$2:$G$986,3,1),
IF(J765&gt;0,VLOOKUP(J765,Foundation_Calc!$E$2:$G$986,3,1),""))</f>
        <v/>
      </c>
      <c r="AY765" s="631" t="str">
        <f>IF(L765="","",
IF(AX765="PT",VLOOKUP(L765,Foundation_Calc!$K$4:$R$37,VLOOKUP(AW765,Foundation_Calc!$I$2:$J$8,2,FALSE),0),
IF(AX765="K",VLOOKUP(L765,Foundation_Calc!$K$41:$R$74,VLOOKUP(AW765,Foundation_Calc!$I$2:$J$8,2,FALSE),0),"")))</f>
        <v/>
      </c>
      <c r="AZ765" s="631" t="str">
        <f>IF(K765="","",
IF(AX765="PT",VLOOKUP(K765,Foundation_Calc!$K$4:$R$37,VLOOKUP(AW765,Foundation_Calc!$I$2:$J$8,2,FALSE),0),
IF(AX765="K",VLOOKUP(K765,Foundation_Calc!$K$41:$R$74,VLOOKUP(AW765,Foundation_Calc!$I$2:$J$8,2,FALSE),0),"")))</f>
        <v/>
      </c>
      <c r="BA765" s="632" t="str">
        <f t="shared" si="48"/>
        <v/>
      </c>
      <c r="BB765" s="632" t="str">
        <f t="shared" si="49"/>
        <v/>
      </c>
      <c r="BC765" s="632" t="str">
        <f t="shared" si="50"/>
        <v/>
      </c>
      <c r="BD765" s="633" t="str">
        <f>IF(AND(L765="",H765=""),"",
IF(H765="",Pole_Calc!A793,
IF(H765="MP",Pole_Calc!A794,
IF(H765="AnMP",Pole_Calc!A795,
IF(H765="A",Pole_Calc!A796,
IF(H765="S/A",Pole_Calc!A797,
IF(H765="A/S",Pole_Calc!A798,"Poner a mano")))))))</f>
        <v/>
      </c>
      <c r="BE765" s="448" t="s">
        <v>1726</v>
      </c>
      <c r="BF765" s="635"/>
      <c r="BG765" s="635"/>
      <c r="BH765" s="634"/>
      <c r="BI765" s="635"/>
    </row>
    <row r="766" spans="1:61" ht="16.2" customHeight="1">
      <c r="A766" s="12"/>
      <c r="B766" s="446"/>
      <c r="C766" s="89"/>
      <c r="D766" s="13"/>
      <c r="E766" s="14"/>
      <c r="F766" s="14"/>
      <c r="G766" s="15"/>
      <c r="H766" s="8"/>
      <c r="I766" s="8"/>
      <c r="J766" s="89"/>
      <c r="K766" s="8"/>
      <c r="L766" s="8"/>
      <c r="M766" s="8" t="str">
        <f>IF(L766="","",
IF(AX766="PT",VLOOKUP(L766,Foundation_Calc!$V$4:$X$37,VLOOKUP(AX766,Foundation_Calc!$I$10:$J$13,2,FALSE),0),
IF(AX766="K",VLOOKUP(L766,Foundation_Calc!$V$41:$X$74,VLOOKUP(AX766,Foundation_Calc!$I$10:$J$13,2,FALSE),0),"")))</f>
        <v/>
      </c>
      <c r="N766" s="8"/>
      <c r="O766" s="8"/>
      <c r="P766" s="8"/>
      <c r="Q766" s="14"/>
      <c r="R766" s="15"/>
      <c r="S766" s="15"/>
      <c r="T766" s="14"/>
      <c r="U766" s="14"/>
      <c r="V766" s="14"/>
      <c r="W766" s="18"/>
      <c r="X766" s="18"/>
      <c r="Y766" s="18"/>
      <c r="Z766" s="18"/>
      <c r="AA766" s="18"/>
      <c r="AB766" s="18"/>
      <c r="AC766" s="8" t="str">
        <f t="shared" si="47"/>
        <v/>
      </c>
      <c r="AD766" s="8"/>
      <c r="AE766" s="8"/>
      <c r="AF766" s="14"/>
      <c r="AG766" s="13"/>
      <c r="AH766" s="14"/>
      <c r="AI766" s="14"/>
      <c r="AJ766" s="8"/>
      <c r="AK766" s="8"/>
      <c r="AL766" s="8"/>
      <c r="AM766" s="8"/>
      <c r="AN766" s="631"/>
      <c r="AO766" s="18"/>
      <c r="AP766" s="18"/>
      <c r="AQ766" s="18"/>
      <c r="AR766" s="18"/>
      <c r="AS766" s="18"/>
      <c r="AU766" s="448"/>
      <c r="AV766" s="448"/>
      <c r="AW766" s="8" t="str">
        <f>IF(C766&gt;0,VLOOKUP(C766,Foundation_Calc!$A$2:$C$986,3,1),
IF(J766&gt;0,VLOOKUP(J766,Foundation_Calc!$A$2:$C$986,3,1),""))</f>
        <v/>
      </c>
      <c r="AX766" s="8" t="str">
        <f>IF(C766&gt;0,VLOOKUP(C766,Foundation_Calc!$E$2:$G$986,3,1),
IF(J766&gt;0,VLOOKUP(J766,Foundation_Calc!$E$2:$G$986,3,1),""))</f>
        <v/>
      </c>
      <c r="AY766" s="631" t="str">
        <f>IF(L766="","",
IF(AX766="PT",VLOOKUP(L766,Foundation_Calc!$K$4:$R$37,VLOOKUP(AW766,Foundation_Calc!$I$2:$J$8,2,FALSE),0),
IF(AX766="K",VLOOKUP(L766,Foundation_Calc!$K$41:$R$74,VLOOKUP(AW766,Foundation_Calc!$I$2:$J$8,2,FALSE),0),"")))</f>
        <v/>
      </c>
      <c r="AZ766" s="631" t="str">
        <f>IF(K766="","",
IF(AX766="PT",VLOOKUP(K766,Foundation_Calc!$K$4:$R$37,VLOOKUP(AW766,Foundation_Calc!$I$2:$J$8,2,FALSE),0),
IF(AX766="K",VLOOKUP(K766,Foundation_Calc!$K$41:$R$74,VLOOKUP(AW766,Foundation_Calc!$I$2:$J$8,2,FALSE),0),"")))</f>
        <v/>
      </c>
      <c r="BA766" s="632" t="str">
        <f t="shared" si="48"/>
        <v/>
      </c>
      <c r="BB766" s="632" t="str">
        <f t="shared" si="49"/>
        <v/>
      </c>
      <c r="BC766" s="632" t="str">
        <f t="shared" si="50"/>
        <v/>
      </c>
      <c r="BD766" s="633" t="str">
        <f>IF(AND(L766="",H766=""),"",
IF(H766="",Pole_Calc!A794,
IF(H766="MP",Pole_Calc!A795,
IF(H766="AnMP",Pole_Calc!A796,
IF(H766="A",Pole_Calc!A797,
IF(H766="S/A",Pole_Calc!A798,
IF(H766="A/S",Pole_Calc!A799,"Poner a mano")))))))</f>
        <v/>
      </c>
      <c r="BE766" s="448" t="s">
        <v>1726</v>
      </c>
      <c r="BF766" s="634"/>
      <c r="BG766" s="634"/>
      <c r="BH766" s="634"/>
      <c r="BI766" s="634"/>
    </row>
    <row r="767" spans="1:61" ht="16.2" customHeight="1">
      <c r="A767" s="12"/>
      <c r="B767" s="446"/>
      <c r="C767" s="89"/>
      <c r="D767" s="13"/>
      <c r="E767" s="14"/>
      <c r="F767" s="14"/>
      <c r="G767" s="15"/>
      <c r="H767" s="8"/>
      <c r="I767" s="8"/>
      <c r="J767" s="89"/>
      <c r="K767" s="8"/>
      <c r="L767" s="8"/>
      <c r="M767" s="8" t="str">
        <f>IF(L767="","",
IF(AX767="PT",VLOOKUP(L767,Foundation_Calc!$V$4:$X$37,VLOOKUP(AX767,Foundation_Calc!$I$10:$J$13,2,FALSE),0),
IF(AX767="K",VLOOKUP(L767,Foundation_Calc!$V$41:$X$74,VLOOKUP(AX767,Foundation_Calc!$I$10:$J$13,2,FALSE),0),"")))</f>
        <v/>
      </c>
      <c r="N767" s="8"/>
      <c r="O767" s="8"/>
      <c r="P767" s="8"/>
      <c r="Q767" s="14"/>
      <c r="R767" s="15"/>
      <c r="S767" s="15"/>
      <c r="T767" s="14"/>
      <c r="U767" s="14"/>
      <c r="V767" s="14"/>
      <c r="W767" s="18"/>
      <c r="X767" s="18"/>
      <c r="Y767" s="18"/>
      <c r="Z767" s="18"/>
      <c r="AA767" s="18"/>
      <c r="AB767" s="18"/>
      <c r="AC767" s="8" t="str">
        <f t="shared" si="47"/>
        <v/>
      </c>
      <c r="AD767" s="8"/>
      <c r="AE767" s="8"/>
      <c r="AF767" s="14"/>
      <c r="AG767" s="13"/>
      <c r="AH767" s="14"/>
      <c r="AI767" s="14"/>
      <c r="AJ767" s="8"/>
      <c r="AK767" s="8"/>
      <c r="AL767" s="8"/>
      <c r="AM767" s="8"/>
      <c r="AN767" s="631"/>
      <c r="AO767" s="18"/>
      <c r="AP767" s="18"/>
      <c r="AQ767" s="18"/>
      <c r="AR767" s="18"/>
      <c r="AS767" s="18"/>
      <c r="AU767" s="448"/>
      <c r="AV767" s="448"/>
      <c r="AW767" s="8" t="str">
        <f>IF(C767&gt;0,VLOOKUP(C767,Foundation_Calc!$A$2:$C$986,3,1),
IF(J767&gt;0,VLOOKUP(J767,Foundation_Calc!$A$2:$C$986,3,1),""))</f>
        <v/>
      </c>
      <c r="AX767" s="8" t="str">
        <f>IF(C767&gt;0,VLOOKUP(C767,Foundation_Calc!$E$2:$G$986,3,1),
IF(J767&gt;0,VLOOKUP(J767,Foundation_Calc!$E$2:$G$986,3,1),""))</f>
        <v/>
      </c>
      <c r="AY767" s="631" t="str">
        <f>IF(L767="","",
IF(AX767="PT",VLOOKUP(L767,Foundation_Calc!$K$4:$R$37,VLOOKUP(AW767,Foundation_Calc!$I$2:$J$8,2,FALSE),0),
IF(AX767="K",VLOOKUP(L767,Foundation_Calc!$K$41:$R$74,VLOOKUP(AW767,Foundation_Calc!$I$2:$J$8,2,FALSE),0),"")))</f>
        <v/>
      </c>
      <c r="AZ767" s="631" t="str">
        <f>IF(K767="","",
IF(AX767="PT",VLOOKUP(K767,Foundation_Calc!$K$4:$R$37,VLOOKUP(AW767,Foundation_Calc!$I$2:$J$8,2,FALSE),0),
IF(AX767="K",VLOOKUP(K767,Foundation_Calc!$K$41:$R$74,VLOOKUP(AW767,Foundation_Calc!$I$2:$J$8,2,FALSE),0),"")))</f>
        <v/>
      </c>
      <c r="BA767" s="632" t="str">
        <f t="shared" si="48"/>
        <v/>
      </c>
      <c r="BB767" s="632" t="str">
        <f t="shared" si="49"/>
        <v/>
      </c>
      <c r="BC767" s="632" t="str">
        <f t="shared" si="50"/>
        <v/>
      </c>
      <c r="BD767" s="633" t="str">
        <f>IF(AND(L767="",H767=""),"",
IF(H767="",Pole_Calc!A795,
IF(H767="MP",Pole_Calc!A796,
IF(H767="AnMP",Pole_Calc!A797,
IF(H767="A",Pole_Calc!A798,
IF(H767="S/A",Pole_Calc!A799,
IF(H767="A/S",Pole_Calc!A800,"Poner a mano")))))))</f>
        <v/>
      </c>
      <c r="BE767" s="448" t="s">
        <v>1726</v>
      </c>
      <c r="BF767" s="635"/>
      <c r="BG767" s="635"/>
      <c r="BH767" s="634"/>
      <c r="BI767" s="635"/>
    </row>
    <row r="768" spans="1:61" ht="16.2" customHeight="1">
      <c r="A768" s="12"/>
      <c r="B768" s="446"/>
      <c r="C768" s="89"/>
      <c r="D768" s="13"/>
      <c r="E768" s="14"/>
      <c r="F768" s="14"/>
      <c r="G768" s="15"/>
      <c r="H768" s="8"/>
      <c r="I768" s="8"/>
      <c r="J768" s="89"/>
      <c r="K768" s="8"/>
      <c r="L768" s="8"/>
      <c r="M768" s="8" t="str">
        <f>IF(L768="","",
IF(AX768="PT",VLOOKUP(L768,Foundation_Calc!$V$4:$X$37,VLOOKUP(AX768,Foundation_Calc!$I$10:$J$13,2,FALSE),0),
IF(AX768="K",VLOOKUP(L768,Foundation_Calc!$V$41:$X$74,VLOOKUP(AX768,Foundation_Calc!$I$10:$J$13,2,FALSE),0),"")))</f>
        <v/>
      </c>
      <c r="N768" s="8"/>
      <c r="O768" s="8"/>
      <c r="P768" s="8"/>
      <c r="Q768" s="14"/>
      <c r="R768" s="15"/>
      <c r="S768" s="15"/>
      <c r="T768" s="14"/>
      <c r="U768" s="14"/>
      <c r="V768" s="14"/>
      <c r="W768" s="18"/>
      <c r="X768" s="18"/>
      <c r="Y768" s="18"/>
      <c r="Z768" s="18"/>
      <c r="AA768" s="18"/>
      <c r="AB768" s="18"/>
      <c r="AC768" s="8" t="str">
        <f t="shared" si="47"/>
        <v/>
      </c>
      <c r="AD768" s="8"/>
      <c r="AE768" s="8"/>
      <c r="AF768" s="14"/>
      <c r="AG768" s="13"/>
      <c r="AH768" s="14"/>
      <c r="AI768" s="14"/>
      <c r="AJ768" s="8"/>
      <c r="AK768" s="8"/>
      <c r="AL768" s="8"/>
      <c r="AM768" s="8"/>
      <c r="AN768" s="631"/>
      <c r="AO768" s="18"/>
      <c r="AP768" s="18"/>
      <c r="AQ768" s="18"/>
      <c r="AR768" s="18"/>
      <c r="AS768" s="18"/>
      <c r="AU768" s="448"/>
      <c r="AV768" s="448"/>
      <c r="AW768" s="8" t="str">
        <f>IF(C768&gt;0,VLOOKUP(C768,Foundation_Calc!$A$2:$C$986,3,1),
IF(J768&gt;0,VLOOKUP(J768,Foundation_Calc!$A$2:$C$986,3,1),""))</f>
        <v/>
      </c>
      <c r="AX768" s="8" t="str">
        <f>IF(C768&gt;0,VLOOKUP(C768,Foundation_Calc!$E$2:$G$986,3,1),
IF(J768&gt;0,VLOOKUP(J768,Foundation_Calc!$E$2:$G$986,3,1),""))</f>
        <v/>
      </c>
      <c r="AY768" s="631" t="str">
        <f>IF(L768="","",
IF(AX768="PT",VLOOKUP(L768,Foundation_Calc!$K$4:$R$37,VLOOKUP(AW768,Foundation_Calc!$I$2:$J$8,2,FALSE),0),
IF(AX768="K",VLOOKUP(L768,Foundation_Calc!$K$41:$R$74,VLOOKUP(AW768,Foundation_Calc!$I$2:$J$8,2,FALSE),0),"")))</f>
        <v/>
      </c>
      <c r="AZ768" s="631" t="str">
        <f>IF(K768="","",
IF(AX768="PT",VLOOKUP(K768,Foundation_Calc!$K$4:$R$37,VLOOKUP(AW768,Foundation_Calc!$I$2:$J$8,2,FALSE),0),
IF(AX768="K",VLOOKUP(K768,Foundation_Calc!$K$41:$R$74,VLOOKUP(AW768,Foundation_Calc!$I$2:$J$8,2,FALSE),0),"")))</f>
        <v/>
      </c>
      <c r="BA768" s="632" t="str">
        <f t="shared" si="48"/>
        <v/>
      </c>
      <c r="BB768" s="632" t="str">
        <f t="shared" si="49"/>
        <v/>
      </c>
      <c r="BC768" s="632" t="str">
        <f t="shared" si="50"/>
        <v/>
      </c>
      <c r="BD768" s="633" t="str">
        <f>IF(AND(L768="",H768=""),"",
IF(H768="",Pole_Calc!A796,
IF(H768="MP",Pole_Calc!A797,
IF(H768="AnMP",Pole_Calc!A798,
IF(H768="A",Pole_Calc!A799,
IF(H768="S/A",Pole_Calc!A800,
IF(H768="A/S",Pole_Calc!A801,"Poner a mano")))))))</f>
        <v/>
      </c>
      <c r="BE768" s="448" t="s">
        <v>1726</v>
      </c>
      <c r="BF768" s="634"/>
      <c r="BG768" s="634"/>
      <c r="BH768" s="634"/>
      <c r="BI768" s="634"/>
    </row>
    <row r="769" spans="1:61" ht="16.2" customHeight="1">
      <c r="A769" s="12"/>
      <c r="B769" s="446"/>
      <c r="C769" s="89"/>
      <c r="D769" s="13"/>
      <c r="E769" s="14"/>
      <c r="F769" s="14"/>
      <c r="G769" s="15"/>
      <c r="H769" s="8"/>
      <c r="I769" s="8"/>
      <c r="J769" s="89"/>
      <c r="K769" s="8"/>
      <c r="L769" s="8"/>
      <c r="M769" s="8" t="str">
        <f>IF(L769="","",
IF(AX769="PT",VLOOKUP(L769,Foundation_Calc!$V$4:$X$37,VLOOKUP(AX769,Foundation_Calc!$I$10:$J$13,2,FALSE),0),
IF(AX769="K",VLOOKUP(L769,Foundation_Calc!$V$41:$X$74,VLOOKUP(AX769,Foundation_Calc!$I$10:$J$13,2,FALSE),0),"")))</f>
        <v/>
      </c>
      <c r="N769" s="8"/>
      <c r="O769" s="8"/>
      <c r="P769" s="8"/>
      <c r="Q769" s="14"/>
      <c r="R769" s="15"/>
      <c r="S769" s="15"/>
      <c r="T769" s="14"/>
      <c r="U769" s="14"/>
      <c r="V769" s="14"/>
      <c r="W769" s="18"/>
      <c r="X769" s="18"/>
      <c r="Y769" s="18"/>
      <c r="Z769" s="18"/>
      <c r="AA769" s="18"/>
      <c r="AB769" s="18"/>
      <c r="AC769" s="8" t="str">
        <f t="shared" si="47"/>
        <v/>
      </c>
      <c r="AD769" s="8"/>
      <c r="AE769" s="8"/>
      <c r="AF769" s="14"/>
      <c r="AG769" s="13"/>
      <c r="AH769" s="14"/>
      <c r="AI769" s="14"/>
      <c r="AJ769" s="8"/>
      <c r="AK769" s="8"/>
      <c r="AL769" s="8"/>
      <c r="AM769" s="8"/>
      <c r="AN769" s="631"/>
      <c r="AO769" s="18"/>
      <c r="AP769" s="18"/>
      <c r="AQ769" s="18"/>
      <c r="AR769" s="18"/>
      <c r="AS769" s="18"/>
      <c r="AU769" s="448"/>
      <c r="AV769" s="448"/>
      <c r="AW769" s="8" t="str">
        <f>IF(C769&gt;0,VLOOKUP(C769,Foundation_Calc!$A$2:$C$986,3,1),
IF(J769&gt;0,VLOOKUP(J769,Foundation_Calc!$A$2:$C$986,3,1),""))</f>
        <v/>
      </c>
      <c r="AX769" s="8" t="str">
        <f>IF(C769&gt;0,VLOOKUP(C769,Foundation_Calc!$E$2:$G$986,3,1),
IF(J769&gt;0,VLOOKUP(J769,Foundation_Calc!$E$2:$G$986,3,1),""))</f>
        <v/>
      </c>
      <c r="AY769" s="631" t="str">
        <f>IF(L769="","",
IF(AX769="PT",VLOOKUP(L769,Foundation_Calc!$K$4:$R$37,VLOOKUP(AW769,Foundation_Calc!$I$2:$J$8,2,FALSE),0),
IF(AX769="K",VLOOKUP(L769,Foundation_Calc!$K$41:$R$74,VLOOKUP(AW769,Foundation_Calc!$I$2:$J$8,2,FALSE),0),"")))</f>
        <v/>
      </c>
      <c r="AZ769" s="631" t="str">
        <f>IF(K769="","",
IF(AX769="PT",VLOOKUP(K769,Foundation_Calc!$K$4:$R$37,VLOOKUP(AW769,Foundation_Calc!$I$2:$J$8,2,FALSE),0),
IF(AX769="K",VLOOKUP(K769,Foundation_Calc!$K$41:$R$74,VLOOKUP(AW769,Foundation_Calc!$I$2:$J$8,2,FALSE),0),"")))</f>
        <v/>
      </c>
      <c r="BA769" s="632" t="str">
        <f t="shared" si="48"/>
        <v/>
      </c>
      <c r="BB769" s="632" t="str">
        <f t="shared" si="49"/>
        <v/>
      </c>
      <c r="BC769" s="632" t="str">
        <f t="shared" si="50"/>
        <v/>
      </c>
      <c r="BD769" s="633" t="str">
        <f>IF(AND(L769="",H769=""),"",
IF(H769="",Pole_Calc!A797,
IF(H769="MP",Pole_Calc!A798,
IF(H769="AnMP",Pole_Calc!A799,
IF(H769="A",Pole_Calc!A800,
IF(H769="S/A",Pole_Calc!A801,
IF(H769="A/S",Pole_Calc!A802,"Poner a mano")))))))</f>
        <v/>
      </c>
      <c r="BE769" s="448" t="s">
        <v>1726</v>
      </c>
      <c r="BF769" s="635"/>
      <c r="BG769" s="635"/>
      <c r="BH769" s="634"/>
      <c r="BI769" s="635"/>
    </row>
    <row r="770" spans="1:61" ht="16.2" customHeight="1">
      <c r="A770" s="12"/>
      <c r="B770" s="446"/>
      <c r="C770" s="89"/>
      <c r="D770" s="13"/>
      <c r="E770" s="14"/>
      <c r="F770" s="14"/>
      <c r="G770" s="15"/>
      <c r="H770" s="8"/>
      <c r="I770" s="8"/>
      <c r="J770" s="89"/>
      <c r="K770" s="8"/>
      <c r="L770" s="8"/>
      <c r="M770" s="8" t="str">
        <f>IF(L770="","",
IF(AX770="PT",VLOOKUP(L770,Foundation_Calc!$V$4:$X$37,VLOOKUP(AX770,Foundation_Calc!$I$10:$J$13,2,FALSE),0),
IF(AX770="K",VLOOKUP(L770,Foundation_Calc!$V$41:$X$74,VLOOKUP(AX770,Foundation_Calc!$I$10:$J$13,2,FALSE),0),"")))</f>
        <v/>
      </c>
      <c r="N770" s="8"/>
      <c r="O770" s="8"/>
      <c r="P770" s="8"/>
      <c r="Q770" s="14"/>
      <c r="R770" s="15"/>
      <c r="S770" s="15"/>
      <c r="T770" s="14"/>
      <c r="U770" s="14"/>
      <c r="V770" s="14"/>
      <c r="W770" s="18"/>
      <c r="X770" s="18"/>
      <c r="Y770" s="18"/>
      <c r="Z770" s="18"/>
      <c r="AA770" s="18"/>
      <c r="AB770" s="18"/>
      <c r="AC770" s="8" t="str">
        <f t="shared" si="47"/>
        <v/>
      </c>
      <c r="AD770" s="8"/>
      <c r="AE770" s="8"/>
      <c r="AF770" s="14"/>
      <c r="AG770" s="13"/>
      <c r="AH770" s="14"/>
      <c r="AI770" s="14"/>
      <c r="AJ770" s="8"/>
      <c r="AK770" s="8"/>
      <c r="AL770" s="8"/>
      <c r="AM770" s="8"/>
      <c r="AN770" s="631"/>
      <c r="AO770" s="18"/>
      <c r="AP770" s="18"/>
      <c r="AQ770" s="18"/>
      <c r="AR770" s="18"/>
      <c r="AS770" s="18"/>
      <c r="AU770" s="448"/>
      <c r="AV770" s="448"/>
      <c r="AW770" s="8" t="str">
        <f>IF(C770&gt;0,VLOOKUP(C770,Foundation_Calc!$A$2:$C$986,3,1),
IF(J770&gt;0,VLOOKUP(J770,Foundation_Calc!$A$2:$C$986,3,1),""))</f>
        <v/>
      </c>
      <c r="AX770" s="8" t="str">
        <f>IF(C770&gt;0,VLOOKUP(C770,Foundation_Calc!$E$2:$G$986,3,1),
IF(J770&gt;0,VLOOKUP(J770,Foundation_Calc!$E$2:$G$986,3,1),""))</f>
        <v/>
      </c>
      <c r="AY770" s="631" t="str">
        <f>IF(L770="","",
IF(AX770="PT",VLOOKUP(L770,Foundation_Calc!$K$4:$R$37,VLOOKUP(AW770,Foundation_Calc!$I$2:$J$8,2,FALSE),0),
IF(AX770="K",VLOOKUP(L770,Foundation_Calc!$K$41:$R$74,VLOOKUP(AW770,Foundation_Calc!$I$2:$J$8,2,FALSE),0),"")))</f>
        <v/>
      </c>
      <c r="AZ770" s="631" t="str">
        <f>IF(K770="","",
IF(AX770="PT",VLOOKUP(K770,Foundation_Calc!$K$4:$R$37,VLOOKUP(AW770,Foundation_Calc!$I$2:$J$8,2,FALSE),0),
IF(AX770="K",VLOOKUP(K770,Foundation_Calc!$K$41:$R$74,VLOOKUP(AW770,Foundation_Calc!$I$2:$J$8,2,FALSE),0),"")))</f>
        <v/>
      </c>
      <c r="BA770" s="632" t="str">
        <f t="shared" si="48"/>
        <v/>
      </c>
      <c r="BB770" s="632" t="str">
        <f t="shared" si="49"/>
        <v/>
      </c>
      <c r="BC770" s="632" t="str">
        <f t="shared" si="50"/>
        <v/>
      </c>
      <c r="BD770" s="633" t="str">
        <f>IF(AND(L770="",H770=""),"",
IF(H770="",Pole_Calc!A798,
IF(H770="MP",Pole_Calc!A799,
IF(H770="AnMP",Pole_Calc!A800,
IF(H770="A",Pole_Calc!A801,
IF(H770="S/A",Pole_Calc!A802,
IF(H770="A/S",Pole_Calc!A803,"Poner a mano")))))))</f>
        <v/>
      </c>
      <c r="BE770" s="448" t="s">
        <v>1726</v>
      </c>
      <c r="BF770" s="634"/>
      <c r="BG770" s="634"/>
      <c r="BH770" s="634"/>
      <c r="BI770" s="634"/>
    </row>
    <row r="771" spans="1:61" ht="16.2" customHeight="1">
      <c r="A771" s="12"/>
      <c r="B771" s="446"/>
      <c r="C771" s="89"/>
      <c r="D771" s="13"/>
      <c r="E771" s="14"/>
      <c r="F771" s="14"/>
      <c r="G771" s="15"/>
      <c r="H771" s="8"/>
      <c r="I771" s="8"/>
      <c r="J771" s="89"/>
      <c r="K771" s="8"/>
      <c r="L771" s="8"/>
      <c r="M771" s="8" t="str">
        <f>IF(L771="","",
IF(AX771="PT",VLOOKUP(L771,Foundation_Calc!$V$4:$X$37,VLOOKUP(AX771,Foundation_Calc!$I$10:$J$13,2,FALSE),0),
IF(AX771="K",VLOOKUP(L771,Foundation_Calc!$V$41:$X$74,VLOOKUP(AX771,Foundation_Calc!$I$10:$J$13,2,FALSE),0),"")))</f>
        <v/>
      </c>
      <c r="N771" s="8"/>
      <c r="O771" s="8"/>
      <c r="P771" s="8"/>
      <c r="Q771" s="14"/>
      <c r="R771" s="15"/>
      <c r="S771" s="15"/>
      <c r="T771" s="14"/>
      <c r="U771" s="14"/>
      <c r="V771" s="14"/>
      <c r="W771" s="18"/>
      <c r="X771" s="18"/>
      <c r="Y771" s="18"/>
      <c r="Z771" s="18"/>
      <c r="AA771" s="18"/>
      <c r="AB771" s="18"/>
      <c r="AC771" s="8" t="str">
        <f t="shared" si="47"/>
        <v/>
      </c>
      <c r="AD771" s="8"/>
      <c r="AE771" s="8"/>
      <c r="AF771" s="14"/>
      <c r="AG771" s="13"/>
      <c r="AH771" s="14"/>
      <c r="AI771" s="14"/>
      <c r="AJ771" s="8"/>
      <c r="AK771" s="8"/>
      <c r="AL771" s="8"/>
      <c r="AM771" s="8"/>
      <c r="AN771" s="631"/>
      <c r="AO771" s="18"/>
      <c r="AP771" s="18"/>
      <c r="AQ771" s="18"/>
      <c r="AR771" s="18"/>
      <c r="AS771" s="18"/>
      <c r="AU771" s="448"/>
      <c r="AV771" s="448"/>
      <c r="AW771" s="8" t="str">
        <f>IF(C771&gt;0,VLOOKUP(C771,Foundation_Calc!$A$2:$C$986,3,1),
IF(J771&gt;0,VLOOKUP(J771,Foundation_Calc!$A$2:$C$986,3,1),""))</f>
        <v/>
      </c>
      <c r="AX771" s="8" t="str">
        <f>IF(C771&gt;0,VLOOKUP(C771,Foundation_Calc!$E$2:$G$986,3,1),
IF(J771&gt;0,VLOOKUP(J771,Foundation_Calc!$E$2:$G$986,3,1),""))</f>
        <v/>
      </c>
      <c r="AY771" s="631" t="str">
        <f>IF(L771="","",
IF(AX771="PT",VLOOKUP(L771,Foundation_Calc!$K$4:$R$37,VLOOKUP(AW771,Foundation_Calc!$I$2:$J$8,2,FALSE),0),
IF(AX771="K",VLOOKUP(L771,Foundation_Calc!$K$41:$R$74,VLOOKUP(AW771,Foundation_Calc!$I$2:$J$8,2,FALSE),0),"")))</f>
        <v/>
      </c>
      <c r="AZ771" s="631" t="str">
        <f>IF(K771="","",
IF(AX771="PT",VLOOKUP(K771,Foundation_Calc!$K$4:$R$37,VLOOKUP(AW771,Foundation_Calc!$I$2:$J$8,2,FALSE),0),
IF(AX771="K",VLOOKUP(K771,Foundation_Calc!$K$41:$R$74,VLOOKUP(AW771,Foundation_Calc!$I$2:$J$8,2,FALSE),0),"")))</f>
        <v/>
      </c>
      <c r="BA771" s="632" t="str">
        <f t="shared" si="48"/>
        <v/>
      </c>
      <c r="BB771" s="632" t="str">
        <f t="shared" si="49"/>
        <v/>
      </c>
      <c r="BC771" s="632" t="str">
        <f t="shared" si="50"/>
        <v/>
      </c>
      <c r="BD771" s="633" t="str">
        <f>IF(AND(L771="",H771=""),"",
IF(H771="",Pole_Calc!A799,
IF(H771="MP",Pole_Calc!A800,
IF(H771="AnMP",Pole_Calc!A801,
IF(H771="A",Pole_Calc!A802,
IF(H771="S/A",Pole_Calc!A803,
IF(H771="A/S",Pole_Calc!A804,"Poner a mano")))))))</f>
        <v/>
      </c>
      <c r="BE771" s="448" t="s">
        <v>1726</v>
      </c>
      <c r="BF771" s="635"/>
      <c r="BG771" s="635"/>
      <c r="BH771" s="634"/>
      <c r="BI771" s="635"/>
    </row>
    <row r="772" spans="1:61" ht="16.2" customHeight="1">
      <c r="A772" s="12"/>
      <c r="B772" s="446"/>
      <c r="C772" s="89"/>
      <c r="D772" s="13"/>
      <c r="E772" s="14"/>
      <c r="F772" s="14"/>
      <c r="G772" s="15"/>
      <c r="H772" s="8"/>
      <c r="I772" s="8"/>
      <c r="J772" s="89"/>
      <c r="K772" s="8"/>
      <c r="L772" s="8"/>
      <c r="M772" s="8" t="str">
        <f>IF(L772="","",
IF(AX772="PT",VLOOKUP(L772,Foundation_Calc!$V$4:$X$37,VLOOKUP(AX772,Foundation_Calc!$I$10:$J$13,2,FALSE),0),
IF(AX772="K",VLOOKUP(L772,Foundation_Calc!$V$41:$X$74,VLOOKUP(AX772,Foundation_Calc!$I$10:$J$13,2,FALSE),0),"")))</f>
        <v/>
      </c>
      <c r="N772" s="8"/>
      <c r="O772" s="8"/>
      <c r="P772" s="8"/>
      <c r="Q772" s="14"/>
      <c r="R772" s="15"/>
      <c r="S772" s="15"/>
      <c r="T772" s="14"/>
      <c r="U772" s="14"/>
      <c r="V772" s="14"/>
      <c r="W772" s="18"/>
      <c r="X772" s="18"/>
      <c r="Y772" s="18"/>
      <c r="Z772" s="18"/>
      <c r="AA772" s="18"/>
      <c r="AB772" s="18"/>
      <c r="AC772" s="8" t="str">
        <f t="shared" si="47"/>
        <v/>
      </c>
      <c r="AD772" s="8"/>
      <c r="AE772" s="8"/>
      <c r="AF772" s="14"/>
      <c r="AG772" s="13"/>
      <c r="AH772" s="14"/>
      <c r="AI772" s="14"/>
      <c r="AJ772" s="8"/>
      <c r="AK772" s="8"/>
      <c r="AL772" s="8"/>
      <c r="AM772" s="8"/>
      <c r="AN772" s="631"/>
      <c r="AO772" s="18"/>
      <c r="AP772" s="18"/>
      <c r="AQ772" s="18"/>
      <c r="AR772" s="18"/>
      <c r="AS772" s="18"/>
      <c r="AU772" s="448"/>
      <c r="AV772" s="448"/>
      <c r="AW772" s="8" t="str">
        <f>IF(C772&gt;0,VLOOKUP(C772,Foundation_Calc!$A$2:$C$986,3,1),
IF(J772&gt;0,VLOOKUP(J772,Foundation_Calc!$A$2:$C$986,3,1),""))</f>
        <v/>
      </c>
      <c r="AX772" s="8" t="str">
        <f>IF(C772&gt;0,VLOOKUP(C772,Foundation_Calc!$E$2:$G$986,3,1),
IF(J772&gt;0,VLOOKUP(J772,Foundation_Calc!$E$2:$G$986,3,1),""))</f>
        <v/>
      </c>
      <c r="AY772" s="631" t="str">
        <f>IF(L772="","",
IF(AX772="PT",VLOOKUP(L772,Foundation_Calc!$K$4:$R$37,VLOOKUP(AW772,Foundation_Calc!$I$2:$J$8,2,FALSE),0),
IF(AX772="K",VLOOKUP(L772,Foundation_Calc!$K$41:$R$74,VLOOKUP(AW772,Foundation_Calc!$I$2:$J$8,2,FALSE),0),"")))</f>
        <v/>
      </c>
      <c r="AZ772" s="631" t="str">
        <f>IF(K772="","",
IF(AX772="PT",VLOOKUP(K772,Foundation_Calc!$K$4:$R$37,VLOOKUP(AW772,Foundation_Calc!$I$2:$J$8,2,FALSE),0),
IF(AX772="K",VLOOKUP(K772,Foundation_Calc!$K$41:$R$74,VLOOKUP(AW772,Foundation_Calc!$I$2:$J$8,2,FALSE),0),"")))</f>
        <v/>
      </c>
      <c r="BA772" s="632" t="str">
        <f t="shared" si="48"/>
        <v/>
      </c>
      <c r="BB772" s="632" t="str">
        <f t="shared" si="49"/>
        <v/>
      </c>
      <c r="BC772" s="632" t="str">
        <f t="shared" si="50"/>
        <v/>
      </c>
      <c r="BD772" s="633" t="str">
        <f>IF(AND(L772="",H772=""),"",
IF(H772="",Pole_Calc!A800,
IF(H772="MP",Pole_Calc!A801,
IF(H772="AnMP",Pole_Calc!A802,
IF(H772="A",Pole_Calc!A803,
IF(H772="S/A",Pole_Calc!A804,
IF(H772="A/S",Pole_Calc!A805,"Poner a mano")))))))</f>
        <v/>
      </c>
      <c r="BE772" s="448" t="s">
        <v>1726</v>
      </c>
      <c r="BF772" s="634"/>
      <c r="BG772" s="634"/>
      <c r="BH772" s="634"/>
      <c r="BI772" s="634"/>
    </row>
    <row r="773" spans="1:61" ht="16.2" customHeight="1">
      <c r="A773" s="12"/>
      <c r="B773" s="446"/>
      <c r="C773" s="89"/>
      <c r="D773" s="13"/>
      <c r="E773" s="14"/>
      <c r="F773" s="14"/>
      <c r="G773" s="15"/>
      <c r="H773" s="8"/>
      <c r="I773" s="8"/>
      <c r="J773" s="89"/>
      <c r="K773" s="8"/>
      <c r="L773" s="8"/>
      <c r="M773" s="8" t="str">
        <f>IF(L773="","",
IF(AX773="PT",VLOOKUP(L773,Foundation_Calc!$V$4:$X$37,VLOOKUP(AX773,Foundation_Calc!$I$10:$J$13,2,FALSE),0),
IF(AX773="K",VLOOKUP(L773,Foundation_Calc!$V$41:$X$74,VLOOKUP(AX773,Foundation_Calc!$I$10:$J$13,2,FALSE),0),"")))</f>
        <v/>
      </c>
      <c r="N773" s="8"/>
      <c r="O773" s="8"/>
      <c r="P773" s="8"/>
      <c r="Q773" s="14"/>
      <c r="R773" s="15"/>
      <c r="S773" s="15"/>
      <c r="T773" s="14"/>
      <c r="U773" s="14"/>
      <c r="V773" s="14"/>
      <c r="W773" s="18"/>
      <c r="X773" s="18"/>
      <c r="Y773" s="18"/>
      <c r="Z773" s="18"/>
      <c r="AA773" s="18"/>
      <c r="AB773" s="18"/>
      <c r="AC773" s="8" t="str">
        <f t="shared" si="47"/>
        <v/>
      </c>
      <c r="AD773" s="8"/>
      <c r="AE773" s="8"/>
      <c r="AF773" s="14"/>
      <c r="AG773" s="13"/>
      <c r="AH773" s="14"/>
      <c r="AI773" s="14"/>
      <c r="AJ773" s="8"/>
      <c r="AK773" s="8"/>
      <c r="AL773" s="8"/>
      <c r="AM773" s="8"/>
      <c r="AN773" s="631"/>
      <c r="AO773" s="18"/>
      <c r="AP773" s="18"/>
      <c r="AQ773" s="18"/>
      <c r="AR773" s="18"/>
      <c r="AS773" s="18"/>
      <c r="AU773" s="448"/>
      <c r="AV773" s="448"/>
      <c r="AW773" s="8" t="str">
        <f>IF(C773&gt;0,VLOOKUP(C773,Foundation_Calc!$A$2:$C$986,3,1),
IF(J773&gt;0,VLOOKUP(J773,Foundation_Calc!$A$2:$C$986,3,1),""))</f>
        <v/>
      </c>
      <c r="AX773" s="8" t="str">
        <f>IF(C773&gt;0,VLOOKUP(C773,Foundation_Calc!$E$2:$G$986,3,1),
IF(J773&gt;0,VLOOKUP(J773,Foundation_Calc!$E$2:$G$986,3,1),""))</f>
        <v/>
      </c>
      <c r="AY773" s="631" t="str">
        <f>IF(L773="","",
IF(AX773="PT",VLOOKUP(L773,Foundation_Calc!$K$4:$R$37,VLOOKUP(AW773,Foundation_Calc!$I$2:$J$8,2,FALSE),0),
IF(AX773="K",VLOOKUP(L773,Foundation_Calc!$K$41:$R$74,VLOOKUP(AW773,Foundation_Calc!$I$2:$J$8,2,FALSE),0),"")))</f>
        <v/>
      </c>
      <c r="AZ773" s="631" t="str">
        <f>IF(K773="","",
IF(AX773="PT",VLOOKUP(K773,Foundation_Calc!$K$4:$R$37,VLOOKUP(AW773,Foundation_Calc!$I$2:$J$8,2,FALSE),0),
IF(AX773="K",VLOOKUP(K773,Foundation_Calc!$K$41:$R$74,VLOOKUP(AW773,Foundation_Calc!$I$2:$J$8,2,FALSE),0),"")))</f>
        <v/>
      </c>
      <c r="BA773" s="632" t="str">
        <f t="shared" si="48"/>
        <v/>
      </c>
      <c r="BB773" s="632" t="str">
        <f t="shared" si="49"/>
        <v/>
      </c>
      <c r="BC773" s="632" t="str">
        <f t="shared" si="50"/>
        <v/>
      </c>
      <c r="BD773" s="633" t="str">
        <f>IF(AND(L773="",H773=""),"",
IF(H773="",Pole_Calc!A801,
IF(H773="MP",Pole_Calc!A802,
IF(H773="AnMP",Pole_Calc!A803,
IF(H773="A",Pole_Calc!A804,
IF(H773="S/A",Pole_Calc!A805,
IF(H773="A/S",Pole_Calc!A806,"Poner a mano")))))))</f>
        <v/>
      </c>
      <c r="BE773" s="448" t="s">
        <v>1726</v>
      </c>
      <c r="BF773" s="635"/>
      <c r="BG773" s="635"/>
      <c r="BH773" s="634"/>
      <c r="BI773" s="635"/>
    </row>
    <row r="774" spans="1:61" ht="16.2" customHeight="1">
      <c r="A774" s="12"/>
      <c r="B774" s="446"/>
      <c r="C774" s="89"/>
      <c r="D774" s="13"/>
      <c r="E774" s="14"/>
      <c r="F774" s="14"/>
      <c r="G774" s="15"/>
      <c r="H774" s="8"/>
      <c r="I774" s="8"/>
      <c r="J774" s="89"/>
      <c r="K774" s="8"/>
      <c r="L774" s="8"/>
      <c r="M774" s="8" t="str">
        <f>IF(L774="","",
IF(AX774="PT",VLOOKUP(L774,Foundation_Calc!$V$4:$X$37,VLOOKUP(AX774,Foundation_Calc!$I$10:$J$13,2,FALSE),0),
IF(AX774="K",VLOOKUP(L774,Foundation_Calc!$V$41:$X$74,VLOOKUP(AX774,Foundation_Calc!$I$10:$J$13,2,FALSE),0),"")))</f>
        <v/>
      </c>
      <c r="N774" s="8"/>
      <c r="O774" s="8"/>
      <c r="P774" s="8"/>
      <c r="Q774" s="14"/>
      <c r="R774" s="15"/>
      <c r="S774" s="15"/>
      <c r="T774" s="14"/>
      <c r="U774" s="14"/>
      <c r="V774" s="14"/>
      <c r="W774" s="18"/>
      <c r="X774" s="18"/>
      <c r="Y774" s="18"/>
      <c r="Z774" s="18"/>
      <c r="AA774" s="18"/>
      <c r="AB774" s="18"/>
      <c r="AC774" s="8" t="str">
        <f t="shared" ref="AC774:AC800" si="51">IF(OR(AT774&gt;8,AT774&lt;-8),"PH",
IF(OR(AT774&gt;5,AT774&lt;-5),"PHQ",
IF(OR(AT774&gt;1,AT774&lt;-1),
"PHC","")))</f>
        <v/>
      </c>
      <c r="AD774" s="8"/>
      <c r="AE774" s="8"/>
      <c r="AF774" s="14"/>
      <c r="AG774" s="13"/>
      <c r="AH774" s="14"/>
      <c r="AI774" s="14"/>
      <c r="AJ774" s="8"/>
      <c r="AK774" s="8"/>
      <c r="AL774" s="8"/>
      <c r="AM774" s="8"/>
      <c r="AN774" s="631"/>
      <c r="AO774" s="18"/>
      <c r="AP774" s="18"/>
      <c r="AQ774" s="18"/>
      <c r="AR774" s="18"/>
      <c r="AS774" s="18"/>
      <c r="AU774" s="448"/>
      <c r="AV774" s="448"/>
      <c r="AW774" s="8" t="str">
        <f>IF(C774&gt;0,VLOOKUP(C774,Foundation_Calc!$A$2:$C$986,3,1),
IF(J774&gt;0,VLOOKUP(J774,Foundation_Calc!$A$2:$C$986,3,1),""))</f>
        <v/>
      </c>
      <c r="AX774" s="8" t="str">
        <f>IF(C774&gt;0,VLOOKUP(C774,Foundation_Calc!$E$2:$G$986,3,1),
IF(J774&gt;0,VLOOKUP(J774,Foundation_Calc!$E$2:$G$986,3,1),""))</f>
        <v/>
      </c>
      <c r="AY774" s="631" t="str">
        <f>IF(L774="","",
IF(AX774="PT",VLOOKUP(L774,Foundation_Calc!$K$4:$R$37,VLOOKUP(AW774,Foundation_Calc!$I$2:$J$8,2,FALSE),0),
IF(AX774="K",VLOOKUP(L774,Foundation_Calc!$K$41:$R$74,VLOOKUP(AW774,Foundation_Calc!$I$2:$J$8,2,FALSE),0),"")))</f>
        <v/>
      </c>
      <c r="AZ774" s="631" t="str">
        <f>IF(K774="","",
IF(AX774="PT",VLOOKUP(K774,Foundation_Calc!$K$4:$R$37,VLOOKUP(AW774,Foundation_Calc!$I$2:$J$8,2,FALSE),0),
IF(AX774="K",VLOOKUP(K774,Foundation_Calc!$K$41:$R$74,VLOOKUP(AW774,Foundation_Calc!$I$2:$J$8,2,FALSE),0),"")))</f>
        <v/>
      </c>
      <c r="BA774" s="632" t="str">
        <f t="shared" ref="BA774:BA800" si="52">IF(AY774="","",IF(AY774&gt;0,"ü",""))</f>
        <v/>
      </c>
      <c r="BB774" s="632" t="str">
        <f t="shared" ref="BB774:BB800" si="53">IF(AZ774="","",IF(AZ774&gt;0,"ü",""))</f>
        <v/>
      </c>
      <c r="BC774" s="632" t="str">
        <f t="shared" ref="BC774:BC800" si="54">IF(M774="","",IF(M774="Unique Solution","ü",""))</f>
        <v/>
      </c>
      <c r="BD774" s="633" t="str">
        <f>IF(AND(L774="",H774=""),"",
IF(H774="",Pole_Calc!A802,
IF(H774="MP",Pole_Calc!A803,
IF(H774="AnMP",Pole_Calc!A804,
IF(H774="A",Pole_Calc!A805,
IF(H774="S/A",Pole_Calc!A806,
IF(H774="A/S",Pole_Calc!A807,"Poner a mano")))))))</f>
        <v/>
      </c>
      <c r="BE774" s="448" t="s">
        <v>1726</v>
      </c>
      <c r="BF774" s="634"/>
      <c r="BG774" s="634"/>
      <c r="BH774" s="634"/>
      <c r="BI774" s="634"/>
    </row>
    <row r="775" spans="1:61" ht="16.2" customHeight="1">
      <c r="A775" s="12"/>
      <c r="B775" s="446"/>
      <c r="C775" s="89"/>
      <c r="D775" s="13"/>
      <c r="E775" s="14"/>
      <c r="F775" s="14"/>
      <c r="G775" s="15"/>
      <c r="H775" s="8"/>
      <c r="I775" s="8"/>
      <c r="J775" s="89"/>
      <c r="K775" s="8"/>
      <c r="L775" s="8"/>
      <c r="M775" s="8" t="str">
        <f>IF(L775="","",
IF(AX775="PT",VLOOKUP(L775,Foundation_Calc!$V$4:$X$37,VLOOKUP(AX775,Foundation_Calc!$I$10:$J$13,2,FALSE),0),
IF(AX775="K",VLOOKUP(L775,Foundation_Calc!$V$41:$X$74,VLOOKUP(AX775,Foundation_Calc!$I$10:$J$13,2,FALSE),0),"")))</f>
        <v/>
      </c>
      <c r="N775" s="8"/>
      <c r="O775" s="8"/>
      <c r="P775" s="8"/>
      <c r="Q775" s="14"/>
      <c r="R775" s="15"/>
      <c r="S775" s="15"/>
      <c r="T775" s="14"/>
      <c r="U775" s="14"/>
      <c r="V775" s="14"/>
      <c r="W775" s="18"/>
      <c r="X775" s="18"/>
      <c r="Y775" s="18"/>
      <c r="Z775" s="18"/>
      <c r="AA775" s="18"/>
      <c r="AB775" s="18"/>
      <c r="AC775" s="8" t="str">
        <f t="shared" si="51"/>
        <v/>
      </c>
      <c r="AD775" s="8"/>
      <c r="AE775" s="8"/>
      <c r="AF775" s="14"/>
      <c r="AG775" s="13"/>
      <c r="AH775" s="14"/>
      <c r="AI775" s="14"/>
      <c r="AJ775" s="8"/>
      <c r="AK775" s="8"/>
      <c r="AL775" s="8"/>
      <c r="AM775" s="8"/>
      <c r="AN775" s="631"/>
      <c r="AO775" s="18"/>
      <c r="AP775" s="18"/>
      <c r="AQ775" s="18"/>
      <c r="AR775" s="18"/>
      <c r="AS775" s="18"/>
      <c r="AU775" s="448"/>
      <c r="AV775" s="448"/>
      <c r="AW775" s="8" t="str">
        <f>IF(C775&gt;0,VLOOKUP(C775,Foundation_Calc!$A$2:$C$986,3,1),
IF(J775&gt;0,VLOOKUP(J775,Foundation_Calc!$A$2:$C$986,3,1),""))</f>
        <v/>
      </c>
      <c r="AX775" s="8" t="str">
        <f>IF(C775&gt;0,VLOOKUP(C775,Foundation_Calc!$E$2:$G$986,3,1),
IF(J775&gt;0,VLOOKUP(J775,Foundation_Calc!$E$2:$G$986,3,1),""))</f>
        <v/>
      </c>
      <c r="AY775" s="631" t="str">
        <f>IF(L775="","",
IF(AX775="PT",VLOOKUP(L775,Foundation_Calc!$K$4:$R$37,VLOOKUP(AW775,Foundation_Calc!$I$2:$J$8,2,FALSE),0),
IF(AX775="K",VLOOKUP(L775,Foundation_Calc!$K$41:$R$74,VLOOKUP(AW775,Foundation_Calc!$I$2:$J$8,2,FALSE),0),"")))</f>
        <v/>
      </c>
      <c r="AZ775" s="631" t="str">
        <f>IF(K775="","",
IF(AX775="PT",VLOOKUP(K775,Foundation_Calc!$K$4:$R$37,VLOOKUP(AW775,Foundation_Calc!$I$2:$J$8,2,FALSE),0),
IF(AX775="K",VLOOKUP(K775,Foundation_Calc!$K$41:$R$74,VLOOKUP(AW775,Foundation_Calc!$I$2:$J$8,2,FALSE),0),"")))</f>
        <v/>
      </c>
      <c r="BA775" s="632" t="str">
        <f t="shared" si="52"/>
        <v/>
      </c>
      <c r="BB775" s="632" t="str">
        <f t="shared" si="53"/>
        <v/>
      </c>
      <c r="BC775" s="632" t="str">
        <f t="shared" si="54"/>
        <v/>
      </c>
      <c r="BD775" s="633" t="str">
        <f>IF(AND(L775="",H775=""),"",
IF(H775="",Pole_Calc!A803,
IF(H775="MP",Pole_Calc!A804,
IF(H775="AnMP",Pole_Calc!A805,
IF(H775="A",Pole_Calc!A806,
IF(H775="S/A",Pole_Calc!A807,
IF(H775="A/S",Pole_Calc!A808,"Poner a mano")))))))</f>
        <v/>
      </c>
      <c r="BE775" s="448" t="s">
        <v>1726</v>
      </c>
      <c r="BF775" s="635"/>
      <c r="BG775" s="635"/>
      <c r="BH775" s="634"/>
      <c r="BI775" s="635"/>
    </row>
    <row r="776" spans="1:61" ht="16.2" customHeight="1">
      <c r="A776" s="12"/>
      <c r="B776" s="446"/>
      <c r="C776" s="89"/>
      <c r="D776" s="13"/>
      <c r="E776" s="14"/>
      <c r="F776" s="14"/>
      <c r="G776" s="15"/>
      <c r="H776" s="8"/>
      <c r="I776" s="8"/>
      <c r="J776" s="89"/>
      <c r="K776" s="8"/>
      <c r="L776" s="8"/>
      <c r="M776" s="8" t="str">
        <f>IF(L776="","",
IF(AX776="PT",VLOOKUP(L776,Foundation_Calc!$V$4:$X$37,VLOOKUP(AX776,Foundation_Calc!$I$10:$J$13,2,FALSE),0),
IF(AX776="K",VLOOKUP(L776,Foundation_Calc!$V$41:$X$74,VLOOKUP(AX776,Foundation_Calc!$I$10:$J$13,2,FALSE),0),"")))</f>
        <v/>
      </c>
      <c r="N776" s="8"/>
      <c r="O776" s="8"/>
      <c r="P776" s="8"/>
      <c r="Q776" s="14"/>
      <c r="R776" s="15"/>
      <c r="S776" s="15"/>
      <c r="T776" s="14"/>
      <c r="U776" s="14"/>
      <c r="V776" s="14"/>
      <c r="W776" s="18"/>
      <c r="X776" s="18"/>
      <c r="Y776" s="18"/>
      <c r="Z776" s="18"/>
      <c r="AA776" s="18"/>
      <c r="AB776" s="18"/>
      <c r="AC776" s="8" t="str">
        <f t="shared" si="51"/>
        <v/>
      </c>
      <c r="AD776" s="8"/>
      <c r="AE776" s="8"/>
      <c r="AF776" s="14"/>
      <c r="AG776" s="13"/>
      <c r="AH776" s="14"/>
      <c r="AI776" s="14"/>
      <c r="AJ776" s="8"/>
      <c r="AK776" s="8"/>
      <c r="AL776" s="8"/>
      <c r="AM776" s="8"/>
      <c r="AN776" s="631"/>
      <c r="AO776" s="18"/>
      <c r="AP776" s="18"/>
      <c r="AQ776" s="18"/>
      <c r="AR776" s="18"/>
      <c r="AS776" s="18"/>
      <c r="AU776" s="448"/>
      <c r="AV776" s="448"/>
      <c r="AW776" s="8" t="str">
        <f>IF(C776&gt;0,VLOOKUP(C776,Foundation_Calc!$A$2:$C$986,3,1),
IF(J776&gt;0,VLOOKUP(J776,Foundation_Calc!$A$2:$C$986,3,1),""))</f>
        <v/>
      </c>
      <c r="AX776" s="8" t="str">
        <f>IF(C776&gt;0,VLOOKUP(C776,Foundation_Calc!$E$2:$G$986,3,1),
IF(J776&gt;0,VLOOKUP(J776,Foundation_Calc!$E$2:$G$986,3,1),""))</f>
        <v/>
      </c>
      <c r="AY776" s="631" t="str">
        <f>IF(L776="","",
IF(AX776="PT",VLOOKUP(L776,Foundation_Calc!$K$4:$R$37,VLOOKUP(AW776,Foundation_Calc!$I$2:$J$8,2,FALSE),0),
IF(AX776="K",VLOOKUP(L776,Foundation_Calc!$K$41:$R$74,VLOOKUP(AW776,Foundation_Calc!$I$2:$J$8,2,FALSE),0),"")))</f>
        <v/>
      </c>
      <c r="AZ776" s="631" t="str">
        <f>IF(K776="","",
IF(AX776="PT",VLOOKUP(K776,Foundation_Calc!$K$4:$R$37,VLOOKUP(AW776,Foundation_Calc!$I$2:$J$8,2,FALSE),0),
IF(AX776="K",VLOOKUP(K776,Foundation_Calc!$K$41:$R$74,VLOOKUP(AW776,Foundation_Calc!$I$2:$J$8,2,FALSE),0),"")))</f>
        <v/>
      </c>
      <c r="BA776" s="632" t="str">
        <f t="shared" si="52"/>
        <v/>
      </c>
      <c r="BB776" s="632" t="str">
        <f t="shared" si="53"/>
        <v/>
      </c>
      <c r="BC776" s="632" t="str">
        <f t="shared" si="54"/>
        <v/>
      </c>
      <c r="BD776" s="633" t="str">
        <f>IF(AND(L776="",H776=""),"",
IF(H776="",Pole_Calc!A804,
IF(H776="MP",Pole_Calc!A805,
IF(H776="AnMP",Pole_Calc!A806,
IF(H776="A",Pole_Calc!A807,
IF(H776="S/A",Pole_Calc!A808,
IF(H776="A/S",Pole_Calc!A809,"Poner a mano")))))))</f>
        <v/>
      </c>
      <c r="BE776" s="448" t="s">
        <v>1726</v>
      </c>
      <c r="BF776" s="634"/>
      <c r="BG776" s="634"/>
      <c r="BH776" s="634"/>
      <c r="BI776" s="634"/>
    </row>
    <row r="777" spans="1:61" ht="16.2" customHeight="1">
      <c r="A777" s="12"/>
      <c r="B777" s="446"/>
      <c r="C777" s="89"/>
      <c r="D777" s="13"/>
      <c r="E777" s="14"/>
      <c r="F777" s="14"/>
      <c r="G777" s="15"/>
      <c r="H777" s="8"/>
      <c r="I777" s="8"/>
      <c r="J777" s="89"/>
      <c r="K777" s="8"/>
      <c r="L777" s="8"/>
      <c r="M777" s="8" t="str">
        <f>IF(L777="","",
IF(AX777="PT",VLOOKUP(L777,Foundation_Calc!$V$4:$X$37,VLOOKUP(AX777,Foundation_Calc!$I$10:$J$13,2,FALSE),0),
IF(AX777="K",VLOOKUP(L777,Foundation_Calc!$V$41:$X$74,VLOOKUP(AX777,Foundation_Calc!$I$10:$J$13,2,FALSE),0),"")))</f>
        <v/>
      </c>
      <c r="N777" s="8"/>
      <c r="O777" s="8"/>
      <c r="P777" s="8"/>
      <c r="Q777" s="14"/>
      <c r="R777" s="15"/>
      <c r="S777" s="15"/>
      <c r="T777" s="14"/>
      <c r="U777" s="14"/>
      <c r="V777" s="14"/>
      <c r="W777" s="18"/>
      <c r="X777" s="18"/>
      <c r="Y777" s="18"/>
      <c r="Z777" s="18"/>
      <c r="AA777" s="18"/>
      <c r="AB777" s="18"/>
      <c r="AC777" s="8" t="str">
        <f t="shared" si="51"/>
        <v/>
      </c>
      <c r="AD777" s="8"/>
      <c r="AE777" s="8"/>
      <c r="AF777" s="14"/>
      <c r="AG777" s="13"/>
      <c r="AH777" s="14"/>
      <c r="AI777" s="14"/>
      <c r="AJ777" s="8"/>
      <c r="AK777" s="8"/>
      <c r="AL777" s="8"/>
      <c r="AM777" s="8"/>
      <c r="AN777" s="631"/>
      <c r="AO777" s="18"/>
      <c r="AP777" s="18"/>
      <c r="AQ777" s="18"/>
      <c r="AR777" s="18"/>
      <c r="AS777" s="18"/>
      <c r="AU777" s="448"/>
      <c r="AV777" s="448"/>
      <c r="AW777" s="8" t="str">
        <f>IF(C777&gt;0,VLOOKUP(C777,Foundation_Calc!$A$2:$C$986,3,1),
IF(J777&gt;0,VLOOKUP(J777,Foundation_Calc!$A$2:$C$986,3,1),""))</f>
        <v/>
      </c>
      <c r="AX777" s="8" t="str">
        <f>IF(C777&gt;0,VLOOKUP(C777,Foundation_Calc!$E$2:$G$986,3,1),
IF(J777&gt;0,VLOOKUP(J777,Foundation_Calc!$E$2:$G$986,3,1),""))</f>
        <v/>
      </c>
      <c r="AY777" s="631" t="str">
        <f>IF(L777="","",
IF(AX777="PT",VLOOKUP(L777,Foundation_Calc!$K$4:$R$37,VLOOKUP(AW777,Foundation_Calc!$I$2:$J$8,2,FALSE),0),
IF(AX777="K",VLOOKUP(L777,Foundation_Calc!$K$41:$R$74,VLOOKUP(AW777,Foundation_Calc!$I$2:$J$8,2,FALSE),0),"")))</f>
        <v/>
      </c>
      <c r="AZ777" s="631" t="str">
        <f>IF(K777="","",
IF(AX777="PT",VLOOKUP(K777,Foundation_Calc!$K$4:$R$37,VLOOKUP(AW777,Foundation_Calc!$I$2:$J$8,2,FALSE),0),
IF(AX777="K",VLOOKUP(K777,Foundation_Calc!$K$41:$R$74,VLOOKUP(AW777,Foundation_Calc!$I$2:$J$8,2,FALSE),0),"")))</f>
        <v/>
      </c>
      <c r="BA777" s="632" t="str">
        <f t="shared" si="52"/>
        <v/>
      </c>
      <c r="BB777" s="632" t="str">
        <f t="shared" si="53"/>
        <v/>
      </c>
      <c r="BC777" s="632" t="str">
        <f t="shared" si="54"/>
        <v/>
      </c>
      <c r="BD777" s="633" t="str">
        <f>IF(AND(L777="",H777=""),"",
IF(H777="",Pole_Calc!A805,
IF(H777="MP",Pole_Calc!A806,
IF(H777="AnMP",Pole_Calc!A807,
IF(H777="A",Pole_Calc!A808,
IF(H777="S/A",Pole_Calc!A809,
IF(H777="A/S",Pole_Calc!A810,"Poner a mano")))))))</f>
        <v/>
      </c>
      <c r="BE777" s="448" t="s">
        <v>1726</v>
      </c>
      <c r="BF777" s="635"/>
      <c r="BG777" s="635"/>
      <c r="BH777" s="634"/>
      <c r="BI777" s="635"/>
    </row>
    <row r="778" spans="1:61" ht="16.2" customHeight="1">
      <c r="A778" s="12"/>
      <c r="B778" s="446"/>
      <c r="C778" s="89"/>
      <c r="D778" s="13"/>
      <c r="E778" s="14"/>
      <c r="F778" s="14"/>
      <c r="G778" s="15"/>
      <c r="H778" s="8"/>
      <c r="I778" s="8"/>
      <c r="J778" s="89"/>
      <c r="K778" s="8"/>
      <c r="L778" s="8"/>
      <c r="M778" s="8" t="str">
        <f>IF(L778="","",
IF(AX778="PT",VLOOKUP(L778,Foundation_Calc!$V$4:$X$37,VLOOKUP(AX778,Foundation_Calc!$I$10:$J$13,2,FALSE),0),
IF(AX778="K",VLOOKUP(L778,Foundation_Calc!$V$41:$X$74,VLOOKUP(AX778,Foundation_Calc!$I$10:$J$13,2,FALSE),0),"")))</f>
        <v/>
      </c>
      <c r="N778" s="8"/>
      <c r="O778" s="8"/>
      <c r="P778" s="8"/>
      <c r="Q778" s="14"/>
      <c r="R778" s="15"/>
      <c r="S778" s="15"/>
      <c r="T778" s="14"/>
      <c r="U778" s="14"/>
      <c r="V778" s="14"/>
      <c r="W778" s="18"/>
      <c r="X778" s="18"/>
      <c r="Y778" s="18"/>
      <c r="Z778" s="18"/>
      <c r="AA778" s="18"/>
      <c r="AB778" s="18"/>
      <c r="AC778" s="8" t="str">
        <f t="shared" si="51"/>
        <v/>
      </c>
      <c r="AD778" s="8"/>
      <c r="AE778" s="8"/>
      <c r="AF778" s="14"/>
      <c r="AG778" s="13"/>
      <c r="AH778" s="14"/>
      <c r="AI778" s="14"/>
      <c r="AJ778" s="8"/>
      <c r="AK778" s="8"/>
      <c r="AL778" s="8"/>
      <c r="AM778" s="8"/>
      <c r="AN778" s="631"/>
      <c r="AO778" s="18"/>
      <c r="AP778" s="18"/>
      <c r="AQ778" s="18"/>
      <c r="AR778" s="18"/>
      <c r="AS778" s="18"/>
      <c r="AU778" s="448"/>
      <c r="AV778" s="448"/>
      <c r="AW778" s="8" t="str">
        <f>IF(C778&gt;0,VLOOKUP(C778,Foundation_Calc!$A$2:$C$986,3,1),
IF(J778&gt;0,VLOOKUP(J778,Foundation_Calc!$A$2:$C$986,3,1),""))</f>
        <v/>
      </c>
      <c r="AX778" s="8" t="str">
        <f>IF(C778&gt;0,VLOOKUP(C778,Foundation_Calc!$E$2:$G$986,3,1),
IF(J778&gt;0,VLOOKUP(J778,Foundation_Calc!$E$2:$G$986,3,1),""))</f>
        <v/>
      </c>
      <c r="AY778" s="631" t="str">
        <f>IF(L778="","",
IF(AX778="PT",VLOOKUP(L778,Foundation_Calc!$K$4:$R$37,VLOOKUP(AW778,Foundation_Calc!$I$2:$J$8,2,FALSE),0),
IF(AX778="K",VLOOKUP(L778,Foundation_Calc!$K$41:$R$74,VLOOKUP(AW778,Foundation_Calc!$I$2:$J$8,2,FALSE),0),"")))</f>
        <v/>
      </c>
      <c r="AZ778" s="631" t="str">
        <f>IF(K778="","",
IF(AX778="PT",VLOOKUP(K778,Foundation_Calc!$K$4:$R$37,VLOOKUP(AW778,Foundation_Calc!$I$2:$J$8,2,FALSE),0),
IF(AX778="K",VLOOKUP(K778,Foundation_Calc!$K$41:$R$74,VLOOKUP(AW778,Foundation_Calc!$I$2:$J$8,2,FALSE),0),"")))</f>
        <v/>
      </c>
      <c r="BA778" s="632" t="str">
        <f t="shared" si="52"/>
        <v/>
      </c>
      <c r="BB778" s="632" t="str">
        <f t="shared" si="53"/>
        <v/>
      </c>
      <c r="BC778" s="632" t="str">
        <f t="shared" si="54"/>
        <v/>
      </c>
      <c r="BD778" s="633" t="str">
        <f>IF(AND(L778="",H778=""),"",
IF(H778="",Pole_Calc!A806,
IF(H778="MP",Pole_Calc!A807,
IF(H778="AnMP",Pole_Calc!A808,
IF(H778="A",Pole_Calc!A809,
IF(H778="S/A",Pole_Calc!A810,
IF(H778="A/S",Pole_Calc!A811,"Poner a mano")))))))</f>
        <v/>
      </c>
      <c r="BE778" s="448" t="s">
        <v>1726</v>
      </c>
      <c r="BF778" s="634"/>
      <c r="BG778" s="634"/>
      <c r="BH778" s="634"/>
      <c r="BI778" s="634"/>
    </row>
    <row r="779" spans="1:61" ht="16.2" customHeight="1">
      <c r="A779" s="12"/>
      <c r="B779" s="446"/>
      <c r="C779" s="89"/>
      <c r="D779" s="13"/>
      <c r="E779" s="14"/>
      <c r="F779" s="14"/>
      <c r="G779" s="15"/>
      <c r="H779" s="8"/>
      <c r="I779" s="8"/>
      <c r="J779" s="89"/>
      <c r="K779" s="8"/>
      <c r="L779" s="8"/>
      <c r="M779" s="8" t="str">
        <f>IF(L779="","",
IF(AX779="PT",VLOOKUP(L779,Foundation_Calc!$V$4:$X$37,VLOOKUP(AX779,Foundation_Calc!$I$10:$J$13,2,FALSE),0),
IF(AX779="K",VLOOKUP(L779,Foundation_Calc!$V$41:$X$74,VLOOKUP(AX779,Foundation_Calc!$I$10:$J$13,2,FALSE),0),"")))</f>
        <v/>
      </c>
      <c r="N779" s="8"/>
      <c r="O779" s="8"/>
      <c r="P779" s="8"/>
      <c r="Q779" s="14"/>
      <c r="R779" s="15"/>
      <c r="S779" s="15"/>
      <c r="T779" s="14"/>
      <c r="U779" s="14"/>
      <c r="V779" s="14"/>
      <c r="W779" s="18"/>
      <c r="X779" s="18"/>
      <c r="Y779" s="18"/>
      <c r="Z779" s="18"/>
      <c r="AA779" s="18"/>
      <c r="AB779" s="18"/>
      <c r="AC779" s="8" t="str">
        <f t="shared" si="51"/>
        <v/>
      </c>
      <c r="AD779" s="8"/>
      <c r="AE779" s="8"/>
      <c r="AF779" s="14"/>
      <c r="AG779" s="13"/>
      <c r="AH779" s="14"/>
      <c r="AI779" s="14"/>
      <c r="AJ779" s="8"/>
      <c r="AK779" s="8"/>
      <c r="AL779" s="8"/>
      <c r="AM779" s="8"/>
      <c r="AN779" s="631"/>
      <c r="AO779" s="18"/>
      <c r="AP779" s="18"/>
      <c r="AQ779" s="18"/>
      <c r="AR779" s="18"/>
      <c r="AS779" s="18"/>
      <c r="AU779" s="448"/>
      <c r="AV779" s="448"/>
      <c r="AW779" s="8" t="str">
        <f>IF(C779&gt;0,VLOOKUP(C779,Foundation_Calc!$A$2:$C$986,3,1),
IF(J779&gt;0,VLOOKUP(J779,Foundation_Calc!$A$2:$C$986,3,1),""))</f>
        <v/>
      </c>
      <c r="AX779" s="8" t="str">
        <f>IF(C779&gt;0,VLOOKUP(C779,Foundation_Calc!$E$2:$G$986,3,1),
IF(J779&gt;0,VLOOKUP(J779,Foundation_Calc!$E$2:$G$986,3,1),""))</f>
        <v/>
      </c>
      <c r="AY779" s="631" t="str">
        <f>IF(L779="","",
IF(AX779="PT",VLOOKUP(L779,Foundation_Calc!$K$4:$R$37,VLOOKUP(AW779,Foundation_Calc!$I$2:$J$8,2,FALSE),0),
IF(AX779="K",VLOOKUP(L779,Foundation_Calc!$K$41:$R$74,VLOOKUP(AW779,Foundation_Calc!$I$2:$J$8,2,FALSE),0),"")))</f>
        <v/>
      </c>
      <c r="AZ779" s="631" t="str">
        <f>IF(K779="","",
IF(AX779="PT",VLOOKUP(K779,Foundation_Calc!$K$4:$R$37,VLOOKUP(AW779,Foundation_Calc!$I$2:$J$8,2,FALSE),0),
IF(AX779="K",VLOOKUP(K779,Foundation_Calc!$K$41:$R$74,VLOOKUP(AW779,Foundation_Calc!$I$2:$J$8,2,FALSE),0),"")))</f>
        <v/>
      </c>
      <c r="BA779" s="632" t="str">
        <f t="shared" si="52"/>
        <v/>
      </c>
      <c r="BB779" s="632" t="str">
        <f t="shared" si="53"/>
        <v/>
      </c>
      <c r="BC779" s="632" t="str">
        <f t="shared" si="54"/>
        <v/>
      </c>
      <c r="BD779" s="633" t="str">
        <f>IF(AND(L779="",H779=""),"",
IF(H779="",Pole_Calc!A807,
IF(H779="MP",Pole_Calc!A808,
IF(H779="AnMP",Pole_Calc!A809,
IF(H779="A",Pole_Calc!A810,
IF(H779="S/A",Pole_Calc!A811,
IF(H779="A/S",Pole_Calc!A812,"Poner a mano")))))))</f>
        <v/>
      </c>
      <c r="BE779" s="448" t="s">
        <v>1726</v>
      </c>
      <c r="BF779" s="635"/>
      <c r="BG779" s="635"/>
      <c r="BH779" s="634"/>
      <c r="BI779" s="635"/>
    </row>
    <row r="780" spans="1:61" ht="16.2" customHeight="1">
      <c r="A780" s="12"/>
      <c r="B780" s="446"/>
      <c r="C780" s="89"/>
      <c r="D780" s="13"/>
      <c r="E780" s="14"/>
      <c r="F780" s="14"/>
      <c r="G780" s="15"/>
      <c r="H780" s="8"/>
      <c r="I780" s="8"/>
      <c r="J780" s="89"/>
      <c r="K780" s="8"/>
      <c r="L780" s="8"/>
      <c r="M780" s="8" t="str">
        <f>IF(L780="","",
IF(AX780="PT",VLOOKUP(L780,Foundation_Calc!$V$4:$X$37,VLOOKUP(AX780,Foundation_Calc!$I$10:$J$13,2,FALSE),0),
IF(AX780="K",VLOOKUP(L780,Foundation_Calc!$V$41:$X$74,VLOOKUP(AX780,Foundation_Calc!$I$10:$J$13,2,FALSE),0),"")))</f>
        <v/>
      </c>
      <c r="N780" s="8"/>
      <c r="O780" s="8"/>
      <c r="P780" s="8"/>
      <c r="Q780" s="14"/>
      <c r="R780" s="15"/>
      <c r="S780" s="15"/>
      <c r="T780" s="14"/>
      <c r="U780" s="14"/>
      <c r="V780" s="14"/>
      <c r="W780" s="18"/>
      <c r="X780" s="18"/>
      <c r="Y780" s="18"/>
      <c r="Z780" s="18"/>
      <c r="AA780" s="18"/>
      <c r="AB780" s="18"/>
      <c r="AC780" s="8" t="str">
        <f t="shared" si="51"/>
        <v/>
      </c>
      <c r="AD780" s="8"/>
      <c r="AE780" s="8"/>
      <c r="AF780" s="14"/>
      <c r="AG780" s="13"/>
      <c r="AH780" s="14"/>
      <c r="AI780" s="14"/>
      <c r="AJ780" s="8"/>
      <c r="AK780" s="8"/>
      <c r="AL780" s="8"/>
      <c r="AM780" s="8"/>
      <c r="AN780" s="631"/>
      <c r="AO780" s="18"/>
      <c r="AP780" s="18"/>
      <c r="AQ780" s="18"/>
      <c r="AR780" s="18"/>
      <c r="AS780" s="18"/>
      <c r="AU780" s="448"/>
      <c r="AV780" s="448"/>
      <c r="AW780" s="8" t="str">
        <f>IF(C780&gt;0,VLOOKUP(C780,Foundation_Calc!$A$2:$C$986,3,1),
IF(J780&gt;0,VLOOKUP(J780,Foundation_Calc!$A$2:$C$986,3,1),""))</f>
        <v/>
      </c>
      <c r="AX780" s="8" t="str">
        <f>IF(C780&gt;0,VLOOKUP(C780,Foundation_Calc!$E$2:$G$986,3,1),
IF(J780&gt;0,VLOOKUP(J780,Foundation_Calc!$E$2:$G$986,3,1),""))</f>
        <v/>
      </c>
      <c r="AY780" s="631" t="str">
        <f>IF(L780="","",
IF(AX780="PT",VLOOKUP(L780,Foundation_Calc!$K$4:$R$37,VLOOKUP(AW780,Foundation_Calc!$I$2:$J$8,2,FALSE),0),
IF(AX780="K",VLOOKUP(L780,Foundation_Calc!$K$41:$R$74,VLOOKUP(AW780,Foundation_Calc!$I$2:$J$8,2,FALSE),0),"")))</f>
        <v/>
      </c>
      <c r="AZ780" s="631" t="str">
        <f>IF(K780="","",
IF(AX780="PT",VLOOKUP(K780,Foundation_Calc!$K$4:$R$37,VLOOKUP(AW780,Foundation_Calc!$I$2:$J$8,2,FALSE),0),
IF(AX780="K",VLOOKUP(K780,Foundation_Calc!$K$41:$R$74,VLOOKUP(AW780,Foundation_Calc!$I$2:$J$8,2,FALSE),0),"")))</f>
        <v/>
      </c>
      <c r="BA780" s="632" t="str">
        <f t="shared" si="52"/>
        <v/>
      </c>
      <c r="BB780" s="632" t="str">
        <f t="shared" si="53"/>
        <v/>
      </c>
      <c r="BC780" s="632" t="str">
        <f t="shared" si="54"/>
        <v/>
      </c>
      <c r="BD780" s="633" t="str">
        <f>IF(AND(L780="",H780=""),"",
IF(H780="",Pole_Calc!A808,
IF(H780="MP",Pole_Calc!A809,
IF(H780="AnMP",Pole_Calc!A810,
IF(H780="A",Pole_Calc!A811,
IF(H780="S/A",Pole_Calc!A812,
IF(H780="A/S",Pole_Calc!A813,"Poner a mano")))))))</f>
        <v/>
      </c>
      <c r="BE780" s="448" t="s">
        <v>1726</v>
      </c>
      <c r="BF780" s="634"/>
      <c r="BG780" s="634"/>
      <c r="BH780" s="634"/>
      <c r="BI780" s="634"/>
    </row>
    <row r="781" spans="1:61" ht="16.2" customHeight="1">
      <c r="A781" s="12"/>
      <c r="B781" s="446"/>
      <c r="C781" s="89"/>
      <c r="D781" s="13"/>
      <c r="E781" s="14"/>
      <c r="F781" s="14"/>
      <c r="G781" s="15"/>
      <c r="H781" s="8"/>
      <c r="I781" s="8"/>
      <c r="J781" s="89"/>
      <c r="K781" s="8"/>
      <c r="L781" s="8"/>
      <c r="M781" s="8" t="str">
        <f>IF(L781="","",
IF(AX781="PT",VLOOKUP(L781,Foundation_Calc!$V$4:$X$37,VLOOKUP(AX781,Foundation_Calc!$I$10:$J$13,2,FALSE),0),
IF(AX781="K",VLOOKUP(L781,Foundation_Calc!$V$41:$X$74,VLOOKUP(AX781,Foundation_Calc!$I$10:$J$13,2,FALSE),0),"")))</f>
        <v/>
      </c>
      <c r="N781" s="8"/>
      <c r="O781" s="8"/>
      <c r="P781" s="8"/>
      <c r="Q781" s="14"/>
      <c r="R781" s="15"/>
      <c r="S781" s="15"/>
      <c r="T781" s="14"/>
      <c r="U781" s="14"/>
      <c r="V781" s="14"/>
      <c r="W781" s="18"/>
      <c r="X781" s="18"/>
      <c r="Y781" s="18"/>
      <c r="Z781" s="18"/>
      <c r="AA781" s="18"/>
      <c r="AB781" s="18"/>
      <c r="AC781" s="8" t="str">
        <f t="shared" si="51"/>
        <v/>
      </c>
      <c r="AD781" s="8"/>
      <c r="AE781" s="8"/>
      <c r="AF781" s="14"/>
      <c r="AG781" s="13"/>
      <c r="AH781" s="14"/>
      <c r="AI781" s="14"/>
      <c r="AJ781" s="8"/>
      <c r="AK781" s="8"/>
      <c r="AL781" s="8"/>
      <c r="AM781" s="8"/>
      <c r="AN781" s="631"/>
      <c r="AO781" s="18"/>
      <c r="AP781" s="18"/>
      <c r="AQ781" s="18"/>
      <c r="AR781" s="18"/>
      <c r="AS781" s="18"/>
      <c r="AU781" s="448"/>
      <c r="AV781" s="448"/>
      <c r="AW781" s="8" t="str">
        <f>IF(C781&gt;0,VLOOKUP(C781,Foundation_Calc!$A$2:$C$986,3,1),
IF(J781&gt;0,VLOOKUP(J781,Foundation_Calc!$A$2:$C$986,3,1),""))</f>
        <v/>
      </c>
      <c r="AX781" s="8" t="str">
        <f>IF(C781&gt;0,VLOOKUP(C781,Foundation_Calc!$E$2:$G$986,3,1),
IF(J781&gt;0,VLOOKUP(J781,Foundation_Calc!$E$2:$G$986,3,1),""))</f>
        <v/>
      </c>
      <c r="AY781" s="631" t="str">
        <f>IF(L781="","",
IF(AX781="PT",VLOOKUP(L781,Foundation_Calc!$K$4:$R$37,VLOOKUP(AW781,Foundation_Calc!$I$2:$J$8,2,FALSE),0),
IF(AX781="K",VLOOKUP(L781,Foundation_Calc!$K$41:$R$74,VLOOKUP(AW781,Foundation_Calc!$I$2:$J$8,2,FALSE),0),"")))</f>
        <v/>
      </c>
      <c r="AZ781" s="631" t="str">
        <f>IF(K781="","",
IF(AX781="PT",VLOOKUP(K781,Foundation_Calc!$K$4:$R$37,VLOOKUP(AW781,Foundation_Calc!$I$2:$J$8,2,FALSE),0),
IF(AX781="K",VLOOKUP(K781,Foundation_Calc!$K$41:$R$74,VLOOKUP(AW781,Foundation_Calc!$I$2:$J$8,2,FALSE),0),"")))</f>
        <v/>
      </c>
      <c r="BA781" s="632" t="str">
        <f t="shared" si="52"/>
        <v/>
      </c>
      <c r="BB781" s="632" t="str">
        <f t="shared" si="53"/>
        <v/>
      </c>
      <c r="BC781" s="632" t="str">
        <f t="shared" si="54"/>
        <v/>
      </c>
      <c r="BD781" s="633" t="str">
        <f>IF(AND(L781="",H781=""),"",
IF(H781="",Pole_Calc!A809,
IF(H781="MP",Pole_Calc!A810,
IF(H781="AnMP",Pole_Calc!A811,
IF(H781="A",Pole_Calc!A812,
IF(H781="S/A",Pole_Calc!A813,
IF(H781="A/S",Pole_Calc!A814,"Poner a mano")))))))</f>
        <v/>
      </c>
      <c r="BE781" s="448" t="s">
        <v>1726</v>
      </c>
      <c r="BF781" s="635"/>
      <c r="BG781" s="635"/>
      <c r="BH781" s="634"/>
      <c r="BI781" s="635"/>
    </row>
    <row r="782" spans="1:61" ht="16.2" customHeight="1">
      <c r="A782" s="12"/>
      <c r="B782" s="446"/>
      <c r="C782" s="89"/>
      <c r="D782" s="13"/>
      <c r="E782" s="14"/>
      <c r="F782" s="14"/>
      <c r="G782" s="15"/>
      <c r="H782" s="8"/>
      <c r="I782" s="8"/>
      <c r="J782" s="89"/>
      <c r="K782" s="8"/>
      <c r="L782" s="8"/>
      <c r="M782" s="8" t="str">
        <f>IF(L782="","",
IF(AX782="PT",VLOOKUP(L782,Foundation_Calc!$V$4:$X$37,VLOOKUP(AX782,Foundation_Calc!$I$10:$J$13,2,FALSE),0),
IF(AX782="K",VLOOKUP(L782,Foundation_Calc!$V$41:$X$74,VLOOKUP(AX782,Foundation_Calc!$I$10:$J$13,2,FALSE),0),"")))</f>
        <v/>
      </c>
      <c r="N782" s="8"/>
      <c r="O782" s="8"/>
      <c r="P782" s="8"/>
      <c r="Q782" s="14"/>
      <c r="R782" s="15"/>
      <c r="S782" s="15"/>
      <c r="T782" s="14"/>
      <c r="U782" s="14"/>
      <c r="V782" s="14"/>
      <c r="W782" s="18"/>
      <c r="X782" s="18"/>
      <c r="Y782" s="18"/>
      <c r="Z782" s="18"/>
      <c r="AA782" s="18"/>
      <c r="AB782" s="18"/>
      <c r="AC782" s="8" t="str">
        <f t="shared" si="51"/>
        <v/>
      </c>
      <c r="AD782" s="8"/>
      <c r="AE782" s="8"/>
      <c r="AF782" s="14"/>
      <c r="AG782" s="13"/>
      <c r="AH782" s="14"/>
      <c r="AI782" s="14"/>
      <c r="AJ782" s="8"/>
      <c r="AK782" s="8"/>
      <c r="AL782" s="8"/>
      <c r="AM782" s="8"/>
      <c r="AN782" s="631"/>
      <c r="AO782" s="18"/>
      <c r="AP782" s="18"/>
      <c r="AQ782" s="18"/>
      <c r="AR782" s="18"/>
      <c r="AS782" s="18"/>
      <c r="AU782" s="448"/>
      <c r="AV782" s="448"/>
      <c r="AW782" s="8" t="str">
        <f>IF(C782&gt;0,VLOOKUP(C782,Foundation_Calc!$A$2:$C$986,3,1),
IF(J782&gt;0,VLOOKUP(J782,Foundation_Calc!$A$2:$C$986,3,1),""))</f>
        <v/>
      </c>
      <c r="AX782" s="8" t="str">
        <f>IF(C782&gt;0,VLOOKUP(C782,Foundation_Calc!$E$2:$G$986,3,1),
IF(J782&gt;0,VLOOKUP(J782,Foundation_Calc!$E$2:$G$986,3,1),""))</f>
        <v/>
      </c>
      <c r="AY782" s="631" t="str">
        <f>IF(L782="","",
IF(AX782="PT",VLOOKUP(L782,Foundation_Calc!$K$4:$R$37,VLOOKUP(AW782,Foundation_Calc!$I$2:$J$8,2,FALSE),0),
IF(AX782="K",VLOOKUP(L782,Foundation_Calc!$K$41:$R$74,VLOOKUP(AW782,Foundation_Calc!$I$2:$J$8,2,FALSE),0),"")))</f>
        <v/>
      </c>
      <c r="AZ782" s="631" t="str">
        <f>IF(K782="","",
IF(AX782="PT",VLOOKUP(K782,Foundation_Calc!$K$4:$R$37,VLOOKUP(AW782,Foundation_Calc!$I$2:$J$8,2,FALSE),0),
IF(AX782="K",VLOOKUP(K782,Foundation_Calc!$K$41:$R$74,VLOOKUP(AW782,Foundation_Calc!$I$2:$J$8,2,FALSE),0),"")))</f>
        <v/>
      </c>
      <c r="BA782" s="632" t="str">
        <f t="shared" si="52"/>
        <v/>
      </c>
      <c r="BB782" s="632" t="str">
        <f t="shared" si="53"/>
        <v/>
      </c>
      <c r="BC782" s="632" t="str">
        <f t="shared" si="54"/>
        <v/>
      </c>
      <c r="BD782" s="633" t="str">
        <f>IF(AND(L782="",H782=""),"",
IF(H782="",Pole_Calc!A810,
IF(H782="MP",Pole_Calc!A811,
IF(H782="AnMP",Pole_Calc!A812,
IF(H782="A",Pole_Calc!A813,
IF(H782="S/A",Pole_Calc!A814,
IF(H782="A/S",Pole_Calc!A815,"Poner a mano")))))))</f>
        <v/>
      </c>
      <c r="BE782" s="448" t="s">
        <v>1726</v>
      </c>
      <c r="BF782" s="634"/>
      <c r="BG782" s="634"/>
      <c r="BH782" s="634"/>
      <c r="BI782" s="634"/>
    </row>
    <row r="783" spans="1:61" ht="16.2" customHeight="1">
      <c r="A783" s="12"/>
      <c r="B783" s="446"/>
      <c r="C783" s="89"/>
      <c r="D783" s="13"/>
      <c r="E783" s="14"/>
      <c r="F783" s="14"/>
      <c r="G783" s="15"/>
      <c r="H783" s="8"/>
      <c r="I783" s="8"/>
      <c r="J783" s="89"/>
      <c r="K783" s="8"/>
      <c r="L783" s="8"/>
      <c r="M783" s="8" t="str">
        <f>IF(L783="","",
IF(AX783="PT",VLOOKUP(L783,Foundation_Calc!$V$4:$X$37,VLOOKUP(AX783,Foundation_Calc!$I$10:$J$13,2,FALSE),0),
IF(AX783="K",VLOOKUP(L783,Foundation_Calc!$V$41:$X$74,VLOOKUP(AX783,Foundation_Calc!$I$10:$J$13,2,FALSE),0),"")))</f>
        <v/>
      </c>
      <c r="N783" s="8"/>
      <c r="O783" s="8"/>
      <c r="P783" s="8"/>
      <c r="Q783" s="14"/>
      <c r="R783" s="15"/>
      <c r="S783" s="15"/>
      <c r="T783" s="14"/>
      <c r="U783" s="14"/>
      <c r="V783" s="14"/>
      <c r="W783" s="18"/>
      <c r="X783" s="18"/>
      <c r="Y783" s="18"/>
      <c r="Z783" s="18"/>
      <c r="AA783" s="18"/>
      <c r="AB783" s="18"/>
      <c r="AC783" s="8" t="str">
        <f t="shared" si="51"/>
        <v/>
      </c>
      <c r="AD783" s="8"/>
      <c r="AE783" s="8"/>
      <c r="AF783" s="14"/>
      <c r="AG783" s="13"/>
      <c r="AH783" s="14"/>
      <c r="AI783" s="14"/>
      <c r="AJ783" s="8"/>
      <c r="AK783" s="8"/>
      <c r="AL783" s="8"/>
      <c r="AM783" s="8"/>
      <c r="AN783" s="631"/>
      <c r="AO783" s="18"/>
      <c r="AP783" s="18"/>
      <c r="AQ783" s="18"/>
      <c r="AR783" s="18"/>
      <c r="AS783" s="18"/>
      <c r="AU783" s="448"/>
      <c r="AV783" s="448"/>
      <c r="AW783" s="8" t="str">
        <f>IF(C783&gt;0,VLOOKUP(C783,Foundation_Calc!$A$2:$C$986,3,1),
IF(J783&gt;0,VLOOKUP(J783,Foundation_Calc!$A$2:$C$986,3,1),""))</f>
        <v/>
      </c>
      <c r="AX783" s="8" t="str">
        <f>IF(C783&gt;0,VLOOKUP(C783,Foundation_Calc!$E$2:$G$986,3,1),
IF(J783&gt;0,VLOOKUP(J783,Foundation_Calc!$E$2:$G$986,3,1),""))</f>
        <v/>
      </c>
      <c r="AY783" s="631" t="str">
        <f>IF(L783="","",
IF(AX783="PT",VLOOKUP(L783,Foundation_Calc!$K$4:$R$37,VLOOKUP(AW783,Foundation_Calc!$I$2:$J$8,2,FALSE),0),
IF(AX783="K",VLOOKUP(L783,Foundation_Calc!$K$41:$R$74,VLOOKUP(AW783,Foundation_Calc!$I$2:$J$8,2,FALSE),0),"")))</f>
        <v/>
      </c>
      <c r="AZ783" s="631" t="str">
        <f>IF(K783="","",
IF(AX783="PT",VLOOKUP(K783,Foundation_Calc!$K$4:$R$37,VLOOKUP(AW783,Foundation_Calc!$I$2:$J$8,2,FALSE),0),
IF(AX783="K",VLOOKUP(K783,Foundation_Calc!$K$41:$R$74,VLOOKUP(AW783,Foundation_Calc!$I$2:$J$8,2,FALSE),0),"")))</f>
        <v/>
      </c>
      <c r="BA783" s="632" t="str">
        <f t="shared" si="52"/>
        <v/>
      </c>
      <c r="BB783" s="632" t="str">
        <f t="shared" si="53"/>
        <v/>
      </c>
      <c r="BC783" s="632" t="str">
        <f t="shared" si="54"/>
        <v/>
      </c>
      <c r="BD783" s="633" t="str">
        <f>IF(AND(L783="",H783=""),"",
IF(H783="",Pole_Calc!A811,
IF(H783="MP",Pole_Calc!A812,
IF(H783="AnMP",Pole_Calc!A813,
IF(H783="A",Pole_Calc!A814,
IF(H783="S/A",Pole_Calc!A815,
IF(H783="A/S",Pole_Calc!A816,"Poner a mano")))))))</f>
        <v/>
      </c>
      <c r="BE783" s="448" t="s">
        <v>1726</v>
      </c>
      <c r="BF783" s="635"/>
      <c r="BG783" s="635"/>
      <c r="BH783" s="634"/>
      <c r="BI783" s="635"/>
    </row>
    <row r="784" spans="1:61" ht="16.2" customHeight="1">
      <c r="A784" s="12"/>
      <c r="B784" s="446"/>
      <c r="C784" s="89"/>
      <c r="D784" s="13"/>
      <c r="E784" s="14"/>
      <c r="F784" s="14"/>
      <c r="G784" s="15"/>
      <c r="H784" s="8"/>
      <c r="I784" s="8"/>
      <c r="J784" s="89"/>
      <c r="K784" s="8"/>
      <c r="L784" s="8"/>
      <c r="M784" s="8" t="str">
        <f>IF(L784="","",
IF(AX784="PT",VLOOKUP(L784,Foundation_Calc!$V$4:$X$37,VLOOKUP(AX784,Foundation_Calc!$I$10:$J$13,2,FALSE),0),
IF(AX784="K",VLOOKUP(L784,Foundation_Calc!$V$41:$X$74,VLOOKUP(AX784,Foundation_Calc!$I$10:$J$13,2,FALSE),0),"")))</f>
        <v/>
      </c>
      <c r="N784" s="8"/>
      <c r="O784" s="8"/>
      <c r="P784" s="8"/>
      <c r="Q784" s="14"/>
      <c r="R784" s="15"/>
      <c r="S784" s="15"/>
      <c r="T784" s="14"/>
      <c r="U784" s="14"/>
      <c r="V784" s="14"/>
      <c r="W784" s="18"/>
      <c r="X784" s="18"/>
      <c r="Y784" s="18"/>
      <c r="Z784" s="18"/>
      <c r="AA784" s="18"/>
      <c r="AB784" s="18"/>
      <c r="AC784" s="8" t="str">
        <f t="shared" si="51"/>
        <v/>
      </c>
      <c r="AD784" s="8"/>
      <c r="AE784" s="8"/>
      <c r="AF784" s="14"/>
      <c r="AG784" s="13"/>
      <c r="AH784" s="14"/>
      <c r="AI784" s="14"/>
      <c r="AJ784" s="8"/>
      <c r="AK784" s="8"/>
      <c r="AL784" s="8"/>
      <c r="AM784" s="8"/>
      <c r="AN784" s="631"/>
      <c r="AO784" s="18"/>
      <c r="AP784" s="18"/>
      <c r="AQ784" s="18"/>
      <c r="AR784" s="18"/>
      <c r="AS784" s="18"/>
      <c r="AU784" s="448"/>
      <c r="AV784" s="448"/>
      <c r="AW784" s="8" t="str">
        <f>IF(C784&gt;0,VLOOKUP(C784,Foundation_Calc!$A$2:$C$986,3,1),
IF(J784&gt;0,VLOOKUP(J784,Foundation_Calc!$A$2:$C$986,3,1),""))</f>
        <v/>
      </c>
      <c r="AX784" s="8" t="str">
        <f>IF(C784&gt;0,VLOOKUP(C784,Foundation_Calc!$E$2:$G$986,3,1),
IF(J784&gt;0,VLOOKUP(J784,Foundation_Calc!$E$2:$G$986,3,1),""))</f>
        <v/>
      </c>
      <c r="AY784" s="631" t="str">
        <f>IF(L784="","",
IF(AX784="PT",VLOOKUP(L784,Foundation_Calc!$K$4:$R$37,VLOOKUP(AW784,Foundation_Calc!$I$2:$J$8,2,FALSE),0),
IF(AX784="K",VLOOKUP(L784,Foundation_Calc!$K$41:$R$74,VLOOKUP(AW784,Foundation_Calc!$I$2:$J$8,2,FALSE),0),"")))</f>
        <v/>
      </c>
      <c r="AZ784" s="631" t="str">
        <f>IF(K784="","",
IF(AX784="PT",VLOOKUP(K784,Foundation_Calc!$K$4:$R$37,VLOOKUP(AW784,Foundation_Calc!$I$2:$J$8,2,FALSE),0),
IF(AX784="K",VLOOKUP(K784,Foundation_Calc!$K$41:$R$74,VLOOKUP(AW784,Foundation_Calc!$I$2:$J$8,2,FALSE),0),"")))</f>
        <v/>
      </c>
      <c r="BA784" s="632" t="str">
        <f t="shared" si="52"/>
        <v/>
      </c>
      <c r="BB784" s="632" t="str">
        <f t="shared" si="53"/>
        <v/>
      </c>
      <c r="BC784" s="632" t="str">
        <f t="shared" si="54"/>
        <v/>
      </c>
      <c r="BD784" s="633" t="str">
        <f>IF(AND(L784="",H784=""),"",
IF(H784="",Pole_Calc!A812,
IF(H784="MP",Pole_Calc!A813,
IF(H784="AnMP",Pole_Calc!A814,
IF(H784="A",Pole_Calc!A815,
IF(H784="S/A",Pole_Calc!A816,
IF(H784="A/S",Pole_Calc!A817,"Poner a mano")))))))</f>
        <v/>
      </c>
      <c r="BE784" s="448" t="s">
        <v>1726</v>
      </c>
      <c r="BF784" s="634"/>
      <c r="BG784" s="634"/>
      <c r="BH784" s="634"/>
      <c r="BI784" s="634"/>
    </row>
    <row r="785" spans="1:61" ht="16.2" customHeight="1">
      <c r="A785" s="12"/>
      <c r="B785" s="446"/>
      <c r="C785" s="89"/>
      <c r="D785" s="13"/>
      <c r="E785" s="14"/>
      <c r="F785" s="14"/>
      <c r="G785" s="15"/>
      <c r="H785" s="8"/>
      <c r="I785" s="8"/>
      <c r="J785" s="89"/>
      <c r="K785" s="8"/>
      <c r="L785" s="8"/>
      <c r="M785" s="8" t="str">
        <f>IF(L785="","",
IF(AX785="PT",VLOOKUP(L785,Foundation_Calc!$V$4:$X$37,VLOOKUP(AX785,Foundation_Calc!$I$10:$J$13,2,FALSE),0),
IF(AX785="K",VLOOKUP(L785,Foundation_Calc!$V$41:$X$74,VLOOKUP(AX785,Foundation_Calc!$I$10:$J$13,2,FALSE),0),"")))</f>
        <v/>
      </c>
      <c r="N785" s="8"/>
      <c r="O785" s="8"/>
      <c r="P785" s="8"/>
      <c r="Q785" s="14"/>
      <c r="R785" s="15"/>
      <c r="S785" s="15"/>
      <c r="T785" s="14"/>
      <c r="U785" s="14"/>
      <c r="V785" s="14"/>
      <c r="W785" s="18"/>
      <c r="X785" s="18"/>
      <c r="Y785" s="18"/>
      <c r="Z785" s="18"/>
      <c r="AA785" s="18"/>
      <c r="AB785" s="18"/>
      <c r="AC785" s="8" t="str">
        <f t="shared" si="51"/>
        <v/>
      </c>
      <c r="AD785" s="8"/>
      <c r="AE785" s="8"/>
      <c r="AF785" s="14"/>
      <c r="AG785" s="13"/>
      <c r="AH785" s="14"/>
      <c r="AI785" s="14"/>
      <c r="AJ785" s="8"/>
      <c r="AK785" s="8"/>
      <c r="AL785" s="8"/>
      <c r="AM785" s="8"/>
      <c r="AN785" s="631"/>
      <c r="AO785" s="18"/>
      <c r="AP785" s="18"/>
      <c r="AQ785" s="18"/>
      <c r="AR785" s="18"/>
      <c r="AS785" s="18"/>
      <c r="AU785" s="448"/>
      <c r="AV785" s="448"/>
      <c r="AW785" s="8" t="str">
        <f>IF(C785&gt;0,VLOOKUP(C785,Foundation_Calc!$A$2:$C$986,3,1),
IF(J785&gt;0,VLOOKUP(J785,Foundation_Calc!$A$2:$C$986,3,1),""))</f>
        <v/>
      </c>
      <c r="AX785" s="8" t="str">
        <f>IF(C785&gt;0,VLOOKUP(C785,Foundation_Calc!$E$2:$G$986,3,1),
IF(J785&gt;0,VLOOKUP(J785,Foundation_Calc!$E$2:$G$986,3,1),""))</f>
        <v/>
      </c>
      <c r="AY785" s="631" t="str">
        <f>IF(L785="","",
IF(AX785="PT",VLOOKUP(L785,Foundation_Calc!$K$4:$R$37,VLOOKUP(AW785,Foundation_Calc!$I$2:$J$8,2,FALSE),0),
IF(AX785="K",VLOOKUP(L785,Foundation_Calc!$K$41:$R$74,VLOOKUP(AW785,Foundation_Calc!$I$2:$J$8,2,FALSE),0),"")))</f>
        <v/>
      </c>
      <c r="AZ785" s="631" t="str">
        <f>IF(K785="","",
IF(AX785="PT",VLOOKUP(K785,Foundation_Calc!$K$4:$R$37,VLOOKUP(AW785,Foundation_Calc!$I$2:$J$8,2,FALSE),0),
IF(AX785="K",VLOOKUP(K785,Foundation_Calc!$K$41:$R$74,VLOOKUP(AW785,Foundation_Calc!$I$2:$J$8,2,FALSE),0),"")))</f>
        <v/>
      </c>
      <c r="BA785" s="632" t="str">
        <f t="shared" si="52"/>
        <v/>
      </c>
      <c r="BB785" s="632" t="str">
        <f t="shared" si="53"/>
        <v/>
      </c>
      <c r="BC785" s="632" t="str">
        <f t="shared" si="54"/>
        <v/>
      </c>
      <c r="BD785" s="633" t="str">
        <f>IF(AND(L785="",H785=""),"",
IF(H785="",Pole_Calc!A813,
IF(H785="MP",Pole_Calc!A814,
IF(H785="AnMP",Pole_Calc!A815,
IF(H785="A",Pole_Calc!A816,
IF(H785="S/A",Pole_Calc!A817,
IF(H785="A/S",Pole_Calc!A818,"Poner a mano")))))))</f>
        <v/>
      </c>
      <c r="BE785" s="448" t="s">
        <v>1726</v>
      </c>
      <c r="BF785" s="635"/>
      <c r="BG785" s="635"/>
      <c r="BH785" s="634"/>
      <c r="BI785" s="635"/>
    </row>
    <row r="786" spans="1:61" ht="16.2" customHeight="1">
      <c r="A786" s="12"/>
      <c r="B786" s="446"/>
      <c r="C786" s="89"/>
      <c r="D786" s="13"/>
      <c r="E786" s="14"/>
      <c r="F786" s="14"/>
      <c r="G786" s="15"/>
      <c r="H786" s="8"/>
      <c r="I786" s="8"/>
      <c r="J786" s="89"/>
      <c r="K786" s="8"/>
      <c r="L786" s="8"/>
      <c r="M786" s="8" t="str">
        <f>IF(L786="","",
IF(AX786="PT",VLOOKUP(L786,Foundation_Calc!$V$4:$X$37,VLOOKUP(AX786,Foundation_Calc!$I$10:$J$13,2,FALSE),0),
IF(AX786="K",VLOOKUP(L786,Foundation_Calc!$V$41:$X$74,VLOOKUP(AX786,Foundation_Calc!$I$10:$J$13,2,FALSE),0),"")))</f>
        <v/>
      </c>
      <c r="N786" s="8"/>
      <c r="O786" s="8"/>
      <c r="P786" s="8"/>
      <c r="Q786" s="14"/>
      <c r="R786" s="15"/>
      <c r="S786" s="15"/>
      <c r="T786" s="14"/>
      <c r="U786" s="14"/>
      <c r="V786" s="14"/>
      <c r="W786" s="18"/>
      <c r="X786" s="18"/>
      <c r="Y786" s="18"/>
      <c r="Z786" s="18"/>
      <c r="AA786" s="18"/>
      <c r="AB786" s="18"/>
      <c r="AC786" s="8" t="str">
        <f t="shared" si="51"/>
        <v/>
      </c>
      <c r="AD786" s="8"/>
      <c r="AE786" s="8"/>
      <c r="AF786" s="14"/>
      <c r="AG786" s="13"/>
      <c r="AH786" s="14"/>
      <c r="AI786" s="14"/>
      <c r="AJ786" s="8"/>
      <c r="AK786" s="8"/>
      <c r="AL786" s="8"/>
      <c r="AM786" s="8"/>
      <c r="AN786" s="631"/>
      <c r="AO786" s="18"/>
      <c r="AP786" s="18"/>
      <c r="AQ786" s="18"/>
      <c r="AR786" s="18"/>
      <c r="AS786" s="18"/>
      <c r="AU786" s="448"/>
      <c r="AV786" s="448"/>
      <c r="AW786" s="8" t="str">
        <f>IF(C786&gt;0,VLOOKUP(C786,Foundation_Calc!$A$2:$C$986,3,1),
IF(J786&gt;0,VLOOKUP(J786,Foundation_Calc!$A$2:$C$986,3,1),""))</f>
        <v/>
      </c>
      <c r="AX786" s="8" t="str">
        <f>IF(C786&gt;0,VLOOKUP(C786,Foundation_Calc!$E$2:$G$986,3,1),
IF(J786&gt;0,VLOOKUP(J786,Foundation_Calc!$E$2:$G$986,3,1),""))</f>
        <v/>
      </c>
      <c r="AY786" s="631" t="str">
        <f>IF(L786="","",
IF(AX786="PT",VLOOKUP(L786,Foundation_Calc!$K$4:$R$37,VLOOKUP(AW786,Foundation_Calc!$I$2:$J$8,2,FALSE),0),
IF(AX786="K",VLOOKUP(L786,Foundation_Calc!$K$41:$R$74,VLOOKUP(AW786,Foundation_Calc!$I$2:$J$8,2,FALSE),0),"")))</f>
        <v/>
      </c>
      <c r="AZ786" s="631" t="str">
        <f>IF(K786="","",
IF(AX786="PT",VLOOKUP(K786,Foundation_Calc!$K$4:$R$37,VLOOKUP(AW786,Foundation_Calc!$I$2:$J$8,2,FALSE),0),
IF(AX786="K",VLOOKUP(K786,Foundation_Calc!$K$41:$R$74,VLOOKUP(AW786,Foundation_Calc!$I$2:$J$8,2,FALSE),0),"")))</f>
        <v/>
      </c>
      <c r="BA786" s="632" t="str">
        <f t="shared" si="52"/>
        <v/>
      </c>
      <c r="BB786" s="632" t="str">
        <f t="shared" si="53"/>
        <v/>
      </c>
      <c r="BC786" s="632" t="str">
        <f t="shared" si="54"/>
        <v/>
      </c>
      <c r="BD786" s="633" t="str">
        <f>IF(AND(L786="",H786=""),"",
IF(H786="",Pole_Calc!A814,
IF(H786="MP",Pole_Calc!A815,
IF(H786="AnMP",Pole_Calc!A816,
IF(H786="A",Pole_Calc!A817,
IF(H786="S/A",Pole_Calc!A818,
IF(H786="A/S",Pole_Calc!A819,"Poner a mano")))))))</f>
        <v/>
      </c>
      <c r="BE786" s="448" t="s">
        <v>1726</v>
      </c>
      <c r="BF786" s="634"/>
      <c r="BG786" s="634"/>
      <c r="BH786" s="634"/>
      <c r="BI786" s="634"/>
    </row>
    <row r="787" spans="1:61" ht="16.2" customHeight="1">
      <c r="A787" s="12"/>
      <c r="B787" s="446"/>
      <c r="C787" s="89"/>
      <c r="D787" s="13"/>
      <c r="E787" s="14"/>
      <c r="F787" s="14"/>
      <c r="G787" s="15"/>
      <c r="H787" s="8"/>
      <c r="I787" s="8"/>
      <c r="J787" s="89"/>
      <c r="K787" s="8"/>
      <c r="L787" s="8"/>
      <c r="M787" s="8" t="str">
        <f>IF(L787="","",
IF(AX787="PT",VLOOKUP(L787,Foundation_Calc!$V$4:$X$37,VLOOKUP(AX787,Foundation_Calc!$I$10:$J$13,2,FALSE),0),
IF(AX787="K",VLOOKUP(L787,Foundation_Calc!$V$41:$X$74,VLOOKUP(AX787,Foundation_Calc!$I$10:$J$13,2,FALSE),0),"")))</f>
        <v/>
      </c>
      <c r="N787" s="8"/>
      <c r="O787" s="8"/>
      <c r="P787" s="8"/>
      <c r="Q787" s="14"/>
      <c r="R787" s="15"/>
      <c r="S787" s="15"/>
      <c r="T787" s="14"/>
      <c r="U787" s="14"/>
      <c r="V787" s="14"/>
      <c r="W787" s="18"/>
      <c r="X787" s="18"/>
      <c r="Y787" s="18"/>
      <c r="Z787" s="18"/>
      <c r="AA787" s="18"/>
      <c r="AB787" s="18"/>
      <c r="AC787" s="8" t="str">
        <f t="shared" si="51"/>
        <v/>
      </c>
      <c r="AD787" s="8"/>
      <c r="AE787" s="8"/>
      <c r="AF787" s="14"/>
      <c r="AG787" s="13"/>
      <c r="AH787" s="14"/>
      <c r="AI787" s="14"/>
      <c r="AJ787" s="8"/>
      <c r="AK787" s="8"/>
      <c r="AL787" s="8"/>
      <c r="AM787" s="8"/>
      <c r="AN787" s="631"/>
      <c r="AO787" s="18"/>
      <c r="AP787" s="18"/>
      <c r="AQ787" s="18"/>
      <c r="AR787" s="18"/>
      <c r="AS787" s="18"/>
      <c r="AU787" s="448"/>
      <c r="AV787" s="448"/>
      <c r="AW787" s="8" t="str">
        <f>IF(C787&gt;0,VLOOKUP(C787,Foundation_Calc!$A$2:$C$986,3,1),
IF(J787&gt;0,VLOOKUP(J787,Foundation_Calc!$A$2:$C$986,3,1),""))</f>
        <v/>
      </c>
      <c r="AX787" s="8" t="str">
        <f>IF(C787&gt;0,VLOOKUP(C787,Foundation_Calc!$E$2:$G$986,3,1),
IF(J787&gt;0,VLOOKUP(J787,Foundation_Calc!$E$2:$G$986,3,1),""))</f>
        <v/>
      </c>
      <c r="AY787" s="631" t="str">
        <f>IF(L787="","",
IF(AX787="PT",VLOOKUP(L787,Foundation_Calc!$K$4:$R$37,VLOOKUP(AW787,Foundation_Calc!$I$2:$J$8,2,FALSE),0),
IF(AX787="K",VLOOKUP(L787,Foundation_Calc!$K$41:$R$74,VLOOKUP(AW787,Foundation_Calc!$I$2:$J$8,2,FALSE),0),"")))</f>
        <v/>
      </c>
      <c r="AZ787" s="631" t="str">
        <f>IF(K787="","",
IF(AX787="PT",VLOOKUP(K787,Foundation_Calc!$K$4:$R$37,VLOOKUP(AW787,Foundation_Calc!$I$2:$J$8,2,FALSE),0),
IF(AX787="K",VLOOKUP(K787,Foundation_Calc!$K$41:$R$74,VLOOKUP(AW787,Foundation_Calc!$I$2:$J$8,2,FALSE),0),"")))</f>
        <v/>
      </c>
      <c r="BA787" s="632" t="str">
        <f t="shared" si="52"/>
        <v/>
      </c>
      <c r="BB787" s="632" t="str">
        <f t="shared" si="53"/>
        <v/>
      </c>
      <c r="BC787" s="632" t="str">
        <f t="shared" si="54"/>
        <v/>
      </c>
      <c r="BD787" s="633" t="str">
        <f>IF(AND(L787="",H787=""),"",
IF(H787="",Pole_Calc!A815,
IF(H787="MP",Pole_Calc!A816,
IF(H787="AnMP",Pole_Calc!A817,
IF(H787="A",Pole_Calc!A818,
IF(H787="S/A",Pole_Calc!A819,
IF(H787="A/S",Pole_Calc!A820,"Poner a mano")))))))</f>
        <v/>
      </c>
      <c r="BE787" s="448" t="s">
        <v>1726</v>
      </c>
      <c r="BF787" s="635"/>
      <c r="BG787" s="635"/>
      <c r="BH787" s="634"/>
      <c r="BI787" s="635"/>
    </row>
    <row r="788" spans="1:61" ht="16.2" customHeight="1">
      <c r="A788" s="12"/>
      <c r="B788" s="446"/>
      <c r="C788" s="89"/>
      <c r="D788" s="13"/>
      <c r="E788" s="14"/>
      <c r="F788" s="14"/>
      <c r="G788" s="15"/>
      <c r="H788" s="8"/>
      <c r="I788" s="8"/>
      <c r="J788" s="89"/>
      <c r="K788" s="8"/>
      <c r="L788" s="8"/>
      <c r="M788" s="8" t="str">
        <f>IF(L788="","",
IF(AX788="PT",VLOOKUP(L788,Foundation_Calc!$V$4:$X$37,VLOOKUP(AX788,Foundation_Calc!$I$10:$J$13,2,FALSE),0),
IF(AX788="K",VLOOKUP(L788,Foundation_Calc!$V$41:$X$74,VLOOKUP(AX788,Foundation_Calc!$I$10:$J$13,2,FALSE),0),"")))</f>
        <v/>
      </c>
      <c r="N788" s="8"/>
      <c r="O788" s="8"/>
      <c r="P788" s="8"/>
      <c r="Q788" s="14"/>
      <c r="R788" s="15"/>
      <c r="S788" s="15"/>
      <c r="T788" s="14"/>
      <c r="U788" s="14"/>
      <c r="V788" s="14"/>
      <c r="W788" s="18"/>
      <c r="X788" s="18"/>
      <c r="Y788" s="18"/>
      <c r="Z788" s="18"/>
      <c r="AA788" s="18"/>
      <c r="AB788" s="18"/>
      <c r="AC788" s="8" t="str">
        <f t="shared" si="51"/>
        <v/>
      </c>
      <c r="AD788" s="8"/>
      <c r="AE788" s="8"/>
      <c r="AF788" s="14"/>
      <c r="AG788" s="13"/>
      <c r="AH788" s="14"/>
      <c r="AI788" s="14"/>
      <c r="AJ788" s="8"/>
      <c r="AK788" s="8"/>
      <c r="AL788" s="8"/>
      <c r="AM788" s="8"/>
      <c r="AN788" s="631"/>
      <c r="AO788" s="18"/>
      <c r="AP788" s="18"/>
      <c r="AQ788" s="18"/>
      <c r="AR788" s="18"/>
      <c r="AS788" s="18"/>
      <c r="AU788" s="448"/>
      <c r="AV788" s="448"/>
      <c r="AW788" s="8" t="str">
        <f>IF(C788&gt;0,VLOOKUP(C788,Foundation_Calc!$A$2:$C$986,3,1),
IF(J788&gt;0,VLOOKUP(J788,Foundation_Calc!$A$2:$C$986,3,1),""))</f>
        <v/>
      </c>
      <c r="AX788" s="8" t="str">
        <f>IF(C788&gt;0,VLOOKUP(C788,Foundation_Calc!$E$2:$G$986,3,1),
IF(J788&gt;0,VLOOKUP(J788,Foundation_Calc!$E$2:$G$986,3,1),""))</f>
        <v/>
      </c>
      <c r="AY788" s="631" t="str">
        <f>IF(L788="","",
IF(AX788="PT",VLOOKUP(L788,Foundation_Calc!$K$4:$R$37,VLOOKUP(AW788,Foundation_Calc!$I$2:$J$8,2,FALSE),0),
IF(AX788="K",VLOOKUP(L788,Foundation_Calc!$K$41:$R$74,VLOOKUP(AW788,Foundation_Calc!$I$2:$J$8,2,FALSE),0),"")))</f>
        <v/>
      </c>
      <c r="AZ788" s="631" t="str">
        <f>IF(K788="","",
IF(AX788="PT",VLOOKUP(K788,Foundation_Calc!$K$4:$R$37,VLOOKUP(AW788,Foundation_Calc!$I$2:$J$8,2,FALSE),0),
IF(AX788="K",VLOOKUP(K788,Foundation_Calc!$K$41:$R$74,VLOOKUP(AW788,Foundation_Calc!$I$2:$J$8,2,FALSE),0),"")))</f>
        <v/>
      </c>
      <c r="BA788" s="632" t="str">
        <f t="shared" si="52"/>
        <v/>
      </c>
      <c r="BB788" s="632" t="str">
        <f t="shared" si="53"/>
        <v/>
      </c>
      <c r="BC788" s="632" t="str">
        <f t="shared" si="54"/>
        <v/>
      </c>
      <c r="BD788" s="633" t="str">
        <f>IF(AND(L788="",H788=""),"",
IF(H788="",Pole_Calc!A816,
IF(H788="MP",Pole_Calc!A817,
IF(H788="AnMP",Pole_Calc!A818,
IF(H788="A",Pole_Calc!A819,
IF(H788="S/A",Pole_Calc!A820,
IF(H788="A/S",Pole_Calc!A821,"Poner a mano")))))))</f>
        <v/>
      </c>
      <c r="BE788" s="448" t="s">
        <v>1726</v>
      </c>
      <c r="BF788" s="634"/>
      <c r="BG788" s="634"/>
      <c r="BH788" s="634"/>
      <c r="BI788" s="634"/>
    </row>
    <row r="789" spans="1:61" ht="16.2" customHeight="1">
      <c r="A789" s="12"/>
      <c r="B789" s="446"/>
      <c r="C789" s="89"/>
      <c r="D789" s="13"/>
      <c r="E789" s="14"/>
      <c r="F789" s="14"/>
      <c r="G789" s="15"/>
      <c r="H789" s="8"/>
      <c r="I789" s="8"/>
      <c r="J789" s="89"/>
      <c r="K789" s="8"/>
      <c r="L789" s="8"/>
      <c r="M789" s="8" t="str">
        <f>IF(L789="","",
IF(AX789="PT",VLOOKUP(L789,Foundation_Calc!$V$4:$X$37,VLOOKUP(AX789,Foundation_Calc!$I$10:$J$13,2,FALSE),0),
IF(AX789="K",VLOOKUP(L789,Foundation_Calc!$V$41:$X$74,VLOOKUP(AX789,Foundation_Calc!$I$10:$J$13,2,FALSE),0),"")))</f>
        <v/>
      </c>
      <c r="N789" s="8"/>
      <c r="O789" s="8"/>
      <c r="P789" s="8"/>
      <c r="Q789" s="14"/>
      <c r="R789" s="15"/>
      <c r="S789" s="15"/>
      <c r="T789" s="14"/>
      <c r="U789" s="14"/>
      <c r="V789" s="14"/>
      <c r="W789" s="18"/>
      <c r="X789" s="18"/>
      <c r="Y789" s="18"/>
      <c r="Z789" s="18"/>
      <c r="AA789" s="18"/>
      <c r="AB789" s="18"/>
      <c r="AC789" s="8" t="str">
        <f t="shared" si="51"/>
        <v/>
      </c>
      <c r="AD789" s="8"/>
      <c r="AE789" s="8"/>
      <c r="AF789" s="14"/>
      <c r="AG789" s="13"/>
      <c r="AH789" s="14"/>
      <c r="AI789" s="14"/>
      <c r="AJ789" s="8"/>
      <c r="AK789" s="8"/>
      <c r="AL789" s="8"/>
      <c r="AM789" s="8"/>
      <c r="AN789" s="631"/>
      <c r="AO789" s="18"/>
      <c r="AP789" s="18"/>
      <c r="AQ789" s="18"/>
      <c r="AR789" s="18"/>
      <c r="AS789" s="18"/>
      <c r="AU789" s="448"/>
      <c r="AV789" s="448"/>
      <c r="AW789" s="8" t="str">
        <f>IF(C789&gt;0,VLOOKUP(C789,Foundation_Calc!$A$2:$C$986,3,1),
IF(J789&gt;0,VLOOKUP(J789,Foundation_Calc!$A$2:$C$986,3,1),""))</f>
        <v/>
      </c>
      <c r="AX789" s="8" t="str">
        <f>IF(C789&gt;0,VLOOKUP(C789,Foundation_Calc!$E$2:$G$986,3,1),
IF(J789&gt;0,VLOOKUP(J789,Foundation_Calc!$E$2:$G$986,3,1),""))</f>
        <v/>
      </c>
      <c r="AY789" s="631" t="str">
        <f>IF(L789="","",
IF(AX789="PT",VLOOKUP(L789,Foundation_Calc!$K$4:$R$37,VLOOKUP(AW789,Foundation_Calc!$I$2:$J$8,2,FALSE),0),
IF(AX789="K",VLOOKUP(L789,Foundation_Calc!$K$41:$R$74,VLOOKUP(AW789,Foundation_Calc!$I$2:$J$8,2,FALSE),0),"")))</f>
        <v/>
      </c>
      <c r="AZ789" s="631" t="str">
        <f>IF(K789="","",
IF(AX789="PT",VLOOKUP(K789,Foundation_Calc!$K$4:$R$37,VLOOKUP(AW789,Foundation_Calc!$I$2:$J$8,2,FALSE),0),
IF(AX789="K",VLOOKUP(K789,Foundation_Calc!$K$41:$R$74,VLOOKUP(AW789,Foundation_Calc!$I$2:$J$8,2,FALSE),0),"")))</f>
        <v/>
      </c>
      <c r="BA789" s="632" t="str">
        <f t="shared" si="52"/>
        <v/>
      </c>
      <c r="BB789" s="632" t="str">
        <f t="shared" si="53"/>
        <v/>
      </c>
      <c r="BC789" s="632" t="str">
        <f t="shared" si="54"/>
        <v/>
      </c>
      <c r="BD789" s="633" t="str">
        <f>IF(AND(L789="",H789=""),"",
IF(H789="",Pole_Calc!A817,
IF(H789="MP",Pole_Calc!A818,
IF(H789="AnMP",Pole_Calc!A819,
IF(H789="A",Pole_Calc!A820,
IF(H789="S/A",Pole_Calc!A821,
IF(H789="A/S",Pole_Calc!A822,"Poner a mano")))))))</f>
        <v/>
      </c>
      <c r="BE789" s="448" t="s">
        <v>1726</v>
      </c>
      <c r="BF789" s="635"/>
      <c r="BG789" s="635"/>
      <c r="BH789" s="634"/>
      <c r="BI789" s="635"/>
    </row>
    <row r="790" spans="1:61" ht="16.2" customHeight="1">
      <c r="A790" s="12"/>
      <c r="B790" s="446"/>
      <c r="C790" s="89"/>
      <c r="D790" s="13"/>
      <c r="E790" s="14"/>
      <c r="F790" s="14"/>
      <c r="G790" s="15"/>
      <c r="H790" s="8"/>
      <c r="I790" s="8"/>
      <c r="J790" s="89"/>
      <c r="K790" s="8"/>
      <c r="L790" s="8"/>
      <c r="M790" s="8" t="str">
        <f>IF(L790="","",
IF(AX790="PT",VLOOKUP(L790,Foundation_Calc!$V$4:$X$37,VLOOKUP(AX790,Foundation_Calc!$I$10:$J$13,2,FALSE),0),
IF(AX790="K",VLOOKUP(L790,Foundation_Calc!$V$41:$X$74,VLOOKUP(AX790,Foundation_Calc!$I$10:$J$13,2,FALSE),0),"")))</f>
        <v/>
      </c>
      <c r="N790" s="8"/>
      <c r="O790" s="8"/>
      <c r="P790" s="8"/>
      <c r="Q790" s="14"/>
      <c r="R790" s="15"/>
      <c r="S790" s="15"/>
      <c r="T790" s="14"/>
      <c r="U790" s="14"/>
      <c r="V790" s="14"/>
      <c r="W790" s="18"/>
      <c r="X790" s="18"/>
      <c r="Y790" s="18"/>
      <c r="Z790" s="18"/>
      <c r="AA790" s="18"/>
      <c r="AB790" s="18"/>
      <c r="AC790" s="8" t="str">
        <f t="shared" si="51"/>
        <v/>
      </c>
      <c r="AD790" s="8"/>
      <c r="AE790" s="8"/>
      <c r="AF790" s="14"/>
      <c r="AG790" s="13"/>
      <c r="AH790" s="14"/>
      <c r="AI790" s="14"/>
      <c r="AJ790" s="8"/>
      <c r="AK790" s="8"/>
      <c r="AL790" s="8"/>
      <c r="AM790" s="8"/>
      <c r="AN790" s="631"/>
      <c r="AO790" s="18"/>
      <c r="AP790" s="18"/>
      <c r="AQ790" s="18"/>
      <c r="AR790" s="18"/>
      <c r="AS790" s="18"/>
      <c r="AU790" s="448"/>
      <c r="AV790" s="448"/>
      <c r="AW790" s="8" t="str">
        <f>IF(C790&gt;0,VLOOKUP(C790,Foundation_Calc!$A$2:$C$986,3,1),
IF(J790&gt;0,VLOOKUP(J790,Foundation_Calc!$A$2:$C$986,3,1),""))</f>
        <v/>
      </c>
      <c r="AX790" s="8" t="str">
        <f>IF(C790&gt;0,VLOOKUP(C790,Foundation_Calc!$E$2:$G$986,3,1),
IF(J790&gt;0,VLOOKUP(J790,Foundation_Calc!$E$2:$G$986,3,1),""))</f>
        <v/>
      </c>
      <c r="AY790" s="631" t="str">
        <f>IF(L790="","",
IF(AX790="PT",VLOOKUP(L790,Foundation_Calc!$K$4:$R$37,VLOOKUP(AW790,Foundation_Calc!$I$2:$J$8,2,FALSE),0),
IF(AX790="K",VLOOKUP(L790,Foundation_Calc!$K$41:$R$74,VLOOKUP(AW790,Foundation_Calc!$I$2:$J$8,2,FALSE),0),"")))</f>
        <v/>
      </c>
      <c r="AZ790" s="631" t="str">
        <f>IF(K790="","",
IF(AX790="PT",VLOOKUP(K790,Foundation_Calc!$K$4:$R$37,VLOOKUP(AW790,Foundation_Calc!$I$2:$J$8,2,FALSE),0),
IF(AX790="K",VLOOKUP(K790,Foundation_Calc!$K$41:$R$74,VLOOKUP(AW790,Foundation_Calc!$I$2:$J$8,2,FALSE),0),"")))</f>
        <v/>
      </c>
      <c r="BA790" s="632" t="str">
        <f t="shared" si="52"/>
        <v/>
      </c>
      <c r="BB790" s="632" t="str">
        <f t="shared" si="53"/>
        <v/>
      </c>
      <c r="BC790" s="632" t="str">
        <f t="shared" si="54"/>
        <v/>
      </c>
      <c r="BD790" s="633" t="str">
        <f>IF(AND(L790="",H790=""),"",
IF(H790="",Pole_Calc!A818,
IF(H790="MP",Pole_Calc!A819,
IF(H790="AnMP",Pole_Calc!A820,
IF(H790="A",Pole_Calc!A821,
IF(H790="S/A",Pole_Calc!A822,
IF(H790="A/S",Pole_Calc!A823,"Poner a mano")))))))</f>
        <v/>
      </c>
      <c r="BE790" s="448" t="s">
        <v>1726</v>
      </c>
      <c r="BF790" s="634"/>
      <c r="BG790" s="634"/>
      <c r="BH790" s="634"/>
      <c r="BI790" s="634"/>
    </row>
    <row r="791" spans="1:61" ht="16.2" customHeight="1">
      <c r="A791" s="12"/>
      <c r="B791" s="446"/>
      <c r="C791" s="89"/>
      <c r="D791" s="13"/>
      <c r="E791" s="14"/>
      <c r="F791" s="14"/>
      <c r="G791" s="15"/>
      <c r="H791" s="8"/>
      <c r="I791" s="8"/>
      <c r="J791" s="89"/>
      <c r="K791" s="8"/>
      <c r="L791" s="8"/>
      <c r="M791" s="8" t="str">
        <f>IF(L791="","",
IF(AX791="PT",VLOOKUP(L791,Foundation_Calc!$V$4:$X$37,VLOOKUP(AX791,Foundation_Calc!$I$10:$J$13,2,FALSE),0),
IF(AX791="K",VLOOKUP(L791,Foundation_Calc!$V$41:$X$74,VLOOKUP(AX791,Foundation_Calc!$I$10:$J$13,2,FALSE),0),"")))</f>
        <v/>
      </c>
      <c r="N791" s="8"/>
      <c r="O791" s="8"/>
      <c r="P791" s="8"/>
      <c r="Q791" s="14"/>
      <c r="R791" s="15"/>
      <c r="S791" s="15"/>
      <c r="T791" s="14"/>
      <c r="U791" s="14"/>
      <c r="V791" s="14"/>
      <c r="W791" s="18"/>
      <c r="X791" s="18"/>
      <c r="Y791" s="18"/>
      <c r="Z791" s="18"/>
      <c r="AA791" s="18"/>
      <c r="AB791" s="18"/>
      <c r="AC791" s="8" t="str">
        <f t="shared" si="51"/>
        <v/>
      </c>
      <c r="AD791" s="8"/>
      <c r="AE791" s="8"/>
      <c r="AF791" s="14"/>
      <c r="AG791" s="13"/>
      <c r="AH791" s="14"/>
      <c r="AI791" s="14"/>
      <c r="AJ791" s="8"/>
      <c r="AK791" s="8"/>
      <c r="AL791" s="8"/>
      <c r="AM791" s="8"/>
      <c r="AN791" s="631"/>
      <c r="AO791" s="18"/>
      <c r="AP791" s="18"/>
      <c r="AQ791" s="18"/>
      <c r="AR791" s="18"/>
      <c r="AS791" s="18"/>
      <c r="AU791" s="448"/>
      <c r="AV791" s="448"/>
      <c r="AW791" s="8" t="str">
        <f>IF(C791&gt;0,VLOOKUP(C791,Foundation_Calc!$A$2:$C$986,3,1),
IF(J791&gt;0,VLOOKUP(J791,Foundation_Calc!$A$2:$C$986,3,1),""))</f>
        <v/>
      </c>
      <c r="AX791" s="8" t="str">
        <f>IF(C791&gt;0,VLOOKUP(C791,Foundation_Calc!$E$2:$G$986,3,1),
IF(J791&gt;0,VLOOKUP(J791,Foundation_Calc!$E$2:$G$986,3,1),""))</f>
        <v/>
      </c>
      <c r="AY791" s="631" t="str">
        <f>IF(L791="","",
IF(AX791="PT",VLOOKUP(L791,Foundation_Calc!$K$4:$R$37,VLOOKUP(AW791,Foundation_Calc!$I$2:$J$8,2,FALSE),0),
IF(AX791="K",VLOOKUP(L791,Foundation_Calc!$K$41:$R$74,VLOOKUP(AW791,Foundation_Calc!$I$2:$J$8,2,FALSE),0),"")))</f>
        <v/>
      </c>
      <c r="AZ791" s="631" t="str">
        <f>IF(K791="","",
IF(AX791="PT",VLOOKUP(K791,Foundation_Calc!$K$4:$R$37,VLOOKUP(AW791,Foundation_Calc!$I$2:$J$8,2,FALSE),0),
IF(AX791="K",VLOOKUP(K791,Foundation_Calc!$K$41:$R$74,VLOOKUP(AW791,Foundation_Calc!$I$2:$J$8,2,FALSE),0),"")))</f>
        <v/>
      </c>
      <c r="BA791" s="632" t="str">
        <f t="shared" si="52"/>
        <v/>
      </c>
      <c r="BB791" s="632" t="str">
        <f t="shared" si="53"/>
        <v/>
      </c>
      <c r="BC791" s="632" t="str">
        <f t="shared" si="54"/>
        <v/>
      </c>
      <c r="BD791" s="633" t="str">
        <f>IF(AND(L791="",H791=""),"",
IF(H791="",Pole_Calc!A819,
IF(H791="MP",Pole_Calc!A820,
IF(H791="AnMP",Pole_Calc!A821,
IF(H791="A",Pole_Calc!A822,
IF(H791="S/A",Pole_Calc!A823,
IF(H791="A/S",Pole_Calc!A824,"Poner a mano")))))))</f>
        <v/>
      </c>
      <c r="BE791" s="448" t="s">
        <v>1726</v>
      </c>
      <c r="BF791" s="635"/>
      <c r="BG791" s="635"/>
      <c r="BH791" s="634"/>
      <c r="BI791" s="635"/>
    </row>
    <row r="792" spans="1:61" ht="16.2" customHeight="1">
      <c r="A792" s="12"/>
      <c r="B792" s="446"/>
      <c r="C792" s="89"/>
      <c r="D792" s="13"/>
      <c r="E792" s="14"/>
      <c r="F792" s="14"/>
      <c r="G792" s="15"/>
      <c r="H792" s="8"/>
      <c r="I792" s="8"/>
      <c r="J792" s="89"/>
      <c r="K792" s="8"/>
      <c r="L792" s="8"/>
      <c r="M792" s="8" t="str">
        <f>IF(L792="","",
IF(AX792="PT",VLOOKUP(L792,Foundation_Calc!$V$4:$X$37,VLOOKUP(AX792,Foundation_Calc!$I$10:$J$13,2,FALSE),0),
IF(AX792="K",VLOOKUP(L792,Foundation_Calc!$V$41:$X$74,VLOOKUP(AX792,Foundation_Calc!$I$10:$J$13,2,FALSE),0),"")))</f>
        <v/>
      </c>
      <c r="N792" s="8"/>
      <c r="O792" s="8"/>
      <c r="P792" s="8"/>
      <c r="Q792" s="14"/>
      <c r="R792" s="15"/>
      <c r="S792" s="15"/>
      <c r="T792" s="14"/>
      <c r="U792" s="14"/>
      <c r="V792" s="14"/>
      <c r="W792" s="18"/>
      <c r="X792" s="18"/>
      <c r="Y792" s="18"/>
      <c r="Z792" s="18"/>
      <c r="AA792" s="18"/>
      <c r="AB792" s="18"/>
      <c r="AC792" s="8" t="str">
        <f t="shared" si="51"/>
        <v/>
      </c>
      <c r="AD792" s="8"/>
      <c r="AE792" s="8"/>
      <c r="AF792" s="14"/>
      <c r="AG792" s="13"/>
      <c r="AH792" s="14"/>
      <c r="AI792" s="14"/>
      <c r="AJ792" s="8"/>
      <c r="AK792" s="8"/>
      <c r="AL792" s="8"/>
      <c r="AM792" s="8"/>
      <c r="AN792" s="631"/>
      <c r="AO792" s="18"/>
      <c r="AP792" s="18"/>
      <c r="AQ792" s="18"/>
      <c r="AR792" s="18"/>
      <c r="AS792" s="18"/>
      <c r="AU792" s="448"/>
      <c r="AV792" s="448"/>
      <c r="AW792" s="8" t="str">
        <f>IF(C792&gt;0,VLOOKUP(C792,Foundation_Calc!$A$2:$C$986,3,1),
IF(J792&gt;0,VLOOKUP(J792,Foundation_Calc!$A$2:$C$986,3,1),""))</f>
        <v/>
      </c>
      <c r="AX792" s="8" t="str">
        <f>IF(C792&gt;0,VLOOKUP(C792,Foundation_Calc!$E$2:$G$986,3,1),
IF(J792&gt;0,VLOOKUP(J792,Foundation_Calc!$E$2:$G$986,3,1),""))</f>
        <v/>
      </c>
      <c r="AY792" s="631" t="str">
        <f>IF(L792="","",
IF(AX792="PT",VLOOKUP(L792,Foundation_Calc!$K$4:$R$37,VLOOKUP(AW792,Foundation_Calc!$I$2:$J$8,2,FALSE),0),
IF(AX792="K",VLOOKUP(L792,Foundation_Calc!$K$41:$R$74,VLOOKUP(AW792,Foundation_Calc!$I$2:$J$8,2,FALSE),0),"")))</f>
        <v/>
      </c>
      <c r="AZ792" s="631" t="str">
        <f>IF(K792="","",
IF(AX792="PT",VLOOKUP(K792,Foundation_Calc!$K$4:$R$37,VLOOKUP(AW792,Foundation_Calc!$I$2:$J$8,2,FALSE),0),
IF(AX792="K",VLOOKUP(K792,Foundation_Calc!$K$41:$R$74,VLOOKUP(AW792,Foundation_Calc!$I$2:$J$8,2,FALSE),0),"")))</f>
        <v/>
      </c>
      <c r="BA792" s="632" t="str">
        <f t="shared" si="52"/>
        <v/>
      </c>
      <c r="BB792" s="632" t="str">
        <f t="shared" si="53"/>
        <v/>
      </c>
      <c r="BC792" s="632" t="str">
        <f t="shared" si="54"/>
        <v/>
      </c>
      <c r="BD792" s="633" t="str">
        <f>IF(AND(L792="",H792=""),"",
IF(H792="",Pole_Calc!A820,
IF(H792="MP",Pole_Calc!A821,
IF(H792="AnMP",Pole_Calc!A822,
IF(H792="A",Pole_Calc!A823,
IF(H792="S/A",Pole_Calc!A824,
IF(H792="A/S",Pole_Calc!A825,"Poner a mano")))))))</f>
        <v/>
      </c>
      <c r="BE792" s="448" t="s">
        <v>1726</v>
      </c>
      <c r="BF792" s="634"/>
      <c r="BG792" s="634"/>
      <c r="BH792" s="634"/>
      <c r="BI792" s="634"/>
    </row>
    <row r="793" spans="1:61" ht="16.2" customHeight="1">
      <c r="A793" s="12"/>
      <c r="B793" s="446"/>
      <c r="C793" s="89"/>
      <c r="D793" s="13"/>
      <c r="E793" s="14"/>
      <c r="F793" s="14"/>
      <c r="G793" s="15"/>
      <c r="H793" s="8"/>
      <c r="I793" s="8"/>
      <c r="J793" s="89"/>
      <c r="K793" s="8"/>
      <c r="L793" s="8"/>
      <c r="M793" s="8" t="str">
        <f>IF(L793="","",
IF(AX793="PT",VLOOKUP(L793,Foundation_Calc!$V$4:$X$37,VLOOKUP(AX793,Foundation_Calc!$I$10:$J$13,2,FALSE),0),
IF(AX793="K",VLOOKUP(L793,Foundation_Calc!$V$41:$X$74,VLOOKUP(AX793,Foundation_Calc!$I$10:$J$13,2,FALSE),0),"")))</f>
        <v/>
      </c>
      <c r="N793" s="8"/>
      <c r="O793" s="8"/>
      <c r="P793" s="8"/>
      <c r="Q793" s="14"/>
      <c r="R793" s="15"/>
      <c r="S793" s="15"/>
      <c r="T793" s="14"/>
      <c r="U793" s="14"/>
      <c r="V793" s="14"/>
      <c r="W793" s="18"/>
      <c r="X793" s="18"/>
      <c r="Y793" s="18"/>
      <c r="Z793" s="18"/>
      <c r="AA793" s="18"/>
      <c r="AB793" s="18"/>
      <c r="AC793" s="8" t="str">
        <f t="shared" si="51"/>
        <v/>
      </c>
      <c r="AD793" s="8"/>
      <c r="AE793" s="8"/>
      <c r="AF793" s="14"/>
      <c r="AG793" s="13"/>
      <c r="AH793" s="14"/>
      <c r="AI793" s="14"/>
      <c r="AJ793" s="8"/>
      <c r="AK793" s="8"/>
      <c r="AL793" s="8"/>
      <c r="AM793" s="8"/>
      <c r="AN793" s="631"/>
      <c r="AO793" s="18"/>
      <c r="AP793" s="18"/>
      <c r="AQ793" s="18"/>
      <c r="AR793" s="18"/>
      <c r="AS793" s="18"/>
      <c r="AU793" s="448"/>
      <c r="AV793" s="448"/>
      <c r="AW793" s="8" t="str">
        <f>IF(C793&gt;0,VLOOKUP(C793,Foundation_Calc!$A$2:$C$986,3,1),
IF(J793&gt;0,VLOOKUP(J793,Foundation_Calc!$A$2:$C$986,3,1),""))</f>
        <v/>
      </c>
      <c r="AX793" s="8" t="str">
        <f>IF(C793&gt;0,VLOOKUP(C793,Foundation_Calc!$E$2:$G$986,3,1),
IF(J793&gt;0,VLOOKUP(J793,Foundation_Calc!$E$2:$G$986,3,1),""))</f>
        <v/>
      </c>
      <c r="AY793" s="631" t="str">
        <f>IF(L793="","",
IF(AX793="PT",VLOOKUP(L793,Foundation_Calc!$K$4:$R$37,VLOOKUP(AW793,Foundation_Calc!$I$2:$J$8,2,FALSE),0),
IF(AX793="K",VLOOKUP(L793,Foundation_Calc!$K$41:$R$74,VLOOKUP(AW793,Foundation_Calc!$I$2:$J$8,2,FALSE),0),"")))</f>
        <v/>
      </c>
      <c r="AZ793" s="631" t="str">
        <f>IF(K793="","",
IF(AX793="PT",VLOOKUP(K793,Foundation_Calc!$K$4:$R$37,VLOOKUP(AW793,Foundation_Calc!$I$2:$J$8,2,FALSE),0),
IF(AX793="K",VLOOKUP(K793,Foundation_Calc!$K$41:$R$74,VLOOKUP(AW793,Foundation_Calc!$I$2:$J$8,2,FALSE),0),"")))</f>
        <v/>
      </c>
      <c r="BA793" s="632" t="str">
        <f t="shared" si="52"/>
        <v/>
      </c>
      <c r="BB793" s="632" t="str">
        <f t="shared" si="53"/>
        <v/>
      </c>
      <c r="BC793" s="632" t="str">
        <f t="shared" si="54"/>
        <v/>
      </c>
      <c r="BD793" s="633" t="str">
        <f>IF(AND(L793="",H793=""),"",
IF(H793="",Pole_Calc!A821,
IF(H793="MP",Pole_Calc!A822,
IF(H793="AnMP",Pole_Calc!A823,
IF(H793="A",Pole_Calc!A824,
IF(H793="S/A",Pole_Calc!A825,
IF(H793="A/S",Pole_Calc!A826,"Poner a mano")))))))</f>
        <v/>
      </c>
      <c r="BE793" s="448" t="s">
        <v>1726</v>
      </c>
      <c r="BF793" s="635"/>
      <c r="BG793" s="635"/>
      <c r="BH793" s="634"/>
      <c r="BI793" s="635"/>
    </row>
    <row r="794" spans="1:61" ht="16.2" customHeight="1">
      <c r="A794" s="12"/>
      <c r="B794" s="446"/>
      <c r="C794" s="89"/>
      <c r="D794" s="13"/>
      <c r="E794" s="14"/>
      <c r="F794" s="14"/>
      <c r="G794" s="15"/>
      <c r="H794" s="8"/>
      <c r="I794" s="8"/>
      <c r="J794" s="89"/>
      <c r="K794" s="8"/>
      <c r="L794" s="8"/>
      <c r="M794" s="8" t="str">
        <f>IF(L794="","",
IF(AX794="PT",VLOOKUP(L794,Foundation_Calc!$V$4:$X$37,VLOOKUP(AX794,Foundation_Calc!$I$10:$J$13,2,FALSE),0),
IF(AX794="K",VLOOKUP(L794,Foundation_Calc!$V$41:$X$74,VLOOKUP(AX794,Foundation_Calc!$I$10:$J$13,2,FALSE),0),"")))</f>
        <v/>
      </c>
      <c r="N794" s="8"/>
      <c r="O794" s="8"/>
      <c r="P794" s="8"/>
      <c r="Q794" s="14"/>
      <c r="R794" s="15"/>
      <c r="S794" s="15"/>
      <c r="T794" s="14"/>
      <c r="U794" s="14"/>
      <c r="V794" s="14"/>
      <c r="W794" s="18"/>
      <c r="X794" s="18"/>
      <c r="Y794" s="18"/>
      <c r="Z794" s="18"/>
      <c r="AA794" s="18"/>
      <c r="AB794" s="18"/>
      <c r="AC794" s="8" t="str">
        <f t="shared" si="51"/>
        <v/>
      </c>
      <c r="AD794" s="8"/>
      <c r="AE794" s="8"/>
      <c r="AF794" s="14"/>
      <c r="AG794" s="13"/>
      <c r="AH794" s="14"/>
      <c r="AI794" s="14"/>
      <c r="AJ794" s="8"/>
      <c r="AK794" s="8"/>
      <c r="AL794" s="8"/>
      <c r="AM794" s="8"/>
      <c r="AN794" s="631"/>
      <c r="AO794" s="18"/>
      <c r="AP794" s="18"/>
      <c r="AQ794" s="18"/>
      <c r="AR794" s="18"/>
      <c r="AS794" s="18"/>
      <c r="AU794" s="448"/>
      <c r="AV794" s="448"/>
      <c r="AW794" s="8" t="str">
        <f>IF(C794&gt;0,VLOOKUP(C794,Foundation_Calc!$A$2:$C$986,3,1),
IF(J794&gt;0,VLOOKUP(J794,Foundation_Calc!$A$2:$C$986,3,1),""))</f>
        <v/>
      </c>
      <c r="AX794" s="8" t="str">
        <f>IF(C794&gt;0,VLOOKUP(C794,Foundation_Calc!$E$2:$G$986,3,1),
IF(J794&gt;0,VLOOKUP(J794,Foundation_Calc!$E$2:$G$986,3,1),""))</f>
        <v/>
      </c>
      <c r="AY794" s="631" t="str">
        <f>IF(L794="","",
IF(AX794="PT",VLOOKUP(L794,Foundation_Calc!$K$4:$R$37,VLOOKUP(AW794,Foundation_Calc!$I$2:$J$8,2,FALSE),0),
IF(AX794="K",VLOOKUP(L794,Foundation_Calc!$K$41:$R$74,VLOOKUP(AW794,Foundation_Calc!$I$2:$J$8,2,FALSE),0),"")))</f>
        <v/>
      </c>
      <c r="AZ794" s="631" t="str">
        <f>IF(K794="","",
IF(AX794="PT",VLOOKUP(K794,Foundation_Calc!$K$4:$R$37,VLOOKUP(AW794,Foundation_Calc!$I$2:$J$8,2,FALSE),0),
IF(AX794="K",VLOOKUP(K794,Foundation_Calc!$K$41:$R$74,VLOOKUP(AW794,Foundation_Calc!$I$2:$J$8,2,FALSE),0),"")))</f>
        <v/>
      </c>
      <c r="BA794" s="632" t="str">
        <f t="shared" si="52"/>
        <v/>
      </c>
      <c r="BB794" s="632" t="str">
        <f t="shared" si="53"/>
        <v/>
      </c>
      <c r="BC794" s="632" t="str">
        <f t="shared" si="54"/>
        <v/>
      </c>
      <c r="BD794" s="633" t="str">
        <f>IF(AND(L794="",H794=""),"",
IF(H794="",Pole_Calc!A822,
IF(H794="MP",Pole_Calc!A823,
IF(H794="AnMP",Pole_Calc!A824,
IF(H794="A",Pole_Calc!A825,
IF(H794="S/A",Pole_Calc!A826,
IF(H794="A/S",Pole_Calc!A827,"Poner a mano")))))))</f>
        <v/>
      </c>
      <c r="BE794" s="448" t="s">
        <v>1726</v>
      </c>
      <c r="BF794" s="634"/>
      <c r="BG794" s="634"/>
      <c r="BH794" s="634"/>
      <c r="BI794" s="634"/>
    </row>
    <row r="795" spans="1:61" ht="16.2" customHeight="1">
      <c r="A795" s="12"/>
      <c r="B795" s="446"/>
      <c r="C795" s="89"/>
      <c r="D795" s="13"/>
      <c r="E795" s="14"/>
      <c r="F795" s="14"/>
      <c r="G795" s="15"/>
      <c r="H795" s="8"/>
      <c r="I795" s="8"/>
      <c r="J795" s="89"/>
      <c r="K795" s="8"/>
      <c r="L795" s="8"/>
      <c r="M795" s="8" t="str">
        <f>IF(L795="","",
IF(AX795="PT",VLOOKUP(L795,Foundation_Calc!$V$4:$X$37,VLOOKUP(AX795,Foundation_Calc!$I$10:$J$13,2,FALSE),0),
IF(AX795="K",VLOOKUP(L795,Foundation_Calc!$V$41:$X$74,VLOOKUP(AX795,Foundation_Calc!$I$10:$J$13,2,FALSE),0),"")))</f>
        <v/>
      </c>
      <c r="N795" s="8"/>
      <c r="O795" s="8"/>
      <c r="P795" s="8"/>
      <c r="Q795" s="14"/>
      <c r="R795" s="15"/>
      <c r="S795" s="15"/>
      <c r="T795" s="14"/>
      <c r="U795" s="14"/>
      <c r="V795" s="14"/>
      <c r="W795" s="18"/>
      <c r="X795" s="18"/>
      <c r="Y795" s="18"/>
      <c r="Z795" s="18"/>
      <c r="AA795" s="18"/>
      <c r="AB795" s="18"/>
      <c r="AC795" s="8" t="str">
        <f t="shared" si="51"/>
        <v/>
      </c>
      <c r="AD795" s="8"/>
      <c r="AE795" s="8"/>
      <c r="AF795" s="14"/>
      <c r="AG795" s="13"/>
      <c r="AH795" s="14"/>
      <c r="AI795" s="14"/>
      <c r="AJ795" s="8"/>
      <c r="AK795" s="8"/>
      <c r="AL795" s="8"/>
      <c r="AM795" s="8"/>
      <c r="AN795" s="631"/>
      <c r="AO795" s="18"/>
      <c r="AP795" s="18"/>
      <c r="AQ795" s="18"/>
      <c r="AR795" s="18"/>
      <c r="AS795" s="18"/>
      <c r="AU795" s="448"/>
      <c r="AV795" s="448"/>
      <c r="AW795" s="8" t="str">
        <f>IF(C795&gt;0,VLOOKUP(C795,Foundation_Calc!$A$2:$C$986,3,1),
IF(J795&gt;0,VLOOKUP(J795,Foundation_Calc!$A$2:$C$986,3,1),""))</f>
        <v/>
      </c>
      <c r="AX795" s="8" t="str">
        <f>IF(C795&gt;0,VLOOKUP(C795,Foundation_Calc!$E$2:$G$986,3,1),
IF(J795&gt;0,VLOOKUP(J795,Foundation_Calc!$E$2:$G$986,3,1),""))</f>
        <v/>
      </c>
      <c r="AY795" s="631" t="str">
        <f>IF(L795="","",
IF(AX795="PT",VLOOKUP(L795,Foundation_Calc!$K$4:$R$37,VLOOKUP(AW795,Foundation_Calc!$I$2:$J$8,2,FALSE),0),
IF(AX795="K",VLOOKUP(L795,Foundation_Calc!$K$41:$R$74,VLOOKUP(AW795,Foundation_Calc!$I$2:$J$8,2,FALSE),0),"")))</f>
        <v/>
      </c>
      <c r="AZ795" s="631" t="str">
        <f>IF(K795="","",
IF(AX795="PT",VLOOKUP(K795,Foundation_Calc!$K$4:$R$37,VLOOKUP(AW795,Foundation_Calc!$I$2:$J$8,2,FALSE),0),
IF(AX795="K",VLOOKUP(K795,Foundation_Calc!$K$41:$R$74,VLOOKUP(AW795,Foundation_Calc!$I$2:$J$8,2,FALSE),0),"")))</f>
        <v/>
      </c>
      <c r="BA795" s="632" t="str">
        <f t="shared" si="52"/>
        <v/>
      </c>
      <c r="BB795" s="632" t="str">
        <f t="shared" si="53"/>
        <v/>
      </c>
      <c r="BC795" s="632" t="str">
        <f t="shared" si="54"/>
        <v/>
      </c>
      <c r="BD795" s="633" t="str">
        <f>IF(AND(L795="",H795=""),"",
IF(H795="",Pole_Calc!A823,
IF(H795="MP",Pole_Calc!A824,
IF(H795="AnMP",Pole_Calc!A825,
IF(H795="A",Pole_Calc!A826,
IF(H795="S/A",Pole_Calc!A827,
IF(H795="A/S",Pole_Calc!A828,"Poner a mano")))))))</f>
        <v/>
      </c>
      <c r="BE795" s="448" t="s">
        <v>1726</v>
      </c>
      <c r="BF795" s="635"/>
      <c r="BG795" s="635"/>
      <c r="BH795" s="634"/>
      <c r="BI795" s="635"/>
    </row>
    <row r="796" spans="1:61" ht="16.2" customHeight="1">
      <c r="A796" s="12"/>
      <c r="B796" s="446"/>
      <c r="C796" s="89"/>
      <c r="D796" s="13"/>
      <c r="E796" s="14"/>
      <c r="F796" s="14"/>
      <c r="G796" s="15"/>
      <c r="H796" s="8"/>
      <c r="I796" s="8"/>
      <c r="J796" s="89"/>
      <c r="K796" s="8"/>
      <c r="L796" s="8"/>
      <c r="M796" s="8" t="str">
        <f>IF(L796="","",
IF(AX796="PT",VLOOKUP(L796,Foundation_Calc!$V$4:$X$37,VLOOKUP(AX796,Foundation_Calc!$I$10:$J$13,2,FALSE),0),
IF(AX796="K",VLOOKUP(L796,Foundation_Calc!$V$41:$X$74,VLOOKUP(AX796,Foundation_Calc!$I$10:$J$13,2,FALSE),0),"")))</f>
        <v/>
      </c>
      <c r="N796" s="8"/>
      <c r="O796" s="8"/>
      <c r="P796" s="8"/>
      <c r="Q796" s="14"/>
      <c r="R796" s="15"/>
      <c r="S796" s="15"/>
      <c r="T796" s="14"/>
      <c r="U796" s="14"/>
      <c r="V796" s="14"/>
      <c r="W796" s="18"/>
      <c r="X796" s="18"/>
      <c r="Y796" s="18"/>
      <c r="Z796" s="18"/>
      <c r="AA796" s="18"/>
      <c r="AB796" s="18"/>
      <c r="AC796" s="8" t="str">
        <f t="shared" si="51"/>
        <v/>
      </c>
      <c r="AD796" s="8"/>
      <c r="AE796" s="8"/>
      <c r="AF796" s="14"/>
      <c r="AG796" s="13"/>
      <c r="AH796" s="14"/>
      <c r="AI796" s="14"/>
      <c r="AJ796" s="8"/>
      <c r="AK796" s="8"/>
      <c r="AL796" s="8"/>
      <c r="AM796" s="8"/>
      <c r="AN796" s="631"/>
      <c r="AO796" s="18"/>
      <c r="AP796" s="18"/>
      <c r="AQ796" s="18"/>
      <c r="AR796" s="18"/>
      <c r="AS796" s="18"/>
      <c r="AU796" s="448"/>
      <c r="AV796" s="448"/>
      <c r="AW796" s="8" t="str">
        <f>IF(C796&gt;0,VLOOKUP(C796,Foundation_Calc!$A$2:$C$986,3,1),
IF(J796&gt;0,VLOOKUP(J796,Foundation_Calc!$A$2:$C$986,3,1),""))</f>
        <v/>
      </c>
      <c r="AX796" s="8" t="str">
        <f>IF(C796&gt;0,VLOOKUP(C796,Foundation_Calc!$E$2:$G$986,3,1),
IF(J796&gt;0,VLOOKUP(J796,Foundation_Calc!$E$2:$G$986,3,1),""))</f>
        <v/>
      </c>
      <c r="AY796" s="631" t="str">
        <f>IF(L796="","",
IF(AX796="PT",VLOOKUP(L796,Foundation_Calc!$K$4:$R$37,VLOOKUP(AW796,Foundation_Calc!$I$2:$J$8,2,FALSE),0),
IF(AX796="K",VLOOKUP(L796,Foundation_Calc!$K$41:$R$74,VLOOKUP(AW796,Foundation_Calc!$I$2:$J$8,2,FALSE),0),"")))</f>
        <v/>
      </c>
      <c r="AZ796" s="631" t="str">
        <f>IF(K796="","",
IF(AX796="PT",VLOOKUP(K796,Foundation_Calc!$K$4:$R$37,VLOOKUP(AW796,Foundation_Calc!$I$2:$J$8,2,FALSE),0),
IF(AX796="K",VLOOKUP(K796,Foundation_Calc!$K$41:$R$74,VLOOKUP(AW796,Foundation_Calc!$I$2:$J$8,2,FALSE),0),"")))</f>
        <v/>
      </c>
      <c r="BA796" s="632" t="str">
        <f t="shared" si="52"/>
        <v/>
      </c>
      <c r="BB796" s="632" t="str">
        <f t="shared" si="53"/>
        <v/>
      </c>
      <c r="BC796" s="632" t="str">
        <f t="shared" si="54"/>
        <v/>
      </c>
      <c r="BD796" s="633" t="str">
        <f>IF(AND(L796="",H796=""),"",
IF(H796="",Pole_Calc!A824,
IF(H796="MP",Pole_Calc!A825,
IF(H796="AnMP",Pole_Calc!A826,
IF(H796="A",Pole_Calc!A827,
IF(H796="S/A",Pole_Calc!A828,
IF(H796="A/S",Pole_Calc!A829,"Poner a mano")))))))</f>
        <v/>
      </c>
      <c r="BE796" s="448" t="s">
        <v>1726</v>
      </c>
      <c r="BF796" s="634"/>
      <c r="BG796" s="634"/>
      <c r="BH796" s="634"/>
      <c r="BI796" s="634"/>
    </row>
    <row r="797" spans="1:61" ht="16.2" customHeight="1">
      <c r="A797" s="12"/>
      <c r="B797" s="446"/>
      <c r="C797" s="89"/>
      <c r="D797" s="13"/>
      <c r="E797" s="14"/>
      <c r="F797" s="14"/>
      <c r="G797" s="15"/>
      <c r="H797" s="8"/>
      <c r="I797" s="8"/>
      <c r="J797" s="89"/>
      <c r="K797" s="8"/>
      <c r="L797" s="8"/>
      <c r="M797" s="8" t="str">
        <f>IF(L797="","",
IF(AX797="PT",VLOOKUP(L797,Foundation_Calc!$V$4:$X$37,VLOOKUP(AX797,Foundation_Calc!$I$10:$J$13,2,FALSE),0),
IF(AX797="K",VLOOKUP(L797,Foundation_Calc!$V$41:$X$74,VLOOKUP(AX797,Foundation_Calc!$I$10:$J$13,2,FALSE),0),"")))</f>
        <v/>
      </c>
      <c r="N797" s="8"/>
      <c r="O797" s="8"/>
      <c r="P797" s="8"/>
      <c r="Q797" s="14"/>
      <c r="R797" s="15"/>
      <c r="S797" s="15"/>
      <c r="T797" s="14"/>
      <c r="U797" s="14"/>
      <c r="V797" s="14"/>
      <c r="W797" s="18"/>
      <c r="X797" s="18"/>
      <c r="Y797" s="18"/>
      <c r="Z797" s="18"/>
      <c r="AA797" s="18"/>
      <c r="AB797" s="18"/>
      <c r="AC797" s="8" t="str">
        <f t="shared" si="51"/>
        <v/>
      </c>
      <c r="AD797" s="8"/>
      <c r="AE797" s="8"/>
      <c r="AF797" s="14"/>
      <c r="AG797" s="13"/>
      <c r="AH797" s="14"/>
      <c r="AI797" s="14"/>
      <c r="AJ797" s="8"/>
      <c r="AK797" s="8"/>
      <c r="AL797" s="8"/>
      <c r="AM797" s="8"/>
      <c r="AN797" s="631"/>
      <c r="AO797" s="18"/>
      <c r="AP797" s="18"/>
      <c r="AQ797" s="18"/>
      <c r="AR797" s="18"/>
      <c r="AS797" s="18"/>
      <c r="AU797" s="448"/>
      <c r="AV797" s="448"/>
      <c r="AW797" s="8" t="str">
        <f>IF(C797&gt;0,VLOOKUP(C797,Foundation_Calc!$A$2:$C$986,3,1),
IF(J797&gt;0,VLOOKUP(J797,Foundation_Calc!$A$2:$C$986,3,1),""))</f>
        <v/>
      </c>
      <c r="AX797" s="8" t="str">
        <f>IF(C797&gt;0,VLOOKUP(C797,Foundation_Calc!$E$2:$G$986,3,1),
IF(J797&gt;0,VLOOKUP(J797,Foundation_Calc!$E$2:$G$986,3,1),""))</f>
        <v/>
      </c>
      <c r="AY797" s="631" t="str">
        <f>IF(L797="","",
IF(AX797="PT",VLOOKUP(L797,Foundation_Calc!$K$4:$R$37,VLOOKUP(AW797,Foundation_Calc!$I$2:$J$8,2,FALSE),0),
IF(AX797="K",VLOOKUP(L797,Foundation_Calc!$K$41:$R$74,VLOOKUP(AW797,Foundation_Calc!$I$2:$J$8,2,FALSE),0),"")))</f>
        <v/>
      </c>
      <c r="AZ797" s="631" t="str">
        <f>IF(K797="","",
IF(AX797="PT",VLOOKUP(K797,Foundation_Calc!$K$4:$R$37,VLOOKUP(AW797,Foundation_Calc!$I$2:$J$8,2,FALSE),0),
IF(AX797="K",VLOOKUP(K797,Foundation_Calc!$K$41:$R$74,VLOOKUP(AW797,Foundation_Calc!$I$2:$J$8,2,FALSE),0),"")))</f>
        <v/>
      </c>
      <c r="BA797" s="632" t="str">
        <f t="shared" si="52"/>
        <v/>
      </c>
      <c r="BB797" s="632" t="str">
        <f t="shared" si="53"/>
        <v/>
      </c>
      <c r="BC797" s="632" t="str">
        <f t="shared" si="54"/>
        <v/>
      </c>
      <c r="BD797" s="633" t="str">
        <f>IF(AND(L797="",H797=""),"",
IF(H797="",Pole_Calc!A825,
IF(H797="MP",Pole_Calc!A826,
IF(H797="AnMP",Pole_Calc!A827,
IF(H797="A",Pole_Calc!A828,
IF(H797="S/A",Pole_Calc!A829,
IF(H797="A/S",Pole_Calc!A830,"Poner a mano")))))))</f>
        <v/>
      </c>
      <c r="BE797" s="448" t="s">
        <v>1726</v>
      </c>
      <c r="BF797" s="635"/>
      <c r="BG797" s="635"/>
      <c r="BH797" s="634"/>
      <c r="BI797" s="635"/>
    </row>
    <row r="798" spans="1:61" ht="16.2" customHeight="1">
      <c r="A798" s="12"/>
      <c r="B798" s="446"/>
      <c r="C798" s="89"/>
      <c r="D798" s="13"/>
      <c r="E798" s="14"/>
      <c r="F798" s="14"/>
      <c r="G798" s="15"/>
      <c r="H798" s="8"/>
      <c r="I798" s="8"/>
      <c r="J798" s="89"/>
      <c r="K798" s="8"/>
      <c r="L798" s="8"/>
      <c r="M798" s="8" t="str">
        <f>IF(L798="","",
IF(AX798="PT",VLOOKUP(L798,Foundation_Calc!$V$4:$X$37,VLOOKUP(AX798,Foundation_Calc!$I$10:$J$13,2,FALSE),0),
IF(AX798="K",VLOOKUP(L798,Foundation_Calc!$V$41:$X$74,VLOOKUP(AX798,Foundation_Calc!$I$10:$J$13,2,FALSE),0),"")))</f>
        <v/>
      </c>
      <c r="N798" s="8"/>
      <c r="O798" s="8"/>
      <c r="P798" s="8"/>
      <c r="Q798" s="14"/>
      <c r="R798" s="15"/>
      <c r="S798" s="15"/>
      <c r="T798" s="14"/>
      <c r="U798" s="14"/>
      <c r="V798" s="14"/>
      <c r="W798" s="18"/>
      <c r="X798" s="18"/>
      <c r="Y798" s="18"/>
      <c r="Z798" s="18"/>
      <c r="AA798" s="18"/>
      <c r="AB798" s="18"/>
      <c r="AC798" s="8" t="str">
        <f t="shared" si="51"/>
        <v/>
      </c>
      <c r="AD798" s="8"/>
      <c r="AE798" s="8"/>
      <c r="AF798" s="14"/>
      <c r="AG798" s="13"/>
      <c r="AH798" s="14"/>
      <c r="AI798" s="14"/>
      <c r="AJ798" s="8"/>
      <c r="AK798" s="8"/>
      <c r="AL798" s="8"/>
      <c r="AM798" s="8"/>
      <c r="AN798" s="631"/>
      <c r="AO798" s="18"/>
      <c r="AP798" s="18"/>
      <c r="AQ798" s="18"/>
      <c r="AR798" s="18"/>
      <c r="AS798" s="18"/>
      <c r="AU798" s="448"/>
      <c r="AV798" s="448"/>
      <c r="AW798" s="8" t="str">
        <f>IF(C798&gt;0,VLOOKUP(C798,Foundation_Calc!$A$2:$C$986,3,1),
IF(J798&gt;0,VLOOKUP(J798,Foundation_Calc!$A$2:$C$986,3,1),""))</f>
        <v/>
      </c>
      <c r="AX798" s="8" t="str">
        <f>IF(C798&gt;0,VLOOKUP(C798,Foundation_Calc!$E$2:$G$986,3,1),
IF(J798&gt;0,VLOOKUP(J798,Foundation_Calc!$E$2:$G$986,3,1),""))</f>
        <v/>
      </c>
      <c r="AY798" s="631" t="str">
        <f>IF(L798="","",
IF(AX798="PT",VLOOKUP(L798,Foundation_Calc!$K$4:$R$37,VLOOKUP(AW798,Foundation_Calc!$I$2:$J$8,2,FALSE),0),
IF(AX798="K",VLOOKUP(L798,Foundation_Calc!$K$41:$R$74,VLOOKUP(AW798,Foundation_Calc!$I$2:$J$8,2,FALSE),0),"")))</f>
        <v/>
      </c>
      <c r="AZ798" s="631" t="str">
        <f>IF(K798="","",
IF(AX798="PT",VLOOKUP(K798,Foundation_Calc!$K$4:$R$37,VLOOKUP(AW798,Foundation_Calc!$I$2:$J$8,2,FALSE),0),
IF(AX798="K",VLOOKUP(K798,Foundation_Calc!$K$41:$R$74,VLOOKUP(AW798,Foundation_Calc!$I$2:$J$8,2,FALSE),0),"")))</f>
        <v/>
      </c>
      <c r="BA798" s="632" t="str">
        <f t="shared" si="52"/>
        <v/>
      </c>
      <c r="BB798" s="632" t="str">
        <f t="shared" si="53"/>
        <v/>
      </c>
      <c r="BC798" s="632" t="str">
        <f t="shared" si="54"/>
        <v/>
      </c>
      <c r="BD798" s="633" t="str">
        <f>IF(AND(L798="",H798=""),"",
IF(H798="",Pole_Calc!A826,
IF(H798="MP",Pole_Calc!A827,
IF(H798="AnMP",Pole_Calc!A828,
IF(H798="A",Pole_Calc!A829,
IF(H798="S/A",Pole_Calc!A830,
IF(H798="A/S",Pole_Calc!A831,"Poner a mano")))))))</f>
        <v/>
      </c>
      <c r="BE798" s="448" t="s">
        <v>1726</v>
      </c>
      <c r="BF798" s="634"/>
      <c r="BG798" s="634"/>
      <c r="BH798" s="634"/>
      <c r="BI798" s="634"/>
    </row>
    <row r="799" spans="1:61" ht="16.2" customHeight="1">
      <c r="A799" s="12"/>
      <c r="B799" s="446"/>
      <c r="C799" s="89"/>
      <c r="D799" s="13"/>
      <c r="E799" s="14"/>
      <c r="F799" s="14"/>
      <c r="G799" s="15"/>
      <c r="H799" s="8"/>
      <c r="I799" s="8"/>
      <c r="J799" s="89"/>
      <c r="K799" s="8"/>
      <c r="L799" s="8"/>
      <c r="M799" s="8" t="str">
        <f>IF(L799="","",
IF(AX799="PT",VLOOKUP(L799,Foundation_Calc!$V$4:$X$37,VLOOKUP(AX799,Foundation_Calc!$I$10:$J$13,2,FALSE),0),
IF(AX799="K",VLOOKUP(L799,Foundation_Calc!$V$41:$X$74,VLOOKUP(AX799,Foundation_Calc!$I$10:$J$13,2,FALSE),0),"")))</f>
        <v/>
      </c>
      <c r="N799" s="8"/>
      <c r="O799" s="8"/>
      <c r="P799" s="8"/>
      <c r="Q799" s="14"/>
      <c r="R799" s="15"/>
      <c r="S799" s="15"/>
      <c r="T799" s="14"/>
      <c r="U799" s="14"/>
      <c r="V799" s="14"/>
      <c r="W799" s="18"/>
      <c r="X799" s="18"/>
      <c r="Y799" s="18"/>
      <c r="Z799" s="18"/>
      <c r="AA799" s="18"/>
      <c r="AB799" s="18"/>
      <c r="AC799" s="8" t="str">
        <f t="shared" si="51"/>
        <v/>
      </c>
      <c r="AD799" s="8"/>
      <c r="AE799" s="8"/>
      <c r="AF799" s="14"/>
      <c r="AG799" s="13"/>
      <c r="AH799" s="14"/>
      <c r="AI799" s="14"/>
      <c r="AJ799" s="8"/>
      <c r="AK799" s="8"/>
      <c r="AL799" s="8"/>
      <c r="AM799" s="8"/>
      <c r="AN799" s="631"/>
      <c r="AO799" s="18"/>
      <c r="AP799" s="18"/>
      <c r="AQ799" s="18"/>
      <c r="AR799" s="18"/>
      <c r="AS799" s="18"/>
      <c r="AU799" s="448"/>
      <c r="AV799" s="448"/>
      <c r="AW799" s="8" t="str">
        <f>IF(C799&gt;0,VLOOKUP(C799,Foundation_Calc!$A$2:$C$986,3,1),
IF(J799&gt;0,VLOOKUP(J799,Foundation_Calc!$A$2:$C$986,3,1),""))</f>
        <v/>
      </c>
      <c r="AX799" s="8" t="str">
        <f>IF(C799&gt;0,VLOOKUP(C799,Foundation_Calc!$E$2:$G$986,3,1),
IF(J799&gt;0,VLOOKUP(J799,Foundation_Calc!$E$2:$G$986,3,1),""))</f>
        <v/>
      </c>
      <c r="AY799" s="631" t="str">
        <f>IF(L799="","",
IF(AX799="PT",VLOOKUP(L799,Foundation_Calc!$K$4:$R$37,VLOOKUP(AW799,Foundation_Calc!$I$2:$J$8,2,FALSE),0),
IF(AX799="K",VLOOKUP(L799,Foundation_Calc!$K$41:$R$74,VLOOKUP(AW799,Foundation_Calc!$I$2:$J$8,2,FALSE),0),"")))</f>
        <v/>
      </c>
      <c r="AZ799" s="631" t="str">
        <f>IF(K799="","",
IF(AX799="PT",VLOOKUP(K799,Foundation_Calc!$K$4:$R$37,VLOOKUP(AW799,Foundation_Calc!$I$2:$J$8,2,FALSE),0),
IF(AX799="K",VLOOKUP(K799,Foundation_Calc!$K$41:$R$74,VLOOKUP(AW799,Foundation_Calc!$I$2:$J$8,2,FALSE),0),"")))</f>
        <v/>
      </c>
      <c r="BA799" s="632" t="str">
        <f t="shared" si="52"/>
        <v/>
      </c>
      <c r="BB799" s="632" t="str">
        <f t="shared" si="53"/>
        <v/>
      </c>
      <c r="BC799" s="632" t="str">
        <f t="shared" si="54"/>
        <v/>
      </c>
      <c r="BD799" s="633" t="str">
        <f>IF(AND(L799="",H799=""),"",
IF(H799="",Pole_Calc!A827,
IF(H799="MP",Pole_Calc!A828,
IF(H799="AnMP",Pole_Calc!A829,
IF(H799="A",Pole_Calc!A830,
IF(H799="S/A",Pole_Calc!A831,
IF(H799="A/S",Pole_Calc!A832,"Poner a mano")))))))</f>
        <v/>
      </c>
      <c r="BE799" s="448" t="s">
        <v>1726</v>
      </c>
      <c r="BF799" s="635"/>
      <c r="BG799" s="635"/>
      <c r="BH799" s="634"/>
      <c r="BI799" s="635"/>
    </row>
    <row r="800" spans="1:61" ht="16.2" customHeight="1">
      <c r="A800" s="12"/>
      <c r="B800" s="446"/>
      <c r="C800" s="89"/>
      <c r="D800" s="13"/>
      <c r="E800" s="14"/>
      <c r="F800" s="14"/>
      <c r="G800" s="15"/>
      <c r="H800" s="8"/>
      <c r="I800" s="8"/>
      <c r="J800" s="89"/>
      <c r="K800" s="8"/>
      <c r="L800" s="8"/>
      <c r="M800" s="8" t="str">
        <f>IF(L800="","",
IF(AX800="PT",VLOOKUP(L800,Foundation_Calc!$V$4:$X$37,VLOOKUP(AX800,Foundation_Calc!$I$10:$J$13,2,FALSE),0),
IF(AX800="K",VLOOKUP(L800,Foundation_Calc!$V$41:$X$74,VLOOKUP(AX800,Foundation_Calc!$I$10:$J$13,2,FALSE),0),"")))</f>
        <v/>
      </c>
      <c r="N800" s="8"/>
      <c r="O800" s="8"/>
      <c r="P800" s="8"/>
      <c r="Q800" s="14"/>
      <c r="R800" s="15"/>
      <c r="S800" s="15"/>
      <c r="T800" s="14"/>
      <c r="U800" s="14"/>
      <c r="V800" s="14"/>
      <c r="W800" s="18"/>
      <c r="X800" s="18"/>
      <c r="Y800" s="18"/>
      <c r="Z800" s="18"/>
      <c r="AA800" s="18"/>
      <c r="AB800" s="18"/>
      <c r="AC800" s="8" t="str">
        <f t="shared" si="51"/>
        <v/>
      </c>
      <c r="AD800" s="8"/>
      <c r="AE800" s="8"/>
      <c r="AF800" s="14"/>
      <c r="AG800" s="13"/>
      <c r="AH800" s="14"/>
      <c r="AI800" s="14"/>
      <c r="AJ800" s="8"/>
      <c r="AK800" s="8"/>
      <c r="AL800" s="8"/>
      <c r="AM800" s="8"/>
      <c r="AN800" s="631"/>
      <c r="AO800" s="18"/>
      <c r="AP800" s="18"/>
      <c r="AQ800" s="18"/>
      <c r="AR800" s="18"/>
      <c r="AS800" s="18"/>
      <c r="AU800" s="448"/>
      <c r="AV800" s="448"/>
      <c r="AW800" s="8" t="str">
        <f>IF(C800&gt;0,VLOOKUP(C800,Foundation_Calc!$A$2:$C$986,3,1),
IF(J800&gt;0,VLOOKUP(J800,Foundation_Calc!$A$2:$C$986,3,1),""))</f>
        <v/>
      </c>
      <c r="AX800" s="8" t="str">
        <f>IF(C800&gt;0,VLOOKUP(C800,Foundation_Calc!$E$2:$G$986,3,1),
IF(J800&gt;0,VLOOKUP(J800,Foundation_Calc!$E$2:$G$986,3,1),""))</f>
        <v/>
      </c>
      <c r="AY800" s="631" t="str">
        <f>IF(L800="","",
IF(AX800="PT",VLOOKUP(L800,Foundation_Calc!$K$4:$R$37,VLOOKUP(AW800,Foundation_Calc!$I$2:$J$8,2,FALSE),0),
IF(AX800="K",VLOOKUP(L800,Foundation_Calc!$K$41:$R$74,VLOOKUP(AW800,Foundation_Calc!$I$2:$J$8,2,FALSE),0),"")))</f>
        <v/>
      </c>
      <c r="AZ800" s="631" t="str">
        <f>IF(K800="","",
IF(AX800="PT",VLOOKUP(K800,Foundation_Calc!$K$4:$R$37,VLOOKUP(AW800,Foundation_Calc!$I$2:$J$8,2,FALSE),0),
IF(AX800="K",VLOOKUP(K800,Foundation_Calc!$K$41:$R$74,VLOOKUP(AW800,Foundation_Calc!$I$2:$J$8,2,FALSE),0),"")))</f>
        <v/>
      </c>
      <c r="BA800" s="632" t="str">
        <f t="shared" si="52"/>
        <v/>
      </c>
      <c r="BB800" s="632" t="str">
        <f t="shared" si="53"/>
        <v/>
      </c>
      <c r="BC800" s="632" t="str">
        <f t="shared" si="54"/>
        <v/>
      </c>
      <c r="BD800" s="633" t="str">
        <f>IF(AND(L800="",H800=""),"",
IF(H800="",Pole_Calc!A828,
IF(H800="MP",Pole_Calc!A829,
IF(H800="AnMP",Pole_Calc!A830,
IF(H800="A",Pole_Calc!A831,
IF(H800="S/A",Pole_Calc!A832,
IF(H800="A/S",Pole_Calc!A833,"Poner a mano")))))))</f>
        <v/>
      </c>
      <c r="BE800" s="448" t="s">
        <v>1726</v>
      </c>
      <c r="BF800" s="634"/>
      <c r="BG800" s="634"/>
      <c r="BH800" s="634"/>
      <c r="BI800" s="634"/>
    </row>
  </sheetData>
  <autoFilter ref="A2:BD800" xr:uid="{00000000-0009-0000-0000-000003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F1:BI1"/>
    <mergeCell ref="A1:BD1"/>
    <mergeCell ref="AT2:AV2"/>
    <mergeCell ref="AC2:AE2"/>
    <mergeCell ref="Z2:AB2"/>
    <mergeCell ref="N2:P2"/>
    <mergeCell ref="AN2:AP2"/>
    <mergeCell ref="AQ2:AS2"/>
    <mergeCell ref="T2:V2"/>
    <mergeCell ref="W2:Y2"/>
    <mergeCell ref="BA2:BC2"/>
  </mergeCells>
  <phoneticPr fontId="0" type="noConversion"/>
  <conditionalFormatting sqref="BF5:BG5 BI5 BF7:BG7 BF9:BG9 BF11:BG11 BF13:BG13 BF15:BG15 BF17:BG17 BF19:BG19 BF21:BG21 BF23:BG23 BF25:BG25 BF27:BG27 BF29:BG29 BF31:BG31 BF33:BG33 BF35:BG35 BF37:BG37 BF39:BG39 BF41:BG41 BF43:BG43 BF45:BG45 BF47:BG47 BF49:BG49 BF51:BG51 BF53:BG53 BF55:BG55 BF57:BG57 BF59:BG59 BF61:BG61 BF63:BG63 BF65:BG65 BF67:BG67 BF69:BG69 BF71:BG71 BF73:BG73 BF75:BG75 BF77:BG77 BF79:BG79 BF81:BG81 BF83:BG83 BF85:BG85 BF87:BG87 BF89:BG89 BF91:BG91 BF93:BG93 BF95:BG95 BF97:BG97 BF99:BG99 BF101:BG101 BF103:BG103 BF105:BG105 BF107:BG107 BF109:BG109 BF111:BG111 BF113:BG113 BF115:BG115 BF117:BG117 BF119:BG119 BF121:BG121 BF123:BG123 BF125:BG125 BF127:BG127 BF129:BG129 BF131:BG131 BF133:BG133 BF135:BG135 BF137:BG137 BF139:BG139 BF141:BG141 BF143:BG143 BF145:BG145 BF147:BG147 BF149:BG149 BF151:BG151 BF153:BG153 BF155:BG155 BF157:BG157 BF159:BG159 BF161:BG161 BF163:BG163 BF165:BG165 BF167:BG167 BF169:BG169 BF171:BG171 BF173:BG173 BF175:BG175 BF177:BG177 BF179:BG179 BF181:BG181 BF183:BG183 BF185:BG185 BF187:BG187 BF189:BG189 BF191:BG191 BF193:BG193 BF195:BG195 BF197:BG197 BF199:BG199 BF201:BG201 BF203:BG203 BF205:BG205 BF207:BG207 BF209:BG209 BF211:BG211 BF213:BG213 BF215:BG215 BF217:BG217 BF219:BG219 BF221:BG221 BF223:BG223 BF225:BG225 BF227:BG227 BF229:BG229 BF231:BG231 BF233:BG233 BF235:BG235 BF237:BG237 BF239:BG239 BF241:BG241 BF243:BG243 BF245:BG245 BF247:BG247 BF249:BG249 BF251:BG251 BF253:BG253 BF255:BG255 BF257:BG257 BF259:BG259 BF261:BG261 BF263:BG263 BF265:BG265 BF267:BG267 BF269:BG269 BF271:BG271 BF273:BG273 BF275:BG275 BF277:BG277 BF279:BG279 BF281:BG281 BF283:BG283 BF285:BG285 BF287:BG287 BF289:BG289 BF291:BG291 BF293:BG293 BF295:BG295 BF297:BG297 BF299:BG299 BF301:BG301 BF303:BG303 BF305:BG305 BF307:BG307 BF309:BG309 BF311:BG311 BF313:BG313 BF315:BG315 BF317:BG317 BF319:BG319 BF321:BG321 BF323:BG323 BF325:BG325 BF327:BG327 BF329:BG329 BF331:BG331 BF333:BG333 BF335:BG335 BF337:BG337 BF339:BG339 BF341:BG341 BF343:BG343 BF345:BG345 BF347:BG347 BF349:BG349 BF351:BG351 BF353:BG353 BF355:BG355 BF357:BG357 BF359:BG359 BF361:BG361 BF363:BG363 BF365:BG365 BF367:BG367 BF369:BG369 BF371:BG371 BF373:BG373 BF375:BG375 BF377:BG377 BF379:BG379 BF381:BG381 BF383:BG383 BF385:BG385 BF387:BG387 BF389:BG389 BF391:BG391 BF393:BG393 BF395:BG395 BF397:BG397 BF399:BG399 BF401:BG401 BF403:BG403 BF405:BG405 BF407:BG407 BF409:BG409 BF411:BG411 BF413:BG413 BF415:BG415 BF417:BG417 BF419:BG419 BF421:BG421 BF423:BG423 BF425:BG425 BF427:BG427 BF429:BG429 BF431:BG431 BF433:BG433 BF435:BG435 BF437:BG437 BF439:BG439 BF441:BG441 BF443:BG443 BF445:BG445 BF447:BG447 BF449:BG449 BF451:BG451 BF453:BG453 BF455:BG455 BF457:BG457 BF459:BG459 BF461:BG461 BF463:BG463 BF465:BG465 BF467:BG467 BF469:BG469 BF471:BG471 BF473:BG473 BF475:BG475 BF477:BG477 BF479:BG479 BF481:BG481 BF483:BG483 BF485:BG485 BF487:BG487 BF489:BG489 BF491:BG491 BF493:BG493 BF495:BG495 BF497:BG497 BF499:BG499 BF501:BG501 BF503:BG503 BF505:BG505 BF507:BG507 BF509:BG509 BF511:BG511 BF513:BG513 BF515:BG515 BF517:BG517 BF519:BG519 BF521:BG521 BF523:BG523 BF525:BG525 BF527:BG527 BF529:BG529 BF531:BG531 BF533:BG533 BF535:BG535 BF537:BG537 BF539:BG539 BF541:BG541 BF543:BG543 BF545:BG545 BF547:BG547 BF549:BG549 BF551:BG551 BF553:BG553 BF555:BG555 BF557:BG557 BF559:BG559 BF561:BG561 BF563:BG563 BF565:BG565 BF567:BG567 BF569:BG569 BF571:BG571 BF573:BG573 BF575:BG575 BF577:BG577 BF579:BG579 BF581:BG581 BF583:BG583 BF585:BG585 BF587:BG587 BF589:BG589 BF591:BG591 BF593:BG593 BF595:BG595 BF597:BG597 BF599:BG599 BF601:BG601 BF603:BG603 BF605:BG605 BF607:BG607 BF609:BG609 BF611:BG611 BF613:BG613 BF615:BG615 BF617:BG617 BF619:BG619 BF621:BG621 BF623:BG623 BF625:BG625 BF627:BG627 BF629:BG629 BF631:BG631 BF633:BG633 BF635:BG635 BF637:BG637 BF639:BG639 BF641:BG641 BF643:BG643 BF645:BG645 BF647:BG647 BF649:BG649 BF651:BG651 BF653:BG653 BF655:BG655 BF657:BG657 BF659:BG659 BF661:BG661 BF663:BG663 BF665:BG665 BF667:BG667 BF669:BG669 BF671:BG671 BF673:BG673 BF675:BG675 BF677:BG677 BF679:BG679 BF681:BG681 BF683:BG683 BF685:BG685 BF687:BG687 BF689:BG689 BF691:BG691 BF693:BG693 BF695:BG695 BF697:BG697 BF699:BG699 BF701:BG701 BF703:BG703 BF705:BG705 BF707:BG707 BF709:BG709 BF711:BG711 BF713:BG713 BF715:BG715 BF717:BG717 BF719:BG719 BF721:BG721 BF723:BG723 BF725:BG725 BF727:BG727 BF729:BG729 BF731:BG731 BF733:BG733 BF735:BG735 BF737:BG737 BF739:BG739 BF741:BG741 BF743:BG743 BF745:BG745 BF747:BG747 BF749:BG749 BF751:BG751 BF753:BG753 BF755:BG755 BF757:BG757 BF759:BG759 BF761:BG761 BF763:BG763 BF765:BG765 BF767:BG767 BF769:BG769 BF771:BG771 BF773:BG773 BF775:BG775 BF777:BG777 BF779:BG779 BF781:BG781 BF783:BG783 BF785:BG785 BF787:BG787 BF789:BG789 BF791:BG791 BF793:BG793 BF795:BG795 BF797:BG797 BF799:BG799 BI7 BI9 BI11 BI13 BI15 BI17 BI19 BI21 BI23 BI25 BI27 BI29 BI31 BI33 BI35 BI37 BI39 BI41 BI43 BI45 BI47 BI49 BI51 BI53 BI55 BI57 BI59 BI61 BI63 BI65 BI67 BI69 BI71 BI73 BI75 BI77 BI79 BI81 BI83 BI85 BI87 BI89 BI91 BI93 BI95 BI97 BI99 BI101 BI103 BI105 BI107 BI109 BI111 BI113 BI115 BI117 BI119 BI121 BI123 BI125 BI127 BI129 BI131 BI133 BI135 BI137 BI139 BI141 BI143 BI145 BI147 BI149 BI151 BI153 BI155 BI157 BI159 BI161 BI163 BI165 BI167 BI169 BI171 BI173 BI175 BI177 BI179 BI181 BI183 BI185 BI187 BI189 BI191 BI193 BI195 BI197 BI199 BI201 BI203 BI205 BI207 BI209 BI211 BI213 BI215 BI217 BI219 BI221 BI223 BI225 BI227 BI229 BI231 BI233 BI235 BI237 BI239 BI241 BI243 BI245 BI247 BI249 BI251 BI253 BI255 BI257 BI259 BI261 BI263 BI265 BI267 BI269 BI271 BI273 BI275 BI277 BI279 BI281 BI283 BI285 BI287 BI289 BI291 BI293 BI295 BI297 BI299 BI301 BI303 BI305 BI307 BI309 BI311 BI313 BI315 BI317 BI319 BI321 BI323 BI325 BI327 BI329 BI331 BI333 BI335 BI337 BI339 BI341 BI343 BI345 BI347 BI349 BI351 BI353 BI355 BI357 BI359 BI361 BI363 BI365 BI367 BI369 BI371 BI373 BI375 BI377 BI379 BI381 BI383 BI385 BI387 BI389 BI391 BI393 BI395 BI397 BI399 BI401 BI403 BI405 BI407 BI409 BI411 BI413 BI415 BI417 BI419 BI421 BI423 BI425 BI427 BI429 BI431 BI433 BI435 BI437 BI439 BI441 BI443 BI445 BI447 BI449 BI451 BI453 BI455 BI457 BI459 BI461 BI463 BI465 BI467 BI469 BI471 BI473 BI475 BI477 BI479 BI481 BI483 BI485 BI487 BI489 BI491 BI493 BI495 BI497 BI499 BI501 BI503 BI505 BI507 BI509 BI511 BI513 BI515 BI517 BI519 BI521 BI523 BI525 BI527 BI529 BI531 BI533 BI535 BI537 BI539 BI541 BI543 BI545 BI547 BI549 BI551 BI553 BI555 BI557 BI559 BI561 BI563 BI565 BI567 BI569 BI571 BI573 BI575 BI577 BI579 BI581 BI583 BI585 BI587 BI589 BI591 BI593 BI595 BI597 BI599 BI601 BI603 BI605 BI607 BI609 BI611 BI613 BI615 BI617 BI619 BI621 BI623 BI625 BI627 BI629 BI631 BI633 BI635 BI637 BI639 BI641 BI643 BI645 BI647 BI649 BI651 BI653 BI655 BI657 BI659 BI661 BI663 BI665 BI667 BI669 BI671 BI673 BI675 BI677 BI679 BI681 BI683 BI685 BI687 BI689 BI691 BI693 BI695 BI697 BI699 BI701 BI703 BI705 BI707 BI709 BI711 BI713 BI715 BI717 BI719 BI721 BI723 BI725 BI727 BI729 BI731 BI733 BI735 BI737 BI739 BI741 BI743 BI745 BI747 BI749 BI751 BI753 BI755 BI757 BI759 BI761 BI763 BI765 BI767 BI769 BI771 BI773 BI775 BI777 BI779 BI781 BI783 BI785 BI787 BI789 BI791 BI793 BI795 BI797 BI799">
    <cfRule type="containsBlanks" dxfId="8183" priority="1978">
      <formula>LEN(TRIM(BF5))=0</formula>
    </cfRule>
  </conditionalFormatting>
  <conditionalFormatting sqref="BE4">
    <cfRule type="expression" dxfId="8182" priority="1976">
      <formula>$M4="NON DEFINED"</formula>
    </cfRule>
    <cfRule type="expression" dxfId="8181" priority="1977">
      <formula>$AY4="N.D."</formula>
    </cfRule>
  </conditionalFormatting>
  <conditionalFormatting sqref="BE4">
    <cfRule type="cellIs" dxfId="8180" priority="1975" operator="equal">
      <formula>0</formula>
    </cfRule>
  </conditionalFormatting>
  <conditionalFormatting sqref="AG5 AZ5 B5:E5 J5 AN5:AS5 G5:H5">
    <cfRule type="expression" dxfId="8179" priority="1972">
      <formula>$M5="NON DEFINED"</formula>
    </cfRule>
    <cfRule type="expression" dxfId="8178" priority="1973">
      <formula>$AZ5="N.D."</formula>
    </cfRule>
    <cfRule type="expression" dxfId="8177" priority="1974">
      <formula>$AY5="N.D."</formula>
    </cfRule>
  </conditionalFormatting>
  <conditionalFormatting sqref="AY5">
    <cfRule type="expression" dxfId="8176" priority="1955">
      <formula>$M5="NON DEFINED"</formula>
    </cfRule>
    <cfRule type="expression" dxfId="8175" priority="1956">
      <formula>$AZ5="N.D."</formula>
    </cfRule>
    <cfRule type="expression" dxfId="8174" priority="1957">
      <formula>$AY5="N.D."</formula>
    </cfRule>
  </conditionalFormatting>
  <conditionalFormatting sqref="A5:E5 J5 AG5 AN5:AS5 G5:H5 AY5:AZ5">
    <cfRule type="expression" dxfId="8173" priority="1940">
      <formula>$A5="Overhead Cable"</formula>
    </cfRule>
    <cfRule type="expression" dxfId="8172" priority="1941">
      <formula>$A5="Level Crossing"</formula>
    </cfRule>
    <cfRule type="expression" dxfId="8171" priority="1942">
      <formula>$A5="Neutral Section"</formula>
    </cfRule>
    <cfRule type="expression" dxfId="8170" priority="1943">
      <formula>$A5="Tunnel"</formula>
    </cfRule>
    <cfRule type="expression" dxfId="8169" priority="1944">
      <formula>$A5="Bridge"</formula>
    </cfRule>
    <cfRule type="expression" dxfId="8168" priority="1945">
      <formula>$A5="Drainage Works"</formula>
    </cfRule>
    <cfRule type="expression" dxfId="8167" priority="1946">
      <formula>$A5="Underpass"</formula>
    </cfRule>
    <cfRule type="expression" dxfId="8166" priority="1947">
      <formula>$A5="Overcrossing"</formula>
    </cfRule>
    <cfRule type="expression" dxfId="8165" priority="1948">
      <formula>$A5="Overpass"</formula>
    </cfRule>
    <cfRule type="expression" dxfId="8164" priority="1949">
      <formula>$A5="Station"</formula>
    </cfRule>
    <cfRule type="expression" dxfId="8163" priority="1950">
      <formula>$A5="Overlap between sections"</formula>
    </cfRule>
  </conditionalFormatting>
  <conditionalFormatting sqref="BA4:BC4">
    <cfRule type="expression" dxfId="8162" priority="1939">
      <formula>$BE4="R"</formula>
    </cfRule>
  </conditionalFormatting>
  <conditionalFormatting sqref="B4:E4 J4 AG4 AN4:AS4 AY4:BC4 G4:H4">
    <cfRule type="expression" dxfId="8161" priority="1937">
      <formula>$M4="NON DEFINED"</formula>
    </cfRule>
    <cfRule type="expression" dxfId="8160" priority="1938">
      <formula>$AY4="N.D."</formula>
    </cfRule>
  </conditionalFormatting>
  <conditionalFormatting sqref="A4:E4 J4 AG4 AN4:AS4 AY4:BD4 G4:H4">
    <cfRule type="cellIs" dxfId="8159" priority="1936" operator="equal">
      <formula>0</formula>
    </cfRule>
  </conditionalFormatting>
  <conditionalFormatting sqref="AN5:AP5">
    <cfRule type="cellIs" dxfId="8158" priority="1935" operator="notEqual">
      <formula>5.5</formula>
    </cfRule>
  </conditionalFormatting>
  <conditionalFormatting sqref="B5">
    <cfRule type="expression" dxfId="8157" priority="1933">
      <formula>AND($AH5&gt;2499,$AH5&lt;2901)</formula>
    </cfRule>
  </conditionalFormatting>
  <conditionalFormatting sqref="I4">
    <cfRule type="expression" dxfId="8156" priority="1917">
      <formula>$M4="NON DEFINED"</formula>
    </cfRule>
    <cfRule type="expression" dxfId="8155" priority="1918">
      <formula>$AY4="N.D."</formula>
    </cfRule>
  </conditionalFormatting>
  <conditionalFormatting sqref="I4">
    <cfRule type="cellIs" dxfId="8154" priority="1916" operator="equal">
      <formula>0</formula>
    </cfRule>
  </conditionalFormatting>
  <conditionalFormatting sqref="K5">
    <cfRule type="expression" dxfId="8153" priority="1913">
      <formula>$M5="NON DEFINED"</formula>
    </cfRule>
    <cfRule type="expression" dxfId="8152" priority="1914">
      <formula>$AZ5="N.D."</formula>
    </cfRule>
    <cfRule type="expression" dxfId="8151" priority="1915">
      <formula>$AY5="N.D."</formula>
    </cfRule>
  </conditionalFormatting>
  <conditionalFormatting sqref="K5">
    <cfRule type="expression" dxfId="8150" priority="1902">
      <formula>$A5="Overhead Cable"</formula>
    </cfRule>
    <cfRule type="expression" dxfId="8149" priority="1903">
      <formula>$A5="Level Crossing"</formula>
    </cfRule>
    <cfRule type="expression" dxfId="8148" priority="1904">
      <formula>$A5="Neutral Section"</formula>
    </cfRule>
    <cfRule type="expression" dxfId="8147" priority="1905">
      <formula>$A5="Tunnel"</formula>
    </cfRule>
    <cfRule type="expression" dxfId="8146" priority="1906">
      <formula>$A5="Bridge"</formula>
    </cfRule>
    <cfRule type="expression" dxfId="8145" priority="1907">
      <formula>$A5="Drainage Works"</formula>
    </cfRule>
    <cfRule type="expression" dxfId="8144" priority="1908">
      <formula>$A5="Underpass"</formula>
    </cfRule>
    <cfRule type="expression" dxfId="8143" priority="1909">
      <formula>$A5="Overcrossing"</formula>
    </cfRule>
    <cfRule type="expression" dxfId="8142" priority="1910">
      <formula>$A5="Overpass"</formula>
    </cfRule>
    <cfRule type="expression" dxfId="8141" priority="1911">
      <formula>$A5="Station"</formula>
    </cfRule>
    <cfRule type="expression" dxfId="8140" priority="1912">
      <formula>$A5="Overlap between sections"</formula>
    </cfRule>
  </conditionalFormatting>
  <conditionalFormatting sqref="K4">
    <cfRule type="expression" dxfId="8139" priority="1900">
      <formula>$M4="NON DEFINED"</formula>
    </cfRule>
    <cfRule type="expression" dxfId="8138" priority="1901">
      <formula>$AY4="N.D."</formula>
    </cfRule>
  </conditionalFormatting>
  <conditionalFormatting sqref="K4">
    <cfRule type="cellIs" dxfId="8137" priority="1899" operator="equal">
      <formula>0</formula>
    </cfRule>
  </conditionalFormatting>
  <conditionalFormatting sqref="L5">
    <cfRule type="expression" dxfId="8136" priority="1896">
      <formula>$M5="NON DEFINED"</formula>
    </cfRule>
    <cfRule type="expression" dxfId="8135" priority="1897">
      <formula>$AZ5="N.D."</formula>
    </cfRule>
    <cfRule type="expression" dxfId="8134" priority="1898">
      <formula>$AY5="N.D."</formula>
    </cfRule>
  </conditionalFormatting>
  <conditionalFormatting sqref="L5">
    <cfRule type="expression" dxfId="8133" priority="1885">
      <formula>$A5="Overhead Cable"</formula>
    </cfRule>
    <cfRule type="expression" dxfId="8132" priority="1886">
      <formula>$A5="Level Crossing"</formula>
    </cfRule>
    <cfRule type="expression" dxfId="8131" priority="1887">
      <formula>$A5="Neutral Section"</formula>
    </cfRule>
    <cfRule type="expression" dxfId="8130" priority="1888">
      <formula>$A5="Tunnel"</formula>
    </cfRule>
    <cfRule type="expression" dxfId="8129" priority="1889">
      <formula>$A5="Bridge"</formula>
    </cfRule>
    <cfRule type="expression" dxfId="8128" priority="1890">
      <formula>$A5="Drainage Works"</formula>
    </cfRule>
    <cfRule type="expression" dxfId="8127" priority="1891">
      <formula>$A5="Underpass"</formula>
    </cfRule>
    <cfRule type="expression" dxfId="8126" priority="1892">
      <formula>$A5="Overcrossing"</formula>
    </cfRule>
    <cfRule type="expression" dxfId="8125" priority="1893">
      <formula>$A5="Overpass"</formula>
    </cfRule>
    <cfRule type="expression" dxfId="8124" priority="1894">
      <formula>$A5="Station"</formula>
    </cfRule>
    <cfRule type="expression" dxfId="8123" priority="1895">
      <formula>$A5="Overlap between sections"</formula>
    </cfRule>
  </conditionalFormatting>
  <conditionalFormatting sqref="L4">
    <cfRule type="expression" dxfId="8122" priority="1883">
      <formula>$M4="NON DEFINED"</formula>
    </cfRule>
    <cfRule type="expression" dxfId="8121" priority="1884">
      <formula>$AY4="N.D."</formula>
    </cfRule>
  </conditionalFormatting>
  <conditionalFormatting sqref="L4">
    <cfRule type="cellIs" dxfId="8120" priority="1882" operator="equal">
      <formula>0</formula>
    </cfRule>
  </conditionalFormatting>
  <conditionalFormatting sqref="M5">
    <cfRule type="expression" dxfId="8119" priority="1879">
      <formula>$M5="NON DEFINED"</formula>
    </cfRule>
    <cfRule type="expression" dxfId="8118" priority="1880">
      <formula>$AZ5="N.D."</formula>
    </cfRule>
    <cfRule type="expression" dxfId="8117" priority="1881">
      <formula>$AY5="N.D."</formula>
    </cfRule>
  </conditionalFormatting>
  <conditionalFormatting sqref="M5">
    <cfRule type="expression" dxfId="8116" priority="1868">
      <formula>$A5="Overhead Cable"</formula>
    </cfRule>
    <cfRule type="expression" dxfId="8115" priority="1869">
      <formula>$A5="Level Crossing"</formula>
    </cfRule>
    <cfRule type="expression" dxfId="8114" priority="1870">
      <formula>$A5="Neutral Section"</formula>
    </cfRule>
    <cfRule type="expression" dxfId="8113" priority="1871">
      <formula>$A5="Tunnel"</formula>
    </cfRule>
    <cfRule type="expression" dxfId="8112" priority="1872">
      <formula>$A5="Bridge"</formula>
    </cfRule>
    <cfRule type="expression" dxfId="8111" priority="1873">
      <formula>$A5="Drainage Works"</formula>
    </cfRule>
    <cfRule type="expression" dxfId="8110" priority="1874">
      <formula>$A5="Underpass"</formula>
    </cfRule>
    <cfRule type="expression" dxfId="8109" priority="1875">
      <formula>$A5="Overcrossing"</formula>
    </cfRule>
    <cfRule type="expression" dxfId="8108" priority="1876">
      <formula>$A5="Overpass"</formula>
    </cfRule>
    <cfRule type="expression" dxfId="8107" priority="1877">
      <formula>$A5="Station"</formula>
    </cfRule>
    <cfRule type="expression" dxfId="8106" priority="1878">
      <formula>$A5="Overlap between sections"</formula>
    </cfRule>
  </conditionalFormatting>
  <conditionalFormatting sqref="M4">
    <cfRule type="expression" dxfId="8105" priority="1866">
      <formula>$M4="NON DEFINED"</formula>
    </cfRule>
    <cfRule type="expression" dxfId="8104" priority="1867">
      <formula>$AY4="N.D."</formula>
    </cfRule>
  </conditionalFormatting>
  <conditionalFormatting sqref="M4">
    <cfRule type="cellIs" dxfId="8103" priority="1865" operator="equal">
      <formula>0</formula>
    </cfRule>
  </conditionalFormatting>
  <conditionalFormatting sqref="N5">
    <cfRule type="expression" dxfId="8102" priority="1859">
      <formula>$M5="NON DEFINED"</formula>
    </cfRule>
    <cfRule type="expression" dxfId="8101" priority="1860">
      <formula>$AZ5="N.D."</formula>
    </cfRule>
    <cfRule type="expression" dxfId="8100" priority="1861">
      <formula>$AY5="N.D."</formula>
    </cfRule>
  </conditionalFormatting>
  <conditionalFormatting sqref="N5">
    <cfRule type="expression" dxfId="8099" priority="1848">
      <formula>$A5="Overhead Cable"</formula>
    </cfRule>
    <cfRule type="expression" dxfId="8098" priority="1849">
      <formula>$A5="Level Crossing"</formula>
    </cfRule>
    <cfRule type="expression" dxfId="8097" priority="1850">
      <formula>$A5="Neutral Section"</formula>
    </cfRule>
    <cfRule type="expression" dxfId="8096" priority="1851">
      <formula>$A5="Tunnel"</formula>
    </cfRule>
    <cfRule type="expression" dxfId="8095" priority="1852">
      <formula>$A5="Bridge"</formula>
    </cfRule>
    <cfRule type="expression" dxfId="8094" priority="1853">
      <formula>$A5="Drainage Works"</formula>
    </cfRule>
    <cfRule type="expression" dxfId="8093" priority="1854">
      <formula>$A5="Underpass"</formula>
    </cfRule>
    <cfRule type="expression" dxfId="8092" priority="1855">
      <formula>$A5="Overcrossing"</formula>
    </cfRule>
    <cfRule type="expression" dxfId="8091" priority="1856">
      <formula>$A5="Overpass"</formula>
    </cfRule>
    <cfRule type="expression" dxfId="8090" priority="1857">
      <formula>$A5="Station"</formula>
    </cfRule>
    <cfRule type="expression" dxfId="8089" priority="1858">
      <formula>$A5="Overlap between sections"</formula>
    </cfRule>
  </conditionalFormatting>
  <conditionalFormatting sqref="N4">
    <cfRule type="expression" dxfId="8088" priority="1846">
      <formula>$M4="NON DEFINED"</formula>
    </cfRule>
    <cfRule type="expression" dxfId="8087" priority="1847">
      <formula>$AY4="N.D."</formula>
    </cfRule>
  </conditionalFormatting>
  <conditionalFormatting sqref="N4">
    <cfRule type="cellIs" dxfId="8086" priority="1845" operator="equal">
      <formula>0</formula>
    </cfRule>
  </conditionalFormatting>
  <conditionalFormatting sqref="O5">
    <cfRule type="expression" dxfId="8085" priority="1842">
      <formula>$M5="NON DEFINED"</formula>
    </cfRule>
    <cfRule type="expression" dxfId="8084" priority="1843">
      <formula>$AZ5="N.D."</formula>
    </cfRule>
    <cfRule type="expression" dxfId="8083" priority="1844">
      <formula>$AY5="N.D."</formula>
    </cfRule>
  </conditionalFormatting>
  <conditionalFormatting sqref="O5">
    <cfRule type="expression" dxfId="8082" priority="1831">
      <formula>$A5="Overhead Cable"</formula>
    </cfRule>
    <cfRule type="expression" dxfId="8081" priority="1832">
      <formula>$A5="Level Crossing"</formula>
    </cfRule>
    <cfRule type="expression" dxfId="8080" priority="1833">
      <formula>$A5="Neutral Section"</formula>
    </cfRule>
    <cfRule type="expression" dxfId="8079" priority="1834">
      <formula>$A5="Tunnel"</formula>
    </cfRule>
    <cfRule type="expression" dxfId="8078" priority="1835">
      <formula>$A5="Bridge"</formula>
    </cfRule>
    <cfRule type="expression" dxfId="8077" priority="1836">
      <formula>$A5="Drainage Works"</formula>
    </cfRule>
    <cfRule type="expression" dxfId="8076" priority="1837">
      <formula>$A5="Underpass"</formula>
    </cfRule>
    <cfRule type="expression" dxfId="8075" priority="1838">
      <formula>$A5="Overcrossing"</formula>
    </cfRule>
    <cfRule type="expression" dxfId="8074" priority="1839">
      <formula>$A5="Overpass"</formula>
    </cfRule>
    <cfRule type="expression" dxfId="8073" priority="1840">
      <formula>$A5="Station"</formula>
    </cfRule>
    <cfRule type="expression" dxfId="8072" priority="1841">
      <formula>$A5="Overlap between sections"</formula>
    </cfRule>
  </conditionalFormatting>
  <conditionalFormatting sqref="O4">
    <cfRule type="expression" dxfId="8071" priority="1829">
      <formula>$M4="NON DEFINED"</formula>
    </cfRule>
    <cfRule type="expression" dxfId="8070" priority="1830">
      <formula>$AY4="N.D."</formula>
    </cfRule>
  </conditionalFormatting>
  <conditionalFormatting sqref="O4">
    <cfRule type="cellIs" dxfId="8069" priority="1828" operator="equal">
      <formula>0</formula>
    </cfRule>
  </conditionalFormatting>
  <conditionalFormatting sqref="P5">
    <cfRule type="expression" dxfId="8068" priority="1825">
      <formula>$M5="NON DEFINED"</formula>
    </cfRule>
    <cfRule type="expression" dxfId="8067" priority="1826">
      <formula>$AZ5="N.D."</formula>
    </cfRule>
    <cfRule type="expression" dxfId="8066" priority="1827">
      <formula>$AY5="N.D."</formula>
    </cfRule>
  </conditionalFormatting>
  <conditionalFormatting sqref="P5">
    <cfRule type="expression" dxfId="8065" priority="1814">
      <formula>$A5="Overhead Cable"</formula>
    </cfRule>
    <cfRule type="expression" dxfId="8064" priority="1815">
      <formula>$A5="Level Crossing"</formula>
    </cfRule>
    <cfRule type="expression" dxfId="8063" priority="1816">
      <formula>$A5="Neutral Section"</formula>
    </cfRule>
    <cfRule type="expression" dxfId="8062" priority="1817">
      <formula>$A5="Tunnel"</formula>
    </cfRule>
    <cfRule type="expression" dxfId="8061" priority="1818">
      <formula>$A5="Bridge"</formula>
    </cfRule>
    <cfRule type="expression" dxfId="8060" priority="1819">
      <formula>$A5="Drainage Works"</formula>
    </cfRule>
    <cfRule type="expression" dxfId="8059" priority="1820">
      <formula>$A5="Underpass"</formula>
    </cfRule>
    <cfRule type="expression" dxfId="8058" priority="1821">
      <formula>$A5="Overcrossing"</formula>
    </cfRule>
    <cfRule type="expression" dxfId="8057" priority="1822">
      <formula>$A5="Overpass"</formula>
    </cfRule>
    <cfRule type="expression" dxfId="8056" priority="1823">
      <formula>$A5="Station"</formula>
    </cfRule>
    <cfRule type="expression" dxfId="8055" priority="1824">
      <formula>$A5="Overlap between sections"</formula>
    </cfRule>
  </conditionalFormatting>
  <conditionalFormatting sqref="P4">
    <cfRule type="expression" dxfId="8054" priority="1812">
      <formula>$M4="NON DEFINED"</formula>
    </cfRule>
    <cfRule type="expression" dxfId="8053" priority="1813">
      <formula>$AY4="N.D."</formula>
    </cfRule>
  </conditionalFormatting>
  <conditionalFormatting sqref="P4">
    <cfRule type="cellIs" dxfId="8052" priority="1811" operator="equal">
      <formula>0</formula>
    </cfRule>
  </conditionalFormatting>
  <conditionalFormatting sqref="AC5">
    <cfRule type="expression" dxfId="8051" priority="1791">
      <formula>$M5="NON DEFINED"</formula>
    </cfRule>
    <cfRule type="expression" dxfId="8050" priority="1792">
      <formula>$AZ5="N.D."</formula>
    </cfRule>
    <cfRule type="expression" dxfId="8049" priority="1793">
      <formula>$AY5="N.D."</formula>
    </cfRule>
  </conditionalFormatting>
  <conditionalFormatting sqref="AC5">
    <cfRule type="expression" dxfId="8048" priority="1780">
      <formula>$A5="Overhead Cable"</formula>
    </cfRule>
    <cfRule type="expression" dxfId="8047" priority="1781">
      <formula>$A5="Level Crossing"</formula>
    </cfRule>
    <cfRule type="expression" dxfId="8046" priority="1782">
      <formula>$A5="Neutral Section"</formula>
    </cfRule>
    <cfRule type="expression" dxfId="8045" priority="1783">
      <formula>$A5="Tunnel"</formula>
    </cfRule>
    <cfRule type="expression" dxfId="8044" priority="1784">
      <formula>$A5="Bridge"</formula>
    </cfRule>
    <cfRule type="expression" dxfId="8043" priority="1785">
      <formula>$A5="Drainage Works"</formula>
    </cfRule>
    <cfRule type="expression" dxfId="8042" priority="1786">
      <formula>$A5="Underpass"</formula>
    </cfRule>
    <cfRule type="expression" dxfId="8041" priority="1787">
      <formula>$A5="Overcrossing"</formula>
    </cfRule>
    <cfRule type="expression" dxfId="8040" priority="1788">
      <formula>$A5="Overpass"</formula>
    </cfRule>
    <cfRule type="expression" dxfId="8039" priority="1789">
      <formula>$A5="Station"</formula>
    </cfRule>
    <cfRule type="expression" dxfId="8038" priority="1790">
      <formula>$A5="Overlap between sections"</formula>
    </cfRule>
  </conditionalFormatting>
  <conditionalFormatting sqref="AC4">
    <cfRule type="expression" dxfId="8037" priority="1778">
      <formula>$M4="NON DEFINED"</formula>
    </cfRule>
    <cfRule type="expression" dxfId="8036" priority="1779">
      <formula>$AY4="N.D."</formula>
    </cfRule>
  </conditionalFormatting>
  <conditionalFormatting sqref="AC4">
    <cfRule type="cellIs" dxfId="8035" priority="1777" operator="equal">
      <formula>0</formula>
    </cfRule>
  </conditionalFormatting>
  <conditionalFormatting sqref="AD5">
    <cfRule type="expression" dxfId="8034" priority="1774">
      <formula>$M5="NON DEFINED"</formula>
    </cfRule>
    <cfRule type="expression" dxfId="8033" priority="1775">
      <formula>$AZ5="N.D."</formula>
    </cfRule>
    <cfRule type="expression" dxfId="8032" priority="1776">
      <formula>$AY5="N.D."</formula>
    </cfRule>
  </conditionalFormatting>
  <conditionalFormatting sqref="AD5">
    <cfRule type="expression" dxfId="8031" priority="1763">
      <formula>$A5="Overhead Cable"</formula>
    </cfRule>
    <cfRule type="expression" dxfId="8030" priority="1764">
      <formula>$A5="Level Crossing"</formula>
    </cfRule>
    <cfRule type="expression" dxfId="8029" priority="1765">
      <formula>$A5="Neutral Section"</formula>
    </cfRule>
    <cfRule type="expression" dxfId="8028" priority="1766">
      <formula>$A5="Tunnel"</formula>
    </cfRule>
    <cfRule type="expression" dxfId="8027" priority="1767">
      <formula>$A5="Bridge"</formula>
    </cfRule>
    <cfRule type="expression" dxfId="8026" priority="1768">
      <formula>$A5="Drainage Works"</formula>
    </cfRule>
    <cfRule type="expression" dxfId="8025" priority="1769">
      <formula>$A5="Underpass"</formula>
    </cfRule>
    <cfRule type="expression" dxfId="8024" priority="1770">
      <formula>$A5="Overcrossing"</formula>
    </cfRule>
    <cfRule type="expression" dxfId="8023" priority="1771">
      <formula>$A5="Overpass"</formula>
    </cfRule>
    <cfRule type="expression" dxfId="8022" priority="1772">
      <formula>$A5="Station"</formula>
    </cfRule>
    <cfRule type="expression" dxfId="8021" priority="1773">
      <formula>$A5="Overlap between sections"</formula>
    </cfRule>
  </conditionalFormatting>
  <conditionalFormatting sqref="AD4">
    <cfRule type="expression" dxfId="8020" priority="1761">
      <formula>$M4="NON DEFINED"</formula>
    </cfRule>
    <cfRule type="expression" dxfId="8019" priority="1762">
      <formula>$AY4="N.D."</formula>
    </cfRule>
  </conditionalFormatting>
  <conditionalFormatting sqref="AD4">
    <cfRule type="cellIs" dxfId="8018" priority="1760" operator="equal">
      <formula>0</formula>
    </cfRule>
  </conditionalFormatting>
  <conditionalFormatting sqref="AE5">
    <cfRule type="expression" dxfId="8017" priority="1757">
      <formula>$M5="NON DEFINED"</formula>
    </cfRule>
    <cfRule type="expression" dxfId="8016" priority="1758">
      <formula>$AZ5="N.D."</formula>
    </cfRule>
    <cfRule type="expression" dxfId="8015" priority="1759">
      <formula>$AY5="N.D."</formula>
    </cfRule>
  </conditionalFormatting>
  <conditionalFormatting sqref="AE5">
    <cfRule type="expression" dxfId="8014" priority="1746">
      <formula>$A5="Overhead Cable"</formula>
    </cfRule>
    <cfRule type="expression" dxfId="8013" priority="1747">
      <formula>$A5="Level Crossing"</formula>
    </cfRule>
    <cfRule type="expression" dxfId="8012" priority="1748">
      <formula>$A5="Neutral Section"</formula>
    </cfRule>
    <cfRule type="expression" dxfId="8011" priority="1749">
      <formula>$A5="Tunnel"</formula>
    </cfRule>
    <cfRule type="expression" dxfId="8010" priority="1750">
      <formula>$A5="Bridge"</formula>
    </cfRule>
    <cfRule type="expression" dxfId="8009" priority="1751">
      <formula>$A5="Drainage Works"</formula>
    </cfRule>
    <cfRule type="expression" dxfId="8008" priority="1752">
      <formula>$A5="Underpass"</formula>
    </cfRule>
    <cfRule type="expression" dxfId="8007" priority="1753">
      <formula>$A5="Overcrossing"</formula>
    </cfRule>
    <cfRule type="expression" dxfId="8006" priority="1754">
      <formula>$A5="Overpass"</formula>
    </cfRule>
    <cfRule type="expression" dxfId="8005" priority="1755">
      <formula>$A5="Station"</formula>
    </cfRule>
    <cfRule type="expression" dxfId="8004" priority="1756">
      <formula>$A5="Overlap between sections"</formula>
    </cfRule>
  </conditionalFormatting>
  <conditionalFormatting sqref="AE4">
    <cfRule type="expression" dxfId="8003" priority="1744">
      <formula>$M4="NON DEFINED"</formula>
    </cfRule>
    <cfRule type="expression" dxfId="8002" priority="1745">
      <formula>$AY4="N.D."</formula>
    </cfRule>
  </conditionalFormatting>
  <conditionalFormatting sqref="AE4">
    <cfRule type="cellIs" dxfId="8001" priority="1743" operator="equal">
      <formula>0</formula>
    </cfRule>
  </conditionalFormatting>
  <conditionalFormatting sqref="AJ5">
    <cfRule type="expression" dxfId="8000" priority="1740">
      <formula>$M5="NON DEFINED"</formula>
    </cfRule>
    <cfRule type="expression" dxfId="7999" priority="1741">
      <formula>$AZ5="N.D."</formula>
    </cfRule>
    <cfRule type="expression" dxfId="7998" priority="1742">
      <formula>$AY5="N.D."</formula>
    </cfRule>
  </conditionalFormatting>
  <conditionalFormatting sqref="AJ5">
    <cfRule type="expression" dxfId="7997" priority="1729">
      <formula>$A5="Overhead Cable"</formula>
    </cfRule>
    <cfRule type="expression" dxfId="7996" priority="1730">
      <formula>$A5="Level Crossing"</formula>
    </cfRule>
    <cfRule type="expression" dxfId="7995" priority="1731">
      <formula>$A5="Neutral Section"</formula>
    </cfRule>
    <cfRule type="expression" dxfId="7994" priority="1732">
      <formula>$A5="Tunnel"</formula>
    </cfRule>
    <cfRule type="expression" dxfId="7993" priority="1733">
      <formula>$A5="Bridge"</formula>
    </cfRule>
    <cfRule type="expression" dxfId="7992" priority="1734">
      <formula>$A5="Drainage Works"</formula>
    </cfRule>
    <cfRule type="expression" dxfId="7991" priority="1735">
      <formula>$A5="Underpass"</formula>
    </cfRule>
    <cfRule type="expression" dxfId="7990" priority="1736">
      <formula>$A5="Overcrossing"</formula>
    </cfRule>
    <cfRule type="expression" dxfId="7989" priority="1737">
      <formula>$A5="Overpass"</formula>
    </cfRule>
    <cfRule type="expression" dxfId="7988" priority="1738">
      <formula>$A5="Station"</formula>
    </cfRule>
    <cfRule type="expression" dxfId="7987" priority="1739">
      <formula>$A5="Overlap between sections"</formula>
    </cfRule>
  </conditionalFormatting>
  <conditionalFormatting sqref="AJ4">
    <cfRule type="expression" dxfId="7986" priority="1727">
      <formula>$M4="NON DEFINED"</formula>
    </cfRule>
    <cfRule type="expression" dxfId="7985" priority="1728">
      <formula>$AY4="N.D."</formula>
    </cfRule>
  </conditionalFormatting>
  <conditionalFormatting sqref="AJ4">
    <cfRule type="cellIs" dxfId="7984" priority="1726" operator="equal">
      <formula>0</formula>
    </cfRule>
  </conditionalFormatting>
  <conditionalFormatting sqref="AK5">
    <cfRule type="expression" dxfId="7983" priority="1723">
      <formula>$M5="NON DEFINED"</formula>
    </cfRule>
    <cfRule type="expression" dxfId="7982" priority="1724">
      <formula>$AZ5="N.D."</formula>
    </cfRule>
    <cfRule type="expression" dxfId="7981" priority="1725">
      <formula>$AY5="N.D."</formula>
    </cfRule>
  </conditionalFormatting>
  <conditionalFormatting sqref="AK5">
    <cfRule type="expression" dxfId="7980" priority="1712">
      <formula>$A5="Overhead Cable"</formula>
    </cfRule>
    <cfRule type="expression" dxfId="7979" priority="1713">
      <formula>$A5="Level Crossing"</formula>
    </cfRule>
    <cfRule type="expression" dxfId="7978" priority="1714">
      <formula>$A5="Neutral Section"</formula>
    </cfRule>
    <cfRule type="expression" dxfId="7977" priority="1715">
      <formula>$A5="Tunnel"</formula>
    </cfRule>
    <cfRule type="expression" dxfId="7976" priority="1716">
      <formula>$A5="Bridge"</formula>
    </cfRule>
    <cfRule type="expression" dxfId="7975" priority="1717">
      <formula>$A5="Drainage Works"</formula>
    </cfRule>
    <cfRule type="expression" dxfId="7974" priority="1718">
      <formula>$A5="Underpass"</formula>
    </cfRule>
    <cfRule type="expression" dxfId="7973" priority="1719">
      <formula>$A5="Overcrossing"</formula>
    </cfRule>
    <cfRule type="expression" dxfId="7972" priority="1720">
      <formula>$A5="Overpass"</formula>
    </cfRule>
    <cfRule type="expression" dxfId="7971" priority="1721">
      <formula>$A5="Station"</formula>
    </cfRule>
    <cfRule type="expression" dxfId="7970" priority="1722">
      <formula>$A5="Overlap between sections"</formula>
    </cfRule>
  </conditionalFormatting>
  <conditionalFormatting sqref="AK4">
    <cfRule type="expression" dxfId="7969" priority="1710">
      <formula>$M4="NON DEFINED"</formula>
    </cfRule>
    <cfRule type="expression" dxfId="7968" priority="1711">
      <formula>$AY4="N.D."</formula>
    </cfRule>
  </conditionalFormatting>
  <conditionalFormatting sqref="AK4">
    <cfRule type="cellIs" dxfId="7967" priority="1709" operator="equal">
      <formula>0</formula>
    </cfRule>
  </conditionalFormatting>
  <conditionalFormatting sqref="AL5">
    <cfRule type="expression" dxfId="7966" priority="1706">
      <formula>$M5="NON DEFINED"</formula>
    </cfRule>
    <cfRule type="expression" dxfId="7965" priority="1707">
      <formula>$AZ5="N.D."</formula>
    </cfRule>
    <cfRule type="expression" dxfId="7964" priority="1708">
      <formula>$AY5="N.D."</formula>
    </cfRule>
  </conditionalFormatting>
  <conditionalFormatting sqref="AL5">
    <cfRule type="expression" dxfId="7963" priority="1695">
      <formula>$A5="Overhead Cable"</formula>
    </cfRule>
    <cfRule type="expression" dxfId="7962" priority="1696">
      <formula>$A5="Level Crossing"</formula>
    </cfRule>
    <cfRule type="expression" dxfId="7961" priority="1697">
      <formula>$A5="Neutral Section"</formula>
    </cfRule>
    <cfRule type="expression" dxfId="7960" priority="1698">
      <formula>$A5="Tunnel"</formula>
    </cfRule>
    <cfRule type="expression" dxfId="7959" priority="1699">
      <formula>$A5="Bridge"</formula>
    </cfRule>
    <cfRule type="expression" dxfId="7958" priority="1700">
      <formula>$A5="Drainage Works"</formula>
    </cfRule>
    <cfRule type="expression" dxfId="7957" priority="1701">
      <formula>$A5="Underpass"</formula>
    </cfRule>
    <cfRule type="expression" dxfId="7956" priority="1702">
      <formula>$A5="Overcrossing"</formula>
    </cfRule>
    <cfRule type="expression" dxfId="7955" priority="1703">
      <formula>$A5="Overpass"</formula>
    </cfRule>
    <cfRule type="expression" dxfId="7954" priority="1704">
      <formula>$A5="Station"</formula>
    </cfRule>
    <cfRule type="expression" dxfId="7953" priority="1705">
      <formula>$A5="Overlap between sections"</formula>
    </cfRule>
  </conditionalFormatting>
  <conditionalFormatting sqref="AL4">
    <cfRule type="expression" dxfId="7952" priority="1693">
      <formula>$M4="NON DEFINED"</formula>
    </cfRule>
    <cfRule type="expression" dxfId="7951" priority="1694">
      <formula>$AY4="N.D."</formula>
    </cfRule>
  </conditionalFormatting>
  <conditionalFormatting sqref="AL4">
    <cfRule type="cellIs" dxfId="7950" priority="1692" operator="equal">
      <formula>0</formula>
    </cfRule>
  </conditionalFormatting>
  <conditionalFormatting sqref="AM5">
    <cfRule type="expression" dxfId="7949" priority="1689">
      <formula>$M5="NON DEFINED"</formula>
    </cfRule>
    <cfRule type="expression" dxfId="7948" priority="1690">
      <formula>$AZ5="N.D."</formula>
    </cfRule>
    <cfRule type="expression" dxfId="7947" priority="1691">
      <formula>$AY5="N.D."</formula>
    </cfRule>
  </conditionalFormatting>
  <conditionalFormatting sqref="AM5">
    <cfRule type="expression" dxfId="7946" priority="1678">
      <formula>$A5="Overhead Cable"</formula>
    </cfRule>
    <cfRule type="expression" dxfId="7945" priority="1679">
      <formula>$A5="Level Crossing"</formula>
    </cfRule>
    <cfRule type="expression" dxfId="7944" priority="1680">
      <formula>$A5="Neutral Section"</formula>
    </cfRule>
    <cfRule type="expression" dxfId="7943" priority="1681">
      <formula>$A5="Tunnel"</formula>
    </cfRule>
    <cfRule type="expression" dxfId="7942" priority="1682">
      <formula>$A5="Bridge"</formula>
    </cfRule>
    <cfRule type="expression" dxfId="7941" priority="1683">
      <formula>$A5="Drainage Works"</formula>
    </cfRule>
    <cfRule type="expression" dxfId="7940" priority="1684">
      <formula>$A5="Underpass"</formula>
    </cfRule>
    <cfRule type="expression" dxfId="7939" priority="1685">
      <formula>$A5="Overcrossing"</formula>
    </cfRule>
    <cfRule type="expression" dxfId="7938" priority="1686">
      <formula>$A5="Overpass"</formula>
    </cfRule>
    <cfRule type="expression" dxfId="7937" priority="1687">
      <formula>$A5="Station"</formula>
    </cfRule>
    <cfRule type="expression" dxfId="7936" priority="1688">
      <formula>$A5="Overlap between sections"</formula>
    </cfRule>
  </conditionalFormatting>
  <conditionalFormatting sqref="AM4">
    <cfRule type="expression" dxfId="7935" priority="1676">
      <formula>$M4="NON DEFINED"</formula>
    </cfRule>
    <cfRule type="expression" dxfId="7934" priority="1677">
      <formula>$AY4="N.D."</formula>
    </cfRule>
  </conditionalFormatting>
  <conditionalFormatting sqref="AM4">
    <cfRule type="cellIs" dxfId="7933" priority="1675" operator="equal">
      <formula>0</formula>
    </cfRule>
  </conditionalFormatting>
  <conditionalFormatting sqref="AT5">
    <cfRule type="expression" dxfId="7932" priority="1672">
      <formula>$M5="NON DEFINED"</formula>
    </cfRule>
    <cfRule type="expression" dxfId="7931" priority="1673">
      <formula>$AZ5="N.D."</formula>
    </cfRule>
    <cfRule type="expression" dxfId="7930" priority="1674">
      <formula>$AY5="N.D."</formula>
    </cfRule>
  </conditionalFormatting>
  <conditionalFormatting sqref="AT5">
    <cfRule type="expression" dxfId="7929" priority="1661">
      <formula>$A5="Overhead Cable"</formula>
    </cfRule>
    <cfRule type="expression" dxfId="7928" priority="1662">
      <formula>$A5="Level Crossing"</formula>
    </cfRule>
    <cfRule type="expression" dxfId="7927" priority="1663">
      <formula>$A5="Neutral Section"</formula>
    </cfRule>
    <cfRule type="expression" dxfId="7926" priority="1664">
      <formula>$A5="Tunnel"</formula>
    </cfRule>
    <cfRule type="expression" dxfId="7925" priority="1665">
      <formula>$A5="Bridge"</formula>
    </cfRule>
    <cfRule type="expression" dxfId="7924" priority="1666">
      <formula>$A5="Drainage Works"</formula>
    </cfRule>
    <cfRule type="expression" dxfId="7923" priority="1667">
      <formula>$A5="Underpass"</formula>
    </cfRule>
    <cfRule type="expression" dxfId="7922" priority="1668">
      <formula>$A5="Overcrossing"</formula>
    </cfRule>
    <cfRule type="expression" dxfId="7921" priority="1669">
      <formula>$A5="Overpass"</formula>
    </cfRule>
    <cfRule type="expression" dxfId="7920" priority="1670">
      <formula>$A5="Station"</formula>
    </cfRule>
    <cfRule type="expression" dxfId="7919" priority="1671">
      <formula>$A5="Overlap between sections"</formula>
    </cfRule>
  </conditionalFormatting>
  <conditionalFormatting sqref="AT4">
    <cfRule type="expression" dxfId="7918" priority="1659">
      <formula>$M4="NON DEFINED"</formula>
    </cfRule>
    <cfRule type="expression" dxfId="7917" priority="1660">
      <formula>$AY4="N.D."</formula>
    </cfRule>
  </conditionalFormatting>
  <conditionalFormatting sqref="AT4">
    <cfRule type="cellIs" dxfId="7916" priority="1658" operator="equal">
      <formula>0</formula>
    </cfRule>
  </conditionalFormatting>
  <conditionalFormatting sqref="AU5">
    <cfRule type="expression" dxfId="7915" priority="1655">
      <formula>$M5="NON DEFINED"</formula>
    </cfRule>
    <cfRule type="expression" dxfId="7914" priority="1656">
      <formula>$AZ5="N.D."</formula>
    </cfRule>
    <cfRule type="expression" dxfId="7913" priority="1657">
      <formula>$AY5="N.D."</formula>
    </cfRule>
  </conditionalFormatting>
  <conditionalFormatting sqref="AU5">
    <cfRule type="expression" dxfId="7912" priority="1644">
      <formula>$A5="Overhead Cable"</formula>
    </cfRule>
    <cfRule type="expression" dxfId="7911" priority="1645">
      <formula>$A5="Level Crossing"</formula>
    </cfRule>
    <cfRule type="expression" dxfId="7910" priority="1646">
      <formula>$A5="Neutral Section"</formula>
    </cfRule>
    <cfRule type="expression" dxfId="7909" priority="1647">
      <formula>$A5="Tunnel"</formula>
    </cfRule>
    <cfRule type="expression" dxfId="7908" priority="1648">
      <formula>$A5="Bridge"</formula>
    </cfRule>
    <cfRule type="expression" dxfId="7907" priority="1649">
      <formula>$A5="Drainage Works"</formula>
    </cfRule>
    <cfRule type="expression" dxfId="7906" priority="1650">
      <formula>$A5="Underpass"</formula>
    </cfRule>
    <cfRule type="expression" dxfId="7905" priority="1651">
      <formula>$A5="Overcrossing"</formula>
    </cfRule>
    <cfRule type="expression" dxfId="7904" priority="1652">
      <formula>$A5="Overpass"</formula>
    </cfRule>
    <cfRule type="expression" dxfId="7903" priority="1653">
      <formula>$A5="Station"</formula>
    </cfRule>
    <cfRule type="expression" dxfId="7902" priority="1654">
      <formula>$A5="Overlap between sections"</formula>
    </cfRule>
  </conditionalFormatting>
  <conditionalFormatting sqref="AU4">
    <cfRule type="expression" dxfId="7901" priority="1642">
      <formula>$M4="NON DEFINED"</formula>
    </cfRule>
    <cfRule type="expression" dxfId="7900" priority="1643">
      <formula>$AY4="N.D."</formula>
    </cfRule>
  </conditionalFormatting>
  <conditionalFormatting sqref="AU4">
    <cfRule type="cellIs" dxfId="7899" priority="1641" operator="equal">
      <formula>0</formula>
    </cfRule>
  </conditionalFormatting>
  <conditionalFormatting sqref="AV5">
    <cfRule type="expression" dxfId="7898" priority="1638">
      <formula>$M5="NON DEFINED"</formula>
    </cfRule>
    <cfRule type="expression" dxfId="7897" priority="1639">
      <formula>$AZ5="N.D."</formula>
    </cfRule>
    <cfRule type="expression" dxfId="7896" priority="1640">
      <formula>$AY5="N.D."</formula>
    </cfRule>
  </conditionalFormatting>
  <conditionalFormatting sqref="AV5">
    <cfRule type="expression" dxfId="7895" priority="1627">
      <formula>$A5="Overhead Cable"</formula>
    </cfRule>
    <cfRule type="expression" dxfId="7894" priority="1628">
      <formula>$A5="Level Crossing"</formula>
    </cfRule>
    <cfRule type="expression" dxfId="7893" priority="1629">
      <formula>$A5="Neutral Section"</formula>
    </cfRule>
    <cfRule type="expression" dxfId="7892" priority="1630">
      <formula>$A5="Tunnel"</formula>
    </cfRule>
    <cfRule type="expression" dxfId="7891" priority="1631">
      <formula>$A5="Bridge"</formula>
    </cfRule>
    <cfRule type="expression" dxfId="7890" priority="1632">
      <formula>$A5="Drainage Works"</formula>
    </cfRule>
    <cfRule type="expression" dxfId="7889" priority="1633">
      <formula>$A5="Underpass"</formula>
    </cfRule>
    <cfRule type="expression" dxfId="7888" priority="1634">
      <formula>$A5="Overcrossing"</formula>
    </cfRule>
    <cfRule type="expression" dxfId="7887" priority="1635">
      <formula>$A5="Overpass"</formula>
    </cfRule>
    <cfRule type="expression" dxfId="7886" priority="1636">
      <formula>$A5="Station"</formula>
    </cfRule>
    <cfRule type="expression" dxfId="7885" priority="1637">
      <formula>$A5="Overlap between sections"</formula>
    </cfRule>
  </conditionalFormatting>
  <conditionalFormatting sqref="AV4">
    <cfRule type="expression" dxfId="7884" priority="1625">
      <formula>$M4="NON DEFINED"</formula>
    </cfRule>
    <cfRule type="expression" dxfId="7883" priority="1626">
      <formula>$AY4="N.D."</formula>
    </cfRule>
  </conditionalFormatting>
  <conditionalFormatting sqref="AV4">
    <cfRule type="cellIs" dxfId="7882" priority="1624" operator="equal">
      <formula>0</formula>
    </cfRule>
  </conditionalFormatting>
  <conditionalFormatting sqref="AW5">
    <cfRule type="expression" dxfId="7881" priority="1621">
      <formula>$M5="NON DEFINED"</formula>
    </cfRule>
    <cfRule type="expression" dxfId="7880" priority="1622">
      <formula>$AZ5="N.D."</formula>
    </cfRule>
    <cfRule type="expression" dxfId="7879" priority="1623">
      <formula>$AY5="N.D."</formula>
    </cfRule>
  </conditionalFormatting>
  <conditionalFormatting sqref="AW5">
    <cfRule type="expression" dxfId="7878" priority="1610">
      <formula>$A5="Overhead Cable"</formula>
    </cfRule>
    <cfRule type="expression" dxfId="7877" priority="1611">
      <formula>$A5="Level Crossing"</formula>
    </cfRule>
    <cfRule type="expression" dxfId="7876" priority="1612">
      <formula>$A5="Neutral Section"</formula>
    </cfRule>
    <cfRule type="expression" dxfId="7875" priority="1613">
      <formula>$A5="Tunnel"</formula>
    </cfRule>
    <cfRule type="expression" dxfId="7874" priority="1614">
      <formula>$A5="Bridge"</formula>
    </cfRule>
    <cfRule type="expression" dxfId="7873" priority="1615">
      <formula>$A5="Drainage Works"</formula>
    </cfRule>
    <cfRule type="expression" dxfId="7872" priority="1616">
      <formula>$A5="Underpass"</formula>
    </cfRule>
    <cfRule type="expression" dxfId="7871" priority="1617">
      <formula>$A5="Overcrossing"</formula>
    </cfRule>
    <cfRule type="expression" dxfId="7870" priority="1618">
      <formula>$A5="Overpass"</formula>
    </cfRule>
    <cfRule type="expression" dxfId="7869" priority="1619">
      <formula>$A5="Station"</formula>
    </cfRule>
    <cfRule type="expression" dxfId="7868" priority="1620">
      <formula>$A5="Overlap between sections"</formula>
    </cfRule>
  </conditionalFormatting>
  <conditionalFormatting sqref="AW4">
    <cfRule type="expression" dxfId="7867" priority="1608">
      <formula>$M4="NON DEFINED"</formula>
    </cfRule>
    <cfRule type="expression" dxfId="7866" priority="1609">
      <formula>$AY4="N.D."</formula>
    </cfRule>
  </conditionalFormatting>
  <conditionalFormatting sqref="AW4">
    <cfRule type="cellIs" dxfId="7865" priority="1607" operator="equal">
      <formula>0</formula>
    </cfRule>
  </conditionalFormatting>
  <conditionalFormatting sqref="AX5">
    <cfRule type="expression" dxfId="7864" priority="1604">
      <formula>$M5="NON DEFINED"</formula>
    </cfRule>
    <cfRule type="expression" dxfId="7863" priority="1605">
      <formula>$AZ5="N.D."</formula>
    </cfRule>
    <cfRule type="expression" dxfId="7862" priority="1606">
      <formula>$AY5="N.D."</formula>
    </cfRule>
  </conditionalFormatting>
  <conditionalFormatting sqref="AX5">
    <cfRule type="expression" dxfId="7861" priority="1593">
      <formula>$A5="Overhead Cable"</formula>
    </cfRule>
    <cfRule type="expression" dxfId="7860" priority="1594">
      <formula>$A5="Level Crossing"</formula>
    </cfRule>
    <cfRule type="expression" dxfId="7859" priority="1595">
      <formula>$A5="Neutral Section"</formula>
    </cfRule>
    <cfRule type="expression" dxfId="7858" priority="1596">
      <formula>$A5="Tunnel"</formula>
    </cfRule>
    <cfRule type="expression" dxfId="7857" priority="1597">
      <formula>$A5="Bridge"</formula>
    </cfRule>
    <cfRule type="expression" dxfId="7856" priority="1598">
      <formula>$A5="Drainage Works"</formula>
    </cfRule>
    <cfRule type="expression" dxfId="7855" priority="1599">
      <formula>$A5="Underpass"</formula>
    </cfRule>
    <cfRule type="expression" dxfId="7854" priority="1600">
      <formula>$A5="Overcrossing"</formula>
    </cfRule>
    <cfRule type="expression" dxfId="7853" priority="1601">
      <formula>$A5="Overpass"</formula>
    </cfRule>
    <cfRule type="expression" dxfId="7852" priority="1602">
      <formula>$A5="Station"</formula>
    </cfRule>
    <cfRule type="expression" dxfId="7851" priority="1603">
      <formula>$A5="Overlap between sections"</formula>
    </cfRule>
  </conditionalFormatting>
  <conditionalFormatting sqref="AX4">
    <cfRule type="expression" dxfId="7850" priority="1591">
      <formula>$M4="NON DEFINED"</formula>
    </cfRule>
    <cfRule type="expression" dxfId="7849" priority="1592">
      <formula>$AY4="N.D."</formula>
    </cfRule>
  </conditionalFormatting>
  <conditionalFormatting sqref="AX4">
    <cfRule type="cellIs" dxfId="7848" priority="1590" operator="equal">
      <formula>0</formula>
    </cfRule>
  </conditionalFormatting>
  <conditionalFormatting sqref="F5">
    <cfRule type="expression" dxfId="7847" priority="1587">
      <formula>$M5="NON DEFINED"</formula>
    </cfRule>
    <cfRule type="expression" dxfId="7846" priority="1588">
      <formula>$AZ5="N.D."</formula>
    </cfRule>
    <cfRule type="expression" dxfId="7845" priority="1589">
      <formula>$AY5="N.D."</formula>
    </cfRule>
  </conditionalFormatting>
  <conditionalFormatting sqref="F5">
    <cfRule type="expression" dxfId="7844" priority="1576">
      <formula>$A5="Overhead Cable"</formula>
    </cfRule>
    <cfRule type="expression" dxfId="7843" priority="1577">
      <formula>$A5="Level Crossing"</formula>
    </cfRule>
    <cfRule type="expression" dxfId="7842" priority="1578">
      <formula>$A5="Neutral Section"</formula>
    </cfRule>
    <cfRule type="expression" dxfId="7841" priority="1579">
      <formula>$A5="Tunnel"</formula>
    </cfRule>
    <cfRule type="expression" dxfId="7840" priority="1580">
      <formula>$A5="Bridge"</formula>
    </cfRule>
    <cfRule type="expression" dxfId="7839" priority="1581">
      <formula>$A5="Drainage Works"</formula>
    </cfRule>
    <cfRule type="expression" dxfId="7838" priority="1582">
      <formula>$A5="Underpass"</formula>
    </cfRule>
    <cfRule type="expression" dxfId="7837" priority="1583">
      <formula>$A5="Overcrossing"</formula>
    </cfRule>
    <cfRule type="expression" dxfId="7836" priority="1584">
      <formula>$A5="Overpass"</formula>
    </cfRule>
    <cfRule type="expression" dxfId="7835" priority="1585">
      <formula>$A5="Station"</formula>
    </cfRule>
    <cfRule type="expression" dxfId="7834" priority="1586">
      <formula>$A5="Overlap between sections"</formula>
    </cfRule>
  </conditionalFormatting>
  <conditionalFormatting sqref="F4">
    <cfRule type="expression" dxfId="7833" priority="1574">
      <formula>$M4="NON DEFINED"</formula>
    </cfRule>
    <cfRule type="expression" dxfId="7832" priority="1575">
      <formula>$AY4="N.D."</formula>
    </cfRule>
  </conditionalFormatting>
  <conditionalFormatting sqref="F4">
    <cfRule type="cellIs" dxfId="7831" priority="1573" operator="equal">
      <formula>0</formula>
    </cfRule>
  </conditionalFormatting>
  <conditionalFormatting sqref="Q5">
    <cfRule type="expression" dxfId="7830" priority="1570">
      <formula>$M5="NON DEFINED"</formula>
    </cfRule>
    <cfRule type="expression" dxfId="7829" priority="1571">
      <formula>$AZ5="N.D."</formula>
    </cfRule>
    <cfRule type="expression" dxfId="7828" priority="1572">
      <formula>$AY5="N.D."</formula>
    </cfRule>
  </conditionalFormatting>
  <conditionalFormatting sqref="Q5">
    <cfRule type="expression" dxfId="7827" priority="1559">
      <formula>$A5="Overhead Cable"</formula>
    </cfRule>
    <cfRule type="expression" dxfId="7826" priority="1560">
      <formula>$A5="Level Crossing"</formula>
    </cfRule>
    <cfRule type="expression" dxfId="7825" priority="1561">
      <formula>$A5="Neutral Section"</formula>
    </cfRule>
    <cfRule type="expression" dxfId="7824" priority="1562">
      <formula>$A5="Tunnel"</formula>
    </cfRule>
    <cfRule type="expression" dxfId="7823" priority="1563">
      <formula>$A5="Bridge"</formula>
    </cfRule>
    <cfRule type="expression" dxfId="7822" priority="1564">
      <formula>$A5="Drainage Works"</formula>
    </cfRule>
    <cfRule type="expression" dxfId="7821" priority="1565">
      <formula>$A5="Underpass"</formula>
    </cfRule>
    <cfRule type="expression" dxfId="7820" priority="1566">
      <formula>$A5="Overcrossing"</formula>
    </cfRule>
    <cfRule type="expression" dxfId="7819" priority="1567">
      <formula>$A5="Overpass"</formula>
    </cfRule>
    <cfRule type="expression" dxfId="7818" priority="1568">
      <formula>$A5="Station"</formula>
    </cfRule>
    <cfRule type="expression" dxfId="7817" priority="1569">
      <formula>$A5="Overlap between sections"</formula>
    </cfRule>
  </conditionalFormatting>
  <conditionalFormatting sqref="Q4">
    <cfRule type="expression" dxfId="7816" priority="1557">
      <formula>$M4="NON DEFINED"</formula>
    </cfRule>
    <cfRule type="expression" dxfId="7815" priority="1558">
      <formula>$AY4="N.D."</formula>
    </cfRule>
  </conditionalFormatting>
  <conditionalFormatting sqref="Q4">
    <cfRule type="cellIs" dxfId="7814" priority="1556" operator="equal">
      <formula>0</formula>
    </cfRule>
  </conditionalFormatting>
  <conditionalFormatting sqref="T5">
    <cfRule type="expression" dxfId="7813" priority="1553">
      <formula>$M5="NON DEFINED"</formula>
    </cfRule>
    <cfRule type="expression" dxfId="7812" priority="1554">
      <formula>$AZ5="N.D."</formula>
    </cfRule>
    <cfRule type="expression" dxfId="7811" priority="1555">
      <formula>$AY5="N.D."</formula>
    </cfRule>
  </conditionalFormatting>
  <conditionalFormatting sqref="T5">
    <cfRule type="expression" dxfId="7810" priority="1542">
      <formula>$A5="Overhead Cable"</formula>
    </cfRule>
    <cfRule type="expression" dxfId="7809" priority="1543">
      <formula>$A5="Level Crossing"</formula>
    </cfRule>
    <cfRule type="expression" dxfId="7808" priority="1544">
      <formula>$A5="Neutral Section"</formula>
    </cfRule>
    <cfRule type="expression" dxfId="7807" priority="1545">
      <formula>$A5="Tunnel"</formula>
    </cfRule>
    <cfRule type="expression" dxfId="7806" priority="1546">
      <formula>$A5="Bridge"</formula>
    </cfRule>
    <cfRule type="expression" dxfId="7805" priority="1547">
      <formula>$A5="Drainage Works"</formula>
    </cfRule>
    <cfRule type="expression" dxfId="7804" priority="1548">
      <formula>$A5="Underpass"</formula>
    </cfRule>
    <cfRule type="expression" dxfId="7803" priority="1549">
      <formula>$A5="Overcrossing"</formula>
    </cfRule>
    <cfRule type="expression" dxfId="7802" priority="1550">
      <formula>$A5="Overpass"</formula>
    </cfRule>
    <cfRule type="expression" dxfId="7801" priority="1551">
      <formula>$A5="Station"</formula>
    </cfRule>
    <cfRule type="expression" dxfId="7800" priority="1552">
      <formula>$A5="Overlap between sections"</formula>
    </cfRule>
  </conditionalFormatting>
  <conditionalFormatting sqref="T4">
    <cfRule type="expression" dxfId="7799" priority="1540">
      <formula>$M4="NON DEFINED"</formula>
    </cfRule>
    <cfRule type="expression" dxfId="7798" priority="1541">
      <formula>$AY4="N.D."</formula>
    </cfRule>
  </conditionalFormatting>
  <conditionalFormatting sqref="T4">
    <cfRule type="cellIs" dxfId="7797" priority="1539" operator="equal">
      <formula>0</formula>
    </cfRule>
  </conditionalFormatting>
  <conditionalFormatting sqref="U5">
    <cfRule type="expression" dxfId="7796" priority="1536">
      <formula>$M5="NON DEFINED"</formula>
    </cfRule>
    <cfRule type="expression" dxfId="7795" priority="1537">
      <formula>$AZ5="N.D."</formula>
    </cfRule>
    <cfRule type="expression" dxfId="7794" priority="1538">
      <formula>$AY5="N.D."</formula>
    </cfRule>
  </conditionalFormatting>
  <conditionalFormatting sqref="U5">
    <cfRule type="expression" dxfId="7793" priority="1525">
      <formula>$A5="Overhead Cable"</formula>
    </cfRule>
    <cfRule type="expression" dxfId="7792" priority="1526">
      <formula>$A5="Level Crossing"</formula>
    </cfRule>
    <cfRule type="expression" dxfId="7791" priority="1527">
      <formula>$A5="Neutral Section"</formula>
    </cfRule>
    <cfRule type="expression" dxfId="7790" priority="1528">
      <formula>$A5="Tunnel"</formula>
    </cfRule>
    <cfRule type="expression" dxfId="7789" priority="1529">
      <formula>$A5="Bridge"</formula>
    </cfRule>
    <cfRule type="expression" dxfId="7788" priority="1530">
      <formula>$A5="Drainage Works"</formula>
    </cfRule>
    <cfRule type="expression" dxfId="7787" priority="1531">
      <formula>$A5="Underpass"</formula>
    </cfRule>
    <cfRule type="expression" dxfId="7786" priority="1532">
      <formula>$A5="Overcrossing"</formula>
    </cfRule>
    <cfRule type="expression" dxfId="7785" priority="1533">
      <formula>$A5="Overpass"</formula>
    </cfRule>
    <cfRule type="expression" dxfId="7784" priority="1534">
      <formula>$A5="Station"</formula>
    </cfRule>
    <cfRule type="expression" dxfId="7783" priority="1535">
      <formula>$A5="Overlap between sections"</formula>
    </cfRule>
  </conditionalFormatting>
  <conditionalFormatting sqref="U4">
    <cfRule type="expression" dxfId="7782" priority="1523">
      <formula>$M4="NON DEFINED"</formula>
    </cfRule>
    <cfRule type="expression" dxfId="7781" priority="1524">
      <formula>$AY4="N.D."</formula>
    </cfRule>
  </conditionalFormatting>
  <conditionalFormatting sqref="U4">
    <cfRule type="cellIs" dxfId="7780" priority="1522" operator="equal">
      <formula>0</formula>
    </cfRule>
  </conditionalFormatting>
  <conditionalFormatting sqref="V5">
    <cfRule type="expression" dxfId="7779" priority="1519">
      <formula>$M5="NON DEFINED"</formula>
    </cfRule>
    <cfRule type="expression" dxfId="7778" priority="1520">
      <formula>$AZ5="N.D."</formula>
    </cfRule>
    <cfRule type="expression" dxfId="7777" priority="1521">
      <formula>$AY5="N.D."</formula>
    </cfRule>
  </conditionalFormatting>
  <conditionalFormatting sqref="V5">
    <cfRule type="expression" dxfId="7776" priority="1508">
      <formula>$A5="Overhead Cable"</formula>
    </cfRule>
    <cfRule type="expression" dxfId="7775" priority="1509">
      <formula>$A5="Level Crossing"</formula>
    </cfRule>
    <cfRule type="expression" dxfId="7774" priority="1510">
      <formula>$A5="Neutral Section"</formula>
    </cfRule>
    <cfRule type="expression" dxfId="7773" priority="1511">
      <formula>$A5="Tunnel"</formula>
    </cfRule>
    <cfRule type="expression" dxfId="7772" priority="1512">
      <formula>$A5="Bridge"</formula>
    </cfRule>
    <cfRule type="expression" dxfId="7771" priority="1513">
      <formula>$A5="Drainage Works"</formula>
    </cfRule>
    <cfRule type="expression" dxfId="7770" priority="1514">
      <formula>$A5="Underpass"</formula>
    </cfRule>
    <cfRule type="expression" dxfId="7769" priority="1515">
      <formula>$A5="Overcrossing"</formula>
    </cfRule>
    <cfRule type="expression" dxfId="7768" priority="1516">
      <formula>$A5="Overpass"</formula>
    </cfRule>
    <cfRule type="expression" dxfId="7767" priority="1517">
      <formula>$A5="Station"</formula>
    </cfRule>
    <cfRule type="expression" dxfId="7766" priority="1518">
      <formula>$A5="Overlap between sections"</formula>
    </cfRule>
  </conditionalFormatting>
  <conditionalFormatting sqref="V4">
    <cfRule type="expression" dxfId="7765" priority="1506">
      <formula>$M4="NON DEFINED"</formula>
    </cfRule>
    <cfRule type="expression" dxfId="7764" priority="1507">
      <formula>$AY4="N.D."</formula>
    </cfRule>
  </conditionalFormatting>
  <conditionalFormatting sqref="V4">
    <cfRule type="cellIs" dxfId="7763" priority="1505" operator="equal">
      <formula>0</formula>
    </cfRule>
  </conditionalFormatting>
  <conditionalFormatting sqref="AF5">
    <cfRule type="expression" dxfId="7762" priority="1502">
      <formula>$M5="NON DEFINED"</formula>
    </cfRule>
    <cfRule type="expression" dxfId="7761" priority="1503">
      <formula>$AZ5="N.D."</formula>
    </cfRule>
    <cfRule type="expression" dxfId="7760" priority="1504">
      <formula>$AY5="N.D."</formula>
    </cfRule>
  </conditionalFormatting>
  <conditionalFormatting sqref="AF5">
    <cfRule type="expression" dxfId="7759" priority="1491">
      <formula>$A5="Overhead Cable"</formula>
    </cfRule>
    <cfRule type="expression" dxfId="7758" priority="1492">
      <formula>$A5="Level Crossing"</formula>
    </cfRule>
    <cfRule type="expression" dxfId="7757" priority="1493">
      <formula>$A5="Neutral Section"</formula>
    </cfRule>
    <cfRule type="expression" dxfId="7756" priority="1494">
      <formula>$A5="Tunnel"</formula>
    </cfRule>
    <cfRule type="expression" dxfId="7755" priority="1495">
      <formula>$A5="Bridge"</formula>
    </cfRule>
    <cfRule type="expression" dxfId="7754" priority="1496">
      <formula>$A5="Drainage Works"</formula>
    </cfRule>
    <cfRule type="expression" dxfId="7753" priority="1497">
      <formula>$A5="Underpass"</formula>
    </cfRule>
    <cfRule type="expression" dxfId="7752" priority="1498">
      <formula>$A5="Overcrossing"</formula>
    </cfRule>
    <cfRule type="expression" dxfId="7751" priority="1499">
      <formula>$A5="Overpass"</formula>
    </cfRule>
    <cfRule type="expression" dxfId="7750" priority="1500">
      <formula>$A5="Station"</formula>
    </cfRule>
    <cfRule type="expression" dxfId="7749" priority="1501">
      <formula>$A5="Overlap between sections"</formula>
    </cfRule>
  </conditionalFormatting>
  <conditionalFormatting sqref="AF4">
    <cfRule type="expression" dxfId="7748" priority="1489">
      <formula>$M4="NON DEFINED"</formula>
    </cfRule>
    <cfRule type="expression" dxfId="7747" priority="1490">
      <formula>$AY4="N.D."</formula>
    </cfRule>
  </conditionalFormatting>
  <conditionalFormatting sqref="AF4">
    <cfRule type="cellIs" dxfId="7746" priority="1488" operator="equal">
      <formula>0</formula>
    </cfRule>
  </conditionalFormatting>
  <conditionalFormatting sqref="AH5">
    <cfRule type="expression" dxfId="7745" priority="1485">
      <formula>$M5="NON DEFINED"</formula>
    </cfRule>
    <cfRule type="expression" dxfId="7744" priority="1486">
      <formula>$AZ5="N.D."</formula>
    </cfRule>
    <cfRule type="expression" dxfId="7743" priority="1487">
      <formula>$AY5="N.D."</formula>
    </cfRule>
  </conditionalFormatting>
  <conditionalFormatting sqref="AH5">
    <cfRule type="expression" dxfId="7742" priority="1474">
      <formula>$A5="Overhead Cable"</formula>
    </cfRule>
    <cfRule type="expression" dxfId="7741" priority="1475">
      <formula>$A5="Level Crossing"</formula>
    </cfRule>
    <cfRule type="expression" dxfId="7740" priority="1476">
      <formula>$A5="Neutral Section"</formula>
    </cfRule>
    <cfRule type="expression" dxfId="7739" priority="1477">
      <formula>$A5="Tunnel"</formula>
    </cfRule>
    <cfRule type="expression" dxfId="7738" priority="1478">
      <formula>$A5="Bridge"</formula>
    </cfRule>
    <cfRule type="expression" dxfId="7737" priority="1479">
      <formula>$A5="Drainage Works"</formula>
    </cfRule>
    <cfRule type="expression" dxfId="7736" priority="1480">
      <formula>$A5="Underpass"</formula>
    </cfRule>
    <cfRule type="expression" dxfId="7735" priority="1481">
      <formula>$A5="Overcrossing"</formula>
    </cfRule>
    <cfRule type="expression" dxfId="7734" priority="1482">
      <formula>$A5="Overpass"</formula>
    </cfRule>
    <cfRule type="expression" dxfId="7733" priority="1483">
      <formula>$A5="Station"</formula>
    </cfRule>
    <cfRule type="expression" dxfId="7732" priority="1484">
      <formula>$A5="Overlap between sections"</formula>
    </cfRule>
  </conditionalFormatting>
  <conditionalFormatting sqref="AH4">
    <cfRule type="expression" dxfId="7731" priority="1472">
      <formula>$M4="NON DEFINED"</formula>
    </cfRule>
    <cfRule type="expression" dxfId="7730" priority="1473">
      <formula>$AY4="N.D."</formula>
    </cfRule>
  </conditionalFormatting>
  <conditionalFormatting sqref="AH4">
    <cfRule type="cellIs" dxfId="7729" priority="1471" operator="equal">
      <formula>0</formula>
    </cfRule>
  </conditionalFormatting>
  <conditionalFormatting sqref="AI5">
    <cfRule type="expression" dxfId="7728" priority="1468">
      <formula>$M5="NON DEFINED"</formula>
    </cfRule>
    <cfRule type="expression" dxfId="7727" priority="1469">
      <formula>$AZ5="N.D."</formula>
    </cfRule>
    <cfRule type="expression" dxfId="7726" priority="1470">
      <formula>$AY5="N.D."</formula>
    </cfRule>
  </conditionalFormatting>
  <conditionalFormatting sqref="AI5">
    <cfRule type="expression" dxfId="7725" priority="1457">
      <formula>$A5="Overhead Cable"</formula>
    </cfRule>
    <cfRule type="expression" dxfId="7724" priority="1458">
      <formula>$A5="Level Crossing"</formula>
    </cfRule>
    <cfRule type="expression" dxfId="7723" priority="1459">
      <formula>$A5="Neutral Section"</formula>
    </cfRule>
    <cfRule type="expression" dxfId="7722" priority="1460">
      <formula>$A5="Tunnel"</formula>
    </cfRule>
    <cfRule type="expression" dxfId="7721" priority="1461">
      <formula>$A5="Bridge"</formula>
    </cfRule>
    <cfRule type="expression" dxfId="7720" priority="1462">
      <formula>$A5="Drainage Works"</formula>
    </cfRule>
    <cfRule type="expression" dxfId="7719" priority="1463">
      <formula>$A5="Underpass"</formula>
    </cfRule>
    <cfRule type="expression" dxfId="7718" priority="1464">
      <formula>$A5="Overcrossing"</formula>
    </cfRule>
    <cfRule type="expression" dxfId="7717" priority="1465">
      <formula>$A5="Overpass"</formula>
    </cfRule>
    <cfRule type="expression" dxfId="7716" priority="1466">
      <formula>$A5="Station"</formula>
    </cfRule>
    <cfRule type="expression" dxfId="7715" priority="1467">
      <formula>$A5="Overlap between sections"</formula>
    </cfRule>
  </conditionalFormatting>
  <conditionalFormatting sqref="AI4">
    <cfRule type="expression" dxfId="7714" priority="1455">
      <formula>$M4="NON DEFINED"</formula>
    </cfRule>
    <cfRule type="expression" dxfId="7713" priority="1456">
      <formula>$AY4="N.D."</formula>
    </cfRule>
  </conditionalFormatting>
  <conditionalFormatting sqref="AI4">
    <cfRule type="cellIs" dxfId="7712" priority="1454" operator="equal">
      <formula>0</formula>
    </cfRule>
  </conditionalFormatting>
  <conditionalFormatting sqref="R5">
    <cfRule type="expression" dxfId="7711" priority="1451">
      <formula>$M5="NON DEFINED"</formula>
    </cfRule>
    <cfRule type="expression" dxfId="7710" priority="1452">
      <formula>$AZ5="N.D."</formula>
    </cfRule>
    <cfRule type="expression" dxfId="7709" priority="1453">
      <formula>$AY5="N.D."</formula>
    </cfRule>
  </conditionalFormatting>
  <conditionalFormatting sqref="R5">
    <cfRule type="expression" dxfId="7708" priority="1440">
      <formula>$A5="Overhead Cable"</formula>
    </cfRule>
    <cfRule type="expression" dxfId="7707" priority="1441">
      <formula>$A5="Level Crossing"</formula>
    </cfRule>
    <cfRule type="expression" dxfId="7706" priority="1442">
      <formula>$A5="Neutral Section"</formula>
    </cfRule>
    <cfRule type="expression" dxfId="7705" priority="1443">
      <formula>$A5="Tunnel"</formula>
    </cfRule>
    <cfRule type="expression" dxfId="7704" priority="1444">
      <formula>$A5="Bridge"</formula>
    </cfRule>
    <cfRule type="expression" dxfId="7703" priority="1445">
      <formula>$A5="Drainage Works"</formula>
    </cfRule>
    <cfRule type="expression" dxfId="7702" priority="1446">
      <formula>$A5="Underpass"</formula>
    </cfRule>
    <cfRule type="expression" dxfId="7701" priority="1447">
      <formula>$A5="Overcrossing"</formula>
    </cfRule>
    <cfRule type="expression" dxfId="7700" priority="1448">
      <formula>$A5="Overpass"</formula>
    </cfRule>
    <cfRule type="expression" dxfId="7699" priority="1449">
      <formula>$A5="Station"</formula>
    </cfRule>
    <cfRule type="expression" dxfId="7698" priority="1450">
      <formula>$A5="Overlap between sections"</formula>
    </cfRule>
  </conditionalFormatting>
  <conditionalFormatting sqref="R4">
    <cfRule type="expression" dxfId="7697" priority="1438">
      <formula>$M4="NON DEFINED"</formula>
    </cfRule>
    <cfRule type="expression" dxfId="7696" priority="1439">
      <formula>$AY4="N.D."</formula>
    </cfRule>
  </conditionalFormatting>
  <conditionalFormatting sqref="R4">
    <cfRule type="cellIs" dxfId="7695" priority="1437" operator="equal">
      <formula>0</formula>
    </cfRule>
  </conditionalFormatting>
  <conditionalFormatting sqref="S5">
    <cfRule type="expression" dxfId="7694" priority="1434">
      <formula>$M5="NON DEFINED"</formula>
    </cfRule>
    <cfRule type="expression" dxfId="7693" priority="1435">
      <formula>$AZ5="N.D."</formula>
    </cfRule>
    <cfRule type="expression" dxfId="7692" priority="1436">
      <formula>$AY5="N.D."</formula>
    </cfRule>
  </conditionalFormatting>
  <conditionalFormatting sqref="S5">
    <cfRule type="expression" dxfId="7691" priority="1423">
      <formula>$A5="Overhead Cable"</formula>
    </cfRule>
    <cfRule type="expression" dxfId="7690" priority="1424">
      <formula>$A5="Level Crossing"</formula>
    </cfRule>
    <cfRule type="expression" dxfId="7689" priority="1425">
      <formula>$A5="Neutral Section"</formula>
    </cfRule>
    <cfRule type="expression" dxfId="7688" priority="1426">
      <formula>$A5="Tunnel"</formula>
    </cfRule>
    <cfRule type="expression" dxfId="7687" priority="1427">
      <formula>$A5="Bridge"</formula>
    </cfRule>
    <cfRule type="expression" dxfId="7686" priority="1428">
      <formula>$A5="Drainage Works"</formula>
    </cfRule>
    <cfRule type="expression" dxfId="7685" priority="1429">
      <formula>$A5="Underpass"</formula>
    </cfRule>
    <cfRule type="expression" dxfId="7684" priority="1430">
      <formula>$A5="Overcrossing"</formula>
    </cfRule>
    <cfRule type="expression" dxfId="7683" priority="1431">
      <formula>$A5="Overpass"</formula>
    </cfRule>
    <cfRule type="expression" dxfId="7682" priority="1432">
      <formula>$A5="Station"</formula>
    </cfRule>
    <cfRule type="expression" dxfId="7681" priority="1433">
      <formula>$A5="Overlap between sections"</formula>
    </cfRule>
  </conditionalFormatting>
  <conditionalFormatting sqref="S4">
    <cfRule type="expression" dxfId="7680" priority="1421">
      <formula>$M4="NON DEFINED"</formula>
    </cfRule>
    <cfRule type="expression" dxfId="7679" priority="1422">
      <formula>$AY4="N.D."</formula>
    </cfRule>
  </conditionalFormatting>
  <conditionalFormatting sqref="S4">
    <cfRule type="cellIs" dxfId="7678" priority="1420" operator="equal">
      <formula>0</formula>
    </cfRule>
  </conditionalFormatting>
  <conditionalFormatting sqref="W5">
    <cfRule type="expression" dxfId="7677" priority="1417">
      <formula>$M5="NON DEFINED"</formula>
    </cfRule>
    <cfRule type="expression" dxfId="7676" priority="1418">
      <formula>$AZ5="N.D."</formula>
    </cfRule>
    <cfRule type="expression" dxfId="7675" priority="1419">
      <formula>$AY5="N.D."</formula>
    </cfRule>
  </conditionalFormatting>
  <conditionalFormatting sqref="W5">
    <cfRule type="expression" dxfId="7674" priority="1406">
      <formula>$A5="Overhead Cable"</formula>
    </cfRule>
    <cfRule type="expression" dxfId="7673" priority="1407">
      <formula>$A5="Level Crossing"</formula>
    </cfRule>
    <cfRule type="expression" dxfId="7672" priority="1408">
      <formula>$A5="Neutral Section"</formula>
    </cfRule>
    <cfRule type="expression" dxfId="7671" priority="1409">
      <formula>$A5="Tunnel"</formula>
    </cfRule>
    <cfRule type="expression" dxfId="7670" priority="1410">
      <formula>$A5="Bridge"</formula>
    </cfRule>
    <cfRule type="expression" dxfId="7669" priority="1411">
      <formula>$A5="Drainage Works"</formula>
    </cfRule>
    <cfRule type="expression" dxfId="7668" priority="1412">
      <formula>$A5="Underpass"</formula>
    </cfRule>
    <cfRule type="expression" dxfId="7667" priority="1413">
      <formula>$A5="Overcrossing"</formula>
    </cfRule>
    <cfRule type="expression" dxfId="7666" priority="1414">
      <formula>$A5="Overpass"</formula>
    </cfRule>
    <cfRule type="expression" dxfId="7665" priority="1415">
      <formula>$A5="Station"</formula>
    </cfRule>
    <cfRule type="expression" dxfId="7664" priority="1416">
      <formula>$A5="Overlap between sections"</formula>
    </cfRule>
  </conditionalFormatting>
  <conditionalFormatting sqref="W4">
    <cfRule type="expression" dxfId="7663" priority="1404">
      <formula>$M4="NON DEFINED"</formula>
    </cfRule>
    <cfRule type="expression" dxfId="7662" priority="1405">
      <formula>$AY4="N.D."</formula>
    </cfRule>
  </conditionalFormatting>
  <conditionalFormatting sqref="W4">
    <cfRule type="cellIs" dxfId="7661" priority="1403" operator="equal">
      <formula>0</formula>
    </cfRule>
  </conditionalFormatting>
  <conditionalFormatting sqref="X5">
    <cfRule type="expression" dxfId="7660" priority="1383">
      <formula>$M5="NON DEFINED"</formula>
    </cfRule>
    <cfRule type="expression" dxfId="7659" priority="1384">
      <formula>$AZ5="N.D."</formula>
    </cfRule>
    <cfRule type="expression" dxfId="7658" priority="1385">
      <formula>$AY5="N.D."</formula>
    </cfRule>
  </conditionalFormatting>
  <conditionalFormatting sqref="X5">
    <cfRule type="expression" dxfId="7657" priority="1372">
      <formula>$A5="Overhead Cable"</formula>
    </cfRule>
    <cfRule type="expression" dxfId="7656" priority="1373">
      <formula>$A5="Level Crossing"</formula>
    </cfRule>
    <cfRule type="expression" dxfId="7655" priority="1374">
      <formula>$A5="Neutral Section"</formula>
    </cfRule>
    <cfRule type="expression" dxfId="7654" priority="1375">
      <formula>$A5="Tunnel"</formula>
    </cfRule>
    <cfRule type="expression" dxfId="7653" priority="1376">
      <formula>$A5="Bridge"</formula>
    </cfRule>
    <cfRule type="expression" dxfId="7652" priority="1377">
      <formula>$A5="Drainage Works"</formula>
    </cfRule>
    <cfRule type="expression" dxfId="7651" priority="1378">
      <formula>$A5="Underpass"</formula>
    </cfRule>
    <cfRule type="expression" dxfId="7650" priority="1379">
      <formula>$A5="Overcrossing"</formula>
    </cfRule>
    <cfRule type="expression" dxfId="7649" priority="1380">
      <formula>$A5="Overpass"</formula>
    </cfRule>
    <cfRule type="expression" dxfId="7648" priority="1381">
      <formula>$A5="Station"</formula>
    </cfRule>
    <cfRule type="expression" dxfId="7647" priority="1382">
      <formula>$A5="Overlap between sections"</formula>
    </cfRule>
  </conditionalFormatting>
  <conditionalFormatting sqref="X4">
    <cfRule type="expression" dxfId="7646" priority="1370">
      <formula>$M4="NON DEFINED"</formula>
    </cfRule>
    <cfRule type="expression" dxfId="7645" priority="1371">
      <formula>$AY4="N.D."</formula>
    </cfRule>
  </conditionalFormatting>
  <conditionalFormatting sqref="X4">
    <cfRule type="cellIs" dxfId="7644" priority="1369" operator="equal">
      <formula>0</formula>
    </cfRule>
  </conditionalFormatting>
  <conditionalFormatting sqref="Y5">
    <cfRule type="expression" dxfId="7643" priority="1366">
      <formula>$M5="NON DEFINED"</formula>
    </cfRule>
    <cfRule type="expression" dxfId="7642" priority="1367">
      <formula>$AZ5="N.D."</formula>
    </cfRule>
    <cfRule type="expression" dxfId="7641" priority="1368">
      <formula>$AY5="N.D."</formula>
    </cfRule>
  </conditionalFormatting>
  <conditionalFormatting sqref="Y5">
    <cfRule type="expression" dxfId="7640" priority="1355">
      <formula>$A5="Overhead Cable"</formula>
    </cfRule>
    <cfRule type="expression" dxfId="7639" priority="1356">
      <formula>$A5="Level Crossing"</formula>
    </cfRule>
    <cfRule type="expression" dxfId="7638" priority="1357">
      <formula>$A5="Neutral Section"</formula>
    </cfRule>
    <cfRule type="expression" dxfId="7637" priority="1358">
      <formula>$A5="Tunnel"</formula>
    </cfRule>
    <cfRule type="expression" dxfId="7636" priority="1359">
      <formula>$A5="Bridge"</formula>
    </cfRule>
    <cfRule type="expression" dxfId="7635" priority="1360">
      <formula>$A5="Drainage Works"</formula>
    </cfRule>
    <cfRule type="expression" dxfId="7634" priority="1361">
      <formula>$A5="Underpass"</formula>
    </cfRule>
    <cfRule type="expression" dxfId="7633" priority="1362">
      <formula>$A5="Overcrossing"</formula>
    </cfRule>
    <cfRule type="expression" dxfId="7632" priority="1363">
      <formula>$A5="Overpass"</formula>
    </cfRule>
    <cfRule type="expression" dxfId="7631" priority="1364">
      <formula>$A5="Station"</formula>
    </cfRule>
    <cfRule type="expression" dxfId="7630" priority="1365">
      <formula>$A5="Overlap between sections"</formula>
    </cfRule>
  </conditionalFormatting>
  <conditionalFormatting sqref="Y4">
    <cfRule type="expression" dxfId="7629" priority="1353">
      <formula>$M4="NON DEFINED"</formula>
    </cfRule>
    <cfRule type="expression" dxfId="7628" priority="1354">
      <formula>$AY4="N.D."</formula>
    </cfRule>
  </conditionalFormatting>
  <conditionalFormatting sqref="Y4">
    <cfRule type="cellIs" dxfId="7627" priority="1352" operator="equal">
      <formula>0</formula>
    </cfRule>
  </conditionalFormatting>
  <conditionalFormatting sqref="Z5">
    <cfRule type="expression" dxfId="7626" priority="1349">
      <formula>$M5="NON DEFINED"</formula>
    </cfRule>
    <cfRule type="expression" dxfId="7625" priority="1350">
      <formula>$AZ5="N.D."</formula>
    </cfRule>
    <cfRule type="expression" dxfId="7624" priority="1351">
      <formula>$AY5="N.D."</formula>
    </cfRule>
  </conditionalFormatting>
  <conditionalFormatting sqref="Z5">
    <cfRule type="expression" dxfId="7623" priority="1338">
      <formula>$A5="Overhead Cable"</formula>
    </cfRule>
    <cfRule type="expression" dxfId="7622" priority="1339">
      <formula>$A5="Level Crossing"</formula>
    </cfRule>
    <cfRule type="expression" dxfId="7621" priority="1340">
      <formula>$A5="Neutral Section"</formula>
    </cfRule>
    <cfRule type="expression" dxfId="7620" priority="1341">
      <formula>$A5="Tunnel"</formula>
    </cfRule>
    <cfRule type="expression" dxfId="7619" priority="1342">
      <formula>$A5="Bridge"</formula>
    </cfRule>
    <cfRule type="expression" dxfId="7618" priority="1343">
      <formula>$A5="Drainage Works"</formula>
    </cfRule>
    <cfRule type="expression" dxfId="7617" priority="1344">
      <formula>$A5="Underpass"</formula>
    </cfRule>
    <cfRule type="expression" dxfId="7616" priority="1345">
      <formula>$A5="Overcrossing"</formula>
    </cfRule>
    <cfRule type="expression" dxfId="7615" priority="1346">
      <formula>$A5="Overpass"</formula>
    </cfRule>
    <cfRule type="expression" dxfId="7614" priority="1347">
      <formula>$A5="Station"</formula>
    </cfRule>
    <cfRule type="expression" dxfId="7613" priority="1348">
      <formula>$A5="Overlap between sections"</formula>
    </cfRule>
  </conditionalFormatting>
  <conditionalFormatting sqref="Z4">
    <cfRule type="expression" dxfId="7612" priority="1336">
      <formula>$M4="NON DEFINED"</formula>
    </cfRule>
    <cfRule type="expression" dxfId="7611" priority="1337">
      <formula>$AY4="N.D."</formula>
    </cfRule>
  </conditionalFormatting>
  <conditionalFormatting sqref="Z4">
    <cfRule type="cellIs" dxfId="7610" priority="1335" operator="equal">
      <formula>0</formula>
    </cfRule>
  </conditionalFormatting>
  <conditionalFormatting sqref="AA5">
    <cfRule type="expression" dxfId="7609" priority="1332">
      <formula>$M5="NON DEFINED"</formula>
    </cfRule>
    <cfRule type="expression" dxfId="7608" priority="1333">
      <formula>$AZ5="N.D."</formula>
    </cfRule>
    <cfRule type="expression" dxfId="7607" priority="1334">
      <formula>$AY5="N.D."</formula>
    </cfRule>
  </conditionalFormatting>
  <conditionalFormatting sqref="AA5">
    <cfRule type="expression" dxfId="7606" priority="1321">
      <formula>$A5="Overhead Cable"</formula>
    </cfRule>
    <cfRule type="expression" dxfId="7605" priority="1322">
      <formula>$A5="Level Crossing"</formula>
    </cfRule>
    <cfRule type="expression" dxfId="7604" priority="1323">
      <formula>$A5="Neutral Section"</formula>
    </cfRule>
    <cfRule type="expression" dxfId="7603" priority="1324">
      <formula>$A5="Tunnel"</formula>
    </cfRule>
    <cfRule type="expression" dxfId="7602" priority="1325">
      <formula>$A5="Bridge"</formula>
    </cfRule>
    <cfRule type="expression" dxfId="7601" priority="1326">
      <formula>$A5="Drainage Works"</formula>
    </cfRule>
    <cfRule type="expression" dxfId="7600" priority="1327">
      <formula>$A5="Underpass"</formula>
    </cfRule>
    <cfRule type="expression" dxfId="7599" priority="1328">
      <formula>$A5="Overcrossing"</formula>
    </cfRule>
    <cfRule type="expression" dxfId="7598" priority="1329">
      <formula>$A5="Overpass"</formula>
    </cfRule>
    <cfRule type="expression" dxfId="7597" priority="1330">
      <formula>$A5="Station"</formula>
    </cfRule>
    <cfRule type="expression" dxfId="7596" priority="1331">
      <formula>$A5="Overlap between sections"</formula>
    </cfRule>
  </conditionalFormatting>
  <conditionalFormatting sqref="AA4">
    <cfRule type="expression" dxfId="7595" priority="1319">
      <formula>$M4="NON DEFINED"</formula>
    </cfRule>
    <cfRule type="expression" dxfId="7594" priority="1320">
      <formula>$AY4="N.D."</formula>
    </cfRule>
  </conditionalFormatting>
  <conditionalFormatting sqref="AA4">
    <cfRule type="cellIs" dxfId="7593" priority="1318" operator="equal">
      <formula>0</formula>
    </cfRule>
  </conditionalFormatting>
  <conditionalFormatting sqref="AB5">
    <cfRule type="expression" dxfId="7592" priority="1315">
      <formula>$M5="NON DEFINED"</formula>
    </cfRule>
    <cfRule type="expression" dxfId="7591" priority="1316">
      <formula>$AZ5="N.D."</formula>
    </cfRule>
    <cfRule type="expression" dxfId="7590" priority="1317">
      <formula>$AY5="N.D."</formula>
    </cfRule>
  </conditionalFormatting>
  <conditionalFormatting sqref="AB5">
    <cfRule type="expression" dxfId="7589" priority="1304">
      <formula>$A5="Overhead Cable"</formula>
    </cfRule>
    <cfRule type="expression" dxfId="7588" priority="1305">
      <formula>$A5="Level Crossing"</formula>
    </cfRule>
    <cfRule type="expression" dxfId="7587" priority="1306">
      <formula>$A5="Neutral Section"</formula>
    </cfRule>
    <cfRule type="expression" dxfId="7586" priority="1307">
      <formula>$A5="Tunnel"</formula>
    </cfRule>
    <cfRule type="expression" dxfId="7585" priority="1308">
      <formula>$A5="Bridge"</formula>
    </cfRule>
    <cfRule type="expression" dxfId="7584" priority="1309">
      <formula>$A5="Drainage Works"</formula>
    </cfRule>
    <cfRule type="expression" dxfId="7583" priority="1310">
      <formula>$A5="Underpass"</formula>
    </cfRule>
    <cfRule type="expression" dxfId="7582" priority="1311">
      <formula>$A5="Overcrossing"</formula>
    </cfRule>
    <cfRule type="expression" dxfId="7581" priority="1312">
      <formula>$A5="Overpass"</formula>
    </cfRule>
    <cfRule type="expression" dxfId="7580" priority="1313">
      <formula>$A5="Station"</formula>
    </cfRule>
    <cfRule type="expression" dxfId="7579" priority="1314">
      <formula>$A5="Overlap between sections"</formula>
    </cfRule>
  </conditionalFormatting>
  <conditionalFormatting sqref="AB4">
    <cfRule type="expression" dxfId="7578" priority="1302">
      <formula>$M4="NON DEFINED"</formula>
    </cfRule>
    <cfRule type="expression" dxfId="7577" priority="1303">
      <formula>$AY4="N.D."</formula>
    </cfRule>
  </conditionalFormatting>
  <conditionalFormatting sqref="AB4">
    <cfRule type="cellIs" dxfId="7576" priority="1301" operator="equal">
      <formula>0</formula>
    </cfRule>
  </conditionalFormatting>
  <conditionalFormatting sqref="AG6:AG800 AZ6:AZ800 AN6:AS800 B6:E800 G6:H800 J6:J800">
    <cfRule type="expression" dxfId="7575" priority="783">
      <formula>$M6="NON DEFINED"</formula>
    </cfRule>
    <cfRule type="expression" dxfId="7574" priority="784">
      <formula>$AZ6="N.D."</formula>
    </cfRule>
    <cfRule type="expression" dxfId="7573" priority="785">
      <formula>$AY6="N.D."</formula>
    </cfRule>
  </conditionalFormatting>
  <conditionalFormatting sqref="BA64:BC800">
    <cfRule type="expression" dxfId="7572" priority="781">
      <formula>$BE64="A"</formula>
    </cfRule>
    <cfRule type="expression" dxfId="7571" priority="782">
      <formula>$BE64="R"</formula>
    </cfRule>
  </conditionalFormatting>
  <conditionalFormatting sqref="AY6:AY800">
    <cfRule type="expression" dxfId="7570" priority="778">
      <formula>$M6="NON DEFINED"</formula>
    </cfRule>
    <cfRule type="expression" dxfId="7569" priority="779">
      <formula>$AZ6="N.D."</formula>
    </cfRule>
    <cfRule type="expression" dxfId="7568" priority="780">
      <formula>$AY6="N.D."</formula>
    </cfRule>
  </conditionalFormatting>
  <conditionalFormatting sqref="BA64:BC800">
    <cfRule type="expression" dxfId="7567" priority="774">
      <formula>$M64="NON DEFINED"</formula>
    </cfRule>
    <cfRule type="expression" dxfId="7566" priority="775">
      <formula>$AZ64="N.D."</formula>
    </cfRule>
    <cfRule type="expression" dxfId="7565" priority="776">
      <formula>$AY64="N.D."</formula>
    </cfRule>
  </conditionalFormatting>
  <conditionalFormatting sqref="AG6:AG800 AN6:AS800 AY64:BC800 A6:E800 G6:H800 J6:J800 AY6:AZ63">
    <cfRule type="expression" dxfId="7564" priority="763">
      <formula>$A6="Overhead Cable"</formula>
    </cfRule>
    <cfRule type="expression" dxfId="7563" priority="764">
      <formula>$A6="Level Crossing"</formula>
    </cfRule>
    <cfRule type="expression" dxfId="7562" priority="765">
      <formula>$A6="Neutral Section"</formula>
    </cfRule>
    <cfRule type="expression" dxfId="7561" priority="766">
      <formula>$A6="Tunnel"</formula>
    </cfRule>
    <cfRule type="expression" dxfId="7560" priority="767">
      <formula>$A6="Bridge"</formula>
    </cfRule>
    <cfRule type="expression" dxfId="7559" priority="768">
      <formula>$A6="Drainage Works"</formula>
    </cfRule>
    <cfRule type="expression" dxfId="7558" priority="769">
      <formula>$A6="Underpass"</formula>
    </cfRule>
    <cfRule type="expression" dxfId="7557" priority="770">
      <formula>$A6="Overcrossing"</formula>
    </cfRule>
    <cfRule type="expression" dxfId="7556" priority="771">
      <formula>$A6="Overpass"</formula>
    </cfRule>
    <cfRule type="expression" dxfId="7555" priority="772">
      <formula>$A6="Station"</formula>
    </cfRule>
    <cfRule type="expression" dxfId="7554" priority="773">
      <formula>$A6="Overlap between sections"</formula>
    </cfRule>
  </conditionalFormatting>
  <conditionalFormatting sqref="AN6:AP800">
    <cfRule type="cellIs" dxfId="7553" priority="762" operator="notEqual">
      <formula>5.5</formula>
    </cfRule>
  </conditionalFormatting>
  <conditionalFormatting sqref="B6:B800">
    <cfRule type="expression" dxfId="7552" priority="761">
      <formula>AND($AH6&gt;2499,$AH6&lt;2901)</formula>
    </cfRule>
  </conditionalFormatting>
  <conditionalFormatting sqref="I21:I800 I6:I19">
    <cfRule type="expression" dxfId="7551" priority="758">
      <formula>$M6="NON DEFINED"</formula>
    </cfRule>
    <cfRule type="expression" dxfId="7550" priority="759">
      <formula>$AZ6="N.D."</formula>
    </cfRule>
    <cfRule type="expression" dxfId="7549" priority="760">
      <formula>$AY6="N.D."</formula>
    </cfRule>
  </conditionalFormatting>
  <conditionalFormatting sqref="I21:I800 I6:I19">
    <cfRule type="expression" dxfId="7548" priority="747">
      <formula>$A6="Overhead Cable"</formula>
    </cfRule>
    <cfRule type="expression" dxfId="7547" priority="748">
      <formula>$A6="Level Crossing"</formula>
    </cfRule>
    <cfRule type="expression" dxfId="7546" priority="749">
      <formula>$A6="Neutral Section"</formula>
    </cfRule>
    <cfRule type="expression" dxfId="7545" priority="750">
      <formula>$A6="Tunnel"</formula>
    </cfRule>
    <cfRule type="expression" dxfId="7544" priority="751">
      <formula>$A6="Bridge"</formula>
    </cfRule>
    <cfRule type="expression" dxfId="7543" priority="752">
      <formula>$A6="Drainage Works"</formula>
    </cfRule>
    <cfRule type="expression" dxfId="7542" priority="753">
      <formula>$A6="Underpass"</formula>
    </cfRule>
    <cfRule type="expression" dxfId="7541" priority="754">
      <formula>$A6="Overcrossing"</formula>
    </cfRule>
    <cfRule type="expression" dxfId="7540" priority="755">
      <formula>$A6="Overpass"</formula>
    </cfRule>
    <cfRule type="expression" dxfId="7539" priority="756">
      <formula>$A6="Station"</formula>
    </cfRule>
    <cfRule type="expression" dxfId="7538" priority="757">
      <formula>$A6="Overlap between sections"</formula>
    </cfRule>
  </conditionalFormatting>
  <conditionalFormatting sqref="K6:K800">
    <cfRule type="expression" dxfId="7537" priority="744">
      <formula>$M6="NON DEFINED"</formula>
    </cfRule>
    <cfRule type="expression" dxfId="7536" priority="745">
      <formula>$AZ6="N.D."</formula>
    </cfRule>
    <cfRule type="expression" dxfId="7535" priority="746">
      <formula>$AY6="N.D."</formula>
    </cfRule>
  </conditionalFormatting>
  <conditionalFormatting sqref="K6:K800">
    <cfRule type="expression" dxfId="7534" priority="733">
      <formula>$A6="Overhead Cable"</formula>
    </cfRule>
    <cfRule type="expression" dxfId="7533" priority="734">
      <formula>$A6="Level Crossing"</formula>
    </cfRule>
    <cfRule type="expression" dxfId="7532" priority="735">
      <formula>$A6="Neutral Section"</formula>
    </cfRule>
    <cfRule type="expression" dxfId="7531" priority="736">
      <formula>$A6="Tunnel"</formula>
    </cfRule>
    <cfRule type="expression" dxfId="7530" priority="737">
      <formula>$A6="Bridge"</formula>
    </cfRule>
    <cfRule type="expression" dxfId="7529" priority="738">
      <formula>$A6="Drainage Works"</formula>
    </cfRule>
    <cfRule type="expression" dxfId="7528" priority="739">
      <formula>$A6="Underpass"</formula>
    </cfRule>
    <cfRule type="expression" dxfId="7527" priority="740">
      <formula>$A6="Overcrossing"</formula>
    </cfRule>
    <cfRule type="expression" dxfId="7526" priority="741">
      <formula>$A6="Overpass"</formula>
    </cfRule>
    <cfRule type="expression" dxfId="7525" priority="742">
      <formula>$A6="Station"</formula>
    </cfRule>
    <cfRule type="expression" dxfId="7524" priority="743">
      <formula>$A6="Overlap between sections"</formula>
    </cfRule>
  </conditionalFormatting>
  <conditionalFormatting sqref="L6:L800">
    <cfRule type="expression" dxfId="7523" priority="730">
      <formula>$M6="NON DEFINED"</formula>
    </cfRule>
    <cfRule type="expression" dxfId="7522" priority="731">
      <formula>$AZ6="N.D."</formula>
    </cfRule>
    <cfRule type="expression" dxfId="7521" priority="732">
      <formula>$AY6="N.D."</formula>
    </cfRule>
  </conditionalFormatting>
  <conditionalFormatting sqref="L6:L800">
    <cfRule type="expression" dxfId="7520" priority="719">
      <formula>$A6="Overhead Cable"</formula>
    </cfRule>
    <cfRule type="expression" dxfId="7519" priority="720">
      <formula>$A6="Level Crossing"</formula>
    </cfRule>
    <cfRule type="expression" dxfId="7518" priority="721">
      <formula>$A6="Neutral Section"</formula>
    </cfRule>
    <cfRule type="expression" dxfId="7517" priority="722">
      <formula>$A6="Tunnel"</formula>
    </cfRule>
    <cfRule type="expression" dxfId="7516" priority="723">
      <formula>$A6="Bridge"</formula>
    </cfRule>
    <cfRule type="expression" dxfId="7515" priority="724">
      <formula>$A6="Drainage Works"</formula>
    </cfRule>
    <cfRule type="expression" dxfId="7514" priority="725">
      <formula>$A6="Underpass"</formula>
    </cfRule>
    <cfRule type="expression" dxfId="7513" priority="726">
      <formula>$A6="Overcrossing"</formula>
    </cfRule>
    <cfRule type="expression" dxfId="7512" priority="727">
      <formula>$A6="Overpass"</formula>
    </cfRule>
    <cfRule type="expression" dxfId="7511" priority="728">
      <formula>$A6="Station"</formula>
    </cfRule>
    <cfRule type="expression" dxfId="7510" priority="729">
      <formula>$A6="Overlap between sections"</formula>
    </cfRule>
  </conditionalFormatting>
  <conditionalFormatting sqref="M6:M800">
    <cfRule type="expression" dxfId="7509" priority="716">
      <formula>$M6="NON DEFINED"</formula>
    </cfRule>
    <cfRule type="expression" dxfId="7508" priority="717">
      <formula>$AZ6="N.D."</formula>
    </cfRule>
    <cfRule type="expression" dxfId="7507" priority="718">
      <formula>$AY6="N.D."</formula>
    </cfRule>
  </conditionalFormatting>
  <conditionalFormatting sqref="M6:M800">
    <cfRule type="expression" dxfId="7506" priority="705">
      <formula>$A6="Overhead Cable"</formula>
    </cfRule>
    <cfRule type="expression" dxfId="7505" priority="706">
      <formula>$A6="Level Crossing"</formula>
    </cfRule>
    <cfRule type="expression" dxfId="7504" priority="707">
      <formula>$A6="Neutral Section"</formula>
    </cfRule>
    <cfRule type="expression" dxfId="7503" priority="708">
      <formula>$A6="Tunnel"</formula>
    </cfRule>
    <cfRule type="expression" dxfId="7502" priority="709">
      <formula>$A6="Bridge"</formula>
    </cfRule>
    <cfRule type="expression" dxfId="7501" priority="710">
      <formula>$A6="Drainage Works"</formula>
    </cfRule>
    <cfRule type="expression" dxfId="7500" priority="711">
      <formula>$A6="Underpass"</formula>
    </cfRule>
    <cfRule type="expression" dxfId="7499" priority="712">
      <formula>$A6="Overcrossing"</formula>
    </cfRule>
    <cfRule type="expression" dxfId="7498" priority="713">
      <formula>$A6="Overpass"</formula>
    </cfRule>
    <cfRule type="expression" dxfId="7497" priority="714">
      <formula>$A6="Station"</formula>
    </cfRule>
    <cfRule type="expression" dxfId="7496" priority="715">
      <formula>$A6="Overlap between sections"</formula>
    </cfRule>
  </conditionalFormatting>
  <conditionalFormatting sqref="N6:N43 N45:N800">
    <cfRule type="expression" dxfId="7495" priority="702">
      <formula>$M6="NON DEFINED"</formula>
    </cfRule>
    <cfRule type="expression" dxfId="7494" priority="703">
      <formula>$AZ6="N.D."</formula>
    </cfRule>
    <cfRule type="expression" dxfId="7493" priority="704">
      <formula>$AY6="N.D."</formula>
    </cfRule>
  </conditionalFormatting>
  <conditionalFormatting sqref="N6:N43 N45:N800">
    <cfRule type="expression" dxfId="7492" priority="691">
      <formula>$A6="Overhead Cable"</formula>
    </cfRule>
    <cfRule type="expression" dxfId="7491" priority="692">
      <formula>$A6="Level Crossing"</formula>
    </cfRule>
    <cfRule type="expression" dxfId="7490" priority="693">
      <formula>$A6="Neutral Section"</formula>
    </cfRule>
    <cfRule type="expression" dxfId="7489" priority="694">
      <formula>$A6="Tunnel"</formula>
    </cfRule>
    <cfRule type="expression" dxfId="7488" priority="695">
      <formula>$A6="Bridge"</formula>
    </cfRule>
    <cfRule type="expression" dxfId="7487" priority="696">
      <formula>$A6="Drainage Works"</formula>
    </cfRule>
    <cfRule type="expression" dxfId="7486" priority="697">
      <formula>$A6="Underpass"</formula>
    </cfRule>
    <cfRule type="expression" dxfId="7485" priority="698">
      <formula>$A6="Overcrossing"</formula>
    </cfRule>
    <cfRule type="expression" dxfId="7484" priority="699">
      <formula>$A6="Overpass"</formula>
    </cfRule>
    <cfRule type="expression" dxfId="7483" priority="700">
      <formula>$A6="Station"</formula>
    </cfRule>
    <cfRule type="expression" dxfId="7482" priority="701">
      <formula>$A6="Overlap between sections"</formula>
    </cfRule>
  </conditionalFormatting>
  <conditionalFormatting sqref="O6:O41 O43 O45:O800">
    <cfRule type="expression" dxfId="7481" priority="688">
      <formula>$M6="NON DEFINED"</formula>
    </cfRule>
    <cfRule type="expression" dxfId="7480" priority="689">
      <formula>$AZ6="N.D."</formula>
    </cfRule>
    <cfRule type="expression" dxfId="7479" priority="690">
      <formula>$AY6="N.D."</formula>
    </cfRule>
  </conditionalFormatting>
  <conditionalFormatting sqref="O6:O41 O43 O45:O800">
    <cfRule type="expression" dxfId="7478" priority="677">
      <formula>$A6="Overhead Cable"</formula>
    </cfRule>
    <cfRule type="expression" dxfId="7477" priority="678">
      <formula>$A6="Level Crossing"</formula>
    </cfRule>
    <cfRule type="expression" dxfId="7476" priority="679">
      <formula>$A6="Neutral Section"</formula>
    </cfRule>
    <cfRule type="expression" dxfId="7475" priority="680">
      <formula>$A6="Tunnel"</formula>
    </cfRule>
    <cfRule type="expression" dxfId="7474" priority="681">
      <formula>$A6="Bridge"</formula>
    </cfRule>
    <cfRule type="expression" dxfId="7473" priority="682">
      <formula>$A6="Drainage Works"</formula>
    </cfRule>
    <cfRule type="expression" dxfId="7472" priority="683">
      <formula>$A6="Underpass"</formula>
    </cfRule>
    <cfRule type="expression" dxfId="7471" priority="684">
      <formula>$A6="Overcrossing"</formula>
    </cfRule>
    <cfRule type="expression" dxfId="7470" priority="685">
      <formula>$A6="Overpass"</formula>
    </cfRule>
    <cfRule type="expression" dxfId="7469" priority="686">
      <formula>$A6="Station"</formula>
    </cfRule>
    <cfRule type="expression" dxfId="7468" priority="687">
      <formula>$A6="Overlap between sections"</formula>
    </cfRule>
  </conditionalFormatting>
  <conditionalFormatting sqref="P6:P800">
    <cfRule type="expression" dxfId="7467" priority="674">
      <formula>$M6="NON DEFINED"</formula>
    </cfRule>
    <cfRule type="expression" dxfId="7466" priority="675">
      <formula>$AZ6="N.D."</formula>
    </cfRule>
    <cfRule type="expression" dxfId="7465" priority="676">
      <formula>$AY6="N.D."</formula>
    </cfRule>
  </conditionalFormatting>
  <conditionalFormatting sqref="P6:P800">
    <cfRule type="expression" dxfId="7464" priority="663">
      <formula>$A6="Overhead Cable"</formula>
    </cfRule>
    <cfRule type="expression" dxfId="7463" priority="664">
      <formula>$A6="Level Crossing"</formula>
    </cfRule>
    <cfRule type="expression" dxfId="7462" priority="665">
      <formula>$A6="Neutral Section"</formula>
    </cfRule>
    <cfRule type="expression" dxfId="7461" priority="666">
      <formula>$A6="Tunnel"</formula>
    </cfRule>
    <cfRule type="expression" dxfId="7460" priority="667">
      <formula>$A6="Bridge"</formula>
    </cfRule>
    <cfRule type="expression" dxfId="7459" priority="668">
      <formula>$A6="Drainage Works"</formula>
    </cfRule>
    <cfRule type="expression" dxfId="7458" priority="669">
      <formula>$A6="Underpass"</formula>
    </cfRule>
    <cfRule type="expression" dxfId="7457" priority="670">
      <formula>$A6="Overcrossing"</formula>
    </cfRule>
    <cfRule type="expression" dxfId="7456" priority="671">
      <formula>$A6="Overpass"</formula>
    </cfRule>
    <cfRule type="expression" dxfId="7455" priority="672">
      <formula>$A6="Station"</formula>
    </cfRule>
    <cfRule type="expression" dxfId="7454" priority="673">
      <formula>$A6="Overlap between sections"</formula>
    </cfRule>
  </conditionalFormatting>
  <conditionalFormatting sqref="AC6:AC43 AC45:AC800">
    <cfRule type="expression" dxfId="7453" priority="660">
      <formula>$M6="NON DEFINED"</formula>
    </cfRule>
    <cfRule type="expression" dxfId="7452" priority="661">
      <formula>$AZ6="N.D."</formula>
    </cfRule>
    <cfRule type="expression" dxfId="7451" priority="662">
      <formula>$AY6="N.D."</formula>
    </cfRule>
  </conditionalFormatting>
  <conditionalFormatting sqref="AC6:AC43 AC45:AC800">
    <cfRule type="expression" dxfId="7450" priority="649">
      <formula>$A6="Overhead Cable"</formula>
    </cfRule>
    <cfRule type="expression" dxfId="7449" priority="650">
      <formula>$A6="Level Crossing"</formula>
    </cfRule>
    <cfRule type="expression" dxfId="7448" priority="651">
      <formula>$A6="Neutral Section"</formula>
    </cfRule>
    <cfRule type="expression" dxfId="7447" priority="652">
      <formula>$A6="Tunnel"</formula>
    </cfRule>
    <cfRule type="expression" dxfId="7446" priority="653">
      <formula>$A6="Bridge"</formula>
    </cfRule>
    <cfRule type="expression" dxfId="7445" priority="654">
      <formula>$A6="Drainage Works"</formula>
    </cfRule>
    <cfRule type="expression" dxfId="7444" priority="655">
      <formula>$A6="Underpass"</formula>
    </cfRule>
    <cfRule type="expression" dxfId="7443" priority="656">
      <formula>$A6="Overcrossing"</formula>
    </cfRule>
    <cfRule type="expression" dxfId="7442" priority="657">
      <formula>$A6="Overpass"</formula>
    </cfRule>
    <cfRule type="expression" dxfId="7441" priority="658">
      <formula>$A6="Station"</formula>
    </cfRule>
    <cfRule type="expression" dxfId="7440" priority="659">
      <formula>$A6="Overlap between sections"</formula>
    </cfRule>
  </conditionalFormatting>
  <conditionalFormatting sqref="AD6:AD43 AD45:AD800">
    <cfRule type="expression" dxfId="7439" priority="646">
      <formula>$M6="NON DEFINED"</formula>
    </cfRule>
    <cfRule type="expression" dxfId="7438" priority="647">
      <formula>$AZ6="N.D."</formula>
    </cfRule>
    <cfRule type="expression" dxfId="7437" priority="648">
      <formula>$AY6="N.D."</formula>
    </cfRule>
  </conditionalFormatting>
  <conditionalFormatting sqref="AD6:AD43 AD45:AD800">
    <cfRule type="expression" dxfId="7436" priority="635">
      <formula>$A6="Overhead Cable"</formula>
    </cfRule>
    <cfRule type="expression" dxfId="7435" priority="636">
      <formula>$A6="Level Crossing"</formula>
    </cfRule>
    <cfRule type="expression" dxfId="7434" priority="637">
      <formula>$A6="Neutral Section"</formula>
    </cfRule>
    <cfRule type="expression" dxfId="7433" priority="638">
      <formula>$A6="Tunnel"</formula>
    </cfRule>
    <cfRule type="expression" dxfId="7432" priority="639">
      <formula>$A6="Bridge"</formula>
    </cfRule>
    <cfRule type="expression" dxfId="7431" priority="640">
      <formula>$A6="Drainage Works"</formula>
    </cfRule>
    <cfRule type="expression" dxfId="7430" priority="641">
      <formula>$A6="Underpass"</formula>
    </cfRule>
    <cfRule type="expression" dxfId="7429" priority="642">
      <formula>$A6="Overcrossing"</formula>
    </cfRule>
    <cfRule type="expression" dxfId="7428" priority="643">
      <formula>$A6="Overpass"</formula>
    </cfRule>
    <cfRule type="expression" dxfId="7427" priority="644">
      <formula>$A6="Station"</formula>
    </cfRule>
    <cfRule type="expression" dxfId="7426" priority="645">
      <formula>$A6="Overlap between sections"</formula>
    </cfRule>
  </conditionalFormatting>
  <conditionalFormatting sqref="AE6:AE800">
    <cfRule type="expression" dxfId="7425" priority="632">
      <formula>$M6="NON DEFINED"</formula>
    </cfRule>
    <cfRule type="expression" dxfId="7424" priority="633">
      <formula>$AZ6="N.D."</formula>
    </cfRule>
    <cfRule type="expression" dxfId="7423" priority="634">
      <formula>$AY6="N.D."</formula>
    </cfRule>
  </conditionalFormatting>
  <conditionalFormatting sqref="AE6:AE800">
    <cfRule type="expression" dxfId="7422" priority="621">
      <formula>$A6="Overhead Cable"</formula>
    </cfRule>
    <cfRule type="expression" dxfId="7421" priority="622">
      <formula>$A6="Level Crossing"</formula>
    </cfRule>
    <cfRule type="expression" dxfId="7420" priority="623">
      <formula>$A6="Neutral Section"</formula>
    </cfRule>
    <cfRule type="expression" dxfId="7419" priority="624">
      <formula>$A6="Tunnel"</formula>
    </cfRule>
    <cfRule type="expression" dxfId="7418" priority="625">
      <formula>$A6="Bridge"</formula>
    </cfRule>
    <cfRule type="expression" dxfId="7417" priority="626">
      <formula>$A6="Drainage Works"</formula>
    </cfRule>
    <cfRule type="expression" dxfId="7416" priority="627">
      <formula>$A6="Underpass"</formula>
    </cfRule>
    <cfRule type="expression" dxfId="7415" priority="628">
      <formula>$A6="Overcrossing"</formula>
    </cfRule>
    <cfRule type="expression" dxfId="7414" priority="629">
      <formula>$A6="Overpass"</formula>
    </cfRule>
    <cfRule type="expression" dxfId="7413" priority="630">
      <formula>$A6="Station"</formula>
    </cfRule>
    <cfRule type="expression" dxfId="7412" priority="631">
      <formula>$A6="Overlap between sections"</formula>
    </cfRule>
  </conditionalFormatting>
  <conditionalFormatting sqref="AJ6:AJ800">
    <cfRule type="expression" dxfId="7411" priority="618">
      <formula>$M6="NON DEFINED"</formula>
    </cfRule>
    <cfRule type="expression" dxfId="7410" priority="619">
      <formula>$AZ6="N.D."</formula>
    </cfRule>
    <cfRule type="expression" dxfId="7409" priority="620">
      <formula>$AY6="N.D."</formula>
    </cfRule>
  </conditionalFormatting>
  <conditionalFormatting sqref="AJ6:AJ800">
    <cfRule type="expression" dxfId="7408" priority="607">
      <formula>$A6="Overhead Cable"</formula>
    </cfRule>
    <cfRule type="expression" dxfId="7407" priority="608">
      <formula>$A6="Level Crossing"</formula>
    </cfRule>
    <cfRule type="expression" dxfId="7406" priority="609">
      <formula>$A6="Neutral Section"</formula>
    </cfRule>
    <cfRule type="expression" dxfId="7405" priority="610">
      <formula>$A6="Tunnel"</formula>
    </cfRule>
    <cfRule type="expression" dxfId="7404" priority="611">
      <formula>$A6="Bridge"</formula>
    </cfRule>
    <cfRule type="expression" dxfId="7403" priority="612">
      <formula>$A6="Drainage Works"</formula>
    </cfRule>
    <cfRule type="expression" dxfId="7402" priority="613">
      <formula>$A6="Underpass"</formula>
    </cfRule>
    <cfRule type="expression" dxfId="7401" priority="614">
      <formula>$A6="Overcrossing"</formula>
    </cfRule>
    <cfRule type="expression" dxfId="7400" priority="615">
      <formula>$A6="Overpass"</formula>
    </cfRule>
    <cfRule type="expression" dxfId="7399" priority="616">
      <formula>$A6="Station"</formula>
    </cfRule>
    <cfRule type="expression" dxfId="7398" priority="617">
      <formula>$A6="Overlap between sections"</formula>
    </cfRule>
  </conditionalFormatting>
  <conditionalFormatting sqref="AK6:AK800">
    <cfRule type="expression" dxfId="7397" priority="604">
      <formula>$M6="NON DEFINED"</formula>
    </cfRule>
    <cfRule type="expression" dxfId="7396" priority="605">
      <formula>$AZ6="N.D."</formula>
    </cfRule>
    <cfRule type="expression" dxfId="7395" priority="606">
      <formula>$AY6="N.D."</formula>
    </cfRule>
  </conditionalFormatting>
  <conditionalFormatting sqref="AK6:AK800">
    <cfRule type="expression" dxfId="7394" priority="593">
      <formula>$A6="Overhead Cable"</formula>
    </cfRule>
    <cfRule type="expression" dxfId="7393" priority="594">
      <formula>$A6="Level Crossing"</formula>
    </cfRule>
    <cfRule type="expression" dxfId="7392" priority="595">
      <formula>$A6="Neutral Section"</formula>
    </cfRule>
    <cfRule type="expression" dxfId="7391" priority="596">
      <formula>$A6="Tunnel"</formula>
    </cfRule>
    <cfRule type="expression" dxfId="7390" priority="597">
      <formula>$A6="Bridge"</formula>
    </cfRule>
    <cfRule type="expression" dxfId="7389" priority="598">
      <formula>$A6="Drainage Works"</formula>
    </cfRule>
    <cfRule type="expression" dxfId="7388" priority="599">
      <formula>$A6="Underpass"</formula>
    </cfRule>
    <cfRule type="expression" dxfId="7387" priority="600">
      <formula>$A6="Overcrossing"</formula>
    </cfRule>
    <cfRule type="expression" dxfId="7386" priority="601">
      <formula>$A6="Overpass"</formula>
    </cfRule>
    <cfRule type="expression" dxfId="7385" priority="602">
      <formula>$A6="Station"</formula>
    </cfRule>
    <cfRule type="expression" dxfId="7384" priority="603">
      <formula>$A6="Overlap between sections"</formula>
    </cfRule>
  </conditionalFormatting>
  <conditionalFormatting sqref="AL6:AL800">
    <cfRule type="expression" dxfId="7383" priority="590">
      <formula>$M6="NON DEFINED"</formula>
    </cfRule>
    <cfRule type="expression" dxfId="7382" priority="591">
      <formula>$AZ6="N.D."</formula>
    </cfRule>
    <cfRule type="expression" dxfId="7381" priority="592">
      <formula>$AY6="N.D."</formula>
    </cfRule>
  </conditionalFormatting>
  <conditionalFormatting sqref="AL6:AL800">
    <cfRule type="expression" dxfId="7380" priority="579">
      <formula>$A6="Overhead Cable"</formula>
    </cfRule>
    <cfRule type="expression" dxfId="7379" priority="580">
      <formula>$A6="Level Crossing"</formula>
    </cfRule>
    <cfRule type="expression" dxfId="7378" priority="581">
      <formula>$A6="Neutral Section"</formula>
    </cfRule>
    <cfRule type="expression" dxfId="7377" priority="582">
      <formula>$A6="Tunnel"</formula>
    </cfRule>
    <cfRule type="expression" dxfId="7376" priority="583">
      <formula>$A6="Bridge"</formula>
    </cfRule>
    <cfRule type="expression" dxfId="7375" priority="584">
      <formula>$A6="Drainage Works"</formula>
    </cfRule>
    <cfRule type="expression" dxfId="7374" priority="585">
      <formula>$A6="Underpass"</formula>
    </cfRule>
    <cfRule type="expression" dxfId="7373" priority="586">
      <formula>$A6="Overcrossing"</formula>
    </cfRule>
    <cfRule type="expression" dxfId="7372" priority="587">
      <formula>$A6="Overpass"</formula>
    </cfRule>
    <cfRule type="expression" dxfId="7371" priority="588">
      <formula>$A6="Station"</formula>
    </cfRule>
    <cfRule type="expression" dxfId="7370" priority="589">
      <formula>$A6="Overlap between sections"</formula>
    </cfRule>
  </conditionalFormatting>
  <conditionalFormatting sqref="AM6:AM800">
    <cfRule type="expression" dxfId="7369" priority="576">
      <formula>$M6="NON DEFINED"</formula>
    </cfRule>
    <cfRule type="expression" dxfId="7368" priority="577">
      <formula>$AZ6="N.D."</formula>
    </cfRule>
    <cfRule type="expression" dxfId="7367" priority="578">
      <formula>$AY6="N.D."</formula>
    </cfRule>
  </conditionalFormatting>
  <conditionalFormatting sqref="AM6:AM800">
    <cfRule type="expression" dxfId="7366" priority="565">
      <formula>$A6="Overhead Cable"</formula>
    </cfRule>
    <cfRule type="expression" dxfId="7365" priority="566">
      <formula>$A6="Level Crossing"</formula>
    </cfRule>
    <cfRule type="expression" dxfId="7364" priority="567">
      <formula>$A6="Neutral Section"</formula>
    </cfRule>
    <cfRule type="expression" dxfId="7363" priority="568">
      <formula>$A6="Tunnel"</formula>
    </cfRule>
    <cfRule type="expression" dxfId="7362" priority="569">
      <formula>$A6="Bridge"</formula>
    </cfRule>
    <cfRule type="expression" dxfId="7361" priority="570">
      <formula>$A6="Drainage Works"</formula>
    </cfRule>
    <cfRule type="expression" dxfId="7360" priority="571">
      <formula>$A6="Underpass"</formula>
    </cfRule>
    <cfRule type="expression" dxfId="7359" priority="572">
      <formula>$A6="Overcrossing"</formula>
    </cfRule>
    <cfRule type="expression" dxfId="7358" priority="573">
      <formula>$A6="Overpass"</formula>
    </cfRule>
    <cfRule type="expression" dxfId="7357" priority="574">
      <formula>$A6="Station"</formula>
    </cfRule>
    <cfRule type="expression" dxfId="7356" priority="575">
      <formula>$A6="Overlap between sections"</formula>
    </cfRule>
  </conditionalFormatting>
  <conditionalFormatting sqref="AT6:AT800">
    <cfRule type="expression" dxfId="7355" priority="562">
      <formula>$M6="NON DEFINED"</formula>
    </cfRule>
    <cfRule type="expression" dxfId="7354" priority="563">
      <formula>$AZ6="N.D."</formula>
    </cfRule>
    <cfRule type="expression" dxfId="7353" priority="564">
      <formula>$AY6="N.D."</formula>
    </cfRule>
  </conditionalFormatting>
  <conditionalFormatting sqref="AT6:AT800">
    <cfRule type="expression" dxfId="7352" priority="551">
      <formula>$A6="Overhead Cable"</formula>
    </cfRule>
    <cfRule type="expression" dxfId="7351" priority="552">
      <formula>$A6="Level Crossing"</formula>
    </cfRule>
    <cfRule type="expression" dxfId="7350" priority="553">
      <formula>$A6="Neutral Section"</formula>
    </cfRule>
    <cfRule type="expression" dxfId="7349" priority="554">
      <formula>$A6="Tunnel"</formula>
    </cfRule>
    <cfRule type="expression" dxfId="7348" priority="555">
      <formula>$A6="Bridge"</formula>
    </cfRule>
    <cfRule type="expression" dxfId="7347" priority="556">
      <formula>$A6="Drainage Works"</formula>
    </cfRule>
    <cfRule type="expression" dxfId="7346" priority="557">
      <formula>$A6="Underpass"</formula>
    </cfRule>
    <cfRule type="expression" dxfId="7345" priority="558">
      <formula>$A6="Overcrossing"</formula>
    </cfRule>
    <cfRule type="expression" dxfId="7344" priority="559">
      <formula>$A6="Overpass"</formula>
    </cfRule>
    <cfRule type="expression" dxfId="7343" priority="560">
      <formula>$A6="Station"</formula>
    </cfRule>
    <cfRule type="expression" dxfId="7342" priority="561">
      <formula>$A6="Overlap between sections"</formula>
    </cfRule>
  </conditionalFormatting>
  <conditionalFormatting sqref="AU6:AU800">
    <cfRule type="expression" dxfId="7341" priority="548">
      <formula>$M6="NON DEFINED"</formula>
    </cfRule>
    <cfRule type="expression" dxfId="7340" priority="549">
      <formula>$AZ6="N.D."</formula>
    </cfRule>
    <cfRule type="expression" dxfId="7339" priority="550">
      <formula>$AY6="N.D."</formula>
    </cfRule>
  </conditionalFormatting>
  <conditionalFormatting sqref="AU6:AU800">
    <cfRule type="expression" dxfId="7338" priority="537">
      <formula>$A6="Overhead Cable"</formula>
    </cfRule>
    <cfRule type="expression" dxfId="7337" priority="538">
      <formula>$A6="Level Crossing"</formula>
    </cfRule>
    <cfRule type="expression" dxfId="7336" priority="539">
      <formula>$A6="Neutral Section"</formula>
    </cfRule>
    <cfRule type="expression" dxfId="7335" priority="540">
      <formula>$A6="Tunnel"</formula>
    </cfRule>
    <cfRule type="expression" dxfId="7334" priority="541">
      <formula>$A6="Bridge"</formula>
    </cfRule>
    <cfRule type="expression" dxfId="7333" priority="542">
      <formula>$A6="Drainage Works"</formula>
    </cfRule>
    <cfRule type="expression" dxfId="7332" priority="543">
      <formula>$A6="Underpass"</formula>
    </cfRule>
    <cfRule type="expression" dxfId="7331" priority="544">
      <formula>$A6="Overcrossing"</formula>
    </cfRule>
    <cfRule type="expression" dxfId="7330" priority="545">
      <formula>$A6="Overpass"</formula>
    </cfRule>
    <cfRule type="expression" dxfId="7329" priority="546">
      <formula>$A6="Station"</formula>
    </cfRule>
    <cfRule type="expression" dxfId="7328" priority="547">
      <formula>$A6="Overlap between sections"</formula>
    </cfRule>
  </conditionalFormatting>
  <conditionalFormatting sqref="AV6:AV800">
    <cfRule type="expression" dxfId="7327" priority="534">
      <formula>$M6="NON DEFINED"</formula>
    </cfRule>
    <cfRule type="expression" dxfId="7326" priority="535">
      <formula>$AZ6="N.D."</formula>
    </cfRule>
    <cfRule type="expression" dxfId="7325" priority="536">
      <formula>$AY6="N.D."</formula>
    </cfRule>
  </conditionalFormatting>
  <conditionalFormatting sqref="AV6:AV800">
    <cfRule type="expression" dxfId="7324" priority="523">
      <formula>$A6="Overhead Cable"</formula>
    </cfRule>
    <cfRule type="expression" dxfId="7323" priority="524">
      <formula>$A6="Level Crossing"</formula>
    </cfRule>
    <cfRule type="expression" dxfId="7322" priority="525">
      <formula>$A6="Neutral Section"</formula>
    </cfRule>
    <cfRule type="expression" dxfId="7321" priority="526">
      <formula>$A6="Tunnel"</formula>
    </cfRule>
    <cfRule type="expression" dxfId="7320" priority="527">
      <formula>$A6="Bridge"</formula>
    </cfRule>
    <cfRule type="expression" dxfId="7319" priority="528">
      <formula>$A6="Drainage Works"</formula>
    </cfRule>
    <cfRule type="expression" dxfId="7318" priority="529">
      <formula>$A6="Underpass"</formula>
    </cfRule>
    <cfRule type="expression" dxfId="7317" priority="530">
      <formula>$A6="Overcrossing"</formula>
    </cfRule>
    <cfRule type="expression" dxfId="7316" priority="531">
      <formula>$A6="Overpass"</formula>
    </cfRule>
    <cfRule type="expression" dxfId="7315" priority="532">
      <formula>$A6="Station"</formula>
    </cfRule>
    <cfRule type="expression" dxfId="7314" priority="533">
      <formula>$A6="Overlap between sections"</formula>
    </cfRule>
  </conditionalFormatting>
  <conditionalFormatting sqref="AW6:AW800">
    <cfRule type="expression" dxfId="7313" priority="520">
      <formula>$M6="NON DEFINED"</formula>
    </cfRule>
    <cfRule type="expression" dxfId="7312" priority="521">
      <formula>$AZ6="N.D."</formula>
    </cfRule>
    <cfRule type="expression" dxfId="7311" priority="522">
      <formula>$AY6="N.D."</formula>
    </cfRule>
  </conditionalFormatting>
  <conditionalFormatting sqref="AW6:AW800">
    <cfRule type="expression" dxfId="7310" priority="509">
      <formula>$A6="Overhead Cable"</formula>
    </cfRule>
    <cfRule type="expression" dxfId="7309" priority="510">
      <formula>$A6="Level Crossing"</formula>
    </cfRule>
    <cfRule type="expression" dxfId="7308" priority="511">
      <formula>$A6="Neutral Section"</formula>
    </cfRule>
    <cfRule type="expression" dxfId="7307" priority="512">
      <formula>$A6="Tunnel"</formula>
    </cfRule>
    <cfRule type="expression" dxfId="7306" priority="513">
      <formula>$A6="Bridge"</formula>
    </cfRule>
    <cfRule type="expression" dxfId="7305" priority="514">
      <formula>$A6="Drainage Works"</formula>
    </cfRule>
    <cfRule type="expression" dxfId="7304" priority="515">
      <formula>$A6="Underpass"</formula>
    </cfRule>
    <cfRule type="expression" dxfId="7303" priority="516">
      <formula>$A6="Overcrossing"</formula>
    </cfRule>
    <cfRule type="expression" dxfId="7302" priority="517">
      <formula>$A6="Overpass"</formula>
    </cfRule>
    <cfRule type="expression" dxfId="7301" priority="518">
      <formula>$A6="Station"</formula>
    </cfRule>
    <cfRule type="expression" dxfId="7300" priority="519">
      <formula>$A6="Overlap between sections"</formula>
    </cfRule>
  </conditionalFormatting>
  <conditionalFormatting sqref="AX6:AX800">
    <cfRule type="expression" dxfId="7299" priority="506">
      <formula>$M6="NON DEFINED"</formula>
    </cfRule>
    <cfRule type="expression" dxfId="7298" priority="507">
      <formula>$AZ6="N.D."</formula>
    </cfRule>
    <cfRule type="expression" dxfId="7297" priority="508">
      <formula>$AY6="N.D."</formula>
    </cfRule>
  </conditionalFormatting>
  <conditionalFormatting sqref="AX6:AX800">
    <cfRule type="expression" dxfId="7296" priority="495">
      <formula>$A6="Overhead Cable"</formula>
    </cfRule>
    <cfRule type="expression" dxfId="7295" priority="496">
      <formula>$A6="Level Crossing"</formula>
    </cfRule>
    <cfRule type="expression" dxfId="7294" priority="497">
      <formula>$A6="Neutral Section"</formula>
    </cfRule>
    <cfRule type="expression" dxfId="7293" priority="498">
      <formula>$A6="Tunnel"</formula>
    </cfRule>
    <cfRule type="expression" dxfId="7292" priority="499">
      <formula>$A6="Bridge"</formula>
    </cfRule>
    <cfRule type="expression" dxfId="7291" priority="500">
      <formula>$A6="Drainage Works"</formula>
    </cfRule>
    <cfRule type="expression" dxfId="7290" priority="501">
      <formula>$A6="Underpass"</formula>
    </cfRule>
    <cfRule type="expression" dxfId="7289" priority="502">
      <formula>$A6="Overcrossing"</formula>
    </cfRule>
    <cfRule type="expression" dxfId="7288" priority="503">
      <formula>$A6="Overpass"</formula>
    </cfRule>
    <cfRule type="expression" dxfId="7287" priority="504">
      <formula>$A6="Station"</formula>
    </cfRule>
    <cfRule type="expression" dxfId="7286" priority="505">
      <formula>$A6="Overlap between sections"</formula>
    </cfRule>
  </conditionalFormatting>
  <conditionalFormatting sqref="F6:F800">
    <cfRule type="expression" dxfId="7285" priority="492">
      <formula>$M6="NON DEFINED"</formula>
    </cfRule>
    <cfRule type="expression" dxfId="7284" priority="493">
      <formula>$AZ6="N.D."</formula>
    </cfRule>
    <cfRule type="expression" dxfId="7283" priority="494">
      <formula>$AY6="N.D."</formula>
    </cfRule>
  </conditionalFormatting>
  <conditionalFormatting sqref="F6:F800">
    <cfRule type="expression" dxfId="7282" priority="481">
      <formula>$A6="Overhead Cable"</formula>
    </cfRule>
    <cfRule type="expression" dxfId="7281" priority="482">
      <formula>$A6="Level Crossing"</formula>
    </cfRule>
    <cfRule type="expression" dxfId="7280" priority="483">
      <formula>$A6="Neutral Section"</formula>
    </cfRule>
    <cfRule type="expression" dxfId="7279" priority="484">
      <formula>$A6="Tunnel"</formula>
    </cfRule>
    <cfRule type="expression" dxfId="7278" priority="485">
      <formula>$A6="Bridge"</formula>
    </cfRule>
    <cfRule type="expression" dxfId="7277" priority="486">
      <formula>$A6="Drainage Works"</formula>
    </cfRule>
    <cfRule type="expression" dxfId="7276" priority="487">
      <formula>$A6="Underpass"</formula>
    </cfRule>
    <cfRule type="expression" dxfId="7275" priority="488">
      <formula>$A6="Overcrossing"</formula>
    </cfRule>
    <cfRule type="expression" dxfId="7274" priority="489">
      <formula>$A6="Overpass"</formula>
    </cfRule>
    <cfRule type="expression" dxfId="7273" priority="490">
      <formula>$A6="Station"</formula>
    </cfRule>
    <cfRule type="expression" dxfId="7272" priority="491">
      <formula>$A6="Overlap between sections"</formula>
    </cfRule>
  </conditionalFormatting>
  <conditionalFormatting sqref="Q6:Q800">
    <cfRule type="expression" dxfId="7271" priority="478">
      <formula>$M6="NON DEFINED"</formula>
    </cfRule>
    <cfRule type="expression" dxfId="7270" priority="479">
      <formula>$AZ6="N.D."</formula>
    </cfRule>
    <cfRule type="expression" dxfId="7269" priority="480">
      <formula>$AY6="N.D."</formula>
    </cfRule>
  </conditionalFormatting>
  <conditionalFormatting sqref="Q6:Q800">
    <cfRule type="expression" dxfId="7268" priority="467">
      <formula>$A6="Overhead Cable"</formula>
    </cfRule>
    <cfRule type="expression" dxfId="7267" priority="468">
      <formula>$A6="Level Crossing"</formula>
    </cfRule>
    <cfRule type="expression" dxfId="7266" priority="469">
      <formula>$A6="Neutral Section"</formula>
    </cfRule>
    <cfRule type="expression" dxfId="7265" priority="470">
      <formula>$A6="Tunnel"</formula>
    </cfRule>
    <cfRule type="expression" dxfId="7264" priority="471">
      <formula>$A6="Bridge"</formula>
    </cfRule>
    <cfRule type="expression" dxfId="7263" priority="472">
      <formula>$A6="Drainage Works"</formula>
    </cfRule>
    <cfRule type="expression" dxfId="7262" priority="473">
      <formula>$A6="Underpass"</formula>
    </cfRule>
    <cfRule type="expression" dxfId="7261" priority="474">
      <formula>$A6="Overcrossing"</formula>
    </cfRule>
    <cfRule type="expression" dxfId="7260" priority="475">
      <formula>$A6="Overpass"</formula>
    </cfRule>
    <cfRule type="expression" dxfId="7259" priority="476">
      <formula>$A6="Station"</formula>
    </cfRule>
    <cfRule type="expression" dxfId="7258" priority="477">
      <formula>$A6="Overlap between sections"</formula>
    </cfRule>
  </conditionalFormatting>
  <conditionalFormatting sqref="T6:T41 T43 T45:T800">
    <cfRule type="expression" dxfId="7257" priority="464">
      <formula>$M6="NON DEFINED"</formula>
    </cfRule>
    <cfRule type="expression" dxfId="7256" priority="465">
      <formula>$AZ6="N.D."</formula>
    </cfRule>
    <cfRule type="expression" dxfId="7255" priority="466">
      <formula>$AY6="N.D."</formula>
    </cfRule>
  </conditionalFormatting>
  <conditionalFormatting sqref="T6:T41 T43 T45:T800">
    <cfRule type="expression" dxfId="7254" priority="453">
      <formula>$A6="Overhead Cable"</formula>
    </cfRule>
    <cfRule type="expression" dxfId="7253" priority="454">
      <formula>$A6="Level Crossing"</formula>
    </cfRule>
    <cfRule type="expression" dxfId="7252" priority="455">
      <formula>$A6="Neutral Section"</formula>
    </cfRule>
    <cfRule type="expression" dxfId="7251" priority="456">
      <formula>$A6="Tunnel"</formula>
    </cfRule>
    <cfRule type="expression" dxfId="7250" priority="457">
      <formula>$A6="Bridge"</formula>
    </cfRule>
    <cfRule type="expression" dxfId="7249" priority="458">
      <formula>$A6="Drainage Works"</formula>
    </cfRule>
    <cfRule type="expression" dxfId="7248" priority="459">
      <formula>$A6="Underpass"</formula>
    </cfRule>
    <cfRule type="expression" dxfId="7247" priority="460">
      <formula>$A6="Overcrossing"</formula>
    </cfRule>
    <cfRule type="expression" dxfId="7246" priority="461">
      <formula>$A6="Overpass"</formula>
    </cfRule>
    <cfRule type="expression" dxfId="7245" priority="462">
      <formula>$A6="Station"</formula>
    </cfRule>
    <cfRule type="expression" dxfId="7244" priority="463">
      <formula>$A6="Overlap between sections"</formula>
    </cfRule>
  </conditionalFormatting>
  <conditionalFormatting sqref="U6:U41 U43 U45:U800">
    <cfRule type="expression" dxfId="7243" priority="450">
      <formula>$M6="NON DEFINED"</formula>
    </cfRule>
    <cfRule type="expression" dxfId="7242" priority="451">
      <formula>$AZ6="N.D."</formula>
    </cfRule>
    <cfRule type="expression" dxfId="7241" priority="452">
      <formula>$AY6="N.D."</formula>
    </cfRule>
  </conditionalFormatting>
  <conditionalFormatting sqref="U6:U41 U43 U45:U800">
    <cfRule type="expression" dxfId="7240" priority="439">
      <formula>$A6="Overhead Cable"</formula>
    </cfRule>
    <cfRule type="expression" dxfId="7239" priority="440">
      <formula>$A6="Level Crossing"</formula>
    </cfRule>
    <cfRule type="expression" dxfId="7238" priority="441">
      <formula>$A6="Neutral Section"</formula>
    </cfRule>
    <cfRule type="expression" dxfId="7237" priority="442">
      <formula>$A6="Tunnel"</formula>
    </cfRule>
    <cfRule type="expression" dxfId="7236" priority="443">
      <formula>$A6="Bridge"</formula>
    </cfRule>
    <cfRule type="expression" dxfId="7235" priority="444">
      <formula>$A6="Drainage Works"</formula>
    </cfRule>
    <cfRule type="expression" dxfId="7234" priority="445">
      <formula>$A6="Underpass"</formula>
    </cfRule>
    <cfRule type="expression" dxfId="7233" priority="446">
      <formula>$A6="Overcrossing"</formula>
    </cfRule>
    <cfRule type="expression" dxfId="7232" priority="447">
      <formula>$A6="Overpass"</formula>
    </cfRule>
    <cfRule type="expression" dxfId="7231" priority="448">
      <formula>$A6="Station"</formula>
    </cfRule>
    <cfRule type="expression" dxfId="7230" priority="449">
      <formula>$A6="Overlap between sections"</formula>
    </cfRule>
  </conditionalFormatting>
  <conditionalFormatting sqref="V6:V800">
    <cfRule type="expression" dxfId="7229" priority="436">
      <formula>$M6="NON DEFINED"</formula>
    </cfRule>
    <cfRule type="expression" dxfId="7228" priority="437">
      <formula>$AZ6="N.D."</formula>
    </cfRule>
    <cfRule type="expression" dxfId="7227" priority="438">
      <formula>$AY6="N.D."</formula>
    </cfRule>
  </conditionalFormatting>
  <conditionalFormatting sqref="V6:V800">
    <cfRule type="expression" dxfId="7226" priority="425">
      <formula>$A6="Overhead Cable"</formula>
    </cfRule>
    <cfRule type="expression" dxfId="7225" priority="426">
      <formula>$A6="Level Crossing"</formula>
    </cfRule>
    <cfRule type="expression" dxfId="7224" priority="427">
      <formula>$A6="Neutral Section"</formula>
    </cfRule>
    <cfRule type="expression" dxfId="7223" priority="428">
      <formula>$A6="Tunnel"</formula>
    </cfRule>
    <cfRule type="expression" dxfId="7222" priority="429">
      <formula>$A6="Bridge"</formula>
    </cfRule>
    <cfRule type="expression" dxfId="7221" priority="430">
      <formula>$A6="Drainage Works"</formula>
    </cfRule>
    <cfRule type="expression" dxfId="7220" priority="431">
      <formula>$A6="Underpass"</formula>
    </cfRule>
    <cfRule type="expression" dxfId="7219" priority="432">
      <formula>$A6="Overcrossing"</formula>
    </cfRule>
    <cfRule type="expression" dxfId="7218" priority="433">
      <formula>$A6="Overpass"</formula>
    </cfRule>
    <cfRule type="expression" dxfId="7217" priority="434">
      <formula>$A6="Station"</formula>
    </cfRule>
    <cfRule type="expression" dxfId="7216" priority="435">
      <formula>$A6="Overlap between sections"</formula>
    </cfRule>
  </conditionalFormatting>
  <conditionalFormatting sqref="AF6:AF800">
    <cfRule type="expression" dxfId="7215" priority="422">
      <formula>$M6="NON DEFINED"</formula>
    </cfRule>
    <cfRule type="expression" dxfId="7214" priority="423">
      <formula>$AZ6="N.D."</formula>
    </cfRule>
    <cfRule type="expression" dxfId="7213" priority="424">
      <formula>$AY6="N.D."</formula>
    </cfRule>
  </conditionalFormatting>
  <conditionalFormatting sqref="AF6:AF800">
    <cfRule type="expression" dxfId="7212" priority="411">
      <formula>$A6="Overhead Cable"</formula>
    </cfRule>
    <cfRule type="expression" dxfId="7211" priority="412">
      <formula>$A6="Level Crossing"</formula>
    </cfRule>
    <cfRule type="expression" dxfId="7210" priority="413">
      <formula>$A6="Neutral Section"</formula>
    </cfRule>
    <cfRule type="expression" dxfId="7209" priority="414">
      <formula>$A6="Tunnel"</formula>
    </cfRule>
    <cfRule type="expression" dxfId="7208" priority="415">
      <formula>$A6="Bridge"</formula>
    </cfRule>
    <cfRule type="expression" dxfId="7207" priority="416">
      <formula>$A6="Drainage Works"</formula>
    </cfRule>
    <cfRule type="expression" dxfId="7206" priority="417">
      <formula>$A6="Underpass"</formula>
    </cfRule>
    <cfRule type="expression" dxfId="7205" priority="418">
      <formula>$A6="Overcrossing"</formula>
    </cfRule>
    <cfRule type="expression" dxfId="7204" priority="419">
      <formula>$A6="Overpass"</formula>
    </cfRule>
    <cfRule type="expression" dxfId="7203" priority="420">
      <formula>$A6="Station"</formula>
    </cfRule>
    <cfRule type="expression" dxfId="7202" priority="421">
      <formula>$A6="Overlap between sections"</formula>
    </cfRule>
  </conditionalFormatting>
  <conditionalFormatting sqref="AH6:AH800">
    <cfRule type="expression" dxfId="7201" priority="408">
      <formula>$M6="NON DEFINED"</formula>
    </cfRule>
    <cfRule type="expression" dxfId="7200" priority="409">
      <formula>$AZ6="N.D."</formula>
    </cfRule>
    <cfRule type="expression" dxfId="7199" priority="410">
      <formula>$AY6="N.D."</formula>
    </cfRule>
  </conditionalFormatting>
  <conditionalFormatting sqref="AH6:AH800">
    <cfRule type="expression" dxfId="7198" priority="397">
      <formula>$A6="Overhead Cable"</formula>
    </cfRule>
    <cfRule type="expression" dxfId="7197" priority="398">
      <formula>$A6="Level Crossing"</formula>
    </cfRule>
    <cfRule type="expression" dxfId="7196" priority="399">
      <formula>$A6="Neutral Section"</formula>
    </cfRule>
    <cfRule type="expression" dxfId="7195" priority="400">
      <formula>$A6="Tunnel"</formula>
    </cfRule>
    <cfRule type="expression" dxfId="7194" priority="401">
      <formula>$A6="Bridge"</formula>
    </cfRule>
    <cfRule type="expression" dxfId="7193" priority="402">
      <formula>$A6="Drainage Works"</formula>
    </cfRule>
    <cfRule type="expression" dxfId="7192" priority="403">
      <formula>$A6="Underpass"</formula>
    </cfRule>
    <cfRule type="expression" dxfId="7191" priority="404">
      <formula>$A6="Overcrossing"</formula>
    </cfRule>
    <cfRule type="expression" dxfId="7190" priority="405">
      <formula>$A6="Overpass"</formula>
    </cfRule>
    <cfRule type="expression" dxfId="7189" priority="406">
      <formula>$A6="Station"</formula>
    </cfRule>
    <cfRule type="expression" dxfId="7188" priority="407">
      <formula>$A6="Overlap between sections"</formula>
    </cfRule>
  </conditionalFormatting>
  <conditionalFormatting sqref="AI6:AI800">
    <cfRule type="expression" dxfId="7187" priority="394">
      <formula>$M6="NON DEFINED"</formula>
    </cfRule>
    <cfRule type="expression" dxfId="7186" priority="395">
      <formula>$AZ6="N.D."</formula>
    </cfRule>
    <cfRule type="expression" dxfId="7185" priority="396">
      <formula>$AY6="N.D."</formula>
    </cfRule>
  </conditionalFormatting>
  <conditionalFormatting sqref="AI6:AI800">
    <cfRule type="expression" dxfId="7184" priority="383">
      <formula>$A6="Overhead Cable"</formula>
    </cfRule>
    <cfRule type="expression" dxfId="7183" priority="384">
      <formula>$A6="Level Crossing"</formula>
    </cfRule>
    <cfRule type="expression" dxfId="7182" priority="385">
      <formula>$A6="Neutral Section"</formula>
    </cfRule>
    <cfRule type="expression" dxfId="7181" priority="386">
      <formula>$A6="Tunnel"</formula>
    </cfRule>
    <cfRule type="expression" dxfId="7180" priority="387">
      <formula>$A6="Bridge"</formula>
    </cfRule>
    <cfRule type="expression" dxfId="7179" priority="388">
      <formula>$A6="Drainage Works"</formula>
    </cfRule>
    <cfRule type="expression" dxfId="7178" priority="389">
      <formula>$A6="Underpass"</formula>
    </cfRule>
    <cfRule type="expression" dxfId="7177" priority="390">
      <formula>$A6="Overcrossing"</formula>
    </cfRule>
    <cfRule type="expression" dxfId="7176" priority="391">
      <formula>$A6="Overpass"</formula>
    </cfRule>
    <cfRule type="expression" dxfId="7175" priority="392">
      <formula>$A6="Station"</formula>
    </cfRule>
    <cfRule type="expression" dxfId="7174" priority="393">
      <formula>$A6="Overlap between sections"</formula>
    </cfRule>
  </conditionalFormatting>
  <conditionalFormatting sqref="R6:R800">
    <cfRule type="expression" dxfId="7173" priority="380">
      <formula>$M6="NON DEFINED"</formula>
    </cfRule>
    <cfRule type="expression" dxfId="7172" priority="381">
      <formula>$AZ6="N.D."</formula>
    </cfRule>
    <cfRule type="expression" dxfId="7171" priority="382">
      <formula>$AY6="N.D."</formula>
    </cfRule>
  </conditionalFormatting>
  <conditionalFormatting sqref="R6:R800">
    <cfRule type="expression" dxfId="7170" priority="369">
      <formula>$A6="Overhead Cable"</formula>
    </cfRule>
    <cfRule type="expression" dxfId="7169" priority="370">
      <formula>$A6="Level Crossing"</formula>
    </cfRule>
    <cfRule type="expression" dxfId="7168" priority="371">
      <formula>$A6="Neutral Section"</formula>
    </cfRule>
    <cfRule type="expression" dxfId="7167" priority="372">
      <formula>$A6="Tunnel"</formula>
    </cfRule>
    <cfRule type="expression" dxfId="7166" priority="373">
      <formula>$A6="Bridge"</formula>
    </cfRule>
    <cfRule type="expression" dxfId="7165" priority="374">
      <formula>$A6="Drainage Works"</formula>
    </cfRule>
    <cfRule type="expression" dxfId="7164" priority="375">
      <formula>$A6="Underpass"</formula>
    </cfRule>
    <cfRule type="expression" dxfId="7163" priority="376">
      <formula>$A6="Overcrossing"</formula>
    </cfRule>
    <cfRule type="expression" dxfId="7162" priority="377">
      <formula>$A6="Overpass"</formula>
    </cfRule>
    <cfRule type="expression" dxfId="7161" priority="378">
      <formula>$A6="Station"</formula>
    </cfRule>
    <cfRule type="expression" dxfId="7160" priority="379">
      <formula>$A6="Overlap between sections"</formula>
    </cfRule>
  </conditionalFormatting>
  <conditionalFormatting sqref="S6:S800">
    <cfRule type="expression" dxfId="7159" priority="366">
      <formula>$M6="NON DEFINED"</formula>
    </cfRule>
    <cfRule type="expression" dxfId="7158" priority="367">
      <formula>$AZ6="N.D."</formula>
    </cfRule>
    <cfRule type="expression" dxfId="7157" priority="368">
      <formula>$AY6="N.D."</formula>
    </cfRule>
  </conditionalFormatting>
  <conditionalFormatting sqref="S6:S800">
    <cfRule type="expression" dxfId="7156" priority="355">
      <formula>$A6="Overhead Cable"</formula>
    </cfRule>
    <cfRule type="expression" dxfId="7155" priority="356">
      <formula>$A6="Level Crossing"</formula>
    </cfRule>
    <cfRule type="expression" dxfId="7154" priority="357">
      <formula>$A6="Neutral Section"</formula>
    </cfRule>
    <cfRule type="expression" dxfId="7153" priority="358">
      <formula>$A6="Tunnel"</formula>
    </cfRule>
    <cfRule type="expression" dxfId="7152" priority="359">
      <formula>$A6="Bridge"</formula>
    </cfRule>
    <cfRule type="expression" dxfId="7151" priority="360">
      <formula>$A6="Drainage Works"</formula>
    </cfRule>
    <cfRule type="expression" dxfId="7150" priority="361">
      <formula>$A6="Underpass"</formula>
    </cfRule>
    <cfRule type="expression" dxfId="7149" priority="362">
      <formula>$A6="Overcrossing"</formula>
    </cfRule>
    <cfRule type="expression" dxfId="7148" priority="363">
      <formula>$A6="Overpass"</formula>
    </cfRule>
    <cfRule type="expression" dxfId="7147" priority="364">
      <formula>$A6="Station"</formula>
    </cfRule>
    <cfRule type="expression" dxfId="7146" priority="365">
      <formula>$A6="Overlap between sections"</formula>
    </cfRule>
  </conditionalFormatting>
  <conditionalFormatting sqref="W6:W41 W43 W45 W47:W800">
    <cfRule type="expression" dxfId="7145" priority="352">
      <formula>$M6="NON DEFINED"</formula>
    </cfRule>
    <cfRule type="expression" dxfId="7144" priority="353">
      <formula>$AZ6="N.D."</formula>
    </cfRule>
    <cfRule type="expression" dxfId="7143" priority="354">
      <formula>$AY6="N.D."</formula>
    </cfRule>
  </conditionalFormatting>
  <conditionalFormatting sqref="W6:W41 W43 W45 W47:W800">
    <cfRule type="expression" dxfId="7142" priority="341">
      <formula>$A6="Overhead Cable"</formula>
    </cfRule>
    <cfRule type="expression" dxfId="7141" priority="342">
      <formula>$A6="Level Crossing"</formula>
    </cfRule>
    <cfRule type="expression" dxfId="7140" priority="343">
      <formula>$A6="Neutral Section"</formula>
    </cfRule>
    <cfRule type="expression" dxfId="7139" priority="344">
      <formula>$A6="Tunnel"</formula>
    </cfRule>
    <cfRule type="expression" dxfId="7138" priority="345">
      <formula>$A6="Bridge"</formula>
    </cfRule>
    <cfRule type="expression" dxfId="7137" priority="346">
      <formula>$A6="Drainage Works"</formula>
    </cfRule>
    <cfRule type="expression" dxfId="7136" priority="347">
      <formula>$A6="Underpass"</formula>
    </cfRule>
    <cfRule type="expression" dxfId="7135" priority="348">
      <formula>$A6="Overcrossing"</formula>
    </cfRule>
    <cfRule type="expression" dxfId="7134" priority="349">
      <formula>$A6="Overpass"</formula>
    </cfRule>
    <cfRule type="expression" dxfId="7133" priority="350">
      <formula>$A6="Station"</formula>
    </cfRule>
    <cfRule type="expression" dxfId="7132" priority="351">
      <formula>$A6="Overlap between sections"</formula>
    </cfRule>
  </conditionalFormatting>
  <conditionalFormatting sqref="X6:X41 X43 X45 X47:X800">
    <cfRule type="expression" dxfId="7131" priority="338">
      <formula>$M6="NON DEFINED"</formula>
    </cfRule>
    <cfRule type="expression" dxfId="7130" priority="339">
      <formula>$AZ6="N.D."</formula>
    </cfRule>
    <cfRule type="expression" dxfId="7129" priority="340">
      <formula>$AY6="N.D."</formula>
    </cfRule>
  </conditionalFormatting>
  <conditionalFormatting sqref="X6:X41 X43 X45 X47:X800">
    <cfRule type="expression" dxfId="7128" priority="327">
      <formula>$A6="Overhead Cable"</formula>
    </cfRule>
    <cfRule type="expression" dxfId="7127" priority="328">
      <formula>$A6="Level Crossing"</formula>
    </cfRule>
    <cfRule type="expression" dxfId="7126" priority="329">
      <formula>$A6="Neutral Section"</formula>
    </cfRule>
    <cfRule type="expression" dxfId="7125" priority="330">
      <formula>$A6="Tunnel"</formula>
    </cfRule>
    <cfRule type="expression" dxfId="7124" priority="331">
      <formula>$A6="Bridge"</formula>
    </cfRule>
    <cfRule type="expression" dxfId="7123" priority="332">
      <formula>$A6="Drainage Works"</formula>
    </cfRule>
    <cfRule type="expression" dxfId="7122" priority="333">
      <formula>$A6="Underpass"</formula>
    </cfRule>
    <cfRule type="expression" dxfId="7121" priority="334">
      <formula>$A6="Overcrossing"</formula>
    </cfRule>
    <cfRule type="expression" dxfId="7120" priority="335">
      <formula>$A6="Overpass"</formula>
    </cfRule>
    <cfRule type="expression" dxfId="7119" priority="336">
      <formula>$A6="Station"</formula>
    </cfRule>
    <cfRule type="expression" dxfId="7118" priority="337">
      <formula>$A6="Overlap between sections"</formula>
    </cfRule>
  </conditionalFormatting>
  <conditionalFormatting sqref="Y6:Y800">
    <cfRule type="expression" dxfId="7117" priority="324">
      <formula>$M6="NON DEFINED"</formula>
    </cfRule>
    <cfRule type="expression" dxfId="7116" priority="325">
      <formula>$AZ6="N.D."</formula>
    </cfRule>
    <cfRule type="expression" dxfId="7115" priority="326">
      <formula>$AY6="N.D."</formula>
    </cfRule>
  </conditionalFormatting>
  <conditionalFormatting sqref="Y6:Y800">
    <cfRule type="expression" dxfId="7114" priority="313">
      <formula>$A6="Overhead Cable"</formula>
    </cfRule>
    <cfRule type="expression" dxfId="7113" priority="314">
      <formula>$A6="Level Crossing"</formula>
    </cfRule>
    <cfRule type="expression" dxfId="7112" priority="315">
      <formula>$A6="Neutral Section"</formula>
    </cfRule>
    <cfRule type="expression" dxfId="7111" priority="316">
      <formula>$A6="Tunnel"</formula>
    </cfRule>
    <cfRule type="expression" dxfId="7110" priority="317">
      <formula>$A6="Bridge"</formula>
    </cfRule>
    <cfRule type="expression" dxfId="7109" priority="318">
      <formula>$A6="Drainage Works"</formula>
    </cfRule>
    <cfRule type="expression" dxfId="7108" priority="319">
      <formula>$A6="Underpass"</formula>
    </cfRule>
    <cfRule type="expression" dxfId="7107" priority="320">
      <formula>$A6="Overcrossing"</formula>
    </cfRule>
    <cfRule type="expression" dxfId="7106" priority="321">
      <formula>$A6="Overpass"</formula>
    </cfRule>
    <cfRule type="expression" dxfId="7105" priority="322">
      <formula>$A6="Station"</formula>
    </cfRule>
    <cfRule type="expression" dxfId="7104" priority="323">
      <formula>$A6="Overlap between sections"</formula>
    </cfRule>
  </conditionalFormatting>
  <conditionalFormatting sqref="Z6:Z800">
    <cfRule type="expression" dxfId="7103" priority="310">
      <formula>$M6="NON DEFINED"</formula>
    </cfRule>
    <cfRule type="expression" dxfId="7102" priority="311">
      <formula>$AZ6="N.D."</formula>
    </cfRule>
    <cfRule type="expression" dxfId="7101" priority="312">
      <formula>$AY6="N.D."</formula>
    </cfRule>
  </conditionalFormatting>
  <conditionalFormatting sqref="Z6:Z800">
    <cfRule type="expression" dxfId="7100" priority="299">
      <formula>$A6="Overhead Cable"</formula>
    </cfRule>
    <cfRule type="expression" dxfId="7099" priority="300">
      <formula>$A6="Level Crossing"</formula>
    </cfRule>
    <cfRule type="expression" dxfId="7098" priority="301">
      <formula>$A6="Neutral Section"</formula>
    </cfRule>
    <cfRule type="expression" dxfId="7097" priority="302">
      <formula>$A6="Tunnel"</formula>
    </cfRule>
    <cfRule type="expression" dxfId="7096" priority="303">
      <formula>$A6="Bridge"</formula>
    </cfRule>
    <cfRule type="expression" dxfId="7095" priority="304">
      <formula>$A6="Drainage Works"</formula>
    </cfRule>
    <cfRule type="expression" dxfId="7094" priority="305">
      <formula>$A6="Underpass"</formula>
    </cfRule>
    <cfRule type="expression" dxfId="7093" priority="306">
      <formula>$A6="Overcrossing"</formula>
    </cfRule>
    <cfRule type="expression" dxfId="7092" priority="307">
      <formula>$A6="Overpass"</formula>
    </cfRule>
    <cfRule type="expression" dxfId="7091" priority="308">
      <formula>$A6="Station"</formula>
    </cfRule>
    <cfRule type="expression" dxfId="7090" priority="309">
      <formula>$A6="Overlap between sections"</formula>
    </cfRule>
  </conditionalFormatting>
  <conditionalFormatting sqref="AA6:AA800">
    <cfRule type="expression" dxfId="7089" priority="296">
      <formula>$M6="NON DEFINED"</formula>
    </cfRule>
    <cfRule type="expression" dxfId="7088" priority="297">
      <formula>$AZ6="N.D."</formula>
    </cfRule>
    <cfRule type="expression" dxfId="7087" priority="298">
      <formula>$AY6="N.D."</formula>
    </cfRule>
  </conditionalFormatting>
  <conditionalFormatting sqref="AA6:AA800">
    <cfRule type="expression" dxfId="7086" priority="285">
      <formula>$A6="Overhead Cable"</formula>
    </cfRule>
    <cfRule type="expression" dxfId="7085" priority="286">
      <formula>$A6="Level Crossing"</formula>
    </cfRule>
    <cfRule type="expression" dxfId="7084" priority="287">
      <formula>$A6="Neutral Section"</formula>
    </cfRule>
    <cfRule type="expression" dxfId="7083" priority="288">
      <formula>$A6="Tunnel"</formula>
    </cfRule>
    <cfRule type="expression" dxfId="7082" priority="289">
      <formula>$A6="Bridge"</formula>
    </cfRule>
    <cfRule type="expression" dxfId="7081" priority="290">
      <formula>$A6="Drainage Works"</formula>
    </cfRule>
    <cfRule type="expression" dxfId="7080" priority="291">
      <formula>$A6="Underpass"</formula>
    </cfRule>
    <cfRule type="expression" dxfId="7079" priority="292">
      <formula>$A6="Overcrossing"</formula>
    </cfRule>
    <cfRule type="expression" dxfId="7078" priority="293">
      <formula>$A6="Overpass"</formula>
    </cfRule>
    <cfRule type="expression" dxfId="7077" priority="294">
      <formula>$A6="Station"</formula>
    </cfRule>
    <cfRule type="expression" dxfId="7076" priority="295">
      <formula>$A6="Overlap between sections"</formula>
    </cfRule>
  </conditionalFormatting>
  <conditionalFormatting sqref="AB6:AB800">
    <cfRule type="expression" dxfId="7075" priority="282">
      <formula>$M6="NON DEFINED"</formula>
    </cfRule>
    <cfRule type="expression" dxfId="7074" priority="283">
      <formula>$AZ6="N.D."</formula>
    </cfRule>
    <cfRule type="expression" dxfId="7073" priority="284">
      <formula>$AY6="N.D."</formula>
    </cfRule>
  </conditionalFormatting>
  <conditionalFormatting sqref="AB6:AB800">
    <cfRule type="expression" dxfId="7072" priority="271">
      <formula>$A6="Overhead Cable"</formula>
    </cfRule>
    <cfRule type="expression" dxfId="7071" priority="272">
      <formula>$A6="Level Crossing"</formula>
    </cfRule>
    <cfRule type="expression" dxfId="7070" priority="273">
      <formula>$A6="Neutral Section"</formula>
    </cfRule>
    <cfRule type="expression" dxfId="7069" priority="274">
      <formula>$A6="Tunnel"</formula>
    </cfRule>
    <cfRule type="expression" dxfId="7068" priority="275">
      <formula>$A6="Bridge"</formula>
    </cfRule>
    <cfRule type="expression" dxfId="7067" priority="276">
      <formula>$A6="Drainage Works"</formula>
    </cfRule>
    <cfRule type="expression" dxfId="7066" priority="277">
      <formula>$A6="Underpass"</formula>
    </cfRule>
    <cfRule type="expression" dxfId="7065" priority="278">
      <formula>$A6="Overcrossing"</formula>
    </cfRule>
    <cfRule type="expression" dxfId="7064" priority="279">
      <formula>$A6="Overpass"</formula>
    </cfRule>
    <cfRule type="expression" dxfId="7063" priority="280">
      <formula>$A6="Station"</formula>
    </cfRule>
    <cfRule type="expression" dxfId="7062" priority="281">
      <formula>$A6="Overlap between sections"</formula>
    </cfRule>
  </conditionalFormatting>
  <conditionalFormatting sqref="BD64:BD800">
    <cfRule type="containsText" dxfId="7061" priority="258" operator="containsText" text="Poner a mano">
      <formula>NOT(ISERROR(SEARCH("Poner a mano",BD64)))</formula>
    </cfRule>
  </conditionalFormatting>
  <conditionalFormatting sqref="BD64:BD800">
    <cfRule type="expression" dxfId="7060" priority="247">
      <formula>$A64="Overhead Cable"</formula>
    </cfRule>
    <cfRule type="expression" dxfId="7059" priority="248">
      <formula>$A64="Level Crossing"</formula>
    </cfRule>
    <cfRule type="expression" dxfId="7058" priority="249">
      <formula>$A64="Neutral Section"</formula>
    </cfRule>
    <cfRule type="expression" dxfId="7057" priority="250">
      <formula>$A64="Tunnel"</formula>
    </cfRule>
    <cfRule type="expression" dxfId="7056" priority="251">
      <formula>$A64="Bridge"</formula>
    </cfRule>
    <cfRule type="expression" dxfId="7055" priority="252">
      <formula>$A64="Drainage Works"</formula>
    </cfRule>
    <cfRule type="expression" dxfId="7054" priority="253">
      <formula>$A64="Underpass"</formula>
    </cfRule>
    <cfRule type="expression" dxfId="7053" priority="254">
      <formula>$A64="Overcrossing"</formula>
    </cfRule>
    <cfRule type="expression" dxfId="7052" priority="255">
      <formula>$A64="Overpass"</formula>
    </cfRule>
    <cfRule type="expression" dxfId="7051" priority="256">
      <formula>$A64="Station"</formula>
    </cfRule>
    <cfRule type="expression" dxfId="7050" priority="257">
      <formula>$A64="Overlap between sections"</formula>
    </cfRule>
  </conditionalFormatting>
  <conditionalFormatting sqref="BE5:BE800">
    <cfRule type="containsText" dxfId="7049" priority="245" operator="containsText" text="a">
      <formula>NOT(ISERROR(SEARCH("a",BE5)))</formula>
    </cfRule>
    <cfRule type="containsText" dxfId="7048" priority="246" operator="containsText" text="R">
      <formula>NOT(ISERROR(SEARCH("R",BE5)))</formula>
    </cfRule>
  </conditionalFormatting>
  <conditionalFormatting sqref="I5">
    <cfRule type="expression" dxfId="7047" priority="242">
      <formula>$M5="NON DEFINED"</formula>
    </cfRule>
    <cfRule type="expression" dxfId="7046" priority="243">
      <formula>$AZ5="N.D."</formula>
    </cfRule>
    <cfRule type="expression" dxfId="7045" priority="244">
      <formula>$AY5="N.D."</formula>
    </cfRule>
  </conditionalFormatting>
  <conditionalFormatting sqref="I5">
    <cfRule type="expression" dxfId="7044" priority="231">
      <formula>$A5="Overhead Cable"</formula>
    </cfRule>
    <cfRule type="expression" dxfId="7043" priority="232">
      <formula>$A5="Level Crossing"</formula>
    </cfRule>
    <cfRule type="expression" dxfId="7042" priority="233">
      <formula>$A5="Neutral Section"</formula>
    </cfRule>
    <cfRule type="expression" dxfId="7041" priority="234">
      <formula>$A5="Tunnel"</formula>
    </cfRule>
    <cfRule type="expression" dxfId="7040" priority="235">
      <formula>$A5="Bridge"</formula>
    </cfRule>
    <cfRule type="expression" dxfId="7039" priority="236">
      <formula>$A5="Drainage Works"</formula>
    </cfRule>
    <cfRule type="expression" dxfId="7038" priority="237">
      <formula>$A5="Underpass"</formula>
    </cfRule>
    <cfRule type="expression" dxfId="7037" priority="238">
      <formula>$A5="Overcrossing"</formula>
    </cfRule>
    <cfRule type="expression" dxfId="7036" priority="239">
      <formula>$A5="Overpass"</formula>
    </cfRule>
    <cfRule type="expression" dxfId="7035" priority="240">
      <formula>$A5="Station"</formula>
    </cfRule>
    <cfRule type="expression" dxfId="7034" priority="241">
      <formula>$A5="Overlap between sections"</formula>
    </cfRule>
  </conditionalFormatting>
  <conditionalFormatting sqref="I20">
    <cfRule type="expression" dxfId="7033" priority="228">
      <formula>$M20="NON DEFINED"</formula>
    </cfRule>
    <cfRule type="expression" dxfId="7032" priority="229">
      <formula>$AZ20="N.D."</formula>
    </cfRule>
    <cfRule type="expression" dxfId="7031" priority="230">
      <formula>$AY20="N.D."</formula>
    </cfRule>
  </conditionalFormatting>
  <conditionalFormatting sqref="I20">
    <cfRule type="expression" dxfId="7030" priority="217">
      <formula>$A20="Overhead Cable"</formula>
    </cfRule>
    <cfRule type="expression" dxfId="7029" priority="218">
      <formula>$A20="Level Crossing"</formula>
    </cfRule>
    <cfRule type="expression" dxfId="7028" priority="219">
      <formula>$A20="Neutral Section"</formula>
    </cfRule>
    <cfRule type="expression" dxfId="7027" priority="220">
      <formula>$A20="Tunnel"</formula>
    </cfRule>
    <cfRule type="expression" dxfId="7026" priority="221">
      <formula>$A20="Bridge"</formula>
    </cfRule>
    <cfRule type="expression" dxfId="7025" priority="222">
      <formula>$A20="Drainage Works"</formula>
    </cfRule>
    <cfRule type="expression" dxfId="7024" priority="223">
      <formula>$A20="Underpass"</formula>
    </cfRule>
    <cfRule type="expression" dxfId="7023" priority="224">
      <formula>$A20="Overcrossing"</formula>
    </cfRule>
    <cfRule type="expression" dxfId="7022" priority="225">
      <formula>$A20="Overpass"</formula>
    </cfRule>
    <cfRule type="expression" dxfId="7021" priority="226">
      <formula>$A20="Station"</formula>
    </cfRule>
    <cfRule type="expression" dxfId="7020" priority="227">
      <formula>$A20="Overlap between sections"</formula>
    </cfRule>
  </conditionalFormatting>
  <conditionalFormatting sqref="BA5:BC63">
    <cfRule type="expression" dxfId="7019" priority="215">
      <formula>$BE5="A"</formula>
    </cfRule>
    <cfRule type="expression" dxfId="7018" priority="216">
      <formula>$BE5="R"</formula>
    </cfRule>
  </conditionalFormatting>
  <conditionalFormatting sqref="BD5:BD63">
    <cfRule type="containsText" dxfId="7017" priority="214" operator="containsText" text="Poner a mano">
      <formula>NOT(ISERROR(SEARCH("Poner a mano",BD5)))</formula>
    </cfRule>
  </conditionalFormatting>
  <conditionalFormatting sqref="BC5:BC63">
    <cfRule type="expression" dxfId="7016" priority="213">
      <formula>$M5="U.S. N.D."</formula>
    </cfRule>
  </conditionalFormatting>
  <conditionalFormatting sqref="BB5:BB63">
    <cfRule type="expression" dxfId="7015" priority="211">
      <formula>$AZ5="N.D."</formula>
    </cfRule>
  </conditionalFormatting>
  <conditionalFormatting sqref="BA5:BA63">
    <cfRule type="expression" dxfId="7014" priority="212">
      <formula>$AY5="N.D."</formula>
    </cfRule>
  </conditionalFormatting>
  <conditionalFormatting sqref="T42">
    <cfRule type="expression" dxfId="7013" priority="208">
      <formula>$M42="NON DEFINED"</formula>
    </cfRule>
    <cfRule type="expression" dxfId="7012" priority="209">
      <formula>$AZ42="N.D."</formula>
    </cfRule>
    <cfRule type="expression" dxfId="7011" priority="210">
      <formula>$AY42="N.D."</formula>
    </cfRule>
  </conditionalFormatting>
  <conditionalFormatting sqref="T42">
    <cfRule type="expression" dxfId="7010" priority="197">
      <formula>$A42="Overhead Cable"</formula>
    </cfRule>
    <cfRule type="expression" dxfId="7009" priority="198">
      <formula>$A42="Level Crossing"</formula>
    </cfRule>
    <cfRule type="expression" dxfId="7008" priority="199">
      <formula>$A42="Neutral Section"</formula>
    </cfRule>
    <cfRule type="expression" dxfId="7007" priority="200">
      <formula>$A42="Tunnel"</formula>
    </cfRule>
    <cfRule type="expression" dxfId="7006" priority="201">
      <formula>$A42="Bridge"</formula>
    </cfRule>
    <cfRule type="expression" dxfId="7005" priority="202">
      <formula>$A42="Drainage Works"</formula>
    </cfRule>
    <cfRule type="expression" dxfId="7004" priority="203">
      <formula>$A42="Underpass"</formula>
    </cfRule>
    <cfRule type="expression" dxfId="7003" priority="204">
      <formula>$A42="Overcrossing"</formula>
    </cfRule>
    <cfRule type="expression" dxfId="7002" priority="205">
      <formula>$A42="Overpass"</formula>
    </cfRule>
    <cfRule type="expression" dxfId="7001" priority="206">
      <formula>$A42="Station"</formula>
    </cfRule>
    <cfRule type="expression" dxfId="7000" priority="207">
      <formula>$A42="Overlap between sections"</formula>
    </cfRule>
  </conditionalFormatting>
  <conditionalFormatting sqref="U42">
    <cfRule type="expression" dxfId="6999" priority="194">
      <formula>$M42="NON DEFINED"</formula>
    </cfRule>
    <cfRule type="expression" dxfId="6998" priority="195">
      <formula>$AZ42="N.D."</formula>
    </cfRule>
    <cfRule type="expression" dxfId="6997" priority="196">
      <formula>$AY42="N.D."</formula>
    </cfRule>
  </conditionalFormatting>
  <conditionalFormatting sqref="U42">
    <cfRule type="expression" dxfId="6996" priority="183">
      <formula>$A42="Overhead Cable"</formula>
    </cfRule>
    <cfRule type="expression" dxfId="6995" priority="184">
      <formula>$A42="Level Crossing"</formula>
    </cfRule>
    <cfRule type="expression" dxfId="6994" priority="185">
      <formula>$A42="Neutral Section"</formula>
    </cfRule>
    <cfRule type="expression" dxfId="6993" priority="186">
      <formula>$A42="Tunnel"</formula>
    </cfRule>
    <cfRule type="expression" dxfId="6992" priority="187">
      <formula>$A42="Bridge"</formula>
    </cfRule>
    <cfRule type="expression" dxfId="6991" priority="188">
      <formula>$A42="Drainage Works"</formula>
    </cfRule>
    <cfRule type="expression" dxfId="6990" priority="189">
      <formula>$A42="Underpass"</formula>
    </cfRule>
    <cfRule type="expression" dxfId="6989" priority="190">
      <formula>$A42="Overcrossing"</formula>
    </cfRule>
    <cfRule type="expression" dxfId="6988" priority="191">
      <formula>$A42="Overpass"</formula>
    </cfRule>
    <cfRule type="expression" dxfId="6987" priority="192">
      <formula>$A42="Station"</formula>
    </cfRule>
    <cfRule type="expression" dxfId="6986" priority="193">
      <formula>$A42="Overlap between sections"</formula>
    </cfRule>
  </conditionalFormatting>
  <conditionalFormatting sqref="T44">
    <cfRule type="expression" dxfId="6985" priority="180">
      <formula>$M44="NON DEFINED"</formula>
    </cfRule>
    <cfRule type="expression" dxfId="6984" priority="181">
      <formula>$AZ44="N.D."</formula>
    </cfRule>
    <cfRule type="expression" dxfId="6983" priority="182">
      <formula>$AY44="N.D."</formula>
    </cfRule>
  </conditionalFormatting>
  <conditionalFormatting sqref="T44">
    <cfRule type="expression" dxfId="6982" priority="169">
      <formula>$A44="Overhead Cable"</formula>
    </cfRule>
    <cfRule type="expression" dxfId="6981" priority="170">
      <formula>$A44="Level Crossing"</formula>
    </cfRule>
    <cfRule type="expression" dxfId="6980" priority="171">
      <formula>$A44="Neutral Section"</formula>
    </cfRule>
    <cfRule type="expression" dxfId="6979" priority="172">
      <formula>$A44="Tunnel"</formula>
    </cfRule>
    <cfRule type="expression" dxfId="6978" priority="173">
      <formula>$A44="Bridge"</formula>
    </cfRule>
    <cfRule type="expression" dxfId="6977" priority="174">
      <formula>$A44="Drainage Works"</formula>
    </cfRule>
    <cfRule type="expression" dxfId="6976" priority="175">
      <formula>$A44="Underpass"</formula>
    </cfRule>
    <cfRule type="expression" dxfId="6975" priority="176">
      <formula>$A44="Overcrossing"</formula>
    </cfRule>
    <cfRule type="expression" dxfId="6974" priority="177">
      <formula>$A44="Overpass"</formula>
    </cfRule>
    <cfRule type="expression" dxfId="6973" priority="178">
      <formula>$A44="Station"</formula>
    </cfRule>
    <cfRule type="expression" dxfId="6972" priority="179">
      <formula>$A44="Overlap between sections"</formula>
    </cfRule>
  </conditionalFormatting>
  <conditionalFormatting sqref="U44">
    <cfRule type="expression" dxfId="6971" priority="166">
      <formula>$M44="NON DEFINED"</formula>
    </cfRule>
    <cfRule type="expression" dxfId="6970" priority="167">
      <formula>$AZ44="N.D."</formula>
    </cfRule>
    <cfRule type="expression" dxfId="6969" priority="168">
      <formula>$AY44="N.D."</formula>
    </cfRule>
  </conditionalFormatting>
  <conditionalFormatting sqref="U44">
    <cfRule type="expression" dxfId="6968" priority="155">
      <formula>$A44="Overhead Cable"</formula>
    </cfRule>
    <cfRule type="expression" dxfId="6967" priority="156">
      <formula>$A44="Level Crossing"</formula>
    </cfRule>
    <cfRule type="expression" dxfId="6966" priority="157">
      <formula>$A44="Neutral Section"</formula>
    </cfRule>
    <cfRule type="expression" dxfId="6965" priority="158">
      <formula>$A44="Tunnel"</formula>
    </cfRule>
    <cfRule type="expression" dxfId="6964" priority="159">
      <formula>$A44="Bridge"</formula>
    </cfRule>
    <cfRule type="expression" dxfId="6963" priority="160">
      <formula>$A44="Drainage Works"</formula>
    </cfRule>
    <cfRule type="expression" dxfId="6962" priority="161">
      <formula>$A44="Underpass"</formula>
    </cfRule>
    <cfRule type="expression" dxfId="6961" priority="162">
      <formula>$A44="Overcrossing"</formula>
    </cfRule>
    <cfRule type="expression" dxfId="6960" priority="163">
      <formula>$A44="Overpass"</formula>
    </cfRule>
    <cfRule type="expression" dxfId="6959" priority="164">
      <formula>$A44="Station"</formula>
    </cfRule>
    <cfRule type="expression" dxfId="6958" priority="165">
      <formula>$A44="Overlap between sections"</formula>
    </cfRule>
  </conditionalFormatting>
  <conditionalFormatting sqref="W42">
    <cfRule type="expression" dxfId="6957" priority="152">
      <formula>$M42="NON DEFINED"</formula>
    </cfRule>
    <cfRule type="expression" dxfId="6956" priority="153">
      <formula>$AZ42="N.D."</formula>
    </cfRule>
    <cfRule type="expression" dxfId="6955" priority="154">
      <formula>$AY42="N.D."</formula>
    </cfRule>
  </conditionalFormatting>
  <conditionalFormatting sqref="W42">
    <cfRule type="expression" dxfId="6954" priority="141">
      <formula>$A42="Overhead Cable"</formula>
    </cfRule>
    <cfRule type="expression" dxfId="6953" priority="142">
      <formula>$A42="Level Crossing"</formula>
    </cfRule>
    <cfRule type="expression" dxfId="6952" priority="143">
      <formula>$A42="Neutral Section"</formula>
    </cfRule>
    <cfRule type="expression" dxfId="6951" priority="144">
      <formula>$A42="Tunnel"</formula>
    </cfRule>
    <cfRule type="expression" dxfId="6950" priority="145">
      <formula>$A42="Bridge"</formula>
    </cfRule>
    <cfRule type="expression" dxfId="6949" priority="146">
      <formula>$A42="Drainage Works"</formula>
    </cfRule>
    <cfRule type="expression" dxfId="6948" priority="147">
      <formula>$A42="Underpass"</formula>
    </cfRule>
    <cfRule type="expression" dxfId="6947" priority="148">
      <formula>$A42="Overcrossing"</formula>
    </cfRule>
    <cfRule type="expression" dxfId="6946" priority="149">
      <formula>$A42="Overpass"</formula>
    </cfRule>
    <cfRule type="expression" dxfId="6945" priority="150">
      <formula>$A42="Station"</formula>
    </cfRule>
    <cfRule type="expression" dxfId="6944" priority="151">
      <formula>$A42="Overlap between sections"</formula>
    </cfRule>
  </conditionalFormatting>
  <conditionalFormatting sqref="X42">
    <cfRule type="expression" dxfId="6943" priority="138">
      <formula>$M42="NON DEFINED"</formula>
    </cfRule>
    <cfRule type="expression" dxfId="6942" priority="139">
      <formula>$AZ42="N.D."</formula>
    </cfRule>
    <cfRule type="expression" dxfId="6941" priority="140">
      <formula>$AY42="N.D."</formula>
    </cfRule>
  </conditionalFormatting>
  <conditionalFormatting sqref="X42">
    <cfRule type="expression" dxfId="6940" priority="127">
      <formula>$A42="Overhead Cable"</formula>
    </cfRule>
    <cfRule type="expression" dxfId="6939" priority="128">
      <formula>$A42="Level Crossing"</formula>
    </cfRule>
    <cfRule type="expression" dxfId="6938" priority="129">
      <formula>$A42="Neutral Section"</formula>
    </cfRule>
    <cfRule type="expression" dxfId="6937" priority="130">
      <formula>$A42="Tunnel"</formula>
    </cfRule>
    <cfRule type="expression" dxfId="6936" priority="131">
      <formula>$A42="Bridge"</formula>
    </cfRule>
    <cfRule type="expression" dxfId="6935" priority="132">
      <formula>$A42="Drainage Works"</formula>
    </cfRule>
    <cfRule type="expression" dxfId="6934" priority="133">
      <formula>$A42="Underpass"</formula>
    </cfRule>
    <cfRule type="expression" dxfId="6933" priority="134">
      <formula>$A42="Overcrossing"</formula>
    </cfRule>
    <cfRule type="expression" dxfId="6932" priority="135">
      <formula>$A42="Overpass"</formula>
    </cfRule>
    <cfRule type="expression" dxfId="6931" priority="136">
      <formula>$A42="Station"</formula>
    </cfRule>
    <cfRule type="expression" dxfId="6930" priority="137">
      <formula>$A42="Overlap between sections"</formula>
    </cfRule>
  </conditionalFormatting>
  <conditionalFormatting sqref="W44">
    <cfRule type="expression" dxfId="6929" priority="124">
      <formula>$M44="NON DEFINED"</formula>
    </cfRule>
    <cfRule type="expression" dxfId="6928" priority="125">
      <formula>$AZ44="N.D."</formula>
    </cfRule>
    <cfRule type="expression" dxfId="6927" priority="126">
      <formula>$AY44="N.D."</formula>
    </cfRule>
  </conditionalFormatting>
  <conditionalFormatting sqref="W44">
    <cfRule type="expression" dxfId="6926" priority="113">
      <formula>$A44="Overhead Cable"</formula>
    </cfRule>
    <cfRule type="expression" dxfId="6925" priority="114">
      <formula>$A44="Level Crossing"</formula>
    </cfRule>
    <cfRule type="expression" dxfId="6924" priority="115">
      <formula>$A44="Neutral Section"</formula>
    </cfRule>
    <cfRule type="expression" dxfId="6923" priority="116">
      <formula>$A44="Tunnel"</formula>
    </cfRule>
    <cfRule type="expression" dxfId="6922" priority="117">
      <formula>$A44="Bridge"</formula>
    </cfRule>
    <cfRule type="expression" dxfId="6921" priority="118">
      <formula>$A44="Drainage Works"</formula>
    </cfRule>
    <cfRule type="expression" dxfId="6920" priority="119">
      <formula>$A44="Underpass"</formula>
    </cfRule>
    <cfRule type="expression" dxfId="6919" priority="120">
      <formula>$A44="Overcrossing"</formula>
    </cfRule>
    <cfRule type="expression" dxfId="6918" priority="121">
      <formula>$A44="Overpass"</formula>
    </cfRule>
    <cfRule type="expression" dxfId="6917" priority="122">
      <formula>$A44="Station"</formula>
    </cfRule>
    <cfRule type="expression" dxfId="6916" priority="123">
      <formula>$A44="Overlap between sections"</formula>
    </cfRule>
  </conditionalFormatting>
  <conditionalFormatting sqref="X44">
    <cfRule type="expression" dxfId="6915" priority="110">
      <formula>$M44="NON DEFINED"</formula>
    </cfRule>
    <cfRule type="expression" dxfId="6914" priority="111">
      <formula>$AZ44="N.D."</formula>
    </cfRule>
    <cfRule type="expression" dxfId="6913" priority="112">
      <formula>$AY44="N.D."</formula>
    </cfRule>
  </conditionalFormatting>
  <conditionalFormatting sqref="X44">
    <cfRule type="expression" dxfId="6912" priority="99">
      <formula>$A44="Overhead Cable"</formula>
    </cfRule>
    <cfRule type="expression" dxfId="6911" priority="100">
      <formula>$A44="Level Crossing"</formula>
    </cfRule>
    <cfRule type="expression" dxfId="6910" priority="101">
      <formula>$A44="Neutral Section"</formula>
    </cfRule>
    <cfRule type="expression" dxfId="6909" priority="102">
      <formula>$A44="Tunnel"</formula>
    </cfRule>
    <cfRule type="expression" dxfId="6908" priority="103">
      <formula>$A44="Bridge"</formula>
    </cfRule>
    <cfRule type="expression" dxfId="6907" priority="104">
      <formula>$A44="Drainage Works"</formula>
    </cfRule>
    <cfRule type="expression" dxfId="6906" priority="105">
      <formula>$A44="Underpass"</formula>
    </cfRule>
    <cfRule type="expression" dxfId="6905" priority="106">
      <formula>$A44="Overcrossing"</formula>
    </cfRule>
    <cfRule type="expression" dxfId="6904" priority="107">
      <formula>$A44="Overpass"</formula>
    </cfRule>
    <cfRule type="expression" dxfId="6903" priority="108">
      <formula>$A44="Station"</formula>
    </cfRule>
    <cfRule type="expression" dxfId="6902" priority="109">
      <formula>$A44="Overlap between sections"</formula>
    </cfRule>
  </conditionalFormatting>
  <conditionalFormatting sqref="W46">
    <cfRule type="expression" dxfId="6901" priority="96">
      <formula>$M46="NON DEFINED"</formula>
    </cfRule>
    <cfRule type="expression" dxfId="6900" priority="97">
      <formula>$AZ46="N.D."</formula>
    </cfRule>
    <cfRule type="expression" dxfId="6899" priority="98">
      <formula>$AY46="N.D."</formula>
    </cfRule>
  </conditionalFormatting>
  <conditionalFormatting sqref="W46">
    <cfRule type="expression" dxfId="6898" priority="85">
      <formula>$A46="Overhead Cable"</formula>
    </cfRule>
    <cfRule type="expression" dxfId="6897" priority="86">
      <formula>$A46="Level Crossing"</formula>
    </cfRule>
    <cfRule type="expression" dxfId="6896" priority="87">
      <formula>$A46="Neutral Section"</formula>
    </cfRule>
    <cfRule type="expression" dxfId="6895" priority="88">
      <formula>$A46="Tunnel"</formula>
    </cfRule>
    <cfRule type="expression" dxfId="6894" priority="89">
      <formula>$A46="Bridge"</formula>
    </cfRule>
    <cfRule type="expression" dxfId="6893" priority="90">
      <formula>$A46="Drainage Works"</formula>
    </cfRule>
    <cfRule type="expression" dxfId="6892" priority="91">
      <formula>$A46="Underpass"</formula>
    </cfRule>
    <cfRule type="expression" dxfId="6891" priority="92">
      <formula>$A46="Overcrossing"</formula>
    </cfRule>
    <cfRule type="expression" dxfId="6890" priority="93">
      <formula>$A46="Overpass"</formula>
    </cfRule>
    <cfRule type="expression" dxfId="6889" priority="94">
      <formula>$A46="Station"</formula>
    </cfRule>
    <cfRule type="expression" dxfId="6888" priority="95">
      <formula>$A46="Overlap between sections"</formula>
    </cfRule>
  </conditionalFormatting>
  <conditionalFormatting sqref="X46">
    <cfRule type="expression" dxfId="6887" priority="82">
      <formula>$M46="NON DEFINED"</formula>
    </cfRule>
    <cfRule type="expression" dxfId="6886" priority="83">
      <formula>$AZ46="N.D."</formula>
    </cfRule>
    <cfRule type="expression" dxfId="6885" priority="84">
      <formula>$AY46="N.D."</formula>
    </cfRule>
  </conditionalFormatting>
  <conditionalFormatting sqref="X46">
    <cfRule type="expression" dxfId="6884" priority="71">
      <formula>$A46="Overhead Cable"</formula>
    </cfRule>
    <cfRule type="expression" dxfId="6883" priority="72">
      <formula>$A46="Level Crossing"</formula>
    </cfRule>
    <cfRule type="expression" dxfId="6882" priority="73">
      <formula>$A46="Neutral Section"</formula>
    </cfRule>
    <cfRule type="expression" dxfId="6881" priority="74">
      <formula>$A46="Tunnel"</formula>
    </cfRule>
    <cfRule type="expression" dxfId="6880" priority="75">
      <formula>$A46="Bridge"</formula>
    </cfRule>
    <cfRule type="expression" dxfId="6879" priority="76">
      <formula>$A46="Drainage Works"</formula>
    </cfRule>
    <cfRule type="expression" dxfId="6878" priority="77">
      <formula>$A46="Underpass"</formula>
    </cfRule>
    <cfRule type="expression" dxfId="6877" priority="78">
      <formula>$A46="Overcrossing"</formula>
    </cfRule>
    <cfRule type="expression" dxfId="6876" priority="79">
      <formula>$A46="Overpass"</formula>
    </cfRule>
    <cfRule type="expression" dxfId="6875" priority="80">
      <formula>$A46="Station"</formula>
    </cfRule>
    <cfRule type="expression" dxfId="6874" priority="81">
      <formula>$A46="Overlap between sections"</formula>
    </cfRule>
  </conditionalFormatting>
  <conditionalFormatting sqref="O42">
    <cfRule type="expression" dxfId="6873" priority="68">
      <formula>$M42="NON DEFINED"</formula>
    </cfRule>
    <cfRule type="expression" dxfId="6872" priority="69">
      <formula>$AZ42="N.D."</formula>
    </cfRule>
    <cfRule type="expression" dxfId="6871" priority="70">
      <formula>$AY42="N.D."</formula>
    </cfRule>
  </conditionalFormatting>
  <conditionalFormatting sqref="O42">
    <cfRule type="expression" dxfId="6870" priority="57">
      <formula>$A42="Overhead Cable"</formula>
    </cfRule>
    <cfRule type="expression" dxfId="6869" priority="58">
      <formula>$A42="Level Crossing"</formula>
    </cfRule>
    <cfRule type="expression" dxfId="6868" priority="59">
      <formula>$A42="Neutral Section"</formula>
    </cfRule>
    <cfRule type="expression" dxfId="6867" priority="60">
      <formula>$A42="Tunnel"</formula>
    </cfRule>
    <cfRule type="expression" dxfId="6866" priority="61">
      <formula>$A42="Bridge"</formula>
    </cfRule>
    <cfRule type="expression" dxfId="6865" priority="62">
      <formula>$A42="Drainage Works"</formula>
    </cfRule>
    <cfRule type="expression" dxfId="6864" priority="63">
      <formula>$A42="Underpass"</formula>
    </cfRule>
    <cfRule type="expression" dxfId="6863" priority="64">
      <formula>$A42="Overcrossing"</formula>
    </cfRule>
    <cfRule type="expression" dxfId="6862" priority="65">
      <formula>$A42="Overpass"</formula>
    </cfRule>
    <cfRule type="expression" dxfId="6861" priority="66">
      <formula>$A42="Station"</formula>
    </cfRule>
    <cfRule type="expression" dxfId="6860" priority="67">
      <formula>$A42="Overlap between sections"</formula>
    </cfRule>
  </conditionalFormatting>
  <conditionalFormatting sqref="N44">
    <cfRule type="expression" dxfId="6859" priority="54">
      <formula>$M44="NON DEFINED"</formula>
    </cfRule>
    <cfRule type="expression" dxfId="6858" priority="55">
      <formula>$AZ44="N.D."</formula>
    </cfRule>
    <cfRule type="expression" dxfId="6857" priority="56">
      <formula>$AY44="N.D."</formula>
    </cfRule>
  </conditionalFormatting>
  <conditionalFormatting sqref="N44">
    <cfRule type="expression" dxfId="6856" priority="43">
      <formula>$A44="Overhead Cable"</formula>
    </cfRule>
    <cfRule type="expression" dxfId="6855" priority="44">
      <formula>$A44="Level Crossing"</formula>
    </cfRule>
    <cfRule type="expression" dxfId="6854" priority="45">
      <formula>$A44="Neutral Section"</formula>
    </cfRule>
    <cfRule type="expression" dxfId="6853" priority="46">
      <formula>$A44="Tunnel"</formula>
    </cfRule>
    <cfRule type="expression" dxfId="6852" priority="47">
      <formula>$A44="Bridge"</formula>
    </cfRule>
    <cfRule type="expression" dxfId="6851" priority="48">
      <formula>$A44="Drainage Works"</formula>
    </cfRule>
    <cfRule type="expression" dxfId="6850" priority="49">
      <formula>$A44="Underpass"</formula>
    </cfRule>
    <cfRule type="expression" dxfId="6849" priority="50">
      <formula>$A44="Overcrossing"</formula>
    </cfRule>
    <cfRule type="expression" dxfId="6848" priority="51">
      <formula>$A44="Overpass"</formula>
    </cfRule>
    <cfRule type="expression" dxfId="6847" priority="52">
      <formula>$A44="Station"</formula>
    </cfRule>
    <cfRule type="expression" dxfId="6846" priority="53">
      <formula>$A44="Overlap between sections"</formula>
    </cfRule>
  </conditionalFormatting>
  <conditionalFormatting sqref="O44">
    <cfRule type="expression" dxfId="6845" priority="40">
      <formula>$M44="NON DEFINED"</formula>
    </cfRule>
    <cfRule type="expression" dxfId="6844" priority="41">
      <formula>$AZ44="N.D."</formula>
    </cfRule>
    <cfRule type="expression" dxfId="6843" priority="42">
      <formula>$AY44="N.D."</formula>
    </cfRule>
  </conditionalFormatting>
  <conditionalFormatting sqref="O44">
    <cfRule type="expression" dxfId="6842" priority="29">
      <formula>$A44="Overhead Cable"</formula>
    </cfRule>
    <cfRule type="expression" dxfId="6841" priority="30">
      <formula>$A44="Level Crossing"</formula>
    </cfRule>
    <cfRule type="expression" dxfId="6840" priority="31">
      <formula>$A44="Neutral Section"</formula>
    </cfRule>
    <cfRule type="expression" dxfId="6839" priority="32">
      <formula>$A44="Tunnel"</formula>
    </cfRule>
    <cfRule type="expression" dxfId="6838" priority="33">
      <formula>$A44="Bridge"</formula>
    </cfRule>
    <cfRule type="expression" dxfId="6837" priority="34">
      <formula>$A44="Drainage Works"</formula>
    </cfRule>
    <cfRule type="expression" dxfId="6836" priority="35">
      <formula>$A44="Underpass"</formula>
    </cfRule>
    <cfRule type="expression" dxfId="6835" priority="36">
      <formula>$A44="Overcrossing"</formula>
    </cfRule>
    <cfRule type="expression" dxfId="6834" priority="37">
      <formula>$A44="Overpass"</formula>
    </cfRule>
    <cfRule type="expression" dxfId="6833" priority="38">
      <formula>$A44="Station"</formula>
    </cfRule>
    <cfRule type="expression" dxfId="6832" priority="39">
      <formula>$A44="Overlap between sections"</formula>
    </cfRule>
  </conditionalFormatting>
  <conditionalFormatting sqref="AC44">
    <cfRule type="expression" dxfId="6831" priority="26">
      <formula>$M44="NON DEFINED"</formula>
    </cfRule>
    <cfRule type="expression" dxfId="6830" priority="27">
      <formula>$AZ44="N.D."</formula>
    </cfRule>
    <cfRule type="expression" dxfId="6829" priority="28">
      <formula>$AY44="N.D."</formula>
    </cfRule>
  </conditionalFormatting>
  <conditionalFormatting sqref="AC44">
    <cfRule type="expression" dxfId="6828" priority="15">
      <formula>$A44="Overhead Cable"</formula>
    </cfRule>
    <cfRule type="expression" dxfId="6827" priority="16">
      <formula>$A44="Level Crossing"</formula>
    </cfRule>
    <cfRule type="expression" dxfId="6826" priority="17">
      <formula>$A44="Neutral Section"</formula>
    </cfRule>
    <cfRule type="expression" dxfId="6825" priority="18">
      <formula>$A44="Tunnel"</formula>
    </cfRule>
    <cfRule type="expression" dxfId="6824" priority="19">
      <formula>$A44="Bridge"</formula>
    </cfRule>
    <cfRule type="expression" dxfId="6823" priority="20">
      <formula>$A44="Drainage Works"</formula>
    </cfRule>
    <cfRule type="expression" dxfId="6822" priority="21">
      <formula>$A44="Underpass"</formula>
    </cfRule>
    <cfRule type="expression" dxfId="6821" priority="22">
      <formula>$A44="Overcrossing"</formula>
    </cfRule>
    <cfRule type="expression" dxfId="6820" priority="23">
      <formula>$A44="Overpass"</formula>
    </cfRule>
    <cfRule type="expression" dxfId="6819" priority="24">
      <formula>$A44="Station"</formula>
    </cfRule>
    <cfRule type="expression" dxfId="6818" priority="25">
      <formula>$A44="Overlap between sections"</formula>
    </cfRule>
  </conditionalFormatting>
  <conditionalFormatting sqref="AD44">
    <cfRule type="expression" dxfId="6817" priority="12">
      <formula>$M44="NON DEFINED"</formula>
    </cfRule>
    <cfRule type="expression" dxfId="6816" priority="13">
      <formula>$AZ44="N.D."</formula>
    </cfRule>
    <cfRule type="expression" dxfId="6815" priority="14">
      <formula>$AY44="N.D."</formula>
    </cfRule>
  </conditionalFormatting>
  <conditionalFormatting sqref="AD44">
    <cfRule type="expression" dxfId="6814" priority="1">
      <formula>$A44="Overhead Cable"</formula>
    </cfRule>
    <cfRule type="expression" dxfId="6813" priority="2">
      <formula>$A44="Level Crossing"</formula>
    </cfRule>
    <cfRule type="expression" dxfId="6812" priority="3">
      <formula>$A44="Neutral Section"</formula>
    </cfRule>
    <cfRule type="expression" dxfId="6811" priority="4">
      <formula>$A44="Tunnel"</formula>
    </cfRule>
    <cfRule type="expression" dxfId="6810" priority="5">
      <formula>$A44="Bridge"</formula>
    </cfRule>
    <cfRule type="expression" dxfId="6809" priority="6">
      <formula>$A44="Drainage Works"</formula>
    </cfRule>
    <cfRule type="expression" dxfId="6808" priority="7">
      <formula>$A44="Underpass"</formula>
    </cfRule>
    <cfRule type="expression" dxfId="6807" priority="8">
      <formula>$A44="Overcrossing"</formula>
    </cfRule>
    <cfRule type="expression" dxfId="6806" priority="9">
      <formula>$A44="Overpass"</formula>
    </cfRule>
    <cfRule type="expression" dxfId="6805" priority="10">
      <formula>$A44="Station"</formula>
    </cfRule>
    <cfRule type="expression" dxfId="6804" priority="11">
      <formula>$A44="Overlap between sections"</formula>
    </cfRule>
  </conditionalFormatting>
  <printOptions horizontalCentered="1" gridLines="1"/>
  <pageMargins left="0.39370078740157483" right="0.39370078740157483" top="0.78740157480314965" bottom="0.78740157480314965" header="0.31496062992125984" footer="0.31496062992125984"/>
  <pageSetup paperSize="9" scale="52" fitToHeight="0" orientation="landscape" r:id="rId1"/>
  <headerFooter alignWithMargins="0">
    <oddHeader>&amp;L&amp;G&amp;C
LAYOUT AND EQUIPMENT
EP 11A TRACK 1 MOM
KP -00+003 to 00+727&amp;R&amp;G</oddHeader>
    <oddFooter>&amp;L&amp;G
&amp;F&amp;C&amp;D&amp;RPag &amp;P of &amp;N</oddFooter>
  </headerFooter>
  <legacy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theme="3" tint="0.59999389629810485"/>
    <pageSetUpPr fitToPage="1"/>
  </sheetPr>
  <dimension ref="A1:BK800"/>
  <sheetViews>
    <sheetView showGridLines="0" view="pageBreakPreview" zoomScale="80" zoomScaleNormal="80" zoomScaleSheetLayoutView="80" workbookViewId="0">
      <pane xSplit="3" ySplit="3" topLeftCell="F4" activePane="bottomRight" state="frozen"/>
      <selection activeCell="C42" sqref="C42"/>
      <selection pane="topRight" activeCell="C42" sqref="C42"/>
      <selection pane="bottomLeft" activeCell="C42" sqref="C42"/>
      <selection pane="bottomRight" activeCell="C42" sqref="C42"/>
    </sheetView>
  </sheetViews>
  <sheetFormatPr baseColWidth="10" defaultColWidth="11.44140625" defaultRowHeight="15.75" customHeight="1"/>
  <cols>
    <col min="1" max="1" width="20.6640625" style="16" customWidth="1"/>
    <col min="2" max="2" width="12.6640625" style="16" customWidth="1"/>
    <col min="3" max="3" width="12.6640625" style="20" customWidth="1"/>
    <col min="4" max="5" width="12.6640625" style="16" hidden="1" customWidth="1"/>
    <col min="6" max="7" width="12.6640625" style="16" customWidth="1"/>
    <col min="8" max="8" width="18.6640625" style="16" customWidth="1"/>
    <col min="9" max="9" width="12.6640625" style="16" customWidth="1"/>
    <col min="10" max="10" width="12.6640625" style="20" customWidth="1"/>
    <col min="11" max="11" width="12.6640625" style="16" customWidth="1"/>
    <col min="12" max="13" width="14.6640625" style="16" customWidth="1"/>
    <col min="14" max="16" width="8.6640625" style="16" hidden="1" customWidth="1"/>
    <col min="17" max="19" width="12.6640625" style="16" hidden="1" customWidth="1"/>
    <col min="20" max="28" width="8.6640625" style="16" hidden="1" customWidth="1"/>
    <col min="29" max="31" width="10.6640625" style="16" hidden="1" customWidth="1"/>
    <col min="32" max="36" width="12.6640625" style="16" hidden="1" customWidth="1"/>
    <col min="37" max="38" width="12.6640625" style="16" customWidth="1"/>
    <col min="39" max="39" width="12.6640625" style="16" hidden="1" customWidth="1"/>
    <col min="40" max="45" width="8.6640625" style="8" hidden="1" customWidth="1"/>
    <col min="46" max="46" width="8.6640625" style="18" hidden="1" customWidth="1"/>
    <col min="47" max="48" width="8.6640625" style="8" hidden="1" customWidth="1"/>
    <col min="49" max="52" width="12.6640625" style="8" customWidth="1"/>
    <col min="53" max="55" width="4.6640625" style="8" customWidth="1"/>
    <col min="56" max="56" width="21.6640625" style="16" customWidth="1"/>
    <col min="57" max="57" width="16.33203125" style="8" customWidth="1"/>
    <col min="58" max="61" width="14" style="8" customWidth="1"/>
    <col min="62" max="16384" width="11.44140625" style="16"/>
  </cols>
  <sheetData>
    <row r="1" spans="1:63" s="454" customFormat="1" ht="35.25" customHeight="1" thickBot="1">
      <c r="A1" s="723" t="s">
        <v>2518</v>
      </c>
      <c r="B1" s="724"/>
      <c r="C1" s="724"/>
      <c r="D1" s="724"/>
      <c r="E1" s="724"/>
      <c r="F1" s="724"/>
      <c r="G1" s="724"/>
      <c r="H1" s="724"/>
      <c r="I1" s="724"/>
      <c r="J1" s="724"/>
      <c r="K1" s="724"/>
      <c r="L1" s="724"/>
      <c r="M1" s="724"/>
      <c r="N1" s="724"/>
      <c r="O1" s="724"/>
      <c r="P1" s="724"/>
      <c r="Q1" s="724"/>
      <c r="R1" s="724"/>
      <c r="S1" s="724"/>
      <c r="T1" s="724"/>
      <c r="U1" s="724"/>
      <c r="V1" s="724"/>
      <c r="W1" s="724"/>
      <c r="X1" s="724"/>
      <c r="Y1" s="724"/>
      <c r="Z1" s="724"/>
      <c r="AA1" s="724"/>
      <c r="AB1" s="724"/>
      <c r="AC1" s="724"/>
      <c r="AD1" s="724"/>
      <c r="AE1" s="724"/>
      <c r="AF1" s="724"/>
      <c r="AG1" s="724"/>
      <c r="AH1" s="724"/>
      <c r="AI1" s="724"/>
      <c r="AJ1" s="724"/>
      <c r="AK1" s="724"/>
      <c r="AL1" s="724"/>
      <c r="AM1" s="724"/>
      <c r="AN1" s="724"/>
      <c r="AO1" s="724"/>
      <c r="AP1" s="724"/>
      <c r="AQ1" s="724"/>
      <c r="AR1" s="724"/>
      <c r="AS1" s="724"/>
      <c r="AT1" s="724"/>
      <c r="AU1" s="724"/>
      <c r="AV1" s="724"/>
      <c r="AW1" s="724"/>
      <c r="AX1" s="724"/>
      <c r="AY1" s="724"/>
      <c r="AZ1" s="724"/>
      <c r="BA1" s="724"/>
      <c r="BB1" s="724"/>
      <c r="BC1" s="724"/>
      <c r="BD1" s="725"/>
      <c r="BE1" s="449" t="s">
        <v>1596</v>
      </c>
      <c r="BF1" s="695" t="s">
        <v>1598</v>
      </c>
      <c r="BG1" s="695"/>
      <c r="BH1" s="695"/>
      <c r="BI1" s="695"/>
    </row>
    <row r="2" spans="1:63" s="454" customFormat="1" ht="42" customHeight="1" thickBot="1">
      <c r="A2" s="483" t="s">
        <v>1321</v>
      </c>
      <c r="B2" s="483" t="s">
        <v>1322</v>
      </c>
      <c r="C2" s="483" t="s">
        <v>1325</v>
      </c>
      <c r="D2" s="483" t="s">
        <v>1323</v>
      </c>
      <c r="E2" s="483" t="s">
        <v>1327</v>
      </c>
      <c r="F2" s="483" t="s">
        <v>1328</v>
      </c>
      <c r="G2" s="483" t="s">
        <v>1326</v>
      </c>
      <c r="H2" s="483" t="s">
        <v>46</v>
      </c>
      <c r="I2" s="483" t="s">
        <v>45</v>
      </c>
      <c r="J2" s="483" t="s">
        <v>1493</v>
      </c>
      <c r="K2" s="483" t="s">
        <v>185</v>
      </c>
      <c r="L2" s="483" t="s">
        <v>47</v>
      </c>
      <c r="M2" s="483" t="s">
        <v>44</v>
      </c>
      <c r="N2" s="726" t="s">
        <v>48</v>
      </c>
      <c r="O2" s="727"/>
      <c r="P2" s="728"/>
      <c r="Q2" s="483" t="s">
        <v>1329</v>
      </c>
      <c r="R2" s="483" t="s">
        <v>1330</v>
      </c>
      <c r="S2" s="483" t="s">
        <v>1331</v>
      </c>
      <c r="T2" s="726" t="s">
        <v>1332</v>
      </c>
      <c r="U2" s="727"/>
      <c r="V2" s="728"/>
      <c r="W2" s="726" t="s">
        <v>1333</v>
      </c>
      <c r="X2" s="727"/>
      <c r="Y2" s="728"/>
      <c r="Z2" s="726" t="s">
        <v>1334</v>
      </c>
      <c r="AA2" s="727"/>
      <c r="AB2" s="728"/>
      <c r="AC2" s="726" t="s">
        <v>186</v>
      </c>
      <c r="AD2" s="727"/>
      <c r="AE2" s="728"/>
      <c r="AF2" s="483" t="s">
        <v>1494</v>
      </c>
      <c r="AG2" s="483" t="s">
        <v>1324</v>
      </c>
      <c r="AH2" s="483" t="s">
        <v>1335</v>
      </c>
      <c r="AI2" s="483" t="s">
        <v>1336</v>
      </c>
      <c r="AJ2" s="483" t="s">
        <v>187</v>
      </c>
      <c r="AK2" s="483" t="s">
        <v>49</v>
      </c>
      <c r="AL2" s="550" t="s">
        <v>50</v>
      </c>
      <c r="AM2" s="550" t="s">
        <v>872</v>
      </c>
      <c r="AN2" s="726" t="s">
        <v>1337</v>
      </c>
      <c r="AO2" s="727"/>
      <c r="AP2" s="728"/>
      <c r="AQ2" s="726" t="s">
        <v>52</v>
      </c>
      <c r="AR2" s="727"/>
      <c r="AS2" s="728"/>
      <c r="AT2" s="726" t="s">
        <v>188</v>
      </c>
      <c r="AU2" s="727"/>
      <c r="AV2" s="728"/>
      <c r="AW2" s="550" t="s">
        <v>875</v>
      </c>
      <c r="AX2" s="550" t="s">
        <v>1495</v>
      </c>
      <c r="AY2" s="550" t="s">
        <v>1338</v>
      </c>
      <c r="AZ2" s="550" t="s">
        <v>1339</v>
      </c>
      <c r="BA2" s="726" t="s">
        <v>753</v>
      </c>
      <c r="BB2" s="727"/>
      <c r="BC2" s="728"/>
      <c r="BD2" s="483" t="s">
        <v>873</v>
      </c>
      <c r="BE2" s="449" t="s">
        <v>1597</v>
      </c>
      <c r="BF2" s="450" t="s">
        <v>44</v>
      </c>
      <c r="BG2" s="450" t="s">
        <v>1599</v>
      </c>
      <c r="BH2" s="450" t="s">
        <v>1600</v>
      </c>
      <c r="BI2" s="450" t="s">
        <v>48</v>
      </c>
    </row>
    <row r="3" spans="1:63" s="454" customFormat="1" ht="15.75" customHeight="1" thickBot="1">
      <c r="A3" s="455"/>
      <c r="B3" s="476"/>
      <c r="C3" s="456"/>
      <c r="D3" s="456"/>
      <c r="E3" s="456"/>
      <c r="F3" s="456"/>
      <c r="G3" s="456"/>
      <c r="H3" s="476"/>
      <c r="I3" s="476"/>
      <c r="J3" s="456"/>
      <c r="K3" s="476"/>
      <c r="L3" s="476"/>
      <c r="M3" s="476"/>
      <c r="N3" s="484" t="s">
        <v>11</v>
      </c>
      <c r="O3" s="484" t="s">
        <v>12</v>
      </c>
      <c r="P3" s="484" t="s">
        <v>13</v>
      </c>
      <c r="Q3" s="456"/>
      <c r="R3" s="456"/>
      <c r="S3" s="456"/>
      <c r="T3" s="461" t="s">
        <v>14</v>
      </c>
      <c r="U3" s="462" t="s">
        <v>15</v>
      </c>
      <c r="V3" s="461" t="s">
        <v>16</v>
      </c>
      <c r="W3" s="461" t="s">
        <v>17</v>
      </c>
      <c r="X3" s="462" t="s">
        <v>18</v>
      </c>
      <c r="Y3" s="461" t="s">
        <v>19</v>
      </c>
      <c r="Z3" s="461" t="s">
        <v>20</v>
      </c>
      <c r="AA3" s="462" t="s">
        <v>21</v>
      </c>
      <c r="AB3" s="461" t="s">
        <v>22</v>
      </c>
      <c r="AC3" s="484" t="s">
        <v>23</v>
      </c>
      <c r="AD3" s="485" t="s">
        <v>24</v>
      </c>
      <c r="AE3" s="484" t="s">
        <v>25</v>
      </c>
      <c r="AF3" s="456"/>
      <c r="AG3" s="456"/>
      <c r="AH3" s="456"/>
      <c r="AI3" s="456"/>
      <c r="AJ3" s="476"/>
      <c r="AK3" s="476"/>
      <c r="AL3" s="476"/>
      <c r="AM3" s="476"/>
      <c r="AN3" s="461" t="s">
        <v>17</v>
      </c>
      <c r="AO3" s="461" t="s">
        <v>18</v>
      </c>
      <c r="AP3" s="461" t="s">
        <v>19</v>
      </c>
      <c r="AQ3" s="461" t="s">
        <v>173</v>
      </c>
      <c r="AR3" s="461" t="s">
        <v>174</v>
      </c>
      <c r="AS3" s="461" t="s">
        <v>175</v>
      </c>
      <c r="AT3" s="653" t="s">
        <v>176</v>
      </c>
      <c r="AU3" s="461" t="s">
        <v>177</v>
      </c>
      <c r="AV3" s="461" t="s">
        <v>178</v>
      </c>
      <c r="AW3" s="476"/>
      <c r="AX3" s="476"/>
      <c r="AY3" s="456"/>
      <c r="AZ3" s="456"/>
      <c r="BA3" s="484" t="s">
        <v>1624</v>
      </c>
      <c r="BB3" s="484" t="s">
        <v>180</v>
      </c>
      <c r="BC3" s="484" t="s">
        <v>1625</v>
      </c>
      <c r="BD3" s="479"/>
      <c r="BE3" s="448"/>
      <c r="BF3" s="453"/>
      <c r="BG3" s="453"/>
      <c r="BH3" s="453"/>
      <c r="BI3" s="453"/>
    </row>
    <row r="4" spans="1:63" ht="16.2" customHeight="1" thickTop="1">
      <c r="A4" s="561"/>
      <c r="B4" s="562"/>
      <c r="C4" s="563"/>
      <c r="D4" s="564"/>
      <c r="E4" s="565"/>
      <c r="F4" s="565"/>
      <c r="G4" s="566"/>
      <c r="H4" s="567"/>
      <c r="I4" s="567"/>
      <c r="J4" s="568"/>
      <c r="K4" s="567"/>
      <c r="L4" s="567"/>
      <c r="M4" s="567"/>
      <c r="N4" s="567"/>
      <c r="O4" s="567"/>
      <c r="P4" s="567"/>
      <c r="Q4" s="565"/>
      <c r="R4" s="566"/>
      <c r="S4" s="566"/>
      <c r="T4" s="565"/>
      <c r="U4" s="565"/>
      <c r="V4" s="565"/>
      <c r="W4" s="569"/>
      <c r="X4" s="569"/>
      <c r="Y4" s="569"/>
      <c r="Z4" s="569"/>
      <c r="AA4" s="569"/>
      <c r="AB4" s="569"/>
      <c r="AC4" s="567"/>
      <c r="AD4" s="567"/>
      <c r="AE4" s="567"/>
      <c r="AF4" s="565"/>
      <c r="AG4" s="564"/>
      <c r="AH4" s="565"/>
      <c r="AI4" s="565"/>
      <c r="AJ4" s="567"/>
      <c r="AK4" s="567"/>
      <c r="AL4" s="567"/>
      <c r="AM4" s="567"/>
      <c r="AN4" s="569"/>
      <c r="AO4" s="567"/>
      <c r="AP4" s="567"/>
      <c r="AQ4" s="569"/>
      <c r="AR4" s="569"/>
      <c r="AS4" s="569"/>
      <c r="AT4" s="569"/>
      <c r="AU4" s="570"/>
      <c r="AV4" s="570"/>
      <c r="AW4" s="567"/>
      <c r="AX4" s="567"/>
      <c r="AY4" s="569"/>
      <c r="AZ4" s="569"/>
      <c r="BA4" s="517"/>
      <c r="BB4" s="517"/>
      <c r="BC4" s="517"/>
      <c r="BD4" s="571"/>
      <c r="BE4" s="557"/>
      <c r="BF4" s="308"/>
      <c r="BG4" s="308"/>
      <c r="BH4" s="308"/>
      <c r="BI4" s="308"/>
      <c r="BK4" s="309"/>
    </row>
    <row r="5" spans="1:63" ht="16.2" customHeight="1">
      <c r="A5" s="573" t="s">
        <v>383</v>
      </c>
      <c r="B5" s="469"/>
      <c r="C5" s="3"/>
      <c r="D5" s="88"/>
      <c r="E5" s="4"/>
      <c r="F5" s="4"/>
      <c r="G5" s="6"/>
      <c r="H5" s="468"/>
      <c r="I5" s="468" t="s">
        <v>485</v>
      </c>
      <c r="J5" s="3">
        <f>C6</f>
        <v>0</v>
      </c>
      <c r="K5" s="468" t="s">
        <v>451</v>
      </c>
      <c r="L5" s="468"/>
      <c r="M5" s="468" t="str">
        <f>IF(L5="","",
IF(AX5="PT",VLOOKUP(L5,Foundation_Calc!$V$4:$X$37,VLOOKUP(AX5,Foundation_Calc!$I$10:$J$13,2,FALSE),0),
IF(AX5="K",VLOOKUP(L5,Foundation_Calc!$V$41:$X$74,VLOOKUP(AX5,Foundation_Calc!$I$10:$J$13,2,FALSE),0),"")))</f>
        <v/>
      </c>
      <c r="N5" s="468"/>
      <c r="O5" s="468"/>
      <c r="P5" s="468"/>
      <c r="Q5" s="4"/>
      <c r="R5" s="6"/>
      <c r="S5" s="6"/>
      <c r="T5" s="4"/>
      <c r="U5" s="4"/>
      <c r="V5" s="4"/>
      <c r="W5" s="9"/>
      <c r="X5" s="9"/>
      <c r="Y5" s="9"/>
      <c r="Z5" s="9"/>
      <c r="AA5" s="9"/>
      <c r="AB5" s="9"/>
      <c r="AC5" s="468" t="str">
        <f t="shared" ref="AC5" si="0">IF(OR(AT5&gt;8,AT5&lt;-8),"PH",
IF(OR(AT5&gt;5,AT5&lt;-5),"PHQ",
IF(OR(AT5&gt;1,AT5&lt;-1),
"PHC","")))</f>
        <v/>
      </c>
      <c r="AD5" s="468"/>
      <c r="AE5" s="468"/>
      <c r="AF5" s="4"/>
      <c r="AG5" s="88"/>
      <c r="AH5" s="4"/>
      <c r="AI5" s="4"/>
      <c r="AJ5" s="468"/>
      <c r="AK5" s="468"/>
      <c r="AL5" s="468"/>
      <c r="AM5" s="468"/>
      <c r="AN5" s="10"/>
      <c r="AO5" s="9"/>
      <c r="AP5" s="9"/>
      <c r="AQ5" s="9"/>
      <c r="AR5" s="9"/>
      <c r="AS5" s="9"/>
      <c r="AT5" s="9"/>
      <c r="AU5" s="447"/>
      <c r="AV5" s="447"/>
      <c r="AW5" s="468"/>
      <c r="AX5" s="468"/>
      <c r="AY5" s="10"/>
      <c r="AZ5" s="10"/>
      <c r="BA5" s="553" t="str">
        <f>IF(AY5="","",IF(AY5&gt;0,"ü",""))</f>
        <v/>
      </c>
      <c r="BB5" s="553" t="str">
        <f>IF(AZ5="","",IF(AZ5&gt;0,"ü",""))</f>
        <v/>
      </c>
      <c r="BC5" s="553" t="str">
        <f>IF(M5="","",IF(M5="Unique Solution","ü",""))</f>
        <v/>
      </c>
      <c r="BD5" s="572" t="str">
        <f>IF(AND(L5="",H5=""),"",
IF(H5="",Pole_Calc!A9,
IF(H5="MP",Pole_Calc!A10,
IF(H5="AnMP",Pole_Calc!A11,
IF(H5="A",Pole_Calc!A12,
IF(H5="S/A",Pole_Calc!A13,
IF(H5="A/S",Pole_Calc!A14,"Poner a mano")))))))</f>
        <v/>
      </c>
      <c r="BE5" s="448" t="s">
        <v>1726</v>
      </c>
      <c r="BF5" s="305"/>
      <c r="BG5" s="305"/>
      <c r="BH5" s="306"/>
      <c r="BI5" s="305"/>
    </row>
    <row r="6" spans="1:63" ht="16.2" customHeight="1">
      <c r="A6" s="624" t="s">
        <v>383</v>
      </c>
      <c r="B6" s="469" t="s">
        <v>2169</v>
      </c>
      <c r="C6" s="3">
        <v>0</v>
      </c>
      <c r="D6" s="88"/>
      <c r="E6" s="4"/>
      <c r="F6" s="4">
        <v>0</v>
      </c>
      <c r="G6" s="6"/>
      <c r="H6" s="468" t="s">
        <v>26</v>
      </c>
      <c r="I6" s="468" t="s">
        <v>1155</v>
      </c>
      <c r="J6" s="3">
        <f>C6</f>
        <v>0</v>
      </c>
      <c r="K6" s="468" t="s">
        <v>447</v>
      </c>
      <c r="L6" s="468"/>
      <c r="M6" s="468" t="str">
        <f>IF(L6="","",
IF(AX6="PT",VLOOKUP(L6,Foundation_Calc!$V$4:$X$37,VLOOKUP(AX6,Foundation_Calc!$I$10:$J$13,2,FALSE),0),
IF(AX6="K",VLOOKUP(L6,Foundation_Calc!$V$41:$X$74,VLOOKUP(AX6,Foundation_Calc!$I$10:$J$13,2,FALSE),0),"")))</f>
        <v/>
      </c>
      <c r="N6" s="468"/>
      <c r="O6" s="468"/>
      <c r="P6" s="468"/>
      <c r="Q6" s="4"/>
      <c r="R6" s="6"/>
      <c r="S6" s="6"/>
      <c r="T6" s="4"/>
      <c r="U6" s="4"/>
      <c r="V6" s="4"/>
      <c r="W6" s="9"/>
      <c r="X6" s="9"/>
      <c r="Y6" s="9"/>
      <c r="Z6" s="9"/>
      <c r="AA6" s="9"/>
      <c r="AB6" s="9"/>
      <c r="AC6" s="468" t="str">
        <f t="shared" ref="AC6:AC69" si="1">IF(OR(AT6&gt;8,AT6&lt;-8),"PH",
IF(OR(AT6&gt;5,AT6&lt;-5),"PHQ",
IF(OR(AT6&gt;1,AT6&lt;-1),
"PHC","")))</f>
        <v/>
      </c>
      <c r="AD6" s="468"/>
      <c r="AE6" s="468"/>
      <c r="AF6" s="4"/>
      <c r="AG6" s="88"/>
      <c r="AH6" s="4"/>
      <c r="AI6" s="4"/>
      <c r="AJ6" s="468"/>
      <c r="AK6" s="468"/>
      <c r="AL6" s="468"/>
      <c r="AM6" s="468"/>
      <c r="AN6" s="10"/>
      <c r="AO6" s="9"/>
      <c r="AP6" s="9"/>
      <c r="AQ6" s="9"/>
      <c r="AR6" s="9"/>
      <c r="AS6" s="9"/>
      <c r="AT6" s="9"/>
      <c r="AU6" s="447"/>
      <c r="AV6" s="447"/>
      <c r="AW6" s="468" t="s">
        <v>199</v>
      </c>
      <c r="AX6" s="468" t="s">
        <v>199</v>
      </c>
      <c r="AY6" s="10"/>
      <c r="AZ6" s="10"/>
      <c r="BA6" s="553" t="str">
        <f t="shared" ref="BA6:BA69" si="2">IF(AY6="","",IF(AY6&gt;0,"ü",""))</f>
        <v/>
      </c>
      <c r="BB6" s="553" t="str">
        <f t="shared" ref="BB6:BB69" si="3">IF(AZ6="","",IF(AZ6&gt;0,"ü",""))</f>
        <v/>
      </c>
      <c r="BC6" s="553" t="str">
        <f t="shared" ref="BC6:BC69" si="4">IF(M6="","",IF(M6="Unique Solution","ü",""))</f>
        <v/>
      </c>
      <c r="BD6" s="572"/>
      <c r="BE6" s="448" t="s">
        <v>1726</v>
      </c>
      <c r="BF6" s="306"/>
      <c r="BG6" s="306"/>
      <c r="BH6" s="306"/>
      <c r="BI6" s="306"/>
    </row>
    <row r="7" spans="1:63" ht="16.2" customHeight="1">
      <c r="A7" s="624" t="s">
        <v>383</v>
      </c>
      <c r="B7" s="469"/>
      <c r="C7" s="3"/>
      <c r="D7" s="88"/>
      <c r="E7" s="4"/>
      <c r="F7" s="4"/>
      <c r="G7" s="6">
        <v>33.299999999999997</v>
      </c>
      <c r="H7" s="468"/>
      <c r="I7" s="468"/>
      <c r="J7" s="3"/>
      <c r="K7" s="468"/>
      <c r="L7" s="468"/>
      <c r="M7" s="468" t="str">
        <f>IF(L7="","",
IF(AX7="PT",VLOOKUP(L7,Foundation_Calc!$V$4:$X$37,VLOOKUP(AX7,Foundation_Calc!$I$10:$J$13,2,FALSE),0),
IF(AX7="K",VLOOKUP(L7,Foundation_Calc!$V$41:$X$74,VLOOKUP(AX7,Foundation_Calc!$I$10:$J$13,2,FALSE),0),"")))</f>
        <v/>
      </c>
      <c r="N7" s="468"/>
      <c r="O7" s="468"/>
      <c r="P7" s="468"/>
      <c r="Q7" s="4"/>
      <c r="R7" s="6"/>
      <c r="S7" s="6"/>
      <c r="T7" s="4"/>
      <c r="U7" s="4"/>
      <c r="V7" s="4"/>
      <c r="W7" s="9"/>
      <c r="X7" s="9"/>
      <c r="Y7" s="9"/>
      <c r="Z7" s="9"/>
      <c r="AA7" s="9"/>
      <c r="AB7" s="9"/>
      <c r="AC7" s="468" t="str">
        <f t="shared" si="1"/>
        <v/>
      </c>
      <c r="AD7" s="468"/>
      <c r="AE7" s="468"/>
      <c r="AF7" s="4"/>
      <c r="AG7" s="88"/>
      <c r="AH7" s="4"/>
      <c r="AI7" s="4"/>
      <c r="AJ7" s="468"/>
      <c r="AK7" s="468"/>
      <c r="AL7" s="468"/>
      <c r="AM7" s="468"/>
      <c r="AN7" s="10"/>
      <c r="AO7" s="9"/>
      <c r="AP7" s="9"/>
      <c r="AQ7" s="9"/>
      <c r="AR7" s="9"/>
      <c r="AS7" s="9"/>
      <c r="AT7" s="9"/>
      <c r="AU7" s="447"/>
      <c r="AV7" s="447"/>
      <c r="AW7" s="468"/>
      <c r="AX7" s="468"/>
      <c r="AY7" s="10"/>
      <c r="AZ7" s="10"/>
      <c r="BA7" s="553" t="str">
        <f t="shared" si="2"/>
        <v/>
      </c>
      <c r="BB7" s="553" t="str">
        <f t="shared" si="3"/>
        <v/>
      </c>
      <c r="BC7" s="553" t="str">
        <f t="shared" si="4"/>
        <v/>
      </c>
      <c r="BD7" s="572"/>
      <c r="BE7" s="448" t="s">
        <v>1726</v>
      </c>
      <c r="BF7" s="305"/>
      <c r="BG7" s="305"/>
      <c r="BH7" s="306"/>
      <c r="BI7" s="305"/>
    </row>
    <row r="8" spans="1:63" ht="16.2" customHeight="1">
      <c r="A8" s="624" t="s">
        <v>383</v>
      </c>
      <c r="B8" s="469" t="s">
        <v>2170</v>
      </c>
      <c r="C8" s="3">
        <f>+$C$6+$G$7</f>
        <v>33.299999999999997</v>
      </c>
      <c r="D8" s="88"/>
      <c r="E8" s="4"/>
      <c r="F8" s="4">
        <v>0</v>
      </c>
      <c r="G8" s="6"/>
      <c r="H8" s="468"/>
      <c r="I8" s="468"/>
      <c r="J8" s="3"/>
      <c r="K8" s="468"/>
      <c r="L8" s="468"/>
      <c r="M8" s="468" t="str">
        <f>IF(L8="","",
IF(AX8="PT",VLOOKUP(L8,Foundation_Calc!$V$4:$X$37,VLOOKUP(AX8,Foundation_Calc!$I$10:$J$13,2,FALSE),0),
IF(AX8="K",VLOOKUP(L8,Foundation_Calc!$V$41:$X$74,VLOOKUP(AX8,Foundation_Calc!$I$10:$J$13,2,FALSE),0),"")))</f>
        <v/>
      </c>
      <c r="N8" s="468" t="s">
        <v>191</v>
      </c>
      <c r="O8" s="468"/>
      <c r="P8" s="468"/>
      <c r="Q8" s="4"/>
      <c r="R8" s="6"/>
      <c r="S8" s="6"/>
      <c r="T8" s="4">
        <v>-25</v>
      </c>
      <c r="U8" s="4"/>
      <c r="V8" s="4"/>
      <c r="W8" s="9">
        <v>1</v>
      </c>
      <c r="X8" s="9"/>
      <c r="Y8" s="9"/>
      <c r="Z8" s="9"/>
      <c r="AA8" s="9"/>
      <c r="AB8" s="9"/>
      <c r="AC8" s="468" t="s">
        <v>630</v>
      </c>
      <c r="AD8" s="468"/>
      <c r="AE8" s="468"/>
      <c r="AF8" s="4"/>
      <c r="AG8" s="88"/>
      <c r="AH8" s="4"/>
      <c r="AI8" s="4"/>
      <c r="AJ8" s="468"/>
      <c r="AK8" s="468" t="s">
        <v>41</v>
      </c>
      <c r="AL8" s="468"/>
      <c r="AM8" s="468" t="s">
        <v>2458</v>
      </c>
      <c r="AN8" s="10">
        <v>5.15</v>
      </c>
      <c r="AO8" s="9"/>
      <c r="AP8" s="9"/>
      <c r="AQ8" s="9"/>
      <c r="AR8" s="9"/>
      <c r="AS8" s="9"/>
      <c r="AT8" s="9"/>
      <c r="AU8" s="447"/>
      <c r="AV8" s="447"/>
      <c r="AW8" s="468" t="s">
        <v>199</v>
      </c>
      <c r="AX8" s="468" t="s">
        <v>199</v>
      </c>
      <c r="AY8" s="10"/>
      <c r="AZ8" s="10"/>
      <c r="BA8" s="553" t="str">
        <f t="shared" si="2"/>
        <v/>
      </c>
      <c r="BB8" s="553" t="str">
        <f t="shared" si="3"/>
        <v/>
      </c>
      <c r="BC8" s="553" t="str">
        <f t="shared" si="4"/>
        <v/>
      </c>
      <c r="BD8" s="572"/>
      <c r="BE8" s="448" t="s">
        <v>1726</v>
      </c>
      <c r="BF8" s="306"/>
      <c r="BG8" s="306"/>
      <c r="BH8" s="306"/>
      <c r="BI8" s="306"/>
    </row>
    <row r="9" spans="1:63" ht="16.2" customHeight="1">
      <c r="A9" s="614" t="s">
        <v>2387</v>
      </c>
      <c r="B9" s="615"/>
      <c r="C9" s="616"/>
      <c r="D9" s="617"/>
      <c r="E9" s="618"/>
      <c r="F9" s="618"/>
      <c r="G9" s="619">
        <v>32.5</v>
      </c>
      <c r="H9" s="620"/>
      <c r="I9" s="620"/>
      <c r="J9" s="616"/>
      <c r="K9" s="620"/>
      <c r="L9" s="620"/>
      <c r="M9" s="620" t="str">
        <f>IF(L9="","",
IF(AX9="PT",VLOOKUP(L9,Foundation_Calc!$V$4:$X$37,VLOOKUP(AX9,Foundation_Calc!$I$10:$J$13,2,FALSE),0),
IF(AX9="K",VLOOKUP(L9,Foundation_Calc!$V$41:$X$74,VLOOKUP(AX9,Foundation_Calc!$I$10:$J$13,2,FALSE),0),"")))</f>
        <v/>
      </c>
      <c r="N9" s="620"/>
      <c r="O9" s="620"/>
      <c r="P9" s="620"/>
      <c r="Q9" s="618"/>
      <c r="R9" s="619"/>
      <c r="S9" s="619"/>
      <c r="T9" s="618"/>
      <c r="U9" s="618"/>
      <c r="V9" s="618"/>
      <c r="W9" s="621"/>
      <c r="X9" s="621"/>
      <c r="Y9" s="621"/>
      <c r="Z9" s="621"/>
      <c r="AA9" s="621"/>
      <c r="AB9" s="621"/>
      <c r="AC9" s="620" t="s">
        <v>195</v>
      </c>
      <c r="AD9" s="620"/>
      <c r="AE9" s="620"/>
      <c r="AF9" s="618"/>
      <c r="AG9" s="617"/>
      <c r="AH9" s="618"/>
      <c r="AI9" s="618"/>
      <c r="AJ9" s="620" t="s">
        <v>594</v>
      </c>
      <c r="AK9" s="620"/>
      <c r="AL9" s="620"/>
      <c r="AM9" s="620"/>
      <c r="AN9" s="622"/>
      <c r="AO9" s="621"/>
      <c r="AP9" s="621"/>
      <c r="AQ9" s="621"/>
      <c r="AR9" s="621"/>
      <c r="AS9" s="621"/>
      <c r="AT9" s="621"/>
      <c r="AU9" s="623"/>
      <c r="AV9" s="623"/>
      <c r="AW9" s="620"/>
      <c r="AX9" s="620"/>
      <c r="AY9" s="622"/>
      <c r="AZ9" s="622"/>
      <c r="BA9" s="553" t="str">
        <f t="shared" si="2"/>
        <v/>
      </c>
      <c r="BB9" s="553" t="str">
        <f t="shared" si="3"/>
        <v/>
      </c>
      <c r="BC9" s="553" t="str">
        <f t="shared" si="4"/>
        <v/>
      </c>
      <c r="BD9" s="572"/>
      <c r="BE9" s="448" t="s">
        <v>1726</v>
      </c>
      <c r="BF9" s="305"/>
      <c r="BG9" s="305"/>
      <c r="BH9" s="306"/>
      <c r="BI9" s="305"/>
    </row>
    <row r="10" spans="1:63" ht="16.2" customHeight="1">
      <c r="A10" s="624" t="s">
        <v>383</v>
      </c>
      <c r="B10" s="469" t="s">
        <v>2171</v>
      </c>
      <c r="C10" s="3">
        <f>+$C$8+$G$9</f>
        <v>65.8</v>
      </c>
      <c r="D10" s="88"/>
      <c r="E10" s="4"/>
      <c r="F10" s="4">
        <v>0</v>
      </c>
      <c r="G10" s="6"/>
      <c r="H10" s="468" t="s">
        <v>1739</v>
      </c>
      <c r="I10" s="468"/>
      <c r="J10" s="3"/>
      <c r="K10" s="468"/>
      <c r="L10" s="468"/>
      <c r="M10" s="468" t="str">
        <f>IF(L10="","",
IF(AX10="PT",VLOOKUP(L10,Foundation_Calc!$V$4:$X$37,VLOOKUP(AX10,Foundation_Calc!$I$10:$J$13,2,FALSE),0),
IF(AX10="K",VLOOKUP(L10,Foundation_Calc!$V$41:$X$74,VLOOKUP(AX10,Foundation_Calc!$I$10:$J$13,2,FALSE),0),"")))</f>
        <v/>
      </c>
      <c r="N10" s="468" t="s">
        <v>192</v>
      </c>
      <c r="O10" s="669" t="s">
        <v>191</v>
      </c>
      <c r="P10" s="468"/>
      <c r="Q10" s="4"/>
      <c r="R10" s="6"/>
      <c r="S10" s="6"/>
      <c r="T10" s="4">
        <v>35</v>
      </c>
      <c r="U10" s="4">
        <v>20</v>
      </c>
      <c r="V10" s="4"/>
      <c r="W10" s="9">
        <v>0.9</v>
      </c>
      <c r="X10" s="9">
        <v>1</v>
      </c>
      <c r="Y10" s="9"/>
      <c r="Z10" s="9"/>
      <c r="AA10" s="9"/>
      <c r="AB10" s="9"/>
      <c r="AC10" s="468" t="s">
        <v>647</v>
      </c>
      <c r="AD10" s="468" t="s">
        <v>1068</v>
      </c>
      <c r="AE10" s="468"/>
      <c r="AF10" s="4"/>
      <c r="AG10" s="88"/>
      <c r="AH10" s="4"/>
      <c r="AI10" s="4"/>
      <c r="AJ10" s="468" t="s">
        <v>364</v>
      </c>
      <c r="AK10" s="468" t="s">
        <v>42</v>
      </c>
      <c r="AL10" s="468"/>
      <c r="AM10" s="468" t="s">
        <v>2458</v>
      </c>
      <c r="AN10" s="10">
        <v>5.15</v>
      </c>
      <c r="AO10" s="9"/>
      <c r="AP10" s="9"/>
      <c r="AQ10" s="9"/>
      <c r="AR10" s="9"/>
      <c r="AS10" s="9"/>
      <c r="AT10" s="9"/>
      <c r="AU10" s="447"/>
      <c r="AV10" s="447"/>
      <c r="AW10" s="468" t="s">
        <v>199</v>
      </c>
      <c r="AX10" s="468" t="s">
        <v>199</v>
      </c>
      <c r="AY10" s="10"/>
      <c r="AZ10" s="10"/>
      <c r="BA10" s="553" t="str">
        <f t="shared" si="2"/>
        <v/>
      </c>
      <c r="BB10" s="553" t="str">
        <f t="shared" si="3"/>
        <v/>
      </c>
      <c r="BC10" s="553" t="str">
        <f t="shared" si="4"/>
        <v/>
      </c>
      <c r="BD10" s="572"/>
      <c r="BE10" s="448" t="s">
        <v>1726</v>
      </c>
      <c r="BF10" s="306"/>
      <c r="BG10" s="306"/>
      <c r="BH10" s="306"/>
      <c r="BI10" s="306"/>
    </row>
    <row r="11" spans="1:63" ht="16.2" customHeight="1">
      <c r="A11" s="624" t="s">
        <v>383</v>
      </c>
      <c r="B11" s="469"/>
      <c r="C11" s="3"/>
      <c r="D11" s="88"/>
      <c r="E11" s="4"/>
      <c r="F11" s="4"/>
      <c r="G11" s="6">
        <v>22</v>
      </c>
      <c r="H11" s="468"/>
      <c r="I11" s="468"/>
      <c r="J11" s="3"/>
      <c r="K11" s="468"/>
      <c r="L11" s="468"/>
      <c r="M11" s="468" t="str">
        <f>IF(L11="","",
IF(AX11="PT",VLOOKUP(L11,Foundation_Calc!$V$4:$X$37,VLOOKUP(AX11,Foundation_Calc!$I$10:$J$13,2,FALSE),0),
IF(AX11="K",VLOOKUP(L11,Foundation_Calc!$V$41:$X$74,VLOOKUP(AX11,Foundation_Calc!$I$10:$J$13,2,FALSE),0),"")))</f>
        <v/>
      </c>
      <c r="N11" s="468"/>
      <c r="O11" s="468"/>
      <c r="P11" s="468"/>
      <c r="Q11" s="4"/>
      <c r="R11" s="6"/>
      <c r="S11" s="6"/>
      <c r="T11" s="4"/>
      <c r="U11" s="4"/>
      <c r="V11" s="4"/>
      <c r="W11" s="9"/>
      <c r="X11" s="9"/>
      <c r="Y11" s="9"/>
      <c r="Z11" s="9"/>
      <c r="AA11" s="9"/>
      <c r="AB11" s="9"/>
      <c r="AC11" s="468" t="s">
        <v>195</v>
      </c>
      <c r="AD11" s="468"/>
      <c r="AE11" s="468"/>
      <c r="AF11" s="4"/>
      <c r="AG11" s="88"/>
      <c r="AH11" s="4"/>
      <c r="AI11" s="4"/>
      <c r="AJ11" s="468"/>
      <c r="AK11" s="468"/>
      <c r="AL11" s="468"/>
      <c r="AM11" s="468"/>
      <c r="AN11" s="10"/>
      <c r="AO11" s="9"/>
      <c r="AP11" s="9"/>
      <c r="AQ11" s="9"/>
      <c r="AR11" s="9"/>
      <c r="AS11" s="9"/>
      <c r="AT11" s="9"/>
      <c r="AU11" s="447"/>
      <c r="AV11" s="447"/>
      <c r="AW11" s="468"/>
      <c r="AX11" s="468"/>
      <c r="AY11" s="10"/>
      <c r="AZ11" s="10"/>
      <c r="BA11" s="553" t="str">
        <f t="shared" si="2"/>
        <v/>
      </c>
      <c r="BB11" s="553" t="str">
        <f t="shared" si="3"/>
        <v/>
      </c>
      <c r="BC11" s="553" t="str">
        <f t="shared" si="4"/>
        <v/>
      </c>
      <c r="BD11" s="572"/>
      <c r="BE11" s="448" t="s">
        <v>1726</v>
      </c>
      <c r="BF11" s="305"/>
      <c r="BG11" s="305"/>
      <c r="BH11" s="306"/>
      <c r="BI11" s="305"/>
    </row>
    <row r="12" spans="1:63" ht="16.2" customHeight="1">
      <c r="A12" s="624" t="s">
        <v>383</v>
      </c>
      <c r="B12" s="469" t="s">
        <v>2172</v>
      </c>
      <c r="C12" s="3">
        <f>+$C$10+$G$11</f>
        <v>87.8</v>
      </c>
      <c r="D12" s="88"/>
      <c r="E12" s="4"/>
      <c r="F12" s="4">
        <v>0</v>
      </c>
      <c r="G12" s="6"/>
      <c r="H12" s="468" t="s">
        <v>179</v>
      </c>
      <c r="I12" s="468"/>
      <c r="J12" s="3"/>
      <c r="K12" s="468"/>
      <c r="L12" s="468"/>
      <c r="M12" s="468" t="str">
        <f>IF(L12="","",
IF(AX12="PT",VLOOKUP(L12,Foundation_Calc!$V$4:$X$37,VLOOKUP(AX12,Foundation_Calc!$I$10:$J$13,2,FALSE),0),
IF(AX12="K",VLOOKUP(L12,Foundation_Calc!$V$41:$X$74,VLOOKUP(AX12,Foundation_Calc!$I$10:$J$13,2,FALSE),0),"")))</f>
        <v/>
      </c>
      <c r="N12" s="468" t="s">
        <v>191</v>
      </c>
      <c r="O12" s="669" t="s">
        <v>193</v>
      </c>
      <c r="P12" s="468"/>
      <c r="Q12" s="4"/>
      <c r="R12" s="6"/>
      <c r="S12" s="6"/>
      <c r="T12" s="4">
        <v>-20</v>
      </c>
      <c r="U12" s="4">
        <v>-55</v>
      </c>
      <c r="V12" s="4"/>
      <c r="W12" s="9">
        <v>0.9</v>
      </c>
      <c r="X12" s="9">
        <v>1</v>
      </c>
      <c r="Y12" s="9"/>
      <c r="Z12" s="9"/>
      <c r="AA12" s="9">
        <v>0.15</v>
      </c>
      <c r="AB12" s="9"/>
      <c r="AC12" s="468" t="s">
        <v>630</v>
      </c>
      <c r="AD12" s="468"/>
      <c r="AE12" s="468"/>
      <c r="AF12" s="4"/>
      <c r="AG12" s="88"/>
      <c r="AH12" s="4"/>
      <c r="AI12" s="4"/>
      <c r="AJ12" s="468"/>
      <c r="AK12" s="468" t="s">
        <v>42</v>
      </c>
      <c r="AL12" s="468"/>
      <c r="AM12" s="468" t="s">
        <v>2458</v>
      </c>
      <c r="AN12" s="10">
        <v>5.15</v>
      </c>
      <c r="AO12" s="9"/>
      <c r="AP12" s="9"/>
      <c r="AQ12" s="9"/>
      <c r="AR12" s="9"/>
      <c r="AS12" s="9"/>
      <c r="AT12" s="9"/>
      <c r="AU12" s="447"/>
      <c r="AV12" s="447"/>
      <c r="AW12" s="468" t="s">
        <v>199</v>
      </c>
      <c r="AX12" s="468" t="s">
        <v>199</v>
      </c>
      <c r="AY12" s="10"/>
      <c r="AZ12" s="10"/>
      <c r="BA12" s="553" t="str">
        <f t="shared" si="2"/>
        <v/>
      </c>
      <c r="BB12" s="553" t="str">
        <f t="shared" si="3"/>
        <v/>
      </c>
      <c r="BC12" s="553" t="str">
        <f t="shared" si="4"/>
        <v/>
      </c>
      <c r="BD12" s="572"/>
      <c r="BE12" s="448" t="s">
        <v>1726</v>
      </c>
      <c r="BF12" s="306"/>
      <c r="BG12" s="306"/>
      <c r="BH12" s="306"/>
      <c r="BI12" s="306"/>
    </row>
    <row r="13" spans="1:63" ht="16.2" customHeight="1">
      <c r="A13" s="624" t="s">
        <v>383</v>
      </c>
      <c r="B13" s="469"/>
      <c r="C13" s="3"/>
      <c r="D13" s="88"/>
      <c r="E13" s="4"/>
      <c r="F13" s="4"/>
      <c r="G13" s="6">
        <v>23.6</v>
      </c>
      <c r="H13" s="468"/>
      <c r="I13" s="468"/>
      <c r="J13" s="3"/>
      <c r="K13" s="468"/>
      <c r="L13" s="468"/>
      <c r="M13" s="468" t="str">
        <f>IF(L13="","",
IF(AX13="PT",VLOOKUP(L13,Foundation_Calc!$V$4:$X$37,VLOOKUP(AX13,Foundation_Calc!$I$10:$J$13,2,FALSE),0),
IF(AX13="K",VLOOKUP(L13,Foundation_Calc!$V$41:$X$74,VLOOKUP(AX13,Foundation_Calc!$I$10:$J$13,2,FALSE),0),"")))</f>
        <v/>
      </c>
      <c r="N13" s="468"/>
      <c r="O13" s="468"/>
      <c r="P13" s="468"/>
      <c r="Q13" s="4"/>
      <c r="R13" s="6"/>
      <c r="S13" s="6"/>
      <c r="T13" s="4"/>
      <c r="U13" s="4"/>
      <c r="V13" s="4"/>
      <c r="W13" s="9"/>
      <c r="X13" s="9"/>
      <c r="Y13" s="9"/>
      <c r="Z13" s="9"/>
      <c r="AA13" s="9"/>
      <c r="AB13" s="9"/>
      <c r="AC13" s="468" t="s">
        <v>195</v>
      </c>
      <c r="AD13" s="468"/>
      <c r="AE13" s="468"/>
      <c r="AF13" s="4"/>
      <c r="AG13" s="88"/>
      <c r="AH13" s="4"/>
      <c r="AI13" s="4"/>
      <c r="AJ13" s="468"/>
      <c r="AK13" s="468"/>
      <c r="AL13" s="468"/>
      <c r="AM13" s="468"/>
      <c r="AN13" s="10"/>
      <c r="AO13" s="9"/>
      <c r="AP13" s="9"/>
      <c r="AQ13" s="9"/>
      <c r="AR13" s="9"/>
      <c r="AS13" s="9"/>
      <c r="AT13" s="9"/>
      <c r="AU13" s="447"/>
      <c r="AV13" s="447"/>
      <c r="AW13" s="468"/>
      <c r="AX13" s="468"/>
      <c r="AY13" s="10"/>
      <c r="AZ13" s="10"/>
      <c r="BA13" s="553" t="str">
        <f t="shared" si="2"/>
        <v/>
      </c>
      <c r="BB13" s="553" t="str">
        <f t="shared" si="3"/>
        <v/>
      </c>
      <c r="BC13" s="553" t="str">
        <f t="shared" si="4"/>
        <v/>
      </c>
      <c r="BD13" s="572"/>
      <c r="BE13" s="448" t="s">
        <v>1726</v>
      </c>
      <c r="BF13" s="305"/>
      <c r="BG13" s="305"/>
      <c r="BH13" s="306"/>
      <c r="BI13" s="305"/>
    </row>
    <row r="14" spans="1:63" ht="16.2" customHeight="1">
      <c r="A14" s="624" t="s">
        <v>383</v>
      </c>
      <c r="B14" s="469" t="s">
        <v>2173</v>
      </c>
      <c r="C14" s="3">
        <f>+$C$12+$G$13</f>
        <v>111.4</v>
      </c>
      <c r="D14" s="88"/>
      <c r="E14" s="4"/>
      <c r="F14" s="4">
        <v>-285</v>
      </c>
      <c r="G14" s="6"/>
      <c r="H14" s="468" t="s">
        <v>179</v>
      </c>
      <c r="I14" s="468"/>
      <c r="J14" s="3"/>
      <c r="K14" s="468"/>
      <c r="L14" s="468"/>
      <c r="M14" s="468" t="str">
        <f>IF(L14="","",
IF(AX14="PT",VLOOKUP(L14,Foundation_Calc!$V$4:$X$37,VLOOKUP(AX14,Foundation_Calc!$I$10:$J$13,2,FALSE),0),
IF(AX14="K",VLOOKUP(L14,Foundation_Calc!$V$41:$X$74,VLOOKUP(AX14,Foundation_Calc!$I$10:$J$13,2,FALSE),0),"")))</f>
        <v/>
      </c>
      <c r="N14" s="468" t="s">
        <v>191</v>
      </c>
      <c r="O14" s="669" t="s">
        <v>193</v>
      </c>
      <c r="P14" s="468"/>
      <c r="Q14" s="4"/>
      <c r="R14" s="6"/>
      <c r="S14" s="6"/>
      <c r="T14" s="4">
        <v>-20</v>
      </c>
      <c r="U14" s="4">
        <v>-55</v>
      </c>
      <c r="V14" s="4"/>
      <c r="W14" s="9">
        <v>0.9</v>
      </c>
      <c r="X14" s="9">
        <v>1</v>
      </c>
      <c r="Y14" s="9"/>
      <c r="Z14" s="9"/>
      <c r="AA14" s="9">
        <v>0.3</v>
      </c>
      <c r="AB14" s="9"/>
      <c r="AC14" s="468" t="s">
        <v>1341</v>
      </c>
      <c r="AD14" s="468"/>
      <c r="AE14" s="468"/>
      <c r="AF14" s="4"/>
      <c r="AG14" s="88"/>
      <c r="AH14" s="4"/>
      <c r="AI14" s="4"/>
      <c r="AJ14" s="468"/>
      <c r="AK14" s="468" t="s">
        <v>42</v>
      </c>
      <c r="AL14" s="468"/>
      <c r="AM14" s="468" t="s">
        <v>2458</v>
      </c>
      <c r="AN14" s="10">
        <v>5.15</v>
      </c>
      <c r="AO14" s="9"/>
      <c r="AP14" s="9"/>
      <c r="AQ14" s="9"/>
      <c r="AR14" s="9"/>
      <c r="AS14" s="9"/>
      <c r="AT14" s="9"/>
      <c r="AU14" s="447"/>
      <c r="AV14" s="447"/>
      <c r="AW14" s="468" t="s">
        <v>199</v>
      </c>
      <c r="AX14" s="468" t="s">
        <v>199</v>
      </c>
      <c r="AY14" s="10"/>
      <c r="AZ14" s="10"/>
      <c r="BA14" s="553" t="str">
        <f t="shared" si="2"/>
        <v/>
      </c>
      <c r="BB14" s="553" t="str">
        <f t="shared" si="3"/>
        <v/>
      </c>
      <c r="BC14" s="553" t="str">
        <f t="shared" si="4"/>
        <v/>
      </c>
      <c r="BD14" s="572"/>
      <c r="BE14" s="448" t="s">
        <v>1726</v>
      </c>
      <c r="BF14" s="306"/>
      <c r="BG14" s="306"/>
      <c r="BH14" s="306"/>
      <c r="BI14" s="306"/>
    </row>
    <row r="15" spans="1:63" ht="16.2" customHeight="1">
      <c r="A15" s="624" t="s">
        <v>383</v>
      </c>
      <c r="B15" s="469"/>
      <c r="C15" s="3"/>
      <c r="D15" s="88"/>
      <c r="E15" s="4"/>
      <c r="F15" s="4"/>
      <c r="G15" s="6">
        <v>25</v>
      </c>
      <c r="H15" s="468"/>
      <c r="I15" s="468">
        <v>194</v>
      </c>
      <c r="J15" s="3"/>
      <c r="K15" s="468"/>
      <c r="L15" s="468"/>
      <c r="M15" s="468" t="str">
        <f>IF(L15="","",
IF(AX15="PT",VLOOKUP(L15,Foundation_Calc!$V$4:$X$37,VLOOKUP(AX15,Foundation_Calc!$I$10:$J$13,2,FALSE),0),
IF(AX15="K",VLOOKUP(L15,Foundation_Calc!$V$41:$X$74,VLOOKUP(AX15,Foundation_Calc!$I$10:$J$13,2,FALSE),0),"")))</f>
        <v/>
      </c>
      <c r="N15" s="468"/>
      <c r="O15" s="468"/>
      <c r="P15" s="468"/>
      <c r="Q15" s="4"/>
      <c r="R15" s="6"/>
      <c r="S15" s="6"/>
      <c r="T15" s="4"/>
      <c r="U15" s="4"/>
      <c r="V15" s="4"/>
      <c r="W15" s="9"/>
      <c r="X15" s="9"/>
      <c r="Y15" s="9"/>
      <c r="Z15" s="9"/>
      <c r="AA15" s="9"/>
      <c r="AB15" s="9"/>
      <c r="AC15" s="468" t="s">
        <v>195</v>
      </c>
      <c r="AD15" s="468"/>
      <c r="AE15" s="468"/>
      <c r="AF15" s="4"/>
      <c r="AG15" s="88"/>
      <c r="AH15" s="4"/>
      <c r="AI15" s="4"/>
      <c r="AJ15" s="468"/>
      <c r="AK15" s="468"/>
      <c r="AL15" s="468"/>
      <c r="AM15" s="468"/>
      <c r="AN15" s="10"/>
      <c r="AO15" s="9"/>
      <c r="AP15" s="9"/>
      <c r="AQ15" s="9"/>
      <c r="AR15" s="9"/>
      <c r="AS15" s="9"/>
      <c r="AT15" s="9"/>
      <c r="AU15" s="447"/>
      <c r="AV15" s="447"/>
      <c r="AW15" s="468"/>
      <c r="AX15" s="468"/>
      <c r="AY15" s="10"/>
      <c r="AZ15" s="10"/>
      <c r="BA15" s="553" t="str">
        <f t="shared" si="2"/>
        <v/>
      </c>
      <c r="BB15" s="553" t="str">
        <f t="shared" si="3"/>
        <v/>
      </c>
      <c r="BC15" s="553" t="str">
        <f t="shared" si="4"/>
        <v/>
      </c>
      <c r="BD15" s="572"/>
      <c r="BE15" s="448" t="s">
        <v>1726</v>
      </c>
      <c r="BF15" s="305"/>
      <c r="BG15" s="305"/>
      <c r="BH15" s="306"/>
      <c r="BI15" s="305"/>
    </row>
    <row r="16" spans="1:63" ht="16.2" customHeight="1">
      <c r="A16" s="624" t="s">
        <v>383</v>
      </c>
      <c r="B16" s="469" t="s">
        <v>2174</v>
      </c>
      <c r="C16" s="3">
        <f>+$C$14+$G$15</f>
        <v>136.4</v>
      </c>
      <c r="D16" s="88"/>
      <c r="E16" s="4"/>
      <c r="F16" s="4">
        <v>-285</v>
      </c>
      <c r="G16" s="6"/>
      <c r="H16" s="468" t="s">
        <v>388</v>
      </c>
      <c r="I16" s="468" t="s">
        <v>1155</v>
      </c>
      <c r="J16" s="3">
        <f>C16-10</f>
        <v>126.4</v>
      </c>
      <c r="K16" s="468" t="s">
        <v>447</v>
      </c>
      <c r="L16" s="468"/>
      <c r="M16" s="468" t="str">
        <f>IF(L16="","",
IF(AX16="PT",VLOOKUP(L16,Foundation_Calc!$V$4:$X$37,VLOOKUP(AX16,Foundation_Calc!$I$10:$J$13,2,FALSE),0),
IF(AX16="K",VLOOKUP(L16,Foundation_Calc!$V$41:$X$74,VLOOKUP(AX16,Foundation_Calc!$I$10:$J$13,2,FALSE),0),"")))</f>
        <v/>
      </c>
      <c r="N16" s="468" t="s">
        <v>191</v>
      </c>
      <c r="O16" s="468"/>
      <c r="P16" s="468"/>
      <c r="Q16" s="4"/>
      <c r="R16" s="6"/>
      <c r="S16" s="6"/>
      <c r="T16" s="4">
        <v>-25</v>
      </c>
      <c r="U16" s="4"/>
      <c r="V16" s="4"/>
      <c r="W16" s="9">
        <v>1</v>
      </c>
      <c r="X16" s="9"/>
      <c r="Y16" s="9"/>
      <c r="Z16" s="9"/>
      <c r="AA16" s="9"/>
      <c r="AB16" s="9"/>
      <c r="AC16" s="468" t="s">
        <v>1341</v>
      </c>
      <c r="AD16" s="468"/>
      <c r="AE16" s="468"/>
      <c r="AF16" s="4"/>
      <c r="AG16" s="88"/>
      <c r="AH16" s="4"/>
      <c r="AI16" s="4"/>
      <c r="AJ16" s="468"/>
      <c r="AK16" s="468" t="s">
        <v>41</v>
      </c>
      <c r="AL16" s="468"/>
      <c r="AM16" s="468" t="s">
        <v>2458</v>
      </c>
      <c r="AN16" s="10">
        <v>5.15</v>
      </c>
      <c r="AO16" s="9"/>
      <c r="AP16" s="9"/>
      <c r="AQ16" s="9"/>
      <c r="AR16" s="9"/>
      <c r="AS16" s="9"/>
      <c r="AT16" s="9"/>
      <c r="AU16" s="447"/>
      <c r="AV16" s="447"/>
      <c r="AW16" s="468" t="s">
        <v>199</v>
      </c>
      <c r="AX16" s="468" t="s">
        <v>199</v>
      </c>
      <c r="AY16" s="10"/>
      <c r="AZ16" s="10"/>
      <c r="BA16" s="553" t="str">
        <f t="shared" si="2"/>
        <v/>
      </c>
      <c r="BB16" s="553" t="str">
        <f t="shared" si="3"/>
        <v/>
      </c>
      <c r="BC16" s="553" t="str">
        <f t="shared" si="4"/>
        <v/>
      </c>
      <c r="BD16" s="572"/>
      <c r="BE16" s="448" t="s">
        <v>1726</v>
      </c>
      <c r="BF16" s="306"/>
      <c r="BG16" s="306"/>
      <c r="BH16" s="306"/>
      <c r="BI16" s="306"/>
    </row>
    <row r="17" spans="1:61" ht="16.2" customHeight="1">
      <c r="A17" s="573" t="s">
        <v>383</v>
      </c>
      <c r="B17" s="469"/>
      <c r="C17" s="3"/>
      <c r="D17" s="88"/>
      <c r="E17" s="4"/>
      <c r="F17" s="4"/>
      <c r="G17" s="6">
        <v>25</v>
      </c>
      <c r="H17" s="468"/>
      <c r="I17" s="468"/>
      <c r="J17" s="3"/>
      <c r="K17" s="468"/>
      <c r="L17" s="468"/>
      <c r="M17" s="468" t="str">
        <f>IF(L17="","",
IF(AX17="PT",VLOOKUP(L17,Foundation_Calc!$V$4:$X$37,VLOOKUP(AX17,Foundation_Calc!$I$10:$J$13,2,FALSE),0),
IF(AX17="K",VLOOKUP(L17,Foundation_Calc!$V$41:$X$74,VLOOKUP(AX17,Foundation_Calc!$I$10:$J$13,2,FALSE),0),"")))</f>
        <v/>
      </c>
      <c r="N17" s="468"/>
      <c r="O17" s="468"/>
      <c r="P17" s="468"/>
      <c r="Q17" s="4"/>
      <c r="R17" s="6"/>
      <c r="S17" s="6"/>
      <c r="T17" s="4"/>
      <c r="U17" s="4"/>
      <c r="V17" s="4"/>
      <c r="W17" s="9"/>
      <c r="X17" s="9"/>
      <c r="Y17" s="9"/>
      <c r="Z17" s="9"/>
      <c r="AA17" s="9"/>
      <c r="AB17" s="9"/>
      <c r="AC17" s="468" t="s">
        <v>195</v>
      </c>
      <c r="AD17" s="468"/>
      <c r="AE17" s="468"/>
      <c r="AF17" s="4"/>
      <c r="AG17" s="88"/>
      <c r="AH17" s="4"/>
      <c r="AI17" s="4"/>
      <c r="AJ17" s="468"/>
      <c r="AK17" s="468"/>
      <c r="AL17" s="468"/>
      <c r="AM17" s="468"/>
      <c r="AN17" s="10"/>
      <c r="AO17" s="9"/>
      <c r="AP17" s="9"/>
      <c r="AQ17" s="9">
        <f>+FL_2($T$18,$T$16,$G$17,1200,9.28, 1*$F$18)</f>
        <v>-0.2500000000000705</v>
      </c>
      <c r="AR17" s="9"/>
      <c r="AS17" s="9"/>
      <c r="AT17" s="9"/>
      <c r="AU17" s="447"/>
      <c r="AV17" s="447"/>
      <c r="AW17" s="468"/>
      <c r="AX17" s="468"/>
      <c r="AY17" s="10"/>
      <c r="AZ17" s="10"/>
      <c r="BA17" s="553" t="str">
        <f t="shared" si="2"/>
        <v/>
      </c>
      <c r="BB17" s="553" t="str">
        <f t="shared" si="3"/>
        <v/>
      </c>
      <c r="BC17" s="553" t="str">
        <f t="shared" si="4"/>
        <v/>
      </c>
      <c r="BD17" s="572"/>
      <c r="BE17" s="448" t="s">
        <v>1726</v>
      </c>
      <c r="BF17" s="305"/>
      <c r="BG17" s="305"/>
      <c r="BH17" s="306"/>
      <c r="BI17" s="305"/>
    </row>
    <row r="18" spans="1:61" ht="16.2" customHeight="1">
      <c r="A18" s="573"/>
      <c r="B18" s="469" t="s">
        <v>2175</v>
      </c>
      <c r="C18" s="3">
        <f>+$C$16+$G$17</f>
        <v>161.4</v>
      </c>
      <c r="D18" s="88"/>
      <c r="E18" s="4"/>
      <c r="F18" s="4">
        <v>-285</v>
      </c>
      <c r="G18" s="6"/>
      <c r="H18" s="468"/>
      <c r="I18" s="468"/>
      <c r="J18" s="3"/>
      <c r="K18" s="468"/>
      <c r="L18" s="468" t="s">
        <v>323</v>
      </c>
      <c r="M18" s="468" t="str">
        <f>IF(L18="","",
IF(AX18="PT",VLOOKUP(L18,Foundation_Calc!$V$4:$X$37,VLOOKUP(AX18,Foundation_Calc!$I$10:$J$13,2,FALSE),0),
IF(AX18="K",VLOOKUP(L18,Foundation_Calc!$V$41:$X$74,VLOOKUP(AX18,Foundation_Calc!$I$10:$J$13,2,FALSE),0),"")))</f>
        <v>C5SR</v>
      </c>
      <c r="N18" s="468" t="s">
        <v>33</v>
      </c>
      <c r="O18" s="468"/>
      <c r="P18" s="468"/>
      <c r="Q18" s="4"/>
      <c r="R18" s="6"/>
      <c r="S18" s="6"/>
      <c r="T18" s="4">
        <v>30</v>
      </c>
      <c r="U18" s="4"/>
      <c r="V18" s="4"/>
      <c r="W18" s="9">
        <v>1</v>
      </c>
      <c r="X18" s="9"/>
      <c r="Y18" s="9"/>
      <c r="Z18" s="9"/>
      <c r="AA18" s="9"/>
      <c r="AB18" s="9"/>
      <c r="AC18" s="468" t="s">
        <v>1341</v>
      </c>
      <c r="AD18" s="468"/>
      <c r="AE18" s="468"/>
      <c r="AF18" s="4"/>
      <c r="AG18" s="88"/>
      <c r="AH18" s="4"/>
      <c r="AI18" s="4"/>
      <c r="AJ18" s="468"/>
      <c r="AK18" s="468"/>
      <c r="AL18" s="468" t="s">
        <v>1111</v>
      </c>
      <c r="AM18" s="468" t="s">
        <v>486</v>
      </c>
      <c r="AN18" s="10">
        <v>5.15</v>
      </c>
      <c r="AO18" s="9"/>
      <c r="AP18" s="9"/>
      <c r="AQ18" s="9"/>
      <c r="AR18" s="9"/>
      <c r="AS18" s="9"/>
      <c r="AT18" s="9">
        <f>+ab($T$18,$T$16,$T$20,$G$17,$G$19, 1*$F$18,1200)</f>
        <v>-2.9173592620724387</v>
      </c>
      <c r="AU18" s="447"/>
      <c r="AV18" s="447"/>
      <c r="AW18" s="468" t="str">
        <f>IF(C18&gt;0,VLOOKUP(C18,Foundation_Calc!$A$2:$C$13,3,1),
IF(J18&gt;0,VLOOKUP(J18,Foundation_Calc!$A$2:$C$13,3,1),""))</f>
        <v>MultiSoil</v>
      </c>
      <c r="AX18" s="468" t="str">
        <f>IF(C18&gt;0,VLOOKUP(C18,Foundation_Calc!$E$2:$G$13,3,1),
IF(J18&gt;0,VLOOKUP(J18,Foundation_Calc!$E$2:$G$13,3,1),""))</f>
        <v>PT</v>
      </c>
      <c r="AY18" s="10">
        <f>IF(L18="","",
IF(AX18="PT",VLOOKUP(L18,Foundation_Calc!$K$4:$R$37,VLOOKUP(AW18,Foundation_Calc!$I$2:$J$8,2,FALSE),0),
IF(AX18="K",VLOOKUP(L18,Foundation_Calc!$K$41:$R$74,VLOOKUP(AW18,Foundation_Calc!$I$2:$J$8,2,FALSE),0),"")))</f>
        <v>3.9</v>
      </c>
      <c r="AZ18" s="10" t="str">
        <f>IF(K18="","",
IF(AX18="PT",VLOOKUP(K18,Foundation_Calc!$K$4:$R$37,VLOOKUP(AW18,Foundation_Calc!$I$2:$J$8,2,FALSE),0),
IF(AX18="K",VLOOKUP(K18,Foundation_Calc!$K$41:$R$74,VLOOKUP(AW18,Foundation_Calc!$I$2:$J$8,2,FALSE),0),"")))</f>
        <v/>
      </c>
      <c r="BA18" s="553" t="str">
        <f t="shared" si="2"/>
        <v>ü</v>
      </c>
      <c r="BB18" s="553" t="str">
        <f t="shared" si="3"/>
        <v/>
      </c>
      <c r="BC18" s="553" t="str">
        <f t="shared" si="4"/>
        <v/>
      </c>
      <c r="BD18" s="572" t="str">
        <f>Pole_Calc!A$251</f>
        <v>App.8-V08H-P10.3</v>
      </c>
      <c r="BE18" s="448" t="s">
        <v>1726</v>
      </c>
      <c r="BF18" s="306"/>
      <c r="BG18" s="306"/>
      <c r="BH18" s="306"/>
      <c r="BI18" s="306"/>
    </row>
    <row r="19" spans="1:61" ht="16.2" customHeight="1">
      <c r="A19" s="573"/>
      <c r="B19" s="469"/>
      <c r="C19" s="3"/>
      <c r="D19" s="88"/>
      <c r="E19" s="4"/>
      <c r="F19" s="4"/>
      <c r="G19" s="6">
        <v>25</v>
      </c>
      <c r="H19" s="468"/>
      <c r="I19" s="468"/>
      <c r="J19" s="3"/>
      <c r="K19" s="468"/>
      <c r="L19" s="468"/>
      <c r="M19" s="468" t="str">
        <f>IF(L19="","",
IF(AX19="PT",VLOOKUP(L19,Foundation_Calc!$V$4:$X$37,VLOOKUP(AX19,Foundation_Calc!$I$10:$J$13,2,FALSE),0),
IF(AX19="K",VLOOKUP(L19,Foundation_Calc!$V$41:$X$74,VLOOKUP(AX19,Foundation_Calc!$I$10:$J$13,2,FALSE),0),"")))</f>
        <v/>
      </c>
      <c r="N19" s="468"/>
      <c r="O19" s="468"/>
      <c r="P19" s="468"/>
      <c r="Q19" s="4"/>
      <c r="R19" s="6"/>
      <c r="S19" s="6"/>
      <c r="T19" s="4"/>
      <c r="U19" s="4"/>
      <c r="V19" s="4"/>
      <c r="W19" s="9"/>
      <c r="X19" s="9"/>
      <c r="Y19" s="9"/>
      <c r="Z19" s="9"/>
      <c r="AA19" s="9"/>
      <c r="AB19" s="9"/>
      <c r="AC19" s="468" t="s">
        <v>195</v>
      </c>
      <c r="AD19" s="468"/>
      <c r="AE19" s="468"/>
      <c r="AF19" s="4"/>
      <c r="AG19" s="88"/>
      <c r="AH19" s="4"/>
      <c r="AI19" s="4"/>
      <c r="AJ19" s="468"/>
      <c r="AK19" s="468"/>
      <c r="AL19" s="468"/>
      <c r="AM19" s="468"/>
      <c r="AN19" s="10"/>
      <c r="AO19" s="9"/>
      <c r="AP19" s="9"/>
      <c r="AQ19" s="9">
        <f>+FL_2($T$20,$T$18,$G$19,1200,9.28, 1*$F$20)</f>
        <v>0.29999999999995386</v>
      </c>
      <c r="AR19" s="9"/>
      <c r="AS19" s="9"/>
      <c r="AT19" s="9"/>
      <c r="AU19" s="447"/>
      <c r="AV19" s="447"/>
      <c r="AW19" s="468" t="str">
        <f>IF(C19&gt;0,VLOOKUP(C19,Foundation_Calc!$A$2:$C$13,3,1),
IF(J19&gt;0,VLOOKUP(J19,Foundation_Calc!$A$2:$C$13,3,1),""))</f>
        <v/>
      </c>
      <c r="AX19" s="468" t="str">
        <f>IF(C19&gt;0,VLOOKUP(C19,Foundation_Calc!$E$2:$G$13,3,1),
IF(J19&gt;0,VLOOKUP(J19,Foundation_Calc!$E$2:$G$13,3,1),""))</f>
        <v/>
      </c>
      <c r="AY19" s="10" t="str">
        <f>IF(L19="","",
IF(AX19="PT",VLOOKUP(L19,Foundation_Calc!$K$4:$R$37,VLOOKUP(AW19,Foundation_Calc!$I$2:$J$8,2,FALSE),0),
IF(AX19="K",VLOOKUP(L19,Foundation_Calc!$K$41:$R$74,VLOOKUP(AW19,Foundation_Calc!$I$2:$J$8,2,FALSE),0),"")))</f>
        <v/>
      </c>
      <c r="AZ19" s="10" t="str">
        <f>IF(K19="","",
IF(AX19="PT",VLOOKUP(K19,Foundation_Calc!$K$4:$R$37,VLOOKUP(AW19,Foundation_Calc!$I$2:$J$8,2,FALSE),0),
IF(AX19="K",VLOOKUP(K19,Foundation_Calc!$K$41:$R$74,VLOOKUP(AW19,Foundation_Calc!$I$2:$J$8,2,FALSE),0),"")))</f>
        <v/>
      </c>
      <c r="BA19" s="553" t="str">
        <f t="shared" si="2"/>
        <v/>
      </c>
      <c r="BB19" s="553" t="str">
        <f t="shared" si="3"/>
        <v/>
      </c>
      <c r="BC19" s="553" t="str">
        <f t="shared" si="4"/>
        <v/>
      </c>
      <c r="BD19" s="572" t="str">
        <f>IF(AND(L19="",H19=""),"",
IF(H19="",Pole_Calc!A23,
IF(H19="MP",Pole_Calc!A24,
IF(H19="AnMP",Pole_Calc!A25,
IF(H19="A",Pole_Calc!A26,
IF(H19="S/A",Pole_Calc!A27,
IF(H19="A/S",Pole_Calc!A28,"Poner a mano")))))))</f>
        <v/>
      </c>
      <c r="BE19" s="448" t="s">
        <v>1726</v>
      </c>
      <c r="BF19" s="305"/>
      <c r="BG19" s="305"/>
      <c r="BH19" s="306"/>
      <c r="BI19" s="305"/>
    </row>
    <row r="20" spans="1:61" ht="16.2" customHeight="1">
      <c r="A20" s="573"/>
      <c r="B20" s="469" t="s">
        <v>2176</v>
      </c>
      <c r="C20" s="3">
        <f>+$C$18+$G$19</f>
        <v>186.4</v>
      </c>
      <c r="D20" s="88"/>
      <c r="E20" s="4"/>
      <c r="F20" s="4">
        <v>-285</v>
      </c>
      <c r="G20" s="6"/>
      <c r="H20" s="468"/>
      <c r="I20" s="468"/>
      <c r="J20" s="3"/>
      <c r="K20" s="468"/>
      <c r="L20" s="468" t="s">
        <v>323</v>
      </c>
      <c r="M20" s="468" t="str">
        <f>IF(L20="","",
IF(AX20="PT",VLOOKUP(L20,Foundation_Calc!$V$4:$X$37,VLOOKUP(AX20,Foundation_Calc!$I$10:$J$13,2,FALSE),0),
IF(AX20="K",VLOOKUP(L20,Foundation_Calc!$V$41:$X$74,VLOOKUP(AX20,Foundation_Calc!$I$10:$J$13,2,FALSE),0),"")))</f>
        <v>C5SR</v>
      </c>
      <c r="N20" s="468" t="s">
        <v>33</v>
      </c>
      <c r="O20" s="468"/>
      <c r="P20" s="468"/>
      <c r="Q20" s="4"/>
      <c r="R20" s="6"/>
      <c r="S20" s="6"/>
      <c r="T20" s="4">
        <v>30</v>
      </c>
      <c r="U20" s="4"/>
      <c r="V20" s="4"/>
      <c r="W20" s="9">
        <v>1.2</v>
      </c>
      <c r="X20" s="9"/>
      <c r="Y20" s="9"/>
      <c r="Z20" s="9"/>
      <c r="AA20" s="9"/>
      <c r="AB20" s="9"/>
      <c r="AC20" s="468" t="s">
        <v>1341</v>
      </c>
      <c r="AD20" s="468"/>
      <c r="AE20" s="468"/>
      <c r="AF20" s="4"/>
      <c r="AG20" s="88"/>
      <c r="AH20" s="4"/>
      <c r="AI20" s="4"/>
      <c r="AJ20" s="468"/>
      <c r="AK20" s="468"/>
      <c r="AL20" s="468" t="s">
        <v>1111</v>
      </c>
      <c r="AM20" s="468" t="s">
        <v>486</v>
      </c>
      <c r="AN20" s="10">
        <v>5.15</v>
      </c>
      <c r="AO20" s="9"/>
      <c r="AP20" s="9"/>
      <c r="AQ20" s="9"/>
      <c r="AR20" s="9"/>
      <c r="AS20" s="9"/>
      <c r="AT20" s="9">
        <f>+ab($T$20,$T$18,$T$22,$G$19,$G$21, 1*$F$20,1200)</f>
        <v>-2.1865143427104377</v>
      </c>
      <c r="AU20" s="447"/>
      <c r="AV20" s="447"/>
      <c r="AW20" s="468" t="str">
        <f>IF(C20&gt;0,VLOOKUP(C20,Foundation_Calc!$A$2:$C$13,3,1),
IF(J20&gt;0,VLOOKUP(J20,Foundation_Calc!$A$2:$C$13,3,1),""))</f>
        <v>MultiSoil</v>
      </c>
      <c r="AX20" s="468" t="str">
        <f>IF(C20&gt;0,VLOOKUP(C20,Foundation_Calc!$E$2:$G$13,3,1),
IF(J20&gt;0,VLOOKUP(J20,Foundation_Calc!$E$2:$G$13,3,1),""))</f>
        <v>PT</v>
      </c>
      <c r="AY20" s="10">
        <f>IF(L20="","",
IF(AX20="PT",VLOOKUP(L20,Foundation_Calc!$K$4:$R$37,VLOOKUP(AW20,Foundation_Calc!$I$2:$J$8,2,FALSE),0),
IF(AX20="K",VLOOKUP(L20,Foundation_Calc!$K$41:$R$74,VLOOKUP(AW20,Foundation_Calc!$I$2:$J$8,2,FALSE),0),"")))</f>
        <v>3.9</v>
      </c>
      <c r="AZ20" s="10" t="str">
        <f>IF(K20="","",
IF(AX20="PT",VLOOKUP(K20,Foundation_Calc!$K$4:$R$37,VLOOKUP(AW20,Foundation_Calc!$I$2:$J$8,2,FALSE),0),
IF(AX20="K",VLOOKUP(K20,Foundation_Calc!$K$41:$R$74,VLOOKUP(AW20,Foundation_Calc!$I$2:$J$8,2,FALSE),0),"")))</f>
        <v/>
      </c>
      <c r="BA20" s="553" t="str">
        <f t="shared" si="2"/>
        <v>ü</v>
      </c>
      <c r="BB20" s="553" t="str">
        <f t="shared" si="3"/>
        <v/>
      </c>
      <c r="BC20" s="553" t="str">
        <f t="shared" si="4"/>
        <v/>
      </c>
      <c r="BD20" s="572" t="str">
        <f>Pole_Calc!A$251</f>
        <v>App.8-V08H-P10.3</v>
      </c>
      <c r="BE20" s="448" t="s">
        <v>1726</v>
      </c>
      <c r="BF20" s="306"/>
      <c r="BG20" s="306"/>
      <c r="BH20" s="306"/>
      <c r="BI20" s="306"/>
    </row>
    <row r="21" spans="1:61" ht="16.2" customHeight="1">
      <c r="A21" s="573"/>
      <c r="B21" s="469"/>
      <c r="C21" s="3"/>
      <c r="D21" s="88"/>
      <c r="E21" s="4"/>
      <c r="F21" s="4"/>
      <c r="G21" s="6">
        <v>25</v>
      </c>
      <c r="H21" s="468"/>
      <c r="I21" s="468"/>
      <c r="J21" s="3">
        <f>C22-7.5</f>
        <v>203.9</v>
      </c>
      <c r="K21" s="468" t="s">
        <v>1095</v>
      </c>
      <c r="L21" s="468"/>
      <c r="M21" s="468" t="str">
        <f>IF(L21="","",
IF(AX21="PT",VLOOKUP(L21,Foundation_Calc!$V$4:$X$37,VLOOKUP(AX21,Foundation_Calc!$I$10:$J$13,2,FALSE),0),
IF(AX21="K",VLOOKUP(L21,Foundation_Calc!$V$41:$X$74,VLOOKUP(AX21,Foundation_Calc!$I$10:$J$13,2,FALSE),0),"")))</f>
        <v/>
      </c>
      <c r="N21" s="468"/>
      <c r="O21" s="468"/>
      <c r="P21" s="468"/>
      <c r="Q21" s="4"/>
      <c r="R21" s="6"/>
      <c r="S21" s="6"/>
      <c r="T21" s="4"/>
      <c r="U21" s="4"/>
      <c r="V21" s="4"/>
      <c r="W21" s="9"/>
      <c r="X21" s="9"/>
      <c r="Y21" s="9"/>
      <c r="Z21" s="9"/>
      <c r="AA21" s="9"/>
      <c r="AB21" s="9"/>
      <c r="AC21" s="468" t="s">
        <v>195</v>
      </c>
      <c r="AD21" s="468"/>
      <c r="AE21" s="468"/>
      <c r="AF21" s="4"/>
      <c r="AG21" s="88"/>
      <c r="AH21" s="4"/>
      <c r="AI21" s="4"/>
      <c r="AJ21" s="468"/>
      <c r="AK21" s="468"/>
      <c r="AL21" s="468"/>
      <c r="AM21" s="468"/>
      <c r="AN21" s="10"/>
      <c r="AO21" s="9"/>
      <c r="AP21" s="9"/>
      <c r="AQ21" s="9">
        <f>+FL_2($T$22,$T$20,$G$21,1200,9.28, 1*$F$22)</f>
        <v>0.29999999999995386</v>
      </c>
      <c r="AR21" s="9"/>
      <c r="AS21" s="9"/>
      <c r="AT21" s="9"/>
      <c r="AU21" s="447"/>
      <c r="AV21" s="447"/>
      <c r="AW21" s="468" t="str">
        <f>IF(C21&gt;0,VLOOKUP(C21,Foundation_Calc!$A$2:$C$13,3,1),
IF(J21&gt;0,VLOOKUP(J21,Foundation_Calc!$A$2:$C$13,3,1),""))</f>
        <v>MultiSoil</v>
      </c>
      <c r="AX21" s="468" t="str">
        <f>IF(C21&gt;0,VLOOKUP(C21,Foundation_Calc!$E$2:$G$13,3,1),
IF(J21&gt;0,VLOOKUP(J21,Foundation_Calc!$E$2:$G$13,3,1),""))</f>
        <v>PT</v>
      </c>
      <c r="AY21" s="10" t="str">
        <f>IF(L21="","",
IF(AX21="PT",VLOOKUP(L21,Foundation_Calc!$K$4:$R$37,VLOOKUP(AW21,Foundation_Calc!$I$2:$J$8,2,FALSE),0),
IF(AX21="K",VLOOKUP(L21,Foundation_Calc!$K$41:$R$74,VLOOKUP(AW21,Foundation_Calc!$I$2:$J$8,2,FALSE),0),"")))</f>
        <v/>
      </c>
      <c r="AZ21" s="10">
        <f>IF(K21="","",
IF(AX21="PT",VLOOKUP(K21,Foundation_Calc!$K$4:$R$37,VLOOKUP(AW21,Foundation_Calc!$I$2:$J$8,2,FALSE),0),
IF(AX21="K",VLOOKUP(K21,Foundation_Calc!$K$41:$R$74,VLOOKUP(AW21,Foundation_Calc!$I$2:$J$8,2,FALSE),0),"")))</f>
        <v>3.9</v>
      </c>
      <c r="BA21" s="553" t="str">
        <f t="shared" si="2"/>
        <v/>
      </c>
      <c r="BB21" s="553" t="str">
        <f t="shared" si="3"/>
        <v>ü</v>
      </c>
      <c r="BC21" s="553" t="str">
        <f t="shared" si="4"/>
        <v/>
      </c>
      <c r="BD21" s="572" t="str">
        <f>IF(AND(L21="",H21=""),"",
IF(H21="",Pole_Calc!A25,
IF(H21="MP",Pole_Calc!A26,
IF(H21="AnMP",Pole_Calc!A27,
IF(H21="A",Pole_Calc!A28,
IF(H21="S/A",Pole_Calc!A29,
IF(H21="A/S",Pole_Calc!A30,"Poner a mano")))))))</f>
        <v/>
      </c>
      <c r="BE21" s="448" t="s">
        <v>1726</v>
      </c>
      <c r="BF21" s="305"/>
      <c r="BG21" s="305"/>
      <c r="BH21" s="306"/>
      <c r="BI21" s="305"/>
    </row>
    <row r="22" spans="1:61" ht="16.2" customHeight="1">
      <c r="A22" s="573"/>
      <c r="B22" s="469" t="s">
        <v>2177</v>
      </c>
      <c r="C22" s="3">
        <f>+$C$20+$G$21</f>
        <v>211.4</v>
      </c>
      <c r="D22" s="88"/>
      <c r="E22" s="4"/>
      <c r="F22" s="4">
        <v>-285</v>
      </c>
      <c r="G22" s="6"/>
      <c r="H22" s="468" t="s">
        <v>26</v>
      </c>
      <c r="I22" s="468" t="s">
        <v>182</v>
      </c>
      <c r="J22" s="3"/>
      <c r="K22" s="468"/>
      <c r="L22" s="468" t="s">
        <v>323</v>
      </c>
      <c r="M22" s="468" t="str">
        <f>IF(L22="","",
IF(AX22="PT",VLOOKUP(L22,Foundation_Calc!$V$4:$X$37,VLOOKUP(AX22,Foundation_Calc!$I$10:$J$13,2,FALSE),0),
IF(AX22="K",VLOOKUP(L22,Foundation_Calc!$V$41:$X$74,VLOOKUP(AX22,Foundation_Calc!$I$10:$J$13,2,FALSE),0),"")))</f>
        <v>C5SR</v>
      </c>
      <c r="N22" s="468" t="s">
        <v>33</v>
      </c>
      <c r="O22" s="468"/>
      <c r="P22" s="468"/>
      <c r="Q22" s="4"/>
      <c r="R22" s="6"/>
      <c r="S22" s="6"/>
      <c r="T22" s="4">
        <v>30</v>
      </c>
      <c r="U22" s="4"/>
      <c r="V22" s="4"/>
      <c r="W22" s="9">
        <v>1.4</v>
      </c>
      <c r="X22" s="9"/>
      <c r="Y22" s="9"/>
      <c r="Z22" s="9"/>
      <c r="AA22" s="9"/>
      <c r="AB22" s="9"/>
      <c r="AC22" s="468" t="s">
        <v>1341</v>
      </c>
      <c r="AD22" s="468"/>
      <c r="AE22" s="468"/>
      <c r="AF22" s="4"/>
      <c r="AG22" s="88"/>
      <c r="AH22" s="4"/>
      <c r="AI22" s="4"/>
      <c r="AJ22" s="468"/>
      <c r="AK22" s="468"/>
      <c r="AL22" s="468" t="s">
        <v>1111</v>
      </c>
      <c r="AM22" s="468" t="s">
        <v>486</v>
      </c>
      <c r="AN22" s="10">
        <v>5.15</v>
      </c>
      <c r="AO22" s="9"/>
      <c r="AP22" s="9"/>
      <c r="AQ22" s="9"/>
      <c r="AR22" s="9"/>
      <c r="AS22" s="9"/>
      <c r="AT22" s="9">
        <f>+ab($T$22,$T$20,$T$24,$G$21,$G$23, 1*$F$22,1200)</f>
        <v>-2.1865143427104377</v>
      </c>
      <c r="AU22" s="447"/>
      <c r="AV22" s="447"/>
      <c r="AW22" s="468" t="str">
        <f>IF(C22&gt;0,VLOOKUP(C22,Foundation_Calc!$A$2:$C$13,3,1),
IF(J22&gt;0,VLOOKUP(J22,Foundation_Calc!$A$2:$C$13,3,1),""))</f>
        <v>MultiSoil</v>
      </c>
      <c r="AX22" s="468" t="str">
        <f>IF(C22&gt;0,VLOOKUP(C22,Foundation_Calc!$E$2:$G$13,3,1),
IF(J22&gt;0,VLOOKUP(J22,Foundation_Calc!$E$2:$G$13,3,1),""))</f>
        <v>PT</v>
      </c>
      <c r="AY22" s="10">
        <f>IF(L22="","",
IF(AX22="PT",VLOOKUP(L22,Foundation_Calc!$K$4:$R$37,VLOOKUP(AW22,Foundation_Calc!$I$2:$J$8,2,FALSE),0),
IF(AX22="K",VLOOKUP(L22,Foundation_Calc!$K$41:$R$74,VLOOKUP(AW22,Foundation_Calc!$I$2:$J$8,2,FALSE),0),"")))</f>
        <v>3.9</v>
      </c>
      <c r="AZ22" s="10" t="str">
        <f>IF(K22="","",
IF(AX22="PT",VLOOKUP(K22,Foundation_Calc!$K$4:$R$37,VLOOKUP(AW22,Foundation_Calc!$I$2:$J$8,2,FALSE),0),
IF(AX22="K",VLOOKUP(K22,Foundation_Calc!$K$41:$R$74,VLOOKUP(AW22,Foundation_Calc!$I$2:$J$8,2,FALSE),0),"")))</f>
        <v/>
      </c>
      <c r="BA22" s="553" t="str">
        <f t="shared" si="2"/>
        <v>ü</v>
      </c>
      <c r="BB22" s="553" t="str">
        <f t="shared" si="3"/>
        <v/>
      </c>
      <c r="BC22" s="553" t="str">
        <f t="shared" si="4"/>
        <v/>
      </c>
      <c r="BD22" s="572" t="str">
        <f>Pole_Calc!A$251</f>
        <v>App.8-V08H-P10.3</v>
      </c>
      <c r="BE22" s="448" t="s">
        <v>1726</v>
      </c>
      <c r="BF22" s="306"/>
      <c r="BG22" s="306"/>
      <c r="BH22" s="306"/>
      <c r="BI22" s="306"/>
    </row>
    <row r="23" spans="1:61" ht="16.2" customHeight="1">
      <c r="A23" s="573"/>
      <c r="B23" s="469"/>
      <c r="C23" s="3"/>
      <c r="D23" s="88"/>
      <c r="E23" s="4"/>
      <c r="F23" s="4"/>
      <c r="G23" s="6">
        <v>25</v>
      </c>
      <c r="H23" s="468"/>
      <c r="I23" s="468"/>
      <c r="J23" s="3"/>
      <c r="K23" s="468"/>
      <c r="L23" s="468"/>
      <c r="M23" s="468" t="str">
        <f>IF(L23="","",
IF(AX23="PT",VLOOKUP(L23,Foundation_Calc!$V$4:$X$37,VLOOKUP(AX23,Foundation_Calc!$I$10:$J$13,2,FALSE),0),
IF(AX23="K",VLOOKUP(L23,Foundation_Calc!$V$41:$X$74,VLOOKUP(AX23,Foundation_Calc!$I$10:$J$13,2,FALSE),0),"")))</f>
        <v/>
      </c>
      <c r="N23" s="468"/>
      <c r="O23" s="468"/>
      <c r="P23" s="468"/>
      <c r="Q23" s="4"/>
      <c r="R23" s="6"/>
      <c r="S23" s="6"/>
      <c r="T23" s="4"/>
      <c r="U23" s="4"/>
      <c r="V23" s="4"/>
      <c r="W23" s="9"/>
      <c r="X23" s="9"/>
      <c r="Y23" s="9"/>
      <c r="Z23" s="9"/>
      <c r="AA23" s="9"/>
      <c r="AB23" s="9"/>
      <c r="AC23" s="468" t="s">
        <v>195</v>
      </c>
      <c r="AD23" s="468"/>
      <c r="AE23" s="468"/>
      <c r="AF23" s="4"/>
      <c r="AG23" s="88"/>
      <c r="AH23" s="4"/>
      <c r="AI23" s="4"/>
      <c r="AJ23" s="468"/>
      <c r="AK23" s="468"/>
      <c r="AL23" s="468"/>
      <c r="AM23" s="468"/>
      <c r="AN23" s="10"/>
      <c r="AO23" s="9"/>
      <c r="AP23" s="9"/>
      <c r="AQ23" s="9">
        <f>+FL_1($T$24,$T$22,$G$23,1200,9.28, 1*$F$24)</f>
        <v>0.6346714310100916</v>
      </c>
      <c r="AR23" s="9"/>
      <c r="AS23" s="9"/>
      <c r="AT23" s="9"/>
      <c r="AU23" s="447"/>
      <c r="AV23" s="447"/>
      <c r="AW23" s="468" t="str">
        <f>IF(C23&gt;0,VLOOKUP(C23,Foundation_Calc!$A$2:$C$13,3,1),
IF(J23&gt;0,VLOOKUP(J23,Foundation_Calc!$A$2:$C$13,3,1),""))</f>
        <v/>
      </c>
      <c r="AX23" s="468" t="str">
        <f>IF(C23&gt;0,VLOOKUP(C23,Foundation_Calc!$E$2:$G$13,3,1),
IF(J23&gt;0,VLOOKUP(J23,Foundation_Calc!$E$2:$G$13,3,1),""))</f>
        <v/>
      </c>
      <c r="AY23" s="10" t="str">
        <f>IF(L23="","",
IF(AX23="PT",VLOOKUP(L23,Foundation_Calc!$K$4:$R$37,VLOOKUP(AW23,Foundation_Calc!$I$2:$J$8,2,FALSE),0),
IF(AX23="K",VLOOKUP(L23,Foundation_Calc!$K$41:$R$74,VLOOKUP(AW23,Foundation_Calc!$I$2:$J$8,2,FALSE),0),"")))</f>
        <v/>
      </c>
      <c r="AZ23" s="10" t="str">
        <f>IF(K23="","",
IF(AX23="PT",VLOOKUP(K23,Foundation_Calc!$K$4:$R$37,VLOOKUP(AW23,Foundation_Calc!$I$2:$J$8,2,FALSE),0),
IF(AX23="K",VLOOKUP(K23,Foundation_Calc!$K$41:$R$74,VLOOKUP(AW23,Foundation_Calc!$I$2:$J$8,2,FALSE),0),"")))</f>
        <v/>
      </c>
      <c r="BA23" s="553" t="str">
        <f t="shared" si="2"/>
        <v/>
      </c>
      <c r="BB23" s="553" t="str">
        <f t="shared" si="3"/>
        <v/>
      </c>
      <c r="BC23" s="553" t="str">
        <f t="shared" si="4"/>
        <v/>
      </c>
      <c r="BD23" s="572" t="str">
        <f>IF(AND(L23="",H23=""),"",
IF(H23="",Pole_Calc!A27,
IF(H23="MP",Pole_Calc!A28,
IF(H23="AnMP",Pole_Calc!A29,
IF(H23="A",Pole_Calc!A30,
IF(H23="S/A",Pole_Calc!A31,
IF(H23="A/S",Pole_Calc!A32,"Poner a mano")))))))</f>
        <v/>
      </c>
      <c r="BE23" s="448" t="s">
        <v>1726</v>
      </c>
      <c r="BF23" s="305"/>
      <c r="BG23" s="305"/>
      <c r="BH23" s="306"/>
      <c r="BI23" s="305"/>
    </row>
    <row r="24" spans="1:61" ht="16.2" customHeight="1">
      <c r="A24" s="573"/>
      <c r="B24" s="469" t="s">
        <v>2178</v>
      </c>
      <c r="C24" s="3">
        <f>+$C$22+$G$23</f>
        <v>236.4</v>
      </c>
      <c r="D24" s="88"/>
      <c r="E24" s="4"/>
      <c r="F24" s="4">
        <v>-285</v>
      </c>
      <c r="G24" s="6"/>
      <c r="H24" s="468"/>
      <c r="I24" s="468"/>
      <c r="J24" s="3"/>
      <c r="K24" s="468"/>
      <c r="L24" s="468" t="s">
        <v>323</v>
      </c>
      <c r="M24" s="468" t="str">
        <f>IF(L24="","",
IF(AX24="PT",VLOOKUP(L24,Foundation_Calc!$V$4:$X$37,VLOOKUP(AX24,Foundation_Calc!$I$10:$J$13,2,FALSE),0),
IF(AX24="K",VLOOKUP(L24,Foundation_Calc!$V$41:$X$74,VLOOKUP(AX24,Foundation_Calc!$I$10:$J$13,2,FALSE),0),"")))</f>
        <v>C5SR</v>
      </c>
      <c r="N24" s="468" t="s">
        <v>33</v>
      </c>
      <c r="O24" s="468"/>
      <c r="P24" s="468"/>
      <c r="Q24" s="4"/>
      <c r="R24" s="6"/>
      <c r="S24" s="6"/>
      <c r="T24" s="4">
        <v>30</v>
      </c>
      <c r="U24" s="4"/>
      <c r="V24" s="4"/>
      <c r="W24" s="9">
        <v>1.4</v>
      </c>
      <c r="X24" s="9"/>
      <c r="Y24" s="9"/>
      <c r="Z24" s="9"/>
      <c r="AA24" s="9"/>
      <c r="AB24" s="9"/>
      <c r="AC24" s="468" t="s">
        <v>1341</v>
      </c>
      <c r="AD24" s="468"/>
      <c r="AE24" s="468"/>
      <c r="AF24" s="4"/>
      <c r="AG24" s="88"/>
      <c r="AH24" s="4"/>
      <c r="AI24" s="4"/>
      <c r="AJ24" s="468"/>
      <c r="AK24" s="468"/>
      <c r="AL24" s="468" t="s">
        <v>1111</v>
      </c>
      <c r="AM24" s="468" t="s">
        <v>486</v>
      </c>
      <c r="AN24" s="10">
        <v>5.15</v>
      </c>
      <c r="AO24" s="9"/>
      <c r="AP24" s="9"/>
      <c r="AQ24" s="9"/>
      <c r="AR24" s="9"/>
      <c r="AS24" s="9"/>
      <c r="AT24" s="9">
        <f>+ab($T$24,$T$22,$T$26,$G$23,$G$25, 1*$F$24,1200)</f>
        <v>-2.1865143427104377</v>
      </c>
      <c r="AU24" s="447"/>
      <c r="AV24" s="447"/>
      <c r="AW24" s="468" t="str">
        <f>IF(C24&gt;0,VLOOKUP(C24,Foundation_Calc!$A$2:$C$13,3,1),
IF(J24&gt;0,VLOOKUP(J24,Foundation_Calc!$A$2:$C$13,3,1),""))</f>
        <v>MultiSoil</v>
      </c>
      <c r="AX24" s="468" t="str">
        <f>IF(C24&gt;0,VLOOKUP(C24,Foundation_Calc!$E$2:$G$13,3,1),
IF(J24&gt;0,VLOOKUP(J24,Foundation_Calc!$E$2:$G$13,3,1),""))</f>
        <v>PT</v>
      </c>
      <c r="AY24" s="10">
        <f>IF(L24="","",
IF(AX24="PT",VLOOKUP(L24,Foundation_Calc!$K$4:$R$37,VLOOKUP(AW24,Foundation_Calc!$I$2:$J$8,2,FALSE),0),
IF(AX24="K",VLOOKUP(L24,Foundation_Calc!$K$41:$R$74,VLOOKUP(AW24,Foundation_Calc!$I$2:$J$8,2,FALSE),0),"")))</f>
        <v>3.9</v>
      </c>
      <c r="AZ24" s="10" t="str">
        <f>IF(K24="","",
IF(AX24="PT",VLOOKUP(K24,Foundation_Calc!$K$4:$R$37,VLOOKUP(AW24,Foundation_Calc!$I$2:$J$8,2,FALSE),0),
IF(AX24="K",VLOOKUP(K24,Foundation_Calc!$K$41:$R$74,VLOOKUP(AW24,Foundation_Calc!$I$2:$J$8,2,FALSE),0),"")))</f>
        <v/>
      </c>
      <c r="BA24" s="553" t="str">
        <f t="shared" si="2"/>
        <v>ü</v>
      </c>
      <c r="BB24" s="553" t="str">
        <f t="shared" si="3"/>
        <v/>
      </c>
      <c r="BC24" s="553" t="str">
        <f t="shared" si="4"/>
        <v/>
      </c>
      <c r="BD24" s="572" t="str">
        <f>Pole_Calc!A$251</f>
        <v>App.8-V08H-P10.3</v>
      </c>
      <c r="BE24" s="448" t="s">
        <v>1726</v>
      </c>
      <c r="BF24" s="306"/>
      <c r="BG24" s="306"/>
      <c r="BH24" s="306"/>
      <c r="BI24" s="306"/>
    </row>
    <row r="25" spans="1:61" ht="16.2" customHeight="1">
      <c r="A25" s="573"/>
      <c r="B25" s="469"/>
      <c r="C25" s="3"/>
      <c r="D25" s="88"/>
      <c r="E25" s="4"/>
      <c r="F25" s="4"/>
      <c r="G25" s="6">
        <v>25</v>
      </c>
      <c r="H25" s="468"/>
      <c r="I25" s="468"/>
      <c r="J25" s="3"/>
      <c r="K25" s="468"/>
      <c r="L25" s="468"/>
      <c r="M25" s="468" t="str">
        <f>IF(L25="","",
IF(AX25="PT",VLOOKUP(L25,Foundation_Calc!$V$4:$X$37,VLOOKUP(AX25,Foundation_Calc!$I$10:$J$13,2,FALSE),0),
IF(AX25="K",VLOOKUP(L25,Foundation_Calc!$V$41:$X$74,VLOOKUP(AX25,Foundation_Calc!$I$10:$J$13,2,FALSE),0),"")))</f>
        <v/>
      </c>
      <c r="N25" s="468"/>
      <c r="O25" s="468"/>
      <c r="P25" s="468"/>
      <c r="Q25" s="4"/>
      <c r="R25" s="6"/>
      <c r="S25" s="6"/>
      <c r="T25" s="4"/>
      <c r="U25" s="4"/>
      <c r="V25" s="4"/>
      <c r="W25" s="9"/>
      <c r="X25" s="9"/>
      <c r="Y25" s="9"/>
      <c r="Z25" s="9"/>
      <c r="AA25" s="9"/>
      <c r="AB25" s="9"/>
      <c r="AC25" s="468" t="s">
        <v>195</v>
      </c>
      <c r="AD25" s="468"/>
      <c r="AE25" s="468"/>
      <c r="AF25" s="4"/>
      <c r="AG25" s="88"/>
      <c r="AH25" s="4"/>
      <c r="AI25" s="4"/>
      <c r="AJ25" s="468"/>
      <c r="AK25" s="468"/>
      <c r="AL25" s="468"/>
      <c r="AM25" s="468"/>
      <c r="AN25" s="10"/>
      <c r="AO25" s="9"/>
      <c r="AP25" s="9"/>
      <c r="AQ25" s="9">
        <f>+FL_2($T$26,$T$24,$G$25,1200,9.28, 1*$F$26)</f>
        <v>0.29999999999995386</v>
      </c>
      <c r="AR25" s="9"/>
      <c r="AS25" s="9"/>
      <c r="AT25" s="9"/>
      <c r="AU25" s="447"/>
      <c r="AV25" s="447"/>
      <c r="AW25" s="468" t="str">
        <f>IF(C25&gt;0,VLOOKUP(C25,Foundation_Calc!$A$2:$C$13,3,1),
IF(J25&gt;0,VLOOKUP(J25,Foundation_Calc!$A$2:$C$13,3,1),""))</f>
        <v/>
      </c>
      <c r="AX25" s="468" t="str">
        <f>IF(C25&gt;0,VLOOKUP(C25,Foundation_Calc!$E$2:$G$13,3,1),
IF(J25&gt;0,VLOOKUP(J25,Foundation_Calc!$E$2:$G$13,3,1),""))</f>
        <v/>
      </c>
      <c r="AY25" s="10" t="str">
        <f>IF(L25="","",
IF(AX25="PT",VLOOKUP(L25,Foundation_Calc!$K$4:$R$37,VLOOKUP(AW25,Foundation_Calc!$I$2:$J$8,2,FALSE),0),
IF(AX25="K",VLOOKUP(L25,Foundation_Calc!$K$41:$R$74,VLOOKUP(AW25,Foundation_Calc!$I$2:$J$8,2,FALSE),0),"")))</f>
        <v/>
      </c>
      <c r="AZ25" s="10" t="str">
        <f>IF(K25="","",
IF(AX25="PT",VLOOKUP(K25,Foundation_Calc!$K$4:$R$37,VLOOKUP(AW25,Foundation_Calc!$I$2:$J$8,2,FALSE),0),
IF(AX25="K",VLOOKUP(K25,Foundation_Calc!$K$41:$R$74,VLOOKUP(AW25,Foundation_Calc!$I$2:$J$8,2,FALSE),0),"")))</f>
        <v/>
      </c>
      <c r="BA25" s="553" t="str">
        <f t="shared" si="2"/>
        <v/>
      </c>
      <c r="BB25" s="553" t="str">
        <f t="shared" si="3"/>
        <v/>
      </c>
      <c r="BC25" s="553" t="str">
        <f t="shared" si="4"/>
        <v/>
      </c>
      <c r="BD25" s="572" t="str">
        <f>IF(AND(L25="",H25=""),"",
IF(H25="",Pole_Calc!A29,
IF(H25="MP",Pole_Calc!A30,
IF(H25="AnMP",Pole_Calc!A31,
IF(H25="A",Pole_Calc!A32,
IF(H25="S/A",Pole_Calc!A33,
IF(H25="A/S",Pole_Calc!A34,"Poner a mano")))))))</f>
        <v/>
      </c>
      <c r="BE25" s="448" t="s">
        <v>1726</v>
      </c>
      <c r="BF25" s="305"/>
      <c r="BG25" s="305"/>
      <c r="BH25" s="306"/>
      <c r="BI25" s="305"/>
    </row>
    <row r="26" spans="1:61" ht="16.2" customHeight="1">
      <c r="A26" s="573"/>
      <c r="B26" s="469" t="s">
        <v>2179</v>
      </c>
      <c r="C26" s="3">
        <f>+$C$24+$G$25</f>
        <v>261.39999999999998</v>
      </c>
      <c r="D26" s="88"/>
      <c r="E26" s="4"/>
      <c r="F26" s="4">
        <v>-285</v>
      </c>
      <c r="G26" s="6"/>
      <c r="H26" s="468"/>
      <c r="I26" s="468"/>
      <c r="J26" s="3"/>
      <c r="K26" s="468"/>
      <c r="L26" s="468" t="s">
        <v>998</v>
      </c>
      <c r="M26" s="468" t="str">
        <f>IF(L26="","",
IF(AX26="PT",VLOOKUP(L26,Foundation_Calc!$V$4:$X$37,VLOOKUP(AX26,Foundation_Calc!$I$10:$J$13,2,FALSE),0),
IF(AX26="K",VLOOKUP(L26,Foundation_Calc!$V$41:$X$74,VLOOKUP(AX26,Foundation_Calc!$I$10:$J$13,2,FALSE),0),"")))</f>
        <v>2C4SR</v>
      </c>
      <c r="N26" s="468" t="s">
        <v>33</v>
      </c>
      <c r="O26" s="468"/>
      <c r="P26" s="468"/>
      <c r="Q26" s="4"/>
      <c r="R26" s="6"/>
      <c r="S26" s="6"/>
      <c r="T26" s="4">
        <v>30</v>
      </c>
      <c r="U26" s="4"/>
      <c r="V26" s="4"/>
      <c r="W26" s="9">
        <v>1.4</v>
      </c>
      <c r="X26" s="9"/>
      <c r="Y26" s="9"/>
      <c r="Z26" s="9"/>
      <c r="AA26" s="9"/>
      <c r="AB26" s="9"/>
      <c r="AC26" s="468" t="s">
        <v>1341</v>
      </c>
      <c r="AD26" s="468"/>
      <c r="AE26" s="468"/>
      <c r="AF26" s="4"/>
      <c r="AG26" s="88"/>
      <c r="AH26" s="4"/>
      <c r="AI26" s="4"/>
      <c r="AJ26" s="468"/>
      <c r="AK26" s="468"/>
      <c r="AL26" s="468" t="s">
        <v>1111</v>
      </c>
      <c r="AM26" s="468" t="s">
        <v>486</v>
      </c>
      <c r="AN26" s="10">
        <v>5.15</v>
      </c>
      <c r="AO26" s="9"/>
      <c r="AP26" s="9"/>
      <c r="AQ26" s="9"/>
      <c r="AR26" s="9"/>
      <c r="AS26" s="9"/>
      <c r="AT26" s="9">
        <f>+ab($T$26,$T$24,$T$28,$G$25,$G$27, 1*$F$26,1200)</f>
        <v>-2.1865143427104377</v>
      </c>
      <c r="AU26" s="447"/>
      <c r="AV26" s="447"/>
      <c r="AW26" s="468" t="str">
        <f>IF(C26&gt;0,VLOOKUP(C26,Foundation_Calc!$A$2:$C$13,3,1),
IF(J26&gt;0,VLOOKUP(J26,Foundation_Calc!$A$2:$C$13,3,1),""))</f>
        <v>MultiSoil</v>
      </c>
      <c r="AX26" s="468" t="str">
        <f>IF(C26&gt;0,VLOOKUP(C26,Foundation_Calc!$E$2:$G$13,3,1),
IF(J26&gt;0,VLOOKUP(J26,Foundation_Calc!$E$2:$G$13,3,1),""))</f>
        <v>PT</v>
      </c>
      <c r="AY26" s="10">
        <f>IF(L26="","",
IF(AX26="PT",VLOOKUP(L26,Foundation_Calc!$K$4:$R$37,VLOOKUP(AW26,Foundation_Calc!$I$2:$J$8,2,FALSE),0),
IF(AX26="K",VLOOKUP(L26,Foundation_Calc!$K$41:$R$74,VLOOKUP(AW26,Foundation_Calc!$I$2:$J$8,2,FALSE),0),"")))</f>
        <v>5.6</v>
      </c>
      <c r="AZ26" s="10" t="str">
        <f>IF(K26="","",
IF(AX26="PT",VLOOKUP(K26,Foundation_Calc!$K$4:$R$37,VLOOKUP(AW26,Foundation_Calc!$I$2:$J$8,2,FALSE),0),
IF(AX26="K",VLOOKUP(K26,Foundation_Calc!$K$41:$R$74,VLOOKUP(AW26,Foundation_Calc!$I$2:$J$8,2,FALSE),0),"")))</f>
        <v/>
      </c>
      <c r="BA26" s="553" t="str">
        <f t="shared" si="2"/>
        <v>ü</v>
      </c>
      <c r="BB26" s="553" t="str">
        <f t="shared" si="3"/>
        <v/>
      </c>
      <c r="BC26" s="553" t="str">
        <f t="shared" si="4"/>
        <v/>
      </c>
      <c r="BD26" s="572" t="str">
        <f>Pole_Calc!A$251</f>
        <v>App.8-V08H-P10.3</v>
      </c>
      <c r="BE26" s="448" t="s">
        <v>1726</v>
      </c>
      <c r="BF26" s="306"/>
      <c r="BG26" s="306"/>
      <c r="BH26" s="306"/>
      <c r="BI26" s="306"/>
    </row>
    <row r="27" spans="1:61" ht="16.2" customHeight="1">
      <c r="A27" s="573" t="s">
        <v>2448</v>
      </c>
      <c r="B27" s="469"/>
      <c r="C27" s="3"/>
      <c r="D27" s="88"/>
      <c r="E27" s="4"/>
      <c r="F27" s="4"/>
      <c r="G27" s="6">
        <v>25</v>
      </c>
      <c r="H27" s="468"/>
      <c r="I27" s="4"/>
      <c r="J27" s="3"/>
      <c r="K27" s="468"/>
      <c r="L27" s="468"/>
      <c r="M27" s="468" t="str">
        <f>IF(L27="","",
IF(AX27="PT",VLOOKUP(L27,Foundation_Calc!$V$4:$X$37,VLOOKUP(AX27,Foundation_Calc!$I$10:$J$13,2,FALSE),0),
IF(AX27="K",VLOOKUP(L27,Foundation_Calc!$V$41:$X$74,VLOOKUP(AX27,Foundation_Calc!$I$10:$J$13,2,FALSE),0),"")))</f>
        <v/>
      </c>
      <c r="N27" s="468"/>
      <c r="O27" s="468"/>
      <c r="P27" s="468"/>
      <c r="Q27" s="4"/>
      <c r="R27" s="6"/>
      <c r="S27" s="6"/>
      <c r="T27" s="4"/>
      <c r="U27" s="4"/>
      <c r="V27" s="4"/>
      <c r="W27" s="9"/>
      <c r="X27" s="9"/>
      <c r="Y27" s="9"/>
      <c r="Z27" s="9"/>
      <c r="AA27" s="9"/>
      <c r="AB27" s="9"/>
      <c r="AC27" s="468" t="s">
        <v>195</v>
      </c>
      <c r="AD27" s="468"/>
      <c r="AE27" s="468"/>
      <c r="AF27" s="4"/>
      <c r="AG27" s="88"/>
      <c r="AH27" s="4"/>
      <c r="AI27" s="4"/>
      <c r="AJ27" s="468"/>
      <c r="AK27" s="468"/>
      <c r="AL27" s="468"/>
      <c r="AM27" s="468"/>
      <c r="AN27" s="10"/>
      <c r="AO27" s="9"/>
      <c r="AP27" s="9"/>
      <c r="AQ27" s="9">
        <f>+FL_2($T$28,$T$26,$G$27,1200,9.28, 1*$F$28)</f>
        <v>0.29999999999995386</v>
      </c>
      <c r="AR27" s="9"/>
      <c r="AS27" s="9"/>
      <c r="AT27" s="9"/>
      <c r="AU27" s="447"/>
      <c r="AV27" s="447"/>
      <c r="AW27" s="468" t="str">
        <f>IF(C27&gt;0,VLOOKUP(C27,Foundation_Calc!$A$2:$C$13,3,1),
IF(J27&gt;0,VLOOKUP(J27,Foundation_Calc!$A$2:$C$13,3,1),""))</f>
        <v/>
      </c>
      <c r="AX27" s="468" t="str">
        <f>IF(C27&gt;0,VLOOKUP(C27,Foundation_Calc!$E$2:$G$13,3,1),
IF(J27&gt;0,VLOOKUP(J27,Foundation_Calc!$E$2:$G$13,3,1),""))</f>
        <v/>
      </c>
      <c r="AY27" s="10" t="str">
        <f>IF(L27="","",
IF(AX27="PT",VLOOKUP(L27,Foundation_Calc!$K$4:$R$37,VLOOKUP(AW27,Foundation_Calc!$I$2:$J$8,2,FALSE),0),
IF(AX27="K",VLOOKUP(L27,Foundation_Calc!$K$41:$R$74,VLOOKUP(AW27,Foundation_Calc!$I$2:$J$8,2,FALSE),0),"")))</f>
        <v/>
      </c>
      <c r="AZ27" s="10" t="str">
        <f>IF(K27="","",
IF(AX27="PT",VLOOKUP(K27,Foundation_Calc!$K$4:$R$37,VLOOKUP(AW27,Foundation_Calc!$I$2:$J$8,2,FALSE),0),
IF(AX27="K",VLOOKUP(K27,Foundation_Calc!$K$41:$R$74,VLOOKUP(AW27,Foundation_Calc!$I$2:$J$8,2,FALSE),0),"")))</f>
        <v/>
      </c>
      <c r="BA27" s="553" t="str">
        <f t="shared" si="2"/>
        <v/>
      </c>
      <c r="BB27" s="553" t="str">
        <f t="shared" si="3"/>
        <v/>
      </c>
      <c r="BC27" s="553" t="str">
        <f t="shared" si="4"/>
        <v/>
      </c>
      <c r="BD27" s="572" t="str">
        <f>IF(AND(L27="",H27=""),"",
IF(H27="",Pole_Calc!A31,
IF(H27="MP",Pole_Calc!A32,
IF(H27="AnMP",Pole_Calc!A33,
IF(H27="A",Pole_Calc!A34,
IF(H27="S/A",Pole_Calc!A35,
IF(H27="A/S",Pole_Calc!A36,"Poner a mano")))))))</f>
        <v/>
      </c>
      <c r="BE27" s="448" t="s">
        <v>1726</v>
      </c>
      <c r="BF27" s="305"/>
      <c r="BG27" s="305"/>
      <c r="BH27" s="306"/>
      <c r="BI27" s="305"/>
    </row>
    <row r="28" spans="1:61" ht="16.2" customHeight="1">
      <c r="A28" s="573"/>
      <c r="B28" s="469" t="s">
        <v>2180</v>
      </c>
      <c r="C28" s="3">
        <f>+$C$26+$G$27</f>
        <v>286.39999999999998</v>
      </c>
      <c r="D28" s="88"/>
      <c r="E28" s="4"/>
      <c r="F28" s="4">
        <v>-285</v>
      </c>
      <c r="G28" s="6"/>
      <c r="H28" s="468"/>
      <c r="I28" s="468"/>
      <c r="J28" s="3"/>
      <c r="K28" s="468"/>
      <c r="L28" s="468" t="s">
        <v>323</v>
      </c>
      <c r="M28" s="468" t="str">
        <f>IF(L28="","",
IF(AX28="PT",VLOOKUP(L28,Foundation_Calc!$V$4:$X$37,VLOOKUP(AX28,Foundation_Calc!$I$10:$J$13,2,FALSE),0),
IF(AX28="K",VLOOKUP(L28,Foundation_Calc!$V$41:$X$74,VLOOKUP(AX28,Foundation_Calc!$I$10:$J$13,2,FALSE),0),"")))</f>
        <v>C5SR</v>
      </c>
      <c r="N28" s="468" t="s">
        <v>33</v>
      </c>
      <c r="O28" s="468"/>
      <c r="P28" s="468"/>
      <c r="Q28" s="4"/>
      <c r="R28" s="6"/>
      <c r="S28" s="6"/>
      <c r="T28" s="4">
        <v>30</v>
      </c>
      <c r="U28" s="4"/>
      <c r="V28" s="4"/>
      <c r="W28" s="9">
        <v>1.4</v>
      </c>
      <c r="X28" s="9"/>
      <c r="Y28" s="9"/>
      <c r="Z28" s="9"/>
      <c r="AA28" s="9"/>
      <c r="AB28" s="9"/>
      <c r="AC28" s="468" t="s">
        <v>1341</v>
      </c>
      <c r="AD28" s="468"/>
      <c r="AE28" s="468"/>
      <c r="AF28" s="4"/>
      <c r="AG28" s="88"/>
      <c r="AH28" s="4"/>
      <c r="AI28" s="4"/>
      <c r="AJ28" s="468"/>
      <c r="AK28" s="468"/>
      <c r="AL28" s="468" t="s">
        <v>1111</v>
      </c>
      <c r="AM28" s="468" t="s">
        <v>486</v>
      </c>
      <c r="AN28" s="10">
        <v>5.15</v>
      </c>
      <c r="AO28" s="9"/>
      <c r="AP28" s="9"/>
      <c r="AQ28" s="9"/>
      <c r="AR28" s="9"/>
      <c r="AS28" s="9"/>
      <c r="AT28" s="9">
        <f>+ab($T$28,$T$26,$T$30,$G$27,$G$29, 1*$F$28,1200)</f>
        <v>-2.1865143427104377</v>
      </c>
      <c r="AU28" s="447"/>
      <c r="AV28" s="447"/>
      <c r="AW28" s="468" t="str">
        <f>IF(C28&gt;0,VLOOKUP(C28,Foundation_Calc!$A$2:$C$13,3,1),
IF(J28&gt;0,VLOOKUP(J28,Foundation_Calc!$A$2:$C$13,3,1),""))</f>
        <v>MultiSoil</v>
      </c>
      <c r="AX28" s="468" t="str">
        <f>IF(C28&gt;0,VLOOKUP(C28,Foundation_Calc!$E$2:$G$13,3,1),
IF(J28&gt;0,VLOOKUP(J28,Foundation_Calc!$E$2:$G$13,3,1),""))</f>
        <v>PT</v>
      </c>
      <c r="AY28" s="10">
        <f>IF(L28="","",
IF(AX28="PT",VLOOKUP(L28,Foundation_Calc!$K$4:$R$37,VLOOKUP(AW28,Foundation_Calc!$I$2:$J$8,2,FALSE),0),
IF(AX28="K",VLOOKUP(L28,Foundation_Calc!$K$41:$R$74,VLOOKUP(AW28,Foundation_Calc!$I$2:$J$8,2,FALSE),0),"")))</f>
        <v>3.9</v>
      </c>
      <c r="AZ28" s="10" t="str">
        <f>IF(K28="","",
IF(AX28="PT",VLOOKUP(K28,Foundation_Calc!$K$4:$R$37,VLOOKUP(AW28,Foundation_Calc!$I$2:$J$8,2,FALSE),0),
IF(AX28="K",VLOOKUP(K28,Foundation_Calc!$K$41:$R$74,VLOOKUP(AW28,Foundation_Calc!$I$2:$J$8,2,FALSE),0),"")))</f>
        <v/>
      </c>
      <c r="BA28" s="553" t="str">
        <f t="shared" si="2"/>
        <v>ü</v>
      </c>
      <c r="BB28" s="553" t="str">
        <f t="shared" si="3"/>
        <v/>
      </c>
      <c r="BC28" s="553" t="str">
        <f t="shared" si="4"/>
        <v/>
      </c>
      <c r="BD28" s="572" t="str">
        <f>Pole_Calc!A$251</f>
        <v>App.8-V08H-P10.3</v>
      </c>
      <c r="BE28" s="448" t="s">
        <v>1726</v>
      </c>
      <c r="BF28" s="306"/>
      <c r="BG28" s="306"/>
      <c r="BH28" s="306"/>
      <c r="BI28" s="306"/>
    </row>
    <row r="29" spans="1:61" ht="16.2" customHeight="1">
      <c r="A29" s="573"/>
      <c r="B29" s="469"/>
      <c r="C29" s="3"/>
      <c r="D29" s="88"/>
      <c r="E29" s="4"/>
      <c r="F29" s="4"/>
      <c r="G29" s="6">
        <v>25</v>
      </c>
      <c r="H29" s="468"/>
      <c r="I29" s="4"/>
      <c r="J29" s="3"/>
      <c r="K29" s="468"/>
      <c r="L29" s="468"/>
      <c r="M29" s="468" t="str">
        <f>IF(L29="","",
IF(AX29="PT",VLOOKUP(L29,Foundation_Calc!$V$4:$X$37,VLOOKUP(AX29,Foundation_Calc!$I$10:$J$13,2,FALSE),0),
IF(AX29="K",VLOOKUP(L29,Foundation_Calc!$V$41:$X$74,VLOOKUP(AX29,Foundation_Calc!$I$10:$J$13,2,FALSE),0),"")))</f>
        <v/>
      </c>
      <c r="N29" s="468"/>
      <c r="O29" s="468"/>
      <c r="P29" s="468"/>
      <c r="Q29" s="4"/>
      <c r="R29" s="6"/>
      <c r="S29" s="6"/>
      <c r="T29" s="4"/>
      <c r="U29" s="4"/>
      <c r="V29" s="4"/>
      <c r="W29" s="9"/>
      <c r="X29" s="9"/>
      <c r="Y29" s="9"/>
      <c r="Z29" s="9"/>
      <c r="AA29" s="9"/>
      <c r="AB29" s="9"/>
      <c r="AC29" s="468" t="s">
        <v>195</v>
      </c>
      <c r="AD29" s="468"/>
      <c r="AE29" s="468"/>
      <c r="AF29" s="4"/>
      <c r="AG29" s="88"/>
      <c r="AH29" s="4"/>
      <c r="AI29" s="4"/>
      <c r="AJ29" s="468"/>
      <c r="AK29" s="468"/>
      <c r="AL29" s="468"/>
      <c r="AM29" s="468"/>
      <c r="AN29" s="10"/>
      <c r="AO29" s="9"/>
      <c r="AP29" s="9"/>
      <c r="AQ29" s="9">
        <f>+FL_2($T$30,$T$28,$G$29,1200,9.28, 1*$F$30)</f>
        <v>0.29999999999995386</v>
      </c>
      <c r="AR29" s="9"/>
      <c r="AS29" s="9"/>
      <c r="AT29" s="9"/>
      <c r="AU29" s="447"/>
      <c r="AV29" s="447"/>
      <c r="AW29" s="468" t="str">
        <f>IF(C29&gt;0,VLOOKUP(C29,Foundation_Calc!$A$2:$C$13,3,1),
IF(J29&gt;0,VLOOKUP(J29,Foundation_Calc!$A$2:$C$13,3,1),""))</f>
        <v/>
      </c>
      <c r="AX29" s="468" t="str">
        <f>IF(C29&gt;0,VLOOKUP(C29,Foundation_Calc!$E$2:$G$13,3,1),
IF(J29&gt;0,VLOOKUP(J29,Foundation_Calc!$E$2:$G$13,3,1),""))</f>
        <v/>
      </c>
      <c r="AY29" s="10" t="str">
        <f>IF(L29="","",
IF(AX29="PT",VLOOKUP(L29,Foundation_Calc!$K$4:$R$37,VLOOKUP(AW29,Foundation_Calc!$I$2:$J$8,2,FALSE),0),
IF(AX29="K",VLOOKUP(L29,Foundation_Calc!$K$41:$R$74,VLOOKUP(AW29,Foundation_Calc!$I$2:$J$8,2,FALSE),0),"")))</f>
        <v/>
      </c>
      <c r="AZ29" s="10" t="str">
        <f>IF(K29="","",
IF(AX29="PT",VLOOKUP(K29,Foundation_Calc!$K$4:$R$37,VLOOKUP(AW29,Foundation_Calc!$I$2:$J$8,2,FALSE),0),
IF(AX29="K",VLOOKUP(K29,Foundation_Calc!$K$41:$R$74,VLOOKUP(AW29,Foundation_Calc!$I$2:$J$8,2,FALSE),0),"")))</f>
        <v/>
      </c>
      <c r="BA29" s="553" t="str">
        <f t="shared" si="2"/>
        <v/>
      </c>
      <c r="BB29" s="553" t="str">
        <f t="shared" si="3"/>
        <v/>
      </c>
      <c r="BC29" s="553" t="str">
        <f t="shared" si="4"/>
        <v/>
      </c>
      <c r="BD29" s="572" t="str">
        <f>IF(AND(L29="",H29=""),"",
IF(H29="",Pole_Calc!A33,
IF(H29="MP",Pole_Calc!A34,
IF(H29="AnMP",Pole_Calc!A35,
IF(H29="A",Pole_Calc!A36,
IF(H29="S/A",Pole_Calc!A37,
IF(H29="A/S",Pole_Calc!A38,"Poner a mano")))))))</f>
        <v/>
      </c>
      <c r="BE29" s="448" t="s">
        <v>1726</v>
      </c>
      <c r="BF29" s="305"/>
      <c r="BG29" s="305"/>
      <c r="BH29" s="306"/>
      <c r="BI29" s="305"/>
    </row>
    <row r="30" spans="1:61" ht="16.2" customHeight="1">
      <c r="A30" s="573"/>
      <c r="B30" s="469" t="s">
        <v>2181</v>
      </c>
      <c r="C30" s="3">
        <f>+$C$28+$G$29</f>
        <v>311.39999999999998</v>
      </c>
      <c r="D30" s="88"/>
      <c r="E30" s="4"/>
      <c r="F30" s="4">
        <v>-285</v>
      </c>
      <c r="G30" s="6"/>
      <c r="H30" s="468"/>
      <c r="I30" s="468"/>
      <c r="J30" s="3"/>
      <c r="K30" s="468"/>
      <c r="L30" s="468" t="s">
        <v>998</v>
      </c>
      <c r="M30" s="468" t="str">
        <f>IF(L30="","",
IF(AX30="PT",VLOOKUP(L30,Foundation_Calc!$V$4:$X$37,VLOOKUP(AX30,Foundation_Calc!$I$10:$J$13,2,FALSE),0),
IF(AX30="K",VLOOKUP(L30,Foundation_Calc!$V$41:$X$74,VLOOKUP(AX30,Foundation_Calc!$I$10:$J$13,2,FALSE),0),"")))</f>
        <v>2C4SR</v>
      </c>
      <c r="N30" s="468" t="s">
        <v>33</v>
      </c>
      <c r="O30" s="468"/>
      <c r="P30" s="468"/>
      <c r="Q30" s="4"/>
      <c r="R30" s="6"/>
      <c r="S30" s="6"/>
      <c r="T30" s="4">
        <v>30</v>
      </c>
      <c r="U30" s="4"/>
      <c r="V30" s="4"/>
      <c r="W30" s="9">
        <v>1.2</v>
      </c>
      <c r="X30" s="9"/>
      <c r="Y30" s="9"/>
      <c r="Z30" s="9"/>
      <c r="AA30" s="9"/>
      <c r="AB30" s="9"/>
      <c r="AC30" s="468" t="s">
        <v>1341</v>
      </c>
      <c r="AD30" s="468"/>
      <c r="AE30" s="468"/>
      <c r="AF30" s="4"/>
      <c r="AG30" s="88"/>
      <c r="AH30" s="4"/>
      <c r="AI30" s="4"/>
      <c r="AJ30" s="468"/>
      <c r="AK30" s="468"/>
      <c r="AL30" s="468" t="s">
        <v>1111</v>
      </c>
      <c r="AM30" s="468" t="s">
        <v>486</v>
      </c>
      <c r="AN30" s="10">
        <v>5.15</v>
      </c>
      <c r="AO30" s="9"/>
      <c r="AP30" s="9"/>
      <c r="AQ30" s="9"/>
      <c r="AR30" s="9"/>
      <c r="AS30" s="9"/>
      <c r="AT30" s="9">
        <f>+ab($T$30,$T$28,$T$32,$G$29,$G$31, 1*$F$30,1200)</f>
        <v>-2.1865143427104377</v>
      </c>
      <c r="AU30" s="447"/>
      <c r="AV30" s="447"/>
      <c r="AW30" s="468" t="str">
        <f>IF(C30&gt;0,VLOOKUP(C30,Foundation_Calc!$A$2:$C$13,3,1),
IF(J30&gt;0,VLOOKUP(J30,Foundation_Calc!$A$2:$C$13,3,1),""))</f>
        <v>MultiSoil</v>
      </c>
      <c r="AX30" s="468" t="str">
        <f>IF(C30&gt;0,VLOOKUP(C30,Foundation_Calc!$E$2:$G$13,3,1),
IF(J30&gt;0,VLOOKUP(J30,Foundation_Calc!$E$2:$G$13,3,1),""))</f>
        <v>PT</v>
      </c>
      <c r="AY30" s="10">
        <f>IF(L30="","",
IF(AX30="PT",VLOOKUP(L30,Foundation_Calc!$K$4:$R$37,VLOOKUP(AW30,Foundation_Calc!$I$2:$J$8,2,FALSE),0),
IF(AX30="K",VLOOKUP(L30,Foundation_Calc!$K$41:$R$74,VLOOKUP(AW30,Foundation_Calc!$I$2:$J$8,2,FALSE),0),"")))</f>
        <v>5.6</v>
      </c>
      <c r="AZ30" s="10" t="str">
        <f>IF(K30="","",
IF(AX30="PT",VLOOKUP(K30,Foundation_Calc!$K$4:$R$37,VLOOKUP(AW30,Foundation_Calc!$I$2:$J$8,2,FALSE),0),
IF(AX30="K",VLOOKUP(K30,Foundation_Calc!$K$41:$R$74,VLOOKUP(AW30,Foundation_Calc!$I$2:$J$8,2,FALSE),0),"")))</f>
        <v/>
      </c>
      <c r="BA30" s="553" t="str">
        <f t="shared" si="2"/>
        <v>ü</v>
      </c>
      <c r="BB30" s="553" t="str">
        <f t="shared" si="3"/>
        <v/>
      </c>
      <c r="BC30" s="553" t="str">
        <f t="shared" si="4"/>
        <v/>
      </c>
      <c r="BD30" s="572" t="str">
        <f>Pole_Calc!A$251</f>
        <v>App.8-V08H-P10.3</v>
      </c>
      <c r="BE30" s="448" t="s">
        <v>1726</v>
      </c>
      <c r="BF30" s="306"/>
      <c r="BG30" s="306"/>
      <c r="BH30" s="306"/>
      <c r="BI30" s="306"/>
    </row>
    <row r="31" spans="1:61" ht="16.2" customHeight="1">
      <c r="A31" s="573"/>
      <c r="B31" s="469"/>
      <c r="C31" s="3"/>
      <c r="D31" s="88"/>
      <c r="E31" s="4"/>
      <c r="F31" s="4"/>
      <c r="G31" s="6">
        <v>25</v>
      </c>
      <c r="H31" s="468"/>
      <c r="I31" s="468"/>
      <c r="J31" s="3"/>
      <c r="K31" s="468"/>
      <c r="L31" s="468"/>
      <c r="M31" s="468" t="str">
        <f>IF(L31="","",
IF(AX31="PT",VLOOKUP(L31,Foundation_Calc!$V$4:$X$37,VLOOKUP(AX31,Foundation_Calc!$I$10:$J$13,2,FALSE),0),
IF(AX31="K",VLOOKUP(L31,Foundation_Calc!$V$41:$X$74,VLOOKUP(AX31,Foundation_Calc!$I$10:$J$13,2,FALSE),0),"")))</f>
        <v/>
      </c>
      <c r="N31" s="468"/>
      <c r="O31" s="468"/>
      <c r="P31" s="468"/>
      <c r="Q31" s="4"/>
      <c r="R31" s="6"/>
      <c r="S31" s="6"/>
      <c r="T31" s="4"/>
      <c r="U31" s="4"/>
      <c r="V31" s="4"/>
      <c r="W31" s="9"/>
      <c r="X31" s="9"/>
      <c r="Y31" s="9"/>
      <c r="Z31" s="9"/>
      <c r="AA31" s="9"/>
      <c r="AB31" s="9"/>
      <c r="AC31" s="468" t="s">
        <v>195</v>
      </c>
      <c r="AD31" s="468"/>
      <c r="AE31" s="468"/>
      <c r="AF31" s="4"/>
      <c r="AG31" s="88"/>
      <c r="AH31" s="4"/>
      <c r="AI31" s="4"/>
      <c r="AJ31" s="468"/>
      <c r="AK31" s="468"/>
      <c r="AL31" s="468"/>
      <c r="AM31" s="468"/>
      <c r="AN31" s="10"/>
      <c r="AO31" s="9"/>
      <c r="AP31" s="9"/>
      <c r="AQ31" s="9">
        <f>+FL_2($T$32,$T$30,$G$31,1200,9.28, 1*$F$32)</f>
        <v>0.29999999999995386</v>
      </c>
      <c r="AR31" s="9"/>
      <c r="AS31" s="9"/>
      <c r="AT31" s="9"/>
      <c r="AU31" s="447"/>
      <c r="AV31" s="447"/>
      <c r="AW31" s="468" t="str">
        <f>IF(C31&gt;0,VLOOKUP(C31,Foundation_Calc!$A$2:$C$13,3,1),
IF(J31&gt;0,VLOOKUP(J31,Foundation_Calc!$A$2:$C$13,3,1),""))</f>
        <v/>
      </c>
      <c r="AX31" s="468" t="str">
        <f>IF(C31&gt;0,VLOOKUP(C31,Foundation_Calc!$E$2:$G$13,3,1),
IF(J31&gt;0,VLOOKUP(J31,Foundation_Calc!$E$2:$G$13,3,1),""))</f>
        <v/>
      </c>
      <c r="AY31" s="10" t="str">
        <f>IF(L31="","",
IF(AX31="PT",VLOOKUP(L31,Foundation_Calc!$K$4:$R$37,VLOOKUP(AW31,Foundation_Calc!$I$2:$J$8,2,FALSE),0),
IF(AX31="K",VLOOKUP(L31,Foundation_Calc!$K$41:$R$74,VLOOKUP(AW31,Foundation_Calc!$I$2:$J$8,2,FALSE),0),"")))</f>
        <v/>
      </c>
      <c r="AZ31" s="10" t="str">
        <f>IF(K31="","",
IF(AX31="PT",VLOOKUP(K31,Foundation_Calc!$K$4:$R$37,VLOOKUP(AW31,Foundation_Calc!$I$2:$J$8,2,FALSE),0),
IF(AX31="K",VLOOKUP(K31,Foundation_Calc!$K$41:$R$74,VLOOKUP(AW31,Foundation_Calc!$I$2:$J$8,2,FALSE),0),"")))</f>
        <v/>
      </c>
      <c r="BA31" s="553" t="str">
        <f t="shared" si="2"/>
        <v/>
      </c>
      <c r="BB31" s="553" t="str">
        <f t="shared" si="3"/>
        <v/>
      </c>
      <c r="BC31" s="553" t="str">
        <f t="shared" si="4"/>
        <v/>
      </c>
      <c r="BD31" s="572" t="str">
        <f>IF(AND(L31="",H31=""),"",
IF(H31="",Pole_Calc!A35,
IF(H31="MP",Pole_Calc!A36,
IF(H31="AnMP",Pole_Calc!A37,
IF(H31="A",Pole_Calc!A38,
IF(H31="S/A",Pole_Calc!A39,
IF(H31="A/S",Pole_Calc!A40,"Poner a mano")))))))</f>
        <v/>
      </c>
      <c r="BE31" s="448" t="s">
        <v>1726</v>
      </c>
      <c r="BF31" s="305"/>
      <c r="BG31" s="305"/>
      <c r="BH31" s="306"/>
      <c r="BI31" s="305"/>
    </row>
    <row r="32" spans="1:61" ht="16.2" customHeight="1">
      <c r="A32" s="573"/>
      <c r="B32" s="469" t="s">
        <v>2182</v>
      </c>
      <c r="C32" s="3">
        <f>+$C$30+$G$31</f>
        <v>336.4</v>
      </c>
      <c r="D32" s="88"/>
      <c r="E32" s="4"/>
      <c r="F32" s="4">
        <v>-285</v>
      </c>
      <c r="G32" s="6"/>
      <c r="H32" s="468" t="s">
        <v>26</v>
      </c>
      <c r="I32" s="468" t="s">
        <v>1159</v>
      </c>
      <c r="J32" s="3"/>
      <c r="K32" s="468"/>
      <c r="L32" s="468" t="s">
        <v>323</v>
      </c>
      <c r="M32" s="468" t="str">
        <f>IF(L32="","",
IF(AX32="PT",VLOOKUP(L32,Foundation_Calc!$V$4:$X$37,VLOOKUP(AX32,Foundation_Calc!$I$10:$J$13,2,FALSE),0),
IF(AX32="K",VLOOKUP(L32,Foundation_Calc!$V$41:$X$74,VLOOKUP(AX32,Foundation_Calc!$I$10:$J$13,2,FALSE),0),"")))</f>
        <v>C5SR</v>
      </c>
      <c r="N32" s="468" t="s">
        <v>33</v>
      </c>
      <c r="O32" s="468"/>
      <c r="P32" s="468"/>
      <c r="Q32" s="4"/>
      <c r="R32" s="6"/>
      <c r="S32" s="6"/>
      <c r="T32" s="4">
        <v>30</v>
      </c>
      <c r="U32" s="4"/>
      <c r="V32" s="4"/>
      <c r="W32" s="9">
        <v>1</v>
      </c>
      <c r="X32" s="9"/>
      <c r="Y32" s="9"/>
      <c r="Z32" s="9"/>
      <c r="AA32" s="9"/>
      <c r="AB32" s="9"/>
      <c r="AC32" s="468" t="s">
        <v>1341</v>
      </c>
      <c r="AD32" s="468"/>
      <c r="AE32" s="468"/>
      <c r="AF32" s="4"/>
      <c r="AG32" s="88"/>
      <c r="AH32" s="4"/>
      <c r="AI32" s="4"/>
      <c r="AJ32" s="468"/>
      <c r="AK32" s="468"/>
      <c r="AL32" s="468" t="s">
        <v>1111</v>
      </c>
      <c r="AM32" s="468" t="s">
        <v>486</v>
      </c>
      <c r="AN32" s="10">
        <v>5.15</v>
      </c>
      <c r="AO32" s="9"/>
      <c r="AP32" s="9"/>
      <c r="AQ32" s="9"/>
      <c r="AR32" s="9"/>
      <c r="AS32" s="9"/>
      <c r="AT32" s="9">
        <f>+ab($T$32,$T$30,$T$34,$G$31,$G$33, 1*$F$32,1200)</f>
        <v>-3.1217873369224538</v>
      </c>
      <c r="AU32" s="447"/>
      <c r="AV32" s="447"/>
      <c r="AW32" s="468" t="str">
        <f>IF(C32&gt;0,VLOOKUP(C32,Foundation_Calc!$A$2:$C$13,3,1),
IF(J32&gt;0,VLOOKUP(J32,Foundation_Calc!$A$2:$C$13,3,1),""))</f>
        <v>MultiSoil</v>
      </c>
      <c r="AX32" s="468" t="str">
        <f>IF(C32&gt;0,VLOOKUP(C32,Foundation_Calc!$E$2:$G$13,3,1),
IF(J32&gt;0,VLOOKUP(J32,Foundation_Calc!$E$2:$G$13,3,1),""))</f>
        <v>PT</v>
      </c>
      <c r="AY32" s="10">
        <f>IF(L32="","",
IF(AX32="PT",VLOOKUP(L32,Foundation_Calc!$K$4:$R$37,VLOOKUP(AW32,Foundation_Calc!$I$2:$J$8,2,FALSE),0),
IF(AX32="K",VLOOKUP(L32,Foundation_Calc!$K$41:$R$74,VLOOKUP(AW32,Foundation_Calc!$I$2:$J$8,2,FALSE),0),"")))</f>
        <v>3.9</v>
      </c>
      <c r="AZ32" s="10" t="str">
        <f>IF(K32="","",
IF(AX32="PT",VLOOKUP(K32,Foundation_Calc!$K$4:$R$37,VLOOKUP(AW32,Foundation_Calc!$I$2:$J$8,2,FALSE),0),
IF(AX32="K",VLOOKUP(K32,Foundation_Calc!$K$41:$R$74,VLOOKUP(AW32,Foundation_Calc!$I$2:$J$8,2,FALSE),0),"")))</f>
        <v/>
      </c>
      <c r="BA32" s="553" t="str">
        <f t="shared" si="2"/>
        <v>ü</v>
      </c>
      <c r="BB32" s="553" t="str">
        <f t="shared" si="3"/>
        <v/>
      </c>
      <c r="BC32" s="553" t="str">
        <f t="shared" si="4"/>
        <v/>
      </c>
      <c r="BD32" s="572" t="str">
        <f>Pole_Calc!A$251</f>
        <v>App.8-V08H-P10.3</v>
      </c>
      <c r="BE32" s="448" t="s">
        <v>1726</v>
      </c>
      <c r="BF32" s="306"/>
      <c r="BG32" s="306"/>
      <c r="BH32" s="306"/>
      <c r="BI32" s="306"/>
    </row>
    <row r="33" spans="1:61" ht="16.2" customHeight="1">
      <c r="A33" s="573"/>
      <c r="B33" s="469"/>
      <c r="C33" s="3"/>
      <c r="D33" s="88"/>
      <c r="E33" s="4"/>
      <c r="F33" s="4"/>
      <c r="G33" s="6">
        <v>23.4</v>
      </c>
      <c r="H33" s="468"/>
      <c r="I33" s="9"/>
      <c r="J33" s="3">
        <f>C32+7.5</f>
        <v>343.9</v>
      </c>
      <c r="K33" s="468" t="s">
        <v>1095</v>
      </c>
      <c r="L33" s="468"/>
      <c r="M33" s="468" t="str">
        <f>IF(L33="","",
IF(AX33="PT",VLOOKUP(L33,Foundation_Calc!$V$4:$X$37,VLOOKUP(AX33,Foundation_Calc!$I$10:$J$13,2,FALSE),0),
IF(AX33="K",VLOOKUP(L33,Foundation_Calc!$V$41:$X$74,VLOOKUP(AX33,Foundation_Calc!$I$10:$J$13,2,FALSE),0),"")))</f>
        <v/>
      </c>
      <c r="N33" s="468"/>
      <c r="O33" s="468"/>
      <c r="P33" s="468"/>
      <c r="Q33" s="4"/>
      <c r="R33" s="6"/>
      <c r="S33" s="6"/>
      <c r="T33" s="4"/>
      <c r="U33" s="4"/>
      <c r="V33" s="4"/>
      <c r="W33" s="9"/>
      <c r="X33" s="9"/>
      <c r="Y33" s="9"/>
      <c r="Z33" s="9"/>
      <c r="AA33" s="9"/>
      <c r="AB33" s="9"/>
      <c r="AC33" s="468" t="s">
        <v>195</v>
      </c>
      <c r="AD33" s="468"/>
      <c r="AE33" s="468"/>
      <c r="AF33" s="4"/>
      <c r="AG33" s="88"/>
      <c r="AH33" s="4"/>
      <c r="AI33" s="4"/>
      <c r="AJ33" s="468"/>
      <c r="AK33" s="468"/>
      <c r="AL33" s="468"/>
      <c r="AM33" s="468"/>
      <c r="AN33" s="10"/>
      <c r="AO33" s="9"/>
      <c r="AP33" s="9"/>
      <c r="AQ33" s="9">
        <f>+FL_2($T$34,$T$32,$G$33,1200,9.28, 1*$F$34)</f>
        <v>-0.24999999999999997</v>
      </c>
      <c r="AR33" s="9"/>
      <c r="AS33" s="9"/>
      <c r="AT33" s="9"/>
      <c r="AU33" s="447"/>
      <c r="AV33" s="447"/>
      <c r="AW33" s="468" t="str">
        <f>IF(C33&gt;0,VLOOKUP(C33,Foundation_Calc!$A$2:$C$13,3,1),
IF(J33&gt;0,VLOOKUP(J33,Foundation_Calc!$A$2:$C$13,3,1),""))</f>
        <v>MultiSoil</v>
      </c>
      <c r="AX33" s="468" t="str">
        <f>IF(C33&gt;0,VLOOKUP(C33,Foundation_Calc!$E$2:$G$13,3,1),
IF(J33&gt;0,VLOOKUP(J33,Foundation_Calc!$E$2:$G$13,3,1),""))</f>
        <v>PT</v>
      </c>
      <c r="AY33" s="10" t="str">
        <f>IF(L33="","",
IF(AX33="PT",VLOOKUP(L33,Foundation_Calc!$K$4:$R$37,VLOOKUP(AW33,Foundation_Calc!$I$2:$J$8,2,FALSE),0),
IF(AX33="K",VLOOKUP(L33,Foundation_Calc!$K$41:$R$74,VLOOKUP(AW33,Foundation_Calc!$I$2:$J$8,2,FALSE),0),"")))</f>
        <v/>
      </c>
      <c r="AZ33" s="10">
        <f>IF(K33="","",
IF(AX33="PT",VLOOKUP(K33,Foundation_Calc!$K$4:$R$37,VLOOKUP(AW33,Foundation_Calc!$I$2:$J$8,2,FALSE),0),
IF(AX33="K",VLOOKUP(K33,Foundation_Calc!$K$41:$R$74,VLOOKUP(AW33,Foundation_Calc!$I$2:$J$8,2,FALSE),0),"")))</f>
        <v>3.9</v>
      </c>
      <c r="BA33" s="553" t="str">
        <f t="shared" si="2"/>
        <v/>
      </c>
      <c r="BB33" s="553" t="str">
        <f t="shared" si="3"/>
        <v>ü</v>
      </c>
      <c r="BC33" s="553" t="str">
        <f t="shared" si="4"/>
        <v/>
      </c>
      <c r="BD33" s="572" t="str">
        <f>IF(AND(L33="",H33=""),"",
IF(H33="",Pole_Calc!A37,
IF(H33="MP",Pole_Calc!A38,
IF(H33="AnMP",Pole_Calc!A39,
IF(H33="A",Pole_Calc!A40,
IF(H33="S/A",Pole_Calc!A41,
IF(H33="A/S",Pole_Calc!A42,"Poner a mano")))))))</f>
        <v/>
      </c>
      <c r="BE33" s="448" t="s">
        <v>1726</v>
      </c>
      <c r="BF33" s="305"/>
      <c r="BG33" s="305"/>
      <c r="BH33" s="306"/>
      <c r="BI33" s="305"/>
    </row>
    <row r="34" spans="1:61" ht="16.2" customHeight="1">
      <c r="A34" s="573" t="s">
        <v>383</v>
      </c>
      <c r="B34" s="469" t="s">
        <v>2183</v>
      </c>
      <c r="C34" s="3">
        <f>+$C$32+$G$33</f>
        <v>359.79999999999995</v>
      </c>
      <c r="D34" s="88"/>
      <c r="E34" s="4"/>
      <c r="F34" s="4">
        <v>0</v>
      </c>
      <c r="G34" s="6"/>
      <c r="H34" s="468"/>
      <c r="I34" s="468" t="s">
        <v>485</v>
      </c>
      <c r="J34" s="3">
        <f>C34</f>
        <v>359.79999999999995</v>
      </c>
      <c r="K34" s="468" t="s">
        <v>451</v>
      </c>
      <c r="L34" s="468"/>
      <c r="M34" s="468" t="str">
        <f>IF(L34="","",
IF(AX34="PT",VLOOKUP(L34,Foundation_Calc!$V$4:$X$37,VLOOKUP(AX34,Foundation_Calc!$I$10:$J$13,2,FALSE),0),
IF(AX34="K",VLOOKUP(L34,Foundation_Calc!$V$41:$X$74,VLOOKUP(AX34,Foundation_Calc!$I$10:$J$13,2,FALSE),0),"")))</f>
        <v/>
      </c>
      <c r="N34" s="468" t="s">
        <v>191</v>
      </c>
      <c r="O34" s="468"/>
      <c r="P34" s="468"/>
      <c r="Q34" s="4"/>
      <c r="R34" s="6"/>
      <c r="S34" s="6"/>
      <c r="T34" s="4">
        <v>-25</v>
      </c>
      <c r="U34" s="4"/>
      <c r="V34" s="4"/>
      <c r="W34" s="9">
        <v>1</v>
      </c>
      <c r="X34" s="9"/>
      <c r="Y34" s="9"/>
      <c r="Z34" s="9"/>
      <c r="AA34" s="9"/>
      <c r="AB34" s="9"/>
      <c r="AC34" s="468" t="s">
        <v>630</v>
      </c>
      <c r="AD34" s="468"/>
      <c r="AE34" s="468"/>
      <c r="AF34" s="4"/>
      <c r="AG34" s="88"/>
      <c r="AH34" s="4"/>
      <c r="AI34" s="4"/>
      <c r="AJ34" s="468"/>
      <c r="AK34" s="468" t="s">
        <v>773</v>
      </c>
      <c r="AL34" s="468"/>
      <c r="AM34" s="468" t="s">
        <v>2458</v>
      </c>
      <c r="AN34" s="10">
        <v>5.15</v>
      </c>
      <c r="AO34" s="9"/>
      <c r="AP34" s="9"/>
      <c r="AQ34" s="9"/>
      <c r="AR34" s="9"/>
      <c r="AS34" s="9"/>
      <c r="AT34" s="9">
        <f>+ab($T$34,$T$32,$T$36,$G$33,$G$35, 1*$F$34,1200)</f>
        <v>-8.1095778371211313</v>
      </c>
      <c r="AU34" s="447"/>
      <c r="AV34" s="447"/>
      <c r="AW34" s="468" t="s">
        <v>199</v>
      </c>
      <c r="AX34" s="468" t="s">
        <v>199</v>
      </c>
      <c r="AY34" s="10"/>
      <c r="AZ34" s="10"/>
      <c r="BA34" s="553" t="str">
        <f t="shared" si="2"/>
        <v/>
      </c>
      <c r="BB34" s="553" t="str">
        <f t="shared" si="3"/>
        <v/>
      </c>
      <c r="BC34" s="553" t="str">
        <f t="shared" si="4"/>
        <v/>
      </c>
      <c r="BD34" s="572"/>
      <c r="BE34" s="448" t="s">
        <v>1726</v>
      </c>
      <c r="BF34" s="306"/>
      <c r="BG34" s="306"/>
      <c r="BH34" s="306"/>
      <c r="BI34" s="306"/>
    </row>
    <row r="35" spans="1:61" ht="16.2" customHeight="1">
      <c r="A35" s="624" t="s">
        <v>383</v>
      </c>
      <c r="B35" s="469"/>
      <c r="C35" s="3"/>
      <c r="D35" s="88"/>
      <c r="E35" s="4"/>
      <c r="F35" s="4"/>
      <c r="G35" s="6">
        <v>26.1</v>
      </c>
      <c r="H35" s="468"/>
      <c r="I35" s="468"/>
      <c r="J35" s="3"/>
      <c r="K35" s="468"/>
      <c r="L35" s="468"/>
      <c r="M35" s="468" t="str">
        <f>IF(L35="","",
IF(AX35="PT",VLOOKUP(L35,Foundation_Calc!$V$4:$X$37,VLOOKUP(AX35,Foundation_Calc!$I$10:$J$13,2,FALSE),0),
IF(AX35="K",VLOOKUP(L35,Foundation_Calc!$V$41:$X$74,VLOOKUP(AX35,Foundation_Calc!$I$10:$J$13,2,FALSE),0),"")))</f>
        <v/>
      </c>
      <c r="N35" s="468"/>
      <c r="O35" s="468"/>
      <c r="P35" s="468"/>
      <c r="Q35" s="4"/>
      <c r="R35" s="6"/>
      <c r="S35" s="6"/>
      <c r="T35" s="4"/>
      <c r="U35" s="4"/>
      <c r="V35" s="4"/>
      <c r="W35" s="9"/>
      <c r="X35" s="9"/>
      <c r="Y35" s="9"/>
      <c r="Z35" s="9"/>
      <c r="AA35" s="9"/>
      <c r="AB35" s="9"/>
      <c r="AC35" s="468" t="s">
        <v>195</v>
      </c>
      <c r="AD35" s="468"/>
      <c r="AE35" s="468"/>
      <c r="AF35" s="4"/>
      <c r="AG35" s="88"/>
      <c r="AH35" s="4"/>
      <c r="AI35" s="4"/>
      <c r="AJ35" s="468"/>
      <c r="AK35" s="468"/>
      <c r="AL35" s="468"/>
      <c r="AM35" s="468"/>
      <c r="AN35" s="10"/>
      <c r="AO35" s="9"/>
      <c r="AP35" s="9"/>
      <c r="AQ35" s="9"/>
      <c r="AR35" s="9"/>
      <c r="AS35" s="9"/>
      <c r="AT35" s="9"/>
      <c r="AU35" s="447"/>
      <c r="AV35" s="447"/>
      <c r="AW35" s="468"/>
      <c r="AX35" s="468"/>
      <c r="AY35" s="10"/>
      <c r="AZ35" s="10"/>
      <c r="BA35" s="553" t="str">
        <f t="shared" si="2"/>
        <v/>
      </c>
      <c r="BB35" s="553" t="str">
        <f t="shared" si="3"/>
        <v/>
      </c>
      <c r="BC35" s="553" t="str">
        <f t="shared" si="4"/>
        <v/>
      </c>
      <c r="BD35" s="572"/>
      <c r="BE35" s="448" t="s">
        <v>1726</v>
      </c>
      <c r="BF35" s="305"/>
      <c r="BG35" s="305"/>
      <c r="BH35" s="306"/>
      <c r="BI35" s="305"/>
    </row>
    <row r="36" spans="1:61" ht="16.2" customHeight="1">
      <c r="A36" s="624" t="s">
        <v>383</v>
      </c>
      <c r="B36" s="469" t="s">
        <v>2184</v>
      </c>
      <c r="C36" s="3">
        <f>+$C$34+$G$35</f>
        <v>385.9</v>
      </c>
      <c r="D36" s="88"/>
      <c r="E36" s="4"/>
      <c r="F36" s="4">
        <v>0</v>
      </c>
      <c r="G36" s="6"/>
      <c r="H36" s="468"/>
      <c r="I36" s="468"/>
      <c r="J36" s="3"/>
      <c r="K36" s="468"/>
      <c r="L36" s="468"/>
      <c r="M36" s="468" t="str">
        <f>IF(L36="","",
IF(AX36="PT",VLOOKUP(L36,Foundation_Calc!$V$4:$X$37,VLOOKUP(AX36,Foundation_Calc!$I$10:$J$13,2,FALSE),0),
IF(AX36="K",VLOOKUP(L36,Foundation_Calc!$V$41:$X$74,VLOOKUP(AX36,Foundation_Calc!$I$10:$J$13,2,FALSE),0),"")))</f>
        <v/>
      </c>
      <c r="N36" s="468" t="s">
        <v>191</v>
      </c>
      <c r="O36" s="468"/>
      <c r="P36" s="468"/>
      <c r="Q36" s="4"/>
      <c r="R36" s="6"/>
      <c r="S36" s="6"/>
      <c r="T36" s="4">
        <v>-25</v>
      </c>
      <c r="U36" s="4"/>
      <c r="V36" s="4"/>
      <c r="W36" s="9">
        <v>1</v>
      </c>
      <c r="X36" s="9"/>
      <c r="Y36" s="9"/>
      <c r="Z36" s="9"/>
      <c r="AA36" s="9"/>
      <c r="AB36" s="9"/>
      <c r="AC36" s="468" t="s">
        <v>630</v>
      </c>
      <c r="AD36" s="468"/>
      <c r="AE36" s="468"/>
      <c r="AF36" s="4"/>
      <c r="AG36" s="88"/>
      <c r="AH36" s="4"/>
      <c r="AI36" s="4"/>
      <c r="AJ36" s="468"/>
      <c r="AK36" s="468" t="s">
        <v>773</v>
      </c>
      <c r="AL36" s="468"/>
      <c r="AM36" s="468" t="s">
        <v>2458</v>
      </c>
      <c r="AN36" s="10">
        <v>5.15</v>
      </c>
      <c r="AO36" s="9"/>
      <c r="AP36" s="9"/>
      <c r="AQ36" s="9"/>
      <c r="AR36" s="9"/>
      <c r="AS36" s="9"/>
      <c r="AT36" s="9"/>
      <c r="AU36" s="447"/>
      <c r="AV36" s="447"/>
      <c r="AW36" s="468" t="s">
        <v>199</v>
      </c>
      <c r="AX36" s="468" t="s">
        <v>199</v>
      </c>
      <c r="AY36" s="10"/>
      <c r="AZ36" s="10"/>
      <c r="BA36" s="553" t="str">
        <f t="shared" si="2"/>
        <v/>
      </c>
      <c r="BB36" s="553" t="str">
        <f t="shared" si="3"/>
        <v/>
      </c>
      <c r="BC36" s="553" t="str">
        <f t="shared" si="4"/>
        <v/>
      </c>
      <c r="BD36" s="572"/>
      <c r="BE36" s="448" t="s">
        <v>1726</v>
      </c>
      <c r="BF36" s="306"/>
      <c r="BG36" s="306"/>
      <c r="BH36" s="306"/>
      <c r="BI36" s="306"/>
    </row>
    <row r="37" spans="1:61" ht="16.2" customHeight="1">
      <c r="A37" s="624" t="s">
        <v>383</v>
      </c>
      <c r="B37" s="469"/>
      <c r="C37" s="3"/>
      <c r="D37" s="88"/>
      <c r="E37" s="4"/>
      <c r="F37" s="4"/>
      <c r="G37" s="6">
        <v>23.6</v>
      </c>
      <c r="H37" s="468"/>
      <c r="I37" s="468"/>
      <c r="J37" s="3"/>
      <c r="K37" s="468"/>
      <c r="L37" s="468"/>
      <c r="M37" s="468" t="str">
        <f>IF(L37="","",
IF(AX37="PT",VLOOKUP(L37,Foundation_Calc!$V$4:$X$37,VLOOKUP(AX37,Foundation_Calc!$I$10:$J$13,2,FALSE),0),
IF(AX37="K",VLOOKUP(L37,Foundation_Calc!$V$41:$X$74,VLOOKUP(AX37,Foundation_Calc!$I$10:$J$13,2,FALSE),0),"")))</f>
        <v/>
      </c>
      <c r="N37" s="468"/>
      <c r="O37" s="468"/>
      <c r="P37" s="468"/>
      <c r="Q37" s="4"/>
      <c r="R37" s="6"/>
      <c r="S37" s="6"/>
      <c r="T37" s="4"/>
      <c r="U37" s="4"/>
      <c r="V37" s="4"/>
      <c r="W37" s="9"/>
      <c r="X37" s="9"/>
      <c r="Y37" s="9"/>
      <c r="Z37" s="9"/>
      <c r="AA37" s="9"/>
      <c r="AB37" s="9"/>
      <c r="AC37" s="468" t="s">
        <v>195</v>
      </c>
      <c r="AD37" s="468"/>
      <c r="AE37" s="468"/>
      <c r="AF37" s="4"/>
      <c r="AG37" s="88"/>
      <c r="AH37" s="4"/>
      <c r="AI37" s="4"/>
      <c r="AJ37" s="468"/>
      <c r="AK37" s="468"/>
      <c r="AL37" s="468"/>
      <c r="AM37" s="468"/>
      <c r="AN37" s="10"/>
      <c r="AO37" s="9"/>
      <c r="AP37" s="9"/>
      <c r="AQ37" s="9"/>
      <c r="AR37" s="9"/>
      <c r="AS37" s="9"/>
      <c r="AT37" s="9"/>
      <c r="AU37" s="447"/>
      <c r="AV37" s="447"/>
      <c r="AW37" s="468"/>
      <c r="AX37" s="468"/>
      <c r="AY37" s="10"/>
      <c r="AZ37" s="10"/>
      <c r="BA37" s="553" t="str">
        <f t="shared" si="2"/>
        <v/>
      </c>
      <c r="BB37" s="553" t="str">
        <f t="shared" si="3"/>
        <v/>
      </c>
      <c r="BC37" s="553" t="str">
        <f t="shared" si="4"/>
        <v/>
      </c>
      <c r="BD37" s="572"/>
      <c r="BE37" s="448" t="s">
        <v>1726</v>
      </c>
      <c r="BF37" s="305"/>
      <c r="BG37" s="305"/>
      <c r="BH37" s="306"/>
      <c r="BI37" s="305"/>
    </row>
    <row r="38" spans="1:61" ht="16.2" customHeight="1">
      <c r="A38" s="624" t="s">
        <v>383</v>
      </c>
      <c r="B38" s="469" t="s">
        <v>2185</v>
      </c>
      <c r="C38" s="3">
        <f>+$C$36+$G$37</f>
        <v>409.5</v>
      </c>
      <c r="D38" s="88"/>
      <c r="E38" s="4"/>
      <c r="F38" s="4">
        <v>-230</v>
      </c>
      <c r="G38" s="6"/>
      <c r="H38" s="468" t="s">
        <v>26</v>
      </c>
      <c r="I38" s="468" t="s">
        <v>339</v>
      </c>
      <c r="J38" s="3">
        <f>C38+10</f>
        <v>419.5</v>
      </c>
      <c r="K38" s="468" t="s">
        <v>447</v>
      </c>
      <c r="L38" s="468"/>
      <c r="M38" s="468" t="str">
        <f>IF(L38="","",
IF(AX38="PT",VLOOKUP(L38,Foundation_Calc!$V$4:$X$37,VLOOKUP(AX38,Foundation_Calc!$I$10:$J$13,2,FALSE),0),
IF(AX38="K",VLOOKUP(L38,Foundation_Calc!$V$41:$X$74,VLOOKUP(AX38,Foundation_Calc!$I$10:$J$13,2,FALSE),0),"")))</f>
        <v/>
      </c>
      <c r="N38" s="468" t="s">
        <v>191</v>
      </c>
      <c r="O38" s="468"/>
      <c r="P38" s="468"/>
      <c r="Q38" s="4"/>
      <c r="R38" s="6"/>
      <c r="S38" s="6"/>
      <c r="T38" s="4">
        <v>-25</v>
      </c>
      <c r="U38" s="4"/>
      <c r="V38" s="4"/>
      <c r="W38" s="9">
        <v>1</v>
      </c>
      <c r="X38" s="9"/>
      <c r="Y38" s="9"/>
      <c r="Z38" s="9"/>
      <c r="AA38" s="9"/>
      <c r="AB38" s="9"/>
      <c r="AC38" s="468" t="s">
        <v>1341</v>
      </c>
      <c r="AD38" s="468"/>
      <c r="AE38" s="468"/>
      <c r="AF38" s="4"/>
      <c r="AG38" s="88"/>
      <c r="AH38" s="4"/>
      <c r="AI38" s="4"/>
      <c r="AJ38" s="468"/>
      <c r="AK38" s="468" t="s">
        <v>773</v>
      </c>
      <c r="AL38" s="468"/>
      <c r="AM38" s="468" t="s">
        <v>2458</v>
      </c>
      <c r="AN38" s="10">
        <v>5.15</v>
      </c>
      <c r="AO38" s="9"/>
      <c r="AP38" s="9"/>
      <c r="AQ38" s="9"/>
      <c r="AR38" s="9"/>
      <c r="AS38" s="9"/>
      <c r="AT38" s="9"/>
      <c r="AU38" s="447"/>
      <c r="AV38" s="447"/>
      <c r="AW38" s="468" t="s">
        <v>199</v>
      </c>
      <c r="AX38" s="468" t="s">
        <v>199</v>
      </c>
      <c r="AY38" s="10"/>
      <c r="AZ38" s="10"/>
      <c r="BA38" s="553" t="str">
        <f t="shared" si="2"/>
        <v/>
      </c>
      <c r="BB38" s="553" t="str">
        <f t="shared" si="3"/>
        <v/>
      </c>
      <c r="BC38" s="553" t="str">
        <f t="shared" si="4"/>
        <v/>
      </c>
      <c r="BD38" s="572"/>
      <c r="BE38" s="448" t="s">
        <v>1726</v>
      </c>
      <c r="BF38" s="306"/>
      <c r="BG38" s="306"/>
      <c r="BH38" s="306"/>
      <c r="BI38" s="306"/>
    </row>
    <row r="39" spans="1:61" ht="16.2" customHeight="1">
      <c r="A39" s="624" t="s">
        <v>383</v>
      </c>
      <c r="B39" s="469"/>
      <c r="C39" s="3"/>
      <c r="D39" s="88"/>
      <c r="E39" s="4"/>
      <c r="F39" s="4"/>
      <c r="G39" s="6">
        <v>22.9</v>
      </c>
      <c r="H39" s="468"/>
      <c r="I39" s="468"/>
      <c r="J39" s="3"/>
      <c r="K39" s="468"/>
      <c r="L39" s="468"/>
      <c r="M39" s="468" t="str">
        <f>IF(L39="","",
IF(AX39="PT",VLOOKUP(L39,Foundation_Calc!$V$4:$X$37,VLOOKUP(AX39,Foundation_Calc!$I$10:$J$13,2,FALSE),0),
IF(AX39="K",VLOOKUP(L39,Foundation_Calc!$V$41:$X$74,VLOOKUP(AX39,Foundation_Calc!$I$10:$J$13,2,FALSE),0),"")))</f>
        <v/>
      </c>
      <c r="N39" s="468"/>
      <c r="O39" s="468"/>
      <c r="P39" s="468"/>
      <c r="Q39" s="4"/>
      <c r="R39" s="6"/>
      <c r="S39" s="6"/>
      <c r="T39" s="4"/>
      <c r="U39" s="4"/>
      <c r="V39" s="4"/>
      <c r="W39" s="9"/>
      <c r="X39" s="9"/>
      <c r="Y39" s="9"/>
      <c r="Z39" s="9"/>
      <c r="AA39" s="9"/>
      <c r="AB39" s="9"/>
      <c r="AC39" s="468" t="s">
        <v>195</v>
      </c>
      <c r="AD39" s="468"/>
      <c r="AE39" s="468"/>
      <c r="AF39" s="4"/>
      <c r="AG39" s="88"/>
      <c r="AH39" s="4"/>
      <c r="AI39" s="4"/>
      <c r="AJ39" s="468"/>
      <c r="AK39" s="468"/>
      <c r="AL39" s="468"/>
      <c r="AM39" s="468"/>
      <c r="AN39" s="10"/>
      <c r="AO39" s="9"/>
      <c r="AP39" s="9"/>
      <c r="AQ39" s="9"/>
      <c r="AR39" s="9"/>
      <c r="AS39" s="9"/>
      <c r="AT39" s="9"/>
      <c r="AU39" s="447"/>
      <c r="AV39" s="447"/>
      <c r="AW39" s="468"/>
      <c r="AX39" s="468"/>
      <c r="AY39" s="10"/>
      <c r="AZ39" s="10"/>
      <c r="BA39" s="553" t="str">
        <f t="shared" si="2"/>
        <v/>
      </c>
      <c r="BB39" s="553" t="str">
        <f t="shared" si="3"/>
        <v/>
      </c>
      <c r="BC39" s="553" t="str">
        <f t="shared" si="4"/>
        <v/>
      </c>
      <c r="BD39" s="572"/>
      <c r="BE39" s="448" t="s">
        <v>1726</v>
      </c>
      <c r="BF39" s="305"/>
      <c r="BG39" s="305"/>
      <c r="BH39" s="306"/>
      <c r="BI39" s="305"/>
    </row>
    <row r="40" spans="1:61" ht="16.2" customHeight="1">
      <c r="A40" s="624" t="s">
        <v>383</v>
      </c>
      <c r="B40" s="469" t="s">
        <v>2186</v>
      </c>
      <c r="C40" s="3">
        <f>+$C$38+$G$39</f>
        <v>432.4</v>
      </c>
      <c r="D40" s="88"/>
      <c r="E40" s="4"/>
      <c r="F40" s="4">
        <v>-230</v>
      </c>
      <c r="G40" s="6"/>
      <c r="H40" s="468" t="s">
        <v>179</v>
      </c>
      <c r="I40" s="468"/>
      <c r="J40" s="3"/>
      <c r="K40" s="468"/>
      <c r="L40" s="468"/>
      <c r="M40" s="468" t="str">
        <f>IF(L40="","",
IF(AX40="PT",VLOOKUP(L40,Foundation_Calc!$V$4:$X$37,VLOOKUP(AX40,Foundation_Calc!$I$10:$J$13,2,FALSE),0),
IF(AX40="K",VLOOKUP(L40,Foundation_Calc!$V$41:$X$74,VLOOKUP(AX40,Foundation_Calc!$I$10:$J$13,2,FALSE),0),"")))</f>
        <v/>
      </c>
      <c r="N40" s="468" t="s">
        <v>193</v>
      </c>
      <c r="O40" s="468" t="s">
        <v>191</v>
      </c>
      <c r="P40" s="468"/>
      <c r="Q40" s="4"/>
      <c r="R40" s="6"/>
      <c r="S40" s="6"/>
      <c r="T40" s="4">
        <v>-10</v>
      </c>
      <c r="U40" s="4">
        <v>-30</v>
      </c>
      <c r="V40" s="4"/>
      <c r="W40" s="9">
        <v>0.8</v>
      </c>
      <c r="X40" s="9">
        <v>1</v>
      </c>
      <c r="Y40" s="9"/>
      <c r="Z40" s="9">
        <v>0.3</v>
      </c>
      <c r="AA40" s="9"/>
      <c r="AB40" s="9"/>
      <c r="AC40" s="468"/>
      <c r="AD40" s="468"/>
      <c r="AE40" s="468"/>
      <c r="AF40" s="4"/>
      <c r="AG40" s="88"/>
      <c r="AH40" s="4"/>
      <c r="AI40" s="4"/>
      <c r="AJ40" s="468"/>
      <c r="AK40" s="468" t="s">
        <v>42</v>
      </c>
      <c r="AL40" s="468"/>
      <c r="AM40" s="468" t="s">
        <v>2458</v>
      </c>
      <c r="AN40" s="10">
        <v>5.15</v>
      </c>
      <c r="AO40" s="9"/>
      <c r="AP40" s="9"/>
      <c r="AQ40" s="9"/>
      <c r="AR40" s="9"/>
      <c r="AS40" s="9"/>
      <c r="AT40" s="9"/>
      <c r="AU40" s="447"/>
      <c r="AV40" s="447"/>
      <c r="AW40" s="468" t="s">
        <v>199</v>
      </c>
      <c r="AX40" s="468" t="s">
        <v>199</v>
      </c>
      <c r="AY40" s="10"/>
      <c r="AZ40" s="10"/>
      <c r="BA40" s="553" t="str">
        <f t="shared" si="2"/>
        <v/>
      </c>
      <c r="BB40" s="553" t="str">
        <f t="shared" si="3"/>
        <v/>
      </c>
      <c r="BC40" s="553" t="str">
        <f t="shared" si="4"/>
        <v/>
      </c>
      <c r="BD40" s="572"/>
      <c r="BE40" s="448" t="s">
        <v>1726</v>
      </c>
      <c r="BF40" s="306"/>
      <c r="BG40" s="306"/>
      <c r="BH40" s="306"/>
      <c r="BI40" s="306"/>
    </row>
    <row r="41" spans="1:61" ht="16.2" customHeight="1">
      <c r="A41" s="624" t="s">
        <v>383</v>
      </c>
      <c r="B41" s="469"/>
      <c r="C41" s="3"/>
      <c r="D41" s="88"/>
      <c r="E41" s="4"/>
      <c r="F41" s="4"/>
      <c r="G41" s="6">
        <v>23</v>
      </c>
      <c r="H41" s="468"/>
      <c r="I41" s="468"/>
      <c r="J41" s="3"/>
      <c r="K41" s="468"/>
      <c r="L41" s="468"/>
      <c r="M41" s="468" t="str">
        <f>IF(L41="","",
IF(AX41="PT",VLOOKUP(L41,Foundation_Calc!$V$4:$X$37,VLOOKUP(AX41,Foundation_Calc!$I$10:$J$13,2,FALSE),0),
IF(AX41="K",VLOOKUP(L41,Foundation_Calc!$V$41:$X$74,VLOOKUP(AX41,Foundation_Calc!$I$10:$J$13,2,FALSE),0),"")))</f>
        <v/>
      </c>
      <c r="N41" s="468"/>
      <c r="O41" s="468"/>
      <c r="P41" s="468"/>
      <c r="Q41" s="4"/>
      <c r="R41" s="6"/>
      <c r="S41" s="6"/>
      <c r="T41" s="4"/>
      <c r="U41" s="4"/>
      <c r="V41" s="4"/>
      <c r="W41" s="9"/>
      <c r="X41" s="9"/>
      <c r="Y41" s="9"/>
      <c r="Z41" s="9"/>
      <c r="AA41" s="9"/>
      <c r="AB41" s="9"/>
      <c r="AC41" s="468" t="s">
        <v>195</v>
      </c>
      <c r="AD41" s="468"/>
      <c r="AE41" s="468"/>
      <c r="AF41" s="4"/>
      <c r="AG41" s="88"/>
      <c r="AH41" s="4"/>
      <c r="AI41" s="4"/>
      <c r="AJ41" s="468"/>
      <c r="AK41" s="468"/>
      <c r="AL41" s="468"/>
      <c r="AM41" s="468"/>
      <c r="AN41" s="10"/>
      <c r="AO41" s="9"/>
      <c r="AP41" s="9"/>
      <c r="AQ41" s="9"/>
      <c r="AR41" s="9"/>
      <c r="AS41" s="9"/>
      <c r="AT41" s="9"/>
      <c r="AU41" s="447"/>
      <c r="AV41" s="447"/>
      <c r="AW41" s="468"/>
      <c r="AX41" s="468"/>
      <c r="AY41" s="10"/>
      <c r="AZ41" s="10"/>
      <c r="BA41" s="553" t="str">
        <f t="shared" si="2"/>
        <v/>
      </c>
      <c r="BB41" s="553" t="str">
        <f t="shared" si="3"/>
        <v/>
      </c>
      <c r="BC41" s="553" t="str">
        <f t="shared" si="4"/>
        <v/>
      </c>
      <c r="BD41" s="572"/>
      <c r="BE41" s="448" t="s">
        <v>1726</v>
      </c>
      <c r="BF41" s="305"/>
      <c r="BG41" s="305"/>
      <c r="BH41" s="306"/>
      <c r="BI41" s="305"/>
    </row>
    <row r="42" spans="1:61" ht="16.2" customHeight="1">
      <c r="A42" s="624" t="s">
        <v>383</v>
      </c>
      <c r="B42" s="469" t="s">
        <v>2187</v>
      </c>
      <c r="C42" s="3">
        <f>+$C$40+$G$41</f>
        <v>455.4</v>
      </c>
      <c r="D42" s="88"/>
      <c r="E42" s="4"/>
      <c r="F42" s="4">
        <v>-230</v>
      </c>
      <c r="G42" s="6"/>
      <c r="H42" s="468" t="s">
        <v>180</v>
      </c>
      <c r="I42" s="468"/>
      <c r="J42" s="3"/>
      <c r="K42" s="468"/>
      <c r="L42" s="468"/>
      <c r="M42" s="468" t="str">
        <f>IF(L42="","",
IF(AX42="PT",VLOOKUP(L42,Foundation_Calc!$V$4:$X$37,VLOOKUP(AX42,Foundation_Calc!$I$10:$J$13,2,FALSE),0),
IF(AX42="K",VLOOKUP(L42,Foundation_Calc!$V$41:$X$74,VLOOKUP(AX42,Foundation_Calc!$I$10:$J$13,2,FALSE),0),"")))</f>
        <v/>
      </c>
      <c r="N42" s="468" t="s">
        <v>191</v>
      </c>
      <c r="O42" s="468" t="s">
        <v>191</v>
      </c>
      <c r="P42" s="468"/>
      <c r="Q42" s="4"/>
      <c r="R42" s="6"/>
      <c r="S42" s="6"/>
      <c r="T42" s="4">
        <v>-10</v>
      </c>
      <c r="U42" s="4">
        <v>-30</v>
      </c>
      <c r="V42" s="4"/>
      <c r="W42" s="9">
        <v>0.8</v>
      </c>
      <c r="X42" s="9">
        <v>1</v>
      </c>
      <c r="Y42" s="9"/>
      <c r="Z42" s="9">
        <v>0.1</v>
      </c>
      <c r="AA42" s="9"/>
      <c r="AB42" s="9"/>
      <c r="AC42" s="468"/>
      <c r="AD42" s="468"/>
      <c r="AE42" s="468"/>
      <c r="AF42" s="4"/>
      <c r="AG42" s="88"/>
      <c r="AH42" s="4"/>
      <c r="AI42" s="4"/>
      <c r="AJ42" s="468"/>
      <c r="AK42" s="468" t="s">
        <v>42</v>
      </c>
      <c r="AL42" s="468"/>
      <c r="AM42" s="468" t="s">
        <v>2458</v>
      </c>
      <c r="AN42" s="10">
        <v>5.15</v>
      </c>
      <c r="AO42" s="9"/>
      <c r="AP42" s="9"/>
      <c r="AQ42" s="9"/>
      <c r="AR42" s="9"/>
      <c r="AS42" s="9"/>
      <c r="AT42" s="9"/>
      <c r="AU42" s="447"/>
      <c r="AV42" s="447"/>
      <c r="AW42" s="468" t="s">
        <v>199</v>
      </c>
      <c r="AX42" s="468" t="s">
        <v>199</v>
      </c>
      <c r="AY42" s="10"/>
      <c r="AZ42" s="10"/>
      <c r="BA42" s="553" t="str">
        <f t="shared" si="2"/>
        <v/>
      </c>
      <c r="BB42" s="553" t="str">
        <f t="shared" si="3"/>
        <v/>
      </c>
      <c r="BC42" s="553" t="str">
        <f t="shared" si="4"/>
        <v/>
      </c>
      <c r="BD42" s="572"/>
      <c r="BE42" s="448" t="s">
        <v>1726</v>
      </c>
      <c r="BF42" s="306"/>
      <c r="BG42" s="306"/>
      <c r="BH42" s="306"/>
      <c r="BI42" s="306"/>
    </row>
    <row r="43" spans="1:61" ht="16.2" customHeight="1">
      <c r="A43" s="624" t="s">
        <v>383</v>
      </c>
      <c r="B43" s="469"/>
      <c r="C43" s="3"/>
      <c r="D43" s="88"/>
      <c r="E43" s="4"/>
      <c r="F43" s="4"/>
      <c r="G43" s="6">
        <v>23</v>
      </c>
      <c r="H43" s="468"/>
      <c r="I43" s="468"/>
      <c r="J43" s="3"/>
      <c r="K43" s="468"/>
      <c r="L43" s="468"/>
      <c r="M43" s="468" t="str">
        <f>IF(L43="","",
IF(AX43="PT",VLOOKUP(L43,Foundation_Calc!$V$4:$X$37,VLOOKUP(AX43,Foundation_Calc!$I$10:$J$13,2,FALSE),0),
IF(AX43="K",VLOOKUP(L43,Foundation_Calc!$V$41:$X$74,VLOOKUP(AX43,Foundation_Calc!$I$10:$J$13,2,FALSE),0),"")))</f>
        <v/>
      </c>
      <c r="N43" s="468"/>
      <c r="O43" s="468"/>
      <c r="P43" s="468"/>
      <c r="Q43" s="4"/>
      <c r="R43" s="6"/>
      <c r="S43" s="6"/>
      <c r="T43" s="4"/>
      <c r="U43" s="4"/>
      <c r="V43" s="4"/>
      <c r="W43" s="9"/>
      <c r="X43" s="9"/>
      <c r="Y43" s="9"/>
      <c r="Z43" s="9"/>
      <c r="AA43" s="9"/>
      <c r="AB43" s="9"/>
      <c r="AC43" s="468" t="s">
        <v>195</v>
      </c>
      <c r="AD43" s="468"/>
      <c r="AE43" s="468"/>
      <c r="AF43" s="4"/>
      <c r="AG43" s="88"/>
      <c r="AH43" s="4"/>
      <c r="AI43" s="4"/>
      <c r="AJ43" s="468"/>
      <c r="AK43" s="468"/>
      <c r="AL43" s="468"/>
      <c r="AM43" s="468"/>
      <c r="AN43" s="10"/>
      <c r="AO43" s="9"/>
      <c r="AP43" s="9"/>
      <c r="AQ43" s="9"/>
      <c r="AR43" s="9"/>
      <c r="AS43" s="9"/>
      <c r="AT43" s="9"/>
      <c r="AU43" s="447"/>
      <c r="AV43" s="447"/>
      <c r="AW43" s="468"/>
      <c r="AX43" s="468"/>
      <c r="AY43" s="10"/>
      <c r="AZ43" s="10"/>
      <c r="BA43" s="553" t="str">
        <f t="shared" si="2"/>
        <v/>
      </c>
      <c r="BB43" s="553" t="str">
        <f t="shared" si="3"/>
        <v/>
      </c>
      <c r="BC43" s="553" t="str">
        <f t="shared" si="4"/>
        <v/>
      </c>
      <c r="BD43" s="572"/>
      <c r="BE43" s="448" t="s">
        <v>1726</v>
      </c>
      <c r="BF43" s="305"/>
      <c r="BG43" s="305"/>
      <c r="BH43" s="306"/>
      <c r="BI43" s="305"/>
    </row>
    <row r="44" spans="1:61" ht="16.2" customHeight="1">
      <c r="A44" s="624" t="s">
        <v>383</v>
      </c>
      <c r="B44" s="469" t="s">
        <v>2188</v>
      </c>
      <c r="C44" s="3">
        <f>+$C$42+$G$43</f>
        <v>478.4</v>
      </c>
      <c r="D44" s="88"/>
      <c r="E44" s="4"/>
      <c r="F44" s="4">
        <v>-231.8</v>
      </c>
      <c r="G44" s="6"/>
      <c r="H44" s="468" t="s">
        <v>180</v>
      </c>
      <c r="I44" s="468"/>
      <c r="J44" s="3"/>
      <c r="K44" s="468"/>
      <c r="L44" s="468"/>
      <c r="M44" s="468" t="str">
        <f>IF(L44="","",
IF(AX44="PT",VLOOKUP(L44,Foundation_Calc!$V$4:$X$37,VLOOKUP(AX44,Foundation_Calc!$I$10:$J$13,2,FALSE),0),
IF(AX44="K",VLOOKUP(L44,Foundation_Calc!$V$41:$X$74,VLOOKUP(AX44,Foundation_Calc!$I$10:$J$13,2,FALSE),0),"")))</f>
        <v/>
      </c>
      <c r="N44" s="468" t="s">
        <v>191</v>
      </c>
      <c r="O44" s="468" t="s">
        <v>191</v>
      </c>
      <c r="P44" s="468"/>
      <c r="Q44" s="4"/>
      <c r="R44" s="6"/>
      <c r="S44" s="6"/>
      <c r="T44" s="4">
        <v>-10</v>
      </c>
      <c r="U44" s="4">
        <v>-30</v>
      </c>
      <c r="V44" s="4"/>
      <c r="W44" s="9">
        <v>0.8</v>
      </c>
      <c r="X44" s="9">
        <v>1</v>
      </c>
      <c r="Y44" s="9"/>
      <c r="Z44" s="9"/>
      <c r="AA44" s="9">
        <v>0.1</v>
      </c>
      <c r="AB44" s="9"/>
      <c r="AC44" s="468"/>
      <c r="AD44" s="468"/>
      <c r="AE44" s="468"/>
      <c r="AF44" s="4"/>
      <c r="AG44" s="88"/>
      <c r="AH44" s="4"/>
      <c r="AI44" s="4"/>
      <c r="AJ44" s="468"/>
      <c r="AK44" s="468" t="s">
        <v>42</v>
      </c>
      <c r="AL44" s="468"/>
      <c r="AM44" s="468" t="s">
        <v>2458</v>
      </c>
      <c r="AN44" s="10">
        <v>5.15</v>
      </c>
      <c r="AO44" s="9"/>
      <c r="AP44" s="9"/>
      <c r="AQ44" s="9"/>
      <c r="AR44" s="9"/>
      <c r="AS44" s="9"/>
      <c r="AT44" s="9"/>
      <c r="AU44" s="447"/>
      <c r="AV44" s="447"/>
      <c r="AW44" s="468" t="s">
        <v>199</v>
      </c>
      <c r="AX44" s="468" t="s">
        <v>199</v>
      </c>
      <c r="AY44" s="10"/>
      <c r="AZ44" s="10"/>
      <c r="BA44" s="553" t="str">
        <f t="shared" si="2"/>
        <v/>
      </c>
      <c r="BB44" s="553" t="str">
        <f t="shared" si="3"/>
        <v/>
      </c>
      <c r="BC44" s="553" t="str">
        <f t="shared" si="4"/>
        <v/>
      </c>
      <c r="BD44" s="572"/>
      <c r="BE44" s="448" t="s">
        <v>1726</v>
      </c>
      <c r="BF44" s="306"/>
      <c r="BG44" s="306"/>
      <c r="BH44" s="306"/>
      <c r="BI44" s="306"/>
    </row>
    <row r="45" spans="1:61" ht="16.2" customHeight="1">
      <c r="A45" s="624" t="s">
        <v>383</v>
      </c>
      <c r="B45" s="469"/>
      <c r="C45" s="3"/>
      <c r="D45" s="88"/>
      <c r="E45" s="4"/>
      <c r="F45" s="4"/>
      <c r="G45" s="6">
        <v>23</v>
      </c>
      <c r="H45" s="468"/>
      <c r="I45" s="468"/>
      <c r="J45" s="3"/>
      <c r="K45" s="468"/>
      <c r="L45" s="468"/>
      <c r="M45" s="468" t="str">
        <f>IF(L45="","",
IF(AX45="PT",VLOOKUP(L45,Foundation_Calc!$V$4:$X$37,VLOOKUP(AX45,Foundation_Calc!$I$10:$J$13,2,FALSE),0),
IF(AX45="K",VLOOKUP(L45,Foundation_Calc!$V$41:$X$74,VLOOKUP(AX45,Foundation_Calc!$I$10:$J$13,2,FALSE),0),"")))</f>
        <v/>
      </c>
      <c r="N45" s="468"/>
      <c r="O45" s="468"/>
      <c r="P45" s="468"/>
      <c r="Q45" s="4"/>
      <c r="R45" s="6"/>
      <c r="S45" s="6"/>
      <c r="T45" s="4"/>
      <c r="U45" s="4"/>
      <c r="V45" s="4"/>
      <c r="W45" s="9"/>
      <c r="X45" s="9"/>
      <c r="Y45" s="9"/>
      <c r="Z45" s="9"/>
      <c r="AA45" s="9"/>
      <c r="AB45" s="9"/>
      <c r="AC45" s="468" t="s">
        <v>195</v>
      </c>
      <c r="AD45" s="468"/>
      <c r="AE45" s="468"/>
      <c r="AF45" s="4"/>
      <c r="AG45" s="88"/>
      <c r="AH45" s="4"/>
      <c r="AI45" s="4"/>
      <c r="AJ45" s="468"/>
      <c r="AK45" s="468"/>
      <c r="AL45" s="468"/>
      <c r="AM45" s="468"/>
      <c r="AN45" s="10"/>
      <c r="AO45" s="9"/>
      <c r="AP45" s="9"/>
      <c r="AQ45" s="9"/>
      <c r="AR45" s="9"/>
      <c r="AS45" s="9"/>
      <c r="AT45" s="9"/>
      <c r="AU45" s="447"/>
      <c r="AV45" s="447"/>
      <c r="AW45" s="468"/>
      <c r="AX45" s="468"/>
      <c r="AY45" s="10"/>
      <c r="AZ45" s="10"/>
      <c r="BA45" s="553" t="str">
        <f t="shared" si="2"/>
        <v/>
      </c>
      <c r="BB45" s="553" t="str">
        <f t="shared" si="3"/>
        <v/>
      </c>
      <c r="BC45" s="553" t="str">
        <f t="shared" si="4"/>
        <v/>
      </c>
      <c r="BD45" s="572"/>
      <c r="BE45" s="448" t="s">
        <v>1726</v>
      </c>
      <c r="BF45" s="305"/>
      <c r="BG45" s="305"/>
      <c r="BH45" s="306"/>
      <c r="BI45" s="305"/>
    </row>
    <row r="46" spans="1:61" ht="16.2" customHeight="1">
      <c r="A46" s="573" t="s">
        <v>2452</v>
      </c>
      <c r="B46" s="469" t="s">
        <v>2189</v>
      </c>
      <c r="C46" s="3">
        <f>+$C$44+$G$45</f>
        <v>501.4</v>
      </c>
      <c r="D46" s="88"/>
      <c r="E46" s="4"/>
      <c r="F46" s="4">
        <v>0</v>
      </c>
      <c r="G46" s="6"/>
      <c r="H46" s="468" t="s">
        <v>179</v>
      </c>
      <c r="I46" s="468"/>
      <c r="J46" s="3"/>
      <c r="K46" s="468"/>
      <c r="L46" s="468"/>
      <c r="M46" s="468" t="str">
        <f>IF(L46="","",
IF(AX46="PT",VLOOKUP(L46,Foundation_Calc!$V$4:$X$37,VLOOKUP(AX46,Foundation_Calc!$I$10:$J$13,2,FALSE),0),
IF(AX46="K",VLOOKUP(L46,Foundation_Calc!$V$41:$X$74,VLOOKUP(AX46,Foundation_Calc!$I$10:$J$13,2,FALSE),0),"")))</f>
        <v/>
      </c>
      <c r="N46" s="468" t="s">
        <v>192</v>
      </c>
      <c r="O46" s="468" t="s">
        <v>193</v>
      </c>
      <c r="P46" s="468"/>
      <c r="Q46" s="4"/>
      <c r="R46" s="6"/>
      <c r="S46" s="6"/>
      <c r="T46" s="4">
        <v>20</v>
      </c>
      <c r="U46" s="4">
        <v>0</v>
      </c>
      <c r="V46" s="4"/>
      <c r="W46" s="9">
        <v>0.8</v>
      </c>
      <c r="X46" s="9">
        <v>1</v>
      </c>
      <c r="Y46" s="9"/>
      <c r="Z46" s="9"/>
      <c r="AA46" s="9">
        <v>0.3</v>
      </c>
      <c r="AB46" s="9"/>
      <c r="AC46" s="468" t="s">
        <v>1341</v>
      </c>
      <c r="AD46" s="468"/>
      <c r="AE46" s="468"/>
      <c r="AF46" s="4"/>
      <c r="AG46" s="88"/>
      <c r="AH46" s="4"/>
      <c r="AI46" s="4"/>
      <c r="AJ46" s="468"/>
      <c r="AK46" s="468" t="s">
        <v>42</v>
      </c>
      <c r="AL46" s="468"/>
      <c r="AM46" s="468" t="s">
        <v>2458</v>
      </c>
      <c r="AN46" s="10">
        <v>5.15</v>
      </c>
      <c r="AO46" s="9"/>
      <c r="AP46" s="9"/>
      <c r="AQ46" s="9"/>
      <c r="AR46" s="9"/>
      <c r="AS46" s="9"/>
      <c r="AT46" s="9"/>
      <c r="AU46" s="447"/>
      <c r="AV46" s="447"/>
      <c r="AW46" s="468" t="s">
        <v>199</v>
      </c>
      <c r="AX46" s="468" t="s">
        <v>199</v>
      </c>
      <c r="AY46" s="10"/>
      <c r="AZ46" s="10"/>
      <c r="BA46" s="553" t="str">
        <f t="shared" si="2"/>
        <v/>
      </c>
      <c r="BB46" s="553" t="str">
        <f t="shared" si="3"/>
        <v/>
      </c>
      <c r="BC46" s="553" t="str">
        <f t="shared" si="4"/>
        <v/>
      </c>
      <c r="BD46" s="572"/>
      <c r="BE46" s="448" t="s">
        <v>1726</v>
      </c>
      <c r="BF46" s="306"/>
      <c r="BG46" s="306"/>
      <c r="BH46" s="306"/>
      <c r="BI46" s="306"/>
    </row>
    <row r="47" spans="1:61" ht="16.2" customHeight="1">
      <c r="A47" s="579" t="s">
        <v>2452</v>
      </c>
      <c r="B47" s="469"/>
      <c r="C47" s="3"/>
      <c r="D47" s="88"/>
      <c r="E47" s="4"/>
      <c r="F47" s="4"/>
      <c r="G47" s="6">
        <v>30</v>
      </c>
      <c r="H47" s="468"/>
      <c r="I47" s="4">
        <f>SUM(G7:G47)</f>
        <v>531.4</v>
      </c>
      <c r="J47" s="3"/>
      <c r="K47" s="468"/>
      <c r="L47" s="468"/>
      <c r="M47" s="468" t="str">
        <f>IF(L47="","",
IF(AX47="PT",VLOOKUP(L47,Foundation_Calc!$V$4:$X$37,VLOOKUP(AX47,Foundation_Calc!$I$10:$J$13,2,FALSE),0),
IF(AX47="K",VLOOKUP(L47,Foundation_Calc!$V$41:$X$74,VLOOKUP(AX47,Foundation_Calc!$I$10:$J$13,2,FALSE),0),"")))</f>
        <v/>
      </c>
      <c r="N47" s="468"/>
      <c r="O47" s="468"/>
      <c r="P47" s="468"/>
      <c r="Q47" s="4"/>
      <c r="R47" s="6"/>
      <c r="S47" s="6"/>
      <c r="T47" s="4"/>
      <c r="U47" s="4"/>
      <c r="V47" s="4"/>
      <c r="W47" s="9"/>
      <c r="X47" s="9"/>
      <c r="Y47" s="9"/>
      <c r="Z47" s="9"/>
      <c r="AA47" s="9"/>
      <c r="AB47" s="9"/>
      <c r="AC47" s="468"/>
      <c r="AD47" s="468"/>
      <c r="AE47" s="468"/>
      <c r="AF47" s="4"/>
      <c r="AG47" s="88"/>
      <c r="AH47" s="4"/>
      <c r="AI47" s="4"/>
      <c r="AJ47" s="468"/>
      <c r="AK47" s="468"/>
      <c r="AL47" s="468"/>
      <c r="AM47" s="468"/>
      <c r="AN47" s="10"/>
      <c r="AO47" s="9"/>
      <c r="AP47" s="9"/>
      <c r="AQ47" s="9"/>
      <c r="AR47" s="9"/>
      <c r="AS47" s="9"/>
      <c r="AT47" s="9"/>
      <c r="AU47" s="447"/>
      <c r="AV47" s="447"/>
      <c r="AW47" s="468"/>
      <c r="AX47" s="468"/>
      <c r="AY47" s="10"/>
      <c r="AZ47" s="10"/>
      <c r="BA47" s="553" t="str">
        <f t="shared" si="2"/>
        <v/>
      </c>
      <c r="BB47" s="553" t="str">
        <f t="shared" si="3"/>
        <v/>
      </c>
      <c r="BC47" s="553" t="str">
        <f t="shared" si="4"/>
        <v/>
      </c>
      <c r="BD47" s="572"/>
      <c r="BE47" s="448" t="s">
        <v>1726</v>
      </c>
      <c r="BF47" s="305"/>
      <c r="BG47" s="305"/>
      <c r="BH47" s="306"/>
      <c r="BI47" s="305"/>
    </row>
    <row r="48" spans="1:61" ht="16.2" customHeight="1">
      <c r="A48" s="579" t="s">
        <v>2452</v>
      </c>
      <c r="B48" s="469" t="s">
        <v>2190</v>
      </c>
      <c r="C48" s="3">
        <f>+$C$46+$G$47</f>
        <v>531.4</v>
      </c>
      <c r="D48" s="88"/>
      <c r="E48" s="4"/>
      <c r="F48" s="4">
        <v>0</v>
      </c>
      <c r="G48" s="6"/>
      <c r="H48" s="468" t="s">
        <v>26</v>
      </c>
      <c r="I48" s="468" t="s">
        <v>339</v>
      </c>
      <c r="J48" s="3">
        <f>C48-10</f>
        <v>521.4</v>
      </c>
      <c r="K48" s="468" t="s">
        <v>447</v>
      </c>
      <c r="L48" s="468"/>
      <c r="M48" s="468" t="str">
        <f>IF(L48="","",
IF(AX48="PT",VLOOKUP(L48,Foundation_Calc!$V$4:$X$37,VLOOKUP(AX48,Foundation_Calc!$I$10:$J$13,2,FALSE),0),
IF(AX48="K",VLOOKUP(L48,Foundation_Calc!$V$41:$X$74,VLOOKUP(AX48,Foundation_Calc!$I$10:$J$13,2,FALSE),0),"")))</f>
        <v/>
      </c>
      <c r="N48" s="468" t="s">
        <v>191</v>
      </c>
      <c r="O48" s="468"/>
      <c r="P48" s="468"/>
      <c r="Q48" s="4"/>
      <c r="R48" s="6"/>
      <c r="S48" s="6"/>
      <c r="T48" s="4">
        <v>-25</v>
      </c>
      <c r="U48" s="4"/>
      <c r="V48" s="4"/>
      <c r="W48" s="9">
        <v>1</v>
      </c>
      <c r="X48" s="9"/>
      <c r="Y48" s="9"/>
      <c r="Z48" s="9"/>
      <c r="AA48" s="9"/>
      <c r="AB48" s="9"/>
      <c r="AC48" s="468" t="s">
        <v>630</v>
      </c>
      <c r="AD48" s="468"/>
      <c r="AE48" s="468"/>
      <c r="AF48" s="4"/>
      <c r="AG48" s="88"/>
      <c r="AH48" s="4"/>
      <c r="AI48" s="4"/>
      <c r="AJ48" s="468"/>
      <c r="AK48" s="468" t="s">
        <v>41</v>
      </c>
      <c r="AL48" s="468"/>
      <c r="AM48" s="468" t="s">
        <v>2458</v>
      </c>
      <c r="AN48" s="10">
        <v>5.15</v>
      </c>
      <c r="AO48" s="9"/>
      <c r="AP48" s="9"/>
      <c r="AQ48" s="9"/>
      <c r="AR48" s="9"/>
      <c r="AS48" s="9"/>
      <c r="AT48" s="9"/>
      <c r="AU48" s="447"/>
      <c r="AV48" s="447"/>
      <c r="AW48" s="468" t="s">
        <v>199</v>
      </c>
      <c r="AX48" s="468" t="s">
        <v>199</v>
      </c>
      <c r="AY48" s="10"/>
      <c r="AZ48" s="10"/>
      <c r="BA48" s="553" t="str">
        <f t="shared" si="2"/>
        <v/>
      </c>
      <c r="BB48" s="553" t="str">
        <f t="shared" si="3"/>
        <v/>
      </c>
      <c r="BC48" s="553" t="str">
        <f t="shared" si="4"/>
        <v/>
      </c>
      <c r="BD48" s="572"/>
      <c r="BE48" s="448" t="s">
        <v>1726</v>
      </c>
      <c r="BF48" s="306"/>
      <c r="BG48" s="306"/>
      <c r="BH48" s="306"/>
      <c r="BI48" s="306"/>
    </row>
    <row r="49" spans="1:61" ht="16.2" customHeight="1">
      <c r="A49" s="579" t="s">
        <v>2452</v>
      </c>
      <c r="B49" s="469"/>
      <c r="C49" s="3"/>
      <c r="D49" s="88"/>
      <c r="E49" s="4"/>
      <c r="F49" s="4"/>
      <c r="G49" s="6">
        <v>34</v>
      </c>
      <c r="H49" s="468"/>
      <c r="I49" s="468"/>
      <c r="J49" s="3"/>
      <c r="K49" s="468"/>
      <c r="L49" s="468"/>
      <c r="M49" s="468" t="str">
        <f>IF(L49="","",
IF(AX49="PT",VLOOKUP(L49,Foundation_Calc!$V$4:$X$37,VLOOKUP(AX49,Foundation_Calc!$I$10:$J$13,2,FALSE),0),
IF(AX49="K",VLOOKUP(L49,Foundation_Calc!$V$41:$X$74,VLOOKUP(AX49,Foundation_Calc!$I$10:$J$13,2,FALSE),0),"")))</f>
        <v/>
      </c>
      <c r="N49" s="468"/>
      <c r="O49" s="468"/>
      <c r="P49" s="468"/>
      <c r="Q49" s="4"/>
      <c r="R49" s="6"/>
      <c r="S49" s="6"/>
      <c r="T49" s="4"/>
      <c r="U49" s="4"/>
      <c r="V49" s="4"/>
      <c r="W49" s="9"/>
      <c r="X49" s="9"/>
      <c r="Y49" s="9"/>
      <c r="Z49" s="9"/>
      <c r="AA49" s="9"/>
      <c r="AB49" s="9"/>
      <c r="AC49" s="468" t="s">
        <v>195</v>
      </c>
      <c r="AD49" s="468"/>
      <c r="AE49" s="468"/>
      <c r="AF49" s="4"/>
      <c r="AG49" s="88"/>
      <c r="AH49" s="4"/>
      <c r="AI49" s="4"/>
      <c r="AJ49" s="468"/>
      <c r="AK49" s="468"/>
      <c r="AL49" s="468"/>
      <c r="AM49" s="468"/>
      <c r="AN49" s="10"/>
      <c r="AO49" s="9"/>
      <c r="AP49" s="9"/>
      <c r="AQ49" s="9"/>
      <c r="AR49" s="9"/>
      <c r="AS49" s="9"/>
      <c r="AT49" s="9"/>
      <c r="AU49" s="447"/>
      <c r="AV49" s="447"/>
      <c r="AW49" s="468"/>
      <c r="AX49" s="468"/>
      <c r="AY49" s="10"/>
      <c r="AZ49" s="10"/>
      <c r="BA49" s="553" t="str">
        <f t="shared" si="2"/>
        <v/>
      </c>
      <c r="BB49" s="553" t="str">
        <f t="shared" si="3"/>
        <v/>
      </c>
      <c r="BC49" s="553" t="str">
        <f t="shared" si="4"/>
        <v/>
      </c>
      <c r="BD49" s="572"/>
      <c r="BE49" s="448" t="s">
        <v>1726</v>
      </c>
      <c r="BF49" s="305"/>
      <c r="BG49" s="305"/>
      <c r="BH49" s="306"/>
      <c r="BI49" s="305"/>
    </row>
    <row r="50" spans="1:61" ht="16.2" customHeight="1">
      <c r="A50" s="579" t="s">
        <v>2452</v>
      </c>
      <c r="B50" s="469" t="s">
        <v>2191</v>
      </c>
      <c r="C50" s="3">
        <f>+$C$48+$G$49</f>
        <v>565.4</v>
      </c>
      <c r="D50" s="88"/>
      <c r="E50" s="4"/>
      <c r="F50" s="4">
        <v>0</v>
      </c>
      <c r="G50" s="6"/>
      <c r="H50" s="468"/>
      <c r="I50" s="468"/>
      <c r="J50" s="3"/>
      <c r="K50" s="468"/>
      <c r="L50" s="468"/>
      <c r="M50" s="468" t="str">
        <f>IF(L50="","",
IF(AX50="PT",VLOOKUP(L50,Foundation_Calc!$V$4:$X$37,VLOOKUP(AX50,Foundation_Calc!$I$10:$J$13,2,FALSE),0),
IF(AX50="K",VLOOKUP(L50,Foundation_Calc!$V$41:$X$74,VLOOKUP(AX50,Foundation_Calc!$I$10:$J$13,2,FALSE),0),"")))</f>
        <v/>
      </c>
      <c r="N50" s="468" t="s">
        <v>192</v>
      </c>
      <c r="O50" s="468"/>
      <c r="P50" s="468"/>
      <c r="Q50" s="4"/>
      <c r="R50" s="6"/>
      <c r="S50" s="6"/>
      <c r="T50" s="4">
        <v>25</v>
      </c>
      <c r="U50" s="4"/>
      <c r="V50" s="4"/>
      <c r="W50" s="9">
        <v>1</v>
      </c>
      <c r="X50" s="9"/>
      <c r="Y50" s="9"/>
      <c r="Z50" s="9"/>
      <c r="AA50" s="9"/>
      <c r="AB50" s="9"/>
      <c r="AC50" s="468" t="s">
        <v>630</v>
      </c>
      <c r="AD50" s="468"/>
      <c r="AE50" s="468"/>
      <c r="AF50" s="4"/>
      <c r="AG50" s="88"/>
      <c r="AH50" s="4"/>
      <c r="AI50" s="4"/>
      <c r="AJ50" s="468"/>
      <c r="AK50" s="468" t="s">
        <v>41</v>
      </c>
      <c r="AL50" s="468"/>
      <c r="AM50" s="468" t="s">
        <v>2458</v>
      </c>
      <c r="AN50" s="10">
        <v>5.15</v>
      </c>
      <c r="AO50" s="9"/>
      <c r="AP50" s="9"/>
      <c r="AQ50" s="9"/>
      <c r="AR50" s="9"/>
      <c r="AS50" s="9"/>
      <c r="AT50" s="9"/>
      <c r="AU50" s="447"/>
      <c r="AV50" s="447"/>
      <c r="AW50" s="468" t="s">
        <v>199</v>
      </c>
      <c r="AX50" s="468" t="s">
        <v>199</v>
      </c>
      <c r="AY50" s="10"/>
      <c r="AZ50" s="10"/>
      <c r="BA50" s="553" t="str">
        <f t="shared" si="2"/>
        <v/>
      </c>
      <c r="BB50" s="553" t="str">
        <f t="shared" si="3"/>
        <v/>
      </c>
      <c r="BC50" s="553" t="str">
        <f t="shared" si="4"/>
        <v/>
      </c>
      <c r="BD50" s="572"/>
      <c r="BE50" s="448" t="s">
        <v>1726</v>
      </c>
      <c r="BF50" s="306"/>
      <c r="BG50" s="306"/>
      <c r="BH50" s="306"/>
      <c r="BI50" s="306"/>
    </row>
    <row r="51" spans="1:61" ht="16.2" customHeight="1">
      <c r="A51" s="579"/>
      <c r="B51" s="469"/>
      <c r="C51" s="3"/>
      <c r="D51" s="88"/>
      <c r="E51" s="4"/>
      <c r="F51" s="4"/>
      <c r="G51" s="6">
        <v>34</v>
      </c>
      <c r="H51" s="468"/>
      <c r="I51" s="468"/>
      <c r="J51" s="3"/>
      <c r="K51" s="468"/>
      <c r="L51" s="468"/>
      <c r="M51" s="468" t="str">
        <f>IF(L51="","",
IF(AX51="PT",VLOOKUP(L51,Foundation_Calc!$V$4:$X$37,VLOOKUP(AX51,Foundation_Calc!$I$10:$J$13,2,FALSE),0),
IF(AX51="K",VLOOKUP(L51,Foundation_Calc!$V$41:$X$74,VLOOKUP(AX51,Foundation_Calc!$I$10:$J$13,2,FALSE),0),"")))</f>
        <v/>
      </c>
      <c r="N51" s="468"/>
      <c r="O51" s="468"/>
      <c r="P51" s="468"/>
      <c r="Q51" s="4"/>
      <c r="R51" s="6"/>
      <c r="S51" s="6"/>
      <c r="T51" s="4"/>
      <c r="U51" s="4"/>
      <c r="V51" s="4"/>
      <c r="W51" s="9"/>
      <c r="X51" s="9"/>
      <c r="Y51" s="9"/>
      <c r="Z51" s="9"/>
      <c r="AA51" s="9"/>
      <c r="AB51" s="9"/>
      <c r="AC51" s="468" t="s">
        <v>195</v>
      </c>
      <c r="AD51" s="468"/>
      <c r="AE51" s="468"/>
      <c r="AF51" s="4"/>
      <c r="AG51" s="88"/>
      <c r="AH51" s="4"/>
      <c r="AI51" s="4"/>
      <c r="AJ51" s="468"/>
      <c r="AK51" s="468"/>
      <c r="AL51" s="468"/>
      <c r="AM51" s="468"/>
      <c r="AN51" s="10"/>
      <c r="AO51" s="9"/>
      <c r="AP51" s="9"/>
      <c r="AQ51" s="9"/>
      <c r="AR51" s="9"/>
      <c r="AS51" s="9"/>
      <c r="AT51" s="9"/>
      <c r="AU51" s="447"/>
      <c r="AV51" s="447"/>
      <c r="AW51" s="468"/>
      <c r="AX51" s="468"/>
      <c r="AY51" s="10"/>
      <c r="AZ51" s="10"/>
      <c r="BA51" s="553" t="str">
        <f t="shared" si="2"/>
        <v/>
      </c>
      <c r="BB51" s="553" t="str">
        <f t="shared" si="3"/>
        <v/>
      </c>
      <c r="BC51" s="553" t="str">
        <f t="shared" si="4"/>
        <v/>
      </c>
      <c r="BD51" s="572"/>
      <c r="BE51" s="448" t="s">
        <v>1726</v>
      </c>
      <c r="BF51" s="305"/>
      <c r="BG51" s="305"/>
      <c r="BH51" s="306"/>
      <c r="BI51" s="305"/>
    </row>
    <row r="52" spans="1:61" ht="16.2" customHeight="1">
      <c r="A52" s="579" t="s">
        <v>2452</v>
      </c>
      <c r="B52" s="469" t="s">
        <v>2192</v>
      </c>
      <c r="C52" s="3">
        <f>+$C$50+$G$51</f>
        <v>599.4</v>
      </c>
      <c r="D52" s="88"/>
      <c r="E52" s="4"/>
      <c r="F52" s="4">
        <v>0</v>
      </c>
      <c r="G52" s="6"/>
      <c r="H52" s="468"/>
      <c r="I52" s="468"/>
      <c r="J52" s="3"/>
      <c r="K52" s="468"/>
      <c r="L52" s="468"/>
      <c r="M52" s="468" t="str">
        <f>IF(L52="","",
IF(AX52="PT",VLOOKUP(L52,Foundation_Calc!$V$4:$X$37,VLOOKUP(AX52,Foundation_Calc!$I$10:$J$13,2,FALSE),0),
IF(AX52="K",VLOOKUP(L52,Foundation_Calc!$V$41:$X$74,VLOOKUP(AX52,Foundation_Calc!$I$10:$J$13,2,FALSE),0),"")))</f>
        <v/>
      </c>
      <c r="N52" s="468" t="s">
        <v>32</v>
      </c>
      <c r="O52" s="468"/>
      <c r="P52" s="468"/>
      <c r="Q52" s="4"/>
      <c r="R52" s="6"/>
      <c r="S52" s="6"/>
      <c r="T52" s="4">
        <v>-25</v>
      </c>
      <c r="U52" s="4"/>
      <c r="V52" s="4"/>
      <c r="W52" s="9">
        <v>1</v>
      </c>
      <c r="X52" s="9"/>
      <c r="Y52" s="9"/>
      <c r="Z52" s="9"/>
      <c r="AA52" s="9"/>
      <c r="AB52" s="9"/>
      <c r="AC52" s="468" t="s">
        <v>630</v>
      </c>
      <c r="AD52" s="468"/>
      <c r="AE52" s="468"/>
      <c r="AF52" s="4"/>
      <c r="AG52" s="88"/>
      <c r="AH52" s="4"/>
      <c r="AI52" s="4"/>
      <c r="AJ52" s="468"/>
      <c r="AK52" s="468" t="s">
        <v>2567</v>
      </c>
      <c r="AL52" s="468"/>
      <c r="AM52" s="468" t="s">
        <v>2458</v>
      </c>
      <c r="AN52" s="10">
        <v>5.15</v>
      </c>
      <c r="AO52" s="9"/>
      <c r="AP52" s="9"/>
      <c r="AQ52" s="9"/>
      <c r="AR52" s="9"/>
      <c r="AS52" s="9"/>
      <c r="AT52" s="9"/>
      <c r="AU52" s="447"/>
      <c r="AV52" s="447"/>
      <c r="AW52" s="468" t="s">
        <v>199</v>
      </c>
      <c r="AX52" s="468" t="s">
        <v>199</v>
      </c>
      <c r="AY52" s="10"/>
      <c r="AZ52" s="10"/>
      <c r="BA52" s="553" t="str">
        <f t="shared" si="2"/>
        <v/>
      </c>
      <c r="BB52" s="553" t="str">
        <f t="shared" si="3"/>
        <v/>
      </c>
      <c r="BC52" s="553" t="str">
        <f t="shared" si="4"/>
        <v/>
      </c>
      <c r="BD52" s="572"/>
      <c r="BE52" s="448" t="s">
        <v>1726</v>
      </c>
      <c r="BF52" s="306"/>
      <c r="BG52" s="306"/>
      <c r="BH52" s="306"/>
      <c r="BI52" s="306"/>
    </row>
    <row r="53" spans="1:61" ht="16.2" customHeight="1">
      <c r="A53" s="580" t="s">
        <v>2452</v>
      </c>
      <c r="B53" s="469"/>
      <c r="C53" s="3"/>
      <c r="D53" s="88"/>
      <c r="E53" s="4"/>
      <c r="F53" s="4"/>
      <c r="G53" s="6">
        <v>34</v>
      </c>
      <c r="H53" s="468"/>
      <c r="I53" s="468"/>
      <c r="J53" s="3"/>
      <c r="K53" s="468"/>
      <c r="L53" s="468"/>
      <c r="M53" s="468" t="str">
        <f>IF(L53="","",
IF(AX53="PT",VLOOKUP(L53,Foundation_Calc!$V$4:$X$37,VLOOKUP(AX53,Foundation_Calc!$I$10:$J$13,2,FALSE),0),
IF(AX53="K",VLOOKUP(L53,Foundation_Calc!$V$41:$X$74,VLOOKUP(AX53,Foundation_Calc!$I$10:$J$13,2,FALSE),0),"")))</f>
        <v/>
      </c>
      <c r="N53" s="468"/>
      <c r="O53" s="468"/>
      <c r="P53" s="468"/>
      <c r="Q53" s="4"/>
      <c r="R53" s="6"/>
      <c r="S53" s="6"/>
      <c r="T53" s="4"/>
      <c r="U53" s="4"/>
      <c r="V53" s="4"/>
      <c r="W53" s="9"/>
      <c r="X53" s="9"/>
      <c r="Y53" s="9"/>
      <c r="Z53" s="9"/>
      <c r="AA53" s="9"/>
      <c r="AB53" s="9"/>
      <c r="AC53" s="468" t="s">
        <v>195</v>
      </c>
      <c r="AD53" s="468"/>
      <c r="AE53" s="468"/>
      <c r="AF53" s="4"/>
      <c r="AG53" s="88"/>
      <c r="AH53" s="4"/>
      <c r="AI53" s="4"/>
      <c r="AJ53" s="468"/>
      <c r="AK53" s="468"/>
      <c r="AL53" s="468"/>
      <c r="AM53" s="468"/>
      <c r="AN53" s="10"/>
      <c r="AO53" s="9"/>
      <c r="AP53" s="9"/>
      <c r="AQ53" s="9"/>
      <c r="AR53" s="9"/>
      <c r="AS53" s="9"/>
      <c r="AT53" s="9"/>
      <c r="AU53" s="447"/>
      <c r="AV53" s="447"/>
      <c r="AW53" s="468"/>
      <c r="AX53" s="468"/>
      <c r="AY53" s="10"/>
      <c r="AZ53" s="10"/>
      <c r="BA53" s="553" t="str">
        <f t="shared" si="2"/>
        <v/>
      </c>
      <c r="BB53" s="553" t="str">
        <f t="shared" si="3"/>
        <v/>
      </c>
      <c r="BC53" s="553" t="str">
        <f t="shared" si="4"/>
        <v/>
      </c>
      <c r="BD53" s="572"/>
      <c r="BE53" s="448" t="s">
        <v>1726</v>
      </c>
      <c r="BF53" s="305"/>
      <c r="BG53" s="305"/>
      <c r="BH53" s="306"/>
      <c r="BI53" s="305"/>
    </row>
    <row r="54" spans="1:61" ht="16.2" customHeight="1">
      <c r="A54" s="581" t="s">
        <v>2453</v>
      </c>
      <c r="B54" s="527" t="s">
        <v>2193</v>
      </c>
      <c r="C54" s="528">
        <f>+$C$52+$G$53</f>
        <v>633.4</v>
      </c>
      <c r="D54" s="529"/>
      <c r="E54" s="530"/>
      <c r="F54" s="530">
        <v>0</v>
      </c>
      <c r="G54" s="531"/>
      <c r="H54" s="532"/>
      <c r="I54" s="532"/>
      <c r="J54" s="528"/>
      <c r="K54" s="532"/>
      <c r="L54" s="532"/>
      <c r="M54" s="532" t="str">
        <f>IF(L54="","",
IF(AX54="PT",VLOOKUP(L54,Foundation_Calc!$V$4:$X$37,VLOOKUP(AX54,Foundation_Calc!$I$10:$J$13,2,FALSE),0),
IF(AX54="K",VLOOKUP(L54,Foundation_Calc!$V$41:$X$74,VLOOKUP(AX54,Foundation_Calc!$I$10:$J$13,2,FALSE),0),"")))</f>
        <v/>
      </c>
      <c r="N54" s="532" t="s">
        <v>33</v>
      </c>
      <c r="O54" s="532"/>
      <c r="P54" s="532"/>
      <c r="Q54" s="530"/>
      <c r="R54" s="531"/>
      <c r="S54" s="531"/>
      <c r="T54" s="530">
        <v>25</v>
      </c>
      <c r="U54" s="530"/>
      <c r="V54" s="530"/>
      <c r="W54" s="533">
        <v>1</v>
      </c>
      <c r="X54" s="533"/>
      <c r="Y54" s="533"/>
      <c r="Z54" s="533"/>
      <c r="AA54" s="533"/>
      <c r="AB54" s="533"/>
      <c r="AC54" s="532" t="s">
        <v>630</v>
      </c>
      <c r="AD54" s="532"/>
      <c r="AE54" s="532"/>
      <c r="AF54" s="530"/>
      <c r="AG54" s="529"/>
      <c r="AH54" s="530"/>
      <c r="AI54" s="530"/>
      <c r="AJ54" s="532"/>
      <c r="AK54" s="532" t="s">
        <v>2567</v>
      </c>
      <c r="AL54" s="532"/>
      <c r="AM54" s="532" t="s">
        <v>2458</v>
      </c>
      <c r="AN54" s="534">
        <v>5.15</v>
      </c>
      <c r="AO54" s="533"/>
      <c r="AP54" s="533"/>
      <c r="AQ54" s="533"/>
      <c r="AR54" s="533"/>
      <c r="AS54" s="533"/>
      <c r="AT54" s="533"/>
      <c r="AU54" s="535"/>
      <c r="AV54" s="535"/>
      <c r="AW54" s="532" t="s">
        <v>199</v>
      </c>
      <c r="AX54" s="532" t="s">
        <v>199</v>
      </c>
      <c r="AY54" s="534"/>
      <c r="AZ54" s="534"/>
      <c r="BA54" s="553" t="str">
        <f t="shared" si="2"/>
        <v/>
      </c>
      <c r="BB54" s="553" t="str">
        <f t="shared" si="3"/>
        <v/>
      </c>
      <c r="BC54" s="553" t="str">
        <f t="shared" si="4"/>
        <v/>
      </c>
      <c r="BD54" s="572"/>
      <c r="BE54" s="448" t="s">
        <v>1726</v>
      </c>
      <c r="BF54" s="306"/>
      <c r="BG54" s="306"/>
      <c r="BH54" s="306"/>
      <c r="BI54" s="306"/>
    </row>
    <row r="55" spans="1:61" ht="16.2" customHeight="1">
      <c r="A55" s="579" t="s">
        <v>2452</v>
      </c>
      <c r="B55" s="469"/>
      <c r="C55" s="3"/>
      <c r="D55" s="88"/>
      <c r="E55" s="4"/>
      <c r="F55" s="4"/>
      <c r="G55" s="6">
        <v>34.200000000000003</v>
      </c>
      <c r="H55" s="468"/>
      <c r="I55" s="468"/>
      <c r="J55" s="3"/>
      <c r="K55" s="468"/>
      <c r="L55" s="468"/>
      <c r="M55" s="468" t="str">
        <f>IF(L55="","",
IF(AX55="PT",VLOOKUP(L55,Foundation_Calc!$V$4:$X$37,VLOOKUP(AX55,Foundation_Calc!$I$10:$J$13,2,FALSE),0),
IF(AX55="K",VLOOKUP(L55,Foundation_Calc!$V$41:$X$74,VLOOKUP(AX55,Foundation_Calc!$I$10:$J$13,2,FALSE),0),"")))</f>
        <v/>
      </c>
      <c r="N55" s="468"/>
      <c r="O55" s="468"/>
      <c r="P55" s="468"/>
      <c r="Q55" s="4"/>
      <c r="R55" s="6"/>
      <c r="S55" s="6"/>
      <c r="T55" s="4"/>
      <c r="U55" s="4"/>
      <c r="V55" s="4"/>
      <c r="W55" s="9"/>
      <c r="X55" s="9"/>
      <c r="Y55" s="9"/>
      <c r="Z55" s="9"/>
      <c r="AA55" s="9"/>
      <c r="AB55" s="9"/>
      <c r="AC55" s="468" t="s">
        <v>195</v>
      </c>
      <c r="AD55" s="468"/>
      <c r="AE55" s="468"/>
      <c r="AF55" s="4"/>
      <c r="AG55" s="88"/>
      <c r="AH55" s="4"/>
      <c r="AI55" s="4"/>
      <c r="AJ55" s="468"/>
      <c r="AK55" s="468"/>
      <c r="AL55" s="468"/>
      <c r="AM55" s="468"/>
      <c r="AN55" s="10"/>
      <c r="AO55" s="9"/>
      <c r="AP55" s="9"/>
      <c r="AQ55" s="9"/>
      <c r="AR55" s="9"/>
      <c r="AS55" s="9"/>
      <c r="AT55" s="9"/>
      <c r="AU55" s="447"/>
      <c r="AV55" s="447"/>
      <c r="AW55" s="468"/>
      <c r="AX55" s="468"/>
      <c r="AY55" s="10"/>
      <c r="AZ55" s="10"/>
      <c r="BA55" s="553" t="str">
        <f t="shared" si="2"/>
        <v/>
      </c>
      <c r="BB55" s="553" t="str">
        <f t="shared" si="3"/>
        <v/>
      </c>
      <c r="BC55" s="553" t="str">
        <f t="shared" si="4"/>
        <v/>
      </c>
      <c r="BD55" s="572"/>
      <c r="BE55" s="448" t="s">
        <v>1726</v>
      </c>
      <c r="BF55" s="305"/>
      <c r="BG55" s="305"/>
      <c r="BH55" s="306"/>
      <c r="BI55" s="305"/>
    </row>
    <row r="56" spans="1:61" ht="16.2" customHeight="1">
      <c r="A56" s="579" t="s">
        <v>2452</v>
      </c>
      <c r="B56" s="469" t="s">
        <v>2194</v>
      </c>
      <c r="C56" s="3">
        <f>+$C$54+$G$55</f>
        <v>667.6</v>
      </c>
      <c r="D56" s="88"/>
      <c r="E56" s="4"/>
      <c r="F56" s="4">
        <v>0</v>
      </c>
      <c r="G56" s="6"/>
      <c r="H56" s="468"/>
      <c r="I56" s="468"/>
      <c r="J56" s="3"/>
      <c r="K56" s="468"/>
      <c r="L56" s="468"/>
      <c r="M56" s="468" t="str">
        <f>IF(L56="","",
IF(AX56="PT",VLOOKUP(L56,Foundation_Calc!$V$4:$X$37,VLOOKUP(AX56,Foundation_Calc!$I$10:$J$13,2,FALSE),0),
IF(AX56="K",VLOOKUP(L56,Foundation_Calc!$V$41:$X$74,VLOOKUP(AX56,Foundation_Calc!$I$10:$J$13,2,FALSE),0),"")))</f>
        <v/>
      </c>
      <c r="N56" s="468" t="s">
        <v>32</v>
      </c>
      <c r="O56" s="468"/>
      <c r="P56" s="468"/>
      <c r="Q56" s="4"/>
      <c r="R56" s="6"/>
      <c r="S56" s="6"/>
      <c r="T56" s="4">
        <v>-25</v>
      </c>
      <c r="U56" s="4"/>
      <c r="V56" s="4"/>
      <c r="W56" s="9">
        <v>1</v>
      </c>
      <c r="X56" s="9"/>
      <c r="Y56" s="9"/>
      <c r="Z56" s="9"/>
      <c r="AA56" s="9"/>
      <c r="AB56" s="9"/>
      <c r="AC56" s="468" t="s">
        <v>630</v>
      </c>
      <c r="AD56" s="468"/>
      <c r="AE56" s="468"/>
      <c r="AF56" s="4"/>
      <c r="AG56" s="88"/>
      <c r="AH56" s="4"/>
      <c r="AI56" s="4"/>
      <c r="AJ56" s="468"/>
      <c r="AK56" s="468" t="s">
        <v>2567</v>
      </c>
      <c r="AL56" s="468"/>
      <c r="AM56" s="468" t="s">
        <v>2458</v>
      </c>
      <c r="AN56" s="10">
        <v>5.15</v>
      </c>
      <c r="AO56" s="9"/>
      <c r="AP56" s="9"/>
      <c r="AQ56" s="9"/>
      <c r="AR56" s="9"/>
      <c r="AS56" s="9"/>
      <c r="AT56" s="9"/>
      <c r="AU56" s="447"/>
      <c r="AV56" s="447"/>
      <c r="AW56" s="468" t="s">
        <v>199</v>
      </c>
      <c r="AX56" s="468" t="s">
        <v>199</v>
      </c>
      <c r="AY56" s="10"/>
      <c r="AZ56" s="10"/>
      <c r="BA56" s="553" t="str">
        <f t="shared" si="2"/>
        <v/>
      </c>
      <c r="BB56" s="553" t="str">
        <f t="shared" si="3"/>
        <v/>
      </c>
      <c r="BC56" s="553" t="str">
        <f t="shared" si="4"/>
        <v/>
      </c>
      <c r="BD56" s="572"/>
      <c r="BE56" s="448" t="s">
        <v>1726</v>
      </c>
      <c r="BF56" s="306"/>
      <c r="BG56" s="306"/>
      <c r="BH56" s="306"/>
      <c r="BI56" s="306"/>
    </row>
    <row r="57" spans="1:61" ht="16.2" customHeight="1">
      <c r="A57" s="579"/>
      <c r="B57" s="469"/>
      <c r="C57" s="3"/>
      <c r="D57" s="88"/>
      <c r="E57" s="4"/>
      <c r="F57" s="4"/>
      <c r="G57" s="6">
        <v>40.200000000000003</v>
      </c>
      <c r="H57" s="468"/>
      <c r="I57" s="468"/>
      <c r="J57" s="3"/>
      <c r="K57" s="468"/>
      <c r="L57" s="468"/>
      <c r="M57" s="468" t="str">
        <f>IF(L57="","",
IF(AX57="PT",VLOOKUP(L57,Foundation_Calc!$V$4:$X$37,VLOOKUP(AX57,Foundation_Calc!$I$10:$J$13,2,FALSE),0),
IF(AX57="K",VLOOKUP(L57,Foundation_Calc!$V$41:$X$74,VLOOKUP(AX57,Foundation_Calc!$I$10:$J$13,2,FALSE),0),"")))</f>
        <v/>
      </c>
      <c r="N57" s="468"/>
      <c r="O57" s="468"/>
      <c r="P57" s="468"/>
      <c r="Q57" s="4"/>
      <c r="R57" s="6"/>
      <c r="S57" s="6"/>
      <c r="T57" s="4"/>
      <c r="U57" s="4"/>
      <c r="V57" s="4"/>
      <c r="W57" s="9"/>
      <c r="X57" s="9"/>
      <c r="Y57" s="9"/>
      <c r="Z57" s="9"/>
      <c r="AA57" s="9"/>
      <c r="AB57" s="9"/>
      <c r="AC57" s="468" t="s">
        <v>195</v>
      </c>
      <c r="AD57" s="468"/>
      <c r="AE57" s="468"/>
      <c r="AF57" s="4"/>
      <c r="AG57" s="88"/>
      <c r="AH57" s="4"/>
      <c r="AI57" s="4"/>
      <c r="AJ57" s="468"/>
      <c r="AK57" s="468"/>
      <c r="AL57" s="468"/>
      <c r="AM57" s="468"/>
      <c r="AN57" s="10"/>
      <c r="AO57" s="9"/>
      <c r="AP57" s="9"/>
      <c r="AQ57" s="9"/>
      <c r="AR57" s="9"/>
      <c r="AS57" s="9"/>
      <c r="AT57" s="9"/>
      <c r="AU57" s="447"/>
      <c r="AV57" s="447"/>
      <c r="AW57" s="468"/>
      <c r="AX57" s="468"/>
      <c r="AY57" s="10"/>
      <c r="AZ57" s="10"/>
      <c r="BA57" s="553" t="str">
        <f t="shared" si="2"/>
        <v/>
      </c>
      <c r="BB57" s="553" t="str">
        <f t="shared" si="3"/>
        <v/>
      </c>
      <c r="BC57" s="553" t="str">
        <f t="shared" si="4"/>
        <v/>
      </c>
      <c r="BD57" s="572"/>
      <c r="BE57" s="448" t="s">
        <v>1726</v>
      </c>
      <c r="BF57" s="305"/>
      <c r="BG57" s="305"/>
      <c r="BH57" s="306"/>
      <c r="BI57" s="305"/>
    </row>
    <row r="58" spans="1:61" ht="16.2" customHeight="1">
      <c r="A58" s="579" t="s">
        <v>2452</v>
      </c>
      <c r="B58" s="469" t="s">
        <v>2195</v>
      </c>
      <c r="C58" s="3">
        <f>+$C$56+$G$57</f>
        <v>707.80000000000007</v>
      </c>
      <c r="D58" s="88"/>
      <c r="E58" s="4"/>
      <c r="F58" s="4">
        <v>0</v>
      </c>
      <c r="G58" s="6"/>
      <c r="H58" s="468"/>
      <c r="I58" s="468"/>
      <c r="J58" s="3"/>
      <c r="K58" s="468"/>
      <c r="L58" s="468"/>
      <c r="M58" s="468" t="str">
        <f>IF(L58="","",
IF(AX58="PT",VLOOKUP(L58,Foundation_Calc!$V$4:$X$37,VLOOKUP(AX58,Foundation_Calc!$I$10:$J$13,2,FALSE),0),
IF(AX58="K",VLOOKUP(L58,Foundation_Calc!$V$41:$X$74,VLOOKUP(AX58,Foundation_Calc!$I$10:$J$13,2,FALSE),0),"")))</f>
        <v/>
      </c>
      <c r="N58" s="532" t="s">
        <v>33</v>
      </c>
      <c r="O58" s="468"/>
      <c r="P58" s="468"/>
      <c r="Q58" s="4"/>
      <c r="R58" s="6"/>
      <c r="S58" s="6"/>
      <c r="T58" s="4">
        <v>25</v>
      </c>
      <c r="U58" s="4"/>
      <c r="V58" s="4"/>
      <c r="W58" s="9">
        <v>1</v>
      </c>
      <c r="X58" s="9"/>
      <c r="Y58" s="9"/>
      <c r="Z58" s="9"/>
      <c r="AA58" s="9"/>
      <c r="AB58" s="9"/>
      <c r="AC58" s="468" t="s">
        <v>630</v>
      </c>
      <c r="AD58" s="468"/>
      <c r="AE58" s="468"/>
      <c r="AF58" s="4"/>
      <c r="AG58" s="88"/>
      <c r="AH58" s="4"/>
      <c r="AI58" s="4"/>
      <c r="AJ58" s="468"/>
      <c r="AK58" s="468" t="s">
        <v>2567</v>
      </c>
      <c r="AL58" s="468"/>
      <c r="AM58" s="468" t="s">
        <v>2458</v>
      </c>
      <c r="AN58" s="10">
        <v>5.15</v>
      </c>
      <c r="AO58" s="9"/>
      <c r="AP58" s="9"/>
      <c r="AQ58" s="9"/>
      <c r="AR58" s="9"/>
      <c r="AS58" s="9"/>
      <c r="AT58" s="9"/>
      <c r="AU58" s="447"/>
      <c r="AV58" s="447"/>
      <c r="AW58" s="468" t="s">
        <v>199</v>
      </c>
      <c r="AX58" s="468" t="s">
        <v>199</v>
      </c>
      <c r="AY58" s="10"/>
      <c r="AZ58" s="10"/>
      <c r="BA58" s="553" t="str">
        <f t="shared" si="2"/>
        <v/>
      </c>
      <c r="BB58" s="553" t="str">
        <f t="shared" si="3"/>
        <v/>
      </c>
      <c r="BC58" s="553" t="str">
        <f t="shared" si="4"/>
        <v/>
      </c>
      <c r="BD58" s="572"/>
      <c r="BE58" s="448" t="s">
        <v>1726</v>
      </c>
      <c r="BF58" s="306"/>
      <c r="BG58" s="306"/>
      <c r="BH58" s="306"/>
      <c r="BI58" s="306"/>
    </row>
    <row r="59" spans="1:61" ht="16.2" customHeight="1">
      <c r="A59" s="579" t="s">
        <v>2452</v>
      </c>
      <c r="B59" s="469"/>
      <c r="C59" s="3"/>
      <c r="D59" s="88"/>
      <c r="E59" s="4"/>
      <c r="F59" s="4"/>
      <c r="G59" s="6">
        <v>30.7</v>
      </c>
      <c r="H59" s="468"/>
      <c r="I59" s="468"/>
      <c r="J59" s="3"/>
      <c r="K59" s="468"/>
      <c r="L59" s="468"/>
      <c r="M59" s="468" t="str">
        <f>IF(L59="","",
IF(AX59="PT",VLOOKUP(L59,Foundation_Calc!$V$4:$X$37,VLOOKUP(AX59,Foundation_Calc!$I$10:$J$13,2,FALSE),0),
IF(AX59="K",VLOOKUP(L59,Foundation_Calc!$V$41:$X$74,VLOOKUP(AX59,Foundation_Calc!$I$10:$J$13,2,FALSE),0),"")))</f>
        <v/>
      </c>
      <c r="N59" s="468"/>
      <c r="O59" s="468"/>
      <c r="P59" s="468"/>
      <c r="Q59" s="4"/>
      <c r="R59" s="6"/>
      <c r="S59" s="6"/>
      <c r="T59" s="4"/>
      <c r="U59" s="4"/>
      <c r="V59" s="4"/>
      <c r="W59" s="9"/>
      <c r="X59" s="9"/>
      <c r="Y59" s="9"/>
      <c r="Z59" s="9"/>
      <c r="AA59" s="9"/>
      <c r="AB59" s="9"/>
      <c r="AC59" s="468" t="s">
        <v>195</v>
      </c>
      <c r="AD59" s="468"/>
      <c r="AE59" s="468"/>
      <c r="AF59" s="4"/>
      <c r="AG59" s="88"/>
      <c r="AH59" s="4"/>
      <c r="AI59" s="4"/>
      <c r="AJ59" s="468"/>
      <c r="AK59" s="468"/>
      <c r="AL59" s="468"/>
      <c r="AM59" s="468"/>
      <c r="AN59" s="10"/>
      <c r="AO59" s="9"/>
      <c r="AP59" s="9"/>
      <c r="AQ59" s="9"/>
      <c r="AR59" s="9"/>
      <c r="AS59" s="9"/>
      <c r="AT59" s="9"/>
      <c r="AU59" s="447"/>
      <c r="AV59" s="447"/>
      <c r="AW59" s="468"/>
      <c r="AX59" s="468"/>
      <c r="AY59" s="10"/>
      <c r="AZ59" s="10"/>
      <c r="BA59" s="553" t="str">
        <f t="shared" si="2"/>
        <v/>
      </c>
      <c r="BB59" s="553" t="str">
        <f t="shared" si="3"/>
        <v/>
      </c>
      <c r="BC59" s="553" t="str">
        <f t="shared" si="4"/>
        <v/>
      </c>
      <c r="BD59" s="572"/>
      <c r="BE59" s="448" t="s">
        <v>1726</v>
      </c>
      <c r="BF59" s="305"/>
      <c r="BG59" s="305"/>
      <c r="BH59" s="306"/>
      <c r="BI59" s="305"/>
    </row>
    <row r="60" spans="1:61" ht="16.2" customHeight="1">
      <c r="A60" s="579" t="s">
        <v>2452</v>
      </c>
      <c r="B60" s="469" t="s">
        <v>2196</v>
      </c>
      <c r="C60" s="3">
        <f>+$C$58+$G$59</f>
        <v>738.50000000000011</v>
      </c>
      <c r="D60" s="88"/>
      <c r="E60" s="4"/>
      <c r="F60" s="4">
        <v>0</v>
      </c>
      <c r="G60" s="6"/>
      <c r="H60" s="468"/>
      <c r="I60" s="468"/>
      <c r="J60" s="3"/>
      <c r="K60" s="468"/>
      <c r="L60" s="468"/>
      <c r="M60" s="468" t="str">
        <f>IF(L60="","",
IF(AX60="PT",VLOOKUP(L60,Foundation_Calc!$V$4:$X$37,VLOOKUP(AX60,Foundation_Calc!$I$10:$J$13,2,FALSE),0),
IF(AX60="K",VLOOKUP(L60,Foundation_Calc!$V$41:$X$74,VLOOKUP(AX60,Foundation_Calc!$I$10:$J$13,2,FALSE),0),"")))</f>
        <v/>
      </c>
      <c r="N60" s="468" t="s">
        <v>32</v>
      </c>
      <c r="O60" s="468"/>
      <c r="P60" s="468"/>
      <c r="Q60" s="4"/>
      <c r="R60" s="6"/>
      <c r="S60" s="6"/>
      <c r="T60" s="4">
        <v>-25</v>
      </c>
      <c r="U60" s="4"/>
      <c r="V60" s="4"/>
      <c r="W60" s="9">
        <v>1</v>
      </c>
      <c r="X60" s="9"/>
      <c r="Y60" s="9"/>
      <c r="Z60" s="9"/>
      <c r="AA60" s="9"/>
      <c r="AB60" s="9"/>
      <c r="AC60" s="468" t="s">
        <v>630</v>
      </c>
      <c r="AD60" s="468"/>
      <c r="AE60" s="468"/>
      <c r="AF60" s="4"/>
      <c r="AG60" s="88"/>
      <c r="AH60" s="4"/>
      <c r="AI60" s="4"/>
      <c r="AJ60" s="468"/>
      <c r="AK60" s="468" t="s">
        <v>2567</v>
      </c>
      <c r="AL60" s="468"/>
      <c r="AM60" s="468" t="s">
        <v>2458</v>
      </c>
      <c r="AN60" s="10">
        <v>5.15</v>
      </c>
      <c r="AO60" s="9"/>
      <c r="AP60" s="9"/>
      <c r="AQ60" s="9"/>
      <c r="AR60" s="9"/>
      <c r="AS60" s="9"/>
      <c r="AT60" s="9"/>
      <c r="AU60" s="447"/>
      <c r="AV60" s="447"/>
      <c r="AW60" s="468" t="s">
        <v>199</v>
      </c>
      <c r="AX60" s="468" t="s">
        <v>199</v>
      </c>
      <c r="AY60" s="10"/>
      <c r="AZ60" s="10"/>
      <c r="BA60" s="553" t="str">
        <f t="shared" si="2"/>
        <v/>
      </c>
      <c r="BB60" s="553" t="str">
        <f t="shared" si="3"/>
        <v/>
      </c>
      <c r="BC60" s="553" t="str">
        <f t="shared" si="4"/>
        <v/>
      </c>
      <c r="BD60" s="572"/>
      <c r="BE60" s="448" t="s">
        <v>1726</v>
      </c>
      <c r="BF60" s="306"/>
      <c r="BG60" s="306"/>
      <c r="BH60" s="306"/>
      <c r="BI60" s="306"/>
    </row>
    <row r="61" spans="1:61" ht="16.2" customHeight="1">
      <c r="A61" s="584" t="s">
        <v>2388</v>
      </c>
      <c r="B61" s="527"/>
      <c r="C61" s="528"/>
      <c r="D61" s="529"/>
      <c r="E61" s="530"/>
      <c r="F61" s="530"/>
      <c r="G61" s="531">
        <v>30.7</v>
      </c>
      <c r="H61" s="532"/>
      <c r="I61" s="530">
        <f>SUM(G39:G61)</f>
        <v>359.7</v>
      </c>
      <c r="J61" s="528"/>
      <c r="K61" s="532"/>
      <c r="L61" s="532"/>
      <c r="M61" s="532" t="str">
        <f>IF(L61="","",
IF(AX61="PT",VLOOKUP(L61,Foundation_Calc!$V$4:$X$37,VLOOKUP(AX61,Foundation_Calc!$I$10:$J$13,2,FALSE),0),
IF(AX61="K",VLOOKUP(L61,Foundation_Calc!$V$41:$X$74,VLOOKUP(AX61,Foundation_Calc!$I$10:$J$13,2,FALSE),0),"")))</f>
        <v/>
      </c>
      <c r="N61" s="532"/>
      <c r="O61" s="532"/>
      <c r="P61" s="532"/>
      <c r="Q61" s="530"/>
      <c r="R61" s="531"/>
      <c r="S61" s="531"/>
      <c r="T61" s="530"/>
      <c r="U61" s="530"/>
      <c r="V61" s="530"/>
      <c r="W61" s="533"/>
      <c r="X61" s="533"/>
      <c r="Y61" s="533"/>
      <c r="Z61" s="533"/>
      <c r="AA61" s="533"/>
      <c r="AB61" s="533"/>
      <c r="AC61" s="532" t="s">
        <v>195</v>
      </c>
      <c r="AD61" s="532"/>
      <c r="AE61" s="532"/>
      <c r="AF61" s="530"/>
      <c r="AG61" s="529"/>
      <c r="AH61" s="530"/>
      <c r="AI61" s="530"/>
      <c r="AJ61" s="532" t="s">
        <v>369</v>
      </c>
      <c r="AK61" s="532"/>
      <c r="AL61" s="532"/>
      <c r="AM61" s="532"/>
      <c r="AN61" s="534"/>
      <c r="AO61" s="533"/>
      <c r="AP61" s="533"/>
      <c r="AQ61" s="533"/>
      <c r="AR61" s="533"/>
      <c r="AS61" s="533"/>
      <c r="AT61" s="533"/>
      <c r="AU61" s="535"/>
      <c r="AV61" s="535"/>
      <c r="AW61" s="532"/>
      <c r="AX61" s="532"/>
      <c r="AY61" s="534"/>
      <c r="AZ61" s="534"/>
      <c r="BA61" s="553" t="str">
        <f t="shared" si="2"/>
        <v/>
      </c>
      <c r="BB61" s="553" t="str">
        <f t="shared" si="3"/>
        <v/>
      </c>
      <c r="BC61" s="553" t="str">
        <f t="shared" si="4"/>
        <v/>
      </c>
      <c r="BD61" s="572"/>
      <c r="BE61" s="448" t="s">
        <v>1726</v>
      </c>
      <c r="BF61" s="305"/>
      <c r="BG61" s="305"/>
      <c r="BH61" s="306"/>
      <c r="BI61" s="305"/>
    </row>
    <row r="62" spans="1:61" ht="16.2" customHeight="1">
      <c r="A62" s="573" t="s">
        <v>383</v>
      </c>
      <c r="B62" s="469" t="s">
        <v>2197</v>
      </c>
      <c r="C62" s="3">
        <f>+$C$60+$G$61</f>
        <v>769.20000000000016</v>
      </c>
      <c r="D62" s="88"/>
      <c r="E62" s="4"/>
      <c r="F62" s="4">
        <v>0</v>
      </c>
      <c r="G62" s="6"/>
      <c r="H62" s="468" t="s">
        <v>26</v>
      </c>
      <c r="I62" s="468" t="s">
        <v>1155</v>
      </c>
      <c r="J62" s="3">
        <f>C62</f>
        <v>769.20000000000016</v>
      </c>
      <c r="K62" s="468" t="s">
        <v>447</v>
      </c>
      <c r="L62" s="468"/>
      <c r="M62" s="468" t="str">
        <f>IF(L62="","",
IF(AX62="PT",VLOOKUP(L62,Foundation_Calc!$V$4:$X$37,VLOOKUP(AX62,Foundation_Calc!$I$10:$J$13,2,FALSE),0),
IF(AX62="K",VLOOKUP(L62,Foundation_Calc!$V$41:$X$74,VLOOKUP(AX62,Foundation_Calc!$I$10:$J$13,2,FALSE),0),"")))</f>
        <v/>
      </c>
      <c r="N62" s="468"/>
      <c r="O62" s="468"/>
      <c r="P62" s="468"/>
      <c r="Q62" s="4"/>
      <c r="R62" s="6"/>
      <c r="S62" s="6"/>
      <c r="T62" s="4"/>
      <c r="U62" s="4"/>
      <c r="V62" s="4"/>
      <c r="W62" s="9"/>
      <c r="X62" s="9"/>
      <c r="Y62" s="9"/>
      <c r="Z62" s="9"/>
      <c r="AA62" s="9"/>
      <c r="AB62" s="9"/>
      <c r="AC62" s="468"/>
      <c r="AD62" s="468"/>
      <c r="AE62" s="468"/>
      <c r="AF62" s="4"/>
      <c r="AG62" s="88"/>
      <c r="AH62" s="4"/>
      <c r="AI62" s="4"/>
      <c r="AJ62" s="468" t="s">
        <v>595</v>
      </c>
      <c r="AK62" s="468"/>
      <c r="AL62" s="468"/>
      <c r="AM62" s="468"/>
      <c r="AN62" s="10"/>
      <c r="AO62" s="9"/>
      <c r="AP62" s="9"/>
      <c r="AQ62" s="9"/>
      <c r="AR62" s="9"/>
      <c r="AS62" s="9"/>
      <c r="AT62" s="9"/>
      <c r="AU62" s="447"/>
      <c r="AV62" s="447"/>
      <c r="AW62" s="468" t="s">
        <v>199</v>
      </c>
      <c r="AX62" s="468" t="s">
        <v>199</v>
      </c>
      <c r="AY62" s="10"/>
      <c r="AZ62" s="10"/>
      <c r="BA62" s="553" t="str">
        <f t="shared" si="2"/>
        <v/>
      </c>
      <c r="BB62" s="553" t="str">
        <f t="shared" si="3"/>
        <v/>
      </c>
      <c r="BC62" s="553" t="str">
        <f t="shared" si="4"/>
        <v/>
      </c>
      <c r="BD62" s="572"/>
      <c r="BE62" s="448" t="s">
        <v>1726</v>
      </c>
      <c r="BF62" s="306"/>
      <c r="BG62" s="306"/>
      <c r="BH62" s="306"/>
      <c r="BI62" s="306"/>
    </row>
    <row r="63" spans="1:61" ht="16.2" customHeight="1" thickBot="1">
      <c r="A63" s="585"/>
      <c r="B63" s="586"/>
      <c r="C63" s="587"/>
      <c r="D63" s="588"/>
      <c r="E63" s="589"/>
      <c r="F63" s="589"/>
      <c r="G63" s="590"/>
      <c r="H63" s="591"/>
      <c r="I63" s="591"/>
      <c r="J63" s="587"/>
      <c r="K63" s="591"/>
      <c r="L63" s="591"/>
      <c r="M63" s="591" t="str">
        <f>IF(L63="","",
IF(AX63="PT",VLOOKUP(L63,Foundation_Calc!$V$4:$X$37,VLOOKUP(AX63,Foundation_Calc!$I$10:$J$13,2,FALSE),0),
IF(AX63="K",VLOOKUP(L63,Foundation_Calc!$V$41:$X$74,VLOOKUP(AX63,Foundation_Calc!$I$10:$J$13,2,FALSE),0),"")))</f>
        <v/>
      </c>
      <c r="N63" s="591"/>
      <c r="O63" s="591"/>
      <c r="P63" s="591"/>
      <c r="Q63" s="589"/>
      <c r="R63" s="590"/>
      <c r="S63" s="590"/>
      <c r="T63" s="589"/>
      <c r="U63" s="589"/>
      <c r="V63" s="589"/>
      <c r="W63" s="592"/>
      <c r="X63" s="592"/>
      <c r="Y63" s="592"/>
      <c r="Z63" s="592"/>
      <c r="AA63" s="592"/>
      <c r="AB63" s="592"/>
      <c r="AC63" s="591" t="str">
        <f t="shared" si="1"/>
        <v/>
      </c>
      <c r="AD63" s="591"/>
      <c r="AE63" s="591"/>
      <c r="AF63" s="589"/>
      <c r="AG63" s="588"/>
      <c r="AH63" s="589"/>
      <c r="AI63" s="589"/>
      <c r="AJ63" s="591"/>
      <c r="AK63" s="591"/>
      <c r="AL63" s="591"/>
      <c r="AM63" s="591"/>
      <c r="AN63" s="593"/>
      <c r="AO63" s="592"/>
      <c r="AP63" s="592"/>
      <c r="AQ63" s="592"/>
      <c r="AR63" s="592"/>
      <c r="AS63" s="592"/>
      <c r="AT63" s="592"/>
      <c r="AU63" s="594"/>
      <c r="AV63" s="594"/>
      <c r="AW63" s="591" t="str">
        <f>IF(C63&gt;0,VLOOKUP(C63,Foundation_Calc!$A$2:$C$986,3,1),
IF(J63&gt;0,VLOOKUP(J63,Foundation_Calc!$A$2:$C$986,3,1),""))</f>
        <v/>
      </c>
      <c r="AX63" s="591" t="str">
        <f>IF(C63&gt;0,VLOOKUP(C63,Foundation_Calc!$E$2:$G$986,3,1),
IF(J63&gt;0,VLOOKUP(J63,Foundation_Calc!$E$2:$G$986,3,1),""))</f>
        <v/>
      </c>
      <c r="AY63" s="593" t="str">
        <f>IF(L63="","",
IF(AX63="PT",VLOOKUP(L63,Foundation_Calc!$K$4:$R$37,VLOOKUP(AW63,Foundation_Calc!$I$2:$J$8,2,FALSE),0),
IF(AX63="K",VLOOKUP(L63,Foundation_Calc!$K$41:$R$74,VLOOKUP(AW63,Foundation_Calc!$I$2:$J$8,2,FALSE),0),"")))</f>
        <v/>
      </c>
      <c r="AZ63" s="593" t="str">
        <f>IF(K63="","",
IF(AX63="PT",VLOOKUP(K63,Foundation_Calc!$K$4:$R$37,VLOOKUP(AW63,Foundation_Calc!$I$2:$J$8,2,FALSE),0),
IF(AX63="K",VLOOKUP(K63,Foundation_Calc!$K$41:$R$74,VLOOKUP(AW63,Foundation_Calc!$I$2:$J$8,2,FALSE),0),"")))</f>
        <v/>
      </c>
      <c r="BA63" s="595" t="str">
        <f t="shared" si="2"/>
        <v/>
      </c>
      <c r="BB63" s="595" t="str">
        <f t="shared" si="3"/>
        <v/>
      </c>
      <c r="BC63" s="595" t="str">
        <f t="shared" si="4"/>
        <v/>
      </c>
      <c r="BD63" s="596"/>
      <c r="BE63" s="448" t="s">
        <v>1726</v>
      </c>
      <c r="BF63" s="629"/>
      <c r="BG63" s="629"/>
      <c r="BH63" s="630"/>
      <c r="BI63" s="629"/>
    </row>
    <row r="64" spans="1:61" ht="16.2" customHeight="1">
      <c r="A64" s="12"/>
      <c r="B64" s="446"/>
      <c r="C64" s="89"/>
      <c r="D64" s="13"/>
      <c r="E64" s="14"/>
      <c r="F64" s="14"/>
      <c r="G64" s="15"/>
      <c r="H64" s="8"/>
      <c r="I64" s="8"/>
      <c r="J64" s="89"/>
      <c r="K64" s="8"/>
      <c r="L64" s="8"/>
      <c r="M64" s="8" t="str">
        <f>IF(L64="","",
IF(AX64="PT",VLOOKUP(L64,Foundation_Calc!$V$4:$X$37,VLOOKUP(AX64,Foundation_Calc!$I$10:$J$13,2,FALSE),0),
IF(AX64="K",VLOOKUP(L64,Foundation_Calc!$V$41:$X$74,VLOOKUP(AX64,Foundation_Calc!$I$10:$J$13,2,FALSE),0),"")))</f>
        <v/>
      </c>
      <c r="N64" s="8"/>
      <c r="O64" s="8"/>
      <c r="P64" s="8"/>
      <c r="Q64" s="14"/>
      <c r="R64" s="15"/>
      <c r="S64" s="15"/>
      <c r="T64" s="14"/>
      <c r="U64" s="14"/>
      <c r="V64" s="14"/>
      <c r="W64" s="18"/>
      <c r="X64" s="18"/>
      <c r="Y64" s="18"/>
      <c r="Z64" s="18"/>
      <c r="AA64" s="18"/>
      <c r="AB64" s="18"/>
      <c r="AC64" s="8" t="str">
        <f t="shared" si="1"/>
        <v/>
      </c>
      <c r="AD64" s="8"/>
      <c r="AE64" s="8"/>
      <c r="AF64" s="14"/>
      <c r="AG64" s="13"/>
      <c r="AH64" s="14"/>
      <c r="AI64" s="14"/>
      <c r="AJ64" s="8"/>
      <c r="AK64" s="8"/>
      <c r="AL64" s="8"/>
      <c r="AM64" s="8"/>
      <c r="AN64" s="631"/>
      <c r="AO64" s="18"/>
      <c r="AP64" s="18"/>
      <c r="AQ64" s="18"/>
      <c r="AR64" s="18"/>
      <c r="AS64" s="18"/>
      <c r="AU64" s="448"/>
      <c r="AV64" s="448"/>
      <c r="AW64" s="8" t="str">
        <f>IF(C64&gt;0,VLOOKUP(C64,Foundation_Calc!$A$2:$C$986,3,1),
IF(J64&gt;0,VLOOKUP(J64,Foundation_Calc!$A$2:$C$986,3,1),""))</f>
        <v/>
      </c>
      <c r="AX64" s="8" t="str">
        <f>IF(C64&gt;0,VLOOKUP(C64,Foundation_Calc!$E$2:$G$986,3,1),
IF(J64&gt;0,VLOOKUP(J64,Foundation_Calc!$E$2:$G$986,3,1),""))</f>
        <v/>
      </c>
      <c r="AY64" s="631" t="str">
        <f>IF(L64="","",
IF(AX64="PT",VLOOKUP(L64,Foundation_Calc!$K$4:$R$37,VLOOKUP(AW64,Foundation_Calc!$I$2:$J$8,2,FALSE),0),
IF(AX64="K",VLOOKUP(L64,Foundation_Calc!$K$41:$R$74,VLOOKUP(AW64,Foundation_Calc!$I$2:$J$8,2,FALSE),0),"")))</f>
        <v/>
      </c>
      <c r="AZ64" s="631" t="str">
        <f>IF(K64="","",
IF(AX64="PT",VLOOKUP(K64,Foundation_Calc!$K$4:$R$37,VLOOKUP(AW64,Foundation_Calc!$I$2:$J$8,2,FALSE),0),
IF(AX64="K",VLOOKUP(K64,Foundation_Calc!$K$41:$R$74,VLOOKUP(AW64,Foundation_Calc!$I$2:$J$8,2,FALSE),0),"")))</f>
        <v/>
      </c>
      <c r="BA64" s="637" t="str">
        <f t="shared" si="2"/>
        <v/>
      </c>
      <c r="BB64" s="637" t="str">
        <f t="shared" si="3"/>
        <v/>
      </c>
      <c r="BC64" s="637" t="str">
        <f t="shared" si="4"/>
        <v/>
      </c>
      <c r="BD64" s="633"/>
      <c r="BE64" s="448" t="s">
        <v>1726</v>
      </c>
      <c r="BF64" s="634"/>
      <c r="BG64" s="634"/>
      <c r="BH64" s="634"/>
      <c r="BI64" s="634"/>
    </row>
    <row r="65" spans="1:61" ht="16.2" customHeight="1">
      <c r="A65" s="12"/>
      <c r="B65" s="446"/>
      <c r="C65" s="89"/>
      <c r="D65" s="13"/>
      <c r="E65" s="14"/>
      <c r="F65" s="14"/>
      <c r="G65" s="15"/>
      <c r="H65" s="8"/>
      <c r="I65" s="8"/>
      <c r="J65" s="89"/>
      <c r="K65" s="8"/>
      <c r="L65" s="8"/>
      <c r="M65" s="8" t="str">
        <f>IF(L65="","",
IF(AX65="PT",VLOOKUP(L65,Foundation_Calc!$V$4:$X$37,VLOOKUP(AX65,Foundation_Calc!$I$10:$J$13,2,FALSE),0),
IF(AX65="K",VLOOKUP(L65,Foundation_Calc!$V$41:$X$74,VLOOKUP(AX65,Foundation_Calc!$I$10:$J$13,2,FALSE),0),"")))</f>
        <v/>
      </c>
      <c r="N65" s="8"/>
      <c r="O65" s="8"/>
      <c r="P65" s="8"/>
      <c r="Q65" s="14"/>
      <c r="R65" s="15"/>
      <c r="S65" s="15"/>
      <c r="T65" s="14"/>
      <c r="U65" s="14"/>
      <c r="V65" s="14"/>
      <c r="W65" s="18"/>
      <c r="X65" s="18"/>
      <c r="Y65" s="18"/>
      <c r="Z65" s="18"/>
      <c r="AA65" s="18"/>
      <c r="AB65" s="18"/>
      <c r="AC65" s="8" t="str">
        <f t="shared" si="1"/>
        <v/>
      </c>
      <c r="AD65" s="8"/>
      <c r="AE65" s="8"/>
      <c r="AF65" s="14"/>
      <c r="AG65" s="13"/>
      <c r="AH65" s="14"/>
      <c r="AI65" s="14"/>
      <c r="AJ65" s="8"/>
      <c r="AK65" s="8"/>
      <c r="AL65" s="8"/>
      <c r="AM65" s="8"/>
      <c r="AN65" s="631"/>
      <c r="AO65" s="18"/>
      <c r="AP65" s="18"/>
      <c r="AQ65" s="18"/>
      <c r="AR65" s="18"/>
      <c r="AS65" s="18"/>
      <c r="AU65" s="448"/>
      <c r="AV65" s="448"/>
      <c r="AW65" s="8" t="str">
        <f>IF(C65&gt;0,VLOOKUP(C65,Foundation_Calc!$A$2:$C$986,3,1),
IF(J65&gt;0,VLOOKUP(J65,Foundation_Calc!$A$2:$C$986,3,1),""))</f>
        <v/>
      </c>
      <c r="AX65" s="8" t="str">
        <f>IF(C65&gt;0,VLOOKUP(C65,Foundation_Calc!$E$2:$G$986,3,1),
IF(J65&gt;0,VLOOKUP(J65,Foundation_Calc!$E$2:$G$986,3,1),""))</f>
        <v/>
      </c>
      <c r="AY65" s="631" t="str">
        <f>IF(L65="","",
IF(AX65="PT",VLOOKUP(L65,Foundation_Calc!$K$4:$R$37,VLOOKUP(AW65,Foundation_Calc!$I$2:$J$8,2,FALSE),0),
IF(AX65="K",VLOOKUP(L65,Foundation_Calc!$K$41:$R$74,VLOOKUP(AW65,Foundation_Calc!$I$2:$J$8,2,FALSE),0),"")))</f>
        <v/>
      </c>
      <c r="AZ65" s="631" t="str">
        <f>IF(K65="","",
IF(AX65="PT",VLOOKUP(K65,Foundation_Calc!$K$4:$R$37,VLOOKUP(AW65,Foundation_Calc!$I$2:$J$8,2,FALSE),0),
IF(AX65="K",VLOOKUP(K65,Foundation_Calc!$K$41:$R$74,VLOOKUP(AW65,Foundation_Calc!$I$2:$J$8,2,FALSE),0),"")))</f>
        <v/>
      </c>
      <c r="BA65" s="632" t="str">
        <f t="shared" si="2"/>
        <v/>
      </c>
      <c r="BB65" s="632" t="str">
        <f t="shared" si="3"/>
        <v/>
      </c>
      <c r="BC65" s="632" t="str">
        <f t="shared" si="4"/>
        <v/>
      </c>
      <c r="BD65" s="633"/>
      <c r="BE65" s="448" t="s">
        <v>1726</v>
      </c>
      <c r="BF65" s="635"/>
      <c r="BG65" s="635"/>
      <c r="BH65" s="634"/>
      <c r="BI65" s="635"/>
    </row>
    <row r="66" spans="1:61" ht="16.2" customHeight="1">
      <c r="A66" s="12"/>
      <c r="B66" s="446"/>
      <c r="C66" s="89"/>
      <c r="D66" s="13"/>
      <c r="E66" s="14"/>
      <c r="F66" s="14"/>
      <c r="G66" s="15"/>
      <c r="H66" s="8"/>
      <c r="I66" s="8"/>
      <c r="J66" s="89"/>
      <c r="K66" s="8"/>
      <c r="L66" s="8"/>
      <c r="M66" s="8" t="str">
        <f>IF(L66="","",
IF(AX66="PT",VLOOKUP(L66,Foundation_Calc!$V$4:$X$37,VLOOKUP(AX66,Foundation_Calc!$I$10:$J$13,2,FALSE),0),
IF(AX66="K",VLOOKUP(L66,Foundation_Calc!$V$41:$X$74,VLOOKUP(AX66,Foundation_Calc!$I$10:$J$13,2,FALSE),0),"")))</f>
        <v/>
      </c>
      <c r="N66" s="8"/>
      <c r="O66" s="8"/>
      <c r="P66" s="8"/>
      <c r="Q66" s="14"/>
      <c r="R66" s="15"/>
      <c r="S66" s="15"/>
      <c r="T66" s="14"/>
      <c r="U66" s="14"/>
      <c r="V66" s="14"/>
      <c r="W66" s="18"/>
      <c r="X66" s="18"/>
      <c r="Y66" s="18"/>
      <c r="Z66" s="18"/>
      <c r="AA66" s="18"/>
      <c r="AB66" s="18"/>
      <c r="AC66" s="8" t="str">
        <f t="shared" si="1"/>
        <v/>
      </c>
      <c r="AD66" s="8"/>
      <c r="AE66" s="8"/>
      <c r="AF66" s="14"/>
      <c r="AG66" s="13"/>
      <c r="AH66" s="14"/>
      <c r="AI66" s="14"/>
      <c r="AJ66" s="8"/>
      <c r="AK66" s="8"/>
      <c r="AL66" s="8"/>
      <c r="AM66" s="8"/>
      <c r="AN66" s="631"/>
      <c r="AO66" s="18"/>
      <c r="AP66" s="18"/>
      <c r="AQ66" s="18"/>
      <c r="AR66" s="18"/>
      <c r="AS66" s="18"/>
      <c r="AU66" s="448"/>
      <c r="AV66" s="448"/>
      <c r="AW66" s="8" t="str">
        <f>IF(C66&gt;0,VLOOKUP(C66,Foundation_Calc!$A$2:$C$986,3,1),
IF(J66&gt;0,VLOOKUP(J66,Foundation_Calc!$A$2:$C$986,3,1),""))</f>
        <v/>
      </c>
      <c r="AX66" s="8" t="str">
        <f>IF(C66&gt;0,VLOOKUP(C66,Foundation_Calc!$E$2:$G$986,3,1),
IF(J66&gt;0,VLOOKUP(J66,Foundation_Calc!$E$2:$G$986,3,1),""))</f>
        <v/>
      </c>
      <c r="AY66" s="631" t="str">
        <f>IF(L66="","",
IF(AX66="PT",VLOOKUP(L66,Foundation_Calc!$K$4:$R$37,VLOOKUP(AW66,Foundation_Calc!$I$2:$J$8,2,FALSE),0),
IF(AX66="K",VLOOKUP(L66,Foundation_Calc!$K$41:$R$74,VLOOKUP(AW66,Foundation_Calc!$I$2:$J$8,2,FALSE),0),"")))</f>
        <v/>
      </c>
      <c r="AZ66" s="631" t="str">
        <f>IF(K66="","",
IF(AX66="PT",VLOOKUP(K66,Foundation_Calc!$K$4:$R$37,VLOOKUP(AW66,Foundation_Calc!$I$2:$J$8,2,FALSE),0),
IF(AX66="K",VLOOKUP(K66,Foundation_Calc!$K$41:$R$74,VLOOKUP(AW66,Foundation_Calc!$I$2:$J$8,2,FALSE),0),"")))</f>
        <v/>
      </c>
      <c r="BA66" s="632" t="str">
        <f t="shared" si="2"/>
        <v/>
      </c>
      <c r="BB66" s="632" t="str">
        <f t="shared" si="3"/>
        <v/>
      </c>
      <c r="BC66" s="632" t="str">
        <f t="shared" si="4"/>
        <v/>
      </c>
      <c r="BD66" s="633"/>
      <c r="BE66" s="448" t="s">
        <v>1726</v>
      </c>
      <c r="BF66" s="634"/>
      <c r="BG66" s="634"/>
      <c r="BH66" s="634"/>
      <c r="BI66" s="634"/>
    </row>
    <row r="67" spans="1:61" ht="16.2" customHeight="1">
      <c r="A67" s="12"/>
      <c r="B67" s="446"/>
      <c r="C67" s="89"/>
      <c r="D67" s="13"/>
      <c r="E67" s="14"/>
      <c r="F67" s="14"/>
      <c r="G67" s="15"/>
      <c r="H67" s="8"/>
      <c r="I67" s="8"/>
      <c r="J67" s="89"/>
      <c r="K67" s="8"/>
      <c r="L67" s="8"/>
      <c r="M67" s="8" t="str">
        <f>IF(L67="","",
IF(AX67="PT",VLOOKUP(L67,Foundation_Calc!$V$4:$X$37,VLOOKUP(AX67,Foundation_Calc!$I$10:$J$13,2,FALSE),0),
IF(AX67="K",VLOOKUP(L67,Foundation_Calc!$V$41:$X$74,VLOOKUP(AX67,Foundation_Calc!$I$10:$J$13,2,FALSE),0),"")))</f>
        <v/>
      </c>
      <c r="N67" s="8"/>
      <c r="O67" s="8"/>
      <c r="P67" s="8"/>
      <c r="Q67" s="14"/>
      <c r="R67" s="15"/>
      <c r="S67" s="15"/>
      <c r="T67" s="14"/>
      <c r="U67" s="14"/>
      <c r="V67" s="14"/>
      <c r="W67" s="18"/>
      <c r="X67" s="18"/>
      <c r="Y67" s="18"/>
      <c r="Z67" s="18"/>
      <c r="AA67" s="18"/>
      <c r="AB67" s="18"/>
      <c r="AC67" s="8" t="str">
        <f t="shared" si="1"/>
        <v/>
      </c>
      <c r="AD67" s="8"/>
      <c r="AE67" s="8"/>
      <c r="AF67" s="14"/>
      <c r="AG67" s="13"/>
      <c r="AH67" s="14"/>
      <c r="AI67" s="14"/>
      <c r="AJ67" s="8"/>
      <c r="AK67" s="8"/>
      <c r="AL67" s="8"/>
      <c r="AM67" s="8"/>
      <c r="AN67" s="631"/>
      <c r="AO67" s="18"/>
      <c r="AP67" s="18"/>
      <c r="AQ67" s="18"/>
      <c r="AR67" s="18"/>
      <c r="AS67" s="18"/>
      <c r="AU67" s="448"/>
      <c r="AV67" s="448"/>
      <c r="AW67" s="8" t="str">
        <f>IF(C67&gt;0,VLOOKUP(C67,Foundation_Calc!$A$2:$C$986,3,1),
IF(J67&gt;0,VLOOKUP(J67,Foundation_Calc!$A$2:$C$986,3,1),""))</f>
        <v/>
      </c>
      <c r="AX67" s="8" t="str">
        <f>IF(C67&gt;0,VLOOKUP(C67,Foundation_Calc!$E$2:$G$986,3,1),
IF(J67&gt;0,VLOOKUP(J67,Foundation_Calc!$E$2:$G$986,3,1),""))</f>
        <v/>
      </c>
      <c r="AY67" s="631" t="str">
        <f>IF(L67="","",
IF(AX67="PT",VLOOKUP(L67,Foundation_Calc!$K$4:$R$37,VLOOKUP(AW67,Foundation_Calc!$I$2:$J$8,2,FALSE),0),
IF(AX67="K",VLOOKUP(L67,Foundation_Calc!$K$41:$R$74,VLOOKUP(AW67,Foundation_Calc!$I$2:$J$8,2,FALSE),0),"")))</f>
        <v/>
      </c>
      <c r="AZ67" s="631" t="str">
        <f>IF(K67="","",
IF(AX67="PT",VLOOKUP(K67,Foundation_Calc!$K$4:$R$37,VLOOKUP(AW67,Foundation_Calc!$I$2:$J$8,2,FALSE),0),
IF(AX67="K",VLOOKUP(K67,Foundation_Calc!$K$41:$R$74,VLOOKUP(AW67,Foundation_Calc!$I$2:$J$8,2,FALSE),0),"")))</f>
        <v/>
      </c>
      <c r="BA67" s="632" t="str">
        <f t="shared" si="2"/>
        <v/>
      </c>
      <c r="BB67" s="632" t="str">
        <f t="shared" si="3"/>
        <v/>
      </c>
      <c r="BC67" s="632" t="str">
        <f t="shared" si="4"/>
        <v/>
      </c>
      <c r="BD67" s="633"/>
      <c r="BE67" s="448" t="s">
        <v>1726</v>
      </c>
      <c r="BF67" s="635"/>
      <c r="BG67" s="635"/>
      <c r="BH67" s="634"/>
      <c r="BI67" s="635"/>
    </row>
    <row r="68" spans="1:61" ht="16.2" customHeight="1">
      <c r="A68" s="12"/>
      <c r="B68" s="446"/>
      <c r="C68" s="89"/>
      <c r="D68" s="13"/>
      <c r="E68" s="14"/>
      <c r="F68" s="14"/>
      <c r="G68" s="15"/>
      <c r="H68" s="8"/>
      <c r="I68" s="8"/>
      <c r="J68" s="89"/>
      <c r="K68" s="8"/>
      <c r="L68" s="8"/>
      <c r="M68" s="8" t="str">
        <f>IF(L68="","",
IF(AX68="PT",VLOOKUP(L68,Foundation_Calc!$V$4:$X$37,VLOOKUP(AX68,Foundation_Calc!$I$10:$J$13,2,FALSE),0),
IF(AX68="K",VLOOKUP(L68,Foundation_Calc!$V$41:$X$74,VLOOKUP(AX68,Foundation_Calc!$I$10:$J$13,2,FALSE),0),"")))</f>
        <v/>
      </c>
      <c r="N68" s="8"/>
      <c r="O68" s="8"/>
      <c r="P68" s="8"/>
      <c r="Q68" s="14"/>
      <c r="R68" s="15"/>
      <c r="S68" s="15"/>
      <c r="T68" s="14"/>
      <c r="U68" s="14"/>
      <c r="V68" s="14"/>
      <c r="W68" s="18"/>
      <c r="X68" s="18"/>
      <c r="Y68" s="18"/>
      <c r="Z68" s="18"/>
      <c r="AA68" s="18"/>
      <c r="AB68" s="18"/>
      <c r="AC68" s="8" t="str">
        <f t="shared" si="1"/>
        <v/>
      </c>
      <c r="AD68" s="8"/>
      <c r="AE68" s="8"/>
      <c r="AF68" s="14"/>
      <c r="AG68" s="13"/>
      <c r="AH68" s="14"/>
      <c r="AI68" s="14"/>
      <c r="AJ68" s="8"/>
      <c r="AK68" s="8"/>
      <c r="AL68" s="8"/>
      <c r="AM68" s="8"/>
      <c r="AN68" s="631"/>
      <c r="AO68" s="18"/>
      <c r="AP68" s="18"/>
      <c r="AQ68" s="18"/>
      <c r="AR68" s="18"/>
      <c r="AS68" s="18"/>
      <c r="AU68" s="448"/>
      <c r="AV68" s="448"/>
      <c r="AW68" s="8" t="str">
        <f>IF(C68&gt;0,VLOOKUP(C68,Foundation_Calc!$A$2:$C$986,3,1),
IF(J68&gt;0,VLOOKUP(J68,Foundation_Calc!$A$2:$C$986,3,1),""))</f>
        <v/>
      </c>
      <c r="AX68" s="8" t="str">
        <f>IF(C68&gt;0,VLOOKUP(C68,Foundation_Calc!$E$2:$G$986,3,1),
IF(J68&gt;0,VLOOKUP(J68,Foundation_Calc!$E$2:$G$986,3,1),""))</f>
        <v/>
      </c>
      <c r="AY68" s="631" t="str">
        <f>IF(L68="","",
IF(AX68="PT",VLOOKUP(L68,Foundation_Calc!$K$4:$R$37,VLOOKUP(AW68,Foundation_Calc!$I$2:$J$8,2,FALSE),0),
IF(AX68="K",VLOOKUP(L68,Foundation_Calc!$K$41:$R$74,VLOOKUP(AW68,Foundation_Calc!$I$2:$J$8,2,FALSE),0),"")))</f>
        <v/>
      </c>
      <c r="AZ68" s="631" t="str">
        <f>IF(K68="","",
IF(AX68="PT",VLOOKUP(K68,Foundation_Calc!$K$4:$R$37,VLOOKUP(AW68,Foundation_Calc!$I$2:$J$8,2,FALSE),0),
IF(AX68="K",VLOOKUP(K68,Foundation_Calc!$K$41:$R$74,VLOOKUP(AW68,Foundation_Calc!$I$2:$J$8,2,FALSE),0),"")))</f>
        <v/>
      </c>
      <c r="BA68" s="632" t="str">
        <f t="shared" si="2"/>
        <v/>
      </c>
      <c r="BB68" s="632" t="str">
        <f t="shared" si="3"/>
        <v/>
      </c>
      <c r="BC68" s="632" t="str">
        <f t="shared" si="4"/>
        <v/>
      </c>
      <c r="BD68" s="633"/>
      <c r="BE68" s="448" t="s">
        <v>1726</v>
      </c>
      <c r="BF68" s="634"/>
      <c r="BG68" s="634"/>
      <c r="BH68" s="634"/>
      <c r="BI68" s="634"/>
    </row>
    <row r="69" spans="1:61" ht="16.2" customHeight="1">
      <c r="A69" s="12"/>
      <c r="B69" s="446"/>
      <c r="C69" s="89"/>
      <c r="D69" s="13"/>
      <c r="E69" s="14"/>
      <c r="F69" s="14"/>
      <c r="G69" s="15"/>
      <c r="H69" s="8"/>
      <c r="I69" s="8"/>
      <c r="J69" s="89"/>
      <c r="K69" s="8"/>
      <c r="L69" s="8"/>
      <c r="M69" s="8" t="str">
        <f>IF(L69="","",
IF(AX69="PT",VLOOKUP(L69,Foundation_Calc!$V$4:$X$37,VLOOKUP(AX69,Foundation_Calc!$I$10:$J$13,2,FALSE),0),
IF(AX69="K",VLOOKUP(L69,Foundation_Calc!$V$41:$X$74,VLOOKUP(AX69,Foundation_Calc!$I$10:$J$13,2,FALSE),0),"")))</f>
        <v/>
      </c>
      <c r="N69" s="8"/>
      <c r="O69" s="8"/>
      <c r="P69" s="8"/>
      <c r="Q69" s="14"/>
      <c r="R69" s="15"/>
      <c r="S69" s="15"/>
      <c r="T69" s="14"/>
      <c r="U69" s="14"/>
      <c r="V69" s="14"/>
      <c r="W69" s="18"/>
      <c r="X69" s="18"/>
      <c r="Y69" s="18"/>
      <c r="Z69" s="18"/>
      <c r="AA69" s="18"/>
      <c r="AB69" s="18"/>
      <c r="AC69" s="8" t="str">
        <f t="shared" si="1"/>
        <v/>
      </c>
      <c r="AD69" s="8"/>
      <c r="AE69" s="8"/>
      <c r="AF69" s="14"/>
      <c r="AG69" s="13"/>
      <c r="AH69" s="14"/>
      <c r="AI69" s="14"/>
      <c r="AJ69" s="8"/>
      <c r="AK69" s="8"/>
      <c r="AL69" s="8"/>
      <c r="AM69" s="8"/>
      <c r="AN69" s="631"/>
      <c r="AO69" s="18"/>
      <c r="AP69" s="18"/>
      <c r="AQ69" s="18"/>
      <c r="AR69" s="18"/>
      <c r="AS69" s="18"/>
      <c r="AU69" s="448"/>
      <c r="AV69" s="448"/>
      <c r="AW69" s="8" t="str">
        <f>IF(C69&gt;0,VLOOKUP(C69,Foundation_Calc!$A$2:$C$986,3,1),
IF(J69&gt;0,VLOOKUP(J69,Foundation_Calc!$A$2:$C$986,3,1),""))</f>
        <v/>
      </c>
      <c r="AX69" s="8" t="str">
        <f>IF(C69&gt;0,VLOOKUP(C69,Foundation_Calc!$E$2:$G$986,3,1),
IF(J69&gt;0,VLOOKUP(J69,Foundation_Calc!$E$2:$G$986,3,1),""))</f>
        <v/>
      </c>
      <c r="AY69" s="631" t="str">
        <f>IF(L69="","",
IF(AX69="PT",VLOOKUP(L69,Foundation_Calc!$K$4:$R$37,VLOOKUP(AW69,Foundation_Calc!$I$2:$J$8,2,FALSE),0),
IF(AX69="K",VLOOKUP(L69,Foundation_Calc!$K$41:$R$74,VLOOKUP(AW69,Foundation_Calc!$I$2:$J$8,2,FALSE),0),"")))</f>
        <v/>
      </c>
      <c r="AZ69" s="631" t="str">
        <f>IF(K69="","",
IF(AX69="PT",VLOOKUP(K69,Foundation_Calc!$K$4:$R$37,VLOOKUP(AW69,Foundation_Calc!$I$2:$J$8,2,FALSE),0),
IF(AX69="K",VLOOKUP(K69,Foundation_Calc!$K$41:$R$74,VLOOKUP(AW69,Foundation_Calc!$I$2:$J$8,2,FALSE),0),"")))</f>
        <v/>
      </c>
      <c r="BA69" s="632" t="str">
        <f t="shared" si="2"/>
        <v/>
      </c>
      <c r="BB69" s="632" t="str">
        <f t="shared" si="3"/>
        <v/>
      </c>
      <c r="BC69" s="632" t="str">
        <f t="shared" si="4"/>
        <v/>
      </c>
      <c r="BD69" s="633"/>
      <c r="BE69" s="448" t="s">
        <v>1726</v>
      </c>
      <c r="BF69" s="635"/>
      <c r="BG69" s="635"/>
      <c r="BH69" s="634"/>
      <c r="BI69" s="635"/>
    </row>
    <row r="70" spans="1:61" ht="16.2" customHeight="1">
      <c r="A70" s="12"/>
      <c r="B70" s="446"/>
      <c r="C70" s="89"/>
      <c r="D70" s="13"/>
      <c r="E70" s="14"/>
      <c r="F70" s="14"/>
      <c r="G70" s="15"/>
      <c r="H70" s="8"/>
      <c r="I70" s="8"/>
      <c r="J70" s="89"/>
      <c r="K70" s="8"/>
      <c r="L70" s="8"/>
      <c r="M70" s="8" t="str">
        <f>IF(L70="","",
IF(AX70="PT",VLOOKUP(L70,Foundation_Calc!$V$4:$X$37,VLOOKUP(AX70,Foundation_Calc!$I$10:$J$13,2,FALSE),0),
IF(AX70="K",VLOOKUP(L70,Foundation_Calc!$V$41:$X$74,VLOOKUP(AX70,Foundation_Calc!$I$10:$J$13,2,FALSE),0),"")))</f>
        <v/>
      </c>
      <c r="N70" s="8"/>
      <c r="O70" s="8"/>
      <c r="P70" s="8"/>
      <c r="Q70" s="14"/>
      <c r="R70" s="15"/>
      <c r="S70" s="15"/>
      <c r="T70" s="14"/>
      <c r="U70" s="14"/>
      <c r="V70" s="14"/>
      <c r="W70" s="18"/>
      <c r="X70" s="18"/>
      <c r="Y70" s="18"/>
      <c r="Z70" s="18"/>
      <c r="AA70" s="18"/>
      <c r="AB70" s="18"/>
      <c r="AC70" s="8" t="str">
        <f t="shared" ref="AC70:AC133" si="5">IF(OR(AT70&gt;8,AT70&lt;-8),"PH",
IF(OR(AT70&gt;5,AT70&lt;-5),"PHQ",
IF(OR(AT70&gt;1,AT70&lt;-1),
"PHC","")))</f>
        <v/>
      </c>
      <c r="AD70" s="8"/>
      <c r="AE70" s="8"/>
      <c r="AF70" s="14"/>
      <c r="AG70" s="13"/>
      <c r="AH70" s="14"/>
      <c r="AI70" s="14"/>
      <c r="AJ70" s="8"/>
      <c r="AK70" s="8"/>
      <c r="AL70" s="8"/>
      <c r="AM70" s="8"/>
      <c r="AN70" s="631"/>
      <c r="AO70" s="18"/>
      <c r="AP70" s="18"/>
      <c r="AQ70" s="18"/>
      <c r="AR70" s="18"/>
      <c r="AS70" s="18"/>
      <c r="AU70" s="448"/>
      <c r="AV70" s="448"/>
      <c r="AW70" s="8" t="str">
        <f>IF(C70&gt;0,VLOOKUP(C70,Foundation_Calc!$A$2:$C$986,3,1),
IF(J70&gt;0,VLOOKUP(J70,Foundation_Calc!$A$2:$C$986,3,1),""))</f>
        <v/>
      </c>
      <c r="AX70" s="8" t="str">
        <f>IF(C70&gt;0,VLOOKUP(C70,Foundation_Calc!$E$2:$G$986,3,1),
IF(J70&gt;0,VLOOKUP(J70,Foundation_Calc!$E$2:$G$986,3,1),""))</f>
        <v/>
      </c>
      <c r="AY70" s="631" t="str">
        <f>IF(L70="","",
IF(AX70="PT",VLOOKUP(L70,Foundation_Calc!$K$4:$R$37,VLOOKUP(AW70,Foundation_Calc!$I$2:$J$8,2,FALSE),0),
IF(AX70="K",VLOOKUP(L70,Foundation_Calc!$K$41:$R$74,VLOOKUP(AW70,Foundation_Calc!$I$2:$J$8,2,FALSE),0),"")))</f>
        <v/>
      </c>
      <c r="AZ70" s="631" t="str">
        <f>IF(K70="","",
IF(AX70="PT",VLOOKUP(K70,Foundation_Calc!$K$4:$R$37,VLOOKUP(AW70,Foundation_Calc!$I$2:$J$8,2,FALSE),0),
IF(AX70="K",VLOOKUP(K70,Foundation_Calc!$K$41:$R$74,VLOOKUP(AW70,Foundation_Calc!$I$2:$J$8,2,FALSE),0),"")))</f>
        <v/>
      </c>
      <c r="BA70" s="632" t="str">
        <f t="shared" ref="BA70:BA133" si="6">IF(AY70="","",IF(AY70&gt;0,"ü",""))</f>
        <v/>
      </c>
      <c r="BB70" s="632" t="str">
        <f t="shared" ref="BB70:BB133" si="7">IF(AZ70="","",IF(AZ70&gt;0,"ü",""))</f>
        <v/>
      </c>
      <c r="BC70" s="632" t="str">
        <f t="shared" ref="BC70:BC133" si="8">IF(M70="","",IF(M70="Unique Solution","ü",""))</f>
        <v/>
      </c>
      <c r="BD70" s="633"/>
      <c r="BE70" s="448" t="s">
        <v>1726</v>
      </c>
      <c r="BF70" s="634"/>
      <c r="BG70" s="634"/>
      <c r="BH70" s="634"/>
      <c r="BI70" s="634"/>
    </row>
    <row r="71" spans="1:61" ht="16.2" customHeight="1">
      <c r="A71" s="12"/>
      <c r="B71" s="446"/>
      <c r="C71" s="89"/>
      <c r="D71" s="13"/>
      <c r="E71" s="14"/>
      <c r="F71" s="14"/>
      <c r="G71" s="15"/>
      <c r="H71" s="8"/>
      <c r="I71" s="8"/>
      <c r="J71" s="89"/>
      <c r="K71" s="8"/>
      <c r="L71" s="8"/>
      <c r="M71" s="8" t="str">
        <f>IF(L71="","",
IF(AX71="PT",VLOOKUP(L71,Foundation_Calc!$V$4:$X$37,VLOOKUP(AX71,Foundation_Calc!$I$10:$J$13,2,FALSE),0),
IF(AX71="K",VLOOKUP(L71,Foundation_Calc!$V$41:$X$74,VLOOKUP(AX71,Foundation_Calc!$I$10:$J$13,2,FALSE),0),"")))</f>
        <v/>
      </c>
      <c r="N71" s="8"/>
      <c r="O71" s="8"/>
      <c r="P71" s="8"/>
      <c r="Q71" s="14"/>
      <c r="R71" s="15"/>
      <c r="S71" s="15"/>
      <c r="T71" s="14"/>
      <c r="U71" s="14"/>
      <c r="V71" s="14"/>
      <c r="W71" s="18"/>
      <c r="X71" s="18"/>
      <c r="Y71" s="18"/>
      <c r="Z71" s="18"/>
      <c r="AA71" s="18"/>
      <c r="AB71" s="18"/>
      <c r="AC71" s="8" t="str">
        <f t="shared" si="5"/>
        <v/>
      </c>
      <c r="AD71" s="8"/>
      <c r="AE71" s="8"/>
      <c r="AF71" s="14"/>
      <c r="AG71" s="13"/>
      <c r="AH71" s="14"/>
      <c r="AI71" s="14"/>
      <c r="AJ71" s="8"/>
      <c r="AK71" s="8"/>
      <c r="AL71" s="8"/>
      <c r="AM71" s="8"/>
      <c r="AN71" s="631"/>
      <c r="AO71" s="18"/>
      <c r="AP71" s="18"/>
      <c r="AQ71" s="18"/>
      <c r="AR71" s="18"/>
      <c r="AS71" s="18"/>
      <c r="AU71" s="448"/>
      <c r="AV71" s="448"/>
      <c r="AW71" s="8" t="str">
        <f>IF(C71&gt;0,VLOOKUP(C71,Foundation_Calc!$A$2:$C$986,3,1),
IF(J71&gt;0,VLOOKUP(J71,Foundation_Calc!$A$2:$C$986,3,1),""))</f>
        <v/>
      </c>
      <c r="AX71" s="8" t="str">
        <f>IF(C71&gt;0,VLOOKUP(C71,Foundation_Calc!$E$2:$G$986,3,1),
IF(J71&gt;0,VLOOKUP(J71,Foundation_Calc!$E$2:$G$986,3,1),""))</f>
        <v/>
      </c>
      <c r="AY71" s="631" t="str">
        <f>IF(L71="","",
IF(AX71="PT",VLOOKUP(L71,Foundation_Calc!$K$4:$R$37,VLOOKUP(AW71,Foundation_Calc!$I$2:$J$8,2,FALSE),0),
IF(AX71="K",VLOOKUP(L71,Foundation_Calc!$K$41:$R$74,VLOOKUP(AW71,Foundation_Calc!$I$2:$J$8,2,FALSE),0),"")))</f>
        <v/>
      </c>
      <c r="AZ71" s="631" t="str">
        <f>IF(K71="","",
IF(AX71="PT",VLOOKUP(K71,Foundation_Calc!$K$4:$R$37,VLOOKUP(AW71,Foundation_Calc!$I$2:$J$8,2,FALSE),0),
IF(AX71="K",VLOOKUP(K71,Foundation_Calc!$K$41:$R$74,VLOOKUP(AW71,Foundation_Calc!$I$2:$J$8,2,FALSE),0),"")))</f>
        <v/>
      </c>
      <c r="BA71" s="632" t="str">
        <f t="shared" si="6"/>
        <v/>
      </c>
      <c r="BB71" s="632" t="str">
        <f t="shared" si="7"/>
        <v/>
      </c>
      <c r="BC71" s="632" t="str">
        <f t="shared" si="8"/>
        <v/>
      </c>
      <c r="BD71" s="633" t="str">
        <f>IF(AND(L71="",H71=""),"",
IF(H71="",Pole_Calc!A75,
IF(H71="MP",Pole_Calc!A76,
IF(H71="AnMP",Pole_Calc!A77,
IF(H71="A",Pole_Calc!A78,
IF(H71="S/A",Pole_Calc!A79,
IF(H71="A/S",Pole_Calc!A80,"Poner a mano")))))))</f>
        <v/>
      </c>
      <c r="BE71" s="448" t="s">
        <v>1726</v>
      </c>
      <c r="BF71" s="635"/>
      <c r="BG71" s="635"/>
      <c r="BH71" s="634"/>
      <c r="BI71" s="635"/>
    </row>
    <row r="72" spans="1:61" ht="16.2" customHeight="1">
      <c r="A72" s="12"/>
      <c r="B72" s="446"/>
      <c r="C72" s="89"/>
      <c r="D72" s="13"/>
      <c r="E72" s="14"/>
      <c r="F72" s="14"/>
      <c r="G72" s="15"/>
      <c r="H72" s="8"/>
      <c r="I72" s="8"/>
      <c r="J72" s="89"/>
      <c r="K72" s="8"/>
      <c r="L72" s="8"/>
      <c r="M72" s="8" t="str">
        <f>IF(L72="","",
IF(AX72="PT",VLOOKUP(L72,Foundation_Calc!$V$4:$X$37,VLOOKUP(AX72,Foundation_Calc!$I$10:$J$13,2,FALSE),0),
IF(AX72="K",VLOOKUP(L72,Foundation_Calc!$V$41:$X$74,VLOOKUP(AX72,Foundation_Calc!$I$10:$J$13,2,FALSE),0),"")))</f>
        <v/>
      </c>
      <c r="N72" s="8"/>
      <c r="O72" s="8"/>
      <c r="P72" s="8"/>
      <c r="Q72" s="14"/>
      <c r="R72" s="15"/>
      <c r="S72" s="15"/>
      <c r="T72" s="14"/>
      <c r="U72" s="14"/>
      <c r="V72" s="14"/>
      <c r="W72" s="18"/>
      <c r="X72" s="18"/>
      <c r="Y72" s="18"/>
      <c r="Z72" s="18"/>
      <c r="AA72" s="18"/>
      <c r="AB72" s="18"/>
      <c r="AC72" s="8" t="str">
        <f t="shared" si="5"/>
        <v/>
      </c>
      <c r="AD72" s="8"/>
      <c r="AE72" s="8"/>
      <c r="AF72" s="14"/>
      <c r="AG72" s="13"/>
      <c r="AH72" s="14"/>
      <c r="AI72" s="14"/>
      <c r="AJ72" s="8"/>
      <c r="AK72" s="8"/>
      <c r="AL72" s="8"/>
      <c r="AM72" s="8"/>
      <c r="AN72" s="631"/>
      <c r="AO72" s="18"/>
      <c r="AP72" s="18"/>
      <c r="AQ72" s="18"/>
      <c r="AR72" s="18"/>
      <c r="AS72" s="18"/>
      <c r="AU72" s="448"/>
      <c r="AV72" s="448"/>
      <c r="AW72" s="8" t="str">
        <f>IF(C72&gt;0,VLOOKUP(C72,Foundation_Calc!$A$2:$C$986,3,1),
IF(J72&gt;0,VLOOKUP(J72,Foundation_Calc!$A$2:$C$986,3,1),""))</f>
        <v/>
      </c>
      <c r="AX72" s="8" t="str">
        <f>IF(C72&gt;0,VLOOKUP(C72,Foundation_Calc!$E$2:$G$986,3,1),
IF(J72&gt;0,VLOOKUP(J72,Foundation_Calc!$E$2:$G$986,3,1),""))</f>
        <v/>
      </c>
      <c r="AY72" s="631" t="str">
        <f>IF(L72="","",
IF(AX72="PT",VLOOKUP(L72,Foundation_Calc!$K$4:$R$37,VLOOKUP(AW72,Foundation_Calc!$I$2:$J$8,2,FALSE),0),
IF(AX72="K",VLOOKUP(L72,Foundation_Calc!$K$41:$R$74,VLOOKUP(AW72,Foundation_Calc!$I$2:$J$8,2,FALSE),0),"")))</f>
        <v/>
      </c>
      <c r="AZ72" s="631" t="str">
        <f>IF(K72="","",
IF(AX72="PT",VLOOKUP(K72,Foundation_Calc!$K$4:$R$37,VLOOKUP(AW72,Foundation_Calc!$I$2:$J$8,2,FALSE),0),
IF(AX72="K",VLOOKUP(K72,Foundation_Calc!$K$41:$R$74,VLOOKUP(AW72,Foundation_Calc!$I$2:$J$8,2,FALSE),0),"")))</f>
        <v/>
      </c>
      <c r="BA72" s="632" t="str">
        <f t="shared" si="6"/>
        <v/>
      </c>
      <c r="BB72" s="632" t="str">
        <f t="shared" si="7"/>
        <v/>
      </c>
      <c r="BC72" s="632" t="str">
        <f t="shared" si="8"/>
        <v/>
      </c>
      <c r="BD72" s="633" t="str">
        <f>IF(AND(L72="",H72=""),"",
IF(H72="",Pole_Calc!A76,
IF(H72="MP",Pole_Calc!A77,
IF(H72="AnMP",Pole_Calc!A78,
IF(H72="A",Pole_Calc!A79,
IF(H72="S/A",Pole_Calc!A80,
IF(H72="A/S",Pole_Calc!A81,"Poner a mano")))))))</f>
        <v/>
      </c>
      <c r="BE72" s="448" t="s">
        <v>1726</v>
      </c>
      <c r="BF72" s="634"/>
      <c r="BG72" s="634"/>
      <c r="BH72" s="634"/>
      <c r="BI72" s="634"/>
    </row>
    <row r="73" spans="1:61" ht="16.2" customHeight="1">
      <c r="A73" s="12"/>
      <c r="B73" s="446"/>
      <c r="C73" s="89"/>
      <c r="D73" s="13"/>
      <c r="E73" s="14"/>
      <c r="F73" s="14"/>
      <c r="G73" s="15"/>
      <c r="H73" s="8"/>
      <c r="I73" s="8"/>
      <c r="J73" s="89"/>
      <c r="K73" s="8"/>
      <c r="L73" s="8"/>
      <c r="M73" s="8" t="str">
        <f>IF(L73="","",
IF(AX73="PT",VLOOKUP(L73,Foundation_Calc!$V$4:$X$37,VLOOKUP(AX73,Foundation_Calc!$I$10:$J$13,2,FALSE),0),
IF(AX73="K",VLOOKUP(L73,Foundation_Calc!$V$41:$X$74,VLOOKUP(AX73,Foundation_Calc!$I$10:$J$13,2,FALSE),0),"")))</f>
        <v/>
      </c>
      <c r="N73" s="8"/>
      <c r="O73" s="8"/>
      <c r="P73" s="8"/>
      <c r="Q73" s="14"/>
      <c r="R73" s="15"/>
      <c r="S73" s="15"/>
      <c r="T73" s="14"/>
      <c r="U73" s="14"/>
      <c r="V73" s="14"/>
      <c r="W73" s="18"/>
      <c r="X73" s="18"/>
      <c r="Y73" s="18"/>
      <c r="Z73" s="18"/>
      <c r="AA73" s="18"/>
      <c r="AB73" s="18"/>
      <c r="AC73" s="8" t="str">
        <f t="shared" si="5"/>
        <v/>
      </c>
      <c r="AD73" s="8"/>
      <c r="AE73" s="8"/>
      <c r="AF73" s="14"/>
      <c r="AG73" s="13"/>
      <c r="AH73" s="14"/>
      <c r="AI73" s="14"/>
      <c r="AJ73" s="8"/>
      <c r="AK73" s="8"/>
      <c r="AL73" s="8"/>
      <c r="AM73" s="8"/>
      <c r="AN73" s="631"/>
      <c r="AO73" s="18"/>
      <c r="AP73" s="18"/>
      <c r="AQ73" s="18"/>
      <c r="AR73" s="18"/>
      <c r="AS73" s="18"/>
      <c r="AU73" s="448"/>
      <c r="AV73" s="448"/>
      <c r="AW73" s="8" t="str">
        <f>IF(C73&gt;0,VLOOKUP(C73,Foundation_Calc!$A$2:$C$986,3,1),
IF(J73&gt;0,VLOOKUP(J73,Foundation_Calc!$A$2:$C$986,3,1),""))</f>
        <v/>
      </c>
      <c r="AX73" s="8" t="str">
        <f>IF(C73&gt;0,VLOOKUP(C73,Foundation_Calc!$E$2:$G$986,3,1),
IF(J73&gt;0,VLOOKUP(J73,Foundation_Calc!$E$2:$G$986,3,1),""))</f>
        <v/>
      </c>
      <c r="AY73" s="631" t="str">
        <f>IF(L73="","",
IF(AX73="PT",VLOOKUP(L73,Foundation_Calc!$K$4:$R$37,VLOOKUP(AW73,Foundation_Calc!$I$2:$J$8,2,FALSE),0),
IF(AX73="K",VLOOKUP(L73,Foundation_Calc!$K$41:$R$74,VLOOKUP(AW73,Foundation_Calc!$I$2:$J$8,2,FALSE),0),"")))</f>
        <v/>
      </c>
      <c r="AZ73" s="631" t="str">
        <f>IF(K73="","",
IF(AX73="PT",VLOOKUP(K73,Foundation_Calc!$K$4:$R$37,VLOOKUP(AW73,Foundation_Calc!$I$2:$J$8,2,FALSE),0),
IF(AX73="K",VLOOKUP(K73,Foundation_Calc!$K$41:$R$74,VLOOKUP(AW73,Foundation_Calc!$I$2:$J$8,2,FALSE),0),"")))</f>
        <v/>
      </c>
      <c r="BA73" s="632" t="str">
        <f t="shared" si="6"/>
        <v/>
      </c>
      <c r="BB73" s="632" t="str">
        <f t="shared" si="7"/>
        <v/>
      </c>
      <c r="BC73" s="632" t="str">
        <f t="shared" si="8"/>
        <v/>
      </c>
      <c r="BD73" s="633" t="str">
        <f>IF(AND(L73="",H73=""),"",
IF(H73="",Pole_Calc!A77,
IF(H73="MP",Pole_Calc!A78,
IF(H73="AnMP",Pole_Calc!A79,
IF(H73="A",Pole_Calc!A80,
IF(H73="S/A",Pole_Calc!A81,
IF(H73="A/S",Pole_Calc!A82,"Poner a mano")))))))</f>
        <v/>
      </c>
      <c r="BE73" s="448" t="s">
        <v>1726</v>
      </c>
      <c r="BF73" s="635"/>
      <c r="BG73" s="635"/>
      <c r="BH73" s="634"/>
      <c r="BI73" s="635"/>
    </row>
    <row r="74" spans="1:61" ht="16.2" customHeight="1">
      <c r="A74" s="12"/>
      <c r="B74" s="446"/>
      <c r="C74" s="89"/>
      <c r="D74" s="13"/>
      <c r="E74" s="14"/>
      <c r="F74" s="14"/>
      <c r="G74" s="15"/>
      <c r="H74" s="8"/>
      <c r="I74" s="8"/>
      <c r="J74" s="89"/>
      <c r="K74" s="8"/>
      <c r="L74" s="8"/>
      <c r="M74" s="8" t="str">
        <f>IF(L74="","",
IF(AX74="PT",VLOOKUP(L74,Foundation_Calc!$V$4:$X$37,VLOOKUP(AX74,Foundation_Calc!$I$10:$J$13,2,FALSE),0),
IF(AX74="K",VLOOKUP(L74,Foundation_Calc!$V$41:$X$74,VLOOKUP(AX74,Foundation_Calc!$I$10:$J$13,2,FALSE),0),"")))</f>
        <v/>
      </c>
      <c r="N74" s="8"/>
      <c r="O74" s="8"/>
      <c r="P74" s="8"/>
      <c r="Q74" s="14"/>
      <c r="R74" s="15"/>
      <c r="S74" s="15"/>
      <c r="T74" s="14"/>
      <c r="U74" s="14"/>
      <c r="V74" s="14"/>
      <c r="W74" s="18"/>
      <c r="X74" s="18"/>
      <c r="Y74" s="18"/>
      <c r="Z74" s="18"/>
      <c r="AA74" s="18"/>
      <c r="AB74" s="18"/>
      <c r="AC74" s="8" t="str">
        <f t="shared" si="5"/>
        <v/>
      </c>
      <c r="AD74" s="8"/>
      <c r="AE74" s="8"/>
      <c r="AF74" s="14"/>
      <c r="AG74" s="13"/>
      <c r="AH74" s="14"/>
      <c r="AI74" s="14"/>
      <c r="AJ74" s="8"/>
      <c r="AK74" s="8"/>
      <c r="AL74" s="8"/>
      <c r="AM74" s="8"/>
      <c r="AN74" s="631"/>
      <c r="AO74" s="18"/>
      <c r="AP74" s="18"/>
      <c r="AQ74" s="18"/>
      <c r="AR74" s="18"/>
      <c r="AS74" s="18"/>
      <c r="AU74" s="448"/>
      <c r="AV74" s="448"/>
      <c r="AW74" s="8" t="str">
        <f>IF(C74&gt;0,VLOOKUP(C74,Foundation_Calc!$A$2:$C$986,3,1),
IF(J74&gt;0,VLOOKUP(J74,Foundation_Calc!$A$2:$C$986,3,1),""))</f>
        <v/>
      </c>
      <c r="AX74" s="8" t="str">
        <f>IF(C74&gt;0,VLOOKUP(C74,Foundation_Calc!$E$2:$G$986,3,1),
IF(J74&gt;0,VLOOKUP(J74,Foundation_Calc!$E$2:$G$986,3,1),""))</f>
        <v/>
      </c>
      <c r="AY74" s="631" t="str">
        <f>IF(L74="","",
IF(AX74="PT",VLOOKUP(L74,Foundation_Calc!$K$4:$R$37,VLOOKUP(AW74,Foundation_Calc!$I$2:$J$8,2,FALSE),0),
IF(AX74="K",VLOOKUP(L74,Foundation_Calc!$K$41:$R$74,VLOOKUP(AW74,Foundation_Calc!$I$2:$J$8,2,FALSE),0),"")))</f>
        <v/>
      </c>
      <c r="AZ74" s="631" t="str">
        <f>IF(K74="","",
IF(AX74="PT",VLOOKUP(K74,Foundation_Calc!$K$4:$R$37,VLOOKUP(AW74,Foundation_Calc!$I$2:$J$8,2,FALSE),0),
IF(AX74="K",VLOOKUP(K74,Foundation_Calc!$K$41:$R$74,VLOOKUP(AW74,Foundation_Calc!$I$2:$J$8,2,FALSE),0),"")))</f>
        <v/>
      </c>
      <c r="BA74" s="632" t="str">
        <f t="shared" si="6"/>
        <v/>
      </c>
      <c r="BB74" s="632" t="str">
        <f t="shared" si="7"/>
        <v/>
      </c>
      <c r="BC74" s="632" t="str">
        <f t="shared" si="8"/>
        <v/>
      </c>
      <c r="BD74" s="633" t="str">
        <f>IF(AND(L74="",H74=""),"",
IF(H74="",Pole_Calc!A78,
IF(H74="MP",Pole_Calc!A79,
IF(H74="AnMP",Pole_Calc!A80,
IF(H74="A",Pole_Calc!A81,
IF(H74="S/A",Pole_Calc!A82,
IF(H74="A/S",Pole_Calc!A83,"Poner a mano")))))))</f>
        <v/>
      </c>
      <c r="BE74" s="448" t="s">
        <v>1726</v>
      </c>
      <c r="BF74" s="634"/>
      <c r="BG74" s="634"/>
      <c r="BH74" s="634"/>
      <c r="BI74" s="634"/>
    </row>
    <row r="75" spans="1:61" ht="16.2" customHeight="1">
      <c r="A75" s="12"/>
      <c r="B75" s="446"/>
      <c r="C75" s="89"/>
      <c r="D75" s="13"/>
      <c r="E75" s="14"/>
      <c r="F75" s="14"/>
      <c r="G75" s="15"/>
      <c r="H75" s="8"/>
      <c r="I75" s="8"/>
      <c r="J75" s="89"/>
      <c r="K75" s="8"/>
      <c r="L75" s="8"/>
      <c r="M75" s="8" t="str">
        <f>IF(L75="","",
IF(AX75="PT",VLOOKUP(L75,Foundation_Calc!$V$4:$X$37,VLOOKUP(AX75,Foundation_Calc!$I$10:$J$13,2,FALSE),0),
IF(AX75="K",VLOOKUP(L75,Foundation_Calc!$V$41:$X$74,VLOOKUP(AX75,Foundation_Calc!$I$10:$J$13,2,FALSE),0),"")))</f>
        <v/>
      </c>
      <c r="N75" s="8"/>
      <c r="O75" s="8"/>
      <c r="P75" s="8"/>
      <c r="Q75" s="14"/>
      <c r="R75" s="15"/>
      <c r="S75" s="15"/>
      <c r="T75" s="14"/>
      <c r="U75" s="14"/>
      <c r="V75" s="14"/>
      <c r="W75" s="18"/>
      <c r="X75" s="18"/>
      <c r="Y75" s="18"/>
      <c r="Z75" s="18"/>
      <c r="AA75" s="18"/>
      <c r="AB75" s="18"/>
      <c r="AC75" s="8" t="str">
        <f t="shared" si="5"/>
        <v/>
      </c>
      <c r="AD75" s="8"/>
      <c r="AE75" s="8"/>
      <c r="AF75" s="14"/>
      <c r="AG75" s="13"/>
      <c r="AH75" s="14"/>
      <c r="AI75" s="14"/>
      <c r="AJ75" s="8"/>
      <c r="AK75" s="8"/>
      <c r="AL75" s="8"/>
      <c r="AM75" s="8"/>
      <c r="AN75" s="631"/>
      <c r="AO75" s="18"/>
      <c r="AP75" s="18"/>
      <c r="AQ75" s="18"/>
      <c r="AR75" s="18"/>
      <c r="AS75" s="18"/>
      <c r="AU75" s="448"/>
      <c r="AV75" s="448"/>
      <c r="AW75" s="8" t="str">
        <f>IF(C75&gt;0,VLOOKUP(C75,Foundation_Calc!$A$2:$C$986,3,1),
IF(J75&gt;0,VLOOKUP(J75,Foundation_Calc!$A$2:$C$986,3,1),""))</f>
        <v/>
      </c>
      <c r="AX75" s="8" t="str">
        <f>IF(C75&gt;0,VLOOKUP(C75,Foundation_Calc!$E$2:$G$986,3,1),
IF(J75&gt;0,VLOOKUP(J75,Foundation_Calc!$E$2:$G$986,3,1),""))</f>
        <v/>
      </c>
      <c r="AY75" s="631" t="str">
        <f>IF(L75="","",
IF(AX75="PT",VLOOKUP(L75,Foundation_Calc!$K$4:$R$37,VLOOKUP(AW75,Foundation_Calc!$I$2:$J$8,2,FALSE),0),
IF(AX75="K",VLOOKUP(L75,Foundation_Calc!$K$41:$R$74,VLOOKUP(AW75,Foundation_Calc!$I$2:$J$8,2,FALSE),0),"")))</f>
        <v/>
      </c>
      <c r="AZ75" s="631" t="str">
        <f>IF(K75="","",
IF(AX75="PT",VLOOKUP(K75,Foundation_Calc!$K$4:$R$37,VLOOKUP(AW75,Foundation_Calc!$I$2:$J$8,2,FALSE),0),
IF(AX75="K",VLOOKUP(K75,Foundation_Calc!$K$41:$R$74,VLOOKUP(AW75,Foundation_Calc!$I$2:$J$8,2,FALSE),0),"")))</f>
        <v/>
      </c>
      <c r="BA75" s="632" t="str">
        <f t="shared" si="6"/>
        <v/>
      </c>
      <c r="BB75" s="632" t="str">
        <f t="shared" si="7"/>
        <v/>
      </c>
      <c r="BC75" s="632" t="str">
        <f t="shared" si="8"/>
        <v/>
      </c>
      <c r="BD75" s="633" t="str">
        <f>IF(AND(L75="",H75=""),"",
IF(H75="",Pole_Calc!A79,
IF(H75="MP",Pole_Calc!A80,
IF(H75="AnMP",Pole_Calc!A81,
IF(H75="A",Pole_Calc!A82,
IF(H75="S/A",Pole_Calc!A83,
IF(H75="A/S",Pole_Calc!A84,"Poner a mano")))))))</f>
        <v/>
      </c>
      <c r="BE75" s="448" t="s">
        <v>1726</v>
      </c>
      <c r="BF75" s="635"/>
      <c r="BG75" s="635"/>
      <c r="BH75" s="634"/>
      <c r="BI75" s="635"/>
    </row>
    <row r="76" spans="1:61" ht="16.2" customHeight="1">
      <c r="A76" s="12"/>
      <c r="B76" s="446"/>
      <c r="C76" s="89"/>
      <c r="D76" s="13"/>
      <c r="E76" s="14"/>
      <c r="F76" s="14"/>
      <c r="G76" s="15"/>
      <c r="H76" s="8"/>
      <c r="I76" s="8"/>
      <c r="J76" s="89"/>
      <c r="K76" s="8"/>
      <c r="L76" s="8"/>
      <c r="M76" s="8" t="str">
        <f>IF(L76="","",
IF(AX76="PT",VLOOKUP(L76,Foundation_Calc!$V$4:$X$37,VLOOKUP(AX76,Foundation_Calc!$I$10:$J$13,2,FALSE),0),
IF(AX76="K",VLOOKUP(L76,Foundation_Calc!$V$41:$X$74,VLOOKUP(AX76,Foundation_Calc!$I$10:$J$13,2,FALSE),0),"")))</f>
        <v/>
      </c>
      <c r="N76" s="8"/>
      <c r="O76" s="8"/>
      <c r="P76" s="8"/>
      <c r="Q76" s="14"/>
      <c r="R76" s="15"/>
      <c r="S76" s="15"/>
      <c r="T76" s="14"/>
      <c r="U76" s="14"/>
      <c r="V76" s="14"/>
      <c r="W76" s="18"/>
      <c r="X76" s="18"/>
      <c r="Y76" s="18"/>
      <c r="Z76" s="18"/>
      <c r="AA76" s="18"/>
      <c r="AB76" s="18"/>
      <c r="AC76" s="8" t="str">
        <f t="shared" si="5"/>
        <v/>
      </c>
      <c r="AD76" s="8"/>
      <c r="AE76" s="8"/>
      <c r="AF76" s="14"/>
      <c r="AG76" s="13"/>
      <c r="AH76" s="14"/>
      <c r="AI76" s="14"/>
      <c r="AJ76" s="8"/>
      <c r="AK76" s="8"/>
      <c r="AL76" s="8"/>
      <c r="AM76" s="8"/>
      <c r="AN76" s="631"/>
      <c r="AO76" s="18"/>
      <c r="AP76" s="18"/>
      <c r="AQ76" s="18"/>
      <c r="AR76" s="18"/>
      <c r="AS76" s="18"/>
      <c r="AU76" s="448"/>
      <c r="AV76" s="448"/>
      <c r="AW76" s="8" t="str">
        <f>IF(C76&gt;0,VLOOKUP(C76,Foundation_Calc!$A$2:$C$986,3,1),
IF(J76&gt;0,VLOOKUP(J76,Foundation_Calc!$A$2:$C$986,3,1),""))</f>
        <v/>
      </c>
      <c r="AX76" s="8" t="str">
        <f>IF(C76&gt;0,VLOOKUP(C76,Foundation_Calc!$E$2:$G$986,3,1),
IF(J76&gt;0,VLOOKUP(J76,Foundation_Calc!$E$2:$G$986,3,1),""))</f>
        <v/>
      </c>
      <c r="AY76" s="631" t="str">
        <f>IF(L76="","",
IF(AX76="PT",VLOOKUP(L76,Foundation_Calc!$K$4:$R$37,VLOOKUP(AW76,Foundation_Calc!$I$2:$J$8,2,FALSE),0),
IF(AX76="K",VLOOKUP(L76,Foundation_Calc!$K$41:$R$74,VLOOKUP(AW76,Foundation_Calc!$I$2:$J$8,2,FALSE),0),"")))</f>
        <v/>
      </c>
      <c r="AZ76" s="631" t="str">
        <f>IF(K76="","",
IF(AX76="PT",VLOOKUP(K76,Foundation_Calc!$K$4:$R$37,VLOOKUP(AW76,Foundation_Calc!$I$2:$J$8,2,FALSE),0),
IF(AX76="K",VLOOKUP(K76,Foundation_Calc!$K$41:$R$74,VLOOKUP(AW76,Foundation_Calc!$I$2:$J$8,2,FALSE),0),"")))</f>
        <v/>
      </c>
      <c r="BA76" s="632" t="str">
        <f t="shared" si="6"/>
        <v/>
      </c>
      <c r="BB76" s="632" t="str">
        <f t="shared" si="7"/>
        <v/>
      </c>
      <c r="BC76" s="632" t="str">
        <f t="shared" si="8"/>
        <v/>
      </c>
      <c r="BD76" s="633" t="str">
        <f>IF(AND(L76="",H76=""),"",
IF(H76="",Pole_Calc!A80,
IF(H76="MP",Pole_Calc!A81,
IF(H76="AnMP",Pole_Calc!A82,
IF(H76="A",Pole_Calc!A83,
IF(H76="S/A",Pole_Calc!A84,
IF(H76="A/S",Pole_Calc!A85,"Poner a mano")))))))</f>
        <v/>
      </c>
      <c r="BE76" s="448" t="s">
        <v>1726</v>
      </c>
      <c r="BF76" s="634"/>
      <c r="BG76" s="634"/>
      <c r="BH76" s="634"/>
      <c r="BI76" s="634"/>
    </row>
    <row r="77" spans="1:61" ht="16.2" customHeight="1">
      <c r="A77" s="12"/>
      <c r="B77" s="446"/>
      <c r="C77" s="89"/>
      <c r="D77" s="13"/>
      <c r="E77" s="14"/>
      <c r="F77" s="14"/>
      <c r="G77" s="15"/>
      <c r="H77" s="8"/>
      <c r="I77" s="8"/>
      <c r="J77" s="89"/>
      <c r="K77" s="8"/>
      <c r="L77" s="8"/>
      <c r="M77" s="8" t="str">
        <f>IF(L77="","",
IF(AX77="PT",VLOOKUP(L77,Foundation_Calc!$V$4:$X$37,VLOOKUP(AX77,Foundation_Calc!$I$10:$J$13,2,FALSE),0),
IF(AX77="K",VLOOKUP(L77,Foundation_Calc!$V$41:$X$74,VLOOKUP(AX77,Foundation_Calc!$I$10:$J$13,2,FALSE),0),"")))</f>
        <v/>
      </c>
      <c r="N77" s="8"/>
      <c r="O77" s="8"/>
      <c r="P77" s="8"/>
      <c r="Q77" s="14"/>
      <c r="R77" s="15"/>
      <c r="S77" s="15"/>
      <c r="T77" s="14"/>
      <c r="U77" s="14"/>
      <c r="V77" s="14"/>
      <c r="W77" s="18"/>
      <c r="X77" s="18"/>
      <c r="Y77" s="18"/>
      <c r="Z77" s="18"/>
      <c r="AA77" s="18"/>
      <c r="AB77" s="18"/>
      <c r="AC77" s="8" t="str">
        <f t="shared" si="5"/>
        <v/>
      </c>
      <c r="AD77" s="8"/>
      <c r="AE77" s="8"/>
      <c r="AF77" s="14"/>
      <c r="AG77" s="13"/>
      <c r="AH77" s="14"/>
      <c r="AI77" s="14"/>
      <c r="AJ77" s="8"/>
      <c r="AK77" s="8"/>
      <c r="AL77" s="8"/>
      <c r="AM77" s="8"/>
      <c r="AN77" s="631"/>
      <c r="AO77" s="18"/>
      <c r="AP77" s="18"/>
      <c r="AQ77" s="18"/>
      <c r="AR77" s="18"/>
      <c r="AS77" s="18"/>
      <c r="AU77" s="448"/>
      <c r="AV77" s="448"/>
      <c r="AW77" s="8" t="str">
        <f>IF(C77&gt;0,VLOOKUP(C77,Foundation_Calc!$A$2:$C$986,3,1),
IF(J77&gt;0,VLOOKUP(J77,Foundation_Calc!$A$2:$C$986,3,1),""))</f>
        <v/>
      </c>
      <c r="AX77" s="8" t="str">
        <f>IF(C77&gt;0,VLOOKUP(C77,Foundation_Calc!$E$2:$G$986,3,1),
IF(J77&gt;0,VLOOKUP(J77,Foundation_Calc!$E$2:$G$986,3,1),""))</f>
        <v/>
      </c>
      <c r="AY77" s="631" t="str">
        <f>IF(L77="","",
IF(AX77="PT",VLOOKUP(L77,Foundation_Calc!$K$4:$R$37,VLOOKUP(AW77,Foundation_Calc!$I$2:$J$8,2,FALSE),0),
IF(AX77="K",VLOOKUP(L77,Foundation_Calc!$K$41:$R$74,VLOOKUP(AW77,Foundation_Calc!$I$2:$J$8,2,FALSE),0),"")))</f>
        <v/>
      </c>
      <c r="AZ77" s="631" t="str">
        <f>IF(K77="","",
IF(AX77="PT",VLOOKUP(K77,Foundation_Calc!$K$4:$R$37,VLOOKUP(AW77,Foundation_Calc!$I$2:$J$8,2,FALSE),0),
IF(AX77="K",VLOOKUP(K77,Foundation_Calc!$K$41:$R$74,VLOOKUP(AW77,Foundation_Calc!$I$2:$J$8,2,FALSE),0),"")))</f>
        <v/>
      </c>
      <c r="BA77" s="632" t="str">
        <f t="shared" si="6"/>
        <v/>
      </c>
      <c r="BB77" s="632" t="str">
        <f t="shared" si="7"/>
        <v/>
      </c>
      <c r="BC77" s="632" t="str">
        <f t="shared" si="8"/>
        <v/>
      </c>
      <c r="BD77" s="633" t="str">
        <f>IF(AND(L77="",H77=""),"",
IF(H77="",Pole_Calc!A81,
IF(H77="MP",Pole_Calc!A82,
IF(H77="AnMP",Pole_Calc!A83,
IF(H77="A",Pole_Calc!A84,
IF(H77="S/A",Pole_Calc!A85,
IF(H77="A/S",Pole_Calc!A86,"Poner a mano")))))))</f>
        <v/>
      </c>
      <c r="BE77" s="448" t="s">
        <v>1726</v>
      </c>
      <c r="BF77" s="635"/>
      <c r="BG77" s="635"/>
      <c r="BH77" s="634"/>
      <c r="BI77" s="635"/>
    </row>
    <row r="78" spans="1:61" ht="16.2" customHeight="1">
      <c r="A78" s="12"/>
      <c r="B78" s="446"/>
      <c r="C78" s="89"/>
      <c r="D78" s="13"/>
      <c r="E78" s="14"/>
      <c r="F78" s="14"/>
      <c r="G78" s="15"/>
      <c r="H78" s="8"/>
      <c r="I78" s="8"/>
      <c r="J78" s="89"/>
      <c r="K78" s="8"/>
      <c r="L78" s="8"/>
      <c r="M78" s="8" t="str">
        <f>IF(L78="","",
IF(AX78="PT",VLOOKUP(L78,Foundation_Calc!$V$4:$X$37,VLOOKUP(AX78,Foundation_Calc!$I$10:$J$13,2,FALSE),0),
IF(AX78="K",VLOOKUP(L78,Foundation_Calc!$V$41:$X$74,VLOOKUP(AX78,Foundation_Calc!$I$10:$J$13,2,FALSE),0),"")))</f>
        <v/>
      </c>
      <c r="N78" s="8"/>
      <c r="O78" s="8"/>
      <c r="P78" s="8"/>
      <c r="Q78" s="14"/>
      <c r="R78" s="15"/>
      <c r="S78" s="15"/>
      <c r="T78" s="14"/>
      <c r="U78" s="14"/>
      <c r="V78" s="14"/>
      <c r="W78" s="18"/>
      <c r="X78" s="18"/>
      <c r="Y78" s="18"/>
      <c r="Z78" s="18"/>
      <c r="AA78" s="18"/>
      <c r="AB78" s="18"/>
      <c r="AC78" s="8" t="str">
        <f t="shared" si="5"/>
        <v/>
      </c>
      <c r="AD78" s="8"/>
      <c r="AE78" s="8"/>
      <c r="AF78" s="14"/>
      <c r="AG78" s="13"/>
      <c r="AH78" s="14"/>
      <c r="AI78" s="14"/>
      <c r="AJ78" s="8"/>
      <c r="AK78" s="8"/>
      <c r="AL78" s="8"/>
      <c r="AM78" s="8"/>
      <c r="AN78" s="631"/>
      <c r="AO78" s="18"/>
      <c r="AP78" s="18"/>
      <c r="AQ78" s="18"/>
      <c r="AR78" s="18"/>
      <c r="AS78" s="18"/>
      <c r="AU78" s="448"/>
      <c r="AV78" s="448"/>
      <c r="AW78" s="8" t="str">
        <f>IF(C78&gt;0,VLOOKUP(C78,Foundation_Calc!$A$2:$C$986,3,1),
IF(J78&gt;0,VLOOKUP(J78,Foundation_Calc!$A$2:$C$986,3,1),""))</f>
        <v/>
      </c>
      <c r="AX78" s="8" t="str">
        <f>IF(C78&gt;0,VLOOKUP(C78,Foundation_Calc!$E$2:$G$986,3,1),
IF(J78&gt;0,VLOOKUP(J78,Foundation_Calc!$E$2:$G$986,3,1),""))</f>
        <v/>
      </c>
      <c r="AY78" s="631" t="str">
        <f>IF(L78="","",
IF(AX78="PT",VLOOKUP(L78,Foundation_Calc!$K$4:$R$37,VLOOKUP(AW78,Foundation_Calc!$I$2:$J$8,2,FALSE),0),
IF(AX78="K",VLOOKUP(L78,Foundation_Calc!$K$41:$R$74,VLOOKUP(AW78,Foundation_Calc!$I$2:$J$8,2,FALSE),0),"")))</f>
        <v/>
      </c>
      <c r="AZ78" s="631" t="str">
        <f>IF(K78="","",
IF(AX78="PT",VLOOKUP(K78,Foundation_Calc!$K$4:$R$37,VLOOKUP(AW78,Foundation_Calc!$I$2:$J$8,2,FALSE),0),
IF(AX78="K",VLOOKUP(K78,Foundation_Calc!$K$41:$R$74,VLOOKUP(AW78,Foundation_Calc!$I$2:$J$8,2,FALSE),0),"")))</f>
        <v/>
      </c>
      <c r="BA78" s="632" t="str">
        <f t="shared" si="6"/>
        <v/>
      </c>
      <c r="BB78" s="632" t="str">
        <f t="shared" si="7"/>
        <v/>
      </c>
      <c r="BC78" s="632" t="str">
        <f t="shared" si="8"/>
        <v/>
      </c>
      <c r="BD78" s="633" t="str">
        <f>IF(AND(L78="",H78=""),"",
IF(H78="",Pole_Calc!A82,
IF(H78="MP",Pole_Calc!A83,
IF(H78="AnMP",Pole_Calc!A84,
IF(H78="A",Pole_Calc!A85,
IF(H78="S/A",Pole_Calc!A86,
IF(H78="A/S",Pole_Calc!A87,"Poner a mano")))))))</f>
        <v/>
      </c>
      <c r="BE78" s="448" t="s">
        <v>1726</v>
      </c>
      <c r="BF78" s="634"/>
      <c r="BG78" s="634"/>
      <c r="BH78" s="634"/>
      <c r="BI78" s="634"/>
    </row>
    <row r="79" spans="1:61" ht="16.2" customHeight="1">
      <c r="A79" s="12"/>
      <c r="B79" s="446"/>
      <c r="C79" s="89"/>
      <c r="D79" s="13"/>
      <c r="E79" s="14"/>
      <c r="F79" s="14"/>
      <c r="G79" s="15"/>
      <c r="H79" s="8"/>
      <c r="I79" s="8"/>
      <c r="J79" s="89"/>
      <c r="K79" s="8"/>
      <c r="L79" s="8"/>
      <c r="M79" s="8" t="str">
        <f>IF(L79="","",
IF(AX79="PT",VLOOKUP(L79,Foundation_Calc!$V$4:$X$37,VLOOKUP(AX79,Foundation_Calc!$I$10:$J$13,2,FALSE),0),
IF(AX79="K",VLOOKUP(L79,Foundation_Calc!$V$41:$X$74,VLOOKUP(AX79,Foundation_Calc!$I$10:$J$13,2,FALSE),0),"")))</f>
        <v/>
      </c>
      <c r="N79" s="8"/>
      <c r="O79" s="8"/>
      <c r="P79" s="8"/>
      <c r="Q79" s="14"/>
      <c r="R79" s="15"/>
      <c r="S79" s="15"/>
      <c r="T79" s="14"/>
      <c r="U79" s="14"/>
      <c r="V79" s="14"/>
      <c r="W79" s="18"/>
      <c r="X79" s="18"/>
      <c r="Y79" s="18"/>
      <c r="Z79" s="18"/>
      <c r="AA79" s="18"/>
      <c r="AB79" s="18"/>
      <c r="AC79" s="8" t="str">
        <f t="shared" si="5"/>
        <v/>
      </c>
      <c r="AD79" s="8"/>
      <c r="AE79" s="8"/>
      <c r="AF79" s="14"/>
      <c r="AG79" s="13"/>
      <c r="AH79" s="14"/>
      <c r="AI79" s="14"/>
      <c r="AJ79" s="8"/>
      <c r="AK79" s="8"/>
      <c r="AL79" s="8"/>
      <c r="AM79" s="8"/>
      <c r="AN79" s="631"/>
      <c r="AO79" s="18"/>
      <c r="AP79" s="18"/>
      <c r="AQ79" s="18"/>
      <c r="AR79" s="18"/>
      <c r="AS79" s="18"/>
      <c r="AU79" s="448"/>
      <c r="AV79" s="448"/>
      <c r="AW79" s="8" t="str">
        <f>IF(C79&gt;0,VLOOKUP(C79,Foundation_Calc!$A$2:$C$986,3,1),
IF(J79&gt;0,VLOOKUP(J79,Foundation_Calc!$A$2:$C$986,3,1),""))</f>
        <v/>
      </c>
      <c r="AX79" s="8" t="str">
        <f>IF(C79&gt;0,VLOOKUP(C79,Foundation_Calc!$E$2:$G$986,3,1),
IF(J79&gt;0,VLOOKUP(J79,Foundation_Calc!$E$2:$G$986,3,1),""))</f>
        <v/>
      </c>
      <c r="AY79" s="631" t="str">
        <f>IF(L79="","",
IF(AX79="PT",VLOOKUP(L79,Foundation_Calc!$K$4:$R$37,VLOOKUP(AW79,Foundation_Calc!$I$2:$J$8,2,FALSE),0),
IF(AX79="K",VLOOKUP(L79,Foundation_Calc!$K$41:$R$74,VLOOKUP(AW79,Foundation_Calc!$I$2:$J$8,2,FALSE),0),"")))</f>
        <v/>
      </c>
      <c r="AZ79" s="631" t="str">
        <f>IF(K79="","",
IF(AX79="PT",VLOOKUP(K79,Foundation_Calc!$K$4:$R$37,VLOOKUP(AW79,Foundation_Calc!$I$2:$J$8,2,FALSE),0),
IF(AX79="K",VLOOKUP(K79,Foundation_Calc!$K$41:$R$74,VLOOKUP(AW79,Foundation_Calc!$I$2:$J$8,2,FALSE),0),"")))</f>
        <v/>
      </c>
      <c r="BA79" s="632" t="str">
        <f t="shared" si="6"/>
        <v/>
      </c>
      <c r="BB79" s="632" t="str">
        <f t="shared" si="7"/>
        <v/>
      </c>
      <c r="BC79" s="632" t="str">
        <f t="shared" si="8"/>
        <v/>
      </c>
      <c r="BD79" s="633" t="str">
        <f>IF(AND(L79="",H79=""),"",
IF(H79="",Pole_Calc!A83,
IF(H79="MP",Pole_Calc!A84,
IF(H79="AnMP",Pole_Calc!A85,
IF(H79="A",Pole_Calc!A86,
IF(H79="S/A",Pole_Calc!A87,
IF(H79="A/S",Pole_Calc!A88,"Poner a mano")))))))</f>
        <v/>
      </c>
      <c r="BE79" s="448" t="s">
        <v>1726</v>
      </c>
      <c r="BF79" s="635"/>
      <c r="BG79" s="635"/>
      <c r="BH79" s="634"/>
      <c r="BI79" s="635"/>
    </row>
    <row r="80" spans="1:61" ht="16.2" customHeight="1">
      <c r="A80" s="12"/>
      <c r="B80" s="446"/>
      <c r="C80" s="89"/>
      <c r="D80" s="13"/>
      <c r="E80" s="14"/>
      <c r="F80" s="14"/>
      <c r="G80" s="15"/>
      <c r="H80" s="8"/>
      <c r="I80" s="8"/>
      <c r="J80" s="89"/>
      <c r="K80" s="8"/>
      <c r="L80" s="8"/>
      <c r="M80" s="8" t="str">
        <f>IF(L80="","",
IF(AX80="PT",VLOOKUP(L80,Foundation_Calc!$V$4:$X$37,VLOOKUP(AX80,Foundation_Calc!$I$10:$J$13,2,FALSE),0),
IF(AX80="K",VLOOKUP(L80,Foundation_Calc!$V$41:$X$74,VLOOKUP(AX80,Foundation_Calc!$I$10:$J$13,2,FALSE),0),"")))</f>
        <v/>
      </c>
      <c r="N80" s="8"/>
      <c r="O80" s="8"/>
      <c r="P80" s="8"/>
      <c r="Q80" s="14"/>
      <c r="R80" s="15"/>
      <c r="S80" s="15"/>
      <c r="T80" s="14"/>
      <c r="U80" s="14"/>
      <c r="V80" s="14"/>
      <c r="W80" s="18"/>
      <c r="X80" s="18"/>
      <c r="Y80" s="18"/>
      <c r="Z80" s="18"/>
      <c r="AA80" s="18"/>
      <c r="AB80" s="18"/>
      <c r="AC80" s="8" t="str">
        <f t="shared" si="5"/>
        <v/>
      </c>
      <c r="AD80" s="8"/>
      <c r="AE80" s="8"/>
      <c r="AF80" s="14"/>
      <c r="AG80" s="13"/>
      <c r="AH80" s="14"/>
      <c r="AI80" s="14"/>
      <c r="AJ80" s="8"/>
      <c r="AK80" s="8"/>
      <c r="AL80" s="8"/>
      <c r="AM80" s="8"/>
      <c r="AN80" s="631"/>
      <c r="AO80" s="18"/>
      <c r="AP80" s="18"/>
      <c r="AQ80" s="18"/>
      <c r="AR80" s="18"/>
      <c r="AS80" s="18"/>
      <c r="AU80" s="448"/>
      <c r="AV80" s="448"/>
      <c r="AW80" s="8" t="str">
        <f>IF(C80&gt;0,VLOOKUP(C80,Foundation_Calc!$A$2:$C$986,3,1),
IF(J80&gt;0,VLOOKUP(J80,Foundation_Calc!$A$2:$C$986,3,1),""))</f>
        <v/>
      </c>
      <c r="AX80" s="8" t="str">
        <f>IF(C80&gt;0,VLOOKUP(C80,Foundation_Calc!$E$2:$G$986,3,1),
IF(J80&gt;0,VLOOKUP(J80,Foundation_Calc!$E$2:$G$986,3,1),""))</f>
        <v/>
      </c>
      <c r="AY80" s="631" t="str">
        <f>IF(L80="","",
IF(AX80="PT",VLOOKUP(L80,Foundation_Calc!$K$4:$R$37,VLOOKUP(AW80,Foundation_Calc!$I$2:$J$8,2,FALSE),0),
IF(AX80="K",VLOOKUP(L80,Foundation_Calc!$K$41:$R$74,VLOOKUP(AW80,Foundation_Calc!$I$2:$J$8,2,FALSE),0),"")))</f>
        <v/>
      </c>
      <c r="AZ80" s="631" t="str">
        <f>IF(K80="","",
IF(AX80="PT",VLOOKUP(K80,Foundation_Calc!$K$4:$R$37,VLOOKUP(AW80,Foundation_Calc!$I$2:$J$8,2,FALSE),0),
IF(AX80="K",VLOOKUP(K80,Foundation_Calc!$K$41:$R$74,VLOOKUP(AW80,Foundation_Calc!$I$2:$J$8,2,FALSE),0),"")))</f>
        <v/>
      </c>
      <c r="BA80" s="632" t="str">
        <f t="shared" si="6"/>
        <v/>
      </c>
      <c r="BB80" s="632" t="str">
        <f t="shared" si="7"/>
        <v/>
      </c>
      <c r="BC80" s="632" t="str">
        <f t="shared" si="8"/>
        <v/>
      </c>
      <c r="BD80" s="633" t="str">
        <f>IF(AND(L80="",H80=""),"",
IF(H80="",Pole_Calc!A84,
IF(H80="MP",Pole_Calc!A85,
IF(H80="AnMP",Pole_Calc!A86,
IF(H80="A",Pole_Calc!A87,
IF(H80="S/A",Pole_Calc!A88,
IF(H80="A/S",Pole_Calc!A89,"Poner a mano")))))))</f>
        <v/>
      </c>
      <c r="BE80" s="448" t="s">
        <v>1726</v>
      </c>
      <c r="BF80" s="634"/>
      <c r="BG80" s="634"/>
      <c r="BH80" s="634"/>
      <c r="BI80" s="634"/>
    </row>
    <row r="81" spans="1:61" ht="16.2" customHeight="1">
      <c r="A81" s="12"/>
      <c r="B81" s="446"/>
      <c r="C81" s="89"/>
      <c r="D81" s="13"/>
      <c r="E81" s="14"/>
      <c r="F81" s="14"/>
      <c r="G81" s="15"/>
      <c r="H81" s="8"/>
      <c r="I81" s="8"/>
      <c r="J81" s="89"/>
      <c r="K81" s="8"/>
      <c r="L81" s="8"/>
      <c r="M81" s="8" t="str">
        <f>IF(L81="","",
IF(AX81="PT",VLOOKUP(L81,Foundation_Calc!$V$4:$X$37,VLOOKUP(AX81,Foundation_Calc!$I$10:$J$13,2,FALSE),0),
IF(AX81="K",VLOOKUP(L81,Foundation_Calc!$V$41:$X$74,VLOOKUP(AX81,Foundation_Calc!$I$10:$J$13,2,FALSE),0),"")))</f>
        <v/>
      </c>
      <c r="N81" s="8"/>
      <c r="O81" s="8"/>
      <c r="P81" s="8"/>
      <c r="Q81" s="14"/>
      <c r="R81" s="15"/>
      <c r="S81" s="15"/>
      <c r="T81" s="14"/>
      <c r="U81" s="14"/>
      <c r="V81" s="14"/>
      <c r="W81" s="18"/>
      <c r="X81" s="18"/>
      <c r="Y81" s="18"/>
      <c r="Z81" s="18"/>
      <c r="AA81" s="18"/>
      <c r="AB81" s="18"/>
      <c r="AC81" s="8" t="str">
        <f t="shared" si="5"/>
        <v/>
      </c>
      <c r="AD81" s="8"/>
      <c r="AE81" s="8"/>
      <c r="AF81" s="14"/>
      <c r="AG81" s="13"/>
      <c r="AH81" s="14"/>
      <c r="AI81" s="14"/>
      <c r="AJ81" s="8"/>
      <c r="AK81" s="8"/>
      <c r="AL81" s="8"/>
      <c r="AM81" s="8"/>
      <c r="AN81" s="631"/>
      <c r="AO81" s="18"/>
      <c r="AP81" s="18"/>
      <c r="AQ81" s="18"/>
      <c r="AR81" s="18"/>
      <c r="AS81" s="18"/>
      <c r="AU81" s="448"/>
      <c r="AV81" s="448"/>
      <c r="AW81" s="8" t="str">
        <f>IF(C81&gt;0,VLOOKUP(C81,Foundation_Calc!$A$2:$C$986,3,1),
IF(J81&gt;0,VLOOKUP(J81,Foundation_Calc!$A$2:$C$986,3,1),""))</f>
        <v/>
      </c>
      <c r="AX81" s="8" t="str">
        <f>IF(C81&gt;0,VLOOKUP(C81,Foundation_Calc!$E$2:$G$986,3,1),
IF(J81&gt;0,VLOOKUP(J81,Foundation_Calc!$E$2:$G$986,3,1),""))</f>
        <v/>
      </c>
      <c r="AY81" s="631" t="str">
        <f>IF(L81="","",
IF(AX81="PT",VLOOKUP(L81,Foundation_Calc!$K$4:$R$37,VLOOKUP(AW81,Foundation_Calc!$I$2:$J$8,2,FALSE),0),
IF(AX81="K",VLOOKUP(L81,Foundation_Calc!$K$41:$R$74,VLOOKUP(AW81,Foundation_Calc!$I$2:$J$8,2,FALSE),0),"")))</f>
        <v/>
      </c>
      <c r="AZ81" s="631" t="str">
        <f>IF(K81="","",
IF(AX81="PT",VLOOKUP(K81,Foundation_Calc!$K$4:$R$37,VLOOKUP(AW81,Foundation_Calc!$I$2:$J$8,2,FALSE),0),
IF(AX81="K",VLOOKUP(K81,Foundation_Calc!$K$41:$R$74,VLOOKUP(AW81,Foundation_Calc!$I$2:$J$8,2,FALSE),0),"")))</f>
        <v/>
      </c>
      <c r="BA81" s="632" t="str">
        <f t="shared" si="6"/>
        <v/>
      </c>
      <c r="BB81" s="632" t="str">
        <f t="shared" si="7"/>
        <v/>
      </c>
      <c r="BC81" s="632" t="str">
        <f t="shared" si="8"/>
        <v/>
      </c>
      <c r="BD81" s="633" t="str">
        <f>IF(AND(L81="",H81=""),"",
IF(H81="",Pole_Calc!A85,
IF(H81="MP",Pole_Calc!A86,
IF(H81="AnMP",Pole_Calc!A87,
IF(H81="A",Pole_Calc!A88,
IF(H81="S/A",Pole_Calc!A89,
IF(H81="A/S",Pole_Calc!A90,"Poner a mano")))))))</f>
        <v/>
      </c>
      <c r="BE81" s="448" t="s">
        <v>1726</v>
      </c>
      <c r="BF81" s="635"/>
      <c r="BG81" s="635"/>
      <c r="BH81" s="634"/>
      <c r="BI81" s="635"/>
    </row>
    <row r="82" spans="1:61" ht="16.2" customHeight="1">
      <c r="A82" s="12"/>
      <c r="B82" s="446"/>
      <c r="C82" s="89"/>
      <c r="D82" s="13"/>
      <c r="E82" s="14"/>
      <c r="F82" s="14"/>
      <c r="G82" s="15"/>
      <c r="H82" s="8"/>
      <c r="I82" s="8"/>
      <c r="J82" s="89"/>
      <c r="K82" s="8"/>
      <c r="L82" s="8"/>
      <c r="M82" s="8" t="str">
        <f>IF(L82="","",
IF(AX82="PT",VLOOKUP(L82,Foundation_Calc!$V$4:$X$37,VLOOKUP(AX82,Foundation_Calc!$I$10:$J$13,2,FALSE),0),
IF(AX82="K",VLOOKUP(L82,Foundation_Calc!$V$41:$X$74,VLOOKUP(AX82,Foundation_Calc!$I$10:$J$13,2,FALSE),0),"")))</f>
        <v/>
      </c>
      <c r="N82" s="8"/>
      <c r="O82" s="8"/>
      <c r="P82" s="8"/>
      <c r="Q82" s="14"/>
      <c r="R82" s="15"/>
      <c r="S82" s="15"/>
      <c r="T82" s="14"/>
      <c r="U82" s="14"/>
      <c r="V82" s="14"/>
      <c r="W82" s="18"/>
      <c r="X82" s="18"/>
      <c r="Y82" s="18"/>
      <c r="Z82" s="18"/>
      <c r="AA82" s="18"/>
      <c r="AB82" s="18"/>
      <c r="AC82" s="8" t="str">
        <f t="shared" si="5"/>
        <v/>
      </c>
      <c r="AD82" s="8"/>
      <c r="AE82" s="8"/>
      <c r="AF82" s="14"/>
      <c r="AG82" s="13"/>
      <c r="AH82" s="14"/>
      <c r="AI82" s="14"/>
      <c r="AJ82" s="8"/>
      <c r="AK82" s="8"/>
      <c r="AL82" s="8"/>
      <c r="AM82" s="8"/>
      <c r="AN82" s="631"/>
      <c r="AO82" s="18"/>
      <c r="AP82" s="18"/>
      <c r="AQ82" s="18"/>
      <c r="AR82" s="18"/>
      <c r="AS82" s="18"/>
      <c r="AU82" s="448"/>
      <c r="AV82" s="448"/>
      <c r="AW82" s="8" t="str">
        <f>IF(C82&gt;0,VLOOKUP(C82,Foundation_Calc!$A$2:$C$986,3,1),
IF(J82&gt;0,VLOOKUP(J82,Foundation_Calc!$A$2:$C$986,3,1),""))</f>
        <v/>
      </c>
      <c r="AX82" s="8" t="str">
        <f>IF(C82&gt;0,VLOOKUP(C82,Foundation_Calc!$E$2:$G$986,3,1),
IF(J82&gt;0,VLOOKUP(J82,Foundation_Calc!$E$2:$G$986,3,1),""))</f>
        <v/>
      </c>
      <c r="AY82" s="631" t="str">
        <f>IF(L82="","",
IF(AX82="PT",VLOOKUP(L82,Foundation_Calc!$K$4:$R$37,VLOOKUP(AW82,Foundation_Calc!$I$2:$J$8,2,FALSE),0),
IF(AX82="K",VLOOKUP(L82,Foundation_Calc!$K$41:$R$74,VLOOKUP(AW82,Foundation_Calc!$I$2:$J$8,2,FALSE),0),"")))</f>
        <v/>
      </c>
      <c r="AZ82" s="631" t="str">
        <f>IF(K82="","",
IF(AX82="PT",VLOOKUP(K82,Foundation_Calc!$K$4:$R$37,VLOOKUP(AW82,Foundation_Calc!$I$2:$J$8,2,FALSE),0),
IF(AX82="K",VLOOKUP(K82,Foundation_Calc!$K$41:$R$74,VLOOKUP(AW82,Foundation_Calc!$I$2:$J$8,2,FALSE),0),"")))</f>
        <v/>
      </c>
      <c r="BA82" s="632" t="str">
        <f t="shared" si="6"/>
        <v/>
      </c>
      <c r="BB82" s="632" t="str">
        <f t="shared" si="7"/>
        <v/>
      </c>
      <c r="BC82" s="632" t="str">
        <f t="shared" si="8"/>
        <v/>
      </c>
      <c r="BD82" s="633" t="str">
        <f>IF(AND(L82="",H82=""),"",
IF(H82="",Pole_Calc!A86,
IF(H82="MP",Pole_Calc!A87,
IF(H82="AnMP",Pole_Calc!A88,
IF(H82="A",Pole_Calc!A89,
IF(H82="S/A",Pole_Calc!A90,
IF(H82="A/S",Pole_Calc!A91,"Poner a mano")))))))</f>
        <v/>
      </c>
      <c r="BE82" s="448" t="s">
        <v>1726</v>
      </c>
      <c r="BF82" s="634"/>
      <c r="BG82" s="634"/>
      <c r="BH82" s="634"/>
      <c r="BI82" s="634"/>
    </row>
    <row r="83" spans="1:61" ht="16.2" customHeight="1">
      <c r="A83" s="12"/>
      <c r="B83" s="446"/>
      <c r="C83" s="89"/>
      <c r="D83" s="13"/>
      <c r="E83" s="14"/>
      <c r="F83" s="14"/>
      <c r="G83" s="15"/>
      <c r="H83" s="8"/>
      <c r="I83" s="8"/>
      <c r="J83" s="89"/>
      <c r="K83" s="8"/>
      <c r="L83" s="8"/>
      <c r="M83" s="8" t="str">
        <f>IF(L83="","",
IF(AX83="PT",VLOOKUP(L83,Foundation_Calc!$V$4:$X$37,VLOOKUP(AX83,Foundation_Calc!$I$10:$J$13,2,FALSE),0),
IF(AX83="K",VLOOKUP(L83,Foundation_Calc!$V$41:$X$74,VLOOKUP(AX83,Foundation_Calc!$I$10:$J$13,2,FALSE),0),"")))</f>
        <v/>
      </c>
      <c r="N83" s="8"/>
      <c r="O83" s="8"/>
      <c r="P83" s="8"/>
      <c r="Q83" s="14"/>
      <c r="R83" s="15"/>
      <c r="S83" s="15"/>
      <c r="T83" s="14"/>
      <c r="U83" s="14"/>
      <c r="V83" s="14"/>
      <c r="W83" s="18"/>
      <c r="X83" s="18"/>
      <c r="Y83" s="18"/>
      <c r="Z83" s="18"/>
      <c r="AA83" s="18"/>
      <c r="AB83" s="18"/>
      <c r="AC83" s="8" t="str">
        <f t="shared" si="5"/>
        <v/>
      </c>
      <c r="AD83" s="8"/>
      <c r="AE83" s="8"/>
      <c r="AF83" s="14"/>
      <c r="AG83" s="13"/>
      <c r="AH83" s="14"/>
      <c r="AI83" s="14"/>
      <c r="AJ83" s="8"/>
      <c r="AK83" s="8"/>
      <c r="AL83" s="8"/>
      <c r="AM83" s="8"/>
      <c r="AN83" s="631"/>
      <c r="AO83" s="18"/>
      <c r="AP83" s="18"/>
      <c r="AQ83" s="18"/>
      <c r="AR83" s="18"/>
      <c r="AS83" s="18"/>
      <c r="AU83" s="448"/>
      <c r="AV83" s="448"/>
      <c r="AW83" s="8" t="str">
        <f>IF(C83&gt;0,VLOOKUP(C83,Foundation_Calc!$A$2:$C$986,3,1),
IF(J83&gt;0,VLOOKUP(J83,Foundation_Calc!$A$2:$C$986,3,1),""))</f>
        <v/>
      </c>
      <c r="AX83" s="8" t="str">
        <f>IF(C83&gt;0,VLOOKUP(C83,Foundation_Calc!$E$2:$G$986,3,1),
IF(J83&gt;0,VLOOKUP(J83,Foundation_Calc!$E$2:$G$986,3,1),""))</f>
        <v/>
      </c>
      <c r="AY83" s="631" t="str">
        <f>IF(L83="","",
IF(AX83="PT",VLOOKUP(L83,Foundation_Calc!$K$4:$R$37,VLOOKUP(AW83,Foundation_Calc!$I$2:$J$8,2,FALSE),0),
IF(AX83="K",VLOOKUP(L83,Foundation_Calc!$K$41:$R$74,VLOOKUP(AW83,Foundation_Calc!$I$2:$J$8,2,FALSE),0),"")))</f>
        <v/>
      </c>
      <c r="AZ83" s="631" t="str">
        <f>IF(K83="","",
IF(AX83="PT",VLOOKUP(K83,Foundation_Calc!$K$4:$R$37,VLOOKUP(AW83,Foundation_Calc!$I$2:$J$8,2,FALSE),0),
IF(AX83="K",VLOOKUP(K83,Foundation_Calc!$K$41:$R$74,VLOOKUP(AW83,Foundation_Calc!$I$2:$J$8,2,FALSE),0),"")))</f>
        <v/>
      </c>
      <c r="BA83" s="632" t="str">
        <f t="shared" si="6"/>
        <v/>
      </c>
      <c r="BB83" s="632" t="str">
        <f t="shared" si="7"/>
        <v/>
      </c>
      <c r="BC83" s="632" t="str">
        <f t="shared" si="8"/>
        <v/>
      </c>
      <c r="BD83" s="633" t="str">
        <f>IF(AND(L83="",H83=""),"",
IF(H83="",Pole_Calc!A87,
IF(H83="MP",Pole_Calc!A88,
IF(H83="AnMP",Pole_Calc!A89,
IF(H83="A",Pole_Calc!A90,
IF(H83="S/A",Pole_Calc!A91,
IF(H83="A/S",Pole_Calc!A92,"Poner a mano")))))))</f>
        <v/>
      </c>
      <c r="BE83" s="448" t="s">
        <v>1726</v>
      </c>
      <c r="BF83" s="635"/>
      <c r="BG83" s="635"/>
      <c r="BH83" s="634"/>
      <c r="BI83" s="635"/>
    </row>
    <row r="84" spans="1:61" ht="16.2" customHeight="1">
      <c r="A84" s="12"/>
      <c r="B84" s="446"/>
      <c r="C84" s="89"/>
      <c r="D84" s="13"/>
      <c r="E84" s="14"/>
      <c r="F84" s="14"/>
      <c r="G84" s="15"/>
      <c r="H84" s="8"/>
      <c r="I84" s="8"/>
      <c r="J84" s="89"/>
      <c r="K84" s="8"/>
      <c r="L84" s="8"/>
      <c r="M84" s="8" t="str">
        <f>IF(L84="","",
IF(AX84="PT",VLOOKUP(L84,Foundation_Calc!$V$4:$X$37,VLOOKUP(AX84,Foundation_Calc!$I$10:$J$13,2,FALSE),0),
IF(AX84="K",VLOOKUP(L84,Foundation_Calc!$V$41:$X$74,VLOOKUP(AX84,Foundation_Calc!$I$10:$J$13,2,FALSE),0),"")))</f>
        <v/>
      </c>
      <c r="N84" s="8"/>
      <c r="O84" s="8"/>
      <c r="P84" s="8"/>
      <c r="Q84" s="14"/>
      <c r="R84" s="15"/>
      <c r="S84" s="15"/>
      <c r="T84" s="14"/>
      <c r="U84" s="14"/>
      <c r="V84" s="14"/>
      <c r="W84" s="18"/>
      <c r="X84" s="18"/>
      <c r="Y84" s="18"/>
      <c r="Z84" s="18"/>
      <c r="AA84" s="18"/>
      <c r="AB84" s="18"/>
      <c r="AC84" s="8" t="str">
        <f t="shared" si="5"/>
        <v/>
      </c>
      <c r="AD84" s="8"/>
      <c r="AE84" s="8"/>
      <c r="AF84" s="14"/>
      <c r="AG84" s="13"/>
      <c r="AH84" s="14"/>
      <c r="AI84" s="14"/>
      <c r="AJ84" s="8"/>
      <c r="AK84" s="8"/>
      <c r="AL84" s="8"/>
      <c r="AM84" s="8"/>
      <c r="AN84" s="631"/>
      <c r="AO84" s="18"/>
      <c r="AP84" s="18"/>
      <c r="AQ84" s="18"/>
      <c r="AR84" s="18"/>
      <c r="AS84" s="18"/>
      <c r="AU84" s="448"/>
      <c r="AV84" s="448"/>
      <c r="AW84" s="8" t="str">
        <f>IF(C84&gt;0,VLOOKUP(C84,Foundation_Calc!$A$2:$C$986,3,1),
IF(J84&gt;0,VLOOKUP(J84,Foundation_Calc!$A$2:$C$986,3,1),""))</f>
        <v/>
      </c>
      <c r="AX84" s="8" t="str">
        <f>IF(C84&gt;0,VLOOKUP(C84,Foundation_Calc!$E$2:$G$986,3,1),
IF(J84&gt;0,VLOOKUP(J84,Foundation_Calc!$E$2:$G$986,3,1),""))</f>
        <v/>
      </c>
      <c r="AY84" s="631" t="str">
        <f>IF(L84="","",
IF(AX84="PT",VLOOKUP(L84,Foundation_Calc!$K$4:$R$37,VLOOKUP(AW84,Foundation_Calc!$I$2:$J$8,2,FALSE),0),
IF(AX84="K",VLOOKUP(L84,Foundation_Calc!$K$41:$R$74,VLOOKUP(AW84,Foundation_Calc!$I$2:$J$8,2,FALSE),0),"")))</f>
        <v/>
      </c>
      <c r="AZ84" s="631" t="str">
        <f>IF(K84="","",
IF(AX84="PT",VLOOKUP(K84,Foundation_Calc!$K$4:$R$37,VLOOKUP(AW84,Foundation_Calc!$I$2:$J$8,2,FALSE),0),
IF(AX84="K",VLOOKUP(K84,Foundation_Calc!$K$41:$R$74,VLOOKUP(AW84,Foundation_Calc!$I$2:$J$8,2,FALSE),0),"")))</f>
        <v/>
      </c>
      <c r="BA84" s="632" t="str">
        <f t="shared" si="6"/>
        <v/>
      </c>
      <c r="BB84" s="632" t="str">
        <f t="shared" si="7"/>
        <v/>
      </c>
      <c r="BC84" s="632" t="str">
        <f t="shared" si="8"/>
        <v/>
      </c>
      <c r="BD84" s="633" t="str">
        <f>IF(AND(L84="",H84=""),"",
IF(H84="",Pole_Calc!A88,
IF(H84="MP",Pole_Calc!A89,
IF(H84="AnMP",Pole_Calc!A90,
IF(H84="A",Pole_Calc!A91,
IF(H84="S/A",Pole_Calc!A92,
IF(H84="A/S",Pole_Calc!A93,"Poner a mano")))))))</f>
        <v/>
      </c>
      <c r="BE84" s="448" t="s">
        <v>1726</v>
      </c>
      <c r="BF84" s="634"/>
      <c r="BG84" s="634"/>
      <c r="BH84" s="634"/>
      <c r="BI84" s="634"/>
    </row>
    <row r="85" spans="1:61" ht="16.2" customHeight="1">
      <c r="A85" s="12"/>
      <c r="B85" s="446"/>
      <c r="C85" s="89"/>
      <c r="D85" s="13"/>
      <c r="E85" s="14"/>
      <c r="F85" s="14"/>
      <c r="G85" s="15"/>
      <c r="H85" s="8"/>
      <c r="I85" s="8"/>
      <c r="J85" s="89"/>
      <c r="K85" s="8"/>
      <c r="L85" s="8"/>
      <c r="M85" s="8" t="str">
        <f>IF(L85="","",
IF(AX85="PT",VLOOKUP(L85,Foundation_Calc!$V$4:$X$37,VLOOKUP(AX85,Foundation_Calc!$I$10:$J$13,2,FALSE),0),
IF(AX85="K",VLOOKUP(L85,Foundation_Calc!$V$41:$X$74,VLOOKUP(AX85,Foundation_Calc!$I$10:$J$13,2,FALSE),0),"")))</f>
        <v/>
      </c>
      <c r="N85" s="8"/>
      <c r="O85" s="8"/>
      <c r="P85" s="8"/>
      <c r="Q85" s="14"/>
      <c r="R85" s="15"/>
      <c r="S85" s="15"/>
      <c r="T85" s="14"/>
      <c r="U85" s="14"/>
      <c r="V85" s="14"/>
      <c r="W85" s="18"/>
      <c r="X85" s="18"/>
      <c r="Y85" s="18"/>
      <c r="Z85" s="18"/>
      <c r="AA85" s="18"/>
      <c r="AB85" s="18"/>
      <c r="AC85" s="8" t="str">
        <f t="shared" si="5"/>
        <v/>
      </c>
      <c r="AD85" s="8"/>
      <c r="AE85" s="8"/>
      <c r="AF85" s="14"/>
      <c r="AG85" s="13"/>
      <c r="AH85" s="14"/>
      <c r="AI85" s="14"/>
      <c r="AJ85" s="8"/>
      <c r="AK85" s="8"/>
      <c r="AL85" s="8"/>
      <c r="AM85" s="8"/>
      <c r="AN85" s="631"/>
      <c r="AO85" s="18"/>
      <c r="AP85" s="18"/>
      <c r="AQ85" s="18"/>
      <c r="AR85" s="18"/>
      <c r="AS85" s="18"/>
      <c r="AU85" s="448"/>
      <c r="AV85" s="448"/>
      <c r="AW85" s="8" t="str">
        <f>IF(C85&gt;0,VLOOKUP(C85,Foundation_Calc!$A$2:$C$986,3,1),
IF(J85&gt;0,VLOOKUP(J85,Foundation_Calc!$A$2:$C$986,3,1),""))</f>
        <v/>
      </c>
      <c r="AX85" s="8" t="str">
        <f>IF(C85&gt;0,VLOOKUP(C85,Foundation_Calc!$E$2:$G$986,3,1),
IF(J85&gt;0,VLOOKUP(J85,Foundation_Calc!$E$2:$G$986,3,1),""))</f>
        <v/>
      </c>
      <c r="AY85" s="631" t="str">
        <f>IF(L85="","",
IF(AX85="PT",VLOOKUP(L85,Foundation_Calc!$K$4:$R$37,VLOOKUP(AW85,Foundation_Calc!$I$2:$J$8,2,FALSE),0),
IF(AX85="K",VLOOKUP(L85,Foundation_Calc!$K$41:$R$74,VLOOKUP(AW85,Foundation_Calc!$I$2:$J$8,2,FALSE),0),"")))</f>
        <v/>
      </c>
      <c r="AZ85" s="631" t="str">
        <f>IF(K85="","",
IF(AX85="PT",VLOOKUP(K85,Foundation_Calc!$K$4:$R$37,VLOOKUP(AW85,Foundation_Calc!$I$2:$J$8,2,FALSE),0),
IF(AX85="K",VLOOKUP(K85,Foundation_Calc!$K$41:$R$74,VLOOKUP(AW85,Foundation_Calc!$I$2:$J$8,2,FALSE),0),"")))</f>
        <v/>
      </c>
      <c r="BA85" s="632" t="str">
        <f t="shared" si="6"/>
        <v/>
      </c>
      <c r="BB85" s="632" t="str">
        <f t="shared" si="7"/>
        <v/>
      </c>
      <c r="BC85" s="632" t="str">
        <f t="shared" si="8"/>
        <v/>
      </c>
      <c r="BD85" s="633" t="str">
        <f>IF(AND(L85="",H85=""),"",
IF(H85="",Pole_Calc!A89,
IF(H85="MP",Pole_Calc!A90,
IF(H85="AnMP",Pole_Calc!A91,
IF(H85="A",Pole_Calc!A92,
IF(H85="S/A",Pole_Calc!A93,
IF(H85="A/S",Pole_Calc!A94,"Poner a mano")))))))</f>
        <v/>
      </c>
      <c r="BE85" s="448" t="s">
        <v>1726</v>
      </c>
      <c r="BF85" s="635"/>
      <c r="BG85" s="635"/>
      <c r="BH85" s="634"/>
      <c r="BI85" s="635"/>
    </row>
    <row r="86" spans="1:61" ht="16.2" customHeight="1">
      <c r="A86" s="12"/>
      <c r="B86" s="446"/>
      <c r="C86" s="89"/>
      <c r="D86" s="13"/>
      <c r="E86" s="14"/>
      <c r="F86" s="14"/>
      <c r="G86" s="15"/>
      <c r="H86" s="8"/>
      <c r="I86" s="8"/>
      <c r="J86" s="89"/>
      <c r="K86" s="8"/>
      <c r="L86" s="8"/>
      <c r="M86" s="8" t="str">
        <f>IF(L86="","",
IF(AX86="PT",VLOOKUP(L86,Foundation_Calc!$V$4:$X$37,VLOOKUP(AX86,Foundation_Calc!$I$10:$J$13,2,FALSE),0),
IF(AX86="K",VLOOKUP(L86,Foundation_Calc!$V$41:$X$74,VLOOKUP(AX86,Foundation_Calc!$I$10:$J$13,2,FALSE),0),"")))</f>
        <v/>
      </c>
      <c r="N86" s="8"/>
      <c r="O86" s="8"/>
      <c r="P86" s="8"/>
      <c r="Q86" s="14"/>
      <c r="R86" s="15"/>
      <c r="S86" s="15"/>
      <c r="T86" s="14"/>
      <c r="U86" s="14"/>
      <c r="V86" s="14"/>
      <c r="W86" s="18"/>
      <c r="X86" s="18"/>
      <c r="Y86" s="18"/>
      <c r="Z86" s="18"/>
      <c r="AA86" s="18"/>
      <c r="AB86" s="18"/>
      <c r="AC86" s="8" t="str">
        <f t="shared" si="5"/>
        <v/>
      </c>
      <c r="AD86" s="8"/>
      <c r="AE86" s="8"/>
      <c r="AF86" s="14"/>
      <c r="AG86" s="13"/>
      <c r="AH86" s="14"/>
      <c r="AI86" s="14"/>
      <c r="AJ86" s="8"/>
      <c r="AK86" s="8"/>
      <c r="AL86" s="8"/>
      <c r="AM86" s="8"/>
      <c r="AN86" s="631"/>
      <c r="AO86" s="18"/>
      <c r="AP86" s="18"/>
      <c r="AQ86" s="18"/>
      <c r="AR86" s="18"/>
      <c r="AS86" s="18"/>
      <c r="AU86" s="448"/>
      <c r="AV86" s="448"/>
      <c r="AW86" s="8" t="str">
        <f>IF(C86&gt;0,VLOOKUP(C86,Foundation_Calc!$A$2:$C$986,3,1),
IF(J86&gt;0,VLOOKUP(J86,Foundation_Calc!$A$2:$C$986,3,1),""))</f>
        <v/>
      </c>
      <c r="AX86" s="8" t="str">
        <f>IF(C86&gt;0,VLOOKUP(C86,Foundation_Calc!$E$2:$G$986,3,1),
IF(J86&gt;0,VLOOKUP(J86,Foundation_Calc!$E$2:$G$986,3,1),""))</f>
        <v/>
      </c>
      <c r="AY86" s="631" t="str">
        <f>IF(L86="","",
IF(AX86="PT",VLOOKUP(L86,Foundation_Calc!$K$4:$R$37,VLOOKUP(AW86,Foundation_Calc!$I$2:$J$8,2,FALSE),0),
IF(AX86="K",VLOOKUP(L86,Foundation_Calc!$K$41:$R$74,VLOOKUP(AW86,Foundation_Calc!$I$2:$J$8,2,FALSE),0),"")))</f>
        <v/>
      </c>
      <c r="AZ86" s="631" t="str">
        <f>IF(K86="","",
IF(AX86="PT",VLOOKUP(K86,Foundation_Calc!$K$4:$R$37,VLOOKUP(AW86,Foundation_Calc!$I$2:$J$8,2,FALSE),0),
IF(AX86="K",VLOOKUP(K86,Foundation_Calc!$K$41:$R$74,VLOOKUP(AW86,Foundation_Calc!$I$2:$J$8,2,FALSE),0),"")))</f>
        <v/>
      </c>
      <c r="BA86" s="632" t="str">
        <f t="shared" si="6"/>
        <v/>
      </c>
      <c r="BB86" s="632" t="str">
        <f t="shared" si="7"/>
        <v/>
      </c>
      <c r="BC86" s="632" t="str">
        <f t="shared" si="8"/>
        <v/>
      </c>
      <c r="BD86" s="633" t="str">
        <f>IF(AND(L86="",H86=""),"",
IF(H86="",Pole_Calc!A90,
IF(H86="MP",Pole_Calc!A91,
IF(H86="AnMP",Pole_Calc!A92,
IF(H86="A",Pole_Calc!A93,
IF(H86="S/A",Pole_Calc!A94,
IF(H86="A/S",Pole_Calc!A95,"Poner a mano")))))))</f>
        <v/>
      </c>
      <c r="BE86" s="448" t="s">
        <v>1726</v>
      </c>
      <c r="BF86" s="634"/>
      <c r="BG86" s="634"/>
      <c r="BH86" s="634"/>
      <c r="BI86" s="634"/>
    </row>
    <row r="87" spans="1:61" ht="16.2" customHeight="1">
      <c r="A87" s="12"/>
      <c r="B87" s="446"/>
      <c r="C87" s="89"/>
      <c r="D87" s="13"/>
      <c r="E87" s="14"/>
      <c r="F87" s="14"/>
      <c r="G87" s="15"/>
      <c r="H87" s="8"/>
      <c r="I87" s="8"/>
      <c r="J87" s="89"/>
      <c r="K87" s="8"/>
      <c r="L87" s="8"/>
      <c r="M87" s="8" t="str">
        <f>IF(L87="","",
IF(AX87="PT",VLOOKUP(L87,Foundation_Calc!$V$4:$X$37,VLOOKUP(AX87,Foundation_Calc!$I$10:$J$13,2,FALSE),0),
IF(AX87="K",VLOOKUP(L87,Foundation_Calc!$V$41:$X$74,VLOOKUP(AX87,Foundation_Calc!$I$10:$J$13,2,FALSE),0),"")))</f>
        <v/>
      </c>
      <c r="N87" s="8"/>
      <c r="O87" s="8"/>
      <c r="P87" s="8"/>
      <c r="Q87" s="14"/>
      <c r="R87" s="15"/>
      <c r="S87" s="15"/>
      <c r="T87" s="14"/>
      <c r="U87" s="14"/>
      <c r="V87" s="14"/>
      <c r="W87" s="18"/>
      <c r="X87" s="18"/>
      <c r="Y87" s="18"/>
      <c r="Z87" s="18"/>
      <c r="AA87" s="18"/>
      <c r="AB87" s="18"/>
      <c r="AC87" s="8" t="str">
        <f t="shared" si="5"/>
        <v/>
      </c>
      <c r="AD87" s="8"/>
      <c r="AE87" s="8"/>
      <c r="AF87" s="14"/>
      <c r="AG87" s="13"/>
      <c r="AH87" s="14"/>
      <c r="AI87" s="14"/>
      <c r="AJ87" s="8"/>
      <c r="AK87" s="8"/>
      <c r="AL87" s="8"/>
      <c r="AM87" s="8"/>
      <c r="AN87" s="631"/>
      <c r="AO87" s="18"/>
      <c r="AP87" s="18"/>
      <c r="AQ87" s="18"/>
      <c r="AR87" s="18"/>
      <c r="AS87" s="18"/>
      <c r="AU87" s="448"/>
      <c r="AV87" s="448"/>
      <c r="AW87" s="8" t="str">
        <f>IF(C87&gt;0,VLOOKUP(C87,Foundation_Calc!$A$2:$C$986,3,1),
IF(J87&gt;0,VLOOKUP(J87,Foundation_Calc!$A$2:$C$986,3,1),""))</f>
        <v/>
      </c>
      <c r="AX87" s="8" t="str">
        <f>IF(C87&gt;0,VLOOKUP(C87,Foundation_Calc!$E$2:$G$986,3,1),
IF(J87&gt;0,VLOOKUP(J87,Foundation_Calc!$E$2:$G$986,3,1),""))</f>
        <v/>
      </c>
      <c r="AY87" s="631" t="str">
        <f>IF(L87="","",
IF(AX87="PT",VLOOKUP(L87,Foundation_Calc!$K$4:$R$37,VLOOKUP(AW87,Foundation_Calc!$I$2:$J$8,2,FALSE),0),
IF(AX87="K",VLOOKUP(L87,Foundation_Calc!$K$41:$R$74,VLOOKUP(AW87,Foundation_Calc!$I$2:$J$8,2,FALSE),0),"")))</f>
        <v/>
      </c>
      <c r="AZ87" s="631" t="str">
        <f>IF(K87="","",
IF(AX87="PT",VLOOKUP(K87,Foundation_Calc!$K$4:$R$37,VLOOKUP(AW87,Foundation_Calc!$I$2:$J$8,2,FALSE),0),
IF(AX87="K",VLOOKUP(K87,Foundation_Calc!$K$41:$R$74,VLOOKUP(AW87,Foundation_Calc!$I$2:$J$8,2,FALSE),0),"")))</f>
        <v/>
      </c>
      <c r="BA87" s="632" t="str">
        <f t="shared" si="6"/>
        <v/>
      </c>
      <c r="BB87" s="632" t="str">
        <f t="shared" si="7"/>
        <v/>
      </c>
      <c r="BC87" s="632" t="str">
        <f t="shared" si="8"/>
        <v/>
      </c>
      <c r="BD87" s="633" t="str">
        <f>IF(AND(L87="",H87=""),"",
IF(H87="",Pole_Calc!A91,
IF(H87="MP",Pole_Calc!A92,
IF(H87="AnMP",Pole_Calc!A93,
IF(H87="A",Pole_Calc!A94,
IF(H87="S/A",Pole_Calc!A95,
IF(H87="A/S",Pole_Calc!A96,"Poner a mano")))))))</f>
        <v/>
      </c>
      <c r="BE87" s="448" t="s">
        <v>1726</v>
      </c>
      <c r="BF87" s="635"/>
      <c r="BG87" s="635"/>
      <c r="BH87" s="634"/>
      <c r="BI87" s="635"/>
    </row>
    <row r="88" spans="1:61" ht="16.2" customHeight="1">
      <c r="A88" s="12"/>
      <c r="B88" s="446"/>
      <c r="C88" s="89"/>
      <c r="D88" s="13"/>
      <c r="E88" s="14"/>
      <c r="F88" s="14"/>
      <c r="G88" s="15"/>
      <c r="H88" s="8"/>
      <c r="I88" s="8"/>
      <c r="J88" s="89"/>
      <c r="K88" s="8"/>
      <c r="L88" s="8"/>
      <c r="M88" s="8" t="str">
        <f>IF(L88="","",
IF(AX88="PT",VLOOKUP(L88,Foundation_Calc!$V$4:$X$37,VLOOKUP(AX88,Foundation_Calc!$I$10:$J$13,2,FALSE),0),
IF(AX88="K",VLOOKUP(L88,Foundation_Calc!$V$41:$X$74,VLOOKUP(AX88,Foundation_Calc!$I$10:$J$13,2,FALSE),0),"")))</f>
        <v/>
      </c>
      <c r="N88" s="8"/>
      <c r="O88" s="8"/>
      <c r="P88" s="8"/>
      <c r="Q88" s="14"/>
      <c r="R88" s="15"/>
      <c r="S88" s="15"/>
      <c r="T88" s="14"/>
      <c r="U88" s="14"/>
      <c r="V88" s="14"/>
      <c r="W88" s="18"/>
      <c r="X88" s="18"/>
      <c r="Y88" s="18"/>
      <c r="Z88" s="18"/>
      <c r="AA88" s="18"/>
      <c r="AB88" s="18"/>
      <c r="AC88" s="8" t="str">
        <f t="shared" si="5"/>
        <v/>
      </c>
      <c r="AD88" s="8"/>
      <c r="AE88" s="8"/>
      <c r="AF88" s="14"/>
      <c r="AG88" s="13"/>
      <c r="AH88" s="14"/>
      <c r="AI88" s="14"/>
      <c r="AJ88" s="8"/>
      <c r="AK88" s="8"/>
      <c r="AL88" s="8"/>
      <c r="AM88" s="8"/>
      <c r="AN88" s="631"/>
      <c r="AO88" s="18"/>
      <c r="AP88" s="18"/>
      <c r="AQ88" s="18"/>
      <c r="AR88" s="18"/>
      <c r="AS88" s="18"/>
      <c r="AU88" s="448"/>
      <c r="AV88" s="448"/>
      <c r="AW88" s="8" t="str">
        <f>IF(C88&gt;0,VLOOKUP(C88,Foundation_Calc!$A$2:$C$986,3,1),
IF(J88&gt;0,VLOOKUP(J88,Foundation_Calc!$A$2:$C$986,3,1),""))</f>
        <v/>
      </c>
      <c r="AX88" s="8" t="str">
        <f>IF(C88&gt;0,VLOOKUP(C88,Foundation_Calc!$E$2:$G$986,3,1),
IF(J88&gt;0,VLOOKUP(J88,Foundation_Calc!$E$2:$G$986,3,1),""))</f>
        <v/>
      </c>
      <c r="AY88" s="631" t="str">
        <f>IF(L88="","",
IF(AX88="PT",VLOOKUP(L88,Foundation_Calc!$K$4:$R$37,VLOOKUP(AW88,Foundation_Calc!$I$2:$J$8,2,FALSE),0),
IF(AX88="K",VLOOKUP(L88,Foundation_Calc!$K$41:$R$74,VLOOKUP(AW88,Foundation_Calc!$I$2:$J$8,2,FALSE),0),"")))</f>
        <v/>
      </c>
      <c r="AZ88" s="631" t="str">
        <f>IF(K88="","",
IF(AX88="PT",VLOOKUP(K88,Foundation_Calc!$K$4:$R$37,VLOOKUP(AW88,Foundation_Calc!$I$2:$J$8,2,FALSE),0),
IF(AX88="K",VLOOKUP(K88,Foundation_Calc!$K$41:$R$74,VLOOKUP(AW88,Foundation_Calc!$I$2:$J$8,2,FALSE),0),"")))</f>
        <v/>
      </c>
      <c r="BA88" s="632" t="str">
        <f t="shared" si="6"/>
        <v/>
      </c>
      <c r="BB88" s="632" t="str">
        <f t="shared" si="7"/>
        <v/>
      </c>
      <c r="BC88" s="632" t="str">
        <f t="shared" si="8"/>
        <v/>
      </c>
      <c r="BD88" s="633" t="str">
        <f>IF(AND(L88="",H88=""),"",
IF(H88="",Pole_Calc!A92,
IF(H88="MP",Pole_Calc!A93,
IF(H88="AnMP",Pole_Calc!A94,
IF(H88="A",Pole_Calc!A95,
IF(H88="S/A",Pole_Calc!A96,
IF(H88="A/S",Pole_Calc!A97,"Poner a mano")))))))</f>
        <v/>
      </c>
      <c r="BE88" s="448" t="s">
        <v>1726</v>
      </c>
      <c r="BF88" s="634"/>
      <c r="BG88" s="634"/>
      <c r="BH88" s="634"/>
      <c r="BI88" s="634"/>
    </row>
    <row r="89" spans="1:61" ht="16.2" customHeight="1">
      <c r="A89" s="12"/>
      <c r="B89" s="446"/>
      <c r="C89" s="89"/>
      <c r="D89" s="13"/>
      <c r="E89" s="14"/>
      <c r="F89" s="14"/>
      <c r="G89" s="15"/>
      <c r="H89" s="8"/>
      <c r="I89" s="8"/>
      <c r="J89" s="89"/>
      <c r="K89" s="8"/>
      <c r="L89" s="8"/>
      <c r="M89" s="8" t="str">
        <f>IF(L89="","",
IF(AX89="PT",VLOOKUP(L89,Foundation_Calc!$V$4:$X$37,VLOOKUP(AX89,Foundation_Calc!$I$10:$J$13,2,FALSE),0),
IF(AX89="K",VLOOKUP(L89,Foundation_Calc!$V$41:$X$74,VLOOKUP(AX89,Foundation_Calc!$I$10:$J$13,2,FALSE),0),"")))</f>
        <v/>
      </c>
      <c r="N89" s="8"/>
      <c r="O89" s="8"/>
      <c r="P89" s="8"/>
      <c r="Q89" s="14"/>
      <c r="R89" s="15"/>
      <c r="S89" s="15"/>
      <c r="T89" s="14"/>
      <c r="U89" s="14"/>
      <c r="V89" s="14"/>
      <c r="W89" s="18"/>
      <c r="X89" s="18"/>
      <c r="Y89" s="18"/>
      <c r="Z89" s="18"/>
      <c r="AA89" s="18"/>
      <c r="AB89" s="18"/>
      <c r="AC89" s="8" t="str">
        <f t="shared" si="5"/>
        <v/>
      </c>
      <c r="AD89" s="8"/>
      <c r="AE89" s="8"/>
      <c r="AF89" s="14"/>
      <c r="AG89" s="13"/>
      <c r="AH89" s="14"/>
      <c r="AI89" s="14"/>
      <c r="AJ89" s="8"/>
      <c r="AK89" s="8"/>
      <c r="AL89" s="8"/>
      <c r="AM89" s="8"/>
      <c r="AN89" s="631"/>
      <c r="AO89" s="18"/>
      <c r="AP89" s="18"/>
      <c r="AQ89" s="18"/>
      <c r="AR89" s="18"/>
      <c r="AS89" s="18"/>
      <c r="AU89" s="448"/>
      <c r="AV89" s="448"/>
      <c r="AW89" s="8" t="str">
        <f>IF(C89&gt;0,VLOOKUP(C89,Foundation_Calc!$A$2:$C$986,3,1),
IF(J89&gt;0,VLOOKUP(J89,Foundation_Calc!$A$2:$C$986,3,1),""))</f>
        <v/>
      </c>
      <c r="AX89" s="8" t="str">
        <f>IF(C89&gt;0,VLOOKUP(C89,Foundation_Calc!$E$2:$G$986,3,1),
IF(J89&gt;0,VLOOKUP(J89,Foundation_Calc!$E$2:$G$986,3,1),""))</f>
        <v/>
      </c>
      <c r="AY89" s="631" t="str">
        <f>IF(L89="","",
IF(AX89="PT",VLOOKUP(L89,Foundation_Calc!$K$4:$R$37,VLOOKUP(AW89,Foundation_Calc!$I$2:$J$8,2,FALSE),0),
IF(AX89="K",VLOOKUP(L89,Foundation_Calc!$K$41:$R$74,VLOOKUP(AW89,Foundation_Calc!$I$2:$J$8,2,FALSE),0),"")))</f>
        <v/>
      </c>
      <c r="AZ89" s="631" t="str">
        <f>IF(K89="","",
IF(AX89="PT",VLOOKUP(K89,Foundation_Calc!$K$4:$R$37,VLOOKUP(AW89,Foundation_Calc!$I$2:$J$8,2,FALSE),0),
IF(AX89="K",VLOOKUP(K89,Foundation_Calc!$K$41:$R$74,VLOOKUP(AW89,Foundation_Calc!$I$2:$J$8,2,FALSE),0),"")))</f>
        <v/>
      </c>
      <c r="BA89" s="632" t="str">
        <f t="shared" si="6"/>
        <v/>
      </c>
      <c r="BB89" s="632" t="str">
        <f t="shared" si="7"/>
        <v/>
      </c>
      <c r="BC89" s="632" t="str">
        <f t="shared" si="8"/>
        <v/>
      </c>
      <c r="BD89" s="633" t="str">
        <f>IF(AND(L89="",H89=""),"",
IF(H89="",Pole_Calc!A93,
IF(H89="MP",Pole_Calc!A94,
IF(H89="AnMP",Pole_Calc!A95,
IF(H89="A",Pole_Calc!A96,
IF(H89="S/A",Pole_Calc!A97,
IF(H89="A/S",Pole_Calc!A98,"Poner a mano")))))))</f>
        <v/>
      </c>
      <c r="BE89" s="448" t="s">
        <v>1726</v>
      </c>
      <c r="BF89" s="635"/>
      <c r="BG89" s="635"/>
      <c r="BH89" s="634"/>
      <c r="BI89" s="635"/>
    </row>
    <row r="90" spans="1:61" ht="16.2" customHeight="1">
      <c r="A90" s="12"/>
      <c r="B90" s="446"/>
      <c r="C90" s="89"/>
      <c r="D90" s="13"/>
      <c r="E90" s="14"/>
      <c r="F90" s="14"/>
      <c r="G90" s="15"/>
      <c r="H90" s="8"/>
      <c r="I90" s="8"/>
      <c r="J90" s="89"/>
      <c r="K90" s="8"/>
      <c r="L90" s="8"/>
      <c r="M90" s="8" t="str">
        <f>IF(L90="","",
IF(AX90="PT",VLOOKUP(L90,Foundation_Calc!$V$4:$X$37,VLOOKUP(AX90,Foundation_Calc!$I$10:$J$13,2,FALSE),0),
IF(AX90="K",VLOOKUP(L90,Foundation_Calc!$V$41:$X$74,VLOOKUP(AX90,Foundation_Calc!$I$10:$J$13,2,FALSE),0),"")))</f>
        <v/>
      </c>
      <c r="N90" s="8"/>
      <c r="O90" s="8"/>
      <c r="P90" s="8"/>
      <c r="Q90" s="14"/>
      <c r="R90" s="15"/>
      <c r="S90" s="15"/>
      <c r="T90" s="14"/>
      <c r="U90" s="14"/>
      <c r="V90" s="14"/>
      <c r="W90" s="18"/>
      <c r="X90" s="18"/>
      <c r="Y90" s="18"/>
      <c r="Z90" s="18"/>
      <c r="AA90" s="18"/>
      <c r="AB90" s="18"/>
      <c r="AC90" s="8" t="str">
        <f t="shared" si="5"/>
        <v/>
      </c>
      <c r="AD90" s="8"/>
      <c r="AE90" s="8"/>
      <c r="AF90" s="14"/>
      <c r="AG90" s="13"/>
      <c r="AH90" s="14"/>
      <c r="AI90" s="14"/>
      <c r="AJ90" s="8"/>
      <c r="AK90" s="8"/>
      <c r="AL90" s="8"/>
      <c r="AM90" s="8"/>
      <c r="AN90" s="631"/>
      <c r="AO90" s="18"/>
      <c r="AP90" s="18"/>
      <c r="AQ90" s="18"/>
      <c r="AR90" s="18"/>
      <c r="AS90" s="18"/>
      <c r="AU90" s="448"/>
      <c r="AV90" s="448"/>
      <c r="AW90" s="8" t="str">
        <f>IF(C90&gt;0,VLOOKUP(C90,Foundation_Calc!$A$2:$C$986,3,1),
IF(J90&gt;0,VLOOKUP(J90,Foundation_Calc!$A$2:$C$986,3,1),""))</f>
        <v/>
      </c>
      <c r="AX90" s="8" t="str">
        <f>IF(C90&gt;0,VLOOKUP(C90,Foundation_Calc!$E$2:$G$986,3,1),
IF(J90&gt;0,VLOOKUP(J90,Foundation_Calc!$E$2:$G$986,3,1),""))</f>
        <v/>
      </c>
      <c r="AY90" s="631" t="str">
        <f>IF(L90="","",
IF(AX90="PT",VLOOKUP(L90,Foundation_Calc!$K$4:$R$37,VLOOKUP(AW90,Foundation_Calc!$I$2:$J$8,2,FALSE),0),
IF(AX90="K",VLOOKUP(L90,Foundation_Calc!$K$41:$R$74,VLOOKUP(AW90,Foundation_Calc!$I$2:$J$8,2,FALSE),0),"")))</f>
        <v/>
      </c>
      <c r="AZ90" s="631" t="str">
        <f>IF(K90="","",
IF(AX90="PT",VLOOKUP(K90,Foundation_Calc!$K$4:$R$37,VLOOKUP(AW90,Foundation_Calc!$I$2:$J$8,2,FALSE),0),
IF(AX90="K",VLOOKUP(K90,Foundation_Calc!$K$41:$R$74,VLOOKUP(AW90,Foundation_Calc!$I$2:$J$8,2,FALSE),0),"")))</f>
        <v/>
      </c>
      <c r="BA90" s="632" t="str">
        <f t="shared" si="6"/>
        <v/>
      </c>
      <c r="BB90" s="632" t="str">
        <f t="shared" si="7"/>
        <v/>
      </c>
      <c r="BC90" s="632" t="str">
        <f t="shared" si="8"/>
        <v/>
      </c>
      <c r="BD90" s="633" t="str">
        <f>IF(AND(L90="",H90=""),"",
IF(H90="",Pole_Calc!A94,
IF(H90="MP",Pole_Calc!A95,
IF(H90="AnMP",Pole_Calc!A96,
IF(H90="A",Pole_Calc!A97,
IF(H90="S/A",Pole_Calc!A98,
IF(H90="A/S",Pole_Calc!A99,"Poner a mano")))))))</f>
        <v/>
      </c>
      <c r="BE90" s="448" t="s">
        <v>1726</v>
      </c>
      <c r="BF90" s="634"/>
      <c r="BG90" s="634"/>
      <c r="BH90" s="634"/>
      <c r="BI90" s="634"/>
    </row>
    <row r="91" spans="1:61" ht="16.2" customHeight="1">
      <c r="A91" s="12"/>
      <c r="B91" s="446"/>
      <c r="C91" s="89"/>
      <c r="D91" s="13"/>
      <c r="E91" s="14"/>
      <c r="F91" s="14"/>
      <c r="G91" s="15"/>
      <c r="H91" s="8"/>
      <c r="I91" s="8"/>
      <c r="J91" s="89"/>
      <c r="K91" s="8"/>
      <c r="L91" s="8"/>
      <c r="M91" s="8" t="str">
        <f>IF(L91="","",
IF(AX91="PT",VLOOKUP(L91,Foundation_Calc!$V$4:$X$37,VLOOKUP(AX91,Foundation_Calc!$I$10:$J$13,2,FALSE),0),
IF(AX91="K",VLOOKUP(L91,Foundation_Calc!$V$41:$X$74,VLOOKUP(AX91,Foundation_Calc!$I$10:$J$13,2,FALSE),0),"")))</f>
        <v/>
      </c>
      <c r="N91" s="8"/>
      <c r="O91" s="8"/>
      <c r="P91" s="8"/>
      <c r="Q91" s="14"/>
      <c r="R91" s="15"/>
      <c r="S91" s="15"/>
      <c r="T91" s="14"/>
      <c r="U91" s="14"/>
      <c r="V91" s="14"/>
      <c r="W91" s="18"/>
      <c r="X91" s="18"/>
      <c r="Y91" s="18"/>
      <c r="Z91" s="18"/>
      <c r="AA91" s="18"/>
      <c r="AB91" s="18"/>
      <c r="AC91" s="8" t="str">
        <f t="shared" si="5"/>
        <v/>
      </c>
      <c r="AD91" s="8"/>
      <c r="AE91" s="8"/>
      <c r="AF91" s="14"/>
      <c r="AG91" s="13"/>
      <c r="AH91" s="14"/>
      <c r="AI91" s="14"/>
      <c r="AJ91" s="8"/>
      <c r="AK91" s="8"/>
      <c r="AL91" s="8"/>
      <c r="AM91" s="8"/>
      <c r="AN91" s="631"/>
      <c r="AO91" s="18"/>
      <c r="AP91" s="18"/>
      <c r="AQ91" s="18"/>
      <c r="AR91" s="18"/>
      <c r="AS91" s="18"/>
      <c r="AU91" s="448"/>
      <c r="AV91" s="448"/>
      <c r="AW91" s="8" t="str">
        <f>IF(C91&gt;0,VLOOKUP(C91,Foundation_Calc!$A$2:$C$986,3,1),
IF(J91&gt;0,VLOOKUP(J91,Foundation_Calc!$A$2:$C$986,3,1),""))</f>
        <v/>
      </c>
      <c r="AX91" s="8" t="str">
        <f>IF(C91&gt;0,VLOOKUP(C91,Foundation_Calc!$E$2:$G$986,3,1),
IF(J91&gt;0,VLOOKUP(J91,Foundation_Calc!$E$2:$G$986,3,1),""))</f>
        <v/>
      </c>
      <c r="AY91" s="631" t="str">
        <f>IF(L91="","",
IF(AX91="PT",VLOOKUP(L91,Foundation_Calc!$K$4:$R$37,VLOOKUP(AW91,Foundation_Calc!$I$2:$J$8,2,FALSE),0),
IF(AX91="K",VLOOKUP(L91,Foundation_Calc!$K$41:$R$74,VLOOKUP(AW91,Foundation_Calc!$I$2:$J$8,2,FALSE),0),"")))</f>
        <v/>
      </c>
      <c r="AZ91" s="631" t="str">
        <f>IF(K91="","",
IF(AX91="PT",VLOOKUP(K91,Foundation_Calc!$K$4:$R$37,VLOOKUP(AW91,Foundation_Calc!$I$2:$J$8,2,FALSE),0),
IF(AX91="K",VLOOKUP(K91,Foundation_Calc!$K$41:$R$74,VLOOKUP(AW91,Foundation_Calc!$I$2:$J$8,2,FALSE),0),"")))</f>
        <v/>
      </c>
      <c r="BA91" s="632" t="str">
        <f t="shared" si="6"/>
        <v/>
      </c>
      <c r="BB91" s="632" t="str">
        <f t="shared" si="7"/>
        <v/>
      </c>
      <c r="BC91" s="632" t="str">
        <f t="shared" si="8"/>
        <v/>
      </c>
      <c r="BD91" s="633" t="str">
        <f>IF(AND(L91="",H91=""),"",
IF(H91="",Pole_Calc!A95,
IF(H91="MP",Pole_Calc!A96,
IF(H91="AnMP",Pole_Calc!A97,
IF(H91="A",Pole_Calc!A98,
IF(H91="S/A",Pole_Calc!A99,
IF(H91="A/S",Pole_Calc!A100,"Poner a mano")))))))</f>
        <v/>
      </c>
      <c r="BE91" s="448" t="s">
        <v>1726</v>
      </c>
      <c r="BF91" s="635"/>
      <c r="BG91" s="635"/>
      <c r="BH91" s="634"/>
      <c r="BI91" s="635"/>
    </row>
    <row r="92" spans="1:61" ht="16.2" customHeight="1">
      <c r="A92" s="12"/>
      <c r="B92" s="446"/>
      <c r="C92" s="89"/>
      <c r="D92" s="13"/>
      <c r="E92" s="14"/>
      <c r="F92" s="14"/>
      <c r="G92" s="15"/>
      <c r="H92" s="8"/>
      <c r="I92" s="8"/>
      <c r="J92" s="89"/>
      <c r="K92" s="8"/>
      <c r="L92" s="8"/>
      <c r="M92" s="8" t="str">
        <f>IF(L92="","",
IF(AX92="PT",VLOOKUP(L92,Foundation_Calc!$V$4:$X$37,VLOOKUP(AX92,Foundation_Calc!$I$10:$J$13,2,FALSE),0),
IF(AX92="K",VLOOKUP(L92,Foundation_Calc!$V$41:$X$74,VLOOKUP(AX92,Foundation_Calc!$I$10:$J$13,2,FALSE),0),"")))</f>
        <v/>
      </c>
      <c r="N92" s="8"/>
      <c r="O92" s="8"/>
      <c r="P92" s="8"/>
      <c r="Q92" s="14"/>
      <c r="R92" s="15"/>
      <c r="S92" s="15"/>
      <c r="T92" s="14"/>
      <c r="U92" s="14"/>
      <c r="V92" s="14"/>
      <c r="W92" s="18"/>
      <c r="X92" s="18"/>
      <c r="Y92" s="18"/>
      <c r="Z92" s="18"/>
      <c r="AA92" s="18"/>
      <c r="AB92" s="18"/>
      <c r="AC92" s="8" t="str">
        <f t="shared" si="5"/>
        <v/>
      </c>
      <c r="AD92" s="8"/>
      <c r="AE92" s="8"/>
      <c r="AF92" s="14"/>
      <c r="AG92" s="13"/>
      <c r="AH92" s="14"/>
      <c r="AI92" s="14"/>
      <c r="AJ92" s="8"/>
      <c r="AK92" s="8"/>
      <c r="AL92" s="8"/>
      <c r="AM92" s="8"/>
      <c r="AN92" s="631"/>
      <c r="AO92" s="18"/>
      <c r="AP92" s="18"/>
      <c r="AQ92" s="18"/>
      <c r="AR92" s="18"/>
      <c r="AS92" s="18"/>
      <c r="AU92" s="448"/>
      <c r="AV92" s="448"/>
      <c r="AW92" s="8" t="str">
        <f>IF(C92&gt;0,VLOOKUP(C92,Foundation_Calc!$A$2:$C$986,3,1),
IF(J92&gt;0,VLOOKUP(J92,Foundation_Calc!$A$2:$C$986,3,1),""))</f>
        <v/>
      </c>
      <c r="AX92" s="8" t="str">
        <f>IF(C92&gt;0,VLOOKUP(C92,Foundation_Calc!$E$2:$G$986,3,1),
IF(J92&gt;0,VLOOKUP(J92,Foundation_Calc!$E$2:$G$986,3,1),""))</f>
        <v/>
      </c>
      <c r="AY92" s="631" t="str">
        <f>IF(L92="","",
IF(AX92="PT",VLOOKUP(L92,Foundation_Calc!$K$4:$R$37,VLOOKUP(AW92,Foundation_Calc!$I$2:$J$8,2,FALSE),0),
IF(AX92="K",VLOOKUP(L92,Foundation_Calc!$K$41:$R$74,VLOOKUP(AW92,Foundation_Calc!$I$2:$J$8,2,FALSE),0),"")))</f>
        <v/>
      </c>
      <c r="AZ92" s="631" t="str">
        <f>IF(K92="","",
IF(AX92="PT",VLOOKUP(K92,Foundation_Calc!$K$4:$R$37,VLOOKUP(AW92,Foundation_Calc!$I$2:$J$8,2,FALSE),0),
IF(AX92="K",VLOOKUP(K92,Foundation_Calc!$K$41:$R$74,VLOOKUP(AW92,Foundation_Calc!$I$2:$J$8,2,FALSE),0),"")))</f>
        <v/>
      </c>
      <c r="BA92" s="632" t="str">
        <f t="shared" si="6"/>
        <v/>
      </c>
      <c r="BB92" s="632" t="str">
        <f t="shared" si="7"/>
        <v/>
      </c>
      <c r="BC92" s="632" t="str">
        <f t="shared" si="8"/>
        <v/>
      </c>
      <c r="BD92" s="633" t="str">
        <f>IF(AND(L92="",H92=""),"",
IF(H92="",Pole_Calc!A96,
IF(H92="MP",Pole_Calc!A97,
IF(H92="AnMP",Pole_Calc!A98,
IF(H92="A",Pole_Calc!A99,
IF(H92="S/A",Pole_Calc!A100,
IF(H92="A/S",Pole_Calc!A101,"Poner a mano")))))))</f>
        <v/>
      </c>
      <c r="BE92" s="448" t="s">
        <v>1726</v>
      </c>
      <c r="BF92" s="634"/>
      <c r="BG92" s="634"/>
      <c r="BH92" s="634"/>
      <c r="BI92" s="634"/>
    </row>
    <row r="93" spans="1:61" ht="16.2" customHeight="1">
      <c r="A93" s="12"/>
      <c r="B93" s="446"/>
      <c r="C93" s="89"/>
      <c r="D93" s="13"/>
      <c r="E93" s="14"/>
      <c r="F93" s="14"/>
      <c r="G93" s="15"/>
      <c r="H93" s="8"/>
      <c r="I93" s="8"/>
      <c r="J93" s="89"/>
      <c r="K93" s="8"/>
      <c r="L93" s="8"/>
      <c r="M93" s="8" t="str">
        <f>IF(L93="","",
IF(AX93="PT",VLOOKUP(L93,Foundation_Calc!$V$4:$X$37,VLOOKUP(AX93,Foundation_Calc!$I$10:$J$13,2,FALSE),0),
IF(AX93="K",VLOOKUP(L93,Foundation_Calc!$V$41:$X$74,VLOOKUP(AX93,Foundation_Calc!$I$10:$J$13,2,FALSE),0),"")))</f>
        <v/>
      </c>
      <c r="N93" s="8"/>
      <c r="O93" s="8"/>
      <c r="P93" s="8"/>
      <c r="Q93" s="14"/>
      <c r="R93" s="15"/>
      <c r="S93" s="15"/>
      <c r="T93" s="14"/>
      <c r="U93" s="14"/>
      <c r="V93" s="14"/>
      <c r="W93" s="18"/>
      <c r="X93" s="18"/>
      <c r="Y93" s="18"/>
      <c r="Z93" s="18"/>
      <c r="AA93" s="18"/>
      <c r="AB93" s="18"/>
      <c r="AC93" s="8" t="str">
        <f t="shared" si="5"/>
        <v/>
      </c>
      <c r="AD93" s="8"/>
      <c r="AE93" s="8"/>
      <c r="AF93" s="14"/>
      <c r="AG93" s="13"/>
      <c r="AH93" s="14"/>
      <c r="AI93" s="14"/>
      <c r="AJ93" s="8"/>
      <c r="AK93" s="8"/>
      <c r="AL93" s="8"/>
      <c r="AM93" s="8"/>
      <c r="AN93" s="631"/>
      <c r="AO93" s="18"/>
      <c r="AP93" s="18"/>
      <c r="AQ93" s="18"/>
      <c r="AR93" s="18"/>
      <c r="AS93" s="18"/>
      <c r="AU93" s="448"/>
      <c r="AV93" s="448"/>
      <c r="AW93" s="8" t="str">
        <f>IF(C93&gt;0,VLOOKUP(C93,Foundation_Calc!$A$2:$C$986,3,1),
IF(J93&gt;0,VLOOKUP(J93,Foundation_Calc!$A$2:$C$986,3,1),""))</f>
        <v/>
      </c>
      <c r="AX93" s="8" t="str">
        <f>IF(C93&gt;0,VLOOKUP(C93,Foundation_Calc!$E$2:$G$986,3,1),
IF(J93&gt;0,VLOOKUP(J93,Foundation_Calc!$E$2:$G$986,3,1),""))</f>
        <v/>
      </c>
      <c r="AY93" s="631" t="str">
        <f>IF(L93="","",
IF(AX93="PT",VLOOKUP(L93,Foundation_Calc!$K$4:$R$37,VLOOKUP(AW93,Foundation_Calc!$I$2:$J$8,2,FALSE),0),
IF(AX93="K",VLOOKUP(L93,Foundation_Calc!$K$41:$R$74,VLOOKUP(AW93,Foundation_Calc!$I$2:$J$8,2,FALSE),0),"")))</f>
        <v/>
      </c>
      <c r="AZ93" s="631" t="str">
        <f>IF(K93="","",
IF(AX93="PT",VLOOKUP(K93,Foundation_Calc!$K$4:$R$37,VLOOKUP(AW93,Foundation_Calc!$I$2:$J$8,2,FALSE),0),
IF(AX93="K",VLOOKUP(K93,Foundation_Calc!$K$41:$R$74,VLOOKUP(AW93,Foundation_Calc!$I$2:$J$8,2,FALSE),0),"")))</f>
        <v/>
      </c>
      <c r="BA93" s="632" t="str">
        <f t="shared" si="6"/>
        <v/>
      </c>
      <c r="BB93" s="632" t="str">
        <f t="shared" si="7"/>
        <v/>
      </c>
      <c r="BC93" s="632" t="str">
        <f t="shared" si="8"/>
        <v/>
      </c>
      <c r="BD93" s="633" t="str">
        <f>IF(AND(L93="",H93=""),"",
IF(H93="",Pole_Calc!A97,
IF(H93="MP",Pole_Calc!A98,
IF(H93="AnMP",Pole_Calc!A99,
IF(H93="A",Pole_Calc!A100,
IF(H93="S/A",Pole_Calc!A101,
IF(H93="A/S",Pole_Calc!A102,"Poner a mano")))))))</f>
        <v/>
      </c>
      <c r="BE93" s="448" t="s">
        <v>1726</v>
      </c>
      <c r="BF93" s="635"/>
      <c r="BG93" s="635"/>
      <c r="BH93" s="634"/>
      <c r="BI93" s="635"/>
    </row>
    <row r="94" spans="1:61" ht="16.2" customHeight="1">
      <c r="A94" s="12"/>
      <c r="B94" s="446"/>
      <c r="C94" s="89"/>
      <c r="D94" s="13"/>
      <c r="E94" s="14"/>
      <c r="F94" s="14"/>
      <c r="G94" s="15"/>
      <c r="H94" s="8"/>
      <c r="I94" s="8"/>
      <c r="J94" s="89"/>
      <c r="K94" s="8"/>
      <c r="L94" s="8"/>
      <c r="M94" s="8" t="str">
        <f>IF(L94="","",
IF(AX94="PT",VLOOKUP(L94,Foundation_Calc!$V$4:$X$37,VLOOKUP(AX94,Foundation_Calc!$I$10:$J$13,2,FALSE),0),
IF(AX94="K",VLOOKUP(L94,Foundation_Calc!$V$41:$X$74,VLOOKUP(AX94,Foundation_Calc!$I$10:$J$13,2,FALSE),0),"")))</f>
        <v/>
      </c>
      <c r="N94" s="8"/>
      <c r="O94" s="8"/>
      <c r="P94" s="8"/>
      <c r="Q94" s="14"/>
      <c r="R94" s="15"/>
      <c r="S94" s="15"/>
      <c r="T94" s="14"/>
      <c r="U94" s="14"/>
      <c r="V94" s="14"/>
      <c r="W94" s="18"/>
      <c r="X94" s="18"/>
      <c r="Y94" s="18"/>
      <c r="Z94" s="18"/>
      <c r="AA94" s="18"/>
      <c r="AB94" s="18"/>
      <c r="AC94" s="8" t="str">
        <f t="shared" si="5"/>
        <v/>
      </c>
      <c r="AD94" s="8"/>
      <c r="AE94" s="8"/>
      <c r="AF94" s="14"/>
      <c r="AG94" s="13"/>
      <c r="AH94" s="14"/>
      <c r="AI94" s="14"/>
      <c r="AJ94" s="8"/>
      <c r="AK94" s="8"/>
      <c r="AL94" s="8"/>
      <c r="AM94" s="8"/>
      <c r="AN94" s="631"/>
      <c r="AO94" s="18"/>
      <c r="AP94" s="18"/>
      <c r="AQ94" s="18"/>
      <c r="AR94" s="18"/>
      <c r="AS94" s="18"/>
      <c r="AU94" s="448"/>
      <c r="AV94" s="448"/>
      <c r="AW94" s="8" t="str">
        <f>IF(C94&gt;0,VLOOKUP(C94,Foundation_Calc!$A$2:$C$986,3,1),
IF(J94&gt;0,VLOOKUP(J94,Foundation_Calc!$A$2:$C$986,3,1),""))</f>
        <v/>
      </c>
      <c r="AX94" s="8" t="str">
        <f>IF(C94&gt;0,VLOOKUP(C94,Foundation_Calc!$E$2:$G$986,3,1),
IF(J94&gt;0,VLOOKUP(J94,Foundation_Calc!$E$2:$G$986,3,1),""))</f>
        <v/>
      </c>
      <c r="AY94" s="631" t="str">
        <f>IF(L94="","",
IF(AX94="PT",VLOOKUP(L94,Foundation_Calc!$K$4:$R$37,VLOOKUP(AW94,Foundation_Calc!$I$2:$J$8,2,FALSE),0),
IF(AX94="K",VLOOKUP(L94,Foundation_Calc!$K$41:$R$74,VLOOKUP(AW94,Foundation_Calc!$I$2:$J$8,2,FALSE),0),"")))</f>
        <v/>
      </c>
      <c r="AZ94" s="631" t="str">
        <f>IF(K94="","",
IF(AX94="PT",VLOOKUP(K94,Foundation_Calc!$K$4:$R$37,VLOOKUP(AW94,Foundation_Calc!$I$2:$J$8,2,FALSE),0),
IF(AX94="K",VLOOKUP(K94,Foundation_Calc!$K$41:$R$74,VLOOKUP(AW94,Foundation_Calc!$I$2:$J$8,2,FALSE),0),"")))</f>
        <v/>
      </c>
      <c r="BA94" s="632" t="str">
        <f t="shared" si="6"/>
        <v/>
      </c>
      <c r="BB94" s="632" t="str">
        <f t="shared" si="7"/>
        <v/>
      </c>
      <c r="BC94" s="632" t="str">
        <f t="shared" si="8"/>
        <v/>
      </c>
      <c r="BD94" s="633" t="str">
        <f>IF(AND(L94="",H94=""),"",
IF(H94="",Pole_Calc!A98,
IF(H94="MP",Pole_Calc!A99,
IF(H94="AnMP",Pole_Calc!A100,
IF(H94="A",Pole_Calc!A101,
IF(H94="S/A",Pole_Calc!A102,
IF(H94="A/S",Pole_Calc!A103,"Poner a mano")))))))</f>
        <v/>
      </c>
      <c r="BE94" s="448" t="s">
        <v>1726</v>
      </c>
      <c r="BF94" s="634"/>
      <c r="BG94" s="634"/>
      <c r="BH94" s="634"/>
      <c r="BI94" s="634"/>
    </row>
    <row r="95" spans="1:61" ht="16.2" customHeight="1">
      <c r="A95" s="12"/>
      <c r="B95" s="446"/>
      <c r="C95" s="89"/>
      <c r="D95" s="13"/>
      <c r="E95" s="14"/>
      <c r="F95" s="14"/>
      <c r="G95" s="15"/>
      <c r="H95" s="8"/>
      <c r="I95" s="8"/>
      <c r="J95" s="89"/>
      <c r="K95" s="8"/>
      <c r="L95" s="8"/>
      <c r="M95" s="8" t="str">
        <f>IF(L95="","",
IF(AX95="PT",VLOOKUP(L95,Foundation_Calc!$V$4:$X$37,VLOOKUP(AX95,Foundation_Calc!$I$10:$J$13,2,FALSE),0),
IF(AX95="K",VLOOKUP(L95,Foundation_Calc!$V$41:$X$74,VLOOKUP(AX95,Foundation_Calc!$I$10:$J$13,2,FALSE),0),"")))</f>
        <v/>
      </c>
      <c r="N95" s="8"/>
      <c r="O95" s="8"/>
      <c r="P95" s="8"/>
      <c r="Q95" s="14"/>
      <c r="R95" s="15"/>
      <c r="S95" s="15"/>
      <c r="T95" s="14"/>
      <c r="U95" s="14"/>
      <c r="V95" s="14"/>
      <c r="W95" s="18"/>
      <c r="X95" s="18"/>
      <c r="Y95" s="18"/>
      <c r="Z95" s="18"/>
      <c r="AA95" s="18"/>
      <c r="AB95" s="18"/>
      <c r="AC95" s="8" t="str">
        <f t="shared" si="5"/>
        <v/>
      </c>
      <c r="AD95" s="8"/>
      <c r="AE95" s="8"/>
      <c r="AF95" s="14"/>
      <c r="AG95" s="13"/>
      <c r="AH95" s="14"/>
      <c r="AI95" s="14"/>
      <c r="AJ95" s="8"/>
      <c r="AK95" s="8"/>
      <c r="AL95" s="8"/>
      <c r="AM95" s="8"/>
      <c r="AN95" s="631"/>
      <c r="AO95" s="18"/>
      <c r="AP95" s="18"/>
      <c r="AQ95" s="18"/>
      <c r="AR95" s="18"/>
      <c r="AS95" s="18"/>
      <c r="AU95" s="448"/>
      <c r="AV95" s="448"/>
      <c r="AW95" s="8" t="str">
        <f>IF(C95&gt;0,VLOOKUP(C95,Foundation_Calc!$A$2:$C$986,3,1),
IF(J95&gt;0,VLOOKUP(J95,Foundation_Calc!$A$2:$C$986,3,1),""))</f>
        <v/>
      </c>
      <c r="AX95" s="8" t="str">
        <f>IF(C95&gt;0,VLOOKUP(C95,Foundation_Calc!$E$2:$G$986,3,1),
IF(J95&gt;0,VLOOKUP(J95,Foundation_Calc!$E$2:$G$986,3,1),""))</f>
        <v/>
      </c>
      <c r="AY95" s="631" t="str">
        <f>IF(L95="","",
IF(AX95="PT",VLOOKUP(L95,Foundation_Calc!$K$4:$R$37,VLOOKUP(AW95,Foundation_Calc!$I$2:$J$8,2,FALSE),0),
IF(AX95="K",VLOOKUP(L95,Foundation_Calc!$K$41:$R$74,VLOOKUP(AW95,Foundation_Calc!$I$2:$J$8,2,FALSE),0),"")))</f>
        <v/>
      </c>
      <c r="AZ95" s="631" t="str">
        <f>IF(K95="","",
IF(AX95="PT",VLOOKUP(K95,Foundation_Calc!$K$4:$R$37,VLOOKUP(AW95,Foundation_Calc!$I$2:$J$8,2,FALSE),0),
IF(AX95="K",VLOOKUP(K95,Foundation_Calc!$K$41:$R$74,VLOOKUP(AW95,Foundation_Calc!$I$2:$J$8,2,FALSE),0),"")))</f>
        <v/>
      </c>
      <c r="BA95" s="632" t="str">
        <f t="shared" si="6"/>
        <v/>
      </c>
      <c r="BB95" s="632" t="str">
        <f t="shared" si="7"/>
        <v/>
      </c>
      <c r="BC95" s="632" t="str">
        <f t="shared" si="8"/>
        <v/>
      </c>
      <c r="BD95" s="633" t="str">
        <f>IF(AND(L95="",H95=""),"",
IF(H95="",Pole_Calc!A99,
IF(H95="MP",Pole_Calc!A100,
IF(H95="AnMP",Pole_Calc!A101,
IF(H95="A",Pole_Calc!A102,
IF(H95="S/A",Pole_Calc!A103,
IF(H95="A/S",Pole_Calc!A104,"Poner a mano")))))))</f>
        <v/>
      </c>
      <c r="BE95" s="448" t="s">
        <v>1726</v>
      </c>
      <c r="BF95" s="635"/>
      <c r="BG95" s="635"/>
      <c r="BH95" s="634"/>
      <c r="BI95" s="635"/>
    </row>
    <row r="96" spans="1:61" ht="16.2" customHeight="1">
      <c r="A96" s="12"/>
      <c r="B96" s="446"/>
      <c r="C96" s="89"/>
      <c r="D96" s="13"/>
      <c r="E96" s="14"/>
      <c r="F96" s="14"/>
      <c r="G96" s="15"/>
      <c r="H96" s="8"/>
      <c r="I96" s="8"/>
      <c r="J96" s="89"/>
      <c r="K96" s="8"/>
      <c r="L96" s="8"/>
      <c r="M96" s="8" t="str">
        <f>IF(L96="","",
IF(AX96="PT",VLOOKUP(L96,Foundation_Calc!$V$4:$X$37,VLOOKUP(AX96,Foundation_Calc!$I$10:$J$13,2,FALSE),0),
IF(AX96="K",VLOOKUP(L96,Foundation_Calc!$V$41:$X$74,VLOOKUP(AX96,Foundation_Calc!$I$10:$J$13,2,FALSE),0),"")))</f>
        <v/>
      </c>
      <c r="N96" s="8"/>
      <c r="O96" s="8"/>
      <c r="P96" s="8"/>
      <c r="Q96" s="14"/>
      <c r="R96" s="15"/>
      <c r="S96" s="15"/>
      <c r="T96" s="14"/>
      <c r="U96" s="14"/>
      <c r="V96" s="14"/>
      <c r="W96" s="18"/>
      <c r="X96" s="18"/>
      <c r="Y96" s="18"/>
      <c r="Z96" s="18"/>
      <c r="AA96" s="18"/>
      <c r="AB96" s="18"/>
      <c r="AC96" s="8" t="str">
        <f t="shared" si="5"/>
        <v/>
      </c>
      <c r="AD96" s="8"/>
      <c r="AE96" s="8"/>
      <c r="AF96" s="14"/>
      <c r="AG96" s="13"/>
      <c r="AH96" s="14"/>
      <c r="AI96" s="14"/>
      <c r="AJ96" s="8"/>
      <c r="AK96" s="8"/>
      <c r="AL96" s="8"/>
      <c r="AM96" s="8"/>
      <c r="AN96" s="631"/>
      <c r="AO96" s="18"/>
      <c r="AP96" s="18"/>
      <c r="AQ96" s="18"/>
      <c r="AR96" s="18"/>
      <c r="AS96" s="18"/>
      <c r="AU96" s="448"/>
      <c r="AV96" s="448"/>
      <c r="AW96" s="8" t="str">
        <f>IF(C96&gt;0,VLOOKUP(C96,Foundation_Calc!$A$2:$C$986,3,1),
IF(J96&gt;0,VLOOKUP(J96,Foundation_Calc!$A$2:$C$986,3,1),""))</f>
        <v/>
      </c>
      <c r="AX96" s="8" t="str">
        <f>IF(C96&gt;0,VLOOKUP(C96,Foundation_Calc!$E$2:$G$986,3,1),
IF(J96&gt;0,VLOOKUP(J96,Foundation_Calc!$E$2:$G$986,3,1),""))</f>
        <v/>
      </c>
      <c r="AY96" s="631" t="str">
        <f>IF(L96="","",
IF(AX96="PT",VLOOKUP(L96,Foundation_Calc!$K$4:$R$37,VLOOKUP(AW96,Foundation_Calc!$I$2:$J$8,2,FALSE),0),
IF(AX96="K",VLOOKUP(L96,Foundation_Calc!$K$41:$R$74,VLOOKUP(AW96,Foundation_Calc!$I$2:$J$8,2,FALSE),0),"")))</f>
        <v/>
      </c>
      <c r="AZ96" s="631" t="str">
        <f>IF(K96="","",
IF(AX96="PT",VLOOKUP(K96,Foundation_Calc!$K$4:$R$37,VLOOKUP(AW96,Foundation_Calc!$I$2:$J$8,2,FALSE),0),
IF(AX96="K",VLOOKUP(K96,Foundation_Calc!$K$41:$R$74,VLOOKUP(AW96,Foundation_Calc!$I$2:$J$8,2,FALSE),0),"")))</f>
        <v/>
      </c>
      <c r="BA96" s="632" t="str">
        <f t="shared" si="6"/>
        <v/>
      </c>
      <c r="BB96" s="632" t="str">
        <f t="shared" si="7"/>
        <v/>
      </c>
      <c r="BC96" s="632" t="str">
        <f t="shared" si="8"/>
        <v/>
      </c>
      <c r="BD96" s="633" t="str">
        <f>IF(AND(L96="",H96=""),"",
IF(H96="",Pole_Calc!A100,
IF(H96="MP",Pole_Calc!A101,
IF(H96="AnMP",Pole_Calc!A102,
IF(H96="A",Pole_Calc!A103,
IF(H96="S/A",Pole_Calc!A104,
IF(H96="A/S",Pole_Calc!A105,"Poner a mano")))))))</f>
        <v/>
      </c>
      <c r="BE96" s="448" t="s">
        <v>1726</v>
      </c>
      <c r="BF96" s="634"/>
      <c r="BG96" s="634"/>
      <c r="BH96" s="634"/>
      <c r="BI96" s="634"/>
    </row>
    <row r="97" spans="1:61" ht="16.2" customHeight="1">
      <c r="A97" s="12"/>
      <c r="B97" s="446"/>
      <c r="C97" s="89"/>
      <c r="D97" s="13"/>
      <c r="E97" s="14"/>
      <c r="F97" s="14"/>
      <c r="G97" s="15"/>
      <c r="H97" s="8"/>
      <c r="I97" s="8"/>
      <c r="J97" s="89"/>
      <c r="K97" s="8"/>
      <c r="L97" s="8"/>
      <c r="M97" s="8" t="str">
        <f>IF(L97="","",
IF(AX97="PT",VLOOKUP(L97,Foundation_Calc!$V$4:$X$37,VLOOKUP(AX97,Foundation_Calc!$I$10:$J$13,2,FALSE),0),
IF(AX97="K",VLOOKUP(L97,Foundation_Calc!$V$41:$X$74,VLOOKUP(AX97,Foundation_Calc!$I$10:$J$13,2,FALSE),0),"")))</f>
        <v/>
      </c>
      <c r="N97" s="8"/>
      <c r="O97" s="8"/>
      <c r="P97" s="8"/>
      <c r="Q97" s="14"/>
      <c r="R97" s="15"/>
      <c r="S97" s="15"/>
      <c r="T97" s="14"/>
      <c r="U97" s="14"/>
      <c r="V97" s="14"/>
      <c r="W97" s="18"/>
      <c r="X97" s="18"/>
      <c r="Y97" s="18"/>
      <c r="Z97" s="18"/>
      <c r="AA97" s="18"/>
      <c r="AB97" s="18"/>
      <c r="AC97" s="8" t="str">
        <f t="shared" si="5"/>
        <v/>
      </c>
      <c r="AD97" s="8"/>
      <c r="AE97" s="8"/>
      <c r="AF97" s="14"/>
      <c r="AG97" s="13"/>
      <c r="AH97" s="14"/>
      <c r="AI97" s="14"/>
      <c r="AJ97" s="8"/>
      <c r="AK97" s="8"/>
      <c r="AL97" s="8"/>
      <c r="AM97" s="8"/>
      <c r="AN97" s="631"/>
      <c r="AO97" s="18"/>
      <c r="AP97" s="18"/>
      <c r="AQ97" s="18"/>
      <c r="AR97" s="18"/>
      <c r="AS97" s="18"/>
      <c r="AU97" s="448"/>
      <c r="AV97" s="448"/>
      <c r="AW97" s="8" t="str">
        <f>IF(C97&gt;0,VLOOKUP(C97,Foundation_Calc!$A$2:$C$986,3,1),
IF(J97&gt;0,VLOOKUP(J97,Foundation_Calc!$A$2:$C$986,3,1),""))</f>
        <v/>
      </c>
      <c r="AX97" s="8" t="str">
        <f>IF(C97&gt;0,VLOOKUP(C97,Foundation_Calc!$E$2:$G$986,3,1),
IF(J97&gt;0,VLOOKUP(J97,Foundation_Calc!$E$2:$G$986,3,1),""))</f>
        <v/>
      </c>
      <c r="AY97" s="631" t="str">
        <f>IF(L97="","",
IF(AX97="PT",VLOOKUP(L97,Foundation_Calc!$K$4:$R$37,VLOOKUP(AW97,Foundation_Calc!$I$2:$J$8,2,FALSE),0),
IF(AX97="K",VLOOKUP(L97,Foundation_Calc!$K$41:$R$74,VLOOKUP(AW97,Foundation_Calc!$I$2:$J$8,2,FALSE),0),"")))</f>
        <v/>
      </c>
      <c r="AZ97" s="631" t="str">
        <f>IF(K97="","",
IF(AX97="PT",VLOOKUP(K97,Foundation_Calc!$K$4:$R$37,VLOOKUP(AW97,Foundation_Calc!$I$2:$J$8,2,FALSE),0),
IF(AX97="K",VLOOKUP(K97,Foundation_Calc!$K$41:$R$74,VLOOKUP(AW97,Foundation_Calc!$I$2:$J$8,2,FALSE),0),"")))</f>
        <v/>
      </c>
      <c r="BA97" s="632" t="str">
        <f t="shared" si="6"/>
        <v/>
      </c>
      <c r="BB97" s="632" t="str">
        <f t="shared" si="7"/>
        <v/>
      </c>
      <c r="BC97" s="632" t="str">
        <f t="shared" si="8"/>
        <v/>
      </c>
      <c r="BD97" s="633" t="str">
        <f>IF(AND(L97="",H97=""),"",
IF(H97="",Pole_Calc!A101,
IF(H97="MP",Pole_Calc!A102,
IF(H97="AnMP",Pole_Calc!A103,
IF(H97="A",Pole_Calc!A104,
IF(H97="S/A",Pole_Calc!A105,
IF(H97="A/S",Pole_Calc!A106,"Poner a mano")))))))</f>
        <v/>
      </c>
      <c r="BE97" s="448" t="s">
        <v>1726</v>
      </c>
      <c r="BF97" s="635"/>
      <c r="BG97" s="635"/>
      <c r="BH97" s="634"/>
      <c r="BI97" s="635"/>
    </row>
    <row r="98" spans="1:61" ht="16.2" customHeight="1">
      <c r="A98" s="12"/>
      <c r="B98" s="446"/>
      <c r="C98" s="89"/>
      <c r="D98" s="13"/>
      <c r="E98" s="14"/>
      <c r="F98" s="14"/>
      <c r="G98" s="15"/>
      <c r="H98" s="8"/>
      <c r="I98" s="8"/>
      <c r="J98" s="89"/>
      <c r="K98" s="8"/>
      <c r="L98" s="8"/>
      <c r="M98" s="8" t="str">
        <f>IF(L98="","",
IF(AX98="PT",VLOOKUP(L98,Foundation_Calc!$V$4:$X$37,VLOOKUP(AX98,Foundation_Calc!$I$10:$J$13,2,FALSE),0),
IF(AX98="K",VLOOKUP(L98,Foundation_Calc!$V$41:$X$74,VLOOKUP(AX98,Foundation_Calc!$I$10:$J$13,2,FALSE),0),"")))</f>
        <v/>
      </c>
      <c r="N98" s="8"/>
      <c r="O98" s="8"/>
      <c r="P98" s="8"/>
      <c r="Q98" s="14"/>
      <c r="R98" s="15"/>
      <c r="S98" s="15"/>
      <c r="T98" s="14"/>
      <c r="U98" s="14"/>
      <c r="V98" s="14"/>
      <c r="W98" s="18"/>
      <c r="X98" s="18"/>
      <c r="Y98" s="18"/>
      <c r="Z98" s="18"/>
      <c r="AA98" s="18"/>
      <c r="AB98" s="18"/>
      <c r="AC98" s="8" t="str">
        <f t="shared" si="5"/>
        <v/>
      </c>
      <c r="AD98" s="8"/>
      <c r="AE98" s="8"/>
      <c r="AF98" s="14"/>
      <c r="AG98" s="13"/>
      <c r="AH98" s="14"/>
      <c r="AI98" s="14"/>
      <c r="AJ98" s="8"/>
      <c r="AK98" s="8"/>
      <c r="AL98" s="8"/>
      <c r="AM98" s="8"/>
      <c r="AN98" s="631"/>
      <c r="AO98" s="18"/>
      <c r="AP98" s="18"/>
      <c r="AQ98" s="18"/>
      <c r="AR98" s="18"/>
      <c r="AS98" s="18"/>
      <c r="AU98" s="448"/>
      <c r="AV98" s="448"/>
      <c r="AW98" s="8" t="str">
        <f>IF(C98&gt;0,VLOOKUP(C98,Foundation_Calc!$A$2:$C$986,3,1),
IF(J98&gt;0,VLOOKUP(J98,Foundation_Calc!$A$2:$C$986,3,1),""))</f>
        <v/>
      </c>
      <c r="AX98" s="8" t="str">
        <f>IF(C98&gt;0,VLOOKUP(C98,Foundation_Calc!$E$2:$G$986,3,1),
IF(J98&gt;0,VLOOKUP(J98,Foundation_Calc!$E$2:$G$986,3,1),""))</f>
        <v/>
      </c>
      <c r="AY98" s="631" t="str">
        <f>IF(L98="","",
IF(AX98="PT",VLOOKUP(L98,Foundation_Calc!$K$4:$R$37,VLOOKUP(AW98,Foundation_Calc!$I$2:$J$8,2,FALSE),0),
IF(AX98="K",VLOOKUP(L98,Foundation_Calc!$K$41:$R$74,VLOOKUP(AW98,Foundation_Calc!$I$2:$J$8,2,FALSE),0),"")))</f>
        <v/>
      </c>
      <c r="AZ98" s="631" t="str">
        <f>IF(K98="","",
IF(AX98="PT",VLOOKUP(K98,Foundation_Calc!$K$4:$R$37,VLOOKUP(AW98,Foundation_Calc!$I$2:$J$8,2,FALSE),0),
IF(AX98="K",VLOOKUP(K98,Foundation_Calc!$K$41:$R$74,VLOOKUP(AW98,Foundation_Calc!$I$2:$J$8,2,FALSE),0),"")))</f>
        <v/>
      </c>
      <c r="BA98" s="632" t="str">
        <f t="shared" si="6"/>
        <v/>
      </c>
      <c r="BB98" s="632" t="str">
        <f t="shared" si="7"/>
        <v/>
      </c>
      <c r="BC98" s="632" t="str">
        <f t="shared" si="8"/>
        <v/>
      </c>
      <c r="BD98" s="633" t="str">
        <f>IF(AND(L98="",H98=""),"",
IF(H98="",Pole_Calc!A102,
IF(H98="MP",Pole_Calc!A103,
IF(H98="AnMP",Pole_Calc!A104,
IF(H98="A",Pole_Calc!A105,
IF(H98="S/A",Pole_Calc!A106,
IF(H98="A/S",Pole_Calc!A107,"Poner a mano")))))))</f>
        <v/>
      </c>
      <c r="BE98" s="448" t="s">
        <v>1726</v>
      </c>
      <c r="BF98" s="634"/>
      <c r="BG98" s="634"/>
      <c r="BH98" s="634"/>
      <c r="BI98" s="634"/>
    </row>
    <row r="99" spans="1:61" ht="16.2" customHeight="1">
      <c r="A99" s="12"/>
      <c r="B99" s="446"/>
      <c r="C99" s="89"/>
      <c r="D99" s="13"/>
      <c r="E99" s="14"/>
      <c r="F99" s="14"/>
      <c r="G99" s="15"/>
      <c r="H99" s="8"/>
      <c r="I99" s="8"/>
      <c r="J99" s="89"/>
      <c r="K99" s="8"/>
      <c r="L99" s="8"/>
      <c r="M99" s="8" t="str">
        <f>IF(L99="","",
IF(AX99="PT",VLOOKUP(L99,Foundation_Calc!$V$4:$X$37,VLOOKUP(AX99,Foundation_Calc!$I$10:$J$13,2,FALSE),0),
IF(AX99="K",VLOOKUP(L99,Foundation_Calc!$V$41:$X$74,VLOOKUP(AX99,Foundation_Calc!$I$10:$J$13,2,FALSE),0),"")))</f>
        <v/>
      </c>
      <c r="N99" s="8"/>
      <c r="O99" s="8"/>
      <c r="P99" s="8"/>
      <c r="Q99" s="14"/>
      <c r="R99" s="15"/>
      <c r="S99" s="15"/>
      <c r="T99" s="14"/>
      <c r="U99" s="14"/>
      <c r="V99" s="14"/>
      <c r="W99" s="18"/>
      <c r="X99" s="18"/>
      <c r="Y99" s="18"/>
      <c r="Z99" s="18"/>
      <c r="AA99" s="18"/>
      <c r="AB99" s="18"/>
      <c r="AC99" s="8" t="str">
        <f t="shared" si="5"/>
        <v/>
      </c>
      <c r="AD99" s="8"/>
      <c r="AE99" s="8"/>
      <c r="AF99" s="14"/>
      <c r="AG99" s="13"/>
      <c r="AH99" s="14"/>
      <c r="AI99" s="14"/>
      <c r="AJ99" s="8"/>
      <c r="AK99" s="8"/>
      <c r="AL99" s="8"/>
      <c r="AM99" s="8"/>
      <c r="AN99" s="631"/>
      <c r="AO99" s="18"/>
      <c r="AP99" s="18"/>
      <c r="AQ99" s="18"/>
      <c r="AR99" s="18"/>
      <c r="AS99" s="18"/>
      <c r="AU99" s="448"/>
      <c r="AV99" s="448"/>
      <c r="AW99" s="8" t="str">
        <f>IF(C99&gt;0,VLOOKUP(C99,Foundation_Calc!$A$2:$C$986,3,1),
IF(J99&gt;0,VLOOKUP(J99,Foundation_Calc!$A$2:$C$986,3,1),""))</f>
        <v/>
      </c>
      <c r="AX99" s="8" t="str">
        <f>IF(C99&gt;0,VLOOKUP(C99,Foundation_Calc!$E$2:$G$986,3,1),
IF(J99&gt;0,VLOOKUP(J99,Foundation_Calc!$E$2:$G$986,3,1),""))</f>
        <v/>
      </c>
      <c r="AY99" s="631" t="str">
        <f>IF(L99="","",
IF(AX99="PT",VLOOKUP(L99,Foundation_Calc!$K$4:$R$37,VLOOKUP(AW99,Foundation_Calc!$I$2:$J$8,2,FALSE),0),
IF(AX99="K",VLOOKUP(L99,Foundation_Calc!$K$41:$R$74,VLOOKUP(AW99,Foundation_Calc!$I$2:$J$8,2,FALSE),0),"")))</f>
        <v/>
      </c>
      <c r="AZ99" s="631" t="str">
        <f>IF(K99="","",
IF(AX99="PT",VLOOKUP(K99,Foundation_Calc!$K$4:$R$37,VLOOKUP(AW99,Foundation_Calc!$I$2:$J$8,2,FALSE),0),
IF(AX99="K",VLOOKUP(K99,Foundation_Calc!$K$41:$R$74,VLOOKUP(AW99,Foundation_Calc!$I$2:$J$8,2,FALSE),0),"")))</f>
        <v/>
      </c>
      <c r="BA99" s="632" t="str">
        <f t="shared" si="6"/>
        <v/>
      </c>
      <c r="BB99" s="632" t="str">
        <f t="shared" si="7"/>
        <v/>
      </c>
      <c r="BC99" s="632" t="str">
        <f t="shared" si="8"/>
        <v/>
      </c>
      <c r="BD99" s="633" t="str">
        <f>IF(AND(L99="",H99=""),"",
IF(H99="",Pole_Calc!A103,
IF(H99="MP",Pole_Calc!A104,
IF(H99="AnMP",Pole_Calc!A105,
IF(H99="A",Pole_Calc!A106,
IF(H99="S/A",Pole_Calc!A107,
IF(H99="A/S",Pole_Calc!A108,"Poner a mano")))))))</f>
        <v/>
      </c>
      <c r="BE99" s="448" t="s">
        <v>1726</v>
      </c>
      <c r="BF99" s="635"/>
      <c r="BG99" s="635"/>
      <c r="BH99" s="634"/>
      <c r="BI99" s="635"/>
    </row>
    <row r="100" spans="1:61" ht="16.2" customHeight="1">
      <c r="A100" s="12"/>
      <c r="B100" s="446"/>
      <c r="C100" s="89"/>
      <c r="D100" s="13"/>
      <c r="E100" s="14"/>
      <c r="F100" s="14"/>
      <c r="G100" s="15"/>
      <c r="H100" s="8"/>
      <c r="I100" s="8"/>
      <c r="J100" s="89"/>
      <c r="K100" s="8"/>
      <c r="L100" s="8"/>
      <c r="M100" s="8" t="str">
        <f>IF(L100="","",
IF(AX100="PT",VLOOKUP(L100,Foundation_Calc!$V$4:$X$37,VLOOKUP(AX100,Foundation_Calc!$I$10:$J$13,2,FALSE),0),
IF(AX100="K",VLOOKUP(L100,Foundation_Calc!$V$41:$X$74,VLOOKUP(AX100,Foundation_Calc!$I$10:$J$13,2,FALSE),0),"")))</f>
        <v/>
      </c>
      <c r="N100" s="8"/>
      <c r="O100" s="8"/>
      <c r="P100" s="8"/>
      <c r="Q100" s="14"/>
      <c r="R100" s="15"/>
      <c r="S100" s="15"/>
      <c r="T100" s="14"/>
      <c r="U100" s="14"/>
      <c r="V100" s="14"/>
      <c r="W100" s="18"/>
      <c r="X100" s="18"/>
      <c r="Y100" s="18"/>
      <c r="Z100" s="18"/>
      <c r="AA100" s="18"/>
      <c r="AB100" s="18"/>
      <c r="AC100" s="8" t="str">
        <f t="shared" si="5"/>
        <v/>
      </c>
      <c r="AD100" s="8"/>
      <c r="AE100" s="8"/>
      <c r="AF100" s="14"/>
      <c r="AG100" s="13"/>
      <c r="AH100" s="14"/>
      <c r="AI100" s="14"/>
      <c r="AJ100" s="8"/>
      <c r="AK100" s="8"/>
      <c r="AL100" s="8"/>
      <c r="AM100" s="8"/>
      <c r="AN100" s="631"/>
      <c r="AO100" s="18"/>
      <c r="AP100" s="18"/>
      <c r="AQ100" s="18"/>
      <c r="AR100" s="18"/>
      <c r="AS100" s="18"/>
      <c r="AU100" s="448"/>
      <c r="AV100" s="448"/>
      <c r="AW100" s="8" t="str">
        <f>IF(C100&gt;0,VLOOKUP(C100,Foundation_Calc!$A$2:$C$986,3,1),
IF(J100&gt;0,VLOOKUP(J100,Foundation_Calc!$A$2:$C$986,3,1),""))</f>
        <v/>
      </c>
      <c r="AX100" s="8" t="str">
        <f>IF(C100&gt;0,VLOOKUP(C100,Foundation_Calc!$E$2:$G$986,3,1),
IF(J100&gt;0,VLOOKUP(J100,Foundation_Calc!$E$2:$G$986,3,1),""))</f>
        <v/>
      </c>
      <c r="AY100" s="631" t="str">
        <f>IF(L100="","",
IF(AX100="PT",VLOOKUP(L100,Foundation_Calc!$K$4:$R$37,VLOOKUP(AW100,Foundation_Calc!$I$2:$J$8,2,FALSE),0),
IF(AX100="K",VLOOKUP(L100,Foundation_Calc!$K$41:$R$74,VLOOKUP(AW100,Foundation_Calc!$I$2:$J$8,2,FALSE),0),"")))</f>
        <v/>
      </c>
      <c r="AZ100" s="631" t="str">
        <f>IF(K100="","",
IF(AX100="PT",VLOOKUP(K100,Foundation_Calc!$K$4:$R$37,VLOOKUP(AW100,Foundation_Calc!$I$2:$J$8,2,FALSE),0),
IF(AX100="K",VLOOKUP(K100,Foundation_Calc!$K$41:$R$74,VLOOKUP(AW100,Foundation_Calc!$I$2:$J$8,2,FALSE),0),"")))</f>
        <v/>
      </c>
      <c r="BA100" s="632" t="str">
        <f t="shared" si="6"/>
        <v/>
      </c>
      <c r="BB100" s="632" t="str">
        <f t="shared" si="7"/>
        <v/>
      </c>
      <c r="BC100" s="632" t="str">
        <f t="shared" si="8"/>
        <v/>
      </c>
      <c r="BD100" s="633" t="str">
        <f>IF(AND(L100="",H100=""),"",
IF(H100="",Pole_Calc!A104,
IF(H100="MP",Pole_Calc!A105,
IF(H100="AnMP",Pole_Calc!A106,
IF(H100="A",Pole_Calc!A107,
IF(H100="S/A",Pole_Calc!A108,
IF(H100="A/S",Pole_Calc!A109,"Poner a mano")))))))</f>
        <v/>
      </c>
      <c r="BE100" s="448" t="s">
        <v>1726</v>
      </c>
      <c r="BF100" s="634"/>
      <c r="BG100" s="634"/>
      <c r="BH100" s="634"/>
      <c r="BI100" s="634"/>
    </row>
    <row r="101" spans="1:61" ht="16.2" customHeight="1">
      <c r="A101" s="12"/>
      <c r="B101" s="446"/>
      <c r="C101" s="89"/>
      <c r="D101" s="13"/>
      <c r="E101" s="14"/>
      <c r="F101" s="14"/>
      <c r="G101" s="15"/>
      <c r="H101" s="8"/>
      <c r="I101" s="8"/>
      <c r="J101" s="89"/>
      <c r="K101" s="8"/>
      <c r="L101" s="8"/>
      <c r="M101" s="8" t="str">
        <f>IF(L101="","",
IF(AX101="PT",VLOOKUP(L101,Foundation_Calc!$V$4:$X$37,VLOOKUP(AX101,Foundation_Calc!$I$10:$J$13,2,FALSE),0),
IF(AX101="K",VLOOKUP(L101,Foundation_Calc!$V$41:$X$74,VLOOKUP(AX101,Foundation_Calc!$I$10:$J$13,2,FALSE),0),"")))</f>
        <v/>
      </c>
      <c r="N101" s="8"/>
      <c r="O101" s="8"/>
      <c r="P101" s="8"/>
      <c r="Q101" s="14"/>
      <c r="R101" s="15"/>
      <c r="S101" s="15"/>
      <c r="T101" s="14"/>
      <c r="U101" s="14"/>
      <c r="V101" s="14"/>
      <c r="W101" s="18"/>
      <c r="X101" s="18"/>
      <c r="Y101" s="18"/>
      <c r="Z101" s="18"/>
      <c r="AA101" s="18"/>
      <c r="AB101" s="18"/>
      <c r="AC101" s="8" t="str">
        <f t="shared" si="5"/>
        <v/>
      </c>
      <c r="AD101" s="8"/>
      <c r="AE101" s="8"/>
      <c r="AF101" s="14"/>
      <c r="AG101" s="13"/>
      <c r="AH101" s="14"/>
      <c r="AI101" s="14"/>
      <c r="AJ101" s="8"/>
      <c r="AK101" s="8"/>
      <c r="AL101" s="8"/>
      <c r="AM101" s="8"/>
      <c r="AN101" s="631"/>
      <c r="AO101" s="18"/>
      <c r="AP101" s="18"/>
      <c r="AQ101" s="18"/>
      <c r="AR101" s="18"/>
      <c r="AS101" s="18"/>
      <c r="AU101" s="448"/>
      <c r="AV101" s="448"/>
      <c r="AW101" s="8" t="str">
        <f>IF(C101&gt;0,VLOOKUP(C101,Foundation_Calc!$A$2:$C$986,3,1),
IF(J101&gt;0,VLOOKUP(J101,Foundation_Calc!$A$2:$C$986,3,1),""))</f>
        <v/>
      </c>
      <c r="AX101" s="8" t="str">
        <f>IF(C101&gt;0,VLOOKUP(C101,Foundation_Calc!$E$2:$G$986,3,1),
IF(J101&gt;0,VLOOKUP(J101,Foundation_Calc!$E$2:$G$986,3,1),""))</f>
        <v/>
      </c>
      <c r="AY101" s="631" t="str">
        <f>IF(L101="","",
IF(AX101="PT",VLOOKUP(L101,Foundation_Calc!$K$4:$R$37,VLOOKUP(AW101,Foundation_Calc!$I$2:$J$8,2,FALSE),0),
IF(AX101="K",VLOOKUP(L101,Foundation_Calc!$K$41:$R$74,VLOOKUP(AW101,Foundation_Calc!$I$2:$J$8,2,FALSE),0),"")))</f>
        <v/>
      </c>
      <c r="AZ101" s="631" t="str">
        <f>IF(K101="","",
IF(AX101="PT",VLOOKUP(K101,Foundation_Calc!$K$4:$R$37,VLOOKUP(AW101,Foundation_Calc!$I$2:$J$8,2,FALSE),0),
IF(AX101="K",VLOOKUP(K101,Foundation_Calc!$K$41:$R$74,VLOOKUP(AW101,Foundation_Calc!$I$2:$J$8,2,FALSE),0),"")))</f>
        <v/>
      </c>
      <c r="BA101" s="632" t="str">
        <f t="shared" si="6"/>
        <v/>
      </c>
      <c r="BB101" s="632" t="str">
        <f t="shared" si="7"/>
        <v/>
      </c>
      <c r="BC101" s="632" t="str">
        <f t="shared" si="8"/>
        <v/>
      </c>
      <c r="BD101" s="633" t="str">
        <f>IF(AND(L101="",H101=""),"",
IF(H101="",Pole_Calc!A105,
IF(H101="MP",Pole_Calc!A106,
IF(H101="AnMP",Pole_Calc!A107,
IF(H101="A",Pole_Calc!A108,
IF(H101="S/A",Pole_Calc!A109,
IF(H101="A/S",Pole_Calc!A110,"Poner a mano")))))))</f>
        <v/>
      </c>
      <c r="BE101" s="448" t="s">
        <v>1726</v>
      </c>
      <c r="BF101" s="635"/>
      <c r="BG101" s="635"/>
      <c r="BH101" s="634"/>
      <c r="BI101" s="635"/>
    </row>
    <row r="102" spans="1:61" ht="16.2" customHeight="1">
      <c r="A102" s="12"/>
      <c r="B102" s="446"/>
      <c r="C102" s="89"/>
      <c r="D102" s="13"/>
      <c r="E102" s="14"/>
      <c r="F102" s="14"/>
      <c r="G102" s="15"/>
      <c r="H102" s="8"/>
      <c r="I102" s="8"/>
      <c r="J102" s="89"/>
      <c r="K102" s="8"/>
      <c r="L102" s="8"/>
      <c r="M102" s="8" t="str">
        <f>IF(L102="","",
IF(AX102="PT",VLOOKUP(L102,Foundation_Calc!$V$4:$X$37,VLOOKUP(AX102,Foundation_Calc!$I$10:$J$13,2,FALSE),0),
IF(AX102="K",VLOOKUP(L102,Foundation_Calc!$V$41:$X$74,VLOOKUP(AX102,Foundation_Calc!$I$10:$J$13,2,FALSE),0),"")))</f>
        <v/>
      </c>
      <c r="N102" s="8"/>
      <c r="O102" s="8"/>
      <c r="P102" s="8"/>
      <c r="Q102" s="14"/>
      <c r="R102" s="15"/>
      <c r="S102" s="15"/>
      <c r="T102" s="14"/>
      <c r="U102" s="14"/>
      <c r="V102" s="14"/>
      <c r="W102" s="18"/>
      <c r="X102" s="18"/>
      <c r="Y102" s="18"/>
      <c r="Z102" s="18"/>
      <c r="AA102" s="18"/>
      <c r="AB102" s="18"/>
      <c r="AC102" s="8" t="str">
        <f t="shared" si="5"/>
        <v/>
      </c>
      <c r="AD102" s="8"/>
      <c r="AE102" s="8"/>
      <c r="AF102" s="14"/>
      <c r="AG102" s="13"/>
      <c r="AH102" s="14"/>
      <c r="AI102" s="14"/>
      <c r="AJ102" s="8"/>
      <c r="AK102" s="8"/>
      <c r="AL102" s="8"/>
      <c r="AM102" s="8"/>
      <c r="AN102" s="631"/>
      <c r="AO102" s="18"/>
      <c r="AP102" s="18"/>
      <c r="AQ102" s="18"/>
      <c r="AR102" s="18"/>
      <c r="AS102" s="18"/>
      <c r="AU102" s="448"/>
      <c r="AV102" s="448"/>
      <c r="AW102" s="8" t="str">
        <f>IF(C102&gt;0,VLOOKUP(C102,Foundation_Calc!$A$2:$C$986,3,1),
IF(J102&gt;0,VLOOKUP(J102,Foundation_Calc!$A$2:$C$986,3,1),""))</f>
        <v/>
      </c>
      <c r="AX102" s="8" t="str">
        <f>IF(C102&gt;0,VLOOKUP(C102,Foundation_Calc!$E$2:$G$986,3,1),
IF(J102&gt;0,VLOOKUP(J102,Foundation_Calc!$E$2:$G$986,3,1),""))</f>
        <v/>
      </c>
      <c r="AY102" s="631" t="str">
        <f>IF(L102="","",
IF(AX102="PT",VLOOKUP(L102,Foundation_Calc!$K$4:$R$37,VLOOKUP(AW102,Foundation_Calc!$I$2:$J$8,2,FALSE),0),
IF(AX102="K",VLOOKUP(L102,Foundation_Calc!$K$41:$R$74,VLOOKUP(AW102,Foundation_Calc!$I$2:$J$8,2,FALSE),0),"")))</f>
        <v/>
      </c>
      <c r="AZ102" s="631" t="str">
        <f>IF(K102="","",
IF(AX102="PT",VLOOKUP(K102,Foundation_Calc!$K$4:$R$37,VLOOKUP(AW102,Foundation_Calc!$I$2:$J$8,2,FALSE),0),
IF(AX102="K",VLOOKUP(K102,Foundation_Calc!$K$41:$R$74,VLOOKUP(AW102,Foundation_Calc!$I$2:$J$8,2,FALSE),0),"")))</f>
        <v/>
      </c>
      <c r="BA102" s="632" t="str">
        <f t="shared" si="6"/>
        <v/>
      </c>
      <c r="BB102" s="632" t="str">
        <f t="shared" si="7"/>
        <v/>
      </c>
      <c r="BC102" s="632" t="str">
        <f t="shared" si="8"/>
        <v/>
      </c>
      <c r="BD102" s="633" t="str">
        <f>IF(AND(L102="",H102=""),"",
IF(H102="",Pole_Calc!A106,
IF(H102="MP",Pole_Calc!A107,
IF(H102="AnMP",Pole_Calc!A108,
IF(H102="A",Pole_Calc!A109,
IF(H102="S/A",Pole_Calc!A110,
IF(H102="A/S",Pole_Calc!A111,"Poner a mano")))))))</f>
        <v/>
      </c>
      <c r="BE102" s="448" t="s">
        <v>1726</v>
      </c>
      <c r="BF102" s="634"/>
      <c r="BG102" s="634"/>
      <c r="BH102" s="634"/>
      <c r="BI102" s="634"/>
    </row>
    <row r="103" spans="1:61" ht="16.2" customHeight="1">
      <c r="A103" s="12"/>
      <c r="B103" s="446"/>
      <c r="C103" s="89"/>
      <c r="D103" s="13"/>
      <c r="E103" s="14"/>
      <c r="F103" s="14"/>
      <c r="G103" s="15"/>
      <c r="H103" s="8"/>
      <c r="I103" s="8"/>
      <c r="J103" s="89"/>
      <c r="K103" s="8"/>
      <c r="L103" s="8"/>
      <c r="M103" s="8" t="str">
        <f>IF(L103="","",
IF(AX103="PT",VLOOKUP(L103,Foundation_Calc!$V$4:$X$37,VLOOKUP(AX103,Foundation_Calc!$I$10:$J$13,2,FALSE),0),
IF(AX103="K",VLOOKUP(L103,Foundation_Calc!$V$41:$X$74,VLOOKUP(AX103,Foundation_Calc!$I$10:$J$13,2,FALSE),0),"")))</f>
        <v/>
      </c>
      <c r="N103" s="8"/>
      <c r="O103" s="8"/>
      <c r="P103" s="8"/>
      <c r="Q103" s="14"/>
      <c r="R103" s="15"/>
      <c r="S103" s="15"/>
      <c r="T103" s="14"/>
      <c r="U103" s="14"/>
      <c r="V103" s="14"/>
      <c r="W103" s="18"/>
      <c r="X103" s="18"/>
      <c r="Y103" s="18"/>
      <c r="Z103" s="18"/>
      <c r="AA103" s="18"/>
      <c r="AB103" s="18"/>
      <c r="AC103" s="8" t="str">
        <f t="shared" si="5"/>
        <v/>
      </c>
      <c r="AD103" s="8"/>
      <c r="AE103" s="8"/>
      <c r="AF103" s="14"/>
      <c r="AG103" s="13"/>
      <c r="AH103" s="14"/>
      <c r="AI103" s="14"/>
      <c r="AJ103" s="8"/>
      <c r="AK103" s="8"/>
      <c r="AL103" s="8"/>
      <c r="AM103" s="8"/>
      <c r="AN103" s="631"/>
      <c r="AO103" s="18"/>
      <c r="AP103" s="18"/>
      <c r="AQ103" s="18"/>
      <c r="AR103" s="18"/>
      <c r="AS103" s="18"/>
      <c r="AU103" s="448"/>
      <c r="AV103" s="448"/>
      <c r="AW103" s="8" t="str">
        <f>IF(C103&gt;0,VLOOKUP(C103,Foundation_Calc!$A$2:$C$986,3,1),
IF(J103&gt;0,VLOOKUP(J103,Foundation_Calc!$A$2:$C$986,3,1),""))</f>
        <v/>
      </c>
      <c r="AX103" s="8" t="str">
        <f>IF(C103&gt;0,VLOOKUP(C103,Foundation_Calc!$E$2:$G$986,3,1),
IF(J103&gt;0,VLOOKUP(J103,Foundation_Calc!$E$2:$G$986,3,1),""))</f>
        <v/>
      </c>
      <c r="AY103" s="631" t="str">
        <f>IF(L103="","",
IF(AX103="PT",VLOOKUP(L103,Foundation_Calc!$K$4:$R$37,VLOOKUP(AW103,Foundation_Calc!$I$2:$J$8,2,FALSE),0),
IF(AX103="K",VLOOKUP(L103,Foundation_Calc!$K$41:$R$74,VLOOKUP(AW103,Foundation_Calc!$I$2:$J$8,2,FALSE),0),"")))</f>
        <v/>
      </c>
      <c r="AZ103" s="631" t="str">
        <f>IF(K103="","",
IF(AX103="PT",VLOOKUP(K103,Foundation_Calc!$K$4:$R$37,VLOOKUP(AW103,Foundation_Calc!$I$2:$J$8,2,FALSE),0),
IF(AX103="K",VLOOKUP(K103,Foundation_Calc!$K$41:$R$74,VLOOKUP(AW103,Foundation_Calc!$I$2:$J$8,2,FALSE),0),"")))</f>
        <v/>
      </c>
      <c r="BA103" s="632" t="str">
        <f t="shared" si="6"/>
        <v/>
      </c>
      <c r="BB103" s="632" t="str">
        <f t="shared" si="7"/>
        <v/>
      </c>
      <c r="BC103" s="632" t="str">
        <f t="shared" si="8"/>
        <v/>
      </c>
      <c r="BD103" s="633" t="str">
        <f>IF(AND(L103="",H103=""),"",
IF(H103="",Pole_Calc!A107,
IF(H103="MP",Pole_Calc!A108,
IF(H103="AnMP",Pole_Calc!A109,
IF(H103="A",Pole_Calc!A110,
IF(H103="S/A",Pole_Calc!A111,
IF(H103="A/S",Pole_Calc!A112,"Poner a mano")))))))</f>
        <v/>
      </c>
      <c r="BE103" s="448" t="s">
        <v>1726</v>
      </c>
      <c r="BF103" s="635"/>
      <c r="BG103" s="635"/>
      <c r="BH103" s="634"/>
      <c r="BI103" s="635"/>
    </row>
    <row r="104" spans="1:61" ht="16.2" customHeight="1">
      <c r="A104" s="12"/>
      <c r="B104" s="446"/>
      <c r="C104" s="89"/>
      <c r="D104" s="13"/>
      <c r="E104" s="14"/>
      <c r="F104" s="14"/>
      <c r="G104" s="15"/>
      <c r="H104" s="8"/>
      <c r="I104" s="8"/>
      <c r="J104" s="89"/>
      <c r="K104" s="8"/>
      <c r="L104" s="8"/>
      <c r="M104" s="8" t="str">
        <f>IF(L104="","",
IF(AX104="PT",VLOOKUP(L104,Foundation_Calc!$V$4:$X$37,VLOOKUP(AX104,Foundation_Calc!$I$10:$J$13,2,FALSE),0),
IF(AX104="K",VLOOKUP(L104,Foundation_Calc!$V$41:$X$74,VLOOKUP(AX104,Foundation_Calc!$I$10:$J$13,2,FALSE),0),"")))</f>
        <v/>
      </c>
      <c r="N104" s="8"/>
      <c r="O104" s="8"/>
      <c r="P104" s="8"/>
      <c r="Q104" s="14"/>
      <c r="R104" s="15"/>
      <c r="S104" s="15"/>
      <c r="T104" s="14"/>
      <c r="U104" s="14"/>
      <c r="V104" s="14"/>
      <c r="W104" s="18"/>
      <c r="X104" s="18"/>
      <c r="Y104" s="18"/>
      <c r="Z104" s="18"/>
      <c r="AA104" s="18"/>
      <c r="AB104" s="18"/>
      <c r="AC104" s="8" t="str">
        <f t="shared" si="5"/>
        <v/>
      </c>
      <c r="AD104" s="8"/>
      <c r="AE104" s="8"/>
      <c r="AF104" s="14"/>
      <c r="AG104" s="13"/>
      <c r="AH104" s="14"/>
      <c r="AI104" s="14"/>
      <c r="AJ104" s="8"/>
      <c r="AK104" s="8"/>
      <c r="AL104" s="8"/>
      <c r="AM104" s="8"/>
      <c r="AN104" s="631"/>
      <c r="AO104" s="18"/>
      <c r="AP104" s="18"/>
      <c r="AQ104" s="18"/>
      <c r="AR104" s="18"/>
      <c r="AS104" s="18"/>
      <c r="AU104" s="448"/>
      <c r="AV104" s="448"/>
      <c r="AW104" s="8" t="str">
        <f>IF(C104&gt;0,VLOOKUP(C104,Foundation_Calc!$A$2:$C$986,3,1),
IF(J104&gt;0,VLOOKUP(J104,Foundation_Calc!$A$2:$C$986,3,1),""))</f>
        <v/>
      </c>
      <c r="AX104" s="8" t="str">
        <f>IF(C104&gt;0,VLOOKUP(C104,Foundation_Calc!$E$2:$G$986,3,1),
IF(J104&gt;0,VLOOKUP(J104,Foundation_Calc!$E$2:$G$986,3,1),""))</f>
        <v/>
      </c>
      <c r="AY104" s="631" t="str">
        <f>IF(L104="","",
IF(AX104="PT",VLOOKUP(L104,Foundation_Calc!$K$4:$R$37,VLOOKUP(AW104,Foundation_Calc!$I$2:$J$8,2,FALSE),0),
IF(AX104="K",VLOOKUP(L104,Foundation_Calc!$K$41:$R$74,VLOOKUP(AW104,Foundation_Calc!$I$2:$J$8,2,FALSE),0),"")))</f>
        <v/>
      </c>
      <c r="AZ104" s="631" t="str">
        <f>IF(K104="","",
IF(AX104="PT",VLOOKUP(K104,Foundation_Calc!$K$4:$R$37,VLOOKUP(AW104,Foundation_Calc!$I$2:$J$8,2,FALSE),0),
IF(AX104="K",VLOOKUP(K104,Foundation_Calc!$K$41:$R$74,VLOOKUP(AW104,Foundation_Calc!$I$2:$J$8,2,FALSE),0),"")))</f>
        <v/>
      </c>
      <c r="BA104" s="632" t="str">
        <f t="shared" si="6"/>
        <v/>
      </c>
      <c r="BB104" s="632" t="str">
        <f t="shared" si="7"/>
        <v/>
      </c>
      <c r="BC104" s="632" t="str">
        <f t="shared" si="8"/>
        <v/>
      </c>
      <c r="BD104" s="633" t="str">
        <f>IF(AND(L104="",H104=""),"",
IF(H104="",Pole_Calc!A108,
IF(H104="MP",Pole_Calc!A109,
IF(H104="AnMP",Pole_Calc!A110,
IF(H104="A",Pole_Calc!A111,
IF(H104="S/A",Pole_Calc!A112,
IF(H104="A/S",Pole_Calc!A113,"Poner a mano")))))))</f>
        <v/>
      </c>
      <c r="BE104" s="448" t="s">
        <v>1726</v>
      </c>
      <c r="BF104" s="634"/>
      <c r="BG104" s="634"/>
      <c r="BH104" s="634"/>
      <c r="BI104" s="634"/>
    </row>
    <row r="105" spans="1:61" ht="16.2" customHeight="1">
      <c r="A105" s="12"/>
      <c r="B105" s="446"/>
      <c r="C105" s="89"/>
      <c r="D105" s="13"/>
      <c r="E105" s="14"/>
      <c r="F105" s="14"/>
      <c r="G105" s="15"/>
      <c r="H105" s="8"/>
      <c r="I105" s="8"/>
      <c r="J105" s="89"/>
      <c r="K105" s="8"/>
      <c r="L105" s="8"/>
      <c r="M105" s="8" t="str">
        <f>IF(L105="","",
IF(AX105="PT",VLOOKUP(L105,Foundation_Calc!$V$4:$X$37,VLOOKUP(AX105,Foundation_Calc!$I$10:$J$13,2,FALSE),0),
IF(AX105="K",VLOOKUP(L105,Foundation_Calc!$V$41:$X$74,VLOOKUP(AX105,Foundation_Calc!$I$10:$J$13,2,FALSE),0),"")))</f>
        <v/>
      </c>
      <c r="N105" s="8"/>
      <c r="O105" s="8"/>
      <c r="P105" s="8"/>
      <c r="Q105" s="14"/>
      <c r="R105" s="15"/>
      <c r="S105" s="15"/>
      <c r="T105" s="14"/>
      <c r="U105" s="14"/>
      <c r="V105" s="14"/>
      <c r="W105" s="18"/>
      <c r="X105" s="18"/>
      <c r="Y105" s="18"/>
      <c r="Z105" s="18"/>
      <c r="AA105" s="18"/>
      <c r="AB105" s="18"/>
      <c r="AC105" s="8" t="str">
        <f t="shared" si="5"/>
        <v/>
      </c>
      <c r="AD105" s="8"/>
      <c r="AE105" s="8"/>
      <c r="AF105" s="14"/>
      <c r="AG105" s="13"/>
      <c r="AH105" s="14"/>
      <c r="AI105" s="14"/>
      <c r="AJ105" s="8"/>
      <c r="AK105" s="8"/>
      <c r="AL105" s="8"/>
      <c r="AM105" s="8"/>
      <c r="AN105" s="631"/>
      <c r="AO105" s="18"/>
      <c r="AP105" s="18"/>
      <c r="AQ105" s="18"/>
      <c r="AR105" s="18"/>
      <c r="AS105" s="18"/>
      <c r="AU105" s="448"/>
      <c r="AV105" s="448"/>
      <c r="AW105" s="8" t="str">
        <f>IF(C105&gt;0,VLOOKUP(C105,Foundation_Calc!$A$2:$C$986,3,1),
IF(J105&gt;0,VLOOKUP(J105,Foundation_Calc!$A$2:$C$986,3,1),""))</f>
        <v/>
      </c>
      <c r="AX105" s="8" t="str">
        <f>IF(C105&gt;0,VLOOKUP(C105,Foundation_Calc!$E$2:$G$986,3,1),
IF(J105&gt;0,VLOOKUP(J105,Foundation_Calc!$E$2:$G$986,3,1),""))</f>
        <v/>
      </c>
      <c r="AY105" s="631" t="str">
        <f>IF(L105="","",
IF(AX105="PT",VLOOKUP(L105,Foundation_Calc!$K$4:$R$37,VLOOKUP(AW105,Foundation_Calc!$I$2:$J$8,2,FALSE),0),
IF(AX105="K",VLOOKUP(L105,Foundation_Calc!$K$41:$R$74,VLOOKUP(AW105,Foundation_Calc!$I$2:$J$8,2,FALSE),0),"")))</f>
        <v/>
      </c>
      <c r="AZ105" s="631" t="str">
        <f>IF(K105="","",
IF(AX105="PT",VLOOKUP(K105,Foundation_Calc!$K$4:$R$37,VLOOKUP(AW105,Foundation_Calc!$I$2:$J$8,2,FALSE),0),
IF(AX105="K",VLOOKUP(K105,Foundation_Calc!$K$41:$R$74,VLOOKUP(AW105,Foundation_Calc!$I$2:$J$8,2,FALSE),0),"")))</f>
        <v/>
      </c>
      <c r="BA105" s="632" t="str">
        <f t="shared" si="6"/>
        <v/>
      </c>
      <c r="BB105" s="632" t="str">
        <f t="shared" si="7"/>
        <v/>
      </c>
      <c r="BC105" s="632" t="str">
        <f t="shared" si="8"/>
        <v/>
      </c>
      <c r="BD105" s="633" t="str">
        <f>IF(AND(L105="",H105=""),"",
IF(H105="",Pole_Calc!A109,
IF(H105="MP",Pole_Calc!A110,
IF(H105="AnMP",Pole_Calc!A111,
IF(H105="A",Pole_Calc!A112,
IF(H105="S/A",Pole_Calc!A113,
IF(H105="A/S",Pole_Calc!A114,"Poner a mano")))))))</f>
        <v/>
      </c>
      <c r="BE105" s="448" t="s">
        <v>1726</v>
      </c>
      <c r="BF105" s="635"/>
      <c r="BG105" s="635"/>
      <c r="BH105" s="634"/>
      <c r="BI105" s="635"/>
    </row>
    <row r="106" spans="1:61" ht="16.2" customHeight="1">
      <c r="A106" s="12"/>
      <c r="B106" s="446"/>
      <c r="C106" s="89"/>
      <c r="D106" s="13"/>
      <c r="E106" s="14"/>
      <c r="F106" s="14"/>
      <c r="G106" s="15"/>
      <c r="H106" s="8"/>
      <c r="I106" s="8"/>
      <c r="J106" s="89"/>
      <c r="K106" s="8"/>
      <c r="L106" s="8"/>
      <c r="M106" s="8" t="str">
        <f>IF(L106="","",
IF(AX106="PT",VLOOKUP(L106,Foundation_Calc!$V$4:$X$37,VLOOKUP(AX106,Foundation_Calc!$I$10:$J$13,2,FALSE),0),
IF(AX106="K",VLOOKUP(L106,Foundation_Calc!$V$41:$X$74,VLOOKUP(AX106,Foundation_Calc!$I$10:$J$13,2,FALSE),0),"")))</f>
        <v/>
      </c>
      <c r="N106" s="8"/>
      <c r="O106" s="8"/>
      <c r="P106" s="8"/>
      <c r="Q106" s="14"/>
      <c r="R106" s="15"/>
      <c r="S106" s="15"/>
      <c r="T106" s="14"/>
      <c r="U106" s="14"/>
      <c r="V106" s="14"/>
      <c r="W106" s="18"/>
      <c r="X106" s="18"/>
      <c r="Y106" s="18"/>
      <c r="Z106" s="18"/>
      <c r="AA106" s="18"/>
      <c r="AB106" s="18"/>
      <c r="AC106" s="8" t="str">
        <f t="shared" si="5"/>
        <v/>
      </c>
      <c r="AD106" s="8"/>
      <c r="AE106" s="8"/>
      <c r="AF106" s="14"/>
      <c r="AG106" s="13"/>
      <c r="AH106" s="14"/>
      <c r="AI106" s="14"/>
      <c r="AJ106" s="8"/>
      <c r="AK106" s="8"/>
      <c r="AL106" s="8"/>
      <c r="AM106" s="8"/>
      <c r="AN106" s="631"/>
      <c r="AO106" s="18"/>
      <c r="AP106" s="18"/>
      <c r="AQ106" s="18"/>
      <c r="AR106" s="18"/>
      <c r="AS106" s="18"/>
      <c r="AU106" s="448"/>
      <c r="AV106" s="448"/>
      <c r="AW106" s="8" t="str">
        <f>IF(C106&gt;0,VLOOKUP(C106,Foundation_Calc!$A$2:$C$986,3,1),
IF(J106&gt;0,VLOOKUP(J106,Foundation_Calc!$A$2:$C$986,3,1),""))</f>
        <v/>
      </c>
      <c r="AX106" s="8" t="str">
        <f>IF(C106&gt;0,VLOOKUP(C106,Foundation_Calc!$E$2:$G$986,3,1),
IF(J106&gt;0,VLOOKUP(J106,Foundation_Calc!$E$2:$G$986,3,1),""))</f>
        <v/>
      </c>
      <c r="AY106" s="631" t="str">
        <f>IF(L106="","",
IF(AX106="PT",VLOOKUP(L106,Foundation_Calc!$K$4:$R$37,VLOOKUP(AW106,Foundation_Calc!$I$2:$J$8,2,FALSE),0),
IF(AX106="K",VLOOKUP(L106,Foundation_Calc!$K$41:$R$74,VLOOKUP(AW106,Foundation_Calc!$I$2:$J$8,2,FALSE),0),"")))</f>
        <v/>
      </c>
      <c r="AZ106" s="631" t="str">
        <f>IF(K106="","",
IF(AX106="PT",VLOOKUP(K106,Foundation_Calc!$K$4:$R$37,VLOOKUP(AW106,Foundation_Calc!$I$2:$J$8,2,FALSE),0),
IF(AX106="K",VLOOKUP(K106,Foundation_Calc!$K$41:$R$74,VLOOKUP(AW106,Foundation_Calc!$I$2:$J$8,2,FALSE),0),"")))</f>
        <v/>
      </c>
      <c r="BA106" s="632" t="str">
        <f t="shared" si="6"/>
        <v/>
      </c>
      <c r="BB106" s="632" t="str">
        <f t="shared" si="7"/>
        <v/>
      </c>
      <c r="BC106" s="632" t="str">
        <f t="shared" si="8"/>
        <v/>
      </c>
      <c r="BD106" s="633" t="str">
        <f>IF(AND(L106="",H106=""),"",
IF(H106="",Pole_Calc!A110,
IF(H106="MP",Pole_Calc!A111,
IF(H106="AnMP",Pole_Calc!A112,
IF(H106="A",Pole_Calc!A113,
IF(H106="S/A",Pole_Calc!A114,
IF(H106="A/S",Pole_Calc!A115,"Poner a mano")))))))</f>
        <v/>
      </c>
      <c r="BE106" s="448" t="s">
        <v>1726</v>
      </c>
      <c r="BF106" s="634"/>
      <c r="BG106" s="634"/>
      <c r="BH106" s="634"/>
      <c r="BI106" s="634"/>
    </row>
    <row r="107" spans="1:61" ht="16.2" customHeight="1">
      <c r="A107" s="12"/>
      <c r="B107" s="446"/>
      <c r="C107" s="89"/>
      <c r="D107" s="13"/>
      <c r="E107" s="14"/>
      <c r="F107" s="14"/>
      <c r="G107" s="15"/>
      <c r="H107" s="8"/>
      <c r="I107" s="8"/>
      <c r="J107" s="89"/>
      <c r="K107" s="8"/>
      <c r="L107" s="8"/>
      <c r="M107" s="8" t="str">
        <f>IF(L107="","",
IF(AX107="PT",VLOOKUP(L107,Foundation_Calc!$V$4:$X$37,VLOOKUP(AX107,Foundation_Calc!$I$10:$J$13,2,FALSE),0),
IF(AX107="K",VLOOKUP(L107,Foundation_Calc!$V$41:$X$74,VLOOKUP(AX107,Foundation_Calc!$I$10:$J$13,2,FALSE),0),"")))</f>
        <v/>
      </c>
      <c r="N107" s="8"/>
      <c r="O107" s="8"/>
      <c r="P107" s="8"/>
      <c r="Q107" s="14"/>
      <c r="R107" s="15"/>
      <c r="S107" s="15"/>
      <c r="T107" s="14"/>
      <c r="U107" s="14"/>
      <c r="V107" s="14"/>
      <c r="W107" s="18"/>
      <c r="X107" s="18"/>
      <c r="Y107" s="18"/>
      <c r="Z107" s="18"/>
      <c r="AA107" s="18"/>
      <c r="AB107" s="18"/>
      <c r="AC107" s="8" t="str">
        <f t="shared" si="5"/>
        <v/>
      </c>
      <c r="AD107" s="8"/>
      <c r="AE107" s="8"/>
      <c r="AF107" s="14"/>
      <c r="AG107" s="13"/>
      <c r="AH107" s="14"/>
      <c r="AI107" s="14"/>
      <c r="AJ107" s="8"/>
      <c r="AK107" s="8"/>
      <c r="AL107" s="8"/>
      <c r="AM107" s="8"/>
      <c r="AN107" s="631"/>
      <c r="AO107" s="18"/>
      <c r="AP107" s="18"/>
      <c r="AQ107" s="18"/>
      <c r="AR107" s="18"/>
      <c r="AS107" s="18"/>
      <c r="AU107" s="448"/>
      <c r="AV107" s="448"/>
      <c r="AW107" s="8" t="str">
        <f>IF(C107&gt;0,VLOOKUP(C107,Foundation_Calc!$A$2:$C$986,3,1),
IF(J107&gt;0,VLOOKUP(J107,Foundation_Calc!$A$2:$C$986,3,1),""))</f>
        <v/>
      </c>
      <c r="AX107" s="8" t="str">
        <f>IF(C107&gt;0,VLOOKUP(C107,Foundation_Calc!$E$2:$G$986,3,1),
IF(J107&gt;0,VLOOKUP(J107,Foundation_Calc!$E$2:$G$986,3,1),""))</f>
        <v/>
      </c>
      <c r="AY107" s="631" t="str">
        <f>IF(L107="","",
IF(AX107="PT",VLOOKUP(L107,Foundation_Calc!$K$4:$R$37,VLOOKUP(AW107,Foundation_Calc!$I$2:$J$8,2,FALSE),0),
IF(AX107="K",VLOOKUP(L107,Foundation_Calc!$K$41:$R$74,VLOOKUP(AW107,Foundation_Calc!$I$2:$J$8,2,FALSE),0),"")))</f>
        <v/>
      </c>
      <c r="AZ107" s="631" t="str">
        <f>IF(K107="","",
IF(AX107="PT",VLOOKUP(K107,Foundation_Calc!$K$4:$R$37,VLOOKUP(AW107,Foundation_Calc!$I$2:$J$8,2,FALSE),0),
IF(AX107="K",VLOOKUP(K107,Foundation_Calc!$K$41:$R$74,VLOOKUP(AW107,Foundation_Calc!$I$2:$J$8,2,FALSE),0),"")))</f>
        <v/>
      </c>
      <c r="BA107" s="632" t="str">
        <f t="shared" si="6"/>
        <v/>
      </c>
      <c r="BB107" s="632" t="str">
        <f t="shared" si="7"/>
        <v/>
      </c>
      <c r="BC107" s="632" t="str">
        <f t="shared" si="8"/>
        <v/>
      </c>
      <c r="BD107" s="633" t="str">
        <f>IF(AND(L107="",H107=""),"",
IF(H107="",Pole_Calc!A111,
IF(H107="MP",Pole_Calc!A112,
IF(H107="AnMP",Pole_Calc!A113,
IF(H107="A",Pole_Calc!A114,
IF(H107="S/A",Pole_Calc!A115,
IF(H107="A/S",Pole_Calc!A116,"Poner a mano")))))))</f>
        <v/>
      </c>
      <c r="BE107" s="448" t="s">
        <v>1726</v>
      </c>
      <c r="BF107" s="635"/>
      <c r="BG107" s="635"/>
      <c r="BH107" s="634"/>
      <c r="BI107" s="635"/>
    </row>
    <row r="108" spans="1:61" ht="16.2" customHeight="1">
      <c r="A108" s="12"/>
      <c r="B108" s="446"/>
      <c r="C108" s="89"/>
      <c r="D108" s="13"/>
      <c r="E108" s="14"/>
      <c r="F108" s="14"/>
      <c r="G108" s="15"/>
      <c r="H108" s="8"/>
      <c r="I108" s="8"/>
      <c r="J108" s="89"/>
      <c r="K108" s="8"/>
      <c r="L108" s="8"/>
      <c r="M108" s="8" t="str">
        <f>IF(L108="","",
IF(AX108="PT",VLOOKUP(L108,Foundation_Calc!$V$4:$X$37,VLOOKUP(AX108,Foundation_Calc!$I$10:$J$13,2,FALSE),0),
IF(AX108="K",VLOOKUP(L108,Foundation_Calc!$V$41:$X$74,VLOOKUP(AX108,Foundation_Calc!$I$10:$J$13,2,FALSE),0),"")))</f>
        <v/>
      </c>
      <c r="N108" s="8"/>
      <c r="O108" s="8"/>
      <c r="P108" s="8"/>
      <c r="Q108" s="14"/>
      <c r="R108" s="15"/>
      <c r="S108" s="15"/>
      <c r="T108" s="14"/>
      <c r="U108" s="14"/>
      <c r="V108" s="14"/>
      <c r="W108" s="18"/>
      <c r="X108" s="18"/>
      <c r="Y108" s="18"/>
      <c r="Z108" s="18"/>
      <c r="AA108" s="18"/>
      <c r="AB108" s="18"/>
      <c r="AC108" s="8" t="str">
        <f t="shared" si="5"/>
        <v/>
      </c>
      <c r="AD108" s="8"/>
      <c r="AE108" s="8"/>
      <c r="AF108" s="14"/>
      <c r="AG108" s="13"/>
      <c r="AH108" s="14"/>
      <c r="AI108" s="14"/>
      <c r="AJ108" s="8"/>
      <c r="AK108" s="8"/>
      <c r="AL108" s="8"/>
      <c r="AM108" s="8"/>
      <c r="AN108" s="631"/>
      <c r="AO108" s="18"/>
      <c r="AP108" s="18"/>
      <c r="AQ108" s="18"/>
      <c r="AR108" s="18"/>
      <c r="AS108" s="18"/>
      <c r="AU108" s="448"/>
      <c r="AV108" s="448"/>
      <c r="AW108" s="8" t="str">
        <f>IF(C108&gt;0,VLOOKUP(C108,Foundation_Calc!$A$2:$C$986,3,1),
IF(J108&gt;0,VLOOKUP(J108,Foundation_Calc!$A$2:$C$986,3,1),""))</f>
        <v/>
      </c>
      <c r="AX108" s="8" t="str">
        <f>IF(C108&gt;0,VLOOKUP(C108,Foundation_Calc!$E$2:$G$986,3,1),
IF(J108&gt;0,VLOOKUP(J108,Foundation_Calc!$E$2:$G$986,3,1),""))</f>
        <v/>
      </c>
      <c r="AY108" s="631" t="str">
        <f>IF(L108="","",
IF(AX108="PT",VLOOKUP(L108,Foundation_Calc!$K$4:$R$37,VLOOKUP(AW108,Foundation_Calc!$I$2:$J$8,2,FALSE),0),
IF(AX108="K",VLOOKUP(L108,Foundation_Calc!$K$41:$R$74,VLOOKUP(AW108,Foundation_Calc!$I$2:$J$8,2,FALSE),0),"")))</f>
        <v/>
      </c>
      <c r="AZ108" s="631" t="str">
        <f>IF(K108="","",
IF(AX108="PT",VLOOKUP(K108,Foundation_Calc!$K$4:$R$37,VLOOKUP(AW108,Foundation_Calc!$I$2:$J$8,2,FALSE),0),
IF(AX108="K",VLOOKUP(K108,Foundation_Calc!$K$41:$R$74,VLOOKUP(AW108,Foundation_Calc!$I$2:$J$8,2,FALSE),0),"")))</f>
        <v/>
      </c>
      <c r="BA108" s="632" t="str">
        <f t="shared" si="6"/>
        <v/>
      </c>
      <c r="BB108" s="632" t="str">
        <f t="shared" si="7"/>
        <v/>
      </c>
      <c r="BC108" s="632" t="str">
        <f t="shared" si="8"/>
        <v/>
      </c>
      <c r="BD108" s="633" t="str">
        <f>IF(AND(L108="",H108=""),"",
IF(H108="",Pole_Calc!A112,
IF(H108="MP",Pole_Calc!A113,
IF(H108="AnMP",Pole_Calc!A114,
IF(H108="A",Pole_Calc!A115,
IF(H108="S/A",Pole_Calc!A116,
IF(H108="A/S",Pole_Calc!A117,"Poner a mano")))))))</f>
        <v/>
      </c>
      <c r="BE108" s="448" t="s">
        <v>1726</v>
      </c>
      <c r="BF108" s="634"/>
      <c r="BG108" s="634"/>
      <c r="BH108" s="634"/>
      <c r="BI108" s="634"/>
    </row>
    <row r="109" spans="1:61" ht="16.2" customHeight="1">
      <c r="A109" s="12"/>
      <c r="B109" s="446"/>
      <c r="C109" s="89"/>
      <c r="D109" s="13"/>
      <c r="E109" s="14"/>
      <c r="F109" s="14"/>
      <c r="G109" s="15"/>
      <c r="H109" s="8"/>
      <c r="I109" s="8"/>
      <c r="J109" s="89"/>
      <c r="K109" s="8"/>
      <c r="L109" s="8"/>
      <c r="M109" s="8" t="str">
        <f>IF(L109="","",
IF(AX109="PT",VLOOKUP(L109,Foundation_Calc!$V$4:$X$37,VLOOKUP(AX109,Foundation_Calc!$I$10:$J$13,2,FALSE),0),
IF(AX109="K",VLOOKUP(L109,Foundation_Calc!$V$41:$X$74,VLOOKUP(AX109,Foundation_Calc!$I$10:$J$13,2,FALSE),0),"")))</f>
        <v/>
      </c>
      <c r="N109" s="8"/>
      <c r="O109" s="8"/>
      <c r="P109" s="8"/>
      <c r="Q109" s="14"/>
      <c r="R109" s="15"/>
      <c r="S109" s="15"/>
      <c r="T109" s="14"/>
      <c r="U109" s="14"/>
      <c r="V109" s="14"/>
      <c r="W109" s="18"/>
      <c r="X109" s="18"/>
      <c r="Y109" s="18"/>
      <c r="Z109" s="18"/>
      <c r="AA109" s="18"/>
      <c r="AB109" s="18"/>
      <c r="AC109" s="8" t="str">
        <f t="shared" si="5"/>
        <v/>
      </c>
      <c r="AD109" s="8"/>
      <c r="AE109" s="8"/>
      <c r="AF109" s="14"/>
      <c r="AG109" s="13"/>
      <c r="AH109" s="14"/>
      <c r="AI109" s="14"/>
      <c r="AJ109" s="8"/>
      <c r="AK109" s="8"/>
      <c r="AL109" s="8"/>
      <c r="AM109" s="8"/>
      <c r="AN109" s="631"/>
      <c r="AO109" s="18"/>
      <c r="AP109" s="18"/>
      <c r="AQ109" s="18"/>
      <c r="AR109" s="18"/>
      <c r="AS109" s="18"/>
      <c r="AU109" s="448"/>
      <c r="AV109" s="448"/>
      <c r="AW109" s="8" t="str">
        <f>IF(C109&gt;0,VLOOKUP(C109,Foundation_Calc!$A$2:$C$986,3,1),
IF(J109&gt;0,VLOOKUP(J109,Foundation_Calc!$A$2:$C$986,3,1),""))</f>
        <v/>
      </c>
      <c r="AX109" s="8" t="str">
        <f>IF(C109&gt;0,VLOOKUP(C109,Foundation_Calc!$E$2:$G$986,3,1),
IF(J109&gt;0,VLOOKUP(J109,Foundation_Calc!$E$2:$G$986,3,1),""))</f>
        <v/>
      </c>
      <c r="AY109" s="631" t="str">
        <f>IF(L109="","",
IF(AX109="PT",VLOOKUP(L109,Foundation_Calc!$K$4:$R$37,VLOOKUP(AW109,Foundation_Calc!$I$2:$J$8,2,FALSE),0),
IF(AX109="K",VLOOKUP(L109,Foundation_Calc!$K$41:$R$74,VLOOKUP(AW109,Foundation_Calc!$I$2:$J$8,2,FALSE),0),"")))</f>
        <v/>
      </c>
      <c r="AZ109" s="631" t="str">
        <f>IF(K109="","",
IF(AX109="PT",VLOOKUP(K109,Foundation_Calc!$K$4:$R$37,VLOOKUP(AW109,Foundation_Calc!$I$2:$J$8,2,FALSE),0),
IF(AX109="K",VLOOKUP(K109,Foundation_Calc!$K$41:$R$74,VLOOKUP(AW109,Foundation_Calc!$I$2:$J$8,2,FALSE),0),"")))</f>
        <v/>
      </c>
      <c r="BA109" s="632" t="str">
        <f t="shared" si="6"/>
        <v/>
      </c>
      <c r="BB109" s="632" t="str">
        <f t="shared" si="7"/>
        <v/>
      </c>
      <c r="BC109" s="632" t="str">
        <f t="shared" si="8"/>
        <v/>
      </c>
      <c r="BD109" s="633" t="str">
        <f>IF(AND(L109="",H109=""),"",
IF(H109="",Pole_Calc!A113,
IF(H109="MP",Pole_Calc!A114,
IF(H109="AnMP",Pole_Calc!A115,
IF(H109="A",Pole_Calc!A116,
IF(H109="S/A",Pole_Calc!A117,
IF(H109="A/S",Pole_Calc!A118,"Poner a mano")))))))</f>
        <v/>
      </c>
      <c r="BE109" s="448" t="s">
        <v>1726</v>
      </c>
      <c r="BF109" s="635"/>
      <c r="BG109" s="635"/>
      <c r="BH109" s="634"/>
      <c r="BI109" s="635"/>
    </row>
    <row r="110" spans="1:61" ht="16.2" customHeight="1">
      <c r="A110" s="12"/>
      <c r="B110" s="446"/>
      <c r="C110" s="89"/>
      <c r="D110" s="13"/>
      <c r="E110" s="14"/>
      <c r="F110" s="14"/>
      <c r="G110" s="15"/>
      <c r="H110" s="8"/>
      <c r="I110" s="8"/>
      <c r="J110" s="89"/>
      <c r="K110" s="8"/>
      <c r="L110" s="8"/>
      <c r="M110" s="8" t="str">
        <f>IF(L110="","",
IF(AX110="PT",VLOOKUP(L110,Foundation_Calc!$V$4:$X$37,VLOOKUP(AX110,Foundation_Calc!$I$10:$J$13,2,FALSE),0),
IF(AX110="K",VLOOKUP(L110,Foundation_Calc!$V$41:$X$74,VLOOKUP(AX110,Foundation_Calc!$I$10:$J$13,2,FALSE),0),"")))</f>
        <v/>
      </c>
      <c r="N110" s="8"/>
      <c r="O110" s="8"/>
      <c r="P110" s="8"/>
      <c r="Q110" s="14"/>
      <c r="R110" s="15"/>
      <c r="S110" s="15"/>
      <c r="T110" s="14"/>
      <c r="U110" s="14"/>
      <c r="V110" s="14"/>
      <c r="W110" s="18"/>
      <c r="X110" s="18"/>
      <c r="Y110" s="18"/>
      <c r="Z110" s="18"/>
      <c r="AA110" s="18"/>
      <c r="AB110" s="18"/>
      <c r="AC110" s="8" t="str">
        <f t="shared" si="5"/>
        <v/>
      </c>
      <c r="AD110" s="8"/>
      <c r="AE110" s="8"/>
      <c r="AF110" s="14"/>
      <c r="AG110" s="13"/>
      <c r="AH110" s="14"/>
      <c r="AI110" s="14"/>
      <c r="AJ110" s="8"/>
      <c r="AK110" s="8"/>
      <c r="AL110" s="8"/>
      <c r="AM110" s="8"/>
      <c r="AN110" s="631"/>
      <c r="AO110" s="18"/>
      <c r="AP110" s="18"/>
      <c r="AQ110" s="18"/>
      <c r="AR110" s="18"/>
      <c r="AS110" s="18"/>
      <c r="AU110" s="448"/>
      <c r="AV110" s="448"/>
      <c r="AW110" s="8" t="str">
        <f>IF(C110&gt;0,VLOOKUP(C110,Foundation_Calc!$A$2:$C$986,3,1),
IF(J110&gt;0,VLOOKUP(J110,Foundation_Calc!$A$2:$C$986,3,1),""))</f>
        <v/>
      </c>
      <c r="AX110" s="8" t="str">
        <f>IF(C110&gt;0,VLOOKUP(C110,Foundation_Calc!$E$2:$G$986,3,1),
IF(J110&gt;0,VLOOKUP(J110,Foundation_Calc!$E$2:$G$986,3,1),""))</f>
        <v/>
      </c>
      <c r="AY110" s="631" t="str">
        <f>IF(L110="","",
IF(AX110="PT",VLOOKUP(L110,Foundation_Calc!$K$4:$R$37,VLOOKUP(AW110,Foundation_Calc!$I$2:$J$8,2,FALSE),0),
IF(AX110="K",VLOOKUP(L110,Foundation_Calc!$K$41:$R$74,VLOOKUP(AW110,Foundation_Calc!$I$2:$J$8,2,FALSE),0),"")))</f>
        <v/>
      </c>
      <c r="AZ110" s="631" t="str">
        <f>IF(K110="","",
IF(AX110="PT",VLOOKUP(K110,Foundation_Calc!$K$4:$R$37,VLOOKUP(AW110,Foundation_Calc!$I$2:$J$8,2,FALSE),0),
IF(AX110="K",VLOOKUP(K110,Foundation_Calc!$K$41:$R$74,VLOOKUP(AW110,Foundation_Calc!$I$2:$J$8,2,FALSE),0),"")))</f>
        <v/>
      </c>
      <c r="BA110" s="632" t="str">
        <f t="shared" si="6"/>
        <v/>
      </c>
      <c r="BB110" s="632" t="str">
        <f t="shared" si="7"/>
        <v/>
      </c>
      <c r="BC110" s="632" t="str">
        <f t="shared" si="8"/>
        <v/>
      </c>
      <c r="BD110" s="633" t="str">
        <f>IF(AND(L110="",H110=""),"",
IF(H110="",Pole_Calc!A114,
IF(H110="MP",Pole_Calc!A115,
IF(H110="AnMP",Pole_Calc!A116,
IF(H110="A",Pole_Calc!A117,
IF(H110="S/A",Pole_Calc!A118,
IF(H110="A/S",Pole_Calc!A119,"Poner a mano")))))))</f>
        <v/>
      </c>
      <c r="BE110" s="448" t="s">
        <v>1726</v>
      </c>
      <c r="BF110" s="634"/>
      <c r="BG110" s="634"/>
      <c r="BH110" s="634"/>
      <c r="BI110" s="634"/>
    </row>
    <row r="111" spans="1:61" ht="16.2" customHeight="1">
      <c r="A111" s="12"/>
      <c r="B111" s="446"/>
      <c r="C111" s="89"/>
      <c r="D111" s="13"/>
      <c r="E111" s="14"/>
      <c r="F111" s="14"/>
      <c r="G111" s="15"/>
      <c r="H111" s="8"/>
      <c r="I111" s="8"/>
      <c r="J111" s="89"/>
      <c r="K111" s="8"/>
      <c r="L111" s="8"/>
      <c r="M111" s="8" t="str">
        <f>IF(L111="","",
IF(AX111="PT",VLOOKUP(L111,Foundation_Calc!$V$4:$X$37,VLOOKUP(AX111,Foundation_Calc!$I$10:$J$13,2,FALSE),0),
IF(AX111="K",VLOOKUP(L111,Foundation_Calc!$V$41:$X$74,VLOOKUP(AX111,Foundation_Calc!$I$10:$J$13,2,FALSE),0),"")))</f>
        <v/>
      </c>
      <c r="N111" s="8"/>
      <c r="O111" s="8"/>
      <c r="P111" s="8"/>
      <c r="Q111" s="14"/>
      <c r="R111" s="15"/>
      <c r="S111" s="15"/>
      <c r="T111" s="14"/>
      <c r="U111" s="14"/>
      <c r="V111" s="14"/>
      <c r="W111" s="18"/>
      <c r="X111" s="18"/>
      <c r="Y111" s="18"/>
      <c r="Z111" s="18"/>
      <c r="AA111" s="18"/>
      <c r="AB111" s="18"/>
      <c r="AC111" s="8" t="str">
        <f t="shared" si="5"/>
        <v/>
      </c>
      <c r="AD111" s="8"/>
      <c r="AE111" s="8"/>
      <c r="AF111" s="14"/>
      <c r="AG111" s="13"/>
      <c r="AH111" s="14"/>
      <c r="AI111" s="14"/>
      <c r="AJ111" s="8"/>
      <c r="AK111" s="8"/>
      <c r="AL111" s="8"/>
      <c r="AM111" s="8"/>
      <c r="AN111" s="631"/>
      <c r="AO111" s="18"/>
      <c r="AP111" s="18"/>
      <c r="AQ111" s="18"/>
      <c r="AR111" s="18"/>
      <c r="AS111" s="18"/>
      <c r="AU111" s="448"/>
      <c r="AV111" s="448"/>
      <c r="AW111" s="8" t="str">
        <f>IF(C111&gt;0,VLOOKUP(C111,Foundation_Calc!$A$2:$C$986,3,1),
IF(J111&gt;0,VLOOKUP(J111,Foundation_Calc!$A$2:$C$986,3,1),""))</f>
        <v/>
      </c>
      <c r="AX111" s="8" t="str">
        <f>IF(C111&gt;0,VLOOKUP(C111,Foundation_Calc!$E$2:$G$986,3,1),
IF(J111&gt;0,VLOOKUP(J111,Foundation_Calc!$E$2:$G$986,3,1),""))</f>
        <v/>
      </c>
      <c r="AY111" s="631" t="str">
        <f>IF(L111="","",
IF(AX111="PT",VLOOKUP(L111,Foundation_Calc!$K$4:$R$37,VLOOKUP(AW111,Foundation_Calc!$I$2:$J$8,2,FALSE),0),
IF(AX111="K",VLOOKUP(L111,Foundation_Calc!$K$41:$R$74,VLOOKUP(AW111,Foundation_Calc!$I$2:$J$8,2,FALSE),0),"")))</f>
        <v/>
      </c>
      <c r="AZ111" s="631" t="str">
        <f>IF(K111="","",
IF(AX111="PT",VLOOKUP(K111,Foundation_Calc!$K$4:$R$37,VLOOKUP(AW111,Foundation_Calc!$I$2:$J$8,2,FALSE),0),
IF(AX111="K",VLOOKUP(K111,Foundation_Calc!$K$41:$R$74,VLOOKUP(AW111,Foundation_Calc!$I$2:$J$8,2,FALSE),0),"")))</f>
        <v/>
      </c>
      <c r="BA111" s="632" t="str">
        <f t="shared" si="6"/>
        <v/>
      </c>
      <c r="BB111" s="632" t="str">
        <f t="shared" si="7"/>
        <v/>
      </c>
      <c r="BC111" s="632" t="str">
        <f t="shared" si="8"/>
        <v/>
      </c>
      <c r="BD111" s="633" t="str">
        <f>IF(AND(L111="",H111=""),"",
IF(H111="",Pole_Calc!A115,
IF(H111="MP",Pole_Calc!A116,
IF(H111="AnMP",Pole_Calc!A117,
IF(H111="A",Pole_Calc!A118,
IF(H111="S/A",Pole_Calc!A119,
IF(H111="A/S",Pole_Calc!A120,"Poner a mano")))))))</f>
        <v/>
      </c>
      <c r="BE111" s="448" t="s">
        <v>1726</v>
      </c>
      <c r="BF111" s="635"/>
      <c r="BG111" s="635"/>
      <c r="BH111" s="634"/>
      <c r="BI111" s="635"/>
    </row>
    <row r="112" spans="1:61" ht="16.2" customHeight="1">
      <c r="A112" s="12"/>
      <c r="B112" s="446"/>
      <c r="C112" s="89"/>
      <c r="D112" s="13"/>
      <c r="E112" s="14"/>
      <c r="F112" s="14"/>
      <c r="G112" s="15"/>
      <c r="H112" s="8"/>
      <c r="I112" s="8"/>
      <c r="J112" s="89"/>
      <c r="K112" s="8"/>
      <c r="L112" s="8"/>
      <c r="M112" s="8" t="str">
        <f>IF(L112="","",
IF(AX112="PT",VLOOKUP(L112,Foundation_Calc!$V$4:$X$37,VLOOKUP(AX112,Foundation_Calc!$I$10:$J$13,2,FALSE),0),
IF(AX112="K",VLOOKUP(L112,Foundation_Calc!$V$41:$X$74,VLOOKUP(AX112,Foundation_Calc!$I$10:$J$13,2,FALSE),0),"")))</f>
        <v/>
      </c>
      <c r="N112" s="8"/>
      <c r="O112" s="8"/>
      <c r="P112" s="8"/>
      <c r="Q112" s="14"/>
      <c r="R112" s="15"/>
      <c r="S112" s="15"/>
      <c r="T112" s="14"/>
      <c r="U112" s="14"/>
      <c r="V112" s="14"/>
      <c r="W112" s="18"/>
      <c r="X112" s="18"/>
      <c r="Y112" s="18"/>
      <c r="Z112" s="18"/>
      <c r="AA112" s="18"/>
      <c r="AB112" s="18"/>
      <c r="AC112" s="8" t="str">
        <f t="shared" si="5"/>
        <v/>
      </c>
      <c r="AD112" s="8"/>
      <c r="AE112" s="8"/>
      <c r="AF112" s="14"/>
      <c r="AG112" s="13"/>
      <c r="AH112" s="14"/>
      <c r="AI112" s="14"/>
      <c r="AJ112" s="8"/>
      <c r="AK112" s="8"/>
      <c r="AL112" s="8"/>
      <c r="AM112" s="8"/>
      <c r="AN112" s="631"/>
      <c r="AO112" s="18"/>
      <c r="AP112" s="18"/>
      <c r="AQ112" s="18"/>
      <c r="AR112" s="18"/>
      <c r="AS112" s="18"/>
      <c r="AU112" s="448"/>
      <c r="AV112" s="448"/>
      <c r="AW112" s="8" t="str">
        <f>IF(C112&gt;0,VLOOKUP(C112,Foundation_Calc!$A$2:$C$986,3,1),
IF(J112&gt;0,VLOOKUP(J112,Foundation_Calc!$A$2:$C$986,3,1),""))</f>
        <v/>
      </c>
      <c r="AX112" s="8" t="str">
        <f>IF(C112&gt;0,VLOOKUP(C112,Foundation_Calc!$E$2:$G$986,3,1),
IF(J112&gt;0,VLOOKUP(J112,Foundation_Calc!$E$2:$G$986,3,1),""))</f>
        <v/>
      </c>
      <c r="AY112" s="631" t="str">
        <f>IF(L112="","",
IF(AX112="PT",VLOOKUP(L112,Foundation_Calc!$K$4:$R$37,VLOOKUP(AW112,Foundation_Calc!$I$2:$J$8,2,FALSE),0),
IF(AX112="K",VLOOKUP(L112,Foundation_Calc!$K$41:$R$74,VLOOKUP(AW112,Foundation_Calc!$I$2:$J$8,2,FALSE),0),"")))</f>
        <v/>
      </c>
      <c r="AZ112" s="631" t="str">
        <f>IF(K112="","",
IF(AX112="PT",VLOOKUP(K112,Foundation_Calc!$K$4:$R$37,VLOOKUP(AW112,Foundation_Calc!$I$2:$J$8,2,FALSE),0),
IF(AX112="K",VLOOKUP(K112,Foundation_Calc!$K$41:$R$74,VLOOKUP(AW112,Foundation_Calc!$I$2:$J$8,2,FALSE),0),"")))</f>
        <v/>
      </c>
      <c r="BA112" s="632" t="str">
        <f t="shared" si="6"/>
        <v/>
      </c>
      <c r="BB112" s="632" t="str">
        <f t="shared" si="7"/>
        <v/>
      </c>
      <c r="BC112" s="632" t="str">
        <f t="shared" si="8"/>
        <v/>
      </c>
      <c r="BD112" s="633" t="str">
        <f>IF(AND(L112="",H112=""),"",
IF(H112="",Pole_Calc!A116,
IF(H112="MP",Pole_Calc!A117,
IF(H112="AnMP",Pole_Calc!A118,
IF(H112="A",Pole_Calc!A119,
IF(H112="S/A",Pole_Calc!A120,
IF(H112="A/S",Pole_Calc!A121,"Poner a mano")))))))</f>
        <v/>
      </c>
      <c r="BE112" s="448" t="s">
        <v>1726</v>
      </c>
      <c r="BF112" s="634"/>
      <c r="BG112" s="634"/>
      <c r="BH112" s="634"/>
      <c r="BI112" s="634"/>
    </row>
    <row r="113" spans="1:61" ht="16.2" customHeight="1">
      <c r="A113" s="12"/>
      <c r="B113" s="446"/>
      <c r="C113" s="89"/>
      <c r="D113" s="13"/>
      <c r="E113" s="14"/>
      <c r="F113" s="14"/>
      <c r="G113" s="15"/>
      <c r="H113" s="8"/>
      <c r="I113" s="8"/>
      <c r="J113" s="89"/>
      <c r="K113" s="8"/>
      <c r="L113" s="8"/>
      <c r="M113" s="8" t="str">
        <f>IF(L113="","",
IF(AX113="PT",VLOOKUP(L113,Foundation_Calc!$V$4:$X$37,VLOOKUP(AX113,Foundation_Calc!$I$10:$J$13,2,FALSE),0),
IF(AX113="K",VLOOKUP(L113,Foundation_Calc!$V$41:$X$74,VLOOKUP(AX113,Foundation_Calc!$I$10:$J$13,2,FALSE),0),"")))</f>
        <v/>
      </c>
      <c r="N113" s="8"/>
      <c r="O113" s="8"/>
      <c r="P113" s="8"/>
      <c r="Q113" s="14"/>
      <c r="R113" s="15"/>
      <c r="S113" s="15"/>
      <c r="T113" s="14"/>
      <c r="U113" s="14"/>
      <c r="V113" s="14"/>
      <c r="W113" s="18"/>
      <c r="X113" s="18"/>
      <c r="Y113" s="18"/>
      <c r="Z113" s="18"/>
      <c r="AA113" s="18"/>
      <c r="AB113" s="18"/>
      <c r="AC113" s="8" t="str">
        <f t="shared" si="5"/>
        <v/>
      </c>
      <c r="AD113" s="8"/>
      <c r="AE113" s="8"/>
      <c r="AF113" s="14"/>
      <c r="AG113" s="13"/>
      <c r="AH113" s="14"/>
      <c r="AI113" s="14"/>
      <c r="AJ113" s="8"/>
      <c r="AK113" s="8"/>
      <c r="AL113" s="8"/>
      <c r="AM113" s="8"/>
      <c r="AN113" s="631"/>
      <c r="AO113" s="18"/>
      <c r="AP113" s="18"/>
      <c r="AQ113" s="18"/>
      <c r="AR113" s="18"/>
      <c r="AS113" s="18"/>
      <c r="AU113" s="448"/>
      <c r="AV113" s="448"/>
      <c r="AW113" s="8" t="str">
        <f>IF(C113&gt;0,VLOOKUP(C113,Foundation_Calc!$A$2:$C$986,3,1),
IF(J113&gt;0,VLOOKUP(J113,Foundation_Calc!$A$2:$C$986,3,1),""))</f>
        <v/>
      </c>
      <c r="AX113" s="8" t="str">
        <f>IF(C113&gt;0,VLOOKUP(C113,Foundation_Calc!$E$2:$G$986,3,1),
IF(J113&gt;0,VLOOKUP(J113,Foundation_Calc!$E$2:$G$986,3,1),""))</f>
        <v/>
      </c>
      <c r="AY113" s="631" t="str">
        <f>IF(L113="","",
IF(AX113="PT",VLOOKUP(L113,Foundation_Calc!$K$4:$R$37,VLOOKUP(AW113,Foundation_Calc!$I$2:$J$8,2,FALSE),0),
IF(AX113="K",VLOOKUP(L113,Foundation_Calc!$K$41:$R$74,VLOOKUP(AW113,Foundation_Calc!$I$2:$J$8,2,FALSE),0),"")))</f>
        <v/>
      </c>
      <c r="AZ113" s="631" t="str">
        <f>IF(K113="","",
IF(AX113="PT",VLOOKUP(K113,Foundation_Calc!$K$4:$R$37,VLOOKUP(AW113,Foundation_Calc!$I$2:$J$8,2,FALSE),0),
IF(AX113="K",VLOOKUP(K113,Foundation_Calc!$K$41:$R$74,VLOOKUP(AW113,Foundation_Calc!$I$2:$J$8,2,FALSE),0),"")))</f>
        <v/>
      </c>
      <c r="BA113" s="632" t="str">
        <f t="shared" si="6"/>
        <v/>
      </c>
      <c r="BB113" s="632" t="str">
        <f t="shared" si="7"/>
        <v/>
      </c>
      <c r="BC113" s="632" t="str">
        <f t="shared" si="8"/>
        <v/>
      </c>
      <c r="BD113" s="633" t="str">
        <f>IF(AND(L113="",H113=""),"",
IF(H113="",Pole_Calc!A117,
IF(H113="MP",Pole_Calc!A118,
IF(H113="AnMP",Pole_Calc!A119,
IF(H113="A",Pole_Calc!A120,
IF(H113="S/A",Pole_Calc!A121,
IF(H113="A/S",Pole_Calc!A122,"Poner a mano")))))))</f>
        <v/>
      </c>
      <c r="BE113" s="448" t="s">
        <v>1726</v>
      </c>
      <c r="BF113" s="635"/>
      <c r="BG113" s="635"/>
      <c r="BH113" s="634"/>
      <c r="BI113" s="635"/>
    </row>
    <row r="114" spans="1:61" ht="16.2" customHeight="1">
      <c r="A114" s="12"/>
      <c r="B114" s="446"/>
      <c r="C114" s="89"/>
      <c r="D114" s="13"/>
      <c r="E114" s="14"/>
      <c r="F114" s="14"/>
      <c r="G114" s="15"/>
      <c r="H114" s="8"/>
      <c r="I114" s="8"/>
      <c r="J114" s="89"/>
      <c r="K114" s="8"/>
      <c r="L114" s="8"/>
      <c r="M114" s="8" t="str">
        <f>IF(L114="","",
IF(AX114="PT",VLOOKUP(L114,Foundation_Calc!$V$4:$X$37,VLOOKUP(AX114,Foundation_Calc!$I$10:$J$13,2,FALSE),0),
IF(AX114="K",VLOOKUP(L114,Foundation_Calc!$V$41:$X$74,VLOOKUP(AX114,Foundation_Calc!$I$10:$J$13,2,FALSE),0),"")))</f>
        <v/>
      </c>
      <c r="N114" s="8"/>
      <c r="O114" s="8"/>
      <c r="P114" s="8"/>
      <c r="Q114" s="14"/>
      <c r="R114" s="15"/>
      <c r="S114" s="15"/>
      <c r="T114" s="14"/>
      <c r="U114" s="14"/>
      <c r="V114" s="14"/>
      <c r="W114" s="18"/>
      <c r="X114" s="18"/>
      <c r="Y114" s="18"/>
      <c r="Z114" s="18"/>
      <c r="AA114" s="18"/>
      <c r="AB114" s="18"/>
      <c r="AC114" s="8" t="str">
        <f t="shared" si="5"/>
        <v/>
      </c>
      <c r="AD114" s="8"/>
      <c r="AE114" s="8"/>
      <c r="AF114" s="14"/>
      <c r="AG114" s="13"/>
      <c r="AH114" s="14"/>
      <c r="AI114" s="14"/>
      <c r="AJ114" s="8"/>
      <c r="AK114" s="8"/>
      <c r="AL114" s="8"/>
      <c r="AM114" s="8"/>
      <c r="AN114" s="631"/>
      <c r="AO114" s="18"/>
      <c r="AP114" s="18"/>
      <c r="AQ114" s="18"/>
      <c r="AR114" s="18"/>
      <c r="AS114" s="18"/>
      <c r="AU114" s="448"/>
      <c r="AV114" s="448"/>
      <c r="AW114" s="8" t="str">
        <f>IF(C114&gt;0,VLOOKUP(C114,Foundation_Calc!$A$2:$C$986,3,1),
IF(J114&gt;0,VLOOKUP(J114,Foundation_Calc!$A$2:$C$986,3,1),""))</f>
        <v/>
      </c>
      <c r="AX114" s="8" t="str">
        <f>IF(C114&gt;0,VLOOKUP(C114,Foundation_Calc!$E$2:$G$986,3,1),
IF(J114&gt;0,VLOOKUP(J114,Foundation_Calc!$E$2:$G$986,3,1),""))</f>
        <v/>
      </c>
      <c r="AY114" s="631" t="str">
        <f>IF(L114="","",
IF(AX114="PT",VLOOKUP(L114,Foundation_Calc!$K$4:$R$37,VLOOKUP(AW114,Foundation_Calc!$I$2:$J$8,2,FALSE),0),
IF(AX114="K",VLOOKUP(L114,Foundation_Calc!$K$41:$R$74,VLOOKUP(AW114,Foundation_Calc!$I$2:$J$8,2,FALSE),0),"")))</f>
        <v/>
      </c>
      <c r="AZ114" s="631" t="str">
        <f>IF(K114="","",
IF(AX114="PT",VLOOKUP(K114,Foundation_Calc!$K$4:$R$37,VLOOKUP(AW114,Foundation_Calc!$I$2:$J$8,2,FALSE),0),
IF(AX114="K",VLOOKUP(K114,Foundation_Calc!$K$41:$R$74,VLOOKUP(AW114,Foundation_Calc!$I$2:$J$8,2,FALSE),0),"")))</f>
        <v/>
      </c>
      <c r="BA114" s="632" t="str">
        <f t="shared" si="6"/>
        <v/>
      </c>
      <c r="BB114" s="632" t="str">
        <f t="shared" si="7"/>
        <v/>
      </c>
      <c r="BC114" s="632" t="str">
        <f t="shared" si="8"/>
        <v/>
      </c>
      <c r="BD114" s="633" t="str">
        <f>IF(AND(L114="",H114=""),"",
IF(H114="",Pole_Calc!A118,
IF(H114="MP",Pole_Calc!A119,
IF(H114="AnMP",Pole_Calc!A120,
IF(H114="A",Pole_Calc!A121,
IF(H114="S/A",Pole_Calc!A122,
IF(H114="A/S",Pole_Calc!A123,"Poner a mano")))))))</f>
        <v/>
      </c>
      <c r="BE114" s="448" t="s">
        <v>1726</v>
      </c>
      <c r="BF114" s="634"/>
      <c r="BG114" s="634"/>
      <c r="BH114" s="634"/>
      <c r="BI114" s="634"/>
    </row>
    <row r="115" spans="1:61" ht="16.2" customHeight="1">
      <c r="A115" s="12"/>
      <c r="B115" s="446"/>
      <c r="C115" s="89"/>
      <c r="D115" s="13"/>
      <c r="E115" s="14"/>
      <c r="F115" s="14"/>
      <c r="G115" s="15"/>
      <c r="H115" s="8"/>
      <c r="I115" s="8"/>
      <c r="J115" s="89"/>
      <c r="K115" s="8"/>
      <c r="L115" s="8"/>
      <c r="M115" s="8" t="str">
        <f>IF(L115="","",
IF(AX115="PT",VLOOKUP(L115,Foundation_Calc!$V$4:$X$37,VLOOKUP(AX115,Foundation_Calc!$I$10:$J$13,2,FALSE),0),
IF(AX115="K",VLOOKUP(L115,Foundation_Calc!$V$41:$X$74,VLOOKUP(AX115,Foundation_Calc!$I$10:$J$13,2,FALSE),0),"")))</f>
        <v/>
      </c>
      <c r="N115" s="8"/>
      <c r="O115" s="8"/>
      <c r="P115" s="8"/>
      <c r="Q115" s="14"/>
      <c r="R115" s="15"/>
      <c r="S115" s="15"/>
      <c r="T115" s="14"/>
      <c r="U115" s="14"/>
      <c r="V115" s="14"/>
      <c r="W115" s="18"/>
      <c r="X115" s="18"/>
      <c r="Y115" s="18"/>
      <c r="Z115" s="18"/>
      <c r="AA115" s="18"/>
      <c r="AB115" s="18"/>
      <c r="AC115" s="8" t="str">
        <f t="shared" si="5"/>
        <v/>
      </c>
      <c r="AD115" s="8"/>
      <c r="AE115" s="8"/>
      <c r="AF115" s="14"/>
      <c r="AG115" s="13"/>
      <c r="AH115" s="14"/>
      <c r="AI115" s="14"/>
      <c r="AJ115" s="8"/>
      <c r="AK115" s="8"/>
      <c r="AL115" s="8"/>
      <c r="AM115" s="8"/>
      <c r="AN115" s="631"/>
      <c r="AO115" s="18"/>
      <c r="AP115" s="18"/>
      <c r="AQ115" s="18"/>
      <c r="AR115" s="18"/>
      <c r="AS115" s="18"/>
      <c r="AU115" s="448"/>
      <c r="AV115" s="448"/>
      <c r="AW115" s="8" t="str">
        <f>IF(C115&gt;0,VLOOKUP(C115,Foundation_Calc!$A$2:$C$986,3,1),
IF(J115&gt;0,VLOOKUP(J115,Foundation_Calc!$A$2:$C$986,3,1),""))</f>
        <v/>
      </c>
      <c r="AX115" s="8" t="str">
        <f>IF(C115&gt;0,VLOOKUP(C115,Foundation_Calc!$E$2:$G$986,3,1),
IF(J115&gt;0,VLOOKUP(J115,Foundation_Calc!$E$2:$G$986,3,1),""))</f>
        <v/>
      </c>
      <c r="AY115" s="631" t="str">
        <f>IF(L115="","",
IF(AX115="PT",VLOOKUP(L115,Foundation_Calc!$K$4:$R$37,VLOOKUP(AW115,Foundation_Calc!$I$2:$J$8,2,FALSE),0),
IF(AX115="K",VLOOKUP(L115,Foundation_Calc!$K$41:$R$74,VLOOKUP(AW115,Foundation_Calc!$I$2:$J$8,2,FALSE),0),"")))</f>
        <v/>
      </c>
      <c r="AZ115" s="631" t="str">
        <f>IF(K115="","",
IF(AX115="PT",VLOOKUP(K115,Foundation_Calc!$K$4:$R$37,VLOOKUP(AW115,Foundation_Calc!$I$2:$J$8,2,FALSE),0),
IF(AX115="K",VLOOKUP(K115,Foundation_Calc!$K$41:$R$74,VLOOKUP(AW115,Foundation_Calc!$I$2:$J$8,2,FALSE),0),"")))</f>
        <v/>
      </c>
      <c r="BA115" s="632" t="str">
        <f t="shared" si="6"/>
        <v/>
      </c>
      <c r="BB115" s="632" t="str">
        <f t="shared" si="7"/>
        <v/>
      </c>
      <c r="BC115" s="632" t="str">
        <f t="shared" si="8"/>
        <v/>
      </c>
      <c r="BD115" s="633" t="str">
        <f>IF(AND(L115="",H115=""),"",
IF(H115="",Pole_Calc!A119,
IF(H115="MP",Pole_Calc!A120,
IF(H115="AnMP",Pole_Calc!A121,
IF(H115="A",Pole_Calc!A122,
IF(H115="S/A",Pole_Calc!A123,
IF(H115="A/S",Pole_Calc!A124,"Poner a mano")))))))</f>
        <v/>
      </c>
      <c r="BE115" s="448" t="s">
        <v>1726</v>
      </c>
      <c r="BF115" s="635"/>
      <c r="BG115" s="635"/>
      <c r="BH115" s="634"/>
      <c r="BI115" s="635"/>
    </row>
    <row r="116" spans="1:61" ht="16.2" customHeight="1">
      <c r="A116" s="12"/>
      <c r="B116" s="446"/>
      <c r="C116" s="89"/>
      <c r="D116" s="13"/>
      <c r="E116" s="14"/>
      <c r="F116" s="14"/>
      <c r="G116" s="15"/>
      <c r="H116" s="8"/>
      <c r="I116" s="8"/>
      <c r="J116" s="89"/>
      <c r="K116" s="8"/>
      <c r="L116" s="8"/>
      <c r="M116" s="8" t="str">
        <f>IF(L116="","",
IF(AX116="PT",VLOOKUP(L116,Foundation_Calc!$V$4:$X$37,VLOOKUP(AX116,Foundation_Calc!$I$10:$J$13,2,FALSE),0),
IF(AX116="K",VLOOKUP(L116,Foundation_Calc!$V$41:$X$74,VLOOKUP(AX116,Foundation_Calc!$I$10:$J$13,2,FALSE),0),"")))</f>
        <v/>
      </c>
      <c r="N116" s="8"/>
      <c r="O116" s="8"/>
      <c r="P116" s="8"/>
      <c r="Q116" s="14"/>
      <c r="R116" s="15"/>
      <c r="S116" s="15"/>
      <c r="T116" s="14"/>
      <c r="U116" s="14"/>
      <c r="V116" s="14"/>
      <c r="W116" s="18"/>
      <c r="X116" s="18"/>
      <c r="Y116" s="18"/>
      <c r="Z116" s="18"/>
      <c r="AA116" s="18"/>
      <c r="AB116" s="18"/>
      <c r="AC116" s="8" t="str">
        <f t="shared" si="5"/>
        <v/>
      </c>
      <c r="AD116" s="8"/>
      <c r="AE116" s="8"/>
      <c r="AF116" s="14"/>
      <c r="AG116" s="13"/>
      <c r="AH116" s="14"/>
      <c r="AI116" s="14"/>
      <c r="AJ116" s="8"/>
      <c r="AK116" s="8"/>
      <c r="AL116" s="8"/>
      <c r="AM116" s="8"/>
      <c r="AN116" s="631"/>
      <c r="AO116" s="18"/>
      <c r="AP116" s="18"/>
      <c r="AQ116" s="18"/>
      <c r="AR116" s="18"/>
      <c r="AS116" s="18"/>
      <c r="AU116" s="448"/>
      <c r="AV116" s="448"/>
      <c r="AW116" s="8" t="str">
        <f>IF(C116&gt;0,VLOOKUP(C116,Foundation_Calc!$A$2:$C$986,3,1),
IF(J116&gt;0,VLOOKUP(J116,Foundation_Calc!$A$2:$C$986,3,1),""))</f>
        <v/>
      </c>
      <c r="AX116" s="8" t="str">
        <f>IF(C116&gt;0,VLOOKUP(C116,Foundation_Calc!$E$2:$G$986,3,1),
IF(J116&gt;0,VLOOKUP(J116,Foundation_Calc!$E$2:$G$986,3,1),""))</f>
        <v/>
      </c>
      <c r="AY116" s="631" t="str">
        <f>IF(L116="","",
IF(AX116="PT",VLOOKUP(L116,Foundation_Calc!$K$4:$R$37,VLOOKUP(AW116,Foundation_Calc!$I$2:$J$8,2,FALSE),0),
IF(AX116="K",VLOOKUP(L116,Foundation_Calc!$K$41:$R$74,VLOOKUP(AW116,Foundation_Calc!$I$2:$J$8,2,FALSE),0),"")))</f>
        <v/>
      </c>
      <c r="AZ116" s="631" t="str">
        <f>IF(K116="","",
IF(AX116="PT",VLOOKUP(K116,Foundation_Calc!$K$4:$R$37,VLOOKUP(AW116,Foundation_Calc!$I$2:$J$8,2,FALSE),0),
IF(AX116="K",VLOOKUP(K116,Foundation_Calc!$K$41:$R$74,VLOOKUP(AW116,Foundation_Calc!$I$2:$J$8,2,FALSE),0),"")))</f>
        <v/>
      </c>
      <c r="BA116" s="632" t="str">
        <f t="shared" si="6"/>
        <v/>
      </c>
      <c r="BB116" s="632" t="str">
        <f t="shared" si="7"/>
        <v/>
      </c>
      <c r="BC116" s="632" t="str">
        <f t="shared" si="8"/>
        <v/>
      </c>
      <c r="BD116" s="633" t="str">
        <f>IF(AND(L116="",H116=""),"",
IF(H116="",Pole_Calc!A120,
IF(H116="MP",Pole_Calc!A121,
IF(H116="AnMP",Pole_Calc!A122,
IF(H116="A",Pole_Calc!A123,
IF(H116="S/A",Pole_Calc!A124,
IF(H116="A/S",Pole_Calc!A125,"Poner a mano")))))))</f>
        <v/>
      </c>
      <c r="BE116" s="448" t="s">
        <v>1726</v>
      </c>
      <c r="BF116" s="634"/>
      <c r="BG116" s="634"/>
      <c r="BH116" s="634"/>
      <c r="BI116" s="634"/>
    </row>
    <row r="117" spans="1:61" ht="16.2" customHeight="1">
      <c r="A117" s="12"/>
      <c r="B117" s="446"/>
      <c r="C117" s="89"/>
      <c r="D117" s="13"/>
      <c r="E117" s="14"/>
      <c r="F117" s="14"/>
      <c r="G117" s="15"/>
      <c r="H117" s="8"/>
      <c r="I117" s="8"/>
      <c r="J117" s="89"/>
      <c r="K117" s="8"/>
      <c r="L117" s="8"/>
      <c r="M117" s="8" t="str">
        <f>IF(L117="","",
IF(AX117="PT",VLOOKUP(L117,Foundation_Calc!$V$4:$X$37,VLOOKUP(AX117,Foundation_Calc!$I$10:$J$13,2,FALSE),0),
IF(AX117="K",VLOOKUP(L117,Foundation_Calc!$V$41:$X$74,VLOOKUP(AX117,Foundation_Calc!$I$10:$J$13,2,FALSE),0),"")))</f>
        <v/>
      </c>
      <c r="N117" s="8"/>
      <c r="O117" s="8"/>
      <c r="P117" s="8"/>
      <c r="Q117" s="14"/>
      <c r="R117" s="15"/>
      <c r="S117" s="15"/>
      <c r="T117" s="14"/>
      <c r="U117" s="14"/>
      <c r="V117" s="14"/>
      <c r="W117" s="18"/>
      <c r="X117" s="18"/>
      <c r="Y117" s="18"/>
      <c r="Z117" s="18"/>
      <c r="AA117" s="18"/>
      <c r="AB117" s="18"/>
      <c r="AC117" s="8" t="str">
        <f t="shared" si="5"/>
        <v/>
      </c>
      <c r="AD117" s="8"/>
      <c r="AE117" s="8"/>
      <c r="AF117" s="14"/>
      <c r="AG117" s="13"/>
      <c r="AH117" s="14"/>
      <c r="AI117" s="14"/>
      <c r="AJ117" s="8"/>
      <c r="AK117" s="8"/>
      <c r="AL117" s="8"/>
      <c r="AM117" s="8"/>
      <c r="AN117" s="631"/>
      <c r="AO117" s="18"/>
      <c r="AP117" s="18"/>
      <c r="AQ117" s="18"/>
      <c r="AR117" s="18"/>
      <c r="AS117" s="18"/>
      <c r="AU117" s="448"/>
      <c r="AV117" s="448"/>
      <c r="AW117" s="8" t="str">
        <f>IF(C117&gt;0,VLOOKUP(C117,Foundation_Calc!$A$2:$C$986,3,1),
IF(J117&gt;0,VLOOKUP(J117,Foundation_Calc!$A$2:$C$986,3,1),""))</f>
        <v/>
      </c>
      <c r="AX117" s="8" t="str">
        <f>IF(C117&gt;0,VLOOKUP(C117,Foundation_Calc!$E$2:$G$986,3,1),
IF(J117&gt;0,VLOOKUP(J117,Foundation_Calc!$E$2:$G$986,3,1),""))</f>
        <v/>
      </c>
      <c r="AY117" s="631" t="str">
        <f>IF(L117="","",
IF(AX117="PT",VLOOKUP(L117,Foundation_Calc!$K$4:$R$37,VLOOKUP(AW117,Foundation_Calc!$I$2:$J$8,2,FALSE),0),
IF(AX117="K",VLOOKUP(L117,Foundation_Calc!$K$41:$R$74,VLOOKUP(AW117,Foundation_Calc!$I$2:$J$8,2,FALSE),0),"")))</f>
        <v/>
      </c>
      <c r="AZ117" s="631" t="str">
        <f>IF(K117="","",
IF(AX117="PT",VLOOKUP(K117,Foundation_Calc!$K$4:$R$37,VLOOKUP(AW117,Foundation_Calc!$I$2:$J$8,2,FALSE),0),
IF(AX117="K",VLOOKUP(K117,Foundation_Calc!$K$41:$R$74,VLOOKUP(AW117,Foundation_Calc!$I$2:$J$8,2,FALSE),0),"")))</f>
        <v/>
      </c>
      <c r="BA117" s="632" t="str">
        <f t="shared" si="6"/>
        <v/>
      </c>
      <c r="BB117" s="632" t="str">
        <f t="shared" si="7"/>
        <v/>
      </c>
      <c r="BC117" s="632" t="str">
        <f t="shared" si="8"/>
        <v/>
      </c>
      <c r="BD117" s="633" t="str">
        <f>IF(AND(L117="",H117=""),"",
IF(H117="",Pole_Calc!A121,
IF(H117="MP",Pole_Calc!A122,
IF(H117="AnMP",Pole_Calc!A123,
IF(H117="A",Pole_Calc!A124,
IF(H117="S/A",Pole_Calc!A125,
IF(H117="A/S",Pole_Calc!A126,"Poner a mano")))))))</f>
        <v/>
      </c>
      <c r="BE117" s="448" t="s">
        <v>1726</v>
      </c>
      <c r="BF117" s="635"/>
      <c r="BG117" s="635"/>
      <c r="BH117" s="634"/>
      <c r="BI117" s="635"/>
    </row>
    <row r="118" spans="1:61" ht="16.2" customHeight="1">
      <c r="A118" s="12"/>
      <c r="B118" s="446"/>
      <c r="C118" s="89"/>
      <c r="D118" s="13"/>
      <c r="E118" s="14"/>
      <c r="F118" s="14"/>
      <c r="G118" s="15"/>
      <c r="H118" s="8"/>
      <c r="I118" s="8"/>
      <c r="J118" s="89"/>
      <c r="K118" s="8"/>
      <c r="L118" s="8"/>
      <c r="M118" s="8" t="str">
        <f>IF(L118="","",
IF(AX118="PT",VLOOKUP(L118,Foundation_Calc!$V$4:$X$37,VLOOKUP(AX118,Foundation_Calc!$I$10:$J$13,2,FALSE),0),
IF(AX118="K",VLOOKUP(L118,Foundation_Calc!$V$41:$X$74,VLOOKUP(AX118,Foundation_Calc!$I$10:$J$13,2,FALSE),0),"")))</f>
        <v/>
      </c>
      <c r="N118" s="8"/>
      <c r="O118" s="8"/>
      <c r="P118" s="8"/>
      <c r="Q118" s="14"/>
      <c r="R118" s="15"/>
      <c r="S118" s="15"/>
      <c r="T118" s="14"/>
      <c r="U118" s="14"/>
      <c r="V118" s="14"/>
      <c r="W118" s="18"/>
      <c r="X118" s="18"/>
      <c r="Y118" s="18"/>
      <c r="Z118" s="18"/>
      <c r="AA118" s="18"/>
      <c r="AB118" s="18"/>
      <c r="AC118" s="8" t="str">
        <f t="shared" si="5"/>
        <v/>
      </c>
      <c r="AD118" s="8"/>
      <c r="AE118" s="8"/>
      <c r="AF118" s="14"/>
      <c r="AG118" s="13"/>
      <c r="AH118" s="14"/>
      <c r="AI118" s="14"/>
      <c r="AJ118" s="8"/>
      <c r="AK118" s="8"/>
      <c r="AL118" s="8"/>
      <c r="AM118" s="8"/>
      <c r="AN118" s="631"/>
      <c r="AO118" s="18"/>
      <c r="AP118" s="18"/>
      <c r="AQ118" s="18"/>
      <c r="AR118" s="18"/>
      <c r="AS118" s="18"/>
      <c r="AU118" s="448"/>
      <c r="AV118" s="448"/>
      <c r="AW118" s="8" t="str">
        <f>IF(C118&gt;0,VLOOKUP(C118,Foundation_Calc!$A$2:$C$986,3,1),
IF(J118&gt;0,VLOOKUP(J118,Foundation_Calc!$A$2:$C$986,3,1),""))</f>
        <v/>
      </c>
      <c r="AX118" s="8" t="str">
        <f>IF(C118&gt;0,VLOOKUP(C118,Foundation_Calc!$E$2:$G$986,3,1),
IF(J118&gt;0,VLOOKUP(J118,Foundation_Calc!$E$2:$G$986,3,1),""))</f>
        <v/>
      </c>
      <c r="AY118" s="631" t="str">
        <f>IF(L118="","",
IF(AX118="PT",VLOOKUP(L118,Foundation_Calc!$K$4:$R$37,VLOOKUP(AW118,Foundation_Calc!$I$2:$J$8,2,FALSE),0),
IF(AX118="K",VLOOKUP(L118,Foundation_Calc!$K$41:$R$74,VLOOKUP(AW118,Foundation_Calc!$I$2:$J$8,2,FALSE),0),"")))</f>
        <v/>
      </c>
      <c r="AZ118" s="631" t="str">
        <f>IF(K118="","",
IF(AX118="PT",VLOOKUP(K118,Foundation_Calc!$K$4:$R$37,VLOOKUP(AW118,Foundation_Calc!$I$2:$J$8,2,FALSE),0),
IF(AX118="K",VLOOKUP(K118,Foundation_Calc!$K$41:$R$74,VLOOKUP(AW118,Foundation_Calc!$I$2:$J$8,2,FALSE),0),"")))</f>
        <v/>
      </c>
      <c r="BA118" s="632" t="str">
        <f t="shared" si="6"/>
        <v/>
      </c>
      <c r="BB118" s="632" t="str">
        <f t="shared" si="7"/>
        <v/>
      </c>
      <c r="BC118" s="632" t="str">
        <f t="shared" si="8"/>
        <v/>
      </c>
      <c r="BD118" s="633" t="str">
        <f>IF(AND(L118="",H118=""),"",
IF(H118="",Pole_Calc!A122,
IF(H118="MP",Pole_Calc!A123,
IF(H118="AnMP",Pole_Calc!A124,
IF(H118="A",Pole_Calc!A125,
IF(H118="S/A",Pole_Calc!A126,
IF(H118="A/S",Pole_Calc!A127,"Poner a mano")))))))</f>
        <v/>
      </c>
      <c r="BE118" s="448" t="s">
        <v>1726</v>
      </c>
      <c r="BF118" s="634"/>
      <c r="BG118" s="634"/>
      <c r="BH118" s="634"/>
      <c r="BI118" s="634"/>
    </row>
    <row r="119" spans="1:61" ht="16.2" customHeight="1">
      <c r="A119" s="12"/>
      <c r="B119" s="446"/>
      <c r="C119" s="89"/>
      <c r="D119" s="13"/>
      <c r="E119" s="14"/>
      <c r="F119" s="14"/>
      <c r="G119" s="15"/>
      <c r="H119" s="8"/>
      <c r="I119" s="8"/>
      <c r="J119" s="89"/>
      <c r="K119" s="8"/>
      <c r="L119" s="8"/>
      <c r="M119" s="8" t="str">
        <f>IF(L119="","",
IF(AX119="PT",VLOOKUP(L119,Foundation_Calc!$V$4:$X$37,VLOOKUP(AX119,Foundation_Calc!$I$10:$J$13,2,FALSE),0),
IF(AX119="K",VLOOKUP(L119,Foundation_Calc!$V$41:$X$74,VLOOKUP(AX119,Foundation_Calc!$I$10:$J$13,2,FALSE),0),"")))</f>
        <v/>
      </c>
      <c r="N119" s="8"/>
      <c r="O119" s="8"/>
      <c r="P119" s="8"/>
      <c r="Q119" s="14"/>
      <c r="R119" s="15"/>
      <c r="S119" s="15"/>
      <c r="T119" s="14"/>
      <c r="U119" s="14"/>
      <c r="V119" s="14"/>
      <c r="W119" s="18"/>
      <c r="X119" s="18"/>
      <c r="Y119" s="18"/>
      <c r="Z119" s="18"/>
      <c r="AA119" s="18"/>
      <c r="AB119" s="18"/>
      <c r="AC119" s="8" t="str">
        <f t="shared" si="5"/>
        <v/>
      </c>
      <c r="AD119" s="8"/>
      <c r="AE119" s="8"/>
      <c r="AF119" s="14"/>
      <c r="AG119" s="13"/>
      <c r="AH119" s="14"/>
      <c r="AI119" s="14"/>
      <c r="AJ119" s="8"/>
      <c r="AK119" s="8"/>
      <c r="AL119" s="8"/>
      <c r="AM119" s="8"/>
      <c r="AN119" s="631"/>
      <c r="AO119" s="18"/>
      <c r="AP119" s="18"/>
      <c r="AQ119" s="18"/>
      <c r="AR119" s="18"/>
      <c r="AS119" s="18"/>
      <c r="AU119" s="448"/>
      <c r="AV119" s="448"/>
      <c r="AW119" s="8" t="str">
        <f>IF(C119&gt;0,VLOOKUP(C119,Foundation_Calc!$A$2:$C$986,3,1),
IF(J119&gt;0,VLOOKUP(J119,Foundation_Calc!$A$2:$C$986,3,1),""))</f>
        <v/>
      </c>
      <c r="AX119" s="8" t="str">
        <f>IF(C119&gt;0,VLOOKUP(C119,Foundation_Calc!$E$2:$G$986,3,1),
IF(J119&gt;0,VLOOKUP(J119,Foundation_Calc!$E$2:$G$986,3,1),""))</f>
        <v/>
      </c>
      <c r="AY119" s="631" t="str">
        <f>IF(L119="","",
IF(AX119="PT",VLOOKUP(L119,Foundation_Calc!$K$4:$R$37,VLOOKUP(AW119,Foundation_Calc!$I$2:$J$8,2,FALSE),0),
IF(AX119="K",VLOOKUP(L119,Foundation_Calc!$K$41:$R$74,VLOOKUP(AW119,Foundation_Calc!$I$2:$J$8,2,FALSE),0),"")))</f>
        <v/>
      </c>
      <c r="AZ119" s="631" t="str">
        <f>IF(K119="","",
IF(AX119="PT",VLOOKUP(K119,Foundation_Calc!$K$4:$R$37,VLOOKUP(AW119,Foundation_Calc!$I$2:$J$8,2,FALSE),0),
IF(AX119="K",VLOOKUP(K119,Foundation_Calc!$K$41:$R$74,VLOOKUP(AW119,Foundation_Calc!$I$2:$J$8,2,FALSE),0),"")))</f>
        <v/>
      </c>
      <c r="BA119" s="632" t="str">
        <f t="shared" si="6"/>
        <v/>
      </c>
      <c r="BB119" s="632" t="str">
        <f t="shared" si="7"/>
        <v/>
      </c>
      <c r="BC119" s="632" t="str">
        <f t="shared" si="8"/>
        <v/>
      </c>
      <c r="BD119" s="633" t="str">
        <f>IF(AND(L119="",H119=""),"",
IF(H119="",Pole_Calc!A123,
IF(H119="MP",Pole_Calc!A124,
IF(H119="AnMP",Pole_Calc!A125,
IF(H119="A",Pole_Calc!A126,
IF(H119="S/A",Pole_Calc!A127,
IF(H119="A/S",Pole_Calc!A128,"Poner a mano")))))))</f>
        <v/>
      </c>
      <c r="BE119" s="448" t="s">
        <v>1726</v>
      </c>
      <c r="BF119" s="635"/>
      <c r="BG119" s="635"/>
      <c r="BH119" s="634"/>
      <c r="BI119" s="635"/>
    </row>
    <row r="120" spans="1:61" ht="16.2" customHeight="1">
      <c r="A120" s="12"/>
      <c r="B120" s="446"/>
      <c r="C120" s="89"/>
      <c r="D120" s="13"/>
      <c r="E120" s="14"/>
      <c r="F120" s="14"/>
      <c r="G120" s="15"/>
      <c r="H120" s="8"/>
      <c r="I120" s="8"/>
      <c r="J120" s="89"/>
      <c r="K120" s="8"/>
      <c r="L120" s="8"/>
      <c r="M120" s="8" t="str">
        <f>IF(L120="","",
IF(AX120="PT",VLOOKUP(L120,Foundation_Calc!$V$4:$X$37,VLOOKUP(AX120,Foundation_Calc!$I$10:$J$13,2,FALSE),0),
IF(AX120="K",VLOOKUP(L120,Foundation_Calc!$V$41:$X$74,VLOOKUP(AX120,Foundation_Calc!$I$10:$J$13,2,FALSE),0),"")))</f>
        <v/>
      </c>
      <c r="N120" s="8"/>
      <c r="O120" s="8"/>
      <c r="P120" s="8"/>
      <c r="Q120" s="14"/>
      <c r="R120" s="15"/>
      <c r="S120" s="15"/>
      <c r="T120" s="14"/>
      <c r="U120" s="14"/>
      <c r="V120" s="14"/>
      <c r="W120" s="18"/>
      <c r="X120" s="18"/>
      <c r="Y120" s="18"/>
      <c r="Z120" s="18"/>
      <c r="AA120" s="18"/>
      <c r="AB120" s="18"/>
      <c r="AC120" s="8" t="str">
        <f t="shared" si="5"/>
        <v/>
      </c>
      <c r="AD120" s="8"/>
      <c r="AE120" s="8"/>
      <c r="AF120" s="14"/>
      <c r="AG120" s="13"/>
      <c r="AH120" s="14"/>
      <c r="AI120" s="14"/>
      <c r="AJ120" s="8"/>
      <c r="AK120" s="8"/>
      <c r="AL120" s="8"/>
      <c r="AM120" s="8"/>
      <c r="AN120" s="631"/>
      <c r="AO120" s="18"/>
      <c r="AP120" s="18"/>
      <c r="AQ120" s="18"/>
      <c r="AR120" s="18"/>
      <c r="AS120" s="18"/>
      <c r="AU120" s="448"/>
      <c r="AV120" s="448"/>
      <c r="AW120" s="8" t="str">
        <f>IF(C120&gt;0,VLOOKUP(C120,Foundation_Calc!$A$2:$C$986,3,1),
IF(J120&gt;0,VLOOKUP(J120,Foundation_Calc!$A$2:$C$986,3,1),""))</f>
        <v/>
      </c>
      <c r="AX120" s="8" t="str">
        <f>IF(C120&gt;0,VLOOKUP(C120,Foundation_Calc!$E$2:$G$986,3,1),
IF(J120&gt;0,VLOOKUP(J120,Foundation_Calc!$E$2:$G$986,3,1),""))</f>
        <v/>
      </c>
      <c r="AY120" s="631" t="str">
        <f>IF(L120="","",
IF(AX120="PT",VLOOKUP(L120,Foundation_Calc!$K$4:$R$37,VLOOKUP(AW120,Foundation_Calc!$I$2:$J$8,2,FALSE),0),
IF(AX120="K",VLOOKUP(L120,Foundation_Calc!$K$41:$R$74,VLOOKUP(AW120,Foundation_Calc!$I$2:$J$8,2,FALSE),0),"")))</f>
        <v/>
      </c>
      <c r="AZ120" s="631" t="str">
        <f>IF(K120="","",
IF(AX120="PT",VLOOKUP(K120,Foundation_Calc!$K$4:$R$37,VLOOKUP(AW120,Foundation_Calc!$I$2:$J$8,2,FALSE),0),
IF(AX120="K",VLOOKUP(K120,Foundation_Calc!$K$41:$R$74,VLOOKUP(AW120,Foundation_Calc!$I$2:$J$8,2,FALSE),0),"")))</f>
        <v/>
      </c>
      <c r="BA120" s="632" t="str">
        <f t="shared" si="6"/>
        <v/>
      </c>
      <c r="BB120" s="632" t="str">
        <f t="shared" si="7"/>
        <v/>
      </c>
      <c r="BC120" s="632" t="str">
        <f t="shared" si="8"/>
        <v/>
      </c>
      <c r="BD120" s="633" t="str">
        <f>IF(AND(L120="",H120=""),"",
IF(H120="",Pole_Calc!A124,
IF(H120="MP",Pole_Calc!A125,
IF(H120="AnMP",Pole_Calc!A126,
IF(H120="A",Pole_Calc!A127,
IF(H120="S/A",Pole_Calc!A128,
IF(H120="A/S",Pole_Calc!A129,"Poner a mano")))))))</f>
        <v/>
      </c>
      <c r="BE120" s="448" t="s">
        <v>1726</v>
      </c>
      <c r="BF120" s="634"/>
      <c r="BG120" s="634"/>
      <c r="BH120" s="634"/>
      <c r="BI120" s="634"/>
    </row>
    <row r="121" spans="1:61" ht="16.2" customHeight="1">
      <c r="A121" s="12"/>
      <c r="B121" s="446"/>
      <c r="C121" s="89"/>
      <c r="D121" s="13"/>
      <c r="E121" s="14"/>
      <c r="F121" s="14"/>
      <c r="G121" s="15"/>
      <c r="H121" s="8"/>
      <c r="I121" s="8"/>
      <c r="J121" s="89"/>
      <c r="K121" s="8"/>
      <c r="L121" s="8"/>
      <c r="M121" s="8" t="str">
        <f>IF(L121="","",
IF(AX121="PT",VLOOKUP(L121,Foundation_Calc!$V$4:$X$37,VLOOKUP(AX121,Foundation_Calc!$I$10:$J$13,2,FALSE),0),
IF(AX121="K",VLOOKUP(L121,Foundation_Calc!$V$41:$X$74,VLOOKUP(AX121,Foundation_Calc!$I$10:$J$13,2,FALSE),0),"")))</f>
        <v/>
      </c>
      <c r="N121" s="8"/>
      <c r="O121" s="8"/>
      <c r="P121" s="8"/>
      <c r="Q121" s="14"/>
      <c r="R121" s="15"/>
      <c r="S121" s="15"/>
      <c r="T121" s="14"/>
      <c r="U121" s="14"/>
      <c r="V121" s="14"/>
      <c r="W121" s="18"/>
      <c r="X121" s="18"/>
      <c r="Y121" s="18"/>
      <c r="Z121" s="18"/>
      <c r="AA121" s="18"/>
      <c r="AB121" s="18"/>
      <c r="AC121" s="8" t="str">
        <f t="shared" si="5"/>
        <v/>
      </c>
      <c r="AD121" s="8"/>
      <c r="AE121" s="8"/>
      <c r="AF121" s="14"/>
      <c r="AG121" s="13"/>
      <c r="AH121" s="14"/>
      <c r="AI121" s="14"/>
      <c r="AJ121" s="8"/>
      <c r="AK121" s="8"/>
      <c r="AL121" s="8"/>
      <c r="AM121" s="8"/>
      <c r="AN121" s="631"/>
      <c r="AO121" s="18"/>
      <c r="AP121" s="18"/>
      <c r="AQ121" s="18"/>
      <c r="AR121" s="18"/>
      <c r="AS121" s="18"/>
      <c r="AU121" s="448"/>
      <c r="AV121" s="448"/>
      <c r="AW121" s="8" t="str">
        <f>IF(C121&gt;0,VLOOKUP(C121,Foundation_Calc!$A$2:$C$986,3,1),
IF(J121&gt;0,VLOOKUP(J121,Foundation_Calc!$A$2:$C$986,3,1),""))</f>
        <v/>
      </c>
      <c r="AX121" s="8" t="str">
        <f>IF(C121&gt;0,VLOOKUP(C121,Foundation_Calc!$E$2:$G$986,3,1),
IF(J121&gt;0,VLOOKUP(J121,Foundation_Calc!$E$2:$G$986,3,1),""))</f>
        <v/>
      </c>
      <c r="AY121" s="631" t="str">
        <f>IF(L121="","",
IF(AX121="PT",VLOOKUP(L121,Foundation_Calc!$K$4:$R$37,VLOOKUP(AW121,Foundation_Calc!$I$2:$J$8,2,FALSE),0),
IF(AX121="K",VLOOKUP(L121,Foundation_Calc!$K$41:$R$74,VLOOKUP(AW121,Foundation_Calc!$I$2:$J$8,2,FALSE),0),"")))</f>
        <v/>
      </c>
      <c r="AZ121" s="631" t="str">
        <f>IF(K121="","",
IF(AX121="PT",VLOOKUP(K121,Foundation_Calc!$K$4:$R$37,VLOOKUP(AW121,Foundation_Calc!$I$2:$J$8,2,FALSE),0),
IF(AX121="K",VLOOKUP(K121,Foundation_Calc!$K$41:$R$74,VLOOKUP(AW121,Foundation_Calc!$I$2:$J$8,2,FALSE),0),"")))</f>
        <v/>
      </c>
      <c r="BA121" s="632" t="str">
        <f t="shared" si="6"/>
        <v/>
      </c>
      <c r="BB121" s="632" t="str">
        <f t="shared" si="7"/>
        <v/>
      </c>
      <c r="BC121" s="632" t="str">
        <f t="shared" si="8"/>
        <v/>
      </c>
      <c r="BD121" s="633" t="str">
        <f>IF(AND(L121="",H121=""),"",
IF(H121="",Pole_Calc!A125,
IF(H121="MP",Pole_Calc!A126,
IF(H121="AnMP",Pole_Calc!A127,
IF(H121="A",Pole_Calc!A128,
IF(H121="S/A",Pole_Calc!A129,
IF(H121="A/S",Pole_Calc!A130,"Poner a mano")))))))</f>
        <v/>
      </c>
      <c r="BE121" s="448" t="s">
        <v>1726</v>
      </c>
      <c r="BF121" s="635"/>
      <c r="BG121" s="635"/>
      <c r="BH121" s="634"/>
      <c r="BI121" s="635"/>
    </row>
    <row r="122" spans="1:61" ht="16.2" customHeight="1">
      <c r="A122" s="12"/>
      <c r="B122" s="446"/>
      <c r="C122" s="89"/>
      <c r="D122" s="13"/>
      <c r="E122" s="14"/>
      <c r="F122" s="14"/>
      <c r="G122" s="15"/>
      <c r="H122" s="8"/>
      <c r="I122" s="8"/>
      <c r="J122" s="89"/>
      <c r="K122" s="8"/>
      <c r="L122" s="8"/>
      <c r="M122" s="8" t="str">
        <f>IF(L122="","",
IF(AX122="PT",VLOOKUP(L122,Foundation_Calc!$V$4:$X$37,VLOOKUP(AX122,Foundation_Calc!$I$10:$J$13,2,FALSE),0),
IF(AX122="K",VLOOKUP(L122,Foundation_Calc!$V$41:$X$74,VLOOKUP(AX122,Foundation_Calc!$I$10:$J$13,2,FALSE),0),"")))</f>
        <v/>
      </c>
      <c r="N122" s="8"/>
      <c r="O122" s="8"/>
      <c r="P122" s="8"/>
      <c r="Q122" s="14"/>
      <c r="R122" s="15"/>
      <c r="S122" s="15"/>
      <c r="T122" s="14"/>
      <c r="U122" s="14"/>
      <c r="V122" s="14"/>
      <c r="W122" s="18"/>
      <c r="X122" s="18"/>
      <c r="Y122" s="18"/>
      <c r="Z122" s="18"/>
      <c r="AA122" s="18"/>
      <c r="AB122" s="18"/>
      <c r="AC122" s="8" t="str">
        <f t="shared" si="5"/>
        <v/>
      </c>
      <c r="AD122" s="8"/>
      <c r="AE122" s="8"/>
      <c r="AF122" s="14"/>
      <c r="AG122" s="13"/>
      <c r="AH122" s="14"/>
      <c r="AI122" s="14"/>
      <c r="AJ122" s="8"/>
      <c r="AK122" s="8"/>
      <c r="AL122" s="8"/>
      <c r="AM122" s="8"/>
      <c r="AN122" s="631"/>
      <c r="AO122" s="18"/>
      <c r="AP122" s="18"/>
      <c r="AQ122" s="18"/>
      <c r="AR122" s="18"/>
      <c r="AS122" s="18"/>
      <c r="AU122" s="448"/>
      <c r="AV122" s="448"/>
      <c r="AW122" s="8" t="str">
        <f>IF(C122&gt;0,VLOOKUP(C122,Foundation_Calc!$A$2:$C$986,3,1),
IF(J122&gt;0,VLOOKUP(J122,Foundation_Calc!$A$2:$C$986,3,1),""))</f>
        <v/>
      </c>
      <c r="AX122" s="8" t="str">
        <f>IF(C122&gt;0,VLOOKUP(C122,Foundation_Calc!$E$2:$G$986,3,1),
IF(J122&gt;0,VLOOKUP(J122,Foundation_Calc!$E$2:$G$986,3,1),""))</f>
        <v/>
      </c>
      <c r="AY122" s="631" t="str">
        <f>IF(L122="","",
IF(AX122="PT",VLOOKUP(L122,Foundation_Calc!$K$4:$R$37,VLOOKUP(AW122,Foundation_Calc!$I$2:$J$8,2,FALSE),0),
IF(AX122="K",VLOOKUP(L122,Foundation_Calc!$K$41:$R$74,VLOOKUP(AW122,Foundation_Calc!$I$2:$J$8,2,FALSE),0),"")))</f>
        <v/>
      </c>
      <c r="AZ122" s="631" t="str">
        <f>IF(K122="","",
IF(AX122="PT",VLOOKUP(K122,Foundation_Calc!$K$4:$R$37,VLOOKUP(AW122,Foundation_Calc!$I$2:$J$8,2,FALSE),0),
IF(AX122="K",VLOOKUP(K122,Foundation_Calc!$K$41:$R$74,VLOOKUP(AW122,Foundation_Calc!$I$2:$J$8,2,FALSE),0),"")))</f>
        <v/>
      </c>
      <c r="BA122" s="632" t="str">
        <f t="shared" si="6"/>
        <v/>
      </c>
      <c r="BB122" s="632" t="str">
        <f t="shared" si="7"/>
        <v/>
      </c>
      <c r="BC122" s="632" t="str">
        <f t="shared" si="8"/>
        <v/>
      </c>
      <c r="BD122" s="633" t="str">
        <f>IF(AND(L122="",H122=""),"",
IF(H122="",Pole_Calc!A126,
IF(H122="MP",Pole_Calc!A127,
IF(H122="AnMP",Pole_Calc!A128,
IF(H122="A",Pole_Calc!A129,
IF(H122="S/A",Pole_Calc!A130,
IF(H122="A/S",Pole_Calc!A131,"Poner a mano")))))))</f>
        <v/>
      </c>
      <c r="BE122" s="448" t="s">
        <v>1726</v>
      </c>
      <c r="BF122" s="634"/>
      <c r="BG122" s="634"/>
      <c r="BH122" s="634"/>
      <c r="BI122" s="634"/>
    </row>
    <row r="123" spans="1:61" ht="16.2" customHeight="1">
      <c r="A123" s="12"/>
      <c r="B123" s="446"/>
      <c r="C123" s="89"/>
      <c r="D123" s="13"/>
      <c r="E123" s="14"/>
      <c r="F123" s="14"/>
      <c r="G123" s="15"/>
      <c r="H123" s="8"/>
      <c r="I123" s="8"/>
      <c r="J123" s="89"/>
      <c r="K123" s="8"/>
      <c r="L123" s="8"/>
      <c r="M123" s="8" t="str">
        <f>IF(L123="","",
IF(AX123="PT",VLOOKUP(L123,Foundation_Calc!$V$4:$X$37,VLOOKUP(AX123,Foundation_Calc!$I$10:$J$13,2,FALSE),0),
IF(AX123="K",VLOOKUP(L123,Foundation_Calc!$V$41:$X$74,VLOOKUP(AX123,Foundation_Calc!$I$10:$J$13,2,FALSE),0),"")))</f>
        <v/>
      </c>
      <c r="N123" s="8"/>
      <c r="O123" s="8"/>
      <c r="P123" s="8"/>
      <c r="Q123" s="14"/>
      <c r="R123" s="15"/>
      <c r="S123" s="15"/>
      <c r="T123" s="14"/>
      <c r="U123" s="14"/>
      <c r="V123" s="14"/>
      <c r="W123" s="18"/>
      <c r="X123" s="18"/>
      <c r="Y123" s="18"/>
      <c r="Z123" s="18"/>
      <c r="AA123" s="18"/>
      <c r="AB123" s="18"/>
      <c r="AC123" s="8" t="str">
        <f t="shared" si="5"/>
        <v/>
      </c>
      <c r="AD123" s="8"/>
      <c r="AE123" s="8"/>
      <c r="AF123" s="14"/>
      <c r="AG123" s="13"/>
      <c r="AH123" s="14"/>
      <c r="AI123" s="14"/>
      <c r="AJ123" s="8"/>
      <c r="AK123" s="8"/>
      <c r="AL123" s="8"/>
      <c r="AM123" s="8"/>
      <c r="AN123" s="631"/>
      <c r="AO123" s="18"/>
      <c r="AP123" s="18"/>
      <c r="AQ123" s="18"/>
      <c r="AR123" s="18"/>
      <c r="AS123" s="18"/>
      <c r="AU123" s="448"/>
      <c r="AV123" s="448"/>
      <c r="AW123" s="8" t="str">
        <f>IF(C123&gt;0,VLOOKUP(C123,Foundation_Calc!$A$2:$C$986,3,1),
IF(J123&gt;0,VLOOKUP(J123,Foundation_Calc!$A$2:$C$986,3,1),""))</f>
        <v/>
      </c>
      <c r="AX123" s="8" t="str">
        <f>IF(C123&gt;0,VLOOKUP(C123,Foundation_Calc!$E$2:$G$986,3,1),
IF(J123&gt;0,VLOOKUP(J123,Foundation_Calc!$E$2:$G$986,3,1),""))</f>
        <v/>
      </c>
      <c r="AY123" s="631" t="str">
        <f>IF(L123="","",
IF(AX123="PT",VLOOKUP(L123,Foundation_Calc!$K$4:$R$37,VLOOKUP(AW123,Foundation_Calc!$I$2:$J$8,2,FALSE),0),
IF(AX123="K",VLOOKUP(L123,Foundation_Calc!$K$41:$R$74,VLOOKUP(AW123,Foundation_Calc!$I$2:$J$8,2,FALSE),0),"")))</f>
        <v/>
      </c>
      <c r="AZ123" s="631" t="str">
        <f>IF(K123="","",
IF(AX123="PT",VLOOKUP(K123,Foundation_Calc!$K$4:$R$37,VLOOKUP(AW123,Foundation_Calc!$I$2:$J$8,2,FALSE),0),
IF(AX123="K",VLOOKUP(K123,Foundation_Calc!$K$41:$R$74,VLOOKUP(AW123,Foundation_Calc!$I$2:$J$8,2,FALSE),0),"")))</f>
        <v/>
      </c>
      <c r="BA123" s="632" t="str">
        <f t="shared" si="6"/>
        <v/>
      </c>
      <c r="BB123" s="632" t="str">
        <f t="shared" si="7"/>
        <v/>
      </c>
      <c r="BC123" s="632" t="str">
        <f t="shared" si="8"/>
        <v/>
      </c>
      <c r="BD123" s="633" t="str">
        <f>IF(AND(L123="",H123=""),"",
IF(H123="",Pole_Calc!A127,
IF(H123="MP",Pole_Calc!A128,
IF(H123="AnMP",Pole_Calc!A129,
IF(H123="A",Pole_Calc!A130,
IF(H123="S/A",Pole_Calc!A131,
IF(H123="A/S",Pole_Calc!A132,"Poner a mano")))))))</f>
        <v/>
      </c>
      <c r="BE123" s="448" t="s">
        <v>1726</v>
      </c>
      <c r="BF123" s="635"/>
      <c r="BG123" s="635"/>
      <c r="BH123" s="634"/>
      <c r="BI123" s="635"/>
    </row>
    <row r="124" spans="1:61" ht="16.2" customHeight="1">
      <c r="A124" s="12"/>
      <c r="B124" s="446"/>
      <c r="C124" s="89"/>
      <c r="D124" s="13"/>
      <c r="E124" s="14"/>
      <c r="F124" s="14"/>
      <c r="G124" s="15"/>
      <c r="H124" s="8"/>
      <c r="I124" s="8"/>
      <c r="J124" s="89"/>
      <c r="K124" s="8"/>
      <c r="L124" s="8"/>
      <c r="M124" s="8" t="str">
        <f>IF(L124="","",
IF(AX124="PT",VLOOKUP(L124,Foundation_Calc!$V$4:$X$37,VLOOKUP(AX124,Foundation_Calc!$I$10:$J$13,2,FALSE),0),
IF(AX124="K",VLOOKUP(L124,Foundation_Calc!$V$41:$X$74,VLOOKUP(AX124,Foundation_Calc!$I$10:$J$13,2,FALSE),0),"")))</f>
        <v/>
      </c>
      <c r="N124" s="8"/>
      <c r="O124" s="8"/>
      <c r="P124" s="8"/>
      <c r="Q124" s="14"/>
      <c r="R124" s="15"/>
      <c r="S124" s="15"/>
      <c r="T124" s="14"/>
      <c r="U124" s="14"/>
      <c r="V124" s="14"/>
      <c r="W124" s="18"/>
      <c r="X124" s="18"/>
      <c r="Y124" s="18"/>
      <c r="Z124" s="18"/>
      <c r="AA124" s="18"/>
      <c r="AB124" s="18"/>
      <c r="AC124" s="8" t="str">
        <f t="shared" si="5"/>
        <v/>
      </c>
      <c r="AD124" s="8"/>
      <c r="AE124" s="8"/>
      <c r="AF124" s="14"/>
      <c r="AG124" s="13"/>
      <c r="AH124" s="14"/>
      <c r="AI124" s="14"/>
      <c r="AJ124" s="8"/>
      <c r="AK124" s="8"/>
      <c r="AL124" s="8"/>
      <c r="AM124" s="8"/>
      <c r="AN124" s="631"/>
      <c r="AO124" s="18"/>
      <c r="AP124" s="18"/>
      <c r="AQ124" s="18"/>
      <c r="AR124" s="18"/>
      <c r="AS124" s="18"/>
      <c r="AU124" s="448"/>
      <c r="AV124" s="448"/>
      <c r="AW124" s="8" t="str">
        <f>IF(C124&gt;0,VLOOKUP(C124,Foundation_Calc!$A$2:$C$986,3,1),
IF(J124&gt;0,VLOOKUP(J124,Foundation_Calc!$A$2:$C$986,3,1),""))</f>
        <v/>
      </c>
      <c r="AX124" s="8" t="str">
        <f>IF(C124&gt;0,VLOOKUP(C124,Foundation_Calc!$E$2:$G$986,3,1),
IF(J124&gt;0,VLOOKUP(J124,Foundation_Calc!$E$2:$G$986,3,1),""))</f>
        <v/>
      </c>
      <c r="AY124" s="631" t="str">
        <f>IF(L124="","",
IF(AX124="PT",VLOOKUP(L124,Foundation_Calc!$K$4:$R$37,VLOOKUP(AW124,Foundation_Calc!$I$2:$J$8,2,FALSE),0),
IF(AX124="K",VLOOKUP(L124,Foundation_Calc!$K$41:$R$74,VLOOKUP(AW124,Foundation_Calc!$I$2:$J$8,2,FALSE),0),"")))</f>
        <v/>
      </c>
      <c r="AZ124" s="631" t="str">
        <f>IF(K124="","",
IF(AX124="PT",VLOOKUP(K124,Foundation_Calc!$K$4:$R$37,VLOOKUP(AW124,Foundation_Calc!$I$2:$J$8,2,FALSE),0),
IF(AX124="K",VLOOKUP(K124,Foundation_Calc!$K$41:$R$74,VLOOKUP(AW124,Foundation_Calc!$I$2:$J$8,2,FALSE),0),"")))</f>
        <v/>
      </c>
      <c r="BA124" s="632" t="str">
        <f t="shared" si="6"/>
        <v/>
      </c>
      <c r="BB124" s="632" t="str">
        <f t="shared" si="7"/>
        <v/>
      </c>
      <c r="BC124" s="632" t="str">
        <f t="shared" si="8"/>
        <v/>
      </c>
      <c r="BD124" s="633" t="str">
        <f>IF(AND(L124="",H124=""),"",
IF(H124="",Pole_Calc!A128,
IF(H124="MP",Pole_Calc!A129,
IF(H124="AnMP",Pole_Calc!A130,
IF(H124="A",Pole_Calc!A131,
IF(H124="S/A",Pole_Calc!A132,
IF(H124="A/S",Pole_Calc!A133,"Poner a mano")))))))</f>
        <v/>
      </c>
      <c r="BE124" s="448" t="s">
        <v>1726</v>
      </c>
      <c r="BF124" s="634"/>
      <c r="BG124" s="634"/>
      <c r="BH124" s="634"/>
      <c r="BI124" s="634"/>
    </row>
    <row r="125" spans="1:61" ht="16.2" customHeight="1">
      <c r="A125" s="12"/>
      <c r="B125" s="446"/>
      <c r="C125" s="89"/>
      <c r="D125" s="13"/>
      <c r="E125" s="14"/>
      <c r="F125" s="14"/>
      <c r="G125" s="15"/>
      <c r="H125" s="8"/>
      <c r="I125" s="8"/>
      <c r="J125" s="89"/>
      <c r="K125" s="8"/>
      <c r="L125" s="8"/>
      <c r="M125" s="8" t="str">
        <f>IF(L125="","",
IF(AX125="PT",VLOOKUP(L125,Foundation_Calc!$V$4:$X$37,VLOOKUP(AX125,Foundation_Calc!$I$10:$J$13,2,FALSE),0),
IF(AX125="K",VLOOKUP(L125,Foundation_Calc!$V$41:$X$74,VLOOKUP(AX125,Foundation_Calc!$I$10:$J$13,2,FALSE),0),"")))</f>
        <v/>
      </c>
      <c r="N125" s="8"/>
      <c r="O125" s="8"/>
      <c r="P125" s="8"/>
      <c r="Q125" s="14"/>
      <c r="R125" s="15"/>
      <c r="S125" s="15"/>
      <c r="T125" s="14"/>
      <c r="U125" s="14"/>
      <c r="V125" s="14"/>
      <c r="W125" s="18"/>
      <c r="X125" s="18"/>
      <c r="Y125" s="18"/>
      <c r="Z125" s="18"/>
      <c r="AA125" s="18"/>
      <c r="AB125" s="18"/>
      <c r="AC125" s="8" t="str">
        <f t="shared" si="5"/>
        <v/>
      </c>
      <c r="AD125" s="8"/>
      <c r="AE125" s="8"/>
      <c r="AF125" s="14"/>
      <c r="AG125" s="13"/>
      <c r="AH125" s="14"/>
      <c r="AI125" s="14"/>
      <c r="AJ125" s="8"/>
      <c r="AK125" s="8"/>
      <c r="AL125" s="8"/>
      <c r="AM125" s="8"/>
      <c r="AN125" s="631"/>
      <c r="AO125" s="18"/>
      <c r="AP125" s="18"/>
      <c r="AQ125" s="18"/>
      <c r="AR125" s="18"/>
      <c r="AS125" s="18"/>
      <c r="AU125" s="448"/>
      <c r="AV125" s="448"/>
      <c r="AW125" s="8" t="str">
        <f>IF(C125&gt;0,VLOOKUP(C125,Foundation_Calc!$A$2:$C$986,3,1),
IF(J125&gt;0,VLOOKUP(J125,Foundation_Calc!$A$2:$C$986,3,1),""))</f>
        <v/>
      </c>
      <c r="AX125" s="8" t="str">
        <f>IF(C125&gt;0,VLOOKUP(C125,Foundation_Calc!$E$2:$G$986,3,1),
IF(J125&gt;0,VLOOKUP(J125,Foundation_Calc!$E$2:$G$986,3,1),""))</f>
        <v/>
      </c>
      <c r="AY125" s="631" t="str">
        <f>IF(L125="","",
IF(AX125="PT",VLOOKUP(L125,Foundation_Calc!$K$4:$R$37,VLOOKUP(AW125,Foundation_Calc!$I$2:$J$8,2,FALSE),0),
IF(AX125="K",VLOOKUP(L125,Foundation_Calc!$K$41:$R$74,VLOOKUP(AW125,Foundation_Calc!$I$2:$J$8,2,FALSE),0),"")))</f>
        <v/>
      </c>
      <c r="AZ125" s="631" t="str">
        <f>IF(K125="","",
IF(AX125="PT",VLOOKUP(K125,Foundation_Calc!$K$4:$R$37,VLOOKUP(AW125,Foundation_Calc!$I$2:$J$8,2,FALSE),0),
IF(AX125="K",VLOOKUP(K125,Foundation_Calc!$K$41:$R$74,VLOOKUP(AW125,Foundation_Calc!$I$2:$J$8,2,FALSE),0),"")))</f>
        <v/>
      </c>
      <c r="BA125" s="632" t="str">
        <f t="shared" si="6"/>
        <v/>
      </c>
      <c r="BB125" s="632" t="str">
        <f t="shared" si="7"/>
        <v/>
      </c>
      <c r="BC125" s="632" t="str">
        <f t="shared" si="8"/>
        <v/>
      </c>
      <c r="BD125" s="633" t="str">
        <f>IF(AND(L125="",H125=""),"",
IF(H125="",Pole_Calc!A129,
IF(H125="MP",Pole_Calc!A130,
IF(H125="AnMP",Pole_Calc!A131,
IF(H125="A",Pole_Calc!A132,
IF(H125="S/A",Pole_Calc!A133,
IF(H125="A/S",Pole_Calc!A134,"Poner a mano")))))))</f>
        <v/>
      </c>
      <c r="BE125" s="448" t="s">
        <v>1726</v>
      </c>
      <c r="BF125" s="635"/>
      <c r="BG125" s="635"/>
      <c r="BH125" s="634"/>
      <c r="BI125" s="635"/>
    </row>
    <row r="126" spans="1:61" ht="16.2" customHeight="1">
      <c r="A126" s="12"/>
      <c r="B126" s="446"/>
      <c r="C126" s="89"/>
      <c r="D126" s="13"/>
      <c r="E126" s="14"/>
      <c r="F126" s="14"/>
      <c r="G126" s="15"/>
      <c r="H126" s="8"/>
      <c r="I126" s="8"/>
      <c r="J126" s="89"/>
      <c r="K126" s="8"/>
      <c r="L126" s="8"/>
      <c r="M126" s="8" t="str">
        <f>IF(L126="","",
IF(AX126="PT",VLOOKUP(L126,Foundation_Calc!$V$4:$X$37,VLOOKUP(AX126,Foundation_Calc!$I$10:$J$13,2,FALSE),0),
IF(AX126="K",VLOOKUP(L126,Foundation_Calc!$V$41:$X$74,VLOOKUP(AX126,Foundation_Calc!$I$10:$J$13,2,FALSE),0),"")))</f>
        <v/>
      </c>
      <c r="N126" s="8"/>
      <c r="O126" s="8"/>
      <c r="P126" s="8"/>
      <c r="Q126" s="14"/>
      <c r="R126" s="15"/>
      <c r="S126" s="15"/>
      <c r="T126" s="14"/>
      <c r="U126" s="14"/>
      <c r="V126" s="14"/>
      <c r="W126" s="18"/>
      <c r="X126" s="18"/>
      <c r="Y126" s="18"/>
      <c r="Z126" s="18"/>
      <c r="AA126" s="18"/>
      <c r="AB126" s="18"/>
      <c r="AC126" s="8" t="str">
        <f t="shared" si="5"/>
        <v/>
      </c>
      <c r="AD126" s="8"/>
      <c r="AE126" s="8"/>
      <c r="AF126" s="14"/>
      <c r="AG126" s="13"/>
      <c r="AH126" s="14"/>
      <c r="AI126" s="14"/>
      <c r="AJ126" s="8"/>
      <c r="AK126" s="8"/>
      <c r="AL126" s="8"/>
      <c r="AM126" s="8"/>
      <c r="AN126" s="631"/>
      <c r="AO126" s="18"/>
      <c r="AP126" s="18"/>
      <c r="AQ126" s="18"/>
      <c r="AR126" s="18"/>
      <c r="AS126" s="18"/>
      <c r="AU126" s="448"/>
      <c r="AV126" s="448"/>
      <c r="AW126" s="8" t="str">
        <f>IF(C126&gt;0,VLOOKUP(C126,Foundation_Calc!$A$2:$C$986,3,1),
IF(J126&gt;0,VLOOKUP(J126,Foundation_Calc!$A$2:$C$986,3,1),""))</f>
        <v/>
      </c>
      <c r="AX126" s="8" t="str">
        <f>IF(C126&gt;0,VLOOKUP(C126,Foundation_Calc!$E$2:$G$986,3,1),
IF(J126&gt;0,VLOOKUP(J126,Foundation_Calc!$E$2:$G$986,3,1),""))</f>
        <v/>
      </c>
      <c r="AY126" s="631" t="str">
        <f>IF(L126="","",
IF(AX126="PT",VLOOKUP(L126,Foundation_Calc!$K$4:$R$37,VLOOKUP(AW126,Foundation_Calc!$I$2:$J$8,2,FALSE),0),
IF(AX126="K",VLOOKUP(L126,Foundation_Calc!$K$41:$R$74,VLOOKUP(AW126,Foundation_Calc!$I$2:$J$8,2,FALSE),0),"")))</f>
        <v/>
      </c>
      <c r="AZ126" s="631" t="str">
        <f>IF(K126="","",
IF(AX126="PT",VLOOKUP(K126,Foundation_Calc!$K$4:$R$37,VLOOKUP(AW126,Foundation_Calc!$I$2:$J$8,2,FALSE),0),
IF(AX126="K",VLOOKUP(K126,Foundation_Calc!$K$41:$R$74,VLOOKUP(AW126,Foundation_Calc!$I$2:$J$8,2,FALSE),0),"")))</f>
        <v/>
      </c>
      <c r="BA126" s="632" t="str">
        <f t="shared" si="6"/>
        <v/>
      </c>
      <c r="BB126" s="632" t="str">
        <f t="shared" si="7"/>
        <v/>
      </c>
      <c r="BC126" s="632" t="str">
        <f t="shared" si="8"/>
        <v/>
      </c>
      <c r="BD126" s="633" t="str">
        <f>IF(AND(L126="",H126=""),"",
IF(H126="",Pole_Calc!A130,
IF(H126="MP",Pole_Calc!A131,
IF(H126="AnMP",Pole_Calc!A132,
IF(H126="A",Pole_Calc!A133,
IF(H126="S/A",Pole_Calc!A134,
IF(H126="A/S",Pole_Calc!A135,"Poner a mano")))))))</f>
        <v/>
      </c>
      <c r="BE126" s="448" t="s">
        <v>1726</v>
      </c>
      <c r="BF126" s="634"/>
      <c r="BG126" s="634"/>
      <c r="BH126" s="634"/>
      <c r="BI126" s="634"/>
    </row>
    <row r="127" spans="1:61" ht="16.2" customHeight="1">
      <c r="A127" s="12"/>
      <c r="B127" s="446"/>
      <c r="C127" s="89"/>
      <c r="D127" s="13"/>
      <c r="E127" s="14"/>
      <c r="F127" s="14"/>
      <c r="G127" s="15"/>
      <c r="H127" s="8"/>
      <c r="I127" s="8"/>
      <c r="J127" s="89"/>
      <c r="K127" s="8"/>
      <c r="L127" s="8"/>
      <c r="M127" s="8" t="str">
        <f>IF(L127="","",
IF(AX127="PT",VLOOKUP(L127,Foundation_Calc!$V$4:$X$37,VLOOKUP(AX127,Foundation_Calc!$I$10:$J$13,2,FALSE),0),
IF(AX127="K",VLOOKUP(L127,Foundation_Calc!$V$41:$X$74,VLOOKUP(AX127,Foundation_Calc!$I$10:$J$13,2,FALSE),0),"")))</f>
        <v/>
      </c>
      <c r="N127" s="8"/>
      <c r="O127" s="8"/>
      <c r="P127" s="8"/>
      <c r="Q127" s="14"/>
      <c r="R127" s="15"/>
      <c r="S127" s="15"/>
      <c r="T127" s="14"/>
      <c r="U127" s="14"/>
      <c r="V127" s="14"/>
      <c r="W127" s="18"/>
      <c r="X127" s="18"/>
      <c r="Y127" s="18"/>
      <c r="Z127" s="18"/>
      <c r="AA127" s="18"/>
      <c r="AB127" s="18"/>
      <c r="AC127" s="8" t="str">
        <f t="shared" si="5"/>
        <v/>
      </c>
      <c r="AD127" s="8"/>
      <c r="AE127" s="8"/>
      <c r="AF127" s="14"/>
      <c r="AG127" s="13"/>
      <c r="AH127" s="14"/>
      <c r="AI127" s="14"/>
      <c r="AJ127" s="8"/>
      <c r="AK127" s="8"/>
      <c r="AL127" s="8"/>
      <c r="AM127" s="8"/>
      <c r="AN127" s="631"/>
      <c r="AO127" s="18"/>
      <c r="AP127" s="18"/>
      <c r="AQ127" s="18"/>
      <c r="AR127" s="18"/>
      <c r="AS127" s="18"/>
      <c r="AU127" s="448"/>
      <c r="AV127" s="448"/>
      <c r="AW127" s="8" t="str">
        <f>IF(C127&gt;0,VLOOKUP(C127,Foundation_Calc!$A$2:$C$986,3,1),
IF(J127&gt;0,VLOOKUP(J127,Foundation_Calc!$A$2:$C$986,3,1),""))</f>
        <v/>
      </c>
      <c r="AX127" s="8" t="str">
        <f>IF(C127&gt;0,VLOOKUP(C127,Foundation_Calc!$E$2:$G$986,3,1),
IF(J127&gt;0,VLOOKUP(J127,Foundation_Calc!$E$2:$G$986,3,1),""))</f>
        <v/>
      </c>
      <c r="AY127" s="631" t="str">
        <f>IF(L127="","",
IF(AX127="PT",VLOOKUP(L127,Foundation_Calc!$K$4:$R$37,VLOOKUP(AW127,Foundation_Calc!$I$2:$J$8,2,FALSE),0),
IF(AX127="K",VLOOKUP(L127,Foundation_Calc!$K$41:$R$74,VLOOKUP(AW127,Foundation_Calc!$I$2:$J$8,2,FALSE),0),"")))</f>
        <v/>
      </c>
      <c r="AZ127" s="631" t="str">
        <f>IF(K127="","",
IF(AX127="PT",VLOOKUP(K127,Foundation_Calc!$K$4:$R$37,VLOOKUP(AW127,Foundation_Calc!$I$2:$J$8,2,FALSE),0),
IF(AX127="K",VLOOKUP(K127,Foundation_Calc!$K$41:$R$74,VLOOKUP(AW127,Foundation_Calc!$I$2:$J$8,2,FALSE),0),"")))</f>
        <v/>
      </c>
      <c r="BA127" s="632" t="str">
        <f t="shared" si="6"/>
        <v/>
      </c>
      <c r="BB127" s="632" t="str">
        <f t="shared" si="7"/>
        <v/>
      </c>
      <c r="BC127" s="632" t="str">
        <f t="shared" si="8"/>
        <v/>
      </c>
      <c r="BD127" s="633" t="str">
        <f>IF(AND(L127="",H127=""),"",
IF(H127="",Pole_Calc!A131,
IF(H127="MP",Pole_Calc!A132,
IF(H127="AnMP",Pole_Calc!A133,
IF(H127="A",Pole_Calc!A134,
IF(H127="S/A",Pole_Calc!A135,
IF(H127="A/S",Pole_Calc!A136,"Poner a mano")))))))</f>
        <v/>
      </c>
      <c r="BE127" s="448" t="s">
        <v>1726</v>
      </c>
      <c r="BF127" s="635"/>
      <c r="BG127" s="635"/>
      <c r="BH127" s="634"/>
      <c r="BI127" s="635"/>
    </row>
    <row r="128" spans="1:61" ht="16.2" customHeight="1">
      <c r="A128" s="12"/>
      <c r="B128" s="446"/>
      <c r="C128" s="89"/>
      <c r="D128" s="13"/>
      <c r="E128" s="14"/>
      <c r="F128" s="14"/>
      <c r="G128" s="15"/>
      <c r="H128" s="8"/>
      <c r="I128" s="8"/>
      <c r="J128" s="89"/>
      <c r="K128" s="8"/>
      <c r="L128" s="8"/>
      <c r="M128" s="8" t="str">
        <f>IF(L128="","",
IF(AX128="PT",VLOOKUP(L128,Foundation_Calc!$V$4:$X$37,VLOOKUP(AX128,Foundation_Calc!$I$10:$J$13,2,FALSE),0),
IF(AX128="K",VLOOKUP(L128,Foundation_Calc!$V$41:$X$74,VLOOKUP(AX128,Foundation_Calc!$I$10:$J$13,2,FALSE),0),"")))</f>
        <v/>
      </c>
      <c r="N128" s="8"/>
      <c r="O128" s="8"/>
      <c r="P128" s="8"/>
      <c r="Q128" s="14"/>
      <c r="R128" s="15"/>
      <c r="S128" s="15"/>
      <c r="T128" s="14"/>
      <c r="U128" s="14"/>
      <c r="V128" s="14"/>
      <c r="W128" s="18"/>
      <c r="X128" s="18"/>
      <c r="Y128" s="18"/>
      <c r="Z128" s="18"/>
      <c r="AA128" s="18"/>
      <c r="AB128" s="18"/>
      <c r="AC128" s="8" t="str">
        <f t="shared" si="5"/>
        <v/>
      </c>
      <c r="AD128" s="8"/>
      <c r="AE128" s="8"/>
      <c r="AF128" s="14"/>
      <c r="AG128" s="13"/>
      <c r="AH128" s="14"/>
      <c r="AI128" s="14"/>
      <c r="AJ128" s="8"/>
      <c r="AK128" s="8"/>
      <c r="AL128" s="8"/>
      <c r="AM128" s="8"/>
      <c r="AN128" s="631"/>
      <c r="AO128" s="18"/>
      <c r="AP128" s="18"/>
      <c r="AQ128" s="18"/>
      <c r="AR128" s="18"/>
      <c r="AS128" s="18"/>
      <c r="AU128" s="448"/>
      <c r="AV128" s="448"/>
      <c r="AW128" s="8" t="str">
        <f>IF(C128&gt;0,VLOOKUP(C128,Foundation_Calc!$A$2:$C$986,3,1),
IF(J128&gt;0,VLOOKUP(J128,Foundation_Calc!$A$2:$C$986,3,1),""))</f>
        <v/>
      </c>
      <c r="AX128" s="8" t="str">
        <f>IF(C128&gt;0,VLOOKUP(C128,Foundation_Calc!$E$2:$G$986,3,1),
IF(J128&gt;0,VLOOKUP(J128,Foundation_Calc!$E$2:$G$986,3,1),""))</f>
        <v/>
      </c>
      <c r="AY128" s="631" t="str">
        <f>IF(L128="","",
IF(AX128="PT",VLOOKUP(L128,Foundation_Calc!$K$4:$R$37,VLOOKUP(AW128,Foundation_Calc!$I$2:$J$8,2,FALSE),0),
IF(AX128="K",VLOOKUP(L128,Foundation_Calc!$K$41:$R$74,VLOOKUP(AW128,Foundation_Calc!$I$2:$J$8,2,FALSE),0),"")))</f>
        <v/>
      </c>
      <c r="AZ128" s="631" t="str">
        <f>IF(K128="","",
IF(AX128="PT",VLOOKUP(K128,Foundation_Calc!$K$4:$R$37,VLOOKUP(AW128,Foundation_Calc!$I$2:$J$8,2,FALSE),0),
IF(AX128="K",VLOOKUP(K128,Foundation_Calc!$K$41:$R$74,VLOOKUP(AW128,Foundation_Calc!$I$2:$J$8,2,FALSE),0),"")))</f>
        <v/>
      </c>
      <c r="BA128" s="632" t="str">
        <f t="shared" si="6"/>
        <v/>
      </c>
      <c r="BB128" s="632" t="str">
        <f t="shared" si="7"/>
        <v/>
      </c>
      <c r="BC128" s="632" t="str">
        <f t="shared" si="8"/>
        <v/>
      </c>
      <c r="BD128" s="633" t="str">
        <f>IF(AND(L128="",H128=""),"",
IF(H128="",Pole_Calc!A132,
IF(H128="MP",Pole_Calc!A133,
IF(H128="AnMP",Pole_Calc!A134,
IF(H128="A",Pole_Calc!A135,
IF(H128="S/A",Pole_Calc!A136,
IF(H128="A/S",Pole_Calc!A137,"Poner a mano")))))))</f>
        <v/>
      </c>
      <c r="BE128" s="448" t="s">
        <v>1726</v>
      </c>
      <c r="BF128" s="634"/>
      <c r="BG128" s="634"/>
      <c r="BH128" s="634"/>
      <c r="BI128" s="634"/>
    </row>
    <row r="129" spans="1:61" ht="16.2" customHeight="1">
      <c r="A129" s="12"/>
      <c r="B129" s="446"/>
      <c r="C129" s="89"/>
      <c r="D129" s="13"/>
      <c r="E129" s="14"/>
      <c r="F129" s="14"/>
      <c r="G129" s="15"/>
      <c r="H129" s="8"/>
      <c r="I129" s="8"/>
      <c r="J129" s="89"/>
      <c r="K129" s="8"/>
      <c r="L129" s="8"/>
      <c r="M129" s="8" t="str">
        <f>IF(L129="","",
IF(AX129="PT",VLOOKUP(L129,Foundation_Calc!$V$4:$X$37,VLOOKUP(AX129,Foundation_Calc!$I$10:$J$13,2,FALSE),0),
IF(AX129="K",VLOOKUP(L129,Foundation_Calc!$V$41:$X$74,VLOOKUP(AX129,Foundation_Calc!$I$10:$J$13,2,FALSE),0),"")))</f>
        <v/>
      </c>
      <c r="N129" s="8"/>
      <c r="O129" s="8"/>
      <c r="P129" s="8"/>
      <c r="Q129" s="14"/>
      <c r="R129" s="15"/>
      <c r="S129" s="15"/>
      <c r="T129" s="14"/>
      <c r="U129" s="14"/>
      <c r="V129" s="14"/>
      <c r="W129" s="18"/>
      <c r="X129" s="18"/>
      <c r="Y129" s="18"/>
      <c r="Z129" s="18"/>
      <c r="AA129" s="18"/>
      <c r="AB129" s="18"/>
      <c r="AC129" s="8" t="str">
        <f t="shared" si="5"/>
        <v/>
      </c>
      <c r="AD129" s="8"/>
      <c r="AE129" s="8"/>
      <c r="AF129" s="14"/>
      <c r="AG129" s="13"/>
      <c r="AH129" s="14"/>
      <c r="AI129" s="14"/>
      <c r="AJ129" s="8"/>
      <c r="AK129" s="8"/>
      <c r="AL129" s="8"/>
      <c r="AM129" s="8"/>
      <c r="AN129" s="631"/>
      <c r="AO129" s="18"/>
      <c r="AP129" s="18"/>
      <c r="AQ129" s="18"/>
      <c r="AR129" s="18"/>
      <c r="AS129" s="18"/>
      <c r="AU129" s="448"/>
      <c r="AV129" s="448"/>
      <c r="AW129" s="8" t="str">
        <f>IF(C129&gt;0,VLOOKUP(C129,Foundation_Calc!$A$2:$C$986,3,1),
IF(J129&gt;0,VLOOKUP(J129,Foundation_Calc!$A$2:$C$986,3,1),""))</f>
        <v/>
      </c>
      <c r="AX129" s="8" t="str">
        <f>IF(C129&gt;0,VLOOKUP(C129,Foundation_Calc!$E$2:$G$986,3,1),
IF(J129&gt;0,VLOOKUP(J129,Foundation_Calc!$E$2:$G$986,3,1),""))</f>
        <v/>
      </c>
      <c r="AY129" s="631" t="str">
        <f>IF(L129="","",
IF(AX129="PT",VLOOKUP(L129,Foundation_Calc!$K$4:$R$37,VLOOKUP(AW129,Foundation_Calc!$I$2:$J$8,2,FALSE),0),
IF(AX129="K",VLOOKUP(L129,Foundation_Calc!$K$41:$R$74,VLOOKUP(AW129,Foundation_Calc!$I$2:$J$8,2,FALSE),0),"")))</f>
        <v/>
      </c>
      <c r="AZ129" s="631" t="str">
        <f>IF(K129="","",
IF(AX129="PT",VLOOKUP(K129,Foundation_Calc!$K$4:$R$37,VLOOKUP(AW129,Foundation_Calc!$I$2:$J$8,2,FALSE),0),
IF(AX129="K",VLOOKUP(K129,Foundation_Calc!$K$41:$R$74,VLOOKUP(AW129,Foundation_Calc!$I$2:$J$8,2,FALSE),0),"")))</f>
        <v/>
      </c>
      <c r="BA129" s="632" t="str">
        <f t="shared" si="6"/>
        <v/>
      </c>
      <c r="BB129" s="632" t="str">
        <f t="shared" si="7"/>
        <v/>
      </c>
      <c r="BC129" s="632" t="str">
        <f t="shared" si="8"/>
        <v/>
      </c>
      <c r="BD129" s="633" t="str">
        <f>IF(AND(L129="",H129=""),"",
IF(H129="",Pole_Calc!A133,
IF(H129="MP",Pole_Calc!A134,
IF(H129="AnMP",Pole_Calc!A135,
IF(H129="A",Pole_Calc!A136,
IF(H129="S/A",Pole_Calc!A137,
IF(H129="A/S",Pole_Calc!A138,"Poner a mano")))))))</f>
        <v/>
      </c>
      <c r="BE129" s="448" t="s">
        <v>1726</v>
      </c>
      <c r="BF129" s="635"/>
      <c r="BG129" s="635"/>
      <c r="BH129" s="634"/>
      <c r="BI129" s="635"/>
    </row>
    <row r="130" spans="1:61" ht="16.2" customHeight="1">
      <c r="A130" s="12"/>
      <c r="B130" s="446"/>
      <c r="C130" s="89"/>
      <c r="D130" s="13"/>
      <c r="E130" s="14"/>
      <c r="F130" s="14"/>
      <c r="G130" s="15"/>
      <c r="H130" s="8"/>
      <c r="I130" s="8"/>
      <c r="J130" s="89"/>
      <c r="K130" s="8"/>
      <c r="L130" s="8"/>
      <c r="M130" s="8" t="str">
        <f>IF(L130="","",
IF(AX130="PT",VLOOKUP(L130,Foundation_Calc!$V$4:$X$37,VLOOKUP(AX130,Foundation_Calc!$I$10:$J$13,2,FALSE),0),
IF(AX130="K",VLOOKUP(L130,Foundation_Calc!$V$41:$X$74,VLOOKUP(AX130,Foundation_Calc!$I$10:$J$13,2,FALSE),0),"")))</f>
        <v/>
      </c>
      <c r="N130" s="8"/>
      <c r="O130" s="8"/>
      <c r="P130" s="8"/>
      <c r="Q130" s="14"/>
      <c r="R130" s="15"/>
      <c r="S130" s="15"/>
      <c r="T130" s="14"/>
      <c r="U130" s="14"/>
      <c r="V130" s="14"/>
      <c r="W130" s="18"/>
      <c r="X130" s="18"/>
      <c r="Y130" s="18"/>
      <c r="Z130" s="18"/>
      <c r="AA130" s="18"/>
      <c r="AB130" s="18"/>
      <c r="AC130" s="8" t="str">
        <f t="shared" si="5"/>
        <v/>
      </c>
      <c r="AD130" s="8"/>
      <c r="AE130" s="8"/>
      <c r="AF130" s="14"/>
      <c r="AG130" s="13"/>
      <c r="AH130" s="14"/>
      <c r="AI130" s="14"/>
      <c r="AJ130" s="8"/>
      <c r="AK130" s="8"/>
      <c r="AL130" s="8"/>
      <c r="AM130" s="8"/>
      <c r="AN130" s="631"/>
      <c r="AO130" s="18"/>
      <c r="AP130" s="18"/>
      <c r="AQ130" s="18"/>
      <c r="AR130" s="18"/>
      <c r="AS130" s="18"/>
      <c r="AU130" s="448"/>
      <c r="AV130" s="448"/>
      <c r="AW130" s="8" t="str">
        <f>IF(C130&gt;0,VLOOKUP(C130,Foundation_Calc!$A$2:$C$986,3,1),
IF(J130&gt;0,VLOOKUP(J130,Foundation_Calc!$A$2:$C$986,3,1),""))</f>
        <v/>
      </c>
      <c r="AX130" s="8" t="str">
        <f>IF(C130&gt;0,VLOOKUP(C130,Foundation_Calc!$E$2:$G$986,3,1),
IF(J130&gt;0,VLOOKUP(J130,Foundation_Calc!$E$2:$G$986,3,1),""))</f>
        <v/>
      </c>
      <c r="AY130" s="631" t="str">
        <f>IF(L130="","",
IF(AX130="PT",VLOOKUP(L130,Foundation_Calc!$K$4:$R$37,VLOOKUP(AW130,Foundation_Calc!$I$2:$J$8,2,FALSE),0),
IF(AX130="K",VLOOKUP(L130,Foundation_Calc!$K$41:$R$74,VLOOKUP(AW130,Foundation_Calc!$I$2:$J$8,2,FALSE),0),"")))</f>
        <v/>
      </c>
      <c r="AZ130" s="631" t="str">
        <f>IF(K130="","",
IF(AX130="PT",VLOOKUP(K130,Foundation_Calc!$K$4:$R$37,VLOOKUP(AW130,Foundation_Calc!$I$2:$J$8,2,FALSE),0),
IF(AX130="K",VLOOKUP(K130,Foundation_Calc!$K$41:$R$74,VLOOKUP(AW130,Foundation_Calc!$I$2:$J$8,2,FALSE),0),"")))</f>
        <v/>
      </c>
      <c r="BA130" s="632" t="str">
        <f t="shared" si="6"/>
        <v/>
      </c>
      <c r="BB130" s="632" t="str">
        <f t="shared" si="7"/>
        <v/>
      </c>
      <c r="BC130" s="632" t="str">
        <f t="shared" si="8"/>
        <v/>
      </c>
      <c r="BD130" s="633" t="str">
        <f>IF(AND(L130="",H130=""),"",
IF(H130="",Pole_Calc!A134,
IF(H130="MP",Pole_Calc!A135,
IF(H130="AnMP",Pole_Calc!A136,
IF(H130="A",Pole_Calc!A137,
IF(H130="S/A",Pole_Calc!A138,
IF(H130="A/S",Pole_Calc!A139,"Poner a mano")))))))</f>
        <v/>
      </c>
      <c r="BE130" s="448" t="s">
        <v>1726</v>
      </c>
      <c r="BF130" s="634"/>
      <c r="BG130" s="634"/>
      <c r="BH130" s="634"/>
      <c r="BI130" s="634"/>
    </row>
    <row r="131" spans="1:61" ht="16.2" customHeight="1">
      <c r="A131" s="12"/>
      <c r="B131" s="446"/>
      <c r="C131" s="89"/>
      <c r="D131" s="13"/>
      <c r="E131" s="14"/>
      <c r="F131" s="14"/>
      <c r="G131" s="15"/>
      <c r="H131" s="8"/>
      <c r="I131" s="8"/>
      <c r="J131" s="89"/>
      <c r="K131" s="8"/>
      <c r="L131" s="8"/>
      <c r="M131" s="8" t="str">
        <f>IF(L131="","",
IF(AX131="PT",VLOOKUP(L131,Foundation_Calc!$V$4:$X$37,VLOOKUP(AX131,Foundation_Calc!$I$10:$J$13,2,FALSE),0),
IF(AX131="K",VLOOKUP(L131,Foundation_Calc!$V$41:$X$74,VLOOKUP(AX131,Foundation_Calc!$I$10:$J$13,2,FALSE),0),"")))</f>
        <v/>
      </c>
      <c r="N131" s="8"/>
      <c r="O131" s="8"/>
      <c r="P131" s="8"/>
      <c r="Q131" s="14"/>
      <c r="R131" s="15"/>
      <c r="S131" s="15"/>
      <c r="T131" s="14"/>
      <c r="U131" s="14"/>
      <c r="V131" s="14"/>
      <c r="W131" s="18"/>
      <c r="X131" s="18"/>
      <c r="Y131" s="18"/>
      <c r="Z131" s="18"/>
      <c r="AA131" s="18"/>
      <c r="AB131" s="18"/>
      <c r="AC131" s="8" t="str">
        <f t="shared" si="5"/>
        <v/>
      </c>
      <c r="AD131" s="8"/>
      <c r="AE131" s="8"/>
      <c r="AF131" s="14"/>
      <c r="AG131" s="13"/>
      <c r="AH131" s="14"/>
      <c r="AI131" s="14"/>
      <c r="AJ131" s="8"/>
      <c r="AK131" s="8"/>
      <c r="AL131" s="8"/>
      <c r="AM131" s="8"/>
      <c r="AN131" s="631"/>
      <c r="AO131" s="18"/>
      <c r="AP131" s="18"/>
      <c r="AQ131" s="18"/>
      <c r="AR131" s="18"/>
      <c r="AS131" s="18"/>
      <c r="AU131" s="448"/>
      <c r="AV131" s="448"/>
      <c r="AW131" s="8" t="str">
        <f>IF(C131&gt;0,VLOOKUP(C131,Foundation_Calc!$A$2:$C$986,3,1),
IF(J131&gt;0,VLOOKUP(J131,Foundation_Calc!$A$2:$C$986,3,1),""))</f>
        <v/>
      </c>
      <c r="AX131" s="8" t="str">
        <f>IF(C131&gt;0,VLOOKUP(C131,Foundation_Calc!$E$2:$G$986,3,1),
IF(J131&gt;0,VLOOKUP(J131,Foundation_Calc!$E$2:$G$986,3,1),""))</f>
        <v/>
      </c>
      <c r="AY131" s="631" t="str">
        <f>IF(L131="","",
IF(AX131="PT",VLOOKUP(L131,Foundation_Calc!$K$4:$R$37,VLOOKUP(AW131,Foundation_Calc!$I$2:$J$8,2,FALSE),0),
IF(AX131="K",VLOOKUP(L131,Foundation_Calc!$K$41:$R$74,VLOOKUP(AW131,Foundation_Calc!$I$2:$J$8,2,FALSE),0),"")))</f>
        <v/>
      </c>
      <c r="AZ131" s="631" t="str">
        <f>IF(K131="","",
IF(AX131="PT",VLOOKUP(K131,Foundation_Calc!$K$4:$R$37,VLOOKUP(AW131,Foundation_Calc!$I$2:$J$8,2,FALSE),0),
IF(AX131="K",VLOOKUP(K131,Foundation_Calc!$K$41:$R$74,VLOOKUP(AW131,Foundation_Calc!$I$2:$J$8,2,FALSE),0),"")))</f>
        <v/>
      </c>
      <c r="BA131" s="632" t="str">
        <f t="shared" si="6"/>
        <v/>
      </c>
      <c r="BB131" s="632" t="str">
        <f t="shared" si="7"/>
        <v/>
      </c>
      <c r="BC131" s="632" t="str">
        <f t="shared" si="8"/>
        <v/>
      </c>
      <c r="BD131" s="633" t="str">
        <f>IF(AND(L131="",H131=""),"",
IF(H131="",Pole_Calc!A135,
IF(H131="MP",Pole_Calc!A136,
IF(H131="AnMP",Pole_Calc!A137,
IF(H131="A",Pole_Calc!A138,
IF(H131="S/A",Pole_Calc!A139,
IF(H131="A/S",Pole_Calc!A140,"Poner a mano")))))))</f>
        <v/>
      </c>
      <c r="BE131" s="448" t="s">
        <v>1726</v>
      </c>
      <c r="BF131" s="635"/>
      <c r="BG131" s="635"/>
      <c r="BH131" s="634"/>
      <c r="BI131" s="635"/>
    </row>
    <row r="132" spans="1:61" ht="16.2" customHeight="1">
      <c r="A132" s="12"/>
      <c r="B132" s="446"/>
      <c r="C132" s="89"/>
      <c r="D132" s="13"/>
      <c r="E132" s="14"/>
      <c r="F132" s="14"/>
      <c r="G132" s="15"/>
      <c r="H132" s="8"/>
      <c r="I132" s="8"/>
      <c r="J132" s="89"/>
      <c r="K132" s="8"/>
      <c r="L132" s="8"/>
      <c r="M132" s="8" t="str">
        <f>IF(L132="","",
IF(AX132="PT",VLOOKUP(L132,Foundation_Calc!$V$4:$X$37,VLOOKUP(AX132,Foundation_Calc!$I$10:$J$13,2,FALSE),0),
IF(AX132="K",VLOOKUP(L132,Foundation_Calc!$V$41:$X$74,VLOOKUP(AX132,Foundation_Calc!$I$10:$J$13,2,FALSE),0),"")))</f>
        <v/>
      </c>
      <c r="N132" s="8"/>
      <c r="O132" s="8"/>
      <c r="P132" s="8"/>
      <c r="Q132" s="14"/>
      <c r="R132" s="15"/>
      <c r="S132" s="15"/>
      <c r="T132" s="14"/>
      <c r="U132" s="14"/>
      <c r="V132" s="14"/>
      <c r="W132" s="18"/>
      <c r="X132" s="18"/>
      <c r="Y132" s="18"/>
      <c r="Z132" s="18"/>
      <c r="AA132" s="18"/>
      <c r="AB132" s="18"/>
      <c r="AC132" s="8" t="str">
        <f t="shared" si="5"/>
        <v/>
      </c>
      <c r="AD132" s="8"/>
      <c r="AE132" s="8"/>
      <c r="AF132" s="14"/>
      <c r="AG132" s="13"/>
      <c r="AH132" s="14"/>
      <c r="AI132" s="14"/>
      <c r="AJ132" s="8"/>
      <c r="AK132" s="8"/>
      <c r="AL132" s="8"/>
      <c r="AM132" s="8"/>
      <c r="AN132" s="631"/>
      <c r="AO132" s="18"/>
      <c r="AP132" s="18"/>
      <c r="AQ132" s="18"/>
      <c r="AR132" s="18"/>
      <c r="AS132" s="18"/>
      <c r="AU132" s="448"/>
      <c r="AV132" s="448"/>
      <c r="AW132" s="8" t="str">
        <f>IF(C132&gt;0,VLOOKUP(C132,Foundation_Calc!$A$2:$C$986,3,1),
IF(J132&gt;0,VLOOKUP(J132,Foundation_Calc!$A$2:$C$986,3,1),""))</f>
        <v/>
      </c>
      <c r="AX132" s="8" t="str">
        <f>IF(C132&gt;0,VLOOKUP(C132,Foundation_Calc!$E$2:$G$986,3,1),
IF(J132&gt;0,VLOOKUP(J132,Foundation_Calc!$E$2:$G$986,3,1),""))</f>
        <v/>
      </c>
      <c r="AY132" s="631" t="str">
        <f>IF(L132="","",
IF(AX132="PT",VLOOKUP(L132,Foundation_Calc!$K$4:$R$37,VLOOKUP(AW132,Foundation_Calc!$I$2:$J$8,2,FALSE),0),
IF(AX132="K",VLOOKUP(L132,Foundation_Calc!$K$41:$R$74,VLOOKUP(AW132,Foundation_Calc!$I$2:$J$8,2,FALSE),0),"")))</f>
        <v/>
      </c>
      <c r="AZ132" s="631" t="str">
        <f>IF(K132="","",
IF(AX132="PT",VLOOKUP(K132,Foundation_Calc!$K$4:$R$37,VLOOKUP(AW132,Foundation_Calc!$I$2:$J$8,2,FALSE),0),
IF(AX132="K",VLOOKUP(K132,Foundation_Calc!$K$41:$R$74,VLOOKUP(AW132,Foundation_Calc!$I$2:$J$8,2,FALSE),0),"")))</f>
        <v/>
      </c>
      <c r="BA132" s="632" t="str">
        <f t="shared" si="6"/>
        <v/>
      </c>
      <c r="BB132" s="632" t="str">
        <f t="shared" si="7"/>
        <v/>
      </c>
      <c r="BC132" s="632" t="str">
        <f t="shared" si="8"/>
        <v/>
      </c>
      <c r="BD132" s="633" t="str">
        <f>IF(AND(L132="",H132=""),"",
IF(H132="",Pole_Calc!A136,
IF(H132="MP",Pole_Calc!A137,
IF(H132="AnMP",Pole_Calc!A138,
IF(H132="A",Pole_Calc!A139,
IF(H132="S/A",Pole_Calc!A140,
IF(H132="A/S",Pole_Calc!A141,"Poner a mano")))))))</f>
        <v/>
      </c>
      <c r="BE132" s="448" t="s">
        <v>1726</v>
      </c>
      <c r="BF132" s="634"/>
      <c r="BG132" s="634"/>
      <c r="BH132" s="634"/>
      <c r="BI132" s="634"/>
    </row>
    <row r="133" spans="1:61" ht="16.2" customHeight="1">
      <c r="A133" s="12"/>
      <c r="B133" s="446"/>
      <c r="C133" s="89"/>
      <c r="D133" s="13"/>
      <c r="E133" s="14"/>
      <c r="F133" s="14"/>
      <c r="G133" s="15"/>
      <c r="H133" s="8"/>
      <c r="I133" s="8"/>
      <c r="J133" s="89"/>
      <c r="K133" s="8"/>
      <c r="L133" s="8"/>
      <c r="M133" s="8" t="str">
        <f>IF(L133="","",
IF(AX133="PT",VLOOKUP(L133,Foundation_Calc!$V$4:$X$37,VLOOKUP(AX133,Foundation_Calc!$I$10:$J$13,2,FALSE),0),
IF(AX133="K",VLOOKUP(L133,Foundation_Calc!$V$41:$X$74,VLOOKUP(AX133,Foundation_Calc!$I$10:$J$13,2,FALSE),0),"")))</f>
        <v/>
      </c>
      <c r="N133" s="8"/>
      <c r="O133" s="8"/>
      <c r="P133" s="8"/>
      <c r="Q133" s="14"/>
      <c r="R133" s="15"/>
      <c r="S133" s="15"/>
      <c r="T133" s="14"/>
      <c r="U133" s="14"/>
      <c r="V133" s="14"/>
      <c r="W133" s="18"/>
      <c r="X133" s="18"/>
      <c r="Y133" s="18"/>
      <c r="Z133" s="18"/>
      <c r="AA133" s="18"/>
      <c r="AB133" s="18"/>
      <c r="AC133" s="8" t="str">
        <f t="shared" si="5"/>
        <v/>
      </c>
      <c r="AD133" s="8"/>
      <c r="AE133" s="8"/>
      <c r="AF133" s="14"/>
      <c r="AG133" s="13"/>
      <c r="AH133" s="14"/>
      <c r="AI133" s="14"/>
      <c r="AJ133" s="8"/>
      <c r="AK133" s="8"/>
      <c r="AL133" s="8"/>
      <c r="AM133" s="8"/>
      <c r="AN133" s="631"/>
      <c r="AO133" s="18"/>
      <c r="AP133" s="18"/>
      <c r="AQ133" s="18"/>
      <c r="AR133" s="18"/>
      <c r="AS133" s="18"/>
      <c r="AU133" s="448"/>
      <c r="AV133" s="448"/>
      <c r="AW133" s="8" t="str">
        <f>IF(C133&gt;0,VLOOKUP(C133,Foundation_Calc!$A$2:$C$986,3,1),
IF(J133&gt;0,VLOOKUP(J133,Foundation_Calc!$A$2:$C$986,3,1),""))</f>
        <v/>
      </c>
      <c r="AX133" s="8" t="str">
        <f>IF(C133&gt;0,VLOOKUP(C133,Foundation_Calc!$E$2:$G$986,3,1),
IF(J133&gt;0,VLOOKUP(J133,Foundation_Calc!$E$2:$G$986,3,1),""))</f>
        <v/>
      </c>
      <c r="AY133" s="631" t="str">
        <f>IF(L133="","",
IF(AX133="PT",VLOOKUP(L133,Foundation_Calc!$K$4:$R$37,VLOOKUP(AW133,Foundation_Calc!$I$2:$J$8,2,FALSE),0),
IF(AX133="K",VLOOKUP(L133,Foundation_Calc!$K$41:$R$74,VLOOKUP(AW133,Foundation_Calc!$I$2:$J$8,2,FALSE),0),"")))</f>
        <v/>
      </c>
      <c r="AZ133" s="631" t="str">
        <f>IF(K133="","",
IF(AX133="PT",VLOOKUP(K133,Foundation_Calc!$K$4:$R$37,VLOOKUP(AW133,Foundation_Calc!$I$2:$J$8,2,FALSE),0),
IF(AX133="K",VLOOKUP(K133,Foundation_Calc!$K$41:$R$74,VLOOKUP(AW133,Foundation_Calc!$I$2:$J$8,2,FALSE),0),"")))</f>
        <v/>
      </c>
      <c r="BA133" s="632" t="str">
        <f t="shared" si="6"/>
        <v/>
      </c>
      <c r="BB133" s="632" t="str">
        <f t="shared" si="7"/>
        <v/>
      </c>
      <c r="BC133" s="632" t="str">
        <f t="shared" si="8"/>
        <v/>
      </c>
      <c r="BD133" s="633" t="str">
        <f>IF(AND(L133="",H133=""),"",
IF(H133="",Pole_Calc!A137,
IF(H133="MP",Pole_Calc!A138,
IF(H133="AnMP",Pole_Calc!A139,
IF(H133="A",Pole_Calc!A140,
IF(H133="S/A",Pole_Calc!A141,
IF(H133="A/S",Pole_Calc!A142,"Poner a mano")))))))</f>
        <v/>
      </c>
      <c r="BE133" s="448" t="s">
        <v>1726</v>
      </c>
      <c r="BF133" s="635"/>
      <c r="BG133" s="635"/>
      <c r="BH133" s="634"/>
      <c r="BI133" s="635"/>
    </row>
    <row r="134" spans="1:61" ht="16.2" customHeight="1">
      <c r="A134" s="12"/>
      <c r="B134" s="446"/>
      <c r="C134" s="89"/>
      <c r="D134" s="13"/>
      <c r="E134" s="14"/>
      <c r="F134" s="14"/>
      <c r="G134" s="15"/>
      <c r="H134" s="8"/>
      <c r="I134" s="8"/>
      <c r="J134" s="89"/>
      <c r="K134" s="8"/>
      <c r="L134" s="8"/>
      <c r="M134" s="8" t="str">
        <f>IF(L134="","",
IF(AX134="PT",VLOOKUP(L134,Foundation_Calc!$V$4:$X$37,VLOOKUP(AX134,Foundation_Calc!$I$10:$J$13,2,FALSE),0),
IF(AX134="K",VLOOKUP(L134,Foundation_Calc!$V$41:$X$74,VLOOKUP(AX134,Foundation_Calc!$I$10:$J$13,2,FALSE),0),"")))</f>
        <v/>
      </c>
      <c r="N134" s="8"/>
      <c r="O134" s="8"/>
      <c r="P134" s="8"/>
      <c r="Q134" s="14"/>
      <c r="R134" s="15"/>
      <c r="S134" s="15"/>
      <c r="T134" s="14"/>
      <c r="U134" s="14"/>
      <c r="V134" s="14"/>
      <c r="W134" s="18"/>
      <c r="X134" s="18"/>
      <c r="Y134" s="18"/>
      <c r="Z134" s="18"/>
      <c r="AA134" s="18"/>
      <c r="AB134" s="18"/>
      <c r="AC134" s="8" t="str">
        <f t="shared" ref="AC134:AC197" si="9">IF(OR(AT134&gt;8,AT134&lt;-8),"PH",
IF(OR(AT134&gt;5,AT134&lt;-5),"PHQ",
IF(OR(AT134&gt;1,AT134&lt;-1),
"PHC","")))</f>
        <v/>
      </c>
      <c r="AD134" s="8"/>
      <c r="AE134" s="8"/>
      <c r="AF134" s="14"/>
      <c r="AG134" s="13"/>
      <c r="AH134" s="14"/>
      <c r="AI134" s="14"/>
      <c r="AJ134" s="8"/>
      <c r="AK134" s="8"/>
      <c r="AL134" s="8"/>
      <c r="AM134" s="8"/>
      <c r="AN134" s="631"/>
      <c r="AO134" s="18"/>
      <c r="AP134" s="18"/>
      <c r="AQ134" s="18"/>
      <c r="AR134" s="18"/>
      <c r="AS134" s="18"/>
      <c r="AU134" s="448"/>
      <c r="AV134" s="448"/>
      <c r="AW134" s="8" t="str">
        <f>IF(C134&gt;0,VLOOKUP(C134,Foundation_Calc!$A$2:$C$986,3,1),
IF(J134&gt;0,VLOOKUP(J134,Foundation_Calc!$A$2:$C$986,3,1),""))</f>
        <v/>
      </c>
      <c r="AX134" s="8" t="str">
        <f>IF(C134&gt;0,VLOOKUP(C134,Foundation_Calc!$E$2:$G$986,3,1),
IF(J134&gt;0,VLOOKUP(J134,Foundation_Calc!$E$2:$G$986,3,1),""))</f>
        <v/>
      </c>
      <c r="AY134" s="631" t="str">
        <f>IF(L134="","",
IF(AX134="PT",VLOOKUP(L134,Foundation_Calc!$K$4:$R$37,VLOOKUP(AW134,Foundation_Calc!$I$2:$J$8,2,FALSE),0),
IF(AX134="K",VLOOKUP(L134,Foundation_Calc!$K$41:$R$74,VLOOKUP(AW134,Foundation_Calc!$I$2:$J$8,2,FALSE),0),"")))</f>
        <v/>
      </c>
      <c r="AZ134" s="631" t="str">
        <f>IF(K134="","",
IF(AX134="PT",VLOOKUP(K134,Foundation_Calc!$K$4:$R$37,VLOOKUP(AW134,Foundation_Calc!$I$2:$J$8,2,FALSE),0),
IF(AX134="K",VLOOKUP(K134,Foundation_Calc!$K$41:$R$74,VLOOKUP(AW134,Foundation_Calc!$I$2:$J$8,2,FALSE),0),"")))</f>
        <v/>
      </c>
      <c r="BA134" s="632" t="str">
        <f t="shared" ref="BA134:BA197" si="10">IF(AY134="","",IF(AY134&gt;0,"ü",""))</f>
        <v/>
      </c>
      <c r="BB134" s="632" t="str">
        <f t="shared" ref="BB134:BB197" si="11">IF(AZ134="","",IF(AZ134&gt;0,"ü",""))</f>
        <v/>
      </c>
      <c r="BC134" s="632" t="str">
        <f t="shared" ref="BC134:BC197" si="12">IF(M134="","",IF(M134="Unique Solution","ü",""))</f>
        <v/>
      </c>
      <c r="BD134" s="633" t="str">
        <f>IF(AND(L134="",H134=""),"",
IF(H134="",Pole_Calc!A138,
IF(H134="MP",Pole_Calc!A139,
IF(H134="AnMP",Pole_Calc!A140,
IF(H134="A",Pole_Calc!A141,
IF(H134="S/A",Pole_Calc!A142,
IF(H134="A/S",Pole_Calc!A143,"Poner a mano")))))))</f>
        <v/>
      </c>
      <c r="BE134" s="448" t="s">
        <v>1726</v>
      </c>
      <c r="BF134" s="634"/>
      <c r="BG134" s="634"/>
      <c r="BH134" s="634"/>
      <c r="BI134" s="634"/>
    </row>
    <row r="135" spans="1:61" ht="16.2" customHeight="1">
      <c r="A135" s="12"/>
      <c r="B135" s="446"/>
      <c r="C135" s="89"/>
      <c r="D135" s="13"/>
      <c r="E135" s="14"/>
      <c r="F135" s="14"/>
      <c r="G135" s="15"/>
      <c r="H135" s="8"/>
      <c r="I135" s="8"/>
      <c r="J135" s="89"/>
      <c r="K135" s="8"/>
      <c r="L135" s="8"/>
      <c r="M135" s="8" t="str">
        <f>IF(L135="","",
IF(AX135="PT",VLOOKUP(L135,Foundation_Calc!$V$4:$X$37,VLOOKUP(AX135,Foundation_Calc!$I$10:$J$13,2,FALSE),0),
IF(AX135="K",VLOOKUP(L135,Foundation_Calc!$V$41:$X$74,VLOOKUP(AX135,Foundation_Calc!$I$10:$J$13,2,FALSE),0),"")))</f>
        <v/>
      </c>
      <c r="N135" s="8"/>
      <c r="O135" s="8"/>
      <c r="P135" s="8"/>
      <c r="Q135" s="14"/>
      <c r="R135" s="15"/>
      <c r="S135" s="15"/>
      <c r="T135" s="14"/>
      <c r="U135" s="14"/>
      <c r="V135" s="14"/>
      <c r="W135" s="18"/>
      <c r="X135" s="18"/>
      <c r="Y135" s="18"/>
      <c r="Z135" s="18"/>
      <c r="AA135" s="18"/>
      <c r="AB135" s="18"/>
      <c r="AC135" s="8" t="str">
        <f t="shared" si="9"/>
        <v/>
      </c>
      <c r="AD135" s="8"/>
      <c r="AE135" s="8"/>
      <c r="AF135" s="14"/>
      <c r="AG135" s="13"/>
      <c r="AH135" s="14"/>
      <c r="AI135" s="14"/>
      <c r="AJ135" s="8"/>
      <c r="AK135" s="8"/>
      <c r="AL135" s="8"/>
      <c r="AM135" s="8"/>
      <c r="AN135" s="631"/>
      <c r="AO135" s="18"/>
      <c r="AP135" s="18"/>
      <c r="AQ135" s="18"/>
      <c r="AR135" s="18"/>
      <c r="AS135" s="18"/>
      <c r="AU135" s="448"/>
      <c r="AV135" s="448"/>
      <c r="AW135" s="8" t="str">
        <f>IF(C135&gt;0,VLOOKUP(C135,Foundation_Calc!$A$2:$C$986,3,1),
IF(J135&gt;0,VLOOKUP(J135,Foundation_Calc!$A$2:$C$986,3,1),""))</f>
        <v/>
      </c>
      <c r="AX135" s="8" t="str">
        <f>IF(C135&gt;0,VLOOKUP(C135,Foundation_Calc!$E$2:$G$986,3,1),
IF(J135&gt;0,VLOOKUP(J135,Foundation_Calc!$E$2:$G$986,3,1),""))</f>
        <v/>
      </c>
      <c r="AY135" s="631" t="str">
        <f>IF(L135="","",
IF(AX135="PT",VLOOKUP(L135,Foundation_Calc!$K$4:$R$37,VLOOKUP(AW135,Foundation_Calc!$I$2:$J$8,2,FALSE),0),
IF(AX135="K",VLOOKUP(L135,Foundation_Calc!$K$41:$R$74,VLOOKUP(AW135,Foundation_Calc!$I$2:$J$8,2,FALSE),0),"")))</f>
        <v/>
      </c>
      <c r="AZ135" s="631" t="str">
        <f>IF(K135="","",
IF(AX135="PT",VLOOKUP(K135,Foundation_Calc!$K$4:$R$37,VLOOKUP(AW135,Foundation_Calc!$I$2:$J$8,2,FALSE),0),
IF(AX135="K",VLOOKUP(K135,Foundation_Calc!$K$41:$R$74,VLOOKUP(AW135,Foundation_Calc!$I$2:$J$8,2,FALSE),0),"")))</f>
        <v/>
      </c>
      <c r="BA135" s="632" t="str">
        <f t="shared" si="10"/>
        <v/>
      </c>
      <c r="BB135" s="632" t="str">
        <f t="shared" si="11"/>
        <v/>
      </c>
      <c r="BC135" s="632" t="str">
        <f t="shared" si="12"/>
        <v/>
      </c>
      <c r="BD135" s="633" t="str">
        <f>IF(AND(L135="",H135=""),"",
IF(H135="",Pole_Calc!A139,
IF(H135="MP",Pole_Calc!A140,
IF(H135="AnMP",Pole_Calc!A141,
IF(H135="A",Pole_Calc!A142,
IF(H135="S/A",Pole_Calc!A143,
IF(H135="A/S",Pole_Calc!A144,"Poner a mano")))))))</f>
        <v/>
      </c>
      <c r="BE135" s="448" t="s">
        <v>1726</v>
      </c>
      <c r="BF135" s="635"/>
      <c r="BG135" s="635"/>
      <c r="BH135" s="634"/>
      <c r="BI135" s="635"/>
    </row>
    <row r="136" spans="1:61" ht="16.2" customHeight="1">
      <c r="A136" s="12"/>
      <c r="B136" s="446"/>
      <c r="C136" s="89"/>
      <c r="D136" s="13"/>
      <c r="E136" s="14"/>
      <c r="F136" s="14"/>
      <c r="G136" s="15"/>
      <c r="H136" s="8"/>
      <c r="I136" s="8"/>
      <c r="J136" s="89"/>
      <c r="K136" s="8"/>
      <c r="L136" s="8"/>
      <c r="M136" s="8" t="str">
        <f>IF(L136="","",
IF(AX136="PT",VLOOKUP(L136,Foundation_Calc!$V$4:$X$37,VLOOKUP(AX136,Foundation_Calc!$I$10:$J$13,2,FALSE),0),
IF(AX136="K",VLOOKUP(L136,Foundation_Calc!$V$41:$X$74,VLOOKUP(AX136,Foundation_Calc!$I$10:$J$13,2,FALSE),0),"")))</f>
        <v/>
      </c>
      <c r="N136" s="8"/>
      <c r="O136" s="8"/>
      <c r="P136" s="8"/>
      <c r="Q136" s="14"/>
      <c r="R136" s="15"/>
      <c r="S136" s="15"/>
      <c r="T136" s="14"/>
      <c r="U136" s="14"/>
      <c r="V136" s="14"/>
      <c r="W136" s="18"/>
      <c r="X136" s="18"/>
      <c r="Y136" s="18"/>
      <c r="Z136" s="18"/>
      <c r="AA136" s="18"/>
      <c r="AB136" s="18"/>
      <c r="AC136" s="8" t="str">
        <f t="shared" si="9"/>
        <v/>
      </c>
      <c r="AD136" s="8"/>
      <c r="AE136" s="8"/>
      <c r="AF136" s="14"/>
      <c r="AG136" s="13"/>
      <c r="AH136" s="14"/>
      <c r="AI136" s="14"/>
      <c r="AJ136" s="8"/>
      <c r="AK136" s="8"/>
      <c r="AL136" s="8"/>
      <c r="AM136" s="8"/>
      <c r="AN136" s="631"/>
      <c r="AO136" s="18"/>
      <c r="AP136" s="18"/>
      <c r="AQ136" s="18"/>
      <c r="AR136" s="18"/>
      <c r="AS136" s="18"/>
      <c r="AU136" s="448"/>
      <c r="AV136" s="448"/>
      <c r="AW136" s="8" t="str">
        <f>IF(C136&gt;0,VLOOKUP(C136,Foundation_Calc!$A$2:$C$986,3,1),
IF(J136&gt;0,VLOOKUP(J136,Foundation_Calc!$A$2:$C$986,3,1),""))</f>
        <v/>
      </c>
      <c r="AX136" s="8" t="str">
        <f>IF(C136&gt;0,VLOOKUP(C136,Foundation_Calc!$E$2:$G$986,3,1),
IF(J136&gt;0,VLOOKUP(J136,Foundation_Calc!$E$2:$G$986,3,1),""))</f>
        <v/>
      </c>
      <c r="AY136" s="631" t="str">
        <f>IF(L136="","",
IF(AX136="PT",VLOOKUP(L136,Foundation_Calc!$K$4:$R$37,VLOOKUP(AW136,Foundation_Calc!$I$2:$J$8,2,FALSE),0),
IF(AX136="K",VLOOKUP(L136,Foundation_Calc!$K$41:$R$74,VLOOKUP(AW136,Foundation_Calc!$I$2:$J$8,2,FALSE),0),"")))</f>
        <v/>
      </c>
      <c r="AZ136" s="631" t="str">
        <f>IF(K136="","",
IF(AX136="PT",VLOOKUP(K136,Foundation_Calc!$K$4:$R$37,VLOOKUP(AW136,Foundation_Calc!$I$2:$J$8,2,FALSE),0),
IF(AX136="K",VLOOKUP(K136,Foundation_Calc!$K$41:$R$74,VLOOKUP(AW136,Foundation_Calc!$I$2:$J$8,2,FALSE),0),"")))</f>
        <v/>
      </c>
      <c r="BA136" s="632" t="str">
        <f t="shared" si="10"/>
        <v/>
      </c>
      <c r="BB136" s="632" t="str">
        <f t="shared" si="11"/>
        <v/>
      </c>
      <c r="BC136" s="632" t="str">
        <f t="shared" si="12"/>
        <v/>
      </c>
      <c r="BD136" s="633" t="str">
        <f>IF(AND(L136="",H136=""),"",
IF(H136="",Pole_Calc!A140,
IF(H136="MP",Pole_Calc!A141,
IF(H136="AnMP",Pole_Calc!A142,
IF(H136="A",Pole_Calc!A143,
IF(H136="S/A",Pole_Calc!A144,
IF(H136="A/S",Pole_Calc!A145,"Poner a mano")))))))</f>
        <v/>
      </c>
      <c r="BE136" s="448" t="s">
        <v>1726</v>
      </c>
      <c r="BF136" s="634"/>
      <c r="BG136" s="634"/>
      <c r="BH136" s="634"/>
      <c r="BI136" s="634"/>
    </row>
    <row r="137" spans="1:61" ht="16.2" customHeight="1">
      <c r="A137" s="12"/>
      <c r="B137" s="446"/>
      <c r="C137" s="89"/>
      <c r="D137" s="13"/>
      <c r="E137" s="14"/>
      <c r="F137" s="14"/>
      <c r="G137" s="15"/>
      <c r="H137" s="8"/>
      <c r="I137" s="8"/>
      <c r="J137" s="89"/>
      <c r="K137" s="8"/>
      <c r="L137" s="8"/>
      <c r="M137" s="8" t="str">
        <f>IF(L137="","",
IF(AX137="PT",VLOOKUP(L137,Foundation_Calc!$V$4:$X$37,VLOOKUP(AX137,Foundation_Calc!$I$10:$J$13,2,FALSE),0),
IF(AX137="K",VLOOKUP(L137,Foundation_Calc!$V$41:$X$74,VLOOKUP(AX137,Foundation_Calc!$I$10:$J$13,2,FALSE),0),"")))</f>
        <v/>
      </c>
      <c r="N137" s="8"/>
      <c r="O137" s="8"/>
      <c r="P137" s="8"/>
      <c r="Q137" s="14"/>
      <c r="R137" s="15"/>
      <c r="S137" s="15"/>
      <c r="T137" s="14"/>
      <c r="U137" s="14"/>
      <c r="V137" s="14"/>
      <c r="W137" s="18"/>
      <c r="X137" s="18"/>
      <c r="Y137" s="18"/>
      <c r="Z137" s="18"/>
      <c r="AA137" s="18"/>
      <c r="AB137" s="18"/>
      <c r="AC137" s="8" t="str">
        <f t="shared" si="9"/>
        <v/>
      </c>
      <c r="AD137" s="8"/>
      <c r="AE137" s="8"/>
      <c r="AF137" s="14"/>
      <c r="AG137" s="13"/>
      <c r="AH137" s="14"/>
      <c r="AI137" s="14"/>
      <c r="AJ137" s="8"/>
      <c r="AK137" s="8"/>
      <c r="AL137" s="8"/>
      <c r="AM137" s="8"/>
      <c r="AN137" s="631"/>
      <c r="AO137" s="18"/>
      <c r="AP137" s="18"/>
      <c r="AQ137" s="18"/>
      <c r="AR137" s="18"/>
      <c r="AS137" s="18"/>
      <c r="AU137" s="448"/>
      <c r="AV137" s="448"/>
      <c r="AW137" s="8" t="str">
        <f>IF(C137&gt;0,VLOOKUP(C137,Foundation_Calc!$A$2:$C$986,3,1),
IF(J137&gt;0,VLOOKUP(J137,Foundation_Calc!$A$2:$C$986,3,1),""))</f>
        <v/>
      </c>
      <c r="AX137" s="8" t="str">
        <f>IF(C137&gt;0,VLOOKUP(C137,Foundation_Calc!$E$2:$G$986,3,1),
IF(J137&gt;0,VLOOKUP(J137,Foundation_Calc!$E$2:$G$986,3,1),""))</f>
        <v/>
      </c>
      <c r="AY137" s="631" t="str">
        <f>IF(L137="","",
IF(AX137="PT",VLOOKUP(L137,Foundation_Calc!$K$4:$R$37,VLOOKUP(AW137,Foundation_Calc!$I$2:$J$8,2,FALSE),0),
IF(AX137="K",VLOOKUP(L137,Foundation_Calc!$K$41:$R$74,VLOOKUP(AW137,Foundation_Calc!$I$2:$J$8,2,FALSE),0),"")))</f>
        <v/>
      </c>
      <c r="AZ137" s="631" t="str">
        <f>IF(K137="","",
IF(AX137="PT",VLOOKUP(K137,Foundation_Calc!$K$4:$R$37,VLOOKUP(AW137,Foundation_Calc!$I$2:$J$8,2,FALSE),0),
IF(AX137="K",VLOOKUP(K137,Foundation_Calc!$K$41:$R$74,VLOOKUP(AW137,Foundation_Calc!$I$2:$J$8,2,FALSE),0),"")))</f>
        <v/>
      </c>
      <c r="BA137" s="632" t="str">
        <f t="shared" si="10"/>
        <v/>
      </c>
      <c r="BB137" s="632" t="str">
        <f t="shared" si="11"/>
        <v/>
      </c>
      <c r="BC137" s="632" t="str">
        <f t="shared" si="12"/>
        <v/>
      </c>
      <c r="BD137" s="633" t="str">
        <f>IF(AND(L137="",H137=""),"",
IF(H137="",Pole_Calc!A141,
IF(H137="MP",Pole_Calc!A142,
IF(H137="AnMP",Pole_Calc!A143,
IF(H137="A",Pole_Calc!A144,
IF(H137="S/A",Pole_Calc!A145,
IF(H137="A/S",Pole_Calc!A146,"Poner a mano")))))))</f>
        <v/>
      </c>
      <c r="BE137" s="448" t="s">
        <v>1726</v>
      </c>
      <c r="BF137" s="635"/>
      <c r="BG137" s="635"/>
      <c r="BH137" s="634"/>
      <c r="BI137" s="635"/>
    </row>
    <row r="138" spans="1:61" ht="16.2" customHeight="1">
      <c r="A138" s="12"/>
      <c r="B138" s="446"/>
      <c r="C138" s="89"/>
      <c r="D138" s="13"/>
      <c r="E138" s="14"/>
      <c r="F138" s="14"/>
      <c r="G138" s="15"/>
      <c r="H138" s="8"/>
      <c r="I138" s="8"/>
      <c r="J138" s="89"/>
      <c r="K138" s="8"/>
      <c r="L138" s="8"/>
      <c r="M138" s="8" t="str">
        <f>IF(L138="","",
IF(AX138="PT",VLOOKUP(L138,Foundation_Calc!$V$4:$X$37,VLOOKUP(AX138,Foundation_Calc!$I$10:$J$13,2,FALSE),0),
IF(AX138="K",VLOOKUP(L138,Foundation_Calc!$V$41:$X$74,VLOOKUP(AX138,Foundation_Calc!$I$10:$J$13,2,FALSE),0),"")))</f>
        <v/>
      </c>
      <c r="N138" s="8"/>
      <c r="O138" s="8"/>
      <c r="P138" s="8"/>
      <c r="Q138" s="14"/>
      <c r="R138" s="15"/>
      <c r="S138" s="15"/>
      <c r="T138" s="14"/>
      <c r="U138" s="14"/>
      <c r="V138" s="14"/>
      <c r="W138" s="18"/>
      <c r="X138" s="18"/>
      <c r="Y138" s="18"/>
      <c r="Z138" s="18"/>
      <c r="AA138" s="18"/>
      <c r="AB138" s="18"/>
      <c r="AC138" s="8" t="str">
        <f t="shared" si="9"/>
        <v/>
      </c>
      <c r="AD138" s="8"/>
      <c r="AE138" s="8"/>
      <c r="AF138" s="14"/>
      <c r="AG138" s="13"/>
      <c r="AH138" s="14"/>
      <c r="AI138" s="14"/>
      <c r="AJ138" s="8"/>
      <c r="AK138" s="8"/>
      <c r="AL138" s="8"/>
      <c r="AM138" s="8"/>
      <c r="AN138" s="631"/>
      <c r="AO138" s="18"/>
      <c r="AP138" s="18"/>
      <c r="AQ138" s="18"/>
      <c r="AR138" s="18"/>
      <c r="AS138" s="18"/>
      <c r="AU138" s="448"/>
      <c r="AV138" s="448"/>
      <c r="AW138" s="8" t="str">
        <f>IF(C138&gt;0,VLOOKUP(C138,Foundation_Calc!$A$2:$C$986,3,1),
IF(J138&gt;0,VLOOKUP(J138,Foundation_Calc!$A$2:$C$986,3,1),""))</f>
        <v/>
      </c>
      <c r="AX138" s="8" t="str">
        <f>IF(C138&gt;0,VLOOKUP(C138,Foundation_Calc!$E$2:$G$986,3,1),
IF(J138&gt;0,VLOOKUP(J138,Foundation_Calc!$E$2:$G$986,3,1),""))</f>
        <v/>
      </c>
      <c r="AY138" s="631" t="str">
        <f>IF(L138="","",
IF(AX138="PT",VLOOKUP(L138,Foundation_Calc!$K$4:$R$37,VLOOKUP(AW138,Foundation_Calc!$I$2:$J$8,2,FALSE),0),
IF(AX138="K",VLOOKUP(L138,Foundation_Calc!$K$41:$R$74,VLOOKUP(AW138,Foundation_Calc!$I$2:$J$8,2,FALSE),0),"")))</f>
        <v/>
      </c>
      <c r="AZ138" s="631" t="str">
        <f>IF(K138="","",
IF(AX138="PT",VLOOKUP(K138,Foundation_Calc!$K$4:$R$37,VLOOKUP(AW138,Foundation_Calc!$I$2:$J$8,2,FALSE),0),
IF(AX138="K",VLOOKUP(K138,Foundation_Calc!$K$41:$R$74,VLOOKUP(AW138,Foundation_Calc!$I$2:$J$8,2,FALSE),0),"")))</f>
        <v/>
      </c>
      <c r="BA138" s="632" t="str">
        <f t="shared" si="10"/>
        <v/>
      </c>
      <c r="BB138" s="632" t="str">
        <f t="shared" si="11"/>
        <v/>
      </c>
      <c r="BC138" s="632" t="str">
        <f t="shared" si="12"/>
        <v/>
      </c>
      <c r="BD138" s="633" t="str">
        <f>IF(AND(L138="",H138=""),"",
IF(H138="",Pole_Calc!A142,
IF(H138="MP",Pole_Calc!A143,
IF(H138="AnMP",Pole_Calc!A144,
IF(H138="A",Pole_Calc!A145,
IF(H138="S/A",Pole_Calc!A146,
IF(H138="A/S",Pole_Calc!A147,"Poner a mano")))))))</f>
        <v/>
      </c>
      <c r="BE138" s="448" t="s">
        <v>1726</v>
      </c>
      <c r="BF138" s="634"/>
      <c r="BG138" s="634"/>
      <c r="BH138" s="634"/>
      <c r="BI138" s="634"/>
    </row>
    <row r="139" spans="1:61" ht="16.2" customHeight="1">
      <c r="A139" s="12"/>
      <c r="B139" s="446"/>
      <c r="C139" s="89"/>
      <c r="D139" s="13"/>
      <c r="E139" s="14"/>
      <c r="F139" s="14"/>
      <c r="G139" s="15"/>
      <c r="H139" s="8"/>
      <c r="I139" s="8"/>
      <c r="J139" s="89"/>
      <c r="K139" s="8"/>
      <c r="L139" s="8"/>
      <c r="M139" s="8" t="str">
        <f>IF(L139="","",
IF(AX139="PT",VLOOKUP(L139,Foundation_Calc!$V$4:$X$37,VLOOKUP(AX139,Foundation_Calc!$I$10:$J$13,2,FALSE),0),
IF(AX139="K",VLOOKUP(L139,Foundation_Calc!$V$41:$X$74,VLOOKUP(AX139,Foundation_Calc!$I$10:$J$13,2,FALSE),0),"")))</f>
        <v/>
      </c>
      <c r="N139" s="8"/>
      <c r="O139" s="8"/>
      <c r="P139" s="8"/>
      <c r="Q139" s="14"/>
      <c r="R139" s="15"/>
      <c r="S139" s="15"/>
      <c r="T139" s="14"/>
      <c r="U139" s="14"/>
      <c r="V139" s="14"/>
      <c r="W139" s="18"/>
      <c r="X139" s="18"/>
      <c r="Y139" s="18"/>
      <c r="Z139" s="18"/>
      <c r="AA139" s="18"/>
      <c r="AB139" s="18"/>
      <c r="AC139" s="8" t="str">
        <f t="shared" si="9"/>
        <v/>
      </c>
      <c r="AD139" s="8"/>
      <c r="AE139" s="8"/>
      <c r="AF139" s="14"/>
      <c r="AG139" s="13"/>
      <c r="AH139" s="14"/>
      <c r="AI139" s="14"/>
      <c r="AJ139" s="8"/>
      <c r="AK139" s="8"/>
      <c r="AL139" s="8"/>
      <c r="AM139" s="8"/>
      <c r="AN139" s="631"/>
      <c r="AO139" s="18"/>
      <c r="AP139" s="18"/>
      <c r="AQ139" s="18"/>
      <c r="AR139" s="18"/>
      <c r="AS139" s="18"/>
      <c r="AU139" s="448"/>
      <c r="AV139" s="448"/>
      <c r="AW139" s="8" t="str">
        <f>IF(C139&gt;0,VLOOKUP(C139,Foundation_Calc!$A$2:$C$986,3,1),
IF(J139&gt;0,VLOOKUP(J139,Foundation_Calc!$A$2:$C$986,3,1),""))</f>
        <v/>
      </c>
      <c r="AX139" s="8" t="str">
        <f>IF(C139&gt;0,VLOOKUP(C139,Foundation_Calc!$E$2:$G$986,3,1),
IF(J139&gt;0,VLOOKUP(J139,Foundation_Calc!$E$2:$G$986,3,1),""))</f>
        <v/>
      </c>
      <c r="AY139" s="631" t="str">
        <f>IF(L139="","",
IF(AX139="PT",VLOOKUP(L139,Foundation_Calc!$K$4:$R$37,VLOOKUP(AW139,Foundation_Calc!$I$2:$J$8,2,FALSE),0),
IF(AX139="K",VLOOKUP(L139,Foundation_Calc!$K$41:$R$74,VLOOKUP(AW139,Foundation_Calc!$I$2:$J$8,2,FALSE),0),"")))</f>
        <v/>
      </c>
      <c r="AZ139" s="631" t="str">
        <f>IF(K139="","",
IF(AX139="PT",VLOOKUP(K139,Foundation_Calc!$K$4:$R$37,VLOOKUP(AW139,Foundation_Calc!$I$2:$J$8,2,FALSE),0),
IF(AX139="K",VLOOKUP(K139,Foundation_Calc!$K$41:$R$74,VLOOKUP(AW139,Foundation_Calc!$I$2:$J$8,2,FALSE),0),"")))</f>
        <v/>
      </c>
      <c r="BA139" s="632" t="str">
        <f t="shared" si="10"/>
        <v/>
      </c>
      <c r="BB139" s="632" t="str">
        <f t="shared" si="11"/>
        <v/>
      </c>
      <c r="BC139" s="632" t="str">
        <f t="shared" si="12"/>
        <v/>
      </c>
      <c r="BD139" s="633" t="str">
        <f>IF(AND(L139="",H139=""),"",
IF(H139="",Pole_Calc!A143,
IF(H139="MP",Pole_Calc!A144,
IF(H139="AnMP",Pole_Calc!A145,
IF(H139="A",Pole_Calc!A146,
IF(H139="S/A",Pole_Calc!A147,
IF(H139="A/S",Pole_Calc!A148,"Poner a mano")))))))</f>
        <v/>
      </c>
      <c r="BE139" s="448" t="s">
        <v>1726</v>
      </c>
      <c r="BF139" s="635"/>
      <c r="BG139" s="635"/>
      <c r="BH139" s="634"/>
      <c r="BI139" s="635"/>
    </row>
    <row r="140" spans="1:61" ht="16.2" customHeight="1">
      <c r="A140" s="12"/>
      <c r="B140" s="446"/>
      <c r="C140" s="89"/>
      <c r="D140" s="13"/>
      <c r="E140" s="14"/>
      <c r="F140" s="14"/>
      <c r="G140" s="15"/>
      <c r="H140" s="8"/>
      <c r="I140" s="8"/>
      <c r="J140" s="89"/>
      <c r="K140" s="8"/>
      <c r="L140" s="8"/>
      <c r="M140" s="8" t="str">
        <f>IF(L140="","",
IF(AX140="PT",VLOOKUP(L140,Foundation_Calc!$V$4:$X$37,VLOOKUP(AX140,Foundation_Calc!$I$10:$J$13,2,FALSE),0),
IF(AX140="K",VLOOKUP(L140,Foundation_Calc!$V$41:$X$74,VLOOKUP(AX140,Foundation_Calc!$I$10:$J$13,2,FALSE),0),"")))</f>
        <v/>
      </c>
      <c r="N140" s="8"/>
      <c r="O140" s="8"/>
      <c r="P140" s="8"/>
      <c r="Q140" s="14"/>
      <c r="R140" s="15"/>
      <c r="S140" s="15"/>
      <c r="T140" s="14"/>
      <c r="U140" s="14"/>
      <c r="V140" s="14"/>
      <c r="W140" s="18"/>
      <c r="X140" s="18"/>
      <c r="Y140" s="18"/>
      <c r="Z140" s="18"/>
      <c r="AA140" s="18"/>
      <c r="AB140" s="18"/>
      <c r="AC140" s="8" t="str">
        <f t="shared" si="9"/>
        <v/>
      </c>
      <c r="AD140" s="8"/>
      <c r="AE140" s="8"/>
      <c r="AF140" s="14"/>
      <c r="AG140" s="13"/>
      <c r="AH140" s="14"/>
      <c r="AI140" s="14"/>
      <c r="AJ140" s="8"/>
      <c r="AK140" s="8"/>
      <c r="AL140" s="8"/>
      <c r="AM140" s="8"/>
      <c r="AN140" s="631"/>
      <c r="AO140" s="18"/>
      <c r="AP140" s="18"/>
      <c r="AQ140" s="18"/>
      <c r="AR140" s="18"/>
      <c r="AS140" s="18"/>
      <c r="AU140" s="448"/>
      <c r="AV140" s="448"/>
      <c r="AW140" s="8" t="str">
        <f>IF(C140&gt;0,VLOOKUP(C140,Foundation_Calc!$A$2:$C$986,3,1),
IF(J140&gt;0,VLOOKUP(J140,Foundation_Calc!$A$2:$C$986,3,1),""))</f>
        <v/>
      </c>
      <c r="AX140" s="8" t="str">
        <f>IF(C140&gt;0,VLOOKUP(C140,Foundation_Calc!$E$2:$G$986,3,1),
IF(J140&gt;0,VLOOKUP(J140,Foundation_Calc!$E$2:$G$986,3,1),""))</f>
        <v/>
      </c>
      <c r="AY140" s="631" t="str">
        <f>IF(L140="","",
IF(AX140="PT",VLOOKUP(L140,Foundation_Calc!$K$4:$R$37,VLOOKUP(AW140,Foundation_Calc!$I$2:$J$8,2,FALSE),0),
IF(AX140="K",VLOOKUP(L140,Foundation_Calc!$K$41:$R$74,VLOOKUP(AW140,Foundation_Calc!$I$2:$J$8,2,FALSE),0),"")))</f>
        <v/>
      </c>
      <c r="AZ140" s="631" t="str">
        <f>IF(K140="","",
IF(AX140="PT",VLOOKUP(K140,Foundation_Calc!$K$4:$R$37,VLOOKUP(AW140,Foundation_Calc!$I$2:$J$8,2,FALSE),0),
IF(AX140="K",VLOOKUP(K140,Foundation_Calc!$K$41:$R$74,VLOOKUP(AW140,Foundation_Calc!$I$2:$J$8,2,FALSE),0),"")))</f>
        <v/>
      </c>
      <c r="BA140" s="632" t="str">
        <f t="shared" si="10"/>
        <v/>
      </c>
      <c r="BB140" s="632" t="str">
        <f t="shared" si="11"/>
        <v/>
      </c>
      <c r="BC140" s="632" t="str">
        <f t="shared" si="12"/>
        <v/>
      </c>
      <c r="BD140" s="633" t="str">
        <f>IF(AND(L140="",H140=""),"",
IF(H140="",Pole_Calc!A144,
IF(H140="MP",Pole_Calc!A145,
IF(H140="AnMP",Pole_Calc!A146,
IF(H140="A",Pole_Calc!A147,
IF(H140="S/A",Pole_Calc!A148,
IF(H140="A/S",Pole_Calc!A149,"Poner a mano")))))))</f>
        <v/>
      </c>
      <c r="BE140" s="448" t="s">
        <v>1726</v>
      </c>
      <c r="BF140" s="634"/>
      <c r="BG140" s="634"/>
      <c r="BH140" s="634"/>
      <c r="BI140" s="634"/>
    </row>
    <row r="141" spans="1:61" ht="16.2" customHeight="1">
      <c r="A141" s="12"/>
      <c r="B141" s="446"/>
      <c r="C141" s="89"/>
      <c r="D141" s="13"/>
      <c r="E141" s="14"/>
      <c r="F141" s="14"/>
      <c r="G141" s="15"/>
      <c r="H141" s="8"/>
      <c r="I141" s="8"/>
      <c r="J141" s="89"/>
      <c r="K141" s="8"/>
      <c r="L141" s="8"/>
      <c r="M141" s="8" t="str">
        <f>IF(L141="","",
IF(AX141="PT",VLOOKUP(L141,Foundation_Calc!$V$4:$X$37,VLOOKUP(AX141,Foundation_Calc!$I$10:$J$13,2,FALSE),0),
IF(AX141="K",VLOOKUP(L141,Foundation_Calc!$V$41:$X$74,VLOOKUP(AX141,Foundation_Calc!$I$10:$J$13,2,FALSE),0),"")))</f>
        <v/>
      </c>
      <c r="N141" s="8"/>
      <c r="O141" s="8"/>
      <c r="P141" s="8"/>
      <c r="Q141" s="14"/>
      <c r="R141" s="15"/>
      <c r="S141" s="15"/>
      <c r="T141" s="14"/>
      <c r="U141" s="14"/>
      <c r="V141" s="14"/>
      <c r="W141" s="18"/>
      <c r="X141" s="18"/>
      <c r="Y141" s="18"/>
      <c r="Z141" s="18"/>
      <c r="AA141" s="18"/>
      <c r="AB141" s="18"/>
      <c r="AC141" s="8" t="str">
        <f t="shared" si="9"/>
        <v/>
      </c>
      <c r="AD141" s="8"/>
      <c r="AE141" s="8"/>
      <c r="AF141" s="14"/>
      <c r="AG141" s="13"/>
      <c r="AH141" s="14"/>
      <c r="AI141" s="14"/>
      <c r="AJ141" s="8"/>
      <c r="AK141" s="8"/>
      <c r="AL141" s="8"/>
      <c r="AM141" s="8"/>
      <c r="AN141" s="631"/>
      <c r="AO141" s="18"/>
      <c r="AP141" s="18"/>
      <c r="AQ141" s="18"/>
      <c r="AR141" s="18"/>
      <c r="AS141" s="18"/>
      <c r="AU141" s="448"/>
      <c r="AV141" s="448"/>
      <c r="AW141" s="8" t="str">
        <f>IF(C141&gt;0,VLOOKUP(C141,Foundation_Calc!$A$2:$C$986,3,1),
IF(J141&gt;0,VLOOKUP(J141,Foundation_Calc!$A$2:$C$986,3,1),""))</f>
        <v/>
      </c>
      <c r="AX141" s="8" t="str">
        <f>IF(C141&gt;0,VLOOKUP(C141,Foundation_Calc!$E$2:$G$986,3,1),
IF(J141&gt;0,VLOOKUP(J141,Foundation_Calc!$E$2:$G$986,3,1),""))</f>
        <v/>
      </c>
      <c r="AY141" s="631" t="str">
        <f>IF(L141="","",
IF(AX141="PT",VLOOKUP(L141,Foundation_Calc!$K$4:$R$37,VLOOKUP(AW141,Foundation_Calc!$I$2:$J$8,2,FALSE),0),
IF(AX141="K",VLOOKUP(L141,Foundation_Calc!$K$41:$R$74,VLOOKUP(AW141,Foundation_Calc!$I$2:$J$8,2,FALSE),0),"")))</f>
        <v/>
      </c>
      <c r="AZ141" s="631" t="str">
        <f>IF(K141="","",
IF(AX141="PT",VLOOKUP(K141,Foundation_Calc!$K$4:$R$37,VLOOKUP(AW141,Foundation_Calc!$I$2:$J$8,2,FALSE),0),
IF(AX141="K",VLOOKUP(K141,Foundation_Calc!$K$41:$R$74,VLOOKUP(AW141,Foundation_Calc!$I$2:$J$8,2,FALSE),0),"")))</f>
        <v/>
      </c>
      <c r="BA141" s="632" t="str">
        <f t="shared" si="10"/>
        <v/>
      </c>
      <c r="BB141" s="632" t="str">
        <f t="shared" si="11"/>
        <v/>
      </c>
      <c r="BC141" s="632" t="str">
        <f t="shared" si="12"/>
        <v/>
      </c>
      <c r="BD141" s="633" t="str">
        <f>IF(AND(L141="",H141=""),"",
IF(H141="",Pole_Calc!A145,
IF(H141="MP",Pole_Calc!A146,
IF(H141="AnMP",Pole_Calc!A147,
IF(H141="A",Pole_Calc!A148,
IF(H141="S/A",Pole_Calc!A149,
IF(H141="A/S",Pole_Calc!A150,"Poner a mano")))))))</f>
        <v/>
      </c>
      <c r="BE141" s="448" t="s">
        <v>1726</v>
      </c>
      <c r="BF141" s="635"/>
      <c r="BG141" s="635"/>
      <c r="BH141" s="634"/>
      <c r="BI141" s="635"/>
    </row>
    <row r="142" spans="1:61" ht="16.2" customHeight="1">
      <c r="A142" s="12"/>
      <c r="B142" s="446"/>
      <c r="C142" s="89"/>
      <c r="D142" s="13"/>
      <c r="E142" s="14"/>
      <c r="F142" s="14"/>
      <c r="G142" s="15"/>
      <c r="H142" s="8"/>
      <c r="I142" s="8"/>
      <c r="J142" s="89"/>
      <c r="K142" s="8"/>
      <c r="L142" s="8"/>
      <c r="M142" s="8" t="str">
        <f>IF(L142="","",
IF(AX142="PT",VLOOKUP(L142,Foundation_Calc!$V$4:$X$37,VLOOKUP(AX142,Foundation_Calc!$I$10:$J$13,2,FALSE),0),
IF(AX142="K",VLOOKUP(L142,Foundation_Calc!$V$41:$X$74,VLOOKUP(AX142,Foundation_Calc!$I$10:$J$13,2,FALSE),0),"")))</f>
        <v/>
      </c>
      <c r="N142" s="8"/>
      <c r="O142" s="8"/>
      <c r="P142" s="8"/>
      <c r="Q142" s="14"/>
      <c r="R142" s="15"/>
      <c r="S142" s="15"/>
      <c r="T142" s="14"/>
      <c r="U142" s="14"/>
      <c r="V142" s="14"/>
      <c r="W142" s="18"/>
      <c r="X142" s="18"/>
      <c r="Y142" s="18"/>
      <c r="Z142" s="18"/>
      <c r="AA142" s="18"/>
      <c r="AB142" s="18"/>
      <c r="AC142" s="8" t="str">
        <f t="shared" si="9"/>
        <v/>
      </c>
      <c r="AD142" s="8"/>
      <c r="AE142" s="8"/>
      <c r="AF142" s="14"/>
      <c r="AG142" s="13"/>
      <c r="AH142" s="14"/>
      <c r="AI142" s="14"/>
      <c r="AJ142" s="8"/>
      <c r="AK142" s="8"/>
      <c r="AL142" s="8"/>
      <c r="AM142" s="8"/>
      <c r="AN142" s="631"/>
      <c r="AO142" s="18"/>
      <c r="AP142" s="18"/>
      <c r="AQ142" s="18"/>
      <c r="AR142" s="18"/>
      <c r="AS142" s="18"/>
      <c r="AU142" s="448"/>
      <c r="AV142" s="448"/>
      <c r="AW142" s="8" t="str">
        <f>IF(C142&gt;0,VLOOKUP(C142,Foundation_Calc!$A$2:$C$986,3,1),
IF(J142&gt;0,VLOOKUP(J142,Foundation_Calc!$A$2:$C$986,3,1),""))</f>
        <v/>
      </c>
      <c r="AX142" s="8" t="str">
        <f>IF(C142&gt;0,VLOOKUP(C142,Foundation_Calc!$E$2:$G$986,3,1),
IF(J142&gt;0,VLOOKUP(J142,Foundation_Calc!$E$2:$G$986,3,1),""))</f>
        <v/>
      </c>
      <c r="AY142" s="631" t="str">
        <f>IF(L142="","",
IF(AX142="PT",VLOOKUP(L142,Foundation_Calc!$K$4:$R$37,VLOOKUP(AW142,Foundation_Calc!$I$2:$J$8,2,FALSE),0),
IF(AX142="K",VLOOKUP(L142,Foundation_Calc!$K$41:$R$74,VLOOKUP(AW142,Foundation_Calc!$I$2:$J$8,2,FALSE),0),"")))</f>
        <v/>
      </c>
      <c r="AZ142" s="631" t="str">
        <f>IF(K142="","",
IF(AX142="PT",VLOOKUP(K142,Foundation_Calc!$K$4:$R$37,VLOOKUP(AW142,Foundation_Calc!$I$2:$J$8,2,FALSE),0),
IF(AX142="K",VLOOKUP(K142,Foundation_Calc!$K$41:$R$74,VLOOKUP(AW142,Foundation_Calc!$I$2:$J$8,2,FALSE),0),"")))</f>
        <v/>
      </c>
      <c r="BA142" s="632" t="str">
        <f t="shared" si="10"/>
        <v/>
      </c>
      <c r="BB142" s="632" t="str">
        <f t="shared" si="11"/>
        <v/>
      </c>
      <c r="BC142" s="632" t="str">
        <f t="shared" si="12"/>
        <v/>
      </c>
      <c r="BD142" s="633" t="str">
        <f>IF(AND(L142="",H142=""),"",
IF(H142="",Pole_Calc!A146,
IF(H142="MP",Pole_Calc!A147,
IF(H142="AnMP",Pole_Calc!A148,
IF(H142="A",Pole_Calc!A149,
IF(H142="S/A",Pole_Calc!A150,
IF(H142="A/S",Pole_Calc!A151,"Poner a mano")))))))</f>
        <v/>
      </c>
      <c r="BE142" s="448" t="s">
        <v>1726</v>
      </c>
      <c r="BF142" s="634"/>
      <c r="BG142" s="634"/>
      <c r="BH142" s="634"/>
      <c r="BI142" s="634"/>
    </row>
    <row r="143" spans="1:61" ht="16.2" customHeight="1">
      <c r="A143" s="12"/>
      <c r="B143" s="446"/>
      <c r="C143" s="89"/>
      <c r="D143" s="13"/>
      <c r="E143" s="14"/>
      <c r="F143" s="14"/>
      <c r="G143" s="15"/>
      <c r="H143" s="8"/>
      <c r="I143" s="8"/>
      <c r="J143" s="89"/>
      <c r="K143" s="8"/>
      <c r="L143" s="8"/>
      <c r="M143" s="8" t="str">
        <f>IF(L143="","",
IF(AX143="PT",VLOOKUP(L143,Foundation_Calc!$V$4:$X$37,VLOOKUP(AX143,Foundation_Calc!$I$10:$J$13,2,FALSE),0),
IF(AX143="K",VLOOKUP(L143,Foundation_Calc!$V$41:$X$74,VLOOKUP(AX143,Foundation_Calc!$I$10:$J$13,2,FALSE),0),"")))</f>
        <v/>
      </c>
      <c r="N143" s="8"/>
      <c r="O143" s="8"/>
      <c r="P143" s="8"/>
      <c r="Q143" s="14"/>
      <c r="R143" s="15"/>
      <c r="S143" s="15"/>
      <c r="T143" s="14"/>
      <c r="U143" s="14"/>
      <c r="V143" s="14"/>
      <c r="W143" s="18"/>
      <c r="X143" s="18"/>
      <c r="Y143" s="18"/>
      <c r="Z143" s="18"/>
      <c r="AA143" s="18"/>
      <c r="AB143" s="18"/>
      <c r="AC143" s="8" t="str">
        <f t="shared" si="9"/>
        <v/>
      </c>
      <c r="AD143" s="8"/>
      <c r="AE143" s="8"/>
      <c r="AF143" s="14"/>
      <c r="AG143" s="13"/>
      <c r="AH143" s="14"/>
      <c r="AI143" s="14"/>
      <c r="AJ143" s="8"/>
      <c r="AK143" s="8"/>
      <c r="AL143" s="8"/>
      <c r="AM143" s="8"/>
      <c r="AN143" s="631"/>
      <c r="AO143" s="18"/>
      <c r="AP143" s="18"/>
      <c r="AQ143" s="18"/>
      <c r="AR143" s="18"/>
      <c r="AS143" s="18"/>
      <c r="AU143" s="448"/>
      <c r="AV143" s="448"/>
      <c r="AW143" s="8" t="str">
        <f>IF(C143&gt;0,VLOOKUP(C143,Foundation_Calc!$A$2:$C$986,3,1),
IF(J143&gt;0,VLOOKUP(J143,Foundation_Calc!$A$2:$C$986,3,1),""))</f>
        <v/>
      </c>
      <c r="AX143" s="8" t="str">
        <f>IF(C143&gt;0,VLOOKUP(C143,Foundation_Calc!$E$2:$G$986,3,1),
IF(J143&gt;0,VLOOKUP(J143,Foundation_Calc!$E$2:$G$986,3,1),""))</f>
        <v/>
      </c>
      <c r="AY143" s="631" t="str">
        <f>IF(L143="","",
IF(AX143="PT",VLOOKUP(L143,Foundation_Calc!$K$4:$R$37,VLOOKUP(AW143,Foundation_Calc!$I$2:$J$8,2,FALSE),0),
IF(AX143="K",VLOOKUP(L143,Foundation_Calc!$K$41:$R$74,VLOOKUP(AW143,Foundation_Calc!$I$2:$J$8,2,FALSE),0),"")))</f>
        <v/>
      </c>
      <c r="AZ143" s="631" t="str">
        <f>IF(K143="","",
IF(AX143="PT",VLOOKUP(K143,Foundation_Calc!$K$4:$R$37,VLOOKUP(AW143,Foundation_Calc!$I$2:$J$8,2,FALSE),0),
IF(AX143="K",VLOOKUP(K143,Foundation_Calc!$K$41:$R$74,VLOOKUP(AW143,Foundation_Calc!$I$2:$J$8,2,FALSE),0),"")))</f>
        <v/>
      </c>
      <c r="BA143" s="632" t="str">
        <f t="shared" si="10"/>
        <v/>
      </c>
      <c r="BB143" s="632" t="str">
        <f t="shared" si="11"/>
        <v/>
      </c>
      <c r="BC143" s="632" t="str">
        <f t="shared" si="12"/>
        <v/>
      </c>
      <c r="BD143" s="633" t="str">
        <f>IF(AND(L143="",H143=""),"",
IF(H143="",Pole_Calc!A147,
IF(H143="MP",Pole_Calc!A148,
IF(H143="AnMP",Pole_Calc!A149,
IF(H143="A",Pole_Calc!A150,
IF(H143="S/A",Pole_Calc!A151,
IF(H143="A/S",Pole_Calc!A152,"Poner a mano")))))))</f>
        <v/>
      </c>
      <c r="BE143" s="448" t="s">
        <v>1726</v>
      </c>
      <c r="BF143" s="635"/>
      <c r="BG143" s="635"/>
      <c r="BH143" s="634"/>
      <c r="BI143" s="635"/>
    </row>
    <row r="144" spans="1:61" ht="16.2" customHeight="1">
      <c r="A144" s="12"/>
      <c r="B144" s="446"/>
      <c r="C144" s="89"/>
      <c r="D144" s="13"/>
      <c r="E144" s="14"/>
      <c r="F144" s="14"/>
      <c r="G144" s="15"/>
      <c r="H144" s="8"/>
      <c r="I144" s="8"/>
      <c r="J144" s="89"/>
      <c r="K144" s="8"/>
      <c r="L144" s="8"/>
      <c r="M144" s="8" t="str">
        <f>IF(L144="","",
IF(AX144="PT",VLOOKUP(L144,Foundation_Calc!$V$4:$X$37,VLOOKUP(AX144,Foundation_Calc!$I$10:$J$13,2,FALSE),0),
IF(AX144="K",VLOOKUP(L144,Foundation_Calc!$V$41:$X$74,VLOOKUP(AX144,Foundation_Calc!$I$10:$J$13,2,FALSE),0),"")))</f>
        <v/>
      </c>
      <c r="N144" s="8"/>
      <c r="O144" s="8"/>
      <c r="P144" s="8"/>
      <c r="Q144" s="14"/>
      <c r="R144" s="15"/>
      <c r="S144" s="15"/>
      <c r="T144" s="14"/>
      <c r="U144" s="14"/>
      <c r="V144" s="14"/>
      <c r="W144" s="18"/>
      <c r="X144" s="18"/>
      <c r="Y144" s="18"/>
      <c r="Z144" s="18"/>
      <c r="AA144" s="18"/>
      <c r="AB144" s="18"/>
      <c r="AC144" s="8" t="str">
        <f t="shared" si="9"/>
        <v/>
      </c>
      <c r="AD144" s="8"/>
      <c r="AE144" s="8"/>
      <c r="AF144" s="14"/>
      <c r="AG144" s="13"/>
      <c r="AH144" s="14"/>
      <c r="AI144" s="14"/>
      <c r="AJ144" s="8"/>
      <c r="AK144" s="8"/>
      <c r="AL144" s="8"/>
      <c r="AM144" s="8"/>
      <c r="AN144" s="631"/>
      <c r="AO144" s="18"/>
      <c r="AP144" s="18"/>
      <c r="AQ144" s="18"/>
      <c r="AR144" s="18"/>
      <c r="AS144" s="18"/>
      <c r="AU144" s="448"/>
      <c r="AV144" s="448"/>
      <c r="AW144" s="8" t="str">
        <f>IF(C144&gt;0,VLOOKUP(C144,Foundation_Calc!$A$2:$C$986,3,1),
IF(J144&gt;0,VLOOKUP(J144,Foundation_Calc!$A$2:$C$986,3,1),""))</f>
        <v/>
      </c>
      <c r="AX144" s="8" t="str">
        <f>IF(C144&gt;0,VLOOKUP(C144,Foundation_Calc!$E$2:$G$986,3,1),
IF(J144&gt;0,VLOOKUP(J144,Foundation_Calc!$E$2:$G$986,3,1),""))</f>
        <v/>
      </c>
      <c r="AY144" s="631" t="str">
        <f>IF(L144="","",
IF(AX144="PT",VLOOKUP(L144,Foundation_Calc!$K$4:$R$37,VLOOKUP(AW144,Foundation_Calc!$I$2:$J$8,2,FALSE),0),
IF(AX144="K",VLOOKUP(L144,Foundation_Calc!$K$41:$R$74,VLOOKUP(AW144,Foundation_Calc!$I$2:$J$8,2,FALSE),0),"")))</f>
        <v/>
      </c>
      <c r="AZ144" s="631" t="str">
        <f>IF(K144="","",
IF(AX144="PT",VLOOKUP(K144,Foundation_Calc!$K$4:$R$37,VLOOKUP(AW144,Foundation_Calc!$I$2:$J$8,2,FALSE),0),
IF(AX144="K",VLOOKUP(K144,Foundation_Calc!$K$41:$R$74,VLOOKUP(AW144,Foundation_Calc!$I$2:$J$8,2,FALSE),0),"")))</f>
        <v/>
      </c>
      <c r="BA144" s="632" t="str">
        <f t="shared" si="10"/>
        <v/>
      </c>
      <c r="BB144" s="632" t="str">
        <f t="shared" si="11"/>
        <v/>
      </c>
      <c r="BC144" s="632" t="str">
        <f t="shared" si="12"/>
        <v/>
      </c>
      <c r="BD144" s="633" t="str">
        <f>IF(AND(L144="",H144=""),"",
IF(H144="",Pole_Calc!A148,
IF(H144="MP",Pole_Calc!A149,
IF(H144="AnMP",Pole_Calc!A150,
IF(H144="A",Pole_Calc!A151,
IF(H144="S/A",Pole_Calc!A152,
IF(H144="A/S",Pole_Calc!A153,"Poner a mano")))))))</f>
        <v/>
      </c>
      <c r="BE144" s="448" t="s">
        <v>1726</v>
      </c>
      <c r="BF144" s="634"/>
      <c r="BG144" s="634"/>
      <c r="BH144" s="634"/>
      <c r="BI144" s="634"/>
    </row>
    <row r="145" spans="1:61" ht="16.2" customHeight="1">
      <c r="A145" s="12"/>
      <c r="B145" s="446"/>
      <c r="C145" s="89"/>
      <c r="D145" s="13"/>
      <c r="E145" s="14"/>
      <c r="F145" s="14"/>
      <c r="G145" s="15"/>
      <c r="H145" s="8"/>
      <c r="I145" s="8"/>
      <c r="J145" s="89"/>
      <c r="K145" s="8"/>
      <c r="L145" s="8"/>
      <c r="M145" s="8" t="str">
        <f>IF(L145="","",
IF(AX145="PT",VLOOKUP(L145,Foundation_Calc!$V$4:$X$37,VLOOKUP(AX145,Foundation_Calc!$I$10:$J$13,2,FALSE),0),
IF(AX145="K",VLOOKUP(L145,Foundation_Calc!$V$41:$X$74,VLOOKUP(AX145,Foundation_Calc!$I$10:$J$13,2,FALSE),0),"")))</f>
        <v/>
      </c>
      <c r="N145" s="8"/>
      <c r="O145" s="8"/>
      <c r="P145" s="8"/>
      <c r="Q145" s="14"/>
      <c r="R145" s="15"/>
      <c r="S145" s="15"/>
      <c r="T145" s="14"/>
      <c r="U145" s="14"/>
      <c r="V145" s="14"/>
      <c r="W145" s="18"/>
      <c r="X145" s="18"/>
      <c r="Y145" s="18"/>
      <c r="Z145" s="18"/>
      <c r="AA145" s="18"/>
      <c r="AB145" s="18"/>
      <c r="AC145" s="8" t="str">
        <f t="shared" si="9"/>
        <v/>
      </c>
      <c r="AD145" s="8"/>
      <c r="AE145" s="8"/>
      <c r="AF145" s="14"/>
      <c r="AG145" s="13"/>
      <c r="AH145" s="14"/>
      <c r="AI145" s="14"/>
      <c r="AJ145" s="8"/>
      <c r="AK145" s="8"/>
      <c r="AL145" s="8"/>
      <c r="AM145" s="8"/>
      <c r="AN145" s="631"/>
      <c r="AO145" s="18"/>
      <c r="AP145" s="18"/>
      <c r="AQ145" s="18"/>
      <c r="AR145" s="18"/>
      <c r="AS145" s="18"/>
      <c r="AU145" s="448"/>
      <c r="AV145" s="448"/>
      <c r="AW145" s="8" t="str">
        <f>IF(C145&gt;0,VLOOKUP(C145,Foundation_Calc!$A$2:$C$986,3,1),
IF(J145&gt;0,VLOOKUP(J145,Foundation_Calc!$A$2:$C$986,3,1),""))</f>
        <v/>
      </c>
      <c r="AX145" s="8" t="str">
        <f>IF(C145&gt;0,VLOOKUP(C145,Foundation_Calc!$E$2:$G$986,3,1),
IF(J145&gt;0,VLOOKUP(J145,Foundation_Calc!$E$2:$G$986,3,1),""))</f>
        <v/>
      </c>
      <c r="AY145" s="631" t="str">
        <f>IF(L145="","",
IF(AX145="PT",VLOOKUP(L145,Foundation_Calc!$K$4:$R$37,VLOOKUP(AW145,Foundation_Calc!$I$2:$J$8,2,FALSE),0),
IF(AX145="K",VLOOKUP(L145,Foundation_Calc!$K$41:$R$74,VLOOKUP(AW145,Foundation_Calc!$I$2:$J$8,2,FALSE),0),"")))</f>
        <v/>
      </c>
      <c r="AZ145" s="631" t="str">
        <f>IF(K145="","",
IF(AX145="PT",VLOOKUP(K145,Foundation_Calc!$K$4:$R$37,VLOOKUP(AW145,Foundation_Calc!$I$2:$J$8,2,FALSE),0),
IF(AX145="K",VLOOKUP(K145,Foundation_Calc!$K$41:$R$74,VLOOKUP(AW145,Foundation_Calc!$I$2:$J$8,2,FALSE),0),"")))</f>
        <v/>
      </c>
      <c r="BA145" s="632" t="str">
        <f t="shared" si="10"/>
        <v/>
      </c>
      <c r="BB145" s="632" t="str">
        <f t="shared" si="11"/>
        <v/>
      </c>
      <c r="BC145" s="632" t="str">
        <f t="shared" si="12"/>
        <v/>
      </c>
      <c r="BD145" s="633" t="str">
        <f>IF(AND(L145="",H145=""),"",
IF(H145="",Pole_Calc!A149,
IF(H145="MP",Pole_Calc!A150,
IF(H145="AnMP",Pole_Calc!A151,
IF(H145="A",Pole_Calc!A152,
IF(H145="S/A",Pole_Calc!A153,
IF(H145="A/S",Pole_Calc!A154,"Poner a mano")))))))</f>
        <v/>
      </c>
      <c r="BE145" s="448" t="s">
        <v>1726</v>
      </c>
      <c r="BF145" s="635"/>
      <c r="BG145" s="635"/>
      <c r="BH145" s="634"/>
      <c r="BI145" s="635"/>
    </row>
    <row r="146" spans="1:61" ht="16.2" customHeight="1">
      <c r="A146" s="12"/>
      <c r="B146" s="446"/>
      <c r="C146" s="89"/>
      <c r="D146" s="13"/>
      <c r="E146" s="14"/>
      <c r="F146" s="14"/>
      <c r="G146" s="15"/>
      <c r="H146" s="8"/>
      <c r="I146" s="8"/>
      <c r="J146" s="89"/>
      <c r="K146" s="8"/>
      <c r="L146" s="8"/>
      <c r="M146" s="8" t="str">
        <f>IF(L146="","",
IF(AX146="PT",VLOOKUP(L146,Foundation_Calc!$V$4:$X$37,VLOOKUP(AX146,Foundation_Calc!$I$10:$J$13,2,FALSE),0),
IF(AX146="K",VLOOKUP(L146,Foundation_Calc!$V$41:$X$74,VLOOKUP(AX146,Foundation_Calc!$I$10:$J$13,2,FALSE),0),"")))</f>
        <v/>
      </c>
      <c r="N146" s="8"/>
      <c r="O146" s="8"/>
      <c r="P146" s="8"/>
      <c r="Q146" s="14"/>
      <c r="R146" s="15"/>
      <c r="S146" s="15"/>
      <c r="T146" s="14"/>
      <c r="U146" s="14"/>
      <c r="V146" s="14"/>
      <c r="W146" s="18"/>
      <c r="X146" s="18"/>
      <c r="Y146" s="18"/>
      <c r="Z146" s="18"/>
      <c r="AA146" s="18"/>
      <c r="AB146" s="18"/>
      <c r="AC146" s="8" t="str">
        <f t="shared" si="9"/>
        <v/>
      </c>
      <c r="AD146" s="8"/>
      <c r="AE146" s="8"/>
      <c r="AF146" s="14"/>
      <c r="AG146" s="13"/>
      <c r="AH146" s="14"/>
      <c r="AI146" s="14"/>
      <c r="AJ146" s="8"/>
      <c r="AK146" s="8"/>
      <c r="AL146" s="8"/>
      <c r="AM146" s="8"/>
      <c r="AN146" s="631"/>
      <c r="AO146" s="18"/>
      <c r="AP146" s="18"/>
      <c r="AQ146" s="18"/>
      <c r="AR146" s="18"/>
      <c r="AS146" s="18"/>
      <c r="AU146" s="448"/>
      <c r="AV146" s="448"/>
      <c r="AW146" s="8" t="str">
        <f>IF(C146&gt;0,VLOOKUP(C146,Foundation_Calc!$A$2:$C$986,3,1),
IF(J146&gt;0,VLOOKUP(J146,Foundation_Calc!$A$2:$C$986,3,1),""))</f>
        <v/>
      </c>
      <c r="AX146" s="8" t="str">
        <f>IF(C146&gt;0,VLOOKUP(C146,Foundation_Calc!$E$2:$G$986,3,1),
IF(J146&gt;0,VLOOKUP(J146,Foundation_Calc!$E$2:$G$986,3,1),""))</f>
        <v/>
      </c>
      <c r="AY146" s="631" t="str">
        <f>IF(L146="","",
IF(AX146="PT",VLOOKUP(L146,Foundation_Calc!$K$4:$R$37,VLOOKUP(AW146,Foundation_Calc!$I$2:$J$8,2,FALSE),0),
IF(AX146="K",VLOOKUP(L146,Foundation_Calc!$K$41:$R$74,VLOOKUP(AW146,Foundation_Calc!$I$2:$J$8,2,FALSE),0),"")))</f>
        <v/>
      </c>
      <c r="AZ146" s="631" t="str">
        <f>IF(K146="","",
IF(AX146="PT",VLOOKUP(K146,Foundation_Calc!$K$4:$R$37,VLOOKUP(AW146,Foundation_Calc!$I$2:$J$8,2,FALSE),0),
IF(AX146="K",VLOOKUP(K146,Foundation_Calc!$K$41:$R$74,VLOOKUP(AW146,Foundation_Calc!$I$2:$J$8,2,FALSE),0),"")))</f>
        <v/>
      </c>
      <c r="BA146" s="632" t="str">
        <f t="shared" si="10"/>
        <v/>
      </c>
      <c r="BB146" s="632" t="str">
        <f t="shared" si="11"/>
        <v/>
      </c>
      <c r="BC146" s="632" t="str">
        <f t="shared" si="12"/>
        <v/>
      </c>
      <c r="BD146" s="633" t="str">
        <f>IF(AND(L146="",H146=""),"",
IF(H146="",Pole_Calc!A150,
IF(H146="MP",Pole_Calc!A151,
IF(H146="AnMP",Pole_Calc!A152,
IF(H146="A",Pole_Calc!A153,
IF(H146="S/A",Pole_Calc!A154,
IF(H146="A/S",Pole_Calc!A155,"Poner a mano")))))))</f>
        <v/>
      </c>
      <c r="BE146" s="448" t="s">
        <v>1726</v>
      </c>
      <c r="BF146" s="634"/>
      <c r="BG146" s="634"/>
      <c r="BH146" s="634"/>
      <c r="BI146" s="634"/>
    </row>
    <row r="147" spans="1:61" ht="16.2" customHeight="1">
      <c r="A147" s="12"/>
      <c r="B147" s="446"/>
      <c r="C147" s="89"/>
      <c r="D147" s="13"/>
      <c r="E147" s="14"/>
      <c r="F147" s="14"/>
      <c r="G147" s="15"/>
      <c r="H147" s="8"/>
      <c r="I147" s="8"/>
      <c r="J147" s="89"/>
      <c r="K147" s="8"/>
      <c r="L147" s="8"/>
      <c r="M147" s="8" t="str">
        <f>IF(L147="","",
IF(AX147="PT",VLOOKUP(L147,Foundation_Calc!$V$4:$X$37,VLOOKUP(AX147,Foundation_Calc!$I$10:$J$13,2,FALSE),0),
IF(AX147="K",VLOOKUP(L147,Foundation_Calc!$V$41:$X$74,VLOOKUP(AX147,Foundation_Calc!$I$10:$J$13,2,FALSE),0),"")))</f>
        <v/>
      </c>
      <c r="N147" s="8"/>
      <c r="O147" s="8"/>
      <c r="P147" s="8"/>
      <c r="Q147" s="14"/>
      <c r="R147" s="15"/>
      <c r="S147" s="15"/>
      <c r="T147" s="14"/>
      <c r="U147" s="14"/>
      <c r="V147" s="14"/>
      <c r="W147" s="18"/>
      <c r="X147" s="18"/>
      <c r="Y147" s="18"/>
      <c r="Z147" s="18"/>
      <c r="AA147" s="18"/>
      <c r="AB147" s="18"/>
      <c r="AC147" s="8" t="str">
        <f t="shared" si="9"/>
        <v/>
      </c>
      <c r="AD147" s="8"/>
      <c r="AE147" s="8"/>
      <c r="AF147" s="14"/>
      <c r="AG147" s="13"/>
      <c r="AH147" s="14"/>
      <c r="AI147" s="14"/>
      <c r="AJ147" s="8"/>
      <c r="AK147" s="8"/>
      <c r="AL147" s="8"/>
      <c r="AM147" s="8"/>
      <c r="AN147" s="631"/>
      <c r="AO147" s="18"/>
      <c r="AP147" s="18"/>
      <c r="AQ147" s="18"/>
      <c r="AR147" s="18"/>
      <c r="AS147" s="18"/>
      <c r="AU147" s="448"/>
      <c r="AV147" s="448"/>
      <c r="AW147" s="8" t="str">
        <f>IF(C147&gt;0,VLOOKUP(C147,Foundation_Calc!$A$2:$C$986,3,1),
IF(J147&gt;0,VLOOKUP(J147,Foundation_Calc!$A$2:$C$986,3,1),""))</f>
        <v/>
      </c>
      <c r="AX147" s="8" t="str">
        <f>IF(C147&gt;0,VLOOKUP(C147,Foundation_Calc!$E$2:$G$986,3,1),
IF(J147&gt;0,VLOOKUP(J147,Foundation_Calc!$E$2:$G$986,3,1),""))</f>
        <v/>
      </c>
      <c r="AY147" s="631" t="str">
        <f>IF(L147="","",
IF(AX147="PT",VLOOKUP(L147,Foundation_Calc!$K$4:$R$37,VLOOKUP(AW147,Foundation_Calc!$I$2:$J$8,2,FALSE),0),
IF(AX147="K",VLOOKUP(L147,Foundation_Calc!$K$41:$R$74,VLOOKUP(AW147,Foundation_Calc!$I$2:$J$8,2,FALSE),0),"")))</f>
        <v/>
      </c>
      <c r="AZ147" s="631" t="str">
        <f>IF(K147="","",
IF(AX147="PT",VLOOKUP(K147,Foundation_Calc!$K$4:$R$37,VLOOKUP(AW147,Foundation_Calc!$I$2:$J$8,2,FALSE),0),
IF(AX147="K",VLOOKUP(K147,Foundation_Calc!$K$41:$R$74,VLOOKUP(AW147,Foundation_Calc!$I$2:$J$8,2,FALSE),0),"")))</f>
        <v/>
      </c>
      <c r="BA147" s="632" t="str">
        <f t="shared" si="10"/>
        <v/>
      </c>
      <c r="BB147" s="632" t="str">
        <f t="shared" si="11"/>
        <v/>
      </c>
      <c r="BC147" s="632" t="str">
        <f t="shared" si="12"/>
        <v/>
      </c>
      <c r="BD147" s="633" t="str">
        <f>IF(AND(L147="",H147=""),"",
IF(H147="",Pole_Calc!A151,
IF(H147="MP",Pole_Calc!A152,
IF(H147="AnMP",Pole_Calc!A153,
IF(H147="A",Pole_Calc!A154,
IF(H147="S/A",Pole_Calc!A155,
IF(H147="A/S",Pole_Calc!A156,"Poner a mano")))))))</f>
        <v/>
      </c>
      <c r="BE147" s="448" t="s">
        <v>1726</v>
      </c>
      <c r="BF147" s="635"/>
      <c r="BG147" s="635"/>
      <c r="BH147" s="634"/>
      <c r="BI147" s="635"/>
    </row>
    <row r="148" spans="1:61" ht="16.2" customHeight="1">
      <c r="A148" s="12"/>
      <c r="B148" s="446"/>
      <c r="C148" s="89"/>
      <c r="D148" s="13"/>
      <c r="E148" s="14"/>
      <c r="F148" s="14"/>
      <c r="G148" s="15"/>
      <c r="H148" s="8"/>
      <c r="I148" s="8"/>
      <c r="J148" s="89"/>
      <c r="K148" s="8"/>
      <c r="L148" s="8"/>
      <c r="M148" s="8" t="str">
        <f>IF(L148="","",
IF(AX148="PT",VLOOKUP(L148,Foundation_Calc!$V$4:$X$37,VLOOKUP(AX148,Foundation_Calc!$I$10:$J$13,2,FALSE),0),
IF(AX148="K",VLOOKUP(L148,Foundation_Calc!$V$41:$X$74,VLOOKUP(AX148,Foundation_Calc!$I$10:$J$13,2,FALSE),0),"")))</f>
        <v/>
      </c>
      <c r="N148" s="8"/>
      <c r="O148" s="8"/>
      <c r="P148" s="8"/>
      <c r="Q148" s="14"/>
      <c r="R148" s="15"/>
      <c r="S148" s="15"/>
      <c r="T148" s="14"/>
      <c r="U148" s="14"/>
      <c r="V148" s="14"/>
      <c r="W148" s="18"/>
      <c r="X148" s="18"/>
      <c r="Y148" s="18"/>
      <c r="Z148" s="18"/>
      <c r="AA148" s="18"/>
      <c r="AB148" s="18"/>
      <c r="AC148" s="8" t="str">
        <f t="shared" si="9"/>
        <v/>
      </c>
      <c r="AD148" s="8"/>
      <c r="AE148" s="8"/>
      <c r="AF148" s="14"/>
      <c r="AG148" s="13"/>
      <c r="AH148" s="14"/>
      <c r="AI148" s="14"/>
      <c r="AJ148" s="8"/>
      <c r="AK148" s="8"/>
      <c r="AL148" s="8"/>
      <c r="AM148" s="8"/>
      <c r="AN148" s="631"/>
      <c r="AO148" s="18"/>
      <c r="AP148" s="18"/>
      <c r="AQ148" s="18"/>
      <c r="AR148" s="18"/>
      <c r="AS148" s="18"/>
      <c r="AU148" s="448"/>
      <c r="AV148" s="448"/>
      <c r="AW148" s="8" t="str">
        <f>IF(C148&gt;0,VLOOKUP(C148,Foundation_Calc!$A$2:$C$986,3,1),
IF(J148&gt;0,VLOOKUP(J148,Foundation_Calc!$A$2:$C$986,3,1),""))</f>
        <v/>
      </c>
      <c r="AX148" s="8" t="str">
        <f>IF(C148&gt;0,VLOOKUP(C148,Foundation_Calc!$E$2:$G$986,3,1),
IF(J148&gt;0,VLOOKUP(J148,Foundation_Calc!$E$2:$G$986,3,1),""))</f>
        <v/>
      </c>
      <c r="AY148" s="631" t="str">
        <f>IF(L148="","",
IF(AX148="PT",VLOOKUP(L148,Foundation_Calc!$K$4:$R$37,VLOOKUP(AW148,Foundation_Calc!$I$2:$J$8,2,FALSE),0),
IF(AX148="K",VLOOKUP(L148,Foundation_Calc!$K$41:$R$74,VLOOKUP(AW148,Foundation_Calc!$I$2:$J$8,2,FALSE),0),"")))</f>
        <v/>
      </c>
      <c r="AZ148" s="631" t="str">
        <f>IF(K148="","",
IF(AX148="PT",VLOOKUP(K148,Foundation_Calc!$K$4:$R$37,VLOOKUP(AW148,Foundation_Calc!$I$2:$J$8,2,FALSE),0),
IF(AX148="K",VLOOKUP(K148,Foundation_Calc!$K$41:$R$74,VLOOKUP(AW148,Foundation_Calc!$I$2:$J$8,2,FALSE),0),"")))</f>
        <v/>
      </c>
      <c r="BA148" s="632" t="str">
        <f t="shared" si="10"/>
        <v/>
      </c>
      <c r="BB148" s="632" t="str">
        <f t="shared" si="11"/>
        <v/>
      </c>
      <c r="BC148" s="632" t="str">
        <f t="shared" si="12"/>
        <v/>
      </c>
      <c r="BD148" s="633" t="str">
        <f>IF(AND(L148="",H148=""),"",
IF(H148="",Pole_Calc!A152,
IF(H148="MP",Pole_Calc!A153,
IF(H148="AnMP",Pole_Calc!A154,
IF(H148="A",Pole_Calc!A155,
IF(H148="S/A",Pole_Calc!A156,
IF(H148="A/S",Pole_Calc!A157,"Poner a mano")))))))</f>
        <v/>
      </c>
      <c r="BE148" s="448" t="s">
        <v>1726</v>
      </c>
      <c r="BF148" s="634"/>
      <c r="BG148" s="634"/>
      <c r="BH148" s="634"/>
      <c r="BI148" s="634"/>
    </row>
    <row r="149" spans="1:61" ht="16.2" customHeight="1">
      <c r="A149" s="12"/>
      <c r="B149" s="446"/>
      <c r="C149" s="89"/>
      <c r="D149" s="13"/>
      <c r="E149" s="14"/>
      <c r="F149" s="14"/>
      <c r="G149" s="15"/>
      <c r="H149" s="8"/>
      <c r="I149" s="8"/>
      <c r="J149" s="89"/>
      <c r="K149" s="8"/>
      <c r="L149" s="8"/>
      <c r="M149" s="8" t="str">
        <f>IF(L149="","",
IF(AX149="PT",VLOOKUP(L149,Foundation_Calc!$V$4:$X$37,VLOOKUP(AX149,Foundation_Calc!$I$10:$J$13,2,FALSE),0),
IF(AX149="K",VLOOKUP(L149,Foundation_Calc!$V$41:$X$74,VLOOKUP(AX149,Foundation_Calc!$I$10:$J$13,2,FALSE),0),"")))</f>
        <v/>
      </c>
      <c r="N149" s="8"/>
      <c r="O149" s="8"/>
      <c r="P149" s="8"/>
      <c r="Q149" s="14"/>
      <c r="R149" s="15"/>
      <c r="S149" s="15"/>
      <c r="T149" s="14"/>
      <c r="U149" s="14"/>
      <c r="V149" s="14"/>
      <c r="W149" s="18"/>
      <c r="X149" s="18"/>
      <c r="Y149" s="18"/>
      <c r="Z149" s="18"/>
      <c r="AA149" s="18"/>
      <c r="AB149" s="18"/>
      <c r="AC149" s="8" t="str">
        <f t="shared" si="9"/>
        <v/>
      </c>
      <c r="AD149" s="8"/>
      <c r="AE149" s="8"/>
      <c r="AF149" s="14"/>
      <c r="AG149" s="13"/>
      <c r="AH149" s="14"/>
      <c r="AI149" s="14"/>
      <c r="AJ149" s="8"/>
      <c r="AK149" s="8"/>
      <c r="AL149" s="8"/>
      <c r="AM149" s="8"/>
      <c r="AN149" s="631"/>
      <c r="AO149" s="18"/>
      <c r="AP149" s="18"/>
      <c r="AQ149" s="18"/>
      <c r="AR149" s="18"/>
      <c r="AS149" s="18"/>
      <c r="AU149" s="448"/>
      <c r="AV149" s="448"/>
      <c r="AW149" s="8" t="str">
        <f>IF(C149&gt;0,VLOOKUP(C149,Foundation_Calc!$A$2:$C$986,3,1),
IF(J149&gt;0,VLOOKUP(J149,Foundation_Calc!$A$2:$C$986,3,1),""))</f>
        <v/>
      </c>
      <c r="AX149" s="8" t="str">
        <f>IF(C149&gt;0,VLOOKUP(C149,Foundation_Calc!$E$2:$G$986,3,1),
IF(J149&gt;0,VLOOKUP(J149,Foundation_Calc!$E$2:$G$986,3,1),""))</f>
        <v/>
      </c>
      <c r="AY149" s="631" t="str">
        <f>IF(L149="","",
IF(AX149="PT",VLOOKUP(L149,Foundation_Calc!$K$4:$R$37,VLOOKUP(AW149,Foundation_Calc!$I$2:$J$8,2,FALSE),0),
IF(AX149="K",VLOOKUP(L149,Foundation_Calc!$K$41:$R$74,VLOOKUP(AW149,Foundation_Calc!$I$2:$J$8,2,FALSE),0),"")))</f>
        <v/>
      </c>
      <c r="AZ149" s="631" t="str">
        <f>IF(K149="","",
IF(AX149="PT",VLOOKUP(K149,Foundation_Calc!$K$4:$R$37,VLOOKUP(AW149,Foundation_Calc!$I$2:$J$8,2,FALSE),0),
IF(AX149="K",VLOOKUP(K149,Foundation_Calc!$K$41:$R$74,VLOOKUP(AW149,Foundation_Calc!$I$2:$J$8,2,FALSE),0),"")))</f>
        <v/>
      </c>
      <c r="BA149" s="632" t="str">
        <f t="shared" si="10"/>
        <v/>
      </c>
      <c r="BB149" s="632" t="str">
        <f t="shared" si="11"/>
        <v/>
      </c>
      <c r="BC149" s="632" t="str">
        <f t="shared" si="12"/>
        <v/>
      </c>
      <c r="BD149" s="633" t="str">
        <f>IF(AND(L149="",H149=""),"",
IF(H149="",Pole_Calc!A153,
IF(H149="MP",Pole_Calc!A154,
IF(H149="AnMP",Pole_Calc!A155,
IF(H149="A",Pole_Calc!A156,
IF(H149="S/A",Pole_Calc!A157,
IF(H149="A/S",Pole_Calc!A158,"Poner a mano")))))))</f>
        <v/>
      </c>
      <c r="BE149" s="448" t="s">
        <v>1726</v>
      </c>
      <c r="BF149" s="635"/>
      <c r="BG149" s="635"/>
      <c r="BH149" s="634"/>
      <c r="BI149" s="635"/>
    </row>
    <row r="150" spans="1:61" ht="16.2" customHeight="1">
      <c r="A150" s="12"/>
      <c r="B150" s="446"/>
      <c r="C150" s="89"/>
      <c r="D150" s="13"/>
      <c r="E150" s="14"/>
      <c r="F150" s="14"/>
      <c r="G150" s="15"/>
      <c r="H150" s="8"/>
      <c r="I150" s="8"/>
      <c r="J150" s="89"/>
      <c r="K150" s="8"/>
      <c r="L150" s="8"/>
      <c r="M150" s="8" t="str">
        <f>IF(L150="","",
IF(AX150="PT",VLOOKUP(L150,Foundation_Calc!$V$4:$X$37,VLOOKUP(AX150,Foundation_Calc!$I$10:$J$13,2,FALSE),0),
IF(AX150="K",VLOOKUP(L150,Foundation_Calc!$V$41:$X$74,VLOOKUP(AX150,Foundation_Calc!$I$10:$J$13,2,FALSE),0),"")))</f>
        <v/>
      </c>
      <c r="N150" s="8"/>
      <c r="O150" s="8"/>
      <c r="P150" s="8"/>
      <c r="Q150" s="14"/>
      <c r="R150" s="15"/>
      <c r="S150" s="15"/>
      <c r="T150" s="14"/>
      <c r="U150" s="14"/>
      <c r="V150" s="14"/>
      <c r="W150" s="18"/>
      <c r="X150" s="18"/>
      <c r="Y150" s="18"/>
      <c r="Z150" s="18"/>
      <c r="AA150" s="18"/>
      <c r="AB150" s="18"/>
      <c r="AC150" s="8" t="str">
        <f t="shared" si="9"/>
        <v/>
      </c>
      <c r="AD150" s="8"/>
      <c r="AE150" s="8"/>
      <c r="AF150" s="14"/>
      <c r="AG150" s="13"/>
      <c r="AH150" s="14"/>
      <c r="AI150" s="14"/>
      <c r="AJ150" s="8"/>
      <c r="AK150" s="8"/>
      <c r="AL150" s="8"/>
      <c r="AM150" s="8"/>
      <c r="AN150" s="631"/>
      <c r="AO150" s="18"/>
      <c r="AP150" s="18"/>
      <c r="AQ150" s="18"/>
      <c r="AR150" s="18"/>
      <c r="AS150" s="18"/>
      <c r="AU150" s="448"/>
      <c r="AV150" s="448"/>
      <c r="AW150" s="8" t="str">
        <f>IF(C150&gt;0,VLOOKUP(C150,Foundation_Calc!$A$2:$C$986,3,1),
IF(J150&gt;0,VLOOKUP(J150,Foundation_Calc!$A$2:$C$986,3,1),""))</f>
        <v/>
      </c>
      <c r="AX150" s="8" t="str">
        <f>IF(C150&gt;0,VLOOKUP(C150,Foundation_Calc!$E$2:$G$986,3,1),
IF(J150&gt;0,VLOOKUP(J150,Foundation_Calc!$E$2:$G$986,3,1),""))</f>
        <v/>
      </c>
      <c r="AY150" s="631" t="str">
        <f>IF(L150="","",
IF(AX150="PT",VLOOKUP(L150,Foundation_Calc!$K$4:$R$37,VLOOKUP(AW150,Foundation_Calc!$I$2:$J$8,2,FALSE),0),
IF(AX150="K",VLOOKUP(L150,Foundation_Calc!$K$41:$R$74,VLOOKUP(AW150,Foundation_Calc!$I$2:$J$8,2,FALSE),0),"")))</f>
        <v/>
      </c>
      <c r="AZ150" s="631" t="str">
        <f>IF(K150="","",
IF(AX150="PT",VLOOKUP(K150,Foundation_Calc!$K$4:$R$37,VLOOKUP(AW150,Foundation_Calc!$I$2:$J$8,2,FALSE),0),
IF(AX150="K",VLOOKUP(K150,Foundation_Calc!$K$41:$R$74,VLOOKUP(AW150,Foundation_Calc!$I$2:$J$8,2,FALSE),0),"")))</f>
        <v/>
      </c>
      <c r="BA150" s="632" t="str">
        <f t="shared" si="10"/>
        <v/>
      </c>
      <c r="BB150" s="632" t="str">
        <f t="shared" si="11"/>
        <v/>
      </c>
      <c r="BC150" s="632" t="str">
        <f t="shared" si="12"/>
        <v/>
      </c>
      <c r="BD150" s="633" t="str">
        <f>IF(AND(L150="",H150=""),"",
IF(H150="",Pole_Calc!A154,
IF(H150="MP",Pole_Calc!A155,
IF(H150="AnMP",Pole_Calc!A156,
IF(H150="A",Pole_Calc!A157,
IF(H150="S/A",Pole_Calc!A158,
IF(H150="A/S",Pole_Calc!A159,"Poner a mano")))))))</f>
        <v/>
      </c>
      <c r="BE150" s="448" t="s">
        <v>1726</v>
      </c>
      <c r="BF150" s="634"/>
      <c r="BG150" s="634"/>
      <c r="BH150" s="634"/>
      <c r="BI150" s="634"/>
    </row>
    <row r="151" spans="1:61" ht="16.2" customHeight="1">
      <c r="A151" s="12"/>
      <c r="B151" s="446"/>
      <c r="C151" s="89"/>
      <c r="D151" s="13"/>
      <c r="E151" s="14"/>
      <c r="F151" s="14"/>
      <c r="G151" s="15"/>
      <c r="H151" s="8"/>
      <c r="I151" s="8"/>
      <c r="J151" s="89"/>
      <c r="K151" s="8"/>
      <c r="L151" s="8"/>
      <c r="M151" s="8" t="str">
        <f>IF(L151="","",
IF(AX151="PT",VLOOKUP(L151,Foundation_Calc!$V$4:$X$37,VLOOKUP(AX151,Foundation_Calc!$I$10:$J$13,2,FALSE),0),
IF(AX151="K",VLOOKUP(L151,Foundation_Calc!$V$41:$X$74,VLOOKUP(AX151,Foundation_Calc!$I$10:$J$13,2,FALSE),0),"")))</f>
        <v/>
      </c>
      <c r="N151" s="8"/>
      <c r="O151" s="8"/>
      <c r="P151" s="8"/>
      <c r="Q151" s="14"/>
      <c r="R151" s="15"/>
      <c r="S151" s="15"/>
      <c r="T151" s="14"/>
      <c r="U151" s="14"/>
      <c r="V151" s="14"/>
      <c r="W151" s="18"/>
      <c r="X151" s="18"/>
      <c r="Y151" s="18"/>
      <c r="Z151" s="18"/>
      <c r="AA151" s="18"/>
      <c r="AB151" s="18"/>
      <c r="AC151" s="8" t="str">
        <f t="shared" si="9"/>
        <v/>
      </c>
      <c r="AD151" s="8"/>
      <c r="AE151" s="8"/>
      <c r="AF151" s="14"/>
      <c r="AG151" s="13"/>
      <c r="AH151" s="14"/>
      <c r="AI151" s="14"/>
      <c r="AJ151" s="8"/>
      <c r="AK151" s="8"/>
      <c r="AL151" s="8"/>
      <c r="AM151" s="8"/>
      <c r="AN151" s="631"/>
      <c r="AO151" s="18"/>
      <c r="AP151" s="18"/>
      <c r="AQ151" s="18"/>
      <c r="AR151" s="18"/>
      <c r="AS151" s="18"/>
      <c r="AU151" s="448"/>
      <c r="AV151" s="448"/>
      <c r="AW151" s="8" t="str">
        <f>IF(C151&gt;0,VLOOKUP(C151,Foundation_Calc!$A$2:$C$986,3,1),
IF(J151&gt;0,VLOOKUP(J151,Foundation_Calc!$A$2:$C$986,3,1),""))</f>
        <v/>
      </c>
      <c r="AX151" s="8" t="str">
        <f>IF(C151&gt;0,VLOOKUP(C151,Foundation_Calc!$E$2:$G$986,3,1),
IF(J151&gt;0,VLOOKUP(J151,Foundation_Calc!$E$2:$G$986,3,1),""))</f>
        <v/>
      </c>
      <c r="AY151" s="631" t="str">
        <f>IF(L151="","",
IF(AX151="PT",VLOOKUP(L151,Foundation_Calc!$K$4:$R$37,VLOOKUP(AW151,Foundation_Calc!$I$2:$J$8,2,FALSE),0),
IF(AX151="K",VLOOKUP(L151,Foundation_Calc!$K$41:$R$74,VLOOKUP(AW151,Foundation_Calc!$I$2:$J$8,2,FALSE),0),"")))</f>
        <v/>
      </c>
      <c r="AZ151" s="631" t="str">
        <f>IF(K151="","",
IF(AX151="PT",VLOOKUP(K151,Foundation_Calc!$K$4:$R$37,VLOOKUP(AW151,Foundation_Calc!$I$2:$J$8,2,FALSE),0),
IF(AX151="K",VLOOKUP(K151,Foundation_Calc!$K$41:$R$74,VLOOKUP(AW151,Foundation_Calc!$I$2:$J$8,2,FALSE),0),"")))</f>
        <v/>
      </c>
      <c r="BA151" s="632" t="str">
        <f t="shared" si="10"/>
        <v/>
      </c>
      <c r="BB151" s="632" t="str">
        <f t="shared" si="11"/>
        <v/>
      </c>
      <c r="BC151" s="632" t="str">
        <f t="shared" si="12"/>
        <v/>
      </c>
      <c r="BD151" s="633" t="str">
        <f>IF(AND(L151="",H151=""),"",
IF(H151="",Pole_Calc!A155,
IF(H151="MP",Pole_Calc!A156,
IF(H151="AnMP",Pole_Calc!A157,
IF(H151="A",Pole_Calc!A158,
IF(H151="S/A",Pole_Calc!A159,
IF(H151="A/S",Pole_Calc!A160,"Poner a mano")))))))</f>
        <v/>
      </c>
      <c r="BE151" s="448" t="s">
        <v>1726</v>
      </c>
      <c r="BF151" s="635"/>
      <c r="BG151" s="635"/>
      <c r="BH151" s="634"/>
      <c r="BI151" s="635"/>
    </row>
    <row r="152" spans="1:61" ht="16.2" customHeight="1">
      <c r="A152" s="12"/>
      <c r="B152" s="446"/>
      <c r="C152" s="89"/>
      <c r="D152" s="13"/>
      <c r="E152" s="14"/>
      <c r="F152" s="14"/>
      <c r="G152" s="15"/>
      <c r="H152" s="8"/>
      <c r="I152" s="8"/>
      <c r="J152" s="89"/>
      <c r="K152" s="8"/>
      <c r="L152" s="8"/>
      <c r="M152" s="8" t="str">
        <f>IF(L152="","",
IF(AX152="PT",VLOOKUP(L152,Foundation_Calc!$V$4:$X$37,VLOOKUP(AX152,Foundation_Calc!$I$10:$J$13,2,FALSE),0),
IF(AX152="K",VLOOKUP(L152,Foundation_Calc!$V$41:$X$74,VLOOKUP(AX152,Foundation_Calc!$I$10:$J$13,2,FALSE),0),"")))</f>
        <v/>
      </c>
      <c r="N152" s="8"/>
      <c r="O152" s="8"/>
      <c r="P152" s="8"/>
      <c r="Q152" s="14"/>
      <c r="R152" s="15"/>
      <c r="S152" s="15"/>
      <c r="T152" s="14"/>
      <c r="U152" s="14"/>
      <c r="V152" s="14"/>
      <c r="W152" s="18"/>
      <c r="X152" s="18"/>
      <c r="Y152" s="18"/>
      <c r="Z152" s="18"/>
      <c r="AA152" s="18"/>
      <c r="AB152" s="18"/>
      <c r="AC152" s="8" t="str">
        <f t="shared" si="9"/>
        <v/>
      </c>
      <c r="AD152" s="8"/>
      <c r="AE152" s="8"/>
      <c r="AF152" s="14"/>
      <c r="AG152" s="13"/>
      <c r="AH152" s="14"/>
      <c r="AI152" s="14"/>
      <c r="AJ152" s="8"/>
      <c r="AK152" s="8"/>
      <c r="AL152" s="8"/>
      <c r="AM152" s="8"/>
      <c r="AN152" s="631"/>
      <c r="AO152" s="18"/>
      <c r="AP152" s="18"/>
      <c r="AQ152" s="18"/>
      <c r="AR152" s="18"/>
      <c r="AS152" s="18"/>
      <c r="AU152" s="448"/>
      <c r="AV152" s="448"/>
      <c r="AW152" s="8" t="str">
        <f>IF(C152&gt;0,VLOOKUP(C152,Foundation_Calc!$A$2:$C$986,3,1),
IF(J152&gt;0,VLOOKUP(J152,Foundation_Calc!$A$2:$C$986,3,1),""))</f>
        <v/>
      </c>
      <c r="AX152" s="8" t="str">
        <f>IF(C152&gt;0,VLOOKUP(C152,Foundation_Calc!$E$2:$G$986,3,1),
IF(J152&gt;0,VLOOKUP(J152,Foundation_Calc!$E$2:$G$986,3,1),""))</f>
        <v/>
      </c>
      <c r="AY152" s="631" t="str">
        <f>IF(L152="","",
IF(AX152="PT",VLOOKUP(L152,Foundation_Calc!$K$4:$R$37,VLOOKUP(AW152,Foundation_Calc!$I$2:$J$8,2,FALSE),0),
IF(AX152="K",VLOOKUP(L152,Foundation_Calc!$K$41:$R$74,VLOOKUP(AW152,Foundation_Calc!$I$2:$J$8,2,FALSE),0),"")))</f>
        <v/>
      </c>
      <c r="AZ152" s="631" t="str">
        <f>IF(K152="","",
IF(AX152="PT",VLOOKUP(K152,Foundation_Calc!$K$4:$R$37,VLOOKUP(AW152,Foundation_Calc!$I$2:$J$8,2,FALSE),0),
IF(AX152="K",VLOOKUP(K152,Foundation_Calc!$K$41:$R$74,VLOOKUP(AW152,Foundation_Calc!$I$2:$J$8,2,FALSE),0),"")))</f>
        <v/>
      </c>
      <c r="BA152" s="632" t="str">
        <f t="shared" si="10"/>
        <v/>
      </c>
      <c r="BB152" s="632" t="str">
        <f t="shared" si="11"/>
        <v/>
      </c>
      <c r="BC152" s="632" t="str">
        <f t="shared" si="12"/>
        <v/>
      </c>
      <c r="BD152" s="633" t="str">
        <f>IF(AND(L152="",H152=""),"",
IF(H152="",Pole_Calc!A156,
IF(H152="MP",Pole_Calc!A157,
IF(H152="AnMP",Pole_Calc!A158,
IF(H152="A",Pole_Calc!A159,
IF(H152="S/A",Pole_Calc!A160,
IF(H152="A/S",Pole_Calc!A161,"Poner a mano")))))))</f>
        <v/>
      </c>
      <c r="BE152" s="448" t="s">
        <v>1726</v>
      </c>
      <c r="BF152" s="634"/>
      <c r="BG152" s="634"/>
      <c r="BH152" s="634"/>
      <c r="BI152" s="634"/>
    </row>
    <row r="153" spans="1:61" ht="16.2" customHeight="1">
      <c r="A153" s="12"/>
      <c r="B153" s="446"/>
      <c r="C153" s="89"/>
      <c r="D153" s="13"/>
      <c r="E153" s="14"/>
      <c r="F153" s="14"/>
      <c r="G153" s="15"/>
      <c r="H153" s="8"/>
      <c r="I153" s="8"/>
      <c r="J153" s="89"/>
      <c r="K153" s="8"/>
      <c r="L153" s="8"/>
      <c r="M153" s="8" t="str">
        <f>IF(L153="","",
IF(AX153="PT",VLOOKUP(L153,Foundation_Calc!$V$4:$X$37,VLOOKUP(AX153,Foundation_Calc!$I$10:$J$13,2,FALSE),0),
IF(AX153="K",VLOOKUP(L153,Foundation_Calc!$V$41:$X$74,VLOOKUP(AX153,Foundation_Calc!$I$10:$J$13,2,FALSE),0),"")))</f>
        <v/>
      </c>
      <c r="N153" s="8"/>
      <c r="O153" s="8"/>
      <c r="P153" s="8"/>
      <c r="Q153" s="14"/>
      <c r="R153" s="15"/>
      <c r="S153" s="15"/>
      <c r="T153" s="14"/>
      <c r="U153" s="14"/>
      <c r="V153" s="14"/>
      <c r="W153" s="18"/>
      <c r="X153" s="18"/>
      <c r="Y153" s="18"/>
      <c r="Z153" s="18"/>
      <c r="AA153" s="18"/>
      <c r="AB153" s="18"/>
      <c r="AC153" s="8" t="str">
        <f t="shared" si="9"/>
        <v/>
      </c>
      <c r="AD153" s="8"/>
      <c r="AE153" s="8"/>
      <c r="AF153" s="14"/>
      <c r="AG153" s="13"/>
      <c r="AH153" s="14"/>
      <c r="AI153" s="14"/>
      <c r="AJ153" s="8"/>
      <c r="AK153" s="8"/>
      <c r="AL153" s="8"/>
      <c r="AM153" s="8"/>
      <c r="AN153" s="631"/>
      <c r="AO153" s="18"/>
      <c r="AP153" s="18"/>
      <c r="AQ153" s="18"/>
      <c r="AR153" s="18"/>
      <c r="AS153" s="18"/>
      <c r="AU153" s="448"/>
      <c r="AV153" s="448"/>
      <c r="AW153" s="8" t="str">
        <f>IF(C153&gt;0,VLOOKUP(C153,Foundation_Calc!$A$2:$C$986,3,1),
IF(J153&gt;0,VLOOKUP(J153,Foundation_Calc!$A$2:$C$986,3,1),""))</f>
        <v/>
      </c>
      <c r="AX153" s="8" t="str">
        <f>IF(C153&gt;0,VLOOKUP(C153,Foundation_Calc!$E$2:$G$986,3,1),
IF(J153&gt;0,VLOOKUP(J153,Foundation_Calc!$E$2:$G$986,3,1),""))</f>
        <v/>
      </c>
      <c r="AY153" s="631" t="str">
        <f>IF(L153="","",
IF(AX153="PT",VLOOKUP(L153,Foundation_Calc!$K$4:$R$37,VLOOKUP(AW153,Foundation_Calc!$I$2:$J$8,2,FALSE),0),
IF(AX153="K",VLOOKUP(L153,Foundation_Calc!$K$41:$R$74,VLOOKUP(AW153,Foundation_Calc!$I$2:$J$8,2,FALSE),0),"")))</f>
        <v/>
      </c>
      <c r="AZ153" s="631" t="str">
        <f>IF(K153="","",
IF(AX153="PT",VLOOKUP(K153,Foundation_Calc!$K$4:$R$37,VLOOKUP(AW153,Foundation_Calc!$I$2:$J$8,2,FALSE),0),
IF(AX153="K",VLOOKUP(K153,Foundation_Calc!$K$41:$R$74,VLOOKUP(AW153,Foundation_Calc!$I$2:$J$8,2,FALSE),0),"")))</f>
        <v/>
      </c>
      <c r="BA153" s="632" t="str">
        <f t="shared" si="10"/>
        <v/>
      </c>
      <c r="BB153" s="632" t="str">
        <f t="shared" si="11"/>
        <v/>
      </c>
      <c r="BC153" s="632" t="str">
        <f t="shared" si="12"/>
        <v/>
      </c>
      <c r="BD153" s="633" t="str">
        <f>IF(AND(L153="",H153=""),"",
IF(H153="",Pole_Calc!A157,
IF(H153="MP",Pole_Calc!A158,
IF(H153="AnMP",Pole_Calc!A159,
IF(H153="A",Pole_Calc!A160,
IF(H153="S/A",Pole_Calc!A161,
IF(H153="A/S",Pole_Calc!A162,"Poner a mano")))))))</f>
        <v/>
      </c>
      <c r="BE153" s="448" t="s">
        <v>1726</v>
      </c>
      <c r="BF153" s="635"/>
      <c r="BG153" s="635"/>
      <c r="BH153" s="634"/>
      <c r="BI153" s="635"/>
    </row>
    <row r="154" spans="1:61" ht="16.2" customHeight="1">
      <c r="A154" s="12"/>
      <c r="B154" s="446"/>
      <c r="C154" s="89"/>
      <c r="D154" s="13"/>
      <c r="E154" s="14"/>
      <c r="F154" s="14"/>
      <c r="G154" s="15"/>
      <c r="H154" s="8"/>
      <c r="I154" s="8"/>
      <c r="J154" s="89"/>
      <c r="K154" s="8"/>
      <c r="L154" s="8"/>
      <c r="M154" s="8" t="str">
        <f>IF(L154="","",
IF(AX154="PT",VLOOKUP(L154,Foundation_Calc!$V$4:$X$37,VLOOKUP(AX154,Foundation_Calc!$I$10:$J$13,2,FALSE),0),
IF(AX154="K",VLOOKUP(L154,Foundation_Calc!$V$41:$X$74,VLOOKUP(AX154,Foundation_Calc!$I$10:$J$13,2,FALSE),0),"")))</f>
        <v/>
      </c>
      <c r="N154" s="8"/>
      <c r="O154" s="8"/>
      <c r="P154" s="8"/>
      <c r="Q154" s="14"/>
      <c r="R154" s="15"/>
      <c r="S154" s="15"/>
      <c r="T154" s="14"/>
      <c r="U154" s="14"/>
      <c r="V154" s="14"/>
      <c r="W154" s="18"/>
      <c r="X154" s="18"/>
      <c r="Y154" s="18"/>
      <c r="Z154" s="18"/>
      <c r="AA154" s="18"/>
      <c r="AB154" s="18"/>
      <c r="AC154" s="8" t="str">
        <f t="shared" si="9"/>
        <v/>
      </c>
      <c r="AD154" s="8"/>
      <c r="AE154" s="8"/>
      <c r="AF154" s="14"/>
      <c r="AG154" s="13"/>
      <c r="AH154" s="14"/>
      <c r="AI154" s="14"/>
      <c r="AJ154" s="8"/>
      <c r="AK154" s="8"/>
      <c r="AL154" s="8"/>
      <c r="AM154" s="8"/>
      <c r="AN154" s="631"/>
      <c r="AO154" s="18"/>
      <c r="AP154" s="18"/>
      <c r="AQ154" s="18"/>
      <c r="AR154" s="18"/>
      <c r="AS154" s="18"/>
      <c r="AU154" s="448"/>
      <c r="AV154" s="448"/>
      <c r="AW154" s="8" t="str">
        <f>IF(C154&gt;0,VLOOKUP(C154,Foundation_Calc!$A$2:$C$986,3,1),
IF(J154&gt;0,VLOOKUP(J154,Foundation_Calc!$A$2:$C$986,3,1),""))</f>
        <v/>
      </c>
      <c r="AX154" s="8" t="str">
        <f>IF(C154&gt;0,VLOOKUP(C154,Foundation_Calc!$E$2:$G$986,3,1),
IF(J154&gt;0,VLOOKUP(J154,Foundation_Calc!$E$2:$G$986,3,1),""))</f>
        <v/>
      </c>
      <c r="AY154" s="631" t="str">
        <f>IF(L154="","",
IF(AX154="PT",VLOOKUP(L154,Foundation_Calc!$K$4:$R$37,VLOOKUP(AW154,Foundation_Calc!$I$2:$J$8,2,FALSE),0),
IF(AX154="K",VLOOKUP(L154,Foundation_Calc!$K$41:$R$74,VLOOKUP(AW154,Foundation_Calc!$I$2:$J$8,2,FALSE),0),"")))</f>
        <v/>
      </c>
      <c r="AZ154" s="631" t="str">
        <f>IF(K154="","",
IF(AX154="PT",VLOOKUP(K154,Foundation_Calc!$K$4:$R$37,VLOOKUP(AW154,Foundation_Calc!$I$2:$J$8,2,FALSE),0),
IF(AX154="K",VLOOKUP(K154,Foundation_Calc!$K$41:$R$74,VLOOKUP(AW154,Foundation_Calc!$I$2:$J$8,2,FALSE),0),"")))</f>
        <v/>
      </c>
      <c r="BA154" s="632" t="str">
        <f t="shared" si="10"/>
        <v/>
      </c>
      <c r="BB154" s="632" t="str">
        <f t="shared" si="11"/>
        <v/>
      </c>
      <c r="BC154" s="632" t="str">
        <f t="shared" si="12"/>
        <v/>
      </c>
      <c r="BD154" s="633" t="str">
        <f>IF(AND(L154="",H154=""),"",
IF(H154="",Pole_Calc!A158,
IF(H154="MP",Pole_Calc!A159,
IF(H154="AnMP",Pole_Calc!A160,
IF(H154="A",Pole_Calc!A161,
IF(H154="S/A",Pole_Calc!A162,
IF(H154="A/S",Pole_Calc!A163,"Poner a mano")))))))</f>
        <v/>
      </c>
      <c r="BE154" s="448" t="s">
        <v>1726</v>
      </c>
      <c r="BF154" s="634"/>
      <c r="BG154" s="634"/>
      <c r="BH154" s="634"/>
      <c r="BI154" s="634"/>
    </row>
    <row r="155" spans="1:61" ht="16.2" customHeight="1">
      <c r="A155" s="12"/>
      <c r="B155" s="446"/>
      <c r="C155" s="89"/>
      <c r="D155" s="13"/>
      <c r="E155" s="14"/>
      <c r="F155" s="14"/>
      <c r="G155" s="15"/>
      <c r="H155" s="8"/>
      <c r="I155" s="8"/>
      <c r="J155" s="89"/>
      <c r="K155" s="8"/>
      <c r="L155" s="8"/>
      <c r="M155" s="8" t="str">
        <f>IF(L155="","",
IF(AX155="PT",VLOOKUP(L155,Foundation_Calc!$V$4:$X$37,VLOOKUP(AX155,Foundation_Calc!$I$10:$J$13,2,FALSE),0),
IF(AX155="K",VLOOKUP(L155,Foundation_Calc!$V$41:$X$74,VLOOKUP(AX155,Foundation_Calc!$I$10:$J$13,2,FALSE),0),"")))</f>
        <v/>
      </c>
      <c r="N155" s="8"/>
      <c r="O155" s="8"/>
      <c r="P155" s="8"/>
      <c r="Q155" s="14"/>
      <c r="R155" s="15"/>
      <c r="S155" s="15"/>
      <c r="T155" s="14"/>
      <c r="U155" s="14"/>
      <c r="V155" s="14"/>
      <c r="W155" s="18"/>
      <c r="X155" s="18"/>
      <c r="Y155" s="18"/>
      <c r="Z155" s="18"/>
      <c r="AA155" s="18"/>
      <c r="AB155" s="18"/>
      <c r="AC155" s="8" t="str">
        <f t="shared" si="9"/>
        <v/>
      </c>
      <c r="AD155" s="8"/>
      <c r="AE155" s="8"/>
      <c r="AF155" s="14"/>
      <c r="AG155" s="13"/>
      <c r="AH155" s="14"/>
      <c r="AI155" s="14"/>
      <c r="AJ155" s="8"/>
      <c r="AK155" s="8"/>
      <c r="AL155" s="8"/>
      <c r="AM155" s="8"/>
      <c r="AN155" s="631"/>
      <c r="AO155" s="18"/>
      <c r="AP155" s="18"/>
      <c r="AQ155" s="18"/>
      <c r="AR155" s="18"/>
      <c r="AS155" s="18"/>
      <c r="AU155" s="448"/>
      <c r="AV155" s="448"/>
      <c r="AW155" s="8" t="str">
        <f>IF(C155&gt;0,VLOOKUP(C155,Foundation_Calc!$A$2:$C$986,3,1),
IF(J155&gt;0,VLOOKUP(J155,Foundation_Calc!$A$2:$C$986,3,1),""))</f>
        <v/>
      </c>
      <c r="AX155" s="8" t="str">
        <f>IF(C155&gt;0,VLOOKUP(C155,Foundation_Calc!$E$2:$G$986,3,1),
IF(J155&gt;0,VLOOKUP(J155,Foundation_Calc!$E$2:$G$986,3,1),""))</f>
        <v/>
      </c>
      <c r="AY155" s="631" t="str">
        <f>IF(L155="","",
IF(AX155="PT",VLOOKUP(L155,Foundation_Calc!$K$4:$R$37,VLOOKUP(AW155,Foundation_Calc!$I$2:$J$8,2,FALSE),0),
IF(AX155="K",VLOOKUP(L155,Foundation_Calc!$K$41:$R$74,VLOOKUP(AW155,Foundation_Calc!$I$2:$J$8,2,FALSE),0),"")))</f>
        <v/>
      </c>
      <c r="AZ155" s="631" t="str">
        <f>IF(K155="","",
IF(AX155="PT",VLOOKUP(K155,Foundation_Calc!$K$4:$R$37,VLOOKUP(AW155,Foundation_Calc!$I$2:$J$8,2,FALSE),0),
IF(AX155="K",VLOOKUP(K155,Foundation_Calc!$K$41:$R$74,VLOOKUP(AW155,Foundation_Calc!$I$2:$J$8,2,FALSE),0),"")))</f>
        <v/>
      </c>
      <c r="BA155" s="632" t="str">
        <f t="shared" si="10"/>
        <v/>
      </c>
      <c r="BB155" s="632" t="str">
        <f t="shared" si="11"/>
        <v/>
      </c>
      <c r="BC155" s="632" t="str">
        <f t="shared" si="12"/>
        <v/>
      </c>
      <c r="BD155" s="633" t="str">
        <f>IF(AND(L155="",H155=""),"",
IF(H155="",Pole_Calc!A159,
IF(H155="MP",Pole_Calc!A160,
IF(H155="AnMP",Pole_Calc!A161,
IF(H155="A",Pole_Calc!A162,
IF(H155="S/A",Pole_Calc!A163,
IF(H155="A/S",Pole_Calc!A164,"Poner a mano")))))))</f>
        <v/>
      </c>
      <c r="BE155" s="448" t="s">
        <v>1726</v>
      </c>
      <c r="BF155" s="635"/>
      <c r="BG155" s="635"/>
      <c r="BH155" s="634"/>
      <c r="BI155" s="635"/>
    </row>
    <row r="156" spans="1:61" ht="16.2" customHeight="1">
      <c r="A156" s="12"/>
      <c r="B156" s="446"/>
      <c r="C156" s="89"/>
      <c r="D156" s="13"/>
      <c r="E156" s="14"/>
      <c r="F156" s="14"/>
      <c r="G156" s="15"/>
      <c r="H156" s="8"/>
      <c r="I156" s="8"/>
      <c r="J156" s="89"/>
      <c r="K156" s="8"/>
      <c r="L156" s="8"/>
      <c r="M156" s="8" t="str">
        <f>IF(L156="","",
IF(AX156="PT",VLOOKUP(L156,Foundation_Calc!$V$4:$X$37,VLOOKUP(AX156,Foundation_Calc!$I$10:$J$13,2,FALSE),0),
IF(AX156="K",VLOOKUP(L156,Foundation_Calc!$V$41:$X$74,VLOOKUP(AX156,Foundation_Calc!$I$10:$J$13,2,FALSE),0),"")))</f>
        <v/>
      </c>
      <c r="N156" s="8"/>
      <c r="O156" s="8"/>
      <c r="P156" s="8"/>
      <c r="Q156" s="14"/>
      <c r="R156" s="15"/>
      <c r="S156" s="15"/>
      <c r="T156" s="14"/>
      <c r="U156" s="14"/>
      <c r="V156" s="14"/>
      <c r="W156" s="18"/>
      <c r="X156" s="18"/>
      <c r="Y156" s="18"/>
      <c r="Z156" s="18"/>
      <c r="AA156" s="18"/>
      <c r="AB156" s="18"/>
      <c r="AC156" s="8" t="str">
        <f t="shared" si="9"/>
        <v/>
      </c>
      <c r="AD156" s="8"/>
      <c r="AE156" s="8"/>
      <c r="AF156" s="14"/>
      <c r="AG156" s="13"/>
      <c r="AH156" s="14"/>
      <c r="AI156" s="14"/>
      <c r="AJ156" s="8"/>
      <c r="AK156" s="8"/>
      <c r="AL156" s="8"/>
      <c r="AM156" s="8"/>
      <c r="AN156" s="631"/>
      <c r="AO156" s="18"/>
      <c r="AP156" s="18"/>
      <c r="AQ156" s="18"/>
      <c r="AR156" s="18"/>
      <c r="AS156" s="18"/>
      <c r="AU156" s="448"/>
      <c r="AV156" s="448"/>
      <c r="AW156" s="8" t="str">
        <f>IF(C156&gt;0,VLOOKUP(C156,Foundation_Calc!$A$2:$C$986,3,1),
IF(J156&gt;0,VLOOKUP(J156,Foundation_Calc!$A$2:$C$986,3,1),""))</f>
        <v/>
      </c>
      <c r="AX156" s="8" t="str">
        <f>IF(C156&gt;0,VLOOKUP(C156,Foundation_Calc!$E$2:$G$986,3,1),
IF(J156&gt;0,VLOOKUP(J156,Foundation_Calc!$E$2:$G$986,3,1),""))</f>
        <v/>
      </c>
      <c r="AY156" s="631" t="str">
        <f>IF(L156="","",
IF(AX156="PT",VLOOKUP(L156,Foundation_Calc!$K$4:$R$37,VLOOKUP(AW156,Foundation_Calc!$I$2:$J$8,2,FALSE),0),
IF(AX156="K",VLOOKUP(L156,Foundation_Calc!$K$41:$R$74,VLOOKUP(AW156,Foundation_Calc!$I$2:$J$8,2,FALSE),0),"")))</f>
        <v/>
      </c>
      <c r="AZ156" s="631" t="str">
        <f>IF(K156="","",
IF(AX156="PT",VLOOKUP(K156,Foundation_Calc!$K$4:$R$37,VLOOKUP(AW156,Foundation_Calc!$I$2:$J$8,2,FALSE),0),
IF(AX156="K",VLOOKUP(K156,Foundation_Calc!$K$41:$R$74,VLOOKUP(AW156,Foundation_Calc!$I$2:$J$8,2,FALSE),0),"")))</f>
        <v/>
      </c>
      <c r="BA156" s="632" t="str">
        <f t="shared" si="10"/>
        <v/>
      </c>
      <c r="BB156" s="632" t="str">
        <f t="shared" si="11"/>
        <v/>
      </c>
      <c r="BC156" s="632" t="str">
        <f t="shared" si="12"/>
        <v/>
      </c>
      <c r="BD156" s="633" t="str">
        <f>IF(AND(L156="",H156=""),"",
IF(H156="",Pole_Calc!A160,
IF(H156="MP",Pole_Calc!A161,
IF(H156="AnMP",Pole_Calc!A162,
IF(H156="A",Pole_Calc!A163,
IF(H156="S/A",Pole_Calc!A164,
IF(H156="A/S",Pole_Calc!A165,"Poner a mano")))))))</f>
        <v/>
      </c>
      <c r="BE156" s="448" t="s">
        <v>1726</v>
      </c>
      <c r="BF156" s="634"/>
      <c r="BG156" s="634"/>
      <c r="BH156" s="634"/>
      <c r="BI156" s="634"/>
    </row>
    <row r="157" spans="1:61" ht="16.2" customHeight="1">
      <c r="A157" s="12"/>
      <c r="B157" s="446"/>
      <c r="C157" s="89"/>
      <c r="D157" s="13"/>
      <c r="E157" s="14"/>
      <c r="F157" s="14"/>
      <c r="G157" s="15"/>
      <c r="H157" s="8"/>
      <c r="I157" s="8"/>
      <c r="J157" s="89"/>
      <c r="K157" s="8"/>
      <c r="L157" s="8"/>
      <c r="M157" s="8" t="str">
        <f>IF(L157="","",
IF(AX157="PT",VLOOKUP(L157,Foundation_Calc!$V$4:$X$37,VLOOKUP(AX157,Foundation_Calc!$I$10:$J$13,2,FALSE),0),
IF(AX157="K",VLOOKUP(L157,Foundation_Calc!$V$41:$X$74,VLOOKUP(AX157,Foundation_Calc!$I$10:$J$13,2,FALSE),0),"")))</f>
        <v/>
      </c>
      <c r="N157" s="8"/>
      <c r="O157" s="8"/>
      <c r="P157" s="8"/>
      <c r="Q157" s="14"/>
      <c r="R157" s="15"/>
      <c r="S157" s="15"/>
      <c r="T157" s="14"/>
      <c r="U157" s="14"/>
      <c r="V157" s="14"/>
      <c r="W157" s="18"/>
      <c r="X157" s="18"/>
      <c r="Y157" s="18"/>
      <c r="Z157" s="18"/>
      <c r="AA157" s="18"/>
      <c r="AB157" s="18"/>
      <c r="AC157" s="8" t="str">
        <f t="shared" si="9"/>
        <v/>
      </c>
      <c r="AD157" s="8"/>
      <c r="AE157" s="8"/>
      <c r="AF157" s="14"/>
      <c r="AG157" s="13"/>
      <c r="AH157" s="14"/>
      <c r="AI157" s="14"/>
      <c r="AJ157" s="8"/>
      <c r="AK157" s="8"/>
      <c r="AL157" s="8"/>
      <c r="AM157" s="8"/>
      <c r="AN157" s="631"/>
      <c r="AO157" s="18"/>
      <c r="AP157" s="18"/>
      <c r="AQ157" s="18"/>
      <c r="AR157" s="18"/>
      <c r="AS157" s="18"/>
      <c r="AU157" s="448"/>
      <c r="AV157" s="448"/>
      <c r="AW157" s="8" t="str">
        <f>IF(C157&gt;0,VLOOKUP(C157,Foundation_Calc!$A$2:$C$986,3,1),
IF(J157&gt;0,VLOOKUP(J157,Foundation_Calc!$A$2:$C$986,3,1),""))</f>
        <v/>
      </c>
      <c r="AX157" s="8" t="str">
        <f>IF(C157&gt;0,VLOOKUP(C157,Foundation_Calc!$E$2:$G$986,3,1),
IF(J157&gt;0,VLOOKUP(J157,Foundation_Calc!$E$2:$G$986,3,1),""))</f>
        <v/>
      </c>
      <c r="AY157" s="631" t="str">
        <f>IF(L157="","",
IF(AX157="PT",VLOOKUP(L157,Foundation_Calc!$K$4:$R$37,VLOOKUP(AW157,Foundation_Calc!$I$2:$J$8,2,FALSE),0),
IF(AX157="K",VLOOKUP(L157,Foundation_Calc!$K$41:$R$74,VLOOKUP(AW157,Foundation_Calc!$I$2:$J$8,2,FALSE),0),"")))</f>
        <v/>
      </c>
      <c r="AZ157" s="631" t="str">
        <f>IF(K157="","",
IF(AX157="PT",VLOOKUP(K157,Foundation_Calc!$K$4:$R$37,VLOOKUP(AW157,Foundation_Calc!$I$2:$J$8,2,FALSE),0),
IF(AX157="K",VLOOKUP(K157,Foundation_Calc!$K$41:$R$74,VLOOKUP(AW157,Foundation_Calc!$I$2:$J$8,2,FALSE),0),"")))</f>
        <v/>
      </c>
      <c r="BA157" s="632" t="str">
        <f t="shared" si="10"/>
        <v/>
      </c>
      <c r="BB157" s="632" t="str">
        <f t="shared" si="11"/>
        <v/>
      </c>
      <c r="BC157" s="632" t="str">
        <f t="shared" si="12"/>
        <v/>
      </c>
      <c r="BD157" s="633" t="str">
        <f>IF(AND(L157="",H157=""),"",
IF(H157="",Pole_Calc!A161,
IF(H157="MP",Pole_Calc!A162,
IF(H157="AnMP",Pole_Calc!A163,
IF(H157="A",Pole_Calc!A164,
IF(H157="S/A",Pole_Calc!A165,
IF(H157="A/S",Pole_Calc!A166,"Poner a mano")))))))</f>
        <v/>
      </c>
      <c r="BE157" s="448" t="s">
        <v>1726</v>
      </c>
      <c r="BF157" s="635"/>
      <c r="BG157" s="635"/>
      <c r="BH157" s="634"/>
      <c r="BI157" s="635"/>
    </row>
    <row r="158" spans="1:61" ht="16.2" customHeight="1">
      <c r="A158" s="12"/>
      <c r="B158" s="446"/>
      <c r="C158" s="89"/>
      <c r="D158" s="13"/>
      <c r="E158" s="14"/>
      <c r="F158" s="14"/>
      <c r="G158" s="15"/>
      <c r="H158" s="8"/>
      <c r="I158" s="8"/>
      <c r="J158" s="89"/>
      <c r="K158" s="8"/>
      <c r="L158" s="8"/>
      <c r="M158" s="8" t="str">
        <f>IF(L158="","",
IF(AX158="PT",VLOOKUP(L158,Foundation_Calc!$V$4:$X$37,VLOOKUP(AX158,Foundation_Calc!$I$10:$J$13,2,FALSE),0),
IF(AX158="K",VLOOKUP(L158,Foundation_Calc!$V$41:$X$74,VLOOKUP(AX158,Foundation_Calc!$I$10:$J$13,2,FALSE),0),"")))</f>
        <v/>
      </c>
      <c r="N158" s="8"/>
      <c r="O158" s="8"/>
      <c r="P158" s="8"/>
      <c r="Q158" s="14"/>
      <c r="R158" s="15"/>
      <c r="S158" s="15"/>
      <c r="T158" s="14"/>
      <c r="U158" s="14"/>
      <c r="V158" s="14"/>
      <c r="W158" s="18"/>
      <c r="X158" s="18"/>
      <c r="Y158" s="18"/>
      <c r="Z158" s="18"/>
      <c r="AA158" s="18"/>
      <c r="AB158" s="18"/>
      <c r="AC158" s="8" t="str">
        <f t="shared" si="9"/>
        <v/>
      </c>
      <c r="AD158" s="8"/>
      <c r="AE158" s="8"/>
      <c r="AF158" s="14"/>
      <c r="AG158" s="13"/>
      <c r="AH158" s="14"/>
      <c r="AI158" s="14"/>
      <c r="AJ158" s="8"/>
      <c r="AK158" s="8"/>
      <c r="AL158" s="8"/>
      <c r="AM158" s="8"/>
      <c r="AN158" s="631"/>
      <c r="AO158" s="18"/>
      <c r="AP158" s="18"/>
      <c r="AQ158" s="18"/>
      <c r="AR158" s="18"/>
      <c r="AS158" s="18"/>
      <c r="AU158" s="448"/>
      <c r="AV158" s="448"/>
      <c r="AW158" s="8" t="str">
        <f>IF(C158&gt;0,VLOOKUP(C158,Foundation_Calc!$A$2:$C$986,3,1),
IF(J158&gt;0,VLOOKUP(J158,Foundation_Calc!$A$2:$C$986,3,1),""))</f>
        <v/>
      </c>
      <c r="AX158" s="8" t="str">
        <f>IF(C158&gt;0,VLOOKUP(C158,Foundation_Calc!$E$2:$G$986,3,1),
IF(J158&gt;0,VLOOKUP(J158,Foundation_Calc!$E$2:$G$986,3,1),""))</f>
        <v/>
      </c>
      <c r="AY158" s="631" t="str">
        <f>IF(L158="","",
IF(AX158="PT",VLOOKUP(L158,Foundation_Calc!$K$4:$R$37,VLOOKUP(AW158,Foundation_Calc!$I$2:$J$8,2,FALSE),0),
IF(AX158="K",VLOOKUP(L158,Foundation_Calc!$K$41:$R$74,VLOOKUP(AW158,Foundation_Calc!$I$2:$J$8,2,FALSE),0),"")))</f>
        <v/>
      </c>
      <c r="AZ158" s="631" t="str">
        <f>IF(K158="","",
IF(AX158="PT",VLOOKUP(K158,Foundation_Calc!$K$4:$R$37,VLOOKUP(AW158,Foundation_Calc!$I$2:$J$8,2,FALSE),0),
IF(AX158="K",VLOOKUP(K158,Foundation_Calc!$K$41:$R$74,VLOOKUP(AW158,Foundation_Calc!$I$2:$J$8,2,FALSE),0),"")))</f>
        <v/>
      </c>
      <c r="BA158" s="632" t="str">
        <f t="shared" si="10"/>
        <v/>
      </c>
      <c r="BB158" s="632" t="str">
        <f t="shared" si="11"/>
        <v/>
      </c>
      <c r="BC158" s="632" t="str">
        <f t="shared" si="12"/>
        <v/>
      </c>
      <c r="BD158" s="633" t="str">
        <f>IF(AND(L158="",H158=""),"",
IF(H158="",Pole_Calc!A162,
IF(H158="MP",Pole_Calc!A163,
IF(H158="AnMP",Pole_Calc!A164,
IF(H158="A",Pole_Calc!A165,
IF(H158="S/A",Pole_Calc!A166,
IF(H158="A/S",Pole_Calc!A167,"Poner a mano")))))))</f>
        <v/>
      </c>
      <c r="BE158" s="448" t="s">
        <v>1726</v>
      </c>
      <c r="BF158" s="634"/>
      <c r="BG158" s="634"/>
      <c r="BH158" s="634"/>
      <c r="BI158" s="634"/>
    </row>
    <row r="159" spans="1:61" ht="16.2" customHeight="1">
      <c r="A159" s="12"/>
      <c r="B159" s="446"/>
      <c r="C159" s="89"/>
      <c r="D159" s="13"/>
      <c r="E159" s="14"/>
      <c r="F159" s="14"/>
      <c r="G159" s="15"/>
      <c r="H159" s="8"/>
      <c r="I159" s="8"/>
      <c r="J159" s="89"/>
      <c r="K159" s="8"/>
      <c r="L159" s="8"/>
      <c r="M159" s="8" t="str">
        <f>IF(L159="","",
IF(AX159="PT",VLOOKUP(L159,Foundation_Calc!$V$4:$X$37,VLOOKUP(AX159,Foundation_Calc!$I$10:$J$13,2,FALSE),0),
IF(AX159="K",VLOOKUP(L159,Foundation_Calc!$V$41:$X$74,VLOOKUP(AX159,Foundation_Calc!$I$10:$J$13,2,FALSE),0),"")))</f>
        <v/>
      </c>
      <c r="N159" s="8"/>
      <c r="O159" s="8"/>
      <c r="P159" s="8"/>
      <c r="Q159" s="14"/>
      <c r="R159" s="15"/>
      <c r="S159" s="15"/>
      <c r="T159" s="14"/>
      <c r="U159" s="14"/>
      <c r="V159" s="14"/>
      <c r="W159" s="18"/>
      <c r="X159" s="18"/>
      <c r="Y159" s="18"/>
      <c r="Z159" s="18"/>
      <c r="AA159" s="18"/>
      <c r="AB159" s="18"/>
      <c r="AC159" s="8" t="str">
        <f t="shared" si="9"/>
        <v/>
      </c>
      <c r="AD159" s="8"/>
      <c r="AE159" s="8"/>
      <c r="AF159" s="14"/>
      <c r="AG159" s="13"/>
      <c r="AH159" s="14"/>
      <c r="AI159" s="14"/>
      <c r="AJ159" s="8"/>
      <c r="AK159" s="8"/>
      <c r="AL159" s="8"/>
      <c r="AM159" s="8"/>
      <c r="AN159" s="631"/>
      <c r="AO159" s="18"/>
      <c r="AP159" s="18"/>
      <c r="AQ159" s="18"/>
      <c r="AR159" s="18"/>
      <c r="AS159" s="18"/>
      <c r="AU159" s="448"/>
      <c r="AV159" s="448"/>
      <c r="AW159" s="8" t="str">
        <f>IF(C159&gt;0,VLOOKUP(C159,Foundation_Calc!$A$2:$C$986,3,1),
IF(J159&gt;0,VLOOKUP(J159,Foundation_Calc!$A$2:$C$986,3,1),""))</f>
        <v/>
      </c>
      <c r="AX159" s="8" t="str">
        <f>IF(C159&gt;0,VLOOKUP(C159,Foundation_Calc!$E$2:$G$986,3,1),
IF(J159&gt;0,VLOOKUP(J159,Foundation_Calc!$E$2:$G$986,3,1),""))</f>
        <v/>
      </c>
      <c r="AY159" s="631" t="str">
        <f>IF(L159="","",
IF(AX159="PT",VLOOKUP(L159,Foundation_Calc!$K$4:$R$37,VLOOKUP(AW159,Foundation_Calc!$I$2:$J$8,2,FALSE),0),
IF(AX159="K",VLOOKUP(L159,Foundation_Calc!$K$41:$R$74,VLOOKUP(AW159,Foundation_Calc!$I$2:$J$8,2,FALSE),0),"")))</f>
        <v/>
      </c>
      <c r="AZ159" s="631" t="str">
        <f>IF(K159="","",
IF(AX159="PT",VLOOKUP(K159,Foundation_Calc!$K$4:$R$37,VLOOKUP(AW159,Foundation_Calc!$I$2:$J$8,2,FALSE),0),
IF(AX159="K",VLOOKUP(K159,Foundation_Calc!$K$41:$R$74,VLOOKUP(AW159,Foundation_Calc!$I$2:$J$8,2,FALSE),0),"")))</f>
        <v/>
      </c>
      <c r="BA159" s="632" t="str">
        <f t="shared" si="10"/>
        <v/>
      </c>
      <c r="BB159" s="632" t="str">
        <f t="shared" si="11"/>
        <v/>
      </c>
      <c r="BC159" s="632" t="str">
        <f t="shared" si="12"/>
        <v/>
      </c>
      <c r="BD159" s="633" t="str">
        <f>IF(AND(L159="",H159=""),"",
IF(H159="",Pole_Calc!A163,
IF(H159="MP",Pole_Calc!A164,
IF(H159="AnMP",Pole_Calc!A165,
IF(H159="A",Pole_Calc!A166,
IF(H159="S/A",Pole_Calc!A167,
IF(H159="A/S",Pole_Calc!A168,"Poner a mano")))))))</f>
        <v/>
      </c>
      <c r="BE159" s="448" t="s">
        <v>1726</v>
      </c>
      <c r="BF159" s="635"/>
      <c r="BG159" s="635"/>
      <c r="BH159" s="634"/>
      <c r="BI159" s="635"/>
    </row>
    <row r="160" spans="1:61" ht="16.2" customHeight="1">
      <c r="A160" s="12"/>
      <c r="B160" s="446"/>
      <c r="C160" s="89"/>
      <c r="D160" s="13"/>
      <c r="E160" s="14"/>
      <c r="F160" s="14"/>
      <c r="G160" s="15"/>
      <c r="H160" s="8"/>
      <c r="I160" s="8"/>
      <c r="J160" s="89"/>
      <c r="K160" s="8"/>
      <c r="L160" s="8"/>
      <c r="M160" s="8" t="str">
        <f>IF(L160="","",
IF(AX160="PT",VLOOKUP(L160,Foundation_Calc!$V$4:$X$37,VLOOKUP(AX160,Foundation_Calc!$I$10:$J$13,2,FALSE),0),
IF(AX160="K",VLOOKUP(L160,Foundation_Calc!$V$41:$X$74,VLOOKUP(AX160,Foundation_Calc!$I$10:$J$13,2,FALSE),0),"")))</f>
        <v/>
      </c>
      <c r="N160" s="8"/>
      <c r="O160" s="8"/>
      <c r="P160" s="8"/>
      <c r="Q160" s="14"/>
      <c r="R160" s="15"/>
      <c r="S160" s="15"/>
      <c r="T160" s="14"/>
      <c r="U160" s="14"/>
      <c r="V160" s="14"/>
      <c r="W160" s="18"/>
      <c r="X160" s="18"/>
      <c r="Y160" s="18"/>
      <c r="Z160" s="18"/>
      <c r="AA160" s="18"/>
      <c r="AB160" s="18"/>
      <c r="AC160" s="8" t="str">
        <f t="shared" si="9"/>
        <v/>
      </c>
      <c r="AD160" s="8"/>
      <c r="AE160" s="8"/>
      <c r="AF160" s="14"/>
      <c r="AG160" s="13"/>
      <c r="AH160" s="14"/>
      <c r="AI160" s="14"/>
      <c r="AJ160" s="8"/>
      <c r="AK160" s="8"/>
      <c r="AL160" s="8"/>
      <c r="AM160" s="8"/>
      <c r="AN160" s="631"/>
      <c r="AO160" s="18"/>
      <c r="AP160" s="18"/>
      <c r="AQ160" s="18"/>
      <c r="AR160" s="18"/>
      <c r="AS160" s="18"/>
      <c r="AU160" s="448"/>
      <c r="AV160" s="448"/>
      <c r="AW160" s="8" t="str">
        <f>IF(C160&gt;0,VLOOKUP(C160,Foundation_Calc!$A$2:$C$986,3,1),
IF(J160&gt;0,VLOOKUP(J160,Foundation_Calc!$A$2:$C$986,3,1),""))</f>
        <v/>
      </c>
      <c r="AX160" s="8" t="str">
        <f>IF(C160&gt;0,VLOOKUP(C160,Foundation_Calc!$E$2:$G$986,3,1),
IF(J160&gt;0,VLOOKUP(J160,Foundation_Calc!$E$2:$G$986,3,1),""))</f>
        <v/>
      </c>
      <c r="AY160" s="631" t="str">
        <f>IF(L160="","",
IF(AX160="PT",VLOOKUP(L160,Foundation_Calc!$K$4:$R$37,VLOOKUP(AW160,Foundation_Calc!$I$2:$J$8,2,FALSE),0),
IF(AX160="K",VLOOKUP(L160,Foundation_Calc!$K$41:$R$74,VLOOKUP(AW160,Foundation_Calc!$I$2:$J$8,2,FALSE),0),"")))</f>
        <v/>
      </c>
      <c r="AZ160" s="631" t="str">
        <f>IF(K160="","",
IF(AX160="PT",VLOOKUP(K160,Foundation_Calc!$K$4:$R$37,VLOOKUP(AW160,Foundation_Calc!$I$2:$J$8,2,FALSE),0),
IF(AX160="K",VLOOKUP(K160,Foundation_Calc!$K$41:$R$74,VLOOKUP(AW160,Foundation_Calc!$I$2:$J$8,2,FALSE),0),"")))</f>
        <v/>
      </c>
      <c r="BA160" s="632" t="str">
        <f t="shared" si="10"/>
        <v/>
      </c>
      <c r="BB160" s="632" t="str">
        <f t="shared" si="11"/>
        <v/>
      </c>
      <c r="BC160" s="632" t="str">
        <f t="shared" si="12"/>
        <v/>
      </c>
      <c r="BD160" s="633" t="str">
        <f>IF(AND(L160="",H160=""),"",
IF(H160="",Pole_Calc!A164,
IF(H160="MP",Pole_Calc!A165,
IF(H160="AnMP",Pole_Calc!A166,
IF(H160="A",Pole_Calc!A167,
IF(H160="S/A",Pole_Calc!A168,
IF(H160="A/S",Pole_Calc!A169,"Poner a mano")))))))</f>
        <v/>
      </c>
      <c r="BE160" s="448" t="s">
        <v>1726</v>
      </c>
      <c r="BF160" s="634"/>
      <c r="BG160" s="634"/>
      <c r="BH160" s="634"/>
      <c r="BI160" s="634"/>
    </row>
    <row r="161" spans="1:61" ht="16.2" customHeight="1">
      <c r="A161" s="12"/>
      <c r="B161" s="446"/>
      <c r="C161" s="89"/>
      <c r="D161" s="13"/>
      <c r="E161" s="14"/>
      <c r="F161" s="14"/>
      <c r="G161" s="15"/>
      <c r="H161" s="8"/>
      <c r="I161" s="8"/>
      <c r="J161" s="89"/>
      <c r="K161" s="8"/>
      <c r="L161" s="8"/>
      <c r="M161" s="8" t="str">
        <f>IF(L161="","",
IF(AX161="PT",VLOOKUP(L161,Foundation_Calc!$V$4:$X$37,VLOOKUP(AX161,Foundation_Calc!$I$10:$J$13,2,FALSE),0),
IF(AX161="K",VLOOKUP(L161,Foundation_Calc!$V$41:$X$74,VLOOKUP(AX161,Foundation_Calc!$I$10:$J$13,2,FALSE),0),"")))</f>
        <v/>
      </c>
      <c r="N161" s="8"/>
      <c r="O161" s="8"/>
      <c r="P161" s="8"/>
      <c r="Q161" s="14"/>
      <c r="R161" s="15"/>
      <c r="S161" s="15"/>
      <c r="T161" s="14"/>
      <c r="U161" s="14"/>
      <c r="V161" s="14"/>
      <c r="W161" s="18"/>
      <c r="X161" s="18"/>
      <c r="Y161" s="18"/>
      <c r="Z161" s="18"/>
      <c r="AA161" s="18"/>
      <c r="AB161" s="18"/>
      <c r="AC161" s="8" t="str">
        <f t="shared" si="9"/>
        <v/>
      </c>
      <c r="AD161" s="8"/>
      <c r="AE161" s="8"/>
      <c r="AF161" s="14"/>
      <c r="AG161" s="13"/>
      <c r="AH161" s="14"/>
      <c r="AI161" s="14"/>
      <c r="AJ161" s="8"/>
      <c r="AK161" s="8"/>
      <c r="AL161" s="8"/>
      <c r="AM161" s="8"/>
      <c r="AN161" s="631"/>
      <c r="AO161" s="18"/>
      <c r="AP161" s="18"/>
      <c r="AQ161" s="18"/>
      <c r="AR161" s="18"/>
      <c r="AS161" s="18"/>
      <c r="AU161" s="448"/>
      <c r="AV161" s="448"/>
      <c r="AW161" s="8" t="str">
        <f>IF(C161&gt;0,VLOOKUP(C161,Foundation_Calc!$A$2:$C$986,3,1),
IF(J161&gt;0,VLOOKUP(J161,Foundation_Calc!$A$2:$C$986,3,1),""))</f>
        <v/>
      </c>
      <c r="AX161" s="8" t="str">
        <f>IF(C161&gt;0,VLOOKUP(C161,Foundation_Calc!$E$2:$G$986,3,1),
IF(J161&gt;0,VLOOKUP(J161,Foundation_Calc!$E$2:$G$986,3,1),""))</f>
        <v/>
      </c>
      <c r="AY161" s="631" t="str">
        <f>IF(L161="","",
IF(AX161="PT",VLOOKUP(L161,Foundation_Calc!$K$4:$R$37,VLOOKUP(AW161,Foundation_Calc!$I$2:$J$8,2,FALSE),0),
IF(AX161="K",VLOOKUP(L161,Foundation_Calc!$K$41:$R$74,VLOOKUP(AW161,Foundation_Calc!$I$2:$J$8,2,FALSE),0),"")))</f>
        <v/>
      </c>
      <c r="AZ161" s="631" t="str">
        <f>IF(K161="","",
IF(AX161="PT",VLOOKUP(K161,Foundation_Calc!$K$4:$R$37,VLOOKUP(AW161,Foundation_Calc!$I$2:$J$8,2,FALSE),0),
IF(AX161="K",VLOOKUP(K161,Foundation_Calc!$K$41:$R$74,VLOOKUP(AW161,Foundation_Calc!$I$2:$J$8,2,FALSE),0),"")))</f>
        <v/>
      </c>
      <c r="BA161" s="632" t="str">
        <f t="shared" si="10"/>
        <v/>
      </c>
      <c r="BB161" s="632" t="str">
        <f t="shared" si="11"/>
        <v/>
      </c>
      <c r="BC161" s="632" t="str">
        <f t="shared" si="12"/>
        <v/>
      </c>
      <c r="BD161" s="633" t="str">
        <f>IF(AND(L161="",H161=""),"",
IF(H161="",Pole_Calc!A165,
IF(H161="MP",Pole_Calc!A166,
IF(H161="AnMP",Pole_Calc!A167,
IF(H161="A",Pole_Calc!A168,
IF(H161="S/A",Pole_Calc!A169,
IF(H161="A/S",Pole_Calc!A170,"Poner a mano")))))))</f>
        <v/>
      </c>
      <c r="BE161" s="448" t="s">
        <v>1726</v>
      </c>
      <c r="BF161" s="635"/>
      <c r="BG161" s="635"/>
      <c r="BH161" s="634"/>
      <c r="BI161" s="635"/>
    </row>
    <row r="162" spans="1:61" ht="16.2" customHeight="1">
      <c r="A162" s="12"/>
      <c r="B162" s="446"/>
      <c r="C162" s="89"/>
      <c r="D162" s="13"/>
      <c r="E162" s="14"/>
      <c r="F162" s="14"/>
      <c r="G162" s="15"/>
      <c r="H162" s="8"/>
      <c r="I162" s="8"/>
      <c r="J162" s="89"/>
      <c r="K162" s="8"/>
      <c r="L162" s="8"/>
      <c r="M162" s="8" t="str">
        <f>IF(L162="","",
IF(AX162="PT",VLOOKUP(L162,Foundation_Calc!$V$4:$X$37,VLOOKUP(AX162,Foundation_Calc!$I$10:$J$13,2,FALSE),0),
IF(AX162="K",VLOOKUP(L162,Foundation_Calc!$V$41:$X$74,VLOOKUP(AX162,Foundation_Calc!$I$10:$J$13,2,FALSE),0),"")))</f>
        <v/>
      </c>
      <c r="N162" s="8"/>
      <c r="O162" s="8"/>
      <c r="P162" s="8"/>
      <c r="Q162" s="14"/>
      <c r="R162" s="15"/>
      <c r="S162" s="15"/>
      <c r="T162" s="14"/>
      <c r="U162" s="14"/>
      <c r="V162" s="14"/>
      <c r="W162" s="18"/>
      <c r="X162" s="18"/>
      <c r="Y162" s="18"/>
      <c r="Z162" s="18"/>
      <c r="AA162" s="18"/>
      <c r="AB162" s="18"/>
      <c r="AC162" s="8" t="str">
        <f t="shared" si="9"/>
        <v/>
      </c>
      <c r="AD162" s="8"/>
      <c r="AE162" s="8"/>
      <c r="AF162" s="14"/>
      <c r="AG162" s="13"/>
      <c r="AH162" s="14"/>
      <c r="AI162" s="14"/>
      <c r="AJ162" s="8"/>
      <c r="AK162" s="8"/>
      <c r="AL162" s="8"/>
      <c r="AM162" s="8"/>
      <c r="AN162" s="631"/>
      <c r="AO162" s="18"/>
      <c r="AP162" s="18"/>
      <c r="AQ162" s="18"/>
      <c r="AR162" s="18"/>
      <c r="AS162" s="18"/>
      <c r="AU162" s="448"/>
      <c r="AV162" s="448"/>
      <c r="AW162" s="8" t="str">
        <f>IF(C162&gt;0,VLOOKUP(C162,Foundation_Calc!$A$2:$C$986,3,1),
IF(J162&gt;0,VLOOKUP(J162,Foundation_Calc!$A$2:$C$986,3,1),""))</f>
        <v/>
      </c>
      <c r="AX162" s="8" t="str">
        <f>IF(C162&gt;0,VLOOKUP(C162,Foundation_Calc!$E$2:$G$986,3,1),
IF(J162&gt;0,VLOOKUP(J162,Foundation_Calc!$E$2:$G$986,3,1),""))</f>
        <v/>
      </c>
      <c r="AY162" s="631" t="str">
        <f>IF(L162="","",
IF(AX162="PT",VLOOKUP(L162,Foundation_Calc!$K$4:$R$37,VLOOKUP(AW162,Foundation_Calc!$I$2:$J$8,2,FALSE),0),
IF(AX162="K",VLOOKUP(L162,Foundation_Calc!$K$41:$R$74,VLOOKUP(AW162,Foundation_Calc!$I$2:$J$8,2,FALSE),0),"")))</f>
        <v/>
      </c>
      <c r="AZ162" s="631" t="str">
        <f>IF(K162="","",
IF(AX162="PT",VLOOKUP(K162,Foundation_Calc!$K$4:$R$37,VLOOKUP(AW162,Foundation_Calc!$I$2:$J$8,2,FALSE),0),
IF(AX162="K",VLOOKUP(K162,Foundation_Calc!$K$41:$R$74,VLOOKUP(AW162,Foundation_Calc!$I$2:$J$8,2,FALSE),0),"")))</f>
        <v/>
      </c>
      <c r="BA162" s="632" t="str">
        <f t="shared" si="10"/>
        <v/>
      </c>
      <c r="BB162" s="632" t="str">
        <f t="shared" si="11"/>
        <v/>
      </c>
      <c r="BC162" s="632" t="str">
        <f t="shared" si="12"/>
        <v/>
      </c>
      <c r="BD162" s="633" t="str">
        <f>IF(AND(L162="",H162=""),"",
IF(H162="",Pole_Calc!A166,
IF(H162="MP",Pole_Calc!A167,
IF(H162="AnMP",Pole_Calc!A168,
IF(H162="A",Pole_Calc!A169,
IF(H162="S/A",Pole_Calc!A170,
IF(H162="A/S",Pole_Calc!A171,"Poner a mano")))))))</f>
        <v/>
      </c>
      <c r="BE162" s="448" t="s">
        <v>1726</v>
      </c>
      <c r="BF162" s="634"/>
      <c r="BG162" s="634"/>
      <c r="BH162" s="634"/>
      <c r="BI162" s="634"/>
    </row>
    <row r="163" spans="1:61" ht="16.2" customHeight="1">
      <c r="A163" s="12"/>
      <c r="B163" s="446"/>
      <c r="C163" s="89"/>
      <c r="D163" s="13"/>
      <c r="E163" s="14"/>
      <c r="F163" s="14"/>
      <c r="G163" s="15"/>
      <c r="H163" s="8"/>
      <c r="I163" s="8"/>
      <c r="J163" s="89"/>
      <c r="K163" s="8"/>
      <c r="L163" s="8"/>
      <c r="M163" s="8" t="str">
        <f>IF(L163="","",
IF(AX163="PT",VLOOKUP(L163,Foundation_Calc!$V$4:$X$37,VLOOKUP(AX163,Foundation_Calc!$I$10:$J$13,2,FALSE),0),
IF(AX163="K",VLOOKUP(L163,Foundation_Calc!$V$41:$X$74,VLOOKUP(AX163,Foundation_Calc!$I$10:$J$13,2,FALSE),0),"")))</f>
        <v/>
      </c>
      <c r="N163" s="8"/>
      <c r="O163" s="8"/>
      <c r="P163" s="8"/>
      <c r="Q163" s="14"/>
      <c r="R163" s="15"/>
      <c r="S163" s="15"/>
      <c r="T163" s="14"/>
      <c r="U163" s="14"/>
      <c r="V163" s="14"/>
      <c r="W163" s="18"/>
      <c r="X163" s="18"/>
      <c r="Y163" s="18"/>
      <c r="Z163" s="18"/>
      <c r="AA163" s="18"/>
      <c r="AB163" s="18"/>
      <c r="AC163" s="8" t="str">
        <f t="shared" si="9"/>
        <v/>
      </c>
      <c r="AD163" s="8"/>
      <c r="AE163" s="8"/>
      <c r="AF163" s="14"/>
      <c r="AG163" s="13"/>
      <c r="AH163" s="14"/>
      <c r="AI163" s="14"/>
      <c r="AJ163" s="8"/>
      <c r="AK163" s="8"/>
      <c r="AL163" s="8"/>
      <c r="AM163" s="8"/>
      <c r="AN163" s="631"/>
      <c r="AO163" s="18"/>
      <c r="AP163" s="18"/>
      <c r="AQ163" s="18"/>
      <c r="AR163" s="18"/>
      <c r="AS163" s="18"/>
      <c r="AU163" s="448"/>
      <c r="AV163" s="448"/>
      <c r="AW163" s="8" t="str">
        <f>IF(C163&gt;0,VLOOKUP(C163,Foundation_Calc!$A$2:$C$986,3,1),
IF(J163&gt;0,VLOOKUP(J163,Foundation_Calc!$A$2:$C$986,3,1),""))</f>
        <v/>
      </c>
      <c r="AX163" s="8" t="str">
        <f>IF(C163&gt;0,VLOOKUP(C163,Foundation_Calc!$E$2:$G$986,3,1),
IF(J163&gt;0,VLOOKUP(J163,Foundation_Calc!$E$2:$G$986,3,1),""))</f>
        <v/>
      </c>
      <c r="AY163" s="631" t="str">
        <f>IF(L163="","",
IF(AX163="PT",VLOOKUP(L163,Foundation_Calc!$K$4:$R$37,VLOOKUP(AW163,Foundation_Calc!$I$2:$J$8,2,FALSE),0),
IF(AX163="K",VLOOKUP(L163,Foundation_Calc!$K$41:$R$74,VLOOKUP(AW163,Foundation_Calc!$I$2:$J$8,2,FALSE),0),"")))</f>
        <v/>
      </c>
      <c r="AZ163" s="631" t="str">
        <f>IF(K163="","",
IF(AX163="PT",VLOOKUP(K163,Foundation_Calc!$K$4:$R$37,VLOOKUP(AW163,Foundation_Calc!$I$2:$J$8,2,FALSE),0),
IF(AX163="K",VLOOKUP(K163,Foundation_Calc!$K$41:$R$74,VLOOKUP(AW163,Foundation_Calc!$I$2:$J$8,2,FALSE),0),"")))</f>
        <v/>
      </c>
      <c r="BA163" s="632" t="str">
        <f t="shared" si="10"/>
        <v/>
      </c>
      <c r="BB163" s="632" t="str">
        <f t="shared" si="11"/>
        <v/>
      </c>
      <c r="BC163" s="632" t="str">
        <f t="shared" si="12"/>
        <v/>
      </c>
      <c r="BD163" s="633" t="str">
        <f>IF(AND(L163="",H163=""),"",
IF(H163="",Pole_Calc!A167,
IF(H163="MP",Pole_Calc!A168,
IF(H163="AnMP",Pole_Calc!A169,
IF(H163="A",Pole_Calc!A170,
IF(H163="S/A",Pole_Calc!A171,
IF(H163="A/S",Pole_Calc!A172,"Poner a mano")))))))</f>
        <v/>
      </c>
      <c r="BE163" s="448" t="s">
        <v>1726</v>
      </c>
      <c r="BF163" s="635"/>
      <c r="BG163" s="635"/>
      <c r="BH163" s="634"/>
      <c r="BI163" s="635"/>
    </row>
    <row r="164" spans="1:61" ht="16.2" customHeight="1">
      <c r="A164" s="12"/>
      <c r="B164" s="446"/>
      <c r="C164" s="89"/>
      <c r="D164" s="13"/>
      <c r="E164" s="14"/>
      <c r="F164" s="14"/>
      <c r="G164" s="15"/>
      <c r="H164" s="8"/>
      <c r="I164" s="8"/>
      <c r="J164" s="89"/>
      <c r="K164" s="8"/>
      <c r="L164" s="8"/>
      <c r="M164" s="8" t="str">
        <f>IF(L164="","",
IF(AX164="PT",VLOOKUP(L164,Foundation_Calc!$V$4:$X$37,VLOOKUP(AX164,Foundation_Calc!$I$10:$J$13,2,FALSE),0),
IF(AX164="K",VLOOKUP(L164,Foundation_Calc!$V$41:$X$74,VLOOKUP(AX164,Foundation_Calc!$I$10:$J$13,2,FALSE),0),"")))</f>
        <v/>
      </c>
      <c r="N164" s="8"/>
      <c r="O164" s="8"/>
      <c r="P164" s="8"/>
      <c r="Q164" s="14"/>
      <c r="R164" s="15"/>
      <c r="S164" s="15"/>
      <c r="T164" s="14"/>
      <c r="U164" s="14"/>
      <c r="V164" s="14"/>
      <c r="W164" s="18"/>
      <c r="X164" s="18"/>
      <c r="Y164" s="18"/>
      <c r="Z164" s="18"/>
      <c r="AA164" s="18"/>
      <c r="AB164" s="18"/>
      <c r="AC164" s="8" t="str">
        <f t="shared" si="9"/>
        <v/>
      </c>
      <c r="AD164" s="8"/>
      <c r="AE164" s="8"/>
      <c r="AF164" s="14"/>
      <c r="AG164" s="13"/>
      <c r="AH164" s="14"/>
      <c r="AI164" s="14"/>
      <c r="AJ164" s="8"/>
      <c r="AK164" s="8"/>
      <c r="AL164" s="8"/>
      <c r="AM164" s="8"/>
      <c r="AN164" s="631"/>
      <c r="AO164" s="18"/>
      <c r="AP164" s="18"/>
      <c r="AQ164" s="18"/>
      <c r="AR164" s="18"/>
      <c r="AS164" s="18"/>
      <c r="AU164" s="448"/>
      <c r="AV164" s="448"/>
      <c r="AW164" s="8" t="str">
        <f>IF(C164&gt;0,VLOOKUP(C164,Foundation_Calc!$A$2:$C$986,3,1),
IF(J164&gt;0,VLOOKUP(J164,Foundation_Calc!$A$2:$C$986,3,1),""))</f>
        <v/>
      </c>
      <c r="AX164" s="8" t="str">
        <f>IF(C164&gt;0,VLOOKUP(C164,Foundation_Calc!$E$2:$G$986,3,1),
IF(J164&gt;0,VLOOKUP(J164,Foundation_Calc!$E$2:$G$986,3,1),""))</f>
        <v/>
      </c>
      <c r="AY164" s="631" t="str">
        <f>IF(L164="","",
IF(AX164="PT",VLOOKUP(L164,Foundation_Calc!$K$4:$R$37,VLOOKUP(AW164,Foundation_Calc!$I$2:$J$8,2,FALSE),0),
IF(AX164="K",VLOOKUP(L164,Foundation_Calc!$K$41:$R$74,VLOOKUP(AW164,Foundation_Calc!$I$2:$J$8,2,FALSE),0),"")))</f>
        <v/>
      </c>
      <c r="AZ164" s="631" t="str">
        <f>IF(K164="","",
IF(AX164="PT",VLOOKUP(K164,Foundation_Calc!$K$4:$R$37,VLOOKUP(AW164,Foundation_Calc!$I$2:$J$8,2,FALSE),0),
IF(AX164="K",VLOOKUP(K164,Foundation_Calc!$K$41:$R$74,VLOOKUP(AW164,Foundation_Calc!$I$2:$J$8,2,FALSE),0),"")))</f>
        <v/>
      </c>
      <c r="BA164" s="632" t="str">
        <f t="shared" si="10"/>
        <v/>
      </c>
      <c r="BB164" s="632" t="str">
        <f t="shared" si="11"/>
        <v/>
      </c>
      <c r="BC164" s="632" t="str">
        <f t="shared" si="12"/>
        <v/>
      </c>
      <c r="BD164" s="633" t="str">
        <f>IF(AND(L164="",H164=""),"",
IF(H164="",Pole_Calc!A168,
IF(H164="MP",Pole_Calc!A169,
IF(H164="AnMP",Pole_Calc!A170,
IF(H164="A",Pole_Calc!A171,
IF(H164="S/A",Pole_Calc!A172,
IF(H164="A/S",Pole_Calc!A173,"Poner a mano")))))))</f>
        <v/>
      </c>
      <c r="BE164" s="448" t="s">
        <v>1726</v>
      </c>
      <c r="BF164" s="634"/>
      <c r="BG164" s="634"/>
      <c r="BH164" s="634"/>
      <c r="BI164" s="634"/>
    </row>
    <row r="165" spans="1:61" ht="16.2" customHeight="1">
      <c r="A165" s="12"/>
      <c r="B165" s="446"/>
      <c r="C165" s="89"/>
      <c r="D165" s="13"/>
      <c r="E165" s="14"/>
      <c r="F165" s="14"/>
      <c r="G165" s="15"/>
      <c r="H165" s="8"/>
      <c r="I165" s="8"/>
      <c r="J165" s="89"/>
      <c r="K165" s="8"/>
      <c r="L165" s="8"/>
      <c r="M165" s="8" t="str">
        <f>IF(L165="","",
IF(AX165="PT",VLOOKUP(L165,Foundation_Calc!$V$4:$X$37,VLOOKUP(AX165,Foundation_Calc!$I$10:$J$13,2,FALSE),0),
IF(AX165="K",VLOOKUP(L165,Foundation_Calc!$V$41:$X$74,VLOOKUP(AX165,Foundation_Calc!$I$10:$J$13,2,FALSE),0),"")))</f>
        <v/>
      </c>
      <c r="N165" s="8"/>
      <c r="O165" s="8"/>
      <c r="P165" s="8"/>
      <c r="Q165" s="14"/>
      <c r="R165" s="15"/>
      <c r="S165" s="15"/>
      <c r="T165" s="14"/>
      <c r="U165" s="14"/>
      <c r="V165" s="14"/>
      <c r="W165" s="18"/>
      <c r="X165" s="18"/>
      <c r="Y165" s="18"/>
      <c r="Z165" s="18"/>
      <c r="AA165" s="18"/>
      <c r="AB165" s="18"/>
      <c r="AC165" s="8" t="str">
        <f t="shared" si="9"/>
        <v/>
      </c>
      <c r="AD165" s="8"/>
      <c r="AE165" s="8"/>
      <c r="AF165" s="14"/>
      <c r="AG165" s="13"/>
      <c r="AH165" s="14"/>
      <c r="AI165" s="14"/>
      <c r="AJ165" s="8"/>
      <c r="AK165" s="8"/>
      <c r="AL165" s="8"/>
      <c r="AM165" s="8"/>
      <c r="AN165" s="631"/>
      <c r="AO165" s="18"/>
      <c r="AP165" s="18"/>
      <c r="AQ165" s="18"/>
      <c r="AR165" s="18"/>
      <c r="AS165" s="18"/>
      <c r="AU165" s="448"/>
      <c r="AV165" s="448"/>
      <c r="AW165" s="8" t="str">
        <f>IF(C165&gt;0,VLOOKUP(C165,Foundation_Calc!$A$2:$C$986,3,1),
IF(J165&gt;0,VLOOKUP(J165,Foundation_Calc!$A$2:$C$986,3,1),""))</f>
        <v/>
      </c>
      <c r="AX165" s="8" t="str">
        <f>IF(C165&gt;0,VLOOKUP(C165,Foundation_Calc!$E$2:$G$986,3,1),
IF(J165&gt;0,VLOOKUP(J165,Foundation_Calc!$E$2:$G$986,3,1),""))</f>
        <v/>
      </c>
      <c r="AY165" s="631" t="str">
        <f>IF(L165="","",
IF(AX165="PT",VLOOKUP(L165,Foundation_Calc!$K$4:$R$37,VLOOKUP(AW165,Foundation_Calc!$I$2:$J$8,2,FALSE),0),
IF(AX165="K",VLOOKUP(L165,Foundation_Calc!$K$41:$R$74,VLOOKUP(AW165,Foundation_Calc!$I$2:$J$8,2,FALSE),0),"")))</f>
        <v/>
      </c>
      <c r="AZ165" s="631" t="str">
        <f>IF(K165="","",
IF(AX165="PT",VLOOKUP(K165,Foundation_Calc!$K$4:$R$37,VLOOKUP(AW165,Foundation_Calc!$I$2:$J$8,2,FALSE),0),
IF(AX165="K",VLOOKUP(K165,Foundation_Calc!$K$41:$R$74,VLOOKUP(AW165,Foundation_Calc!$I$2:$J$8,2,FALSE),0),"")))</f>
        <v/>
      </c>
      <c r="BA165" s="632" t="str">
        <f t="shared" si="10"/>
        <v/>
      </c>
      <c r="BB165" s="632" t="str">
        <f t="shared" si="11"/>
        <v/>
      </c>
      <c r="BC165" s="632" t="str">
        <f t="shared" si="12"/>
        <v/>
      </c>
      <c r="BD165" s="633" t="str">
        <f>IF(AND(L165="",H165=""),"",
IF(H165="",Pole_Calc!A169,
IF(H165="MP",Pole_Calc!A170,
IF(H165="AnMP",Pole_Calc!A171,
IF(H165="A",Pole_Calc!A172,
IF(H165="S/A",Pole_Calc!A173,
IF(H165="A/S",Pole_Calc!A174,"Poner a mano")))))))</f>
        <v/>
      </c>
      <c r="BE165" s="448" t="s">
        <v>1726</v>
      </c>
      <c r="BF165" s="635"/>
      <c r="BG165" s="635"/>
      <c r="BH165" s="634"/>
      <c r="BI165" s="635"/>
    </row>
    <row r="166" spans="1:61" ht="16.2" customHeight="1">
      <c r="A166" s="12"/>
      <c r="B166" s="446"/>
      <c r="C166" s="89"/>
      <c r="D166" s="13"/>
      <c r="E166" s="14"/>
      <c r="F166" s="14"/>
      <c r="G166" s="15"/>
      <c r="H166" s="8"/>
      <c r="I166" s="8"/>
      <c r="J166" s="89"/>
      <c r="K166" s="8"/>
      <c r="L166" s="8"/>
      <c r="M166" s="8" t="str">
        <f>IF(L166="","",
IF(AX166="PT",VLOOKUP(L166,Foundation_Calc!$V$4:$X$37,VLOOKUP(AX166,Foundation_Calc!$I$10:$J$13,2,FALSE),0),
IF(AX166="K",VLOOKUP(L166,Foundation_Calc!$V$41:$X$74,VLOOKUP(AX166,Foundation_Calc!$I$10:$J$13,2,FALSE),0),"")))</f>
        <v/>
      </c>
      <c r="N166" s="8"/>
      <c r="O166" s="8"/>
      <c r="P166" s="8"/>
      <c r="Q166" s="14"/>
      <c r="R166" s="15"/>
      <c r="S166" s="15"/>
      <c r="T166" s="14"/>
      <c r="U166" s="14"/>
      <c r="V166" s="14"/>
      <c r="W166" s="18"/>
      <c r="X166" s="18"/>
      <c r="Y166" s="18"/>
      <c r="Z166" s="18"/>
      <c r="AA166" s="18"/>
      <c r="AB166" s="18"/>
      <c r="AC166" s="8" t="str">
        <f t="shared" si="9"/>
        <v/>
      </c>
      <c r="AD166" s="8"/>
      <c r="AE166" s="8"/>
      <c r="AF166" s="14"/>
      <c r="AG166" s="13"/>
      <c r="AH166" s="14"/>
      <c r="AI166" s="14"/>
      <c r="AJ166" s="8"/>
      <c r="AK166" s="8"/>
      <c r="AL166" s="8"/>
      <c r="AM166" s="8"/>
      <c r="AN166" s="631"/>
      <c r="AO166" s="18"/>
      <c r="AP166" s="18"/>
      <c r="AQ166" s="18"/>
      <c r="AR166" s="18"/>
      <c r="AS166" s="18"/>
      <c r="AU166" s="448"/>
      <c r="AV166" s="448"/>
      <c r="AW166" s="8" t="str">
        <f>IF(C166&gt;0,VLOOKUP(C166,Foundation_Calc!$A$2:$C$986,3,1),
IF(J166&gt;0,VLOOKUP(J166,Foundation_Calc!$A$2:$C$986,3,1),""))</f>
        <v/>
      </c>
      <c r="AX166" s="8" t="str">
        <f>IF(C166&gt;0,VLOOKUP(C166,Foundation_Calc!$E$2:$G$986,3,1),
IF(J166&gt;0,VLOOKUP(J166,Foundation_Calc!$E$2:$G$986,3,1),""))</f>
        <v/>
      </c>
      <c r="AY166" s="631" t="str">
        <f>IF(L166="","",
IF(AX166="PT",VLOOKUP(L166,Foundation_Calc!$K$4:$R$37,VLOOKUP(AW166,Foundation_Calc!$I$2:$J$8,2,FALSE),0),
IF(AX166="K",VLOOKUP(L166,Foundation_Calc!$K$41:$R$74,VLOOKUP(AW166,Foundation_Calc!$I$2:$J$8,2,FALSE),0),"")))</f>
        <v/>
      </c>
      <c r="AZ166" s="631" t="str">
        <f>IF(K166="","",
IF(AX166="PT",VLOOKUP(K166,Foundation_Calc!$K$4:$R$37,VLOOKUP(AW166,Foundation_Calc!$I$2:$J$8,2,FALSE),0),
IF(AX166="K",VLOOKUP(K166,Foundation_Calc!$K$41:$R$74,VLOOKUP(AW166,Foundation_Calc!$I$2:$J$8,2,FALSE),0),"")))</f>
        <v/>
      </c>
      <c r="BA166" s="632" t="str">
        <f t="shared" si="10"/>
        <v/>
      </c>
      <c r="BB166" s="632" t="str">
        <f t="shared" si="11"/>
        <v/>
      </c>
      <c r="BC166" s="632" t="str">
        <f t="shared" si="12"/>
        <v/>
      </c>
      <c r="BD166" s="633" t="str">
        <f>IF(AND(L166="",H166=""),"",
IF(H166="",Pole_Calc!A170,
IF(H166="MP",Pole_Calc!A171,
IF(H166="AnMP",Pole_Calc!A172,
IF(H166="A",Pole_Calc!A173,
IF(H166="S/A",Pole_Calc!A174,
IF(H166="A/S",Pole_Calc!A175,"Poner a mano")))))))</f>
        <v/>
      </c>
      <c r="BE166" s="448" t="s">
        <v>1726</v>
      </c>
      <c r="BF166" s="634"/>
      <c r="BG166" s="634"/>
      <c r="BH166" s="634"/>
      <c r="BI166" s="634"/>
    </row>
    <row r="167" spans="1:61" ht="16.2" customHeight="1">
      <c r="A167" s="12"/>
      <c r="B167" s="446"/>
      <c r="C167" s="89"/>
      <c r="D167" s="13"/>
      <c r="E167" s="14"/>
      <c r="F167" s="14"/>
      <c r="G167" s="15"/>
      <c r="H167" s="8"/>
      <c r="I167" s="8"/>
      <c r="J167" s="89"/>
      <c r="K167" s="8"/>
      <c r="L167" s="8"/>
      <c r="M167" s="8" t="str">
        <f>IF(L167="","",
IF(AX167="PT",VLOOKUP(L167,Foundation_Calc!$V$4:$X$37,VLOOKUP(AX167,Foundation_Calc!$I$10:$J$13,2,FALSE),0),
IF(AX167="K",VLOOKUP(L167,Foundation_Calc!$V$41:$X$74,VLOOKUP(AX167,Foundation_Calc!$I$10:$J$13,2,FALSE),0),"")))</f>
        <v/>
      </c>
      <c r="N167" s="8"/>
      <c r="O167" s="8"/>
      <c r="P167" s="8"/>
      <c r="Q167" s="14"/>
      <c r="R167" s="15"/>
      <c r="S167" s="15"/>
      <c r="T167" s="14"/>
      <c r="U167" s="14"/>
      <c r="V167" s="14"/>
      <c r="W167" s="18"/>
      <c r="X167" s="18"/>
      <c r="Y167" s="18"/>
      <c r="Z167" s="18"/>
      <c r="AA167" s="18"/>
      <c r="AB167" s="18"/>
      <c r="AC167" s="8" t="str">
        <f t="shared" si="9"/>
        <v/>
      </c>
      <c r="AD167" s="8"/>
      <c r="AE167" s="8"/>
      <c r="AF167" s="14"/>
      <c r="AG167" s="13"/>
      <c r="AH167" s="14"/>
      <c r="AI167" s="14"/>
      <c r="AJ167" s="8"/>
      <c r="AK167" s="8"/>
      <c r="AL167" s="8"/>
      <c r="AM167" s="8"/>
      <c r="AN167" s="631"/>
      <c r="AO167" s="18"/>
      <c r="AP167" s="18"/>
      <c r="AQ167" s="18"/>
      <c r="AR167" s="18"/>
      <c r="AS167" s="18"/>
      <c r="AU167" s="448"/>
      <c r="AV167" s="448"/>
      <c r="AW167" s="8" t="str">
        <f>IF(C167&gt;0,VLOOKUP(C167,Foundation_Calc!$A$2:$C$986,3,1),
IF(J167&gt;0,VLOOKUP(J167,Foundation_Calc!$A$2:$C$986,3,1),""))</f>
        <v/>
      </c>
      <c r="AX167" s="8" t="str">
        <f>IF(C167&gt;0,VLOOKUP(C167,Foundation_Calc!$E$2:$G$986,3,1),
IF(J167&gt;0,VLOOKUP(J167,Foundation_Calc!$E$2:$G$986,3,1),""))</f>
        <v/>
      </c>
      <c r="AY167" s="631" t="str">
        <f>IF(L167="","",
IF(AX167="PT",VLOOKUP(L167,Foundation_Calc!$K$4:$R$37,VLOOKUP(AW167,Foundation_Calc!$I$2:$J$8,2,FALSE),0),
IF(AX167="K",VLOOKUP(L167,Foundation_Calc!$K$41:$R$74,VLOOKUP(AW167,Foundation_Calc!$I$2:$J$8,2,FALSE),0),"")))</f>
        <v/>
      </c>
      <c r="AZ167" s="631" t="str">
        <f>IF(K167="","",
IF(AX167="PT",VLOOKUP(K167,Foundation_Calc!$K$4:$R$37,VLOOKUP(AW167,Foundation_Calc!$I$2:$J$8,2,FALSE),0),
IF(AX167="K",VLOOKUP(K167,Foundation_Calc!$K$41:$R$74,VLOOKUP(AW167,Foundation_Calc!$I$2:$J$8,2,FALSE),0),"")))</f>
        <v/>
      </c>
      <c r="BA167" s="632" t="str">
        <f t="shared" si="10"/>
        <v/>
      </c>
      <c r="BB167" s="632" t="str">
        <f t="shared" si="11"/>
        <v/>
      </c>
      <c r="BC167" s="632" t="str">
        <f t="shared" si="12"/>
        <v/>
      </c>
      <c r="BD167" s="633" t="str">
        <f>IF(AND(L167="",H167=""),"",
IF(H167="",Pole_Calc!A171,
IF(H167="MP",Pole_Calc!A172,
IF(H167="AnMP",Pole_Calc!A173,
IF(H167="A",Pole_Calc!A174,
IF(H167="S/A",Pole_Calc!A175,
IF(H167="A/S",Pole_Calc!A176,"Poner a mano")))))))</f>
        <v/>
      </c>
      <c r="BE167" s="448" t="s">
        <v>1726</v>
      </c>
      <c r="BF167" s="635"/>
      <c r="BG167" s="635"/>
      <c r="BH167" s="634"/>
      <c r="BI167" s="635"/>
    </row>
    <row r="168" spans="1:61" ht="16.2" customHeight="1">
      <c r="A168" s="12"/>
      <c r="B168" s="446"/>
      <c r="C168" s="89"/>
      <c r="D168" s="13"/>
      <c r="E168" s="14"/>
      <c r="F168" s="14"/>
      <c r="G168" s="15"/>
      <c r="H168" s="8"/>
      <c r="I168" s="8"/>
      <c r="J168" s="89"/>
      <c r="K168" s="8"/>
      <c r="L168" s="8"/>
      <c r="M168" s="8" t="str">
        <f>IF(L168="","",
IF(AX168="PT",VLOOKUP(L168,Foundation_Calc!$V$4:$X$37,VLOOKUP(AX168,Foundation_Calc!$I$10:$J$13,2,FALSE),0),
IF(AX168="K",VLOOKUP(L168,Foundation_Calc!$V$41:$X$74,VLOOKUP(AX168,Foundation_Calc!$I$10:$J$13,2,FALSE),0),"")))</f>
        <v/>
      </c>
      <c r="N168" s="8"/>
      <c r="O168" s="8"/>
      <c r="P168" s="8"/>
      <c r="Q168" s="14"/>
      <c r="R168" s="15"/>
      <c r="S168" s="15"/>
      <c r="T168" s="14"/>
      <c r="U168" s="14"/>
      <c r="V168" s="14"/>
      <c r="W168" s="18"/>
      <c r="X168" s="18"/>
      <c r="Y168" s="18"/>
      <c r="Z168" s="18"/>
      <c r="AA168" s="18"/>
      <c r="AB168" s="18"/>
      <c r="AC168" s="8" t="str">
        <f t="shared" si="9"/>
        <v/>
      </c>
      <c r="AD168" s="8"/>
      <c r="AE168" s="8"/>
      <c r="AF168" s="14"/>
      <c r="AG168" s="13"/>
      <c r="AH168" s="14"/>
      <c r="AI168" s="14"/>
      <c r="AJ168" s="8"/>
      <c r="AK168" s="8"/>
      <c r="AL168" s="8"/>
      <c r="AM168" s="8"/>
      <c r="AN168" s="631"/>
      <c r="AO168" s="18"/>
      <c r="AP168" s="18"/>
      <c r="AQ168" s="18"/>
      <c r="AR168" s="18"/>
      <c r="AS168" s="18"/>
      <c r="AU168" s="448"/>
      <c r="AV168" s="448"/>
      <c r="AW168" s="8" t="str">
        <f>IF(C168&gt;0,VLOOKUP(C168,Foundation_Calc!$A$2:$C$986,3,1),
IF(J168&gt;0,VLOOKUP(J168,Foundation_Calc!$A$2:$C$986,3,1),""))</f>
        <v/>
      </c>
      <c r="AX168" s="8" t="str">
        <f>IF(C168&gt;0,VLOOKUP(C168,Foundation_Calc!$E$2:$G$986,3,1),
IF(J168&gt;0,VLOOKUP(J168,Foundation_Calc!$E$2:$G$986,3,1),""))</f>
        <v/>
      </c>
      <c r="AY168" s="631" t="str">
        <f>IF(L168="","",
IF(AX168="PT",VLOOKUP(L168,Foundation_Calc!$K$4:$R$37,VLOOKUP(AW168,Foundation_Calc!$I$2:$J$8,2,FALSE),0),
IF(AX168="K",VLOOKUP(L168,Foundation_Calc!$K$41:$R$74,VLOOKUP(AW168,Foundation_Calc!$I$2:$J$8,2,FALSE),0),"")))</f>
        <v/>
      </c>
      <c r="AZ168" s="631" t="str">
        <f>IF(K168="","",
IF(AX168="PT",VLOOKUP(K168,Foundation_Calc!$K$4:$R$37,VLOOKUP(AW168,Foundation_Calc!$I$2:$J$8,2,FALSE),0),
IF(AX168="K",VLOOKUP(K168,Foundation_Calc!$K$41:$R$74,VLOOKUP(AW168,Foundation_Calc!$I$2:$J$8,2,FALSE),0),"")))</f>
        <v/>
      </c>
      <c r="BA168" s="632" t="str">
        <f t="shared" si="10"/>
        <v/>
      </c>
      <c r="BB168" s="632" t="str">
        <f t="shared" si="11"/>
        <v/>
      </c>
      <c r="BC168" s="632" t="str">
        <f t="shared" si="12"/>
        <v/>
      </c>
      <c r="BD168" s="633" t="str">
        <f>IF(AND(L168="",H168=""),"",
IF(H168="",Pole_Calc!A172,
IF(H168="MP",Pole_Calc!A173,
IF(H168="AnMP",Pole_Calc!A174,
IF(H168="A",Pole_Calc!A175,
IF(H168="S/A",Pole_Calc!A176,
IF(H168="A/S",Pole_Calc!A177,"Poner a mano")))))))</f>
        <v/>
      </c>
      <c r="BE168" s="448" t="s">
        <v>1726</v>
      </c>
      <c r="BF168" s="634"/>
      <c r="BG168" s="634"/>
      <c r="BH168" s="634"/>
      <c r="BI168" s="634"/>
    </row>
    <row r="169" spans="1:61" ht="16.2" customHeight="1">
      <c r="A169" s="12"/>
      <c r="B169" s="446"/>
      <c r="C169" s="89"/>
      <c r="D169" s="13"/>
      <c r="E169" s="14"/>
      <c r="F169" s="14"/>
      <c r="G169" s="15"/>
      <c r="H169" s="8"/>
      <c r="I169" s="8"/>
      <c r="J169" s="89"/>
      <c r="K169" s="8"/>
      <c r="L169" s="8"/>
      <c r="M169" s="8" t="str">
        <f>IF(L169="","",
IF(AX169="PT",VLOOKUP(L169,Foundation_Calc!$V$4:$X$37,VLOOKUP(AX169,Foundation_Calc!$I$10:$J$13,2,FALSE),0),
IF(AX169="K",VLOOKUP(L169,Foundation_Calc!$V$41:$X$74,VLOOKUP(AX169,Foundation_Calc!$I$10:$J$13,2,FALSE),0),"")))</f>
        <v/>
      </c>
      <c r="N169" s="8"/>
      <c r="O169" s="8"/>
      <c r="P169" s="8"/>
      <c r="Q169" s="14"/>
      <c r="R169" s="15"/>
      <c r="S169" s="15"/>
      <c r="T169" s="14"/>
      <c r="U169" s="14"/>
      <c r="V169" s="14"/>
      <c r="W169" s="18"/>
      <c r="X169" s="18"/>
      <c r="Y169" s="18"/>
      <c r="Z169" s="18"/>
      <c r="AA169" s="18"/>
      <c r="AB169" s="18"/>
      <c r="AC169" s="8" t="str">
        <f t="shared" si="9"/>
        <v/>
      </c>
      <c r="AD169" s="8"/>
      <c r="AE169" s="8"/>
      <c r="AF169" s="14"/>
      <c r="AG169" s="13"/>
      <c r="AH169" s="14"/>
      <c r="AI169" s="14"/>
      <c r="AJ169" s="8"/>
      <c r="AK169" s="8"/>
      <c r="AL169" s="8"/>
      <c r="AM169" s="8"/>
      <c r="AN169" s="631"/>
      <c r="AO169" s="18"/>
      <c r="AP169" s="18"/>
      <c r="AQ169" s="18"/>
      <c r="AR169" s="18"/>
      <c r="AS169" s="18"/>
      <c r="AU169" s="448"/>
      <c r="AV169" s="448"/>
      <c r="AW169" s="8" t="str">
        <f>IF(C169&gt;0,VLOOKUP(C169,Foundation_Calc!$A$2:$C$986,3,1),
IF(J169&gt;0,VLOOKUP(J169,Foundation_Calc!$A$2:$C$986,3,1),""))</f>
        <v/>
      </c>
      <c r="AX169" s="8" t="str">
        <f>IF(C169&gt;0,VLOOKUP(C169,Foundation_Calc!$E$2:$G$986,3,1),
IF(J169&gt;0,VLOOKUP(J169,Foundation_Calc!$E$2:$G$986,3,1),""))</f>
        <v/>
      </c>
      <c r="AY169" s="631" t="str">
        <f>IF(L169="","",
IF(AX169="PT",VLOOKUP(L169,Foundation_Calc!$K$4:$R$37,VLOOKUP(AW169,Foundation_Calc!$I$2:$J$8,2,FALSE),0),
IF(AX169="K",VLOOKUP(L169,Foundation_Calc!$K$41:$R$74,VLOOKUP(AW169,Foundation_Calc!$I$2:$J$8,2,FALSE),0),"")))</f>
        <v/>
      </c>
      <c r="AZ169" s="631" t="str">
        <f>IF(K169="","",
IF(AX169="PT",VLOOKUP(K169,Foundation_Calc!$K$4:$R$37,VLOOKUP(AW169,Foundation_Calc!$I$2:$J$8,2,FALSE),0),
IF(AX169="K",VLOOKUP(K169,Foundation_Calc!$K$41:$R$74,VLOOKUP(AW169,Foundation_Calc!$I$2:$J$8,2,FALSE),0),"")))</f>
        <v/>
      </c>
      <c r="BA169" s="632" t="str">
        <f t="shared" si="10"/>
        <v/>
      </c>
      <c r="BB169" s="632" t="str">
        <f t="shared" si="11"/>
        <v/>
      </c>
      <c r="BC169" s="632" t="str">
        <f t="shared" si="12"/>
        <v/>
      </c>
      <c r="BD169" s="633" t="str">
        <f>IF(AND(L169="",H169=""),"",
IF(H169="",Pole_Calc!A173,
IF(H169="MP",Pole_Calc!A174,
IF(H169="AnMP",Pole_Calc!A175,
IF(H169="A",Pole_Calc!A176,
IF(H169="S/A",Pole_Calc!A177,
IF(H169="A/S",Pole_Calc!A178,"Poner a mano")))))))</f>
        <v/>
      </c>
      <c r="BE169" s="448" t="s">
        <v>1726</v>
      </c>
      <c r="BF169" s="635"/>
      <c r="BG169" s="635"/>
      <c r="BH169" s="634"/>
      <c r="BI169" s="635"/>
    </row>
    <row r="170" spans="1:61" ht="16.2" customHeight="1">
      <c r="A170" s="12"/>
      <c r="B170" s="446"/>
      <c r="C170" s="89"/>
      <c r="D170" s="13"/>
      <c r="E170" s="14"/>
      <c r="F170" s="14"/>
      <c r="G170" s="15"/>
      <c r="H170" s="8"/>
      <c r="I170" s="8"/>
      <c r="J170" s="89"/>
      <c r="K170" s="8"/>
      <c r="L170" s="8"/>
      <c r="M170" s="8" t="str">
        <f>IF(L170="","",
IF(AX170="PT",VLOOKUP(L170,Foundation_Calc!$V$4:$X$37,VLOOKUP(AX170,Foundation_Calc!$I$10:$J$13,2,FALSE),0),
IF(AX170="K",VLOOKUP(L170,Foundation_Calc!$V$41:$X$74,VLOOKUP(AX170,Foundation_Calc!$I$10:$J$13,2,FALSE),0),"")))</f>
        <v/>
      </c>
      <c r="N170" s="8"/>
      <c r="O170" s="8"/>
      <c r="P170" s="8"/>
      <c r="Q170" s="14"/>
      <c r="R170" s="15"/>
      <c r="S170" s="15"/>
      <c r="T170" s="14"/>
      <c r="U170" s="14"/>
      <c r="V170" s="14"/>
      <c r="W170" s="18"/>
      <c r="X170" s="18"/>
      <c r="Y170" s="18"/>
      <c r="Z170" s="18"/>
      <c r="AA170" s="18"/>
      <c r="AB170" s="18"/>
      <c r="AC170" s="8" t="str">
        <f t="shared" si="9"/>
        <v/>
      </c>
      <c r="AD170" s="8"/>
      <c r="AE170" s="8"/>
      <c r="AF170" s="14"/>
      <c r="AG170" s="13"/>
      <c r="AH170" s="14"/>
      <c r="AI170" s="14"/>
      <c r="AJ170" s="8"/>
      <c r="AK170" s="8"/>
      <c r="AL170" s="8"/>
      <c r="AM170" s="8"/>
      <c r="AN170" s="631"/>
      <c r="AO170" s="18"/>
      <c r="AP170" s="18"/>
      <c r="AQ170" s="18"/>
      <c r="AR170" s="18"/>
      <c r="AS170" s="18"/>
      <c r="AU170" s="448"/>
      <c r="AV170" s="448"/>
      <c r="AW170" s="8" t="str">
        <f>IF(C170&gt;0,VLOOKUP(C170,Foundation_Calc!$A$2:$C$986,3,1),
IF(J170&gt;0,VLOOKUP(J170,Foundation_Calc!$A$2:$C$986,3,1),""))</f>
        <v/>
      </c>
      <c r="AX170" s="8" t="str">
        <f>IF(C170&gt;0,VLOOKUP(C170,Foundation_Calc!$E$2:$G$986,3,1),
IF(J170&gt;0,VLOOKUP(J170,Foundation_Calc!$E$2:$G$986,3,1),""))</f>
        <v/>
      </c>
      <c r="AY170" s="631" t="str">
        <f>IF(L170="","",
IF(AX170="PT",VLOOKUP(L170,Foundation_Calc!$K$4:$R$37,VLOOKUP(AW170,Foundation_Calc!$I$2:$J$8,2,FALSE),0),
IF(AX170="K",VLOOKUP(L170,Foundation_Calc!$K$41:$R$74,VLOOKUP(AW170,Foundation_Calc!$I$2:$J$8,2,FALSE),0),"")))</f>
        <v/>
      </c>
      <c r="AZ170" s="631" t="str">
        <f>IF(K170="","",
IF(AX170="PT",VLOOKUP(K170,Foundation_Calc!$K$4:$R$37,VLOOKUP(AW170,Foundation_Calc!$I$2:$J$8,2,FALSE),0),
IF(AX170="K",VLOOKUP(K170,Foundation_Calc!$K$41:$R$74,VLOOKUP(AW170,Foundation_Calc!$I$2:$J$8,2,FALSE),0),"")))</f>
        <v/>
      </c>
      <c r="BA170" s="632" t="str">
        <f t="shared" si="10"/>
        <v/>
      </c>
      <c r="BB170" s="632" t="str">
        <f t="shared" si="11"/>
        <v/>
      </c>
      <c r="BC170" s="632" t="str">
        <f t="shared" si="12"/>
        <v/>
      </c>
      <c r="BD170" s="633" t="str">
        <f>IF(AND(L170="",H170=""),"",
IF(H170="",Pole_Calc!A174,
IF(H170="MP",Pole_Calc!A175,
IF(H170="AnMP",Pole_Calc!A176,
IF(H170="A",Pole_Calc!A177,
IF(H170="S/A",Pole_Calc!A178,
IF(H170="A/S",Pole_Calc!A179,"Poner a mano")))))))</f>
        <v/>
      </c>
      <c r="BE170" s="448" t="s">
        <v>1726</v>
      </c>
      <c r="BF170" s="634"/>
      <c r="BG170" s="634"/>
      <c r="BH170" s="634"/>
      <c r="BI170" s="634"/>
    </row>
    <row r="171" spans="1:61" ht="16.2" customHeight="1">
      <c r="A171" s="12"/>
      <c r="B171" s="446"/>
      <c r="C171" s="89"/>
      <c r="D171" s="13"/>
      <c r="E171" s="14"/>
      <c r="F171" s="14"/>
      <c r="G171" s="15"/>
      <c r="H171" s="8"/>
      <c r="I171" s="8"/>
      <c r="J171" s="89"/>
      <c r="K171" s="8"/>
      <c r="L171" s="8"/>
      <c r="M171" s="8" t="str">
        <f>IF(L171="","",
IF(AX171="PT",VLOOKUP(L171,Foundation_Calc!$V$4:$X$37,VLOOKUP(AX171,Foundation_Calc!$I$10:$J$13,2,FALSE),0),
IF(AX171="K",VLOOKUP(L171,Foundation_Calc!$V$41:$X$74,VLOOKUP(AX171,Foundation_Calc!$I$10:$J$13,2,FALSE),0),"")))</f>
        <v/>
      </c>
      <c r="N171" s="8"/>
      <c r="O171" s="8"/>
      <c r="P171" s="8"/>
      <c r="Q171" s="14"/>
      <c r="R171" s="15"/>
      <c r="S171" s="15"/>
      <c r="T171" s="14"/>
      <c r="U171" s="14"/>
      <c r="V171" s="14"/>
      <c r="W171" s="18"/>
      <c r="X171" s="18"/>
      <c r="Y171" s="18"/>
      <c r="Z171" s="18"/>
      <c r="AA171" s="18"/>
      <c r="AB171" s="18"/>
      <c r="AC171" s="8" t="str">
        <f t="shared" si="9"/>
        <v/>
      </c>
      <c r="AD171" s="8"/>
      <c r="AE171" s="8"/>
      <c r="AF171" s="14"/>
      <c r="AG171" s="13"/>
      <c r="AH171" s="14"/>
      <c r="AI171" s="14"/>
      <c r="AJ171" s="8"/>
      <c r="AK171" s="8"/>
      <c r="AL171" s="8"/>
      <c r="AM171" s="8"/>
      <c r="AN171" s="631"/>
      <c r="AO171" s="18"/>
      <c r="AP171" s="18"/>
      <c r="AQ171" s="18"/>
      <c r="AR171" s="18"/>
      <c r="AS171" s="18"/>
      <c r="AU171" s="448"/>
      <c r="AV171" s="448"/>
      <c r="AW171" s="8" t="str">
        <f>IF(C171&gt;0,VLOOKUP(C171,Foundation_Calc!$A$2:$C$986,3,1),
IF(J171&gt;0,VLOOKUP(J171,Foundation_Calc!$A$2:$C$986,3,1),""))</f>
        <v/>
      </c>
      <c r="AX171" s="8" t="str">
        <f>IF(C171&gt;0,VLOOKUP(C171,Foundation_Calc!$E$2:$G$986,3,1),
IF(J171&gt;0,VLOOKUP(J171,Foundation_Calc!$E$2:$G$986,3,1),""))</f>
        <v/>
      </c>
      <c r="AY171" s="631" t="str">
        <f>IF(L171="","",
IF(AX171="PT",VLOOKUP(L171,Foundation_Calc!$K$4:$R$37,VLOOKUP(AW171,Foundation_Calc!$I$2:$J$8,2,FALSE),0),
IF(AX171="K",VLOOKUP(L171,Foundation_Calc!$K$41:$R$74,VLOOKUP(AW171,Foundation_Calc!$I$2:$J$8,2,FALSE),0),"")))</f>
        <v/>
      </c>
      <c r="AZ171" s="631" t="str">
        <f>IF(K171="","",
IF(AX171="PT",VLOOKUP(K171,Foundation_Calc!$K$4:$R$37,VLOOKUP(AW171,Foundation_Calc!$I$2:$J$8,2,FALSE),0),
IF(AX171="K",VLOOKUP(K171,Foundation_Calc!$K$41:$R$74,VLOOKUP(AW171,Foundation_Calc!$I$2:$J$8,2,FALSE),0),"")))</f>
        <v/>
      </c>
      <c r="BA171" s="632" t="str">
        <f t="shared" si="10"/>
        <v/>
      </c>
      <c r="BB171" s="632" t="str">
        <f t="shared" si="11"/>
        <v/>
      </c>
      <c r="BC171" s="632" t="str">
        <f t="shared" si="12"/>
        <v/>
      </c>
      <c r="BD171" s="633" t="str">
        <f>IF(AND(L171="",H171=""),"",
IF(H171="",Pole_Calc!A175,
IF(H171="MP",Pole_Calc!A176,
IF(H171="AnMP",Pole_Calc!A177,
IF(H171="A",Pole_Calc!A178,
IF(H171="S/A",Pole_Calc!A179,
IF(H171="A/S",Pole_Calc!A180,"Poner a mano")))))))</f>
        <v/>
      </c>
      <c r="BE171" s="448" t="s">
        <v>1726</v>
      </c>
      <c r="BF171" s="635"/>
      <c r="BG171" s="635"/>
      <c r="BH171" s="634"/>
      <c r="BI171" s="635"/>
    </row>
    <row r="172" spans="1:61" ht="16.2" customHeight="1">
      <c r="A172" s="12"/>
      <c r="B172" s="446"/>
      <c r="C172" s="89"/>
      <c r="D172" s="13"/>
      <c r="E172" s="14"/>
      <c r="F172" s="14"/>
      <c r="G172" s="15"/>
      <c r="H172" s="8"/>
      <c r="I172" s="8"/>
      <c r="J172" s="89"/>
      <c r="K172" s="8"/>
      <c r="L172" s="8"/>
      <c r="M172" s="8" t="str">
        <f>IF(L172="","",
IF(AX172="PT",VLOOKUP(L172,Foundation_Calc!$V$4:$X$37,VLOOKUP(AX172,Foundation_Calc!$I$10:$J$13,2,FALSE),0),
IF(AX172="K",VLOOKUP(L172,Foundation_Calc!$V$41:$X$74,VLOOKUP(AX172,Foundation_Calc!$I$10:$J$13,2,FALSE),0),"")))</f>
        <v/>
      </c>
      <c r="N172" s="8"/>
      <c r="O172" s="8"/>
      <c r="P172" s="8"/>
      <c r="Q172" s="14"/>
      <c r="R172" s="15"/>
      <c r="S172" s="15"/>
      <c r="T172" s="14"/>
      <c r="U172" s="14"/>
      <c r="V172" s="14"/>
      <c r="W172" s="18"/>
      <c r="X172" s="18"/>
      <c r="Y172" s="18"/>
      <c r="Z172" s="18"/>
      <c r="AA172" s="18"/>
      <c r="AB172" s="18"/>
      <c r="AC172" s="8" t="str">
        <f t="shared" si="9"/>
        <v/>
      </c>
      <c r="AD172" s="8"/>
      <c r="AE172" s="8"/>
      <c r="AF172" s="14"/>
      <c r="AG172" s="13"/>
      <c r="AH172" s="14"/>
      <c r="AI172" s="14"/>
      <c r="AJ172" s="8"/>
      <c r="AK172" s="8"/>
      <c r="AL172" s="8"/>
      <c r="AM172" s="8"/>
      <c r="AN172" s="631"/>
      <c r="AO172" s="18"/>
      <c r="AP172" s="18"/>
      <c r="AQ172" s="18"/>
      <c r="AR172" s="18"/>
      <c r="AS172" s="18"/>
      <c r="AU172" s="448"/>
      <c r="AV172" s="448"/>
      <c r="AW172" s="8" t="str">
        <f>IF(C172&gt;0,VLOOKUP(C172,Foundation_Calc!$A$2:$C$986,3,1),
IF(J172&gt;0,VLOOKUP(J172,Foundation_Calc!$A$2:$C$986,3,1),""))</f>
        <v/>
      </c>
      <c r="AX172" s="8" t="str">
        <f>IF(C172&gt;0,VLOOKUP(C172,Foundation_Calc!$E$2:$G$986,3,1),
IF(J172&gt;0,VLOOKUP(J172,Foundation_Calc!$E$2:$G$986,3,1),""))</f>
        <v/>
      </c>
      <c r="AY172" s="631" t="str">
        <f>IF(L172="","",
IF(AX172="PT",VLOOKUP(L172,Foundation_Calc!$K$4:$R$37,VLOOKUP(AW172,Foundation_Calc!$I$2:$J$8,2,FALSE),0),
IF(AX172="K",VLOOKUP(L172,Foundation_Calc!$K$41:$R$74,VLOOKUP(AW172,Foundation_Calc!$I$2:$J$8,2,FALSE),0),"")))</f>
        <v/>
      </c>
      <c r="AZ172" s="631" t="str">
        <f>IF(K172="","",
IF(AX172="PT",VLOOKUP(K172,Foundation_Calc!$K$4:$R$37,VLOOKUP(AW172,Foundation_Calc!$I$2:$J$8,2,FALSE),0),
IF(AX172="K",VLOOKUP(K172,Foundation_Calc!$K$41:$R$74,VLOOKUP(AW172,Foundation_Calc!$I$2:$J$8,2,FALSE),0),"")))</f>
        <v/>
      </c>
      <c r="BA172" s="632" t="str">
        <f t="shared" si="10"/>
        <v/>
      </c>
      <c r="BB172" s="632" t="str">
        <f t="shared" si="11"/>
        <v/>
      </c>
      <c r="BC172" s="632" t="str">
        <f t="shared" si="12"/>
        <v/>
      </c>
      <c r="BD172" s="633" t="str">
        <f>IF(AND(L172="",H172=""),"",
IF(H172="",Pole_Calc!A176,
IF(H172="MP",Pole_Calc!A177,
IF(H172="AnMP",Pole_Calc!A178,
IF(H172="A",Pole_Calc!A179,
IF(H172="S/A",Pole_Calc!A180,
IF(H172="A/S",Pole_Calc!A181,"Poner a mano")))))))</f>
        <v/>
      </c>
      <c r="BE172" s="448" t="s">
        <v>1726</v>
      </c>
      <c r="BF172" s="634"/>
      <c r="BG172" s="634"/>
      <c r="BH172" s="634"/>
      <c r="BI172" s="634"/>
    </row>
    <row r="173" spans="1:61" ht="16.2" customHeight="1">
      <c r="A173" s="12"/>
      <c r="B173" s="446"/>
      <c r="C173" s="89"/>
      <c r="D173" s="13"/>
      <c r="E173" s="14"/>
      <c r="F173" s="14"/>
      <c r="G173" s="15"/>
      <c r="H173" s="8"/>
      <c r="I173" s="8"/>
      <c r="J173" s="89"/>
      <c r="K173" s="8"/>
      <c r="L173" s="8"/>
      <c r="M173" s="8" t="str">
        <f>IF(L173="","",
IF(AX173="PT",VLOOKUP(L173,Foundation_Calc!$V$4:$X$37,VLOOKUP(AX173,Foundation_Calc!$I$10:$J$13,2,FALSE),0),
IF(AX173="K",VLOOKUP(L173,Foundation_Calc!$V$41:$X$74,VLOOKUP(AX173,Foundation_Calc!$I$10:$J$13,2,FALSE),0),"")))</f>
        <v/>
      </c>
      <c r="N173" s="8"/>
      <c r="O173" s="8"/>
      <c r="P173" s="8"/>
      <c r="Q173" s="14"/>
      <c r="R173" s="15"/>
      <c r="S173" s="15"/>
      <c r="T173" s="14"/>
      <c r="U173" s="14"/>
      <c r="V173" s="14"/>
      <c r="W173" s="18"/>
      <c r="X173" s="18"/>
      <c r="Y173" s="18"/>
      <c r="Z173" s="18"/>
      <c r="AA173" s="18"/>
      <c r="AB173" s="18"/>
      <c r="AC173" s="8" t="str">
        <f t="shared" si="9"/>
        <v/>
      </c>
      <c r="AD173" s="8"/>
      <c r="AE173" s="8"/>
      <c r="AF173" s="14"/>
      <c r="AG173" s="13"/>
      <c r="AH173" s="14"/>
      <c r="AI173" s="14"/>
      <c r="AJ173" s="8"/>
      <c r="AK173" s="8"/>
      <c r="AL173" s="8"/>
      <c r="AM173" s="8"/>
      <c r="AN173" s="631"/>
      <c r="AO173" s="18"/>
      <c r="AP173" s="18"/>
      <c r="AQ173" s="18"/>
      <c r="AR173" s="18"/>
      <c r="AS173" s="18"/>
      <c r="AU173" s="448"/>
      <c r="AV173" s="448"/>
      <c r="AW173" s="8" t="str">
        <f>IF(C173&gt;0,VLOOKUP(C173,Foundation_Calc!$A$2:$C$986,3,1),
IF(J173&gt;0,VLOOKUP(J173,Foundation_Calc!$A$2:$C$986,3,1),""))</f>
        <v/>
      </c>
      <c r="AX173" s="8" t="str">
        <f>IF(C173&gt;0,VLOOKUP(C173,Foundation_Calc!$E$2:$G$986,3,1),
IF(J173&gt;0,VLOOKUP(J173,Foundation_Calc!$E$2:$G$986,3,1),""))</f>
        <v/>
      </c>
      <c r="AY173" s="631" t="str">
        <f>IF(L173="","",
IF(AX173="PT",VLOOKUP(L173,Foundation_Calc!$K$4:$R$37,VLOOKUP(AW173,Foundation_Calc!$I$2:$J$8,2,FALSE),0),
IF(AX173="K",VLOOKUP(L173,Foundation_Calc!$K$41:$R$74,VLOOKUP(AW173,Foundation_Calc!$I$2:$J$8,2,FALSE),0),"")))</f>
        <v/>
      </c>
      <c r="AZ173" s="631" t="str">
        <f>IF(K173="","",
IF(AX173="PT",VLOOKUP(K173,Foundation_Calc!$K$4:$R$37,VLOOKUP(AW173,Foundation_Calc!$I$2:$J$8,2,FALSE),0),
IF(AX173="K",VLOOKUP(K173,Foundation_Calc!$K$41:$R$74,VLOOKUP(AW173,Foundation_Calc!$I$2:$J$8,2,FALSE),0),"")))</f>
        <v/>
      </c>
      <c r="BA173" s="632" t="str">
        <f t="shared" si="10"/>
        <v/>
      </c>
      <c r="BB173" s="632" t="str">
        <f t="shared" si="11"/>
        <v/>
      </c>
      <c r="BC173" s="632" t="str">
        <f t="shared" si="12"/>
        <v/>
      </c>
      <c r="BD173" s="633" t="str">
        <f>IF(AND(L173="",H173=""),"",
IF(H173="",Pole_Calc!A177,
IF(H173="MP",Pole_Calc!A178,
IF(H173="AnMP",Pole_Calc!A179,
IF(H173="A",Pole_Calc!A180,
IF(H173="S/A",Pole_Calc!A181,
IF(H173="A/S",Pole_Calc!A182,"Poner a mano")))))))</f>
        <v/>
      </c>
      <c r="BE173" s="448" t="s">
        <v>1726</v>
      </c>
      <c r="BF173" s="635"/>
      <c r="BG173" s="635"/>
      <c r="BH173" s="634"/>
      <c r="BI173" s="635"/>
    </row>
    <row r="174" spans="1:61" ht="16.2" customHeight="1">
      <c r="A174" s="12"/>
      <c r="B174" s="446"/>
      <c r="C174" s="89"/>
      <c r="D174" s="13"/>
      <c r="E174" s="14"/>
      <c r="F174" s="14"/>
      <c r="G174" s="15"/>
      <c r="H174" s="8"/>
      <c r="I174" s="8"/>
      <c r="J174" s="89"/>
      <c r="K174" s="8"/>
      <c r="L174" s="8"/>
      <c r="M174" s="8" t="str">
        <f>IF(L174="","",
IF(AX174="PT",VLOOKUP(L174,Foundation_Calc!$V$4:$X$37,VLOOKUP(AX174,Foundation_Calc!$I$10:$J$13,2,FALSE),0),
IF(AX174="K",VLOOKUP(L174,Foundation_Calc!$V$41:$X$74,VLOOKUP(AX174,Foundation_Calc!$I$10:$J$13,2,FALSE),0),"")))</f>
        <v/>
      </c>
      <c r="N174" s="8"/>
      <c r="O174" s="8"/>
      <c r="P174" s="8"/>
      <c r="Q174" s="14"/>
      <c r="R174" s="15"/>
      <c r="S174" s="15"/>
      <c r="T174" s="14"/>
      <c r="U174" s="14"/>
      <c r="V174" s="14"/>
      <c r="W174" s="18"/>
      <c r="X174" s="18"/>
      <c r="Y174" s="18"/>
      <c r="Z174" s="18"/>
      <c r="AA174" s="18"/>
      <c r="AB174" s="18"/>
      <c r="AC174" s="8" t="str">
        <f t="shared" si="9"/>
        <v/>
      </c>
      <c r="AD174" s="8"/>
      <c r="AE174" s="8"/>
      <c r="AF174" s="14"/>
      <c r="AG174" s="13"/>
      <c r="AH174" s="14"/>
      <c r="AI174" s="14"/>
      <c r="AJ174" s="8"/>
      <c r="AK174" s="8"/>
      <c r="AL174" s="8"/>
      <c r="AM174" s="8"/>
      <c r="AN174" s="631"/>
      <c r="AO174" s="18"/>
      <c r="AP174" s="18"/>
      <c r="AQ174" s="18"/>
      <c r="AR174" s="18"/>
      <c r="AS174" s="18"/>
      <c r="AU174" s="448"/>
      <c r="AV174" s="448"/>
      <c r="AW174" s="8" t="str">
        <f>IF(C174&gt;0,VLOOKUP(C174,Foundation_Calc!$A$2:$C$986,3,1),
IF(J174&gt;0,VLOOKUP(J174,Foundation_Calc!$A$2:$C$986,3,1),""))</f>
        <v/>
      </c>
      <c r="AX174" s="8" t="str">
        <f>IF(C174&gt;0,VLOOKUP(C174,Foundation_Calc!$E$2:$G$986,3,1),
IF(J174&gt;0,VLOOKUP(J174,Foundation_Calc!$E$2:$G$986,3,1),""))</f>
        <v/>
      </c>
      <c r="AY174" s="631" t="str">
        <f>IF(L174="","",
IF(AX174="PT",VLOOKUP(L174,Foundation_Calc!$K$4:$R$37,VLOOKUP(AW174,Foundation_Calc!$I$2:$J$8,2,FALSE),0),
IF(AX174="K",VLOOKUP(L174,Foundation_Calc!$K$41:$R$74,VLOOKUP(AW174,Foundation_Calc!$I$2:$J$8,2,FALSE),0),"")))</f>
        <v/>
      </c>
      <c r="AZ174" s="631" t="str">
        <f>IF(K174="","",
IF(AX174="PT",VLOOKUP(K174,Foundation_Calc!$K$4:$R$37,VLOOKUP(AW174,Foundation_Calc!$I$2:$J$8,2,FALSE),0),
IF(AX174="K",VLOOKUP(K174,Foundation_Calc!$K$41:$R$74,VLOOKUP(AW174,Foundation_Calc!$I$2:$J$8,2,FALSE),0),"")))</f>
        <v/>
      </c>
      <c r="BA174" s="632" t="str">
        <f t="shared" si="10"/>
        <v/>
      </c>
      <c r="BB174" s="632" t="str">
        <f t="shared" si="11"/>
        <v/>
      </c>
      <c r="BC174" s="632" t="str">
        <f t="shared" si="12"/>
        <v/>
      </c>
      <c r="BD174" s="633" t="str">
        <f>IF(AND(L174="",H174=""),"",
IF(H174="",Pole_Calc!A178,
IF(H174="MP",Pole_Calc!A179,
IF(H174="AnMP",Pole_Calc!A180,
IF(H174="A",Pole_Calc!A181,
IF(H174="S/A",Pole_Calc!A182,
IF(H174="A/S",Pole_Calc!A183,"Poner a mano")))))))</f>
        <v/>
      </c>
      <c r="BE174" s="448" t="s">
        <v>1726</v>
      </c>
      <c r="BF174" s="634"/>
      <c r="BG174" s="634"/>
      <c r="BH174" s="634"/>
      <c r="BI174" s="634"/>
    </row>
    <row r="175" spans="1:61" ht="16.2" customHeight="1">
      <c r="A175" s="12"/>
      <c r="B175" s="446"/>
      <c r="C175" s="89"/>
      <c r="D175" s="13"/>
      <c r="E175" s="14"/>
      <c r="F175" s="14"/>
      <c r="G175" s="15"/>
      <c r="H175" s="8"/>
      <c r="I175" s="8"/>
      <c r="J175" s="89"/>
      <c r="K175" s="8"/>
      <c r="L175" s="8"/>
      <c r="M175" s="8" t="str">
        <f>IF(L175="","",
IF(AX175="PT",VLOOKUP(L175,Foundation_Calc!$V$4:$X$37,VLOOKUP(AX175,Foundation_Calc!$I$10:$J$13,2,FALSE),0),
IF(AX175="K",VLOOKUP(L175,Foundation_Calc!$V$41:$X$74,VLOOKUP(AX175,Foundation_Calc!$I$10:$J$13,2,FALSE),0),"")))</f>
        <v/>
      </c>
      <c r="N175" s="8"/>
      <c r="O175" s="8"/>
      <c r="P175" s="8"/>
      <c r="Q175" s="14"/>
      <c r="R175" s="15"/>
      <c r="S175" s="15"/>
      <c r="T175" s="14"/>
      <c r="U175" s="14"/>
      <c r="V175" s="14"/>
      <c r="W175" s="18"/>
      <c r="X175" s="18"/>
      <c r="Y175" s="18"/>
      <c r="Z175" s="18"/>
      <c r="AA175" s="18"/>
      <c r="AB175" s="18"/>
      <c r="AC175" s="8" t="str">
        <f t="shared" si="9"/>
        <v/>
      </c>
      <c r="AD175" s="8"/>
      <c r="AE175" s="8"/>
      <c r="AF175" s="14"/>
      <c r="AG175" s="13"/>
      <c r="AH175" s="14"/>
      <c r="AI175" s="14"/>
      <c r="AJ175" s="8"/>
      <c r="AK175" s="8"/>
      <c r="AL175" s="8"/>
      <c r="AM175" s="8"/>
      <c r="AN175" s="631"/>
      <c r="AO175" s="18"/>
      <c r="AP175" s="18"/>
      <c r="AQ175" s="18"/>
      <c r="AR175" s="18"/>
      <c r="AS175" s="18"/>
      <c r="AU175" s="448"/>
      <c r="AV175" s="448"/>
      <c r="AW175" s="8" t="str">
        <f>IF(C175&gt;0,VLOOKUP(C175,Foundation_Calc!$A$2:$C$986,3,1),
IF(J175&gt;0,VLOOKUP(J175,Foundation_Calc!$A$2:$C$986,3,1),""))</f>
        <v/>
      </c>
      <c r="AX175" s="8" t="str">
        <f>IF(C175&gt;0,VLOOKUP(C175,Foundation_Calc!$E$2:$G$986,3,1),
IF(J175&gt;0,VLOOKUP(J175,Foundation_Calc!$E$2:$G$986,3,1),""))</f>
        <v/>
      </c>
      <c r="AY175" s="631" t="str">
        <f>IF(L175="","",
IF(AX175="PT",VLOOKUP(L175,Foundation_Calc!$K$4:$R$37,VLOOKUP(AW175,Foundation_Calc!$I$2:$J$8,2,FALSE),0),
IF(AX175="K",VLOOKUP(L175,Foundation_Calc!$K$41:$R$74,VLOOKUP(AW175,Foundation_Calc!$I$2:$J$8,2,FALSE),0),"")))</f>
        <v/>
      </c>
      <c r="AZ175" s="631" t="str">
        <f>IF(K175="","",
IF(AX175="PT",VLOOKUP(K175,Foundation_Calc!$K$4:$R$37,VLOOKUP(AW175,Foundation_Calc!$I$2:$J$8,2,FALSE),0),
IF(AX175="K",VLOOKUP(K175,Foundation_Calc!$K$41:$R$74,VLOOKUP(AW175,Foundation_Calc!$I$2:$J$8,2,FALSE),0),"")))</f>
        <v/>
      </c>
      <c r="BA175" s="632" t="str">
        <f t="shared" si="10"/>
        <v/>
      </c>
      <c r="BB175" s="632" t="str">
        <f t="shared" si="11"/>
        <v/>
      </c>
      <c r="BC175" s="632" t="str">
        <f t="shared" si="12"/>
        <v/>
      </c>
      <c r="BD175" s="633" t="str">
        <f>IF(AND(L175="",H175=""),"",
IF(H175="",Pole_Calc!A179,
IF(H175="MP",Pole_Calc!A180,
IF(H175="AnMP",Pole_Calc!A181,
IF(H175="A",Pole_Calc!A182,
IF(H175="S/A",Pole_Calc!A183,
IF(H175="A/S",Pole_Calc!A184,"Poner a mano")))))))</f>
        <v/>
      </c>
      <c r="BE175" s="448" t="s">
        <v>1726</v>
      </c>
      <c r="BF175" s="635"/>
      <c r="BG175" s="635"/>
      <c r="BH175" s="634"/>
      <c r="BI175" s="635"/>
    </row>
    <row r="176" spans="1:61" ht="16.2" customHeight="1">
      <c r="A176" s="12"/>
      <c r="B176" s="446"/>
      <c r="C176" s="89"/>
      <c r="D176" s="13"/>
      <c r="E176" s="14"/>
      <c r="F176" s="14"/>
      <c r="G176" s="15"/>
      <c r="H176" s="8"/>
      <c r="I176" s="8"/>
      <c r="J176" s="89"/>
      <c r="K176" s="8"/>
      <c r="L176" s="8"/>
      <c r="M176" s="8" t="str">
        <f>IF(L176="","",
IF(AX176="PT",VLOOKUP(L176,Foundation_Calc!$V$4:$X$37,VLOOKUP(AX176,Foundation_Calc!$I$10:$J$13,2,FALSE),0),
IF(AX176="K",VLOOKUP(L176,Foundation_Calc!$V$41:$X$74,VLOOKUP(AX176,Foundation_Calc!$I$10:$J$13,2,FALSE),0),"")))</f>
        <v/>
      </c>
      <c r="N176" s="8"/>
      <c r="O176" s="8"/>
      <c r="P176" s="8"/>
      <c r="Q176" s="14"/>
      <c r="R176" s="15"/>
      <c r="S176" s="15"/>
      <c r="T176" s="14"/>
      <c r="U176" s="14"/>
      <c r="V176" s="14"/>
      <c r="W176" s="18"/>
      <c r="X176" s="18"/>
      <c r="Y176" s="18"/>
      <c r="Z176" s="18"/>
      <c r="AA176" s="18"/>
      <c r="AB176" s="18"/>
      <c r="AC176" s="8" t="str">
        <f t="shared" si="9"/>
        <v/>
      </c>
      <c r="AD176" s="8"/>
      <c r="AE176" s="8"/>
      <c r="AF176" s="14"/>
      <c r="AG176" s="13"/>
      <c r="AH176" s="14"/>
      <c r="AI176" s="14"/>
      <c r="AJ176" s="8"/>
      <c r="AK176" s="8"/>
      <c r="AL176" s="8"/>
      <c r="AM176" s="8"/>
      <c r="AN176" s="631"/>
      <c r="AO176" s="18"/>
      <c r="AP176" s="18"/>
      <c r="AQ176" s="18"/>
      <c r="AR176" s="18"/>
      <c r="AS176" s="18"/>
      <c r="AU176" s="448"/>
      <c r="AV176" s="448"/>
      <c r="AW176" s="8" t="str">
        <f>IF(C176&gt;0,VLOOKUP(C176,Foundation_Calc!$A$2:$C$986,3,1),
IF(J176&gt;0,VLOOKUP(J176,Foundation_Calc!$A$2:$C$986,3,1),""))</f>
        <v/>
      </c>
      <c r="AX176" s="8" t="str">
        <f>IF(C176&gt;0,VLOOKUP(C176,Foundation_Calc!$E$2:$G$986,3,1),
IF(J176&gt;0,VLOOKUP(J176,Foundation_Calc!$E$2:$G$986,3,1),""))</f>
        <v/>
      </c>
      <c r="AY176" s="631" t="str">
        <f>IF(L176="","",
IF(AX176="PT",VLOOKUP(L176,Foundation_Calc!$K$4:$R$37,VLOOKUP(AW176,Foundation_Calc!$I$2:$J$8,2,FALSE),0),
IF(AX176="K",VLOOKUP(L176,Foundation_Calc!$K$41:$R$74,VLOOKUP(AW176,Foundation_Calc!$I$2:$J$8,2,FALSE),0),"")))</f>
        <v/>
      </c>
      <c r="AZ176" s="631" t="str">
        <f>IF(K176="","",
IF(AX176="PT",VLOOKUP(K176,Foundation_Calc!$K$4:$R$37,VLOOKUP(AW176,Foundation_Calc!$I$2:$J$8,2,FALSE),0),
IF(AX176="K",VLOOKUP(K176,Foundation_Calc!$K$41:$R$74,VLOOKUP(AW176,Foundation_Calc!$I$2:$J$8,2,FALSE),0),"")))</f>
        <v/>
      </c>
      <c r="BA176" s="632" t="str">
        <f t="shared" si="10"/>
        <v/>
      </c>
      <c r="BB176" s="632" t="str">
        <f t="shared" si="11"/>
        <v/>
      </c>
      <c r="BC176" s="632" t="str">
        <f t="shared" si="12"/>
        <v/>
      </c>
      <c r="BD176" s="633" t="str">
        <f>IF(AND(L176="",H176=""),"",
IF(H176="",Pole_Calc!A180,
IF(H176="MP",Pole_Calc!A181,
IF(H176="AnMP",Pole_Calc!A182,
IF(H176="A",Pole_Calc!A183,
IF(H176="S/A",Pole_Calc!A184,
IF(H176="A/S",Pole_Calc!A185,"Poner a mano")))))))</f>
        <v/>
      </c>
      <c r="BE176" s="448" t="s">
        <v>1726</v>
      </c>
      <c r="BF176" s="634"/>
      <c r="BG176" s="634"/>
      <c r="BH176" s="634"/>
      <c r="BI176" s="634"/>
    </row>
    <row r="177" spans="1:61" ht="16.2" customHeight="1">
      <c r="A177" s="12"/>
      <c r="B177" s="446"/>
      <c r="C177" s="89"/>
      <c r="D177" s="13"/>
      <c r="E177" s="14"/>
      <c r="F177" s="14"/>
      <c r="G177" s="15"/>
      <c r="H177" s="8"/>
      <c r="I177" s="8"/>
      <c r="J177" s="89"/>
      <c r="K177" s="8"/>
      <c r="L177" s="8"/>
      <c r="M177" s="8" t="str">
        <f>IF(L177="","",
IF(AX177="PT",VLOOKUP(L177,Foundation_Calc!$V$4:$X$37,VLOOKUP(AX177,Foundation_Calc!$I$10:$J$13,2,FALSE),0),
IF(AX177="K",VLOOKUP(L177,Foundation_Calc!$V$41:$X$74,VLOOKUP(AX177,Foundation_Calc!$I$10:$J$13,2,FALSE),0),"")))</f>
        <v/>
      </c>
      <c r="N177" s="8"/>
      <c r="O177" s="8"/>
      <c r="P177" s="8"/>
      <c r="Q177" s="14"/>
      <c r="R177" s="15"/>
      <c r="S177" s="15"/>
      <c r="T177" s="14"/>
      <c r="U177" s="14"/>
      <c r="V177" s="14"/>
      <c r="W177" s="18"/>
      <c r="X177" s="18"/>
      <c r="Y177" s="18"/>
      <c r="Z177" s="18"/>
      <c r="AA177" s="18"/>
      <c r="AB177" s="18"/>
      <c r="AC177" s="8" t="str">
        <f t="shared" si="9"/>
        <v/>
      </c>
      <c r="AD177" s="8"/>
      <c r="AE177" s="8"/>
      <c r="AF177" s="14"/>
      <c r="AG177" s="13"/>
      <c r="AH177" s="14"/>
      <c r="AI177" s="14"/>
      <c r="AJ177" s="8"/>
      <c r="AK177" s="8"/>
      <c r="AL177" s="8"/>
      <c r="AM177" s="8"/>
      <c r="AN177" s="631"/>
      <c r="AO177" s="18"/>
      <c r="AP177" s="18"/>
      <c r="AQ177" s="18"/>
      <c r="AR177" s="18"/>
      <c r="AS177" s="18"/>
      <c r="AU177" s="448"/>
      <c r="AV177" s="448"/>
      <c r="AW177" s="8" t="str">
        <f>IF(C177&gt;0,VLOOKUP(C177,Foundation_Calc!$A$2:$C$986,3,1),
IF(J177&gt;0,VLOOKUP(J177,Foundation_Calc!$A$2:$C$986,3,1),""))</f>
        <v/>
      </c>
      <c r="AX177" s="8" t="str">
        <f>IF(C177&gt;0,VLOOKUP(C177,Foundation_Calc!$E$2:$G$986,3,1),
IF(J177&gt;0,VLOOKUP(J177,Foundation_Calc!$E$2:$G$986,3,1),""))</f>
        <v/>
      </c>
      <c r="AY177" s="631" t="str">
        <f>IF(L177="","",
IF(AX177="PT",VLOOKUP(L177,Foundation_Calc!$K$4:$R$37,VLOOKUP(AW177,Foundation_Calc!$I$2:$J$8,2,FALSE),0),
IF(AX177="K",VLOOKUP(L177,Foundation_Calc!$K$41:$R$74,VLOOKUP(AW177,Foundation_Calc!$I$2:$J$8,2,FALSE),0),"")))</f>
        <v/>
      </c>
      <c r="AZ177" s="631" t="str">
        <f>IF(K177="","",
IF(AX177="PT",VLOOKUP(K177,Foundation_Calc!$K$4:$R$37,VLOOKUP(AW177,Foundation_Calc!$I$2:$J$8,2,FALSE),0),
IF(AX177="K",VLOOKUP(K177,Foundation_Calc!$K$41:$R$74,VLOOKUP(AW177,Foundation_Calc!$I$2:$J$8,2,FALSE),0),"")))</f>
        <v/>
      </c>
      <c r="BA177" s="632" t="str">
        <f t="shared" si="10"/>
        <v/>
      </c>
      <c r="BB177" s="632" t="str">
        <f t="shared" si="11"/>
        <v/>
      </c>
      <c r="BC177" s="632" t="str">
        <f t="shared" si="12"/>
        <v/>
      </c>
      <c r="BD177" s="633" t="str">
        <f>IF(AND(L177="",H177=""),"",
IF(H177="",Pole_Calc!A181,
IF(H177="MP",Pole_Calc!A182,
IF(H177="AnMP",Pole_Calc!A183,
IF(H177="A",Pole_Calc!A184,
IF(H177="S/A",Pole_Calc!A185,
IF(H177="A/S",Pole_Calc!A186,"Poner a mano")))))))</f>
        <v/>
      </c>
      <c r="BE177" s="448" t="s">
        <v>1726</v>
      </c>
      <c r="BF177" s="635"/>
      <c r="BG177" s="635"/>
      <c r="BH177" s="634"/>
      <c r="BI177" s="635"/>
    </row>
    <row r="178" spans="1:61" ht="16.2" customHeight="1">
      <c r="A178" s="12"/>
      <c r="B178" s="446"/>
      <c r="C178" s="89"/>
      <c r="D178" s="13"/>
      <c r="E178" s="14"/>
      <c r="F178" s="14"/>
      <c r="G178" s="15"/>
      <c r="H178" s="8"/>
      <c r="I178" s="8"/>
      <c r="J178" s="89"/>
      <c r="K178" s="8"/>
      <c r="L178" s="8"/>
      <c r="M178" s="8" t="str">
        <f>IF(L178="","",
IF(AX178="PT",VLOOKUP(L178,Foundation_Calc!$V$4:$X$37,VLOOKUP(AX178,Foundation_Calc!$I$10:$J$13,2,FALSE),0),
IF(AX178="K",VLOOKUP(L178,Foundation_Calc!$V$41:$X$74,VLOOKUP(AX178,Foundation_Calc!$I$10:$J$13,2,FALSE),0),"")))</f>
        <v/>
      </c>
      <c r="N178" s="8"/>
      <c r="O178" s="8"/>
      <c r="P178" s="8"/>
      <c r="Q178" s="14"/>
      <c r="R178" s="15"/>
      <c r="S178" s="15"/>
      <c r="T178" s="14"/>
      <c r="U178" s="14"/>
      <c r="V178" s="14"/>
      <c r="W178" s="18"/>
      <c r="X178" s="18"/>
      <c r="Y178" s="18"/>
      <c r="Z178" s="18"/>
      <c r="AA178" s="18"/>
      <c r="AB178" s="18"/>
      <c r="AC178" s="8" t="str">
        <f t="shared" si="9"/>
        <v/>
      </c>
      <c r="AD178" s="8"/>
      <c r="AE178" s="8"/>
      <c r="AF178" s="14"/>
      <c r="AG178" s="13"/>
      <c r="AH178" s="14"/>
      <c r="AI178" s="14"/>
      <c r="AJ178" s="8"/>
      <c r="AK178" s="8"/>
      <c r="AL178" s="8"/>
      <c r="AM178" s="8"/>
      <c r="AN178" s="631"/>
      <c r="AO178" s="18"/>
      <c r="AP178" s="18"/>
      <c r="AQ178" s="18"/>
      <c r="AR178" s="18"/>
      <c r="AS178" s="18"/>
      <c r="AU178" s="448"/>
      <c r="AV178" s="448"/>
      <c r="AW178" s="8" t="str">
        <f>IF(C178&gt;0,VLOOKUP(C178,Foundation_Calc!$A$2:$C$986,3,1),
IF(J178&gt;0,VLOOKUP(J178,Foundation_Calc!$A$2:$C$986,3,1),""))</f>
        <v/>
      </c>
      <c r="AX178" s="8" t="str">
        <f>IF(C178&gt;0,VLOOKUP(C178,Foundation_Calc!$E$2:$G$986,3,1),
IF(J178&gt;0,VLOOKUP(J178,Foundation_Calc!$E$2:$G$986,3,1),""))</f>
        <v/>
      </c>
      <c r="AY178" s="631" t="str">
        <f>IF(L178="","",
IF(AX178="PT",VLOOKUP(L178,Foundation_Calc!$K$4:$R$37,VLOOKUP(AW178,Foundation_Calc!$I$2:$J$8,2,FALSE),0),
IF(AX178="K",VLOOKUP(L178,Foundation_Calc!$K$41:$R$74,VLOOKUP(AW178,Foundation_Calc!$I$2:$J$8,2,FALSE),0),"")))</f>
        <v/>
      </c>
      <c r="AZ178" s="631" t="str">
        <f>IF(K178="","",
IF(AX178="PT",VLOOKUP(K178,Foundation_Calc!$K$4:$R$37,VLOOKUP(AW178,Foundation_Calc!$I$2:$J$8,2,FALSE),0),
IF(AX178="K",VLOOKUP(K178,Foundation_Calc!$K$41:$R$74,VLOOKUP(AW178,Foundation_Calc!$I$2:$J$8,2,FALSE),0),"")))</f>
        <v/>
      </c>
      <c r="BA178" s="632" t="str">
        <f t="shared" si="10"/>
        <v/>
      </c>
      <c r="BB178" s="632" t="str">
        <f t="shared" si="11"/>
        <v/>
      </c>
      <c r="BC178" s="632" t="str">
        <f t="shared" si="12"/>
        <v/>
      </c>
      <c r="BD178" s="633" t="str">
        <f>IF(AND(L178="",H178=""),"",
IF(H178="",Pole_Calc!A182,
IF(H178="MP",Pole_Calc!A183,
IF(H178="AnMP",Pole_Calc!A184,
IF(H178="A",Pole_Calc!A185,
IF(H178="S/A",Pole_Calc!A186,
IF(H178="A/S",Pole_Calc!A187,"Poner a mano")))))))</f>
        <v/>
      </c>
      <c r="BE178" s="448" t="s">
        <v>1726</v>
      </c>
      <c r="BF178" s="634"/>
      <c r="BG178" s="634"/>
      <c r="BH178" s="634"/>
      <c r="BI178" s="634"/>
    </row>
    <row r="179" spans="1:61" ht="16.2" customHeight="1">
      <c r="A179" s="12"/>
      <c r="B179" s="446"/>
      <c r="C179" s="89"/>
      <c r="D179" s="13"/>
      <c r="E179" s="14"/>
      <c r="F179" s="14"/>
      <c r="G179" s="15"/>
      <c r="H179" s="8"/>
      <c r="I179" s="8"/>
      <c r="J179" s="89"/>
      <c r="K179" s="8"/>
      <c r="L179" s="8"/>
      <c r="M179" s="8" t="str">
        <f>IF(L179="","",
IF(AX179="PT",VLOOKUP(L179,Foundation_Calc!$V$4:$X$37,VLOOKUP(AX179,Foundation_Calc!$I$10:$J$13,2,FALSE),0),
IF(AX179="K",VLOOKUP(L179,Foundation_Calc!$V$41:$X$74,VLOOKUP(AX179,Foundation_Calc!$I$10:$J$13,2,FALSE),0),"")))</f>
        <v/>
      </c>
      <c r="N179" s="8"/>
      <c r="O179" s="8"/>
      <c r="P179" s="8"/>
      <c r="Q179" s="14"/>
      <c r="R179" s="15"/>
      <c r="S179" s="15"/>
      <c r="T179" s="14"/>
      <c r="U179" s="14"/>
      <c r="V179" s="14"/>
      <c r="W179" s="18"/>
      <c r="X179" s="18"/>
      <c r="Y179" s="18"/>
      <c r="Z179" s="18"/>
      <c r="AA179" s="18"/>
      <c r="AB179" s="18"/>
      <c r="AC179" s="8" t="str">
        <f t="shared" si="9"/>
        <v/>
      </c>
      <c r="AD179" s="8"/>
      <c r="AE179" s="8"/>
      <c r="AF179" s="14"/>
      <c r="AG179" s="13"/>
      <c r="AH179" s="14"/>
      <c r="AI179" s="14"/>
      <c r="AJ179" s="8"/>
      <c r="AK179" s="8"/>
      <c r="AL179" s="8"/>
      <c r="AM179" s="8"/>
      <c r="AN179" s="631"/>
      <c r="AO179" s="18"/>
      <c r="AP179" s="18"/>
      <c r="AQ179" s="18"/>
      <c r="AR179" s="18"/>
      <c r="AS179" s="18"/>
      <c r="AU179" s="448"/>
      <c r="AV179" s="448"/>
      <c r="AW179" s="8" t="str">
        <f>IF(C179&gt;0,VLOOKUP(C179,Foundation_Calc!$A$2:$C$986,3,1),
IF(J179&gt;0,VLOOKUP(J179,Foundation_Calc!$A$2:$C$986,3,1),""))</f>
        <v/>
      </c>
      <c r="AX179" s="8" t="str">
        <f>IF(C179&gt;0,VLOOKUP(C179,Foundation_Calc!$E$2:$G$986,3,1),
IF(J179&gt;0,VLOOKUP(J179,Foundation_Calc!$E$2:$G$986,3,1),""))</f>
        <v/>
      </c>
      <c r="AY179" s="631" t="str">
        <f>IF(L179="","",
IF(AX179="PT",VLOOKUP(L179,Foundation_Calc!$K$4:$R$37,VLOOKUP(AW179,Foundation_Calc!$I$2:$J$8,2,FALSE),0),
IF(AX179="K",VLOOKUP(L179,Foundation_Calc!$K$41:$R$74,VLOOKUP(AW179,Foundation_Calc!$I$2:$J$8,2,FALSE),0),"")))</f>
        <v/>
      </c>
      <c r="AZ179" s="631" t="str">
        <f>IF(K179="","",
IF(AX179="PT",VLOOKUP(K179,Foundation_Calc!$K$4:$R$37,VLOOKUP(AW179,Foundation_Calc!$I$2:$J$8,2,FALSE),0),
IF(AX179="K",VLOOKUP(K179,Foundation_Calc!$K$41:$R$74,VLOOKUP(AW179,Foundation_Calc!$I$2:$J$8,2,FALSE),0),"")))</f>
        <v/>
      </c>
      <c r="BA179" s="632" t="str">
        <f t="shared" si="10"/>
        <v/>
      </c>
      <c r="BB179" s="632" t="str">
        <f t="shared" si="11"/>
        <v/>
      </c>
      <c r="BC179" s="632" t="str">
        <f t="shared" si="12"/>
        <v/>
      </c>
      <c r="BD179" s="633" t="str">
        <f>IF(AND(L179="",H179=""),"",
IF(H179="",Pole_Calc!A183,
IF(H179="MP",Pole_Calc!A184,
IF(H179="AnMP",Pole_Calc!A185,
IF(H179="A",Pole_Calc!A186,
IF(H179="S/A",Pole_Calc!A187,
IF(H179="A/S",Pole_Calc!A188,"Poner a mano")))))))</f>
        <v/>
      </c>
      <c r="BE179" s="448" t="s">
        <v>1726</v>
      </c>
      <c r="BF179" s="635"/>
      <c r="BG179" s="635"/>
      <c r="BH179" s="634"/>
      <c r="BI179" s="635"/>
    </row>
    <row r="180" spans="1:61" ht="16.2" customHeight="1">
      <c r="A180" s="12"/>
      <c r="B180" s="446"/>
      <c r="C180" s="89"/>
      <c r="D180" s="13"/>
      <c r="E180" s="14"/>
      <c r="F180" s="14"/>
      <c r="G180" s="15"/>
      <c r="H180" s="8"/>
      <c r="I180" s="8"/>
      <c r="J180" s="89"/>
      <c r="K180" s="8"/>
      <c r="L180" s="8"/>
      <c r="M180" s="8" t="str">
        <f>IF(L180="","",
IF(AX180="PT",VLOOKUP(L180,Foundation_Calc!$V$4:$X$37,VLOOKUP(AX180,Foundation_Calc!$I$10:$J$13,2,FALSE),0),
IF(AX180="K",VLOOKUP(L180,Foundation_Calc!$V$41:$X$74,VLOOKUP(AX180,Foundation_Calc!$I$10:$J$13,2,FALSE),0),"")))</f>
        <v/>
      </c>
      <c r="N180" s="8"/>
      <c r="O180" s="8"/>
      <c r="P180" s="8"/>
      <c r="Q180" s="14"/>
      <c r="R180" s="15"/>
      <c r="S180" s="15"/>
      <c r="T180" s="14"/>
      <c r="U180" s="14"/>
      <c r="V180" s="14"/>
      <c r="W180" s="18"/>
      <c r="X180" s="18"/>
      <c r="Y180" s="18"/>
      <c r="Z180" s="18"/>
      <c r="AA180" s="18"/>
      <c r="AB180" s="18"/>
      <c r="AC180" s="8" t="str">
        <f t="shared" si="9"/>
        <v/>
      </c>
      <c r="AD180" s="8"/>
      <c r="AE180" s="8"/>
      <c r="AF180" s="14"/>
      <c r="AG180" s="13"/>
      <c r="AH180" s="14"/>
      <c r="AI180" s="14"/>
      <c r="AJ180" s="8"/>
      <c r="AK180" s="8"/>
      <c r="AL180" s="8"/>
      <c r="AM180" s="8"/>
      <c r="AN180" s="631"/>
      <c r="AO180" s="18"/>
      <c r="AP180" s="18"/>
      <c r="AQ180" s="18"/>
      <c r="AR180" s="18"/>
      <c r="AS180" s="18"/>
      <c r="AU180" s="448"/>
      <c r="AV180" s="448"/>
      <c r="AW180" s="8" t="str">
        <f>IF(C180&gt;0,VLOOKUP(C180,Foundation_Calc!$A$2:$C$986,3,1),
IF(J180&gt;0,VLOOKUP(J180,Foundation_Calc!$A$2:$C$986,3,1),""))</f>
        <v/>
      </c>
      <c r="AX180" s="8" t="str">
        <f>IF(C180&gt;0,VLOOKUP(C180,Foundation_Calc!$E$2:$G$986,3,1),
IF(J180&gt;0,VLOOKUP(J180,Foundation_Calc!$E$2:$G$986,3,1),""))</f>
        <v/>
      </c>
      <c r="AY180" s="631" t="str">
        <f>IF(L180="","",
IF(AX180="PT",VLOOKUP(L180,Foundation_Calc!$K$4:$R$37,VLOOKUP(AW180,Foundation_Calc!$I$2:$J$8,2,FALSE),0),
IF(AX180="K",VLOOKUP(L180,Foundation_Calc!$K$41:$R$74,VLOOKUP(AW180,Foundation_Calc!$I$2:$J$8,2,FALSE),0),"")))</f>
        <v/>
      </c>
      <c r="AZ180" s="631" t="str">
        <f>IF(K180="","",
IF(AX180="PT",VLOOKUP(K180,Foundation_Calc!$K$4:$R$37,VLOOKUP(AW180,Foundation_Calc!$I$2:$J$8,2,FALSE),0),
IF(AX180="K",VLOOKUP(K180,Foundation_Calc!$K$41:$R$74,VLOOKUP(AW180,Foundation_Calc!$I$2:$J$8,2,FALSE),0),"")))</f>
        <v/>
      </c>
      <c r="BA180" s="632" t="str">
        <f t="shared" si="10"/>
        <v/>
      </c>
      <c r="BB180" s="632" t="str">
        <f t="shared" si="11"/>
        <v/>
      </c>
      <c r="BC180" s="632" t="str">
        <f t="shared" si="12"/>
        <v/>
      </c>
      <c r="BD180" s="633" t="str">
        <f>IF(AND(L180="",H180=""),"",
IF(H180="",Pole_Calc!A184,
IF(H180="MP",Pole_Calc!A185,
IF(H180="AnMP",Pole_Calc!A186,
IF(H180="A",Pole_Calc!A187,
IF(H180="S/A",Pole_Calc!A188,
IF(H180="A/S",Pole_Calc!A189,"Poner a mano")))))))</f>
        <v/>
      </c>
      <c r="BE180" s="448" t="s">
        <v>1726</v>
      </c>
      <c r="BF180" s="634"/>
      <c r="BG180" s="634"/>
      <c r="BH180" s="634"/>
      <c r="BI180" s="634"/>
    </row>
    <row r="181" spans="1:61" ht="16.2" customHeight="1">
      <c r="A181" s="12"/>
      <c r="B181" s="446"/>
      <c r="C181" s="89"/>
      <c r="D181" s="13"/>
      <c r="E181" s="14"/>
      <c r="F181" s="14"/>
      <c r="G181" s="15"/>
      <c r="H181" s="8"/>
      <c r="I181" s="8"/>
      <c r="J181" s="89"/>
      <c r="K181" s="8"/>
      <c r="L181" s="8"/>
      <c r="M181" s="8" t="str">
        <f>IF(L181="","",
IF(AX181="PT",VLOOKUP(L181,Foundation_Calc!$V$4:$X$37,VLOOKUP(AX181,Foundation_Calc!$I$10:$J$13,2,FALSE),0),
IF(AX181="K",VLOOKUP(L181,Foundation_Calc!$V$41:$X$74,VLOOKUP(AX181,Foundation_Calc!$I$10:$J$13,2,FALSE),0),"")))</f>
        <v/>
      </c>
      <c r="N181" s="8"/>
      <c r="O181" s="8"/>
      <c r="P181" s="8"/>
      <c r="Q181" s="14"/>
      <c r="R181" s="15"/>
      <c r="S181" s="15"/>
      <c r="T181" s="14"/>
      <c r="U181" s="14"/>
      <c r="V181" s="14"/>
      <c r="W181" s="18"/>
      <c r="X181" s="18"/>
      <c r="Y181" s="18"/>
      <c r="Z181" s="18"/>
      <c r="AA181" s="18"/>
      <c r="AB181" s="18"/>
      <c r="AC181" s="8" t="str">
        <f t="shared" si="9"/>
        <v/>
      </c>
      <c r="AD181" s="8"/>
      <c r="AE181" s="8"/>
      <c r="AF181" s="14"/>
      <c r="AG181" s="13"/>
      <c r="AH181" s="14"/>
      <c r="AI181" s="14"/>
      <c r="AJ181" s="8"/>
      <c r="AK181" s="8"/>
      <c r="AL181" s="8"/>
      <c r="AM181" s="8"/>
      <c r="AN181" s="631"/>
      <c r="AO181" s="18"/>
      <c r="AP181" s="18"/>
      <c r="AQ181" s="18"/>
      <c r="AR181" s="18"/>
      <c r="AS181" s="18"/>
      <c r="AU181" s="448"/>
      <c r="AV181" s="448"/>
      <c r="AW181" s="8" t="str">
        <f>IF(C181&gt;0,VLOOKUP(C181,Foundation_Calc!$A$2:$C$986,3,1),
IF(J181&gt;0,VLOOKUP(J181,Foundation_Calc!$A$2:$C$986,3,1),""))</f>
        <v/>
      </c>
      <c r="AX181" s="8" t="str">
        <f>IF(C181&gt;0,VLOOKUP(C181,Foundation_Calc!$E$2:$G$986,3,1),
IF(J181&gt;0,VLOOKUP(J181,Foundation_Calc!$E$2:$G$986,3,1),""))</f>
        <v/>
      </c>
      <c r="AY181" s="631" t="str">
        <f>IF(L181="","",
IF(AX181="PT",VLOOKUP(L181,Foundation_Calc!$K$4:$R$37,VLOOKUP(AW181,Foundation_Calc!$I$2:$J$8,2,FALSE),0),
IF(AX181="K",VLOOKUP(L181,Foundation_Calc!$K$41:$R$74,VLOOKUP(AW181,Foundation_Calc!$I$2:$J$8,2,FALSE),0),"")))</f>
        <v/>
      </c>
      <c r="AZ181" s="631" t="str">
        <f>IF(K181="","",
IF(AX181="PT",VLOOKUP(K181,Foundation_Calc!$K$4:$R$37,VLOOKUP(AW181,Foundation_Calc!$I$2:$J$8,2,FALSE),0),
IF(AX181="K",VLOOKUP(K181,Foundation_Calc!$K$41:$R$74,VLOOKUP(AW181,Foundation_Calc!$I$2:$J$8,2,FALSE),0),"")))</f>
        <v/>
      </c>
      <c r="BA181" s="632" t="str">
        <f t="shared" si="10"/>
        <v/>
      </c>
      <c r="BB181" s="632" t="str">
        <f t="shared" si="11"/>
        <v/>
      </c>
      <c r="BC181" s="632" t="str">
        <f t="shared" si="12"/>
        <v/>
      </c>
      <c r="BD181" s="633" t="str">
        <f>IF(AND(L181="",H181=""),"",
IF(H181="",Pole_Calc!A185,
IF(H181="MP",Pole_Calc!A186,
IF(H181="AnMP",Pole_Calc!A187,
IF(H181="A",Pole_Calc!A188,
IF(H181="S/A",Pole_Calc!A189,
IF(H181="A/S",Pole_Calc!A190,"Poner a mano")))))))</f>
        <v/>
      </c>
      <c r="BE181" s="448" t="s">
        <v>1726</v>
      </c>
      <c r="BF181" s="635"/>
      <c r="BG181" s="635"/>
      <c r="BH181" s="634"/>
      <c r="BI181" s="635"/>
    </row>
    <row r="182" spans="1:61" ht="16.2" customHeight="1">
      <c r="A182" s="12"/>
      <c r="B182" s="446"/>
      <c r="C182" s="89"/>
      <c r="D182" s="13"/>
      <c r="E182" s="14"/>
      <c r="F182" s="14"/>
      <c r="G182" s="15"/>
      <c r="H182" s="8"/>
      <c r="I182" s="8"/>
      <c r="J182" s="89"/>
      <c r="K182" s="8"/>
      <c r="L182" s="8"/>
      <c r="M182" s="8" t="str">
        <f>IF(L182="","",
IF(AX182="PT",VLOOKUP(L182,Foundation_Calc!$V$4:$X$37,VLOOKUP(AX182,Foundation_Calc!$I$10:$J$13,2,FALSE),0),
IF(AX182="K",VLOOKUP(L182,Foundation_Calc!$V$41:$X$74,VLOOKUP(AX182,Foundation_Calc!$I$10:$J$13,2,FALSE),0),"")))</f>
        <v/>
      </c>
      <c r="N182" s="8"/>
      <c r="O182" s="8"/>
      <c r="P182" s="8"/>
      <c r="Q182" s="14"/>
      <c r="R182" s="15"/>
      <c r="S182" s="15"/>
      <c r="T182" s="14"/>
      <c r="U182" s="14"/>
      <c r="V182" s="14"/>
      <c r="W182" s="18"/>
      <c r="X182" s="18"/>
      <c r="Y182" s="18"/>
      <c r="Z182" s="18"/>
      <c r="AA182" s="18"/>
      <c r="AB182" s="18"/>
      <c r="AC182" s="8" t="str">
        <f t="shared" si="9"/>
        <v/>
      </c>
      <c r="AD182" s="8"/>
      <c r="AE182" s="8"/>
      <c r="AF182" s="14"/>
      <c r="AG182" s="13"/>
      <c r="AH182" s="14"/>
      <c r="AI182" s="14"/>
      <c r="AJ182" s="8"/>
      <c r="AK182" s="8"/>
      <c r="AL182" s="8"/>
      <c r="AM182" s="8"/>
      <c r="AN182" s="631"/>
      <c r="AO182" s="18"/>
      <c r="AP182" s="18"/>
      <c r="AQ182" s="18"/>
      <c r="AR182" s="18"/>
      <c r="AS182" s="18"/>
      <c r="AU182" s="448"/>
      <c r="AV182" s="448"/>
      <c r="AW182" s="8" t="str">
        <f>IF(C182&gt;0,VLOOKUP(C182,Foundation_Calc!$A$2:$C$986,3,1),
IF(J182&gt;0,VLOOKUP(J182,Foundation_Calc!$A$2:$C$986,3,1),""))</f>
        <v/>
      </c>
      <c r="AX182" s="8" t="str">
        <f>IF(C182&gt;0,VLOOKUP(C182,Foundation_Calc!$E$2:$G$986,3,1),
IF(J182&gt;0,VLOOKUP(J182,Foundation_Calc!$E$2:$G$986,3,1),""))</f>
        <v/>
      </c>
      <c r="AY182" s="631" t="str">
        <f>IF(L182="","",
IF(AX182="PT",VLOOKUP(L182,Foundation_Calc!$K$4:$R$37,VLOOKUP(AW182,Foundation_Calc!$I$2:$J$8,2,FALSE),0),
IF(AX182="K",VLOOKUP(L182,Foundation_Calc!$K$41:$R$74,VLOOKUP(AW182,Foundation_Calc!$I$2:$J$8,2,FALSE),0),"")))</f>
        <v/>
      </c>
      <c r="AZ182" s="631" t="str">
        <f>IF(K182="","",
IF(AX182="PT",VLOOKUP(K182,Foundation_Calc!$K$4:$R$37,VLOOKUP(AW182,Foundation_Calc!$I$2:$J$8,2,FALSE),0),
IF(AX182="K",VLOOKUP(K182,Foundation_Calc!$K$41:$R$74,VLOOKUP(AW182,Foundation_Calc!$I$2:$J$8,2,FALSE),0),"")))</f>
        <v/>
      </c>
      <c r="BA182" s="632" t="str">
        <f t="shared" si="10"/>
        <v/>
      </c>
      <c r="BB182" s="632" t="str">
        <f t="shared" si="11"/>
        <v/>
      </c>
      <c r="BC182" s="632" t="str">
        <f t="shared" si="12"/>
        <v/>
      </c>
      <c r="BD182" s="633" t="str">
        <f>IF(AND(L182="",H182=""),"",
IF(H182="",Pole_Calc!A186,
IF(H182="MP",Pole_Calc!A187,
IF(H182="AnMP",Pole_Calc!A188,
IF(H182="A",Pole_Calc!A189,
IF(H182="S/A",Pole_Calc!A190,
IF(H182="A/S",Pole_Calc!A191,"Poner a mano")))))))</f>
        <v/>
      </c>
      <c r="BE182" s="448" t="s">
        <v>1726</v>
      </c>
      <c r="BF182" s="634"/>
      <c r="BG182" s="634"/>
      <c r="BH182" s="634"/>
      <c r="BI182" s="634"/>
    </row>
    <row r="183" spans="1:61" ht="16.2" customHeight="1">
      <c r="A183" s="12"/>
      <c r="B183" s="446"/>
      <c r="C183" s="89"/>
      <c r="D183" s="13"/>
      <c r="E183" s="14"/>
      <c r="F183" s="14"/>
      <c r="G183" s="15"/>
      <c r="H183" s="8"/>
      <c r="I183" s="8"/>
      <c r="J183" s="89"/>
      <c r="K183" s="8"/>
      <c r="L183" s="8"/>
      <c r="M183" s="8" t="str">
        <f>IF(L183="","",
IF(AX183="PT",VLOOKUP(L183,Foundation_Calc!$V$4:$X$37,VLOOKUP(AX183,Foundation_Calc!$I$10:$J$13,2,FALSE),0),
IF(AX183="K",VLOOKUP(L183,Foundation_Calc!$V$41:$X$74,VLOOKUP(AX183,Foundation_Calc!$I$10:$J$13,2,FALSE),0),"")))</f>
        <v/>
      </c>
      <c r="N183" s="8"/>
      <c r="O183" s="8"/>
      <c r="P183" s="8"/>
      <c r="Q183" s="14"/>
      <c r="R183" s="15"/>
      <c r="S183" s="15"/>
      <c r="T183" s="14"/>
      <c r="U183" s="14"/>
      <c r="V183" s="14"/>
      <c r="W183" s="18"/>
      <c r="X183" s="18"/>
      <c r="Y183" s="18"/>
      <c r="Z183" s="18"/>
      <c r="AA183" s="18"/>
      <c r="AB183" s="18"/>
      <c r="AC183" s="8" t="str">
        <f t="shared" si="9"/>
        <v/>
      </c>
      <c r="AD183" s="8"/>
      <c r="AE183" s="8"/>
      <c r="AF183" s="14"/>
      <c r="AG183" s="13"/>
      <c r="AH183" s="14"/>
      <c r="AI183" s="14"/>
      <c r="AJ183" s="8"/>
      <c r="AK183" s="8"/>
      <c r="AL183" s="8"/>
      <c r="AM183" s="8"/>
      <c r="AN183" s="631"/>
      <c r="AO183" s="18"/>
      <c r="AP183" s="18"/>
      <c r="AQ183" s="18"/>
      <c r="AR183" s="18"/>
      <c r="AS183" s="18"/>
      <c r="AU183" s="448"/>
      <c r="AV183" s="448"/>
      <c r="AW183" s="8" t="str">
        <f>IF(C183&gt;0,VLOOKUP(C183,Foundation_Calc!$A$2:$C$986,3,1),
IF(J183&gt;0,VLOOKUP(J183,Foundation_Calc!$A$2:$C$986,3,1),""))</f>
        <v/>
      </c>
      <c r="AX183" s="8" t="str">
        <f>IF(C183&gt;0,VLOOKUP(C183,Foundation_Calc!$E$2:$G$986,3,1),
IF(J183&gt;0,VLOOKUP(J183,Foundation_Calc!$E$2:$G$986,3,1),""))</f>
        <v/>
      </c>
      <c r="AY183" s="631" t="str">
        <f>IF(L183="","",
IF(AX183="PT",VLOOKUP(L183,Foundation_Calc!$K$4:$R$37,VLOOKUP(AW183,Foundation_Calc!$I$2:$J$8,2,FALSE),0),
IF(AX183="K",VLOOKUP(L183,Foundation_Calc!$K$41:$R$74,VLOOKUP(AW183,Foundation_Calc!$I$2:$J$8,2,FALSE),0),"")))</f>
        <v/>
      </c>
      <c r="AZ183" s="631" t="str">
        <f>IF(K183="","",
IF(AX183="PT",VLOOKUP(K183,Foundation_Calc!$K$4:$R$37,VLOOKUP(AW183,Foundation_Calc!$I$2:$J$8,2,FALSE),0),
IF(AX183="K",VLOOKUP(K183,Foundation_Calc!$K$41:$R$74,VLOOKUP(AW183,Foundation_Calc!$I$2:$J$8,2,FALSE),0),"")))</f>
        <v/>
      </c>
      <c r="BA183" s="632" t="str">
        <f t="shared" si="10"/>
        <v/>
      </c>
      <c r="BB183" s="632" t="str">
        <f t="shared" si="11"/>
        <v/>
      </c>
      <c r="BC183" s="632" t="str">
        <f t="shared" si="12"/>
        <v/>
      </c>
      <c r="BD183" s="633" t="str">
        <f>IF(AND(L183="",H183=""),"",
IF(H183="",Pole_Calc!A187,
IF(H183="MP",Pole_Calc!A188,
IF(H183="AnMP",Pole_Calc!A189,
IF(H183="A",Pole_Calc!A190,
IF(H183="S/A",Pole_Calc!A191,
IF(H183="A/S",Pole_Calc!A192,"Poner a mano")))))))</f>
        <v/>
      </c>
      <c r="BE183" s="448" t="s">
        <v>1726</v>
      </c>
      <c r="BF183" s="635"/>
      <c r="BG183" s="635"/>
      <c r="BH183" s="634"/>
      <c r="BI183" s="635"/>
    </row>
    <row r="184" spans="1:61" ht="16.2" customHeight="1">
      <c r="A184" s="12"/>
      <c r="B184" s="446"/>
      <c r="C184" s="89"/>
      <c r="D184" s="13"/>
      <c r="E184" s="14"/>
      <c r="F184" s="14"/>
      <c r="G184" s="15"/>
      <c r="H184" s="8"/>
      <c r="I184" s="8"/>
      <c r="J184" s="89"/>
      <c r="K184" s="8"/>
      <c r="L184" s="8"/>
      <c r="M184" s="8" t="str">
        <f>IF(L184="","",
IF(AX184="PT",VLOOKUP(L184,Foundation_Calc!$V$4:$X$37,VLOOKUP(AX184,Foundation_Calc!$I$10:$J$13,2,FALSE),0),
IF(AX184="K",VLOOKUP(L184,Foundation_Calc!$V$41:$X$74,VLOOKUP(AX184,Foundation_Calc!$I$10:$J$13,2,FALSE),0),"")))</f>
        <v/>
      </c>
      <c r="N184" s="8"/>
      <c r="O184" s="8"/>
      <c r="P184" s="8"/>
      <c r="Q184" s="14"/>
      <c r="R184" s="15"/>
      <c r="S184" s="15"/>
      <c r="T184" s="14"/>
      <c r="U184" s="14"/>
      <c r="V184" s="14"/>
      <c r="W184" s="18"/>
      <c r="X184" s="18"/>
      <c r="Y184" s="18"/>
      <c r="Z184" s="18"/>
      <c r="AA184" s="18"/>
      <c r="AB184" s="18"/>
      <c r="AC184" s="8" t="str">
        <f t="shared" si="9"/>
        <v/>
      </c>
      <c r="AD184" s="8"/>
      <c r="AE184" s="8"/>
      <c r="AF184" s="14"/>
      <c r="AG184" s="13"/>
      <c r="AH184" s="14"/>
      <c r="AI184" s="14"/>
      <c r="AJ184" s="8"/>
      <c r="AK184" s="8"/>
      <c r="AL184" s="8"/>
      <c r="AM184" s="8"/>
      <c r="AN184" s="631"/>
      <c r="AO184" s="18"/>
      <c r="AP184" s="18"/>
      <c r="AQ184" s="18"/>
      <c r="AR184" s="18"/>
      <c r="AS184" s="18"/>
      <c r="AU184" s="448"/>
      <c r="AV184" s="448"/>
      <c r="AW184" s="8" t="str">
        <f>IF(C184&gt;0,VLOOKUP(C184,Foundation_Calc!$A$2:$C$986,3,1),
IF(J184&gt;0,VLOOKUP(J184,Foundation_Calc!$A$2:$C$986,3,1),""))</f>
        <v/>
      </c>
      <c r="AX184" s="8" t="str">
        <f>IF(C184&gt;0,VLOOKUP(C184,Foundation_Calc!$E$2:$G$986,3,1),
IF(J184&gt;0,VLOOKUP(J184,Foundation_Calc!$E$2:$G$986,3,1),""))</f>
        <v/>
      </c>
      <c r="AY184" s="631" t="str">
        <f>IF(L184="","",
IF(AX184="PT",VLOOKUP(L184,Foundation_Calc!$K$4:$R$37,VLOOKUP(AW184,Foundation_Calc!$I$2:$J$8,2,FALSE),0),
IF(AX184="K",VLOOKUP(L184,Foundation_Calc!$K$41:$R$74,VLOOKUP(AW184,Foundation_Calc!$I$2:$J$8,2,FALSE),0),"")))</f>
        <v/>
      </c>
      <c r="AZ184" s="631" t="str">
        <f>IF(K184="","",
IF(AX184="PT",VLOOKUP(K184,Foundation_Calc!$K$4:$R$37,VLOOKUP(AW184,Foundation_Calc!$I$2:$J$8,2,FALSE),0),
IF(AX184="K",VLOOKUP(K184,Foundation_Calc!$K$41:$R$74,VLOOKUP(AW184,Foundation_Calc!$I$2:$J$8,2,FALSE),0),"")))</f>
        <v/>
      </c>
      <c r="BA184" s="632" t="str">
        <f t="shared" si="10"/>
        <v/>
      </c>
      <c r="BB184" s="632" t="str">
        <f t="shared" si="11"/>
        <v/>
      </c>
      <c r="BC184" s="632" t="str">
        <f t="shared" si="12"/>
        <v/>
      </c>
      <c r="BD184" s="633" t="str">
        <f>IF(AND(L184="",H184=""),"",
IF(H184="",Pole_Calc!A188,
IF(H184="MP",Pole_Calc!A189,
IF(H184="AnMP",Pole_Calc!A190,
IF(H184="A",Pole_Calc!A191,
IF(H184="S/A",Pole_Calc!A192,
IF(H184="A/S",Pole_Calc!A193,"Poner a mano")))))))</f>
        <v/>
      </c>
      <c r="BE184" s="448" t="s">
        <v>1726</v>
      </c>
      <c r="BF184" s="634"/>
      <c r="BG184" s="634"/>
      <c r="BH184" s="634"/>
      <c r="BI184" s="634"/>
    </row>
    <row r="185" spans="1:61" ht="16.2" customHeight="1">
      <c r="A185" s="12"/>
      <c r="B185" s="446"/>
      <c r="C185" s="89"/>
      <c r="D185" s="13"/>
      <c r="E185" s="14"/>
      <c r="F185" s="14"/>
      <c r="G185" s="15"/>
      <c r="H185" s="8"/>
      <c r="I185" s="8"/>
      <c r="J185" s="89"/>
      <c r="K185" s="8"/>
      <c r="L185" s="8"/>
      <c r="M185" s="8" t="str">
        <f>IF(L185="","",
IF(AX185="PT",VLOOKUP(L185,Foundation_Calc!$V$4:$X$37,VLOOKUP(AX185,Foundation_Calc!$I$10:$J$13,2,FALSE),0),
IF(AX185="K",VLOOKUP(L185,Foundation_Calc!$V$41:$X$74,VLOOKUP(AX185,Foundation_Calc!$I$10:$J$13,2,FALSE),0),"")))</f>
        <v/>
      </c>
      <c r="N185" s="8"/>
      <c r="O185" s="8"/>
      <c r="P185" s="8"/>
      <c r="Q185" s="14"/>
      <c r="R185" s="15"/>
      <c r="S185" s="15"/>
      <c r="T185" s="14"/>
      <c r="U185" s="14"/>
      <c r="V185" s="14"/>
      <c r="W185" s="18"/>
      <c r="X185" s="18"/>
      <c r="Y185" s="18"/>
      <c r="Z185" s="18"/>
      <c r="AA185" s="18"/>
      <c r="AB185" s="18"/>
      <c r="AC185" s="8" t="str">
        <f t="shared" si="9"/>
        <v/>
      </c>
      <c r="AD185" s="8"/>
      <c r="AE185" s="8"/>
      <c r="AF185" s="14"/>
      <c r="AG185" s="13"/>
      <c r="AH185" s="14"/>
      <c r="AI185" s="14"/>
      <c r="AJ185" s="8"/>
      <c r="AK185" s="8"/>
      <c r="AL185" s="8"/>
      <c r="AM185" s="8"/>
      <c r="AN185" s="631"/>
      <c r="AO185" s="18"/>
      <c r="AP185" s="18"/>
      <c r="AQ185" s="18"/>
      <c r="AR185" s="18"/>
      <c r="AS185" s="18"/>
      <c r="AU185" s="448"/>
      <c r="AV185" s="448"/>
      <c r="AW185" s="8" t="str">
        <f>IF(C185&gt;0,VLOOKUP(C185,Foundation_Calc!$A$2:$C$986,3,1),
IF(J185&gt;0,VLOOKUP(J185,Foundation_Calc!$A$2:$C$986,3,1),""))</f>
        <v/>
      </c>
      <c r="AX185" s="8" t="str">
        <f>IF(C185&gt;0,VLOOKUP(C185,Foundation_Calc!$E$2:$G$986,3,1),
IF(J185&gt;0,VLOOKUP(J185,Foundation_Calc!$E$2:$G$986,3,1),""))</f>
        <v/>
      </c>
      <c r="AY185" s="631" t="str">
        <f>IF(L185="","",
IF(AX185="PT",VLOOKUP(L185,Foundation_Calc!$K$4:$R$37,VLOOKUP(AW185,Foundation_Calc!$I$2:$J$8,2,FALSE),0),
IF(AX185="K",VLOOKUP(L185,Foundation_Calc!$K$41:$R$74,VLOOKUP(AW185,Foundation_Calc!$I$2:$J$8,2,FALSE),0),"")))</f>
        <v/>
      </c>
      <c r="AZ185" s="631" t="str">
        <f>IF(K185="","",
IF(AX185="PT",VLOOKUP(K185,Foundation_Calc!$K$4:$R$37,VLOOKUP(AW185,Foundation_Calc!$I$2:$J$8,2,FALSE),0),
IF(AX185="K",VLOOKUP(K185,Foundation_Calc!$K$41:$R$74,VLOOKUP(AW185,Foundation_Calc!$I$2:$J$8,2,FALSE),0),"")))</f>
        <v/>
      </c>
      <c r="BA185" s="632" t="str">
        <f t="shared" si="10"/>
        <v/>
      </c>
      <c r="BB185" s="632" t="str">
        <f t="shared" si="11"/>
        <v/>
      </c>
      <c r="BC185" s="632" t="str">
        <f t="shared" si="12"/>
        <v/>
      </c>
      <c r="BD185" s="633" t="str">
        <f>IF(AND(L185="",H185=""),"",
IF(H185="",Pole_Calc!A189,
IF(H185="MP",Pole_Calc!A190,
IF(H185="AnMP",Pole_Calc!A191,
IF(H185="A",Pole_Calc!A192,
IF(H185="S/A",Pole_Calc!A193,
IF(H185="A/S",Pole_Calc!A194,"Poner a mano")))))))</f>
        <v/>
      </c>
      <c r="BE185" s="448" t="s">
        <v>1726</v>
      </c>
      <c r="BF185" s="635"/>
      <c r="BG185" s="635"/>
      <c r="BH185" s="634"/>
      <c r="BI185" s="635"/>
    </row>
    <row r="186" spans="1:61" ht="16.2" customHeight="1">
      <c r="A186" s="12"/>
      <c r="B186" s="446"/>
      <c r="C186" s="89"/>
      <c r="D186" s="13"/>
      <c r="E186" s="14"/>
      <c r="F186" s="14"/>
      <c r="G186" s="15"/>
      <c r="H186" s="8"/>
      <c r="I186" s="8"/>
      <c r="J186" s="89"/>
      <c r="K186" s="8"/>
      <c r="L186" s="8"/>
      <c r="M186" s="8" t="str">
        <f>IF(L186="","",
IF(AX186="PT",VLOOKUP(L186,Foundation_Calc!$V$4:$X$37,VLOOKUP(AX186,Foundation_Calc!$I$10:$J$13,2,FALSE),0),
IF(AX186="K",VLOOKUP(L186,Foundation_Calc!$V$41:$X$74,VLOOKUP(AX186,Foundation_Calc!$I$10:$J$13,2,FALSE),0),"")))</f>
        <v/>
      </c>
      <c r="N186" s="8"/>
      <c r="O186" s="8"/>
      <c r="P186" s="8"/>
      <c r="Q186" s="14"/>
      <c r="R186" s="15"/>
      <c r="S186" s="15"/>
      <c r="T186" s="14"/>
      <c r="U186" s="14"/>
      <c r="V186" s="14"/>
      <c r="W186" s="18"/>
      <c r="X186" s="18"/>
      <c r="Y186" s="18"/>
      <c r="Z186" s="18"/>
      <c r="AA186" s="18"/>
      <c r="AB186" s="18"/>
      <c r="AC186" s="8" t="str">
        <f t="shared" si="9"/>
        <v/>
      </c>
      <c r="AD186" s="8"/>
      <c r="AE186" s="8"/>
      <c r="AF186" s="14"/>
      <c r="AG186" s="13"/>
      <c r="AH186" s="14"/>
      <c r="AI186" s="14"/>
      <c r="AJ186" s="8"/>
      <c r="AK186" s="8"/>
      <c r="AL186" s="8"/>
      <c r="AM186" s="8"/>
      <c r="AN186" s="631"/>
      <c r="AO186" s="18"/>
      <c r="AP186" s="18"/>
      <c r="AQ186" s="18"/>
      <c r="AR186" s="18"/>
      <c r="AS186" s="18"/>
      <c r="AU186" s="448"/>
      <c r="AV186" s="448"/>
      <c r="AW186" s="8" t="str">
        <f>IF(C186&gt;0,VLOOKUP(C186,Foundation_Calc!$A$2:$C$986,3,1),
IF(J186&gt;0,VLOOKUP(J186,Foundation_Calc!$A$2:$C$986,3,1),""))</f>
        <v/>
      </c>
      <c r="AX186" s="8" t="str">
        <f>IF(C186&gt;0,VLOOKUP(C186,Foundation_Calc!$E$2:$G$986,3,1),
IF(J186&gt;0,VLOOKUP(J186,Foundation_Calc!$E$2:$G$986,3,1),""))</f>
        <v/>
      </c>
      <c r="AY186" s="631" t="str">
        <f>IF(L186="","",
IF(AX186="PT",VLOOKUP(L186,Foundation_Calc!$K$4:$R$37,VLOOKUP(AW186,Foundation_Calc!$I$2:$J$8,2,FALSE),0),
IF(AX186="K",VLOOKUP(L186,Foundation_Calc!$K$41:$R$74,VLOOKUP(AW186,Foundation_Calc!$I$2:$J$8,2,FALSE),0),"")))</f>
        <v/>
      </c>
      <c r="AZ186" s="631" t="str">
        <f>IF(K186="","",
IF(AX186="PT",VLOOKUP(K186,Foundation_Calc!$K$4:$R$37,VLOOKUP(AW186,Foundation_Calc!$I$2:$J$8,2,FALSE),0),
IF(AX186="K",VLOOKUP(K186,Foundation_Calc!$K$41:$R$74,VLOOKUP(AW186,Foundation_Calc!$I$2:$J$8,2,FALSE),0),"")))</f>
        <v/>
      </c>
      <c r="BA186" s="632" t="str">
        <f t="shared" si="10"/>
        <v/>
      </c>
      <c r="BB186" s="632" t="str">
        <f t="shared" si="11"/>
        <v/>
      </c>
      <c r="BC186" s="632" t="str">
        <f t="shared" si="12"/>
        <v/>
      </c>
      <c r="BD186" s="633" t="str">
        <f>IF(AND(L186="",H186=""),"",
IF(H186="",Pole_Calc!A190,
IF(H186="MP",Pole_Calc!A191,
IF(H186="AnMP",Pole_Calc!A192,
IF(H186="A",Pole_Calc!A193,
IF(H186="S/A",Pole_Calc!A194,
IF(H186="A/S",Pole_Calc!A195,"Poner a mano")))))))</f>
        <v/>
      </c>
      <c r="BE186" s="448" t="s">
        <v>1726</v>
      </c>
      <c r="BF186" s="634"/>
      <c r="BG186" s="634"/>
      <c r="BH186" s="634"/>
      <c r="BI186" s="634"/>
    </row>
    <row r="187" spans="1:61" ht="16.2" customHeight="1">
      <c r="A187" s="12"/>
      <c r="B187" s="446"/>
      <c r="C187" s="89"/>
      <c r="D187" s="13"/>
      <c r="E187" s="14"/>
      <c r="F187" s="14"/>
      <c r="G187" s="15"/>
      <c r="H187" s="8"/>
      <c r="I187" s="8"/>
      <c r="J187" s="89"/>
      <c r="K187" s="8"/>
      <c r="L187" s="8"/>
      <c r="M187" s="8" t="str">
        <f>IF(L187="","",
IF(AX187="PT",VLOOKUP(L187,Foundation_Calc!$V$4:$X$37,VLOOKUP(AX187,Foundation_Calc!$I$10:$J$13,2,FALSE),0),
IF(AX187="K",VLOOKUP(L187,Foundation_Calc!$V$41:$X$74,VLOOKUP(AX187,Foundation_Calc!$I$10:$J$13,2,FALSE),0),"")))</f>
        <v/>
      </c>
      <c r="N187" s="8"/>
      <c r="O187" s="8"/>
      <c r="P187" s="8"/>
      <c r="Q187" s="14"/>
      <c r="R187" s="15"/>
      <c r="S187" s="15"/>
      <c r="T187" s="14"/>
      <c r="U187" s="14"/>
      <c r="V187" s="14"/>
      <c r="W187" s="18"/>
      <c r="X187" s="18"/>
      <c r="Y187" s="18"/>
      <c r="Z187" s="18"/>
      <c r="AA187" s="18"/>
      <c r="AB187" s="18"/>
      <c r="AC187" s="8" t="str">
        <f t="shared" si="9"/>
        <v/>
      </c>
      <c r="AD187" s="8"/>
      <c r="AE187" s="8"/>
      <c r="AF187" s="14"/>
      <c r="AG187" s="13"/>
      <c r="AH187" s="14"/>
      <c r="AI187" s="14"/>
      <c r="AJ187" s="8"/>
      <c r="AK187" s="8"/>
      <c r="AL187" s="8"/>
      <c r="AM187" s="8"/>
      <c r="AN187" s="631"/>
      <c r="AO187" s="18"/>
      <c r="AP187" s="18"/>
      <c r="AQ187" s="18"/>
      <c r="AR187" s="18"/>
      <c r="AS187" s="18"/>
      <c r="AU187" s="448"/>
      <c r="AV187" s="448"/>
      <c r="AW187" s="8" t="str">
        <f>IF(C187&gt;0,VLOOKUP(C187,Foundation_Calc!$A$2:$C$986,3,1),
IF(J187&gt;0,VLOOKUP(J187,Foundation_Calc!$A$2:$C$986,3,1),""))</f>
        <v/>
      </c>
      <c r="AX187" s="8" t="str">
        <f>IF(C187&gt;0,VLOOKUP(C187,Foundation_Calc!$E$2:$G$986,3,1),
IF(J187&gt;0,VLOOKUP(J187,Foundation_Calc!$E$2:$G$986,3,1),""))</f>
        <v/>
      </c>
      <c r="AY187" s="631" t="str">
        <f>IF(L187="","",
IF(AX187="PT",VLOOKUP(L187,Foundation_Calc!$K$4:$R$37,VLOOKUP(AW187,Foundation_Calc!$I$2:$J$8,2,FALSE),0),
IF(AX187="K",VLOOKUP(L187,Foundation_Calc!$K$41:$R$74,VLOOKUP(AW187,Foundation_Calc!$I$2:$J$8,2,FALSE),0),"")))</f>
        <v/>
      </c>
      <c r="AZ187" s="631" t="str">
        <f>IF(K187="","",
IF(AX187="PT",VLOOKUP(K187,Foundation_Calc!$K$4:$R$37,VLOOKUP(AW187,Foundation_Calc!$I$2:$J$8,2,FALSE),0),
IF(AX187="K",VLOOKUP(K187,Foundation_Calc!$K$41:$R$74,VLOOKUP(AW187,Foundation_Calc!$I$2:$J$8,2,FALSE),0),"")))</f>
        <v/>
      </c>
      <c r="BA187" s="632" t="str">
        <f t="shared" si="10"/>
        <v/>
      </c>
      <c r="BB187" s="632" t="str">
        <f t="shared" si="11"/>
        <v/>
      </c>
      <c r="BC187" s="632" t="str">
        <f t="shared" si="12"/>
        <v/>
      </c>
      <c r="BD187" s="633" t="str">
        <f>IF(AND(L187="",H187=""),"",
IF(H187="",Pole_Calc!A191,
IF(H187="MP",Pole_Calc!A192,
IF(H187="AnMP",Pole_Calc!A193,
IF(H187="A",Pole_Calc!A194,
IF(H187="S/A",Pole_Calc!A195,
IF(H187="A/S",Pole_Calc!A196,"Poner a mano")))))))</f>
        <v/>
      </c>
      <c r="BE187" s="448" t="s">
        <v>1726</v>
      </c>
      <c r="BF187" s="635"/>
      <c r="BG187" s="635"/>
      <c r="BH187" s="634"/>
      <c r="BI187" s="635"/>
    </row>
    <row r="188" spans="1:61" ht="16.2" customHeight="1">
      <c r="A188" s="12"/>
      <c r="B188" s="446"/>
      <c r="C188" s="89"/>
      <c r="D188" s="13"/>
      <c r="E188" s="14"/>
      <c r="F188" s="14"/>
      <c r="G188" s="15"/>
      <c r="H188" s="8"/>
      <c r="I188" s="8"/>
      <c r="J188" s="89"/>
      <c r="K188" s="8"/>
      <c r="L188" s="8"/>
      <c r="M188" s="8" t="str">
        <f>IF(L188="","",
IF(AX188="PT",VLOOKUP(L188,Foundation_Calc!$V$4:$X$37,VLOOKUP(AX188,Foundation_Calc!$I$10:$J$13,2,FALSE),0),
IF(AX188="K",VLOOKUP(L188,Foundation_Calc!$V$41:$X$74,VLOOKUP(AX188,Foundation_Calc!$I$10:$J$13,2,FALSE),0),"")))</f>
        <v/>
      </c>
      <c r="N188" s="8"/>
      <c r="O188" s="8"/>
      <c r="P188" s="8"/>
      <c r="Q188" s="14"/>
      <c r="R188" s="15"/>
      <c r="S188" s="15"/>
      <c r="T188" s="14"/>
      <c r="U188" s="14"/>
      <c r="V188" s="14"/>
      <c r="W188" s="18"/>
      <c r="X188" s="18"/>
      <c r="Y188" s="18"/>
      <c r="Z188" s="18"/>
      <c r="AA188" s="18"/>
      <c r="AB188" s="18"/>
      <c r="AC188" s="8" t="str">
        <f t="shared" si="9"/>
        <v/>
      </c>
      <c r="AD188" s="8"/>
      <c r="AE188" s="8"/>
      <c r="AF188" s="14"/>
      <c r="AG188" s="13"/>
      <c r="AH188" s="14"/>
      <c r="AI188" s="14"/>
      <c r="AJ188" s="8"/>
      <c r="AK188" s="8"/>
      <c r="AL188" s="8"/>
      <c r="AM188" s="8"/>
      <c r="AN188" s="631"/>
      <c r="AO188" s="18"/>
      <c r="AP188" s="18"/>
      <c r="AQ188" s="18"/>
      <c r="AR188" s="18"/>
      <c r="AS188" s="18"/>
      <c r="AU188" s="448"/>
      <c r="AV188" s="448"/>
      <c r="AW188" s="8" t="str">
        <f>IF(C188&gt;0,VLOOKUP(C188,Foundation_Calc!$A$2:$C$986,3,1),
IF(J188&gt;0,VLOOKUP(J188,Foundation_Calc!$A$2:$C$986,3,1),""))</f>
        <v/>
      </c>
      <c r="AX188" s="8" t="str">
        <f>IF(C188&gt;0,VLOOKUP(C188,Foundation_Calc!$E$2:$G$986,3,1),
IF(J188&gt;0,VLOOKUP(J188,Foundation_Calc!$E$2:$G$986,3,1),""))</f>
        <v/>
      </c>
      <c r="AY188" s="631" t="str">
        <f>IF(L188="","",
IF(AX188="PT",VLOOKUP(L188,Foundation_Calc!$K$4:$R$37,VLOOKUP(AW188,Foundation_Calc!$I$2:$J$8,2,FALSE),0),
IF(AX188="K",VLOOKUP(L188,Foundation_Calc!$K$41:$R$74,VLOOKUP(AW188,Foundation_Calc!$I$2:$J$8,2,FALSE),0),"")))</f>
        <v/>
      </c>
      <c r="AZ188" s="631" t="str">
        <f>IF(K188="","",
IF(AX188="PT",VLOOKUP(K188,Foundation_Calc!$K$4:$R$37,VLOOKUP(AW188,Foundation_Calc!$I$2:$J$8,2,FALSE),0),
IF(AX188="K",VLOOKUP(K188,Foundation_Calc!$K$41:$R$74,VLOOKUP(AW188,Foundation_Calc!$I$2:$J$8,2,FALSE),0),"")))</f>
        <v/>
      </c>
      <c r="BA188" s="632" t="str">
        <f t="shared" si="10"/>
        <v/>
      </c>
      <c r="BB188" s="632" t="str">
        <f t="shared" si="11"/>
        <v/>
      </c>
      <c r="BC188" s="632" t="str">
        <f t="shared" si="12"/>
        <v/>
      </c>
      <c r="BD188" s="633" t="str">
        <f>IF(AND(L188="",H188=""),"",
IF(H188="",Pole_Calc!A192,
IF(H188="MP",Pole_Calc!A193,
IF(H188="AnMP",Pole_Calc!A194,
IF(H188="A",Pole_Calc!A195,
IF(H188="S/A",Pole_Calc!A196,
IF(H188="A/S",Pole_Calc!A197,"Poner a mano")))))))</f>
        <v/>
      </c>
      <c r="BE188" s="448" t="s">
        <v>1726</v>
      </c>
      <c r="BF188" s="634"/>
      <c r="BG188" s="634"/>
      <c r="BH188" s="634"/>
      <c r="BI188" s="634"/>
    </row>
    <row r="189" spans="1:61" ht="16.2" customHeight="1">
      <c r="A189" s="12"/>
      <c r="B189" s="446"/>
      <c r="C189" s="89"/>
      <c r="D189" s="13"/>
      <c r="E189" s="14"/>
      <c r="F189" s="14"/>
      <c r="G189" s="15"/>
      <c r="H189" s="8"/>
      <c r="I189" s="8"/>
      <c r="J189" s="89"/>
      <c r="K189" s="8"/>
      <c r="L189" s="8"/>
      <c r="M189" s="8" t="str">
        <f>IF(L189="","",
IF(AX189="PT",VLOOKUP(L189,Foundation_Calc!$V$4:$X$37,VLOOKUP(AX189,Foundation_Calc!$I$10:$J$13,2,FALSE),0),
IF(AX189="K",VLOOKUP(L189,Foundation_Calc!$V$41:$X$74,VLOOKUP(AX189,Foundation_Calc!$I$10:$J$13,2,FALSE),0),"")))</f>
        <v/>
      </c>
      <c r="N189" s="8"/>
      <c r="O189" s="8"/>
      <c r="P189" s="8"/>
      <c r="Q189" s="14"/>
      <c r="R189" s="15"/>
      <c r="S189" s="15"/>
      <c r="T189" s="14"/>
      <c r="U189" s="14"/>
      <c r="V189" s="14"/>
      <c r="W189" s="18"/>
      <c r="X189" s="18"/>
      <c r="Y189" s="18"/>
      <c r="Z189" s="18"/>
      <c r="AA189" s="18"/>
      <c r="AB189" s="18"/>
      <c r="AC189" s="8" t="str">
        <f t="shared" si="9"/>
        <v/>
      </c>
      <c r="AD189" s="8"/>
      <c r="AE189" s="8"/>
      <c r="AF189" s="14"/>
      <c r="AG189" s="13"/>
      <c r="AH189" s="14"/>
      <c r="AI189" s="14"/>
      <c r="AJ189" s="8"/>
      <c r="AK189" s="8"/>
      <c r="AL189" s="8"/>
      <c r="AM189" s="8"/>
      <c r="AN189" s="631"/>
      <c r="AO189" s="18"/>
      <c r="AP189" s="18"/>
      <c r="AQ189" s="18"/>
      <c r="AR189" s="18"/>
      <c r="AS189" s="18"/>
      <c r="AU189" s="448"/>
      <c r="AV189" s="448"/>
      <c r="AW189" s="8" t="str">
        <f>IF(C189&gt;0,VLOOKUP(C189,Foundation_Calc!$A$2:$C$986,3,1),
IF(J189&gt;0,VLOOKUP(J189,Foundation_Calc!$A$2:$C$986,3,1),""))</f>
        <v/>
      </c>
      <c r="AX189" s="8" t="str">
        <f>IF(C189&gt;0,VLOOKUP(C189,Foundation_Calc!$E$2:$G$986,3,1),
IF(J189&gt;0,VLOOKUP(J189,Foundation_Calc!$E$2:$G$986,3,1),""))</f>
        <v/>
      </c>
      <c r="AY189" s="631" t="str">
        <f>IF(L189="","",
IF(AX189="PT",VLOOKUP(L189,Foundation_Calc!$K$4:$R$37,VLOOKUP(AW189,Foundation_Calc!$I$2:$J$8,2,FALSE),0),
IF(AX189="K",VLOOKUP(L189,Foundation_Calc!$K$41:$R$74,VLOOKUP(AW189,Foundation_Calc!$I$2:$J$8,2,FALSE),0),"")))</f>
        <v/>
      </c>
      <c r="AZ189" s="631" t="str">
        <f>IF(K189="","",
IF(AX189="PT",VLOOKUP(K189,Foundation_Calc!$K$4:$R$37,VLOOKUP(AW189,Foundation_Calc!$I$2:$J$8,2,FALSE),0),
IF(AX189="K",VLOOKUP(K189,Foundation_Calc!$K$41:$R$74,VLOOKUP(AW189,Foundation_Calc!$I$2:$J$8,2,FALSE),0),"")))</f>
        <v/>
      </c>
      <c r="BA189" s="632" t="str">
        <f t="shared" si="10"/>
        <v/>
      </c>
      <c r="BB189" s="632" t="str">
        <f t="shared" si="11"/>
        <v/>
      </c>
      <c r="BC189" s="632" t="str">
        <f t="shared" si="12"/>
        <v/>
      </c>
      <c r="BD189" s="633" t="str">
        <f>IF(AND(L189="",H189=""),"",
IF(H189="",Pole_Calc!A193,
IF(H189="MP",Pole_Calc!A194,
IF(H189="AnMP",Pole_Calc!A195,
IF(H189="A",Pole_Calc!A196,
IF(H189="S/A",Pole_Calc!A197,
IF(H189="A/S",Pole_Calc!A198,"Poner a mano")))))))</f>
        <v/>
      </c>
      <c r="BE189" s="448" t="s">
        <v>1726</v>
      </c>
      <c r="BF189" s="635"/>
      <c r="BG189" s="635"/>
      <c r="BH189" s="634"/>
      <c r="BI189" s="635"/>
    </row>
    <row r="190" spans="1:61" ht="16.2" customHeight="1">
      <c r="A190" s="12"/>
      <c r="B190" s="446"/>
      <c r="C190" s="89"/>
      <c r="D190" s="13"/>
      <c r="E190" s="14"/>
      <c r="F190" s="14"/>
      <c r="G190" s="15"/>
      <c r="H190" s="8"/>
      <c r="I190" s="8"/>
      <c r="J190" s="89"/>
      <c r="K190" s="8"/>
      <c r="L190" s="8"/>
      <c r="M190" s="8" t="str">
        <f>IF(L190="","",
IF(AX190="PT",VLOOKUP(L190,Foundation_Calc!$V$4:$X$37,VLOOKUP(AX190,Foundation_Calc!$I$10:$J$13,2,FALSE),0),
IF(AX190="K",VLOOKUP(L190,Foundation_Calc!$V$41:$X$74,VLOOKUP(AX190,Foundation_Calc!$I$10:$J$13,2,FALSE),0),"")))</f>
        <v/>
      </c>
      <c r="N190" s="8"/>
      <c r="O190" s="8"/>
      <c r="P190" s="8"/>
      <c r="Q190" s="14"/>
      <c r="R190" s="15"/>
      <c r="S190" s="15"/>
      <c r="T190" s="14"/>
      <c r="U190" s="14"/>
      <c r="V190" s="14"/>
      <c r="W190" s="18"/>
      <c r="X190" s="18"/>
      <c r="Y190" s="18"/>
      <c r="Z190" s="18"/>
      <c r="AA190" s="18"/>
      <c r="AB190" s="18"/>
      <c r="AC190" s="8" t="str">
        <f t="shared" si="9"/>
        <v/>
      </c>
      <c r="AD190" s="8"/>
      <c r="AE190" s="8"/>
      <c r="AF190" s="14"/>
      <c r="AG190" s="13"/>
      <c r="AH190" s="14"/>
      <c r="AI190" s="14"/>
      <c r="AJ190" s="8"/>
      <c r="AK190" s="8"/>
      <c r="AL190" s="8"/>
      <c r="AM190" s="8"/>
      <c r="AN190" s="631"/>
      <c r="AO190" s="18"/>
      <c r="AP190" s="18"/>
      <c r="AQ190" s="18"/>
      <c r="AR190" s="18"/>
      <c r="AS190" s="18"/>
      <c r="AU190" s="448"/>
      <c r="AV190" s="448"/>
      <c r="AW190" s="8" t="str">
        <f>IF(C190&gt;0,VLOOKUP(C190,Foundation_Calc!$A$2:$C$986,3,1),
IF(J190&gt;0,VLOOKUP(J190,Foundation_Calc!$A$2:$C$986,3,1),""))</f>
        <v/>
      </c>
      <c r="AX190" s="8" t="str">
        <f>IF(C190&gt;0,VLOOKUP(C190,Foundation_Calc!$E$2:$G$986,3,1),
IF(J190&gt;0,VLOOKUP(J190,Foundation_Calc!$E$2:$G$986,3,1),""))</f>
        <v/>
      </c>
      <c r="AY190" s="631" t="str">
        <f>IF(L190="","",
IF(AX190="PT",VLOOKUP(L190,Foundation_Calc!$K$4:$R$37,VLOOKUP(AW190,Foundation_Calc!$I$2:$J$8,2,FALSE),0),
IF(AX190="K",VLOOKUP(L190,Foundation_Calc!$K$41:$R$74,VLOOKUP(AW190,Foundation_Calc!$I$2:$J$8,2,FALSE),0),"")))</f>
        <v/>
      </c>
      <c r="AZ190" s="631" t="str">
        <f>IF(K190="","",
IF(AX190="PT",VLOOKUP(K190,Foundation_Calc!$K$4:$R$37,VLOOKUP(AW190,Foundation_Calc!$I$2:$J$8,2,FALSE),0),
IF(AX190="K",VLOOKUP(K190,Foundation_Calc!$K$41:$R$74,VLOOKUP(AW190,Foundation_Calc!$I$2:$J$8,2,FALSE),0),"")))</f>
        <v/>
      </c>
      <c r="BA190" s="632" t="str">
        <f t="shared" si="10"/>
        <v/>
      </c>
      <c r="BB190" s="632" t="str">
        <f t="shared" si="11"/>
        <v/>
      </c>
      <c r="BC190" s="632" t="str">
        <f t="shared" si="12"/>
        <v/>
      </c>
      <c r="BD190" s="633" t="str">
        <f>IF(AND(L190="",H190=""),"",
IF(H190="",Pole_Calc!A194,
IF(H190="MP",Pole_Calc!A195,
IF(H190="AnMP",Pole_Calc!A196,
IF(H190="A",Pole_Calc!A197,
IF(H190="S/A",Pole_Calc!A198,
IF(H190="A/S",Pole_Calc!A199,"Poner a mano")))))))</f>
        <v/>
      </c>
      <c r="BE190" s="448" t="s">
        <v>1726</v>
      </c>
      <c r="BF190" s="634"/>
      <c r="BG190" s="634"/>
      <c r="BH190" s="634"/>
      <c r="BI190" s="634"/>
    </row>
    <row r="191" spans="1:61" ht="16.2" customHeight="1">
      <c r="A191" s="12"/>
      <c r="B191" s="446"/>
      <c r="C191" s="89"/>
      <c r="D191" s="13"/>
      <c r="E191" s="14"/>
      <c r="F191" s="14"/>
      <c r="G191" s="15"/>
      <c r="H191" s="8"/>
      <c r="I191" s="8"/>
      <c r="J191" s="89"/>
      <c r="K191" s="8"/>
      <c r="L191" s="8"/>
      <c r="M191" s="8" t="str">
        <f>IF(L191="","",
IF(AX191="PT",VLOOKUP(L191,Foundation_Calc!$V$4:$X$37,VLOOKUP(AX191,Foundation_Calc!$I$10:$J$13,2,FALSE),0),
IF(AX191="K",VLOOKUP(L191,Foundation_Calc!$V$41:$X$74,VLOOKUP(AX191,Foundation_Calc!$I$10:$J$13,2,FALSE),0),"")))</f>
        <v/>
      </c>
      <c r="N191" s="8"/>
      <c r="O191" s="8"/>
      <c r="P191" s="8"/>
      <c r="Q191" s="14"/>
      <c r="R191" s="15"/>
      <c r="S191" s="15"/>
      <c r="T191" s="14"/>
      <c r="U191" s="14"/>
      <c r="V191" s="14"/>
      <c r="W191" s="18"/>
      <c r="X191" s="18"/>
      <c r="Y191" s="18"/>
      <c r="Z191" s="18"/>
      <c r="AA191" s="18"/>
      <c r="AB191" s="18"/>
      <c r="AC191" s="8" t="str">
        <f t="shared" si="9"/>
        <v/>
      </c>
      <c r="AD191" s="8"/>
      <c r="AE191" s="8"/>
      <c r="AF191" s="14"/>
      <c r="AG191" s="13"/>
      <c r="AH191" s="14"/>
      <c r="AI191" s="14"/>
      <c r="AJ191" s="8"/>
      <c r="AK191" s="8"/>
      <c r="AL191" s="8"/>
      <c r="AM191" s="8"/>
      <c r="AN191" s="631"/>
      <c r="AO191" s="18"/>
      <c r="AP191" s="18"/>
      <c r="AQ191" s="18"/>
      <c r="AR191" s="18"/>
      <c r="AS191" s="18"/>
      <c r="AU191" s="448"/>
      <c r="AV191" s="448"/>
      <c r="AW191" s="8" t="str">
        <f>IF(C191&gt;0,VLOOKUP(C191,Foundation_Calc!$A$2:$C$986,3,1),
IF(J191&gt;0,VLOOKUP(J191,Foundation_Calc!$A$2:$C$986,3,1),""))</f>
        <v/>
      </c>
      <c r="AX191" s="8" t="str">
        <f>IF(C191&gt;0,VLOOKUP(C191,Foundation_Calc!$E$2:$G$986,3,1),
IF(J191&gt;0,VLOOKUP(J191,Foundation_Calc!$E$2:$G$986,3,1),""))</f>
        <v/>
      </c>
      <c r="AY191" s="631" t="str">
        <f>IF(L191="","",
IF(AX191="PT",VLOOKUP(L191,Foundation_Calc!$K$4:$R$37,VLOOKUP(AW191,Foundation_Calc!$I$2:$J$8,2,FALSE),0),
IF(AX191="K",VLOOKUP(L191,Foundation_Calc!$K$41:$R$74,VLOOKUP(AW191,Foundation_Calc!$I$2:$J$8,2,FALSE),0),"")))</f>
        <v/>
      </c>
      <c r="AZ191" s="631" t="str">
        <f>IF(K191="","",
IF(AX191="PT",VLOOKUP(K191,Foundation_Calc!$K$4:$R$37,VLOOKUP(AW191,Foundation_Calc!$I$2:$J$8,2,FALSE),0),
IF(AX191="K",VLOOKUP(K191,Foundation_Calc!$K$41:$R$74,VLOOKUP(AW191,Foundation_Calc!$I$2:$J$8,2,FALSE),0),"")))</f>
        <v/>
      </c>
      <c r="BA191" s="632" t="str">
        <f t="shared" si="10"/>
        <v/>
      </c>
      <c r="BB191" s="632" t="str">
        <f t="shared" si="11"/>
        <v/>
      </c>
      <c r="BC191" s="632" t="str">
        <f t="shared" si="12"/>
        <v/>
      </c>
      <c r="BD191" s="633" t="str">
        <f>IF(AND(L191="",H191=""),"",
IF(H191="",Pole_Calc!A195,
IF(H191="MP",Pole_Calc!A196,
IF(H191="AnMP",Pole_Calc!A197,
IF(H191="A",Pole_Calc!A198,
IF(H191="S/A",Pole_Calc!A199,
IF(H191="A/S",Pole_Calc!A200,"Poner a mano")))))))</f>
        <v/>
      </c>
      <c r="BE191" s="448" t="s">
        <v>1726</v>
      </c>
      <c r="BF191" s="635"/>
      <c r="BG191" s="635"/>
      <c r="BH191" s="634"/>
      <c r="BI191" s="635"/>
    </row>
    <row r="192" spans="1:61" ht="16.2" customHeight="1">
      <c r="A192" s="12"/>
      <c r="B192" s="446"/>
      <c r="C192" s="89"/>
      <c r="D192" s="13"/>
      <c r="E192" s="14"/>
      <c r="F192" s="14"/>
      <c r="G192" s="15"/>
      <c r="H192" s="8"/>
      <c r="I192" s="8"/>
      <c r="J192" s="89"/>
      <c r="K192" s="8"/>
      <c r="L192" s="8"/>
      <c r="M192" s="8" t="str">
        <f>IF(L192="","",
IF(AX192="PT",VLOOKUP(L192,Foundation_Calc!$V$4:$X$37,VLOOKUP(AX192,Foundation_Calc!$I$10:$J$13,2,FALSE),0),
IF(AX192="K",VLOOKUP(L192,Foundation_Calc!$V$41:$X$74,VLOOKUP(AX192,Foundation_Calc!$I$10:$J$13,2,FALSE),0),"")))</f>
        <v/>
      </c>
      <c r="N192" s="8"/>
      <c r="O192" s="8"/>
      <c r="P192" s="8"/>
      <c r="Q192" s="14"/>
      <c r="R192" s="15"/>
      <c r="S192" s="15"/>
      <c r="T192" s="14"/>
      <c r="U192" s="14"/>
      <c r="V192" s="14"/>
      <c r="W192" s="18"/>
      <c r="X192" s="18"/>
      <c r="Y192" s="18"/>
      <c r="Z192" s="18"/>
      <c r="AA192" s="18"/>
      <c r="AB192" s="18"/>
      <c r="AC192" s="8" t="str">
        <f t="shared" si="9"/>
        <v/>
      </c>
      <c r="AD192" s="8"/>
      <c r="AE192" s="8"/>
      <c r="AF192" s="14"/>
      <c r="AG192" s="13"/>
      <c r="AH192" s="14"/>
      <c r="AI192" s="14"/>
      <c r="AJ192" s="8"/>
      <c r="AK192" s="8"/>
      <c r="AL192" s="8"/>
      <c r="AM192" s="8"/>
      <c r="AN192" s="631"/>
      <c r="AO192" s="18"/>
      <c r="AP192" s="18"/>
      <c r="AQ192" s="18"/>
      <c r="AR192" s="18"/>
      <c r="AS192" s="18"/>
      <c r="AU192" s="448"/>
      <c r="AV192" s="448"/>
      <c r="AW192" s="8" t="str">
        <f>IF(C192&gt;0,VLOOKUP(C192,Foundation_Calc!$A$2:$C$986,3,1),
IF(J192&gt;0,VLOOKUP(J192,Foundation_Calc!$A$2:$C$986,3,1),""))</f>
        <v/>
      </c>
      <c r="AX192" s="8" t="str">
        <f>IF(C192&gt;0,VLOOKUP(C192,Foundation_Calc!$E$2:$G$986,3,1),
IF(J192&gt;0,VLOOKUP(J192,Foundation_Calc!$E$2:$G$986,3,1),""))</f>
        <v/>
      </c>
      <c r="AY192" s="631" t="str">
        <f>IF(L192="","",
IF(AX192="PT",VLOOKUP(L192,Foundation_Calc!$K$4:$R$37,VLOOKUP(AW192,Foundation_Calc!$I$2:$J$8,2,FALSE),0),
IF(AX192="K",VLOOKUP(L192,Foundation_Calc!$K$41:$R$74,VLOOKUP(AW192,Foundation_Calc!$I$2:$J$8,2,FALSE),0),"")))</f>
        <v/>
      </c>
      <c r="AZ192" s="631" t="str">
        <f>IF(K192="","",
IF(AX192="PT",VLOOKUP(K192,Foundation_Calc!$K$4:$R$37,VLOOKUP(AW192,Foundation_Calc!$I$2:$J$8,2,FALSE),0),
IF(AX192="K",VLOOKUP(K192,Foundation_Calc!$K$41:$R$74,VLOOKUP(AW192,Foundation_Calc!$I$2:$J$8,2,FALSE),0),"")))</f>
        <v/>
      </c>
      <c r="BA192" s="632" t="str">
        <f t="shared" si="10"/>
        <v/>
      </c>
      <c r="BB192" s="632" t="str">
        <f t="shared" si="11"/>
        <v/>
      </c>
      <c r="BC192" s="632" t="str">
        <f t="shared" si="12"/>
        <v/>
      </c>
      <c r="BD192" s="633" t="str">
        <f>IF(AND(L192="",H192=""),"",
IF(H192="",Pole_Calc!A196,
IF(H192="MP",Pole_Calc!A197,
IF(H192="AnMP",Pole_Calc!A198,
IF(H192="A",Pole_Calc!A199,
IF(H192="S/A",Pole_Calc!A200,
IF(H192="A/S",Pole_Calc!A201,"Poner a mano")))))))</f>
        <v/>
      </c>
      <c r="BE192" s="448" t="s">
        <v>1726</v>
      </c>
      <c r="BF192" s="634"/>
      <c r="BG192" s="634"/>
      <c r="BH192" s="634"/>
      <c r="BI192" s="634"/>
    </row>
    <row r="193" spans="1:61" ht="16.2" customHeight="1">
      <c r="A193" s="12"/>
      <c r="B193" s="446"/>
      <c r="C193" s="89"/>
      <c r="D193" s="13"/>
      <c r="E193" s="14"/>
      <c r="F193" s="14"/>
      <c r="G193" s="15"/>
      <c r="H193" s="8"/>
      <c r="I193" s="8"/>
      <c r="J193" s="89"/>
      <c r="K193" s="8"/>
      <c r="L193" s="8"/>
      <c r="M193" s="8" t="str">
        <f>IF(L193="","",
IF(AX193="PT",VLOOKUP(L193,Foundation_Calc!$V$4:$X$37,VLOOKUP(AX193,Foundation_Calc!$I$10:$J$13,2,FALSE),0),
IF(AX193="K",VLOOKUP(L193,Foundation_Calc!$V$41:$X$74,VLOOKUP(AX193,Foundation_Calc!$I$10:$J$13,2,FALSE),0),"")))</f>
        <v/>
      </c>
      <c r="N193" s="8"/>
      <c r="O193" s="8"/>
      <c r="P193" s="8"/>
      <c r="Q193" s="14"/>
      <c r="R193" s="15"/>
      <c r="S193" s="15"/>
      <c r="T193" s="14"/>
      <c r="U193" s="14"/>
      <c r="V193" s="14"/>
      <c r="W193" s="18"/>
      <c r="X193" s="18"/>
      <c r="Y193" s="18"/>
      <c r="Z193" s="18"/>
      <c r="AA193" s="18"/>
      <c r="AB193" s="18"/>
      <c r="AC193" s="8" t="str">
        <f t="shared" si="9"/>
        <v/>
      </c>
      <c r="AD193" s="8"/>
      <c r="AE193" s="8"/>
      <c r="AF193" s="14"/>
      <c r="AG193" s="13"/>
      <c r="AH193" s="14"/>
      <c r="AI193" s="14"/>
      <c r="AJ193" s="8"/>
      <c r="AK193" s="8"/>
      <c r="AL193" s="8"/>
      <c r="AM193" s="8"/>
      <c r="AN193" s="631"/>
      <c r="AO193" s="18"/>
      <c r="AP193" s="18"/>
      <c r="AQ193" s="18"/>
      <c r="AR193" s="18"/>
      <c r="AS193" s="18"/>
      <c r="AU193" s="448"/>
      <c r="AV193" s="448"/>
      <c r="AW193" s="8" t="str">
        <f>IF(C193&gt;0,VLOOKUP(C193,Foundation_Calc!$A$2:$C$986,3,1),
IF(J193&gt;0,VLOOKUP(J193,Foundation_Calc!$A$2:$C$986,3,1),""))</f>
        <v/>
      </c>
      <c r="AX193" s="8" t="str">
        <f>IF(C193&gt;0,VLOOKUP(C193,Foundation_Calc!$E$2:$G$986,3,1),
IF(J193&gt;0,VLOOKUP(J193,Foundation_Calc!$E$2:$G$986,3,1),""))</f>
        <v/>
      </c>
      <c r="AY193" s="631" t="str">
        <f>IF(L193="","",
IF(AX193="PT",VLOOKUP(L193,Foundation_Calc!$K$4:$R$37,VLOOKUP(AW193,Foundation_Calc!$I$2:$J$8,2,FALSE),0),
IF(AX193="K",VLOOKUP(L193,Foundation_Calc!$K$41:$R$74,VLOOKUP(AW193,Foundation_Calc!$I$2:$J$8,2,FALSE),0),"")))</f>
        <v/>
      </c>
      <c r="AZ193" s="631" t="str">
        <f>IF(K193="","",
IF(AX193="PT",VLOOKUP(K193,Foundation_Calc!$K$4:$R$37,VLOOKUP(AW193,Foundation_Calc!$I$2:$J$8,2,FALSE),0),
IF(AX193="K",VLOOKUP(K193,Foundation_Calc!$K$41:$R$74,VLOOKUP(AW193,Foundation_Calc!$I$2:$J$8,2,FALSE),0),"")))</f>
        <v/>
      </c>
      <c r="BA193" s="632" t="str">
        <f t="shared" si="10"/>
        <v/>
      </c>
      <c r="BB193" s="632" t="str">
        <f t="shared" si="11"/>
        <v/>
      </c>
      <c r="BC193" s="632" t="str">
        <f t="shared" si="12"/>
        <v/>
      </c>
      <c r="BD193" s="633" t="str">
        <f>IF(AND(L193="",H193=""),"",
IF(H193="",Pole_Calc!A197,
IF(H193="MP",Pole_Calc!A198,
IF(H193="AnMP",Pole_Calc!A199,
IF(H193="A",Pole_Calc!A200,
IF(H193="S/A",Pole_Calc!A201,
IF(H193="A/S",Pole_Calc!A202,"Poner a mano")))))))</f>
        <v/>
      </c>
      <c r="BE193" s="448" t="s">
        <v>1726</v>
      </c>
      <c r="BF193" s="635"/>
      <c r="BG193" s="635"/>
      <c r="BH193" s="634"/>
      <c r="BI193" s="635"/>
    </row>
    <row r="194" spans="1:61" ht="16.2" customHeight="1">
      <c r="A194" s="12"/>
      <c r="B194" s="446"/>
      <c r="C194" s="89"/>
      <c r="D194" s="13"/>
      <c r="E194" s="14"/>
      <c r="F194" s="14"/>
      <c r="G194" s="15"/>
      <c r="H194" s="8"/>
      <c r="I194" s="8"/>
      <c r="J194" s="89"/>
      <c r="K194" s="8"/>
      <c r="L194" s="8"/>
      <c r="M194" s="8" t="str">
        <f>IF(L194="","",
IF(AX194="PT",VLOOKUP(L194,Foundation_Calc!$V$4:$X$37,VLOOKUP(AX194,Foundation_Calc!$I$10:$J$13,2,FALSE),0),
IF(AX194="K",VLOOKUP(L194,Foundation_Calc!$V$41:$X$74,VLOOKUP(AX194,Foundation_Calc!$I$10:$J$13,2,FALSE),0),"")))</f>
        <v/>
      </c>
      <c r="N194" s="8"/>
      <c r="O194" s="8"/>
      <c r="P194" s="8"/>
      <c r="Q194" s="14"/>
      <c r="R194" s="15"/>
      <c r="S194" s="15"/>
      <c r="T194" s="14"/>
      <c r="U194" s="14"/>
      <c r="V194" s="14"/>
      <c r="W194" s="18"/>
      <c r="X194" s="18"/>
      <c r="Y194" s="18"/>
      <c r="Z194" s="18"/>
      <c r="AA194" s="18"/>
      <c r="AB194" s="18"/>
      <c r="AC194" s="8" t="str">
        <f t="shared" si="9"/>
        <v/>
      </c>
      <c r="AD194" s="8"/>
      <c r="AE194" s="8"/>
      <c r="AF194" s="14"/>
      <c r="AG194" s="13"/>
      <c r="AH194" s="14"/>
      <c r="AI194" s="14"/>
      <c r="AJ194" s="8"/>
      <c r="AK194" s="8"/>
      <c r="AL194" s="8"/>
      <c r="AM194" s="8"/>
      <c r="AN194" s="631"/>
      <c r="AO194" s="18"/>
      <c r="AP194" s="18"/>
      <c r="AQ194" s="18"/>
      <c r="AR194" s="18"/>
      <c r="AS194" s="18"/>
      <c r="AU194" s="448"/>
      <c r="AV194" s="448"/>
      <c r="AW194" s="8" t="str">
        <f>IF(C194&gt;0,VLOOKUP(C194,Foundation_Calc!$A$2:$C$986,3,1),
IF(J194&gt;0,VLOOKUP(J194,Foundation_Calc!$A$2:$C$986,3,1),""))</f>
        <v/>
      </c>
      <c r="AX194" s="8" t="str">
        <f>IF(C194&gt;0,VLOOKUP(C194,Foundation_Calc!$E$2:$G$986,3,1),
IF(J194&gt;0,VLOOKUP(J194,Foundation_Calc!$E$2:$G$986,3,1),""))</f>
        <v/>
      </c>
      <c r="AY194" s="631" t="str">
        <f>IF(L194="","",
IF(AX194="PT",VLOOKUP(L194,Foundation_Calc!$K$4:$R$37,VLOOKUP(AW194,Foundation_Calc!$I$2:$J$8,2,FALSE),0),
IF(AX194="K",VLOOKUP(L194,Foundation_Calc!$K$41:$R$74,VLOOKUP(AW194,Foundation_Calc!$I$2:$J$8,2,FALSE),0),"")))</f>
        <v/>
      </c>
      <c r="AZ194" s="631" t="str">
        <f>IF(K194="","",
IF(AX194="PT",VLOOKUP(K194,Foundation_Calc!$K$4:$R$37,VLOOKUP(AW194,Foundation_Calc!$I$2:$J$8,2,FALSE),0),
IF(AX194="K",VLOOKUP(K194,Foundation_Calc!$K$41:$R$74,VLOOKUP(AW194,Foundation_Calc!$I$2:$J$8,2,FALSE),0),"")))</f>
        <v/>
      </c>
      <c r="BA194" s="632" t="str">
        <f t="shared" si="10"/>
        <v/>
      </c>
      <c r="BB194" s="632" t="str">
        <f t="shared" si="11"/>
        <v/>
      </c>
      <c r="BC194" s="632" t="str">
        <f t="shared" si="12"/>
        <v/>
      </c>
      <c r="BD194" s="633" t="str">
        <f>IF(AND(L194="",H194=""),"",
IF(H194="",Pole_Calc!A198,
IF(H194="MP",Pole_Calc!A199,
IF(H194="AnMP",Pole_Calc!A200,
IF(H194="A",Pole_Calc!A201,
IF(H194="S/A",Pole_Calc!A202,
IF(H194="A/S",Pole_Calc!A203,"Poner a mano")))))))</f>
        <v/>
      </c>
      <c r="BE194" s="448" t="s">
        <v>1726</v>
      </c>
      <c r="BF194" s="634"/>
      <c r="BG194" s="634"/>
      <c r="BH194" s="634"/>
      <c r="BI194" s="634"/>
    </row>
    <row r="195" spans="1:61" ht="16.2" customHeight="1">
      <c r="A195" s="12"/>
      <c r="B195" s="446"/>
      <c r="C195" s="89"/>
      <c r="D195" s="13"/>
      <c r="E195" s="14"/>
      <c r="F195" s="14"/>
      <c r="G195" s="15"/>
      <c r="H195" s="8"/>
      <c r="I195" s="8"/>
      <c r="J195" s="89"/>
      <c r="K195" s="8"/>
      <c r="L195" s="8"/>
      <c r="M195" s="8" t="str">
        <f>IF(L195="","",
IF(AX195="PT",VLOOKUP(L195,Foundation_Calc!$V$4:$X$37,VLOOKUP(AX195,Foundation_Calc!$I$10:$J$13,2,FALSE),0),
IF(AX195="K",VLOOKUP(L195,Foundation_Calc!$V$41:$X$74,VLOOKUP(AX195,Foundation_Calc!$I$10:$J$13,2,FALSE),0),"")))</f>
        <v/>
      </c>
      <c r="N195" s="8"/>
      <c r="O195" s="8"/>
      <c r="P195" s="8"/>
      <c r="Q195" s="14"/>
      <c r="R195" s="15"/>
      <c r="S195" s="15"/>
      <c r="T195" s="14"/>
      <c r="U195" s="14"/>
      <c r="V195" s="14"/>
      <c r="W195" s="18"/>
      <c r="X195" s="18"/>
      <c r="Y195" s="18"/>
      <c r="Z195" s="18"/>
      <c r="AA195" s="18"/>
      <c r="AB195" s="18"/>
      <c r="AC195" s="8" t="str">
        <f t="shared" si="9"/>
        <v/>
      </c>
      <c r="AD195" s="8"/>
      <c r="AE195" s="8"/>
      <c r="AF195" s="14"/>
      <c r="AG195" s="13"/>
      <c r="AH195" s="14"/>
      <c r="AI195" s="14"/>
      <c r="AJ195" s="8"/>
      <c r="AK195" s="8"/>
      <c r="AL195" s="8"/>
      <c r="AM195" s="8"/>
      <c r="AN195" s="631"/>
      <c r="AO195" s="18"/>
      <c r="AP195" s="18"/>
      <c r="AQ195" s="18"/>
      <c r="AR195" s="18"/>
      <c r="AS195" s="18"/>
      <c r="AU195" s="448"/>
      <c r="AV195" s="448"/>
      <c r="AW195" s="8" t="str">
        <f>IF(C195&gt;0,VLOOKUP(C195,Foundation_Calc!$A$2:$C$986,3,1),
IF(J195&gt;0,VLOOKUP(J195,Foundation_Calc!$A$2:$C$986,3,1),""))</f>
        <v/>
      </c>
      <c r="AX195" s="8" t="str">
        <f>IF(C195&gt;0,VLOOKUP(C195,Foundation_Calc!$E$2:$G$986,3,1),
IF(J195&gt;0,VLOOKUP(J195,Foundation_Calc!$E$2:$G$986,3,1),""))</f>
        <v/>
      </c>
      <c r="AY195" s="631" t="str">
        <f>IF(L195="","",
IF(AX195="PT",VLOOKUP(L195,Foundation_Calc!$K$4:$R$37,VLOOKUP(AW195,Foundation_Calc!$I$2:$J$8,2,FALSE),0),
IF(AX195="K",VLOOKUP(L195,Foundation_Calc!$K$41:$R$74,VLOOKUP(AW195,Foundation_Calc!$I$2:$J$8,2,FALSE),0),"")))</f>
        <v/>
      </c>
      <c r="AZ195" s="631" t="str">
        <f>IF(K195="","",
IF(AX195="PT",VLOOKUP(K195,Foundation_Calc!$K$4:$R$37,VLOOKUP(AW195,Foundation_Calc!$I$2:$J$8,2,FALSE),0),
IF(AX195="K",VLOOKUP(K195,Foundation_Calc!$K$41:$R$74,VLOOKUP(AW195,Foundation_Calc!$I$2:$J$8,2,FALSE),0),"")))</f>
        <v/>
      </c>
      <c r="BA195" s="632" t="str">
        <f t="shared" si="10"/>
        <v/>
      </c>
      <c r="BB195" s="632" t="str">
        <f t="shared" si="11"/>
        <v/>
      </c>
      <c r="BC195" s="632" t="str">
        <f t="shared" si="12"/>
        <v/>
      </c>
      <c r="BD195" s="633" t="str">
        <f>IF(AND(L195="",H195=""),"",
IF(H195="",Pole_Calc!A199,
IF(H195="MP",Pole_Calc!A200,
IF(H195="AnMP",Pole_Calc!A201,
IF(H195="A",Pole_Calc!A202,
IF(H195="S/A",Pole_Calc!A203,
IF(H195="A/S",Pole_Calc!A204,"Poner a mano")))))))</f>
        <v/>
      </c>
      <c r="BE195" s="448" t="s">
        <v>1726</v>
      </c>
      <c r="BF195" s="635"/>
      <c r="BG195" s="635"/>
      <c r="BH195" s="634"/>
      <c r="BI195" s="635"/>
    </row>
    <row r="196" spans="1:61" ht="16.2" customHeight="1">
      <c r="A196" s="12"/>
      <c r="B196" s="446"/>
      <c r="C196" s="89"/>
      <c r="D196" s="13"/>
      <c r="E196" s="14"/>
      <c r="F196" s="14"/>
      <c r="G196" s="15"/>
      <c r="H196" s="8"/>
      <c r="I196" s="8"/>
      <c r="J196" s="89"/>
      <c r="K196" s="8"/>
      <c r="L196" s="8"/>
      <c r="M196" s="8" t="str">
        <f>IF(L196="","",
IF(AX196="PT",VLOOKUP(L196,Foundation_Calc!$V$4:$X$37,VLOOKUP(AX196,Foundation_Calc!$I$10:$J$13,2,FALSE),0),
IF(AX196="K",VLOOKUP(L196,Foundation_Calc!$V$41:$X$74,VLOOKUP(AX196,Foundation_Calc!$I$10:$J$13,2,FALSE),0),"")))</f>
        <v/>
      </c>
      <c r="N196" s="8"/>
      <c r="O196" s="8"/>
      <c r="P196" s="8"/>
      <c r="Q196" s="14"/>
      <c r="R196" s="15"/>
      <c r="S196" s="15"/>
      <c r="T196" s="14"/>
      <c r="U196" s="14"/>
      <c r="V196" s="14"/>
      <c r="W196" s="18"/>
      <c r="X196" s="18"/>
      <c r="Y196" s="18"/>
      <c r="Z196" s="18"/>
      <c r="AA196" s="18"/>
      <c r="AB196" s="18"/>
      <c r="AC196" s="8" t="str">
        <f t="shared" si="9"/>
        <v/>
      </c>
      <c r="AD196" s="8"/>
      <c r="AE196" s="8"/>
      <c r="AF196" s="14"/>
      <c r="AG196" s="13"/>
      <c r="AH196" s="14"/>
      <c r="AI196" s="14"/>
      <c r="AJ196" s="8"/>
      <c r="AK196" s="8"/>
      <c r="AL196" s="8"/>
      <c r="AM196" s="8"/>
      <c r="AN196" s="631"/>
      <c r="AO196" s="18"/>
      <c r="AP196" s="18"/>
      <c r="AQ196" s="18"/>
      <c r="AR196" s="18"/>
      <c r="AS196" s="18"/>
      <c r="AU196" s="448"/>
      <c r="AV196" s="448"/>
      <c r="AW196" s="8" t="str">
        <f>IF(C196&gt;0,VLOOKUP(C196,Foundation_Calc!$A$2:$C$986,3,1),
IF(J196&gt;0,VLOOKUP(J196,Foundation_Calc!$A$2:$C$986,3,1),""))</f>
        <v/>
      </c>
      <c r="AX196" s="8" t="str">
        <f>IF(C196&gt;0,VLOOKUP(C196,Foundation_Calc!$E$2:$G$986,3,1),
IF(J196&gt;0,VLOOKUP(J196,Foundation_Calc!$E$2:$G$986,3,1),""))</f>
        <v/>
      </c>
      <c r="AY196" s="631" t="str">
        <f>IF(L196="","",
IF(AX196="PT",VLOOKUP(L196,Foundation_Calc!$K$4:$R$37,VLOOKUP(AW196,Foundation_Calc!$I$2:$J$8,2,FALSE),0),
IF(AX196="K",VLOOKUP(L196,Foundation_Calc!$K$41:$R$74,VLOOKUP(AW196,Foundation_Calc!$I$2:$J$8,2,FALSE),0),"")))</f>
        <v/>
      </c>
      <c r="AZ196" s="631" t="str">
        <f>IF(K196="","",
IF(AX196="PT",VLOOKUP(K196,Foundation_Calc!$K$4:$R$37,VLOOKUP(AW196,Foundation_Calc!$I$2:$J$8,2,FALSE),0),
IF(AX196="K",VLOOKUP(K196,Foundation_Calc!$K$41:$R$74,VLOOKUP(AW196,Foundation_Calc!$I$2:$J$8,2,FALSE),0),"")))</f>
        <v/>
      </c>
      <c r="BA196" s="632" t="str">
        <f t="shared" si="10"/>
        <v/>
      </c>
      <c r="BB196" s="632" t="str">
        <f t="shared" si="11"/>
        <v/>
      </c>
      <c r="BC196" s="632" t="str">
        <f t="shared" si="12"/>
        <v/>
      </c>
      <c r="BD196" s="633" t="str">
        <f>IF(AND(L196="",H196=""),"",
IF(H196="",Pole_Calc!A200,
IF(H196="MP",Pole_Calc!A201,
IF(H196="AnMP",Pole_Calc!A202,
IF(H196="A",Pole_Calc!A203,
IF(H196="S/A",Pole_Calc!A204,
IF(H196="A/S",Pole_Calc!A205,"Poner a mano")))))))</f>
        <v/>
      </c>
      <c r="BE196" s="448" t="s">
        <v>1726</v>
      </c>
      <c r="BF196" s="634"/>
      <c r="BG196" s="634"/>
      <c r="BH196" s="634"/>
      <c r="BI196" s="634"/>
    </row>
    <row r="197" spans="1:61" ht="16.2" customHeight="1">
      <c r="A197" s="12"/>
      <c r="B197" s="446"/>
      <c r="C197" s="89"/>
      <c r="D197" s="13"/>
      <c r="E197" s="14"/>
      <c r="F197" s="14"/>
      <c r="G197" s="15"/>
      <c r="H197" s="8"/>
      <c r="I197" s="8"/>
      <c r="J197" s="89"/>
      <c r="K197" s="8"/>
      <c r="L197" s="8"/>
      <c r="M197" s="8" t="str">
        <f>IF(L197="","",
IF(AX197="PT",VLOOKUP(L197,Foundation_Calc!$V$4:$X$37,VLOOKUP(AX197,Foundation_Calc!$I$10:$J$13,2,FALSE),0),
IF(AX197="K",VLOOKUP(L197,Foundation_Calc!$V$41:$X$74,VLOOKUP(AX197,Foundation_Calc!$I$10:$J$13,2,FALSE),0),"")))</f>
        <v/>
      </c>
      <c r="N197" s="8"/>
      <c r="O197" s="8"/>
      <c r="P197" s="8"/>
      <c r="Q197" s="14"/>
      <c r="R197" s="15"/>
      <c r="S197" s="15"/>
      <c r="T197" s="14"/>
      <c r="U197" s="14"/>
      <c r="V197" s="14"/>
      <c r="W197" s="18"/>
      <c r="X197" s="18"/>
      <c r="Y197" s="18"/>
      <c r="Z197" s="18"/>
      <c r="AA197" s="18"/>
      <c r="AB197" s="18"/>
      <c r="AC197" s="8" t="str">
        <f t="shared" si="9"/>
        <v/>
      </c>
      <c r="AD197" s="8"/>
      <c r="AE197" s="8"/>
      <c r="AF197" s="14"/>
      <c r="AG197" s="13"/>
      <c r="AH197" s="14"/>
      <c r="AI197" s="14"/>
      <c r="AJ197" s="8"/>
      <c r="AK197" s="8"/>
      <c r="AL197" s="8"/>
      <c r="AM197" s="8"/>
      <c r="AN197" s="631"/>
      <c r="AO197" s="18"/>
      <c r="AP197" s="18"/>
      <c r="AQ197" s="18"/>
      <c r="AR197" s="18"/>
      <c r="AS197" s="18"/>
      <c r="AU197" s="448"/>
      <c r="AV197" s="448"/>
      <c r="AW197" s="8" t="str">
        <f>IF(C197&gt;0,VLOOKUP(C197,Foundation_Calc!$A$2:$C$986,3,1),
IF(J197&gt;0,VLOOKUP(J197,Foundation_Calc!$A$2:$C$986,3,1),""))</f>
        <v/>
      </c>
      <c r="AX197" s="8" t="str">
        <f>IF(C197&gt;0,VLOOKUP(C197,Foundation_Calc!$E$2:$G$986,3,1),
IF(J197&gt;0,VLOOKUP(J197,Foundation_Calc!$E$2:$G$986,3,1),""))</f>
        <v/>
      </c>
      <c r="AY197" s="631" t="str">
        <f>IF(L197="","",
IF(AX197="PT",VLOOKUP(L197,Foundation_Calc!$K$4:$R$37,VLOOKUP(AW197,Foundation_Calc!$I$2:$J$8,2,FALSE),0),
IF(AX197="K",VLOOKUP(L197,Foundation_Calc!$K$41:$R$74,VLOOKUP(AW197,Foundation_Calc!$I$2:$J$8,2,FALSE),0),"")))</f>
        <v/>
      </c>
      <c r="AZ197" s="631" t="str">
        <f>IF(K197="","",
IF(AX197="PT",VLOOKUP(K197,Foundation_Calc!$K$4:$R$37,VLOOKUP(AW197,Foundation_Calc!$I$2:$J$8,2,FALSE),0),
IF(AX197="K",VLOOKUP(K197,Foundation_Calc!$K$41:$R$74,VLOOKUP(AW197,Foundation_Calc!$I$2:$J$8,2,FALSE),0),"")))</f>
        <v/>
      </c>
      <c r="BA197" s="632" t="str">
        <f t="shared" si="10"/>
        <v/>
      </c>
      <c r="BB197" s="632" t="str">
        <f t="shared" si="11"/>
        <v/>
      </c>
      <c r="BC197" s="632" t="str">
        <f t="shared" si="12"/>
        <v/>
      </c>
      <c r="BD197" s="633" t="str">
        <f>IF(AND(L197="",H197=""),"",
IF(H197="",Pole_Calc!A201,
IF(H197="MP",Pole_Calc!A202,
IF(H197="AnMP",Pole_Calc!A203,
IF(H197="A",Pole_Calc!A204,
IF(H197="S/A",Pole_Calc!A205,
IF(H197="A/S",Pole_Calc!A206,"Poner a mano")))))))</f>
        <v/>
      </c>
      <c r="BE197" s="448" t="s">
        <v>1726</v>
      </c>
      <c r="BF197" s="635"/>
      <c r="BG197" s="635"/>
      <c r="BH197" s="634"/>
      <c r="BI197" s="635"/>
    </row>
    <row r="198" spans="1:61" ht="16.2" customHeight="1">
      <c r="A198" s="12"/>
      <c r="B198" s="446"/>
      <c r="C198" s="89"/>
      <c r="D198" s="13"/>
      <c r="E198" s="14"/>
      <c r="F198" s="14"/>
      <c r="G198" s="15"/>
      <c r="H198" s="8"/>
      <c r="I198" s="8"/>
      <c r="J198" s="89"/>
      <c r="K198" s="8"/>
      <c r="L198" s="8"/>
      <c r="M198" s="8" t="str">
        <f>IF(L198="","",
IF(AX198="PT",VLOOKUP(L198,Foundation_Calc!$V$4:$X$37,VLOOKUP(AX198,Foundation_Calc!$I$10:$J$13,2,FALSE),0),
IF(AX198="K",VLOOKUP(L198,Foundation_Calc!$V$41:$X$74,VLOOKUP(AX198,Foundation_Calc!$I$10:$J$13,2,FALSE),0),"")))</f>
        <v/>
      </c>
      <c r="N198" s="8"/>
      <c r="O198" s="8"/>
      <c r="P198" s="8"/>
      <c r="Q198" s="14"/>
      <c r="R198" s="15"/>
      <c r="S198" s="15"/>
      <c r="T198" s="14"/>
      <c r="U198" s="14"/>
      <c r="V198" s="14"/>
      <c r="W198" s="18"/>
      <c r="X198" s="18"/>
      <c r="Y198" s="18"/>
      <c r="Z198" s="18"/>
      <c r="AA198" s="18"/>
      <c r="AB198" s="18"/>
      <c r="AC198" s="8" t="str">
        <f t="shared" ref="AC198:AC261" si="13">IF(OR(AT198&gt;8,AT198&lt;-8),"PH",
IF(OR(AT198&gt;5,AT198&lt;-5),"PHQ",
IF(OR(AT198&gt;1,AT198&lt;-1),
"PHC","")))</f>
        <v/>
      </c>
      <c r="AD198" s="8"/>
      <c r="AE198" s="8"/>
      <c r="AF198" s="14"/>
      <c r="AG198" s="13"/>
      <c r="AH198" s="14"/>
      <c r="AI198" s="14"/>
      <c r="AJ198" s="8"/>
      <c r="AK198" s="8"/>
      <c r="AL198" s="8"/>
      <c r="AM198" s="8"/>
      <c r="AN198" s="631"/>
      <c r="AO198" s="18"/>
      <c r="AP198" s="18"/>
      <c r="AQ198" s="18"/>
      <c r="AR198" s="18"/>
      <c r="AS198" s="18"/>
      <c r="AU198" s="448"/>
      <c r="AV198" s="448"/>
      <c r="AW198" s="8" t="str">
        <f>IF(C198&gt;0,VLOOKUP(C198,Foundation_Calc!$A$2:$C$986,3,1),
IF(J198&gt;0,VLOOKUP(J198,Foundation_Calc!$A$2:$C$986,3,1),""))</f>
        <v/>
      </c>
      <c r="AX198" s="8" t="str">
        <f>IF(C198&gt;0,VLOOKUP(C198,Foundation_Calc!$E$2:$G$986,3,1),
IF(J198&gt;0,VLOOKUP(J198,Foundation_Calc!$E$2:$G$986,3,1),""))</f>
        <v/>
      </c>
      <c r="AY198" s="631" t="str">
        <f>IF(L198="","",
IF(AX198="PT",VLOOKUP(L198,Foundation_Calc!$K$4:$R$37,VLOOKUP(AW198,Foundation_Calc!$I$2:$J$8,2,FALSE),0),
IF(AX198="K",VLOOKUP(L198,Foundation_Calc!$K$41:$R$74,VLOOKUP(AW198,Foundation_Calc!$I$2:$J$8,2,FALSE),0),"")))</f>
        <v/>
      </c>
      <c r="AZ198" s="631" t="str">
        <f>IF(K198="","",
IF(AX198="PT",VLOOKUP(K198,Foundation_Calc!$K$4:$R$37,VLOOKUP(AW198,Foundation_Calc!$I$2:$J$8,2,FALSE),0),
IF(AX198="K",VLOOKUP(K198,Foundation_Calc!$K$41:$R$74,VLOOKUP(AW198,Foundation_Calc!$I$2:$J$8,2,FALSE),0),"")))</f>
        <v/>
      </c>
      <c r="BA198" s="632" t="str">
        <f t="shared" ref="BA198:BA261" si="14">IF(AY198="","",IF(AY198&gt;0,"ü",""))</f>
        <v/>
      </c>
      <c r="BB198" s="632" t="str">
        <f t="shared" ref="BB198:BB261" si="15">IF(AZ198="","",IF(AZ198&gt;0,"ü",""))</f>
        <v/>
      </c>
      <c r="BC198" s="632" t="str">
        <f t="shared" ref="BC198:BC261" si="16">IF(M198="","",IF(M198="Unique Solution","ü",""))</f>
        <v/>
      </c>
      <c r="BD198" s="633" t="str">
        <f>IF(AND(L198="",H198=""),"",
IF(H198="",Pole_Calc!A202,
IF(H198="MP",Pole_Calc!A203,
IF(H198="AnMP",Pole_Calc!A204,
IF(H198="A",Pole_Calc!A205,
IF(H198="S/A",Pole_Calc!A206,
IF(H198="A/S",Pole_Calc!A207,"Poner a mano")))))))</f>
        <v/>
      </c>
      <c r="BE198" s="448" t="s">
        <v>1726</v>
      </c>
      <c r="BF198" s="634"/>
      <c r="BG198" s="634"/>
      <c r="BH198" s="634"/>
      <c r="BI198" s="634"/>
    </row>
    <row r="199" spans="1:61" ht="16.2" customHeight="1">
      <c r="A199" s="12"/>
      <c r="B199" s="446"/>
      <c r="C199" s="89"/>
      <c r="D199" s="13"/>
      <c r="E199" s="14"/>
      <c r="F199" s="14"/>
      <c r="G199" s="15"/>
      <c r="H199" s="8"/>
      <c r="I199" s="8"/>
      <c r="J199" s="89"/>
      <c r="K199" s="8"/>
      <c r="L199" s="8"/>
      <c r="M199" s="8" t="str">
        <f>IF(L199="","",
IF(AX199="PT",VLOOKUP(L199,Foundation_Calc!$V$4:$X$37,VLOOKUP(AX199,Foundation_Calc!$I$10:$J$13,2,FALSE),0),
IF(AX199="K",VLOOKUP(L199,Foundation_Calc!$V$41:$X$74,VLOOKUP(AX199,Foundation_Calc!$I$10:$J$13,2,FALSE),0),"")))</f>
        <v/>
      </c>
      <c r="N199" s="8"/>
      <c r="O199" s="8"/>
      <c r="P199" s="8"/>
      <c r="Q199" s="14"/>
      <c r="R199" s="15"/>
      <c r="S199" s="15"/>
      <c r="T199" s="14"/>
      <c r="U199" s="14"/>
      <c r="V199" s="14"/>
      <c r="W199" s="18"/>
      <c r="X199" s="18"/>
      <c r="Y199" s="18"/>
      <c r="Z199" s="18"/>
      <c r="AA199" s="18"/>
      <c r="AB199" s="18"/>
      <c r="AC199" s="8" t="str">
        <f t="shared" si="13"/>
        <v/>
      </c>
      <c r="AD199" s="8"/>
      <c r="AE199" s="8"/>
      <c r="AF199" s="14"/>
      <c r="AG199" s="13"/>
      <c r="AH199" s="14"/>
      <c r="AI199" s="14"/>
      <c r="AJ199" s="8"/>
      <c r="AK199" s="8"/>
      <c r="AL199" s="8"/>
      <c r="AM199" s="8"/>
      <c r="AN199" s="631"/>
      <c r="AO199" s="18"/>
      <c r="AP199" s="18"/>
      <c r="AQ199" s="18"/>
      <c r="AR199" s="18"/>
      <c r="AS199" s="18"/>
      <c r="AU199" s="448"/>
      <c r="AV199" s="448"/>
      <c r="AW199" s="8" t="str">
        <f>IF(C199&gt;0,VLOOKUP(C199,Foundation_Calc!$A$2:$C$986,3,1),
IF(J199&gt;0,VLOOKUP(J199,Foundation_Calc!$A$2:$C$986,3,1),""))</f>
        <v/>
      </c>
      <c r="AX199" s="8" t="str">
        <f>IF(C199&gt;0,VLOOKUP(C199,Foundation_Calc!$E$2:$G$986,3,1),
IF(J199&gt;0,VLOOKUP(J199,Foundation_Calc!$E$2:$G$986,3,1),""))</f>
        <v/>
      </c>
      <c r="AY199" s="631" t="str">
        <f>IF(L199="","",
IF(AX199="PT",VLOOKUP(L199,Foundation_Calc!$K$4:$R$37,VLOOKUP(AW199,Foundation_Calc!$I$2:$J$8,2,FALSE),0),
IF(AX199="K",VLOOKUP(L199,Foundation_Calc!$K$41:$R$74,VLOOKUP(AW199,Foundation_Calc!$I$2:$J$8,2,FALSE),0),"")))</f>
        <v/>
      </c>
      <c r="AZ199" s="631" t="str">
        <f>IF(K199="","",
IF(AX199="PT",VLOOKUP(K199,Foundation_Calc!$K$4:$R$37,VLOOKUP(AW199,Foundation_Calc!$I$2:$J$8,2,FALSE),0),
IF(AX199="K",VLOOKUP(K199,Foundation_Calc!$K$41:$R$74,VLOOKUP(AW199,Foundation_Calc!$I$2:$J$8,2,FALSE),0),"")))</f>
        <v/>
      </c>
      <c r="BA199" s="632" t="str">
        <f t="shared" si="14"/>
        <v/>
      </c>
      <c r="BB199" s="632" t="str">
        <f t="shared" si="15"/>
        <v/>
      </c>
      <c r="BC199" s="632" t="str">
        <f t="shared" si="16"/>
        <v/>
      </c>
      <c r="BD199" s="633" t="str">
        <f>IF(AND(L199="",H199=""),"",
IF(H199="",Pole_Calc!A203,
IF(H199="MP",Pole_Calc!A204,
IF(H199="AnMP",Pole_Calc!A205,
IF(H199="A",Pole_Calc!A206,
IF(H199="S/A",Pole_Calc!A207,
IF(H199="A/S",Pole_Calc!A208,"Poner a mano")))))))</f>
        <v/>
      </c>
      <c r="BE199" s="448" t="s">
        <v>1726</v>
      </c>
      <c r="BF199" s="635"/>
      <c r="BG199" s="635"/>
      <c r="BH199" s="634"/>
      <c r="BI199" s="635"/>
    </row>
    <row r="200" spans="1:61" ht="16.2" customHeight="1">
      <c r="A200" s="12"/>
      <c r="B200" s="446"/>
      <c r="C200" s="89"/>
      <c r="D200" s="13"/>
      <c r="E200" s="14"/>
      <c r="F200" s="14"/>
      <c r="G200" s="15"/>
      <c r="H200" s="8"/>
      <c r="I200" s="8"/>
      <c r="J200" s="89"/>
      <c r="K200" s="8"/>
      <c r="L200" s="8"/>
      <c r="M200" s="8" t="str">
        <f>IF(L200="","",
IF(AX200="PT",VLOOKUP(L200,Foundation_Calc!$V$4:$X$37,VLOOKUP(AX200,Foundation_Calc!$I$10:$J$13,2,FALSE),0),
IF(AX200="K",VLOOKUP(L200,Foundation_Calc!$V$41:$X$74,VLOOKUP(AX200,Foundation_Calc!$I$10:$J$13,2,FALSE),0),"")))</f>
        <v/>
      </c>
      <c r="N200" s="8"/>
      <c r="O200" s="8"/>
      <c r="P200" s="8"/>
      <c r="Q200" s="14"/>
      <c r="R200" s="15"/>
      <c r="S200" s="15"/>
      <c r="T200" s="14"/>
      <c r="U200" s="14"/>
      <c r="V200" s="14"/>
      <c r="W200" s="18"/>
      <c r="X200" s="18"/>
      <c r="Y200" s="18"/>
      <c r="Z200" s="18"/>
      <c r="AA200" s="18"/>
      <c r="AB200" s="18"/>
      <c r="AC200" s="8" t="str">
        <f t="shared" si="13"/>
        <v/>
      </c>
      <c r="AD200" s="8"/>
      <c r="AE200" s="8"/>
      <c r="AF200" s="14"/>
      <c r="AG200" s="13"/>
      <c r="AH200" s="14"/>
      <c r="AI200" s="14"/>
      <c r="AJ200" s="8"/>
      <c r="AK200" s="8"/>
      <c r="AL200" s="8"/>
      <c r="AM200" s="8"/>
      <c r="AN200" s="631"/>
      <c r="AO200" s="18"/>
      <c r="AP200" s="18"/>
      <c r="AQ200" s="18"/>
      <c r="AR200" s="18"/>
      <c r="AS200" s="18"/>
      <c r="AU200" s="448"/>
      <c r="AV200" s="448"/>
      <c r="AW200" s="8" t="str">
        <f>IF(C200&gt;0,VLOOKUP(C200,Foundation_Calc!$A$2:$C$986,3,1),
IF(J200&gt;0,VLOOKUP(J200,Foundation_Calc!$A$2:$C$986,3,1),""))</f>
        <v/>
      </c>
      <c r="AX200" s="8" t="str">
        <f>IF(C200&gt;0,VLOOKUP(C200,Foundation_Calc!$E$2:$G$986,3,1),
IF(J200&gt;0,VLOOKUP(J200,Foundation_Calc!$E$2:$G$986,3,1),""))</f>
        <v/>
      </c>
      <c r="AY200" s="631" t="str">
        <f>IF(L200="","",
IF(AX200="PT",VLOOKUP(L200,Foundation_Calc!$K$4:$R$37,VLOOKUP(AW200,Foundation_Calc!$I$2:$J$8,2,FALSE),0),
IF(AX200="K",VLOOKUP(L200,Foundation_Calc!$K$41:$R$74,VLOOKUP(AW200,Foundation_Calc!$I$2:$J$8,2,FALSE),0),"")))</f>
        <v/>
      </c>
      <c r="AZ200" s="631" t="str">
        <f>IF(K200="","",
IF(AX200="PT",VLOOKUP(K200,Foundation_Calc!$K$4:$R$37,VLOOKUP(AW200,Foundation_Calc!$I$2:$J$8,2,FALSE),0),
IF(AX200="K",VLOOKUP(K200,Foundation_Calc!$K$41:$R$74,VLOOKUP(AW200,Foundation_Calc!$I$2:$J$8,2,FALSE),0),"")))</f>
        <v/>
      </c>
      <c r="BA200" s="632" t="str">
        <f t="shared" si="14"/>
        <v/>
      </c>
      <c r="BB200" s="632" t="str">
        <f t="shared" si="15"/>
        <v/>
      </c>
      <c r="BC200" s="632" t="str">
        <f t="shared" si="16"/>
        <v/>
      </c>
      <c r="BD200" s="633" t="str">
        <f>IF(AND(L200="",H200=""),"",
IF(H200="",Pole_Calc!A204,
IF(H200="MP",Pole_Calc!A205,
IF(H200="AnMP",Pole_Calc!A206,
IF(H200="A",Pole_Calc!A207,
IF(H200="S/A",Pole_Calc!A208,
IF(H200="A/S",Pole_Calc!A209,"Poner a mano")))))))</f>
        <v/>
      </c>
      <c r="BE200" s="448" t="s">
        <v>1726</v>
      </c>
      <c r="BF200" s="634"/>
      <c r="BG200" s="634"/>
      <c r="BH200" s="634"/>
      <c r="BI200" s="634"/>
    </row>
    <row r="201" spans="1:61" ht="16.2" customHeight="1">
      <c r="A201" s="12"/>
      <c r="B201" s="446"/>
      <c r="C201" s="89"/>
      <c r="D201" s="13"/>
      <c r="E201" s="14"/>
      <c r="F201" s="14"/>
      <c r="G201" s="15"/>
      <c r="H201" s="8"/>
      <c r="I201" s="8"/>
      <c r="J201" s="89"/>
      <c r="K201" s="8"/>
      <c r="L201" s="8"/>
      <c r="M201" s="8" t="str">
        <f>IF(L201="","",
IF(AX201="PT",VLOOKUP(L201,Foundation_Calc!$V$4:$X$37,VLOOKUP(AX201,Foundation_Calc!$I$10:$J$13,2,FALSE),0),
IF(AX201="K",VLOOKUP(L201,Foundation_Calc!$V$41:$X$74,VLOOKUP(AX201,Foundation_Calc!$I$10:$J$13,2,FALSE),0),"")))</f>
        <v/>
      </c>
      <c r="N201" s="8"/>
      <c r="O201" s="8"/>
      <c r="P201" s="8"/>
      <c r="Q201" s="14"/>
      <c r="R201" s="15"/>
      <c r="S201" s="15"/>
      <c r="T201" s="14"/>
      <c r="U201" s="14"/>
      <c r="V201" s="14"/>
      <c r="W201" s="18"/>
      <c r="X201" s="18"/>
      <c r="Y201" s="18"/>
      <c r="Z201" s="18"/>
      <c r="AA201" s="18"/>
      <c r="AB201" s="18"/>
      <c r="AC201" s="8" t="str">
        <f t="shared" si="13"/>
        <v/>
      </c>
      <c r="AD201" s="8"/>
      <c r="AE201" s="8"/>
      <c r="AF201" s="14"/>
      <c r="AG201" s="13"/>
      <c r="AH201" s="14"/>
      <c r="AI201" s="14"/>
      <c r="AJ201" s="8"/>
      <c r="AK201" s="8"/>
      <c r="AL201" s="8"/>
      <c r="AM201" s="8"/>
      <c r="AN201" s="631"/>
      <c r="AO201" s="18"/>
      <c r="AP201" s="18"/>
      <c r="AQ201" s="18"/>
      <c r="AR201" s="18"/>
      <c r="AS201" s="18"/>
      <c r="AU201" s="448"/>
      <c r="AV201" s="448"/>
      <c r="AW201" s="8" t="str">
        <f>IF(C201&gt;0,VLOOKUP(C201,Foundation_Calc!$A$2:$C$986,3,1),
IF(J201&gt;0,VLOOKUP(J201,Foundation_Calc!$A$2:$C$986,3,1),""))</f>
        <v/>
      </c>
      <c r="AX201" s="8" t="str">
        <f>IF(C201&gt;0,VLOOKUP(C201,Foundation_Calc!$E$2:$G$986,3,1),
IF(J201&gt;0,VLOOKUP(J201,Foundation_Calc!$E$2:$G$986,3,1),""))</f>
        <v/>
      </c>
      <c r="AY201" s="631" t="str">
        <f>IF(L201="","",
IF(AX201="PT",VLOOKUP(L201,Foundation_Calc!$K$4:$R$37,VLOOKUP(AW201,Foundation_Calc!$I$2:$J$8,2,FALSE),0),
IF(AX201="K",VLOOKUP(L201,Foundation_Calc!$K$41:$R$74,VLOOKUP(AW201,Foundation_Calc!$I$2:$J$8,2,FALSE),0),"")))</f>
        <v/>
      </c>
      <c r="AZ201" s="631" t="str">
        <f>IF(K201="","",
IF(AX201="PT",VLOOKUP(K201,Foundation_Calc!$K$4:$R$37,VLOOKUP(AW201,Foundation_Calc!$I$2:$J$8,2,FALSE),0),
IF(AX201="K",VLOOKUP(K201,Foundation_Calc!$K$41:$R$74,VLOOKUP(AW201,Foundation_Calc!$I$2:$J$8,2,FALSE),0),"")))</f>
        <v/>
      </c>
      <c r="BA201" s="632" t="str">
        <f t="shared" si="14"/>
        <v/>
      </c>
      <c r="BB201" s="632" t="str">
        <f t="shared" si="15"/>
        <v/>
      </c>
      <c r="BC201" s="632" t="str">
        <f t="shared" si="16"/>
        <v/>
      </c>
      <c r="BD201" s="633" t="str">
        <f>IF(AND(L201="",H201=""),"",
IF(H201="",Pole_Calc!A205,
IF(H201="MP",Pole_Calc!A206,
IF(H201="AnMP",Pole_Calc!A207,
IF(H201="A",Pole_Calc!A208,
IF(H201="S/A",Pole_Calc!A209,
IF(H201="A/S",Pole_Calc!A210,"Poner a mano")))))))</f>
        <v/>
      </c>
      <c r="BE201" s="448" t="s">
        <v>1726</v>
      </c>
      <c r="BF201" s="635"/>
      <c r="BG201" s="635"/>
      <c r="BH201" s="634"/>
      <c r="BI201" s="635"/>
    </row>
    <row r="202" spans="1:61" ht="16.2" customHeight="1">
      <c r="A202" s="12"/>
      <c r="B202" s="446"/>
      <c r="C202" s="89"/>
      <c r="D202" s="13"/>
      <c r="E202" s="14"/>
      <c r="F202" s="14"/>
      <c r="G202" s="15"/>
      <c r="H202" s="8"/>
      <c r="I202" s="8"/>
      <c r="J202" s="89"/>
      <c r="K202" s="8"/>
      <c r="L202" s="8"/>
      <c r="M202" s="8" t="str">
        <f>IF(L202="","",
IF(AX202="PT",VLOOKUP(L202,Foundation_Calc!$V$4:$X$37,VLOOKUP(AX202,Foundation_Calc!$I$10:$J$13,2,FALSE),0),
IF(AX202="K",VLOOKUP(L202,Foundation_Calc!$V$41:$X$74,VLOOKUP(AX202,Foundation_Calc!$I$10:$J$13,2,FALSE),0),"")))</f>
        <v/>
      </c>
      <c r="N202" s="8"/>
      <c r="O202" s="8"/>
      <c r="P202" s="8"/>
      <c r="Q202" s="14"/>
      <c r="R202" s="15"/>
      <c r="S202" s="15"/>
      <c r="T202" s="14"/>
      <c r="U202" s="14"/>
      <c r="V202" s="14"/>
      <c r="W202" s="18"/>
      <c r="X202" s="18"/>
      <c r="Y202" s="18"/>
      <c r="Z202" s="18"/>
      <c r="AA202" s="18"/>
      <c r="AB202" s="18"/>
      <c r="AC202" s="8" t="str">
        <f t="shared" si="13"/>
        <v/>
      </c>
      <c r="AD202" s="8"/>
      <c r="AE202" s="8"/>
      <c r="AF202" s="14"/>
      <c r="AG202" s="13"/>
      <c r="AH202" s="14"/>
      <c r="AI202" s="14"/>
      <c r="AJ202" s="8"/>
      <c r="AK202" s="8"/>
      <c r="AL202" s="8"/>
      <c r="AM202" s="8"/>
      <c r="AN202" s="631"/>
      <c r="AO202" s="18"/>
      <c r="AP202" s="18"/>
      <c r="AQ202" s="18"/>
      <c r="AR202" s="18"/>
      <c r="AS202" s="18"/>
      <c r="AU202" s="448"/>
      <c r="AV202" s="448"/>
      <c r="AW202" s="8" t="str">
        <f>IF(C202&gt;0,VLOOKUP(C202,Foundation_Calc!$A$2:$C$986,3,1),
IF(J202&gt;0,VLOOKUP(J202,Foundation_Calc!$A$2:$C$986,3,1),""))</f>
        <v/>
      </c>
      <c r="AX202" s="8" t="str">
        <f>IF(C202&gt;0,VLOOKUP(C202,Foundation_Calc!$E$2:$G$986,3,1),
IF(J202&gt;0,VLOOKUP(J202,Foundation_Calc!$E$2:$G$986,3,1),""))</f>
        <v/>
      </c>
      <c r="AY202" s="631" t="str">
        <f>IF(L202="","",
IF(AX202="PT",VLOOKUP(L202,Foundation_Calc!$K$4:$R$37,VLOOKUP(AW202,Foundation_Calc!$I$2:$J$8,2,FALSE),0),
IF(AX202="K",VLOOKUP(L202,Foundation_Calc!$K$41:$R$74,VLOOKUP(AW202,Foundation_Calc!$I$2:$J$8,2,FALSE),0),"")))</f>
        <v/>
      </c>
      <c r="AZ202" s="631" t="str">
        <f>IF(K202="","",
IF(AX202="PT",VLOOKUP(K202,Foundation_Calc!$K$4:$R$37,VLOOKUP(AW202,Foundation_Calc!$I$2:$J$8,2,FALSE),0),
IF(AX202="K",VLOOKUP(K202,Foundation_Calc!$K$41:$R$74,VLOOKUP(AW202,Foundation_Calc!$I$2:$J$8,2,FALSE),0),"")))</f>
        <v/>
      </c>
      <c r="BA202" s="632" t="str">
        <f t="shared" si="14"/>
        <v/>
      </c>
      <c r="BB202" s="632" t="str">
        <f t="shared" si="15"/>
        <v/>
      </c>
      <c r="BC202" s="632" t="str">
        <f t="shared" si="16"/>
        <v/>
      </c>
      <c r="BD202" s="633" t="str">
        <f>IF(AND(L202="",H202=""),"",
IF(H202="",Pole_Calc!A206,
IF(H202="MP",Pole_Calc!A207,
IF(H202="AnMP",Pole_Calc!A208,
IF(H202="A",Pole_Calc!A209,
IF(H202="S/A",Pole_Calc!A210,
IF(H202="A/S",Pole_Calc!A211,"Poner a mano")))))))</f>
        <v/>
      </c>
      <c r="BE202" s="448" t="s">
        <v>1726</v>
      </c>
      <c r="BF202" s="634"/>
      <c r="BG202" s="634"/>
      <c r="BH202" s="634"/>
      <c r="BI202" s="634"/>
    </row>
    <row r="203" spans="1:61" ht="16.2" customHeight="1">
      <c r="A203" s="12"/>
      <c r="B203" s="446"/>
      <c r="C203" s="89"/>
      <c r="D203" s="13"/>
      <c r="E203" s="14"/>
      <c r="F203" s="14"/>
      <c r="G203" s="15"/>
      <c r="H203" s="8"/>
      <c r="I203" s="8"/>
      <c r="J203" s="89"/>
      <c r="K203" s="8"/>
      <c r="L203" s="8"/>
      <c r="M203" s="8" t="str">
        <f>IF(L203="","",
IF(AX203="PT",VLOOKUP(L203,Foundation_Calc!$V$4:$X$37,VLOOKUP(AX203,Foundation_Calc!$I$10:$J$13,2,FALSE),0),
IF(AX203="K",VLOOKUP(L203,Foundation_Calc!$V$41:$X$74,VLOOKUP(AX203,Foundation_Calc!$I$10:$J$13,2,FALSE),0),"")))</f>
        <v/>
      </c>
      <c r="N203" s="8"/>
      <c r="O203" s="8"/>
      <c r="P203" s="8"/>
      <c r="Q203" s="14"/>
      <c r="R203" s="15"/>
      <c r="S203" s="15"/>
      <c r="T203" s="14"/>
      <c r="U203" s="14"/>
      <c r="V203" s="14"/>
      <c r="W203" s="18"/>
      <c r="X203" s="18"/>
      <c r="Y203" s="18"/>
      <c r="Z203" s="18"/>
      <c r="AA203" s="18"/>
      <c r="AB203" s="18"/>
      <c r="AC203" s="8" t="str">
        <f t="shared" si="13"/>
        <v/>
      </c>
      <c r="AD203" s="8"/>
      <c r="AE203" s="8"/>
      <c r="AF203" s="14"/>
      <c r="AG203" s="13"/>
      <c r="AH203" s="14"/>
      <c r="AI203" s="14"/>
      <c r="AJ203" s="8"/>
      <c r="AK203" s="8"/>
      <c r="AL203" s="8"/>
      <c r="AM203" s="8"/>
      <c r="AN203" s="631"/>
      <c r="AO203" s="18"/>
      <c r="AP203" s="18"/>
      <c r="AQ203" s="18"/>
      <c r="AR203" s="18"/>
      <c r="AS203" s="18"/>
      <c r="AU203" s="448"/>
      <c r="AV203" s="448"/>
      <c r="AW203" s="8" t="str">
        <f>IF(C203&gt;0,VLOOKUP(C203,Foundation_Calc!$A$2:$C$986,3,1),
IF(J203&gt;0,VLOOKUP(J203,Foundation_Calc!$A$2:$C$986,3,1),""))</f>
        <v/>
      </c>
      <c r="AX203" s="8" t="str">
        <f>IF(C203&gt;0,VLOOKUP(C203,Foundation_Calc!$E$2:$G$986,3,1),
IF(J203&gt;0,VLOOKUP(J203,Foundation_Calc!$E$2:$G$986,3,1),""))</f>
        <v/>
      </c>
      <c r="AY203" s="631" t="str">
        <f>IF(L203="","",
IF(AX203="PT",VLOOKUP(L203,Foundation_Calc!$K$4:$R$37,VLOOKUP(AW203,Foundation_Calc!$I$2:$J$8,2,FALSE),0),
IF(AX203="K",VLOOKUP(L203,Foundation_Calc!$K$41:$R$74,VLOOKUP(AW203,Foundation_Calc!$I$2:$J$8,2,FALSE),0),"")))</f>
        <v/>
      </c>
      <c r="AZ203" s="631" t="str">
        <f>IF(K203="","",
IF(AX203="PT",VLOOKUP(K203,Foundation_Calc!$K$4:$R$37,VLOOKUP(AW203,Foundation_Calc!$I$2:$J$8,2,FALSE),0),
IF(AX203="K",VLOOKUP(K203,Foundation_Calc!$K$41:$R$74,VLOOKUP(AW203,Foundation_Calc!$I$2:$J$8,2,FALSE),0),"")))</f>
        <v/>
      </c>
      <c r="BA203" s="632" t="str">
        <f t="shared" si="14"/>
        <v/>
      </c>
      <c r="BB203" s="632" t="str">
        <f t="shared" si="15"/>
        <v/>
      </c>
      <c r="BC203" s="632" t="str">
        <f t="shared" si="16"/>
        <v/>
      </c>
      <c r="BD203" s="633" t="str">
        <f>IF(AND(L203="",H203=""),"",
IF(H203="",Pole_Calc!A207,
IF(H203="MP",Pole_Calc!A208,
IF(H203="AnMP",Pole_Calc!A209,
IF(H203="A",Pole_Calc!A210,
IF(H203="S/A",Pole_Calc!A211,
IF(H203="A/S",Pole_Calc!A212,"Poner a mano")))))))</f>
        <v/>
      </c>
      <c r="BE203" s="448" t="s">
        <v>1726</v>
      </c>
      <c r="BF203" s="635"/>
      <c r="BG203" s="635"/>
      <c r="BH203" s="634"/>
      <c r="BI203" s="635"/>
    </row>
    <row r="204" spans="1:61" ht="16.2" customHeight="1">
      <c r="A204" s="12"/>
      <c r="B204" s="446"/>
      <c r="C204" s="89"/>
      <c r="D204" s="13"/>
      <c r="E204" s="14"/>
      <c r="F204" s="14"/>
      <c r="G204" s="15"/>
      <c r="H204" s="8"/>
      <c r="I204" s="8"/>
      <c r="J204" s="89"/>
      <c r="K204" s="8"/>
      <c r="L204" s="8"/>
      <c r="M204" s="8" t="str">
        <f>IF(L204="","",
IF(AX204="PT",VLOOKUP(L204,Foundation_Calc!$V$4:$X$37,VLOOKUP(AX204,Foundation_Calc!$I$10:$J$13,2,FALSE),0),
IF(AX204="K",VLOOKUP(L204,Foundation_Calc!$V$41:$X$74,VLOOKUP(AX204,Foundation_Calc!$I$10:$J$13,2,FALSE),0),"")))</f>
        <v/>
      </c>
      <c r="N204" s="8"/>
      <c r="O204" s="8"/>
      <c r="P204" s="8"/>
      <c r="Q204" s="14"/>
      <c r="R204" s="15"/>
      <c r="S204" s="15"/>
      <c r="T204" s="14"/>
      <c r="U204" s="14"/>
      <c r="V204" s="14"/>
      <c r="W204" s="18"/>
      <c r="X204" s="18"/>
      <c r="Y204" s="18"/>
      <c r="Z204" s="18"/>
      <c r="AA204" s="18"/>
      <c r="AB204" s="18"/>
      <c r="AC204" s="8" t="str">
        <f t="shared" si="13"/>
        <v/>
      </c>
      <c r="AD204" s="8"/>
      <c r="AE204" s="8"/>
      <c r="AF204" s="14"/>
      <c r="AG204" s="13"/>
      <c r="AH204" s="14"/>
      <c r="AI204" s="14"/>
      <c r="AJ204" s="8"/>
      <c r="AK204" s="8"/>
      <c r="AL204" s="8"/>
      <c r="AM204" s="8"/>
      <c r="AN204" s="631"/>
      <c r="AO204" s="18"/>
      <c r="AP204" s="18"/>
      <c r="AQ204" s="18"/>
      <c r="AR204" s="18"/>
      <c r="AS204" s="18"/>
      <c r="AU204" s="448"/>
      <c r="AV204" s="448"/>
      <c r="AW204" s="8" t="str">
        <f>IF(C204&gt;0,VLOOKUP(C204,Foundation_Calc!$A$2:$C$986,3,1),
IF(J204&gt;0,VLOOKUP(J204,Foundation_Calc!$A$2:$C$986,3,1),""))</f>
        <v/>
      </c>
      <c r="AX204" s="8" t="str">
        <f>IF(C204&gt;0,VLOOKUP(C204,Foundation_Calc!$E$2:$G$986,3,1),
IF(J204&gt;0,VLOOKUP(J204,Foundation_Calc!$E$2:$G$986,3,1),""))</f>
        <v/>
      </c>
      <c r="AY204" s="631" t="str">
        <f>IF(L204="","",
IF(AX204="PT",VLOOKUP(L204,Foundation_Calc!$K$4:$R$37,VLOOKUP(AW204,Foundation_Calc!$I$2:$J$8,2,FALSE),0),
IF(AX204="K",VLOOKUP(L204,Foundation_Calc!$K$41:$R$74,VLOOKUP(AW204,Foundation_Calc!$I$2:$J$8,2,FALSE),0),"")))</f>
        <v/>
      </c>
      <c r="AZ204" s="631" t="str">
        <f>IF(K204="","",
IF(AX204="PT",VLOOKUP(K204,Foundation_Calc!$K$4:$R$37,VLOOKUP(AW204,Foundation_Calc!$I$2:$J$8,2,FALSE),0),
IF(AX204="K",VLOOKUP(K204,Foundation_Calc!$K$41:$R$74,VLOOKUP(AW204,Foundation_Calc!$I$2:$J$8,2,FALSE),0),"")))</f>
        <v/>
      </c>
      <c r="BA204" s="632" t="str">
        <f t="shared" si="14"/>
        <v/>
      </c>
      <c r="BB204" s="632" t="str">
        <f t="shared" si="15"/>
        <v/>
      </c>
      <c r="BC204" s="632" t="str">
        <f t="shared" si="16"/>
        <v/>
      </c>
      <c r="BD204" s="633" t="str">
        <f>IF(AND(L204="",H204=""),"",
IF(H204="",Pole_Calc!A208,
IF(H204="MP",Pole_Calc!A209,
IF(H204="AnMP",Pole_Calc!A210,
IF(H204="A",Pole_Calc!A211,
IF(H204="S/A",Pole_Calc!A212,
IF(H204="A/S",Pole_Calc!A213,"Poner a mano")))))))</f>
        <v/>
      </c>
      <c r="BE204" s="448" t="s">
        <v>1726</v>
      </c>
      <c r="BF204" s="634"/>
      <c r="BG204" s="634"/>
      <c r="BH204" s="634"/>
      <c r="BI204" s="634"/>
    </row>
    <row r="205" spans="1:61" ht="16.2" customHeight="1">
      <c r="A205" s="12"/>
      <c r="B205" s="446"/>
      <c r="C205" s="89"/>
      <c r="D205" s="13"/>
      <c r="E205" s="14"/>
      <c r="F205" s="14"/>
      <c r="G205" s="15"/>
      <c r="H205" s="8"/>
      <c r="I205" s="8"/>
      <c r="J205" s="89"/>
      <c r="K205" s="8"/>
      <c r="L205" s="8"/>
      <c r="M205" s="8" t="str">
        <f>IF(L205="","",
IF(AX205="PT",VLOOKUP(L205,Foundation_Calc!$V$4:$X$37,VLOOKUP(AX205,Foundation_Calc!$I$10:$J$13,2,FALSE),0),
IF(AX205="K",VLOOKUP(L205,Foundation_Calc!$V$41:$X$74,VLOOKUP(AX205,Foundation_Calc!$I$10:$J$13,2,FALSE),0),"")))</f>
        <v/>
      </c>
      <c r="N205" s="8"/>
      <c r="O205" s="8"/>
      <c r="P205" s="8"/>
      <c r="Q205" s="14"/>
      <c r="R205" s="15"/>
      <c r="S205" s="15"/>
      <c r="T205" s="14"/>
      <c r="U205" s="14"/>
      <c r="V205" s="14"/>
      <c r="W205" s="18"/>
      <c r="X205" s="18"/>
      <c r="Y205" s="18"/>
      <c r="Z205" s="18"/>
      <c r="AA205" s="18"/>
      <c r="AB205" s="18"/>
      <c r="AC205" s="8" t="str">
        <f t="shared" si="13"/>
        <v/>
      </c>
      <c r="AD205" s="8"/>
      <c r="AE205" s="8"/>
      <c r="AF205" s="14"/>
      <c r="AG205" s="13"/>
      <c r="AH205" s="14"/>
      <c r="AI205" s="14"/>
      <c r="AJ205" s="8"/>
      <c r="AK205" s="8"/>
      <c r="AL205" s="8"/>
      <c r="AM205" s="8"/>
      <c r="AN205" s="631"/>
      <c r="AO205" s="18"/>
      <c r="AP205" s="18"/>
      <c r="AQ205" s="18"/>
      <c r="AR205" s="18"/>
      <c r="AS205" s="18"/>
      <c r="AU205" s="448"/>
      <c r="AV205" s="448"/>
      <c r="AW205" s="8" t="str">
        <f>IF(C205&gt;0,VLOOKUP(C205,Foundation_Calc!$A$2:$C$986,3,1),
IF(J205&gt;0,VLOOKUP(J205,Foundation_Calc!$A$2:$C$986,3,1),""))</f>
        <v/>
      </c>
      <c r="AX205" s="8" t="str">
        <f>IF(C205&gt;0,VLOOKUP(C205,Foundation_Calc!$E$2:$G$986,3,1),
IF(J205&gt;0,VLOOKUP(J205,Foundation_Calc!$E$2:$G$986,3,1),""))</f>
        <v/>
      </c>
      <c r="AY205" s="631" t="str">
        <f>IF(L205="","",
IF(AX205="PT",VLOOKUP(L205,Foundation_Calc!$K$4:$R$37,VLOOKUP(AW205,Foundation_Calc!$I$2:$J$8,2,FALSE),0),
IF(AX205="K",VLOOKUP(L205,Foundation_Calc!$K$41:$R$74,VLOOKUP(AW205,Foundation_Calc!$I$2:$J$8,2,FALSE),0),"")))</f>
        <v/>
      </c>
      <c r="AZ205" s="631" t="str">
        <f>IF(K205="","",
IF(AX205="PT",VLOOKUP(K205,Foundation_Calc!$K$4:$R$37,VLOOKUP(AW205,Foundation_Calc!$I$2:$J$8,2,FALSE),0),
IF(AX205="K",VLOOKUP(K205,Foundation_Calc!$K$41:$R$74,VLOOKUP(AW205,Foundation_Calc!$I$2:$J$8,2,FALSE),0),"")))</f>
        <v/>
      </c>
      <c r="BA205" s="632" t="str">
        <f t="shared" si="14"/>
        <v/>
      </c>
      <c r="BB205" s="632" t="str">
        <f t="shared" si="15"/>
        <v/>
      </c>
      <c r="BC205" s="632" t="str">
        <f t="shared" si="16"/>
        <v/>
      </c>
      <c r="BD205" s="633" t="str">
        <f>IF(AND(L205="",H205=""),"",
IF(H205="",Pole_Calc!A209,
IF(H205="MP",Pole_Calc!A210,
IF(H205="AnMP",Pole_Calc!A211,
IF(H205="A",Pole_Calc!A212,
IF(H205="S/A",Pole_Calc!A213,
IF(H205="A/S",Pole_Calc!A214,"Poner a mano")))))))</f>
        <v/>
      </c>
      <c r="BE205" s="448" t="s">
        <v>1726</v>
      </c>
      <c r="BF205" s="635"/>
      <c r="BG205" s="635"/>
      <c r="BH205" s="634"/>
      <c r="BI205" s="635"/>
    </row>
    <row r="206" spans="1:61" ht="16.2" customHeight="1">
      <c r="A206" s="12"/>
      <c r="B206" s="446"/>
      <c r="C206" s="89"/>
      <c r="D206" s="13"/>
      <c r="E206" s="14"/>
      <c r="F206" s="14"/>
      <c r="G206" s="15"/>
      <c r="H206" s="8"/>
      <c r="I206" s="8"/>
      <c r="J206" s="89"/>
      <c r="K206" s="8"/>
      <c r="L206" s="8"/>
      <c r="M206" s="8" t="str">
        <f>IF(L206="","",
IF(AX206="PT",VLOOKUP(L206,Foundation_Calc!$V$4:$X$37,VLOOKUP(AX206,Foundation_Calc!$I$10:$J$13,2,FALSE),0),
IF(AX206="K",VLOOKUP(L206,Foundation_Calc!$V$41:$X$74,VLOOKUP(AX206,Foundation_Calc!$I$10:$J$13,2,FALSE),0),"")))</f>
        <v/>
      </c>
      <c r="N206" s="8"/>
      <c r="O206" s="8"/>
      <c r="P206" s="8"/>
      <c r="Q206" s="14"/>
      <c r="R206" s="15"/>
      <c r="S206" s="15"/>
      <c r="T206" s="14"/>
      <c r="U206" s="14"/>
      <c r="V206" s="14"/>
      <c r="W206" s="18"/>
      <c r="X206" s="18"/>
      <c r="Y206" s="18"/>
      <c r="Z206" s="18"/>
      <c r="AA206" s="18"/>
      <c r="AB206" s="18"/>
      <c r="AC206" s="8" t="str">
        <f t="shared" si="13"/>
        <v/>
      </c>
      <c r="AD206" s="8"/>
      <c r="AE206" s="8"/>
      <c r="AF206" s="14"/>
      <c r="AG206" s="13"/>
      <c r="AH206" s="14"/>
      <c r="AI206" s="14"/>
      <c r="AJ206" s="8"/>
      <c r="AK206" s="8"/>
      <c r="AL206" s="8"/>
      <c r="AM206" s="8"/>
      <c r="AN206" s="631"/>
      <c r="AO206" s="18"/>
      <c r="AP206" s="18"/>
      <c r="AQ206" s="18"/>
      <c r="AR206" s="18"/>
      <c r="AS206" s="18"/>
      <c r="AU206" s="448"/>
      <c r="AV206" s="448"/>
      <c r="AW206" s="8" t="str">
        <f>IF(C206&gt;0,VLOOKUP(C206,Foundation_Calc!$A$2:$C$986,3,1),
IF(J206&gt;0,VLOOKUP(J206,Foundation_Calc!$A$2:$C$986,3,1),""))</f>
        <v/>
      </c>
      <c r="AX206" s="8" t="str">
        <f>IF(C206&gt;0,VLOOKUP(C206,Foundation_Calc!$E$2:$G$986,3,1),
IF(J206&gt;0,VLOOKUP(J206,Foundation_Calc!$E$2:$G$986,3,1),""))</f>
        <v/>
      </c>
      <c r="AY206" s="631" t="str">
        <f>IF(L206="","",
IF(AX206="PT",VLOOKUP(L206,Foundation_Calc!$K$4:$R$37,VLOOKUP(AW206,Foundation_Calc!$I$2:$J$8,2,FALSE),0),
IF(AX206="K",VLOOKUP(L206,Foundation_Calc!$K$41:$R$74,VLOOKUP(AW206,Foundation_Calc!$I$2:$J$8,2,FALSE),0),"")))</f>
        <v/>
      </c>
      <c r="AZ206" s="631" t="str">
        <f>IF(K206="","",
IF(AX206="PT",VLOOKUP(K206,Foundation_Calc!$K$4:$R$37,VLOOKUP(AW206,Foundation_Calc!$I$2:$J$8,2,FALSE),0),
IF(AX206="K",VLOOKUP(K206,Foundation_Calc!$K$41:$R$74,VLOOKUP(AW206,Foundation_Calc!$I$2:$J$8,2,FALSE),0),"")))</f>
        <v/>
      </c>
      <c r="BA206" s="632" t="str">
        <f t="shared" si="14"/>
        <v/>
      </c>
      <c r="BB206" s="632" t="str">
        <f t="shared" si="15"/>
        <v/>
      </c>
      <c r="BC206" s="632" t="str">
        <f t="shared" si="16"/>
        <v/>
      </c>
      <c r="BD206" s="633" t="str">
        <f>IF(AND(L206="",H206=""),"",
IF(H206="",Pole_Calc!A210,
IF(H206="MP",Pole_Calc!A211,
IF(H206="AnMP",Pole_Calc!A212,
IF(H206="A",Pole_Calc!A213,
IF(H206="S/A",Pole_Calc!A214,
IF(H206="A/S",Pole_Calc!A239,"Poner a mano")))))))</f>
        <v/>
      </c>
      <c r="BE206" s="448" t="s">
        <v>1726</v>
      </c>
      <c r="BF206" s="634"/>
      <c r="BG206" s="634"/>
      <c r="BH206" s="634"/>
      <c r="BI206" s="634"/>
    </row>
    <row r="207" spans="1:61" ht="16.2" customHeight="1">
      <c r="A207" s="12"/>
      <c r="B207" s="446"/>
      <c r="C207" s="89"/>
      <c r="D207" s="13"/>
      <c r="E207" s="14"/>
      <c r="F207" s="14"/>
      <c r="G207" s="15"/>
      <c r="H207" s="8"/>
      <c r="I207" s="8"/>
      <c r="J207" s="89"/>
      <c r="K207" s="8"/>
      <c r="L207" s="8"/>
      <c r="M207" s="8" t="str">
        <f>IF(L207="","",
IF(AX207="PT",VLOOKUP(L207,Foundation_Calc!$V$4:$X$37,VLOOKUP(AX207,Foundation_Calc!$I$10:$J$13,2,FALSE),0),
IF(AX207="K",VLOOKUP(L207,Foundation_Calc!$V$41:$X$74,VLOOKUP(AX207,Foundation_Calc!$I$10:$J$13,2,FALSE),0),"")))</f>
        <v/>
      </c>
      <c r="N207" s="8"/>
      <c r="O207" s="8"/>
      <c r="P207" s="8"/>
      <c r="Q207" s="14"/>
      <c r="R207" s="15"/>
      <c r="S207" s="15"/>
      <c r="T207" s="14"/>
      <c r="U207" s="14"/>
      <c r="V207" s="14"/>
      <c r="W207" s="18"/>
      <c r="X207" s="18"/>
      <c r="Y207" s="18"/>
      <c r="Z207" s="18"/>
      <c r="AA207" s="18"/>
      <c r="AB207" s="18"/>
      <c r="AC207" s="8" t="str">
        <f t="shared" si="13"/>
        <v/>
      </c>
      <c r="AD207" s="8"/>
      <c r="AE207" s="8"/>
      <c r="AF207" s="14"/>
      <c r="AG207" s="13"/>
      <c r="AH207" s="14"/>
      <c r="AI207" s="14"/>
      <c r="AJ207" s="8"/>
      <c r="AK207" s="8"/>
      <c r="AL207" s="8"/>
      <c r="AM207" s="8"/>
      <c r="AN207" s="631"/>
      <c r="AO207" s="18"/>
      <c r="AP207" s="18"/>
      <c r="AQ207" s="18"/>
      <c r="AR207" s="18"/>
      <c r="AS207" s="18"/>
      <c r="AU207" s="448"/>
      <c r="AV207" s="448"/>
      <c r="AW207" s="8" t="str">
        <f>IF(C207&gt;0,VLOOKUP(C207,Foundation_Calc!$A$2:$C$986,3,1),
IF(J207&gt;0,VLOOKUP(J207,Foundation_Calc!$A$2:$C$986,3,1),""))</f>
        <v/>
      </c>
      <c r="AX207" s="8" t="str">
        <f>IF(C207&gt;0,VLOOKUP(C207,Foundation_Calc!$E$2:$G$986,3,1),
IF(J207&gt;0,VLOOKUP(J207,Foundation_Calc!$E$2:$G$986,3,1),""))</f>
        <v/>
      </c>
      <c r="AY207" s="631" t="str">
        <f>IF(L207="","",
IF(AX207="PT",VLOOKUP(L207,Foundation_Calc!$K$4:$R$37,VLOOKUP(AW207,Foundation_Calc!$I$2:$J$8,2,FALSE),0),
IF(AX207="K",VLOOKUP(L207,Foundation_Calc!$K$41:$R$74,VLOOKUP(AW207,Foundation_Calc!$I$2:$J$8,2,FALSE),0),"")))</f>
        <v/>
      </c>
      <c r="AZ207" s="631" t="str">
        <f>IF(K207="","",
IF(AX207="PT",VLOOKUP(K207,Foundation_Calc!$K$4:$R$37,VLOOKUP(AW207,Foundation_Calc!$I$2:$J$8,2,FALSE),0),
IF(AX207="K",VLOOKUP(K207,Foundation_Calc!$K$41:$R$74,VLOOKUP(AW207,Foundation_Calc!$I$2:$J$8,2,FALSE),0),"")))</f>
        <v/>
      </c>
      <c r="BA207" s="632" t="str">
        <f t="shared" si="14"/>
        <v/>
      </c>
      <c r="BB207" s="632" t="str">
        <f t="shared" si="15"/>
        <v/>
      </c>
      <c r="BC207" s="632" t="str">
        <f t="shared" si="16"/>
        <v/>
      </c>
      <c r="BD207" s="633" t="str">
        <f>IF(AND(L207="",H207=""),"",
IF(H207="",Pole_Calc!A211,
IF(H207="MP",Pole_Calc!A212,
IF(H207="AnMP",Pole_Calc!A213,
IF(H207="A",Pole_Calc!A214,
IF(H207="S/A",Pole_Calc!A239,
IF(H207="A/S",Pole_Calc!A240,"Poner a mano")))))))</f>
        <v/>
      </c>
      <c r="BE207" s="448" t="s">
        <v>1726</v>
      </c>
      <c r="BF207" s="635"/>
      <c r="BG207" s="635"/>
      <c r="BH207" s="634"/>
      <c r="BI207" s="635"/>
    </row>
    <row r="208" spans="1:61" ht="16.2" customHeight="1">
      <c r="A208" s="12"/>
      <c r="B208" s="446"/>
      <c r="C208" s="89"/>
      <c r="D208" s="13"/>
      <c r="E208" s="14"/>
      <c r="F208" s="14"/>
      <c r="G208" s="15"/>
      <c r="H208" s="8"/>
      <c r="I208" s="8"/>
      <c r="J208" s="89"/>
      <c r="K208" s="8"/>
      <c r="L208" s="8"/>
      <c r="M208" s="8" t="str">
        <f>IF(L208="","",
IF(AX208="PT",VLOOKUP(L208,Foundation_Calc!$V$4:$X$37,VLOOKUP(AX208,Foundation_Calc!$I$10:$J$13,2,FALSE),0),
IF(AX208="K",VLOOKUP(L208,Foundation_Calc!$V$41:$X$74,VLOOKUP(AX208,Foundation_Calc!$I$10:$J$13,2,FALSE),0),"")))</f>
        <v/>
      </c>
      <c r="N208" s="8"/>
      <c r="O208" s="8"/>
      <c r="P208" s="8"/>
      <c r="Q208" s="14"/>
      <c r="R208" s="15"/>
      <c r="S208" s="15"/>
      <c r="T208" s="14"/>
      <c r="U208" s="14"/>
      <c r="V208" s="14"/>
      <c r="W208" s="18"/>
      <c r="X208" s="18"/>
      <c r="Y208" s="18"/>
      <c r="Z208" s="18"/>
      <c r="AA208" s="18"/>
      <c r="AB208" s="18"/>
      <c r="AC208" s="8" t="str">
        <f t="shared" si="13"/>
        <v/>
      </c>
      <c r="AD208" s="8"/>
      <c r="AE208" s="8"/>
      <c r="AF208" s="14"/>
      <c r="AG208" s="13"/>
      <c r="AH208" s="14"/>
      <c r="AI208" s="14"/>
      <c r="AJ208" s="8"/>
      <c r="AK208" s="8"/>
      <c r="AL208" s="8"/>
      <c r="AM208" s="8"/>
      <c r="AN208" s="631"/>
      <c r="AO208" s="18"/>
      <c r="AP208" s="18"/>
      <c r="AQ208" s="18"/>
      <c r="AR208" s="18"/>
      <c r="AS208" s="18"/>
      <c r="AU208" s="448"/>
      <c r="AV208" s="448"/>
      <c r="AW208" s="8" t="str">
        <f>IF(C208&gt;0,VLOOKUP(C208,Foundation_Calc!$A$2:$C$986,3,1),
IF(J208&gt;0,VLOOKUP(J208,Foundation_Calc!$A$2:$C$986,3,1),""))</f>
        <v/>
      </c>
      <c r="AX208" s="8" t="str">
        <f>IF(C208&gt;0,VLOOKUP(C208,Foundation_Calc!$E$2:$G$986,3,1),
IF(J208&gt;0,VLOOKUP(J208,Foundation_Calc!$E$2:$G$986,3,1),""))</f>
        <v/>
      </c>
      <c r="AY208" s="631" t="str">
        <f>IF(L208="","",
IF(AX208="PT",VLOOKUP(L208,Foundation_Calc!$K$4:$R$37,VLOOKUP(AW208,Foundation_Calc!$I$2:$J$8,2,FALSE),0),
IF(AX208="K",VLOOKUP(L208,Foundation_Calc!$K$41:$R$74,VLOOKUP(AW208,Foundation_Calc!$I$2:$J$8,2,FALSE),0),"")))</f>
        <v/>
      </c>
      <c r="AZ208" s="631" t="str">
        <f>IF(K208="","",
IF(AX208="PT",VLOOKUP(K208,Foundation_Calc!$K$4:$R$37,VLOOKUP(AW208,Foundation_Calc!$I$2:$J$8,2,FALSE),0),
IF(AX208="K",VLOOKUP(K208,Foundation_Calc!$K$41:$R$74,VLOOKUP(AW208,Foundation_Calc!$I$2:$J$8,2,FALSE),0),"")))</f>
        <v/>
      </c>
      <c r="BA208" s="632" t="str">
        <f t="shared" si="14"/>
        <v/>
      </c>
      <c r="BB208" s="632" t="str">
        <f t="shared" si="15"/>
        <v/>
      </c>
      <c r="BC208" s="632" t="str">
        <f t="shared" si="16"/>
        <v/>
      </c>
      <c r="BD208" s="633" t="str">
        <f>IF(AND(L208="",H208=""),"",
IF(H208="",Pole_Calc!A212,
IF(H208="MP",Pole_Calc!A213,
IF(H208="AnMP",Pole_Calc!A214,
IF(H208="A",Pole_Calc!A239,
IF(H208="S/A",Pole_Calc!A240,
IF(H208="A/S",Pole_Calc!A241,"Poner a mano")))))))</f>
        <v/>
      </c>
      <c r="BE208" s="448" t="s">
        <v>1726</v>
      </c>
      <c r="BF208" s="634"/>
      <c r="BG208" s="634"/>
      <c r="BH208" s="634"/>
      <c r="BI208" s="634"/>
    </row>
    <row r="209" spans="1:61" ht="16.2" customHeight="1">
      <c r="A209" s="12"/>
      <c r="B209" s="446"/>
      <c r="C209" s="89"/>
      <c r="D209" s="13"/>
      <c r="E209" s="14"/>
      <c r="F209" s="14"/>
      <c r="G209" s="15"/>
      <c r="H209" s="8"/>
      <c r="I209" s="8"/>
      <c r="J209" s="89"/>
      <c r="K209" s="8"/>
      <c r="L209" s="8"/>
      <c r="M209" s="8" t="str">
        <f>IF(L209="","",
IF(AX209="PT",VLOOKUP(L209,Foundation_Calc!$V$4:$X$37,VLOOKUP(AX209,Foundation_Calc!$I$10:$J$13,2,FALSE),0),
IF(AX209="K",VLOOKUP(L209,Foundation_Calc!$V$41:$X$74,VLOOKUP(AX209,Foundation_Calc!$I$10:$J$13,2,FALSE),0),"")))</f>
        <v/>
      </c>
      <c r="N209" s="8"/>
      <c r="O209" s="8"/>
      <c r="P209" s="8"/>
      <c r="Q209" s="14"/>
      <c r="R209" s="15"/>
      <c r="S209" s="15"/>
      <c r="T209" s="14"/>
      <c r="U209" s="14"/>
      <c r="V209" s="14"/>
      <c r="W209" s="18"/>
      <c r="X209" s="18"/>
      <c r="Y209" s="18"/>
      <c r="Z209" s="18"/>
      <c r="AA209" s="18"/>
      <c r="AB209" s="18"/>
      <c r="AC209" s="8" t="str">
        <f t="shared" si="13"/>
        <v/>
      </c>
      <c r="AD209" s="8"/>
      <c r="AE209" s="8"/>
      <c r="AF209" s="14"/>
      <c r="AG209" s="13"/>
      <c r="AH209" s="14"/>
      <c r="AI209" s="14"/>
      <c r="AJ209" s="8"/>
      <c r="AK209" s="8"/>
      <c r="AL209" s="8"/>
      <c r="AM209" s="8"/>
      <c r="AN209" s="631"/>
      <c r="AO209" s="18"/>
      <c r="AP209" s="18"/>
      <c r="AQ209" s="18"/>
      <c r="AR209" s="18"/>
      <c r="AS209" s="18"/>
      <c r="AU209" s="448"/>
      <c r="AV209" s="448"/>
      <c r="AW209" s="8" t="str">
        <f>IF(C209&gt;0,VLOOKUP(C209,Foundation_Calc!$A$2:$C$986,3,1),
IF(J209&gt;0,VLOOKUP(J209,Foundation_Calc!$A$2:$C$986,3,1),""))</f>
        <v/>
      </c>
      <c r="AX209" s="8" t="str">
        <f>IF(C209&gt;0,VLOOKUP(C209,Foundation_Calc!$E$2:$G$986,3,1),
IF(J209&gt;0,VLOOKUP(J209,Foundation_Calc!$E$2:$G$986,3,1),""))</f>
        <v/>
      </c>
      <c r="AY209" s="631" t="str">
        <f>IF(L209="","",
IF(AX209="PT",VLOOKUP(L209,Foundation_Calc!$K$4:$R$37,VLOOKUP(AW209,Foundation_Calc!$I$2:$J$8,2,FALSE),0),
IF(AX209="K",VLOOKUP(L209,Foundation_Calc!$K$41:$R$74,VLOOKUP(AW209,Foundation_Calc!$I$2:$J$8,2,FALSE),0),"")))</f>
        <v/>
      </c>
      <c r="AZ209" s="631" t="str">
        <f>IF(K209="","",
IF(AX209="PT",VLOOKUP(K209,Foundation_Calc!$K$4:$R$37,VLOOKUP(AW209,Foundation_Calc!$I$2:$J$8,2,FALSE),0),
IF(AX209="K",VLOOKUP(K209,Foundation_Calc!$K$41:$R$74,VLOOKUP(AW209,Foundation_Calc!$I$2:$J$8,2,FALSE),0),"")))</f>
        <v/>
      </c>
      <c r="BA209" s="632" t="str">
        <f t="shared" si="14"/>
        <v/>
      </c>
      <c r="BB209" s="632" t="str">
        <f t="shared" si="15"/>
        <v/>
      </c>
      <c r="BC209" s="632" t="str">
        <f t="shared" si="16"/>
        <v/>
      </c>
      <c r="BD209" s="633" t="str">
        <f>IF(AND(L209="",H209=""),"",
IF(H209="",Pole_Calc!A213,
IF(H209="MP",Pole_Calc!A214,
IF(H209="AnMP",Pole_Calc!A239,
IF(H209="A",Pole_Calc!A240,
IF(H209="S/A",Pole_Calc!A241,
IF(H209="A/S",Pole_Calc!A242,"Poner a mano")))))))</f>
        <v/>
      </c>
      <c r="BE209" s="448" t="s">
        <v>1726</v>
      </c>
      <c r="BF209" s="635"/>
      <c r="BG209" s="635"/>
      <c r="BH209" s="634"/>
      <c r="BI209" s="635"/>
    </row>
    <row r="210" spans="1:61" ht="16.2" customHeight="1">
      <c r="A210" s="12"/>
      <c r="B210" s="446"/>
      <c r="C210" s="89"/>
      <c r="D210" s="13"/>
      <c r="E210" s="14"/>
      <c r="F210" s="14"/>
      <c r="G210" s="15"/>
      <c r="H210" s="8"/>
      <c r="I210" s="8"/>
      <c r="J210" s="89"/>
      <c r="K210" s="8"/>
      <c r="L210" s="8"/>
      <c r="M210" s="8" t="str">
        <f>IF(L210="","",
IF(AX210="PT",VLOOKUP(L210,Foundation_Calc!$V$4:$X$37,VLOOKUP(AX210,Foundation_Calc!$I$10:$J$13,2,FALSE),0),
IF(AX210="K",VLOOKUP(L210,Foundation_Calc!$V$41:$X$74,VLOOKUP(AX210,Foundation_Calc!$I$10:$J$13,2,FALSE),0),"")))</f>
        <v/>
      </c>
      <c r="N210" s="8"/>
      <c r="O210" s="8"/>
      <c r="P210" s="8"/>
      <c r="Q210" s="14"/>
      <c r="R210" s="15"/>
      <c r="S210" s="15"/>
      <c r="T210" s="14"/>
      <c r="U210" s="14"/>
      <c r="V210" s="14"/>
      <c r="W210" s="18"/>
      <c r="X210" s="18"/>
      <c r="Y210" s="18"/>
      <c r="Z210" s="18"/>
      <c r="AA210" s="18"/>
      <c r="AB210" s="18"/>
      <c r="AC210" s="8" t="str">
        <f t="shared" si="13"/>
        <v/>
      </c>
      <c r="AD210" s="8"/>
      <c r="AE210" s="8"/>
      <c r="AF210" s="14"/>
      <c r="AG210" s="13"/>
      <c r="AH210" s="14"/>
      <c r="AI210" s="14"/>
      <c r="AJ210" s="8"/>
      <c r="AK210" s="8"/>
      <c r="AL210" s="8"/>
      <c r="AM210" s="8"/>
      <c r="AN210" s="631"/>
      <c r="AO210" s="18"/>
      <c r="AP210" s="18"/>
      <c r="AQ210" s="18"/>
      <c r="AR210" s="18"/>
      <c r="AS210" s="18"/>
      <c r="AU210" s="448"/>
      <c r="AV210" s="448"/>
      <c r="AW210" s="8" t="str">
        <f>IF(C210&gt;0,VLOOKUP(C210,Foundation_Calc!$A$2:$C$986,3,1),
IF(J210&gt;0,VLOOKUP(J210,Foundation_Calc!$A$2:$C$986,3,1),""))</f>
        <v/>
      </c>
      <c r="AX210" s="8" t="str">
        <f>IF(C210&gt;0,VLOOKUP(C210,Foundation_Calc!$E$2:$G$986,3,1),
IF(J210&gt;0,VLOOKUP(J210,Foundation_Calc!$E$2:$G$986,3,1),""))</f>
        <v/>
      </c>
      <c r="AY210" s="631" t="str">
        <f>IF(L210="","",
IF(AX210="PT",VLOOKUP(L210,Foundation_Calc!$K$4:$R$37,VLOOKUP(AW210,Foundation_Calc!$I$2:$J$8,2,FALSE),0),
IF(AX210="K",VLOOKUP(L210,Foundation_Calc!$K$41:$R$74,VLOOKUP(AW210,Foundation_Calc!$I$2:$J$8,2,FALSE),0),"")))</f>
        <v/>
      </c>
      <c r="AZ210" s="631" t="str">
        <f>IF(K210="","",
IF(AX210="PT",VLOOKUP(K210,Foundation_Calc!$K$4:$R$37,VLOOKUP(AW210,Foundation_Calc!$I$2:$J$8,2,FALSE),0),
IF(AX210="K",VLOOKUP(K210,Foundation_Calc!$K$41:$R$74,VLOOKUP(AW210,Foundation_Calc!$I$2:$J$8,2,FALSE),0),"")))</f>
        <v/>
      </c>
      <c r="BA210" s="632" t="str">
        <f t="shared" si="14"/>
        <v/>
      </c>
      <c r="BB210" s="632" t="str">
        <f t="shared" si="15"/>
        <v/>
      </c>
      <c r="BC210" s="632" t="str">
        <f t="shared" si="16"/>
        <v/>
      </c>
      <c r="BD210" s="633" t="str">
        <f>IF(AND(L210="",H210=""),"",
IF(H210="",Pole_Calc!A214,
IF(H210="MP",Pole_Calc!A239,
IF(H210="AnMP",Pole_Calc!A240,
IF(H210="A",Pole_Calc!A241,
IF(H210="S/A",Pole_Calc!A242,
IF(H210="A/S",Pole_Calc!A243,"Poner a mano")))))))</f>
        <v/>
      </c>
      <c r="BE210" s="448" t="s">
        <v>1726</v>
      </c>
      <c r="BF210" s="634"/>
      <c r="BG210" s="634"/>
      <c r="BH210" s="634"/>
      <c r="BI210" s="634"/>
    </row>
    <row r="211" spans="1:61" ht="16.2" customHeight="1">
      <c r="A211" s="12"/>
      <c r="B211" s="446"/>
      <c r="C211" s="89"/>
      <c r="D211" s="13"/>
      <c r="E211" s="14"/>
      <c r="F211" s="14"/>
      <c r="G211" s="15"/>
      <c r="H211" s="8"/>
      <c r="I211" s="8"/>
      <c r="J211" s="89"/>
      <c r="K211" s="8"/>
      <c r="L211" s="8"/>
      <c r="M211" s="8" t="str">
        <f>IF(L211="","",
IF(AX211="PT",VLOOKUP(L211,Foundation_Calc!$V$4:$X$37,VLOOKUP(AX211,Foundation_Calc!$I$10:$J$13,2,FALSE),0),
IF(AX211="K",VLOOKUP(L211,Foundation_Calc!$V$41:$X$74,VLOOKUP(AX211,Foundation_Calc!$I$10:$J$13,2,FALSE),0),"")))</f>
        <v/>
      </c>
      <c r="N211" s="8"/>
      <c r="O211" s="8"/>
      <c r="P211" s="8"/>
      <c r="Q211" s="14"/>
      <c r="R211" s="15"/>
      <c r="S211" s="15"/>
      <c r="T211" s="14"/>
      <c r="U211" s="14"/>
      <c r="V211" s="14"/>
      <c r="W211" s="18"/>
      <c r="X211" s="18"/>
      <c r="Y211" s="18"/>
      <c r="Z211" s="18"/>
      <c r="AA211" s="18"/>
      <c r="AB211" s="18"/>
      <c r="AC211" s="8" t="str">
        <f t="shared" si="13"/>
        <v/>
      </c>
      <c r="AD211" s="8"/>
      <c r="AE211" s="8"/>
      <c r="AF211" s="14"/>
      <c r="AG211" s="13"/>
      <c r="AH211" s="14"/>
      <c r="AI211" s="14"/>
      <c r="AJ211" s="8"/>
      <c r="AK211" s="8"/>
      <c r="AL211" s="8"/>
      <c r="AM211" s="8"/>
      <c r="AN211" s="631"/>
      <c r="AO211" s="18"/>
      <c r="AP211" s="18"/>
      <c r="AQ211" s="18"/>
      <c r="AR211" s="18"/>
      <c r="AS211" s="18"/>
      <c r="AU211" s="448"/>
      <c r="AV211" s="448"/>
      <c r="AW211" s="8" t="str">
        <f>IF(C211&gt;0,VLOOKUP(C211,Foundation_Calc!$A$2:$C$986,3,1),
IF(J211&gt;0,VLOOKUP(J211,Foundation_Calc!$A$2:$C$986,3,1),""))</f>
        <v/>
      </c>
      <c r="AX211" s="8" t="str">
        <f>IF(C211&gt;0,VLOOKUP(C211,Foundation_Calc!$E$2:$G$986,3,1),
IF(J211&gt;0,VLOOKUP(J211,Foundation_Calc!$E$2:$G$986,3,1),""))</f>
        <v/>
      </c>
      <c r="AY211" s="631" t="str">
        <f>IF(L211="","",
IF(AX211="PT",VLOOKUP(L211,Foundation_Calc!$K$4:$R$37,VLOOKUP(AW211,Foundation_Calc!$I$2:$J$8,2,FALSE),0),
IF(AX211="K",VLOOKUP(L211,Foundation_Calc!$K$41:$R$74,VLOOKUP(AW211,Foundation_Calc!$I$2:$J$8,2,FALSE),0),"")))</f>
        <v/>
      </c>
      <c r="AZ211" s="631" t="str">
        <f>IF(K211="","",
IF(AX211="PT",VLOOKUP(K211,Foundation_Calc!$K$4:$R$37,VLOOKUP(AW211,Foundation_Calc!$I$2:$J$8,2,FALSE),0),
IF(AX211="K",VLOOKUP(K211,Foundation_Calc!$K$41:$R$74,VLOOKUP(AW211,Foundation_Calc!$I$2:$J$8,2,FALSE),0),"")))</f>
        <v/>
      </c>
      <c r="BA211" s="632" t="str">
        <f t="shared" si="14"/>
        <v/>
      </c>
      <c r="BB211" s="632" t="str">
        <f t="shared" si="15"/>
        <v/>
      </c>
      <c r="BC211" s="632" t="str">
        <f t="shared" si="16"/>
        <v/>
      </c>
      <c r="BD211" s="633" t="str">
        <f>IF(AND(L211="",H211=""),"",
IF(H211="",Pole_Calc!A239,
IF(H211="MP",Pole_Calc!A240,
IF(H211="AnMP",Pole_Calc!A241,
IF(H211="A",Pole_Calc!A242,
IF(H211="S/A",Pole_Calc!A243,
IF(H211="A/S",Pole_Calc!A244,"Poner a mano")))))))</f>
        <v/>
      </c>
      <c r="BE211" s="448" t="s">
        <v>1726</v>
      </c>
      <c r="BF211" s="635"/>
      <c r="BG211" s="635"/>
      <c r="BH211" s="634"/>
      <c r="BI211" s="635"/>
    </row>
    <row r="212" spans="1:61" ht="16.2" customHeight="1">
      <c r="A212" s="12"/>
      <c r="B212" s="446"/>
      <c r="C212" s="89"/>
      <c r="D212" s="13"/>
      <c r="E212" s="14"/>
      <c r="F212" s="14"/>
      <c r="G212" s="15"/>
      <c r="H212" s="8"/>
      <c r="I212" s="8"/>
      <c r="J212" s="89"/>
      <c r="K212" s="8"/>
      <c r="L212" s="8"/>
      <c r="M212" s="8" t="str">
        <f>IF(L212="","",
IF(AX212="PT",VLOOKUP(L212,Foundation_Calc!$V$4:$X$37,VLOOKUP(AX212,Foundation_Calc!$I$10:$J$13,2,FALSE),0),
IF(AX212="K",VLOOKUP(L212,Foundation_Calc!$V$41:$X$74,VLOOKUP(AX212,Foundation_Calc!$I$10:$J$13,2,FALSE),0),"")))</f>
        <v/>
      </c>
      <c r="N212" s="8"/>
      <c r="O212" s="8"/>
      <c r="P212" s="8"/>
      <c r="Q212" s="14"/>
      <c r="R212" s="15"/>
      <c r="S212" s="15"/>
      <c r="T212" s="14"/>
      <c r="U212" s="14"/>
      <c r="V212" s="14"/>
      <c r="W212" s="18"/>
      <c r="X212" s="18"/>
      <c r="Y212" s="18"/>
      <c r="Z212" s="18"/>
      <c r="AA212" s="18"/>
      <c r="AB212" s="18"/>
      <c r="AC212" s="8" t="str">
        <f t="shared" si="13"/>
        <v/>
      </c>
      <c r="AD212" s="8"/>
      <c r="AE212" s="8"/>
      <c r="AF212" s="14"/>
      <c r="AG212" s="13"/>
      <c r="AH212" s="14"/>
      <c r="AI212" s="14"/>
      <c r="AJ212" s="8"/>
      <c r="AK212" s="8"/>
      <c r="AL212" s="8"/>
      <c r="AM212" s="8"/>
      <c r="AN212" s="631"/>
      <c r="AO212" s="18"/>
      <c r="AP212" s="18"/>
      <c r="AQ212" s="18"/>
      <c r="AR212" s="18"/>
      <c r="AS212" s="18"/>
      <c r="AU212" s="448"/>
      <c r="AV212" s="448"/>
      <c r="AW212" s="8" t="str">
        <f>IF(C212&gt;0,VLOOKUP(C212,Foundation_Calc!$A$2:$C$986,3,1),
IF(J212&gt;0,VLOOKUP(J212,Foundation_Calc!$A$2:$C$986,3,1),""))</f>
        <v/>
      </c>
      <c r="AX212" s="8" t="str">
        <f>IF(C212&gt;0,VLOOKUP(C212,Foundation_Calc!$E$2:$G$986,3,1),
IF(J212&gt;0,VLOOKUP(J212,Foundation_Calc!$E$2:$G$986,3,1),""))</f>
        <v/>
      </c>
      <c r="AY212" s="631" t="str">
        <f>IF(L212="","",
IF(AX212="PT",VLOOKUP(L212,Foundation_Calc!$K$4:$R$37,VLOOKUP(AW212,Foundation_Calc!$I$2:$J$8,2,FALSE),0),
IF(AX212="K",VLOOKUP(L212,Foundation_Calc!$K$41:$R$74,VLOOKUP(AW212,Foundation_Calc!$I$2:$J$8,2,FALSE),0),"")))</f>
        <v/>
      </c>
      <c r="AZ212" s="631" t="str">
        <f>IF(K212="","",
IF(AX212="PT",VLOOKUP(K212,Foundation_Calc!$K$4:$R$37,VLOOKUP(AW212,Foundation_Calc!$I$2:$J$8,2,FALSE),0),
IF(AX212="K",VLOOKUP(K212,Foundation_Calc!$K$41:$R$74,VLOOKUP(AW212,Foundation_Calc!$I$2:$J$8,2,FALSE),0),"")))</f>
        <v/>
      </c>
      <c r="BA212" s="632" t="str">
        <f t="shared" si="14"/>
        <v/>
      </c>
      <c r="BB212" s="632" t="str">
        <f t="shared" si="15"/>
        <v/>
      </c>
      <c r="BC212" s="632" t="str">
        <f t="shared" si="16"/>
        <v/>
      </c>
      <c r="BD212" s="633" t="str">
        <f>IF(AND(L212="",H212=""),"",
IF(H212="",Pole_Calc!A240,
IF(H212="MP",Pole_Calc!A241,
IF(H212="AnMP",Pole_Calc!A242,
IF(H212="A",Pole_Calc!A243,
IF(H212="S/A",Pole_Calc!A244,
IF(H212="A/S",Pole_Calc!A245,"Poner a mano")))))))</f>
        <v/>
      </c>
      <c r="BE212" s="448" t="s">
        <v>1726</v>
      </c>
      <c r="BF212" s="634"/>
      <c r="BG212" s="634"/>
      <c r="BH212" s="634"/>
      <c r="BI212" s="634"/>
    </row>
    <row r="213" spans="1:61" ht="16.2" customHeight="1">
      <c r="A213" s="12"/>
      <c r="B213" s="446"/>
      <c r="C213" s="89"/>
      <c r="D213" s="13"/>
      <c r="E213" s="14"/>
      <c r="F213" s="14"/>
      <c r="G213" s="15"/>
      <c r="H213" s="8"/>
      <c r="I213" s="8"/>
      <c r="J213" s="89"/>
      <c r="K213" s="8"/>
      <c r="L213" s="8"/>
      <c r="M213" s="8" t="str">
        <f>IF(L213="","",
IF(AX213="PT",VLOOKUP(L213,Foundation_Calc!$V$4:$X$37,VLOOKUP(AX213,Foundation_Calc!$I$10:$J$13,2,FALSE),0),
IF(AX213="K",VLOOKUP(L213,Foundation_Calc!$V$41:$X$74,VLOOKUP(AX213,Foundation_Calc!$I$10:$J$13,2,FALSE),0),"")))</f>
        <v/>
      </c>
      <c r="N213" s="8"/>
      <c r="O213" s="8"/>
      <c r="P213" s="8"/>
      <c r="Q213" s="14"/>
      <c r="R213" s="15"/>
      <c r="S213" s="15"/>
      <c r="T213" s="14"/>
      <c r="U213" s="14"/>
      <c r="V213" s="14"/>
      <c r="W213" s="18"/>
      <c r="X213" s="18"/>
      <c r="Y213" s="18"/>
      <c r="Z213" s="18"/>
      <c r="AA213" s="18"/>
      <c r="AB213" s="18"/>
      <c r="AC213" s="8" t="str">
        <f t="shared" si="13"/>
        <v/>
      </c>
      <c r="AD213" s="8"/>
      <c r="AE213" s="8"/>
      <c r="AF213" s="14"/>
      <c r="AG213" s="13"/>
      <c r="AH213" s="14"/>
      <c r="AI213" s="14"/>
      <c r="AJ213" s="8"/>
      <c r="AK213" s="8"/>
      <c r="AL213" s="8"/>
      <c r="AM213" s="8"/>
      <c r="AN213" s="631"/>
      <c r="AO213" s="18"/>
      <c r="AP213" s="18"/>
      <c r="AQ213" s="18"/>
      <c r="AR213" s="18"/>
      <c r="AS213" s="18"/>
      <c r="AU213" s="448"/>
      <c r="AV213" s="448"/>
      <c r="AW213" s="8" t="str">
        <f>IF(C213&gt;0,VLOOKUP(C213,Foundation_Calc!$A$2:$C$986,3,1),
IF(J213&gt;0,VLOOKUP(J213,Foundation_Calc!$A$2:$C$986,3,1),""))</f>
        <v/>
      </c>
      <c r="AX213" s="8" t="str">
        <f>IF(C213&gt;0,VLOOKUP(C213,Foundation_Calc!$E$2:$G$986,3,1),
IF(J213&gt;0,VLOOKUP(J213,Foundation_Calc!$E$2:$G$986,3,1),""))</f>
        <v/>
      </c>
      <c r="AY213" s="631" t="str">
        <f>IF(L213="","",
IF(AX213="PT",VLOOKUP(L213,Foundation_Calc!$K$4:$R$37,VLOOKUP(AW213,Foundation_Calc!$I$2:$J$8,2,FALSE),0),
IF(AX213="K",VLOOKUP(L213,Foundation_Calc!$K$41:$R$74,VLOOKUP(AW213,Foundation_Calc!$I$2:$J$8,2,FALSE),0),"")))</f>
        <v/>
      </c>
      <c r="AZ213" s="631" t="str">
        <f>IF(K213="","",
IF(AX213="PT",VLOOKUP(K213,Foundation_Calc!$K$4:$R$37,VLOOKUP(AW213,Foundation_Calc!$I$2:$J$8,2,FALSE),0),
IF(AX213="K",VLOOKUP(K213,Foundation_Calc!$K$41:$R$74,VLOOKUP(AW213,Foundation_Calc!$I$2:$J$8,2,FALSE),0),"")))</f>
        <v/>
      </c>
      <c r="BA213" s="632" t="str">
        <f t="shared" si="14"/>
        <v/>
      </c>
      <c r="BB213" s="632" t="str">
        <f t="shared" si="15"/>
        <v/>
      </c>
      <c r="BC213" s="632" t="str">
        <f t="shared" si="16"/>
        <v/>
      </c>
      <c r="BD213" s="633" t="str">
        <f>IF(AND(L213="",H213=""),"",
IF(H213="",Pole_Calc!A241,
IF(H213="MP",Pole_Calc!A242,
IF(H213="AnMP",Pole_Calc!A243,
IF(H213="A",Pole_Calc!A244,
IF(H213="S/A",Pole_Calc!A245,
IF(H213="A/S",Pole_Calc!A246,"Poner a mano")))))))</f>
        <v/>
      </c>
      <c r="BE213" s="448" t="s">
        <v>1726</v>
      </c>
      <c r="BF213" s="635"/>
      <c r="BG213" s="635"/>
      <c r="BH213" s="634"/>
      <c r="BI213" s="635"/>
    </row>
    <row r="214" spans="1:61" ht="16.2" customHeight="1">
      <c r="A214" s="12"/>
      <c r="B214" s="446"/>
      <c r="C214" s="89"/>
      <c r="D214" s="13"/>
      <c r="E214" s="14"/>
      <c r="F214" s="14"/>
      <c r="G214" s="15"/>
      <c r="H214" s="8"/>
      <c r="I214" s="8"/>
      <c r="J214" s="89"/>
      <c r="K214" s="8"/>
      <c r="L214" s="8"/>
      <c r="M214" s="8" t="str">
        <f>IF(L214="","",
IF(AX214="PT",VLOOKUP(L214,Foundation_Calc!$V$4:$X$37,VLOOKUP(AX214,Foundation_Calc!$I$10:$J$13,2,FALSE),0),
IF(AX214="K",VLOOKUP(L214,Foundation_Calc!$V$41:$X$74,VLOOKUP(AX214,Foundation_Calc!$I$10:$J$13,2,FALSE),0),"")))</f>
        <v/>
      </c>
      <c r="N214" s="8"/>
      <c r="O214" s="8"/>
      <c r="P214" s="8"/>
      <c r="Q214" s="14"/>
      <c r="R214" s="15"/>
      <c r="S214" s="15"/>
      <c r="T214" s="14"/>
      <c r="U214" s="14"/>
      <c r="V214" s="14"/>
      <c r="W214" s="18"/>
      <c r="X214" s="18"/>
      <c r="Y214" s="18"/>
      <c r="Z214" s="18"/>
      <c r="AA214" s="18"/>
      <c r="AB214" s="18"/>
      <c r="AC214" s="8" t="str">
        <f t="shared" si="13"/>
        <v/>
      </c>
      <c r="AD214" s="8"/>
      <c r="AE214" s="8"/>
      <c r="AF214" s="14"/>
      <c r="AG214" s="13"/>
      <c r="AH214" s="14"/>
      <c r="AI214" s="14"/>
      <c r="AJ214" s="8"/>
      <c r="AK214" s="8"/>
      <c r="AL214" s="8"/>
      <c r="AM214" s="8"/>
      <c r="AN214" s="631"/>
      <c r="AO214" s="18"/>
      <c r="AP214" s="18"/>
      <c r="AQ214" s="18"/>
      <c r="AR214" s="18"/>
      <c r="AS214" s="18"/>
      <c r="AU214" s="448"/>
      <c r="AV214" s="448"/>
      <c r="AW214" s="8" t="str">
        <f>IF(C214&gt;0,VLOOKUP(C214,Foundation_Calc!$A$2:$C$986,3,1),
IF(J214&gt;0,VLOOKUP(J214,Foundation_Calc!$A$2:$C$986,3,1),""))</f>
        <v/>
      </c>
      <c r="AX214" s="8" t="str">
        <f>IF(C214&gt;0,VLOOKUP(C214,Foundation_Calc!$E$2:$G$986,3,1),
IF(J214&gt;0,VLOOKUP(J214,Foundation_Calc!$E$2:$G$986,3,1),""))</f>
        <v/>
      </c>
      <c r="AY214" s="631" t="str">
        <f>IF(L214="","",
IF(AX214="PT",VLOOKUP(L214,Foundation_Calc!$K$4:$R$37,VLOOKUP(AW214,Foundation_Calc!$I$2:$J$8,2,FALSE),0),
IF(AX214="K",VLOOKUP(L214,Foundation_Calc!$K$41:$R$74,VLOOKUP(AW214,Foundation_Calc!$I$2:$J$8,2,FALSE),0),"")))</f>
        <v/>
      </c>
      <c r="AZ214" s="631" t="str">
        <f>IF(K214="","",
IF(AX214="PT",VLOOKUP(K214,Foundation_Calc!$K$4:$R$37,VLOOKUP(AW214,Foundation_Calc!$I$2:$J$8,2,FALSE),0),
IF(AX214="K",VLOOKUP(K214,Foundation_Calc!$K$41:$R$74,VLOOKUP(AW214,Foundation_Calc!$I$2:$J$8,2,FALSE),0),"")))</f>
        <v/>
      </c>
      <c r="BA214" s="632" t="str">
        <f t="shared" si="14"/>
        <v/>
      </c>
      <c r="BB214" s="632" t="str">
        <f t="shared" si="15"/>
        <v/>
      </c>
      <c r="BC214" s="632" t="str">
        <f t="shared" si="16"/>
        <v/>
      </c>
      <c r="BD214" s="633" t="str">
        <f>IF(AND(L214="",H214=""),"",
IF(H214="",Pole_Calc!A242,
IF(H214="MP",Pole_Calc!A243,
IF(H214="AnMP",Pole_Calc!A244,
IF(H214="A",Pole_Calc!A245,
IF(H214="S/A",Pole_Calc!A246,
IF(H214="A/S",Pole_Calc!A247,"Poner a mano")))))))</f>
        <v/>
      </c>
      <c r="BE214" s="448" t="s">
        <v>1726</v>
      </c>
      <c r="BF214" s="634"/>
      <c r="BG214" s="634"/>
      <c r="BH214" s="634"/>
      <c r="BI214" s="634"/>
    </row>
    <row r="215" spans="1:61" ht="16.2" customHeight="1">
      <c r="A215" s="12"/>
      <c r="B215" s="446"/>
      <c r="C215" s="89"/>
      <c r="D215" s="13"/>
      <c r="E215" s="14"/>
      <c r="F215" s="14"/>
      <c r="G215" s="15"/>
      <c r="H215" s="8"/>
      <c r="I215" s="8"/>
      <c r="J215" s="89"/>
      <c r="K215" s="8"/>
      <c r="L215" s="8"/>
      <c r="M215" s="8" t="str">
        <f>IF(L215="","",
IF(AX215="PT",VLOOKUP(L215,Foundation_Calc!$V$4:$X$37,VLOOKUP(AX215,Foundation_Calc!$I$10:$J$13,2,FALSE),0),
IF(AX215="K",VLOOKUP(L215,Foundation_Calc!$V$41:$X$74,VLOOKUP(AX215,Foundation_Calc!$I$10:$J$13,2,FALSE),0),"")))</f>
        <v/>
      </c>
      <c r="N215" s="8"/>
      <c r="O215" s="8"/>
      <c r="P215" s="8"/>
      <c r="Q215" s="14"/>
      <c r="R215" s="15"/>
      <c r="S215" s="15"/>
      <c r="T215" s="14"/>
      <c r="U215" s="14"/>
      <c r="V215" s="14"/>
      <c r="W215" s="18"/>
      <c r="X215" s="18"/>
      <c r="Y215" s="18"/>
      <c r="Z215" s="18"/>
      <c r="AA215" s="18"/>
      <c r="AB215" s="18"/>
      <c r="AC215" s="8" t="str">
        <f t="shared" si="13"/>
        <v/>
      </c>
      <c r="AD215" s="8"/>
      <c r="AE215" s="8"/>
      <c r="AF215" s="14"/>
      <c r="AG215" s="13"/>
      <c r="AH215" s="14"/>
      <c r="AI215" s="14"/>
      <c r="AJ215" s="8"/>
      <c r="AK215" s="8"/>
      <c r="AL215" s="8"/>
      <c r="AM215" s="8"/>
      <c r="AN215" s="631"/>
      <c r="AO215" s="18"/>
      <c r="AP215" s="18"/>
      <c r="AQ215" s="18"/>
      <c r="AR215" s="18"/>
      <c r="AS215" s="18"/>
      <c r="AU215" s="448"/>
      <c r="AV215" s="448"/>
      <c r="AW215" s="8" t="str">
        <f>IF(C215&gt;0,VLOOKUP(C215,Foundation_Calc!$A$2:$C$986,3,1),
IF(J215&gt;0,VLOOKUP(J215,Foundation_Calc!$A$2:$C$986,3,1),""))</f>
        <v/>
      </c>
      <c r="AX215" s="8" t="str">
        <f>IF(C215&gt;0,VLOOKUP(C215,Foundation_Calc!$E$2:$G$986,3,1),
IF(J215&gt;0,VLOOKUP(J215,Foundation_Calc!$E$2:$G$986,3,1),""))</f>
        <v/>
      </c>
      <c r="AY215" s="631" t="str">
        <f>IF(L215="","",
IF(AX215="PT",VLOOKUP(L215,Foundation_Calc!$K$4:$R$37,VLOOKUP(AW215,Foundation_Calc!$I$2:$J$8,2,FALSE),0),
IF(AX215="K",VLOOKUP(L215,Foundation_Calc!$K$41:$R$74,VLOOKUP(AW215,Foundation_Calc!$I$2:$J$8,2,FALSE),0),"")))</f>
        <v/>
      </c>
      <c r="AZ215" s="631" t="str">
        <f>IF(K215="","",
IF(AX215="PT",VLOOKUP(K215,Foundation_Calc!$K$4:$R$37,VLOOKUP(AW215,Foundation_Calc!$I$2:$J$8,2,FALSE),0),
IF(AX215="K",VLOOKUP(K215,Foundation_Calc!$K$41:$R$74,VLOOKUP(AW215,Foundation_Calc!$I$2:$J$8,2,FALSE),0),"")))</f>
        <v/>
      </c>
      <c r="BA215" s="632" t="str">
        <f t="shared" si="14"/>
        <v/>
      </c>
      <c r="BB215" s="632" t="str">
        <f t="shared" si="15"/>
        <v/>
      </c>
      <c r="BC215" s="632" t="str">
        <f t="shared" si="16"/>
        <v/>
      </c>
      <c r="BD215" s="633" t="str">
        <f>IF(AND(L215="",H215=""),"",
IF(H215="",Pole_Calc!A243,
IF(H215="MP",Pole_Calc!A244,
IF(H215="AnMP",Pole_Calc!A245,
IF(H215="A",Pole_Calc!A246,
IF(H215="S/A",Pole_Calc!A247,
IF(H215="A/S",Pole_Calc!A248,"Poner a mano")))))))</f>
        <v/>
      </c>
      <c r="BE215" s="448" t="s">
        <v>1726</v>
      </c>
      <c r="BF215" s="635"/>
      <c r="BG215" s="635"/>
      <c r="BH215" s="634"/>
      <c r="BI215" s="635"/>
    </row>
    <row r="216" spans="1:61" ht="16.2" customHeight="1">
      <c r="A216" s="12"/>
      <c r="B216" s="446"/>
      <c r="C216" s="89"/>
      <c r="D216" s="13"/>
      <c r="E216" s="14"/>
      <c r="F216" s="14"/>
      <c r="G216" s="15"/>
      <c r="H216" s="8"/>
      <c r="I216" s="8"/>
      <c r="J216" s="89"/>
      <c r="K216" s="8"/>
      <c r="L216" s="8"/>
      <c r="M216" s="8" t="str">
        <f>IF(L216="","",
IF(AX216="PT",VLOOKUP(L216,Foundation_Calc!$V$4:$X$37,VLOOKUP(AX216,Foundation_Calc!$I$10:$J$13,2,FALSE),0),
IF(AX216="K",VLOOKUP(L216,Foundation_Calc!$V$41:$X$74,VLOOKUP(AX216,Foundation_Calc!$I$10:$J$13,2,FALSE),0),"")))</f>
        <v/>
      </c>
      <c r="N216" s="8"/>
      <c r="O216" s="8"/>
      <c r="P216" s="8"/>
      <c r="Q216" s="14"/>
      <c r="R216" s="15"/>
      <c r="S216" s="15"/>
      <c r="T216" s="14"/>
      <c r="U216" s="14"/>
      <c r="V216" s="14"/>
      <c r="W216" s="18"/>
      <c r="X216" s="18"/>
      <c r="Y216" s="18"/>
      <c r="Z216" s="18"/>
      <c r="AA216" s="18"/>
      <c r="AB216" s="18"/>
      <c r="AC216" s="8" t="str">
        <f t="shared" si="13"/>
        <v/>
      </c>
      <c r="AD216" s="8"/>
      <c r="AE216" s="8"/>
      <c r="AF216" s="14"/>
      <c r="AG216" s="13"/>
      <c r="AH216" s="14"/>
      <c r="AI216" s="14"/>
      <c r="AJ216" s="8"/>
      <c r="AK216" s="8"/>
      <c r="AL216" s="8"/>
      <c r="AM216" s="8"/>
      <c r="AN216" s="631"/>
      <c r="AO216" s="18"/>
      <c r="AP216" s="18"/>
      <c r="AQ216" s="18"/>
      <c r="AR216" s="18"/>
      <c r="AS216" s="18"/>
      <c r="AU216" s="448"/>
      <c r="AV216" s="448"/>
      <c r="AW216" s="8" t="str">
        <f>IF(C216&gt;0,VLOOKUP(C216,Foundation_Calc!$A$2:$C$986,3,1),
IF(J216&gt;0,VLOOKUP(J216,Foundation_Calc!$A$2:$C$986,3,1),""))</f>
        <v/>
      </c>
      <c r="AX216" s="8" t="str">
        <f>IF(C216&gt;0,VLOOKUP(C216,Foundation_Calc!$E$2:$G$986,3,1),
IF(J216&gt;0,VLOOKUP(J216,Foundation_Calc!$E$2:$G$986,3,1),""))</f>
        <v/>
      </c>
      <c r="AY216" s="631" t="str">
        <f>IF(L216="","",
IF(AX216="PT",VLOOKUP(L216,Foundation_Calc!$K$4:$R$37,VLOOKUP(AW216,Foundation_Calc!$I$2:$J$8,2,FALSE),0),
IF(AX216="K",VLOOKUP(L216,Foundation_Calc!$K$41:$R$74,VLOOKUP(AW216,Foundation_Calc!$I$2:$J$8,2,FALSE),0),"")))</f>
        <v/>
      </c>
      <c r="AZ216" s="631" t="str">
        <f>IF(K216="","",
IF(AX216="PT",VLOOKUP(K216,Foundation_Calc!$K$4:$R$37,VLOOKUP(AW216,Foundation_Calc!$I$2:$J$8,2,FALSE),0),
IF(AX216="K",VLOOKUP(K216,Foundation_Calc!$K$41:$R$74,VLOOKUP(AW216,Foundation_Calc!$I$2:$J$8,2,FALSE),0),"")))</f>
        <v/>
      </c>
      <c r="BA216" s="632" t="str">
        <f t="shared" si="14"/>
        <v/>
      </c>
      <c r="BB216" s="632" t="str">
        <f t="shared" si="15"/>
        <v/>
      </c>
      <c r="BC216" s="632" t="str">
        <f t="shared" si="16"/>
        <v/>
      </c>
      <c r="BD216" s="633" t="str">
        <f>IF(AND(L216="",H216=""),"",
IF(H216="",Pole_Calc!A244,
IF(H216="MP",Pole_Calc!A245,
IF(H216="AnMP",Pole_Calc!A246,
IF(H216="A",Pole_Calc!A247,
IF(H216="S/A",Pole_Calc!A248,
IF(H216="A/S",Pole_Calc!A249,"Poner a mano")))))))</f>
        <v/>
      </c>
      <c r="BE216" s="448" t="s">
        <v>1726</v>
      </c>
      <c r="BF216" s="634"/>
      <c r="BG216" s="634"/>
      <c r="BH216" s="634"/>
      <c r="BI216" s="634"/>
    </row>
    <row r="217" spans="1:61" ht="16.2" customHeight="1">
      <c r="A217" s="12"/>
      <c r="B217" s="446"/>
      <c r="C217" s="89"/>
      <c r="D217" s="13"/>
      <c r="E217" s="14"/>
      <c r="F217" s="14"/>
      <c r="G217" s="15"/>
      <c r="H217" s="8"/>
      <c r="I217" s="8"/>
      <c r="J217" s="89"/>
      <c r="K217" s="8"/>
      <c r="L217" s="8"/>
      <c r="M217" s="8" t="str">
        <f>IF(L217="","",
IF(AX217="PT",VLOOKUP(L217,Foundation_Calc!$V$4:$X$37,VLOOKUP(AX217,Foundation_Calc!$I$10:$J$13,2,FALSE),0),
IF(AX217="K",VLOOKUP(L217,Foundation_Calc!$V$41:$X$74,VLOOKUP(AX217,Foundation_Calc!$I$10:$J$13,2,FALSE),0),"")))</f>
        <v/>
      </c>
      <c r="N217" s="8"/>
      <c r="O217" s="8"/>
      <c r="P217" s="8"/>
      <c r="Q217" s="14"/>
      <c r="R217" s="15"/>
      <c r="S217" s="15"/>
      <c r="T217" s="14"/>
      <c r="U217" s="14"/>
      <c r="V217" s="14"/>
      <c r="W217" s="18"/>
      <c r="X217" s="18"/>
      <c r="Y217" s="18"/>
      <c r="Z217" s="18"/>
      <c r="AA217" s="18"/>
      <c r="AB217" s="18"/>
      <c r="AC217" s="8" t="str">
        <f t="shared" si="13"/>
        <v/>
      </c>
      <c r="AD217" s="8"/>
      <c r="AE217" s="8"/>
      <c r="AF217" s="14"/>
      <c r="AG217" s="13"/>
      <c r="AH217" s="14"/>
      <c r="AI217" s="14"/>
      <c r="AJ217" s="8"/>
      <c r="AK217" s="8"/>
      <c r="AL217" s="8"/>
      <c r="AM217" s="8"/>
      <c r="AN217" s="631"/>
      <c r="AO217" s="18"/>
      <c r="AP217" s="18"/>
      <c r="AQ217" s="18"/>
      <c r="AR217" s="18"/>
      <c r="AS217" s="18"/>
      <c r="AU217" s="448"/>
      <c r="AV217" s="448"/>
      <c r="AW217" s="8" t="str">
        <f>IF(C217&gt;0,VLOOKUP(C217,Foundation_Calc!$A$2:$C$986,3,1),
IF(J217&gt;0,VLOOKUP(J217,Foundation_Calc!$A$2:$C$986,3,1),""))</f>
        <v/>
      </c>
      <c r="AX217" s="8" t="str">
        <f>IF(C217&gt;0,VLOOKUP(C217,Foundation_Calc!$E$2:$G$986,3,1),
IF(J217&gt;0,VLOOKUP(J217,Foundation_Calc!$E$2:$G$986,3,1),""))</f>
        <v/>
      </c>
      <c r="AY217" s="631" t="str">
        <f>IF(L217="","",
IF(AX217="PT",VLOOKUP(L217,Foundation_Calc!$K$4:$R$37,VLOOKUP(AW217,Foundation_Calc!$I$2:$J$8,2,FALSE),0),
IF(AX217="K",VLOOKUP(L217,Foundation_Calc!$K$41:$R$74,VLOOKUP(AW217,Foundation_Calc!$I$2:$J$8,2,FALSE),0),"")))</f>
        <v/>
      </c>
      <c r="AZ217" s="631" t="str">
        <f>IF(K217="","",
IF(AX217="PT",VLOOKUP(K217,Foundation_Calc!$K$4:$R$37,VLOOKUP(AW217,Foundation_Calc!$I$2:$J$8,2,FALSE),0),
IF(AX217="K",VLOOKUP(K217,Foundation_Calc!$K$41:$R$74,VLOOKUP(AW217,Foundation_Calc!$I$2:$J$8,2,FALSE),0),"")))</f>
        <v/>
      </c>
      <c r="BA217" s="632" t="str">
        <f t="shared" si="14"/>
        <v/>
      </c>
      <c r="BB217" s="632" t="str">
        <f t="shared" si="15"/>
        <v/>
      </c>
      <c r="BC217" s="632" t="str">
        <f t="shared" si="16"/>
        <v/>
      </c>
      <c r="BD217" s="633" t="str">
        <f>IF(AND(L217="",H217=""),"",
IF(H217="",Pole_Calc!A245,
IF(H217="MP",Pole_Calc!A246,
IF(H217="AnMP",Pole_Calc!A247,
IF(H217="A",Pole_Calc!A248,
IF(H217="S/A",Pole_Calc!A249,
IF(H217="A/S",Pole_Calc!A250,"Poner a mano")))))))</f>
        <v/>
      </c>
      <c r="BE217" s="448" t="s">
        <v>1726</v>
      </c>
      <c r="BF217" s="635"/>
      <c r="BG217" s="635"/>
      <c r="BH217" s="634"/>
      <c r="BI217" s="635"/>
    </row>
    <row r="218" spans="1:61" ht="16.2" customHeight="1">
      <c r="A218" s="12"/>
      <c r="B218" s="446"/>
      <c r="C218" s="89"/>
      <c r="D218" s="13"/>
      <c r="E218" s="14"/>
      <c r="F218" s="14"/>
      <c r="G218" s="15"/>
      <c r="H218" s="8"/>
      <c r="I218" s="8"/>
      <c r="J218" s="89"/>
      <c r="K218" s="8"/>
      <c r="L218" s="8"/>
      <c r="M218" s="8" t="str">
        <f>IF(L218="","",
IF(AX218="PT",VLOOKUP(L218,Foundation_Calc!$V$4:$X$37,VLOOKUP(AX218,Foundation_Calc!$I$10:$J$13,2,FALSE),0),
IF(AX218="K",VLOOKUP(L218,Foundation_Calc!$V$41:$X$74,VLOOKUP(AX218,Foundation_Calc!$I$10:$J$13,2,FALSE),0),"")))</f>
        <v/>
      </c>
      <c r="N218" s="8"/>
      <c r="O218" s="8"/>
      <c r="P218" s="8"/>
      <c r="Q218" s="14"/>
      <c r="R218" s="15"/>
      <c r="S218" s="15"/>
      <c r="T218" s="14"/>
      <c r="U218" s="14"/>
      <c r="V218" s="14"/>
      <c r="W218" s="18"/>
      <c r="X218" s="18"/>
      <c r="Y218" s="18"/>
      <c r="Z218" s="18"/>
      <c r="AA218" s="18"/>
      <c r="AB218" s="18"/>
      <c r="AC218" s="8" t="str">
        <f t="shared" si="13"/>
        <v/>
      </c>
      <c r="AD218" s="8"/>
      <c r="AE218" s="8"/>
      <c r="AF218" s="14"/>
      <c r="AG218" s="13"/>
      <c r="AH218" s="14"/>
      <c r="AI218" s="14"/>
      <c r="AJ218" s="8"/>
      <c r="AK218" s="8"/>
      <c r="AL218" s="8"/>
      <c r="AM218" s="8"/>
      <c r="AN218" s="631"/>
      <c r="AO218" s="18"/>
      <c r="AP218" s="18"/>
      <c r="AQ218" s="18"/>
      <c r="AR218" s="18"/>
      <c r="AS218" s="18"/>
      <c r="AU218" s="448"/>
      <c r="AV218" s="448"/>
      <c r="AW218" s="8" t="str">
        <f>IF(C218&gt;0,VLOOKUP(C218,Foundation_Calc!$A$2:$C$986,3,1),
IF(J218&gt;0,VLOOKUP(J218,Foundation_Calc!$A$2:$C$986,3,1),""))</f>
        <v/>
      </c>
      <c r="AX218" s="8" t="str">
        <f>IF(C218&gt;0,VLOOKUP(C218,Foundation_Calc!$E$2:$G$986,3,1),
IF(J218&gt;0,VLOOKUP(J218,Foundation_Calc!$E$2:$G$986,3,1),""))</f>
        <v/>
      </c>
      <c r="AY218" s="631" t="str">
        <f>IF(L218="","",
IF(AX218="PT",VLOOKUP(L218,Foundation_Calc!$K$4:$R$37,VLOOKUP(AW218,Foundation_Calc!$I$2:$J$8,2,FALSE),0),
IF(AX218="K",VLOOKUP(L218,Foundation_Calc!$K$41:$R$74,VLOOKUP(AW218,Foundation_Calc!$I$2:$J$8,2,FALSE),0),"")))</f>
        <v/>
      </c>
      <c r="AZ218" s="631" t="str">
        <f>IF(K218="","",
IF(AX218="PT",VLOOKUP(K218,Foundation_Calc!$K$4:$R$37,VLOOKUP(AW218,Foundation_Calc!$I$2:$J$8,2,FALSE),0),
IF(AX218="K",VLOOKUP(K218,Foundation_Calc!$K$41:$R$74,VLOOKUP(AW218,Foundation_Calc!$I$2:$J$8,2,FALSE),0),"")))</f>
        <v/>
      </c>
      <c r="BA218" s="632" t="str">
        <f t="shared" si="14"/>
        <v/>
      </c>
      <c r="BB218" s="632" t="str">
        <f t="shared" si="15"/>
        <v/>
      </c>
      <c r="BC218" s="632" t="str">
        <f t="shared" si="16"/>
        <v/>
      </c>
      <c r="BD218" s="633" t="str">
        <f>IF(AND(L218="",H218=""),"",
IF(H218="",Pole_Calc!A246,
IF(H218="MP",Pole_Calc!A247,
IF(H218="AnMP",Pole_Calc!A248,
IF(H218="A",Pole_Calc!A249,
IF(H218="S/A",Pole_Calc!A250,
IF(H218="A/S",Pole_Calc!A251,"Poner a mano")))))))</f>
        <v/>
      </c>
      <c r="BE218" s="448" t="s">
        <v>1726</v>
      </c>
      <c r="BF218" s="634"/>
      <c r="BG218" s="634"/>
      <c r="BH218" s="634"/>
      <c r="BI218" s="634"/>
    </row>
    <row r="219" spans="1:61" ht="16.2" customHeight="1">
      <c r="A219" s="12"/>
      <c r="B219" s="446"/>
      <c r="C219" s="89"/>
      <c r="D219" s="13"/>
      <c r="E219" s="14"/>
      <c r="F219" s="14"/>
      <c r="G219" s="15"/>
      <c r="H219" s="8"/>
      <c r="I219" s="8"/>
      <c r="J219" s="89"/>
      <c r="K219" s="8"/>
      <c r="L219" s="8"/>
      <c r="M219" s="8" t="str">
        <f>IF(L219="","",
IF(AX219="PT",VLOOKUP(L219,Foundation_Calc!$V$4:$X$37,VLOOKUP(AX219,Foundation_Calc!$I$10:$J$13,2,FALSE),0),
IF(AX219="K",VLOOKUP(L219,Foundation_Calc!$V$41:$X$74,VLOOKUP(AX219,Foundation_Calc!$I$10:$J$13,2,FALSE),0),"")))</f>
        <v/>
      </c>
      <c r="N219" s="8"/>
      <c r="O219" s="8"/>
      <c r="P219" s="8"/>
      <c r="Q219" s="14"/>
      <c r="R219" s="15"/>
      <c r="S219" s="15"/>
      <c r="T219" s="14"/>
      <c r="U219" s="14"/>
      <c r="V219" s="14"/>
      <c r="W219" s="18"/>
      <c r="X219" s="18"/>
      <c r="Y219" s="18"/>
      <c r="Z219" s="18"/>
      <c r="AA219" s="18"/>
      <c r="AB219" s="18"/>
      <c r="AC219" s="8" t="str">
        <f t="shared" si="13"/>
        <v/>
      </c>
      <c r="AD219" s="8"/>
      <c r="AE219" s="8"/>
      <c r="AF219" s="14"/>
      <c r="AG219" s="13"/>
      <c r="AH219" s="14"/>
      <c r="AI219" s="14"/>
      <c r="AJ219" s="8"/>
      <c r="AK219" s="8"/>
      <c r="AL219" s="8"/>
      <c r="AM219" s="8"/>
      <c r="AN219" s="631"/>
      <c r="AO219" s="18"/>
      <c r="AP219" s="18"/>
      <c r="AQ219" s="18"/>
      <c r="AR219" s="18"/>
      <c r="AS219" s="18"/>
      <c r="AU219" s="448"/>
      <c r="AV219" s="448"/>
      <c r="AW219" s="8" t="str">
        <f>IF(C219&gt;0,VLOOKUP(C219,Foundation_Calc!$A$2:$C$986,3,1),
IF(J219&gt;0,VLOOKUP(J219,Foundation_Calc!$A$2:$C$986,3,1),""))</f>
        <v/>
      </c>
      <c r="AX219" s="8" t="str">
        <f>IF(C219&gt;0,VLOOKUP(C219,Foundation_Calc!$E$2:$G$986,3,1),
IF(J219&gt;0,VLOOKUP(J219,Foundation_Calc!$E$2:$G$986,3,1),""))</f>
        <v/>
      </c>
      <c r="AY219" s="631" t="str">
        <f>IF(L219="","",
IF(AX219="PT",VLOOKUP(L219,Foundation_Calc!$K$4:$R$37,VLOOKUP(AW219,Foundation_Calc!$I$2:$J$8,2,FALSE),0),
IF(AX219="K",VLOOKUP(L219,Foundation_Calc!$K$41:$R$74,VLOOKUP(AW219,Foundation_Calc!$I$2:$J$8,2,FALSE),0),"")))</f>
        <v/>
      </c>
      <c r="AZ219" s="631" t="str">
        <f>IF(K219="","",
IF(AX219="PT",VLOOKUP(K219,Foundation_Calc!$K$4:$R$37,VLOOKUP(AW219,Foundation_Calc!$I$2:$J$8,2,FALSE),0),
IF(AX219="K",VLOOKUP(K219,Foundation_Calc!$K$41:$R$74,VLOOKUP(AW219,Foundation_Calc!$I$2:$J$8,2,FALSE),0),"")))</f>
        <v/>
      </c>
      <c r="BA219" s="632" t="str">
        <f t="shared" si="14"/>
        <v/>
      </c>
      <c r="BB219" s="632" t="str">
        <f t="shared" si="15"/>
        <v/>
      </c>
      <c r="BC219" s="632" t="str">
        <f t="shared" si="16"/>
        <v/>
      </c>
      <c r="BD219" s="633" t="str">
        <f>IF(AND(L219="",H219=""),"",
IF(H219="",Pole_Calc!A247,
IF(H219="MP",Pole_Calc!A248,
IF(H219="AnMP",Pole_Calc!A249,
IF(H219="A",Pole_Calc!A250,
IF(H219="S/A",Pole_Calc!A251,
IF(H219="A/S",Pole_Calc!A252,"Poner a mano")))))))</f>
        <v/>
      </c>
      <c r="BE219" s="448" t="s">
        <v>1726</v>
      </c>
      <c r="BF219" s="635"/>
      <c r="BG219" s="635"/>
      <c r="BH219" s="634"/>
      <c r="BI219" s="635"/>
    </row>
    <row r="220" spans="1:61" ht="16.2" customHeight="1">
      <c r="A220" s="12"/>
      <c r="B220" s="446"/>
      <c r="C220" s="89"/>
      <c r="D220" s="13"/>
      <c r="E220" s="14"/>
      <c r="F220" s="14"/>
      <c r="G220" s="15"/>
      <c r="H220" s="8"/>
      <c r="I220" s="8"/>
      <c r="J220" s="89"/>
      <c r="K220" s="8"/>
      <c r="L220" s="8"/>
      <c r="M220" s="8" t="str">
        <f>IF(L220="","",
IF(AX220="PT",VLOOKUP(L220,Foundation_Calc!$V$4:$X$37,VLOOKUP(AX220,Foundation_Calc!$I$10:$J$13,2,FALSE),0),
IF(AX220="K",VLOOKUP(L220,Foundation_Calc!$V$41:$X$74,VLOOKUP(AX220,Foundation_Calc!$I$10:$J$13,2,FALSE),0),"")))</f>
        <v/>
      </c>
      <c r="N220" s="8"/>
      <c r="O220" s="8"/>
      <c r="P220" s="8"/>
      <c r="Q220" s="14"/>
      <c r="R220" s="15"/>
      <c r="S220" s="15"/>
      <c r="T220" s="14"/>
      <c r="U220" s="14"/>
      <c r="V220" s="14"/>
      <c r="W220" s="18"/>
      <c r="X220" s="18"/>
      <c r="Y220" s="18"/>
      <c r="Z220" s="18"/>
      <c r="AA220" s="18"/>
      <c r="AB220" s="18"/>
      <c r="AC220" s="8" t="str">
        <f t="shared" si="13"/>
        <v/>
      </c>
      <c r="AD220" s="8"/>
      <c r="AE220" s="8"/>
      <c r="AF220" s="14"/>
      <c r="AG220" s="13"/>
      <c r="AH220" s="14"/>
      <c r="AI220" s="14"/>
      <c r="AJ220" s="8"/>
      <c r="AK220" s="8"/>
      <c r="AL220" s="8"/>
      <c r="AM220" s="8"/>
      <c r="AN220" s="631"/>
      <c r="AO220" s="18"/>
      <c r="AP220" s="18"/>
      <c r="AQ220" s="18"/>
      <c r="AR220" s="18"/>
      <c r="AS220" s="18"/>
      <c r="AU220" s="448"/>
      <c r="AV220" s="448"/>
      <c r="AW220" s="8" t="str">
        <f>IF(C220&gt;0,VLOOKUP(C220,Foundation_Calc!$A$2:$C$986,3,1),
IF(J220&gt;0,VLOOKUP(J220,Foundation_Calc!$A$2:$C$986,3,1),""))</f>
        <v/>
      </c>
      <c r="AX220" s="8" t="str">
        <f>IF(C220&gt;0,VLOOKUP(C220,Foundation_Calc!$E$2:$G$986,3,1),
IF(J220&gt;0,VLOOKUP(J220,Foundation_Calc!$E$2:$G$986,3,1),""))</f>
        <v/>
      </c>
      <c r="AY220" s="631" t="str">
        <f>IF(L220="","",
IF(AX220="PT",VLOOKUP(L220,Foundation_Calc!$K$4:$R$37,VLOOKUP(AW220,Foundation_Calc!$I$2:$J$8,2,FALSE),0),
IF(AX220="K",VLOOKUP(L220,Foundation_Calc!$K$41:$R$74,VLOOKUP(AW220,Foundation_Calc!$I$2:$J$8,2,FALSE),0),"")))</f>
        <v/>
      </c>
      <c r="AZ220" s="631" t="str">
        <f>IF(K220="","",
IF(AX220="PT",VLOOKUP(K220,Foundation_Calc!$K$4:$R$37,VLOOKUP(AW220,Foundation_Calc!$I$2:$J$8,2,FALSE),0),
IF(AX220="K",VLOOKUP(K220,Foundation_Calc!$K$41:$R$74,VLOOKUP(AW220,Foundation_Calc!$I$2:$J$8,2,FALSE),0),"")))</f>
        <v/>
      </c>
      <c r="BA220" s="632" t="str">
        <f t="shared" si="14"/>
        <v/>
      </c>
      <c r="BB220" s="632" t="str">
        <f t="shared" si="15"/>
        <v/>
      </c>
      <c r="BC220" s="632" t="str">
        <f t="shared" si="16"/>
        <v/>
      </c>
      <c r="BD220" s="633" t="str">
        <f>IF(AND(L220="",H220=""),"",
IF(H220="",Pole_Calc!A248,
IF(H220="MP",Pole_Calc!A249,
IF(H220="AnMP",Pole_Calc!A250,
IF(H220="A",Pole_Calc!A251,
IF(H220="S/A",Pole_Calc!A252,
IF(H220="A/S",Pole_Calc!A253,"Poner a mano")))))))</f>
        <v/>
      </c>
      <c r="BE220" s="448" t="s">
        <v>1726</v>
      </c>
      <c r="BF220" s="634"/>
      <c r="BG220" s="634"/>
      <c r="BH220" s="634"/>
      <c r="BI220" s="634"/>
    </row>
    <row r="221" spans="1:61" ht="16.2" customHeight="1">
      <c r="A221" s="12"/>
      <c r="B221" s="446"/>
      <c r="C221" s="89"/>
      <c r="D221" s="13"/>
      <c r="E221" s="14"/>
      <c r="F221" s="14"/>
      <c r="G221" s="15"/>
      <c r="H221" s="8"/>
      <c r="I221" s="8"/>
      <c r="J221" s="89"/>
      <c r="K221" s="8"/>
      <c r="L221" s="8"/>
      <c r="M221" s="8" t="str">
        <f>IF(L221="","",
IF(AX221="PT",VLOOKUP(L221,Foundation_Calc!$V$4:$X$37,VLOOKUP(AX221,Foundation_Calc!$I$10:$J$13,2,FALSE),0),
IF(AX221="K",VLOOKUP(L221,Foundation_Calc!$V$41:$X$74,VLOOKUP(AX221,Foundation_Calc!$I$10:$J$13,2,FALSE),0),"")))</f>
        <v/>
      </c>
      <c r="N221" s="8"/>
      <c r="O221" s="8"/>
      <c r="P221" s="8"/>
      <c r="Q221" s="14"/>
      <c r="R221" s="15"/>
      <c r="S221" s="15"/>
      <c r="T221" s="14"/>
      <c r="U221" s="14"/>
      <c r="V221" s="14"/>
      <c r="W221" s="18"/>
      <c r="X221" s="18"/>
      <c r="Y221" s="18"/>
      <c r="Z221" s="18"/>
      <c r="AA221" s="18"/>
      <c r="AB221" s="18"/>
      <c r="AC221" s="8" t="str">
        <f t="shared" si="13"/>
        <v/>
      </c>
      <c r="AD221" s="8"/>
      <c r="AE221" s="8"/>
      <c r="AF221" s="14"/>
      <c r="AG221" s="13"/>
      <c r="AH221" s="14"/>
      <c r="AI221" s="14"/>
      <c r="AJ221" s="8"/>
      <c r="AK221" s="8"/>
      <c r="AL221" s="8"/>
      <c r="AM221" s="8"/>
      <c r="AN221" s="631"/>
      <c r="AO221" s="18"/>
      <c r="AP221" s="18"/>
      <c r="AQ221" s="18"/>
      <c r="AR221" s="18"/>
      <c r="AS221" s="18"/>
      <c r="AU221" s="448"/>
      <c r="AV221" s="448"/>
      <c r="AW221" s="8" t="str">
        <f>IF(C221&gt;0,VLOOKUP(C221,Foundation_Calc!$A$2:$C$986,3,1),
IF(J221&gt;0,VLOOKUP(J221,Foundation_Calc!$A$2:$C$986,3,1),""))</f>
        <v/>
      </c>
      <c r="AX221" s="8" t="str">
        <f>IF(C221&gt;0,VLOOKUP(C221,Foundation_Calc!$E$2:$G$986,3,1),
IF(J221&gt;0,VLOOKUP(J221,Foundation_Calc!$E$2:$G$986,3,1),""))</f>
        <v/>
      </c>
      <c r="AY221" s="631" t="str">
        <f>IF(L221="","",
IF(AX221="PT",VLOOKUP(L221,Foundation_Calc!$K$4:$R$37,VLOOKUP(AW221,Foundation_Calc!$I$2:$J$8,2,FALSE),0),
IF(AX221="K",VLOOKUP(L221,Foundation_Calc!$K$41:$R$74,VLOOKUP(AW221,Foundation_Calc!$I$2:$J$8,2,FALSE),0),"")))</f>
        <v/>
      </c>
      <c r="AZ221" s="631" t="str">
        <f>IF(K221="","",
IF(AX221="PT",VLOOKUP(K221,Foundation_Calc!$K$4:$R$37,VLOOKUP(AW221,Foundation_Calc!$I$2:$J$8,2,FALSE),0),
IF(AX221="K",VLOOKUP(K221,Foundation_Calc!$K$41:$R$74,VLOOKUP(AW221,Foundation_Calc!$I$2:$J$8,2,FALSE),0),"")))</f>
        <v/>
      </c>
      <c r="BA221" s="632" t="str">
        <f t="shared" si="14"/>
        <v/>
      </c>
      <c r="BB221" s="632" t="str">
        <f t="shared" si="15"/>
        <v/>
      </c>
      <c r="BC221" s="632" t="str">
        <f t="shared" si="16"/>
        <v/>
      </c>
      <c r="BD221" s="633" t="str">
        <f>IF(AND(L221="",H221=""),"",
IF(H221="",Pole_Calc!A249,
IF(H221="MP",Pole_Calc!A250,
IF(H221="AnMP",Pole_Calc!A251,
IF(H221="A",Pole_Calc!A252,
IF(H221="S/A",Pole_Calc!A253,
IF(H221="A/S",Pole_Calc!A254,"Poner a mano")))))))</f>
        <v/>
      </c>
      <c r="BE221" s="448" t="s">
        <v>1726</v>
      </c>
      <c r="BF221" s="635"/>
      <c r="BG221" s="635"/>
      <c r="BH221" s="634"/>
      <c r="BI221" s="635"/>
    </row>
    <row r="222" spans="1:61" ht="16.2" customHeight="1">
      <c r="A222" s="12"/>
      <c r="B222" s="446"/>
      <c r="C222" s="89"/>
      <c r="D222" s="13"/>
      <c r="E222" s="14"/>
      <c r="F222" s="14"/>
      <c r="G222" s="15"/>
      <c r="H222" s="8"/>
      <c r="I222" s="8"/>
      <c r="J222" s="89"/>
      <c r="K222" s="8"/>
      <c r="L222" s="8"/>
      <c r="M222" s="8" t="str">
        <f>IF(L222="","",
IF(AX222="PT",VLOOKUP(L222,Foundation_Calc!$V$4:$X$37,VLOOKUP(AX222,Foundation_Calc!$I$10:$J$13,2,FALSE),0),
IF(AX222="K",VLOOKUP(L222,Foundation_Calc!$V$41:$X$74,VLOOKUP(AX222,Foundation_Calc!$I$10:$J$13,2,FALSE),0),"")))</f>
        <v/>
      </c>
      <c r="N222" s="8"/>
      <c r="O222" s="8"/>
      <c r="P222" s="8"/>
      <c r="Q222" s="14"/>
      <c r="R222" s="15"/>
      <c r="S222" s="15"/>
      <c r="T222" s="14"/>
      <c r="U222" s="14"/>
      <c r="V222" s="14"/>
      <c r="W222" s="18"/>
      <c r="X222" s="18"/>
      <c r="Y222" s="18"/>
      <c r="Z222" s="18"/>
      <c r="AA222" s="18"/>
      <c r="AB222" s="18"/>
      <c r="AC222" s="8" t="str">
        <f t="shared" si="13"/>
        <v/>
      </c>
      <c r="AD222" s="8"/>
      <c r="AE222" s="8"/>
      <c r="AF222" s="14"/>
      <c r="AG222" s="13"/>
      <c r="AH222" s="14"/>
      <c r="AI222" s="14"/>
      <c r="AJ222" s="8"/>
      <c r="AK222" s="8"/>
      <c r="AL222" s="8"/>
      <c r="AM222" s="8"/>
      <c r="AN222" s="631"/>
      <c r="AO222" s="18"/>
      <c r="AP222" s="18"/>
      <c r="AQ222" s="18"/>
      <c r="AR222" s="18"/>
      <c r="AS222" s="18"/>
      <c r="AU222" s="448"/>
      <c r="AV222" s="448"/>
      <c r="AW222" s="8" t="str">
        <f>IF(C222&gt;0,VLOOKUP(C222,Foundation_Calc!$A$2:$C$986,3,1),
IF(J222&gt;0,VLOOKUP(J222,Foundation_Calc!$A$2:$C$986,3,1),""))</f>
        <v/>
      </c>
      <c r="AX222" s="8" t="str">
        <f>IF(C222&gt;0,VLOOKUP(C222,Foundation_Calc!$E$2:$G$986,3,1),
IF(J222&gt;0,VLOOKUP(J222,Foundation_Calc!$E$2:$G$986,3,1),""))</f>
        <v/>
      </c>
      <c r="AY222" s="631" t="str">
        <f>IF(L222="","",
IF(AX222="PT",VLOOKUP(L222,Foundation_Calc!$K$4:$R$37,VLOOKUP(AW222,Foundation_Calc!$I$2:$J$8,2,FALSE),0),
IF(AX222="K",VLOOKUP(L222,Foundation_Calc!$K$41:$R$74,VLOOKUP(AW222,Foundation_Calc!$I$2:$J$8,2,FALSE),0),"")))</f>
        <v/>
      </c>
      <c r="AZ222" s="631" t="str">
        <f>IF(K222="","",
IF(AX222="PT",VLOOKUP(K222,Foundation_Calc!$K$4:$R$37,VLOOKUP(AW222,Foundation_Calc!$I$2:$J$8,2,FALSE),0),
IF(AX222="K",VLOOKUP(K222,Foundation_Calc!$K$41:$R$74,VLOOKUP(AW222,Foundation_Calc!$I$2:$J$8,2,FALSE),0),"")))</f>
        <v/>
      </c>
      <c r="BA222" s="632" t="str">
        <f t="shared" si="14"/>
        <v/>
      </c>
      <c r="BB222" s="632" t="str">
        <f t="shared" si="15"/>
        <v/>
      </c>
      <c r="BC222" s="632" t="str">
        <f t="shared" si="16"/>
        <v/>
      </c>
      <c r="BD222" s="633" t="str">
        <f>IF(AND(L222="",H222=""),"",
IF(H222="",Pole_Calc!A250,
IF(H222="MP",Pole_Calc!A251,
IF(H222="AnMP",Pole_Calc!A252,
IF(H222="A",Pole_Calc!A253,
IF(H222="S/A",Pole_Calc!A254,
IF(H222="A/S",Pole_Calc!A255,"Poner a mano")))))))</f>
        <v/>
      </c>
      <c r="BE222" s="448" t="s">
        <v>1726</v>
      </c>
      <c r="BF222" s="634"/>
      <c r="BG222" s="634"/>
      <c r="BH222" s="634"/>
      <c r="BI222" s="634"/>
    </row>
    <row r="223" spans="1:61" ht="16.2" customHeight="1">
      <c r="A223" s="12"/>
      <c r="B223" s="446"/>
      <c r="C223" s="89"/>
      <c r="D223" s="13"/>
      <c r="E223" s="14"/>
      <c r="F223" s="14"/>
      <c r="G223" s="15"/>
      <c r="H223" s="8"/>
      <c r="I223" s="8"/>
      <c r="J223" s="89"/>
      <c r="K223" s="8"/>
      <c r="L223" s="8"/>
      <c r="M223" s="8" t="str">
        <f>IF(L223="","",
IF(AX223="PT",VLOOKUP(L223,Foundation_Calc!$V$4:$X$37,VLOOKUP(AX223,Foundation_Calc!$I$10:$J$13,2,FALSE),0),
IF(AX223="K",VLOOKUP(L223,Foundation_Calc!$V$41:$X$74,VLOOKUP(AX223,Foundation_Calc!$I$10:$J$13,2,FALSE),0),"")))</f>
        <v/>
      </c>
      <c r="N223" s="8"/>
      <c r="O223" s="8"/>
      <c r="P223" s="8"/>
      <c r="Q223" s="14"/>
      <c r="R223" s="15"/>
      <c r="S223" s="15"/>
      <c r="T223" s="14"/>
      <c r="U223" s="14"/>
      <c r="V223" s="14"/>
      <c r="W223" s="18"/>
      <c r="X223" s="18"/>
      <c r="Y223" s="18"/>
      <c r="Z223" s="18"/>
      <c r="AA223" s="18"/>
      <c r="AB223" s="18"/>
      <c r="AC223" s="8" t="str">
        <f t="shared" si="13"/>
        <v/>
      </c>
      <c r="AD223" s="8"/>
      <c r="AE223" s="8"/>
      <c r="AF223" s="14"/>
      <c r="AG223" s="13"/>
      <c r="AH223" s="14"/>
      <c r="AI223" s="14"/>
      <c r="AJ223" s="8"/>
      <c r="AK223" s="8"/>
      <c r="AL223" s="8"/>
      <c r="AM223" s="8"/>
      <c r="AN223" s="631"/>
      <c r="AO223" s="18"/>
      <c r="AP223" s="18"/>
      <c r="AQ223" s="18"/>
      <c r="AR223" s="18"/>
      <c r="AS223" s="18"/>
      <c r="AU223" s="448"/>
      <c r="AV223" s="448"/>
      <c r="AW223" s="8" t="str">
        <f>IF(C223&gt;0,VLOOKUP(C223,Foundation_Calc!$A$2:$C$986,3,1),
IF(J223&gt;0,VLOOKUP(J223,Foundation_Calc!$A$2:$C$986,3,1),""))</f>
        <v/>
      </c>
      <c r="AX223" s="8" t="str">
        <f>IF(C223&gt;0,VLOOKUP(C223,Foundation_Calc!$E$2:$G$986,3,1),
IF(J223&gt;0,VLOOKUP(J223,Foundation_Calc!$E$2:$G$986,3,1),""))</f>
        <v/>
      </c>
      <c r="AY223" s="631" t="str">
        <f>IF(L223="","",
IF(AX223="PT",VLOOKUP(L223,Foundation_Calc!$K$4:$R$37,VLOOKUP(AW223,Foundation_Calc!$I$2:$J$8,2,FALSE),0),
IF(AX223="K",VLOOKUP(L223,Foundation_Calc!$K$41:$R$74,VLOOKUP(AW223,Foundation_Calc!$I$2:$J$8,2,FALSE),0),"")))</f>
        <v/>
      </c>
      <c r="AZ223" s="631" t="str">
        <f>IF(K223="","",
IF(AX223="PT",VLOOKUP(K223,Foundation_Calc!$K$4:$R$37,VLOOKUP(AW223,Foundation_Calc!$I$2:$J$8,2,FALSE),0),
IF(AX223="K",VLOOKUP(K223,Foundation_Calc!$K$41:$R$74,VLOOKUP(AW223,Foundation_Calc!$I$2:$J$8,2,FALSE),0),"")))</f>
        <v/>
      </c>
      <c r="BA223" s="632" t="str">
        <f t="shared" si="14"/>
        <v/>
      </c>
      <c r="BB223" s="632" t="str">
        <f t="shared" si="15"/>
        <v/>
      </c>
      <c r="BC223" s="632" t="str">
        <f t="shared" si="16"/>
        <v/>
      </c>
      <c r="BD223" s="633" t="str">
        <f>IF(AND(L223="",H223=""),"",
IF(H223="",Pole_Calc!A251,
IF(H223="MP",Pole_Calc!A252,
IF(H223="AnMP",Pole_Calc!A253,
IF(H223="A",Pole_Calc!A254,
IF(H223="S/A",Pole_Calc!A255,
IF(H223="A/S",Pole_Calc!A256,"Poner a mano")))))))</f>
        <v/>
      </c>
      <c r="BE223" s="448" t="s">
        <v>1726</v>
      </c>
      <c r="BF223" s="635"/>
      <c r="BG223" s="635"/>
      <c r="BH223" s="634"/>
      <c r="BI223" s="635"/>
    </row>
    <row r="224" spans="1:61" ht="16.2" customHeight="1">
      <c r="A224" s="12"/>
      <c r="B224" s="446"/>
      <c r="C224" s="89"/>
      <c r="D224" s="13"/>
      <c r="E224" s="14"/>
      <c r="F224" s="14"/>
      <c r="G224" s="15"/>
      <c r="H224" s="8"/>
      <c r="I224" s="8"/>
      <c r="J224" s="89"/>
      <c r="K224" s="8"/>
      <c r="L224" s="8"/>
      <c r="M224" s="8" t="str">
        <f>IF(L224="","",
IF(AX224="PT",VLOOKUP(L224,Foundation_Calc!$V$4:$X$37,VLOOKUP(AX224,Foundation_Calc!$I$10:$J$13,2,FALSE),0),
IF(AX224="K",VLOOKUP(L224,Foundation_Calc!$V$41:$X$74,VLOOKUP(AX224,Foundation_Calc!$I$10:$J$13,2,FALSE),0),"")))</f>
        <v/>
      </c>
      <c r="N224" s="8"/>
      <c r="O224" s="8"/>
      <c r="P224" s="8"/>
      <c r="Q224" s="14"/>
      <c r="R224" s="15"/>
      <c r="S224" s="15"/>
      <c r="T224" s="14"/>
      <c r="U224" s="14"/>
      <c r="V224" s="14"/>
      <c r="W224" s="18"/>
      <c r="X224" s="18"/>
      <c r="Y224" s="18"/>
      <c r="Z224" s="18"/>
      <c r="AA224" s="18"/>
      <c r="AB224" s="18"/>
      <c r="AC224" s="8" t="str">
        <f t="shared" si="13"/>
        <v/>
      </c>
      <c r="AD224" s="8"/>
      <c r="AE224" s="8"/>
      <c r="AF224" s="14"/>
      <c r="AG224" s="13"/>
      <c r="AH224" s="14"/>
      <c r="AI224" s="14"/>
      <c r="AJ224" s="8"/>
      <c r="AK224" s="8"/>
      <c r="AL224" s="8"/>
      <c r="AM224" s="8"/>
      <c r="AN224" s="631"/>
      <c r="AO224" s="18"/>
      <c r="AP224" s="18"/>
      <c r="AQ224" s="18"/>
      <c r="AR224" s="18"/>
      <c r="AS224" s="18"/>
      <c r="AU224" s="448"/>
      <c r="AV224" s="448"/>
      <c r="AW224" s="8" t="str">
        <f>IF(C224&gt;0,VLOOKUP(C224,Foundation_Calc!$A$2:$C$986,3,1),
IF(J224&gt;0,VLOOKUP(J224,Foundation_Calc!$A$2:$C$986,3,1),""))</f>
        <v/>
      </c>
      <c r="AX224" s="8" t="str">
        <f>IF(C224&gt;0,VLOOKUP(C224,Foundation_Calc!$E$2:$G$986,3,1),
IF(J224&gt;0,VLOOKUP(J224,Foundation_Calc!$E$2:$G$986,3,1),""))</f>
        <v/>
      </c>
      <c r="AY224" s="631" t="str">
        <f>IF(L224="","",
IF(AX224="PT",VLOOKUP(L224,Foundation_Calc!$K$4:$R$37,VLOOKUP(AW224,Foundation_Calc!$I$2:$J$8,2,FALSE),0),
IF(AX224="K",VLOOKUP(L224,Foundation_Calc!$K$41:$R$74,VLOOKUP(AW224,Foundation_Calc!$I$2:$J$8,2,FALSE),0),"")))</f>
        <v/>
      </c>
      <c r="AZ224" s="631" t="str">
        <f>IF(K224="","",
IF(AX224="PT",VLOOKUP(K224,Foundation_Calc!$K$4:$R$37,VLOOKUP(AW224,Foundation_Calc!$I$2:$J$8,2,FALSE),0),
IF(AX224="K",VLOOKUP(K224,Foundation_Calc!$K$41:$R$74,VLOOKUP(AW224,Foundation_Calc!$I$2:$J$8,2,FALSE),0),"")))</f>
        <v/>
      </c>
      <c r="BA224" s="632" t="str">
        <f t="shared" si="14"/>
        <v/>
      </c>
      <c r="BB224" s="632" t="str">
        <f t="shared" si="15"/>
        <v/>
      </c>
      <c r="BC224" s="632" t="str">
        <f t="shared" si="16"/>
        <v/>
      </c>
      <c r="BD224" s="633" t="str">
        <f>IF(AND(L224="",H224=""),"",
IF(H224="",Pole_Calc!A252,
IF(H224="MP",Pole_Calc!A253,
IF(H224="AnMP",Pole_Calc!A254,
IF(H224="A",Pole_Calc!A255,
IF(H224="S/A",Pole_Calc!A256,
IF(H224="A/S",Pole_Calc!A257,"Poner a mano")))))))</f>
        <v/>
      </c>
      <c r="BE224" s="448" t="s">
        <v>1726</v>
      </c>
      <c r="BF224" s="634"/>
      <c r="BG224" s="634"/>
      <c r="BH224" s="634"/>
      <c r="BI224" s="634"/>
    </row>
    <row r="225" spans="1:61" ht="16.2" customHeight="1">
      <c r="A225" s="12"/>
      <c r="B225" s="446"/>
      <c r="C225" s="89"/>
      <c r="D225" s="13"/>
      <c r="E225" s="14"/>
      <c r="F225" s="14"/>
      <c r="G225" s="15"/>
      <c r="H225" s="8"/>
      <c r="I225" s="8"/>
      <c r="J225" s="89"/>
      <c r="K225" s="8"/>
      <c r="L225" s="8"/>
      <c r="M225" s="8" t="str">
        <f>IF(L225="","",
IF(AX225="PT",VLOOKUP(L225,Foundation_Calc!$V$4:$X$37,VLOOKUP(AX225,Foundation_Calc!$I$10:$J$13,2,FALSE),0),
IF(AX225="K",VLOOKUP(L225,Foundation_Calc!$V$41:$X$74,VLOOKUP(AX225,Foundation_Calc!$I$10:$J$13,2,FALSE),0),"")))</f>
        <v/>
      </c>
      <c r="N225" s="8"/>
      <c r="O225" s="8"/>
      <c r="P225" s="8"/>
      <c r="Q225" s="14"/>
      <c r="R225" s="15"/>
      <c r="S225" s="15"/>
      <c r="T225" s="14"/>
      <c r="U225" s="14"/>
      <c r="V225" s="14"/>
      <c r="W225" s="18"/>
      <c r="X225" s="18"/>
      <c r="Y225" s="18"/>
      <c r="Z225" s="18"/>
      <c r="AA225" s="18"/>
      <c r="AB225" s="18"/>
      <c r="AC225" s="8" t="str">
        <f t="shared" si="13"/>
        <v/>
      </c>
      <c r="AD225" s="8"/>
      <c r="AE225" s="8"/>
      <c r="AF225" s="14"/>
      <c r="AG225" s="13"/>
      <c r="AH225" s="14"/>
      <c r="AI225" s="14"/>
      <c r="AJ225" s="8"/>
      <c r="AK225" s="8"/>
      <c r="AL225" s="8"/>
      <c r="AM225" s="8"/>
      <c r="AN225" s="631"/>
      <c r="AO225" s="18"/>
      <c r="AP225" s="18"/>
      <c r="AQ225" s="18"/>
      <c r="AR225" s="18"/>
      <c r="AS225" s="18"/>
      <c r="AU225" s="448"/>
      <c r="AV225" s="448"/>
      <c r="AW225" s="8" t="str">
        <f>IF(C225&gt;0,VLOOKUP(C225,Foundation_Calc!$A$2:$C$986,3,1),
IF(J225&gt;0,VLOOKUP(J225,Foundation_Calc!$A$2:$C$986,3,1),""))</f>
        <v/>
      </c>
      <c r="AX225" s="8" t="str">
        <f>IF(C225&gt;0,VLOOKUP(C225,Foundation_Calc!$E$2:$G$986,3,1),
IF(J225&gt;0,VLOOKUP(J225,Foundation_Calc!$E$2:$G$986,3,1),""))</f>
        <v/>
      </c>
      <c r="AY225" s="631" t="str">
        <f>IF(L225="","",
IF(AX225="PT",VLOOKUP(L225,Foundation_Calc!$K$4:$R$37,VLOOKUP(AW225,Foundation_Calc!$I$2:$J$8,2,FALSE),0),
IF(AX225="K",VLOOKUP(L225,Foundation_Calc!$K$41:$R$74,VLOOKUP(AW225,Foundation_Calc!$I$2:$J$8,2,FALSE),0),"")))</f>
        <v/>
      </c>
      <c r="AZ225" s="631" t="str">
        <f>IF(K225="","",
IF(AX225="PT",VLOOKUP(K225,Foundation_Calc!$K$4:$R$37,VLOOKUP(AW225,Foundation_Calc!$I$2:$J$8,2,FALSE),0),
IF(AX225="K",VLOOKUP(K225,Foundation_Calc!$K$41:$R$74,VLOOKUP(AW225,Foundation_Calc!$I$2:$J$8,2,FALSE),0),"")))</f>
        <v/>
      </c>
      <c r="BA225" s="632" t="str">
        <f t="shared" si="14"/>
        <v/>
      </c>
      <c r="BB225" s="632" t="str">
        <f t="shared" si="15"/>
        <v/>
      </c>
      <c r="BC225" s="632" t="str">
        <f t="shared" si="16"/>
        <v/>
      </c>
      <c r="BD225" s="633" t="str">
        <f>IF(AND(L225="",H225=""),"",
IF(H225="",Pole_Calc!A253,
IF(H225="MP",Pole_Calc!A254,
IF(H225="AnMP",Pole_Calc!A255,
IF(H225="A",Pole_Calc!A256,
IF(H225="S/A",Pole_Calc!A257,
IF(H225="A/S",Pole_Calc!A258,"Poner a mano")))))))</f>
        <v/>
      </c>
      <c r="BE225" s="448" t="s">
        <v>1726</v>
      </c>
      <c r="BF225" s="635"/>
      <c r="BG225" s="635"/>
      <c r="BH225" s="634"/>
      <c r="BI225" s="635"/>
    </row>
    <row r="226" spans="1:61" ht="16.2" customHeight="1">
      <c r="A226" s="12"/>
      <c r="B226" s="446"/>
      <c r="C226" s="89"/>
      <c r="D226" s="13"/>
      <c r="E226" s="14"/>
      <c r="F226" s="14"/>
      <c r="G226" s="15"/>
      <c r="H226" s="8"/>
      <c r="I226" s="8"/>
      <c r="J226" s="89"/>
      <c r="K226" s="8"/>
      <c r="L226" s="8"/>
      <c r="M226" s="8" t="str">
        <f>IF(L226="","",
IF(AX226="PT",VLOOKUP(L226,Foundation_Calc!$V$4:$X$37,VLOOKUP(AX226,Foundation_Calc!$I$10:$J$13,2,FALSE),0),
IF(AX226="K",VLOOKUP(L226,Foundation_Calc!$V$41:$X$74,VLOOKUP(AX226,Foundation_Calc!$I$10:$J$13,2,FALSE),0),"")))</f>
        <v/>
      </c>
      <c r="N226" s="8"/>
      <c r="O226" s="8"/>
      <c r="P226" s="8"/>
      <c r="Q226" s="14"/>
      <c r="R226" s="15"/>
      <c r="S226" s="15"/>
      <c r="T226" s="14"/>
      <c r="U226" s="14"/>
      <c r="V226" s="14"/>
      <c r="W226" s="18"/>
      <c r="X226" s="18"/>
      <c r="Y226" s="18"/>
      <c r="Z226" s="18"/>
      <c r="AA226" s="18"/>
      <c r="AB226" s="18"/>
      <c r="AC226" s="8" t="str">
        <f t="shared" si="13"/>
        <v/>
      </c>
      <c r="AD226" s="8"/>
      <c r="AE226" s="8"/>
      <c r="AF226" s="14"/>
      <c r="AG226" s="13"/>
      <c r="AH226" s="14"/>
      <c r="AI226" s="14"/>
      <c r="AJ226" s="8"/>
      <c r="AK226" s="8"/>
      <c r="AL226" s="8"/>
      <c r="AM226" s="8"/>
      <c r="AN226" s="631"/>
      <c r="AO226" s="18"/>
      <c r="AP226" s="18"/>
      <c r="AQ226" s="18"/>
      <c r="AR226" s="18"/>
      <c r="AS226" s="18"/>
      <c r="AU226" s="448"/>
      <c r="AV226" s="448"/>
      <c r="AW226" s="8" t="str">
        <f>IF(C226&gt;0,VLOOKUP(C226,Foundation_Calc!$A$2:$C$986,3,1),
IF(J226&gt;0,VLOOKUP(J226,Foundation_Calc!$A$2:$C$986,3,1),""))</f>
        <v/>
      </c>
      <c r="AX226" s="8" t="str">
        <f>IF(C226&gt;0,VLOOKUP(C226,Foundation_Calc!$E$2:$G$986,3,1),
IF(J226&gt;0,VLOOKUP(J226,Foundation_Calc!$E$2:$G$986,3,1),""))</f>
        <v/>
      </c>
      <c r="AY226" s="631" t="str">
        <f>IF(L226="","",
IF(AX226="PT",VLOOKUP(L226,Foundation_Calc!$K$4:$R$37,VLOOKUP(AW226,Foundation_Calc!$I$2:$J$8,2,FALSE),0),
IF(AX226="K",VLOOKUP(L226,Foundation_Calc!$K$41:$R$74,VLOOKUP(AW226,Foundation_Calc!$I$2:$J$8,2,FALSE),0),"")))</f>
        <v/>
      </c>
      <c r="AZ226" s="631" t="str">
        <f>IF(K226="","",
IF(AX226="PT",VLOOKUP(K226,Foundation_Calc!$K$4:$R$37,VLOOKUP(AW226,Foundation_Calc!$I$2:$J$8,2,FALSE),0),
IF(AX226="K",VLOOKUP(K226,Foundation_Calc!$K$41:$R$74,VLOOKUP(AW226,Foundation_Calc!$I$2:$J$8,2,FALSE),0),"")))</f>
        <v/>
      </c>
      <c r="BA226" s="632" t="str">
        <f t="shared" si="14"/>
        <v/>
      </c>
      <c r="BB226" s="632" t="str">
        <f t="shared" si="15"/>
        <v/>
      </c>
      <c r="BC226" s="632" t="str">
        <f t="shared" si="16"/>
        <v/>
      </c>
      <c r="BD226" s="633" t="str">
        <f>IF(AND(L226="",H226=""),"",
IF(H226="",Pole_Calc!A254,
IF(H226="MP",Pole_Calc!A255,
IF(H226="AnMP",Pole_Calc!A256,
IF(H226="A",Pole_Calc!A257,
IF(H226="S/A",Pole_Calc!A258,
IF(H226="A/S",Pole_Calc!A259,"Poner a mano")))))))</f>
        <v/>
      </c>
      <c r="BE226" s="448" t="s">
        <v>1726</v>
      </c>
      <c r="BF226" s="634"/>
      <c r="BG226" s="634"/>
      <c r="BH226" s="634"/>
      <c r="BI226" s="634"/>
    </row>
    <row r="227" spans="1:61" ht="16.2" customHeight="1">
      <c r="A227" s="12"/>
      <c r="B227" s="446"/>
      <c r="C227" s="89"/>
      <c r="D227" s="13"/>
      <c r="E227" s="14"/>
      <c r="F227" s="14"/>
      <c r="G227" s="15"/>
      <c r="H227" s="8"/>
      <c r="I227" s="8"/>
      <c r="J227" s="89"/>
      <c r="K227" s="8"/>
      <c r="L227" s="8"/>
      <c r="M227" s="8" t="str">
        <f>IF(L227="","",
IF(AX227="PT",VLOOKUP(L227,Foundation_Calc!$V$4:$X$37,VLOOKUP(AX227,Foundation_Calc!$I$10:$J$13,2,FALSE),0),
IF(AX227="K",VLOOKUP(L227,Foundation_Calc!$V$41:$X$74,VLOOKUP(AX227,Foundation_Calc!$I$10:$J$13,2,FALSE),0),"")))</f>
        <v/>
      </c>
      <c r="N227" s="8"/>
      <c r="O227" s="8"/>
      <c r="P227" s="8"/>
      <c r="Q227" s="14"/>
      <c r="R227" s="15"/>
      <c r="S227" s="15"/>
      <c r="T227" s="14"/>
      <c r="U227" s="14"/>
      <c r="V227" s="14"/>
      <c r="W227" s="18"/>
      <c r="X227" s="18"/>
      <c r="Y227" s="18"/>
      <c r="Z227" s="18"/>
      <c r="AA227" s="18"/>
      <c r="AB227" s="18"/>
      <c r="AC227" s="8" t="str">
        <f t="shared" si="13"/>
        <v/>
      </c>
      <c r="AD227" s="8"/>
      <c r="AE227" s="8"/>
      <c r="AF227" s="14"/>
      <c r="AG227" s="13"/>
      <c r="AH227" s="14"/>
      <c r="AI227" s="14"/>
      <c r="AJ227" s="8"/>
      <c r="AK227" s="8"/>
      <c r="AL227" s="8"/>
      <c r="AM227" s="8"/>
      <c r="AN227" s="631"/>
      <c r="AO227" s="18"/>
      <c r="AP227" s="18"/>
      <c r="AQ227" s="18"/>
      <c r="AR227" s="18"/>
      <c r="AS227" s="18"/>
      <c r="AU227" s="448"/>
      <c r="AV227" s="448"/>
      <c r="AW227" s="8" t="str">
        <f>IF(C227&gt;0,VLOOKUP(C227,Foundation_Calc!$A$2:$C$986,3,1),
IF(J227&gt;0,VLOOKUP(J227,Foundation_Calc!$A$2:$C$986,3,1),""))</f>
        <v/>
      </c>
      <c r="AX227" s="8" t="str">
        <f>IF(C227&gt;0,VLOOKUP(C227,Foundation_Calc!$E$2:$G$986,3,1),
IF(J227&gt;0,VLOOKUP(J227,Foundation_Calc!$E$2:$G$986,3,1),""))</f>
        <v/>
      </c>
      <c r="AY227" s="631" t="str">
        <f>IF(L227="","",
IF(AX227="PT",VLOOKUP(L227,Foundation_Calc!$K$4:$R$37,VLOOKUP(AW227,Foundation_Calc!$I$2:$J$8,2,FALSE),0),
IF(AX227="K",VLOOKUP(L227,Foundation_Calc!$K$41:$R$74,VLOOKUP(AW227,Foundation_Calc!$I$2:$J$8,2,FALSE),0),"")))</f>
        <v/>
      </c>
      <c r="AZ227" s="631" t="str">
        <f>IF(K227="","",
IF(AX227="PT",VLOOKUP(K227,Foundation_Calc!$K$4:$R$37,VLOOKUP(AW227,Foundation_Calc!$I$2:$J$8,2,FALSE),0),
IF(AX227="K",VLOOKUP(K227,Foundation_Calc!$K$41:$R$74,VLOOKUP(AW227,Foundation_Calc!$I$2:$J$8,2,FALSE),0),"")))</f>
        <v/>
      </c>
      <c r="BA227" s="632" t="str">
        <f t="shared" si="14"/>
        <v/>
      </c>
      <c r="BB227" s="632" t="str">
        <f t="shared" si="15"/>
        <v/>
      </c>
      <c r="BC227" s="632" t="str">
        <f t="shared" si="16"/>
        <v/>
      </c>
      <c r="BD227" s="633" t="str">
        <f>IF(AND(L227="",H227=""),"",
IF(H227="",Pole_Calc!A255,
IF(H227="MP",Pole_Calc!A256,
IF(H227="AnMP",Pole_Calc!A257,
IF(H227="A",Pole_Calc!A258,
IF(H227="S/A",Pole_Calc!A259,
IF(H227="A/S",Pole_Calc!A260,"Poner a mano")))))))</f>
        <v/>
      </c>
      <c r="BE227" s="448" t="s">
        <v>1726</v>
      </c>
      <c r="BF227" s="635"/>
      <c r="BG227" s="635"/>
      <c r="BH227" s="634"/>
      <c r="BI227" s="635"/>
    </row>
    <row r="228" spans="1:61" ht="16.2" customHeight="1">
      <c r="A228" s="12"/>
      <c r="B228" s="446"/>
      <c r="C228" s="89"/>
      <c r="D228" s="13"/>
      <c r="E228" s="14"/>
      <c r="F228" s="14"/>
      <c r="G228" s="15"/>
      <c r="H228" s="8"/>
      <c r="I228" s="8"/>
      <c r="J228" s="89"/>
      <c r="K228" s="8"/>
      <c r="L228" s="8"/>
      <c r="M228" s="8" t="str">
        <f>IF(L228="","",
IF(AX228="PT",VLOOKUP(L228,Foundation_Calc!$V$4:$X$37,VLOOKUP(AX228,Foundation_Calc!$I$10:$J$13,2,FALSE),0),
IF(AX228="K",VLOOKUP(L228,Foundation_Calc!$V$41:$X$74,VLOOKUP(AX228,Foundation_Calc!$I$10:$J$13,2,FALSE),0),"")))</f>
        <v/>
      </c>
      <c r="N228" s="8"/>
      <c r="O228" s="8"/>
      <c r="P228" s="8"/>
      <c r="Q228" s="14"/>
      <c r="R228" s="15"/>
      <c r="S228" s="15"/>
      <c r="T228" s="14"/>
      <c r="U228" s="14"/>
      <c r="V228" s="14"/>
      <c r="W228" s="18"/>
      <c r="X228" s="18"/>
      <c r="Y228" s="18"/>
      <c r="Z228" s="18"/>
      <c r="AA228" s="18"/>
      <c r="AB228" s="18"/>
      <c r="AC228" s="8" t="str">
        <f t="shared" si="13"/>
        <v/>
      </c>
      <c r="AD228" s="8"/>
      <c r="AE228" s="8"/>
      <c r="AF228" s="14"/>
      <c r="AG228" s="13"/>
      <c r="AH228" s="14"/>
      <c r="AI228" s="14"/>
      <c r="AJ228" s="8"/>
      <c r="AK228" s="8"/>
      <c r="AL228" s="8"/>
      <c r="AM228" s="8"/>
      <c r="AN228" s="631"/>
      <c r="AO228" s="18"/>
      <c r="AP228" s="18"/>
      <c r="AQ228" s="18"/>
      <c r="AR228" s="18"/>
      <c r="AS228" s="18"/>
      <c r="AU228" s="448"/>
      <c r="AV228" s="448"/>
      <c r="AW228" s="8" t="str">
        <f>IF(C228&gt;0,VLOOKUP(C228,Foundation_Calc!$A$2:$C$986,3,1),
IF(J228&gt;0,VLOOKUP(J228,Foundation_Calc!$A$2:$C$986,3,1),""))</f>
        <v/>
      </c>
      <c r="AX228" s="8" t="str">
        <f>IF(C228&gt;0,VLOOKUP(C228,Foundation_Calc!$E$2:$G$986,3,1),
IF(J228&gt;0,VLOOKUP(J228,Foundation_Calc!$E$2:$G$986,3,1),""))</f>
        <v/>
      </c>
      <c r="AY228" s="631" t="str">
        <f>IF(L228="","",
IF(AX228="PT",VLOOKUP(L228,Foundation_Calc!$K$4:$R$37,VLOOKUP(AW228,Foundation_Calc!$I$2:$J$8,2,FALSE),0),
IF(AX228="K",VLOOKUP(L228,Foundation_Calc!$K$41:$R$74,VLOOKUP(AW228,Foundation_Calc!$I$2:$J$8,2,FALSE),0),"")))</f>
        <v/>
      </c>
      <c r="AZ228" s="631" t="str">
        <f>IF(K228="","",
IF(AX228="PT",VLOOKUP(K228,Foundation_Calc!$K$4:$R$37,VLOOKUP(AW228,Foundation_Calc!$I$2:$J$8,2,FALSE),0),
IF(AX228="K",VLOOKUP(K228,Foundation_Calc!$K$41:$R$74,VLOOKUP(AW228,Foundation_Calc!$I$2:$J$8,2,FALSE),0),"")))</f>
        <v/>
      </c>
      <c r="BA228" s="632" t="str">
        <f t="shared" si="14"/>
        <v/>
      </c>
      <c r="BB228" s="632" t="str">
        <f t="shared" si="15"/>
        <v/>
      </c>
      <c r="BC228" s="632" t="str">
        <f t="shared" si="16"/>
        <v/>
      </c>
      <c r="BD228" s="633" t="str">
        <f>IF(AND(L228="",H228=""),"",
IF(H228="",Pole_Calc!A256,
IF(H228="MP",Pole_Calc!A257,
IF(H228="AnMP",Pole_Calc!A258,
IF(H228="A",Pole_Calc!A259,
IF(H228="S/A",Pole_Calc!A260,
IF(H228="A/S",Pole_Calc!A261,"Poner a mano")))))))</f>
        <v/>
      </c>
      <c r="BE228" s="448" t="s">
        <v>1726</v>
      </c>
      <c r="BF228" s="634"/>
      <c r="BG228" s="634"/>
      <c r="BH228" s="634"/>
      <c r="BI228" s="634"/>
    </row>
    <row r="229" spans="1:61" ht="16.2" customHeight="1">
      <c r="A229" s="12"/>
      <c r="B229" s="446"/>
      <c r="C229" s="89"/>
      <c r="D229" s="13"/>
      <c r="E229" s="14"/>
      <c r="F229" s="14"/>
      <c r="G229" s="15"/>
      <c r="H229" s="8"/>
      <c r="I229" s="8"/>
      <c r="J229" s="89"/>
      <c r="K229" s="8"/>
      <c r="L229" s="8"/>
      <c r="M229" s="8" t="str">
        <f>IF(L229="","",
IF(AX229="PT",VLOOKUP(L229,Foundation_Calc!$V$4:$X$37,VLOOKUP(AX229,Foundation_Calc!$I$10:$J$13,2,FALSE),0),
IF(AX229="K",VLOOKUP(L229,Foundation_Calc!$V$41:$X$74,VLOOKUP(AX229,Foundation_Calc!$I$10:$J$13,2,FALSE),0),"")))</f>
        <v/>
      </c>
      <c r="N229" s="8"/>
      <c r="O229" s="8"/>
      <c r="P229" s="8"/>
      <c r="Q229" s="14"/>
      <c r="R229" s="15"/>
      <c r="S229" s="15"/>
      <c r="T229" s="14"/>
      <c r="U229" s="14"/>
      <c r="V229" s="14"/>
      <c r="W229" s="18"/>
      <c r="X229" s="18"/>
      <c r="Y229" s="18"/>
      <c r="Z229" s="18"/>
      <c r="AA229" s="18"/>
      <c r="AB229" s="18"/>
      <c r="AC229" s="8" t="str">
        <f t="shared" si="13"/>
        <v/>
      </c>
      <c r="AD229" s="8"/>
      <c r="AE229" s="8"/>
      <c r="AF229" s="14"/>
      <c r="AG229" s="13"/>
      <c r="AH229" s="14"/>
      <c r="AI229" s="14"/>
      <c r="AJ229" s="8"/>
      <c r="AK229" s="8"/>
      <c r="AL229" s="8"/>
      <c r="AM229" s="8"/>
      <c r="AN229" s="631"/>
      <c r="AO229" s="18"/>
      <c r="AP229" s="18"/>
      <c r="AQ229" s="18"/>
      <c r="AR229" s="18"/>
      <c r="AS229" s="18"/>
      <c r="AU229" s="448"/>
      <c r="AV229" s="448"/>
      <c r="AW229" s="8" t="str">
        <f>IF(C229&gt;0,VLOOKUP(C229,Foundation_Calc!$A$2:$C$986,3,1),
IF(J229&gt;0,VLOOKUP(J229,Foundation_Calc!$A$2:$C$986,3,1),""))</f>
        <v/>
      </c>
      <c r="AX229" s="8" t="str">
        <f>IF(C229&gt;0,VLOOKUP(C229,Foundation_Calc!$E$2:$G$986,3,1),
IF(J229&gt;0,VLOOKUP(J229,Foundation_Calc!$E$2:$G$986,3,1),""))</f>
        <v/>
      </c>
      <c r="AY229" s="631" t="str">
        <f>IF(L229="","",
IF(AX229="PT",VLOOKUP(L229,Foundation_Calc!$K$4:$R$37,VLOOKUP(AW229,Foundation_Calc!$I$2:$J$8,2,FALSE),0),
IF(AX229="K",VLOOKUP(L229,Foundation_Calc!$K$41:$R$74,VLOOKUP(AW229,Foundation_Calc!$I$2:$J$8,2,FALSE),0),"")))</f>
        <v/>
      </c>
      <c r="AZ229" s="631" t="str">
        <f>IF(K229="","",
IF(AX229="PT",VLOOKUP(K229,Foundation_Calc!$K$4:$R$37,VLOOKUP(AW229,Foundation_Calc!$I$2:$J$8,2,FALSE),0),
IF(AX229="K",VLOOKUP(K229,Foundation_Calc!$K$41:$R$74,VLOOKUP(AW229,Foundation_Calc!$I$2:$J$8,2,FALSE),0),"")))</f>
        <v/>
      </c>
      <c r="BA229" s="632" t="str">
        <f t="shared" si="14"/>
        <v/>
      </c>
      <c r="BB229" s="632" t="str">
        <f t="shared" si="15"/>
        <v/>
      </c>
      <c r="BC229" s="632" t="str">
        <f t="shared" si="16"/>
        <v/>
      </c>
      <c r="BD229" s="633" t="str">
        <f>IF(AND(L229="",H229=""),"",
IF(H229="",Pole_Calc!A257,
IF(H229="MP",Pole_Calc!A258,
IF(H229="AnMP",Pole_Calc!A259,
IF(H229="A",Pole_Calc!A260,
IF(H229="S/A",Pole_Calc!A261,
IF(H229="A/S",Pole_Calc!A262,"Poner a mano")))))))</f>
        <v/>
      </c>
      <c r="BE229" s="448" t="s">
        <v>1726</v>
      </c>
      <c r="BF229" s="635"/>
      <c r="BG229" s="635"/>
      <c r="BH229" s="634"/>
      <c r="BI229" s="635"/>
    </row>
    <row r="230" spans="1:61" ht="16.2" customHeight="1">
      <c r="A230" s="12"/>
      <c r="B230" s="446"/>
      <c r="C230" s="89"/>
      <c r="D230" s="13"/>
      <c r="E230" s="14"/>
      <c r="F230" s="14"/>
      <c r="G230" s="15"/>
      <c r="H230" s="8"/>
      <c r="I230" s="8"/>
      <c r="J230" s="89"/>
      <c r="K230" s="8"/>
      <c r="L230" s="8"/>
      <c r="M230" s="8" t="str">
        <f>IF(L230="","",
IF(AX230="PT",VLOOKUP(L230,Foundation_Calc!$V$4:$X$37,VLOOKUP(AX230,Foundation_Calc!$I$10:$J$13,2,FALSE),0),
IF(AX230="K",VLOOKUP(L230,Foundation_Calc!$V$41:$X$74,VLOOKUP(AX230,Foundation_Calc!$I$10:$J$13,2,FALSE),0),"")))</f>
        <v/>
      </c>
      <c r="N230" s="8"/>
      <c r="O230" s="8"/>
      <c r="P230" s="8"/>
      <c r="Q230" s="14"/>
      <c r="R230" s="15"/>
      <c r="S230" s="15"/>
      <c r="T230" s="14"/>
      <c r="U230" s="14"/>
      <c r="V230" s="14"/>
      <c r="W230" s="18"/>
      <c r="X230" s="18"/>
      <c r="Y230" s="18"/>
      <c r="Z230" s="18"/>
      <c r="AA230" s="18"/>
      <c r="AB230" s="18"/>
      <c r="AC230" s="8" t="str">
        <f t="shared" si="13"/>
        <v/>
      </c>
      <c r="AD230" s="8"/>
      <c r="AE230" s="8"/>
      <c r="AF230" s="14"/>
      <c r="AG230" s="13"/>
      <c r="AH230" s="14"/>
      <c r="AI230" s="14"/>
      <c r="AJ230" s="8"/>
      <c r="AK230" s="8"/>
      <c r="AL230" s="8"/>
      <c r="AM230" s="8"/>
      <c r="AN230" s="631"/>
      <c r="AO230" s="18"/>
      <c r="AP230" s="18"/>
      <c r="AQ230" s="18"/>
      <c r="AR230" s="18"/>
      <c r="AS230" s="18"/>
      <c r="AU230" s="448"/>
      <c r="AV230" s="448"/>
      <c r="AW230" s="8" t="str">
        <f>IF(C230&gt;0,VLOOKUP(C230,Foundation_Calc!$A$2:$C$986,3,1),
IF(J230&gt;0,VLOOKUP(J230,Foundation_Calc!$A$2:$C$986,3,1),""))</f>
        <v/>
      </c>
      <c r="AX230" s="8" t="str">
        <f>IF(C230&gt;0,VLOOKUP(C230,Foundation_Calc!$E$2:$G$986,3,1),
IF(J230&gt;0,VLOOKUP(J230,Foundation_Calc!$E$2:$G$986,3,1),""))</f>
        <v/>
      </c>
      <c r="AY230" s="631" t="str">
        <f>IF(L230="","",
IF(AX230="PT",VLOOKUP(L230,Foundation_Calc!$K$4:$R$37,VLOOKUP(AW230,Foundation_Calc!$I$2:$J$8,2,FALSE),0),
IF(AX230="K",VLOOKUP(L230,Foundation_Calc!$K$41:$R$74,VLOOKUP(AW230,Foundation_Calc!$I$2:$J$8,2,FALSE),0),"")))</f>
        <v/>
      </c>
      <c r="AZ230" s="631" t="str">
        <f>IF(K230="","",
IF(AX230="PT",VLOOKUP(K230,Foundation_Calc!$K$4:$R$37,VLOOKUP(AW230,Foundation_Calc!$I$2:$J$8,2,FALSE),0),
IF(AX230="K",VLOOKUP(K230,Foundation_Calc!$K$41:$R$74,VLOOKUP(AW230,Foundation_Calc!$I$2:$J$8,2,FALSE),0),"")))</f>
        <v/>
      </c>
      <c r="BA230" s="632" t="str">
        <f t="shared" si="14"/>
        <v/>
      </c>
      <c r="BB230" s="632" t="str">
        <f t="shared" si="15"/>
        <v/>
      </c>
      <c r="BC230" s="632" t="str">
        <f t="shared" si="16"/>
        <v/>
      </c>
      <c r="BD230" s="633" t="str">
        <f>IF(AND(L230="",H230=""),"",
IF(H230="",Pole_Calc!A258,
IF(H230="MP",Pole_Calc!A259,
IF(H230="AnMP",Pole_Calc!A260,
IF(H230="A",Pole_Calc!A261,
IF(H230="S/A",Pole_Calc!A262,
IF(H230="A/S",Pole_Calc!A263,"Poner a mano")))))))</f>
        <v/>
      </c>
      <c r="BE230" s="448" t="s">
        <v>1726</v>
      </c>
      <c r="BF230" s="634"/>
      <c r="BG230" s="634"/>
      <c r="BH230" s="634"/>
      <c r="BI230" s="634"/>
    </row>
    <row r="231" spans="1:61" ht="16.2" customHeight="1">
      <c r="A231" s="12"/>
      <c r="B231" s="446"/>
      <c r="C231" s="89"/>
      <c r="D231" s="13"/>
      <c r="E231" s="14"/>
      <c r="F231" s="14"/>
      <c r="G231" s="15"/>
      <c r="H231" s="8"/>
      <c r="I231" s="8"/>
      <c r="J231" s="89"/>
      <c r="K231" s="8"/>
      <c r="L231" s="8"/>
      <c r="M231" s="8" t="str">
        <f>IF(L231="","",
IF(AX231="PT",VLOOKUP(L231,Foundation_Calc!$V$4:$X$37,VLOOKUP(AX231,Foundation_Calc!$I$10:$J$13,2,FALSE),0),
IF(AX231="K",VLOOKUP(L231,Foundation_Calc!$V$41:$X$74,VLOOKUP(AX231,Foundation_Calc!$I$10:$J$13,2,FALSE),0),"")))</f>
        <v/>
      </c>
      <c r="N231" s="8"/>
      <c r="O231" s="8"/>
      <c r="P231" s="8"/>
      <c r="Q231" s="14"/>
      <c r="R231" s="15"/>
      <c r="S231" s="15"/>
      <c r="T231" s="14"/>
      <c r="U231" s="14"/>
      <c r="V231" s="14"/>
      <c r="W231" s="18"/>
      <c r="X231" s="18"/>
      <c r="Y231" s="18"/>
      <c r="Z231" s="18"/>
      <c r="AA231" s="18"/>
      <c r="AB231" s="18"/>
      <c r="AC231" s="8" t="str">
        <f t="shared" si="13"/>
        <v/>
      </c>
      <c r="AD231" s="8"/>
      <c r="AE231" s="8"/>
      <c r="AF231" s="14"/>
      <c r="AG231" s="13"/>
      <c r="AH231" s="14"/>
      <c r="AI231" s="14"/>
      <c r="AJ231" s="8"/>
      <c r="AK231" s="8"/>
      <c r="AL231" s="8"/>
      <c r="AM231" s="8"/>
      <c r="AN231" s="631"/>
      <c r="AO231" s="18"/>
      <c r="AP231" s="18"/>
      <c r="AQ231" s="18"/>
      <c r="AR231" s="18"/>
      <c r="AS231" s="18"/>
      <c r="AU231" s="448"/>
      <c r="AV231" s="448"/>
      <c r="AW231" s="8" t="str">
        <f>IF(C231&gt;0,VLOOKUP(C231,Foundation_Calc!$A$2:$C$986,3,1),
IF(J231&gt;0,VLOOKUP(J231,Foundation_Calc!$A$2:$C$986,3,1),""))</f>
        <v/>
      </c>
      <c r="AX231" s="8" t="str">
        <f>IF(C231&gt;0,VLOOKUP(C231,Foundation_Calc!$E$2:$G$986,3,1),
IF(J231&gt;0,VLOOKUP(J231,Foundation_Calc!$E$2:$G$986,3,1),""))</f>
        <v/>
      </c>
      <c r="AY231" s="631" t="str">
        <f>IF(L231="","",
IF(AX231="PT",VLOOKUP(L231,Foundation_Calc!$K$4:$R$37,VLOOKUP(AW231,Foundation_Calc!$I$2:$J$8,2,FALSE),0),
IF(AX231="K",VLOOKUP(L231,Foundation_Calc!$K$41:$R$74,VLOOKUP(AW231,Foundation_Calc!$I$2:$J$8,2,FALSE),0),"")))</f>
        <v/>
      </c>
      <c r="AZ231" s="631" t="str">
        <f>IF(K231="","",
IF(AX231="PT",VLOOKUP(K231,Foundation_Calc!$K$4:$R$37,VLOOKUP(AW231,Foundation_Calc!$I$2:$J$8,2,FALSE),0),
IF(AX231="K",VLOOKUP(K231,Foundation_Calc!$K$41:$R$74,VLOOKUP(AW231,Foundation_Calc!$I$2:$J$8,2,FALSE),0),"")))</f>
        <v/>
      </c>
      <c r="BA231" s="632" t="str">
        <f t="shared" si="14"/>
        <v/>
      </c>
      <c r="BB231" s="632" t="str">
        <f t="shared" si="15"/>
        <v/>
      </c>
      <c r="BC231" s="632" t="str">
        <f t="shared" si="16"/>
        <v/>
      </c>
      <c r="BD231" s="633" t="str">
        <f>IF(AND(L231="",H231=""),"",
IF(H231="",Pole_Calc!A259,
IF(H231="MP",Pole_Calc!A260,
IF(H231="AnMP",Pole_Calc!A261,
IF(H231="A",Pole_Calc!A262,
IF(H231="S/A",Pole_Calc!A263,
IF(H231="A/S",Pole_Calc!A264,"Poner a mano")))))))</f>
        <v/>
      </c>
      <c r="BE231" s="448" t="s">
        <v>1726</v>
      </c>
      <c r="BF231" s="635"/>
      <c r="BG231" s="635"/>
      <c r="BH231" s="634"/>
      <c r="BI231" s="635"/>
    </row>
    <row r="232" spans="1:61" ht="16.2" customHeight="1">
      <c r="A232" s="12"/>
      <c r="B232" s="446"/>
      <c r="C232" s="89"/>
      <c r="D232" s="13"/>
      <c r="E232" s="14"/>
      <c r="F232" s="14"/>
      <c r="G232" s="15"/>
      <c r="H232" s="8"/>
      <c r="I232" s="8"/>
      <c r="J232" s="89"/>
      <c r="K232" s="8"/>
      <c r="L232" s="8"/>
      <c r="M232" s="8" t="str">
        <f>IF(L232="","",
IF(AX232="PT",VLOOKUP(L232,Foundation_Calc!$V$4:$X$37,VLOOKUP(AX232,Foundation_Calc!$I$10:$J$13,2,FALSE),0),
IF(AX232="K",VLOOKUP(L232,Foundation_Calc!$V$41:$X$74,VLOOKUP(AX232,Foundation_Calc!$I$10:$J$13,2,FALSE),0),"")))</f>
        <v/>
      </c>
      <c r="N232" s="8"/>
      <c r="O232" s="8"/>
      <c r="P232" s="8"/>
      <c r="Q232" s="14"/>
      <c r="R232" s="15"/>
      <c r="S232" s="15"/>
      <c r="T232" s="14"/>
      <c r="U232" s="14"/>
      <c r="V232" s="14"/>
      <c r="W232" s="18"/>
      <c r="X232" s="18"/>
      <c r="Y232" s="18"/>
      <c r="Z232" s="18"/>
      <c r="AA232" s="18"/>
      <c r="AB232" s="18"/>
      <c r="AC232" s="8" t="str">
        <f t="shared" si="13"/>
        <v/>
      </c>
      <c r="AD232" s="8"/>
      <c r="AE232" s="8"/>
      <c r="AF232" s="14"/>
      <c r="AG232" s="13"/>
      <c r="AH232" s="14"/>
      <c r="AI232" s="14"/>
      <c r="AJ232" s="8"/>
      <c r="AK232" s="8"/>
      <c r="AL232" s="8"/>
      <c r="AM232" s="8"/>
      <c r="AN232" s="631"/>
      <c r="AO232" s="18"/>
      <c r="AP232" s="18"/>
      <c r="AQ232" s="18"/>
      <c r="AR232" s="18"/>
      <c r="AS232" s="18"/>
      <c r="AU232" s="448"/>
      <c r="AV232" s="448"/>
      <c r="AW232" s="8" t="str">
        <f>IF(C232&gt;0,VLOOKUP(C232,Foundation_Calc!$A$2:$C$986,3,1),
IF(J232&gt;0,VLOOKUP(J232,Foundation_Calc!$A$2:$C$986,3,1),""))</f>
        <v/>
      </c>
      <c r="AX232" s="8" t="str">
        <f>IF(C232&gt;0,VLOOKUP(C232,Foundation_Calc!$E$2:$G$986,3,1),
IF(J232&gt;0,VLOOKUP(J232,Foundation_Calc!$E$2:$G$986,3,1),""))</f>
        <v/>
      </c>
      <c r="AY232" s="631" t="str">
        <f>IF(L232="","",
IF(AX232="PT",VLOOKUP(L232,Foundation_Calc!$K$4:$R$37,VLOOKUP(AW232,Foundation_Calc!$I$2:$J$8,2,FALSE),0),
IF(AX232="K",VLOOKUP(L232,Foundation_Calc!$K$41:$R$74,VLOOKUP(AW232,Foundation_Calc!$I$2:$J$8,2,FALSE),0),"")))</f>
        <v/>
      </c>
      <c r="AZ232" s="631" t="str">
        <f>IF(K232="","",
IF(AX232="PT",VLOOKUP(K232,Foundation_Calc!$K$4:$R$37,VLOOKUP(AW232,Foundation_Calc!$I$2:$J$8,2,FALSE),0),
IF(AX232="K",VLOOKUP(K232,Foundation_Calc!$K$41:$R$74,VLOOKUP(AW232,Foundation_Calc!$I$2:$J$8,2,FALSE),0),"")))</f>
        <v/>
      </c>
      <c r="BA232" s="632" t="str">
        <f t="shared" si="14"/>
        <v/>
      </c>
      <c r="BB232" s="632" t="str">
        <f t="shared" si="15"/>
        <v/>
      </c>
      <c r="BC232" s="632" t="str">
        <f t="shared" si="16"/>
        <v/>
      </c>
      <c r="BD232" s="633" t="str">
        <f>IF(AND(L232="",H232=""),"",
IF(H232="",Pole_Calc!A260,
IF(H232="MP",Pole_Calc!A261,
IF(H232="AnMP",Pole_Calc!A262,
IF(H232="A",Pole_Calc!A263,
IF(H232="S/A",Pole_Calc!A264,
IF(H232="A/S",Pole_Calc!A265,"Poner a mano")))))))</f>
        <v/>
      </c>
      <c r="BE232" s="448" t="s">
        <v>1726</v>
      </c>
      <c r="BF232" s="634"/>
      <c r="BG232" s="634"/>
      <c r="BH232" s="634"/>
      <c r="BI232" s="634"/>
    </row>
    <row r="233" spans="1:61" ht="16.2" customHeight="1">
      <c r="A233" s="12"/>
      <c r="B233" s="446"/>
      <c r="C233" s="89"/>
      <c r="D233" s="13"/>
      <c r="E233" s="14"/>
      <c r="F233" s="14"/>
      <c r="G233" s="15"/>
      <c r="H233" s="8"/>
      <c r="I233" s="8"/>
      <c r="J233" s="89"/>
      <c r="K233" s="8"/>
      <c r="L233" s="8"/>
      <c r="M233" s="8" t="str">
        <f>IF(L233="","",
IF(AX233="PT",VLOOKUP(L233,Foundation_Calc!$V$4:$X$37,VLOOKUP(AX233,Foundation_Calc!$I$10:$J$13,2,FALSE),0),
IF(AX233="K",VLOOKUP(L233,Foundation_Calc!$V$41:$X$74,VLOOKUP(AX233,Foundation_Calc!$I$10:$J$13,2,FALSE),0),"")))</f>
        <v/>
      </c>
      <c r="N233" s="8"/>
      <c r="O233" s="8"/>
      <c r="P233" s="8"/>
      <c r="Q233" s="14"/>
      <c r="R233" s="15"/>
      <c r="S233" s="15"/>
      <c r="T233" s="14"/>
      <c r="U233" s="14"/>
      <c r="V233" s="14"/>
      <c r="W233" s="18"/>
      <c r="X233" s="18"/>
      <c r="Y233" s="18"/>
      <c r="Z233" s="18"/>
      <c r="AA233" s="18"/>
      <c r="AB233" s="18"/>
      <c r="AC233" s="8" t="str">
        <f t="shared" si="13"/>
        <v/>
      </c>
      <c r="AD233" s="8"/>
      <c r="AE233" s="8"/>
      <c r="AF233" s="14"/>
      <c r="AG233" s="13"/>
      <c r="AH233" s="14"/>
      <c r="AI233" s="14"/>
      <c r="AJ233" s="8"/>
      <c r="AK233" s="8"/>
      <c r="AL233" s="8"/>
      <c r="AM233" s="8"/>
      <c r="AN233" s="631"/>
      <c r="AO233" s="18"/>
      <c r="AP233" s="18"/>
      <c r="AQ233" s="18"/>
      <c r="AR233" s="18"/>
      <c r="AS233" s="18"/>
      <c r="AU233" s="448"/>
      <c r="AV233" s="448"/>
      <c r="AW233" s="8" t="str">
        <f>IF(C233&gt;0,VLOOKUP(C233,Foundation_Calc!$A$2:$C$986,3,1),
IF(J233&gt;0,VLOOKUP(J233,Foundation_Calc!$A$2:$C$986,3,1),""))</f>
        <v/>
      </c>
      <c r="AX233" s="8" t="str">
        <f>IF(C233&gt;0,VLOOKUP(C233,Foundation_Calc!$E$2:$G$986,3,1),
IF(J233&gt;0,VLOOKUP(J233,Foundation_Calc!$E$2:$G$986,3,1),""))</f>
        <v/>
      </c>
      <c r="AY233" s="631" t="str">
        <f>IF(L233="","",
IF(AX233="PT",VLOOKUP(L233,Foundation_Calc!$K$4:$R$37,VLOOKUP(AW233,Foundation_Calc!$I$2:$J$8,2,FALSE),0),
IF(AX233="K",VLOOKUP(L233,Foundation_Calc!$K$41:$R$74,VLOOKUP(AW233,Foundation_Calc!$I$2:$J$8,2,FALSE),0),"")))</f>
        <v/>
      </c>
      <c r="AZ233" s="631" t="str">
        <f>IF(K233="","",
IF(AX233="PT",VLOOKUP(K233,Foundation_Calc!$K$4:$R$37,VLOOKUP(AW233,Foundation_Calc!$I$2:$J$8,2,FALSE),0),
IF(AX233="K",VLOOKUP(K233,Foundation_Calc!$K$41:$R$74,VLOOKUP(AW233,Foundation_Calc!$I$2:$J$8,2,FALSE),0),"")))</f>
        <v/>
      </c>
      <c r="BA233" s="632" t="str">
        <f t="shared" si="14"/>
        <v/>
      </c>
      <c r="BB233" s="632" t="str">
        <f t="shared" si="15"/>
        <v/>
      </c>
      <c r="BC233" s="632" t="str">
        <f t="shared" si="16"/>
        <v/>
      </c>
      <c r="BD233" s="633" t="str">
        <f>IF(AND(L233="",H233=""),"",
IF(H233="",Pole_Calc!A261,
IF(H233="MP",Pole_Calc!A262,
IF(H233="AnMP",Pole_Calc!A263,
IF(H233="A",Pole_Calc!A264,
IF(H233="S/A",Pole_Calc!A265,
IF(H233="A/S",Pole_Calc!A266,"Poner a mano")))))))</f>
        <v/>
      </c>
      <c r="BE233" s="448" t="s">
        <v>1726</v>
      </c>
      <c r="BF233" s="635"/>
      <c r="BG233" s="635"/>
      <c r="BH233" s="634"/>
      <c r="BI233" s="635"/>
    </row>
    <row r="234" spans="1:61" ht="16.2" customHeight="1">
      <c r="A234" s="12"/>
      <c r="B234" s="446"/>
      <c r="C234" s="89"/>
      <c r="D234" s="13"/>
      <c r="E234" s="14"/>
      <c r="F234" s="14"/>
      <c r="G234" s="15"/>
      <c r="H234" s="8"/>
      <c r="I234" s="8"/>
      <c r="J234" s="89"/>
      <c r="K234" s="8"/>
      <c r="L234" s="8"/>
      <c r="M234" s="8" t="str">
        <f>IF(L234="","",
IF(AX234="PT",VLOOKUP(L234,Foundation_Calc!$V$4:$X$37,VLOOKUP(AX234,Foundation_Calc!$I$10:$J$13,2,FALSE),0),
IF(AX234="K",VLOOKUP(L234,Foundation_Calc!$V$41:$X$74,VLOOKUP(AX234,Foundation_Calc!$I$10:$J$13,2,FALSE),0),"")))</f>
        <v/>
      </c>
      <c r="N234" s="8"/>
      <c r="O234" s="8"/>
      <c r="P234" s="8"/>
      <c r="Q234" s="14"/>
      <c r="R234" s="15"/>
      <c r="S234" s="15"/>
      <c r="T234" s="14"/>
      <c r="U234" s="14"/>
      <c r="V234" s="14"/>
      <c r="W234" s="18"/>
      <c r="X234" s="18"/>
      <c r="Y234" s="18"/>
      <c r="Z234" s="18"/>
      <c r="AA234" s="18"/>
      <c r="AB234" s="18"/>
      <c r="AC234" s="8" t="str">
        <f t="shared" si="13"/>
        <v/>
      </c>
      <c r="AD234" s="8"/>
      <c r="AE234" s="8"/>
      <c r="AF234" s="14"/>
      <c r="AG234" s="13"/>
      <c r="AH234" s="14"/>
      <c r="AI234" s="14"/>
      <c r="AJ234" s="8"/>
      <c r="AK234" s="8"/>
      <c r="AL234" s="8"/>
      <c r="AM234" s="8"/>
      <c r="AN234" s="631"/>
      <c r="AO234" s="18"/>
      <c r="AP234" s="18"/>
      <c r="AQ234" s="18"/>
      <c r="AR234" s="18"/>
      <c r="AS234" s="18"/>
      <c r="AU234" s="448"/>
      <c r="AV234" s="448"/>
      <c r="AW234" s="8" t="str">
        <f>IF(C234&gt;0,VLOOKUP(C234,Foundation_Calc!$A$2:$C$986,3,1),
IF(J234&gt;0,VLOOKUP(J234,Foundation_Calc!$A$2:$C$986,3,1),""))</f>
        <v/>
      </c>
      <c r="AX234" s="8" t="str">
        <f>IF(C234&gt;0,VLOOKUP(C234,Foundation_Calc!$E$2:$G$986,3,1),
IF(J234&gt;0,VLOOKUP(J234,Foundation_Calc!$E$2:$G$986,3,1),""))</f>
        <v/>
      </c>
      <c r="AY234" s="631" t="str">
        <f>IF(L234="","",
IF(AX234="PT",VLOOKUP(L234,Foundation_Calc!$K$4:$R$37,VLOOKUP(AW234,Foundation_Calc!$I$2:$J$8,2,FALSE),0),
IF(AX234="K",VLOOKUP(L234,Foundation_Calc!$K$41:$R$74,VLOOKUP(AW234,Foundation_Calc!$I$2:$J$8,2,FALSE),0),"")))</f>
        <v/>
      </c>
      <c r="AZ234" s="631" t="str">
        <f>IF(K234="","",
IF(AX234="PT",VLOOKUP(K234,Foundation_Calc!$K$4:$R$37,VLOOKUP(AW234,Foundation_Calc!$I$2:$J$8,2,FALSE),0),
IF(AX234="K",VLOOKUP(K234,Foundation_Calc!$K$41:$R$74,VLOOKUP(AW234,Foundation_Calc!$I$2:$J$8,2,FALSE),0),"")))</f>
        <v/>
      </c>
      <c r="BA234" s="632" t="str">
        <f t="shared" si="14"/>
        <v/>
      </c>
      <c r="BB234" s="632" t="str">
        <f t="shared" si="15"/>
        <v/>
      </c>
      <c r="BC234" s="632" t="str">
        <f t="shared" si="16"/>
        <v/>
      </c>
      <c r="BD234" s="633" t="str">
        <f>IF(AND(L234="",H234=""),"",
IF(H234="",Pole_Calc!A262,
IF(H234="MP",Pole_Calc!A263,
IF(H234="AnMP",Pole_Calc!A264,
IF(H234="A",Pole_Calc!A265,
IF(H234="S/A",Pole_Calc!A266,
IF(H234="A/S",Pole_Calc!A267,"Poner a mano")))))))</f>
        <v/>
      </c>
      <c r="BE234" s="448" t="s">
        <v>1726</v>
      </c>
      <c r="BF234" s="634"/>
      <c r="BG234" s="634"/>
      <c r="BH234" s="634"/>
      <c r="BI234" s="634"/>
    </row>
    <row r="235" spans="1:61" ht="16.2" customHeight="1">
      <c r="A235" s="12"/>
      <c r="B235" s="446"/>
      <c r="C235" s="89"/>
      <c r="D235" s="13"/>
      <c r="E235" s="14"/>
      <c r="F235" s="14"/>
      <c r="G235" s="15"/>
      <c r="H235" s="8"/>
      <c r="I235" s="8"/>
      <c r="J235" s="89"/>
      <c r="K235" s="8"/>
      <c r="L235" s="8"/>
      <c r="M235" s="8" t="str">
        <f>IF(L235="","",
IF(AX235="PT",VLOOKUP(L235,Foundation_Calc!$V$4:$X$37,VLOOKUP(AX235,Foundation_Calc!$I$10:$J$13,2,FALSE),0),
IF(AX235="K",VLOOKUP(L235,Foundation_Calc!$V$41:$X$74,VLOOKUP(AX235,Foundation_Calc!$I$10:$J$13,2,FALSE),0),"")))</f>
        <v/>
      </c>
      <c r="N235" s="8"/>
      <c r="O235" s="8"/>
      <c r="P235" s="8"/>
      <c r="Q235" s="14"/>
      <c r="R235" s="15"/>
      <c r="S235" s="15"/>
      <c r="T235" s="14"/>
      <c r="U235" s="14"/>
      <c r="V235" s="14"/>
      <c r="W235" s="18"/>
      <c r="X235" s="18"/>
      <c r="Y235" s="18"/>
      <c r="Z235" s="18"/>
      <c r="AA235" s="18"/>
      <c r="AB235" s="18"/>
      <c r="AC235" s="8" t="str">
        <f t="shared" si="13"/>
        <v/>
      </c>
      <c r="AD235" s="8"/>
      <c r="AE235" s="8"/>
      <c r="AF235" s="14"/>
      <c r="AG235" s="13"/>
      <c r="AH235" s="14"/>
      <c r="AI235" s="14"/>
      <c r="AJ235" s="8"/>
      <c r="AK235" s="8"/>
      <c r="AL235" s="8"/>
      <c r="AM235" s="8"/>
      <c r="AN235" s="631"/>
      <c r="AO235" s="18"/>
      <c r="AP235" s="18"/>
      <c r="AQ235" s="18"/>
      <c r="AR235" s="18"/>
      <c r="AS235" s="18"/>
      <c r="AU235" s="448"/>
      <c r="AV235" s="448"/>
      <c r="AW235" s="8" t="str">
        <f>IF(C235&gt;0,VLOOKUP(C235,Foundation_Calc!$A$2:$C$986,3,1),
IF(J235&gt;0,VLOOKUP(J235,Foundation_Calc!$A$2:$C$986,3,1),""))</f>
        <v/>
      </c>
      <c r="AX235" s="8" t="str">
        <f>IF(C235&gt;0,VLOOKUP(C235,Foundation_Calc!$E$2:$G$986,3,1),
IF(J235&gt;0,VLOOKUP(J235,Foundation_Calc!$E$2:$G$986,3,1),""))</f>
        <v/>
      </c>
      <c r="AY235" s="631" t="str">
        <f>IF(L235="","",
IF(AX235="PT",VLOOKUP(L235,Foundation_Calc!$K$4:$R$37,VLOOKUP(AW235,Foundation_Calc!$I$2:$J$8,2,FALSE),0),
IF(AX235="K",VLOOKUP(L235,Foundation_Calc!$K$41:$R$74,VLOOKUP(AW235,Foundation_Calc!$I$2:$J$8,2,FALSE),0),"")))</f>
        <v/>
      </c>
      <c r="AZ235" s="631" t="str">
        <f>IF(K235="","",
IF(AX235="PT",VLOOKUP(K235,Foundation_Calc!$K$4:$R$37,VLOOKUP(AW235,Foundation_Calc!$I$2:$J$8,2,FALSE),0),
IF(AX235="K",VLOOKUP(K235,Foundation_Calc!$K$41:$R$74,VLOOKUP(AW235,Foundation_Calc!$I$2:$J$8,2,FALSE),0),"")))</f>
        <v/>
      </c>
      <c r="BA235" s="632" t="str">
        <f t="shared" si="14"/>
        <v/>
      </c>
      <c r="BB235" s="632" t="str">
        <f t="shared" si="15"/>
        <v/>
      </c>
      <c r="BC235" s="632" t="str">
        <f t="shared" si="16"/>
        <v/>
      </c>
      <c r="BD235" s="633" t="str">
        <f>IF(AND(L235="",H235=""),"",
IF(H235="",Pole_Calc!A263,
IF(H235="MP",Pole_Calc!A264,
IF(H235="AnMP",Pole_Calc!A265,
IF(H235="A",Pole_Calc!A266,
IF(H235="S/A",Pole_Calc!A267,
IF(H235="A/S",Pole_Calc!A268,"Poner a mano")))))))</f>
        <v/>
      </c>
      <c r="BE235" s="448" t="s">
        <v>1726</v>
      </c>
      <c r="BF235" s="635"/>
      <c r="BG235" s="635"/>
      <c r="BH235" s="634"/>
      <c r="BI235" s="635"/>
    </row>
    <row r="236" spans="1:61" ht="16.2" customHeight="1">
      <c r="A236" s="12"/>
      <c r="B236" s="446"/>
      <c r="C236" s="89"/>
      <c r="D236" s="13"/>
      <c r="E236" s="14"/>
      <c r="F236" s="14"/>
      <c r="G236" s="15"/>
      <c r="H236" s="8"/>
      <c r="I236" s="8"/>
      <c r="J236" s="89"/>
      <c r="K236" s="8"/>
      <c r="L236" s="8"/>
      <c r="M236" s="8" t="str">
        <f>IF(L236="","",
IF(AX236="PT",VLOOKUP(L236,Foundation_Calc!$V$4:$X$37,VLOOKUP(AX236,Foundation_Calc!$I$10:$J$13,2,FALSE),0),
IF(AX236="K",VLOOKUP(L236,Foundation_Calc!$V$41:$X$74,VLOOKUP(AX236,Foundation_Calc!$I$10:$J$13,2,FALSE),0),"")))</f>
        <v/>
      </c>
      <c r="N236" s="8"/>
      <c r="O236" s="8"/>
      <c r="P236" s="8"/>
      <c r="Q236" s="14"/>
      <c r="R236" s="15"/>
      <c r="S236" s="15"/>
      <c r="T236" s="14"/>
      <c r="U236" s="14"/>
      <c r="V236" s="14"/>
      <c r="W236" s="18"/>
      <c r="X236" s="18"/>
      <c r="Y236" s="18"/>
      <c r="Z236" s="18"/>
      <c r="AA236" s="18"/>
      <c r="AB236" s="18"/>
      <c r="AC236" s="8" t="str">
        <f t="shared" si="13"/>
        <v/>
      </c>
      <c r="AD236" s="8"/>
      <c r="AE236" s="8"/>
      <c r="AF236" s="14"/>
      <c r="AG236" s="13"/>
      <c r="AH236" s="14"/>
      <c r="AI236" s="14"/>
      <c r="AJ236" s="8"/>
      <c r="AK236" s="8"/>
      <c r="AL236" s="8"/>
      <c r="AM236" s="8"/>
      <c r="AN236" s="631"/>
      <c r="AO236" s="18"/>
      <c r="AP236" s="18"/>
      <c r="AQ236" s="18"/>
      <c r="AR236" s="18"/>
      <c r="AS236" s="18"/>
      <c r="AU236" s="448"/>
      <c r="AV236" s="448"/>
      <c r="AW236" s="8" t="str">
        <f>IF(C236&gt;0,VLOOKUP(C236,Foundation_Calc!$A$2:$C$986,3,1),
IF(J236&gt;0,VLOOKUP(J236,Foundation_Calc!$A$2:$C$986,3,1),""))</f>
        <v/>
      </c>
      <c r="AX236" s="8" t="str">
        <f>IF(C236&gt;0,VLOOKUP(C236,Foundation_Calc!$E$2:$G$986,3,1),
IF(J236&gt;0,VLOOKUP(J236,Foundation_Calc!$E$2:$G$986,3,1),""))</f>
        <v/>
      </c>
      <c r="AY236" s="631" t="str">
        <f>IF(L236="","",
IF(AX236="PT",VLOOKUP(L236,Foundation_Calc!$K$4:$R$37,VLOOKUP(AW236,Foundation_Calc!$I$2:$J$8,2,FALSE),0),
IF(AX236="K",VLOOKUP(L236,Foundation_Calc!$K$41:$R$74,VLOOKUP(AW236,Foundation_Calc!$I$2:$J$8,2,FALSE),0),"")))</f>
        <v/>
      </c>
      <c r="AZ236" s="631" t="str">
        <f>IF(K236="","",
IF(AX236="PT",VLOOKUP(K236,Foundation_Calc!$K$4:$R$37,VLOOKUP(AW236,Foundation_Calc!$I$2:$J$8,2,FALSE),0),
IF(AX236="K",VLOOKUP(K236,Foundation_Calc!$K$41:$R$74,VLOOKUP(AW236,Foundation_Calc!$I$2:$J$8,2,FALSE),0),"")))</f>
        <v/>
      </c>
      <c r="BA236" s="632" t="str">
        <f t="shared" si="14"/>
        <v/>
      </c>
      <c r="BB236" s="632" t="str">
        <f t="shared" si="15"/>
        <v/>
      </c>
      <c r="BC236" s="632" t="str">
        <f t="shared" si="16"/>
        <v/>
      </c>
      <c r="BD236" s="633" t="str">
        <f>IF(AND(L236="",H236=""),"",
IF(H236="",Pole_Calc!A264,
IF(H236="MP",Pole_Calc!A265,
IF(H236="AnMP",Pole_Calc!A266,
IF(H236="A",Pole_Calc!A267,
IF(H236="S/A",Pole_Calc!A268,
IF(H236="A/S",Pole_Calc!A269,"Poner a mano")))))))</f>
        <v/>
      </c>
      <c r="BE236" s="448" t="s">
        <v>1726</v>
      </c>
      <c r="BF236" s="634"/>
      <c r="BG236" s="634"/>
      <c r="BH236" s="634"/>
      <c r="BI236" s="634"/>
    </row>
    <row r="237" spans="1:61" ht="16.2" customHeight="1">
      <c r="A237" s="12"/>
      <c r="B237" s="446"/>
      <c r="C237" s="89"/>
      <c r="D237" s="13"/>
      <c r="E237" s="14"/>
      <c r="F237" s="14"/>
      <c r="G237" s="15"/>
      <c r="H237" s="8"/>
      <c r="I237" s="8"/>
      <c r="J237" s="89"/>
      <c r="K237" s="8"/>
      <c r="L237" s="8"/>
      <c r="M237" s="8" t="str">
        <f>IF(L237="","",
IF(AX237="PT",VLOOKUP(L237,Foundation_Calc!$V$4:$X$37,VLOOKUP(AX237,Foundation_Calc!$I$10:$J$13,2,FALSE),0),
IF(AX237="K",VLOOKUP(L237,Foundation_Calc!$V$41:$X$74,VLOOKUP(AX237,Foundation_Calc!$I$10:$J$13,2,FALSE),0),"")))</f>
        <v/>
      </c>
      <c r="N237" s="8"/>
      <c r="O237" s="8"/>
      <c r="P237" s="8"/>
      <c r="Q237" s="14"/>
      <c r="R237" s="15"/>
      <c r="S237" s="15"/>
      <c r="T237" s="14"/>
      <c r="U237" s="14"/>
      <c r="V237" s="14"/>
      <c r="W237" s="18"/>
      <c r="X237" s="18"/>
      <c r="Y237" s="18"/>
      <c r="Z237" s="18"/>
      <c r="AA237" s="18"/>
      <c r="AB237" s="18"/>
      <c r="AC237" s="8" t="str">
        <f t="shared" si="13"/>
        <v/>
      </c>
      <c r="AD237" s="8"/>
      <c r="AE237" s="8"/>
      <c r="AF237" s="14"/>
      <c r="AG237" s="13"/>
      <c r="AH237" s="14"/>
      <c r="AI237" s="14"/>
      <c r="AJ237" s="8"/>
      <c r="AK237" s="8"/>
      <c r="AL237" s="8"/>
      <c r="AM237" s="8"/>
      <c r="AN237" s="631"/>
      <c r="AO237" s="18"/>
      <c r="AP237" s="18"/>
      <c r="AQ237" s="18"/>
      <c r="AR237" s="18"/>
      <c r="AS237" s="18"/>
      <c r="AU237" s="448"/>
      <c r="AV237" s="448"/>
      <c r="AW237" s="8" t="str">
        <f>IF(C237&gt;0,VLOOKUP(C237,Foundation_Calc!$A$2:$C$986,3,1),
IF(J237&gt;0,VLOOKUP(J237,Foundation_Calc!$A$2:$C$986,3,1),""))</f>
        <v/>
      </c>
      <c r="AX237" s="8" t="str">
        <f>IF(C237&gt;0,VLOOKUP(C237,Foundation_Calc!$E$2:$G$986,3,1),
IF(J237&gt;0,VLOOKUP(J237,Foundation_Calc!$E$2:$G$986,3,1),""))</f>
        <v/>
      </c>
      <c r="AY237" s="631" t="str">
        <f>IF(L237="","",
IF(AX237="PT",VLOOKUP(L237,Foundation_Calc!$K$4:$R$37,VLOOKUP(AW237,Foundation_Calc!$I$2:$J$8,2,FALSE),0),
IF(AX237="K",VLOOKUP(L237,Foundation_Calc!$K$41:$R$74,VLOOKUP(AW237,Foundation_Calc!$I$2:$J$8,2,FALSE),0),"")))</f>
        <v/>
      </c>
      <c r="AZ237" s="631" t="str">
        <f>IF(K237="","",
IF(AX237="PT",VLOOKUP(K237,Foundation_Calc!$K$4:$R$37,VLOOKUP(AW237,Foundation_Calc!$I$2:$J$8,2,FALSE),0),
IF(AX237="K",VLOOKUP(K237,Foundation_Calc!$K$41:$R$74,VLOOKUP(AW237,Foundation_Calc!$I$2:$J$8,2,FALSE),0),"")))</f>
        <v/>
      </c>
      <c r="BA237" s="632" t="str">
        <f t="shared" si="14"/>
        <v/>
      </c>
      <c r="BB237" s="632" t="str">
        <f t="shared" si="15"/>
        <v/>
      </c>
      <c r="BC237" s="632" t="str">
        <f t="shared" si="16"/>
        <v/>
      </c>
      <c r="BD237" s="633" t="str">
        <f>IF(AND(L237="",H237=""),"",
IF(H237="",Pole_Calc!A265,
IF(H237="MP",Pole_Calc!A266,
IF(H237="AnMP",Pole_Calc!A267,
IF(H237="A",Pole_Calc!A268,
IF(H237="S/A",Pole_Calc!A269,
IF(H237="A/S",Pole_Calc!A270,"Poner a mano")))))))</f>
        <v/>
      </c>
      <c r="BE237" s="448" t="s">
        <v>1726</v>
      </c>
      <c r="BF237" s="635"/>
      <c r="BG237" s="635"/>
      <c r="BH237" s="634"/>
      <c r="BI237" s="635"/>
    </row>
    <row r="238" spans="1:61" ht="16.2" customHeight="1">
      <c r="A238" s="12"/>
      <c r="B238" s="446"/>
      <c r="C238" s="89"/>
      <c r="D238" s="13"/>
      <c r="E238" s="14"/>
      <c r="F238" s="14"/>
      <c r="G238" s="15"/>
      <c r="H238" s="8"/>
      <c r="I238" s="8"/>
      <c r="J238" s="89"/>
      <c r="K238" s="8"/>
      <c r="L238" s="8"/>
      <c r="M238" s="8" t="str">
        <f>IF(L238="","",
IF(AX238="PT",VLOOKUP(L238,Foundation_Calc!$V$4:$X$37,VLOOKUP(AX238,Foundation_Calc!$I$10:$J$13,2,FALSE),0),
IF(AX238="K",VLOOKUP(L238,Foundation_Calc!$V$41:$X$74,VLOOKUP(AX238,Foundation_Calc!$I$10:$J$13,2,FALSE),0),"")))</f>
        <v/>
      </c>
      <c r="N238" s="8"/>
      <c r="O238" s="8"/>
      <c r="P238" s="8"/>
      <c r="Q238" s="14"/>
      <c r="R238" s="15"/>
      <c r="S238" s="15"/>
      <c r="T238" s="14"/>
      <c r="U238" s="14"/>
      <c r="V238" s="14"/>
      <c r="W238" s="18"/>
      <c r="X238" s="18"/>
      <c r="Y238" s="18"/>
      <c r="Z238" s="18"/>
      <c r="AA238" s="18"/>
      <c r="AB238" s="18"/>
      <c r="AC238" s="8" t="str">
        <f t="shared" si="13"/>
        <v/>
      </c>
      <c r="AD238" s="8"/>
      <c r="AE238" s="8"/>
      <c r="AF238" s="14"/>
      <c r="AG238" s="13"/>
      <c r="AH238" s="14"/>
      <c r="AI238" s="14"/>
      <c r="AJ238" s="8"/>
      <c r="AK238" s="8"/>
      <c r="AL238" s="8"/>
      <c r="AM238" s="8"/>
      <c r="AN238" s="631"/>
      <c r="AO238" s="18"/>
      <c r="AP238" s="18"/>
      <c r="AQ238" s="18"/>
      <c r="AR238" s="18"/>
      <c r="AS238" s="18"/>
      <c r="AU238" s="448"/>
      <c r="AV238" s="448"/>
      <c r="AW238" s="8" t="str">
        <f>IF(C238&gt;0,VLOOKUP(C238,Foundation_Calc!$A$2:$C$986,3,1),
IF(J238&gt;0,VLOOKUP(J238,Foundation_Calc!$A$2:$C$986,3,1),""))</f>
        <v/>
      </c>
      <c r="AX238" s="8" t="str">
        <f>IF(C238&gt;0,VLOOKUP(C238,Foundation_Calc!$E$2:$G$986,3,1),
IF(J238&gt;0,VLOOKUP(J238,Foundation_Calc!$E$2:$G$986,3,1),""))</f>
        <v/>
      </c>
      <c r="AY238" s="631" t="str">
        <f>IF(L238="","",
IF(AX238="PT",VLOOKUP(L238,Foundation_Calc!$K$4:$R$37,VLOOKUP(AW238,Foundation_Calc!$I$2:$J$8,2,FALSE),0),
IF(AX238="K",VLOOKUP(L238,Foundation_Calc!$K$41:$R$74,VLOOKUP(AW238,Foundation_Calc!$I$2:$J$8,2,FALSE),0),"")))</f>
        <v/>
      </c>
      <c r="AZ238" s="631" t="str">
        <f>IF(K238="","",
IF(AX238="PT",VLOOKUP(K238,Foundation_Calc!$K$4:$R$37,VLOOKUP(AW238,Foundation_Calc!$I$2:$J$8,2,FALSE),0),
IF(AX238="K",VLOOKUP(K238,Foundation_Calc!$K$41:$R$74,VLOOKUP(AW238,Foundation_Calc!$I$2:$J$8,2,FALSE),0),"")))</f>
        <v/>
      </c>
      <c r="BA238" s="632" t="str">
        <f t="shared" si="14"/>
        <v/>
      </c>
      <c r="BB238" s="632" t="str">
        <f t="shared" si="15"/>
        <v/>
      </c>
      <c r="BC238" s="632" t="str">
        <f t="shared" si="16"/>
        <v/>
      </c>
      <c r="BD238" s="633" t="str">
        <f>IF(AND(L238="",H238=""),"",
IF(H238="",Pole_Calc!A266,
IF(H238="MP",Pole_Calc!A267,
IF(H238="AnMP",Pole_Calc!A268,
IF(H238="A",Pole_Calc!A269,
IF(H238="S/A",Pole_Calc!A270,
IF(H238="A/S",Pole_Calc!A271,"Poner a mano")))))))</f>
        <v/>
      </c>
      <c r="BE238" s="448" t="s">
        <v>1726</v>
      </c>
      <c r="BF238" s="634"/>
      <c r="BG238" s="634"/>
      <c r="BH238" s="634"/>
      <c r="BI238" s="634"/>
    </row>
    <row r="239" spans="1:61" ht="16.2" customHeight="1">
      <c r="A239" s="12"/>
      <c r="B239" s="446"/>
      <c r="C239" s="89"/>
      <c r="D239" s="13"/>
      <c r="E239" s="14"/>
      <c r="F239" s="14"/>
      <c r="G239" s="15"/>
      <c r="H239" s="8"/>
      <c r="I239" s="8"/>
      <c r="J239" s="89"/>
      <c r="K239" s="8"/>
      <c r="L239" s="8"/>
      <c r="M239" s="8" t="str">
        <f>IF(L239="","",
IF(AX239="PT",VLOOKUP(L239,Foundation_Calc!$V$4:$X$37,VLOOKUP(AX239,Foundation_Calc!$I$10:$J$13,2,FALSE),0),
IF(AX239="K",VLOOKUP(L239,Foundation_Calc!$V$41:$X$74,VLOOKUP(AX239,Foundation_Calc!$I$10:$J$13,2,FALSE),0),"")))</f>
        <v/>
      </c>
      <c r="N239" s="8"/>
      <c r="O239" s="8"/>
      <c r="P239" s="8"/>
      <c r="Q239" s="14"/>
      <c r="R239" s="15"/>
      <c r="S239" s="15"/>
      <c r="T239" s="14"/>
      <c r="U239" s="14"/>
      <c r="V239" s="14"/>
      <c r="W239" s="18"/>
      <c r="X239" s="18"/>
      <c r="Y239" s="18"/>
      <c r="Z239" s="18"/>
      <c r="AA239" s="18"/>
      <c r="AB239" s="18"/>
      <c r="AC239" s="8" t="str">
        <f t="shared" si="13"/>
        <v/>
      </c>
      <c r="AD239" s="8"/>
      <c r="AE239" s="8"/>
      <c r="AF239" s="14"/>
      <c r="AG239" s="13"/>
      <c r="AH239" s="14"/>
      <c r="AI239" s="14"/>
      <c r="AJ239" s="8"/>
      <c r="AK239" s="8"/>
      <c r="AL239" s="8"/>
      <c r="AM239" s="8"/>
      <c r="AN239" s="631"/>
      <c r="AO239" s="18"/>
      <c r="AP239" s="18"/>
      <c r="AQ239" s="18"/>
      <c r="AR239" s="18"/>
      <c r="AS239" s="18"/>
      <c r="AU239" s="448"/>
      <c r="AV239" s="448"/>
      <c r="AW239" s="8" t="str">
        <f>IF(C239&gt;0,VLOOKUP(C239,Foundation_Calc!$A$2:$C$986,3,1),
IF(J239&gt;0,VLOOKUP(J239,Foundation_Calc!$A$2:$C$986,3,1),""))</f>
        <v/>
      </c>
      <c r="AX239" s="8" t="str">
        <f>IF(C239&gt;0,VLOOKUP(C239,Foundation_Calc!$E$2:$G$986,3,1),
IF(J239&gt;0,VLOOKUP(J239,Foundation_Calc!$E$2:$G$986,3,1),""))</f>
        <v/>
      </c>
      <c r="AY239" s="631" t="str">
        <f>IF(L239="","",
IF(AX239="PT",VLOOKUP(L239,Foundation_Calc!$K$4:$R$37,VLOOKUP(AW239,Foundation_Calc!$I$2:$J$8,2,FALSE),0),
IF(AX239="K",VLOOKUP(L239,Foundation_Calc!$K$41:$R$74,VLOOKUP(AW239,Foundation_Calc!$I$2:$J$8,2,FALSE),0),"")))</f>
        <v/>
      </c>
      <c r="AZ239" s="631" t="str">
        <f>IF(K239="","",
IF(AX239="PT",VLOOKUP(K239,Foundation_Calc!$K$4:$R$37,VLOOKUP(AW239,Foundation_Calc!$I$2:$J$8,2,FALSE),0),
IF(AX239="K",VLOOKUP(K239,Foundation_Calc!$K$41:$R$74,VLOOKUP(AW239,Foundation_Calc!$I$2:$J$8,2,FALSE),0),"")))</f>
        <v/>
      </c>
      <c r="BA239" s="632" t="str">
        <f t="shared" si="14"/>
        <v/>
      </c>
      <c r="BB239" s="632" t="str">
        <f t="shared" si="15"/>
        <v/>
      </c>
      <c r="BC239" s="632" t="str">
        <f t="shared" si="16"/>
        <v/>
      </c>
      <c r="BD239" s="633" t="str">
        <f>IF(AND(L239="",H239=""),"",
IF(H239="",Pole_Calc!A267,
IF(H239="MP",Pole_Calc!A268,
IF(H239="AnMP",Pole_Calc!A269,
IF(H239="A",Pole_Calc!A270,
IF(H239="S/A",Pole_Calc!A271,
IF(H239="A/S",Pole_Calc!A272,"Poner a mano")))))))</f>
        <v/>
      </c>
      <c r="BE239" s="448" t="s">
        <v>1726</v>
      </c>
      <c r="BF239" s="635"/>
      <c r="BG239" s="635"/>
      <c r="BH239" s="634"/>
      <c r="BI239" s="635"/>
    </row>
    <row r="240" spans="1:61" ht="16.2" customHeight="1">
      <c r="A240" s="12"/>
      <c r="B240" s="446"/>
      <c r="C240" s="89"/>
      <c r="D240" s="13"/>
      <c r="E240" s="14"/>
      <c r="F240" s="14"/>
      <c r="G240" s="15"/>
      <c r="H240" s="8"/>
      <c r="I240" s="8"/>
      <c r="J240" s="89"/>
      <c r="K240" s="8"/>
      <c r="L240" s="8"/>
      <c r="M240" s="8" t="str">
        <f>IF(L240="","",
IF(AX240="PT",VLOOKUP(L240,Foundation_Calc!$V$4:$X$37,VLOOKUP(AX240,Foundation_Calc!$I$10:$J$13,2,FALSE),0),
IF(AX240="K",VLOOKUP(L240,Foundation_Calc!$V$41:$X$74,VLOOKUP(AX240,Foundation_Calc!$I$10:$J$13,2,FALSE),0),"")))</f>
        <v/>
      </c>
      <c r="N240" s="8"/>
      <c r="O240" s="8"/>
      <c r="P240" s="8"/>
      <c r="Q240" s="14"/>
      <c r="R240" s="15"/>
      <c r="S240" s="15"/>
      <c r="T240" s="14"/>
      <c r="U240" s="14"/>
      <c r="V240" s="14"/>
      <c r="W240" s="18"/>
      <c r="X240" s="18"/>
      <c r="Y240" s="18"/>
      <c r="Z240" s="18"/>
      <c r="AA240" s="18"/>
      <c r="AB240" s="18"/>
      <c r="AC240" s="8" t="str">
        <f t="shared" si="13"/>
        <v/>
      </c>
      <c r="AD240" s="8"/>
      <c r="AE240" s="8"/>
      <c r="AF240" s="14"/>
      <c r="AG240" s="13"/>
      <c r="AH240" s="14"/>
      <c r="AI240" s="14"/>
      <c r="AJ240" s="8"/>
      <c r="AK240" s="8"/>
      <c r="AL240" s="8"/>
      <c r="AM240" s="8"/>
      <c r="AN240" s="631"/>
      <c r="AO240" s="18"/>
      <c r="AP240" s="18"/>
      <c r="AQ240" s="18"/>
      <c r="AR240" s="18"/>
      <c r="AS240" s="18"/>
      <c r="AU240" s="448"/>
      <c r="AV240" s="448"/>
      <c r="AW240" s="8" t="str">
        <f>IF(C240&gt;0,VLOOKUP(C240,Foundation_Calc!$A$2:$C$986,3,1),
IF(J240&gt;0,VLOOKUP(J240,Foundation_Calc!$A$2:$C$986,3,1),""))</f>
        <v/>
      </c>
      <c r="AX240" s="8" t="str">
        <f>IF(C240&gt;0,VLOOKUP(C240,Foundation_Calc!$E$2:$G$986,3,1),
IF(J240&gt;0,VLOOKUP(J240,Foundation_Calc!$E$2:$G$986,3,1),""))</f>
        <v/>
      </c>
      <c r="AY240" s="631" t="str">
        <f>IF(L240="","",
IF(AX240="PT",VLOOKUP(L240,Foundation_Calc!$K$4:$R$37,VLOOKUP(AW240,Foundation_Calc!$I$2:$J$8,2,FALSE),0),
IF(AX240="K",VLOOKUP(L240,Foundation_Calc!$K$41:$R$74,VLOOKUP(AW240,Foundation_Calc!$I$2:$J$8,2,FALSE),0),"")))</f>
        <v/>
      </c>
      <c r="AZ240" s="631" t="str">
        <f>IF(K240="","",
IF(AX240="PT",VLOOKUP(K240,Foundation_Calc!$K$4:$R$37,VLOOKUP(AW240,Foundation_Calc!$I$2:$J$8,2,FALSE),0),
IF(AX240="K",VLOOKUP(K240,Foundation_Calc!$K$41:$R$74,VLOOKUP(AW240,Foundation_Calc!$I$2:$J$8,2,FALSE),0),"")))</f>
        <v/>
      </c>
      <c r="BA240" s="632" t="str">
        <f t="shared" si="14"/>
        <v/>
      </c>
      <c r="BB240" s="632" t="str">
        <f t="shared" si="15"/>
        <v/>
      </c>
      <c r="BC240" s="632" t="str">
        <f t="shared" si="16"/>
        <v/>
      </c>
      <c r="BD240" s="633" t="str">
        <f>IF(AND(L240="",H240=""),"",
IF(H240="",Pole_Calc!A268,
IF(H240="MP",Pole_Calc!A269,
IF(H240="AnMP",Pole_Calc!A270,
IF(H240="A",Pole_Calc!A271,
IF(H240="S/A",Pole_Calc!A272,
IF(H240="A/S",Pole_Calc!A273,"Poner a mano")))))))</f>
        <v/>
      </c>
      <c r="BE240" s="448" t="s">
        <v>1726</v>
      </c>
      <c r="BF240" s="634"/>
      <c r="BG240" s="634"/>
      <c r="BH240" s="634"/>
      <c r="BI240" s="634"/>
    </row>
    <row r="241" spans="1:61" ht="16.2" customHeight="1">
      <c r="A241" s="12"/>
      <c r="B241" s="446"/>
      <c r="C241" s="89"/>
      <c r="D241" s="13"/>
      <c r="E241" s="14"/>
      <c r="F241" s="14"/>
      <c r="G241" s="15"/>
      <c r="H241" s="8"/>
      <c r="I241" s="8"/>
      <c r="J241" s="89"/>
      <c r="K241" s="8"/>
      <c r="L241" s="8"/>
      <c r="M241" s="8" t="str">
        <f>IF(L241="","",
IF(AX241="PT",VLOOKUP(L241,Foundation_Calc!$V$4:$X$37,VLOOKUP(AX241,Foundation_Calc!$I$10:$J$13,2,FALSE),0),
IF(AX241="K",VLOOKUP(L241,Foundation_Calc!$V$41:$X$74,VLOOKUP(AX241,Foundation_Calc!$I$10:$J$13,2,FALSE),0),"")))</f>
        <v/>
      </c>
      <c r="N241" s="8"/>
      <c r="O241" s="8"/>
      <c r="P241" s="8"/>
      <c r="Q241" s="14"/>
      <c r="R241" s="15"/>
      <c r="S241" s="15"/>
      <c r="T241" s="14"/>
      <c r="U241" s="14"/>
      <c r="V241" s="14"/>
      <c r="W241" s="18"/>
      <c r="X241" s="18"/>
      <c r="Y241" s="18"/>
      <c r="Z241" s="18"/>
      <c r="AA241" s="18"/>
      <c r="AB241" s="18"/>
      <c r="AC241" s="8" t="str">
        <f t="shared" si="13"/>
        <v/>
      </c>
      <c r="AD241" s="8"/>
      <c r="AE241" s="8"/>
      <c r="AF241" s="14"/>
      <c r="AG241" s="13"/>
      <c r="AH241" s="14"/>
      <c r="AI241" s="14"/>
      <c r="AJ241" s="8"/>
      <c r="AK241" s="8"/>
      <c r="AL241" s="8"/>
      <c r="AM241" s="8"/>
      <c r="AN241" s="631"/>
      <c r="AO241" s="18"/>
      <c r="AP241" s="18"/>
      <c r="AQ241" s="18"/>
      <c r="AR241" s="18"/>
      <c r="AS241" s="18"/>
      <c r="AU241" s="448"/>
      <c r="AV241" s="448"/>
      <c r="AW241" s="8" t="str">
        <f>IF(C241&gt;0,VLOOKUP(C241,Foundation_Calc!$A$2:$C$986,3,1),
IF(J241&gt;0,VLOOKUP(J241,Foundation_Calc!$A$2:$C$986,3,1),""))</f>
        <v/>
      </c>
      <c r="AX241" s="8" t="str">
        <f>IF(C241&gt;0,VLOOKUP(C241,Foundation_Calc!$E$2:$G$986,3,1),
IF(J241&gt;0,VLOOKUP(J241,Foundation_Calc!$E$2:$G$986,3,1),""))</f>
        <v/>
      </c>
      <c r="AY241" s="631" t="str">
        <f>IF(L241="","",
IF(AX241="PT",VLOOKUP(L241,Foundation_Calc!$K$4:$R$37,VLOOKUP(AW241,Foundation_Calc!$I$2:$J$8,2,FALSE),0),
IF(AX241="K",VLOOKUP(L241,Foundation_Calc!$K$41:$R$74,VLOOKUP(AW241,Foundation_Calc!$I$2:$J$8,2,FALSE),0),"")))</f>
        <v/>
      </c>
      <c r="AZ241" s="631" t="str">
        <f>IF(K241="","",
IF(AX241="PT",VLOOKUP(K241,Foundation_Calc!$K$4:$R$37,VLOOKUP(AW241,Foundation_Calc!$I$2:$J$8,2,FALSE),0),
IF(AX241="K",VLOOKUP(K241,Foundation_Calc!$K$41:$R$74,VLOOKUP(AW241,Foundation_Calc!$I$2:$J$8,2,FALSE),0),"")))</f>
        <v/>
      </c>
      <c r="BA241" s="632" t="str">
        <f t="shared" si="14"/>
        <v/>
      </c>
      <c r="BB241" s="632" t="str">
        <f t="shared" si="15"/>
        <v/>
      </c>
      <c r="BC241" s="632" t="str">
        <f t="shared" si="16"/>
        <v/>
      </c>
      <c r="BD241" s="633" t="str">
        <f>IF(AND(L241="",H241=""),"",
IF(H241="",Pole_Calc!A269,
IF(H241="MP",Pole_Calc!A270,
IF(H241="AnMP",Pole_Calc!A271,
IF(H241="A",Pole_Calc!A272,
IF(H241="S/A",Pole_Calc!A273,
IF(H241="A/S",Pole_Calc!A274,"Poner a mano")))))))</f>
        <v/>
      </c>
      <c r="BE241" s="448" t="s">
        <v>1726</v>
      </c>
      <c r="BF241" s="635"/>
      <c r="BG241" s="635"/>
      <c r="BH241" s="634"/>
      <c r="BI241" s="635"/>
    </row>
    <row r="242" spans="1:61" ht="16.2" customHeight="1">
      <c r="A242" s="12"/>
      <c r="B242" s="446"/>
      <c r="C242" s="89"/>
      <c r="D242" s="13"/>
      <c r="E242" s="14"/>
      <c r="F242" s="14"/>
      <c r="G242" s="15"/>
      <c r="H242" s="8"/>
      <c r="I242" s="8"/>
      <c r="J242" s="89"/>
      <c r="K242" s="8"/>
      <c r="L242" s="8"/>
      <c r="M242" s="8" t="str">
        <f>IF(L242="","",
IF(AX242="PT",VLOOKUP(L242,Foundation_Calc!$V$4:$X$37,VLOOKUP(AX242,Foundation_Calc!$I$10:$J$13,2,FALSE),0),
IF(AX242="K",VLOOKUP(L242,Foundation_Calc!$V$41:$X$74,VLOOKUP(AX242,Foundation_Calc!$I$10:$J$13,2,FALSE),0),"")))</f>
        <v/>
      </c>
      <c r="N242" s="8"/>
      <c r="O242" s="8"/>
      <c r="P242" s="8"/>
      <c r="Q242" s="14"/>
      <c r="R242" s="15"/>
      <c r="S242" s="15"/>
      <c r="T242" s="14"/>
      <c r="U242" s="14"/>
      <c r="V242" s="14"/>
      <c r="W242" s="18"/>
      <c r="X242" s="18"/>
      <c r="Y242" s="18"/>
      <c r="Z242" s="18"/>
      <c r="AA242" s="18"/>
      <c r="AB242" s="18"/>
      <c r="AC242" s="8" t="str">
        <f t="shared" si="13"/>
        <v/>
      </c>
      <c r="AD242" s="8"/>
      <c r="AE242" s="8"/>
      <c r="AF242" s="14"/>
      <c r="AG242" s="13"/>
      <c r="AH242" s="14"/>
      <c r="AI242" s="14"/>
      <c r="AJ242" s="8"/>
      <c r="AK242" s="8"/>
      <c r="AL242" s="8"/>
      <c r="AM242" s="8"/>
      <c r="AN242" s="631"/>
      <c r="AO242" s="18"/>
      <c r="AP242" s="18"/>
      <c r="AQ242" s="18"/>
      <c r="AR242" s="18"/>
      <c r="AS242" s="18"/>
      <c r="AU242" s="448"/>
      <c r="AV242" s="448"/>
      <c r="AW242" s="8" t="str">
        <f>IF(C242&gt;0,VLOOKUP(C242,Foundation_Calc!$A$2:$C$986,3,1),
IF(J242&gt;0,VLOOKUP(J242,Foundation_Calc!$A$2:$C$986,3,1),""))</f>
        <v/>
      </c>
      <c r="AX242" s="8" t="str">
        <f>IF(C242&gt;0,VLOOKUP(C242,Foundation_Calc!$E$2:$G$986,3,1),
IF(J242&gt;0,VLOOKUP(J242,Foundation_Calc!$E$2:$G$986,3,1),""))</f>
        <v/>
      </c>
      <c r="AY242" s="631" t="str">
        <f>IF(L242="","",
IF(AX242="PT",VLOOKUP(L242,Foundation_Calc!$K$4:$R$37,VLOOKUP(AW242,Foundation_Calc!$I$2:$J$8,2,FALSE),0),
IF(AX242="K",VLOOKUP(L242,Foundation_Calc!$K$41:$R$74,VLOOKUP(AW242,Foundation_Calc!$I$2:$J$8,2,FALSE),0),"")))</f>
        <v/>
      </c>
      <c r="AZ242" s="631" t="str">
        <f>IF(K242="","",
IF(AX242="PT",VLOOKUP(K242,Foundation_Calc!$K$4:$R$37,VLOOKUP(AW242,Foundation_Calc!$I$2:$J$8,2,FALSE),0),
IF(AX242="K",VLOOKUP(K242,Foundation_Calc!$K$41:$R$74,VLOOKUP(AW242,Foundation_Calc!$I$2:$J$8,2,FALSE),0),"")))</f>
        <v/>
      </c>
      <c r="BA242" s="632" t="str">
        <f t="shared" si="14"/>
        <v/>
      </c>
      <c r="BB242" s="632" t="str">
        <f t="shared" si="15"/>
        <v/>
      </c>
      <c r="BC242" s="632" t="str">
        <f t="shared" si="16"/>
        <v/>
      </c>
      <c r="BD242" s="633" t="str">
        <f>IF(AND(L242="",H242=""),"",
IF(H242="",Pole_Calc!A270,
IF(H242="MP",Pole_Calc!A271,
IF(H242="AnMP",Pole_Calc!A272,
IF(H242="A",Pole_Calc!A273,
IF(H242="S/A",Pole_Calc!A274,
IF(H242="A/S",Pole_Calc!A275,"Poner a mano")))))))</f>
        <v/>
      </c>
      <c r="BE242" s="448" t="s">
        <v>1726</v>
      </c>
      <c r="BF242" s="634"/>
      <c r="BG242" s="634"/>
      <c r="BH242" s="634"/>
      <c r="BI242" s="634"/>
    </row>
    <row r="243" spans="1:61" ht="16.2" customHeight="1">
      <c r="A243" s="12"/>
      <c r="B243" s="446"/>
      <c r="C243" s="89"/>
      <c r="D243" s="13"/>
      <c r="E243" s="14"/>
      <c r="F243" s="14"/>
      <c r="G243" s="15"/>
      <c r="H243" s="8"/>
      <c r="I243" s="8"/>
      <c r="J243" s="89"/>
      <c r="K243" s="8"/>
      <c r="L243" s="8"/>
      <c r="M243" s="8" t="str">
        <f>IF(L243="","",
IF(AX243="PT",VLOOKUP(L243,Foundation_Calc!$V$4:$X$37,VLOOKUP(AX243,Foundation_Calc!$I$10:$J$13,2,FALSE),0),
IF(AX243="K",VLOOKUP(L243,Foundation_Calc!$V$41:$X$74,VLOOKUP(AX243,Foundation_Calc!$I$10:$J$13,2,FALSE),0),"")))</f>
        <v/>
      </c>
      <c r="N243" s="8"/>
      <c r="O243" s="8"/>
      <c r="P243" s="8"/>
      <c r="Q243" s="14"/>
      <c r="R243" s="15"/>
      <c r="S243" s="15"/>
      <c r="T243" s="14"/>
      <c r="U243" s="14"/>
      <c r="V243" s="14"/>
      <c r="W243" s="18"/>
      <c r="X243" s="18"/>
      <c r="Y243" s="18"/>
      <c r="Z243" s="18"/>
      <c r="AA243" s="18"/>
      <c r="AB243" s="18"/>
      <c r="AC243" s="8" t="str">
        <f t="shared" si="13"/>
        <v/>
      </c>
      <c r="AD243" s="8"/>
      <c r="AE243" s="8"/>
      <c r="AF243" s="14"/>
      <c r="AG243" s="13"/>
      <c r="AH243" s="14"/>
      <c r="AI243" s="14"/>
      <c r="AJ243" s="8"/>
      <c r="AK243" s="8"/>
      <c r="AL243" s="8"/>
      <c r="AM243" s="8"/>
      <c r="AN243" s="631"/>
      <c r="AO243" s="18"/>
      <c r="AP243" s="18"/>
      <c r="AQ243" s="18"/>
      <c r="AR243" s="18"/>
      <c r="AS243" s="18"/>
      <c r="AU243" s="448"/>
      <c r="AV243" s="448"/>
      <c r="AW243" s="8" t="str">
        <f>IF(C243&gt;0,VLOOKUP(C243,Foundation_Calc!$A$2:$C$986,3,1),
IF(J243&gt;0,VLOOKUP(J243,Foundation_Calc!$A$2:$C$986,3,1),""))</f>
        <v/>
      </c>
      <c r="AX243" s="8" t="str">
        <f>IF(C243&gt;0,VLOOKUP(C243,Foundation_Calc!$E$2:$G$986,3,1),
IF(J243&gt;0,VLOOKUP(J243,Foundation_Calc!$E$2:$G$986,3,1),""))</f>
        <v/>
      </c>
      <c r="AY243" s="631" t="str">
        <f>IF(L243="","",
IF(AX243="PT",VLOOKUP(L243,Foundation_Calc!$K$4:$R$37,VLOOKUP(AW243,Foundation_Calc!$I$2:$J$8,2,FALSE),0),
IF(AX243="K",VLOOKUP(L243,Foundation_Calc!$K$41:$R$74,VLOOKUP(AW243,Foundation_Calc!$I$2:$J$8,2,FALSE),0),"")))</f>
        <v/>
      </c>
      <c r="AZ243" s="631" t="str">
        <f>IF(K243="","",
IF(AX243="PT",VLOOKUP(K243,Foundation_Calc!$K$4:$R$37,VLOOKUP(AW243,Foundation_Calc!$I$2:$J$8,2,FALSE),0),
IF(AX243="K",VLOOKUP(K243,Foundation_Calc!$K$41:$R$74,VLOOKUP(AW243,Foundation_Calc!$I$2:$J$8,2,FALSE),0),"")))</f>
        <v/>
      </c>
      <c r="BA243" s="632" t="str">
        <f t="shared" si="14"/>
        <v/>
      </c>
      <c r="BB243" s="632" t="str">
        <f t="shared" si="15"/>
        <v/>
      </c>
      <c r="BC243" s="632" t="str">
        <f t="shared" si="16"/>
        <v/>
      </c>
      <c r="BD243" s="633" t="str">
        <f>IF(AND(L243="",H243=""),"",
IF(H243="",Pole_Calc!A271,
IF(H243="MP",Pole_Calc!A272,
IF(H243="AnMP",Pole_Calc!A273,
IF(H243="A",Pole_Calc!A274,
IF(H243="S/A",Pole_Calc!A275,
IF(H243="A/S",Pole_Calc!A276,"Poner a mano")))))))</f>
        <v/>
      </c>
      <c r="BE243" s="448" t="s">
        <v>1726</v>
      </c>
      <c r="BF243" s="635"/>
      <c r="BG243" s="635"/>
      <c r="BH243" s="634"/>
      <c r="BI243" s="635"/>
    </row>
    <row r="244" spans="1:61" ht="16.2" customHeight="1">
      <c r="A244" s="12"/>
      <c r="B244" s="446"/>
      <c r="C244" s="89"/>
      <c r="D244" s="13"/>
      <c r="E244" s="14"/>
      <c r="F244" s="14"/>
      <c r="G244" s="15"/>
      <c r="H244" s="8"/>
      <c r="I244" s="8"/>
      <c r="J244" s="89"/>
      <c r="K244" s="8"/>
      <c r="L244" s="8"/>
      <c r="M244" s="8" t="str">
        <f>IF(L244="","",
IF(AX244="PT",VLOOKUP(L244,Foundation_Calc!$V$4:$X$37,VLOOKUP(AX244,Foundation_Calc!$I$10:$J$13,2,FALSE),0),
IF(AX244="K",VLOOKUP(L244,Foundation_Calc!$V$41:$X$74,VLOOKUP(AX244,Foundation_Calc!$I$10:$J$13,2,FALSE),0),"")))</f>
        <v/>
      </c>
      <c r="N244" s="8"/>
      <c r="O244" s="8"/>
      <c r="P244" s="8"/>
      <c r="Q244" s="14"/>
      <c r="R244" s="15"/>
      <c r="S244" s="15"/>
      <c r="T244" s="14"/>
      <c r="U244" s="14"/>
      <c r="V244" s="14"/>
      <c r="W244" s="18"/>
      <c r="X244" s="18"/>
      <c r="Y244" s="18"/>
      <c r="Z244" s="18"/>
      <c r="AA244" s="18"/>
      <c r="AB244" s="18"/>
      <c r="AC244" s="8" t="str">
        <f t="shared" si="13"/>
        <v/>
      </c>
      <c r="AD244" s="8"/>
      <c r="AE244" s="8"/>
      <c r="AF244" s="14"/>
      <c r="AG244" s="13"/>
      <c r="AH244" s="14"/>
      <c r="AI244" s="14"/>
      <c r="AJ244" s="8"/>
      <c r="AK244" s="8"/>
      <c r="AL244" s="8"/>
      <c r="AM244" s="8"/>
      <c r="AN244" s="631"/>
      <c r="AO244" s="18"/>
      <c r="AP244" s="18"/>
      <c r="AQ244" s="18"/>
      <c r="AR244" s="18"/>
      <c r="AS244" s="18"/>
      <c r="AU244" s="448"/>
      <c r="AV244" s="448"/>
      <c r="AW244" s="8" t="str">
        <f>IF(C244&gt;0,VLOOKUP(C244,Foundation_Calc!$A$2:$C$986,3,1),
IF(J244&gt;0,VLOOKUP(J244,Foundation_Calc!$A$2:$C$986,3,1),""))</f>
        <v/>
      </c>
      <c r="AX244" s="8" t="str">
        <f>IF(C244&gt;0,VLOOKUP(C244,Foundation_Calc!$E$2:$G$986,3,1),
IF(J244&gt;0,VLOOKUP(J244,Foundation_Calc!$E$2:$G$986,3,1),""))</f>
        <v/>
      </c>
      <c r="AY244" s="631" t="str">
        <f>IF(L244="","",
IF(AX244="PT",VLOOKUP(L244,Foundation_Calc!$K$4:$R$37,VLOOKUP(AW244,Foundation_Calc!$I$2:$J$8,2,FALSE),0),
IF(AX244="K",VLOOKUP(L244,Foundation_Calc!$K$41:$R$74,VLOOKUP(AW244,Foundation_Calc!$I$2:$J$8,2,FALSE),0),"")))</f>
        <v/>
      </c>
      <c r="AZ244" s="631" t="str">
        <f>IF(K244="","",
IF(AX244="PT",VLOOKUP(K244,Foundation_Calc!$K$4:$R$37,VLOOKUP(AW244,Foundation_Calc!$I$2:$J$8,2,FALSE),0),
IF(AX244="K",VLOOKUP(K244,Foundation_Calc!$K$41:$R$74,VLOOKUP(AW244,Foundation_Calc!$I$2:$J$8,2,FALSE),0),"")))</f>
        <v/>
      </c>
      <c r="BA244" s="632" t="str">
        <f t="shared" si="14"/>
        <v/>
      </c>
      <c r="BB244" s="632" t="str">
        <f t="shared" si="15"/>
        <v/>
      </c>
      <c r="BC244" s="632" t="str">
        <f t="shared" si="16"/>
        <v/>
      </c>
      <c r="BD244" s="633" t="str">
        <f>IF(AND(L244="",H244=""),"",
IF(H244="",Pole_Calc!A272,
IF(H244="MP",Pole_Calc!A273,
IF(H244="AnMP",Pole_Calc!A274,
IF(H244="A",Pole_Calc!A275,
IF(H244="S/A",Pole_Calc!A276,
IF(H244="A/S",Pole_Calc!A277,"Poner a mano")))))))</f>
        <v/>
      </c>
      <c r="BE244" s="448" t="s">
        <v>1726</v>
      </c>
      <c r="BF244" s="634"/>
      <c r="BG244" s="634"/>
      <c r="BH244" s="634"/>
      <c r="BI244" s="634"/>
    </row>
    <row r="245" spans="1:61" ht="16.2" customHeight="1">
      <c r="A245" s="12"/>
      <c r="B245" s="446"/>
      <c r="C245" s="89"/>
      <c r="D245" s="13"/>
      <c r="E245" s="14"/>
      <c r="F245" s="14"/>
      <c r="G245" s="15"/>
      <c r="H245" s="8"/>
      <c r="I245" s="8"/>
      <c r="J245" s="89"/>
      <c r="K245" s="8"/>
      <c r="L245" s="8"/>
      <c r="M245" s="8" t="str">
        <f>IF(L245="","",
IF(AX245="PT",VLOOKUP(L245,Foundation_Calc!$V$4:$X$37,VLOOKUP(AX245,Foundation_Calc!$I$10:$J$13,2,FALSE),0),
IF(AX245="K",VLOOKUP(L245,Foundation_Calc!$V$41:$X$74,VLOOKUP(AX245,Foundation_Calc!$I$10:$J$13,2,FALSE),0),"")))</f>
        <v/>
      </c>
      <c r="N245" s="8"/>
      <c r="O245" s="8"/>
      <c r="P245" s="8"/>
      <c r="Q245" s="14"/>
      <c r="R245" s="15"/>
      <c r="S245" s="15"/>
      <c r="T245" s="14"/>
      <c r="U245" s="14"/>
      <c r="V245" s="14"/>
      <c r="W245" s="18"/>
      <c r="X245" s="18"/>
      <c r="Y245" s="18"/>
      <c r="Z245" s="18"/>
      <c r="AA245" s="18"/>
      <c r="AB245" s="18"/>
      <c r="AC245" s="8" t="str">
        <f t="shared" si="13"/>
        <v/>
      </c>
      <c r="AD245" s="8"/>
      <c r="AE245" s="8"/>
      <c r="AF245" s="14"/>
      <c r="AG245" s="13"/>
      <c r="AH245" s="14"/>
      <c r="AI245" s="14"/>
      <c r="AJ245" s="8"/>
      <c r="AK245" s="8"/>
      <c r="AL245" s="8"/>
      <c r="AM245" s="8"/>
      <c r="AN245" s="631"/>
      <c r="AO245" s="18"/>
      <c r="AP245" s="18"/>
      <c r="AQ245" s="18"/>
      <c r="AR245" s="18"/>
      <c r="AS245" s="18"/>
      <c r="AU245" s="448"/>
      <c r="AV245" s="448"/>
      <c r="AW245" s="8" t="str">
        <f>IF(C245&gt;0,VLOOKUP(C245,Foundation_Calc!$A$2:$C$986,3,1),
IF(J245&gt;0,VLOOKUP(J245,Foundation_Calc!$A$2:$C$986,3,1),""))</f>
        <v/>
      </c>
      <c r="AX245" s="8" t="str">
        <f>IF(C245&gt;0,VLOOKUP(C245,Foundation_Calc!$E$2:$G$986,3,1),
IF(J245&gt;0,VLOOKUP(J245,Foundation_Calc!$E$2:$G$986,3,1),""))</f>
        <v/>
      </c>
      <c r="AY245" s="631" t="str">
        <f>IF(L245="","",
IF(AX245="PT",VLOOKUP(L245,Foundation_Calc!$K$4:$R$37,VLOOKUP(AW245,Foundation_Calc!$I$2:$J$8,2,FALSE),0),
IF(AX245="K",VLOOKUP(L245,Foundation_Calc!$K$41:$R$74,VLOOKUP(AW245,Foundation_Calc!$I$2:$J$8,2,FALSE),0),"")))</f>
        <v/>
      </c>
      <c r="AZ245" s="631" t="str">
        <f>IF(K245="","",
IF(AX245="PT",VLOOKUP(K245,Foundation_Calc!$K$4:$R$37,VLOOKUP(AW245,Foundation_Calc!$I$2:$J$8,2,FALSE),0),
IF(AX245="K",VLOOKUP(K245,Foundation_Calc!$K$41:$R$74,VLOOKUP(AW245,Foundation_Calc!$I$2:$J$8,2,FALSE),0),"")))</f>
        <v/>
      </c>
      <c r="BA245" s="632" t="str">
        <f t="shared" si="14"/>
        <v/>
      </c>
      <c r="BB245" s="632" t="str">
        <f t="shared" si="15"/>
        <v/>
      </c>
      <c r="BC245" s="632" t="str">
        <f t="shared" si="16"/>
        <v/>
      </c>
      <c r="BD245" s="633" t="str">
        <f>IF(AND(L245="",H245=""),"",
IF(H245="",Pole_Calc!A273,
IF(H245="MP",Pole_Calc!A274,
IF(H245="AnMP",Pole_Calc!A275,
IF(H245="A",Pole_Calc!A276,
IF(H245="S/A",Pole_Calc!A277,
IF(H245="A/S",Pole_Calc!A278,"Poner a mano")))))))</f>
        <v/>
      </c>
      <c r="BE245" s="448" t="s">
        <v>1726</v>
      </c>
      <c r="BF245" s="635"/>
      <c r="BG245" s="635"/>
      <c r="BH245" s="634"/>
      <c r="BI245" s="635"/>
    </row>
    <row r="246" spans="1:61" ht="16.2" customHeight="1">
      <c r="A246" s="12"/>
      <c r="B246" s="446"/>
      <c r="C246" s="89"/>
      <c r="D246" s="13"/>
      <c r="E246" s="14"/>
      <c r="F246" s="14"/>
      <c r="G246" s="15"/>
      <c r="H246" s="8"/>
      <c r="I246" s="8"/>
      <c r="J246" s="89"/>
      <c r="K246" s="8"/>
      <c r="L246" s="8"/>
      <c r="M246" s="8" t="str">
        <f>IF(L246="","",
IF(AX246="PT",VLOOKUP(L246,Foundation_Calc!$V$4:$X$37,VLOOKUP(AX246,Foundation_Calc!$I$10:$J$13,2,FALSE),0),
IF(AX246="K",VLOOKUP(L246,Foundation_Calc!$V$41:$X$74,VLOOKUP(AX246,Foundation_Calc!$I$10:$J$13,2,FALSE),0),"")))</f>
        <v/>
      </c>
      <c r="N246" s="8"/>
      <c r="O246" s="8"/>
      <c r="P246" s="8"/>
      <c r="Q246" s="14"/>
      <c r="R246" s="15"/>
      <c r="S246" s="15"/>
      <c r="T246" s="14"/>
      <c r="U246" s="14"/>
      <c r="V246" s="14"/>
      <c r="W246" s="18"/>
      <c r="X246" s="18"/>
      <c r="Y246" s="18"/>
      <c r="Z246" s="18"/>
      <c r="AA246" s="18"/>
      <c r="AB246" s="18"/>
      <c r="AC246" s="8" t="str">
        <f t="shared" si="13"/>
        <v/>
      </c>
      <c r="AD246" s="8"/>
      <c r="AE246" s="8"/>
      <c r="AF246" s="14"/>
      <c r="AG246" s="13"/>
      <c r="AH246" s="14"/>
      <c r="AI246" s="14"/>
      <c r="AJ246" s="8"/>
      <c r="AK246" s="8"/>
      <c r="AL246" s="8"/>
      <c r="AM246" s="8"/>
      <c r="AN246" s="631"/>
      <c r="AO246" s="18"/>
      <c r="AP246" s="18"/>
      <c r="AQ246" s="18"/>
      <c r="AR246" s="18"/>
      <c r="AS246" s="18"/>
      <c r="AU246" s="448"/>
      <c r="AV246" s="448"/>
      <c r="AW246" s="8" t="str">
        <f>IF(C246&gt;0,VLOOKUP(C246,Foundation_Calc!$A$2:$C$986,3,1),
IF(J246&gt;0,VLOOKUP(J246,Foundation_Calc!$A$2:$C$986,3,1),""))</f>
        <v/>
      </c>
      <c r="AX246" s="8" t="str">
        <f>IF(C246&gt;0,VLOOKUP(C246,Foundation_Calc!$E$2:$G$986,3,1),
IF(J246&gt;0,VLOOKUP(J246,Foundation_Calc!$E$2:$G$986,3,1),""))</f>
        <v/>
      </c>
      <c r="AY246" s="631" t="str">
        <f>IF(L246="","",
IF(AX246="PT",VLOOKUP(L246,Foundation_Calc!$K$4:$R$37,VLOOKUP(AW246,Foundation_Calc!$I$2:$J$8,2,FALSE),0),
IF(AX246="K",VLOOKUP(L246,Foundation_Calc!$K$41:$R$74,VLOOKUP(AW246,Foundation_Calc!$I$2:$J$8,2,FALSE),0),"")))</f>
        <v/>
      </c>
      <c r="AZ246" s="631" t="str">
        <f>IF(K246="","",
IF(AX246="PT",VLOOKUP(K246,Foundation_Calc!$K$4:$R$37,VLOOKUP(AW246,Foundation_Calc!$I$2:$J$8,2,FALSE),0),
IF(AX246="K",VLOOKUP(K246,Foundation_Calc!$K$41:$R$74,VLOOKUP(AW246,Foundation_Calc!$I$2:$J$8,2,FALSE),0),"")))</f>
        <v/>
      </c>
      <c r="BA246" s="632" t="str">
        <f t="shared" si="14"/>
        <v/>
      </c>
      <c r="BB246" s="632" t="str">
        <f t="shared" si="15"/>
        <v/>
      </c>
      <c r="BC246" s="632" t="str">
        <f t="shared" si="16"/>
        <v/>
      </c>
      <c r="BD246" s="633" t="str">
        <f>IF(AND(L246="",H246=""),"",
IF(H246="",Pole_Calc!A274,
IF(H246="MP",Pole_Calc!A275,
IF(H246="AnMP",Pole_Calc!A276,
IF(H246="A",Pole_Calc!A277,
IF(H246="S/A",Pole_Calc!A278,
IF(H246="A/S",Pole_Calc!A279,"Poner a mano")))))))</f>
        <v/>
      </c>
      <c r="BE246" s="448" t="s">
        <v>1726</v>
      </c>
      <c r="BF246" s="634"/>
      <c r="BG246" s="634"/>
      <c r="BH246" s="634"/>
      <c r="BI246" s="634"/>
    </row>
    <row r="247" spans="1:61" ht="16.2" customHeight="1">
      <c r="A247" s="12"/>
      <c r="B247" s="446"/>
      <c r="C247" s="89"/>
      <c r="D247" s="13"/>
      <c r="E247" s="14"/>
      <c r="F247" s="14"/>
      <c r="G247" s="15"/>
      <c r="H247" s="8"/>
      <c r="I247" s="8"/>
      <c r="J247" s="89"/>
      <c r="K247" s="8"/>
      <c r="L247" s="8"/>
      <c r="M247" s="8" t="str">
        <f>IF(L247="","",
IF(AX247="PT",VLOOKUP(L247,Foundation_Calc!$V$4:$X$37,VLOOKUP(AX247,Foundation_Calc!$I$10:$J$13,2,FALSE),0),
IF(AX247="K",VLOOKUP(L247,Foundation_Calc!$V$41:$X$74,VLOOKUP(AX247,Foundation_Calc!$I$10:$J$13,2,FALSE),0),"")))</f>
        <v/>
      </c>
      <c r="N247" s="8"/>
      <c r="O247" s="8"/>
      <c r="P247" s="8"/>
      <c r="Q247" s="14"/>
      <c r="R247" s="15"/>
      <c r="S247" s="15"/>
      <c r="T247" s="14"/>
      <c r="U247" s="14"/>
      <c r="V247" s="14"/>
      <c r="W247" s="18"/>
      <c r="X247" s="18"/>
      <c r="Y247" s="18"/>
      <c r="Z247" s="18"/>
      <c r="AA247" s="18"/>
      <c r="AB247" s="18"/>
      <c r="AC247" s="8" t="str">
        <f t="shared" si="13"/>
        <v/>
      </c>
      <c r="AD247" s="8"/>
      <c r="AE247" s="8"/>
      <c r="AF247" s="14"/>
      <c r="AG247" s="13"/>
      <c r="AH247" s="14"/>
      <c r="AI247" s="14"/>
      <c r="AJ247" s="8"/>
      <c r="AK247" s="8"/>
      <c r="AL247" s="8"/>
      <c r="AM247" s="8"/>
      <c r="AN247" s="631"/>
      <c r="AO247" s="18"/>
      <c r="AP247" s="18"/>
      <c r="AQ247" s="18"/>
      <c r="AR247" s="18"/>
      <c r="AS247" s="18"/>
      <c r="AU247" s="448"/>
      <c r="AV247" s="448"/>
      <c r="AW247" s="8" t="str">
        <f>IF(C247&gt;0,VLOOKUP(C247,Foundation_Calc!$A$2:$C$986,3,1),
IF(J247&gt;0,VLOOKUP(J247,Foundation_Calc!$A$2:$C$986,3,1),""))</f>
        <v/>
      </c>
      <c r="AX247" s="8" t="str">
        <f>IF(C247&gt;0,VLOOKUP(C247,Foundation_Calc!$E$2:$G$986,3,1),
IF(J247&gt;0,VLOOKUP(J247,Foundation_Calc!$E$2:$G$986,3,1),""))</f>
        <v/>
      </c>
      <c r="AY247" s="631" t="str">
        <f>IF(L247="","",
IF(AX247="PT",VLOOKUP(L247,Foundation_Calc!$K$4:$R$37,VLOOKUP(AW247,Foundation_Calc!$I$2:$J$8,2,FALSE),0),
IF(AX247="K",VLOOKUP(L247,Foundation_Calc!$K$41:$R$74,VLOOKUP(AW247,Foundation_Calc!$I$2:$J$8,2,FALSE),0),"")))</f>
        <v/>
      </c>
      <c r="AZ247" s="631" t="str">
        <f>IF(K247="","",
IF(AX247="PT",VLOOKUP(K247,Foundation_Calc!$K$4:$R$37,VLOOKUP(AW247,Foundation_Calc!$I$2:$J$8,2,FALSE),0),
IF(AX247="K",VLOOKUP(K247,Foundation_Calc!$K$41:$R$74,VLOOKUP(AW247,Foundation_Calc!$I$2:$J$8,2,FALSE),0),"")))</f>
        <v/>
      </c>
      <c r="BA247" s="632" t="str">
        <f t="shared" si="14"/>
        <v/>
      </c>
      <c r="BB247" s="632" t="str">
        <f t="shared" si="15"/>
        <v/>
      </c>
      <c r="BC247" s="632" t="str">
        <f t="shared" si="16"/>
        <v/>
      </c>
      <c r="BD247" s="633" t="str">
        <f>IF(AND(L247="",H247=""),"",
IF(H247="",Pole_Calc!A275,
IF(H247="MP",Pole_Calc!A276,
IF(H247="AnMP",Pole_Calc!A277,
IF(H247="A",Pole_Calc!A278,
IF(H247="S/A",Pole_Calc!A279,
IF(H247="A/S",Pole_Calc!A280,"Poner a mano")))))))</f>
        <v/>
      </c>
      <c r="BE247" s="448" t="s">
        <v>1726</v>
      </c>
      <c r="BF247" s="635"/>
      <c r="BG247" s="635"/>
      <c r="BH247" s="634"/>
      <c r="BI247" s="635"/>
    </row>
    <row r="248" spans="1:61" ht="16.2" customHeight="1">
      <c r="A248" s="12"/>
      <c r="B248" s="446"/>
      <c r="C248" s="89"/>
      <c r="D248" s="13"/>
      <c r="E248" s="14"/>
      <c r="F248" s="14"/>
      <c r="G248" s="15"/>
      <c r="H248" s="8"/>
      <c r="I248" s="8"/>
      <c r="J248" s="89"/>
      <c r="K248" s="8"/>
      <c r="L248" s="8"/>
      <c r="M248" s="8" t="str">
        <f>IF(L248="","",
IF(AX248="PT",VLOOKUP(L248,Foundation_Calc!$V$4:$X$37,VLOOKUP(AX248,Foundation_Calc!$I$10:$J$13,2,FALSE),0),
IF(AX248="K",VLOOKUP(L248,Foundation_Calc!$V$41:$X$74,VLOOKUP(AX248,Foundation_Calc!$I$10:$J$13,2,FALSE),0),"")))</f>
        <v/>
      </c>
      <c r="N248" s="8"/>
      <c r="O248" s="8"/>
      <c r="P248" s="8"/>
      <c r="Q248" s="14"/>
      <c r="R248" s="15"/>
      <c r="S248" s="15"/>
      <c r="T248" s="14"/>
      <c r="U248" s="14"/>
      <c r="V248" s="14"/>
      <c r="W248" s="18"/>
      <c r="X248" s="18"/>
      <c r="Y248" s="18"/>
      <c r="Z248" s="18"/>
      <c r="AA248" s="18"/>
      <c r="AB248" s="18"/>
      <c r="AC248" s="8" t="str">
        <f t="shared" si="13"/>
        <v/>
      </c>
      <c r="AD248" s="8"/>
      <c r="AE248" s="8"/>
      <c r="AF248" s="14"/>
      <c r="AG248" s="13"/>
      <c r="AH248" s="14"/>
      <c r="AI248" s="14"/>
      <c r="AJ248" s="8"/>
      <c r="AK248" s="8"/>
      <c r="AL248" s="8"/>
      <c r="AM248" s="8"/>
      <c r="AN248" s="631"/>
      <c r="AO248" s="18"/>
      <c r="AP248" s="18"/>
      <c r="AQ248" s="18"/>
      <c r="AR248" s="18"/>
      <c r="AS248" s="18"/>
      <c r="AU248" s="448"/>
      <c r="AV248" s="448"/>
      <c r="AW248" s="8" t="str">
        <f>IF(C248&gt;0,VLOOKUP(C248,Foundation_Calc!$A$2:$C$986,3,1),
IF(J248&gt;0,VLOOKUP(J248,Foundation_Calc!$A$2:$C$986,3,1),""))</f>
        <v/>
      </c>
      <c r="AX248" s="8" t="str">
        <f>IF(C248&gt;0,VLOOKUP(C248,Foundation_Calc!$E$2:$G$986,3,1),
IF(J248&gt;0,VLOOKUP(J248,Foundation_Calc!$E$2:$G$986,3,1),""))</f>
        <v/>
      </c>
      <c r="AY248" s="631" t="str">
        <f>IF(L248="","",
IF(AX248="PT",VLOOKUP(L248,Foundation_Calc!$K$4:$R$37,VLOOKUP(AW248,Foundation_Calc!$I$2:$J$8,2,FALSE),0),
IF(AX248="K",VLOOKUP(L248,Foundation_Calc!$K$41:$R$74,VLOOKUP(AW248,Foundation_Calc!$I$2:$J$8,2,FALSE),0),"")))</f>
        <v/>
      </c>
      <c r="AZ248" s="631" t="str">
        <f>IF(K248="","",
IF(AX248="PT",VLOOKUP(K248,Foundation_Calc!$K$4:$R$37,VLOOKUP(AW248,Foundation_Calc!$I$2:$J$8,2,FALSE),0),
IF(AX248="K",VLOOKUP(K248,Foundation_Calc!$K$41:$R$74,VLOOKUP(AW248,Foundation_Calc!$I$2:$J$8,2,FALSE),0),"")))</f>
        <v/>
      </c>
      <c r="BA248" s="632" t="str">
        <f t="shared" si="14"/>
        <v/>
      </c>
      <c r="BB248" s="632" t="str">
        <f t="shared" si="15"/>
        <v/>
      </c>
      <c r="BC248" s="632" t="str">
        <f t="shared" si="16"/>
        <v/>
      </c>
      <c r="BD248" s="633" t="str">
        <f>IF(AND(L248="",H248=""),"",
IF(H248="",Pole_Calc!A276,
IF(H248="MP",Pole_Calc!A277,
IF(H248="AnMP",Pole_Calc!A278,
IF(H248="A",Pole_Calc!A279,
IF(H248="S/A",Pole_Calc!A280,
IF(H248="A/S",Pole_Calc!A281,"Poner a mano")))))))</f>
        <v/>
      </c>
      <c r="BE248" s="448" t="s">
        <v>1726</v>
      </c>
      <c r="BF248" s="634"/>
      <c r="BG248" s="634"/>
      <c r="BH248" s="634"/>
      <c r="BI248" s="634"/>
    </row>
    <row r="249" spans="1:61" ht="16.2" customHeight="1">
      <c r="A249" s="12"/>
      <c r="B249" s="446"/>
      <c r="C249" s="89"/>
      <c r="D249" s="13"/>
      <c r="E249" s="14"/>
      <c r="F249" s="14"/>
      <c r="G249" s="15"/>
      <c r="H249" s="8"/>
      <c r="I249" s="8"/>
      <c r="J249" s="89"/>
      <c r="K249" s="8"/>
      <c r="L249" s="8"/>
      <c r="M249" s="8" t="str">
        <f>IF(L249="","",
IF(AX249="PT",VLOOKUP(L249,Foundation_Calc!$V$4:$X$37,VLOOKUP(AX249,Foundation_Calc!$I$10:$J$13,2,FALSE),0),
IF(AX249="K",VLOOKUP(L249,Foundation_Calc!$V$41:$X$74,VLOOKUP(AX249,Foundation_Calc!$I$10:$J$13,2,FALSE),0),"")))</f>
        <v/>
      </c>
      <c r="N249" s="8"/>
      <c r="O249" s="8"/>
      <c r="P249" s="8"/>
      <c r="Q249" s="14"/>
      <c r="R249" s="15"/>
      <c r="S249" s="15"/>
      <c r="T249" s="14"/>
      <c r="U249" s="14"/>
      <c r="V249" s="14"/>
      <c r="W249" s="18"/>
      <c r="X249" s="18"/>
      <c r="Y249" s="18"/>
      <c r="Z249" s="18"/>
      <c r="AA249" s="18"/>
      <c r="AB249" s="18"/>
      <c r="AC249" s="8" t="str">
        <f t="shared" si="13"/>
        <v/>
      </c>
      <c r="AD249" s="8"/>
      <c r="AE249" s="8"/>
      <c r="AF249" s="14"/>
      <c r="AG249" s="13"/>
      <c r="AH249" s="14"/>
      <c r="AI249" s="14"/>
      <c r="AJ249" s="8"/>
      <c r="AK249" s="8"/>
      <c r="AL249" s="8"/>
      <c r="AM249" s="8"/>
      <c r="AN249" s="631"/>
      <c r="AO249" s="18"/>
      <c r="AP249" s="18"/>
      <c r="AQ249" s="18"/>
      <c r="AR249" s="18"/>
      <c r="AS249" s="18"/>
      <c r="AU249" s="448"/>
      <c r="AV249" s="448"/>
      <c r="AW249" s="8" t="str">
        <f>IF(C249&gt;0,VLOOKUP(C249,Foundation_Calc!$A$2:$C$986,3,1),
IF(J249&gt;0,VLOOKUP(J249,Foundation_Calc!$A$2:$C$986,3,1),""))</f>
        <v/>
      </c>
      <c r="AX249" s="8" t="str">
        <f>IF(C249&gt;0,VLOOKUP(C249,Foundation_Calc!$E$2:$G$986,3,1),
IF(J249&gt;0,VLOOKUP(J249,Foundation_Calc!$E$2:$G$986,3,1),""))</f>
        <v/>
      </c>
      <c r="AY249" s="631" t="str">
        <f>IF(L249="","",
IF(AX249="PT",VLOOKUP(L249,Foundation_Calc!$K$4:$R$37,VLOOKUP(AW249,Foundation_Calc!$I$2:$J$8,2,FALSE),0),
IF(AX249="K",VLOOKUP(L249,Foundation_Calc!$K$41:$R$74,VLOOKUP(AW249,Foundation_Calc!$I$2:$J$8,2,FALSE),0),"")))</f>
        <v/>
      </c>
      <c r="AZ249" s="631" t="str">
        <f>IF(K249="","",
IF(AX249="PT",VLOOKUP(K249,Foundation_Calc!$K$4:$R$37,VLOOKUP(AW249,Foundation_Calc!$I$2:$J$8,2,FALSE),0),
IF(AX249="K",VLOOKUP(K249,Foundation_Calc!$K$41:$R$74,VLOOKUP(AW249,Foundation_Calc!$I$2:$J$8,2,FALSE),0),"")))</f>
        <v/>
      </c>
      <c r="BA249" s="632" t="str">
        <f t="shared" si="14"/>
        <v/>
      </c>
      <c r="BB249" s="632" t="str">
        <f t="shared" si="15"/>
        <v/>
      </c>
      <c r="BC249" s="632" t="str">
        <f t="shared" si="16"/>
        <v/>
      </c>
      <c r="BD249" s="633" t="str">
        <f>IF(AND(L249="",H249=""),"",
IF(H249="",Pole_Calc!A277,
IF(H249="MP",Pole_Calc!A278,
IF(H249="AnMP",Pole_Calc!A279,
IF(H249="A",Pole_Calc!A280,
IF(H249="S/A",Pole_Calc!A281,
IF(H249="A/S",Pole_Calc!A282,"Poner a mano")))))))</f>
        <v/>
      </c>
      <c r="BE249" s="448" t="s">
        <v>1726</v>
      </c>
      <c r="BF249" s="635"/>
      <c r="BG249" s="635"/>
      <c r="BH249" s="634"/>
      <c r="BI249" s="635"/>
    </row>
    <row r="250" spans="1:61" ht="16.2" customHeight="1">
      <c r="A250" s="12"/>
      <c r="B250" s="446"/>
      <c r="C250" s="89"/>
      <c r="D250" s="13"/>
      <c r="E250" s="14"/>
      <c r="F250" s="14"/>
      <c r="G250" s="15"/>
      <c r="H250" s="8"/>
      <c r="I250" s="8"/>
      <c r="J250" s="89"/>
      <c r="K250" s="8"/>
      <c r="L250" s="8"/>
      <c r="M250" s="8" t="str">
        <f>IF(L250="","",
IF(AX250="PT",VLOOKUP(L250,Foundation_Calc!$V$4:$X$37,VLOOKUP(AX250,Foundation_Calc!$I$10:$J$13,2,FALSE),0),
IF(AX250="K",VLOOKUP(L250,Foundation_Calc!$V$41:$X$74,VLOOKUP(AX250,Foundation_Calc!$I$10:$J$13,2,FALSE),0),"")))</f>
        <v/>
      </c>
      <c r="N250" s="8"/>
      <c r="O250" s="8"/>
      <c r="P250" s="8"/>
      <c r="Q250" s="14"/>
      <c r="R250" s="15"/>
      <c r="S250" s="15"/>
      <c r="T250" s="14"/>
      <c r="U250" s="14"/>
      <c r="V250" s="14"/>
      <c r="W250" s="18"/>
      <c r="X250" s="18"/>
      <c r="Y250" s="18"/>
      <c r="Z250" s="18"/>
      <c r="AA250" s="18"/>
      <c r="AB250" s="18"/>
      <c r="AC250" s="8" t="str">
        <f t="shared" si="13"/>
        <v/>
      </c>
      <c r="AD250" s="8"/>
      <c r="AE250" s="8"/>
      <c r="AF250" s="14"/>
      <c r="AG250" s="13"/>
      <c r="AH250" s="14"/>
      <c r="AI250" s="14"/>
      <c r="AJ250" s="8"/>
      <c r="AK250" s="8"/>
      <c r="AL250" s="8"/>
      <c r="AM250" s="8"/>
      <c r="AN250" s="631"/>
      <c r="AO250" s="18"/>
      <c r="AP250" s="18"/>
      <c r="AQ250" s="18"/>
      <c r="AR250" s="18"/>
      <c r="AS250" s="18"/>
      <c r="AU250" s="448"/>
      <c r="AV250" s="448"/>
      <c r="AW250" s="8" t="str">
        <f>IF(C250&gt;0,VLOOKUP(C250,Foundation_Calc!$A$2:$C$986,3,1),
IF(J250&gt;0,VLOOKUP(J250,Foundation_Calc!$A$2:$C$986,3,1),""))</f>
        <v/>
      </c>
      <c r="AX250" s="8" t="str">
        <f>IF(C250&gt;0,VLOOKUP(C250,Foundation_Calc!$E$2:$G$986,3,1),
IF(J250&gt;0,VLOOKUP(J250,Foundation_Calc!$E$2:$G$986,3,1),""))</f>
        <v/>
      </c>
      <c r="AY250" s="631" t="str">
        <f>IF(L250="","",
IF(AX250="PT",VLOOKUP(L250,Foundation_Calc!$K$4:$R$37,VLOOKUP(AW250,Foundation_Calc!$I$2:$J$8,2,FALSE),0),
IF(AX250="K",VLOOKUP(L250,Foundation_Calc!$K$41:$R$74,VLOOKUP(AW250,Foundation_Calc!$I$2:$J$8,2,FALSE),0),"")))</f>
        <v/>
      </c>
      <c r="AZ250" s="631" t="str">
        <f>IF(K250="","",
IF(AX250="PT",VLOOKUP(K250,Foundation_Calc!$K$4:$R$37,VLOOKUP(AW250,Foundation_Calc!$I$2:$J$8,2,FALSE),0),
IF(AX250="K",VLOOKUP(K250,Foundation_Calc!$K$41:$R$74,VLOOKUP(AW250,Foundation_Calc!$I$2:$J$8,2,FALSE),0),"")))</f>
        <v/>
      </c>
      <c r="BA250" s="632" t="str">
        <f t="shared" si="14"/>
        <v/>
      </c>
      <c r="BB250" s="632" t="str">
        <f t="shared" si="15"/>
        <v/>
      </c>
      <c r="BC250" s="632" t="str">
        <f t="shared" si="16"/>
        <v/>
      </c>
      <c r="BD250" s="633" t="str">
        <f>IF(AND(L250="",H250=""),"",
IF(H250="",Pole_Calc!A278,
IF(H250="MP",Pole_Calc!A279,
IF(H250="AnMP",Pole_Calc!A280,
IF(H250="A",Pole_Calc!A281,
IF(H250="S/A",Pole_Calc!A282,
IF(H250="A/S",Pole_Calc!A283,"Poner a mano")))))))</f>
        <v/>
      </c>
      <c r="BE250" s="448" t="s">
        <v>1726</v>
      </c>
      <c r="BF250" s="634"/>
      <c r="BG250" s="634"/>
      <c r="BH250" s="634"/>
      <c r="BI250" s="634"/>
    </row>
    <row r="251" spans="1:61" ht="16.2" customHeight="1">
      <c r="A251" s="12"/>
      <c r="B251" s="446"/>
      <c r="C251" s="89"/>
      <c r="D251" s="13"/>
      <c r="E251" s="14"/>
      <c r="F251" s="14"/>
      <c r="G251" s="15"/>
      <c r="H251" s="8"/>
      <c r="I251" s="8"/>
      <c r="J251" s="89"/>
      <c r="K251" s="8"/>
      <c r="L251" s="8"/>
      <c r="M251" s="8" t="str">
        <f>IF(L251="","",
IF(AX251="PT",VLOOKUP(L251,Foundation_Calc!$V$4:$X$37,VLOOKUP(AX251,Foundation_Calc!$I$10:$J$13,2,FALSE),0),
IF(AX251="K",VLOOKUP(L251,Foundation_Calc!$V$41:$X$74,VLOOKUP(AX251,Foundation_Calc!$I$10:$J$13,2,FALSE),0),"")))</f>
        <v/>
      </c>
      <c r="N251" s="8"/>
      <c r="O251" s="8"/>
      <c r="P251" s="8"/>
      <c r="Q251" s="14"/>
      <c r="R251" s="15"/>
      <c r="S251" s="15"/>
      <c r="T251" s="14"/>
      <c r="U251" s="14"/>
      <c r="V251" s="14"/>
      <c r="W251" s="18"/>
      <c r="X251" s="18"/>
      <c r="Y251" s="18"/>
      <c r="Z251" s="18"/>
      <c r="AA251" s="18"/>
      <c r="AB251" s="18"/>
      <c r="AC251" s="8" t="str">
        <f t="shared" si="13"/>
        <v/>
      </c>
      <c r="AD251" s="8"/>
      <c r="AE251" s="8"/>
      <c r="AF251" s="14"/>
      <c r="AG251" s="13"/>
      <c r="AH251" s="14"/>
      <c r="AI251" s="14"/>
      <c r="AJ251" s="8"/>
      <c r="AK251" s="8"/>
      <c r="AL251" s="8"/>
      <c r="AM251" s="8"/>
      <c r="AN251" s="631"/>
      <c r="AO251" s="18"/>
      <c r="AP251" s="18"/>
      <c r="AQ251" s="18"/>
      <c r="AR251" s="18"/>
      <c r="AS251" s="18"/>
      <c r="AU251" s="448"/>
      <c r="AV251" s="448"/>
      <c r="AW251" s="8" t="str">
        <f>IF(C251&gt;0,VLOOKUP(C251,Foundation_Calc!$A$2:$C$986,3,1),
IF(J251&gt;0,VLOOKUP(J251,Foundation_Calc!$A$2:$C$986,3,1),""))</f>
        <v/>
      </c>
      <c r="AX251" s="8" t="str">
        <f>IF(C251&gt;0,VLOOKUP(C251,Foundation_Calc!$E$2:$G$986,3,1),
IF(J251&gt;0,VLOOKUP(J251,Foundation_Calc!$E$2:$G$986,3,1),""))</f>
        <v/>
      </c>
      <c r="AY251" s="631" t="str">
        <f>IF(L251="","",
IF(AX251="PT",VLOOKUP(L251,Foundation_Calc!$K$4:$R$37,VLOOKUP(AW251,Foundation_Calc!$I$2:$J$8,2,FALSE),0),
IF(AX251="K",VLOOKUP(L251,Foundation_Calc!$K$41:$R$74,VLOOKUP(AW251,Foundation_Calc!$I$2:$J$8,2,FALSE),0),"")))</f>
        <v/>
      </c>
      <c r="AZ251" s="631" t="str">
        <f>IF(K251="","",
IF(AX251="PT",VLOOKUP(K251,Foundation_Calc!$K$4:$R$37,VLOOKUP(AW251,Foundation_Calc!$I$2:$J$8,2,FALSE),0),
IF(AX251="K",VLOOKUP(K251,Foundation_Calc!$K$41:$R$74,VLOOKUP(AW251,Foundation_Calc!$I$2:$J$8,2,FALSE),0),"")))</f>
        <v/>
      </c>
      <c r="BA251" s="632" t="str">
        <f t="shared" si="14"/>
        <v/>
      </c>
      <c r="BB251" s="632" t="str">
        <f t="shared" si="15"/>
        <v/>
      </c>
      <c r="BC251" s="632" t="str">
        <f t="shared" si="16"/>
        <v/>
      </c>
      <c r="BD251" s="633" t="str">
        <f>IF(AND(L251="",H251=""),"",
IF(H251="",Pole_Calc!A279,
IF(H251="MP",Pole_Calc!A280,
IF(H251="AnMP",Pole_Calc!A281,
IF(H251="A",Pole_Calc!A282,
IF(H251="S/A",Pole_Calc!A283,
IF(H251="A/S",Pole_Calc!A284,"Poner a mano")))))))</f>
        <v/>
      </c>
      <c r="BE251" s="448" t="s">
        <v>1726</v>
      </c>
      <c r="BF251" s="635"/>
      <c r="BG251" s="635"/>
      <c r="BH251" s="634"/>
      <c r="BI251" s="635"/>
    </row>
    <row r="252" spans="1:61" ht="16.2" customHeight="1">
      <c r="A252" s="12"/>
      <c r="B252" s="446"/>
      <c r="C252" s="89"/>
      <c r="D252" s="13"/>
      <c r="E252" s="14"/>
      <c r="F252" s="14"/>
      <c r="G252" s="15"/>
      <c r="H252" s="8"/>
      <c r="I252" s="8"/>
      <c r="J252" s="89"/>
      <c r="K252" s="8"/>
      <c r="L252" s="8"/>
      <c r="M252" s="8" t="str">
        <f>IF(L252="","",
IF(AX252="PT",VLOOKUP(L252,Foundation_Calc!$V$4:$X$37,VLOOKUP(AX252,Foundation_Calc!$I$10:$J$13,2,FALSE),0),
IF(AX252="K",VLOOKUP(L252,Foundation_Calc!$V$41:$X$74,VLOOKUP(AX252,Foundation_Calc!$I$10:$J$13,2,FALSE),0),"")))</f>
        <v/>
      </c>
      <c r="N252" s="8"/>
      <c r="O252" s="8"/>
      <c r="P252" s="8"/>
      <c r="Q252" s="14"/>
      <c r="R252" s="15"/>
      <c r="S252" s="15"/>
      <c r="T252" s="14"/>
      <c r="U252" s="14"/>
      <c r="V252" s="14"/>
      <c r="W252" s="18"/>
      <c r="X252" s="18"/>
      <c r="Y252" s="18"/>
      <c r="Z252" s="18"/>
      <c r="AA252" s="18"/>
      <c r="AB252" s="18"/>
      <c r="AC252" s="8" t="str">
        <f t="shared" si="13"/>
        <v/>
      </c>
      <c r="AD252" s="8"/>
      <c r="AE252" s="8"/>
      <c r="AF252" s="14"/>
      <c r="AG252" s="13"/>
      <c r="AH252" s="14"/>
      <c r="AI252" s="14"/>
      <c r="AJ252" s="8"/>
      <c r="AK252" s="8"/>
      <c r="AL252" s="8"/>
      <c r="AM252" s="8"/>
      <c r="AN252" s="631"/>
      <c r="AO252" s="18"/>
      <c r="AP252" s="18"/>
      <c r="AQ252" s="18"/>
      <c r="AR252" s="18"/>
      <c r="AS252" s="18"/>
      <c r="AU252" s="448"/>
      <c r="AV252" s="448"/>
      <c r="AW252" s="8" t="str">
        <f>IF(C252&gt;0,VLOOKUP(C252,Foundation_Calc!$A$2:$C$986,3,1),
IF(J252&gt;0,VLOOKUP(J252,Foundation_Calc!$A$2:$C$986,3,1),""))</f>
        <v/>
      </c>
      <c r="AX252" s="8" t="str">
        <f>IF(C252&gt;0,VLOOKUP(C252,Foundation_Calc!$E$2:$G$986,3,1),
IF(J252&gt;0,VLOOKUP(J252,Foundation_Calc!$E$2:$G$986,3,1),""))</f>
        <v/>
      </c>
      <c r="AY252" s="631" t="str">
        <f>IF(L252="","",
IF(AX252="PT",VLOOKUP(L252,Foundation_Calc!$K$4:$R$37,VLOOKUP(AW252,Foundation_Calc!$I$2:$J$8,2,FALSE),0),
IF(AX252="K",VLOOKUP(L252,Foundation_Calc!$K$41:$R$74,VLOOKUP(AW252,Foundation_Calc!$I$2:$J$8,2,FALSE),0),"")))</f>
        <v/>
      </c>
      <c r="AZ252" s="631" t="str">
        <f>IF(K252="","",
IF(AX252="PT",VLOOKUP(K252,Foundation_Calc!$K$4:$R$37,VLOOKUP(AW252,Foundation_Calc!$I$2:$J$8,2,FALSE),0),
IF(AX252="K",VLOOKUP(K252,Foundation_Calc!$K$41:$R$74,VLOOKUP(AW252,Foundation_Calc!$I$2:$J$8,2,FALSE),0),"")))</f>
        <v/>
      </c>
      <c r="BA252" s="632" t="str">
        <f t="shared" si="14"/>
        <v/>
      </c>
      <c r="BB252" s="632" t="str">
        <f t="shared" si="15"/>
        <v/>
      </c>
      <c r="BC252" s="632" t="str">
        <f t="shared" si="16"/>
        <v/>
      </c>
      <c r="BD252" s="633" t="str">
        <f>IF(AND(L252="",H252=""),"",
IF(H252="",Pole_Calc!A280,
IF(H252="MP",Pole_Calc!A281,
IF(H252="AnMP",Pole_Calc!A282,
IF(H252="A",Pole_Calc!A283,
IF(H252="S/A",Pole_Calc!A284,
IF(H252="A/S",Pole_Calc!A285,"Poner a mano")))))))</f>
        <v/>
      </c>
      <c r="BE252" s="448" t="s">
        <v>1726</v>
      </c>
      <c r="BF252" s="634"/>
      <c r="BG252" s="634"/>
      <c r="BH252" s="634"/>
      <c r="BI252" s="634"/>
    </row>
    <row r="253" spans="1:61" ht="16.2" customHeight="1">
      <c r="A253" s="12"/>
      <c r="B253" s="446"/>
      <c r="C253" s="89"/>
      <c r="D253" s="13"/>
      <c r="E253" s="14"/>
      <c r="F253" s="14"/>
      <c r="G253" s="15"/>
      <c r="H253" s="8"/>
      <c r="I253" s="8"/>
      <c r="J253" s="89"/>
      <c r="K253" s="8"/>
      <c r="L253" s="8"/>
      <c r="M253" s="8" t="str">
        <f>IF(L253="","",
IF(AX253="PT",VLOOKUP(L253,Foundation_Calc!$V$4:$X$37,VLOOKUP(AX253,Foundation_Calc!$I$10:$J$13,2,FALSE),0),
IF(AX253="K",VLOOKUP(L253,Foundation_Calc!$V$41:$X$74,VLOOKUP(AX253,Foundation_Calc!$I$10:$J$13,2,FALSE),0),"")))</f>
        <v/>
      </c>
      <c r="N253" s="8"/>
      <c r="O253" s="8"/>
      <c r="P253" s="8"/>
      <c r="Q253" s="14"/>
      <c r="R253" s="15"/>
      <c r="S253" s="15"/>
      <c r="T253" s="14"/>
      <c r="U253" s="14"/>
      <c r="V253" s="14"/>
      <c r="W253" s="18"/>
      <c r="X253" s="18"/>
      <c r="Y253" s="18"/>
      <c r="Z253" s="18"/>
      <c r="AA253" s="18"/>
      <c r="AB253" s="18"/>
      <c r="AC253" s="8" t="str">
        <f t="shared" si="13"/>
        <v/>
      </c>
      <c r="AD253" s="8"/>
      <c r="AE253" s="8"/>
      <c r="AF253" s="14"/>
      <c r="AG253" s="13"/>
      <c r="AH253" s="14"/>
      <c r="AI253" s="14"/>
      <c r="AJ253" s="8"/>
      <c r="AK253" s="8"/>
      <c r="AL253" s="8"/>
      <c r="AM253" s="8"/>
      <c r="AN253" s="631"/>
      <c r="AO253" s="18"/>
      <c r="AP253" s="18"/>
      <c r="AQ253" s="18"/>
      <c r="AR253" s="18"/>
      <c r="AS253" s="18"/>
      <c r="AU253" s="448"/>
      <c r="AV253" s="448"/>
      <c r="AW253" s="8" t="str">
        <f>IF(C253&gt;0,VLOOKUP(C253,Foundation_Calc!$A$2:$C$986,3,1),
IF(J253&gt;0,VLOOKUP(J253,Foundation_Calc!$A$2:$C$986,3,1),""))</f>
        <v/>
      </c>
      <c r="AX253" s="8" t="str">
        <f>IF(C253&gt;0,VLOOKUP(C253,Foundation_Calc!$E$2:$G$986,3,1),
IF(J253&gt;0,VLOOKUP(J253,Foundation_Calc!$E$2:$G$986,3,1),""))</f>
        <v/>
      </c>
      <c r="AY253" s="631" t="str">
        <f>IF(L253="","",
IF(AX253="PT",VLOOKUP(L253,Foundation_Calc!$K$4:$R$37,VLOOKUP(AW253,Foundation_Calc!$I$2:$J$8,2,FALSE),0),
IF(AX253="K",VLOOKUP(L253,Foundation_Calc!$K$41:$R$74,VLOOKUP(AW253,Foundation_Calc!$I$2:$J$8,2,FALSE),0),"")))</f>
        <v/>
      </c>
      <c r="AZ253" s="631" t="str">
        <f>IF(K253="","",
IF(AX253="PT",VLOOKUP(K253,Foundation_Calc!$K$4:$R$37,VLOOKUP(AW253,Foundation_Calc!$I$2:$J$8,2,FALSE),0),
IF(AX253="K",VLOOKUP(K253,Foundation_Calc!$K$41:$R$74,VLOOKUP(AW253,Foundation_Calc!$I$2:$J$8,2,FALSE),0),"")))</f>
        <v/>
      </c>
      <c r="BA253" s="632" t="str">
        <f t="shared" si="14"/>
        <v/>
      </c>
      <c r="BB253" s="632" t="str">
        <f t="shared" si="15"/>
        <v/>
      </c>
      <c r="BC253" s="632" t="str">
        <f t="shared" si="16"/>
        <v/>
      </c>
      <c r="BD253" s="633" t="str">
        <f>IF(AND(L253="",H253=""),"",
IF(H253="",Pole_Calc!A281,
IF(H253="MP",Pole_Calc!A282,
IF(H253="AnMP",Pole_Calc!A283,
IF(H253="A",Pole_Calc!A284,
IF(H253="S/A",Pole_Calc!A285,
IF(H253="A/S",Pole_Calc!A286,"Poner a mano")))))))</f>
        <v/>
      </c>
      <c r="BE253" s="448" t="s">
        <v>1726</v>
      </c>
      <c r="BF253" s="635"/>
      <c r="BG253" s="635"/>
      <c r="BH253" s="634"/>
      <c r="BI253" s="635"/>
    </row>
    <row r="254" spans="1:61" ht="16.2" customHeight="1">
      <c r="A254" s="12"/>
      <c r="B254" s="446"/>
      <c r="C254" s="89"/>
      <c r="D254" s="13"/>
      <c r="E254" s="14"/>
      <c r="F254" s="14"/>
      <c r="G254" s="15"/>
      <c r="H254" s="8"/>
      <c r="I254" s="8"/>
      <c r="J254" s="89"/>
      <c r="K254" s="8"/>
      <c r="L254" s="8"/>
      <c r="M254" s="8" t="str">
        <f>IF(L254="","",
IF(AX254="PT",VLOOKUP(L254,Foundation_Calc!$V$4:$X$37,VLOOKUP(AX254,Foundation_Calc!$I$10:$J$13,2,FALSE),0),
IF(AX254="K",VLOOKUP(L254,Foundation_Calc!$V$41:$X$74,VLOOKUP(AX254,Foundation_Calc!$I$10:$J$13,2,FALSE),0),"")))</f>
        <v/>
      </c>
      <c r="N254" s="8"/>
      <c r="O254" s="8"/>
      <c r="P254" s="8"/>
      <c r="Q254" s="14"/>
      <c r="R254" s="15"/>
      <c r="S254" s="15"/>
      <c r="T254" s="14"/>
      <c r="U254" s="14"/>
      <c r="V254" s="14"/>
      <c r="W254" s="18"/>
      <c r="X254" s="18"/>
      <c r="Y254" s="18"/>
      <c r="Z254" s="18"/>
      <c r="AA254" s="18"/>
      <c r="AB254" s="18"/>
      <c r="AC254" s="8" t="str">
        <f t="shared" si="13"/>
        <v/>
      </c>
      <c r="AD254" s="8"/>
      <c r="AE254" s="8"/>
      <c r="AF254" s="14"/>
      <c r="AG254" s="13"/>
      <c r="AH254" s="14"/>
      <c r="AI254" s="14"/>
      <c r="AJ254" s="8"/>
      <c r="AK254" s="8"/>
      <c r="AL254" s="8"/>
      <c r="AM254" s="8"/>
      <c r="AN254" s="631"/>
      <c r="AO254" s="18"/>
      <c r="AP254" s="18"/>
      <c r="AQ254" s="18"/>
      <c r="AR254" s="18"/>
      <c r="AS254" s="18"/>
      <c r="AU254" s="448"/>
      <c r="AV254" s="448"/>
      <c r="AW254" s="8" t="str">
        <f>IF(C254&gt;0,VLOOKUP(C254,Foundation_Calc!$A$2:$C$986,3,1),
IF(J254&gt;0,VLOOKUP(J254,Foundation_Calc!$A$2:$C$986,3,1),""))</f>
        <v/>
      </c>
      <c r="AX254" s="8" t="str">
        <f>IF(C254&gt;0,VLOOKUP(C254,Foundation_Calc!$E$2:$G$986,3,1),
IF(J254&gt;0,VLOOKUP(J254,Foundation_Calc!$E$2:$G$986,3,1),""))</f>
        <v/>
      </c>
      <c r="AY254" s="631" t="str">
        <f>IF(L254="","",
IF(AX254="PT",VLOOKUP(L254,Foundation_Calc!$K$4:$R$37,VLOOKUP(AW254,Foundation_Calc!$I$2:$J$8,2,FALSE),0),
IF(AX254="K",VLOOKUP(L254,Foundation_Calc!$K$41:$R$74,VLOOKUP(AW254,Foundation_Calc!$I$2:$J$8,2,FALSE),0),"")))</f>
        <v/>
      </c>
      <c r="AZ254" s="631" t="str">
        <f>IF(K254="","",
IF(AX254="PT",VLOOKUP(K254,Foundation_Calc!$K$4:$R$37,VLOOKUP(AW254,Foundation_Calc!$I$2:$J$8,2,FALSE),0),
IF(AX254="K",VLOOKUP(K254,Foundation_Calc!$K$41:$R$74,VLOOKUP(AW254,Foundation_Calc!$I$2:$J$8,2,FALSE),0),"")))</f>
        <v/>
      </c>
      <c r="BA254" s="632" t="str">
        <f t="shared" si="14"/>
        <v/>
      </c>
      <c r="BB254" s="632" t="str">
        <f t="shared" si="15"/>
        <v/>
      </c>
      <c r="BC254" s="632" t="str">
        <f t="shared" si="16"/>
        <v/>
      </c>
      <c r="BD254" s="633" t="str">
        <f>IF(AND(L254="",H254=""),"",
IF(H254="",Pole_Calc!A282,
IF(H254="MP",Pole_Calc!A283,
IF(H254="AnMP",Pole_Calc!A284,
IF(H254="A",Pole_Calc!A285,
IF(H254="S/A",Pole_Calc!A286,
IF(H254="A/S",Pole_Calc!A287,"Poner a mano")))))))</f>
        <v/>
      </c>
      <c r="BE254" s="448" t="s">
        <v>1726</v>
      </c>
      <c r="BF254" s="634"/>
      <c r="BG254" s="634"/>
      <c r="BH254" s="634"/>
      <c r="BI254" s="634"/>
    </row>
    <row r="255" spans="1:61" ht="16.2" customHeight="1">
      <c r="A255" s="12"/>
      <c r="B255" s="446"/>
      <c r="C255" s="89"/>
      <c r="D255" s="13"/>
      <c r="E255" s="14"/>
      <c r="F255" s="14"/>
      <c r="G255" s="15"/>
      <c r="H255" s="8"/>
      <c r="I255" s="8"/>
      <c r="J255" s="89"/>
      <c r="K255" s="8"/>
      <c r="L255" s="8"/>
      <c r="M255" s="8" t="str">
        <f>IF(L255="","",
IF(AX255="PT",VLOOKUP(L255,Foundation_Calc!$V$4:$X$37,VLOOKUP(AX255,Foundation_Calc!$I$10:$J$13,2,FALSE),0),
IF(AX255="K",VLOOKUP(L255,Foundation_Calc!$V$41:$X$74,VLOOKUP(AX255,Foundation_Calc!$I$10:$J$13,2,FALSE),0),"")))</f>
        <v/>
      </c>
      <c r="N255" s="8"/>
      <c r="O255" s="8"/>
      <c r="P255" s="8"/>
      <c r="Q255" s="14"/>
      <c r="R255" s="15"/>
      <c r="S255" s="15"/>
      <c r="T255" s="14"/>
      <c r="U255" s="14"/>
      <c r="V255" s="14"/>
      <c r="W255" s="18"/>
      <c r="X255" s="18"/>
      <c r="Y255" s="18"/>
      <c r="Z255" s="18"/>
      <c r="AA255" s="18"/>
      <c r="AB255" s="18"/>
      <c r="AC255" s="8" t="str">
        <f t="shared" si="13"/>
        <v/>
      </c>
      <c r="AD255" s="8"/>
      <c r="AE255" s="8"/>
      <c r="AF255" s="14"/>
      <c r="AG255" s="13"/>
      <c r="AH255" s="14"/>
      <c r="AI255" s="14"/>
      <c r="AJ255" s="8"/>
      <c r="AK255" s="8"/>
      <c r="AL255" s="8"/>
      <c r="AM255" s="8"/>
      <c r="AN255" s="631"/>
      <c r="AO255" s="18"/>
      <c r="AP255" s="18"/>
      <c r="AQ255" s="18"/>
      <c r="AR255" s="18"/>
      <c r="AS255" s="18"/>
      <c r="AU255" s="448"/>
      <c r="AV255" s="448"/>
      <c r="AW255" s="8" t="str">
        <f>IF(C255&gt;0,VLOOKUP(C255,Foundation_Calc!$A$2:$C$986,3,1),
IF(J255&gt;0,VLOOKUP(J255,Foundation_Calc!$A$2:$C$986,3,1),""))</f>
        <v/>
      </c>
      <c r="AX255" s="8" t="str">
        <f>IF(C255&gt;0,VLOOKUP(C255,Foundation_Calc!$E$2:$G$986,3,1),
IF(J255&gt;0,VLOOKUP(J255,Foundation_Calc!$E$2:$G$986,3,1),""))</f>
        <v/>
      </c>
      <c r="AY255" s="631" t="str">
        <f>IF(L255="","",
IF(AX255="PT",VLOOKUP(L255,Foundation_Calc!$K$4:$R$37,VLOOKUP(AW255,Foundation_Calc!$I$2:$J$8,2,FALSE),0),
IF(AX255="K",VLOOKUP(L255,Foundation_Calc!$K$41:$R$74,VLOOKUP(AW255,Foundation_Calc!$I$2:$J$8,2,FALSE),0),"")))</f>
        <v/>
      </c>
      <c r="AZ255" s="631" t="str">
        <f>IF(K255="","",
IF(AX255="PT",VLOOKUP(K255,Foundation_Calc!$K$4:$R$37,VLOOKUP(AW255,Foundation_Calc!$I$2:$J$8,2,FALSE),0),
IF(AX255="K",VLOOKUP(K255,Foundation_Calc!$K$41:$R$74,VLOOKUP(AW255,Foundation_Calc!$I$2:$J$8,2,FALSE),0),"")))</f>
        <v/>
      </c>
      <c r="BA255" s="632" t="str">
        <f t="shared" si="14"/>
        <v/>
      </c>
      <c r="BB255" s="632" t="str">
        <f t="shared" si="15"/>
        <v/>
      </c>
      <c r="BC255" s="632" t="str">
        <f t="shared" si="16"/>
        <v/>
      </c>
      <c r="BD255" s="633" t="str">
        <f>IF(AND(L255="",H255=""),"",
IF(H255="",Pole_Calc!A283,
IF(H255="MP",Pole_Calc!A284,
IF(H255="AnMP",Pole_Calc!A285,
IF(H255="A",Pole_Calc!A286,
IF(H255="S/A",Pole_Calc!A287,
IF(H255="A/S",Pole_Calc!A288,"Poner a mano")))))))</f>
        <v/>
      </c>
      <c r="BE255" s="448" t="s">
        <v>1726</v>
      </c>
      <c r="BF255" s="635"/>
      <c r="BG255" s="635"/>
      <c r="BH255" s="634"/>
      <c r="BI255" s="635"/>
    </row>
    <row r="256" spans="1:61" ht="16.2" customHeight="1">
      <c r="A256" s="12"/>
      <c r="B256" s="446"/>
      <c r="C256" s="89"/>
      <c r="D256" s="13"/>
      <c r="E256" s="14"/>
      <c r="F256" s="14"/>
      <c r="G256" s="15"/>
      <c r="H256" s="8"/>
      <c r="I256" s="8"/>
      <c r="J256" s="89"/>
      <c r="K256" s="8"/>
      <c r="L256" s="8"/>
      <c r="M256" s="8" t="str">
        <f>IF(L256="","",
IF(AX256="PT",VLOOKUP(L256,Foundation_Calc!$V$4:$X$37,VLOOKUP(AX256,Foundation_Calc!$I$10:$J$13,2,FALSE),0),
IF(AX256="K",VLOOKUP(L256,Foundation_Calc!$V$41:$X$74,VLOOKUP(AX256,Foundation_Calc!$I$10:$J$13,2,FALSE),0),"")))</f>
        <v/>
      </c>
      <c r="N256" s="8"/>
      <c r="O256" s="8"/>
      <c r="P256" s="8"/>
      <c r="Q256" s="14"/>
      <c r="R256" s="15"/>
      <c r="S256" s="15"/>
      <c r="T256" s="14"/>
      <c r="U256" s="14"/>
      <c r="V256" s="14"/>
      <c r="W256" s="18"/>
      <c r="X256" s="18"/>
      <c r="Y256" s="18"/>
      <c r="Z256" s="18"/>
      <c r="AA256" s="18"/>
      <c r="AB256" s="18"/>
      <c r="AC256" s="8" t="str">
        <f t="shared" si="13"/>
        <v/>
      </c>
      <c r="AD256" s="8"/>
      <c r="AE256" s="8"/>
      <c r="AF256" s="14"/>
      <c r="AG256" s="13"/>
      <c r="AH256" s="14"/>
      <c r="AI256" s="14"/>
      <c r="AJ256" s="8"/>
      <c r="AK256" s="8"/>
      <c r="AL256" s="8"/>
      <c r="AM256" s="8"/>
      <c r="AN256" s="631"/>
      <c r="AO256" s="18"/>
      <c r="AP256" s="18"/>
      <c r="AQ256" s="18"/>
      <c r="AR256" s="18"/>
      <c r="AS256" s="18"/>
      <c r="AU256" s="448"/>
      <c r="AV256" s="448"/>
      <c r="AW256" s="8" t="str">
        <f>IF(C256&gt;0,VLOOKUP(C256,Foundation_Calc!$A$2:$C$986,3,1),
IF(J256&gt;0,VLOOKUP(J256,Foundation_Calc!$A$2:$C$986,3,1),""))</f>
        <v/>
      </c>
      <c r="AX256" s="8" t="str">
        <f>IF(C256&gt;0,VLOOKUP(C256,Foundation_Calc!$E$2:$G$986,3,1),
IF(J256&gt;0,VLOOKUP(J256,Foundation_Calc!$E$2:$G$986,3,1),""))</f>
        <v/>
      </c>
      <c r="AY256" s="631" t="str">
        <f>IF(L256="","",
IF(AX256="PT",VLOOKUP(L256,Foundation_Calc!$K$4:$R$37,VLOOKUP(AW256,Foundation_Calc!$I$2:$J$8,2,FALSE),0),
IF(AX256="K",VLOOKUP(L256,Foundation_Calc!$K$41:$R$74,VLOOKUP(AW256,Foundation_Calc!$I$2:$J$8,2,FALSE),0),"")))</f>
        <v/>
      </c>
      <c r="AZ256" s="631" t="str">
        <f>IF(K256="","",
IF(AX256="PT",VLOOKUP(K256,Foundation_Calc!$K$4:$R$37,VLOOKUP(AW256,Foundation_Calc!$I$2:$J$8,2,FALSE),0),
IF(AX256="K",VLOOKUP(K256,Foundation_Calc!$K$41:$R$74,VLOOKUP(AW256,Foundation_Calc!$I$2:$J$8,2,FALSE),0),"")))</f>
        <v/>
      </c>
      <c r="BA256" s="632" t="str">
        <f t="shared" si="14"/>
        <v/>
      </c>
      <c r="BB256" s="632" t="str">
        <f t="shared" si="15"/>
        <v/>
      </c>
      <c r="BC256" s="632" t="str">
        <f t="shared" si="16"/>
        <v/>
      </c>
      <c r="BD256" s="633" t="str">
        <f>IF(AND(L256="",H256=""),"",
IF(H256="",Pole_Calc!A284,
IF(H256="MP",Pole_Calc!A285,
IF(H256="AnMP",Pole_Calc!A286,
IF(H256="A",Pole_Calc!A287,
IF(H256="S/A",Pole_Calc!A288,
IF(H256="A/S",Pole_Calc!A289,"Poner a mano")))))))</f>
        <v/>
      </c>
      <c r="BE256" s="448" t="s">
        <v>1726</v>
      </c>
      <c r="BF256" s="634"/>
      <c r="BG256" s="634"/>
      <c r="BH256" s="634"/>
      <c r="BI256" s="634"/>
    </row>
    <row r="257" spans="1:61" ht="16.2" customHeight="1">
      <c r="A257" s="12"/>
      <c r="B257" s="446"/>
      <c r="C257" s="89"/>
      <c r="D257" s="13"/>
      <c r="E257" s="14"/>
      <c r="F257" s="14"/>
      <c r="G257" s="15"/>
      <c r="H257" s="8"/>
      <c r="I257" s="8"/>
      <c r="J257" s="89"/>
      <c r="K257" s="8"/>
      <c r="L257" s="8"/>
      <c r="M257" s="8" t="str">
        <f>IF(L257="","",
IF(AX257="PT",VLOOKUP(L257,Foundation_Calc!$V$4:$X$37,VLOOKUP(AX257,Foundation_Calc!$I$10:$J$13,2,FALSE),0),
IF(AX257="K",VLOOKUP(L257,Foundation_Calc!$V$41:$X$74,VLOOKUP(AX257,Foundation_Calc!$I$10:$J$13,2,FALSE),0),"")))</f>
        <v/>
      </c>
      <c r="N257" s="8"/>
      <c r="O257" s="8"/>
      <c r="P257" s="8"/>
      <c r="Q257" s="14"/>
      <c r="R257" s="15"/>
      <c r="S257" s="15"/>
      <c r="T257" s="14"/>
      <c r="U257" s="14"/>
      <c r="V257" s="14"/>
      <c r="W257" s="18"/>
      <c r="X257" s="18"/>
      <c r="Y257" s="18"/>
      <c r="Z257" s="18"/>
      <c r="AA257" s="18"/>
      <c r="AB257" s="18"/>
      <c r="AC257" s="8" t="str">
        <f t="shared" si="13"/>
        <v/>
      </c>
      <c r="AD257" s="8"/>
      <c r="AE257" s="8"/>
      <c r="AF257" s="14"/>
      <c r="AG257" s="13"/>
      <c r="AH257" s="14"/>
      <c r="AI257" s="14"/>
      <c r="AJ257" s="8"/>
      <c r="AK257" s="8"/>
      <c r="AL257" s="8"/>
      <c r="AM257" s="8"/>
      <c r="AN257" s="631"/>
      <c r="AO257" s="18"/>
      <c r="AP257" s="18"/>
      <c r="AQ257" s="18"/>
      <c r="AR257" s="18"/>
      <c r="AS257" s="18"/>
      <c r="AU257" s="448"/>
      <c r="AV257" s="448"/>
      <c r="AW257" s="8" t="str">
        <f>IF(C257&gt;0,VLOOKUP(C257,Foundation_Calc!$A$2:$C$986,3,1),
IF(J257&gt;0,VLOOKUP(J257,Foundation_Calc!$A$2:$C$986,3,1),""))</f>
        <v/>
      </c>
      <c r="AX257" s="8" t="str">
        <f>IF(C257&gt;0,VLOOKUP(C257,Foundation_Calc!$E$2:$G$986,3,1),
IF(J257&gt;0,VLOOKUP(J257,Foundation_Calc!$E$2:$G$986,3,1),""))</f>
        <v/>
      </c>
      <c r="AY257" s="631" t="str">
        <f>IF(L257="","",
IF(AX257="PT",VLOOKUP(L257,Foundation_Calc!$K$4:$R$37,VLOOKUP(AW257,Foundation_Calc!$I$2:$J$8,2,FALSE),0),
IF(AX257="K",VLOOKUP(L257,Foundation_Calc!$K$41:$R$74,VLOOKUP(AW257,Foundation_Calc!$I$2:$J$8,2,FALSE),0),"")))</f>
        <v/>
      </c>
      <c r="AZ257" s="631" t="str">
        <f>IF(K257="","",
IF(AX257="PT",VLOOKUP(K257,Foundation_Calc!$K$4:$R$37,VLOOKUP(AW257,Foundation_Calc!$I$2:$J$8,2,FALSE),0),
IF(AX257="K",VLOOKUP(K257,Foundation_Calc!$K$41:$R$74,VLOOKUP(AW257,Foundation_Calc!$I$2:$J$8,2,FALSE),0),"")))</f>
        <v/>
      </c>
      <c r="BA257" s="632" t="str">
        <f t="shared" si="14"/>
        <v/>
      </c>
      <c r="BB257" s="632" t="str">
        <f t="shared" si="15"/>
        <v/>
      </c>
      <c r="BC257" s="632" t="str">
        <f t="shared" si="16"/>
        <v/>
      </c>
      <c r="BD257" s="633" t="str">
        <f>IF(AND(L257="",H257=""),"",
IF(H257="",Pole_Calc!A285,
IF(H257="MP",Pole_Calc!A286,
IF(H257="AnMP",Pole_Calc!A287,
IF(H257="A",Pole_Calc!A288,
IF(H257="S/A",Pole_Calc!A289,
IF(H257="A/S",Pole_Calc!A290,"Poner a mano")))))))</f>
        <v/>
      </c>
      <c r="BE257" s="448" t="s">
        <v>1726</v>
      </c>
      <c r="BF257" s="635"/>
      <c r="BG257" s="635"/>
      <c r="BH257" s="634"/>
      <c r="BI257" s="635"/>
    </row>
    <row r="258" spans="1:61" ht="16.2" customHeight="1">
      <c r="A258" s="12"/>
      <c r="B258" s="446"/>
      <c r="C258" s="89"/>
      <c r="D258" s="13"/>
      <c r="E258" s="14"/>
      <c r="F258" s="14"/>
      <c r="G258" s="15"/>
      <c r="H258" s="8"/>
      <c r="I258" s="8"/>
      <c r="J258" s="89"/>
      <c r="K258" s="8"/>
      <c r="L258" s="8"/>
      <c r="M258" s="8" t="str">
        <f>IF(L258="","",
IF(AX258="PT",VLOOKUP(L258,Foundation_Calc!$V$4:$X$37,VLOOKUP(AX258,Foundation_Calc!$I$10:$J$13,2,FALSE),0),
IF(AX258="K",VLOOKUP(L258,Foundation_Calc!$V$41:$X$74,VLOOKUP(AX258,Foundation_Calc!$I$10:$J$13,2,FALSE),0),"")))</f>
        <v/>
      </c>
      <c r="N258" s="8"/>
      <c r="O258" s="8"/>
      <c r="P258" s="8"/>
      <c r="Q258" s="14"/>
      <c r="R258" s="15"/>
      <c r="S258" s="15"/>
      <c r="T258" s="14"/>
      <c r="U258" s="14"/>
      <c r="V258" s="14"/>
      <c r="W258" s="18"/>
      <c r="X258" s="18"/>
      <c r="Y258" s="18"/>
      <c r="Z258" s="18"/>
      <c r="AA258" s="18"/>
      <c r="AB258" s="18"/>
      <c r="AC258" s="8" t="str">
        <f t="shared" si="13"/>
        <v/>
      </c>
      <c r="AD258" s="8"/>
      <c r="AE258" s="8"/>
      <c r="AF258" s="14"/>
      <c r="AG258" s="13"/>
      <c r="AH258" s="14"/>
      <c r="AI258" s="14"/>
      <c r="AJ258" s="8"/>
      <c r="AK258" s="8"/>
      <c r="AL258" s="8"/>
      <c r="AM258" s="8"/>
      <c r="AN258" s="631"/>
      <c r="AO258" s="18"/>
      <c r="AP258" s="18"/>
      <c r="AQ258" s="18"/>
      <c r="AR258" s="18"/>
      <c r="AS258" s="18"/>
      <c r="AU258" s="448"/>
      <c r="AV258" s="448"/>
      <c r="AW258" s="8" t="str">
        <f>IF(C258&gt;0,VLOOKUP(C258,Foundation_Calc!$A$2:$C$986,3,1),
IF(J258&gt;0,VLOOKUP(J258,Foundation_Calc!$A$2:$C$986,3,1),""))</f>
        <v/>
      </c>
      <c r="AX258" s="8" t="str">
        <f>IF(C258&gt;0,VLOOKUP(C258,Foundation_Calc!$E$2:$G$986,3,1),
IF(J258&gt;0,VLOOKUP(J258,Foundation_Calc!$E$2:$G$986,3,1),""))</f>
        <v/>
      </c>
      <c r="AY258" s="631" t="str">
        <f>IF(L258="","",
IF(AX258="PT",VLOOKUP(L258,Foundation_Calc!$K$4:$R$37,VLOOKUP(AW258,Foundation_Calc!$I$2:$J$8,2,FALSE),0),
IF(AX258="K",VLOOKUP(L258,Foundation_Calc!$K$41:$R$74,VLOOKUP(AW258,Foundation_Calc!$I$2:$J$8,2,FALSE),0),"")))</f>
        <v/>
      </c>
      <c r="AZ258" s="631" t="str">
        <f>IF(K258="","",
IF(AX258="PT",VLOOKUP(K258,Foundation_Calc!$K$4:$R$37,VLOOKUP(AW258,Foundation_Calc!$I$2:$J$8,2,FALSE),0),
IF(AX258="K",VLOOKUP(K258,Foundation_Calc!$K$41:$R$74,VLOOKUP(AW258,Foundation_Calc!$I$2:$J$8,2,FALSE),0),"")))</f>
        <v/>
      </c>
      <c r="BA258" s="632" t="str">
        <f t="shared" si="14"/>
        <v/>
      </c>
      <c r="BB258" s="632" t="str">
        <f t="shared" si="15"/>
        <v/>
      </c>
      <c r="BC258" s="632" t="str">
        <f t="shared" si="16"/>
        <v/>
      </c>
      <c r="BD258" s="633" t="str">
        <f>IF(AND(L258="",H258=""),"",
IF(H258="",Pole_Calc!A286,
IF(H258="MP",Pole_Calc!A287,
IF(H258="AnMP",Pole_Calc!A288,
IF(H258="A",Pole_Calc!A289,
IF(H258="S/A",Pole_Calc!A290,
IF(H258="A/S",Pole_Calc!A291,"Poner a mano")))))))</f>
        <v/>
      </c>
      <c r="BE258" s="448" t="s">
        <v>1726</v>
      </c>
      <c r="BF258" s="634"/>
      <c r="BG258" s="634"/>
      <c r="BH258" s="634"/>
      <c r="BI258" s="634"/>
    </row>
    <row r="259" spans="1:61" ht="16.2" customHeight="1">
      <c r="A259" s="12"/>
      <c r="B259" s="446"/>
      <c r="C259" s="89"/>
      <c r="D259" s="13"/>
      <c r="E259" s="14"/>
      <c r="F259" s="14"/>
      <c r="G259" s="15"/>
      <c r="H259" s="8"/>
      <c r="I259" s="8"/>
      <c r="J259" s="89"/>
      <c r="K259" s="8"/>
      <c r="L259" s="8"/>
      <c r="M259" s="8" t="str">
        <f>IF(L259="","",
IF(AX259="PT",VLOOKUP(L259,Foundation_Calc!$V$4:$X$37,VLOOKUP(AX259,Foundation_Calc!$I$10:$J$13,2,FALSE),0),
IF(AX259="K",VLOOKUP(L259,Foundation_Calc!$V$41:$X$74,VLOOKUP(AX259,Foundation_Calc!$I$10:$J$13,2,FALSE),0),"")))</f>
        <v/>
      </c>
      <c r="N259" s="8"/>
      <c r="O259" s="8"/>
      <c r="P259" s="8"/>
      <c r="Q259" s="14"/>
      <c r="R259" s="15"/>
      <c r="S259" s="15"/>
      <c r="T259" s="14"/>
      <c r="U259" s="14"/>
      <c r="V259" s="14"/>
      <c r="W259" s="18"/>
      <c r="X259" s="18"/>
      <c r="Y259" s="18"/>
      <c r="Z259" s="18"/>
      <c r="AA259" s="18"/>
      <c r="AB259" s="18"/>
      <c r="AC259" s="8" t="str">
        <f t="shared" si="13"/>
        <v/>
      </c>
      <c r="AD259" s="8"/>
      <c r="AE259" s="8"/>
      <c r="AF259" s="14"/>
      <c r="AG259" s="13"/>
      <c r="AH259" s="14"/>
      <c r="AI259" s="14"/>
      <c r="AJ259" s="8"/>
      <c r="AK259" s="8"/>
      <c r="AL259" s="8"/>
      <c r="AM259" s="8"/>
      <c r="AN259" s="631"/>
      <c r="AO259" s="18"/>
      <c r="AP259" s="18"/>
      <c r="AQ259" s="18"/>
      <c r="AR259" s="18"/>
      <c r="AS259" s="18"/>
      <c r="AU259" s="448"/>
      <c r="AV259" s="448"/>
      <c r="AW259" s="8" t="str">
        <f>IF(C259&gt;0,VLOOKUP(C259,Foundation_Calc!$A$2:$C$986,3,1),
IF(J259&gt;0,VLOOKUP(J259,Foundation_Calc!$A$2:$C$986,3,1),""))</f>
        <v/>
      </c>
      <c r="AX259" s="8" t="str">
        <f>IF(C259&gt;0,VLOOKUP(C259,Foundation_Calc!$E$2:$G$986,3,1),
IF(J259&gt;0,VLOOKUP(J259,Foundation_Calc!$E$2:$G$986,3,1),""))</f>
        <v/>
      </c>
      <c r="AY259" s="631" t="str">
        <f>IF(L259="","",
IF(AX259="PT",VLOOKUP(L259,Foundation_Calc!$K$4:$R$37,VLOOKUP(AW259,Foundation_Calc!$I$2:$J$8,2,FALSE),0),
IF(AX259="K",VLOOKUP(L259,Foundation_Calc!$K$41:$R$74,VLOOKUP(AW259,Foundation_Calc!$I$2:$J$8,2,FALSE),0),"")))</f>
        <v/>
      </c>
      <c r="AZ259" s="631" t="str">
        <f>IF(K259="","",
IF(AX259="PT",VLOOKUP(K259,Foundation_Calc!$K$4:$R$37,VLOOKUP(AW259,Foundation_Calc!$I$2:$J$8,2,FALSE),0),
IF(AX259="K",VLOOKUP(K259,Foundation_Calc!$K$41:$R$74,VLOOKUP(AW259,Foundation_Calc!$I$2:$J$8,2,FALSE),0),"")))</f>
        <v/>
      </c>
      <c r="BA259" s="632" t="str">
        <f t="shared" si="14"/>
        <v/>
      </c>
      <c r="BB259" s="632" t="str">
        <f t="shared" si="15"/>
        <v/>
      </c>
      <c r="BC259" s="632" t="str">
        <f t="shared" si="16"/>
        <v/>
      </c>
      <c r="BD259" s="633" t="str">
        <f>IF(AND(L259="",H259=""),"",
IF(H259="",Pole_Calc!A287,
IF(H259="MP",Pole_Calc!A288,
IF(H259="AnMP",Pole_Calc!A289,
IF(H259="A",Pole_Calc!A290,
IF(H259="S/A",Pole_Calc!A291,
IF(H259="A/S",Pole_Calc!A292,"Poner a mano")))))))</f>
        <v/>
      </c>
      <c r="BE259" s="448" t="s">
        <v>1726</v>
      </c>
      <c r="BF259" s="635"/>
      <c r="BG259" s="635"/>
      <c r="BH259" s="634"/>
      <c r="BI259" s="635"/>
    </row>
    <row r="260" spans="1:61" ht="16.2" customHeight="1">
      <c r="A260" s="12"/>
      <c r="B260" s="446"/>
      <c r="C260" s="89"/>
      <c r="D260" s="13"/>
      <c r="E260" s="14"/>
      <c r="F260" s="14"/>
      <c r="G260" s="15"/>
      <c r="H260" s="8"/>
      <c r="I260" s="8"/>
      <c r="J260" s="89"/>
      <c r="K260" s="8"/>
      <c r="L260" s="8"/>
      <c r="M260" s="8" t="str">
        <f>IF(L260="","",
IF(AX260="PT",VLOOKUP(L260,Foundation_Calc!$V$4:$X$37,VLOOKUP(AX260,Foundation_Calc!$I$10:$J$13,2,FALSE),0),
IF(AX260="K",VLOOKUP(L260,Foundation_Calc!$V$41:$X$74,VLOOKUP(AX260,Foundation_Calc!$I$10:$J$13,2,FALSE),0),"")))</f>
        <v/>
      </c>
      <c r="N260" s="8"/>
      <c r="O260" s="8"/>
      <c r="P260" s="8"/>
      <c r="Q260" s="14"/>
      <c r="R260" s="15"/>
      <c r="S260" s="15"/>
      <c r="T260" s="14"/>
      <c r="U260" s="14"/>
      <c r="V260" s="14"/>
      <c r="W260" s="18"/>
      <c r="X260" s="18"/>
      <c r="Y260" s="18"/>
      <c r="Z260" s="18"/>
      <c r="AA260" s="18"/>
      <c r="AB260" s="18"/>
      <c r="AC260" s="8" t="str">
        <f t="shared" si="13"/>
        <v/>
      </c>
      <c r="AD260" s="8"/>
      <c r="AE260" s="8"/>
      <c r="AF260" s="14"/>
      <c r="AG260" s="13"/>
      <c r="AH260" s="14"/>
      <c r="AI260" s="14"/>
      <c r="AJ260" s="8"/>
      <c r="AK260" s="8"/>
      <c r="AL260" s="8"/>
      <c r="AM260" s="8"/>
      <c r="AN260" s="631"/>
      <c r="AO260" s="18"/>
      <c r="AP260" s="18"/>
      <c r="AQ260" s="18"/>
      <c r="AR260" s="18"/>
      <c r="AS260" s="18"/>
      <c r="AU260" s="448"/>
      <c r="AV260" s="448"/>
      <c r="AW260" s="8" t="str">
        <f>IF(C260&gt;0,VLOOKUP(C260,Foundation_Calc!$A$2:$C$986,3,1),
IF(J260&gt;0,VLOOKUP(J260,Foundation_Calc!$A$2:$C$986,3,1),""))</f>
        <v/>
      </c>
      <c r="AX260" s="8" t="str">
        <f>IF(C260&gt;0,VLOOKUP(C260,Foundation_Calc!$E$2:$G$986,3,1),
IF(J260&gt;0,VLOOKUP(J260,Foundation_Calc!$E$2:$G$986,3,1),""))</f>
        <v/>
      </c>
      <c r="AY260" s="631" t="str">
        <f>IF(L260="","",
IF(AX260="PT",VLOOKUP(L260,Foundation_Calc!$K$4:$R$37,VLOOKUP(AW260,Foundation_Calc!$I$2:$J$8,2,FALSE),0),
IF(AX260="K",VLOOKUP(L260,Foundation_Calc!$K$41:$R$74,VLOOKUP(AW260,Foundation_Calc!$I$2:$J$8,2,FALSE),0),"")))</f>
        <v/>
      </c>
      <c r="AZ260" s="631" t="str">
        <f>IF(K260="","",
IF(AX260="PT",VLOOKUP(K260,Foundation_Calc!$K$4:$R$37,VLOOKUP(AW260,Foundation_Calc!$I$2:$J$8,2,FALSE),0),
IF(AX260="K",VLOOKUP(K260,Foundation_Calc!$K$41:$R$74,VLOOKUP(AW260,Foundation_Calc!$I$2:$J$8,2,FALSE),0),"")))</f>
        <v/>
      </c>
      <c r="BA260" s="632" t="str">
        <f t="shared" si="14"/>
        <v/>
      </c>
      <c r="BB260" s="632" t="str">
        <f t="shared" si="15"/>
        <v/>
      </c>
      <c r="BC260" s="632" t="str">
        <f t="shared" si="16"/>
        <v/>
      </c>
      <c r="BD260" s="633" t="str">
        <f>IF(AND(L260="",H260=""),"",
IF(H260="",Pole_Calc!A288,
IF(H260="MP",Pole_Calc!A289,
IF(H260="AnMP",Pole_Calc!A290,
IF(H260="A",Pole_Calc!A291,
IF(H260="S/A",Pole_Calc!A292,
IF(H260="A/S",Pole_Calc!A293,"Poner a mano")))))))</f>
        <v/>
      </c>
      <c r="BE260" s="448" t="s">
        <v>1726</v>
      </c>
      <c r="BF260" s="634"/>
      <c r="BG260" s="634"/>
      <c r="BH260" s="634"/>
      <c r="BI260" s="634"/>
    </row>
    <row r="261" spans="1:61" ht="16.2" customHeight="1">
      <c r="A261" s="12"/>
      <c r="B261" s="446"/>
      <c r="C261" s="89"/>
      <c r="D261" s="13"/>
      <c r="E261" s="14"/>
      <c r="F261" s="14"/>
      <c r="G261" s="15"/>
      <c r="H261" s="8"/>
      <c r="I261" s="8"/>
      <c r="J261" s="89"/>
      <c r="K261" s="8"/>
      <c r="L261" s="8"/>
      <c r="M261" s="8" t="str">
        <f>IF(L261="","",
IF(AX261="PT",VLOOKUP(L261,Foundation_Calc!$V$4:$X$37,VLOOKUP(AX261,Foundation_Calc!$I$10:$J$13,2,FALSE),0),
IF(AX261="K",VLOOKUP(L261,Foundation_Calc!$V$41:$X$74,VLOOKUP(AX261,Foundation_Calc!$I$10:$J$13,2,FALSE),0),"")))</f>
        <v/>
      </c>
      <c r="N261" s="8"/>
      <c r="O261" s="8"/>
      <c r="P261" s="8"/>
      <c r="Q261" s="14"/>
      <c r="R261" s="15"/>
      <c r="S261" s="15"/>
      <c r="T261" s="14"/>
      <c r="U261" s="14"/>
      <c r="V261" s="14"/>
      <c r="W261" s="18"/>
      <c r="X261" s="18"/>
      <c r="Y261" s="18"/>
      <c r="Z261" s="18"/>
      <c r="AA261" s="18"/>
      <c r="AB261" s="18"/>
      <c r="AC261" s="8" t="str">
        <f t="shared" si="13"/>
        <v/>
      </c>
      <c r="AD261" s="8"/>
      <c r="AE261" s="8"/>
      <c r="AF261" s="14"/>
      <c r="AG261" s="13"/>
      <c r="AH261" s="14"/>
      <c r="AI261" s="14"/>
      <c r="AJ261" s="8"/>
      <c r="AK261" s="8"/>
      <c r="AL261" s="8"/>
      <c r="AM261" s="8"/>
      <c r="AN261" s="631"/>
      <c r="AO261" s="18"/>
      <c r="AP261" s="18"/>
      <c r="AQ261" s="18"/>
      <c r="AR261" s="18"/>
      <c r="AS261" s="18"/>
      <c r="AU261" s="448"/>
      <c r="AV261" s="448"/>
      <c r="AW261" s="8" t="str">
        <f>IF(C261&gt;0,VLOOKUP(C261,Foundation_Calc!$A$2:$C$986,3,1),
IF(J261&gt;0,VLOOKUP(J261,Foundation_Calc!$A$2:$C$986,3,1),""))</f>
        <v/>
      </c>
      <c r="AX261" s="8" t="str">
        <f>IF(C261&gt;0,VLOOKUP(C261,Foundation_Calc!$E$2:$G$986,3,1),
IF(J261&gt;0,VLOOKUP(J261,Foundation_Calc!$E$2:$G$986,3,1),""))</f>
        <v/>
      </c>
      <c r="AY261" s="631" t="str">
        <f>IF(L261="","",
IF(AX261="PT",VLOOKUP(L261,Foundation_Calc!$K$4:$R$37,VLOOKUP(AW261,Foundation_Calc!$I$2:$J$8,2,FALSE),0),
IF(AX261="K",VLOOKUP(L261,Foundation_Calc!$K$41:$R$74,VLOOKUP(AW261,Foundation_Calc!$I$2:$J$8,2,FALSE),0),"")))</f>
        <v/>
      </c>
      <c r="AZ261" s="631" t="str">
        <f>IF(K261="","",
IF(AX261="PT",VLOOKUP(K261,Foundation_Calc!$K$4:$R$37,VLOOKUP(AW261,Foundation_Calc!$I$2:$J$8,2,FALSE),0),
IF(AX261="K",VLOOKUP(K261,Foundation_Calc!$K$41:$R$74,VLOOKUP(AW261,Foundation_Calc!$I$2:$J$8,2,FALSE),0),"")))</f>
        <v/>
      </c>
      <c r="BA261" s="632" t="str">
        <f t="shared" si="14"/>
        <v/>
      </c>
      <c r="BB261" s="632" t="str">
        <f t="shared" si="15"/>
        <v/>
      </c>
      <c r="BC261" s="632" t="str">
        <f t="shared" si="16"/>
        <v/>
      </c>
      <c r="BD261" s="633" t="str">
        <f>IF(AND(L261="",H261=""),"",
IF(H261="",Pole_Calc!A289,
IF(H261="MP",Pole_Calc!A290,
IF(H261="AnMP",Pole_Calc!A291,
IF(H261="A",Pole_Calc!A292,
IF(H261="S/A",Pole_Calc!A293,
IF(H261="A/S",Pole_Calc!A294,"Poner a mano")))))))</f>
        <v/>
      </c>
      <c r="BE261" s="448" t="s">
        <v>1726</v>
      </c>
      <c r="BF261" s="635"/>
      <c r="BG261" s="635"/>
      <c r="BH261" s="634"/>
      <c r="BI261" s="635"/>
    </row>
    <row r="262" spans="1:61" ht="16.2" customHeight="1">
      <c r="A262" s="12"/>
      <c r="B262" s="446"/>
      <c r="C262" s="89"/>
      <c r="D262" s="13"/>
      <c r="E262" s="14"/>
      <c r="F262" s="14"/>
      <c r="G262" s="15"/>
      <c r="H262" s="8"/>
      <c r="I262" s="8"/>
      <c r="J262" s="89"/>
      <c r="K262" s="8"/>
      <c r="L262" s="8"/>
      <c r="M262" s="8" t="str">
        <f>IF(L262="","",
IF(AX262="PT",VLOOKUP(L262,Foundation_Calc!$V$4:$X$37,VLOOKUP(AX262,Foundation_Calc!$I$10:$J$13,2,FALSE),0),
IF(AX262="K",VLOOKUP(L262,Foundation_Calc!$V$41:$X$74,VLOOKUP(AX262,Foundation_Calc!$I$10:$J$13,2,FALSE),0),"")))</f>
        <v/>
      </c>
      <c r="N262" s="8"/>
      <c r="O262" s="8"/>
      <c r="P262" s="8"/>
      <c r="Q262" s="14"/>
      <c r="R262" s="15"/>
      <c r="S262" s="15"/>
      <c r="T262" s="14"/>
      <c r="U262" s="14"/>
      <c r="V262" s="14"/>
      <c r="W262" s="18"/>
      <c r="X262" s="18"/>
      <c r="Y262" s="18"/>
      <c r="Z262" s="18"/>
      <c r="AA262" s="18"/>
      <c r="AB262" s="18"/>
      <c r="AC262" s="8" t="str">
        <f t="shared" ref="AC262:AC325" si="17">IF(OR(AT262&gt;8,AT262&lt;-8),"PH",
IF(OR(AT262&gt;5,AT262&lt;-5),"PHQ",
IF(OR(AT262&gt;1,AT262&lt;-1),
"PHC","")))</f>
        <v/>
      </c>
      <c r="AD262" s="8"/>
      <c r="AE262" s="8"/>
      <c r="AF262" s="14"/>
      <c r="AG262" s="13"/>
      <c r="AH262" s="14"/>
      <c r="AI262" s="14"/>
      <c r="AJ262" s="8"/>
      <c r="AK262" s="8"/>
      <c r="AL262" s="8"/>
      <c r="AM262" s="8"/>
      <c r="AN262" s="631"/>
      <c r="AO262" s="18"/>
      <c r="AP262" s="18"/>
      <c r="AQ262" s="18"/>
      <c r="AR262" s="18"/>
      <c r="AS262" s="18"/>
      <c r="AU262" s="448"/>
      <c r="AV262" s="448"/>
      <c r="AW262" s="8" t="str">
        <f>IF(C262&gt;0,VLOOKUP(C262,Foundation_Calc!$A$2:$C$986,3,1),
IF(J262&gt;0,VLOOKUP(J262,Foundation_Calc!$A$2:$C$986,3,1),""))</f>
        <v/>
      </c>
      <c r="AX262" s="8" t="str">
        <f>IF(C262&gt;0,VLOOKUP(C262,Foundation_Calc!$E$2:$G$986,3,1),
IF(J262&gt;0,VLOOKUP(J262,Foundation_Calc!$E$2:$G$986,3,1),""))</f>
        <v/>
      </c>
      <c r="AY262" s="631" t="str">
        <f>IF(L262="","",
IF(AX262="PT",VLOOKUP(L262,Foundation_Calc!$K$4:$R$37,VLOOKUP(AW262,Foundation_Calc!$I$2:$J$8,2,FALSE),0),
IF(AX262="K",VLOOKUP(L262,Foundation_Calc!$K$41:$R$74,VLOOKUP(AW262,Foundation_Calc!$I$2:$J$8,2,FALSE),0),"")))</f>
        <v/>
      </c>
      <c r="AZ262" s="631" t="str">
        <f>IF(K262="","",
IF(AX262="PT",VLOOKUP(K262,Foundation_Calc!$K$4:$R$37,VLOOKUP(AW262,Foundation_Calc!$I$2:$J$8,2,FALSE),0),
IF(AX262="K",VLOOKUP(K262,Foundation_Calc!$K$41:$R$74,VLOOKUP(AW262,Foundation_Calc!$I$2:$J$8,2,FALSE),0),"")))</f>
        <v/>
      </c>
      <c r="BA262" s="632" t="str">
        <f t="shared" ref="BA262:BA325" si="18">IF(AY262="","",IF(AY262&gt;0,"ü",""))</f>
        <v/>
      </c>
      <c r="BB262" s="632" t="str">
        <f t="shared" ref="BB262:BB325" si="19">IF(AZ262="","",IF(AZ262&gt;0,"ü",""))</f>
        <v/>
      </c>
      <c r="BC262" s="632" t="str">
        <f t="shared" ref="BC262:BC325" si="20">IF(M262="","",IF(M262="Unique Solution","ü",""))</f>
        <v/>
      </c>
      <c r="BD262" s="633" t="str">
        <f>IF(AND(L262="",H262=""),"",
IF(H262="",Pole_Calc!A290,
IF(H262="MP",Pole_Calc!A291,
IF(H262="AnMP",Pole_Calc!A292,
IF(H262="A",Pole_Calc!A293,
IF(H262="S/A",Pole_Calc!A294,
IF(H262="A/S",Pole_Calc!A295,"Poner a mano")))))))</f>
        <v/>
      </c>
      <c r="BE262" s="448" t="s">
        <v>1726</v>
      </c>
      <c r="BF262" s="634"/>
      <c r="BG262" s="634"/>
      <c r="BH262" s="634"/>
      <c r="BI262" s="634"/>
    </row>
    <row r="263" spans="1:61" ht="16.2" customHeight="1">
      <c r="A263" s="12"/>
      <c r="B263" s="446"/>
      <c r="C263" s="89"/>
      <c r="D263" s="13"/>
      <c r="E263" s="14"/>
      <c r="F263" s="14"/>
      <c r="G263" s="15"/>
      <c r="H263" s="8"/>
      <c r="I263" s="8"/>
      <c r="J263" s="89"/>
      <c r="K263" s="8"/>
      <c r="L263" s="8"/>
      <c r="M263" s="8" t="str">
        <f>IF(L263="","",
IF(AX263="PT",VLOOKUP(L263,Foundation_Calc!$V$4:$X$37,VLOOKUP(AX263,Foundation_Calc!$I$10:$J$13,2,FALSE),0),
IF(AX263="K",VLOOKUP(L263,Foundation_Calc!$V$41:$X$74,VLOOKUP(AX263,Foundation_Calc!$I$10:$J$13,2,FALSE),0),"")))</f>
        <v/>
      </c>
      <c r="N263" s="8"/>
      <c r="O263" s="8"/>
      <c r="P263" s="8"/>
      <c r="Q263" s="14"/>
      <c r="R263" s="15"/>
      <c r="S263" s="15"/>
      <c r="T263" s="14"/>
      <c r="U263" s="14"/>
      <c r="V263" s="14"/>
      <c r="W263" s="18"/>
      <c r="X263" s="18"/>
      <c r="Y263" s="18"/>
      <c r="Z263" s="18"/>
      <c r="AA263" s="18"/>
      <c r="AB263" s="18"/>
      <c r="AC263" s="8" t="str">
        <f t="shared" si="17"/>
        <v/>
      </c>
      <c r="AD263" s="8"/>
      <c r="AE263" s="8"/>
      <c r="AF263" s="14"/>
      <c r="AG263" s="13"/>
      <c r="AH263" s="14"/>
      <c r="AI263" s="14"/>
      <c r="AJ263" s="8"/>
      <c r="AK263" s="8"/>
      <c r="AL263" s="8"/>
      <c r="AM263" s="8"/>
      <c r="AN263" s="631"/>
      <c r="AO263" s="18"/>
      <c r="AP263" s="18"/>
      <c r="AQ263" s="18"/>
      <c r="AR263" s="18"/>
      <c r="AS263" s="18"/>
      <c r="AU263" s="448"/>
      <c r="AV263" s="448"/>
      <c r="AW263" s="8" t="str">
        <f>IF(C263&gt;0,VLOOKUP(C263,Foundation_Calc!$A$2:$C$986,3,1),
IF(J263&gt;0,VLOOKUP(J263,Foundation_Calc!$A$2:$C$986,3,1),""))</f>
        <v/>
      </c>
      <c r="AX263" s="8" t="str">
        <f>IF(C263&gt;0,VLOOKUP(C263,Foundation_Calc!$E$2:$G$986,3,1),
IF(J263&gt;0,VLOOKUP(J263,Foundation_Calc!$E$2:$G$986,3,1),""))</f>
        <v/>
      </c>
      <c r="AY263" s="631" t="str">
        <f>IF(L263="","",
IF(AX263="PT",VLOOKUP(L263,Foundation_Calc!$K$4:$R$37,VLOOKUP(AW263,Foundation_Calc!$I$2:$J$8,2,FALSE),0),
IF(AX263="K",VLOOKUP(L263,Foundation_Calc!$K$41:$R$74,VLOOKUP(AW263,Foundation_Calc!$I$2:$J$8,2,FALSE),0),"")))</f>
        <v/>
      </c>
      <c r="AZ263" s="631" t="str">
        <f>IF(K263="","",
IF(AX263="PT",VLOOKUP(K263,Foundation_Calc!$K$4:$R$37,VLOOKUP(AW263,Foundation_Calc!$I$2:$J$8,2,FALSE),0),
IF(AX263="K",VLOOKUP(K263,Foundation_Calc!$K$41:$R$74,VLOOKUP(AW263,Foundation_Calc!$I$2:$J$8,2,FALSE),0),"")))</f>
        <v/>
      </c>
      <c r="BA263" s="632" t="str">
        <f t="shared" si="18"/>
        <v/>
      </c>
      <c r="BB263" s="632" t="str">
        <f t="shared" si="19"/>
        <v/>
      </c>
      <c r="BC263" s="632" t="str">
        <f t="shared" si="20"/>
        <v/>
      </c>
      <c r="BD263" s="633" t="str">
        <f>IF(AND(L263="",H263=""),"",
IF(H263="",Pole_Calc!A291,
IF(H263="MP",Pole_Calc!A292,
IF(H263="AnMP",Pole_Calc!A293,
IF(H263="A",Pole_Calc!A294,
IF(H263="S/A",Pole_Calc!A295,
IF(H263="A/S",Pole_Calc!A296,"Poner a mano")))))))</f>
        <v/>
      </c>
      <c r="BE263" s="448" t="s">
        <v>1726</v>
      </c>
      <c r="BF263" s="635"/>
      <c r="BG263" s="635"/>
      <c r="BH263" s="634"/>
      <c r="BI263" s="635"/>
    </row>
    <row r="264" spans="1:61" ht="16.2" customHeight="1">
      <c r="A264" s="12"/>
      <c r="B264" s="446"/>
      <c r="C264" s="89"/>
      <c r="D264" s="13"/>
      <c r="E264" s="14"/>
      <c r="F264" s="14"/>
      <c r="G264" s="15"/>
      <c r="H264" s="8"/>
      <c r="I264" s="8"/>
      <c r="J264" s="89"/>
      <c r="K264" s="8"/>
      <c r="L264" s="8"/>
      <c r="M264" s="8" t="str">
        <f>IF(L264="","",
IF(AX264="PT",VLOOKUP(L264,Foundation_Calc!$V$4:$X$37,VLOOKUP(AX264,Foundation_Calc!$I$10:$J$13,2,FALSE),0),
IF(AX264="K",VLOOKUP(L264,Foundation_Calc!$V$41:$X$74,VLOOKUP(AX264,Foundation_Calc!$I$10:$J$13,2,FALSE),0),"")))</f>
        <v/>
      </c>
      <c r="N264" s="8"/>
      <c r="O264" s="8"/>
      <c r="P264" s="8"/>
      <c r="Q264" s="14"/>
      <c r="R264" s="15"/>
      <c r="S264" s="15"/>
      <c r="T264" s="14"/>
      <c r="U264" s="14"/>
      <c r="V264" s="14"/>
      <c r="W264" s="18"/>
      <c r="X264" s="18"/>
      <c r="Y264" s="18"/>
      <c r="Z264" s="18"/>
      <c r="AA264" s="18"/>
      <c r="AB264" s="18"/>
      <c r="AC264" s="8" t="str">
        <f t="shared" si="17"/>
        <v/>
      </c>
      <c r="AD264" s="8"/>
      <c r="AE264" s="8"/>
      <c r="AF264" s="14"/>
      <c r="AG264" s="13"/>
      <c r="AH264" s="14"/>
      <c r="AI264" s="14"/>
      <c r="AJ264" s="8"/>
      <c r="AK264" s="8"/>
      <c r="AL264" s="8"/>
      <c r="AM264" s="8"/>
      <c r="AN264" s="631"/>
      <c r="AO264" s="18"/>
      <c r="AP264" s="18"/>
      <c r="AQ264" s="18"/>
      <c r="AR264" s="18"/>
      <c r="AS264" s="18"/>
      <c r="AU264" s="448"/>
      <c r="AV264" s="448"/>
      <c r="AW264" s="8" t="str">
        <f>IF(C264&gt;0,VLOOKUP(C264,Foundation_Calc!$A$2:$C$986,3,1),
IF(J264&gt;0,VLOOKUP(J264,Foundation_Calc!$A$2:$C$986,3,1),""))</f>
        <v/>
      </c>
      <c r="AX264" s="8" t="str">
        <f>IF(C264&gt;0,VLOOKUP(C264,Foundation_Calc!$E$2:$G$986,3,1),
IF(J264&gt;0,VLOOKUP(J264,Foundation_Calc!$E$2:$G$986,3,1),""))</f>
        <v/>
      </c>
      <c r="AY264" s="631" t="str">
        <f>IF(L264="","",
IF(AX264="PT",VLOOKUP(L264,Foundation_Calc!$K$4:$R$37,VLOOKUP(AW264,Foundation_Calc!$I$2:$J$8,2,FALSE),0),
IF(AX264="K",VLOOKUP(L264,Foundation_Calc!$K$41:$R$74,VLOOKUP(AW264,Foundation_Calc!$I$2:$J$8,2,FALSE),0),"")))</f>
        <v/>
      </c>
      <c r="AZ264" s="631" t="str">
        <f>IF(K264="","",
IF(AX264="PT",VLOOKUP(K264,Foundation_Calc!$K$4:$R$37,VLOOKUP(AW264,Foundation_Calc!$I$2:$J$8,2,FALSE),0),
IF(AX264="K",VLOOKUP(K264,Foundation_Calc!$K$41:$R$74,VLOOKUP(AW264,Foundation_Calc!$I$2:$J$8,2,FALSE),0),"")))</f>
        <v/>
      </c>
      <c r="BA264" s="632" t="str">
        <f t="shared" si="18"/>
        <v/>
      </c>
      <c r="BB264" s="632" t="str">
        <f t="shared" si="19"/>
        <v/>
      </c>
      <c r="BC264" s="632" t="str">
        <f t="shared" si="20"/>
        <v/>
      </c>
      <c r="BD264" s="633" t="str">
        <f>IF(AND(L264="",H264=""),"",
IF(H264="",Pole_Calc!A292,
IF(H264="MP",Pole_Calc!A293,
IF(H264="AnMP",Pole_Calc!A294,
IF(H264="A",Pole_Calc!A295,
IF(H264="S/A",Pole_Calc!A296,
IF(H264="A/S",Pole_Calc!A297,"Poner a mano")))))))</f>
        <v/>
      </c>
      <c r="BE264" s="448" t="s">
        <v>1726</v>
      </c>
      <c r="BF264" s="634"/>
      <c r="BG264" s="634"/>
      <c r="BH264" s="634"/>
      <c r="BI264" s="634"/>
    </row>
    <row r="265" spans="1:61" ht="16.2" customHeight="1">
      <c r="A265" s="12"/>
      <c r="B265" s="446"/>
      <c r="C265" s="89"/>
      <c r="D265" s="13"/>
      <c r="E265" s="14"/>
      <c r="F265" s="14"/>
      <c r="G265" s="15"/>
      <c r="H265" s="8"/>
      <c r="I265" s="8"/>
      <c r="J265" s="89"/>
      <c r="K265" s="8"/>
      <c r="L265" s="8"/>
      <c r="M265" s="8" t="str">
        <f>IF(L265="","",
IF(AX265="PT",VLOOKUP(L265,Foundation_Calc!$V$4:$X$37,VLOOKUP(AX265,Foundation_Calc!$I$10:$J$13,2,FALSE),0),
IF(AX265="K",VLOOKUP(L265,Foundation_Calc!$V$41:$X$74,VLOOKUP(AX265,Foundation_Calc!$I$10:$J$13,2,FALSE),0),"")))</f>
        <v/>
      </c>
      <c r="N265" s="8"/>
      <c r="O265" s="8"/>
      <c r="P265" s="8"/>
      <c r="Q265" s="14"/>
      <c r="R265" s="15"/>
      <c r="S265" s="15"/>
      <c r="T265" s="14"/>
      <c r="U265" s="14"/>
      <c r="V265" s="14"/>
      <c r="W265" s="18"/>
      <c r="X265" s="18"/>
      <c r="Y265" s="18"/>
      <c r="Z265" s="18"/>
      <c r="AA265" s="18"/>
      <c r="AB265" s="18"/>
      <c r="AC265" s="8" t="str">
        <f t="shared" si="17"/>
        <v/>
      </c>
      <c r="AD265" s="8"/>
      <c r="AE265" s="8"/>
      <c r="AF265" s="14"/>
      <c r="AG265" s="13"/>
      <c r="AH265" s="14"/>
      <c r="AI265" s="14"/>
      <c r="AJ265" s="8"/>
      <c r="AK265" s="8"/>
      <c r="AL265" s="8"/>
      <c r="AM265" s="8"/>
      <c r="AN265" s="631"/>
      <c r="AO265" s="18"/>
      <c r="AP265" s="18"/>
      <c r="AQ265" s="18"/>
      <c r="AR265" s="18"/>
      <c r="AS265" s="18"/>
      <c r="AU265" s="448"/>
      <c r="AV265" s="448"/>
      <c r="AW265" s="8" t="str">
        <f>IF(C265&gt;0,VLOOKUP(C265,Foundation_Calc!$A$2:$C$986,3,1),
IF(J265&gt;0,VLOOKUP(J265,Foundation_Calc!$A$2:$C$986,3,1),""))</f>
        <v/>
      </c>
      <c r="AX265" s="8" t="str">
        <f>IF(C265&gt;0,VLOOKUP(C265,Foundation_Calc!$E$2:$G$986,3,1),
IF(J265&gt;0,VLOOKUP(J265,Foundation_Calc!$E$2:$G$986,3,1),""))</f>
        <v/>
      </c>
      <c r="AY265" s="631" t="str">
        <f>IF(L265="","",
IF(AX265="PT",VLOOKUP(L265,Foundation_Calc!$K$4:$R$37,VLOOKUP(AW265,Foundation_Calc!$I$2:$J$8,2,FALSE),0),
IF(AX265="K",VLOOKUP(L265,Foundation_Calc!$K$41:$R$74,VLOOKUP(AW265,Foundation_Calc!$I$2:$J$8,2,FALSE),0),"")))</f>
        <v/>
      </c>
      <c r="AZ265" s="631" t="str">
        <f>IF(K265="","",
IF(AX265="PT",VLOOKUP(K265,Foundation_Calc!$K$4:$R$37,VLOOKUP(AW265,Foundation_Calc!$I$2:$J$8,2,FALSE),0),
IF(AX265="K",VLOOKUP(K265,Foundation_Calc!$K$41:$R$74,VLOOKUP(AW265,Foundation_Calc!$I$2:$J$8,2,FALSE),0),"")))</f>
        <v/>
      </c>
      <c r="BA265" s="632" t="str">
        <f t="shared" si="18"/>
        <v/>
      </c>
      <c r="BB265" s="632" t="str">
        <f t="shared" si="19"/>
        <v/>
      </c>
      <c r="BC265" s="632" t="str">
        <f t="shared" si="20"/>
        <v/>
      </c>
      <c r="BD265" s="633" t="str">
        <f>IF(AND(L265="",H265=""),"",
IF(H265="",Pole_Calc!A293,
IF(H265="MP",Pole_Calc!A294,
IF(H265="AnMP",Pole_Calc!A295,
IF(H265="A",Pole_Calc!A296,
IF(H265="S/A",Pole_Calc!A297,
IF(H265="A/S",Pole_Calc!A298,"Poner a mano")))))))</f>
        <v/>
      </c>
      <c r="BE265" s="448" t="s">
        <v>1726</v>
      </c>
      <c r="BF265" s="635"/>
      <c r="BG265" s="635"/>
      <c r="BH265" s="634"/>
      <c r="BI265" s="635"/>
    </row>
    <row r="266" spans="1:61" ht="16.2" customHeight="1">
      <c r="A266" s="12"/>
      <c r="B266" s="446"/>
      <c r="C266" s="89"/>
      <c r="D266" s="13"/>
      <c r="E266" s="14"/>
      <c r="F266" s="14"/>
      <c r="G266" s="15"/>
      <c r="H266" s="8"/>
      <c r="I266" s="8"/>
      <c r="J266" s="89"/>
      <c r="K266" s="8"/>
      <c r="L266" s="8"/>
      <c r="M266" s="8" t="str">
        <f>IF(L266="","",
IF(AX266="PT",VLOOKUP(L266,Foundation_Calc!$V$4:$X$37,VLOOKUP(AX266,Foundation_Calc!$I$10:$J$13,2,FALSE),0),
IF(AX266="K",VLOOKUP(L266,Foundation_Calc!$V$41:$X$74,VLOOKUP(AX266,Foundation_Calc!$I$10:$J$13,2,FALSE),0),"")))</f>
        <v/>
      </c>
      <c r="N266" s="8"/>
      <c r="O266" s="8"/>
      <c r="P266" s="8"/>
      <c r="Q266" s="14"/>
      <c r="R266" s="15"/>
      <c r="S266" s="15"/>
      <c r="T266" s="14"/>
      <c r="U266" s="14"/>
      <c r="V266" s="14"/>
      <c r="W266" s="18"/>
      <c r="X266" s="18"/>
      <c r="Y266" s="18"/>
      <c r="Z266" s="18"/>
      <c r="AA266" s="18"/>
      <c r="AB266" s="18"/>
      <c r="AC266" s="8" t="str">
        <f t="shared" si="17"/>
        <v/>
      </c>
      <c r="AD266" s="8"/>
      <c r="AE266" s="8"/>
      <c r="AF266" s="14"/>
      <c r="AG266" s="13"/>
      <c r="AH266" s="14"/>
      <c r="AI266" s="14"/>
      <c r="AJ266" s="8"/>
      <c r="AK266" s="8"/>
      <c r="AL266" s="8"/>
      <c r="AM266" s="8"/>
      <c r="AN266" s="631"/>
      <c r="AO266" s="18"/>
      <c r="AP266" s="18"/>
      <c r="AQ266" s="18"/>
      <c r="AR266" s="18"/>
      <c r="AS266" s="18"/>
      <c r="AU266" s="448"/>
      <c r="AV266" s="448"/>
      <c r="AW266" s="8" t="str">
        <f>IF(C266&gt;0,VLOOKUP(C266,Foundation_Calc!$A$2:$C$986,3,1),
IF(J266&gt;0,VLOOKUP(J266,Foundation_Calc!$A$2:$C$986,3,1),""))</f>
        <v/>
      </c>
      <c r="AX266" s="8" t="str">
        <f>IF(C266&gt;0,VLOOKUP(C266,Foundation_Calc!$E$2:$G$986,3,1),
IF(J266&gt;0,VLOOKUP(J266,Foundation_Calc!$E$2:$G$986,3,1),""))</f>
        <v/>
      </c>
      <c r="AY266" s="631" t="str">
        <f>IF(L266="","",
IF(AX266="PT",VLOOKUP(L266,Foundation_Calc!$K$4:$R$37,VLOOKUP(AW266,Foundation_Calc!$I$2:$J$8,2,FALSE),0),
IF(AX266="K",VLOOKUP(L266,Foundation_Calc!$K$41:$R$74,VLOOKUP(AW266,Foundation_Calc!$I$2:$J$8,2,FALSE),0),"")))</f>
        <v/>
      </c>
      <c r="AZ266" s="631" t="str">
        <f>IF(K266="","",
IF(AX266="PT",VLOOKUP(K266,Foundation_Calc!$K$4:$R$37,VLOOKUP(AW266,Foundation_Calc!$I$2:$J$8,2,FALSE),0),
IF(AX266="K",VLOOKUP(K266,Foundation_Calc!$K$41:$R$74,VLOOKUP(AW266,Foundation_Calc!$I$2:$J$8,2,FALSE),0),"")))</f>
        <v/>
      </c>
      <c r="BA266" s="632" t="str">
        <f t="shared" si="18"/>
        <v/>
      </c>
      <c r="BB266" s="632" t="str">
        <f t="shared" si="19"/>
        <v/>
      </c>
      <c r="BC266" s="632" t="str">
        <f t="shared" si="20"/>
        <v/>
      </c>
      <c r="BD266" s="633" t="str">
        <f>IF(AND(L266="",H266=""),"",
IF(H266="",Pole_Calc!A294,
IF(H266="MP",Pole_Calc!A295,
IF(H266="AnMP",Pole_Calc!A296,
IF(H266="A",Pole_Calc!A297,
IF(H266="S/A",Pole_Calc!A298,
IF(H266="A/S",Pole_Calc!A299,"Poner a mano")))))))</f>
        <v/>
      </c>
      <c r="BE266" s="448" t="s">
        <v>1726</v>
      </c>
      <c r="BF266" s="634"/>
      <c r="BG266" s="634"/>
      <c r="BH266" s="634"/>
      <c r="BI266" s="634"/>
    </row>
    <row r="267" spans="1:61" ht="16.2" customHeight="1">
      <c r="A267" s="12"/>
      <c r="B267" s="446"/>
      <c r="C267" s="89"/>
      <c r="D267" s="13"/>
      <c r="E267" s="14"/>
      <c r="F267" s="14"/>
      <c r="G267" s="15"/>
      <c r="H267" s="8"/>
      <c r="I267" s="8"/>
      <c r="J267" s="89"/>
      <c r="K267" s="8"/>
      <c r="L267" s="8"/>
      <c r="M267" s="8" t="str">
        <f>IF(L267="","",
IF(AX267="PT",VLOOKUP(L267,Foundation_Calc!$V$4:$X$37,VLOOKUP(AX267,Foundation_Calc!$I$10:$J$13,2,FALSE),0),
IF(AX267="K",VLOOKUP(L267,Foundation_Calc!$V$41:$X$74,VLOOKUP(AX267,Foundation_Calc!$I$10:$J$13,2,FALSE),0),"")))</f>
        <v/>
      </c>
      <c r="N267" s="8"/>
      <c r="O267" s="8"/>
      <c r="P267" s="8"/>
      <c r="Q267" s="14"/>
      <c r="R267" s="15"/>
      <c r="S267" s="15"/>
      <c r="T267" s="14"/>
      <c r="U267" s="14"/>
      <c r="V267" s="14"/>
      <c r="W267" s="18"/>
      <c r="X267" s="18"/>
      <c r="Y267" s="18"/>
      <c r="Z267" s="18"/>
      <c r="AA267" s="18"/>
      <c r="AB267" s="18"/>
      <c r="AC267" s="8" t="str">
        <f t="shared" si="17"/>
        <v/>
      </c>
      <c r="AD267" s="8"/>
      <c r="AE267" s="8"/>
      <c r="AF267" s="14"/>
      <c r="AG267" s="13"/>
      <c r="AH267" s="14"/>
      <c r="AI267" s="14"/>
      <c r="AJ267" s="8"/>
      <c r="AK267" s="8"/>
      <c r="AL267" s="8"/>
      <c r="AM267" s="8"/>
      <c r="AN267" s="631"/>
      <c r="AO267" s="18"/>
      <c r="AP267" s="18"/>
      <c r="AQ267" s="18"/>
      <c r="AR267" s="18"/>
      <c r="AS267" s="18"/>
      <c r="AU267" s="448"/>
      <c r="AV267" s="448"/>
      <c r="AW267" s="8" t="str">
        <f>IF(C267&gt;0,VLOOKUP(C267,Foundation_Calc!$A$2:$C$986,3,1),
IF(J267&gt;0,VLOOKUP(J267,Foundation_Calc!$A$2:$C$986,3,1),""))</f>
        <v/>
      </c>
      <c r="AX267" s="8" t="str">
        <f>IF(C267&gt;0,VLOOKUP(C267,Foundation_Calc!$E$2:$G$986,3,1),
IF(J267&gt;0,VLOOKUP(J267,Foundation_Calc!$E$2:$G$986,3,1),""))</f>
        <v/>
      </c>
      <c r="AY267" s="631" t="str">
        <f>IF(L267="","",
IF(AX267="PT",VLOOKUP(L267,Foundation_Calc!$K$4:$R$37,VLOOKUP(AW267,Foundation_Calc!$I$2:$J$8,2,FALSE),0),
IF(AX267="K",VLOOKUP(L267,Foundation_Calc!$K$41:$R$74,VLOOKUP(AW267,Foundation_Calc!$I$2:$J$8,2,FALSE),0),"")))</f>
        <v/>
      </c>
      <c r="AZ267" s="631" t="str">
        <f>IF(K267="","",
IF(AX267="PT",VLOOKUP(K267,Foundation_Calc!$K$4:$R$37,VLOOKUP(AW267,Foundation_Calc!$I$2:$J$8,2,FALSE),0),
IF(AX267="K",VLOOKUP(K267,Foundation_Calc!$K$41:$R$74,VLOOKUP(AW267,Foundation_Calc!$I$2:$J$8,2,FALSE),0),"")))</f>
        <v/>
      </c>
      <c r="BA267" s="632" t="str">
        <f t="shared" si="18"/>
        <v/>
      </c>
      <c r="BB267" s="632" t="str">
        <f t="shared" si="19"/>
        <v/>
      </c>
      <c r="BC267" s="632" t="str">
        <f t="shared" si="20"/>
        <v/>
      </c>
      <c r="BD267" s="633" t="str">
        <f>IF(AND(L267="",H267=""),"",
IF(H267="",Pole_Calc!A295,
IF(H267="MP",Pole_Calc!A296,
IF(H267="AnMP",Pole_Calc!A297,
IF(H267="A",Pole_Calc!A298,
IF(H267="S/A",Pole_Calc!A299,
IF(H267="A/S",Pole_Calc!A300,"Poner a mano")))))))</f>
        <v/>
      </c>
      <c r="BE267" s="448" t="s">
        <v>1726</v>
      </c>
      <c r="BF267" s="635"/>
      <c r="BG267" s="635"/>
      <c r="BH267" s="634"/>
      <c r="BI267" s="635"/>
    </row>
    <row r="268" spans="1:61" ht="16.2" customHeight="1">
      <c r="A268" s="12"/>
      <c r="B268" s="446"/>
      <c r="C268" s="89"/>
      <c r="D268" s="13"/>
      <c r="E268" s="14"/>
      <c r="F268" s="14"/>
      <c r="G268" s="15"/>
      <c r="H268" s="8"/>
      <c r="I268" s="8"/>
      <c r="J268" s="89"/>
      <c r="K268" s="8"/>
      <c r="L268" s="8"/>
      <c r="M268" s="8" t="str">
        <f>IF(L268="","",
IF(AX268="PT",VLOOKUP(L268,Foundation_Calc!$V$4:$X$37,VLOOKUP(AX268,Foundation_Calc!$I$10:$J$13,2,FALSE),0),
IF(AX268="K",VLOOKUP(L268,Foundation_Calc!$V$41:$X$74,VLOOKUP(AX268,Foundation_Calc!$I$10:$J$13,2,FALSE),0),"")))</f>
        <v/>
      </c>
      <c r="N268" s="8"/>
      <c r="O268" s="8"/>
      <c r="P268" s="8"/>
      <c r="Q268" s="14"/>
      <c r="R268" s="15"/>
      <c r="S268" s="15"/>
      <c r="T268" s="14"/>
      <c r="U268" s="14"/>
      <c r="V268" s="14"/>
      <c r="W268" s="18"/>
      <c r="X268" s="18"/>
      <c r="Y268" s="18"/>
      <c r="Z268" s="18"/>
      <c r="AA268" s="18"/>
      <c r="AB268" s="18"/>
      <c r="AC268" s="8" t="str">
        <f t="shared" si="17"/>
        <v/>
      </c>
      <c r="AD268" s="8"/>
      <c r="AE268" s="8"/>
      <c r="AF268" s="14"/>
      <c r="AG268" s="13"/>
      <c r="AH268" s="14"/>
      <c r="AI268" s="14"/>
      <c r="AJ268" s="8"/>
      <c r="AK268" s="8"/>
      <c r="AL268" s="8"/>
      <c r="AM268" s="8"/>
      <c r="AN268" s="631"/>
      <c r="AO268" s="18"/>
      <c r="AP268" s="18"/>
      <c r="AQ268" s="18"/>
      <c r="AR268" s="18"/>
      <c r="AS268" s="18"/>
      <c r="AU268" s="448"/>
      <c r="AV268" s="448"/>
      <c r="AW268" s="8" t="str">
        <f>IF(C268&gt;0,VLOOKUP(C268,Foundation_Calc!$A$2:$C$986,3,1),
IF(J268&gt;0,VLOOKUP(J268,Foundation_Calc!$A$2:$C$986,3,1),""))</f>
        <v/>
      </c>
      <c r="AX268" s="8" t="str">
        <f>IF(C268&gt;0,VLOOKUP(C268,Foundation_Calc!$E$2:$G$986,3,1),
IF(J268&gt;0,VLOOKUP(J268,Foundation_Calc!$E$2:$G$986,3,1),""))</f>
        <v/>
      </c>
      <c r="AY268" s="631" t="str">
        <f>IF(L268="","",
IF(AX268="PT",VLOOKUP(L268,Foundation_Calc!$K$4:$R$37,VLOOKUP(AW268,Foundation_Calc!$I$2:$J$8,2,FALSE),0),
IF(AX268="K",VLOOKUP(L268,Foundation_Calc!$K$41:$R$74,VLOOKUP(AW268,Foundation_Calc!$I$2:$J$8,2,FALSE),0),"")))</f>
        <v/>
      </c>
      <c r="AZ268" s="631" t="str">
        <f>IF(K268="","",
IF(AX268="PT",VLOOKUP(K268,Foundation_Calc!$K$4:$R$37,VLOOKUP(AW268,Foundation_Calc!$I$2:$J$8,2,FALSE),0),
IF(AX268="K",VLOOKUP(K268,Foundation_Calc!$K$41:$R$74,VLOOKUP(AW268,Foundation_Calc!$I$2:$J$8,2,FALSE),0),"")))</f>
        <v/>
      </c>
      <c r="BA268" s="632" t="str">
        <f t="shared" si="18"/>
        <v/>
      </c>
      <c r="BB268" s="632" t="str">
        <f t="shared" si="19"/>
        <v/>
      </c>
      <c r="BC268" s="632" t="str">
        <f t="shared" si="20"/>
        <v/>
      </c>
      <c r="BD268" s="633" t="str">
        <f>IF(AND(L268="",H268=""),"",
IF(H268="",Pole_Calc!A296,
IF(H268="MP",Pole_Calc!A297,
IF(H268="AnMP",Pole_Calc!A298,
IF(H268="A",Pole_Calc!A299,
IF(H268="S/A",Pole_Calc!A300,
IF(H268="A/S",Pole_Calc!A301,"Poner a mano")))))))</f>
        <v/>
      </c>
      <c r="BE268" s="448" t="s">
        <v>1726</v>
      </c>
      <c r="BF268" s="634"/>
      <c r="BG268" s="634"/>
      <c r="BH268" s="634"/>
      <c r="BI268" s="634"/>
    </row>
    <row r="269" spans="1:61" ht="16.2" customHeight="1">
      <c r="A269" s="12"/>
      <c r="B269" s="446"/>
      <c r="C269" s="89"/>
      <c r="D269" s="13"/>
      <c r="E269" s="14"/>
      <c r="F269" s="14"/>
      <c r="G269" s="15"/>
      <c r="H269" s="8"/>
      <c r="I269" s="8"/>
      <c r="J269" s="89"/>
      <c r="K269" s="8"/>
      <c r="L269" s="8"/>
      <c r="M269" s="8" t="str">
        <f>IF(L269="","",
IF(AX269="PT",VLOOKUP(L269,Foundation_Calc!$V$4:$X$37,VLOOKUP(AX269,Foundation_Calc!$I$10:$J$13,2,FALSE),0),
IF(AX269="K",VLOOKUP(L269,Foundation_Calc!$V$41:$X$74,VLOOKUP(AX269,Foundation_Calc!$I$10:$J$13,2,FALSE),0),"")))</f>
        <v/>
      </c>
      <c r="N269" s="8"/>
      <c r="O269" s="8"/>
      <c r="P269" s="8"/>
      <c r="Q269" s="14"/>
      <c r="R269" s="15"/>
      <c r="S269" s="15"/>
      <c r="T269" s="14"/>
      <c r="U269" s="14"/>
      <c r="V269" s="14"/>
      <c r="W269" s="18"/>
      <c r="X269" s="18"/>
      <c r="Y269" s="18"/>
      <c r="Z269" s="18"/>
      <c r="AA269" s="18"/>
      <c r="AB269" s="18"/>
      <c r="AC269" s="8" t="str">
        <f t="shared" si="17"/>
        <v/>
      </c>
      <c r="AD269" s="8"/>
      <c r="AE269" s="8"/>
      <c r="AF269" s="14"/>
      <c r="AG269" s="13"/>
      <c r="AH269" s="14"/>
      <c r="AI269" s="14"/>
      <c r="AJ269" s="8"/>
      <c r="AK269" s="8"/>
      <c r="AL269" s="8"/>
      <c r="AM269" s="8"/>
      <c r="AN269" s="631"/>
      <c r="AO269" s="18"/>
      <c r="AP269" s="18"/>
      <c r="AQ269" s="18"/>
      <c r="AR269" s="18"/>
      <c r="AS269" s="18"/>
      <c r="AU269" s="448"/>
      <c r="AV269" s="448"/>
      <c r="AW269" s="8" t="str">
        <f>IF(C269&gt;0,VLOOKUP(C269,Foundation_Calc!$A$2:$C$986,3,1),
IF(J269&gt;0,VLOOKUP(J269,Foundation_Calc!$A$2:$C$986,3,1),""))</f>
        <v/>
      </c>
      <c r="AX269" s="8" t="str">
        <f>IF(C269&gt;0,VLOOKUP(C269,Foundation_Calc!$E$2:$G$986,3,1),
IF(J269&gt;0,VLOOKUP(J269,Foundation_Calc!$E$2:$G$986,3,1),""))</f>
        <v/>
      </c>
      <c r="AY269" s="631" t="str">
        <f>IF(L269="","",
IF(AX269="PT",VLOOKUP(L269,Foundation_Calc!$K$4:$R$37,VLOOKUP(AW269,Foundation_Calc!$I$2:$J$8,2,FALSE),0),
IF(AX269="K",VLOOKUP(L269,Foundation_Calc!$K$41:$R$74,VLOOKUP(AW269,Foundation_Calc!$I$2:$J$8,2,FALSE),0),"")))</f>
        <v/>
      </c>
      <c r="AZ269" s="631" t="str">
        <f>IF(K269="","",
IF(AX269="PT",VLOOKUP(K269,Foundation_Calc!$K$4:$R$37,VLOOKUP(AW269,Foundation_Calc!$I$2:$J$8,2,FALSE),0),
IF(AX269="K",VLOOKUP(K269,Foundation_Calc!$K$41:$R$74,VLOOKUP(AW269,Foundation_Calc!$I$2:$J$8,2,FALSE),0),"")))</f>
        <v/>
      </c>
      <c r="BA269" s="632" t="str">
        <f t="shared" si="18"/>
        <v/>
      </c>
      <c r="BB269" s="632" t="str">
        <f t="shared" si="19"/>
        <v/>
      </c>
      <c r="BC269" s="632" t="str">
        <f t="shared" si="20"/>
        <v/>
      </c>
      <c r="BD269" s="633" t="str">
        <f>IF(AND(L269="",H269=""),"",
IF(H269="",Pole_Calc!A297,
IF(H269="MP",Pole_Calc!A298,
IF(H269="AnMP",Pole_Calc!A299,
IF(H269="A",Pole_Calc!A300,
IF(H269="S/A",Pole_Calc!A301,
IF(H269="A/S",Pole_Calc!A302,"Poner a mano")))))))</f>
        <v/>
      </c>
      <c r="BE269" s="448" t="s">
        <v>1726</v>
      </c>
      <c r="BF269" s="635"/>
      <c r="BG269" s="635"/>
      <c r="BH269" s="634"/>
      <c r="BI269" s="635"/>
    </row>
    <row r="270" spans="1:61" ht="16.2" customHeight="1">
      <c r="A270" s="12"/>
      <c r="B270" s="446"/>
      <c r="C270" s="89"/>
      <c r="D270" s="13"/>
      <c r="E270" s="14"/>
      <c r="F270" s="14"/>
      <c r="G270" s="15"/>
      <c r="H270" s="8"/>
      <c r="I270" s="8"/>
      <c r="J270" s="89"/>
      <c r="K270" s="8"/>
      <c r="L270" s="8"/>
      <c r="M270" s="8" t="str">
        <f>IF(L270="","",
IF(AX270="PT",VLOOKUP(L270,Foundation_Calc!$V$4:$X$37,VLOOKUP(AX270,Foundation_Calc!$I$10:$J$13,2,FALSE),0),
IF(AX270="K",VLOOKUP(L270,Foundation_Calc!$V$41:$X$74,VLOOKUP(AX270,Foundation_Calc!$I$10:$J$13,2,FALSE),0),"")))</f>
        <v/>
      </c>
      <c r="N270" s="8"/>
      <c r="O270" s="8"/>
      <c r="P270" s="8"/>
      <c r="Q270" s="14"/>
      <c r="R270" s="15"/>
      <c r="S270" s="15"/>
      <c r="T270" s="14"/>
      <c r="U270" s="14"/>
      <c r="V270" s="14"/>
      <c r="W270" s="18"/>
      <c r="X270" s="18"/>
      <c r="Y270" s="18"/>
      <c r="Z270" s="18"/>
      <c r="AA270" s="18"/>
      <c r="AB270" s="18"/>
      <c r="AC270" s="8" t="str">
        <f t="shared" si="17"/>
        <v/>
      </c>
      <c r="AD270" s="8"/>
      <c r="AE270" s="8"/>
      <c r="AF270" s="14"/>
      <c r="AG270" s="13"/>
      <c r="AH270" s="14"/>
      <c r="AI270" s="14"/>
      <c r="AJ270" s="8"/>
      <c r="AK270" s="8"/>
      <c r="AL270" s="8"/>
      <c r="AM270" s="8"/>
      <c r="AN270" s="631"/>
      <c r="AO270" s="18"/>
      <c r="AP270" s="18"/>
      <c r="AQ270" s="18"/>
      <c r="AR270" s="18"/>
      <c r="AS270" s="18"/>
      <c r="AU270" s="448"/>
      <c r="AV270" s="448"/>
      <c r="AW270" s="8" t="str">
        <f>IF(C270&gt;0,VLOOKUP(C270,Foundation_Calc!$A$2:$C$986,3,1),
IF(J270&gt;0,VLOOKUP(J270,Foundation_Calc!$A$2:$C$986,3,1),""))</f>
        <v/>
      </c>
      <c r="AX270" s="8" t="str">
        <f>IF(C270&gt;0,VLOOKUP(C270,Foundation_Calc!$E$2:$G$986,3,1),
IF(J270&gt;0,VLOOKUP(J270,Foundation_Calc!$E$2:$G$986,3,1),""))</f>
        <v/>
      </c>
      <c r="AY270" s="631" t="str">
        <f>IF(L270="","",
IF(AX270="PT",VLOOKUP(L270,Foundation_Calc!$K$4:$R$37,VLOOKUP(AW270,Foundation_Calc!$I$2:$J$8,2,FALSE),0),
IF(AX270="K",VLOOKUP(L270,Foundation_Calc!$K$41:$R$74,VLOOKUP(AW270,Foundation_Calc!$I$2:$J$8,2,FALSE),0),"")))</f>
        <v/>
      </c>
      <c r="AZ270" s="631" t="str">
        <f>IF(K270="","",
IF(AX270="PT",VLOOKUP(K270,Foundation_Calc!$K$4:$R$37,VLOOKUP(AW270,Foundation_Calc!$I$2:$J$8,2,FALSE),0),
IF(AX270="K",VLOOKUP(K270,Foundation_Calc!$K$41:$R$74,VLOOKUP(AW270,Foundation_Calc!$I$2:$J$8,2,FALSE),0),"")))</f>
        <v/>
      </c>
      <c r="BA270" s="632" t="str">
        <f t="shared" si="18"/>
        <v/>
      </c>
      <c r="BB270" s="632" t="str">
        <f t="shared" si="19"/>
        <v/>
      </c>
      <c r="BC270" s="632" t="str">
        <f t="shared" si="20"/>
        <v/>
      </c>
      <c r="BD270" s="633" t="str">
        <f>IF(AND(L270="",H270=""),"",
IF(H270="",Pole_Calc!A298,
IF(H270="MP",Pole_Calc!A299,
IF(H270="AnMP",Pole_Calc!A300,
IF(H270="A",Pole_Calc!A301,
IF(H270="S/A",Pole_Calc!A302,
IF(H270="A/S",Pole_Calc!A303,"Poner a mano")))))))</f>
        <v/>
      </c>
      <c r="BE270" s="448" t="s">
        <v>1726</v>
      </c>
      <c r="BF270" s="634"/>
      <c r="BG270" s="634"/>
      <c r="BH270" s="634"/>
      <c r="BI270" s="634"/>
    </row>
    <row r="271" spans="1:61" ht="16.2" customHeight="1">
      <c r="A271" s="12"/>
      <c r="B271" s="446"/>
      <c r="C271" s="89"/>
      <c r="D271" s="13"/>
      <c r="E271" s="14"/>
      <c r="F271" s="14"/>
      <c r="G271" s="15"/>
      <c r="H271" s="8"/>
      <c r="I271" s="8"/>
      <c r="J271" s="89"/>
      <c r="K271" s="8"/>
      <c r="L271" s="8"/>
      <c r="M271" s="8" t="str">
        <f>IF(L271="","",
IF(AX271="PT",VLOOKUP(L271,Foundation_Calc!$V$4:$X$37,VLOOKUP(AX271,Foundation_Calc!$I$10:$J$13,2,FALSE),0),
IF(AX271="K",VLOOKUP(L271,Foundation_Calc!$V$41:$X$74,VLOOKUP(AX271,Foundation_Calc!$I$10:$J$13,2,FALSE),0),"")))</f>
        <v/>
      </c>
      <c r="N271" s="8"/>
      <c r="O271" s="8"/>
      <c r="P271" s="8"/>
      <c r="Q271" s="14"/>
      <c r="R271" s="15"/>
      <c r="S271" s="15"/>
      <c r="T271" s="14"/>
      <c r="U271" s="14"/>
      <c r="V271" s="14"/>
      <c r="W271" s="18"/>
      <c r="X271" s="18"/>
      <c r="Y271" s="18"/>
      <c r="Z271" s="18"/>
      <c r="AA271" s="18"/>
      <c r="AB271" s="18"/>
      <c r="AC271" s="8" t="str">
        <f t="shared" si="17"/>
        <v/>
      </c>
      <c r="AD271" s="8"/>
      <c r="AE271" s="8"/>
      <c r="AF271" s="14"/>
      <c r="AG271" s="13"/>
      <c r="AH271" s="14"/>
      <c r="AI271" s="14"/>
      <c r="AJ271" s="8"/>
      <c r="AK271" s="8"/>
      <c r="AL271" s="8"/>
      <c r="AM271" s="8"/>
      <c r="AN271" s="631"/>
      <c r="AO271" s="18"/>
      <c r="AP271" s="18"/>
      <c r="AQ271" s="18"/>
      <c r="AR271" s="18"/>
      <c r="AS271" s="18"/>
      <c r="AU271" s="448"/>
      <c r="AV271" s="448"/>
      <c r="AW271" s="8" t="str">
        <f>IF(C271&gt;0,VLOOKUP(C271,Foundation_Calc!$A$2:$C$986,3,1),
IF(J271&gt;0,VLOOKUP(J271,Foundation_Calc!$A$2:$C$986,3,1),""))</f>
        <v/>
      </c>
      <c r="AX271" s="8" t="str">
        <f>IF(C271&gt;0,VLOOKUP(C271,Foundation_Calc!$E$2:$G$986,3,1),
IF(J271&gt;0,VLOOKUP(J271,Foundation_Calc!$E$2:$G$986,3,1),""))</f>
        <v/>
      </c>
      <c r="AY271" s="631" t="str">
        <f>IF(L271="","",
IF(AX271="PT",VLOOKUP(L271,Foundation_Calc!$K$4:$R$37,VLOOKUP(AW271,Foundation_Calc!$I$2:$J$8,2,FALSE),0),
IF(AX271="K",VLOOKUP(L271,Foundation_Calc!$K$41:$R$74,VLOOKUP(AW271,Foundation_Calc!$I$2:$J$8,2,FALSE),0),"")))</f>
        <v/>
      </c>
      <c r="AZ271" s="631" t="str">
        <f>IF(K271="","",
IF(AX271="PT",VLOOKUP(K271,Foundation_Calc!$K$4:$R$37,VLOOKUP(AW271,Foundation_Calc!$I$2:$J$8,2,FALSE),0),
IF(AX271="K",VLOOKUP(K271,Foundation_Calc!$K$41:$R$74,VLOOKUP(AW271,Foundation_Calc!$I$2:$J$8,2,FALSE),0),"")))</f>
        <v/>
      </c>
      <c r="BA271" s="632" t="str">
        <f t="shared" si="18"/>
        <v/>
      </c>
      <c r="BB271" s="632" t="str">
        <f t="shared" si="19"/>
        <v/>
      </c>
      <c r="BC271" s="632" t="str">
        <f t="shared" si="20"/>
        <v/>
      </c>
      <c r="BD271" s="633" t="str">
        <f>IF(AND(L271="",H271=""),"",
IF(H271="",Pole_Calc!A299,
IF(H271="MP",Pole_Calc!A300,
IF(H271="AnMP",Pole_Calc!A301,
IF(H271="A",Pole_Calc!A302,
IF(H271="S/A",Pole_Calc!A303,
IF(H271="A/S",Pole_Calc!A304,"Poner a mano")))))))</f>
        <v/>
      </c>
      <c r="BE271" s="448" t="s">
        <v>1726</v>
      </c>
      <c r="BF271" s="635"/>
      <c r="BG271" s="635"/>
      <c r="BH271" s="634"/>
      <c r="BI271" s="635"/>
    </row>
    <row r="272" spans="1:61" ht="16.2" customHeight="1">
      <c r="A272" s="12"/>
      <c r="B272" s="446"/>
      <c r="C272" s="89"/>
      <c r="D272" s="13"/>
      <c r="E272" s="14"/>
      <c r="F272" s="14"/>
      <c r="G272" s="15"/>
      <c r="H272" s="8"/>
      <c r="I272" s="8"/>
      <c r="J272" s="89"/>
      <c r="K272" s="8"/>
      <c r="L272" s="8"/>
      <c r="M272" s="8" t="str">
        <f>IF(L272="","",
IF(AX272="PT",VLOOKUP(L272,Foundation_Calc!$V$4:$X$37,VLOOKUP(AX272,Foundation_Calc!$I$10:$J$13,2,FALSE),0),
IF(AX272="K",VLOOKUP(L272,Foundation_Calc!$V$41:$X$74,VLOOKUP(AX272,Foundation_Calc!$I$10:$J$13,2,FALSE),0),"")))</f>
        <v/>
      </c>
      <c r="N272" s="8"/>
      <c r="O272" s="8"/>
      <c r="P272" s="8"/>
      <c r="Q272" s="14"/>
      <c r="R272" s="15"/>
      <c r="S272" s="15"/>
      <c r="T272" s="14"/>
      <c r="U272" s="14"/>
      <c r="V272" s="14"/>
      <c r="W272" s="18"/>
      <c r="X272" s="18"/>
      <c r="Y272" s="18"/>
      <c r="Z272" s="18"/>
      <c r="AA272" s="18"/>
      <c r="AB272" s="18"/>
      <c r="AC272" s="8" t="str">
        <f t="shared" si="17"/>
        <v/>
      </c>
      <c r="AD272" s="8"/>
      <c r="AE272" s="8"/>
      <c r="AF272" s="14"/>
      <c r="AG272" s="13"/>
      <c r="AH272" s="14"/>
      <c r="AI272" s="14"/>
      <c r="AJ272" s="8"/>
      <c r="AK272" s="8"/>
      <c r="AL272" s="8"/>
      <c r="AM272" s="8"/>
      <c r="AN272" s="631"/>
      <c r="AO272" s="18"/>
      <c r="AP272" s="18"/>
      <c r="AQ272" s="18"/>
      <c r="AR272" s="18"/>
      <c r="AS272" s="18"/>
      <c r="AU272" s="448"/>
      <c r="AV272" s="448"/>
      <c r="AW272" s="8" t="str">
        <f>IF(C272&gt;0,VLOOKUP(C272,Foundation_Calc!$A$2:$C$986,3,1),
IF(J272&gt;0,VLOOKUP(J272,Foundation_Calc!$A$2:$C$986,3,1),""))</f>
        <v/>
      </c>
      <c r="AX272" s="8" t="str">
        <f>IF(C272&gt;0,VLOOKUP(C272,Foundation_Calc!$E$2:$G$986,3,1),
IF(J272&gt;0,VLOOKUP(J272,Foundation_Calc!$E$2:$G$986,3,1),""))</f>
        <v/>
      </c>
      <c r="AY272" s="631" t="str">
        <f>IF(L272="","",
IF(AX272="PT",VLOOKUP(L272,Foundation_Calc!$K$4:$R$37,VLOOKUP(AW272,Foundation_Calc!$I$2:$J$8,2,FALSE),0),
IF(AX272="K",VLOOKUP(L272,Foundation_Calc!$K$41:$R$74,VLOOKUP(AW272,Foundation_Calc!$I$2:$J$8,2,FALSE),0),"")))</f>
        <v/>
      </c>
      <c r="AZ272" s="631" t="str">
        <f>IF(K272="","",
IF(AX272="PT",VLOOKUP(K272,Foundation_Calc!$K$4:$R$37,VLOOKUP(AW272,Foundation_Calc!$I$2:$J$8,2,FALSE),0),
IF(AX272="K",VLOOKUP(K272,Foundation_Calc!$K$41:$R$74,VLOOKUP(AW272,Foundation_Calc!$I$2:$J$8,2,FALSE),0),"")))</f>
        <v/>
      </c>
      <c r="BA272" s="632" t="str">
        <f t="shared" si="18"/>
        <v/>
      </c>
      <c r="BB272" s="632" t="str">
        <f t="shared" si="19"/>
        <v/>
      </c>
      <c r="BC272" s="632" t="str">
        <f t="shared" si="20"/>
        <v/>
      </c>
      <c r="BD272" s="633" t="str">
        <f>IF(AND(L272="",H272=""),"",
IF(H272="",Pole_Calc!A300,
IF(H272="MP",Pole_Calc!A301,
IF(H272="AnMP",Pole_Calc!A302,
IF(H272="A",Pole_Calc!A303,
IF(H272="S/A",Pole_Calc!A304,
IF(H272="A/S",Pole_Calc!A305,"Poner a mano")))))))</f>
        <v/>
      </c>
      <c r="BE272" s="448" t="s">
        <v>1726</v>
      </c>
      <c r="BF272" s="634"/>
      <c r="BG272" s="634"/>
      <c r="BH272" s="634"/>
      <c r="BI272" s="634"/>
    </row>
    <row r="273" spans="1:61" ht="16.2" customHeight="1">
      <c r="A273" s="12"/>
      <c r="B273" s="446"/>
      <c r="C273" s="89"/>
      <c r="D273" s="13"/>
      <c r="E273" s="14"/>
      <c r="F273" s="14"/>
      <c r="G273" s="15"/>
      <c r="H273" s="8"/>
      <c r="I273" s="8"/>
      <c r="J273" s="89"/>
      <c r="K273" s="8"/>
      <c r="L273" s="8"/>
      <c r="M273" s="8" t="str">
        <f>IF(L273="","",
IF(AX273="PT",VLOOKUP(L273,Foundation_Calc!$V$4:$X$37,VLOOKUP(AX273,Foundation_Calc!$I$10:$J$13,2,FALSE),0),
IF(AX273="K",VLOOKUP(L273,Foundation_Calc!$V$41:$X$74,VLOOKUP(AX273,Foundation_Calc!$I$10:$J$13,2,FALSE),0),"")))</f>
        <v/>
      </c>
      <c r="N273" s="8"/>
      <c r="O273" s="8"/>
      <c r="P273" s="8"/>
      <c r="Q273" s="14"/>
      <c r="R273" s="15"/>
      <c r="S273" s="15"/>
      <c r="T273" s="14"/>
      <c r="U273" s="14"/>
      <c r="V273" s="14"/>
      <c r="W273" s="18"/>
      <c r="X273" s="18"/>
      <c r="Y273" s="18"/>
      <c r="Z273" s="18"/>
      <c r="AA273" s="18"/>
      <c r="AB273" s="18"/>
      <c r="AC273" s="8" t="str">
        <f t="shared" si="17"/>
        <v/>
      </c>
      <c r="AD273" s="8"/>
      <c r="AE273" s="8"/>
      <c r="AF273" s="14"/>
      <c r="AG273" s="13"/>
      <c r="AH273" s="14"/>
      <c r="AI273" s="14"/>
      <c r="AJ273" s="8"/>
      <c r="AK273" s="8"/>
      <c r="AL273" s="8"/>
      <c r="AM273" s="8"/>
      <c r="AN273" s="631"/>
      <c r="AO273" s="18"/>
      <c r="AP273" s="18"/>
      <c r="AQ273" s="18"/>
      <c r="AR273" s="18"/>
      <c r="AS273" s="18"/>
      <c r="AU273" s="448"/>
      <c r="AV273" s="448"/>
      <c r="AW273" s="8" t="str">
        <f>IF(C273&gt;0,VLOOKUP(C273,Foundation_Calc!$A$2:$C$986,3,1),
IF(J273&gt;0,VLOOKUP(J273,Foundation_Calc!$A$2:$C$986,3,1),""))</f>
        <v/>
      </c>
      <c r="AX273" s="8" t="str">
        <f>IF(C273&gt;0,VLOOKUP(C273,Foundation_Calc!$E$2:$G$986,3,1),
IF(J273&gt;0,VLOOKUP(J273,Foundation_Calc!$E$2:$G$986,3,1),""))</f>
        <v/>
      </c>
      <c r="AY273" s="631" t="str">
        <f>IF(L273="","",
IF(AX273="PT",VLOOKUP(L273,Foundation_Calc!$K$4:$R$37,VLOOKUP(AW273,Foundation_Calc!$I$2:$J$8,2,FALSE),0),
IF(AX273="K",VLOOKUP(L273,Foundation_Calc!$K$41:$R$74,VLOOKUP(AW273,Foundation_Calc!$I$2:$J$8,2,FALSE),0),"")))</f>
        <v/>
      </c>
      <c r="AZ273" s="631" t="str">
        <f>IF(K273="","",
IF(AX273="PT",VLOOKUP(K273,Foundation_Calc!$K$4:$R$37,VLOOKUP(AW273,Foundation_Calc!$I$2:$J$8,2,FALSE),0),
IF(AX273="K",VLOOKUP(K273,Foundation_Calc!$K$41:$R$74,VLOOKUP(AW273,Foundation_Calc!$I$2:$J$8,2,FALSE),0),"")))</f>
        <v/>
      </c>
      <c r="BA273" s="632" t="str">
        <f t="shared" si="18"/>
        <v/>
      </c>
      <c r="BB273" s="632" t="str">
        <f t="shared" si="19"/>
        <v/>
      </c>
      <c r="BC273" s="632" t="str">
        <f t="shared" si="20"/>
        <v/>
      </c>
      <c r="BD273" s="633" t="str">
        <f>IF(AND(L273="",H273=""),"",
IF(H273="",Pole_Calc!A301,
IF(H273="MP",Pole_Calc!A302,
IF(H273="AnMP",Pole_Calc!A303,
IF(H273="A",Pole_Calc!A304,
IF(H273="S/A",Pole_Calc!A305,
IF(H273="A/S",Pole_Calc!A306,"Poner a mano")))))))</f>
        <v/>
      </c>
      <c r="BE273" s="448" t="s">
        <v>1726</v>
      </c>
      <c r="BF273" s="635"/>
      <c r="BG273" s="635"/>
      <c r="BH273" s="634"/>
      <c r="BI273" s="635"/>
    </row>
    <row r="274" spans="1:61" ht="16.2" customHeight="1">
      <c r="A274" s="12"/>
      <c r="B274" s="446"/>
      <c r="C274" s="89"/>
      <c r="D274" s="13"/>
      <c r="E274" s="14"/>
      <c r="F274" s="14"/>
      <c r="G274" s="15"/>
      <c r="H274" s="8"/>
      <c r="I274" s="8"/>
      <c r="J274" s="89"/>
      <c r="K274" s="8"/>
      <c r="L274" s="8"/>
      <c r="M274" s="8" t="str">
        <f>IF(L274="","",
IF(AX274="PT",VLOOKUP(L274,Foundation_Calc!$V$4:$X$37,VLOOKUP(AX274,Foundation_Calc!$I$10:$J$13,2,FALSE),0),
IF(AX274="K",VLOOKUP(L274,Foundation_Calc!$V$41:$X$74,VLOOKUP(AX274,Foundation_Calc!$I$10:$J$13,2,FALSE),0),"")))</f>
        <v/>
      </c>
      <c r="N274" s="8"/>
      <c r="O274" s="8"/>
      <c r="P274" s="8"/>
      <c r="Q274" s="14"/>
      <c r="R274" s="15"/>
      <c r="S274" s="15"/>
      <c r="T274" s="14"/>
      <c r="U274" s="14"/>
      <c r="V274" s="14"/>
      <c r="W274" s="18"/>
      <c r="X274" s="18"/>
      <c r="Y274" s="18"/>
      <c r="Z274" s="18"/>
      <c r="AA274" s="18"/>
      <c r="AB274" s="18"/>
      <c r="AC274" s="8" t="str">
        <f t="shared" si="17"/>
        <v/>
      </c>
      <c r="AD274" s="8"/>
      <c r="AE274" s="8"/>
      <c r="AF274" s="14"/>
      <c r="AG274" s="13"/>
      <c r="AH274" s="14"/>
      <c r="AI274" s="14"/>
      <c r="AJ274" s="8"/>
      <c r="AK274" s="8"/>
      <c r="AL274" s="8"/>
      <c r="AM274" s="8"/>
      <c r="AN274" s="631"/>
      <c r="AO274" s="18"/>
      <c r="AP274" s="18"/>
      <c r="AQ274" s="18"/>
      <c r="AR274" s="18"/>
      <c r="AS274" s="18"/>
      <c r="AU274" s="448"/>
      <c r="AV274" s="448"/>
      <c r="AW274" s="8" t="str">
        <f>IF(C274&gt;0,VLOOKUP(C274,Foundation_Calc!$A$2:$C$986,3,1),
IF(J274&gt;0,VLOOKUP(J274,Foundation_Calc!$A$2:$C$986,3,1),""))</f>
        <v/>
      </c>
      <c r="AX274" s="8" t="str">
        <f>IF(C274&gt;0,VLOOKUP(C274,Foundation_Calc!$E$2:$G$986,3,1),
IF(J274&gt;0,VLOOKUP(J274,Foundation_Calc!$E$2:$G$986,3,1),""))</f>
        <v/>
      </c>
      <c r="AY274" s="631" t="str">
        <f>IF(L274="","",
IF(AX274="PT",VLOOKUP(L274,Foundation_Calc!$K$4:$R$37,VLOOKUP(AW274,Foundation_Calc!$I$2:$J$8,2,FALSE),0),
IF(AX274="K",VLOOKUP(L274,Foundation_Calc!$K$41:$R$74,VLOOKUP(AW274,Foundation_Calc!$I$2:$J$8,2,FALSE),0),"")))</f>
        <v/>
      </c>
      <c r="AZ274" s="631" t="str">
        <f>IF(K274="","",
IF(AX274="PT",VLOOKUP(K274,Foundation_Calc!$K$4:$R$37,VLOOKUP(AW274,Foundation_Calc!$I$2:$J$8,2,FALSE),0),
IF(AX274="K",VLOOKUP(K274,Foundation_Calc!$K$41:$R$74,VLOOKUP(AW274,Foundation_Calc!$I$2:$J$8,2,FALSE),0),"")))</f>
        <v/>
      </c>
      <c r="BA274" s="632" t="str">
        <f t="shared" si="18"/>
        <v/>
      </c>
      <c r="BB274" s="632" t="str">
        <f t="shared" si="19"/>
        <v/>
      </c>
      <c r="BC274" s="632" t="str">
        <f t="shared" si="20"/>
        <v/>
      </c>
      <c r="BD274" s="633" t="str">
        <f>IF(AND(L274="",H274=""),"",
IF(H274="",Pole_Calc!A302,
IF(H274="MP",Pole_Calc!A303,
IF(H274="AnMP",Pole_Calc!A304,
IF(H274="A",Pole_Calc!A305,
IF(H274="S/A",Pole_Calc!A306,
IF(H274="A/S",Pole_Calc!A307,"Poner a mano")))))))</f>
        <v/>
      </c>
      <c r="BE274" s="448" t="s">
        <v>1726</v>
      </c>
      <c r="BF274" s="634"/>
      <c r="BG274" s="634"/>
      <c r="BH274" s="634"/>
      <c r="BI274" s="634"/>
    </row>
    <row r="275" spans="1:61" ht="16.2" customHeight="1">
      <c r="A275" s="12"/>
      <c r="B275" s="446"/>
      <c r="C275" s="89"/>
      <c r="D275" s="13"/>
      <c r="E275" s="14"/>
      <c r="F275" s="14"/>
      <c r="G275" s="15"/>
      <c r="H275" s="8"/>
      <c r="I275" s="8"/>
      <c r="J275" s="89"/>
      <c r="K275" s="8"/>
      <c r="L275" s="8"/>
      <c r="M275" s="8" t="str">
        <f>IF(L275="","",
IF(AX275="PT",VLOOKUP(L275,Foundation_Calc!$V$4:$X$37,VLOOKUP(AX275,Foundation_Calc!$I$10:$J$13,2,FALSE),0),
IF(AX275="K",VLOOKUP(L275,Foundation_Calc!$V$41:$X$74,VLOOKUP(AX275,Foundation_Calc!$I$10:$J$13,2,FALSE),0),"")))</f>
        <v/>
      </c>
      <c r="N275" s="8"/>
      <c r="O275" s="8"/>
      <c r="P275" s="8"/>
      <c r="Q275" s="14"/>
      <c r="R275" s="15"/>
      <c r="S275" s="15"/>
      <c r="T275" s="14"/>
      <c r="U275" s="14"/>
      <c r="V275" s="14"/>
      <c r="W275" s="18"/>
      <c r="X275" s="18"/>
      <c r="Y275" s="18"/>
      <c r="Z275" s="18"/>
      <c r="AA275" s="18"/>
      <c r="AB275" s="18"/>
      <c r="AC275" s="8" t="str">
        <f t="shared" si="17"/>
        <v/>
      </c>
      <c r="AD275" s="8"/>
      <c r="AE275" s="8"/>
      <c r="AF275" s="14"/>
      <c r="AG275" s="13"/>
      <c r="AH275" s="14"/>
      <c r="AI275" s="14"/>
      <c r="AJ275" s="8"/>
      <c r="AK275" s="8"/>
      <c r="AL275" s="8"/>
      <c r="AM275" s="8"/>
      <c r="AN275" s="631"/>
      <c r="AO275" s="18"/>
      <c r="AP275" s="18"/>
      <c r="AQ275" s="18"/>
      <c r="AR275" s="18"/>
      <c r="AS275" s="18"/>
      <c r="AU275" s="448"/>
      <c r="AV275" s="448"/>
      <c r="AW275" s="8" t="str">
        <f>IF(C275&gt;0,VLOOKUP(C275,Foundation_Calc!$A$2:$C$986,3,1),
IF(J275&gt;0,VLOOKUP(J275,Foundation_Calc!$A$2:$C$986,3,1),""))</f>
        <v/>
      </c>
      <c r="AX275" s="8" t="str">
        <f>IF(C275&gt;0,VLOOKUP(C275,Foundation_Calc!$E$2:$G$986,3,1),
IF(J275&gt;0,VLOOKUP(J275,Foundation_Calc!$E$2:$G$986,3,1),""))</f>
        <v/>
      </c>
      <c r="AY275" s="631" t="str">
        <f>IF(L275="","",
IF(AX275="PT",VLOOKUP(L275,Foundation_Calc!$K$4:$R$37,VLOOKUP(AW275,Foundation_Calc!$I$2:$J$8,2,FALSE),0),
IF(AX275="K",VLOOKUP(L275,Foundation_Calc!$K$41:$R$74,VLOOKUP(AW275,Foundation_Calc!$I$2:$J$8,2,FALSE),0),"")))</f>
        <v/>
      </c>
      <c r="AZ275" s="631" t="str">
        <f>IF(K275="","",
IF(AX275="PT",VLOOKUP(K275,Foundation_Calc!$K$4:$R$37,VLOOKUP(AW275,Foundation_Calc!$I$2:$J$8,2,FALSE),0),
IF(AX275="K",VLOOKUP(K275,Foundation_Calc!$K$41:$R$74,VLOOKUP(AW275,Foundation_Calc!$I$2:$J$8,2,FALSE),0),"")))</f>
        <v/>
      </c>
      <c r="BA275" s="632" t="str">
        <f t="shared" si="18"/>
        <v/>
      </c>
      <c r="BB275" s="632" t="str">
        <f t="shared" si="19"/>
        <v/>
      </c>
      <c r="BC275" s="632" t="str">
        <f t="shared" si="20"/>
        <v/>
      </c>
      <c r="BD275" s="633" t="str">
        <f>IF(AND(L275="",H275=""),"",
IF(H275="",Pole_Calc!A303,
IF(H275="MP",Pole_Calc!A304,
IF(H275="AnMP",Pole_Calc!A305,
IF(H275="A",Pole_Calc!A306,
IF(H275="S/A",Pole_Calc!A307,
IF(H275="A/S",Pole_Calc!A308,"Poner a mano")))))))</f>
        <v/>
      </c>
      <c r="BE275" s="448" t="s">
        <v>1726</v>
      </c>
      <c r="BF275" s="635"/>
      <c r="BG275" s="635"/>
      <c r="BH275" s="634"/>
      <c r="BI275" s="635"/>
    </row>
    <row r="276" spans="1:61" ht="16.2" customHeight="1">
      <c r="A276" s="12"/>
      <c r="B276" s="446"/>
      <c r="C276" s="89"/>
      <c r="D276" s="13"/>
      <c r="E276" s="14"/>
      <c r="F276" s="14"/>
      <c r="G276" s="15"/>
      <c r="H276" s="8"/>
      <c r="I276" s="8"/>
      <c r="J276" s="89"/>
      <c r="K276" s="8"/>
      <c r="L276" s="8"/>
      <c r="M276" s="8" t="str">
        <f>IF(L276="","",
IF(AX276="PT",VLOOKUP(L276,Foundation_Calc!$V$4:$X$37,VLOOKUP(AX276,Foundation_Calc!$I$10:$J$13,2,FALSE),0),
IF(AX276="K",VLOOKUP(L276,Foundation_Calc!$V$41:$X$74,VLOOKUP(AX276,Foundation_Calc!$I$10:$J$13,2,FALSE),0),"")))</f>
        <v/>
      </c>
      <c r="N276" s="8"/>
      <c r="O276" s="8"/>
      <c r="P276" s="8"/>
      <c r="Q276" s="14"/>
      <c r="R276" s="15"/>
      <c r="S276" s="15"/>
      <c r="T276" s="14"/>
      <c r="U276" s="14"/>
      <c r="V276" s="14"/>
      <c r="W276" s="18"/>
      <c r="X276" s="18"/>
      <c r="Y276" s="18"/>
      <c r="Z276" s="18"/>
      <c r="AA276" s="18"/>
      <c r="AB276" s="18"/>
      <c r="AC276" s="8" t="str">
        <f t="shared" si="17"/>
        <v/>
      </c>
      <c r="AD276" s="8"/>
      <c r="AE276" s="8"/>
      <c r="AF276" s="14"/>
      <c r="AG276" s="13"/>
      <c r="AH276" s="14"/>
      <c r="AI276" s="14"/>
      <c r="AJ276" s="8"/>
      <c r="AK276" s="8"/>
      <c r="AL276" s="8"/>
      <c r="AM276" s="8"/>
      <c r="AN276" s="631"/>
      <c r="AO276" s="18"/>
      <c r="AP276" s="18"/>
      <c r="AQ276" s="18"/>
      <c r="AR276" s="18"/>
      <c r="AS276" s="18"/>
      <c r="AU276" s="448"/>
      <c r="AV276" s="448"/>
      <c r="AW276" s="8" t="str">
        <f>IF(C276&gt;0,VLOOKUP(C276,Foundation_Calc!$A$2:$C$986,3,1),
IF(J276&gt;0,VLOOKUP(J276,Foundation_Calc!$A$2:$C$986,3,1),""))</f>
        <v/>
      </c>
      <c r="AX276" s="8" t="str">
        <f>IF(C276&gt;0,VLOOKUP(C276,Foundation_Calc!$E$2:$G$986,3,1),
IF(J276&gt;0,VLOOKUP(J276,Foundation_Calc!$E$2:$G$986,3,1),""))</f>
        <v/>
      </c>
      <c r="AY276" s="631" t="str">
        <f>IF(L276="","",
IF(AX276="PT",VLOOKUP(L276,Foundation_Calc!$K$4:$R$37,VLOOKUP(AW276,Foundation_Calc!$I$2:$J$8,2,FALSE),0),
IF(AX276="K",VLOOKUP(L276,Foundation_Calc!$K$41:$R$74,VLOOKUP(AW276,Foundation_Calc!$I$2:$J$8,2,FALSE),0),"")))</f>
        <v/>
      </c>
      <c r="AZ276" s="631" t="str">
        <f>IF(K276="","",
IF(AX276="PT",VLOOKUP(K276,Foundation_Calc!$K$4:$R$37,VLOOKUP(AW276,Foundation_Calc!$I$2:$J$8,2,FALSE),0),
IF(AX276="K",VLOOKUP(K276,Foundation_Calc!$K$41:$R$74,VLOOKUP(AW276,Foundation_Calc!$I$2:$J$8,2,FALSE),0),"")))</f>
        <v/>
      </c>
      <c r="BA276" s="632" t="str">
        <f t="shared" si="18"/>
        <v/>
      </c>
      <c r="BB276" s="632" t="str">
        <f t="shared" si="19"/>
        <v/>
      </c>
      <c r="BC276" s="632" t="str">
        <f t="shared" si="20"/>
        <v/>
      </c>
      <c r="BD276" s="633" t="str">
        <f>IF(AND(L276="",H276=""),"",
IF(H276="",Pole_Calc!A304,
IF(H276="MP",Pole_Calc!A305,
IF(H276="AnMP",Pole_Calc!A306,
IF(H276="A",Pole_Calc!A307,
IF(H276="S/A",Pole_Calc!A308,
IF(H276="A/S",Pole_Calc!A309,"Poner a mano")))))))</f>
        <v/>
      </c>
      <c r="BE276" s="448" t="s">
        <v>1726</v>
      </c>
      <c r="BF276" s="634"/>
      <c r="BG276" s="634"/>
      <c r="BH276" s="634"/>
      <c r="BI276" s="634"/>
    </row>
    <row r="277" spans="1:61" ht="16.2" customHeight="1">
      <c r="A277" s="12"/>
      <c r="B277" s="446"/>
      <c r="C277" s="89"/>
      <c r="D277" s="13"/>
      <c r="E277" s="14"/>
      <c r="F277" s="14"/>
      <c r="G277" s="15"/>
      <c r="H277" s="8"/>
      <c r="I277" s="8"/>
      <c r="J277" s="89"/>
      <c r="K277" s="8"/>
      <c r="L277" s="8"/>
      <c r="M277" s="8" t="str">
        <f>IF(L277="","",
IF(AX277="PT",VLOOKUP(L277,Foundation_Calc!$V$4:$X$37,VLOOKUP(AX277,Foundation_Calc!$I$10:$J$13,2,FALSE),0),
IF(AX277="K",VLOOKUP(L277,Foundation_Calc!$V$41:$X$74,VLOOKUP(AX277,Foundation_Calc!$I$10:$J$13,2,FALSE),0),"")))</f>
        <v/>
      </c>
      <c r="N277" s="8"/>
      <c r="O277" s="8"/>
      <c r="P277" s="8"/>
      <c r="Q277" s="14"/>
      <c r="R277" s="15"/>
      <c r="S277" s="15"/>
      <c r="T277" s="14"/>
      <c r="U277" s="14"/>
      <c r="V277" s="14"/>
      <c r="W277" s="18"/>
      <c r="X277" s="18"/>
      <c r="Y277" s="18"/>
      <c r="Z277" s="18"/>
      <c r="AA277" s="18"/>
      <c r="AB277" s="18"/>
      <c r="AC277" s="8" t="str">
        <f t="shared" si="17"/>
        <v/>
      </c>
      <c r="AD277" s="8"/>
      <c r="AE277" s="8"/>
      <c r="AF277" s="14"/>
      <c r="AG277" s="13"/>
      <c r="AH277" s="14"/>
      <c r="AI277" s="14"/>
      <c r="AJ277" s="8"/>
      <c r="AK277" s="8"/>
      <c r="AL277" s="8"/>
      <c r="AM277" s="8"/>
      <c r="AN277" s="631"/>
      <c r="AO277" s="18"/>
      <c r="AP277" s="18"/>
      <c r="AQ277" s="18"/>
      <c r="AR277" s="18"/>
      <c r="AS277" s="18"/>
      <c r="AU277" s="448"/>
      <c r="AV277" s="448"/>
      <c r="AW277" s="8" t="str">
        <f>IF(C277&gt;0,VLOOKUP(C277,Foundation_Calc!$A$2:$C$986,3,1),
IF(J277&gt;0,VLOOKUP(J277,Foundation_Calc!$A$2:$C$986,3,1),""))</f>
        <v/>
      </c>
      <c r="AX277" s="8" t="str">
        <f>IF(C277&gt;0,VLOOKUP(C277,Foundation_Calc!$E$2:$G$986,3,1),
IF(J277&gt;0,VLOOKUP(J277,Foundation_Calc!$E$2:$G$986,3,1),""))</f>
        <v/>
      </c>
      <c r="AY277" s="631" t="str">
        <f>IF(L277="","",
IF(AX277="PT",VLOOKUP(L277,Foundation_Calc!$K$4:$R$37,VLOOKUP(AW277,Foundation_Calc!$I$2:$J$8,2,FALSE),0),
IF(AX277="K",VLOOKUP(L277,Foundation_Calc!$K$41:$R$74,VLOOKUP(AW277,Foundation_Calc!$I$2:$J$8,2,FALSE),0),"")))</f>
        <v/>
      </c>
      <c r="AZ277" s="631" t="str">
        <f>IF(K277="","",
IF(AX277="PT",VLOOKUP(K277,Foundation_Calc!$K$4:$R$37,VLOOKUP(AW277,Foundation_Calc!$I$2:$J$8,2,FALSE),0),
IF(AX277="K",VLOOKUP(K277,Foundation_Calc!$K$41:$R$74,VLOOKUP(AW277,Foundation_Calc!$I$2:$J$8,2,FALSE),0),"")))</f>
        <v/>
      </c>
      <c r="BA277" s="632" t="str">
        <f t="shared" si="18"/>
        <v/>
      </c>
      <c r="BB277" s="632" t="str">
        <f t="shared" si="19"/>
        <v/>
      </c>
      <c r="BC277" s="632" t="str">
        <f t="shared" si="20"/>
        <v/>
      </c>
      <c r="BD277" s="633" t="str">
        <f>IF(AND(L277="",H277=""),"",
IF(H277="",Pole_Calc!A305,
IF(H277="MP",Pole_Calc!A306,
IF(H277="AnMP",Pole_Calc!A307,
IF(H277="A",Pole_Calc!A308,
IF(H277="S/A",Pole_Calc!A309,
IF(H277="A/S",Pole_Calc!A310,"Poner a mano")))))))</f>
        <v/>
      </c>
      <c r="BE277" s="448" t="s">
        <v>1726</v>
      </c>
      <c r="BF277" s="635"/>
      <c r="BG277" s="635"/>
      <c r="BH277" s="634"/>
      <c r="BI277" s="635"/>
    </row>
    <row r="278" spans="1:61" ht="16.2" customHeight="1">
      <c r="A278" s="12"/>
      <c r="B278" s="446"/>
      <c r="C278" s="89"/>
      <c r="D278" s="13"/>
      <c r="E278" s="14"/>
      <c r="F278" s="14"/>
      <c r="G278" s="15"/>
      <c r="H278" s="8"/>
      <c r="I278" s="8"/>
      <c r="J278" s="89"/>
      <c r="K278" s="8"/>
      <c r="L278" s="8"/>
      <c r="M278" s="8" t="str">
        <f>IF(L278="","",
IF(AX278="PT",VLOOKUP(L278,Foundation_Calc!$V$4:$X$37,VLOOKUP(AX278,Foundation_Calc!$I$10:$J$13,2,FALSE),0),
IF(AX278="K",VLOOKUP(L278,Foundation_Calc!$V$41:$X$74,VLOOKUP(AX278,Foundation_Calc!$I$10:$J$13,2,FALSE),0),"")))</f>
        <v/>
      </c>
      <c r="N278" s="8"/>
      <c r="O278" s="8"/>
      <c r="P278" s="8"/>
      <c r="Q278" s="14"/>
      <c r="R278" s="15"/>
      <c r="S278" s="15"/>
      <c r="T278" s="14"/>
      <c r="U278" s="14"/>
      <c r="V278" s="14"/>
      <c r="W278" s="18"/>
      <c r="X278" s="18"/>
      <c r="Y278" s="18"/>
      <c r="Z278" s="18"/>
      <c r="AA278" s="18"/>
      <c r="AB278" s="18"/>
      <c r="AC278" s="8" t="str">
        <f t="shared" si="17"/>
        <v/>
      </c>
      <c r="AD278" s="8"/>
      <c r="AE278" s="8"/>
      <c r="AF278" s="14"/>
      <c r="AG278" s="13"/>
      <c r="AH278" s="14"/>
      <c r="AI278" s="14"/>
      <c r="AJ278" s="8"/>
      <c r="AK278" s="8"/>
      <c r="AL278" s="8"/>
      <c r="AM278" s="8"/>
      <c r="AN278" s="631"/>
      <c r="AO278" s="18"/>
      <c r="AP278" s="18"/>
      <c r="AQ278" s="18"/>
      <c r="AR278" s="18"/>
      <c r="AS278" s="18"/>
      <c r="AU278" s="448"/>
      <c r="AV278" s="448"/>
      <c r="AW278" s="8" t="str">
        <f>IF(C278&gt;0,VLOOKUP(C278,Foundation_Calc!$A$2:$C$986,3,1),
IF(J278&gt;0,VLOOKUP(J278,Foundation_Calc!$A$2:$C$986,3,1),""))</f>
        <v/>
      </c>
      <c r="AX278" s="8" t="str">
        <f>IF(C278&gt;0,VLOOKUP(C278,Foundation_Calc!$E$2:$G$986,3,1),
IF(J278&gt;0,VLOOKUP(J278,Foundation_Calc!$E$2:$G$986,3,1),""))</f>
        <v/>
      </c>
      <c r="AY278" s="631" t="str">
        <f>IF(L278="","",
IF(AX278="PT",VLOOKUP(L278,Foundation_Calc!$K$4:$R$37,VLOOKUP(AW278,Foundation_Calc!$I$2:$J$8,2,FALSE),0),
IF(AX278="K",VLOOKUP(L278,Foundation_Calc!$K$41:$R$74,VLOOKUP(AW278,Foundation_Calc!$I$2:$J$8,2,FALSE),0),"")))</f>
        <v/>
      </c>
      <c r="AZ278" s="631" t="str">
        <f>IF(K278="","",
IF(AX278="PT",VLOOKUP(K278,Foundation_Calc!$K$4:$R$37,VLOOKUP(AW278,Foundation_Calc!$I$2:$J$8,2,FALSE),0),
IF(AX278="K",VLOOKUP(K278,Foundation_Calc!$K$41:$R$74,VLOOKUP(AW278,Foundation_Calc!$I$2:$J$8,2,FALSE),0),"")))</f>
        <v/>
      </c>
      <c r="BA278" s="632" t="str">
        <f t="shared" si="18"/>
        <v/>
      </c>
      <c r="BB278" s="632" t="str">
        <f t="shared" si="19"/>
        <v/>
      </c>
      <c r="BC278" s="632" t="str">
        <f t="shared" si="20"/>
        <v/>
      </c>
      <c r="BD278" s="633" t="str">
        <f>IF(AND(L278="",H278=""),"",
IF(H278="",Pole_Calc!A306,
IF(H278="MP",Pole_Calc!A307,
IF(H278="AnMP",Pole_Calc!A308,
IF(H278="A",Pole_Calc!A309,
IF(H278="S/A",Pole_Calc!A310,
IF(H278="A/S",Pole_Calc!A311,"Poner a mano")))))))</f>
        <v/>
      </c>
      <c r="BE278" s="448" t="s">
        <v>1726</v>
      </c>
      <c r="BF278" s="634"/>
      <c r="BG278" s="634"/>
      <c r="BH278" s="634"/>
      <c r="BI278" s="634"/>
    </row>
    <row r="279" spans="1:61" ht="16.2" customHeight="1">
      <c r="A279" s="12"/>
      <c r="B279" s="446"/>
      <c r="C279" s="89"/>
      <c r="D279" s="13"/>
      <c r="E279" s="14"/>
      <c r="F279" s="14"/>
      <c r="G279" s="15"/>
      <c r="H279" s="8"/>
      <c r="I279" s="8"/>
      <c r="J279" s="89"/>
      <c r="K279" s="8"/>
      <c r="L279" s="8"/>
      <c r="M279" s="8" t="str">
        <f>IF(L279="","",
IF(AX279="PT",VLOOKUP(L279,Foundation_Calc!$V$4:$X$37,VLOOKUP(AX279,Foundation_Calc!$I$10:$J$13,2,FALSE),0),
IF(AX279="K",VLOOKUP(L279,Foundation_Calc!$V$41:$X$74,VLOOKUP(AX279,Foundation_Calc!$I$10:$J$13,2,FALSE),0),"")))</f>
        <v/>
      </c>
      <c r="N279" s="8"/>
      <c r="O279" s="8"/>
      <c r="P279" s="8"/>
      <c r="Q279" s="14"/>
      <c r="R279" s="15"/>
      <c r="S279" s="15"/>
      <c r="T279" s="14"/>
      <c r="U279" s="14"/>
      <c r="V279" s="14"/>
      <c r="W279" s="18"/>
      <c r="X279" s="18"/>
      <c r="Y279" s="18"/>
      <c r="Z279" s="18"/>
      <c r="AA279" s="18"/>
      <c r="AB279" s="18"/>
      <c r="AC279" s="8" t="str">
        <f t="shared" si="17"/>
        <v/>
      </c>
      <c r="AD279" s="8"/>
      <c r="AE279" s="8"/>
      <c r="AF279" s="14"/>
      <c r="AG279" s="13"/>
      <c r="AH279" s="14"/>
      <c r="AI279" s="14"/>
      <c r="AJ279" s="8"/>
      <c r="AK279" s="8"/>
      <c r="AL279" s="8"/>
      <c r="AM279" s="8"/>
      <c r="AN279" s="631"/>
      <c r="AO279" s="18"/>
      <c r="AP279" s="18"/>
      <c r="AQ279" s="18"/>
      <c r="AR279" s="18"/>
      <c r="AS279" s="18"/>
      <c r="AU279" s="448"/>
      <c r="AV279" s="448"/>
      <c r="AW279" s="8" t="str">
        <f>IF(C279&gt;0,VLOOKUP(C279,Foundation_Calc!$A$2:$C$986,3,1),
IF(J279&gt;0,VLOOKUP(J279,Foundation_Calc!$A$2:$C$986,3,1),""))</f>
        <v/>
      </c>
      <c r="AX279" s="8" t="str">
        <f>IF(C279&gt;0,VLOOKUP(C279,Foundation_Calc!$E$2:$G$986,3,1),
IF(J279&gt;0,VLOOKUP(J279,Foundation_Calc!$E$2:$G$986,3,1),""))</f>
        <v/>
      </c>
      <c r="AY279" s="631" t="str">
        <f>IF(L279="","",
IF(AX279="PT",VLOOKUP(L279,Foundation_Calc!$K$4:$R$37,VLOOKUP(AW279,Foundation_Calc!$I$2:$J$8,2,FALSE),0),
IF(AX279="K",VLOOKUP(L279,Foundation_Calc!$K$41:$R$74,VLOOKUP(AW279,Foundation_Calc!$I$2:$J$8,2,FALSE),0),"")))</f>
        <v/>
      </c>
      <c r="AZ279" s="631" t="str">
        <f>IF(K279="","",
IF(AX279="PT",VLOOKUP(K279,Foundation_Calc!$K$4:$R$37,VLOOKUP(AW279,Foundation_Calc!$I$2:$J$8,2,FALSE),0),
IF(AX279="K",VLOOKUP(K279,Foundation_Calc!$K$41:$R$74,VLOOKUP(AW279,Foundation_Calc!$I$2:$J$8,2,FALSE),0),"")))</f>
        <v/>
      </c>
      <c r="BA279" s="632" t="str">
        <f t="shared" si="18"/>
        <v/>
      </c>
      <c r="BB279" s="632" t="str">
        <f t="shared" si="19"/>
        <v/>
      </c>
      <c r="BC279" s="632" t="str">
        <f t="shared" si="20"/>
        <v/>
      </c>
      <c r="BD279" s="633" t="str">
        <f>IF(AND(L279="",H279=""),"",
IF(H279="",Pole_Calc!A307,
IF(H279="MP",Pole_Calc!A308,
IF(H279="AnMP",Pole_Calc!A309,
IF(H279="A",Pole_Calc!A310,
IF(H279="S/A",Pole_Calc!A311,
IF(H279="A/S",Pole_Calc!A312,"Poner a mano")))))))</f>
        <v/>
      </c>
      <c r="BE279" s="448" t="s">
        <v>1726</v>
      </c>
      <c r="BF279" s="635"/>
      <c r="BG279" s="635"/>
      <c r="BH279" s="634"/>
      <c r="BI279" s="635"/>
    </row>
    <row r="280" spans="1:61" ht="16.2" customHeight="1">
      <c r="A280" s="12"/>
      <c r="B280" s="446"/>
      <c r="C280" s="89"/>
      <c r="D280" s="13"/>
      <c r="E280" s="14"/>
      <c r="F280" s="14"/>
      <c r="G280" s="15"/>
      <c r="H280" s="8"/>
      <c r="I280" s="8"/>
      <c r="J280" s="89"/>
      <c r="K280" s="8"/>
      <c r="L280" s="8"/>
      <c r="M280" s="8" t="str">
        <f>IF(L280="","",
IF(AX280="PT",VLOOKUP(L280,Foundation_Calc!$V$4:$X$37,VLOOKUP(AX280,Foundation_Calc!$I$10:$J$13,2,FALSE),0),
IF(AX280="K",VLOOKUP(L280,Foundation_Calc!$V$41:$X$74,VLOOKUP(AX280,Foundation_Calc!$I$10:$J$13,2,FALSE),0),"")))</f>
        <v/>
      </c>
      <c r="N280" s="8"/>
      <c r="O280" s="8"/>
      <c r="P280" s="8"/>
      <c r="Q280" s="14"/>
      <c r="R280" s="15"/>
      <c r="S280" s="15"/>
      <c r="T280" s="14"/>
      <c r="U280" s="14"/>
      <c r="V280" s="14"/>
      <c r="W280" s="18"/>
      <c r="X280" s="18"/>
      <c r="Y280" s="18"/>
      <c r="Z280" s="18"/>
      <c r="AA280" s="18"/>
      <c r="AB280" s="18"/>
      <c r="AC280" s="8" t="str">
        <f t="shared" si="17"/>
        <v/>
      </c>
      <c r="AD280" s="8"/>
      <c r="AE280" s="8"/>
      <c r="AF280" s="14"/>
      <c r="AG280" s="13"/>
      <c r="AH280" s="14"/>
      <c r="AI280" s="14"/>
      <c r="AJ280" s="8"/>
      <c r="AK280" s="8"/>
      <c r="AL280" s="8"/>
      <c r="AM280" s="8"/>
      <c r="AN280" s="631"/>
      <c r="AO280" s="18"/>
      <c r="AP280" s="18"/>
      <c r="AQ280" s="18"/>
      <c r="AR280" s="18"/>
      <c r="AS280" s="18"/>
      <c r="AU280" s="448"/>
      <c r="AV280" s="448"/>
      <c r="AW280" s="8" t="str">
        <f>IF(C280&gt;0,VLOOKUP(C280,Foundation_Calc!$A$2:$C$986,3,1),
IF(J280&gt;0,VLOOKUP(J280,Foundation_Calc!$A$2:$C$986,3,1),""))</f>
        <v/>
      </c>
      <c r="AX280" s="8" t="str">
        <f>IF(C280&gt;0,VLOOKUP(C280,Foundation_Calc!$E$2:$G$986,3,1),
IF(J280&gt;0,VLOOKUP(J280,Foundation_Calc!$E$2:$G$986,3,1),""))</f>
        <v/>
      </c>
      <c r="AY280" s="631" t="str">
        <f>IF(L280="","",
IF(AX280="PT",VLOOKUP(L280,Foundation_Calc!$K$4:$R$37,VLOOKUP(AW280,Foundation_Calc!$I$2:$J$8,2,FALSE),0),
IF(AX280="K",VLOOKUP(L280,Foundation_Calc!$K$41:$R$74,VLOOKUP(AW280,Foundation_Calc!$I$2:$J$8,2,FALSE),0),"")))</f>
        <v/>
      </c>
      <c r="AZ280" s="631" t="str">
        <f>IF(K280="","",
IF(AX280="PT",VLOOKUP(K280,Foundation_Calc!$K$4:$R$37,VLOOKUP(AW280,Foundation_Calc!$I$2:$J$8,2,FALSE),0),
IF(AX280="K",VLOOKUP(K280,Foundation_Calc!$K$41:$R$74,VLOOKUP(AW280,Foundation_Calc!$I$2:$J$8,2,FALSE),0),"")))</f>
        <v/>
      </c>
      <c r="BA280" s="632" t="str">
        <f t="shared" si="18"/>
        <v/>
      </c>
      <c r="BB280" s="632" t="str">
        <f t="shared" si="19"/>
        <v/>
      </c>
      <c r="BC280" s="632" t="str">
        <f t="shared" si="20"/>
        <v/>
      </c>
      <c r="BD280" s="633" t="str">
        <f>IF(AND(L280="",H280=""),"",
IF(H280="",Pole_Calc!A308,
IF(H280="MP",Pole_Calc!A309,
IF(H280="AnMP",Pole_Calc!A310,
IF(H280="A",Pole_Calc!A311,
IF(H280="S/A",Pole_Calc!A312,
IF(H280="A/S",Pole_Calc!A313,"Poner a mano")))))))</f>
        <v/>
      </c>
      <c r="BE280" s="448" t="s">
        <v>1726</v>
      </c>
      <c r="BF280" s="634"/>
      <c r="BG280" s="634"/>
      <c r="BH280" s="634"/>
      <c r="BI280" s="634"/>
    </row>
    <row r="281" spans="1:61" ht="16.2" customHeight="1">
      <c r="A281" s="12"/>
      <c r="B281" s="446"/>
      <c r="C281" s="89"/>
      <c r="D281" s="13"/>
      <c r="E281" s="14"/>
      <c r="F281" s="14"/>
      <c r="G281" s="15"/>
      <c r="H281" s="8"/>
      <c r="I281" s="8"/>
      <c r="J281" s="89"/>
      <c r="K281" s="8"/>
      <c r="L281" s="8"/>
      <c r="M281" s="8" t="str">
        <f>IF(L281="","",
IF(AX281="PT",VLOOKUP(L281,Foundation_Calc!$V$4:$X$37,VLOOKUP(AX281,Foundation_Calc!$I$10:$J$13,2,FALSE),0),
IF(AX281="K",VLOOKUP(L281,Foundation_Calc!$V$41:$X$74,VLOOKUP(AX281,Foundation_Calc!$I$10:$J$13,2,FALSE),0),"")))</f>
        <v/>
      </c>
      <c r="N281" s="8"/>
      <c r="O281" s="8"/>
      <c r="P281" s="8"/>
      <c r="Q281" s="14"/>
      <c r="R281" s="15"/>
      <c r="S281" s="15"/>
      <c r="T281" s="14"/>
      <c r="U281" s="14"/>
      <c r="V281" s="14"/>
      <c r="W281" s="18"/>
      <c r="X281" s="18"/>
      <c r="Y281" s="18"/>
      <c r="Z281" s="18"/>
      <c r="AA281" s="18"/>
      <c r="AB281" s="18"/>
      <c r="AC281" s="8" t="str">
        <f t="shared" si="17"/>
        <v/>
      </c>
      <c r="AD281" s="8"/>
      <c r="AE281" s="8"/>
      <c r="AF281" s="14"/>
      <c r="AG281" s="13"/>
      <c r="AH281" s="14"/>
      <c r="AI281" s="14"/>
      <c r="AJ281" s="8"/>
      <c r="AK281" s="8"/>
      <c r="AL281" s="8"/>
      <c r="AM281" s="8"/>
      <c r="AN281" s="631"/>
      <c r="AO281" s="18"/>
      <c r="AP281" s="18"/>
      <c r="AQ281" s="18"/>
      <c r="AR281" s="18"/>
      <c r="AS281" s="18"/>
      <c r="AU281" s="448"/>
      <c r="AV281" s="448"/>
      <c r="AW281" s="8" t="str">
        <f>IF(C281&gt;0,VLOOKUP(C281,Foundation_Calc!$A$2:$C$986,3,1),
IF(J281&gt;0,VLOOKUP(J281,Foundation_Calc!$A$2:$C$986,3,1),""))</f>
        <v/>
      </c>
      <c r="AX281" s="8" t="str">
        <f>IF(C281&gt;0,VLOOKUP(C281,Foundation_Calc!$E$2:$G$986,3,1),
IF(J281&gt;0,VLOOKUP(J281,Foundation_Calc!$E$2:$G$986,3,1),""))</f>
        <v/>
      </c>
      <c r="AY281" s="631" t="str">
        <f>IF(L281="","",
IF(AX281="PT",VLOOKUP(L281,Foundation_Calc!$K$4:$R$37,VLOOKUP(AW281,Foundation_Calc!$I$2:$J$8,2,FALSE),0),
IF(AX281="K",VLOOKUP(L281,Foundation_Calc!$K$41:$R$74,VLOOKUP(AW281,Foundation_Calc!$I$2:$J$8,2,FALSE),0),"")))</f>
        <v/>
      </c>
      <c r="AZ281" s="631" t="str">
        <f>IF(K281="","",
IF(AX281="PT",VLOOKUP(K281,Foundation_Calc!$K$4:$R$37,VLOOKUP(AW281,Foundation_Calc!$I$2:$J$8,2,FALSE),0),
IF(AX281="K",VLOOKUP(K281,Foundation_Calc!$K$41:$R$74,VLOOKUP(AW281,Foundation_Calc!$I$2:$J$8,2,FALSE),0),"")))</f>
        <v/>
      </c>
      <c r="BA281" s="632" t="str">
        <f t="shared" si="18"/>
        <v/>
      </c>
      <c r="BB281" s="632" t="str">
        <f t="shared" si="19"/>
        <v/>
      </c>
      <c r="BC281" s="632" t="str">
        <f t="shared" si="20"/>
        <v/>
      </c>
      <c r="BD281" s="633" t="str">
        <f>IF(AND(L281="",H281=""),"",
IF(H281="",Pole_Calc!A309,
IF(H281="MP",Pole_Calc!A310,
IF(H281="AnMP",Pole_Calc!A311,
IF(H281="A",Pole_Calc!A312,
IF(H281="S/A",Pole_Calc!A313,
IF(H281="A/S",Pole_Calc!A314,"Poner a mano")))))))</f>
        <v/>
      </c>
      <c r="BE281" s="448" t="s">
        <v>1726</v>
      </c>
      <c r="BF281" s="635"/>
      <c r="BG281" s="635"/>
      <c r="BH281" s="634"/>
      <c r="BI281" s="635"/>
    </row>
    <row r="282" spans="1:61" ht="16.2" customHeight="1">
      <c r="A282" s="12"/>
      <c r="B282" s="446"/>
      <c r="C282" s="89"/>
      <c r="D282" s="13"/>
      <c r="E282" s="14"/>
      <c r="F282" s="14"/>
      <c r="G282" s="15"/>
      <c r="H282" s="8"/>
      <c r="I282" s="8"/>
      <c r="J282" s="89"/>
      <c r="K282" s="8"/>
      <c r="L282" s="8"/>
      <c r="M282" s="8" t="str">
        <f>IF(L282="","",
IF(AX282="PT",VLOOKUP(L282,Foundation_Calc!$V$4:$X$37,VLOOKUP(AX282,Foundation_Calc!$I$10:$J$13,2,FALSE),0),
IF(AX282="K",VLOOKUP(L282,Foundation_Calc!$V$41:$X$74,VLOOKUP(AX282,Foundation_Calc!$I$10:$J$13,2,FALSE),0),"")))</f>
        <v/>
      </c>
      <c r="N282" s="8"/>
      <c r="O282" s="8"/>
      <c r="P282" s="8"/>
      <c r="Q282" s="14"/>
      <c r="R282" s="15"/>
      <c r="S282" s="15"/>
      <c r="T282" s="14"/>
      <c r="U282" s="14"/>
      <c r="V282" s="14"/>
      <c r="W282" s="18"/>
      <c r="X282" s="18"/>
      <c r="Y282" s="18"/>
      <c r="Z282" s="18"/>
      <c r="AA282" s="18"/>
      <c r="AB282" s="18"/>
      <c r="AC282" s="8" t="str">
        <f t="shared" si="17"/>
        <v/>
      </c>
      <c r="AD282" s="8"/>
      <c r="AE282" s="8"/>
      <c r="AF282" s="14"/>
      <c r="AG282" s="13"/>
      <c r="AH282" s="14"/>
      <c r="AI282" s="14"/>
      <c r="AJ282" s="8"/>
      <c r="AK282" s="8"/>
      <c r="AL282" s="8"/>
      <c r="AM282" s="8"/>
      <c r="AN282" s="631"/>
      <c r="AO282" s="18"/>
      <c r="AP282" s="18"/>
      <c r="AQ282" s="18"/>
      <c r="AR282" s="18"/>
      <c r="AS282" s="18"/>
      <c r="AU282" s="448"/>
      <c r="AV282" s="448"/>
      <c r="AW282" s="8" t="str">
        <f>IF(C282&gt;0,VLOOKUP(C282,Foundation_Calc!$A$2:$C$986,3,1),
IF(J282&gt;0,VLOOKUP(J282,Foundation_Calc!$A$2:$C$986,3,1),""))</f>
        <v/>
      </c>
      <c r="AX282" s="8" t="str">
        <f>IF(C282&gt;0,VLOOKUP(C282,Foundation_Calc!$E$2:$G$986,3,1),
IF(J282&gt;0,VLOOKUP(J282,Foundation_Calc!$E$2:$G$986,3,1),""))</f>
        <v/>
      </c>
      <c r="AY282" s="631" t="str">
        <f>IF(L282="","",
IF(AX282="PT",VLOOKUP(L282,Foundation_Calc!$K$4:$R$37,VLOOKUP(AW282,Foundation_Calc!$I$2:$J$8,2,FALSE),0),
IF(AX282="K",VLOOKUP(L282,Foundation_Calc!$K$41:$R$74,VLOOKUP(AW282,Foundation_Calc!$I$2:$J$8,2,FALSE),0),"")))</f>
        <v/>
      </c>
      <c r="AZ282" s="631" t="str">
        <f>IF(K282="","",
IF(AX282="PT",VLOOKUP(K282,Foundation_Calc!$K$4:$R$37,VLOOKUP(AW282,Foundation_Calc!$I$2:$J$8,2,FALSE),0),
IF(AX282="K",VLOOKUP(K282,Foundation_Calc!$K$41:$R$74,VLOOKUP(AW282,Foundation_Calc!$I$2:$J$8,2,FALSE),0),"")))</f>
        <v/>
      </c>
      <c r="BA282" s="632" t="str">
        <f t="shared" si="18"/>
        <v/>
      </c>
      <c r="BB282" s="632" t="str">
        <f t="shared" si="19"/>
        <v/>
      </c>
      <c r="BC282" s="632" t="str">
        <f t="shared" si="20"/>
        <v/>
      </c>
      <c r="BD282" s="633" t="str">
        <f>IF(AND(L282="",H282=""),"",
IF(H282="",Pole_Calc!A310,
IF(H282="MP",Pole_Calc!A311,
IF(H282="AnMP",Pole_Calc!A312,
IF(H282="A",Pole_Calc!A313,
IF(H282="S/A",Pole_Calc!A314,
IF(H282="A/S",Pole_Calc!A315,"Poner a mano")))))))</f>
        <v/>
      </c>
      <c r="BE282" s="448" t="s">
        <v>1726</v>
      </c>
      <c r="BF282" s="634"/>
      <c r="BG282" s="634"/>
      <c r="BH282" s="634"/>
      <c r="BI282" s="634"/>
    </row>
    <row r="283" spans="1:61" ht="16.2" customHeight="1">
      <c r="A283" s="12"/>
      <c r="B283" s="446"/>
      <c r="C283" s="89"/>
      <c r="D283" s="13"/>
      <c r="E283" s="14"/>
      <c r="F283" s="14"/>
      <c r="G283" s="15"/>
      <c r="H283" s="8"/>
      <c r="I283" s="8"/>
      <c r="J283" s="89"/>
      <c r="K283" s="8"/>
      <c r="L283" s="8"/>
      <c r="M283" s="8" t="str">
        <f>IF(L283="","",
IF(AX283="PT",VLOOKUP(L283,Foundation_Calc!$V$4:$X$37,VLOOKUP(AX283,Foundation_Calc!$I$10:$J$13,2,FALSE),0),
IF(AX283="K",VLOOKUP(L283,Foundation_Calc!$V$41:$X$74,VLOOKUP(AX283,Foundation_Calc!$I$10:$J$13,2,FALSE),0),"")))</f>
        <v/>
      </c>
      <c r="N283" s="8"/>
      <c r="O283" s="8"/>
      <c r="P283" s="8"/>
      <c r="Q283" s="14"/>
      <c r="R283" s="15"/>
      <c r="S283" s="15"/>
      <c r="T283" s="14"/>
      <c r="U283" s="14"/>
      <c r="V283" s="14"/>
      <c r="W283" s="18"/>
      <c r="X283" s="18"/>
      <c r="Y283" s="18"/>
      <c r="Z283" s="18"/>
      <c r="AA283" s="18"/>
      <c r="AB283" s="18"/>
      <c r="AC283" s="8" t="str">
        <f t="shared" si="17"/>
        <v/>
      </c>
      <c r="AD283" s="8"/>
      <c r="AE283" s="8"/>
      <c r="AF283" s="14"/>
      <c r="AG283" s="13"/>
      <c r="AH283" s="14"/>
      <c r="AI283" s="14"/>
      <c r="AJ283" s="8"/>
      <c r="AK283" s="8"/>
      <c r="AL283" s="8"/>
      <c r="AM283" s="8"/>
      <c r="AN283" s="631"/>
      <c r="AO283" s="18"/>
      <c r="AP283" s="18"/>
      <c r="AQ283" s="18"/>
      <c r="AR283" s="18"/>
      <c r="AS283" s="18"/>
      <c r="AU283" s="448"/>
      <c r="AV283" s="448"/>
      <c r="AW283" s="8" t="str">
        <f>IF(C283&gt;0,VLOOKUP(C283,Foundation_Calc!$A$2:$C$986,3,1),
IF(J283&gt;0,VLOOKUP(J283,Foundation_Calc!$A$2:$C$986,3,1),""))</f>
        <v/>
      </c>
      <c r="AX283" s="8" t="str">
        <f>IF(C283&gt;0,VLOOKUP(C283,Foundation_Calc!$E$2:$G$986,3,1),
IF(J283&gt;0,VLOOKUP(J283,Foundation_Calc!$E$2:$G$986,3,1),""))</f>
        <v/>
      </c>
      <c r="AY283" s="631" t="str">
        <f>IF(L283="","",
IF(AX283="PT",VLOOKUP(L283,Foundation_Calc!$K$4:$R$37,VLOOKUP(AW283,Foundation_Calc!$I$2:$J$8,2,FALSE),0),
IF(AX283="K",VLOOKUP(L283,Foundation_Calc!$K$41:$R$74,VLOOKUP(AW283,Foundation_Calc!$I$2:$J$8,2,FALSE),0),"")))</f>
        <v/>
      </c>
      <c r="AZ283" s="631" t="str">
        <f>IF(K283="","",
IF(AX283="PT",VLOOKUP(K283,Foundation_Calc!$K$4:$R$37,VLOOKUP(AW283,Foundation_Calc!$I$2:$J$8,2,FALSE),0),
IF(AX283="K",VLOOKUP(K283,Foundation_Calc!$K$41:$R$74,VLOOKUP(AW283,Foundation_Calc!$I$2:$J$8,2,FALSE),0),"")))</f>
        <v/>
      </c>
      <c r="BA283" s="632" t="str">
        <f t="shared" si="18"/>
        <v/>
      </c>
      <c r="BB283" s="632" t="str">
        <f t="shared" si="19"/>
        <v/>
      </c>
      <c r="BC283" s="632" t="str">
        <f t="shared" si="20"/>
        <v/>
      </c>
      <c r="BD283" s="633" t="str">
        <f>IF(AND(L283="",H283=""),"",
IF(H283="",Pole_Calc!A311,
IF(H283="MP",Pole_Calc!A312,
IF(H283="AnMP",Pole_Calc!A313,
IF(H283="A",Pole_Calc!A314,
IF(H283="S/A",Pole_Calc!A315,
IF(H283="A/S",Pole_Calc!A316,"Poner a mano")))))))</f>
        <v/>
      </c>
      <c r="BE283" s="448" t="s">
        <v>1726</v>
      </c>
      <c r="BF283" s="635"/>
      <c r="BG283" s="635"/>
      <c r="BH283" s="634"/>
      <c r="BI283" s="635"/>
    </row>
    <row r="284" spans="1:61" ht="16.2" customHeight="1">
      <c r="A284" s="12"/>
      <c r="B284" s="446"/>
      <c r="C284" s="89"/>
      <c r="D284" s="13"/>
      <c r="E284" s="14"/>
      <c r="F284" s="14"/>
      <c r="G284" s="15"/>
      <c r="H284" s="8"/>
      <c r="I284" s="8"/>
      <c r="J284" s="89"/>
      <c r="K284" s="8"/>
      <c r="L284" s="8"/>
      <c r="M284" s="8" t="str">
        <f>IF(L284="","",
IF(AX284="PT",VLOOKUP(L284,Foundation_Calc!$V$4:$X$37,VLOOKUP(AX284,Foundation_Calc!$I$10:$J$13,2,FALSE),0),
IF(AX284="K",VLOOKUP(L284,Foundation_Calc!$V$41:$X$74,VLOOKUP(AX284,Foundation_Calc!$I$10:$J$13,2,FALSE),0),"")))</f>
        <v/>
      </c>
      <c r="N284" s="8"/>
      <c r="O284" s="8"/>
      <c r="P284" s="8"/>
      <c r="Q284" s="14"/>
      <c r="R284" s="15"/>
      <c r="S284" s="15"/>
      <c r="T284" s="14"/>
      <c r="U284" s="14"/>
      <c r="V284" s="14"/>
      <c r="W284" s="18"/>
      <c r="X284" s="18"/>
      <c r="Y284" s="18"/>
      <c r="Z284" s="18"/>
      <c r="AA284" s="18"/>
      <c r="AB284" s="18"/>
      <c r="AC284" s="8" t="str">
        <f t="shared" si="17"/>
        <v/>
      </c>
      <c r="AD284" s="8"/>
      <c r="AE284" s="8"/>
      <c r="AF284" s="14"/>
      <c r="AG284" s="13"/>
      <c r="AH284" s="14"/>
      <c r="AI284" s="14"/>
      <c r="AJ284" s="8"/>
      <c r="AK284" s="8"/>
      <c r="AL284" s="8"/>
      <c r="AM284" s="8"/>
      <c r="AN284" s="631"/>
      <c r="AO284" s="18"/>
      <c r="AP284" s="18"/>
      <c r="AQ284" s="18"/>
      <c r="AR284" s="18"/>
      <c r="AS284" s="18"/>
      <c r="AU284" s="448"/>
      <c r="AV284" s="448"/>
      <c r="AW284" s="8" t="str">
        <f>IF(C284&gt;0,VLOOKUP(C284,Foundation_Calc!$A$2:$C$986,3,1),
IF(J284&gt;0,VLOOKUP(J284,Foundation_Calc!$A$2:$C$986,3,1),""))</f>
        <v/>
      </c>
      <c r="AX284" s="8" t="str">
        <f>IF(C284&gt;0,VLOOKUP(C284,Foundation_Calc!$E$2:$G$986,3,1),
IF(J284&gt;0,VLOOKUP(J284,Foundation_Calc!$E$2:$G$986,3,1),""))</f>
        <v/>
      </c>
      <c r="AY284" s="631" t="str">
        <f>IF(L284="","",
IF(AX284="PT",VLOOKUP(L284,Foundation_Calc!$K$4:$R$37,VLOOKUP(AW284,Foundation_Calc!$I$2:$J$8,2,FALSE),0),
IF(AX284="K",VLOOKUP(L284,Foundation_Calc!$K$41:$R$74,VLOOKUP(AW284,Foundation_Calc!$I$2:$J$8,2,FALSE),0),"")))</f>
        <v/>
      </c>
      <c r="AZ284" s="631" t="str">
        <f>IF(K284="","",
IF(AX284="PT",VLOOKUP(K284,Foundation_Calc!$K$4:$R$37,VLOOKUP(AW284,Foundation_Calc!$I$2:$J$8,2,FALSE),0),
IF(AX284="K",VLOOKUP(K284,Foundation_Calc!$K$41:$R$74,VLOOKUP(AW284,Foundation_Calc!$I$2:$J$8,2,FALSE),0),"")))</f>
        <v/>
      </c>
      <c r="BA284" s="632" t="str">
        <f t="shared" si="18"/>
        <v/>
      </c>
      <c r="BB284" s="632" t="str">
        <f t="shared" si="19"/>
        <v/>
      </c>
      <c r="BC284" s="632" t="str">
        <f t="shared" si="20"/>
        <v/>
      </c>
      <c r="BD284" s="633" t="str">
        <f>IF(AND(L284="",H284=""),"",
IF(H284="",Pole_Calc!A312,
IF(H284="MP",Pole_Calc!A313,
IF(H284="AnMP",Pole_Calc!A314,
IF(H284="A",Pole_Calc!A315,
IF(H284="S/A",Pole_Calc!A316,
IF(H284="A/S",Pole_Calc!A317,"Poner a mano")))))))</f>
        <v/>
      </c>
      <c r="BE284" s="448" t="s">
        <v>1726</v>
      </c>
      <c r="BF284" s="634"/>
      <c r="BG284" s="634"/>
      <c r="BH284" s="634"/>
      <c r="BI284" s="634"/>
    </row>
    <row r="285" spans="1:61" ht="16.2" customHeight="1">
      <c r="A285" s="12"/>
      <c r="B285" s="446"/>
      <c r="C285" s="89"/>
      <c r="D285" s="13"/>
      <c r="E285" s="14"/>
      <c r="F285" s="14"/>
      <c r="G285" s="15"/>
      <c r="H285" s="8"/>
      <c r="I285" s="8"/>
      <c r="J285" s="89"/>
      <c r="K285" s="8"/>
      <c r="L285" s="8"/>
      <c r="M285" s="8" t="str">
        <f>IF(L285="","",
IF(AX285="PT",VLOOKUP(L285,Foundation_Calc!$V$4:$X$37,VLOOKUP(AX285,Foundation_Calc!$I$10:$J$13,2,FALSE),0),
IF(AX285="K",VLOOKUP(L285,Foundation_Calc!$V$41:$X$74,VLOOKUP(AX285,Foundation_Calc!$I$10:$J$13,2,FALSE),0),"")))</f>
        <v/>
      </c>
      <c r="N285" s="8"/>
      <c r="O285" s="8"/>
      <c r="P285" s="8"/>
      <c r="Q285" s="14"/>
      <c r="R285" s="15"/>
      <c r="S285" s="15"/>
      <c r="T285" s="14"/>
      <c r="U285" s="14"/>
      <c r="V285" s="14"/>
      <c r="W285" s="18"/>
      <c r="X285" s="18"/>
      <c r="Y285" s="18"/>
      <c r="Z285" s="18"/>
      <c r="AA285" s="18"/>
      <c r="AB285" s="18"/>
      <c r="AC285" s="8" t="str">
        <f t="shared" si="17"/>
        <v/>
      </c>
      <c r="AD285" s="8"/>
      <c r="AE285" s="8"/>
      <c r="AF285" s="14"/>
      <c r="AG285" s="13"/>
      <c r="AH285" s="14"/>
      <c r="AI285" s="14"/>
      <c r="AJ285" s="8"/>
      <c r="AK285" s="8"/>
      <c r="AL285" s="8"/>
      <c r="AM285" s="8"/>
      <c r="AN285" s="631"/>
      <c r="AO285" s="18"/>
      <c r="AP285" s="18"/>
      <c r="AQ285" s="18"/>
      <c r="AR285" s="18"/>
      <c r="AS285" s="18"/>
      <c r="AU285" s="448"/>
      <c r="AV285" s="448"/>
      <c r="AW285" s="8" t="str">
        <f>IF(C285&gt;0,VLOOKUP(C285,Foundation_Calc!$A$2:$C$986,3,1),
IF(J285&gt;0,VLOOKUP(J285,Foundation_Calc!$A$2:$C$986,3,1),""))</f>
        <v/>
      </c>
      <c r="AX285" s="8" t="str">
        <f>IF(C285&gt;0,VLOOKUP(C285,Foundation_Calc!$E$2:$G$986,3,1),
IF(J285&gt;0,VLOOKUP(J285,Foundation_Calc!$E$2:$G$986,3,1),""))</f>
        <v/>
      </c>
      <c r="AY285" s="631" t="str">
        <f>IF(L285="","",
IF(AX285="PT",VLOOKUP(L285,Foundation_Calc!$K$4:$R$37,VLOOKUP(AW285,Foundation_Calc!$I$2:$J$8,2,FALSE),0),
IF(AX285="K",VLOOKUP(L285,Foundation_Calc!$K$41:$R$74,VLOOKUP(AW285,Foundation_Calc!$I$2:$J$8,2,FALSE),0),"")))</f>
        <v/>
      </c>
      <c r="AZ285" s="631" t="str">
        <f>IF(K285="","",
IF(AX285="PT",VLOOKUP(K285,Foundation_Calc!$K$4:$R$37,VLOOKUP(AW285,Foundation_Calc!$I$2:$J$8,2,FALSE),0),
IF(AX285="K",VLOOKUP(K285,Foundation_Calc!$K$41:$R$74,VLOOKUP(AW285,Foundation_Calc!$I$2:$J$8,2,FALSE),0),"")))</f>
        <v/>
      </c>
      <c r="BA285" s="632" t="str">
        <f t="shared" si="18"/>
        <v/>
      </c>
      <c r="BB285" s="632" t="str">
        <f t="shared" si="19"/>
        <v/>
      </c>
      <c r="BC285" s="632" t="str">
        <f t="shared" si="20"/>
        <v/>
      </c>
      <c r="BD285" s="633" t="str">
        <f>IF(AND(L285="",H285=""),"",
IF(H285="",Pole_Calc!A313,
IF(H285="MP",Pole_Calc!A314,
IF(H285="AnMP",Pole_Calc!A315,
IF(H285="A",Pole_Calc!A316,
IF(H285="S/A",Pole_Calc!A317,
IF(H285="A/S",Pole_Calc!A318,"Poner a mano")))))))</f>
        <v/>
      </c>
      <c r="BE285" s="448" t="s">
        <v>1726</v>
      </c>
      <c r="BF285" s="635"/>
      <c r="BG285" s="635"/>
      <c r="BH285" s="634"/>
      <c r="BI285" s="635"/>
    </row>
    <row r="286" spans="1:61" ht="16.2" customHeight="1">
      <c r="A286" s="12"/>
      <c r="B286" s="446"/>
      <c r="C286" s="89"/>
      <c r="D286" s="13"/>
      <c r="E286" s="14"/>
      <c r="F286" s="14"/>
      <c r="G286" s="15"/>
      <c r="H286" s="8"/>
      <c r="I286" s="8"/>
      <c r="J286" s="89"/>
      <c r="K286" s="8"/>
      <c r="L286" s="8"/>
      <c r="M286" s="8" t="str">
        <f>IF(L286="","",
IF(AX286="PT",VLOOKUP(L286,Foundation_Calc!$V$4:$X$37,VLOOKUP(AX286,Foundation_Calc!$I$10:$J$13,2,FALSE),0),
IF(AX286="K",VLOOKUP(L286,Foundation_Calc!$V$41:$X$74,VLOOKUP(AX286,Foundation_Calc!$I$10:$J$13,2,FALSE),0),"")))</f>
        <v/>
      </c>
      <c r="N286" s="8"/>
      <c r="O286" s="8"/>
      <c r="P286" s="8"/>
      <c r="Q286" s="14"/>
      <c r="R286" s="15"/>
      <c r="S286" s="15"/>
      <c r="T286" s="14"/>
      <c r="U286" s="14"/>
      <c r="V286" s="14"/>
      <c r="W286" s="18"/>
      <c r="X286" s="18"/>
      <c r="Y286" s="18"/>
      <c r="Z286" s="18"/>
      <c r="AA286" s="18"/>
      <c r="AB286" s="18"/>
      <c r="AC286" s="8" t="str">
        <f t="shared" si="17"/>
        <v/>
      </c>
      <c r="AD286" s="8"/>
      <c r="AE286" s="8"/>
      <c r="AF286" s="14"/>
      <c r="AG286" s="13"/>
      <c r="AH286" s="14"/>
      <c r="AI286" s="14"/>
      <c r="AJ286" s="8"/>
      <c r="AK286" s="8"/>
      <c r="AL286" s="8"/>
      <c r="AM286" s="8"/>
      <c r="AN286" s="631"/>
      <c r="AO286" s="18"/>
      <c r="AP286" s="18"/>
      <c r="AQ286" s="18"/>
      <c r="AR286" s="18"/>
      <c r="AS286" s="18"/>
      <c r="AU286" s="448"/>
      <c r="AV286" s="448"/>
      <c r="AW286" s="8" t="str">
        <f>IF(C286&gt;0,VLOOKUP(C286,Foundation_Calc!$A$2:$C$986,3,1),
IF(J286&gt;0,VLOOKUP(J286,Foundation_Calc!$A$2:$C$986,3,1),""))</f>
        <v/>
      </c>
      <c r="AX286" s="8" t="str">
        <f>IF(C286&gt;0,VLOOKUP(C286,Foundation_Calc!$E$2:$G$986,3,1),
IF(J286&gt;0,VLOOKUP(J286,Foundation_Calc!$E$2:$G$986,3,1),""))</f>
        <v/>
      </c>
      <c r="AY286" s="631" t="str">
        <f>IF(L286="","",
IF(AX286="PT",VLOOKUP(L286,Foundation_Calc!$K$4:$R$37,VLOOKUP(AW286,Foundation_Calc!$I$2:$J$8,2,FALSE),0),
IF(AX286="K",VLOOKUP(L286,Foundation_Calc!$K$41:$R$74,VLOOKUP(AW286,Foundation_Calc!$I$2:$J$8,2,FALSE),0),"")))</f>
        <v/>
      </c>
      <c r="AZ286" s="631" t="str">
        <f>IF(K286="","",
IF(AX286="PT",VLOOKUP(K286,Foundation_Calc!$K$4:$R$37,VLOOKUP(AW286,Foundation_Calc!$I$2:$J$8,2,FALSE),0),
IF(AX286="K",VLOOKUP(K286,Foundation_Calc!$K$41:$R$74,VLOOKUP(AW286,Foundation_Calc!$I$2:$J$8,2,FALSE),0),"")))</f>
        <v/>
      </c>
      <c r="BA286" s="632" t="str">
        <f t="shared" si="18"/>
        <v/>
      </c>
      <c r="BB286" s="632" t="str">
        <f t="shared" si="19"/>
        <v/>
      </c>
      <c r="BC286" s="632" t="str">
        <f t="shared" si="20"/>
        <v/>
      </c>
      <c r="BD286" s="633" t="str">
        <f>IF(AND(L286="",H286=""),"",
IF(H286="",Pole_Calc!A314,
IF(H286="MP",Pole_Calc!A315,
IF(H286="AnMP",Pole_Calc!A316,
IF(H286="A",Pole_Calc!A317,
IF(H286="S/A",Pole_Calc!A318,
IF(H286="A/S",Pole_Calc!A319,"Poner a mano")))))))</f>
        <v/>
      </c>
      <c r="BE286" s="448" t="s">
        <v>1726</v>
      </c>
      <c r="BF286" s="634"/>
      <c r="BG286" s="634"/>
      <c r="BH286" s="634"/>
      <c r="BI286" s="634"/>
    </row>
    <row r="287" spans="1:61" ht="16.2" customHeight="1">
      <c r="A287" s="12"/>
      <c r="B287" s="446"/>
      <c r="C287" s="89"/>
      <c r="D287" s="13"/>
      <c r="E287" s="14"/>
      <c r="F287" s="14"/>
      <c r="G287" s="15"/>
      <c r="H287" s="8"/>
      <c r="I287" s="8"/>
      <c r="J287" s="89"/>
      <c r="K287" s="8"/>
      <c r="L287" s="8"/>
      <c r="M287" s="8" t="str">
        <f>IF(L287="","",
IF(AX287="PT",VLOOKUP(L287,Foundation_Calc!$V$4:$X$37,VLOOKUP(AX287,Foundation_Calc!$I$10:$J$13,2,FALSE),0),
IF(AX287="K",VLOOKUP(L287,Foundation_Calc!$V$41:$X$74,VLOOKUP(AX287,Foundation_Calc!$I$10:$J$13,2,FALSE),0),"")))</f>
        <v/>
      </c>
      <c r="N287" s="8"/>
      <c r="O287" s="8"/>
      <c r="P287" s="8"/>
      <c r="Q287" s="14"/>
      <c r="R287" s="15"/>
      <c r="S287" s="15"/>
      <c r="T287" s="14"/>
      <c r="U287" s="14"/>
      <c r="V287" s="14"/>
      <c r="W287" s="18"/>
      <c r="X287" s="18"/>
      <c r="Y287" s="18"/>
      <c r="Z287" s="18"/>
      <c r="AA287" s="18"/>
      <c r="AB287" s="18"/>
      <c r="AC287" s="8" t="str">
        <f t="shared" si="17"/>
        <v/>
      </c>
      <c r="AD287" s="8"/>
      <c r="AE287" s="8"/>
      <c r="AF287" s="14"/>
      <c r="AG287" s="13"/>
      <c r="AH287" s="14"/>
      <c r="AI287" s="14"/>
      <c r="AJ287" s="8"/>
      <c r="AK287" s="8"/>
      <c r="AL287" s="8"/>
      <c r="AM287" s="8"/>
      <c r="AN287" s="631"/>
      <c r="AO287" s="18"/>
      <c r="AP287" s="18"/>
      <c r="AQ287" s="18"/>
      <c r="AR287" s="18"/>
      <c r="AS287" s="18"/>
      <c r="AU287" s="448"/>
      <c r="AV287" s="448"/>
      <c r="AW287" s="8" t="str">
        <f>IF(C287&gt;0,VLOOKUP(C287,Foundation_Calc!$A$2:$C$986,3,1),
IF(J287&gt;0,VLOOKUP(J287,Foundation_Calc!$A$2:$C$986,3,1),""))</f>
        <v/>
      </c>
      <c r="AX287" s="8" t="str">
        <f>IF(C287&gt;0,VLOOKUP(C287,Foundation_Calc!$E$2:$G$986,3,1),
IF(J287&gt;0,VLOOKUP(J287,Foundation_Calc!$E$2:$G$986,3,1),""))</f>
        <v/>
      </c>
      <c r="AY287" s="631" t="str">
        <f>IF(L287="","",
IF(AX287="PT",VLOOKUP(L287,Foundation_Calc!$K$4:$R$37,VLOOKUP(AW287,Foundation_Calc!$I$2:$J$8,2,FALSE),0),
IF(AX287="K",VLOOKUP(L287,Foundation_Calc!$K$41:$R$74,VLOOKUP(AW287,Foundation_Calc!$I$2:$J$8,2,FALSE),0),"")))</f>
        <v/>
      </c>
      <c r="AZ287" s="631" t="str">
        <f>IF(K287="","",
IF(AX287="PT",VLOOKUP(K287,Foundation_Calc!$K$4:$R$37,VLOOKUP(AW287,Foundation_Calc!$I$2:$J$8,2,FALSE),0),
IF(AX287="K",VLOOKUP(K287,Foundation_Calc!$K$41:$R$74,VLOOKUP(AW287,Foundation_Calc!$I$2:$J$8,2,FALSE),0),"")))</f>
        <v/>
      </c>
      <c r="BA287" s="632" t="str">
        <f t="shared" si="18"/>
        <v/>
      </c>
      <c r="BB287" s="632" t="str">
        <f t="shared" si="19"/>
        <v/>
      </c>
      <c r="BC287" s="632" t="str">
        <f t="shared" si="20"/>
        <v/>
      </c>
      <c r="BD287" s="633" t="str">
        <f>IF(AND(L287="",H287=""),"",
IF(H287="",Pole_Calc!A315,
IF(H287="MP",Pole_Calc!A316,
IF(H287="AnMP",Pole_Calc!A317,
IF(H287="A",Pole_Calc!A318,
IF(H287="S/A",Pole_Calc!A319,
IF(H287="A/S",Pole_Calc!A320,"Poner a mano")))))))</f>
        <v/>
      </c>
      <c r="BE287" s="448" t="s">
        <v>1726</v>
      </c>
      <c r="BF287" s="635"/>
      <c r="BG287" s="635"/>
      <c r="BH287" s="634"/>
      <c r="BI287" s="635"/>
    </row>
    <row r="288" spans="1:61" ht="16.2" customHeight="1">
      <c r="A288" s="12"/>
      <c r="B288" s="446"/>
      <c r="C288" s="89"/>
      <c r="D288" s="13"/>
      <c r="E288" s="14"/>
      <c r="F288" s="14"/>
      <c r="G288" s="15"/>
      <c r="H288" s="8"/>
      <c r="I288" s="8"/>
      <c r="J288" s="89"/>
      <c r="K288" s="8"/>
      <c r="L288" s="8"/>
      <c r="M288" s="8" t="str">
        <f>IF(L288="","",
IF(AX288="PT",VLOOKUP(L288,Foundation_Calc!$V$4:$X$37,VLOOKUP(AX288,Foundation_Calc!$I$10:$J$13,2,FALSE),0),
IF(AX288="K",VLOOKUP(L288,Foundation_Calc!$V$41:$X$74,VLOOKUP(AX288,Foundation_Calc!$I$10:$J$13,2,FALSE),0),"")))</f>
        <v/>
      </c>
      <c r="N288" s="8"/>
      <c r="O288" s="8"/>
      <c r="P288" s="8"/>
      <c r="Q288" s="14"/>
      <c r="R288" s="15"/>
      <c r="S288" s="15"/>
      <c r="T288" s="14"/>
      <c r="U288" s="14"/>
      <c r="V288" s="14"/>
      <c r="W288" s="18"/>
      <c r="X288" s="18"/>
      <c r="Y288" s="18"/>
      <c r="Z288" s="18"/>
      <c r="AA288" s="18"/>
      <c r="AB288" s="18"/>
      <c r="AC288" s="8" t="str">
        <f t="shared" si="17"/>
        <v/>
      </c>
      <c r="AD288" s="8"/>
      <c r="AE288" s="8"/>
      <c r="AF288" s="14"/>
      <c r="AG288" s="13"/>
      <c r="AH288" s="14"/>
      <c r="AI288" s="14"/>
      <c r="AJ288" s="8"/>
      <c r="AK288" s="8"/>
      <c r="AL288" s="8"/>
      <c r="AM288" s="8"/>
      <c r="AN288" s="631"/>
      <c r="AO288" s="18"/>
      <c r="AP288" s="18"/>
      <c r="AQ288" s="18"/>
      <c r="AR288" s="18"/>
      <c r="AS288" s="18"/>
      <c r="AU288" s="448"/>
      <c r="AV288" s="448"/>
      <c r="AW288" s="8" t="str">
        <f>IF(C288&gt;0,VLOOKUP(C288,Foundation_Calc!$A$2:$C$986,3,1),
IF(J288&gt;0,VLOOKUP(J288,Foundation_Calc!$A$2:$C$986,3,1),""))</f>
        <v/>
      </c>
      <c r="AX288" s="8" t="str">
        <f>IF(C288&gt;0,VLOOKUP(C288,Foundation_Calc!$E$2:$G$986,3,1),
IF(J288&gt;0,VLOOKUP(J288,Foundation_Calc!$E$2:$G$986,3,1),""))</f>
        <v/>
      </c>
      <c r="AY288" s="631" t="str">
        <f>IF(L288="","",
IF(AX288="PT",VLOOKUP(L288,Foundation_Calc!$K$4:$R$37,VLOOKUP(AW288,Foundation_Calc!$I$2:$J$8,2,FALSE),0),
IF(AX288="K",VLOOKUP(L288,Foundation_Calc!$K$41:$R$74,VLOOKUP(AW288,Foundation_Calc!$I$2:$J$8,2,FALSE),0),"")))</f>
        <v/>
      </c>
      <c r="AZ288" s="631" t="str">
        <f>IF(K288="","",
IF(AX288="PT",VLOOKUP(K288,Foundation_Calc!$K$4:$R$37,VLOOKUP(AW288,Foundation_Calc!$I$2:$J$8,2,FALSE),0),
IF(AX288="K",VLOOKUP(K288,Foundation_Calc!$K$41:$R$74,VLOOKUP(AW288,Foundation_Calc!$I$2:$J$8,2,FALSE),0),"")))</f>
        <v/>
      </c>
      <c r="BA288" s="632" t="str">
        <f t="shared" si="18"/>
        <v/>
      </c>
      <c r="BB288" s="632" t="str">
        <f t="shared" si="19"/>
        <v/>
      </c>
      <c r="BC288" s="632" t="str">
        <f t="shared" si="20"/>
        <v/>
      </c>
      <c r="BD288" s="633" t="str">
        <f>IF(AND(L288="",H288=""),"",
IF(H288="",Pole_Calc!A316,
IF(H288="MP",Pole_Calc!A317,
IF(H288="AnMP",Pole_Calc!A318,
IF(H288="A",Pole_Calc!A319,
IF(H288="S/A",Pole_Calc!A320,
IF(H288="A/S",Pole_Calc!A321,"Poner a mano")))))))</f>
        <v/>
      </c>
      <c r="BE288" s="448" t="s">
        <v>1726</v>
      </c>
      <c r="BF288" s="634"/>
      <c r="BG288" s="634"/>
      <c r="BH288" s="634"/>
      <c r="BI288" s="634"/>
    </row>
    <row r="289" spans="1:61" ht="16.2" customHeight="1">
      <c r="A289" s="12"/>
      <c r="B289" s="446"/>
      <c r="C289" s="89"/>
      <c r="D289" s="13"/>
      <c r="E289" s="14"/>
      <c r="F289" s="14"/>
      <c r="G289" s="15"/>
      <c r="H289" s="8"/>
      <c r="I289" s="8"/>
      <c r="J289" s="89"/>
      <c r="K289" s="8"/>
      <c r="L289" s="8"/>
      <c r="M289" s="8" t="str">
        <f>IF(L289="","",
IF(AX289="PT",VLOOKUP(L289,Foundation_Calc!$V$4:$X$37,VLOOKUP(AX289,Foundation_Calc!$I$10:$J$13,2,FALSE),0),
IF(AX289="K",VLOOKUP(L289,Foundation_Calc!$V$41:$X$74,VLOOKUP(AX289,Foundation_Calc!$I$10:$J$13,2,FALSE),0),"")))</f>
        <v/>
      </c>
      <c r="N289" s="8"/>
      <c r="O289" s="8"/>
      <c r="P289" s="8"/>
      <c r="Q289" s="14"/>
      <c r="R289" s="15"/>
      <c r="S289" s="15"/>
      <c r="T289" s="14"/>
      <c r="U289" s="14"/>
      <c r="V289" s="14"/>
      <c r="W289" s="18"/>
      <c r="X289" s="18"/>
      <c r="Y289" s="18"/>
      <c r="Z289" s="18"/>
      <c r="AA289" s="18"/>
      <c r="AB289" s="18"/>
      <c r="AC289" s="8" t="str">
        <f t="shared" si="17"/>
        <v/>
      </c>
      <c r="AD289" s="8"/>
      <c r="AE289" s="8"/>
      <c r="AF289" s="14"/>
      <c r="AG289" s="13"/>
      <c r="AH289" s="14"/>
      <c r="AI289" s="14"/>
      <c r="AJ289" s="8"/>
      <c r="AK289" s="8"/>
      <c r="AL289" s="8"/>
      <c r="AM289" s="8"/>
      <c r="AN289" s="631"/>
      <c r="AO289" s="18"/>
      <c r="AP289" s="18"/>
      <c r="AQ289" s="18"/>
      <c r="AR289" s="18"/>
      <c r="AS289" s="18"/>
      <c r="AU289" s="448"/>
      <c r="AV289" s="448"/>
      <c r="AW289" s="8" t="str">
        <f>IF(C289&gt;0,VLOOKUP(C289,Foundation_Calc!$A$2:$C$986,3,1),
IF(J289&gt;0,VLOOKUP(J289,Foundation_Calc!$A$2:$C$986,3,1),""))</f>
        <v/>
      </c>
      <c r="AX289" s="8" t="str">
        <f>IF(C289&gt;0,VLOOKUP(C289,Foundation_Calc!$E$2:$G$986,3,1),
IF(J289&gt;0,VLOOKUP(J289,Foundation_Calc!$E$2:$G$986,3,1),""))</f>
        <v/>
      </c>
      <c r="AY289" s="631" t="str">
        <f>IF(L289="","",
IF(AX289="PT",VLOOKUP(L289,Foundation_Calc!$K$4:$R$37,VLOOKUP(AW289,Foundation_Calc!$I$2:$J$8,2,FALSE),0),
IF(AX289="K",VLOOKUP(L289,Foundation_Calc!$K$41:$R$74,VLOOKUP(AW289,Foundation_Calc!$I$2:$J$8,2,FALSE),0),"")))</f>
        <v/>
      </c>
      <c r="AZ289" s="631" t="str">
        <f>IF(K289="","",
IF(AX289="PT",VLOOKUP(K289,Foundation_Calc!$K$4:$R$37,VLOOKUP(AW289,Foundation_Calc!$I$2:$J$8,2,FALSE),0),
IF(AX289="K",VLOOKUP(K289,Foundation_Calc!$K$41:$R$74,VLOOKUP(AW289,Foundation_Calc!$I$2:$J$8,2,FALSE),0),"")))</f>
        <v/>
      </c>
      <c r="BA289" s="632" t="str">
        <f t="shared" si="18"/>
        <v/>
      </c>
      <c r="BB289" s="632" t="str">
        <f t="shared" si="19"/>
        <v/>
      </c>
      <c r="BC289" s="632" t="str">
        <f t="shared" si="20"/>
        <v/>
      </c>
      <c r="BD289" s="633" t="str">
        <f>IF(AND(L289="",H289=""),"",
IF(H289="",Pole_Calc!A317,
IF(H289="MP",Pole_Calc!A318,
IF(H289="AnMP",Pole_Calc!A319,
IF(H289="A",Pole_Calc!A320,
IF(H289="S/A",Pole_Calc!A321,
IF(H289="A/S",Pole_Calc!A322,"Poner a mano")))))))</f>
        <v/>
      </c>
      <c r="BE289" s="448" t="s">
        <v>1726</v>
      </c>
      <c r="BF289" s="635"/>
      <c r="BG289" s="635"/>
      <c r="BH289" s="634"/>
      <c r="BI289" s="635"/>
    </row>
    <row r="290" spans="1:61" ht="16.2" customHeight="1">
      <c r="A290" s="12"/>
      <c r="B290" s="446"/>
      <c r="C290" s="89"/>
      <c r="D290" s="13"/>
      <c r="E290" s="14"/>
      <c r="F290" s="14"/>
      <c r="G290" s="15"/>
      <c r="H290" s="8"/>
      <c r="I290" s="8"/>
      <c r="J290" s="89"/>
      <c r="K290" s="8"/>
      <c r="L290" s="8"/>
      <c r="M290" s="8" t="str">
        <f>IF(L290="","",
IF(AX290="PT",VLOOKUP(L290,Foundation_Calc!$V$4:$X$37,VLOOKUP(AX290,Foundation_Calc!$I$10:$J$13,2,FALSE),0),
IF(AX290="K",VLOOKUP(L290,Foundation_Calc!$V$41:$X$74,VLOOKUP(AX290,Foundation_Calc!$I$10:$J$13,2,FALSE),0),"")))</f>
        <v/>
      </c>
      <c r="N290" s="8"/>
      <c r="O290" s="8"/>
      <c r="P290" s="8"/>
      <c r="Q290" s="14"/>
      <c r="R290" s="15"/>
      <c r="S290" s="15"/>
      <c r="T290" s="14"/>
      <c r="U290" s="14"/>
      <c r="V290" s="14"/>
      <c r="W290" s="18"/>
      <c r="X290" s="18"/>
      <c r="Y290" s="18"/>
      <c r="Z290" s="18"/>
      <c r="AA290" s="18"/>
      <c r="AB290" s="18"/>
      <c r="AC290" s="8" t="str">
        <f t="shared" si="17"/>
        <v/>
      </c>
      <c r="AD290" s="8"/>
      <c r="AE290" s="8"/>
      <c r="AF290" s="14"/>
      <c r="AG290" s="13"/>
      <c r="AH290" s="14"/>
      <c r="AI290" s="14"/>
      <c r="AJ290" s="8"/>
      <c r="AK290" s="8"/>
      <c r="AL290" s="8"/>
      <c r="AM290" s="8"/>
      <c r="AN290" s="631"/>
      <c r="AO290" s="18"/>
      <c r="AP290" s="18"/>
      <c r="AQ290" s="18"/>
      <c r="AR290" s="18"/>
      <c r="AS290" s="18"/>
      <c r="AU290" s="448"/>
      <c r="AV290" s="448"/>
      <c r="AW290" s="8" t="str">
        <f>IF(C290&gt;0,VLOOKUP(C290,Foundation_Calc!$A$2:$C$986,3,1),
IF(J290&gt;0,VLOOKUP(J290,Foundation_Calc!$A$2:$C$986,3,1),""))</f>
        <v/>
      </c>
      <c r="AX290" s="8" t="str">
        <f>IF(C290&gt;0,VLOOKUP(C290,Foundation_Calc!$E$2:$G$986,3,1),
IF(J290&gt;0,VLOOKUP(J290,Foundation_Calc!$E$2:$G$986,3,1),""))</f>
        <v/>
      </c>
      <c r="AY290" s="631" t="str">
        <f>IF(L290="","",
IF(AX290="PT",VLOOKUP(L290,Foundation_Calc!$K$4:$R$37,VLOOKUP(AW290,Foundation_Calc!$I$2:$J$8,2,FALSE),0),
IF(AX290="K",VLOOKUP(L290,Foundation_Calc!$K$41:$R$74,VLOOKUP(AW290,Foundation_Calc!$I$2:$J$8,2,FALSE),0),"")))</f>
        <v/>
      </c>
      <c r="AZ290" s="631" t="str">
        <f>IF(K290="","",
IF(AX290="PT",VLOOKUP(K290,Foundation_Calc!$K$4:$R$37,VLOOKUP(AW290,Foundation_Calc!$I$2:$J$8,2,FALSE),0),
IF(AX290="K",VLOOKUP(K290,Foundation_Calc!$K$41:$R$74,VLOOKUP(AW290,Foundation_Calc!$I$2:$J$8,2,FALSE),0),"")))</f>
        <v/>
      </c>
      <c r="BA290" s="632" t="str">
        <f t="shared" si="18"/>
        <v/>
      </c>
      <c r="BB290" s="632" t="str">
        <f t="shared" si="19"/>
        <v/>
      </c>
      <c r="BC290" s="632" t="str">
        <f t="shared" si="20"/>
        <v/>
      </c>
      <c r="BD290" s="633" t="str">
        <f>IF(AND(L290="",H290=""),"",
IF(H290="",Pole_Calc!A318,
IF(H290="MP",Pole_Calc!A319,
IF(H290="AnMP",Pole_Calc!A320,
IF(H290="A",Pole_Calc!A321,
IF(H290="S/A",Pole_Calc!A322,
IF(H290="A/S",Pole_Calc!A323,"Poner a mano")))))))</f>
        <v/>
      </c>
      <c r="BE290" s="448" t="s">
        <v>1726</v>
      </c>
      <c r="BF290" s="634"/>
      <c r="BG290" s="634"/>
      <c r="BH290" s="634"/>
      <c r="BI290" s="634"/>
    </row>
    <row r="291" spans="1:61" ht="16.2" customHeight="1">
      <c r="A291" s="12"/>
      <c r="B291" s="446"/>
      <c r="C291" s="89"/>
      <c r="D291" s="13"/>
      <c r="E291" s="14"/>
      <c r="F291" s="14"/>
      <c r="G291" s="15"/>
      <c r="H291" s="8"/>
      <c r="I291" s="8"/>
      <c r="J291" s="89"/>
      <c r="K291" s="8"/>
      <c r="L291" s="8"/>
      <c r="M291" s="8" t="str">
        <f>IF(L291="","",
IF(AX291="PT",VLOOKUP(L291,Foundation_Calc!$V$4:$X$37,VLOOKUP(AX291,Foundation_Calc!$I$10:$J$13,2,FALSE),0),
IF(AX291="K",VLOOKUP(L291,Foundation_Calc!$V$41:$X$74,VLOOKUP(AX291,Foundation_Calc!$I$10:$J$13,2,FALSE),0),"")))</f>
        <v/>
      </c>
      <c r="N291" s="8"/>
      <c r="O291" s="8"/>
      <c r="P291" s="8"/>
      <c r="Q291" s="14"/>
      <c r="R291" s="15"/>
      <c r="S291" s="15"/>
      <c r="T291" s="14"/>
      <c r="U291" s="14"/>
      <c r="V291" s="14"/>
      <c r="W291" s="18"/>
      <c r="X291" s="18"/>
      <c r="Y291" s="18"/>
      <c r="Z291" s="18"/>
      <c r="AA291" s="18"/>
      <c r="AB291" s="18"/>
      <c r="AC291" s="8" t="str">
        <f t="shared" si="17"/>
        <v/>
      </c>
      <c r="AD291" s="8"/>
      <c r="AE291" s="8"/>
      <c r="AF291" s="14"/>
      <c r="AG291" s="13"/>
      <c r="AH291" s="14"/>
      <c r="AI291" s="14"/>
      <c r="AJ291" s="8"/>
      <c r="AK291" s="8"/>
      <c r="AL291" s="8"/>
      <c r="AM291" s="8"/>
      <c r="AN291" s="631"/>
      <c r="AO291" s="18"/>
      <c r="AP291" s="18"/>
      <c r="AQ291" s="18"/>
      <c r="AR291" s="18"/>
      <c r="AS291" s="18"/>
      <c r="AU291" s="448"/>
      <c r="AV291" s="448"/>
      <c r="AW291" s="8" t="str">
        <f>IF(C291&gt;0,VLOOKUP(C291,Foundation_Calc!$A$2:$C$986,3,1),
IF(J291&gt;0,VLOOKUP(J291,Foundation_Calc!$A$2:$C$986,3,1),""))</f>
        <v/>
      </c>
      <c r="AX291" s="8" t="str">
        <f>IF(C291&gt;0,VLOOKUP(C291,Foundation_Calc!$E$2:$G$986,3,1),
IF(J291&gt;0,VLOOKUP(J291,Foundation_Calc!$E$2:$G$986,3,1),""))</f>
        <v/>
      </c>
      <c r="AY291" s="631" t="str">
        <f>IF(L291="","",
IF(AX291="PT",VLOOKUP(L291,Foundation_Calc!$K$4:$R$37,VLOOKUP(AW291,Foundation_Calc!$I$2:$J$8,2,FALSE),0),
IF(AX291="K",VLOOKUP(L291,Foundation_Calc!$K$41:$R$74,VLOOKUP(AW291,Foundation_Calc!$I$2:$J$8,2,FALSE),0),"")))</f>
        <v/>
      </c>
      <c r="AZ291" s="631" t="str">
        <f>IF(K291="","",
IF(AX291="PT",VLOOKUP(K291,Foundation_Calc!$K$4:$R$37,VLOOKUP(AW291,Foundation_Calc!$I$2:$J$8,2,FALSE),0),
IF(AX291="K",VLOOKUP(K291,Foundation_Calc!$K$41:$R$74,VLOOKUP(AW291,Foundation_Calc!$I$2:$J$8,2,FALSE),0),"")))</f>
        <v/>
      </c>
      <c r="BA291" s="632" t="str">
        <f t="shared" si="18"/>
        <v/>
      </c>
      <c r="BB291" s="632" t="str">
        <f t="shared" si="19"/>
        <v/>
      </c>
      <c r="BC291" s="632" t="str">
        <f t="shared" si="20"/>
        <v/>
      </c>
      <c r="BD291" s="633" t="str">
        <f>IF(AND(L291="",H291=""),"",
IF(H291="",Pole_Calc!A319,
IF(H291="MP",Pole_Calc!A320,
IF(H291="AnMP",Pole_Calc!A321,
IF(H291="A",Pole_Calc!A322,
IF(H291="S/A",Pole_Calc!A323,
IF(H291="A/S",Pole_Calc!A324,"Poner a mano")))))))</f>
        <v/>
      </c>
      <c r="BE291" s="448" t="s">
        <v>1726</v>
      </c>
      <c r="BF291" s="635"/>
      <c r="BG291" s="635"/>
      <c r="BH291" s="634"/>
      <c r="BI291" s="635"/>
    </row>
    <row r="292" spans="1:61" ht="16.2" customHeight="1">
      <c r="A292" s="12"/>
      <c r="B292" s="446"/>
      <c r="C292" s="89"/>
      <c r="D292" s="13"/>
      <c r="E292" s="14"/>
      <c r="F292" s="14"/>
      <c r="G292" s="15"/>
      <c r="H292" s="8"/>
      <c r="I292" s="8"/>
      <c r="J292" s="89"/>
      <c r="K292" s="8"/>
      <c r="L292" s="8"/>
      <c r="M292" s="8" t="str">
        <f>IF(L292="","",
IF(AX292="PT",VLOOKUP(L292,Foundation_Calc!$V$4:$X$37,VLOOKUP(AX292,Foundation_Calc!$I$10:$J$13,2,FALSE),0),
IF(AX292="K",VLOOKUP(L292,Foundation_Calc!$V$41:$X$74,VLOOKUP(AX292,Foundation_Calc!$I$10:$J$13,2,FALSE),0),"")))</f>
        <v/>
      </c>
      <c r="N292" s="8"/>
      <c r="O292" s="8"/>
      <c r="P292" s="8"/>
      <c r="Q292" s="14"/>
      <c r="R292" s="15"/>
      <c r="S292" s="15"/>
      <c r="T292" s="14"/>
      <c r="U292" s="14"/>
      <c r="V292" s="14"/>
      <c r="W292" s="18"/>
      <c r="X292" s="18"/>
      <c r="Y292" s="18"/>
      <c r="Z292" s="18"/>
      <c r="AA292" s="18"/>
      <c r="AB292" s="18"/>
      <c r="AC292" s="8" t="str">
        <f t="shared" si="17"/>
        <v/>
      </c>
      <c r="AD292" s="8"/>
      <c r="AE292" s="8"/>
      <c r="AF292" s="14"/>
      <c r="AG292" s="13"/>
      <c r="AH292" s="14"/>
      <c r="AI292" s="14"/>
      <c r="AJ292" s="8"/>
      <c r="AK292" s="8"/>
      <c r="AL292" s="8"/>
      <c r="AM292" s="8"/>
      <c r="AN292" s="631"/>
      <c r="AO292" s="18"/>
      <c r="AP292" s="18"/>
      <c r="AQ292" s="18"/>
      <c r="AR292" s="18"/>
      <c r="AS292" s="18"/>
      <c r="AU292" s="448"/>
      <c r="AV292" s="448"/>
      <c r="AW292" s="8" t="str">
        <f>IF(C292&gt;0,VLOOKUP(C292,Foundation_Calc!$A$2:$C$986,3,1),
IF(J292&gt;0,VLOOKUP(J292,Foundation_Calc!$A$2:$C$986,3,1),""))</f>
        <v/>
      </c>
      <c r="AX292" s="8" t="str">
        <f>IF(C292&gt;0,VLOOKUP(C292,Foundation_Calc!$E$2:$G$986,3,1),
IF(J292&gt;0,VLOOKUP(J292,Foundation_Calc!$E$2:$G$986,3,1),""))</f>
        <v/>
      </c>
      <c r="AY292" s="631" t="str">
        <f>IF(L292="","",
IF(AX292="PT",VLOOKUP(L292,Foundation_Calc!$K$4:$R$37,VLOOKUP(AW292,Foundation_Calc!$I$2:$J$8,2,FALSE),0),
IF(AX292="K",VLOOKUP(L292,Foundation_Calc!$K$41:$R$74,VLOOKUP(AW292,Foundation_Calc!$I$2:$J$8,2,FALSE),0),"")))</f>
        <v/>
      </c>
      <c r="AZ292" s="631" t="str">
        <f>IF(K292="","",
IF(AX292="PT",VLOOKUP(K292,Foundation_Calc!$K$4:$R$37,VLOOKUP(AW292,Foundation_Calc!$I$2:$J$8,2,FALSE),0),
IF(AX292="K",VLOOKUP(K292,Foundation_Calc!$K$41:$R$74,VLOOKUP(AW292,Foundation_Calc!$I$2:$J$8,2,FALSE),0),"")))</f>
        <v/>
      </c>
      <c r="BA292" s="632" t="str">
        <f t="shared" si="18"/>
        <v/>
      </c>
      <c r="BB292" s="632" t="str">
        <f t="shared" si="19"/>
        <v/>
      </c>
      <c r="BC292" s="632" t="str">
        <f t="shared" si="20"/>
        <v/>
      </c>
      <c r="BD292" s="633" t="str">
        <f>IF(AND(L292="",H292=""),"",
IF(H292="",Pole_Calc!A320,
IF(H292="MP",Pole_Calc!A321,
IF(H292="AnMP",Pole_Calc!A322,
IF(H292="A",Pole_Calc!A323,
IF(H292="S/A",Pole_Calc!A324,
IF(H292="A/S",Pole_Calc!A325,"Poner a mano")))))))</f>
        <v/>
      </c>
      <c r="BE292" s="448" t="s">
        <v>1726</v>
      </c>
      <c r="BF292" s="634"/>
      <c r="BG292" s="634"/>
      <c r="BH292" s="634"/>
      <c r="BI292" s="634"/>
    </row>
    <row r="293" spans="1:61" ht="16.2" customHeight="1">
      <c r="A293" s="12"/>
      <c r="B293" s="446"/>
      <c r="C293" s="89"/>
      <c r="D293" s="13"/>
      <c r="E293" s="14"/>
      <c r="F293" s="14"/>
      <c r="G293" s="15"/>
      <c r="H293" s="8"/>
      <c r="I293" s="8"/>
      <c r="J293" s="89"/>
      <c r="K293" s="8"/>
      <c r="L293" s="8"/>
      <c r="M293" s="8" t="str">
        <f>IF(L293="","",
IF(AX293="PT",VLOOKUP(L293,Foundation_Calc!$V$4:$X$37,VLOOKUP(AX293,Foundation_Calc!$I$10:$J$13,2,FALSE),0),
IF(AX293="K",VLOOKUP(L293,Foundation_Calc!$V$41:$X$74,VLOOKUP(AX293,Foundation_Calc!$I$10:$J$13,2,FALSE),0),"")))</f>
        <v/>
      </c>
      <c r="N293" s="8"/>
      <c r="O293" s="8"/>
      <c r="P293" s="8"/>
      <c r="Q293" s="14"/>
      <c r="R293" s="15"/>
      <c r="S293" s="15"/>
      <c r="T293" s="14"/>
      <c r="U293" s="14"/>
      <c r="V293" s="14"/>
      <c r="W293" s="18"/>
      <c r="X293" s="18"/>
      <c r="Y293" s="18"/>
      <c r="Z293" s="18"/>
      <c r="AA293" s="18"/>
      <c r="AB293" s="18"/>
      <c r="AC293" s="8" t="str">
        <f t="shared" si="17"/>
        <v/>
      </c>
      <c r="AD293" s="8"/>
      <c r="AE293" s="8"/>
      <c r="AF293" s="14"/>
      <c r="AG293" s="13"/>
      <c r="AH293" s="14"/>
      <c r="AI293" s="14"/>
      <c r="AJ293" s="8"/>
      <c r="AK293" s="8"/>
      <c r="AL293" s="8"/>
      <c r="AM293" s="8"/>
      <c r="AN293" s="631"/>
      <c r="AO293" s="18"/>
      <c r="AP293" s="18"/>
      <c r="AQ293" s="18"/>
      <c r="AR293" s="18"/>
      <c r="AS293" s="18"/>
      <c r="AU293" s="448"/>
      <c r="AV293" s="448"/>
      <c r="AW293" s="8" t="str">
        <f>IF(C293&gt;0,VLOOKUP(C293,Foundation_Calc!$A$2:$C$986,3,1),
IF(J293&gt;0,VLOOKUP(J293,Foundation_Calc!$A$2:$C$986,3,1),""))</f>
        <v/>
      </c>
      <c r="AX293" s="8" t="str">
        <f>IF(C293&gt;0,VLOOKUP(C293,Foundation_Calc!$E$2:$G$986,3,1),
IF(J293&gt;0,VLOOKUP(J293,Foundation_Calc!$E$2:$G$986,3,1),""))</f>
        <v/>
      </c>
      <c r="AY293" s="631" t="str">
        <f>IF(L293="","",
IF(AX293="PT",VLOOKUP(L293,Foundation_Calc!$K$4:$R$37,VLOOKUP(AW293,Foundation_Calc!$I$2:$J$8,2,FALSE),0),
IF(AX293="K",VLOOKUP(L293,Foundation_Calc!$K$41:$R$74,VLOOKUP(AW293,Foundation_Calc!$I$2:$J$8,2,FALSE),0),"")))</f>
        <v/>
      </c>
      <c r="AZ293" s="631" t="str">
        <f>IF(K293="","",
IF(AX293="PT",VLOOKUP(K293,Foundation_Calc!$K$4:$R$37,VLOOKUP(AW293,Foundation_Calc!$I$2:$J$8,2,FALSE),0),
IF(AX293="K",VLOOKUP(K293,Foundation_Calc!$K$41:$R$74,VLOOKUP(AW293,Foundation_Calc!$I$2:$J$8,2,FALSE),0),"")))</f>
        <v/>
      </c>
      <c r="BA293" s="632" t="str">
        <f t="shared" si="18"/>
        <v/>
      </c>
      <c r="BB293" s="632" t="str">
        <f t="shared" si="19"/>
        <v/>
      </c>
      <c r="BC293" s="632" t="str">
        <f t="shared" si="20"/>
        <v/>
      </c>
      <c r="BD293" s="633" t="str">
        <f>IF(AND(L293="",H293=""),"",
IF(H293="",Pole_Calc!A321,
IF(H293="MP",Pole_Calc!A322,
IF(H293="AnMP",Pole_Calc!A323,
IF(H293="A",Pole_Calc!A324,
IF(H293="S/A",Pole_Calc!A325,
IF(H293="A/S",Pole_Calc!A326,"Poner a mano")))))))</f>
        <v/>
      </c>
      <c r="BE293" s="448" t="s">
        <v>1726</v>
      </c>
      <c r="BF293" s="635"/>
      <c r="BG293" s="635"/>
      <c r="BH293" s="634"/>
      <c r="BI293" s="635"/>
    </row>
    <row r="294" spans="1:61" ht="16.2" customHeight="1">
      <c r="A294" s="12"/>
      <c r="B294" s="446"/>
      <c r="C294" s="89"/>
      <c r="D294" s="13"/>
      <c r="E294" s="14"/>
      <c r="F294" s="14"/>
      <c r="G294" s="15"/>
      <c r="H294" s="8"/>
      <c r="I294" s="8"/>
      <c r="J294" s="89"/>
      <c r="K294" s="8"/>
      <c r="L294" s="8"/>
      <c r="M294" s="8" t="str">
        <f>IF(L294="","",
IF(AX294="PT",VLOOKUP(L294,Foundation_Calc!$V$4:$X$37,VLOOKUP(AX294,Foundation_Calc!$I$10:$J$13,2,FALSE),0),
IF(AX294="K",VLOOKUP(L294,Foundation_Calc!$V$41:$X$74,VLOOKUP(AX294,Foundation_Calc!$I$10:$J$13,2,FALSE),0),"")))</f>
        <v/>
      </c>
      <c r="N294" s="8"/>
      <c r="O294" s="8"/>
      <c r="P294" s="8"/>
      <c r="Q294" s="14"/>
      <c r="R294" s="15"/>
      <c r="S294" s="15"/>
      <c r="T294" s="14"/>
      <c r="U294" s="14"/>
      <c r="V294" s="14"/>
      <c r="W294" s="18"/>
      <c r="X294" s="18"/>
      <c r="Y294" s="18"/>
      <c r="Z294" s="18"/>
      <c r="AA294" s="18"/>
      <c r="AB294" s="18"/>
      <c r="AC294" s="8" t="str">
        <f t="shared" si="17"/>
        <v/>
      </c>
      <c r="AD294" s="8"/>
      <c r="AE294" s="8"/>
      <c r="AF294" s="14"/>
      <c r="AG294" s="13"/>
      <c r="AH294" s="14"/>
      <c r="AI294" s="14"/>
      <c r="AJ294" s="8"/>
      <c r="AK294" s="8"/>
      <c r="AL294" s="8"/>
      <c r="AM294" s="8"/>
      <c r="AN294" s="631"/>
      <c r="AO294" s="18"/>
      <c r="AP294" s="18"/>
      <c r="AQ294" s="18"/>
      <c r="AR294" s="18"/>
      <c r="AS294" s="18"/>
      <c r="AU294" s="448"/>
      <c r="AV294" s="448"/>
      <c r="AW294" s="8" t="str">
        <f>IF(C294&gt;0,VLOOKUP(C294,Foundation_Calc!$A$2:$C$986,3,1),
IF(J294&gt;0,VLOOKUP(J294,Foundation_Calc!$A$2:$C$986,3,1),""))</f>
        <v/>
      </c>
      <c r="AX294" s="8" t="str">
        <f>IF(C294&gt;0,VLOOKUP(C294,Foundation_Calc!$E$2:$G$986,3,1),
IF(J294&gt;0,VLOOKUP(J294,Foundation_Calc!$E$2:$G$986,3,1),""))</f>
        <v/>
      </c>
      <c r="AY294" s="631" t="str">
        <f>IF(L294="","",
IF(AX294="PT",VLOOKUP(L294,Foundation_Calc!$K$4:$R$37,VLOOKUP(AW294,Foundation_Calc!$I$2:$J$8,2,FALSE),0),
IF(AX294="K",VLOOKUP(L294,Foundation_Calc!$K$41:$R$74,VLOOKUP(AW294,Foundation_Calc!$I$2:$J$8,2,FALSE),0),"")))</f>
        <v/>
      </c>
      <c r="AZ294" s="631" t="str">
        <f>IF(K294="","",
IF(AX294="PT",VLOOKUP(K294,Foundation_Calc!$K$4:$R$37,VLOOKUP(AW294,Foundation_Calc!$I$2:$J$8,2,FALSE),0),
IF(AX294="K",VLOOKUP(K294,Foundation_Calc!$K$41:$R$74,VLOOKUP(AW294,Foundation_Calc!$I$2:$J$8,2,FALSE),0),"")))</f>
        <v/>
      </c>
      <c r="BA294" s="632" t="str">
        <f t="shared" si="18"/>
        <v/>
      </c>
      <c r="BB294" s="632" t="str">
        <f t="shared" si="19"/>
        <v/>
      </c>
      <c r="BC294" s="632" t="str">
        <f t="shared" si="20"/>
        <v/>
      </c>
      <c r="BD294" s="633" t="str">
        <f>IF(AND(L294="",H294=""),"",
IF(H294="",Pole_Calc!A322,
IF(H294="MP",Pole_Calc!A323,
IF(H294="AnMP",Pole_Calc!A324,
IF(H294="A",Pole_Calc!A325,
IF(H294="S/A",Pole_Calc!A326,
IF(H294="A/S",Pole_Calc!A327,"Poner a mano")))))))</f>
        <v/>
      </c>
      <c r="BE294" s="448" t="s">
        <v>1726</v>
      </c>
      <c r="BF294" s="634"/>
      <c r="BG294" s="634"/>
      <c r="BH294" s="634"/>
      <c r="BI294" s="634"/>
    </row>
    <row r="295" spans="1:61" ht="16.2" customHeight="1">
      <c r="A295" s="12"/>
      <c r="B295" s="446"/>
      <c r="C295" s="89"/>
      <c r="D295" s="13"/>
      <c r="E295" s="14"/>
      <c r="F295" s="14"/>
      <c r="G295" s="15"/>
      <c r="H295" s="8"/>
      <c r="I295" s="8"/>
      <c r="J295" s="89"/>
      <c r="K295" s="8"/>
      <c r="L295" s="8"/>
      <c r="M295" s="8" t="str">
        <f>IF(L295="","",
IF(AX295="PT",VLOOKUP(L295,Foundation_Calc!$V$4:$X$37,VLOOKUP(AX295,Foundation_Calc!$I$10:$J$13,2,FALSE),0),
IF(AX295="K",VLOOKUP(L295,Foundation_Calc!$V$41:$X$74,VLOOKUP(AX295,Foundation_Calc!$I$10:$J$13,2,FALSE),0),"")))</f>
        <v/>
      </c>
      <c r="N295" s="8"/>
      <c r="O295" s="8"/>
      <c r="P295" s="8"/>
      <c r="Q295" s="14"/>
      <c r="R295" s="15"/>
      <c r="S295" s="15"/>
      <c r="T295" s="14"/>
      <c r="U295" s="14"/>
      <c r="V295" s="14"/>
      <c r="W295" s="18"/>
      <c r="X295" s="18"/>
      <c r="Y295" s="18"/>
      <c r="Z295" s="18"/>
      <c r="AA295" s="18"/>
      <c r="AB295" s="18"/>
      <c r="AC295" s="8" t="str">
        <f t="shared" si="17"/>
        <v/>
      </c>
      <c r="AD295" s="8"/>
      <c r="AE295" s="8"/>
      <c r="AF295" s="14"/>
      <c r="AG295" s="13"/>
      <c r="AH295" s="14"/>
      <c r="AI295" s="14"/>
      <c r="AJ295" s="8"/>
      <c r="AK295" s="8"/>
      <c r="AL295" s="8"/>
      <c r="AM295" s="8"/>
      <c r="AN295" s="631"/>
      <c r="AO295" s="18"/>
      <c r="AP295" s="18"/>
      <c r="AQ295" s="18"/>
      <c r="AR295" s="18"/>
      <c r="AS295" s="18"/>
      <c r="AU295" s="448"/>
      <c r="AV295" s="448"/>
      <c r="AW295" s="8" t="str">
        <f>IF(C295&gt;0,VLOOKUP(C295,Foundation_Calc!$A$2:$C$986,3,1),
IF(J295&gt;0,VLOOKUP(J295,Foundation_Calc!$A$2:$C$986,3,1),""))</f>
        <v/>
      </c>
      <c r="AX295" s="8" t="str">
        <f>IF(C295&gt;0,VLOOKUP(C295,Foundation_Calc!$E$2:$G$986,3,1),
IF(J295&gt;0,VLOOKUP(J295,Foundation_Calc!$E$2:$G$986,3,1),""))</f>
        <v/>
      </c>
      <c r="AY295" s="631" t="str">
        <f>IF(L295="","",
IF(AX295="PT",VLOOKUP(L295,Foundation_Calc!$K$4:$R$37,VLOOKUP(AW295,Foundation_Calc!$I$2:$J$8,2,FALSE),0),
IF(AX295="K",VLOOKUP(L295,Foundation_Calc!$K$41:$R$74,VLOOKUP(AW295,Foundation_Calc!$I$2:$J$8,2,FALSE),0),"")))</f>
        <v/>
      </c>
      <c r="AZ295" s="631" t="str">
        <f>IF(K295="","",
IF(AX295="PT",VLOOKUP(K295,Foundation_Calc!$K$4:$R$37,VLOOKUP(AW295,Foundation_Calc!$I$2:$J$8,2,FALSE),0),
IF(AX295="K",VLOOKUP(K295,Foundation_Calc!$K$41:$R$74,VLOOKUP(AW295,Foundation_Calc!$I$2:$J$8,2,FALSE),0),"")))</f>
        <v/>
      </c>
      <c r="BA295" s="632" t="str">
        <f t="shared" si="18"/>
        <v/>
      </c>
      <c r="BB295" s="632" t="str">
        <f t="shared" si="19"/>
        <v/>
      </c>
      <c r="BC295" s="632" t="str">
        <f t="shared" si="20"/>
        <v/>
      </c>
      <c r="BD295" s="633" t="str">
        <f>IF(AND(L295="",H295=""),"",
IF(H295="",Pole_Calc!A323,
IF(H295="MP",Pole_Calc!A324,
IF(H295="AnMP",Pole_Calc!A325,
IF(H295="A",Pole_Calc!A326,
IF(H295="S/A",Pole_Calc!A327,
IF(H295="A/S",Pole_Calc!A328,"Poner a mano")))))))</f>
        <v/>
      </c>
      <c r="BE295" s="448" t="s">
        <v>1726</v>
      </c>
      <c r="BF295" s="635"/>
      <c r="BG295" s="635"/>
      <c r="BH295" s="634"/>
      <c r="BI295" s="635"/>
    </row>
    <row r="296" spans="1:61" ht="16.2" customHeight="1">
      <c r="A296" s="12"/>
      <c r="B296" s="446"/>
      <c r="C296" s="89"/>
      <c r="D296" s="13"/>
      <c r="E296" s="14"/>
      <c r="F296" s="14"/>
      <c r="G296" s="15"/>
      <c r="H296" s="8"/>
      <c r="I296" s="8"/>
      <c r="J296" s="89"/>
      <c r="K296" s="8"/>
      <c r="L296" s="8"/>
      <c r="M296" s="8" t="str">
        <f>IF(L296="","",
IF(AX296="PT",VLOOKUP(L296,Foundation_Calc!$V$4:$X$37,VLOOKUP(AX296,Foundation_Calc!$I$10:$J$13,2,FALSE),0),
IF(AX296="K",VLOOKUP(L296,Foundation_Calc!$V$41:$X$74,VLOOKUP(AX296,Foundation_Calc!$I$10:$J$13,2,FALSE),0),"")))</f>
        <v/>
      </c>
      <c r="N296" s="8"/>
      <c r="O296" s="8"/>
      <c r="P296" s="8"/>
      <c r="Q296" s="14"/>
      <c r="R296" s="15"/>
      <c r="S296" s="15"/>
      <c r="T296" s="14"/>
      <c r="U296" s="14"/>
      <c r="V296" s="14"/>
      <c r="W296" s="18"/>
      <c r="X296" s="18"/>
      <c r="Y296" s="18"/>
      <c r="Z296" s="18"/>
      <c r="AA296" s="18"/>
      <c r="AB296" s="18"/>
      <c r="AC296" s="8" t="str">
        <f t="shared" si="17"/>
        <v/>
      </c>
      <c r="AD296" s="8"/>
      <c r="AE296" s="8"/>
      <c r="AF296" s="14"/>
      <c r="AG296" s="13"/>
      <c r="AH296" s="14"/>
      <c r="AI296" s="14"/>
      <c r="AJ296" s="8"/>
      <c r="AK296" s="8"/>
      <c r="AL296" s="8"/>
      <c r="AM296" s="8"/>
      <c r="AN296" s="631"/>
      <c r="AO296" s="18"/>
      <c r="AP296" s="18"/>
      <c r="AQ296" s="18"/>
      <c r="AR296" s="18"/>
      <c r="AS296" s="18"/>
      <c r="AU296" s="448"/>
      <c r="AV296" s="448"/>
      <c r="AW296" s="8" t="str">
        <f>IF(C296&gt;0,VLOOKUP(C296,Foundation_Calc!$A$2:$C$986,3,1),
IF(J296&gt;0,VLOOKUP(J296,Foundation_Calc!$A$2:$C$986,3,1),""))</f>
        <v/>
      </c>
      <c r="AX296" s="8" t="str">
        <f>IF(C296&gt;0,VLOOKUP(C296,Foundation_Calc!$E$2:$G$986,3,1),
IF(J296&gt;0,VLOOKUP(J296,Foundation_Calc!$E$2:$G$986,3,1),""))</f>
        <v/>
      </c>
      <c r="AY296" s="631" t="str">
        <f>IF(L296="","",
IF(AX296="PT",VLOOKUP(L296,Foundation_Calc!$K$4:$R$37,VLOOKUP(AW296,Foundation_Calc!$I$2:$J$8,2,FALSE),0),
IF(AX296="K",VLOOKUP(L296,Foundation_Calc!$K$41:$R$74,VLOOKUP(AW296,Foundation_Calc!$I$2:$J$8,2,FALSE),0),"")))</f>
        <v/>
      </c>
      <c r="AZ296" s="631" t="str">
        <f>IF(K296="","",
IF(AX296="PT",VLOOKUP(K296,Foundation_Calc!$K$4:$R$37,VLOOKUP(AW296,Foundation_Calc!$I$2:$J$8,2,FALSE),0),
IF(AX296="K",VLOOKUP(K296,Foundation_Calc!$K$41:$R$74,VLOOKUP(AW296,Foundation_Calc!$I$2:$J$8,2,FALSE),0),"")))</f>
        <v/>
      </c>
      <c r="BA296" s="632" t="str">
        <f t="shared" si="18"/>
        <v/>
      </c>
      <c r="BB296" s="632" t="str">
        <f t="shared" si="19"/>
        <v/>
      </c>
      <c r="BC296" s="632" t="str">
        <f t="shared" si="20"/>
        <v/>
      </c>
      <c r="BD296" s="633" t="str">
        <f>IF(AND(L296="",H296=""),"",
IF(H296="",Pole_Calc!A324,
IF(H296="MP",Pole_Calc!A325,
IF(H296="AnMP",Pole_Calc!A326,
IF(H296="A",Pole_Calc!A327,
IF(H296="S/A",Pole_Calc!A328,
IF(H296="A/S",Pole_Calc!A329,"Poner a mano")))))))</f>
        <v/>
      </c>
      <c r="BE296" s="448" t="s">
        <v>1726</v>
      </c>
      <c r="BF296" s="634"/>
      <c r="BG296" s="634"/>
      <c r="BH296" s="634"/>
      <c r="BI296" s="634"/>
    </row>
    <row r="297" spans="1:61" ht="16.2" customHeight="1">
      <c r="A297" s="12"/>
      <c r="B297" s="446"/>
      <c r="C297" s="89"/>
      <c r="D297" s="13"/>
      <c r="E297" s="14"/>
      <c r="F297" s="14"/>
      <c r="G297" s="15"/>
      <c r="H297" s="8"/>
      <c r="I297" s="8"/>
      <c r="J297" s="89"/>
      <c r="K297" s="8"/>
      <c r="L297" s="8"/>
      <c r="M297" s="8" t="str">
        <f>IF(L297="","",
IF(AX297="PT",VLOOKUP(L297,Foundation_Calc!$V$4:$X$37,VLOOKUP(AX297,Foundation_Calc!$I$10:$J$13,2,FALSE),0),
IF(AX297="K",VLOOKUP(L297,Foundation_Calc!$V$41:$X$74,VLOOKUP(AX297,Foundation_Calc!$I$10:$J$13,2,FALSE),0),"")))</f>
        <v/>
      </c>
      <c r="N297" s="8"/>
      <c r="O297" s="8"/>
      <c r="P297" s="8"/>
      <c r="Q297" s="14"/>
      <c r="R297" s="15"/>
      <c r="S297" s="15"/>
      <c r="T297" s="14"/>
      <c r="U297" s="14"/>
      <c r="V297" s="14"/>
      <c r="W297" s="18"/>
      <c r="X297" s="18"/>
      <c r="Y297" s="18"/>
      <c r="Z297" s="18"/>
      <c r="AA297" s="18"/>
      <c r="AB297" s="18"/>
      <c r="AC297" s="8" t="str">
        <f t="shared" si="17"/>
        <v/>
      </c>
      <c r="AD297" s="8"/>
      <c r="AE297" s="8"/>
      <c r="AF297" s="14"/>
      <c r="AG297" s="13"/>
      <c r="AH297" s="14"/>
      <c r="AI297" s="14"/>
      <c r="AJ297" s="8"/>
      <c r="AK297" s="8"/>
      <c r="AL297" s="8"/>
      <c r="AM297" s="8"/>
      <c r="AN297" s="631"/>
      <c r="AO297" s="18"/>
      <c r="AP297" s="18"/>
      <c r="AQ297" s="18"/>
      <c r="AR297" s="18"/>
      <c r="AS297" s="18"/>
      <c r="AU297" s="448"/>
      <c r="AV297" s="448"/>
      <c r="AW297" s="8" t="str">
        <f>IF(C297&gt;0,VLOOKUP(C297,Foundation_Calc!$A$2:$C$986,3,1),
IF(J297&gt;0,VLOOKUP(J297,Foundation_Calc!$A$2:$C$986,3,1),""))</f>
        <v/>
      </c>
      <c r="AX297" s="8" t="str">
        <f>IF(C297&gt;0,VLOOKUP(C297,Foundation_Calc!$E$2:$G$986,3,1),
IF(J297&gt;0,VLOOKUP(J297,Foundation_Calc!$E$2:$G$986,3,1),""))</f>
        <v/>
      </c>
      <c r="AY297" s="631" t="str">
        <f>IF(L297="","",
IF(AX297="PT",VLOOKUP(L297,Foundation_Calc!$K$4:$R$37,VLOOKUP(AW297,Foundation_Calc!$I$2:$J$8,2,FALSE),0),
IF(AX297="K",VLOOKUP(L297,Foundation_Calc!$K$41:$R$74,VLOOKUP(AW297,Foundation_Calc!$I$2:$J$8,2,FALSE),0),"")))</f>
        <v/>
      </c>
      <c r="AZ297" s="631" t="str">
        <f>IF(K297="","",
IF(AX297="PT",VLOOKUP(K297,Foundation_Calc!$K$4:$R$37,VLOOKUP(AW297,Foundation_Calc!$I$2:$J$8,2,FALSE),0),
IF(AX297="K",VLOOKUP(K297,Foundation_Calc!$K$41:$R$74,VLOOKUP(AW297,Foundation_Calc!$I$2:$J$8,2,FALSE),0),"")))</f>
        <v/>
      </c>
      <c r="BA297" s="632" t="str">
        <f t="shared" si="18"/>
        <v/>
      </c>
      <c r="BB297" s="632" t="str">
        <f t="shared" si="19"/>
        <v/>
      </c>
      <c r="BC297" s="632" t="str">
        <f t="shared" si="20"/>
        <v/>
      </c>
      <c r="BD297" s="633" t="str">
        <f>IF(AND(L297="",H297=""),"",
IF(H297="",Pole_Calc!A325,
IF(H297="MP",Pole_Calc!A326,
IF(H297="AnMP",Pole_Calc!A327,
IF(H297="A",Pole_Calc!A328,
IF(H297="S/A",Pole_Calc!A329,
IF(H297="A/S",Pole_Calc!A330,"Poner a mano")))))))</f>
        <v/>
      </c>
      <c r="BE297" s="448" t="s">
        <v>1726</v>
      </c>
      <c r="BF297" s="635"/>
      <c r="BG297" s="635"/>
      <c r="BH297" s="634"/>
      <c r="BI297" s="635"/>
    </row>
    <row r="298" spans="1:61" ht="16.2" customHeight="1">
      <c r="A298" s="12"/>
      <c r="B298" s="446"/>
      <c r="C298" s="89"/>
      <c r="D298" s="13"/>
      <c r="E298" s="14"/>
      <c r="F298" s="14"/>
      <c r="G298" s="15"/>
      <c r="H298" s="8"/>
      <c r="I298" s="8"/>
      <c r="J298" s="89"/>
      <c r="K298" s="8"/>
      <c r="L298" s="8"/>
      <c r="M298" s="8" t="str">
        <f>IF(L298="","",
IF(AX298="PT",VLOOKUP(L298,Foundation_Calc!$V$4:$X$37,VLOOKUP(AX298,Foundation_Calc!$I$10:$J$13,2,FALSE),0),
IF(AX298="K",VLOOKUP(L298,Foundation_Calc!$V$41:$X$74,VLOOKUP(AX298,Foundation_Calc!$I$10:$J$13,2,FALSE),0),"")))</f>
        <v/>
      </c>
      <c r="N298" s="8"/>
      <c r="O298" s="8"/>
      <c r="P298" s="8"/>
      <c r="Q298" s="14"/>
      <c r="R298" s="15"/>
      <c r="S298" s="15"/>
      <c r="T298" s="14"/>
      <c r="U298" s="14"/>
      <c r="V298" s="14"/>
      <c r="W298" s="18"/>
      <c r="X298" s="18"/>
      <c r="Y298" s="18"/>
      <c r="Z298" s="18"/>
      <c r="AA298" s="18"/>
      <c r="AB298" s="18"/>
      <c r="AC298" s="8" t="str">
        <f t="shared" si="17"/>
        <v/>
      </c>
      <c r="AD298" s="8"/>
      <c r="AE298" s="8"/>
      <c r="AF298" s="14"/>
      <c r="AG298" s="13"/>
      <c r="AH298" s="14"/>
      <c r="AI298" s="14"/>
      <c r="AJ298" s="8"/>
      <c r="AK298" s="8"/>
      <c r="AL298" s="8"/>
      <c r="AM298" s="8"/>
      <c r="AN298" s="631"/>
      <c r="AO298" s="18"/>
      <c r="AP298" s="18"/>
      <c r="AQ298" s="18"/>
      <c r="AR298" s="18"/>
      <c r="AS298" s="18"/>
      <c r="AU298" s="448"/>
      <c r="AV298" s="448"/>
      <c r="AW298" s="8" t="str">
        <f>IF(C298&gt;0,VLOOKUP(C298,Foundation_Calc!$A$2:$C$986,3,1),
IF(J298&gt;0,VLOOKUP(J298,Foundation_Calc!$A$2:$C$986,3,1),""))</f>
        <v/>
      </c>
      <c r="AX298" s="8" t="str">
        <f>IF(C298&gt;0,VLOOKUP(C298,Foundation_Calc!$E$2:$G$986,3,1),
IF(J298&gt;0,VLOOKUP(J298,Foundation_Calc!$E$2:$G$986,3,1),""))</f>
        <v/>
      </c>
      <c r="AY298" s="631" t="str">
        <f>IF(L298="","",
IF(AX298="PT",VLOOKUP(L298,Foundation_Calc!$K$4:$R$37,VLOOKUP(AW298,Foundation_Calc!$I$2:$J$8,2,FALSE),0),
IF(AX298="K",VLOOKUP(L298,Foundation_Calc!$K$41:$R$74,VLOOKUP(AW298,Foundation_Calc!$I$2:$J$8,2,FALSE),0),"")))</f>
        <v/>
      </c>
      <c r="AZ298" s="631" t="str">
        <f>IF(K298="","",
IF(AX298="PT",VLOOKUP(K298,Foundation_Calc!$K$4:$R$37,VLOOKUP(AW298,Foundation_Calc!$I$2:$J$8,2,FALSE),0),
IF(AX298="K",VLOOKUP(K298,Foundation_Calc!$K$41:$R$74,VLOOKUP(AW298,Foundation_Calc!$I$2:$J$8,2,FALSE),0),"")))</f>
        <v/>
      </c>
      <c r="BA298" s="632" t="str">
        <f t="shared" si="18"/>
        <v/>
      </c>
      <c r="BB298" s="632" t="str">
        <f t="shared" si="19"/>
        <v/>
      </c>
      <c r="BC298" s="632" t="str">
        <f t="shared" si="20"/>
        <v/>
      </c>
      <c r="BD298" s="633" t="str">
        <f>IF(AND(L298="",H298=""),"",
IF(H298="",Pole_Calc!A326,
IF(H298="MP",Pole_Calc!A327,
IF(H298="AnMP",Pole_Calc!A328,
IF(H298="A",Pole_Calc!A329,
IF(H298="S/A",Pole_Calc!A330,
IF(H298="A/S",Pole_Calc!A331,"Poner a mano")))))))</f>
        <v/>
      </c>
      <c r="BE298" s="448" t="s">
        <v>1726</v>
      </c>
      <c r="BF298" s="634"/>
      <c r="BG298" s="634"/>
      <c r="BH298" s="634"/>
      <c r="BI298" s="634"/>
    </row>
    <row r="299" spans="1:61" ht="16.2" customHeight="1">
      <c r="A299" s="12"/>
      <c r="B299" s="446"/>
      <c r="C299" s="89"/>
      <c r="D299" s="13"/>
      <c r="E299" s="14"/>
      <c r="F299" s="14"/>
      <c r="G299" s="15"/>
      <c r="H299" s="8"/>
      <c r="I299" s="8"/>
      <c r="J299" s="89"/>
      <c r="K299" s="8"/>
      <c r="L299" s="8"/>
      <c r="M299" s="8" t="str">
        <f>IF(L299="","",
IF(AX299="PT",VLOOKUP(L299,Foundation_Calc!$V$4:$X$37,VLOOKUP(AX299,Foundation_Calc!$I$10:$J$13,2,FALSE),0),
IF(AX299="K",VLOOKUP(L299,Foundation_Calc!$V$41:$X$74,VLOOKUP(AX299,Foundation_Calc!$I$10:$J$13,2,FALSE),0),"")))</f>
        <v/>
      </c>
      <c r="N299" s="8"/>
      <c r="O299" s="8"/>
      <c r="P299" s="8"/>
      <c r="Q299" s="14"/>
      <c r="R299" s="15"/>
      <c r="S299" s="15"/>
      <c r="T299" s="14"/>
      <c r="U299" s="14"/>
      <c r="V299" s="14"/>
      <c r="W299" s="18"/>
      <c r="X299" s="18"/>
      <c r="Y299" s="18"/>
      <c r="Z299" s="18"/>
      <c r="AA299" s="18"/>
      <c r="AB299" s="18"/>
      <c r="AC299" s="8" t="str">
        <f t="shared" si="17"/>
        <v/>
      </c>
      <c r="AD299" s="8"/>
      <c r="AE299" s="8"/>
      <c r="AF299" s="14"/>
      <c r="AG299" s="13"/>
      <c r="AH299" s="14"/>
      <c r="AI299" s="14"/>
      <c r="AJ299" s="8"/>
      <c r="AK299" s="8"/>
      <c r="AL299" s="8"/>
      <c r="AM299" s="8"/>
      <c r="AN299" s="631"/>
      <c r="AO299" s="18"/>
      <c r="AP299" s="18"/>
      <c r="AQ299" s="18"/>
      <c r="AR299" s="18"/>
      <c r="AS299" s="18"/>
      <c r="AU299" s="448"/>
      <c r="AV299" s="448"/>
      <c r="AW299" s="8" t="str">
        <f>IF(C299&gt;0,VLOOKUP(C299,Foundation_Calc!$A$2:$C$986,3,1),
IF(J299&gt;0,VLOOKUP(J299,Foundation_Calc!$A$2:$C$986,3,1),""))</f>
        <v/>
      </c>
      <c r="AX299" s="8" t="str">
        <f>IF(C299&gt;0,VLOOKUP(C299,Foundation_Calc!$E$2:$G$986,3,1),
IF(J299&gt;0,VLOOKUP(J299,Foundation_Calc!$E$2:$G$986,3,1),""))</f>
        <v/>
      </c>
      <c r="AY299" s="631" t="str">
        <f>IF(L299="","",
IF(AX299="PT",VLOOKUP(L299,Foundation_Calc!$K$4:$R$37,VLOOKUP(AW299,Foundation_Calc!$I$2:$J$8,2,FALSE),0),
IF(AX299="K",VLOOKUP(L299,Foundation_Calc!$K$41:$R$74,VLOOKUP(AW299,Foundation_Calc!$I$2:$J$8,2,FALSE),0),"")))</f>
        <v/>
      </c>
      <c r="AZ299" s="631" t="str">
        <f>IF(K299="","",
IF(AX299="PT",VLOOKUP(K299,Foundation_Calc!$K$4:$R$37,VLOOKUP(AW299,Foundation_Calc!$I$2:$J$8,2,FALSE),0),
IF(AX299="K",VLOOKUP(K299,Foundation_Calc!$K$41:$R$74,VLOOKUP(AW299,Foundation_Calc!$I$2:$J$8,2,FALSE),0),"")))</f>
        <v/>
      </c>
      <c r="BA299" s="632" t="str">
        <f t="shared" si="18"/>
        <v/>
      </c>
      <c r="BB299" s="632" t="str">
        <f t="shared" si="19"/>
        <v/>
      </c>
      <c r="BC299" s="632" t="str">
        <f t="shared" si="20"/>
        <v/>
      </c>
      <c r="BD299" s="633" t="str">
        <f>IF(AND(L299="",H299=""),"",
IF(H299="",Pole_Calc!A327,
IF(H299="MP",Pole_Calc!A328,
IF(H299="AnMP",Pole_Calc!A329,
IF(H299="A",Pole_Calc!A330,
IF(H299="S/A",Pole_Calc!A331,
IF(H299="A/S",Pole_Calc!A332,"Poner a mano")))))))</f>
        <v/>
      </c>
      <c r="BE299" s="448" t="s">
        <v>1726</v>
      </c>
      <c r="BF299" s="635"/>
      <c r="BG299" s="635"/>
      <c r="BH299" s="634"/>
      <c r="BI299" s="635"/>
    </row>
    <row r="300" spans="1:61" ht="16.2" customHeight="1">
      <c r="A300" s="12"/>
      <c r="B300" s="446"/>
      <c r="C300" s="89"/>
      <c r="D300" s="13"/>
      <c r="E300" s="14"/>
      <c r="F300" s="14"/>
      <c r="G300" s="15"/>
      <c r="H300" s="8"/>
      <c r="I300" s="8"/>
      <c r="J300" s="89"/>
      <c r="K300" s="8"/>
      <c r="L300" s="8"/>
      <c r="M300" s="8" t="str">
        <f>IF(L300="","",
IF(AX300="PT",VLOOKUP(L300,Foundation_Calc!$V$4:$X$37,VLOOKUP(AX300,Foundation_Calc!$I$10:$J$13,2,FALSE),0),
IF(AX300="K",VLOOKUP(L300,Foundation_Calc!$V$41:$X$74,VLOOKUP(AX300,Foundation_Calc!$I$10:$J$13,2,FALSE),0),"")))</f>
        <v/>
      </c>
      <c r="N300" s="8"/>
      <c r="O300" s="8"/>
      <c r="P300" s="8"/>
      <c r="Q300" s="14"/>
      <c r="R300" s="15"/>
      <c r="S300" s="15"/>
      <c r="T300" s="14"/>
      <c r="U300" s="14"/>
      <c r="V300" s="14"/>
      <c r="W300" s="18"/>
      <c r="X300" s="18"/>
      <c r="Y300" s="18"/>
      <c r="Z300" s="18"/>
      <c r="AA300" s="18"/>
      <c r="AB300" s="18"/>
      <c r="AC300" s="8" t="str">
        <f t="shared" si="17"/>
        <v/>
      </c>
      <c r="AD300" s="8"/>
      <c r="AE300" s="8"/>
      <c r="AF300" s="14"/>
      <c r="AG300" s="13"/>
      <c r="AH300" s="14"/>
      <c r="AI300" s="14"/>
      <c r="AJ300" s="8"/>
      <c r="AK300" s="8"/>
      <c r="AL300" s="8"/>
      <c r="AM300" s="8"/>
      <c r="AN300" s="631"/>
      <c r="AO300" s="18"/>
      <c r="AP300" s="18"/>
      <c r="AQ300" s="18"/>
      <c r="AR300" s="18"/>
      <c r="AS300" s="18"/>
      <c r="AU300" s="448"/>
      <c r="AV300" s="448"/>
      <c r="AW300" s="8" t="str">
        <f>IF(C300&gt;0,VLOOKUP(C300,Foundation_Calc!$A$2:$C$986,3,1),
IF(J300&gt;0,VLOOKUP(J300,Foundation_Calc!$A$2:$C$986,3,1),""))</f>
        <v/>
      </c>
      <c r="AX300" s="8" t="str">
        <f>IF(C300&gt;0,VLOOKUP(C300,Foundation_Calc!$E$2:$G$986,3,1),
IF(J300&gt;0,VLOOKUP(J300,Foundation_Calc!$E$2:$G$986,3,1),""))</f>
        <v/>
      </c>
      <c r="AY300" s="631" t="str">
        <f>IF(L300="","",
IF(AX300="PT",VLOOKUP(L300,Foundation_Calc!$K$4:$R$37,VLOOKUP(AW300,Foundation_Calc!$I$2:$J$8,2,FALSE),0),
IF(AX300="K",VLOOKUP(L300,Foundation_Calc!$K$41:$R$74,VLOOKUP(AW300,Foundation_Calc!$I$2:$J$8,2,FALSE),0),"")))</f>
        <v/>
      </c>
      <c r="AZ300" s="631" t="str">
        <f>IF(K300="","",
IF(AX300="PT",VLOOKUP(K300,Foundation_Calc!$K$4:$R$37,VLOOKUP(AW300,Foundation_Calc!$I$2:$J$8,2,FALSE),0),
IF(AX300="K",VLOOKUP(K300,Foundation_Calc!$K$41:$R$74,VLOOKUP(AW300,Foundation_Calc!$I$2:$J$8,2,FALSE),0),"")))</f>
        <v/>
      </c>
      <c r="BA300" s="632" t="str">
        <f t="shared" si="18"/>
        <v/>
      </c>
      <c r="BB300" s="632" t="str">
        <f t="shared" si="19"/>
        <v/>
      </c>
      <c r="BC300" s="632" t="str">
        <f t="shared" si="20"/>
        <v/>
      </c>
      <c r="BD300" s="633" t="str">
        <f>IF(AND(L300="",H300=""),"",
IF(H300="",Pole_Calc!A328,
IF(H300="MP",Pole_Calc!A329,
IF(H300="AnMP",Pole_Calc!A330,
IF(H300="A",Pole_Calc!A331,
IF(H300="S/A",Pole_Calc!A332,
IF(H300="A/S",Pole_Calc!A333,"Poner a mano")))))))</f>
        <v/>
      </c>
      <c r="BE300" s="448" t="s">
        <v>1726</v>
      </c>
      <c r="BF300" s="634"/>
      <c r="BG300" s="634"/>
      <c r="BH300" s="634"/>
      <c r="BI300" s="634"/>
    </row>
    <row r="301" spans="1:61" ht="16.2" customHeight="1">
      <c r="A301" s="12"/>
      <c r="B301" s="446"/>
      <c r="C301" s="89"/>
      <c r="D301" s="13"/>
      <c r="E301" s="14"/>
      <c r="F301" s="14"/>
      <c r="G301" s="15"/>
      <c r="H301" s="8"/>
      <c r="I301" s="8"/>
      <c r="J301" s="89"/>
      <c r="K301" s="8"/>
      <c r="L301" s="8"/>
      <c r="M301" s="8" t="str">
        <f>IF(L301="","",
IF(AX301="PT",VLOOKUP(L301,Foundation_Calc!$V$4:$X$37,VLOOKUP(AX301,Foundation_Calc!$I$10:$J$13,2,FALSE),0),
IF(AX301="K",VLOOKUP(L301,Foundation_Calc!$V$41:$X$74,VLOOKUP(AX301,Foundation_Calc!$I$10:$J$13,2,FALSE),0),"")))</f>
        <v/>
      </c>
      <c r="N301" s="8"/>
      <c r="O301" s="8"/>
      <c r="P301" s="8"/>
      <c r="Q301" s="14"/>
      <c r="R301" s="15"/>
      <c r="S301" s="15"/>
      <c r="T301" s="14"/>
      <c r="U301" s="14"/>
      <c r="V301" s="14"/>
      <c r="W301" s="18"/>
      <c r="X301" s="18"/>
      <c r="Y301" s="18"/>
      <c r="Z301" s="18"/>
      <c r="AA301" s="18"/>
      <c r="AB301" s="18"/>
      <c r="AC301" s="8" t="str">
        <f t="shared" si="17"/>
        <v/>
      </c>
      <c r="AD301" s="8"/>
      <c r="AE301" s="8"/>
      <c r="AF301" s="14"/>
      <c r="AG301" s="13"/>
      <c r="AH301" s="14"/>
      <c r="AI301" s="14"/>
      <c r="AJ301" s="8"/>
      <c r="AK301" s="8"/>
      <c r="AL301" s="8"/>
      <c r="AM301" s="8"/>
      <c r="AN301" s="631"/>
      <c r="AO301" s="18"/>
      <c r="AP301" s="18"/>
      <c r="AQ301" s="18"/>
      <c r="AR301" s="18"/>
      <c r="AS301" s="18"/>
      <c r="AU301" s="448"/>
      <c r="AV301" s="448"/>
      <c r="AW301" s="8" t="str">
        <f>IF(C301&gt;0,VLOOKUP(C301,Foundation_Calc!$A$2:$C$986,3,1),
IF(J301&gt;0,VLOOKUP(J301,Foundation_Calc!$A$2:$C$986,3,1),""))</f>
        <v/>
      </c>
      <c r="AX301" s="8" t="str">
        <f>IF(C301&gt;0,VLOOKUP(C301,Foundation_Calc!$E$2:$G$986,3,1),
IF(J301&gt;0,VLOOKUP(J301,Foundation_Calc!$E$2:$G$986,3,1),""))</f>
        <v/>
      </c>
      <c r="AY301" s="631" t="str">
        <f>IF(L301="","",
IF(AX301="PT",VLOOKUP(L301,Foundation_Calc!$K$4:$R$37,VLOOKUP(AW301,Foundation_Calc!$I$2:$J$8,2,FALSE),0),
IF(AX301="K",VLOOKUP(L301,Foundation_Calc!$K$41:$R$74,VLOOKUP(AW301,Foundation_Calc!$I$2:$J$8,2,FALSE),0),"")))</f>
        <v/>
      </c>
      <c r="AZ301" s="631" t="str">
        <f>IF(K301="","",
IF(AX301="PT",VLOOKUP(K301,Foundation_Calc!$K$4:$R$37,VLOOKUP(AW301,Foundation_Calc!$I$2:$J$8,2,FALSE),0),
IF(AX301="K",VLOOKUP(K301,Foundation_Calc!$K$41:$R$74,VLOOKUP(AW301,Foundation_Calc!$I$2:$J$8,2,FALSE),0),"")))</f>
        <v/>
      </c>
      <c r="BA301" s="632" t="str">
        <f t="shared" si="18"/>
        <v/>
      </c>
      <c r="BB301" s="632" t="str">
        <f t="shared" si="19"/>
        <v/>
      </c>
      <c r="BC301" s="632" t="str">
        <f t="shared" si="20"/>
        <v/>
      </c>
      <c r="BD301" s="633" t="str">
        <f>IF(AND(L301="",H301=""),"",
IF(H301="",Pole_Calc!A329,
IF(H301="MP",Pole_Calc!A330,
IF(H301="AnMP",Pole_Calc!A331,
IF(H301="A",Pole_Calc!A332,
IF(H301="S/A",Pole_Calc!A333,
IF(H301="A/S",Pole_Calc!A334,"Poner a mano")))))))</f>
        <v/>
      </c>
      <c r="BE301" s="448" t="s">
        <v>1726</v>
      </c>
      <c r="BF301" s="635"/>
      <c r="BG301" s="635"/>
      <c r="BH301" s="634"/>
      <c r="BI301" s="635"/>
    </row>
    <row r="302" spans="1:61" ht="16.2" customHeight="1">
      <c r="A302" s="12"/>
      <c r="B302" s="446"/>
      <c r="C302" s="89"/>
      <c r="D302" s="13"/>
      <c r="E302" s="14"/>
      <c r="F302" s="14"/>
      <c r="G302" s="15"/>
      <c r="H302" s="8"/>
      <c r="I302" s="8"/>
      <c r="J302" s="89"/>
      <c r="K302" s="8"/>
      <c r="L302" s="8"/>
      <c r="M302" s="8" t="str">
        <f>IF(L302="","",
IF(AX302="PT",VLOOKUP(L302,Foundation_Calc!$V$4:$X$37,VLOOKUP(AX302,Foundation_Calc!$I$10:$J$13,2,FALSE),0),
IF(AX302="K",VLOOKUP(L302,Foundation_Calc!$V$41:$X$74,VLOOKUP(AX302,Foundation_Calc!$I$10:$J$13,2,FALSE),0),"")))</f>
        <v/>
      </c>
      <c r="N302" s="8"/>
      <c r="O302" s="8"/>
      <c r="P302" s="8"/>
      <c r="Q302" s="14"/>
      <c r="R302" s="15"/>
      <c r="S302" s="15"/>
      <c r="T302" s="14"/>
      <c r="U302" s="14"/>
      <c r="V302" s="14"/>
      <c r="W302" s="18"/>
      <c r="X302" s="18"/>
      <c r="Y302" s="18"/>
      <c r="Z302" s="18"/>
      <c r="AA302" s="18"/>
      <c r="AB302" s="18"/>
      <c r="AC302" s="8" t="str">
        <f t="shared" si="17"/>
        <v/>
      </c>
      <c r="AD302" s="8"/>
      <c r="AE302" s="8"/>
      <c r="AF302" s="14"/>
      <c r="AG302" s="13"/>
      <c r="AH302" s="14"/>
      <c r="AI302" s="14"/>
      <c r="AJ302" s="8"/>
      <c r="AK302" s="8"/>
      <c r="AL302" s="8"/>
      <c r="AM302" s="8"/>
      <c r="AN302" s="631"/>
      <c r="AO302" s="18"/>
      <c r="AP302" s="18"/>
      <c r="AQ302" s="18"/>
      <c r="AR302" s="18"/>
      <c r="AS302" s="18"/>
      <c r="AU302" s="448"/>
      <c r="AV302" s="448"/>
      <c r="AW302" s="8" t="str">
        <f>IF(C302&gt;0,VLOOKUP(C302,Foundation_Calc!$A$2:$C$986,3,1),
IF(J302&gt;0,VLOOKUP(J302,Foundation_Calc!$A$2:$C$986,3,1),""))</f>
        <v/>
      </c>
      <c r="AX302" s="8" t="str">
        <f>IF(C302&gt;0,VLOOKUP(C302,Foundation_Calc!$E$2:$G$986,3,1),
IF(J302&gt;0,VLOOKUP(J302,Foundation_Calc!$E$2:$G$986,3,1),""))</f>
        <v/>
      </c>
      <c r="AY302" s="631" t="str">
        <f>IF(L302="","",
IF(AX302="PT",VLOOKUP(L302,Foundation_Calc!$K$4:$R$37,VLOOKUP(AW302,Foundation_Calc!$I$2:$J$8,2,FALSE),0),
IF(AX302="K",VLOOKUP(L302,Foundation_Calc!$K$41:$R$74,VLOOKUP(AW302,Foundation_Calc!$I$2:$J$8,2,FALSE),0),"")))</f>
        <v/>
      </c>
      <c r="AZ302" s="631" t="str">
        <f>IF(K302="","",
IF(AX302="PT",VLOOKUP(K302,Foundation_Calc!$K$4:$R$37,VLOOKUP(AW302,Foundation_Calc!$I$2:$J$8,2,FALSE),0),
IF(AX302="K",VLOOKUP(K302,Foundation_Calc!$K$41:$R$74,VLOOKUP(AW302,Foundation_Calc!$I$2:$J$8,2,FALSE),0),"")))</f>
        <v/>
      </c>
      <c r="BA302" s="632" t="str">
        <f t="shared" si="18"/>
        <v/>
      </c>
      <c r="BB302" s="632" t="str">
        <f t="shared" si="19"/>
        <v/>
      </c>
      <c r="BC302" s="632" t="str">
        <f t="shared" si="20"/>
        <v/>
      </c>
      <c r="BD302" s="633" t="str">
        <f>IF(AND(L302="",H302=""),"",
IF(H302="",Pole_Calc!A330,
IF(H302="MP",Pole_Calc!A331,
IF(H302="AnMP",Pole_Calc!A332,
IF(H302="A",Pole_Calc!A333,
IF(H302="S/A",Pole_Calc!A334,
IF(H302="A/S",Pole_Calc!A335,"Poner a mano")))))))</f>
        <v/>
      </c>
      <c r="BE302" s="448" t="s">
        <v>1726</v>
      </c>
      <c r="BF302" s="634"/>
      <c r="BG302" s="634"/>
      <c r="BH302" s="634"/>
      <c r="BI302" s="634"/>
    </row>
    <row r="303" spans="1:61" ht="16.2" customHeight="1">
      <c r="A303" s="12"/>
      <c r="B303" s="446"/>
      <c r="C303" s="89"/>
      <c r="D303" s="13"/>
      <c r="E303" s="14"/>
      <c r="F303" s="14"/>
      <c r="G303" s="15"/>
      <c r="H303" s="8"/>
      <c r="I303" s="8"/>
      <c r="J303" s="89"/>
      <c r="K303" s="8"/>
      <c r="L303" s="8"/>
      <c r="M303" s="8" t="str">
        <f>IF(L303="","",
IF(AX303="PT",VLOOKUP(L303,Foundation_Calc!$V$4:$X$37,VLOOKUP(AX303,Foundation_Calc!$I$10:$J$13,2,FALSE),0),
IF(AX303="K",VLOOKUP(L303,Foundation_Calc!$V$41:$X$74,VLOOKUP(AX303,Foundation_Calc!$I$10:$J$13,2,FALSE),0),"")))</f>
        <v/>
      </c>
      <c r="N303" s="8"/>
      <c r="O303" s="8"/>
      <c r="P303" s="8"/>
      <c r="Q303" s="14"/>
      <c r="R303" s="15"/>
      <c r="S303" s="15"/>
      <c r="T303" s="14"/>
      <c r="U303" s="14"/>
      <c r="V303" s="14"/>
      <c r="W303" s="18"/>
      <c r="X303" s="18"/>
      <c r="Y303" s="18"/>
      <c r="Z303" s="18"/>
      <c r="AA303" s="18"/>
      <c r="AB303" s="18"/>
      <c r="AC303" s="8" t="str">
        <f t="shared" si="17"/>
        <v/>
      </c>
      <c r="AD303" s="8"/>
      <c r="AE303" s="8"/>
      <c r="AF303" s="14"/>
      <c r="AG303" s="13"/>
      <c r="AH303" s="14"/>
      <c r="AI303" s="14"/>
      <c r="AJ303" s="8"/>
      <c r="AK303" s="8"/>
      <c r="AL303" s="8"/>
      <c r="AM303" s="8"/>
      <c r="AN303" s="631"/>
      <c r="AO303" s="18"/>
      <c r="AP303" s="18"/>
      <c r="AQ303" s="18"/>
      <c r="AR303" s="18"/>
      <c r="AS303" s="18"/>
      <c r="AU303" s="448"/>
      <c r="AV303" s="448"/>
      <c r="AW303" s="8" t="str">
        <f>IF(C303&gt;0,VLOOKUP(C303,Foundation_Calc!$A$2:$C$986,3,1),
IF(J303&gt;0,VLOOKUP(J303,Foundation_Calc!$A$2:$C$986,3,1),""))</f>
        <v/>
      </c>
      <c r="AX303" s="8" t="str">
        <f>IF(C303&gt;0,VLOOKUP(C303,Foundation_Calc!$E$2:$G$986,3,1),
IF(J303&gt;0,VLOOKUP(J303,Foundation_Calc!$E$2:$G$986,3,1),""))</f>
        <v/>
      </c>
      <c r="AY303" s="631" t="str">
        <f>IF(L303="","",
IF(AX303="PT",VLOOKUP(L303,Foundation_Calc!$K$4:$R$37,VLOOKUP(AW303,Foundation_Calc!$I$2:$J$8,2,FALSE),0),
IF(AX303="K",VLOOKUP(L303,Foundation_Calc!$K$41:$R$74,VLOOKUP(AW303,Foundation_Calc!$I$2:$J$8,2,FALSE),0),"")))</f>
        <v/>
      </c>
      <c r="AZ303" s="631" t="str">
        <f>IF(K303="","",
IF(AX303="PT",VLOOKUP(K303,Foundation_Calc!$K$4:$R$37,VLOOKUP(AW303,Foundation_Calc!$I$2:$J$8,2,FALSE),0),
IF(AX303="K",VLOOKUP(K303,Foundation_Calc!$K$41:$R$74,VLOOKUP(AW303,Foundation_Calc!$I$2:$J$8,2,FALSE),0),"")))</f>
        <v/>
      </c>
      <c r="BA303" s="632" t="str">
        <f t="shared" si="18"/>
        <v/>
      </c>
      <c r="BB303" s="632" t="str">
        <f t="shared" si="19"/>
        <v/>
      </c>
      <c r="BC303" s="632" t="str">
        <f t="shared" si="20"/>
        <v/>
      </c>
      <c r="BD303" s="633" t="str">
        <f>IF(AND(L303="",H303=""),"",
IF(H303="",Pole_Calc!A331,
IF(H303="MP",Pole_Calc!A332,
IF(H303="AnMP",Pole_Calc!A333,
IF(H303="A",Pole_Calc!A334,
IF(H303="S/A",Pole_Calc!A335,
IF(H303="A/S",Pole_Calc!A336,"Poner a mano")))))))</f>
        <v/>
      </c>
      <c r="BE303" s="448" t="s">
        <v>1726</v>
      </c>
      <c r="BF303" s="635"/>
      <c r="BG303" s="635"/>
      <c r="BH303" s="634"/>
      <c r="BI303" s="635"/>
    </row>
    <row r="304" spans="1:61" ht="16.2" customHeight="1">
      <c r="A304" s="12"/>
      <c r="B304" s="446"/>
      <c r="C304" s="89"/>
      <c r="D304" s="13"/>
      <c r="E304" s="14"/>
      <c r="F304" s="14"/>
      <c r="G304" s="15"/>
      <c r="H304" s="8"/>
      <c r="I304" s="8"/>
      <c r="J304" s="89"/>
      <c r="K304" s="8"/>
      <c r="L304" s="8"/>
      <c r="M304" s="8" t="str">
        <f>IF(L304="","",
IF(AX304="PT",VLOOKUP(L304,Foundation_Calc!$V$4:$X$37,VLOOKUP(AX304,Foundation_Calc!$I$10:$J$13,2,FALSE),0),
IF(AX304="K",VLOOKUP(L304,Foundation_Calc!$V$41:$X$74,VLOOKUP(AX304,Foundation_Calc!$I$10:$J$13,2,FALSE),0),"")))</f>
        <v/>
      </c>
      <c r="N304" s="8"/>
      <c r="O304" s="8"/>
      <c r="P304" s="8"/>
      <c r="Q304" s="14"/>
      <c r="R304" s="15"/>
      <c r="S304" s="15"/>
      <c r="T304" s="14"/>
      <c r="U304" s="14"/>
      <c r="V304" s="14"/>
      <c r="W304" s="18"/>
      <c r="X304" s="18"/>
      <c r="Y304" s="18"/>
      <c r="Z304" s="18"/>
      <c r="AA304" s="18"/>
      <c r="AB304" s="18"/>
      <c r="AC304" s="8" t="str">
        <f t="shared" si="17"/>
        <v/>
      </c>
      <c r="AD304" s="8"/>
      <c r="AE304" s="8"/>
      <c r="AF304" s="14"/>
      <c r="AG304" s="13"/>
      <c r="AH304" s="14"/>
      <c r="AI304" s="14"/>
      <c r="AJ304" s="8"/>
      <c r="AK304" s="8"/>
      <c r="AL304" s="8"/>
      <c r="AM304" s="8"/>
      <c r="AN304" s="631"/>
      <c r="AO304" s="18"/>
      <c r="AP304" s="18"/>
      <c r="AQ304" s="18"/>
      <c r="AR304" s="18"/>
      <c r="AS304" s="18"/>
      <c r="AU304" s="448"/>
      <c r="AV304" s="448"/>
      <c r="AW304" s="8" t="str">
        <f>IF(C304&gt;0,VLOOKUP(C304,Foundation_Calc!$A$2:$C$986,3,1),
IF(J304&gt;0,VLOOKUP(J304,Foundation_Calc!$A$2:$C$986,3,1),""))</f>
        <v/>
      </c>
      <c r="AX304" s="8" t="str">
        <f>IF(C304&gt;0,VLOOKUP(C304,Foundation_Calc!$E$2:$G$986,3,1),
IF(J304&gt;0,VLOOKUP(J304,Foundation_Calc!$E$2:$G$986,3,1),""))</f>
        <v/>
      </c>
      <c r="AY304" s="631" t="str">
        <f>IF(L304="","",
IF(AX304="PT",VLOOKUP(L304,Foundation_Calc!$K$4:$R$37,VLOOKUP(AW304,Foundation_Calc!$I$2:$J$8,2,FALSE),0),
IF(AX304="K",VLOOKUP(L304,Foundation_Calc!$K$41:$R$74,VLOOKUP(AW304,Foundation_Calc!$I$2:$J$8,2,FALSE),0),"")))</f>
        <v/>
      </c>
      <c r="AZ304" s="631" t="str">
        <f>IF(K304="","",
IF(AX304="PT",VLOOKUP(K304,Foundation_Calc!$K$4:$R$37,VLOOKUP(AW304,Foundation_Calc!$I$2:$J$8,2,FALSE),0),
IF(AX304="K",VLOOKUP(K304,Foundation_Calc!$K$41:$R$74,VLOOKUP(AW304,Foundation_Calc!$I$2:$J$8,2,FALSE),0),"")))</f>
        <v/>
      </c>
      <c r="BA304" s="632" t="str">
        <f t="shared" si="18"/>
        <v/>
      </c>
      <c r="BB304" s="632" t="str">
        <f t="shared" si="19"/>
        <v/>
      </c>
      <c r="BC304" s="632" t="str">
        <f t="shared" si="20"/>
        <v/>
      </c>
      <c r="BD304" s="633" t="str">
        <f>IF(AND(L304="",H304=""),"",
IF(H304="",Pole_Calc!A332,
IF(H304="MP",Pole_Calc!A333,
IF(H304="AnMP",Pole_Calc!A334,
IF(H304="A",Pole_Calc!A335,
IF(H304="S/A",Pole_Calc!A336,
IF(H304="A/S",Pole_Calc!A337,"Poner a mano")))))))</f>
        <v/>
      </c>
      <c r="BE304" s="448" t="s">
        <v>1726</v>
      </c>
      <c r="BF304" s="634"/>
      <c r="BG304" s="634"/>
      <c r="BH304" s="634"/>
      <c r="BI304" s="634"/>
    </row>
    <row r="305" spans="1:61" ht="16.2" customHeight="1">
      <c r="A305" s="12"/>
      <c r="B305" s="446"/>
      <c r="C305" s="89"/>
      <c r="D305" s="13"/>
      <c r="E305" s="14"/>
      <c r="F305" s="14"/>
      <c r="G305" s="15"/>
      <c r="H305" s="8"/>
      <c r="I305" s="8"/>
      <c r="J305" s="89"/>
      <c r="K305" s="8"/>
      <c r="L305" s="8"/>
      <c r="M305" s="8" t="str">
        <f>IF(L305="","",
IF(AX305="PT",VLOOKUP(L305,Foundation_Calc!$V$4:$X$37,VLOOKUP(AX305,Foundation_Calc!$I$10:$J$13,2,FALSE),0),
IF(AX305="K",VLOOKUP(L305,Foundation_Calc!$V$41:$X$74,VLOOKUP(AX305,Foundation_Calc!$I$10:$J$13,2,FALSE),0),"")))</f>
        <v/>
      </c>
      <c r="N305" s="8"/>
      <c r="O305" s="8"/>
      <c r="P305" s="8"/>
      <c r="Q305" s="14"/>
      <c r="R305" s="15"/>
      <c r="S305" s="15"/>
      <c r="T305" s="14"/>
      <c r="U305" s="14"/>
      <c r="V305" s="14"/>
      <c r="W305" s="18"/>
      <c r="X305" s="18"/>
      <c r="Y305" s="18"/>
      <c r="Z305" s="18"/>
      <c r="AA305" s="18"/>
      <c r="AB305" s="18"/>
      <c r="AC305" s="8" t="str">
        <f t="shared" si="17"/>
        <v/>
      </c>
      <c r="AD305" s="8"/>
      <c r="AE305" s="8"/>
      <c r="AF305" s="14"/>
      <c r="AG305" s="13"/>
      <c r="AH305" s="14"/>
      <c r="AI305" s="14"/>
      <c r="AJ305" s="8"/>
      <c r="AK305" s="8"/>
      <c r="AL305" s="8"/>
      <c r="AM305" s="8"/>
      <c r="AN305" s="631"/>
      <c r="AO305" s="18"/>
      <c r="AP305" s="18"/>
      <c r="AQ305" s="18"/>
      <c r="AR305" s="18"/>
      <c r="AS305" s="18"/>
      <c r="AU305" s="448"/>
      <c r="AV305" s="448"/>
      <c r="AW305" s="8" t="str">
        <f>IF(C305&gt;0,VLOOKUP(C305,Foundation_Calc!$A$2:$C$986,3,1),
IF(J305&gt;0,VLOOKUP(J305,Foundation_Calc!$A$2:$C$986,3,1),""))</f>
        <v/>
      </c>
      <c r="AX305" s="8" t="str">
        <f>IF(C305&gt;0,VLOOKUP(C305,Foundation_Calc!$E$2:$G$986,3,1),
IF(J305&gt;0,VLOOKUP(J305,Foundation_Calc!$E$2:$G$986,3,1),""))</f>
        <v/>
      </c>
      <c r="AY305" s="631" t="str">
        <f>IF(L305="","",
IF(AX305="PT",VLOOKUP(L305,Foundation_Calc!$K$4:$R$37,VLOOKUP(AW305,Foundation_Calc!$I$2:$J$8,2,FALSE),0),
IF(AX305="K",VLOOKUP(L305,Foundation_Calc!$K$41:$R$74,VLOOKUP(AW305,Foundation_Calc!$I$2:$J$8,2,FALSE),0),"")))</f>
        <v/>
      </c>
      <c r="AZ305" s="631" t="str">
        <f>IF(K305="","",
IF(AX305="PT",VLOOKUP(K305,Foundation_Calc!$K$4:$R$37,VLOOKUP(AW305,Foundation_Calc!$I$2:$J$8,2,FALSE),0),
IF(AX305="K",VLOOKUP(K305,Foundation_Calc!$K$41:$R$74,VLOOKUP(AW305,Foundation_Calc!$I$2:$J$8,2,FALSE),0),"")))</f>
        <v/>
      </c>
      <c r="BA305" s="632" t="str">
        <f t="shared" si="18"/>
        <v/>
      </c>
      <c r="BB305" s="632" t="str">
        <f t="shared" si="19"/>
        <v/>
      </c>
      <c r="BC305" s="632" t="str">
        <f t="shared" si="20"/>
        <v/>
      </c>
      <c r="BD305" s="633" t="str">
        <f>IF(AND(L305="",H305=""),"",
IF(H305="",Pole_Calc!A333,
IF(H305="MP",Pole_Calc!A334,
IF(H305="AnMP",Pole_Calc!A335,
IF(H305="A",Pole_Calc!A336,
IF(H305="S/A",Pole_Calc!A337,
IF(H305="A/S",Pole_Calc!A338,"Poner a mano")))))))</f>
        <v/>
      </c>
      <c r="BE305" s="448" t="s">
        <v>1726</v>
      </c>
      <c r="BF305" s="635"/>
      <c r="BG305" s="635"/>
      <c r="BH305" s="634"/>
      <c r="BI305" s="635"/>
    </row>
    <row r="306" spans="1:61" ht="16.2" customHeight="1">
      <c r="A306" s="12"/>
      <c r="B306" s="446"/>
      <c r="C306" s="89"/>
      <c r="D306" s="13"/>
      <c r="E306" s="14"/>
      <c r="F306" s="14"/>
      <c r="G306" s="15"/>
      <c r="H306" s="8"/>
      <c r="I306" s="8"/>
      <c r="J306" s="89"/>
      <c r="K306" s="8"/>
      <c r="L306" s="8"/>
      <c r="M306" s="8" t="str">
        <f>IF(L306="","",
IF(AX306="PT",VLOOKUP(L306,Foundation_Calc!$V$4:$X$37,VLOOKUP(AX306,Foundation_Calc!$I$10:$J$13,2,FALSE),0),
IF(AX306="K",VLOOKUP(L306,Foundation_Calc!$V$41:$X$74,VLOOKUP(AX306,Foundation_Calc!$I$10:$J$13,2,FALSE),0),"")))</f>
        <v/>
      </c>
      <c r="N306" s="8"/>
      <c r="O306" s="8"/>
      <c r="P306" s="8"/>
      <c r="Q306" s="14"/>
      <c r="R306" s="15"/>
      <c r="S306" s="15"/>
      <c r="T306" s="14"/>
      <c r="U306" s="14"/>
      <c r="V306" s="14"/>
      <c r="W306" s="18"/>
      <c r="X306" s="18"/>
      <c r="Y306" s="18"/>
      <c r="Z306" s="18"/>
      <c r="AA306" s="18"/>
      <c r="AB306" s="18"/>
      <c r="AC306" s="8" t="str">
        <f t="shared" si="17"/>
        <v/>
      </c>
      <c r="AD306" s="8"/>
      <c r="AE306" s="8"/>
      <c r="AF306" s="14"/>
      <c r="AG306" s="13"/>
      <c r="AH306" s="14"/>
      <c r="AI306" s="14"/>
      <c r="AJ306" s="8"/>
      <c r="AK306" s="8"/>
      <c r="AL306" s="8"/>
      <c r="AM306" s="8"/>
      <c r="AN306" s="631"/>
      <c r="AO306" s="18"/>
      <c r="AP306" s="18"/>
      <c r="AQ306" s="18"/>
      <c r="AR306" s="18"/>
      <c r="AS306" s="18"/>
      <c r="AU306" s="448"/>
      <c r="AV306" s="448"/>
      <c r="AW306" s="8" t="str">
        <f>IF(C306&gt;0,VLOOKUP(C306,Foundation_Calc!$A$2:$C$986,3,1),
IF(J306&gt;0,VLOOKUP(J306,Foundation_Calc!$A$2:$C$986,3,1),""))</f>
        <v/>
      </c>
      <c r="AX306" s="8" t="str">
        <f>IF(C306&gt;0,VLOOKUP(C306,Foundation_Calc!$E$2:$G$986,3,1),
IF(J306&gt;0,VLOOKUP(J306,Foundation_Calc!$E$2:$G$986,3,1),""))</f>
        <v/>
      </c>
      <c r="AY306" s="631" t="str">
        <f>IF(L306="","",
IF(AX306="PT",VLOOKUP(L306,Foundation_Calc!$K$4:$R$37,VLOOKUP(AW306,Foundation_Calc!$I$2:$J$8,2,FALSE),0),
IF(AX306="K",VLOOKUP(L306,Foundation_Calc!$K$41:$R$74,VLOOKUP(AW306,Foundation_Calc!$I$2:$J$8,2,FALSE),0),"")))</f>
        <v/>
      </c>
      <c r="AZ306" s="631" t="str">
        <f>IF(K306="","",
IF(AX306="PT",VLOOKUP(K306,Foundation_Calc!$K$4:$R$37,VLOOKUP(AW306,Foundation_Calc!$I$2:$J$8,2,FALSE),0),
IF(AX306="K",VLOOKUP(K306,Foundation_Calc!$K$41:$R$74,VLOOKUP(AW306,Foundation_Calc!$I$2:$J$8,2,FALSE),0),"")))</f>
        <v/>
      </c>
      <c r="BA306" s="632" t="str">
        <f t="shared" si="18"/>
        <v/>
      </c>
      <c r="BB306" s="632" t="str">
        <f t="shared" si="19"/>
        <v/>
      </c>
      <c r="BC306" s="632" t="str">
        <f t="shared" si="20"/>
        <v/>
      </c>
      <c r="BD306" s="633" t="str">
        <f>IF(AND(L306="",H306=""),"",
IF(H306="",Pole_Calc!A334,
IF(H306="MP",Pole_Calc!A335,
IF(H306="AnMP",Pole_Calc!A336,
IF(H306="A",Pole_Calc!A337,
IF(H306="S/A",Pole_Calc!A338,
IF(H306="A/S",Pole_Calc!A339,"Poner a mano")))))))</f>
        <v/>
      </c>
      <c r="BE306" s="448" t="s">
        <v>1726</v>
      </c>
      <c r="BF306" s="634"/>
      <c r="BG306" s="634"/>
      <c r="BH306" s="634"/>
      <c r="BI306" s="634"/>
    </row>
    <row r="307" spans="1:61" ht="16.2" customHeight="1">
      <c r="A307" s="12"/>
      <c r="B307" s="446"/>
      <c r="C307" s="89"/>
      <c r="D307" s="13"/>
      <c r="E307" s="14"/>
      <c r="F307" s="14"/>
      <c r="G307" s="15"/>
      <c r="H307" s="8"/>
      <c r="I307" s="8"/>
      <c r="J307" s="89"/>
      <c r="K307" s="8"/>
      <c r="L307" s="8"/>
      <c r="M307" s="8" t="str">
        <f>IF(L307="","",
IF(AX307="PT",VLOOKUP(L307,Foundation_Calc!$V$4:$X$37,VLOOKUP(AX307,Foundation_Calc!$I$10:$J$13,2,FALSE),0),
IF(AX307="K",VLOOKUP(L307,Foundation_Calc!$V$41:$X$74,VLOOKUP(AX307,Foundation_Calc!$I$10:$J$13,2,FALSE),0),"")))</f>
        <v/>
      </c>
      <c r="N307" s="8"/>
      <c r="O307" s="8"/>
      <c r="P307" s="8"/>
      <c r="Q307" s="14"/>
      <c r="R307" s="15"/>
      <c r="S307" s="15"/>
      <c r="T307" s="14"/>
      <c r="U307" s="14"/>
      <c r="V307" s="14"/>
      <c r="W307" s="18"/>
      <c r="X307" s="18"/>
      <c r="Y307" s="18"/>
      <c r="Z307" s="18"/>
      <c r="AA307" s="18"/>
      <c r="AB307" s="18"/>
      <c r="AC307" s="8" t="str">
        <f t="shared" si="17"/>
        <v/>
      </c>
      <c r="AD307" s="8"/>
      <c r="AE307" s="8"/>
      <c r="AF307" s="14"/>
      <c r="AG307" s="13"/>
      <c r="AH307" s="14"/>
      <c r="AI307" s="14"/>
      <c r="AJ307" s="8"/>
      <c r="AK307" s="8"/>
      <c r="AL307" s="8"/>
      <c r="AM307" s="8"/>
      <c r="AN307" s="631"/>
      <c r="AO307" s="18"/>
      <c r="AP307" s="18"/>
      <c r="AQ307" s="18"/>
      <c r="AR307" s="18"/>
      <c r="AS307" s="18"/>
      <c r="AU307" s="448"/>
      <c r="AV307" s="448"/>
      <c r="AW307" s="8" t="str">
        <f>IF(C307&gt;0,VLOOKUP(C307,Foundation_Calc!$A$2:$C$986,3,1),
IF(J307&gt;0,VLOOKUP(J307,Foundation_Calc!$A$2:$C$986,3,1),""))</f>
        <v/>
      </c>
      <c r="AX307" s="8" t="str">
        <f>IF(C307&gt;0,VLOOKUP(C307,Foundation_Calc!$E$2:$G$986,3,1),
IF(J307&gt;0,VLOOKUP(J307,Foundation_Calc!$E$2:$G$986,3,1),""))</f>
        <v/>
      </c>
      <c r="AY307" s="631" t="str">
        <f>IF(L307="","",
IF(AX307="PT",VLOOKUP(L307,Foundation_Calc!$K$4:$R$37,VLOOKUP(AW307,Foundation_Calc!$I$2:$J$8,2,FALSE),0),
IF(AX307="K",VLOOKUP(L307,Foundation_Calc!$K$41:$R$74,VLOOKUP(AW307,Foundation_Calc!$I$2:$J$8,2,FALSE),0),"")))</f>
        <v/>
      </c>
      <c r="AZ307" s="631" t="str">
        <f>IF(K307="","",
IF(AX307="PT",VLOOKUP(K307,Foundation_Calc!$K$4:$R$37,VLOOKUP(AW307,Foundation_Calc!$I$2:$J$8,2,FALSE),0),
IF(AX307="K",VLOOKUP(K307,Foundation_Calc!$K$41:$R$74,VLOOKUP(AW307,Foundation_Calc!$I$2:$J$8,2,FALSE),0),"")))</f>
        <v/>
      </c>
      <c r="BA307" s="632" t="str">
        <f t="shared" si="18"/>
        <v/>
      </c>
      <c r="BB307" s="632" t="str">
        <f t="shared" si="19"/>
        <v/>
      </c>
      <c r="BC307" s="632" t="str">
        <f t="shared" si="20"/>
        <v/>
      </c>
      <c r="BD307" s="633" t="str">
        <f>IF(AND(L307="",H307=""),"",
IF(H307="",Pole_Calc!A335,
IF(H307="MP",Pole_Calc!A336,
IF(H307="AnMP",Pole_Calc!A337,
IF(H307="A",Pole_Calc!A338,
IF(H307="S/A",Pole_Calc!A339,
IF(H307="A/S",Pole_Calc!A340,"Poner a mano")))))))</f>
        <v/>
      </c>
      <c r="BE307" s="448" t="s">
        <v>1726</v>
      </c>
      <c r="BF307" s="635"/>
      <c r="BG307" s="635"/>
      <c r="BH307" s="634"/>
      <c r="BI307" s="635"/>
    </row>
    <row r="308" spans="1:61" ht="16.2" customHeight="1">
      <c r="A308" s="12"/>
      <c r="B308" s="446"/>
      <c r="C308" s="89"/>
      <c r="D308" s="13"/>
      <c r="E308" s="14"/>
      <c r="F308" s="14"/>
      <c r="G308" s="15"/>
      <c r="H308" s="8"/>
      <c r="I308" s="8"/>
      <c r="J308" s="89"/>
      <c r="K308" s="8"/>
      <c r="L308" s="8"/>
      <c r="M308" s="8" t="str">
        <f>IF(L308="","",
IF(AX308="PT",VLOOKUP(L308,Foundation_Calc!$V$4:$X$37,VLOOKUP(AX308,Foundation_Calc!$I$10:$J$13,2,FALSE),0),
IF(AX308="K",VLOOKUP(L308,Foundation_Calc!$V$41:$X$74,VLOOKUP(AX308,Foundation_Calc!$I$10:$J$13,2,FALSE),0),"")))</f>
        <v/>
      </c>
      <c r="N308" s="8"/>
      <c r="O308" s="8"/>
      <c r="P308" s="8"/>
      <c r="Q308" s="14"/>
      <c r="R308" s="15"/>
      <c r="S308" s="15"/>
      <c r="T308" s="14"/>
      <c r="U308" s="14"/>
      <c r="V308" s="14"/>
      <c r="W308" s="18"/>
      <c r="X308" s="18"/>
      <c r="Y308" s="18"/>
      <c r="Z308" s="18"/>
      <c r="AA308" s="18"/>
      <c r="AB308" s="18"/>
      <c r="AC308" s="8" t="str">
        <f t="shared" si="17"/>
        <v/>
      </c>
      <c r="AD308" s="8"/>
      <c r="AE308" s="8"/>
      <c r="AF308" s="14"/>
      <c r="AG308" s="13"/>
      <c r="AH308" s="14"/>
      <c r="AI308" s="14"/>
      <c r="AJ308" s="8"/>
      <c r="AK308" s="8"/>
      <c r="AL308" s="8"/>
      <c r="AM308" s="8"/>
      <c r="AN308" s="631"/>
      <c r="AO308" s="18"/>
      <c r="AP308" s="18"/>
      <c r="AQ308" s="18"/>
      <c r="AR308" s="18"/>
      <c r="AS308" s="18"/>
      <c r="AU308" s="448"/>
      <c r="AV308" s="448"/>
      <c r="AW308" s="8" t="str">
        <f>IF(C308&gt;0,VLOOKUP(C308,Foundation_Calc!$A$2:$C$986,3,1),
IF(J308&gt;0,VLOOKUP(J308,Foundation_Calc!$A$2:$C$986,3,1),""))</f>
        <v/>
      </c>
      <c r="AX308" s="8" t="str">
        <f>IF(C308&gt;0,VLOOKUP(C308,Foundation_Calc!$E$2:$G$986,3,1),
IF(J308&gt;0,VLOOKUP(J308,Foundation_Calc!$E$2:$G$986,3,1),""))</f>
        <v/>
      </c>
      <c r="AY308" s="631" t="str">
        <f>IF(L308="","",
IF(AX308="PT",VLOOKUP(L308,Foundation_Calc!$K$4:$R$37,VLOOKUP(AW308,Foundation_Calc!$I$2:$J$8,2,FALSE),0),
IF(AX308="K",VLOOKUP(L308,Foundation_Calc!$K$41:$R$74,VLOOKUP(AW308,Foundation_Calc!$I$2:$J$8,2,FALSE),0),"")))</f>
        <v/>
      </c>
      <c r="AZ308" s="631" t="str">
        <f>IF(K308="","",
IF(AX308="PT",VLOOKUP(K308,Foundation_Calc!$K$4:$R$37,VLOOKUP(AW308,Foundation_Calc!$I$2:$J$8,2,FALSE),0),
IF(AX308="K",VLOOKUP(K308,Foundation_Calc!$K$41:$R$74,VLOOKUP(AW308,Foundation_Calc!$I$2:$J$8,2,FALSE),0),"")))</f>
        <v/>
      </c>
      <c r="BA308" s="632" t="str">
        <f t="shared" si="18"/>
        <v/>
      </c>
      <c r="BB308" s="632" t="str">
        <f t="shared" si="19"/>
        <v/>
      </c>
      <c r="BC308" s="632" t="str">
        <f t="shared" si="20"/>
        <v/>
      </c>
      <c r="BD308" s="633" t="str">
        <f>IF(AND(L308="",H308=""),"",
IF(H308="",Pole_Calc!A336,
IF(H308="MP",Pole_Calc!A337,
IF(H308="AnMP",Pole_Calc!A338,
IF(H308="A",Pole_Calc!A339,
IF(H308="S/A",Pole_Calc!A340,
IF(H308="A/S",Pole_Calc!A341,"Poner a mano")))))))</f>
        <v/>
      </c>
      <c r="BE308" s="448" t="s">
        <v>1726</v>
      </c>
      <c r="BF308" s="634"/>
      <c r="BG308" s="634"/>
      <c r="BH308" s="634"/>
      <c r="BI308" s="634"/>
    </row>
    <row r="309" spans="1:61" ht="16.2" customHeight="1">
      <c r="A309" s="12"/>
      <c r="B309" s="446"/>
      <c r="C309" s="89"/>
      <c r="D309" s="13"/>
      <c r="E309" s="14"/>
      <c r="F309" s="14"/>
      <c r="G309" s="15"/>
      <c r="H309" s="8"/>
      <c r="I309" s="8"/>
      <c r="J309" s="89"/>
      <c r="K309" s="8"/>
      <c r="L309" s="8"/>
      <c r="M309" s="8" t="str">
        <f>IF(L309="","",
IF(AX309="PT",VLOOKUP(L309,Foundation_Calc!$V$4:$X$37,VLOOKUP(AX309,Foundation_Calc!$I$10:$J$13,2,FALSE),0),
IF(AX309="K",VLOOKUP(L309,Foundation_Calc!$V$41:$X$74,VLOOKUP(AX309,Foundation_Calc!$I$10:$J$13,2,FALSE),0),"")))</f>
        <v/>
      </c>
      <c r="N309" s="8"/>
      <c r="O309" s="8"/>
      <c r="P309" s="8"/>
      <c r="Q309" s="14"/>
      <c r="R309" s="15"/>
      <c r="S309" s="15"/>
      <c r="T309" s="14"/>
      <c r="U309" s="14"/>
      <c r="V309" s="14"/>
      <c r="W309" s="18"/>
      <c r="X309" s="18"/>
      <c r="Y309" s="18"/>
      <c r="Z309" s="18"/>
      <c r="AA309" s="18"/>
      <c r="AB309" s="18"/>
      <c r="AC309" s="8" t="str">
        <f t="shared" si="17"/>
        <v/>
      </c>
      <c r="AD309" s="8"/>
      <c r="AE309" s="8"/>
      <c r="AF309" s="14"/>
      <c r="AG309" s="13"/>
      <c r="AH309" s="14"/>
      <c r="AI309" s="14"/>
      <c r="AJ309" s="8"/>
      <c r="AK309" s="8"/>
      <c r="AL309" s="8"/>
      <c r="AM309" s="8"/>
      <c r="AN309" s="631"/>
      <c r="AO309" s="18"/>
      <c r="AP309" s="18"/>
      <c r="AQ309" s="18"/>
      <c r="AR309" s="18"/>
      <c r="AS309" s="18"/>
      <c r="AU309" s="448"/>
      <c r="AV309" s="448"/>
      <c r="AW309" s="8" t="str">
        <f>IF(C309&gt;0,VLOOKUP(C309,Foundation_Calc!$A$2:$C$986,3,1),
IF(J309&gt;0,VLOOKUP(J309,Foundation_Calc!$A$2:$C$986,3,1),""))</f>
        <v/>
      </c>
      <c r="AX309" s="8" t="str">
        <f>IF(C309&gt;0,VLOOKUP(C309,Foundation_Calc!$E$2:$G$986,3,1),
IF(J309&gt;0,VLOOKUP(J309,Foundation_Calc!$E$2:$G$986,3,1),""))</f>
        <v/>
      </c>
      <c r="AY309" s="631" t="str">
        <f>IF(L309="","",
IF(AX309="PT",VLOOKUP(L309,Foundation_Calc!$K$4:$R$37,VLOOKUP(AW309,Foundation_Calc!$I$2:$J$8,2,FALSE),0),
IF(AX309="K",VLOOKUP(L309,Foundation_Calc!$K$41:$R$74,VLOOKUP(AW309,Foundation_Calc!$I$2:$J$8,2,FALSE),0),"")))</f>
        <v/>
      </c>
      <c r="AZ309" s="631" t="str">
        <f>IF(K309="","",
IF(AX309="PT",VLOOKUP(K309,Foundation_Calc!$K$4:$R$37,VLOOKUP(AW309,Foundation_Calc!$I$2:$J$8,2,FALSE),0),
IF(AX309="K",VLOOKUP(K309,Foundation_Calc!$K$41:$R$74,VLOOKUP(AW309,Foundation_Calc!$I$2:$J$8,2,FALSE),0),"")))</f>
        <v/>
      </c>
      <c r="BA309" s="632" t="str">
        <f t="shared" si="18"/>
        <v/>
      </c>
      <c r="BB309" s="632" t="str">
        <f t="shared" si="19"/>
        <v/>
      </c>
      <c r="BC309" s="632" t="str">
        <f t="shared" si="20"/>
        <v/>
      </c>
      <c r="BD309" s="633" t="str">
        <f>IF(AND(L309="",H309=""),"",
IF(H309="",Pole_Calc!A337,
IF(H309="MP",Pole_Calc!A338,
IF(H309="AnMP",Pole_Calc!A339,
IF(H309="A",Pole_Calc!A340,
IF(H309="S/A",Pole_Calc!A341,
IF(H309="A/S",Pole_Calc!A342,"Poner a mano")))))))</f>
        <v/>
      </c>
      <c r="BE309" s="448" t="s">
        <v>1726</v>
      </c>
      <c r="BF309" s="635"/>
      <c r="BG309" s="635"/>
      <c r="BH309" s="634"/>
      <c r="BI309" s="635"/>
    </row>
    <row r="310" spans="1:61" ht="16.2" customHeight="1">
      <c r="A310" s="12"/>
      <c r="B310" s="446"/>
      <c r="C310" s="89"/>
      <c r="D310" s="13"/>
      <c r="E310" s="14"/>
      <c r="F310" s="14"/>
      <c r="G310" s="15"/>
      <c r="H310" s="8"/>
      <c r="I310" s="8"/>
      <c r="J310" s="89"/>
      <c r="K310" s="8"/>
      <c r="L310" s="8"/>
      <c r="M310" s="8" t="str">
        <f>IF(L310="","",
IF(AX310="PT",VLOOKUP(L310,Foundation_Calc!$V$4:$X$37,VLOOKUP(AX310,Foundation_Calc!$I$10:$J$13,2,FALSE),0),
IF(AX310="K",VLOOKUP(L310,Foundation_Calc!$V$41:$X$74,VLOOKUP(AX310,Foundation_Calc!$I$10:$J$13,2,FALSE),0),"")))</f>
        <v/>
      </c>
      <c r="N310" s="8"/>
      <c r="O310" s="8"/>
      <c r="P310" s="8"/>
      <c r="Q310" s="14"/>
      <c r="R310" s="15"/>
      <c r="S310" s="15"/>
      <c r="T310" s="14"/>
      <c r="U310" s="14"/>
      <c r="V310" s="14"/>
      <c r="W310" s="18"/>
      <c r="X310" s="18"/>
      <c r="Y310" s="18"/>
      <c r="Z310" s="18"/>
      <c r="AA310" s="18"/>
      <c r="AB310" s="18"/>
      <c r="AC310" s="8" t="str">
        <f t="shared" si="17"/>
        <v/>
      </c>
      <c r="AD310" s="8"/>
      <c r="AE310" s="8"/>
      <c r="AF310" s="14"/>
      <c r="AG310" s="13"/>
      <c r="AH310" s="14"/>
      <c r="AI310" s="14"/>
      <c r="AJ310" s="8"/>
      <c r="AK310" s="8"/>
      <c r="AL310" s="8"/>
      <c r="AM310" s="8"/>
      <c r="AN310" s="631"/>
      <c r="AO310" s="18"/>
      <c r="AP310" s="18"/>
      <c r="AQ310" s="18"/>
      <c r="AR310" s="18"/>
      <c r="AS310" s="18"/>
      <c r="AU310" s="448"/>
      <c r="AV310" s="448"/>
      <c r="AW310" s="8" t="str">
        <f>IF(C310&gt;0,VLOOKUP(C310,Foundation_Calc!$A$2:$C$986,3,1),
IF(J310&gt;0,VLOOKUP(J310,Foundation_Calc!$A$2:$C$986,3,1),""))</f>
        <v/>
      </c>
      <c r="AX310" s="8" t="str">
        <f>IF(C310&gt;0,VLOOKUP(C310,Foundation_Calc!$E$2:$G$986,3,1),
IF(J310&gt;0,VLOOKUP(J310,Foundation_Calc!$E$2:$G$986,3,1),""))</f>
        <v/>
      </c>
      <c r="AY310" s="631" t="str">
        <f>IF(L310="","",
IF(AX310="PT",VLOOKUP(L310,Foundation_Calc!$K$4:$R$37,VLOOKUP(AW310,Foundation_Calc!$I$2:$J$8,2,FALSE),0),
IF(AX310="K",VLOOKUP(L310,Foundation_Calc!$K$41:$R$74,VLOOKUP(AW310,Foundation_Calc!$I$2:$J$8,2,FALSE),0),"")))</f>
        <v/>
      </c>
      <c r="AZ310" s="631" t="str">
        <f>IF(K310="","",
IF(AX310="PT",VLOOKUP(K310,Foundation_Calc!$K$4:$R$37,VLOOKUP(AW310,Foundation_Calc!$I$2:$J$8,2,FALSE),0),
IF(AX310="K",VLOOKUP(K310,Foundation_Calc!$K$41:$R$74,VLOOKUP(AW310,Foundation_Calc!$I$2:$J$8,2,FALSE),0),"")))</f>
        <v/>
      </c>
      <c r="BA310" s="632" t="str">
        <f t="shared" si="18"/>
        <v/>
      </c>
      <c r="BB310" s="632" t="str">
        <f t="shared" si="19"/>
        <v/>
      </c>
      <c r="BC310" s="632" t="str">
        <f t="shared" si="20"/>
        <v/>
      </c>
      <c r="BD310" s="633" t="str">
        <f>IF(AND(L310="",H310=""),"",
IF(H310="",Pole_Calc!A338,
IF(H310="MP",Pole_Calc!A339,
IF(H310="AnMP",Pole_Calc!A340,
IF(H310="A",Pole_Calc!A341,
IF(H310="S/A",Pole_Calc!A342,
IF(H310="A/S",Pole_Calc!A343,"Poner a mano")))))))</f>
        <v/>
      </c>
      <c r="BE310" s="448" t="s">
        <v>1726</v>
      </c>
      <c r="BF310" s="634"/>
      <c r="BG310" s="634"/>
      <c r="BH310" s="634"/>
      <c r="BI310" s="634"/>
    </row>
    <row r="311" spans="1:61" ht="16.2" customHeight="1">
      <c r="A311" s="12"/>
      <c r="B311" s="446"/>
      <c r="C311" s="89"/>
      <c r="D311" s="13"/>
      <c r="E311" s="14"/>
      <c r="F311" s="14"/>
      <c r="G311" s="15"/>
      <c r="H311" s="8"/>
      <c r="I311" s="8"/>
      <c r="J311" s="89"/>
      <c r="K311" s="8"/>
      <c r="L311" s="8"/>
      <c r="M311" s="8" t="str">
        <f>IF(L311="","",
IF(AX311="PT",VLOOKUP(L311,Foundation_Calc!$V$4:$X$37,VLOOKUP(AX311,Foundation_Calc!$I$10:$J$13,2,FALSE),0),
IF(AX311="K",VLOOKUP(L311,Foundation_Calc!$V$41:$X$74,VLOOKUP(AX311,Foundation_Calc!$I$10:$J$13,2,FALSE),0),"")))</f>
        <v/>
      </c>
      <c r="N311" s="8"/>
      <c r="O311" s="8"/>
      <c r="P311" s="8"/>
      <c r="Q311" s="14"/>
      <c r="R311" s="15"/>
      <c r="S311" s="15"/>
      <c r="T311" s="14"/>
      <c r="U311" s="14"/>
      <c r="V311" s="14"/>
      <c r="W311" s="18"/>
      <c r="X311" s="18"/>
      <c r="Y311" s="18"/>
      <c r="Z311" s="18"/>
      <c r="AA311" s="18"/>
      <c r="AB311" s="18"/>
      <c r="AC311" s="8" t="str">
        <f t="shared" si="17"/>
        <v/>
      </c>
      <c r="AD311" s="8"/>
      <c r="AE311" s="8"/>
      <c r="AF311" s="14"/>
      <c r="AG311" s="13"/>
      <c r="AH311" s="14"/>
      <c r="AI311" s="14"/>
      <c r="AJ311" s="8"/>
      <c r="AK311" s="8"/>
      <c r="AL311" s="8"/>
      <c r="AM311" s="8"/>
      <c r="AN311" s="631"/>
      <c r="AO311" s="18"/>
      <c r="AP311" s="18"/>
      <c r="AQ311" s="18"/>
      <c r="AR311" s="18"/>
      <c r="AS311" s="18"/>
      <c r="AU311" s="448"/>
      <c r="AV311" s="448"/>
      <c r="AW311" s="8" t="str">
        <f>IF(C311&gt;0,VLOOKUP(C311,Foundation_Calc!$A$2:$C$986,3,1),
IF(J311&gt;0,VLOOKUP(J311,Foundation_Calc!$A$2:$C$986,3,1),""))</f>
        <v/>
      </c>
      <c r="AX311" s="8" t="str">
        <f>IF(C311&gt;0,VLOOKUP(C311,Foundation_Calc!$E$2:$G$986,3,1),
IF(J311&gt;0,VLOOKUP(J311,Foundation_Calc!$E$2:$G$986,3,1),""))</f>
        <v/>
      </c>
      <c r="AY311" s="631" t="str">
        <f>IF(L311="","",
IF(AX311="PT",VLOOKUP(L311,Foundation_Calc!$K$4:$R$37,VLOOKUP(AW311,Foundation_Calc!$I$2:$J$8,2,FALSE),0),
IF(AX311="K",VLOOKUP(L311,Foundation_Calc!$K$41:$R$74,VLOOKUP(AW311,Foundation_Calc!$I$2:$J$8,2,FALSE),0),"")))</f>
        <v/>
      </c>
      <c r="AZ311" s="631" t="str">
        <f>IF(K311="","",
IF(AX311="PT",VLOOKUP(K311,Foundation_Calc!$K$4:$R$37,VLOOKUP(AW311,Foundation_Calc!$I$2:$J$8,2,FALSE),0),
IF(AX311="K",VLOOKUP(K311,Foundation_Calc!$K$41:$R$74,VLOOKUP(AW311,Foundation_Calc!$I$2:$J$8,2,FALSE),0),"")))</f>
        <v/>
      </c>
      <c r="BA311" s="632" t="str">
        <f t="shared" si="18"/>
        <v/>
      </c>
      <c r="BB311" s="632" t="str">
        <f t="shared" si="19"/>
        <v/>
      </c>
      <c r="BC311" s="632" t="str">
        <f t="shared" si="20"/>
        <v/>
      </c>
      <c r="BD311" s="633" t="str">
        <f>IF(AND(L311="",H311=""),"",
IF(H311="",Pole_Calc!A339,
IF(H311="MP",Pole_Calc!A340,
IF(H311="AnMP",Pole_Calc!A341,
IF(H311="A",Pole_Calc!A342,
IF(H311="S/A",Pole_Calc!A343,
IF(H311="A/S",Pole_Calc!A344,"Poner a mano")))))))</f>
        <v/>
      </c>
      <c r="BE311" s="448" t="s">
        <v>1726</v>
      </c>
      <c r="BF311" s="635"/>
      <c r="BG311" s="635"/>
      <c r="BH311" s="634"/>
      <c r="BI311" s="635"/>
    </row>
    <row r="312" spans="1:61" ht="16.2" customHeight="1">
      <c r="A312" s="12"/>
      <c r="B312" s="446"/>
      <c r="C312" s="89"/>
      <c r="D312" s="13"/>
      <c r="E312" s="14"/>
      <c r="F312" s="14"/>
      <c r="G312" s="15"/>
      <c r="H312" s="8"/>
      <c r="I312" s="8"/>
      <c r="J312" s="89"/>
      <c r="K312" s="8"/>
      <c r="L312" s="8"/>
      <c r="M312" s="8" t="str">
        <f>IF(L312="","",
IF(AX312="PT",VLOOKUP(L312,Foundation_Calc!$V$4:$X$37,VLOOKUP(AX312,Foundation_Calc!$I$10:$J$13,2,FALSE),0),
IF(AX312="K",VLOOKUP(L312,Foundation_Calc!$V$41:$X$74,VLOOKUP(AX312,Foundation_Calc!$I$10:$J$13,2,FALSE),0),"")))</f>
        <v/>
      </c>
      <c r="N312" s="8"/>
      <c r="O312" s="8"/>
      <c r="P312" s="8"/>
      <c r="Q312" s="14"/>
      <c r="R312" s="15"/>
      <c r="S312" s="15"/>
      <c r="T312" s="14"/>
      <c r="U312" s="14"/>
      <c r="V312" s="14"/>
      <c r="W312" s="18"/>
      <c r="X312" s="18"/>
      <c r="Y312" s="18"/>
      <c r="Z312" s="18"/>
      <c r="AA312" s="18"/>
      <c r="AB312" s="18"/>
      <c r="AC312" s="8" t="str">
        <f t="shared" si="17"/>
        <v/>
      </c>
      <c r="AD312" s="8"/>
      <c r="AE312" s="8"/>
      <c r="AF312" s="14"/>
      <c r="AG312" s="13"/>
      <c r="AH312" s="14"/>
      <c r="AI312" s="14"/>
      <c r="AJ312" s="8"/>
      <c r="AK312" s="8"/>
      <c r="AL312" s="8"/>
      <c r="AM312" s="8"/>
      <c r="AN312" s="631"/>
      <c r="AO312" s="18"/>
      <c r="AP312" s="18"/>
      <c r="AQ312" s="18"/>
      <c r="AR312" s="18"/>
      <c r="AS312" s="18"/>
      <c r="AU312" s="448"/>
      <c r="AV312" s="448"/>
      <c r="AW312" s="8" t="str">
        <f>IF(C312&gt;0,VLOOKUP(C312,Foundation_Calc!$A$2:$C$986,3,1),
IF(J312&gt;0,VLOOKUP(J312,Foundation_Calc!$A$2:$C$986,3,1),""))</f>
        <v/>
      </c>
      <c r="AX312" s="8" t="str">
        <f>IF(C312&gt;0,VLOOKUP(C312,Foundation_Calc!$E$2:$G$986,3,1),
IF(J312&gt;0,VLOOKUP(J312,Foundation_Calc!$E$2:$G$986,3,1),""))</f>
        <v/>
      </c>
      <c r="AY312" s="631" t="str">
        <f>IF(L312="","",
IF(AX312="PT",VLOOKUP(L312,Foundation_Calc!$K$4:$R$37,VLOOKUP(AW312,Foundation_Calc!$I$2:$J$8,2,FALSE),0),
IF(AX312="K",VLOOKUP(L312,Foundation_Calc!$K$41:$R$74,VLOOKUP(AW312,Foundation_Calc!$I$2:$J$8,2,FALSE),0),"")))</f>
        <v/>
      </c>
      <c r="AZ312" s="631" t="str">
        <f>IF(K312="","",
IF(AX312="PT",VLOOKUP(K312,Foundation_Calc!$K$4:$R$37,VLOOKUP(AW312,Foundation_Calc!$I$2:$J$8,2,FALSE),0),
IF(AX312="K",VLOOKUP(K312,Foundation_Calc!$K$41:$R$74,VLOOKUP(AW312,Foundation_Calc!$I$2:$J$8,2,FALSE),0),"")))</f>
        <v/>
      </c>
      <c r="BA312" s="632" t="str">
        <f t="shared" si="18"/>
        <v/>
      </c>
      <c r="BB312" s="632" t="str">
        <f t="shared" si="19"/>
        <v/>
      </c>
      <c r="BC312" s="632" t="str">
        <f t="shared" si="20"/>
        <v/>
      </c>
      <c r="BD312" s="633" t="str">
        <f>IF(AND(L312="",H312=""),"",
IF(H312="",Pole_Calc!A340,
IF(H312="MP",Pole_Calc!A341,
IF(H312="AnMP",Pole_Calc!A342,
IF(H312="A",Pole_Calc!A343,
IF(H312="S/A",Pole_Calc!A344,
IF(H312="A/S",Pole_Calc!A345,"Poner a mano")))))))</f>
        <v/>
      </c>
      <c r="BE312" s="448" t="s">
        <v>1726</v>
      </c>
      <c r="BF312" s="634"/>
      <c r="BG312" s="634"/>
      <c r="BH312" s="634"/>
      <c r="BI312" s="634"/>
    </row>
    <row r="313" spans="1:61" ht="16.2" customHeight="1">
      <c r="A313" s="12"/>
      <c r="B313" s="446"/>
      <c r="C313" s="89"/>
      <c r="D313" s="13"/>
      <c r="E313" s="14"/>
      <c r="F313" s="14"/>
      <c r="G313" s="15"/>
      <c r="H313" s="8"/>
      <c r="I313" s="8"/>
      <c r="J313" s="89"/>
      <c r="K313" s="8"/>
      <c r="L313" s="8"/>
      <c r="M313" s="8" t="str">
        <f>IF(L313="","",
IF(AX313="PT",VLOOKUP(L313,Foundation_Calc!$V$4:$X$37,VLOOKUP(AX313,Foundation_Calc!$I$10:$J$13,2,FALSE),0),
IF(AX313="K",VLOOKUP(L313,Foundation_Calc!$V$41:$X$74,VLOOKUP(AX313,Foundation_Calc!$I$10:$J$13,2,FALSE),0),"")))</f>
        <v/>
      </c>
      <c r="N313" s="8"/>
      <c r="O313" s="8"/>
      <c r="P313" s="8"/>
      <c r="Q313" s="14"/>
      <c r="R313" s="15"/>
      <c r="S313" s="15"/>
      <c r="T313" s="14"/>
      <c r="U313" s="14"/>
      <c r="V313" s="14"/>
      <c r="W313" s="18"/>
      <c r="X313" s="18"/>
      <c r="Y313" s="18"/>
      <c r="Z313" s="18"/>
      <c r="AA313" s="18"/>
      <c r="AB313" s="18"/>
      <c r="AC313" s="8" t="str">
        <f t="shared" si="17"/>
        <v/>
      </c>
      <c r="AD313" s="8"/>
      <c r="AE313" s="8"/>
      <c r="AF313" s="14"/>
      <c r="AG313" s="13"/>
      <c r="AH313" s="14"/>
      <c r="AI313" s="14"/>
      <c r="AJ313" s="8"/>
      <c r="AK313" s="8"/>
      <c r="AL313" s="8"/>
      <c r="AM313" s="8"/>
      <c r="AN313" s="631"/>
      <c r="AO313" s="18"/>
      <c r="AP313" s="18"/>
      <c r="AQ313" s="18"/>
      <c r="AR313" s="18"/>
      <c r="AS313" s="18"/>
      <c r="AU313" s="448"/>
      <c r="AV313" s="448"/>
      <c r="AW313" s="8" t="str">
        <f>IF(C313&gt;0,VLOOKUP(C313,Foundation_Calc!$A$2:$C$986,3,1),
IF(J313&gt;0,VLOOKUP(J313,Foundation_Calc!$A$2:$C$986,3,1),""))</f>
        <v/>
      </c>
      <c r="AX313" s="8" t="str">
        <f>IF(C313&gt;0,VLOOKUP(C313,Foundation_Calc!$E$2:$G$986,3,1),
IF(J313&gt;0,VLOOKUP(J313,Foundation_Calc!$E$2:$G$986,3,1),""))</f>
        <v/>
      </c>
      <c r="AY313" s="631" t="str">
        <f>IF(L313="","",
IF(AX313="PT",VLOOKUP(L313,Foundation_Calc!$K$4:$R$37,VLOOKUP(AW313,Foundation_Calc!$I$2:$J$8,2,FALSE),0),
IF(AX313="K",VLOOKUP(L313,Foundation_Calc!$K$41:$R$74,VLOOKUP(AW313,Foundation_Calc!$I$2:$J$8,2,FALSE),0),"")))</f>
        <v/>
      </c>
      <c r="AZ313" s="631" t="str">
        <f>IF(K313="","",
IF(AX313="PT",VLOOKUP(K313,Foundation_Calc!$K$4:$R$37,VLOOKUP(AW313,Foundation_Calc!$I$2:$J$8,2,FALSE),0),
IF(AX313="K",VLOOKUP(K313,Foundation_Calc!$K$41:$R$74,VLOOKUP(AW313,Foundation_Calc!$I$2:$J$8,2,FALSE),0),"")))</f>
        <v/>
      </c>
      <c r="BA313" s="632" t="str">
        <f t="shared" si="18"/>
        <v/>
      </c>
      <c r="BB313" s="632" t="str">
        <f t="shared" si="19"/>
        <v/>
      </c>
      <c r="BC313" s="632" t="str">
        <f t="shared" si="20"/>
        <v/>
      </c>
      <c r="BD313" s="633" t="str">
        <f>IF(AND(L313="",H313=""),"",
IF(H313="",Pole_Calc!A341,
IF(H313="MP",Pole_Calc!A342,
IF(H313="AnMP",Pole_Calc!A343,
IF(H313="A",Pole_Calc!A344,
IF(H313="S/A",Pole_Calc!A345,
IF(H313="A/S",Pole_Calc!A346,"Poner a mano")))))))</f>
        <v/>
      </c>
      <c r="BE313" s="448" t="s">
        <v>1726</v>
      </c>
      <c r="BF313" s="635"/>
      <c r="BG313" s="635"/>
      <c r="BH313" s="634"/>
      <c r="BI313" s="635"/>
    </row>
    <row r="314" spans="1:61" ht="16.2" customHeight="1">
      <c r="A314" s="12"/>
      <c r="B314" s="446"/>
      <c r="C314" s="89"/>
      <c r="D314" s="13"/>
      <c r="E314" s="14"/>
      <c r="F314" s="14"/>
      <c r="G314" s="15"/>
      <c r="H314" s="8"/>
      <c r="I314" s="8"/>
      <c r="J314" s="89"/>
      <c r="K314" s="8"/>
      <c r="L314" s="8"/>
      <c r="M314" s="8" t="str">
        <f>IF(L314="","",
IF(AX314="PT",VLOOKUP(L314,Foundation_Calc!$V$4:$X$37,VLOOKUP(AX314,Foundation_Calc!$I$10:$J$13,2,FALSE),0),
IF(AX314="K",VLOOKUP(L314,Foundation_Calc!$V$41:$X$74,VLOOKUP(AX314,Foundation_Calc!$I$10:$J$13,2,FALSE),0),"")))</f>
        <v/>
      </c>
      <c r="N314" s="8"/>
      <c r="O314" s="8"/>
      <c r="P314" s="8"/>
      <c r="Q314" s="14"/>
      <c r="R314" s="15"/>
      <c r="S314" s="15"/>
      <c r="T314" s="14"/>
      <c r="U314" s="14"/>
      <c r="V314" s="14"/>
      <c r="W314" s="18"/>
      <c r="X314" s="18"/>
      <c r="Y314" s="18"/>
      <c r="Z314" s="18"/>
      <c r="AA314" s="18"/>
      <c r="AB314" s="18"/>
      <c r="AC314" s="8" t="str">
        <f t="shared" si="17"/>
        <v/>
      </c>
      <c r="AD314" s="8"/>
      <c r="AE314" s="8"/>
      <c r="AF314" s="14"/>
      <c r="AG314" s="13"/>
      <c r="AH314" s="14"/>
      <c r="AI314" s="14"/>
      <c r="AJ314" s="8"/>
      <c r="AK314" s="8"/>
      <c r="AL314" s="8"/>
      <c r="AM314" s="8"/>
      <c r="AN314" s="631"/>
      <c r="AO314" s="18"/>
      <c r="AP314" s="18"/>
      <c r="AQ314" s="18"/>
      <c r="AR314" s="18"/>
      <c r="AS314" s="18"/>
      <c r="AU314" s="448"/>
      <c r="AV314" s="448"/>
      <c r="AW314" s="8" t="str">
        <f>IF(C314&gt;0,VLOOKUP(C314,Foundation_Calc!$A$2:$C$986,3,1),
IF(J314&gt;0,VLOOKUP(J314,Foundation_Calc!$A$2:$C$986,3,1),""))</f>
        <v/>
      </c>
      <c r="AX314" s="8" t="str">
        <f>IF(C314&gt;0,VLOOKUP(C314,Foundation_Calc!$E$2:$G$986,3,1),
IF(J314&gt;0,VLOOKUP(J314,Foundation_Calc!$E$2:$G$986,3,1),""))</f>
        <v/>
      </c>
      <c r="AY314" s="631" t="str">
        <f>IF(L314="","",
IF(AX314="PT",VLOOKUP(L314,Foundation_Calc!$K$4:$R$37,VLOOKUP(AW314,Foundation_Calc!$I$2:$J$8,2,FALSE),0),
IF(AX314="K",VLOOKUP(L314,Foundation_Calc!$K$41:$R$74,VLOOKUP(AW314,Foundation_Calc!$I$2:$J$8,2,FALSE),0),"")))</f>
        <v/>
      </c>
      <c r="AZ314" s="631" t="str">
        <f>IF(K314="","",
IF(AX314="PT",VLOOKUP(K314,Foundation_Calc!$K$4:$R$37,VLOOKUP(AW314,Foundation_Calc!$I$2:$J$8,2,FALSE),0),
IF(AX314="K",VLOOKUP(K314,Foundation_Calc!$K$41:$R$74,VLOOKUP(AW314,Foundation_Calc!$I$2:$J$8,2,FALSE),0),"")))</f>
        <v/>
      </c>
      <c r="BA314" s="632" t="str">
        <f t="shared" si="18"/>
        <v/>
      </c>
      <c r="BB314" s="632" t="str">
        <f t="shared" si="19"/>
        <v/>
      </c>
      <c r="BC314" s="632" t="str">
        <f t="shared" si="20"/>
        <v/>
      </c>
      <c r="BD314" s="633" t="str">
        <f>IF(AND(L314="",H314=""),"",
IF(H314="",Pole_Calc!A342,
IF(H314="MP",Pole_Calc!A343,
IF(H314="AnMP",Pole_Calc!A344,
IF(H314="A",Pole_Calc!A345,
IF(H314="S/A",Pole_Calc!A346,
IF(H314="A/S",Pole_Calc!A347,"Poner a mano")))))))</f>
        <v/>
      </c>
      <c r="BE314" s="448" t="s">
        <v>1726</v>
      </c>
      <c r="BF314" s="634"/>
      <c r="BG314" s="634"/>
      <c r="BH314" s="634"/>
      <c r="BI314" s="634"/>
    </row>
    <row r="315" spans="1:61" ht="16.2" customHeight="1">
      <c r="A315" s="12"/>
      <c r="B315" s="446"/>
      <c r="C315" s="89"/>
      <c r="D315" s="13"/>
      <c r="E315" s="14"/>
      <c r="F315" s="14"/>
      <c r="G315" s="15"/>
      <c r="H315" s="8"/>
      <c r="I315" s="8"/>
      <c r="J315" s="89"/>
      <c r="K315" s="8"/>
      <c r="L315" s="8"/>
      <c r="M315" s="8" t="str">
        <f>IF(L315="","",
IF(AX315="PT",VLOOKUP(L315,Foundation_Calc!$V$4:$X$37,VLOOKUP(AX315,Foundation_Calc!$I$10:$J$13,2,FALSE),0),
IF(AX315="K",VLOOKUP(L315,Foundation_Calc!$V$41:$X$74,VLOOKUP(AX315,Foundation_Calc!$I$10:$J$13,2,FALSE),0),"")))</f>
        <v/>
      </c>
      <c r="N315" s="8"/>
      <c r="O315" s="8"/>
      <c r="P315" s="8"/>
      <c r="Q315" s="14"/>
      <c r="R315" s="15"/>
      <c r="S315" s="15"/>
      <c r="T315" s="14"/>
      <c r="U315" s="14"/>
      <c r="V315" s="14"/>
      <c r="W315" s="18"/>
      <c r="X315" s="18"/>
      <c r="Y315" s="18"/>
      <c r="Z315" s="18"/>
      <c r="AA315" s="18"/>
      <c r="AB315" s="18"/>
      <c r="AC315" s="8" t="str">
        <f t="shared" si="17"/>
        <v/>
      </c>
      <c r="AD315" s="8"/>
      <c r="AE315" s="8"/>
      <c r="AF315" s="14"/>
      <c r="AG315" s="13"/>
      <c r="AH315" s="14"/>
      <c r="AI315" s="14"/>
      <c r="AJ315" s="8"/>
      <c r="AK315" s="8"/>
      <c r="AL315" s="8"/>
      <c r="AM315" s="8"/>
      <c r="AN315" s="631"/>
      <c r="AO315" s="18"/>
      <c r="AP315" s="18"/>
      <c r="AQ315" s="18"/>
      <c r="AR315" s="18"/>
      <c r="AS315" s="18"/>
      <c r="AU315" s="448"/>
      <c r="AV315" s="448"/>
      <c r="AW315" s="8" t="str">
        <f>IF(C315&gt;0,VLOOKUP(C315,Foundation_Calc!$A$2:$C$986,3,1),
IF(J315&gt;0,VLOOKUP(J315,Foundation_Calc!$A$2:$C$986,3,1),""))</f>
        <v/>
      </c>
      <c r="AX315" s="8" t="str">
        <f>IF(C315&gt;0,VLOOKUP(C315,Foundation_Calc!$E$2:$G$986,3,1),
IF(J315&gt;0,VLOOKUP(J315,Foundation_Calc!$E$2:$G$986,3,1),""))</f>
        <v/>
      </c>
      <c r="AY315" s="631" t="str">
        <f>IF(L315="","",
IF(AX315="PT",VLOOKUP(L315,Foundation_Calc!$K$4:$R$37,VLOOKUP(AW315,Foundation_Calc!$I$2:$J$8,2,FALSE),0),
IF(AX315="K",VLOOKUP(L315,Foundation_Calc!$K$41:$R$74,VLOOKUP(AW315,Foundation_Calc!$I$2:$J$8,2,FALSE),0),"")))</f>
        <v/>
      </c>
      <c r="AZ315" s="631" t="str">
        <f>IF(K315="","",
IF(AX315="PT",VLOOKUP(K315,Foundation_Calc!$K$4:$R$37,VLOOKUP(AW315,Foundation_Calc!$I$2:$J$8,2,FALSE),0),
IF(AX315="K",VLOOKUP(K315,Foundation_Calc!$K$41:$R$74,VLOOKUP(AW315,Foundation_Calc!$I$2:$J$8,2,FALSE),0),"")))</f>
        <v/>
      </c>
      <c r="BA315" s="632" t="str">
        <f t="shared" si="18"/>
        <v/>
      </c>
      <c r="BB315" s="632" t="str">
        <f t="shared" si="19"/>
        <v/>
      </c>
      <c r="BC315" s="632" t="str">
        <f t="shared" si="20"/>
        <v/>
      </c>
      <c r="BD315" s="633" t="str">
        <f>IF(AND(L315="",H315=""),"",
IF(H315="",Pole_Calc!A343,
IF(H315="MP",Pole_Calc!A344,
IF(H315="AnMP",Pole_Calc!A345,
IF(H315="A",Pole_Calc!A346,
IF(H315="S/A",Pole_Calc!A347,
IF(H315="A/S",Pole_Calc!A348,"Poner a mano")))))))</f>
        <v/>
      </c>
      <c r="BE315" s="448" t="s">
        <v>1726</v>
      </c>
      <c r="BF315" s="635"/>
      <c r="BG315" s="635"/>
      <c r="BH315" s="634"/>
      <c r="BI315" s="635"/>
    </row>
    <row r="316" spans="1:61" ht="16.2" customHeight="1">
      <c r="A316" s="12"/>
      <c r="B316" s="446"/>
      <c r="C316" s="89"/>
      <c r="D316" s="13"/>
      <c r="E316" s="14"/>
      <c r="F316" s="14"/>
      <c r="G316" s="15"/>
      <c r="H316" s="8"/>
      <c r="I316" s="8"/>
      <c r="J316" s="89"/>
      <c r="K316" s="8"/>
      <c r="L316" s="8"/>
      <c r="M316" s="8" t="str">
        <f>IF(L316="","",
IF(AX316="PT",VLOOKUP(L316,Foundation_Calc!$V$4:$X$37,VLOOKUP(AX316,Foundation_Calc!$I$10:$J$13,2,FALSE),0),
IF(AX316="K",VLOOKUP(L316,Foundation_Calc!$V$41:$X$74,VLOOKUP(AX316,Foundation_Calc!$I$10:$J$13,2,FALSE),0),"")))</f>
        <v/>
      </c>
      <c r="N316" s="8"/>
      <c r="O316" s="8"/>
      <c r="P316" s="8"/>
      <c r="Q316" s="14"/>
      <c r="R316" s="15"/>
      <c r="S316" s="15"/>
      <c r="T316" s="14"/>
      <c r="U316" s="14"/>
      <c r="V316" s="14"/>
      <c r="W316" s="18"/>
      <c r="X316" s="18"/>
      <c r="Y316" s="18"/>
      <c r="Z316" s="18"/>
      <c r="AA316" s="18"/>
      <c r="AB316" s="18"/>
      <c r="AC316" s="8" t="str">
        <f t="shared" si="17"/>
        <v/>
      </c>
      <c r="AD316" s="8"/>
      <c r="AE316" s="8"/>
      <c r="AF316" s="14"/>
      <c r="AG316" s="13"/>
      <c r="AH316" s="14"/>
      <c r="AI316" s="14"/>
      <c r="AJ316" s="8"/>
      <c r="AK316" s="8"/>
      <c r="AL316" s="8"/>
      <c r="AM316" s="8"/>
      <c r="AN316" s="631"/>
      <c r="AO316" s="18"/>
      <c r="AP316" s="18"/>
      <c r="AQ316" s="18"/>
      <c r="AR316" s="18"/>
      <c r="AS316" s="18"/>
      <c r="AU316" s="448"/>
      <c r="AV316" s="448"/>
      <c r="AW316" s="8" t="str">
        <f>IF(C316&gt;0,VLOOKUP(C316,Foundation_Calc!$A$2:$C$986,3,1),
IF(J316&gt;0,VLOOKUP(J316,Foundation_Calc!$A$2:$C$986,3,1),""))</f>
        <v/>
      </c>
      <c r="AX316" s="8" t="str">
        <f>IF(C316&gt;0,VLOOKUP(C316,Foundation_Calc!$E$2:$G$986,3,1),
IF(J316&gt;0,VLOOKUP(J316,Foundation_Calc!$E$2:$G$986,3,1),""))</f>
        <v/>
      </c>
      <c r="AY316" s="631" t="str">
        <f>IF(L316="","",
IF(AX316="PT",VLOOKUP(L316,Foundation_Calc!$K$4:$R$37,VLOOKUP(AW316,Foundation_Calc!$I$2:$J$8,2,FALSE),0),
IF(AX316="K",VLOOKUP(L316,Foundation_Calc!$K$41:$R$74,VLOOKUP(AW316,Foundation_Calc!$I$2:$J$8,2,FALSE),0),"")))</f>
        <v/>
      </c>
      <c r="AZ316" s="631" t="str">
        <f>IF(K316="","",
IF(AX316="PT",VLOOKUP(K316,Foundation_Calc!$K$4:$R$37,VLOOKUP(AW316,Foundation_Calc!$I$2:$J$8,2,FALSE),0),
IF(AX316="K",VLOOKUP(K316,Foundation_Calc!$K$41:$R$74,VLOOKUP(AW316,Foundation_Calc!$I$2:$J$8,2,FALSE),0),"")))</f>
        <v/>
      </c>
      <c r="BA316" s="632" t="str">
        <f t="shared" si="18"/>
        <v/>
      </c>
      <c r="BB316" s="632" t="str">
        <f t="shared" si="19"/>
        <v/>
      </c>
      <c r="BC316" s="632" t="str">
        <f t="shared" si="20"/>
        <v/>
      </c>
      <c r="BD316" s="633" t="str">
        <f>IF(AND(L316="",H316=""),"",
IF(H316="",Pole_Calc!A344,
IF(H316="MP",Pole_Calc!A345,
IF(H316="AnMP",Pole_Calc!A346,
IF(H316="A",Pole_Calc!A347,
IF(H316="S/A",Pole_Calc!A348,
IF(H316="A/S",Pole_Calc!A349,"Poner a mano")))))))</f>
        <v/>
      </c>
      <c r="BE316" s="448" t="s">
        <v>1726</v>
      </c>
      <c r="BF316" s="634"/>
      <c r="BG316" s="634"/>
      <c r="BH316" s="634"/>
      <c r="BI316" s="634"/>
    </row>
    <row r="317" spans="1:61" ht="16.2" customHeight="1">
      <c r="A317" s="12"/>
      <c r="B317" s="446"/>
      <c r="C317" s="89"/>
      <c r="D317" s="13"/>
      <c r="E317" s="14"/>
      <c r="F317" s="14"/>
      <c r="G317" s="15"/>
      <c r="H317" s="8"/>
      <c r="I317" s="8"/>
      <c r="J317" s="89"/>
      <c r="K317" s="8"/>
      <c r="L317" s="8"/>
      <c r="M317" s="8" t="str">
        <f>IF(L317="","",
IF(AX317="PT",VLOOKUP(L317,Foundation_Calc!$V$4:$X$37,VLOOKUP(AX317,Foundation_Calc!$I$10:$J$13,2,FALSE),0),
IF(AX317="K",VLOOKUP(L317,Foundation_Calc!$V$41:$X$74,VLOOKUP(AX317,Foundation_Calc!$I$10:$J$13,2,FALSE),0),"")))</f>
        <v/>
      </c>
      <c r="N317" s="8"/>
      <c r="O317" s="8"/>
      <c r="P317" s="8"/>
      <c r="Q317" s="14"/>
      <c r="R317" s="15"/>
      <c r="S317" s="15"/>
      <c r="T317" s="14"/>
      <c r="U317" s="14"/>
      <c r="V317" s="14"/>
      <c r="W317" s="18"/>
      <c r="X317" s="18"/>
      <c r="Y317" s="18"/>
      <c r="Z317" s="18"/>
      <c r="AA317" s="18"/>
      <c r="AB317" s="18"/>
      <c r="AC317" s="8" t="str">
        <f t="shared" si="17"/>
        <v/>
      </c>
      <c r="AD317" s="8"/>
      <c r="AE317" s="8"/>
      <c r="AF317" s="14"/>
      <c r="AG317" s="13"/>
      <c r="AH317" s="14"/>
      <c r="AI317" s="14"/>
      <c r="AJ317" s="8"/>
      <c r="AK317" s="8"/>
      <c r="AL317" s="8"/>
      <c r="AM317" s="8"/>
      <c r="AN317" s="631"/>
      <c r="AO317" s="18"/>
      <c r="AP317" s="18"/>
      <c r="AQ317" s="18"/>
      <c r="AR317" s="18"/>
      <c r="AS317" s="18"/>
      <c r="AU317" s="448"/>
      <c r="AV317" s="448"/>
      <c r="AW317" s="8" t="str">
        <f>IF(C317&gt;0,VLOOKUP(C317,Foundation_Calc!$A$2:$C$986,3,1),
IF(J317&gt;0,VLOOKUP(J317,Foundation_Calc!$A$2:$C$986,3,1),""))</f>
        <v/>
      </c>
      <c r="AX317" s="8" t="str">
        <f>IF(C317&gt;0,VLOOKUP(C317,Foundation_Calc!$E$2:$G$986,3,1),
IF(J317&gt;0,VLOOKUP(J317,Foundation_Calc!$E$2:$G$986,3,1),""))</f>
        <v/>
      </c>
      <c r="AY317" s="631" t="str">
        <f>IF(L317="","",
IF(AX317="PT",VLOOKUP(L317,Foundation_Calc!$K$4:$R$37,VLOOKUP(AW317,Foundation_Calc!$I$2:$J$8,2,FALSE),0),
IF(AX317="K",VLOOKUP(L317,Foundation_Calc!$K$41:$R$74,VLOOKUP(AW317,Foundation_Calc!$I$2:$J$8,2,FALSE),0),"")))</f>
        <v/>
      </c>
      <c r="AZ317" s="631" t="str">
        <f>IF(K317="","",
IF(AX317="PT",VLOOKUP(K317,Foundation_Calc!$K$4:$R$37,VLOOKUP(AW317,Foundation_Calc!$I$2:$J$8,2,FALSE),0),
IF(AX317="K",VLOOKUP(K317,Foundation_Calc!$K$41:$R$74,VLOOKUP(AW317,Foundation_Calc!$I$2:$J$8,2,FALSE),0),"")))</f>
        <v/>
      </c>
      <c r="BA317" s="632" t="str">
        <f t="shared" si="18"/>
        <v/>
      </c>
      <c r="BB317" s="632" t="str">
        <f t="shared" si="19"/>
        <v/>
      </c>
      <c r="BC317" s="632" t="str">
        <f t="shared" si="20"/>
        <v/>
      </c>
      <c r="BD317" s="633" t="str">
        <f>IF(AND(L317="",H317=""),"",
IF(H317="",Pole_Calc!A345,
IF(H317="MP",Pole_Calc!A346,
IF(H317="AnMP",Pole_Calc!A347,
IF(H317="A",Pole_Calc!A348,
IF(H317="S/A",Pole_Calc!A349,
IF(H317="A/S",Pole_Calc!A350,"Poner a mano")))))))</f>
        <v/>
      </c>
      <c r="BE317" s="448" t="s">
        <v>1726</v>
      </c>
      <c r="BF317" s="635"/>
      <c r="BG317" s="635"/>
      <c r="BH317" s="634"/>
      <c r="BI317" s="635"/>
    </row>
    <row r="318" spans="1:61" ht="16.2" customHeight="1">
      <c r="A318" s="12"/>
      <c r="B318" s="446"/>
      <c r="C318" s="89"/>
      <c r="D318" s="13"/>
      <c r="E318" s="14"/>
      <c r="F318" s="14"/>
      <c r="G318" s="15"/>
      <c r="H318" s="8"/>
      <c r="I318" s="8"/>
      <c r="J318" s="89"/>
      <c r="K318" s="8"/>
      <c r="L318" s="8"/>
      <c r="M318" s="8" t="str">
        <f>IF(L318="","",
IF(AX318="PT",VLOOKUP(L318,Foundation_Calc!$V$4:$X$37,VLOOKUP(AX318,Foundation_Calc!$I$10:$J$13,2,FALSE),0),
IF(AX318="K",VLOOKUP(L318,Foundation_Calc!$V$41:$X$74,VLOOKUP(AX318,Foundation_Calc!$I$10:$J$13,2,FALSE),0),"")))</f>
        <v/>
      </c>
      <c r="N318" s="8"/>
      <c r="O318" s="8"/>
      <c r="P318" s="8"/>
      <c r="Q318" s="14"/>
      <c r="R318" s="15"/>
      <c r="S318" s="15"/>
      <c r="T318" s="14"/>
      <c r="U318" s="14"/>
      <c r="V318" s="14"/>
      <c r="W318" s="18"/>
      <c r="X318" s="18"/>
      <c r="Y318" s="18"/>
      <c r="Z318" s="18"/>
      <c r="AA318" s="18"/>
      <c r="AB318" s="18"/>
      <c r="AC318" s="8" t="str">
        <f t="shared" si="17"/>
        <v/>
      </c>
      <c r="AD318" s="8"/>
      <c r="AE318" s="8"/>
      <c r="AF318" s="14"/>
      <c r="AG318" s="13"/>
      <c r="AH318" s="14"/>
      <c r="AI318" s="14"/>
      <c r="AJ318" s="8"/>
      <c r="AK318" s="8"/>
      <c r="AL318" s="8"/>
      <c r="AM318" s="8"/>
      <c r="AN318" s="631"/>
      <c r="AO318" s="18"/>
      <c r="AP318" s="18"/>
      <c r="AQ318" s="18"/>
      <c r="AR318" s="18"/>
      <c r="AS318" s="18"/>
      <c r="AU318" s="448"/>
      <c r="AV318" s="448"/>
      <c r="AW318" s="8" t="str">
        <f>IF(C318&gt;0,VLOOKUP(C318,Foundation_Calc!$A$2:$C$986,3,1),
IF(J318&gt;0,VLOOKUP(J318,Foundation_Calc!$A$2:$C$986,3,1),""))</f>
        <v/>
      </c>
      <c r="AX318" s="8" t="str">
        <f>IF(C318&gt;0,VLOOKUP(C318,Foundation_Calc!$E$2:$G$986,3,1),
IF(J318&gt;0,VLOOKUP(J318,Foundation_Calc!$E$2:$G$986,3,1),""))</f>
        <v/>
      </c>
      <c r="AY318" s="631" t="str">
        <f>IF(L318="","",
IF(AX318="PT",VLOOKUP(L318,Foundation_Calc!$K$4:$R$37,VLOOKUP(AW318,Foundation_Calc!$I$2:$J$8,2,FALSE),0),
IF(AX318="K",VLOOKUP(L318,Foundation_Calc!$K$41:$R$74,VLOOKUP(AW318,Foundation_Calc!$I$2:$J$8,2,FALSE),0),"")))</f>
        <v/>
      </c>
      <c r="AZ318" s="631" t="str">
        <f>IF(K318="","",
IF(AX318="PT",VLOOKUP(K318,Foundation_Calc!$K$4:$R$37,VLOOKUP(AW318,Foundation_Calc!$I$2:$J$8,2,FALSE),0),
IF(AX318="K",VLOOKUP(K318,Foundation_Calc!$K$41:$R$74,VLOOKUP(AW318,Foundation_Calc!$I$2:$J$8,2,FALSE),0),"")))</f>
        <v/>
      </c>
      <c r="BA318" s="632" t="str">
        <f t="shared" si="18"/>
        <v/>
      </c>
      <c r="BB318" s="632" t="str">
        <f t="shared" si="19"/>
        <v/>
      </c>
      <c r="BC318" s="632" t="str">
        <f t="shared" si="20"/>
        <v/>
      </c>
      <c r="BD318" s="633" t="str">
        <f>IF(AND(L318="",H318=""),"",
IF(H318="",Pole_Calc!A346,
IF(H318="MP",Pole_Calc!A347,
IF(H318="AnMP",Pole_Calc!A348,
IF(H318="A",Pole_Calc!A349,
IF(H318="S/A",Pole_Calc!A350,
IF(H318="A/S",Pole_Calc!A351,"Poner a mano")))))))</f>
        <v/>
      </c>
      <c r="BE318" s="448" t="s">
        <v>1726</v>
      </c>
      <c r="BF318" s="634"/>
      <c r="BG318" s="634"/>
      <c r="BH318" s="634"/>
      <c r="BI318" s="634"/>
    </row>
    <row r="319" spans="1:61" ht="16.2" customHeight="1">
      <c r="A319" s="12"/>
      <c r="B319" s="446"/>
      <c r="C319" s="89"/>
      <c r="D319" s="13"/>
      <c r="E319" s="14"/>
      <c r="F319" s="14"/>
      <c r="G319" s="15"/>
      <c r="H319" s="8"/>
      <c r="I319" s="8"/>
      <c r="J319" s="89"/>
      <c r="K319" s="8"/>
      <c r="L319" s="8"/>
      <c r="M319" s="8" t="str">
        <f>IF(L319="","",
IF(AX319="PT",VLOOKUP(L319,Foundation_Calc!$V$4:$X$37,VLOOKUP(AX319,Foundation_Calc!$I$10:$J$13,2,FALSE),0),
IF(AX319="K",VLOOKUP(L319,Foundation_Calc!$V$41:$X$74,VLOOKUP(AX319,Foundation_Calc!$I$10:$J$13,2,FALSE),0),"")))</f>
        <v/>
      </c>
      <c r="N319" s="8"/>
      <c r="O319" s="8"/>
      <c r="P319" s="8"/>
      <c r="Q319" s="14"/>
      <c r="R319" s="15"/>
      <c r="S319" s="15"/>
      <c r="T319" s="14"/>
      <c r="U319" s="14"/>
      <c r="V319" s="14"/>
      <c r="W319" s="18"/>
      <c r="X319" s="18"/>
      <c r="Y319" s="18"/>
      <c r="Z319" s="18"/>
      <c r="AA319" s="18"/>
      <c r="AB319" s="18"/>
      <c r="AC319" s="8" t="str">
        <f t="shared" si="17"/>
        <v/>
      </c>
      <c r="AD319" s="8"/>
      <c r="AE319" s="8"/>
      <c r="AF319" s="14"/>
      <c r="AG319" s="13"/>
      <c r="AH319" s="14"/>
      <c r="AI319" s="14"/>
      <c r="AJ319" s="8"/>
      <c r="AK319" s="8"/>
      <c r="AL319" s="8"/>
      <c r="AM319" s="8"/>
      <c r="AN319" s="631"/>
      <c r="AO319" s="18"/>
      <c r="AP319" s="18"/>
      <c r="AQ319" s="18"/>
      <c r="AR319" s="18"/>
      <c r="AS319" s="18"/>
      <c r="AU319" s="448"/>
      <c r="AV319" s="448"/>
      <c r="AW319" s="8" t="str">
        <f>IF(C319&gt;0,VLOOKUP(C319,Foundation_Calc!$A$2:$C$986,3,1),
IF(J319&gt;0,VLOOKUP(J319,Foundation_Calc!$A$2:$C$986,3,1),""))</f>
        <v/>
      </c>
      <c r="AX319" s="8" t="str">
        <f>IF(C319&gt;0,VLOOKUP(C319,Foundation_Calc!$E$2:$G$986,3,1),
IF(J319&gt;0,VLOOKUP(J319,Foundation_Calc!$E$2:$G$986,3,1),""))</f>
        <v/>
      </c>
      <c r="AY319" s="631" t="str">
        <f>IF(L319="","",
IF(AX319="PT",VLOOKUP(L319,Foundation_Calc!$K$4:$R$37,VLOOKUP(AW319,Foundation_Calc!$I$2:$J$8,2,FALSE),0),
IF(AX319="K",VLOOKUP(L319,Foundation_Calc!$K$41:$R$74,VLOOKUP(AW319,Foundation_Calc!$I$2:$J$8,2,FALSE),0),"")))</f>
        <v/>
      </c>
      <c r="AZ319" s="631" t="str">
        <f>IF(K319="","",
IF(AX319="PT",VLOOKUP(K319,Foundation_Calc!$K$4:$R$37,VLOOKUP(AW319,Foundation_Calc!$I$2:$J$8,2,FALSE),0),
IF(AX319="K",VLOOKUP(K319,Foundation_Calc!$K$41:$R$74,VLOOKUP(AW319,Foundation_Calc!$I$2:$J$8,2,FALSE),0),"")))</f>
        <v/>
      </c>
      <c r="BA319" s="632" t="str">
        <f t="shared" si="18"/>
        <v/>
      </c>
      <c r="BB319" s="632" t="str">
        <f t="shared" si="19"/>
        <v/>
      </c>
      <c r="BC319" s="632" t="str">
        <f t="shared" si="20"/>
        <v/>
      </c>
      <c r="BD319" s="633" t="str">
        <f>IF(AND(L319="",H319=""),"",
IF(H319="",Pole_Calc!A347,
IF(H319="MP",Pole_Calc!A348,
IF(H319="AnMP",Pole_Calc!A349,
IF(H319="A",Pole_Calc!A350,
IF(H319="S/A",Pole_Calc!A351,
IF(H319="A/S",Pole_Calc!A352,"Poner a mano")))))))</f>
        <v/>
      </c>
      <c r="BE319" s="448" t="s">
        <v>1726</v>
      </c>
      <c r="BF319" s="635"/>
      <c r="BG319" s="635"/>
      <c r="BH319" s="634"/>
      <c r="BI319" s="635"/>
    </row>
    <row r="320" spans="1:61" ht="16.2" customHeight="1">
      <c r="A320" s="12"/>
      <c r="B320" s="446"/>
      <c r="C320" s="89"/>
      <c r="D320" s="13"/>
      <c r="E320" s="14"/>
      <c r="F320" s="14"/>
      <c r="G320" s="15"/>
      <c r="H320" s="8"/>
      <c r="I320" s="8"/>
      <c r="J320" s="89"/>
      <c r="K320" s="8"/>
      <c r="L320" s="8"/>
      <c r="M320" s="8" t="str">
        <f>IF(L320="","",
IF(AX320="PT",VLOOKUP(L320,Foundation_Calc!$V$4:$X$37,VLOOKUP(AX320,Foundation_Calc!$I$10:$J$13,2,FALSE),0),
IF(AX320="K",VLOOKUP(L320,Foundation_Calc!$V$41:$X$74,VLOOKUP(AX320,Foundation_Calc!$I$10:$J$13,2,FALSE),0),"")))</f>
        <v/>
      </c>
      <c r="N320" s="8"/>
      <c r="O320" s="8"/>
      <c r="P320" s="8"/>
      <c r="Q320" s="14"/>
      <c r="R320" s="15"/>
      <c r="S320" s="15"/>
      <c r="T320" s="14"/>
      <c r="U320" s="14"/>
      <c r="V320" s="14"/>
      <c r="W320" s="18"/>
      <c r="X320" s="18"/>
      <c r="Y320" s="18"/>
      <c r="Z320" s="18"/>
      <c r="AA320" s="18"/>
      <c r="AB320" s="18"/>
      <c r="AC320" s="8" t="str">
        <f t="shared" si="17"/>
        <v/>
      </c>
      <c r="AD320" s="8"/>
      <c r="AE320" s="8"/>
      <c r="AF320" s="14"/>
      <c r="AG320" s="13"/>
      <c r="AH320" s="14"/>
      <c r="AI320" s="14"/>
      <c r="AJ320" s="8"/>
      <c r="AK320" s="8"/>
      <c r="AL320" s="8"/>
      <c r="AM320" s="8"/>
      <c r="AN320" s="631"/>
      <c r="AO320" s="18"/>
      <c r="AP320" s="18"/>
      <c r="AQ320" s="18"/>
      <c r="AR320" s="18"/>
      <c r="AS320" s="18"/>
      <c r="AU320" s="448"/>
      <c r="AV320" s="448"/>
      <c r="AW320" s="8" t="str">
        <f>IF(C320&gt;0,VLOOKUP(C320,Foundation_Calc!$A$2:$C$986,3,1),
IF(J320&gt;0,VLOOKUP(J320,Foundation_Calc!$A$2:$C$986,3,1),""))</f>
        <v/>
      </c>
      <c r="AX320" s="8" t="str">
        <f>IF(C320&gt;0,VLOOKUP(C320,Foundation_Calc!$E$2:$G$986,3,1),
IF(J320&gt;0,VLOOKUP(J320,Foundation_Calc!$E$2:$G$986,3,1),""))</f>
        <v/>
      </c>
      <c r="AY320" s="631" t="str">
        <f>IF(L320="","",
IF(AX320="PT",VLOOKUP(L320,Foundation_Calc!$K$4:$R$37,VLOOKUP(AW320,Foundation_Calc!$I$2:$J$8,2,FALSE),0),
IF(AX320="K",VLOOKUP(L320,Foundation_Calc!$K$41:$R$74,VLOOKUP(AW320,Foundation_Calc!$I$2:$J$8,2,FALSE),0),"")))</f>
        <v/>
      </c>
      <c r="AZ320" s="631" t="str">
        <f>IF(K320="","",
IF(AX320="PT",VLOOKUP(K320,Foundation_Calc!$K$4:$R$37,VLOOKUP(AW320,Foundation_Calc!$I$2:$J$8,2,FALSE),0),
IF(AX320="K",VLOOKUP(K320,Foundation_Calc!$K$41:$R$74,VLOOKUP(AW320,Foundation_Calc!$I$2:$J$8,2,FALSE),0),"")))</f>
        <v/>
      </c>
      <c r="BA320" s="632" t="str">
        <f t="shared" si="18"/>
        <v/>
      </c>
      <c r="BB320" s="632" t="str">
        <f t="shared" si="19"/>
        <v/>
      </c>
      <c r="BC320" s="632" t="str">
        <f t="shared" si="20"/>
        <v/>
      </c>
      <c r="BD320" s="633" t="str">
        <f>IF(AND(L320="",H320=""),"",
IF(H320="",Pole_Calc!A348,
IF(H320="MP",Pole_Calc!A349,
IF(H320="AnMP",Pole_Calc!A350,
IF(H320="A",Pole_Calc!A351,
IF(H320="S/A",Pole_Calc!A352,
IF(H320="A/S",Pole_Calc!A353,"Poner a mano")))))))</f>
        <v/>
      </c>
      <c r="BE320" s="448" t="s">
        <v>1726</v>
      </c>
      <c r="BF320" s="634"/>
      <c r="BG320" s="634"/>
      <c r="BH320" s="634"/>
      <c r="BI320" s="634"/>
    </row>
    <row r="321" spans="1:61" ht="16.2" customHeight="1">
      <c r="A321" s="12"/>
      <c r="B321" s="446"/>
      <c r="C321" s="89"/>
      <c r="D321" s="13"/>
      <c r="E321" s="14"/>
      <c r="F321" s="14"/>
      <c r="G321" s="15"/>
      <c r="H321" s="8"/>
      <c r="I321" s="8"/>
      <c r="J321" s="89"/>
      <c r="K321" s="8"/>
      <c r="L321" s="8"/>
      <c r="M321" s="8" t="str">
        <f>IF(L321="","",
IF(AX321="PT",VLOOKUP(L321,Foundation_Calc!$V$4:$X$37,VLOOKUP(AX321,Foundation_Calc!$I$10:$J$13,2,FALSE),0),
IF(AX321="K",VLOOKUP(L321,Foundation_Calc!$V$41:$X$74,VLOOKUP(AX321,Foundation_Calc!$I$10:$J$13,2,FALSE),0),"")))</f>
        <v/>
      </c>
      <c r="N321" s="8"/>
      <c r="O321" s="8"/>
      <c r="P321" s="8"/>
      <c r="Q321" s="14"/>
      <c r="R321" s="15"/>
      <c r="S321" s="15"/>
      <c r="T321" s="14"/>
      <c r="U321" s="14"/>
      <c r="V321" s="14"/>
      <c r="W321" s="18"/>
      <c r="X321" s="18"/>
      <c r="Y321" s="18"/>
      <c r="Z321" s="18"/>
      <c r="AA321" s="18"/>
      <c r="AB321" s="18"/>
      <c r="AC321" s="8" t="str">
        <f t="shared" si="17"/>
        <v/>
      </c>
      <c r="AD321" s="8"/>
      <c r="AE321" s="8"/>
      <c r="AF321" s="14"/>
      <c r="AG321" s="13"/>
      <c r="AH321" s="14"/>
      <c r="AI321" s="14"/>
      <c r="AJ321" s="8"/>
      <c r="AK321" s="8"/>
      <c r="AL321" s="8"/>
      <c r="AM321" s="8"/>
      <c r="AN321" s="631"/>
      <c r="AO321" s="18"/>
      <c r="AP321" s="18"/>
      <c r="AQ321" s="18"/>
      <c r="AR321" s="18"/>
      <c r="AS321" s="18"/>
      <c r="AU321" s="448"/>
      <c r="AV321" s="448"/>
      <c r="AW321" s="8" t="str">
        <f>IF(C321&gt;0,VLOOKUP(C321,Foundation_Calc!$A$2:$C$986,3,1),
IF(J321&gt;0,VLOOKUP(J321,Foundation_Calc!$A$2:$C$986,3,1),""))</f>
        <v/>
      </c>
      <c r="AX321" s="8" t="str">
        <f>IF(C321&gt;0,VLOOKUP(C321,Foundation_Calc!$E$2:$G$986,3,1),
IF(J321&gt;0,VLOOKUP(J321,Foundation_Calc!$E$2:$G$986,3,1),""))</f>
        <v/>
      </c>
      <c r="AY321" s="631" t="str">
        <f>IF(L321="","",
IF(AX321="PT",VLOOKUP(L321,Foundation_Calc!$K$4:$R$37,VLOOKUP(AW321,Foundation_Calc!$I$2:$J$8,2,FALSE),0),
IF(AX321="K",VLOOKUP(L321,Foundation_Calc!$K$41:$R$74,VLOOKUP(AW321,Foundation_Calc!$I$2:$J$8,2,FALSE),0),"")))</f>
        <v/>
      </c>
      <c r="AZ321" s="631" t="str">
        <f>IF(K321="","",
IF(AX321="PT",VLOOKUP(K321,Foundation_Calc!$K$4:$R$37,VLOOKUP(AW321,Foundation_Calc!$I$2:$J$8,2,FALSE),0),
IF(AX321="K",VLOOKUP(K321,Foundation_Calc!$K$41:$R$74,VLOOKUP(AW321,Foundation_Calc!$I$2:$J$8,2,FALSE),0),"")))</f>
        <v/>
      </c>
      <c r="BA321" s="632" t="str">
        <f t="shared" si="18"/>
        <v/>
      </c>
      <c r="BB321" s="632" t="str">
        <f t="shared" si="19"/>
        <v/>
      </c>
      <c r="BC321" s="632" t="str">
        <f t="shared" si="20"/>
        <v/>
      </c>
      <c r="BD321" s="633" t="str">
        <f>IF(AND(L321="",H321=""),"",
IF(H321="",Pole_Calc!A349,
IF(H321="MP",Pole_Calc!A350,
IF(H321="AnMP",Pole_Calc!A351,
IF(H321="A",Pole_Calc!A352,
IF(H321="S/A",Pole_Calc!A353,
IF(H321="A/S",Pole_Calc!A354,"Poner a mano")))))))</f>
        <v/>
      </c>
      <c r="BE321" s="448" t="s">
        <v>1726</v>
      </c>
      <c r="BF321" s="635"/>
      <c r="BG321" s="635"/>
      <c r="BH321" s="634"/>
      <c r="BI321" s="635"/>
    </row>
    <row r="322" spans="1:61" ht="16.2" customHeight="1">
      <c r="A322" s="12"/>
      <c r="B322" s="446"/>
      <c r="C322" s="89"/>
      <c r="D322" s="13"/>
      <c r="E322" s="14"/>
      <c r="F322" s="14"/>
      <c r="G322" s="15"/>
      <c r="H322" s="8"/>
      <c r="I322" s="8"/>
      <c r="J322" s="89"/>
      <c r="K322" s="8"/>
      <c r="L322" s="8"/>
      <c r="M322" s="8" t="str">
        <f>IF(L322="","",
IF(AX322="PT",VLOOKUP(L322,Foundation_Calc!$V$4:$X$37,VLOOKUP(AX322,Foundation_Calc!$I$10:$J$13,2,FALSE),0),
IF(AX322="K",VLOOKUP(L322,Foundation_Calc!$V$41:$X$74,VLOOKUP(AX322,Foundation_Calc!$I$10:$J$13,2,FALSE),0),"")))</f>
        <v/>
      </c>
      <c r="N322" s="8"/>
      <c r="O322" s="8"/>
      <c r="P322" s="8"/>
      <c r="Q322" s="14"/>
      <c r="R322" s="15"/>
      <c r="S322" s="15"/>
      <c r="T322" s="14"/>
      <c r="U322" s="14"/>
      <c r="V322" s="14"/>
      <c r="W322" s="18"/>
      <c r="X322" s="18"/>
      <c r="Y322" s="18"/>
      <c r="Z322" s="18"/>
      <c r="AA322" s="18"/>
      <c r="AB322" s="18"/>
      <c r="AC322" s="8" t="str">
        <f t="shared" si="17"/>
        <v/>
      </c>
      <c r="AD322" s="8"/>
      <c r="AE322" s="8"/>
      <c r="AF322" s="14"/>
      <c r="AG322" s="13"/>
      <c r="AH322" s="14"/>
      <c r="AI322" s="14"/>
      <c r="AJ322" s="8"/>
      <c r="AK322" s="8"/>
      <c r="AL322" s="8"/>
      <c r="AM322" s="8"/>
      <c r="AN322" s="631"/>
      <c r="AO322" s="18"/>
      <c r="AP322" s="18"/>
      <c r="AQ322" s="18"/>
      <c r="AR322" s="18"/>
      <c r="AS322" s="18"/>
      <c r="AU322" s="448"/>
      <c r="AV322" s="448"/>
      <c r="AW322" s="8" t="str">
        <f>IF(C322&gt;0,VLOOKUP(C322,Foundation_Calc!$A$2:$C$986,3,1),
IF(J322&gt;0,VLOOKUP(J322,Foundation_Calc!$A$2:$C$986,3,1),""))</f>
        <v/>
      </c>
      <c r="AX322" s="8" t="str">
        <f>IF(C322&gt;0,VLOOKUP(C322,Foundation_Calc!$E$2:$G$986,3,1),
IF(J322&gt;0,VLOOKUP(J322,Foundation_Calc!$E$2:$G$986,3,1),""))</f>
        <v/>
      </c>
      <c r="AY322" s="631" t="str">
        <f>IF(L322="","",
IF(AX322="PT",VLOOKUP(L322,Foundation_Calc!$K$4:$R$37,VLOOKUP(AW322,Foundation_Calc!$I$2:$J$8,2,FALSE),0),
IF(AX322="K",VLOOKUP(L322,Foundation_Calc!$K$41:$R$74,VLOOKUP(AW322,Foundation_Calc!$I$2:$J$8,2,FALSE),0),"")))</f>
        <v/>
      </c>
      <c r="AZ322" s="631" t="str">
        <f>IF(K322="","",
IF(AX322="PT",VLOOKUP(K322,Foundation_Calc!$K$4:$R$37,VLOOKUP(AW322,Foundation_Calc!$I$2:$J$8,2,FALSE),0),
IF(AX322="K",VLOOKUP(K322,Foundation_Calc!$K$41:$R$74,VLOOKUP(AW322,Foundation_Calc!$I$2:$J$8,2,FALSE),0),"")))</f>
        <v/>
      </c>
      <c r="BA322" s="632" t="str">
        <f t="shared" si="18"/>
        <v/>
      </c>
      <c r="BB322" s="632" t="str">
        <f t="shared" si="19"/>
        <v/>
      </c>
      <c r="BC322" s="632" t="str">
        <f t="shared" si="20"/>
        <v/>
      </c>
      <c r="BD322" s="633" t="str">
        <f>IF(AND(L322="",H322=""),"",
IF(H322="",Pole_Calc!A350,
IF(H322="MP",Pole_Calc!A351,
IF(H322="AnMP",Pole_Calc!A352,
IF(H322="A",Pole_Calc!A353,
IF(H322="S/A",Pole_Calc!A354,
IF(H322="A/S",Pole_Calc!A355,"Poner a mano")))))))</f>
        <v/>
      </c>
      <c r="BE322" s="448" t="s">
        <v>1726</v>
      </c>
      <c r="BF322" s="634"/>
      <c r="BG322" s="634"/>
      <c r="BH322" s="634"/>
      <c r="BI322" s="634"/>
    </row>
    <row r="323" spans="1:61" ht="16.2" customHeight="1">
      <c r="A323" s="12"/>
      <c r="B323" s="446"/>
      <c r="C323" s="89"/>
      <c r="D323" s="13"/>
      <c r="E323" s="14"/>
      <c r="F323" s="14"/>
      <c r="G323" s="15"/>
      <c r="H323" s="8"/>
      <c r="I323" s="8"/>
      <c r="J323" s="89"/>
      <c r="K323" s="8"/>
      <c r="L323" s="8"/>
      <c r="M323" s="8" t="str">
        <f>IF(L323="","",
IF(AX323="PT",VLOOKUP(L323,Foundation_Calc!$V$4:$X$37,VLOOKUP(AX323,Foundation_Calc!$I$10:$J$13,2,FALSE),0),
IF(AX323="K",VLOOKUP(L323,Foundation_Calc!$V$41:$X$74,VLOOKUP(AX323,Foundation_Calc!$I$10:$J$13,2,FALSE),0),"")))</f>
        <v/>
      </c>
      <c r="N323" s="8"/>
      <c r="O323" s="8"/>
      <c r="P323" s="8"/>
      <c r="Q323" s="14"/>
      <c r="R323" s="15"/>
      <c r="S323" s="15"/>
      <c r="T323" s="14"/>
      <c r="U323" s="14"/>
      <c r="V323" s="14"/>
      <c r="W323" s="18"/>
      <c r="X323" s="18"/>
      <c r="Y323" s="18"/>
      <c r="Z323" s="18"/>
      <c r="AA323" s="18"/>
      <c r="AB323" s="18"/>
      <c r="AC323" s="8" t="str">
        <f t="shared" si="17"/>
        <v/>
      </c>
      <c r="AD323" s="8"/>
      <c r="AE323" s="8"/>
      <c r="AF323" s="14"/>
      <c r="AG323" s="13"/>
      <c r="AH323" s="14"/>
      <c r="AI323" s="14"/>
      <c r="AJ323" s="8"/>
      <c r="AK323" s="8"/>
      <c r="AL323" s="8"/>
      <c r="AM323" s="8"/>
      <c r="AN323" s="631"/>
      <c r="AO323" s="18"/>
      <c r="AP323" s="18"/>
      <c r="AQ323" s="18"/>
      <c r="AR323" s="18"/>
      <c r="AS323" s="18"/>
      <c r="AU323" s="448"/>
      <c r="AV323" s="448"/>
      <c r="AW323" s="8" t="str">
        <f>IF(C323&gt;0,VLOOKUP(C323,Foundation_Calc!$A$2:$C$986,3,1),
IF(J323&gt;0,VLOOKUP(J323,Foundation_Calc!$A$2:$C$986,3,1),""))</f>
        <v/>
      </c>
      <c r="AX323" s="8" t="str">
        <f>IF(C323&gt;0,VLOOKUP(C323,Foundation_Calc!$E$2:$G$986,3,1),
IF(J323&gt;0,VLOOKUP(J323,Foundation_Calc!$E$2:$G$986,3,1),""))</f>
        <v/>
      </c>
      <c r="AY323" s="631" t="str">
        <f>IF(L323="","",
IF(AX323="PT",VLOOKUP(L323,Foundation_Calc!$K$4:$R$37,VLOOKUP(AW323,Foundation_Calc!$I$2:$J$8,2,FALSE),0),
IF(AX323="K",VLOOKUP(L323,Foundation_Calc!$K$41:$R$74,VLOOKUP(AW323,Foundation_Calc!$I$2:$J$8,2,FALSE),0),"")))</f>
        <v/>
      </c>
      <c r="AZ323" s="631" t="str">
        <f>IF(K323="","",
IF(AX323="PT",VLOOKUP(K323,Foundation_Calc!$K$4:$R$37,VLOOKUP(AW323,Foundation_Calc!$I$2:$J$8,2,FALSE),0),
IF(AX323="K",VLOOKUP(K323,Foundation_Calc!$K$41:$R$74,VLOOKUP(AW323,Foundation_Calc!$I$2:$J$8,2,FALSE),0),"")))</f>
        <v/>
      </c>
      <c r="BA323" s="632" t="str">
        <f t="shared" si="18"/>
        <v/>
      </c>
      <c r="BB323" s="632" t="str">
        <f t="shared" si="19"/>
        <v/>
      </c>
      <c r="BC323" s="632" t="str">
        <f t="shared" si="20"/>
        <v/>
      </c>
      <c r="BD323" s="633" t="str">
        <f>IF(AND(L323="",H323=""),"",
IF(H323="",Pole_Calc!A351,
IF(H323="MP",Pole_Calc!A352,
IF(H323="AnMP",Pole_Calc!A353,
IF(H323="A",Pole_Calc!A354,
IF(H323="S/A",Pole_Calc!A355,
IF(H323="A/S",Pole_Calc!A356,"Poner a mano")))))))</f>
        <v/>
      </c>
      <c r="BE323" s="448" t="s">
        <v>1726</v>
      </c>
      <c r="BF323" s="635"/>
      <c r="BG323" s="635"/>
      <c r="BH323" s="634"/>
      <c r="BI323" s="635"/>
    </row>
    <row r="324" spans="1:61" ht="16.2" customHeight="1">
      <c r="A324" s="12"/>
      <c r="B324" s="446"/>
      <c r="C324" s="89"/>
      <c r="D324" s="13"/>
      <c r="E324" s="14"/>
      <c r="F324" s="14"/>
      <c r="G324" s="15"/>
      <c r="H324" s="8"/>
      <c r="I324" s="8"/>
      <c r="J324" s="89"/>
      <c r="K324" s="8"/>
      <c r="L324" s="8"/>
      <c r="M324" s="8" t="str">
        <f>IF(L324="","",
IF(AX324="PT",VLOOKUP(L324,Foundation_Calc!$V$4:$X$37,VLOOKUP(AX324,Foundation_Calc!$I$10:$J$13,2,FALSE),0),
IF(AX324="K",VLOOKUP(L324,Foundation_Calc!$V$41:$X$74,VLOOKUP(AX324,Foundation_Calc!$I$10:$J$13,2,FALSE),0),"")))</f>
        <v/>
      </c>
      <c r="N324" s="8"/>
      <c r="O324" s="8"/>
      <c r="P324" s="8"/>
      <c r="Q324" s="14"/>
      <c r="R324" s="15"/>
      <c r="S324" s="15"/>
      <c r="T324" s="14"/>
      <c r="U324" s="14"/>
      <c r="V324" s="14"/>
      <c r="W324" s="18"/>
      <c r="X324" s="18"/>
      <c r="Y324" s="18"/>
      <c r="Z324" s="18"/>
      <c r="AA324" s="18"/>
      <c r="AB324" s="18"/>
      <c r="AC324" s="8" t="str">
        <f t="shared" si="17"/>
        <v/>
      </c>
      <c r="AD324" s="8"/>
      <c r="AE324" s="8"/>
      <c r="AF324" s="14"/>
      <c r="AG324" s="13"/>
      <c r="AH324" s="14"/>
      <c r="AI324" s="14"/>
      <c r="AJ324" s="8"/>
      <c r="AK324" s="8"/>
      <c r="AL324" s="8"/>
      <c r="AM324" s="8"/>
      <c r="AN324" s="631"/>
      <c r="AO324" s="18"/>
      <c r="AP324" s="18"/>
      <c r="AQ324" s="18"/>
      <c r="AR324" s="18"/>
      <c r="AS324" s="18"/>
      <c r="AU324" s="448"/>
      <c r="AV324" s="448"/>
      <c r="AW324" s="8" t="str">
        <f>IF(C324&gt;0,VLOOKUP(C324,Foundation_Calc!$A$2:$C$986,3,1),
IF(J324&gt;0,VLOOKUP(J324,Foundation_Calc!$A$2:$C$986,3,1),""))</f>
        <v/>
      </c>
      <c r="AX324" s="8" t="str">
        <f>IF(C324&gt;0,VLOOKUP(C324,Foundation_Calc!$E$2:$G$986,3,1),
IF(J324&gt;0,VLOOKUP(J324,Foundation_Calc!$E$2:$G$986,3,1),""))</f>
        <v/>
      </c>
      <c r="AY324" s="631" t="str">
        <f>IF(L324="","",
IF(AX324="PT",VLOOKUP(L324,Foundation_Calc!$K$4:$R$37,VLOOKUP(AW324,Foundation_Calc!$I$2:$J$8,2,FALSE),0),
IF(AX324="K",VLOOKUP(L324,Foundation_Calc!$K$41:$R$74,VLOOKUP(AW324,Foundation_Calc!$I$2:$J$8,2,FALSE),0),"")))</f>
        <v/>
      </c>
      <c r="AZ324" s="631" t="str">
        <f>IF(K324="","",
IF(AX324="PT",VLOOKUP(K324,Foundation_Calc!$K$4:$R$37,VLOOKUP(AW324,Foundation_Calc!$I$2:$J$8,2,FALSE),0),
IF(AX324="K",VLOOKUP(K324,Foundation_Calc!$K$41:$R$74,VLOOKUP(AW324,Foundation_Calc!$I$2:$J$8,2,FALSE),0),"")))</f>
        <v/>
      </c>
      <c r="BA324" s="632" t="str">
        <f t="shared" si="18"/>
        <v/>
      </c>
      <c r="BB324" s="632" t="str">
        <f t="shared" si="19"/>
        <v/>
      </c>
      <c r="BC324" s="632" t="str">
        <f t="shared" si="20"/>
        <v/>
      </c>
      <c r="BD324" s="633" t="str">
        <f>IF(AND(L324="",H324=""),"",
IF(H324="",Pole_Calc!A352,
IF(H324="MP",Pole_Calc!A353,
IF(H324="AnMP",Pole_Calc!A354,
IF(H324="A",Pole_Calc!A355,
IF(H324="S/A",Pole_Calc!A356,
IF(H324="A/S",Pole_Calc!A357,"Poner a mano")))))))</f>
        <v/>
      </c>
      <c r="BE324" s="448" t="s">
        <v>1726</v>
      </c>
      <c r="BF324" s="634"/>
      <c r="BG324" s="634"/>
      <c r="BH324" s="634"/>
      <c r="BI324" s="634"/>
    </row>
    <row r="325" spans="1:61" ht="16.2" customHeight="1">
      <c r="A325" s="12"/>
      <c r="B325" s="446"/>
      <c r="C325" s="89"/>
      <c r="D325" s="13"/>
      <c r="E325" s="14"/>
      <c r="F325" s="14"/>
      <c r="G325" s="15"/>
      <c r="H325" s="8"/>
      <c r="I325" s="8"/>
      <c r="J325" s="89"/>
      <c r="K325" s="8"/>
      <c r="L325" s="8"/>
      <c r="M325" s="8" t="str">
        <f>IF(L325="","",
IF(AX325="PT",VLOOKUP(L325,Foundation_Calc!$V$4:$X$37,VLOOKUP(AX325,Foundation_Calc!$I$10:$J$13,2,FALSE),0),
IF(AX325="K",VLOOKUP(L325,Foundation_Calc!$V$41:$X$74,VLOOKUP(AX325,Foundation_Calc!$I$10:$J$13,2,FALSE),0),"")))</f>
        <v/>
      </c>
      <c r="N325" s="8"/>
      <c r="O325" s="8"/>
      <c r="P325" s="8"/>
      <c r="Q325" s="14"/>
      <c r="R325" s="15"/>
      <c r="S325" s="15"/>
      <c r="T325" s="14"/>
      <c r="U325" s="14"/>
      <c r="V325" s="14"/>
      <c r="W325" s="18"/>
      <c r="X325" s="18"/>
      <c r="Y325" s="18"/>
      <c r="Z325" s="18"/>
      <c r="AA325" s="18"/>
      <c r="AB325" s="18"/>
      <c r="AC325" s="8" t="str">
        <f t="shared" si="17"/>
        <v/>
      </c>
      <c r="AD325" s="8"/>
      <c r="AE325" s="8"/>
      <c r="AF325" s="14"/>
      <c r="AG325" s="13"/>
      <c r="AH325" s="14"/>
      <c r="AI325" s="14"/>
      <c r="AJ325" s="8"/>
      <c r="AK325" s="8"/>
      <c r="AL325" s="8"/>
      <c r="AM325" s="8"/>
      <c r="AN325" s="631"/>
      <c r="AO325" s="18"/>
      <c r="AP325" s="18"/>
      <c r="AQ325" s="18"/>
      <c r="AR325" s="18"/>
      <c r="AS325" s="18"/>
      <c r="AU325" s="448"/>
      <c r="AV325" s="448"/>
      <c r="AW325" s="8" t="str">
        <f>IF(C325&gt;0,VLOOKUP(C325,Foundation_Calc!$A$2:$C$986,3,1),
IF(J325&gt;0,VLOOKUP(J325,Foundation_Calc!$A$2:$C$986,3,1),""))</f>
        <v/>
      </c>
      <c r="AX325" s="8" t="str">
        <f>IF(C325&gt;0,VLOOKUP(C325,Foundation_Calc!$E$2:$G$986,3,1),
IF(J325&gt;0,VLOOKUP(J325,Foundation_Calc!$E$2:$G$986,3,1),""))</f>
        <v/>
      </c>
      <c r="AY325" s="631" t="str">
        <f>IF(L325="","",
IF(AX325="PT",VLOOKUP(L325,Foundation_Calc!$K$4:$R$37,VLOOKUP(AW325,Foundation_Calc!$I$2:$J$8,2,FALSE),0),
IF(AX325="K",VLOOKUP(L325,Foundation_Calc!$K$41:$R$74,VLOOKUP(AW325,Foundation_Calc!$I$2:$J$8,2,FALSE),0),"")))</f>
        <v/>
      </c>
      <c r="AZ325" s="631" t="str">
        <f>IF(K325="","",
IF(AX325="PT",VLOOKUP(K325,Foundation_Calc!$K$4:$R$37,VLOOKUP(AW325,Foundation_Calc!$I$2:$J$8,2,FALSE),0),
IF(AX325="K",VLOOKUP(K325,Foundation_Calc!$K$41:$R$74,VLOOKUP(AW325,Foundation_Calc!$I$2:$J$8,2,FALSE),0),"")))</f>
        <v/>
      </c>
      <c r="BA325" s="632" t="str">
        <f t="shared" si="18"/>
        <v/>
      </c>
      <c r="BB325" s="632" t="str">
        <f t="shared" si="19"/>
        <v/>
      </c>
      <c r="BC325" s="632" t="str">
        <f t="shared" si="20"/>
        <v/>
      </c>
      <c r="BD325" s="633" t="str">
        <f>IF(AND(L325="",H325=""),"",
IF(H325="",Pole_Calc!A353,
IF(H325="MP",Pole_Calc!A354,
IF(H325="AnMP",Pole_Calc!A355,
IF(H325="A",Pole_Calc!A356,
IF(H325="S/A",Pole_Calc!A357,
IF(H325="A/S",Pole_Calc!A358,"Poner a mano")))))))</f>
        <v/>
      </c>
      <c r="BE325" s="448" t="s">
        <v>1726</v>
      </c>
      <c r="BF325" s="635"/>
      <c r="BG325" s="635"/>
      <c r="BH325" s="634"/>
      <c r="BI325" s="635"/>
    </row>
    <row r="326" spans="1:61" ht="16.2" customHeight="1">
      <c r="A326" s="12"/>
      <c r="B326" s="446"/>
      <c r="C326" s="89"/>
      <c r="D326" s="13"/>
      <c r="E326" s="14"/>
      <c r="F326" s="14"/>
      <c r="G326" s="15"/>
      <c r="H326" s="8"/>
      <c r="I326" s="8"/>
      <c r="J326" s="89"/>
      <c r="K326" s="8"/>
      <c r="L326" s="8"/>
      <c r="M326" s="8" t="str">
        <f>IF(L326="","",
IF(AX326="PT",VLOOKUP(L326,Foundation_Calc!$V$4:$X$37,VLOOKUP(AX326,Foundation_Calc!$I$10:$J$13,2,FALSE),0),
IF(AX326="K",VLOOKUP(L326,Foundation_Calc!$V$41:$X$74,VLOOKUP(AX326,Foundation_Calc!$I$10:$J$13,2,FALSE),0),"")))</f>
        <v/>
      </c>
      <c r="N326" s="8"/>
      <c r="O326" s="8"/>
      <c r="P326" s="8"/>
      <c r="Q326" s="14"/>
      <c r="R326" s="15"/>
      <c r="S326" s="15"/>
      <c r="T326" s="14"/>
      <c r="U326" s="14"/>
      <c r="V326" s="14"/>
      <c r="W326" s="18"/>
      <c r="X326" s="18"/>
      <c r="Y326" s="18"/>
      <c r="Z326" s="18"/>
      <c r="AA326" s="18"/>
      <c r="AB326" s="18"/>
      <c r="AC326" s="8" t="str">
        <f t="shared" ref="AC326:AC389" si="21">IF(OR(AT326&gt;8,AT326&lt;-8),"PH",
IF(OR(AT326&gt;5,AT326&lt;-5),"PHQ",
IF(OR(AT326&gt;1,AT326&lt;-1),
"PHC","")))</f>
        <v/>
      </c>
      <c r="AD326" s="8"/>
      <c r="AE326" s="8"/>
      <c r="AF326" s="14"/>
      <c r="AG326" s="13"/>
      <c r="AH326" s="14"/>
      <c r="AI326" s="14"/>
      <c r="AJ326" s="8"/>
      <c r="AK326" s="8"/>
      <c r="AL326" s="8"/>
      <c r="AM326" s="8"/>
      <c r="AN326" s="631"/>
      <c r="AO326" s="18"/>
      <c r="AP326" s="18"/>
      <c r="AQ326" s="18"/>
      <c r="AR326" s="18"/>
      <c r="AS326" s="18"/>
      <c r="AU326" s="448"/>
      <c r="AV326" s="448"/>
      <c r="AW326" s="8" t="str">
        <f>IF(C326&gt;0,VLOOKUP(C326,Foundation_Calc!$A$2:$C$986,3,1),
IF(J326&gt;0,VLOOKUP(J326,Foundation_Calc!$A$2:$C$986,3,1),""))</f>
        <v/>
      </c>
      <c r="AX326" s="8" t="str">
        <f>IF(C326&gt;0,VLOOKUP(C326,Foundation_Calc!$E$2:$G$986,3,1),
IF(J326&gt;0,VLOOKUP(J326,Foundation_Calc!$E$2:$G$986,3,1),""))</f>
        <v/>
      </c>
      <c r="AY326" s="631" t="str">
        <f>IF(L326="","",
IF(AX326="PT",VLOOKUP(L326,Foundation_Calc!$K$4:$R$37,VLOOKUP(AW326,Foundation_Calc!$I$2:$J$8,2,FALSE),0),
IF(AX326="K",VLOOKUP(L326,Foundation_Calc!$K$41:$R$74,VLOOKUP(AW326,Foundation_Calc!$I$2:$J$8,2,FALSE),0),"")))</f>
        <v/>
      </c>
      <c r="AZ326" s="631" t="str">
        <f>IF(K326="","",
IF(AX326="PT",VLOOKUP(K326,Foundation_Calc!$K$4:$R$37,VLOOKUP(AW326,Foundation_Calc!$I$2:$J$8,2,FALSE),0),
IF(AX326="K",VLOOKUP(K326,Foundation_Calc!$K$41:$R$74,VLOOKUP(AW326,Foundation_Calc!$I$2:$J$8,2,FALSE),0),"")))</f>
        <v/>
      </c>
      <c r="BA326" s="632" t="str">
        <f t="shared" ref="BA326:BA389" si="22">IF(AY326="","",IF(AY326&gt;0,"ü",""))</f>
        <v/>
      </c>
      <c r="BB326" s="632" t="str">
        <f t="shared" ref="BB326:BB389" si="23">IF(AZ326="","",IF(AZ326&gt;0,"ü",""))</f>
        <v/>
      </c>
      <c r="BC326" s="632" t="str">
        <f t="shared" ref="BC326:BC389" si="24">IF(M326="","",IF(M326="Unique Solution","ü",""))</f>
        <v/>
      </c>
      <c r="BD326" s="633" t="str">
        <f>IF(AND(L326="",H326=""),"",
IF(H326="",Pole_Calc!A354,
IF(H326="MP",Pole_Calc!A355,
IF(H326="AnMP",Pole_Calc!A356,
IF(H326="A",Pole_Calc!A357,
IF(H326="S/A",Pole_Calc!A358,
IF(H326="A/S",Pole_Calc!A359,"Poner a mano")))))))</f>
        <v/>
      </c>
      <c r="BE326" s="448" t="s">
        <v>1726</v>
      </c>
      <c r="BF326" s="634"/>
      <c r="BG326" s="634"/>
      <c r="BH326" s="634"/>
      <c r="BI326" s="634"/>
    </row>
    <row r="327" spans="1:61" ht="16.2" customHeight="1">
      <c r="A327" s="12"/>
      <c r="B327" s="446"/>
      <c r="C327" s="89"/>
      <c r="D327" s="13"/>
      <c r="E327" s="14"/>
      <c r="F327" s="14"/>
      <c r="G327" s="15"/>
      <c r="H327" s="8"/>
      <c r="I327" s="8"/>
      <c r="J327" s="89"/>
      <c r="K327" s="8"/>
      <c r="L327" s="8"/>
      <c r="M327" s="8" t="str">
        <f>IF(L327="","",
IF(AX327="PT",VLOOKUP(L327,Foundation_Calc!$V$4:$X$37,VLOOKUP(AX327,Foundation_Calc!$I$10:$J$13,2,FALSE),0),
IF(AX327="K",VLOOKUP(L327,Foundation_Calc!$V$41:$X$74,VLOOKUP(AX327,Foundation_Calc!$I$10:$J$13,2,FALSE),0),"")))</f>
        <v/>
      </c>
      <c r="N327" s="8"/>
      <c r="O327" s="8"/>
      <c r="P327" s="8"/>
      <c r="Q327" s="14"/>
      <c r="R327" s="15"/>
      <c r="S327" s="15"/>
      <c r="T327" s="14"/>
      <c r="U327" s="14"/>
      <c r="V327" s="14"/>
      <c r="W327" s="18"/>
      <c r="X327" s="18"/>
      <c r="Y327" s="18"/>
      <c r="Z327" s="18"/>
      <c r="AA327" s="18"/>
      <c r="AB327" s="18"/>
      <c r="AC327" s="8" t="str">
        <f t="shared" si="21"/>
        <v/>
      </c>
      <c r="AD327" s="8"/>
      <c r="AE327" s="8"/>
      <c r="AF327" s="14"/>
      <c r="AG327" s="13"/>
      <c r="AH327" s="14"/>
      <c r="AI327" s="14"/>
      <c r="AJ327" s="8"/>
      <c r="AK327" s="8"/>
      <c r="AL327" s="8"/>
      <c r="AM327" s="8"/>
      <c r="AN327" s="631"/>
      <c r="AO327" s="18"/>
      <c r="AP327" s="18"/>
      <c r="AQ327" s="18"/>
      <c r="AR327" s="18"/>
      <c r="AS327" s="18"/>
      <c r="AU327" s="448"/>
      <c r="AV327" s="448"/>
      <c r="AW327" s="8" t="str">
        <f>IF(C327&gt;0,VLOOKUP(C327,Foundation_Calc!$A$2:$C$986,3,1),
IF(J327&gt;0,VLOOKUP(J327,Foundation_Calc!$A$2:$C$986,3,1),""))</f>
        <v/>
      </c>
      <c r="AX327" s="8" t="str">
        <f>IF(C327&gt;0,VLOOKUP(C327,Foundation_Calc!$E$2:$G$986,3,1),
IF(J327&gt;0,VLOOKUP(J327,Foundation_Calc!$E$2:$G$986,3,1),""))</f>
        <v/>
      </c>
      <c r="AY327" s="631" t="str">
        <f>IF(L327="","",
IF(AX327="PT",VLOOKUP(L327,Foundation_Calc!$K$4:$R$37,VLOOKUP(AW327,Foundation_Calc!$I$2:$J$8,2,FALSE),0),
IF(AX327="K",VLOOKUP(L327,Foundation_Calc!$K$41:$R$74,VLOOKUP(AW327,Foundation_Calc!$I$2:$J$8,2,FALSE),0),"")))</f>
        <v/>
      </c>
      <c r="AZ327" s="631" t="str">
        <f>IF(K327="","",
IF(AX327="PT",VLOOKUP(K327,Foundation_Calc!$K$4:$R$37,VLOOKUP(AW327,Foundation_Calc!$I$2:$J$8,2,FALSE),0),
IF(AX327="K",VLOOKUP(K327,Foundation_Calc!$K$41:$R$74,VLOOKUP(AW327,Foundation_Calc!$I$2:$J$8,2,FALSE),0),"")))</f>
        <v/>
      </c>
      <c r="BA327" s="632" t="str">
        <f t="shared" si="22"/>
        <v/>
      </c>
      <c r="BB327" s="632" t="str">
        <f t="shared" si="23"/>
        <v/>
      </c>
      <c r="BC327" s="632" t="str">
        <f t="shared" si="24"/>
        <v/>
      </c>
      <c r="BD327" s="633" t="str">
        <f>IF(AND(L327="",H327=""),"",
IF(H327="",Pole_Calc!A355,
IF(H327="MP",Pole_Calc!A356,
IF(H327="AnMP",Pole_Calc!A357,
IF(H327="A",Pole_Calc!A358,
IF(H327="S/A",Pole_Calc!A359,
IF(H327="A/S",Pole_Calc!A360,"Poner a mano")))))))</f>
        <v/>
      </c>
      <c r="BE327" s="448" t="s">
        <v>1726</v>
      </c>
      <c r="BF327" s="635"/>
      <c r="BG327" s="635"/>
      <c r="BH327" s="634"/>
      <c r="BI327" s="635"/>
    </row>
    <row r="328" spans="1:61" ht="16.2" customHeight="1">
      <c r="A328" s="12"/>
      <c r="B328" s="446"/>
      <c r="C328" s="89"/>
      <c r="D328" s="13"/>
      <c r="E328" s="14"/>
      <c r="F328" s="14"/>
      <c r="G328" s="15"/>
      <c r="H328" s="8"/>
      <c r="I328" s="8"/>
      <c r="J328" s="89"/>
      <c r="K328" s="8"/>
      <c r="L328" s="8"/>
      <c r="M328" s="8" t="str">
        <f>IF(L328="","",
IF(AX328="PT",VLOOKUP(L328,Foundation_Calc!$V$4:$X$37,VLOOKUP(AX328,Foundation_Calc!$I$10:$J$13,2,FALSE),0),
IF(AX328="K",VLOOKUP(L328,Foundation_Calc!$V$41:$X$74,VLOOKUP(AX328,Foundation_Calc!$I$10:$J$13,2,FALSE),0),"")))</f>
        <v/>
      </c>
      <c r="N328" s="8"/>
      <c r="O328" s="8"/>
      <c r="P328" s="8"/>
      <c r="Q328" s="14"/>
      <c r="R328" s="15"/>
      <c r="S328" s="15"/>
      <c r="T328" s="14"/>
      <c r="U328" s="14"/>
      <c r="V328" s="14"/>
      <c r="W328" s="18"/>
      <c r="X328" s="18"/>
      <c r="Y328" s="18"/>
      <c r="Z328" s="18"/>
      <c r="AA328" s="18"/>
      <c r="AB328" s="18"/>
      <c r="AC328" s="8" t="str">
        <f t="shared" si="21"/>
        <v/>
      </c>
      <c r="AD328" s="8"/>
      <c r="AE328" s="8"/>
      <c r="AF328" s="14"/>
      <c r="AG328" s="13"/>
      <c r="AH328" s="14"/>
      <c r="AI328" s="14"/>
      <c r="AJ328" s="8"/>
      <c r="AK328" s="8"/>
      <c r="AL328" s="8"/>
      <c r="AM328" s="8"/>
      <c r="AN328" s="631"/>
      <c r="AO328" s="18"/>
      <c r="AP328" s="18"/>
      <c r="AQ328" s="18"/>
      <c r="AR328" s="18"/>
      <c r="AS328" s="18"/>
      <c r="AU328" s="448"/>
      <c r="AV328" s="448"/>
      <c r="AW328" s="8" t="str">
        <f>IF(C328&gt;0,VLOOKUP(C328,Foundation_Calc!$A$2:$C$986,3,1),
IF(J328&gt;0,VLOOKUP(J328,Foundation_Calc!$A$2:$C$986,3,1),""))</f>
        <v/>
      </c>
      <c r="AX328" s="8" t="str">
        <f>IF(C328&gt;0,VLOOKUP(C328,Foundation_Calc!$E$2:$G$986,3,1),
IF(J328&gt;0,VLOOKUP(J328,Foundation_Calc!$E$2:$G$986,3,1),""))</f>
        <v/>
      </c>
      <c r="AY328" s="631" t="str">
        <f>IF(L328="","",
IF(AX328="PT",VLOOKUP(L328,Foundation_Calc!$K$4:$R$37,VLOOKUP(AW328,Foundation_Calc!$I$2:$J$8,2,FALSE),0),
IF(AX328="K",VLOOKUP(L328,Foundation_Calc!$K$41:$R$74,VLOOKUP(AW328,Foundation_Calc!$I$2:$J$8,2,FALSE),0),"")))</f>
        <v/>
      </c>
      <c r="AZ328" s="631" t="str">
        <f>IF(K328="","",
IF(AX328="PT",VLOOKUP(K328,Foundation_Calc!$K$4:$R$37,VLOOKUP(AW328,Foundation_Calc!$I$2:$J$8,2,FALSE),0),
IF(AX328="K",VLOOKUP(K328,Foundation_Calc!$K$41:$R$74,VLOOKUP(AW328,Foundation_Calc!$I$2:$J$8,2,FALSE),0),"")))</f>
        <v/>
      </c>
      <c r="BA328" s="632" t="str">
        <f t="shared" si="22"/>
        <v/>
      </c>
      <c r="BB328" s="632" t="str">
        <f t="shared" si="23"/>
        <v/>
      </c>
      <c r="BC328" s="632" t="str">
        <f t="shared" si="24"/>
        <v/>
      </c>
      <c r="BD328" s="633" t="str">
        <f>IF(AND(L328="",H328=""),"",
IF(H328="",Pole_Calc!A356,
IF(H328="MP",Pole_Calc!A357,
IF(H328="AnMP",Pole_Calc!A358,
IF(H328="A",Pole_Calc!A359,
IF(H328="S/A",Pole_Calc!A360,
IF(H328="A/S",Pole_Calc!A361,"Poner a mano")))))))</f>
        <v/>
      </c>
      <c r="BE328" s="448" t="s">
        <v>1726</v>
      </c>
      <c r="BF328" s="634"/>
      <c r="BG328" s="634"/>
      <c r="BH328" s="634"/>
      <c r="BI328" s="634"/>
    </row>
    <row r="329" spans="1:61" ht="16.2" customHeight="1">
      <c r="A329" s="12"/>
      <c r="B329" s="446"/>
      <c r="C329" s="89"/>
      <c r="D329" s="13"/>
      <c r="E329" s="14"/>
      <c r="F329" s="14"/>
      <c r="G329" s="15"/>
      <c r="H329" s="8"/>
      <c r="I329" s="8"/>
      <c r="J329" s="89"/>
      <c r="K329" s="8"/>
      <c r="L329" s="8"/>
      <c r="M329" s="8" t="str">
        <f>IF(L329="","",
IF(AX329="PT",VLOOKUP(L329,Foundation_Calc!$V$4:$X$37,VLOOKUP(AX329,Foundation_Calc!$I$10:$J$13,2,FALSE),0),
IF(AX329="K",VLOOKUP(L329,Foundation_Calc!$V$41:$X$74,VLOOKUP(AX329,Foundation_Calc!$I$10:$J$13,2,FALSE),0),"")))</f>
        <v/>
      </c>
      <c r="N329" s="8"/>
      <c r="O329" s="8"/>
      <c r="P329" s="8"/>
      <c r="Q329" s="14"/>
      <c r="R329" s="15"/>
      <c r="S329" s="15"/>
      <c r="T329" s="14"/>
      <c r="U329" s="14"/>
      <c r="V329" s="14"/>
      <c r="W329" s="18"/>
      <c r="X329" s="18"/>
      <c r="Y329" s="18"/>
      <c r="Z329" s="18"/>
      <c r="AA329" s="18"/>
      <c r="AB329" s="18"/>
      <c r="AC329" s="8" t="str">
        <f t="shared" si="21"/>
        <v/>
      </c>
      <c r="AD329" s="8"/>
      <c r="AE329" s="8"/>
      <c r="AF329" s="14"/>
      <c r="AG329" s="13"/>
      <c r="AH329" s="14"/>
      <c r="AI329" s="14"/>
      <c r="AJ329" s="8"/>
      <c r="AK329" s="8"/>
      <c r="AL329" s="8"/>
      <c r="AM329" s="8"/>
      <c r="AN329" s="631"/>
      <c r="AO329" s="18"/>
      <c r="AP329" s="18"/>
      <c r="AQ329" s="18"/>
      <c r="AR329" s="18"/>
      <c r="AS329" s="18"/>
      <c r="AU329" s="448"/>
      <c r="AV329" s="448"/>
      <c r="AW329" s="8" t="str">
        <f>IF(C329&gt;0,VLOOKUP(C329,Foundation_Calc!$A$2:$C$986,3,1),
IF(J329&gt;0,VLOOKUP(J329,Foundation_Calc!$A$2:$C$986,3,1),""))</f>
        <v/>
      </c>
      <c r="AX329" s="8" t="str">
        <f>IF(C329&gt;0,VLOOKUP(C329,Foundation_Calc!$E$2:$G$986,3,1),
IF(J329&gt;0,VLOOKUP(J329,Foundation_Calc!$E$2:$G$986,3,1),""))</f>
        <v/>
      </c>
      <c r="AY329" s="631" t="str">
        <f>IF(L329="","",
IF(AX329="PT",VLOOKUP(L329,Foundation_Calc!$K$4:$R$37,VLOOKUP(AW329,Foundation_Calc!$I$2:$J$8,2,FALSE),0),
IF(AX329="K",VLOOKUP(L329,Foundation_Calc!$K$41:$R$74,VLOOKUP(AW329,Foundation_Calc!$I$2:$J$8,2,FALSE),0),"")))</f>
        <v/>
      </c>
      <c r="AZ329" s="631" t="str">
        <f>IF(K329="","",
IF(AX329="PT",VLOOKUP(K329,Foundation_Calc!$K$4:$R$37,VLOOKUP(AW329,Foundation_Calc!$I$2:$J$8,2,FALSE),0),
IF(AX329="K",VLOOKUP(K329,Foundation_Calc!$K$41:$R$74,VLOOKUP(AW329,Foundation_Calc!$I$2:$J$8,2,FALSE),0),"")))</f>
        <v/>
      </c>
      <c r="BA329" s="632" t="str">
        <f t="shared" si="22"/>
        <v/>
      </c>
      <c r="BB329" s="632" t="str">
        <f t="shared" si="23"/>
        <v/>
      </c>
      <c r="BC329" s="632" t="str">
        <f t="shared" si="24"/>
        <v/>
      </c>
      <c r="BD329" s="633" t="str">
        <f>IF(AND(L329="",H329=""),"",
IF(H329="",Pole_Calc!A357,
IF(H329="MP",Pole_Calc!A358,
IF(H329="AnMP",Pole_Calc!A359,
IF(H329="A",Pole_Calc!A360,
IF(H329="S/A",Pole_Calc!A361,
IF(H329="A/S",Pole_Calc!A362,"Poner a mano")))))))</f>
        <v/>
      </c>
      <c r="BE329" s="448" t="s">
        <v>1726</v>
      </c>
      <c r="BF329" s="635"/>
      <c r="BG329" s="635"/>
      <c r="BH329" s="634"/>
      <c r="BI329" s="635"/>
    </row>
    <row r="330" spans="1:61" ht="16.2" customHeight="1">
      <c r="A330" s="12"/>
      <c r="B330" s="446"/>
      <c r="C330" s="89"/>
      <c r="D330" s="13"/>
      <c r="E330" s="14"/>
      <c r="F330" s="14"/>
      <c r="G330" s="15"/>
      <c r="H330" s="8"/>
      <c r="I330" s="8"/>
      <c r="J330" s="89"/>
      <c r="K330" s="8"/>
      <c r="L330" s="8"/>
      <c r="M330" s="8" t="str">
        <f>IF(L330="","",
IF(AX330="PT",VLOOKUP(L330,Foundation_Calc!$V$4:$X$37,VLOOKUP(AX330,Foundation_Calc!$I$10:$J$13,2,FALSE),0),
IF(AX330="K",VLOOKUP(L330,Foundation_Calc!$V$41:$X$74,VLOOKUP(AX330,Foundation_Calc!$I$10:$J$13,2,FALSE),0),"")))</f>
        <v/>
      </c>
      <c r="N330" s="8"/>
      <c r="O330" s="8"/>
      <c r="P330" s="8"/>
      <c r="Q330" s="14"/>
      <c r="R330" s="15"/>
      <c r="S330" s="15"/>
      <c r="T330" s="14"/>
      <c r="U330" s="14"/>
      <c r="V330" s="14"/>
      <c r="W330" s="18"/>
      <c r="X330" s="18"/>
      <c r="Y330" s="18"/>
      <c r="Z330" s="18"/>
      <c r="AA330" s="18"/>
      <c r="AB330" s="18"/>
      <c r="AC330" s="8" t="str">
        <f t="shared" si="21"/>
        <v/>
      </c>
      <c r="AD330" s="8"/>
      <c r="AE330" s="8"/>
      <c r="AF330" s="14"/>
      <c r="AG330" s="13"/>
      <c r="AH330" s="14"/>
      <c r="AI330" s="14"/>
      <c r="AJ330" s="8"/>
      <c r="AK330" s="8"/>
      <c r="AL330" s="8"/>
      <c r="AM330" s="8"/>
      <c r="AN330" s="631"/>
      <c r="AO330" s="18"/>
      <c r="AP330" s="18"/>
      <c r="AQ330" s="18"/>
      <c r="AR330" s="18"/>
      <c r="AS330" s="18"/>
      <c r="AU330" s="448"/>
      <c r="AV330" s="448"/>
      <c r="AW330" s="8" t="str">
        <f>IF(C330&gt;0,VLOOKUP(C330,Foundation_Calc!$A$2:$C$986,3,1),
IF(J330&gt;0,VLOOKUP(J330,Foundation_Calc!$A$2:$C$986,3,1),""))</f>
        <v/>
      </c>
      <c r="AX330" s="8" t="str">
        <f>IF(C330&gt;0,VLOOKUP(C330,Foundation_Calc!$E$2:$G$986,3,1),
IF(J330&gt;0,VLOOKUP(J330,Foundation_Calc!$E$2:$G$986,3,1),""))</f>
        <v/>
      </c>
      <c r="AY330" s="631" t="str">
        <f>IF(L330="","",
IF(AX330="PT",VLOOKUP(L330,Foundation_Calc!$K$4:$R$37,VLOOKUP(AW330,Foundation_Calc!$I$2:$J$8,2,FALSE),0),
IF(AX330="K",VLOOKUP(L330,Foundation_Calc!$K$41:$R$74,VLOOKUP(AW330,Foundation_Calc!$I$2:$J$8,2,FALSE),0),"")))</f>
        <v/>
      </c>
      <c r="AZ330" s="631" t="str">
        <f>IF(K330="","",
IF(AX330="PT",VLOOKUP(K330,Foundation_Calc!$K$4:$R$37,VLOOKUP(AW330,Foundation_Calc!$I$2:$J$8,2,FALSE),0),
IF(AX330="K",VLOOKUP(K330,Foundation_Calc!$K$41:$R$74,VLOOKUP(AW330,Foundation_Calc!$I$2:$J$8,2,FALSE),0),"")))</f>
        <v/>
      </c>
      <c r="BA330" s="632" t="str">
        <f t="shared" si="22"/>
        <v/>
      </c>
      <c r="BB330" s="632" t="str">
        <f t="shared" si="23"/>
        <v/>
      </c>
      <c r="BC330" s="632" t="str">
        <f t="shared" si="24"/>
        <v/>
      </c>
      <c r="BD330" s="633" t="str">
        <f>IF(AND(L330="",H330=""),"",
IF(H330="",Pole_Calc!A358,
IF(H330="MP",Pole_Calc!A359,
IF(H330="AnMP",Pole_Calc!A360,
IF(H330="A",Pole_Calc!A361,
IF(H330="S/A",Pole_Calc!A362,
IF(H330="A/S",Pole_Calc!A363,"Poner a mano")))))))</f>
        <v/>
      </c>
      <c r="BE330" s="448" t="s">
        <v>1726</v>
      </c>
      <c r="BF330" s="634"/>
      <c r="BG330" s="634"/>
      <c r="BH330" s="634"/>
      <c r="BI330" s="634"/>
    </row>
    <row r="331" spans="1:61" ht="16.2" customHeight="1">
      <c r="A331" s="12"/>
      <c r="B331" s="446"/>
      <c r="C331" s="89"/>
      <c r="D331" s="13"/>
      <c r="E331" s="14"/>
      <c r="F331" s="14"/>
      <c r="G331" s="15"/>
      <c r="H331" s="8"/>
      <c r="I331" s="8"/>
      <c r="J331" s="89"/>
      <c r="K331" s="8"/>
      <c r="L331" s="8"/>
      <c r="M331" s="8" t="str">
        <f>IF(L331="","",
IF(AX331="PT",VLOOKUP(L331,Foundation_Calc!$V$4:$X$37,VLOOKUP(AX331,Foundation_Calc!$I$10:$J$13,2,FALSE),0),
IF(AX331="K",VLOOKUP(L331,Foundation_Calc!$V$41:$X$74,VLOOKUP(AX331,Foundation_Calc!$I$10:$J$13,2,FALSE),0),"")))</f>
        <v/>
      </c>
      <c r="N331" s="8"/>
      <c r="O331" s="8"/>
      <c r="P331" s="8"/>
      <c r="Q331" s="14"/>
      <c r="R331" s="15"/>
      <c r="S331" s="15"/>
      <c r="T331" s="14"/>
      <c r="U331" s="14"/>
      <c r="V331" s="14"/>
      <c r="W331" s="18"/>
      <c r="X331" s="18"/>
      <c r="Y331" s="18"/>
      <c r="Z331" s="18"/>
      <c r="AA331" s="18"/>
      <c r="AB331" s="18"/>
      <c r="AC331" s="8" t="str">
        <f t="shared" si="21"/>
        <v/>
      </c>
      <c r="AD331" s="8"/>
      <c r="AE331" s="8"/>
      <c r="AF331" s="14"/>
      <c r="AG331" s="13"/>
      <c r="AH331" s="14"/>
      <c r="AI331" s="14"/>
      <c r="AJ331" s="8"/>
      <c r="AK331" s="8"/>
      <c r="AL331" s="8"/>
      <c r="AM331" s="8"/>
      <c r="AN331" s="631"/>
      <c r="AO331" s="18"/>
      <c r="AP331" s="18"/>
      <c r="AQ331" s="18"/>
      <c r="AR331" s="18"/>
      <c r="AS331" s="18"/>
      <c r="AU331" s="448"/>
      <c r="AV331" s="448"/>
      <c r="AW331" s="8" t="str">
        <f>IF(C331&gt;0,VLOOKUP(C331,Foundation_Calc!$A$2:$C$986,3,1),
IF(J331&gt;0,VLOOKUP(J331,Foundation_Calc!$A$2:$C$986,3,1),""))</f>
        <v/>
      </c>
      <c r="AX331" s="8" t="str">
        <f>IF(C331&gt;0,VLOOKUP(C331,Foundation_Calc!$E$2:$G$986,3,1),
IF(J331&gt;0,VLOOKUP(J331,Foundation_Calc!$E$2:$G$986,3,1),""))</f>
        <v/>
      </c>
      <c r="AY331" s="631" t="str">
        <f>IF(L331="","",
IF(AX331="PT",VLOOKUP(L331,Foundation_Calc!$K$4:$R$37,VLOOKUP(AW331,Foundation_Calc!$I$2:$J$8,2,FALSE),0),
IF(AX331="K",VLOOKUP(L331,Foundation_Calc!$K$41:$R$74,VLOOKUP(AW331,Foundation_Calc!$I$2:$J$8,2,FALSE),0),"")))</f>
        <v/>
      </c>
      <c r="AZ331" s="631" t="str">
        <f>IF(K331="","",
IF(AX331="PT",VLOOKUP(K331,Foundation_Calc!$K$4:$R$37,VLOOKUP(AW331,Foundation_Calc!$I$2:$J$8,2,FALSE),0),
IF(AX331="K",VLOOKUP(K331,Foundation_Calc!$K$41:$R$74,VLOOKUP(AW331,Foundation_Calc!$I$2:$J$8,2,FALSE),0),"")))</f>
        <v/>
      </c>
      <c r="BA331" s="632" t="str">
        <f t="shared" si="22"/>
        <v/>
      </c>
      <c r="BB331" s="632" t="str">
        <f t="shared" si="23"/>
        <v/>
      </c>
      <c r="BC331" s="632" t="str">
        <f t="shared" si="24"/>
        <v/>
      </c>
      <c r="BD331" s="633" t="str">
        <f>IF(AND(L331="",H331=""),"",
IF(H331="",Pole_Calc!A359,
IF(H331="MP",Pole_Calc!A360,
IF(H331="AnMP",Pole_Calc!A361,
IF(H331="A",Pole_Calc!A362,
IF(H331="S/A",Pole_Calc!A363,
IF(H331="A/S",Pole_Calc!A364,"Poner a mano")))))))</f>
        <v/>
      </c>
      <c r="BE331" s="448" t="s">
        <v>1726</v>
      </c>
      <c r="BF331" s="635"/>
      <c r="BG331" s="635"/>
      <c r="BH331" s="634"/>
      <c r="BI331" s="635"/>
    </row>
    <row r="332" spans="1:61" ht="16.2" customHeight="1">
      <c r="A332" s="12"/>
      <c r="B332" s="446"/>
      <c r="C332" s="89"/>
      <c r="D332" s="13"/>
      <c r="E332" s="14"/>
      <c r="F332" s="14"/>
      <c r="G332" s="15"/>
      <c r="H332" s="8"/>
      <c r="I332" s="8"/>
      <c r="J332" s="89"/>
      <c r="K332" s="8"/>
      <c r="L332" s="8"/>
      <c r="M332" s="8" t="str">
        <f>IF(L332="","",
IF(AX332="PT",VLOOKUP(L332,Foundation_Calc!$V$4:$X$37,VLOOKUP(AX332,Foundation_Calc!$I$10:$J$13,2,FALSE),0),
IF(AX332="K",VLOOKUP(L332,Foundation_Calc!$V$41:$X$74,VLOOKUP(AX332,Foundation_Calc!$I$10:$J$13,2,FALSE),0),"")))</f>
        <v/>
      </c>
      <c r="N332" s="8"/>
      <c r="O332" s="8"/>
      <c r="P332" s="8"/>
      <c r="Q332" s="14"/>
      <c r="R332" s="15"/>
      <c r="S332" s="15"/>
      <c r="T332" s="14"/>
      <c r="U332" s="14"/>
      <c r="V332" s="14"/>
      <c r="W332" s="18"/>
      <c r="X332" s="18"/>
      <c r="Y332" s="18"/>
      <c r="Z332" s="18"/>
      <c r="AA332" s="18"/>
      <c r="AB332" s="18"/>
      <c r="AC332" s="8" t="str">
        <f t="shared" si="21"/>
        <v/>
      </c>
      <c r="AD332" s="8"/>
      <c r="AE332" s="8"/>
      <c r="AF332" s="14"/>
      <c r="AG332" s="13"/>
      <c r="AH332" s="14"/>
      <c r="AI332" s="14"/>
      <c r="AJ332" s="8"/>
      <c r="AK332" s="8"/>
      <c r="AL332" s="8"/>
      <c r="AM332" s="8"/>
      <c r="AN332" s="631"/>
      <c r="AO332" s="18"/>
      <c r="AP332" s="18"/>
      <c r="AQ332" s="18"/>
      <c r="AR332" s="18"/>
      <c r="AS332" s="18"/>
      <c r="AU332" s="448"/>
      <c r="AV332" s="448"/>
      <c r="AW332" s="8" t="str">
        <f>IF(C332&gt;0,VLOOKUP(C332,Foundation_Calc!$A$2:$C$986,3,1),
IF(J332&gt;0,VLOOKUP(J332,Foundation_Calc!$A$2:$C$986,3,1),""))</f>
        <v/>
      </c>
      <c r="AX332" s="8" t="str">
        <f>IF(C332&gt;0,VLOOKUP(C332,Foundation_Calc!$E$2:$G$986,3,1),
IF(J332&gt;0,VLOOKUP(J332,Foundation_Calc!$E$2:$G$986,3,1),""))</f>
        <v/>
      </c>
      <c r="AY332" s="631" t="str">
        <f>IF(L332="","",
IF(AX332="PT",VLOOKUP(L332,Foundation_Calc!$K$4:$R$37,VLOOKUP(AW332,Foundation_Calc!$I$2:$J$8,2,FALSE),0),
IF(AX332="K",VLOOKUP(L332,Foundation_Calc!$K$41:$R$74,VLOOKUP(AW332,Foundation_Calc!$I$2:$J$8,2,FALSE),0),"")))</f>
        <v/>
      </c>
      <c r="AZ332" s="631" t="str">
        <f>IF(K332="","",
IF(AX332="PT",VLOOKUP(K332,Foundation_Calc!$K$4:$R$37,VLOOKUP(AW332,Foundation_Calc!$I$2:$J$8,2,FALSE),0),
IF(AX332="K",VLOOKUP(K332,Foundation_Calc!$K$41:$R$74,VLOOKUP(AW332,Foundation_Calc!$I$2:$J$8,2,FALSE),0),"")))</f>
        <v/>
      </c>
      <c r="BA332" s="632" t="str">
        <f t="shared" si="22"/>
        <v/>
      </c>
      <c r="BB332" s="632" t="str">
        <f t="shared" si="23"/>
        <v/>
      </c>
      <c r="BC332" s="632" t="str">
        <f t="shared" si="24"/>
        <v/>
      </c>
      <c r="BD332" s="633" t="str">
        <f>IF(AND(L332="",H332=""),"",
IF(H332="",Pole_Calc!A360,
IF(H332="MP",Pole_Calc!A361,
IF(H332="AnMP",Pole_Calc!A362,
IF(H332="A",Pole_Calc!A363,
IF(H332="S/A",Pole_Calc!A364,
IF(H332="A/S",Pole_Calc!A365,"Poner a mano")))))))</f>
        <v/>
      </c>
      <c r="BE332" s="448" t="s">
        <v>1726</v>
      </c>
      <c r="BF332" s="634"/>
      <c r="BG332" s="634"/>
      <c r="BH332" s="634"/>
      <c r="BI332" s="634"/>
    </row>
    <row r="333" spans="1:61" ht="16.2" customHeight="1">
      <c r="A333" s="12"/>
      <c r="B333" s="446"/>
      <c r="C333" s="89"/>
      <c r="D333" s="13"/>
      <c r="E333" s="14"/>
      <c r="F333" s="14"/>
      <c r="G333" s="15"/>
      <c r="H333" s="8"/>
      <c r="I333" s="8"/>
      <c r="J333" s="89"/>
      <c r="K333" s="8"/>
      <c r="L333" s="8"/>
      <c r="M333" s="8" t="str">
        <f>IF(L333="","",
IF(AX333="PT",VLOOKUP(L333,Foundation_Calc!$V$4:$X$37,VLOOKUP(AX333,Foundation_Calc!$I$10:$J$13,2,FALSE),0),
IF(AX333="K",VLOOKUP(L333,Foundation_Calc!$V$41:$X$74,VLOOKUP(AX333,Foundation_Calc!$I$10:$J$13,2,FALSE),0),"")))</f>
        <v/>
      </c>
      <c r="N333" s="8"/>
      <c r="O333" s="8"/>
      <c r="P333" s="8"/>
      <c r="Q333" s="14"/>
      <c r="R333" s="15"/>
      <c r="S333" s="15"/>
      <c r="T333" s="14"/>
      <c r="U333" s="14"/>
      <c r="V333" s="14"/>
      <c r="W333" s="18"/>
      <c r="X333" s="18"/>
      <c r="Y333" s="18"/>
      <c r="Z333" s="18"/>
      <c r="AA333" s="18"/>
      <c r="AB333" s="18"/>
      <c r="AC333" s="8" t="str">
        <f t="shared" si="21"/>
        <v/>
      </c>
      <c r="AD333" s="8"/>
      <c r="AE333" s="8"/>
      <c r="AF333" s="14"/>
      <c r="AG333" s="13"/>
      <c r="AH333" s="14"/>
      <c r="AI333" s="14"/>
      <c r="AJ333" s="8"/>
      <c r="AK333" s="8"/>
      <c r="AL333" s="8"/>
      <c r="AM333" s="8"/>
      <c r="AN333" s="631"/>
      <c r="AO333" s="18"/>
      <c r="AP333" s="18"/>
      <c r="AQ333" s="18"/>
      <c r="AR333" s="18"/>
      <c r="AS333" s="18"/>
      <c r="AU333" s="448"/>
      <c r="AV333" s="448"/>
      <c r="AW333" s="8" t="str">
        <f>IF(C333&gt;0,VLOOKUP(C333,Foundation_Calc!$A$2:$C$986,3,1),
IF(J333&gt;0,VLOOKUP(J333,Foundation_Calc!$A$2:$C$986,3,1),""))</f>
        <v/>
      </c>
      <c r="AX333" s="8" t="str">
        <f>IF(C333&gt;0,VLOOKUP(C333,Foundation_Calc!$E$2:$G$986,3,1),
IF(J333&gt;0,VLOOKUP(J333,Foundation_Calc!$E$2:$G$986,3,1),""))</f>
        <v/>
      </c>
      <c r="AY333" s="631" t="str">
        <f>IF(L333="","",
IF(AX333="PT",VLOOKUP(L333,Foundation_Calc!$K$4:$R$37,VLOOKUP(AW333,Foundation_Calc!$I$2:$J$8,2,FALSE),0),
IF(AX333="K",VLOOKUP(L333,Foundation_Calc!$K$41:$R$74,VLOOKUP(AW333,Foundation_Calc!$I$2:$J$8,2,FALSE),0),"")))</f>
        <v/>
      </c>
      <c r="AZ333" s="631" t="str">
        <f>IF(K333="","",
IF(AX333="PT",VLOOKUP(K333,Foundation_Calc!$K$4:$R$37,VLOOKUP(AW333,Foundation_Calc!$I$2:$J$8,2,FALSE),0),
IF(AX333="K",VLOOKUP(K333,Foundation_Calc!$K$41:$R$74,VLOOKUP(AW333,Foundation_Calc!$I$2:$J$8,2,FALSE),0),"")))</f>
        <v/>
      </c>
      <c r="BA333" s="632" t="str">
        <f t="shared" si="22"/>
        <v/>
      </c>
      <c r="BB333" s="632" t="str">
        <f t="shared" si="23"/>
        <v/>
      </c>
      <c r="BC333" s="632" t="str">
        <f t="shared" si="24"/>
        <v/>
      </c>
      <c r="BD333" s="633" t="str">
        <f>IF(AND(L333="",H333=""),"",
IF(H333="",Pole_Calc!A361,
IF(H333="MP",Pole_Calc!A362,
IF(H333="AnMP",Pole_Calc!A363,
IF(H333="A",Pole_Calc!A364,
IF(H333="S/A",Pole_Calc!A365,
IF(H333="A/S",Pole_Calc!A366,"Poner a mano")))))))</f>
        <v/>
      </c>
      <c r="BE333" s="448" t="s">
        <v>1726</v>
      </c>
      <c r="BF333" s="635"/>
      <c r="BG333" s="635"/>
      <c r="BH333" s="634"/>
      <c r="BI333" s="635"/>
    </row>
    <row r="334" spans="1:61" ht="16.2" customHeight="1">
      <c r="A334" s="12"/>
      <c r="B334" s="446"/>
      <c r="C334" s="89"/>
      <c r="D334" s="13"/>
      <c r="E334" s="14"/>
      <c r="F334" s="14"/>
      <c r="G334" s="15"/>
      <c r="H334" s="8"/>
      <c r="I334" s="8"/>
      <c r="J334" s="89"/>
      <c r="K334" s="8"/>
      <c r="L334" s="8"/>
      <c r="M334" s="8" t="str">
        <f>IF(L334="","",
IF(AX334="PT",VLOOKUP(L334,Foundation_Calc!$V$4:$X$37,VLOOKUP(AX334,Foundation_Calc!$I$10:$J$13,2,FALSE),0),
IF(AX334="K",VLOOKUP(L334,Foundation_Calc!$V$41:$X$74,VLOOKUP(AX334,Foundation_Calc!$I$10:$J$13,2,FALSE),0),"")))</f>
        <v/>
      </c>
      <c r="N334" s="8"/>
      <c r="O334" s="8"/>
      <c r="P334" s="8"/>
      <c r="Q334" s="14"/>
      <c r="R334" s="15"/>
      <c r="S334" s="15"/>
      <c r="T334" s="14"/>
      <c r="U334" s="14"/>
      <c r="V334" s="14"/>
      <c r="W334" s="18"/>
      <c r="X334" s="18"/>
      <c r="Y334" s="18"/>
      <c r="Z334" s="18"/>
      <c r="AA334" s="18"/>
      <c r="AB334" s="18"/>
      <c r="AC334" s="8" t="str">
        <f t="shared" si="21"/>
        <v/>
      </c>
      <c r="AD334" s="8"/>
      <c r="AE334" s="8"/>
      <c r="AF334" s="14"/>
      <c r="AG334" s="13"/>
      <c r="AH334" s="14"/>
      <c r="AI334" s="14"/>
      <c r="AJ334" s="8"/>
      <c r="AK334" s="8"/>
      <c r="AL334" s="8"/>
      <c r="AM334" s="8"/>
      <c r="AN334" s="631"/>
      <c r="AO334" s="18"/>
      <c r="AP334" s="18"/>
      <c r="AQ334" s="18"/>
      <c r="AR334" s="18"/>
      <c r="AS334" s="18"/>
      <c r="AU334" s="448"/>
      <c r="AV334" s="448"/>
      <c r="AW334" s="8" t="str">
        <f>IF(C334&gt;0,VLOOKUP(C334,Foundation_Calc!$A$2:$C$986,3,1),
IF(J334&gt;0,VLOOKUP(J334,Foundation_Calc!$A$2:$C$986,3,1),""))</f>
        <v/>
      </c>
      <c r="AX334" s="8" t="str">
        <f>IF(C334&gt;0,VLOOKUP(C334,Foundation_Calc!$E$2:$G$986,3,1),
IF(J334&gt;0,VLOOKUP(J334,Foundation_Calc!$E$2:$G$986,3,1),""))</f>
        <v/>
      </c>
      <c r="AY334" s="631" t="str">
        <f>IF(L334="","",
IF(AX334="PT",VLOOKUP(L334,Foundation_Calc!$K$4:$R$37,VLOOKUP(AW334,Foundation_Calc!$I$2:$J$8,2,FALSE),0),
IF(AX334="K",VLOOKUP(L334,Foundation_Calc!$K$41:$R$74,VLOOKUP(AW334,Foundation_Calc!$I$2:$J$8,2,FALSE),0),"")))</f>
        <v/>
      </c>
      <c r="AZ334" s="631" t="str">
        <f>IF(K334="","",
IF(AX334="PT",VLOOKUP(K334,Foundation_Calc!$K$4:$R$37,VLOOKUP(AW334,Foundation_Calc!$I$2:$J$8,2,FALSE),0),
IF(AX334="K",VLOOKUP(K334,Foundation_Calc!$K$41:$R$74,VLOOKUP(AW334,Foundation_Calc!$I$2:$J$8,2,FALSE),0),"")))</f>
        <v/>
      </c>
      <c r="BA334" s="632" t="str">
        <f t="shared" si="22"/>
        <v/>
      </c>
      <c r="BB334" s="632" t="str">
        <f t="shared" si="23"/>
        <v/>
      </c>
      <c r="BC334" s="632" t="str">
        <f t="shared" si="24"/>
        <v/>
      </c>
      <c r="BD334" s="633" t="str">
        <f>IF(AND(L334="",H334=""),"",
IF(H334="",Pole_Calc!A362,
IF(H334="MP",Pole_Calc!A363,
IF(H334="AnMP",Pole_Calc!A364,
IF(H334="A",Pole_Calc!A365,
IF(H334="S/A",Pole_Calc!A366,
IF(H334="A/S",Pole_Calc!A367,"Poner a mano")))))))</f>
        <v/>
      </c>
      <c r="BE334" s="448" t="s">
        <v>1726</v>
      </c>
      <c r="BF334" s="634"/>
      <c r="BG334" s="634"/>
      <c r="BH334" s="634"/>
      <c r="BI334" s="634"/>
    </row>
    <row r="335" spans="1:61" ht="16.2" customHeight="1">
      <c r="A335" s="12"/>
      <c r="B335" s="446"/>
      <c r="C335" s="89"/>
      <c r="D335" s="13"/>
      <c r="E335" s="14"/>
      <c r="F335" s="14"/>
      <c r="G335" s="15"/>
      <c r="H335" s="8"/>
      <c r="I335" s="8"/>
      <c r="J335" s="89"/>
      <c r="K335" s="8"/>
      <c r="L335" s="8"/>
      <c r="M335" s="8" t="str">
        <f>IF(L335="","",
IF(AX335="PT",VLOOKUP(L335,Foundation_Calc!$V$4:$X$37,VLOOKUP(AX335,Foundation_Calc!$I$10:$J$13,2,FALSE),0),
IF(AX335="K",VLOOKUP(L335,Foundation_Calc!$V$41:$X$74,VLOOKUP(AX335,Foundation_Calc!$I$10:$J$13,2,FALSE),0),"")))</f>
        <v/>
      </c>
      <c r="N335" s="8"/>
      <c r="O335" s="8"/>
      <c r="P335" s="8"/>
      <c r="Q335" s="14"/>
      <c r="R335" s="15"/>
      <c r="S335" s="15"/>
      <c r="T335" s="14"/>
      <c r="U335" s="14"/>
      <c r="V335" s="14"/>
      <c r="W335" s="18"/>
      <c r="X335" s="18"/>
      <c r="Y335" s="18"/>
      <c r="Z335" s="18"/>
      <c r="AA335" s="18"/>
      <c r="AB335" s="18"/>
      <c r="AC335" s="8" t="str">
        <f t="shared" si="21"/>
        <v/>
      </c>
      <c r="AD335" s="8"/>
      <c r="AE335" s="8"/>
      <c r="AF335" s="14"/>
      <c r="AG335" s="13"/>
      <c r="AH335" s="14"/>
      <c r="AI335" s="14"/>
      <c r="AJ335" s="8"/>
      <c r="AK335" s="8"/>
      <c r="AL335" s="8"/>
      <c r="AM335" s="8"/>
      <c r="AN335" s="631"/>
      <c r="AO335" s="18"/>
      <c r="AP335" s="18"/>
      <c r="AQ335" s="18"/>
      <c r="AR335" s="18"/>
      <c r="AS335" s="18"/>
      <c r="AU335" s="448"/>
      <c r="AV335" s="448"/>
      <c r="AW335" s="8" t="str">
        <f>IF(C335&gt;0,VLOOKUP(C335,Foundation_Calc!$A$2:$C$986,3,1),
IF(J335&gt;0,VLOOKUP(J335,Foundation_Calc!$A$2:$C$986,3,1),""))</f>
        <v/>
      </c>
      <c r="AX335" s="8" t="str">
        <f>IF(C335&gt;0,VLOOKUP(C335,Foundation_Calc!$E$2:$G$986,3,1),
IF(J335&gt;0,VLOOKUP(J335,Foundation_Calc!$E$2:$G$986,3,1),""))</f>
        <v/>
      </c>
      <c r="AY335" s="631" t="str">
        <f>IF(L335="","",
IF(AX335="PT",VLOOKUP(L335,Foundation_Calc!$K$4:$R$37,VLOOKUP(AW335,Foundation_Calc!$I$2:$J$8,2,FALSE),0),
IF(AX335="K",VLOOKUP(L335,Foundation_Calc!$K$41:$R$74,VLOOKUP(AW335,Foundation_Calc!$I$2:$J$8,2,FALSE),0),"")))</f>
        <v/>
      </c>
      <c r="AZ335" s="631" t="str">
        <f>IF(K335="","",
IF(AX335="PT",VLOOKUP(K335,Foundation_Calc!$K$4:$R$37,VLOOKUP(AW335,Foundation_Calc!$I$2:$J$8,2,FALSE),0),
IF(AX335="K",VLOOKUP(K335,Foundation_Calc!$K$41:$R$74,VLOOKUP(AW335,Foundation_Calc!$I$2:$J$8,2,FALSE),0),"")))</f>
        <v/>
      </c>
      <c r="BA335" s="632" t="str">
        <f t="shared" si="22"/>
        <v/>
      </c>
      <c r="BB335" s="632" t="str">
        <f t="shared" si="23"/>
        <v/>
      </c>
      <c r="BC335" s="632" t="str">
        <f t="shared" si="24"/>
        <v/>
      </c>
      <c r="BD335" s="633" t="str">
        <f>IF(AND(L335="",H335=""),"",
IF(H335="",Pole_Calc!A363,
IF(H335="MP",Pole_Calc!A364,
IF(H335="AnMP",Pole_Calc!A365,
IF(H335="A",Pole_Calc!A366,
IF(H335="S/A",Pole_Calc!A367,
IF(H335="A/S",Pole_Calc!A368,"Poner a mano")))))))</f>
        <v/>
      </c>
      <c r="BE335" s="448" t="s">
        <v>1726</v>
      </c>
      <c r="BF335" s="635"/>
      <c r="BG335" s="635"/>
      <c r="BH335" s="634"/>
      <c r="BI335" s="635"/>
    </row>
    <row r="336" spans="1:61" ht="16.2" customHeight="1">
      <c r="A336" s="12"/>
      <c r="B336" s="446"/>
      <c r="C336" s="89"/>
      <c r="D336" s="13"/>
      <c r="E336" s="14"/>
      <c r="F336" s="14"/>
      <c r="G336" s="15"/>
      <c r="H336" s="8"/>
      <c r="I336" s="8"/>
      <c r="J336" s="89"/>
      <c r="K336" s="8"/>
      <c r="L336" s="8"/>
      <c r="M336" s="8" t="str">
        <f>IF(L336="","",
IF(AX336="PT",VLOOKUP(L336,Foundation_Calc!$V$4:$X$37,VLOOKUP(AX336,Foundation_Calc!$I$10:$J$13,2,FALSE),0),
IF(AX336="K",VLOOKUP(L336,Foundation_Calc!$V$41:$X$74,VLOOKUP(AX336,Foundation_Calc!$I$10:$J$13,2,FALSE),0),"")))</f>
        <v/>
      </c>
      <c r="N336" s="8"/>
      <c r="O336" s="8"/>
      <c r="P336" s="8"/>
      <c r="Q336" s="14"/>
      <c r="R336" s="15"/>
      <c r="S336" s="15"/>
      <c r="T336" s="14"/>
      <c r="U336" s="14"/>
      <c r="V336" s="14"/>
      <c r="W336" s="18"/>
      <c r="X336" s="18"/>
      <c r="Y336" s="18"/>
      <c r="Z336" s="18"/>
      <c r="AA336" s="18"/>
      <c r="AB336" s="18"/>
      <c r="AC336" s="8" t="str">
        <f t="shared" si="21"/>
        <v/>
      </c>
      <c r="AD336" s="8"/>
      <c r="AE336" s="8"/>
      <c r="AF336" s="14"/>
      <c r="AG336" s="13"/>
      <c r="AH336" s="14"/>
      <c r="AI336" s="14"/>
      <c r="AJ336" s="8"/>
      <c r="AK336" s="8"/>
      <c r="AL336" s="8"/>
      <c r="AM336" s="8"/>
      <c r="AN336" s="631"/>
      <c r="AO336" s="18"/>
      <c r="AP336" s="18"/>
      <c r="AQ336" s="18"/>
      <c r="AR336" s="18"/>
      <c r="AS336" s="18"/>
      <c r="AU336" s="448"/>
      <c r="AV336" s="448"/>
      <c r="AW336" s="8" t="str">
        <f>IF(C336&gt;0,VLOOKUP(C336,Foundation_Calc!$A$2:$C$986,3,1),
IF(J336&gt;0,VLOOKUP(J336,Foundation_Calc!$A$2:$C$986,3,1),""))</f>
        <v/>
      </c>
      <c r="AX336" s="8" t="str">
        <f>IF(C336&gt;0,VLOOKUP(C336,Foundation_Calc!$E$2:$G$986,3,1),
IF(J336&gt;0,VLOOKUP(J336,Foundation_Calc!$E$2:$G$986,3,1),""))</f>
        <v/>
      </c>
      <c r="AY336" s="631" t="str">
        <f>IF(L336="","",
IF(AX336="PT",VLOOKUP(L336,Foundation_Calc!$K$4:$R$37,VLOOKUP(AW336,Foundation_Calc!$I$2:$J$8,2,FALSE),0),
IF(AX336="K",VLOOKUP(L336,Foundation_Calc!$K$41:$R$74,VLOOKUP(AW336,Foundation_Calc!$I$2:$J$8,2,FALSE),0),"")))</f>
        <v/>
      </c>
      <c r="AZ336" s="631" t="str">
        <f>IF(K336="","",
IF(AX336="PT",VLOOKUP(K336,Foundation_Calc!$K$4:$R$37,VLOOKUP(AW336,Foundation_Calc!$I$2:$J$8,2,FALSE),0),
IF(AX336="K",VLOOKUP(K336,Foundation_Calc!$K$41:$R$74,VLOOKUP(AW336,Foundation_Calc!$I$2:$J$8,2,FALSE),0),"")))</f>
        <v/>
      </c>
      <c r="BA336" s="632" t="str">
        <f t="shared" si="22"/>
        <v/>
      </c>
      <c r="BB336" s="632" t="str">
        <f t="shared" si="23"/>
        <v/>
      </c>
      <c r="BC336" s="632" t="str">
        <f t="shared" si="24"/>
        <v/>
      </c>
      <c r="BD336" s="633" t="str">
        <f>IF(AND(L336="",H336=""),"",
IF(H336="",Pole_Calc!A364,
IF(H336="MP",Pole_Calc!A365,
IF(H336="AnMP",Pole_Calc!A366,
IF(H336="A",Pole_Calc!A367,
IF(H336="S/A",Pole_Calc!A368,
IF(H336="A/S",Pole_Calc!A369,"Poner a mano")))))))</f>
        <v/>
      </c>
      <c r="BE336" s="448" t="s">
        <v>1726</v>
      </c>
      <c r="BF336" s="634"/>
      <c r="BG336" s="634"/>
      <c r="BH336" s="634"/>
      <c r="BI336" s="634"/>
    </row>
    <row r="337" spans="1:61" ht="16.2" customHeight="1">
      <c r="A337" s="12"/>
      <c r="B337" s="446"/>
      <c r="C337" s="89"/>
      <c r="D337" s="13"/>
      <c r="E337" s="14"/>
      <c r="F337" s="14"/>
      <c r="G337" s="15"/>
      <c r="H337" s="8"/>
      <c r="I337" s="8"/>
      <c r="J337" s="89"/>
      <c r="K337" s="8"/>
      <c r="L337" s="8"/>
      <c r="M337" s="8" t="str">
        <f>IF(L337="","",
IF(AX337="PT",VLOOKUP(L337,Foundation_Calc!$V$4:$X$37,VLOOKUP(AX337,Foundation_Calc!$I$10:$J$13,2,FALSE),0),
IF(AX337="K",VLOOKUP(L337,Foundation_Calc!$V$41:$X$74,VLOOKUP(AX337,Foundation_Calc!$I$10:$J$13,2,FALSE),0),"")))</f>
        <v/>
      </c>
      <c r="N337" s="8"/>
      <c r="O337" s="8"/>
      <c r="P337" s="8"/>
      <c r="Q337" s="14"/>
      <c r="R337" s="15"/>
      <c r="S337" s="15"/>
      <c r="T337" s="14"/>
      <c r="U337" s="14"/>
      <c r="V337" s="14"/>
      <c r="W337" s="18"/>
      <c r="X337" s="18"/>
      <c r="Y337" s="18"/>
      <c r="Z337" s="18"/>
      <c r="AA337" s="18"/>
      <c r="AB337" s="18"/>
      <c r="AC337" s="8" t="str">
        <f t="shared" si="21"/>
        <v/>
      </c>
      <c r="AD337" s="8"/>
      <c r="AE337" s="8"/>
      <c r="AF337" s="14"/>
      <c r="AG337" s="13"/>
      <c r="AH337" s="14"/>
      <c r="AI337" s="14"/>
      <c r="AJ337" s="8"/>
      <c r="AK337" s="8"/>
      <c r="AL337" s="8"/>
      <c r="AM337" s="8"/>
      <c r="AN337" s="631"/>
      <c r="AO337" s="18"/>
      <c r="AP337" s="18"/>
      <c r="AQ337" s="18"/>
      <c r="AR337" s="18"/>
      <c r="AS337" s="18"/>
      <c r="AU337" s="448"/>
      <c r="AV337" s="448"/>
      <c r="AW337" s="8" t="str">
        <f>IF(C337&gt;0,VLOOKUP(C337,Foundation_Calc!$A$2:$C$986,3,1),
IF(J337&gt;0,VLOOKUP(J337,Foundation_Calc!$A$2:$C$986,3,1),""))</f>
        <v/>
      </c>
      <c r="AX337" s="8" t="str">
        <f>IF(C337&gt;0,VLOOKUP(C337,Foundation_Calc!$E$2:$G$986,3,1),
IF(J337&gt;0,VLOOKUP(J337,Foundation_Calc!$E$2:$G$986,3,1),""))</f>
        <v/>
      </c>
      <c r="AY337" s="631" t="str">
        <f>IF(L337="","",
IF(AX337="PT",VLOOKUP(L337,Foundation_Calc!$K$4:$R$37,VLOOKUP(AW337,Foundation_Calc!$I$2:$J$8,2,FALSE),0),
IF(AX337="K",VLOOKUP(L337,Foundation_Calc!$K$41:$R$74,VLOOKUP(AW337,Foundation_Calc!$I$2:$J$8,2,FALSE),0),"")))</f>
        <v/>
      </c>
      <c r="AZ337" s="631" t="str">
        <f>IF(K337="","",
IF(AX337="PT",VLOOKUP(K337,Foundation_Calc!$K$4:$R$37,VLOOKUP(AW337,Foundation_Calc!$I$2:$J$8,2,FALSE),0),
IF(AX337="K",VLOOKUP(K337,Foundation_Calc!$K$41:$R$74,VLOOKUP(AW337,Foundation_Calc!$I$2:$J$8,2,FALSE),0),"")))</f>
        <v/>
      </c>
      <c r="BA337" s="632" t="str">
        <f t="shared" si="22"/>
        <v/>
      </c>
      <c r="BB337" s="632" t="str">
        <f t="shared" si="23"/>
        <v/>
      </c>
      <c r="BC337" s="632" t="str">
        <f t="shared" si="24"/>
        <v/>
      </c>
      <c r="BD337" s="633" t="str">
        <f>IF(AND(L337="",H337=""),"",
IF(H337="",Pole_Calc!A365,
IF(H337="MP",Pole_Calc!A366,
IF(H337="AnMP",Pole_Calc!A367,
IF(H337="A",Pole_Calc!A368,
IF(H337="S/A",Pole_Calc!A369,
IF(H337="A/S",Pole_Calc!A370,"Poner a mano")))))))</f>
        <v/>
      </c>
      <c r="BE337" s="448" t="s">
        <v>1726</v>
      </c>
      <c r="BF337" s="635"/>
      <c r="BG337" s="635"/>
      <c r="BH337" s="634"/>
      <c r="BI337" s="635"/>
    </row>
    <row r="338" spans="1:61" ht="16.2" customHeight="1">
      <c r="A338" s="12"/>
      <c r="B338" s="446"/>
      <c r="C338" s="89"/>
      <c r="D338" s="13"/>
      <c r="E338" s="14"/>
      <c r="F338" s="14"/>
      <c r="G338" s="15"/>
      <c r="H338" s="8"/>
      <c r="I338" s="8"/>
      <c r="J338" s="89"/>
      <c r="K338" s="8"/>
      <c r="L338" s="8"/>
      <c r="M338" s="8" t="str">
        <f>IF(L338="","",
IF(AX338="PT",VLOOKUP(L338,Foundation_Calc!$V$4:$X$37,VLOOKUP(AX338,Foundation_Calc!$I$10:$J$13,2,FALSE),0),
IF(AX338="K",VLOOKUP(L338,Foundation_Calc!$V$41:$X$74,VLOOKUP(AX338,Foundation_Calc!$I$10:$J$13,2,FALSE),0),"")))</f>
        <v/>
      </c>
      <c r="N338" s="8"/>
      <c r="O338" s="8"/>
      <c r="P338" s="8"/>
      <c r="Q338" s="14"/>
      <c r="R338" s="15"/>
      <c r="S338" s="15"/>
      <c r="T338" s="14"/>
      <c r="U338" s="14"/>
      <c r="V338" s="14"/>
      <c r="W338" s="18"/>
      <c r="X338" s="18"/>
      <c r="Y338" s="18"/>
      <c r="Z338" s="18"/>
      <c r="AA338" s="18"/>
      <c r="AB338" s="18"/>
      <c r="AC338" s="8" t="str">
        <f t="shared" si="21"/>
        <v/>
      </c>
      <c r="AD338" s="8"/>
      <c r="AE338" s="8"/>
      <c r="AF338" s="14"/>
      <c r="AG338" s="13"/>
      <c r="AH338" s="14"/>
      <c r="AI338" s="14"/>
      <c r="AJ338" s="8"/>
      <c r="AK338" s="8"/>
      <c r="AL338" s="8"/>
      <c r="AM338" s="8"/>
      <c r="AN338" s="631"/>
      <c r="AO338" s="18"/>
      <c r="AP338" s="18"/>
      <c r="AQ338" s="18"/>
      <c r="AR338" s="18"/>
      <c r="AS338" s="18"/>
      <c r="AU338" s="448"/>
      <c r="AV338" s="448"/>
      <c r="AW338" s="8" t="str">
        <f>IF(C338&gt;0,VLOOKUP(C338,Foundation_Calc!$A$2:$C$986,3,1),
IF(J338&gt;0,VLOOKUP(J338,Foundation_Calc!$A$2:$C$986,3,1),""))</f>
        <v/>
      </c>
      <c r="AX338" s="8" t="str">
        <f>IF(C338&gt;0,VLOOKUP(C338,Foundation_Calc!$E$2:$G$986,3,1),
IF(J338&gt;0,VLOOKUP(J338,Foundation_Calc!$E$2:$G$986,3,1),""))</f>
        <v/>
      </c>
      <c r="AY338" s="631" t="str">
        <f>IF(L338="","",
IF(AX338="PT",VLOOKUP(L338,Foundation_Calc!$K$4:$R$37,VLOOKUP(AW338,Foundation_Calc!$I$2:$J$8,2,FALSE),0),
IF(AX338="K",VLOOKUP(L338,Foundation_Calc!$K$41:$R$74,VLOOKUP(AW338,Foundation_Calc!$I$2:$J$8,2,FALSE),0),"")))</f>
        <v/>
      </c>
      <c r="AZ338" s="631" t="str">
        <f>IF(K338="","",
IF(AX338="PT",VLOOKUP(K338,Foundation_Calc!$K$4:$R$37,VLOOKUP(AW338,Foundation_Calc!$I$2:$J$8,2,FALSE),0),
IF(AX338="K",VLOOKUP(K338,Foundation_Calc!$K$41:$R$74,VLOOKUP(AW338,Foundation_Calc!$I$2:$J$8,2,FALSE),0),"")))</f>
        <v/>
      </c>
      <c r="BA338" s="632" t="str">
        <f t="shared" si="22"/>
        <v/>
      </c>
      <c r="BB338" s="632" t="str">
        <f t="shared" si="23"/>
        <v/>
      </c>
      <c r="BC338" s="632" t="str">
        <f t="shared" si="24"/>
        <v/>
      </c>
      <c r="BD338" s="633" t="str">
        <f>IF(AND(L338="",H338=""),"",
IF(H338="",Pole_Calc!A366,
IF(H338="MP",Pole_Calc!A367,
IF(H338="AnMP",Pole_Calc!A368,
IF(H338="A",Pole_Calc!A369,
IF(H338="S/A",Pole_Calc!A370,
IF(H338="A/S",Pole_Calc!A371,"Poner a mano")))))))</f>
        <v/>
      </c>
      <c r="BE338" s="448" t="s">
        <v>1726</v>
      </c>
      <c r="BF338" s="634"/>
      <c r="BG338" s="634"/>
      <c r="BH338" s="634"/>
      <c r="BI338" s="634"/>
    </row>
    <row r="339" spans="1:61" ht="16.2" customHeight="1">
      <c r="A339" s="12"/>
      <c r="B339" s="446"/>
      <c r="C339" s="89"/>
      <c r="D339" s="13"/>
      <c r="E339" s="14"/>
      <c r="F339" s="14"/>
      <c r="G339" s="15"/>
      <c r="H339" s="8"/>
      <c r="I339" s="8"/>
      <c r="J339" s="89"/>
      <c r="K339" s="8"/>
      <c r="L339" s="8"/>
      <c r="M339" s="8" t="str">
        <f>IF(L339="","",
IF(AX339="PT",VLOOKUP(L339,Foundation_Calc!$V$4:$X$37,VLOOKUP(AX339,Foundation_Calc!$I$10:$J$13,2,FALSE),0),
IF(AX339="K",VLOOKUP(L339,Foundation_Calc!$V$41:$X$74,VLOOKUP(AX339,Foundation_Calc!$I$10:$J$13,2,FALSE),0),"")))</f>
        <v/>
      </c>
      <c r="N339" s="8"/>
      <c r="O339" s="8"/>
      <c r="P339" s="8"/>
      <c r="Q339" s="14"/>
      <c r="R339" s="15"/>
      <c r="S339" s="15"/>
      <c r="T339" s="14"/>
      <c r="U339" s="14"/>
      <c r="V339" s="14"/>
      <c r="W339" s="18"/>
      <c r="X339" s="18"/>
      <c r="Y339" s="18"/>
      <c r="Z339" s="18"/>
      <c r="AA339" s="18"/>
      <c r="AB339" s="18"/>
      <c r="AC339" s="8" t="str">
        <f t="shared" si="21"/>
        <v/>
      </c>
      <c r="AD339" s="8"/>
      <c r="AE339" s="8"/>
      <c r="AF339" s="14"/>
      <c r="AG339" s="13"/>
      <c r="AH339" s="14"/>
      <c r="AI339" s="14"/>
      <c r="AJ339" s="8"/>
      <c r="AK339" s="8"/>
      <c r="AL339" s="8"/>
      <c r="AM339" s="8"/>
      <c r="AN339" s="631"/>
      <c r="AO339" s="18"/>
      <c r="AP339" s="18"/>
      <c r="AQ339" s="18"/>
      <c r="AR339" s="18"/>
      <c r="AS339" s="18"/>
      <c r="AU339" s="448"/>
      <c r="AV339" s="448"/>
      <c r="AW339" s="8" t="str">
        <f>IF(C339&gt;0,VLOOKUP(C339,Foundation_Calc!$A$2:$C$986,3,1),
IF(J339&gt;0,VLOOKUP(J339,Foundation_Calc!$A$2:$C$986,3,1),""))</f>
        <v/>
      </c>
      <c r="AX339" s="8" t="str">
        <f>IF(C339&gt;0,VLOOKUP(C339,Foundation_Calc!$E$2:$G$986,3,1),
IF(J339&gt;0,VLOOKUP(J339,Foundation_Calc!$E$2:$G$986,3,1),""))</f>
        <v/>
      </c>
      <c r="AY339" s="631" t="str">
        <f>IF(L339="","",
IF(AX339="PT",VLOOKUP(L339,Foundation_Calc!$K$4:$R$37,VLOOKUP(AW339,Foundation_Calc!$I$2:$J$8,2,FALSE),0),
IF(AX339="K",VLOOKUP(L339,Foundation_Calc!$K$41:$R$74,VLOOKUP(AW339,Foundation_Calc!$I$2:$J$8,2,FALSE),0),"")))</f>
        <v/>
      </c>
      <c r="AZ339" s="631" t="str">
        <f>IF(K339="","",
IF(AX339="PT",VLOOKUP(K339,Foundation_Calc!$K$4:$R$37,VLOOKUP(AW339,Foundation_Calc!$I$2:$J$8,2,FALSE),0),
IF(AX339="K",VLOOKUP(K339,Foundation_Calc!$K$41:$R$74,VLOOKUP(AW339,Foundation_Calc!$I$2:$J$8,2,FALSE),0),"")))</f>
        <v/>
      </c>
      <c r="BA339" s="632" t="str">
        <f t="shared" si="22"/>
        <v/>
      </c>
      <c r="BB339" s="632" t="str">
        <f t="shared" si="23"/>
        <v/>
      </c>
      <c r="BC339" s="632" t="str">
        <f t="shared" si="24"/>
        <v/>
      </c>
      <c r="BD339" s="633" t="str">
        <f>IF(AND(L339="",H339=""),"",
IF(H339="",Pole_Calc!A367,
IF(H339="MP",Pole_Calc!A368,
IF(H339="AnMP",Pole_Calc!A369,
IF(H339="A",Pole_Calc!A370,
IF(H339="S/A",Pole_Calc!A371,
IF(H339="A/S",Pole_Calc!A372,"Poner a mano")))))))</f>
        <v/>
      </c>
      <c r="BE339" s="448" t="s">
        <v>1726</v>
      </c>
      <c r="BF339" s="635"/>
      <c r="BG339" s="635"/>
      <c r="BH339" s="634"/>
      <c r="BI339" s="635"/>
    </row>
    <row r="340" spans="1:61" ht="16.2" customHeight="1">
      <c r="A340" s="12"/>
      <c r="B340" s="446"/>
      <c r="C340" s="89"/>
      <c r="D340" s="13"/>
      <c r="E340" s="14"/>
      <c r="F340" s="14"/>
      <c r="G340" s="15"/>
      <c r="H340" s="8"/>
      <c r="I340" s="8"/>
      <c r="J340" s="89"/>
      <c r="K340" s="8"/>
      <c r="L340" s="8"/>
      <c r="M340" s="8" t="str">
        <f>IF(L340="","",
IF(AX340="PT",VLOOKUP(L340,Foundation_Calc!$V$4:$X$37,VLOOKUP(AX340,Foundation_Calc!$I$10:$J$13,2,FALSE),0),
IF(AX340="K",VLOOKUP(L340,Foundation_Calc!$V$41:$X$74,VLOOKUP(AX340,Foundation_Calc!$I$10:$J$13,2,FALSE),0),"")))</f>
        <v/>
      </c>
      <c r="N340" s="8"/>
      <c r="O340" s="8"/>
      <c r="P340" s="8"/>
      <c r="Q340" s="14"/>
      <c r="R340" s="15"/>
      <c r="S340" s="15"/>
      <c r="T340" s="14"/>
      <c r="U340" s="14"/>
      <c r="V340" s="14"/>
      <c r="W340" s="18"/>
      <c r="X340" s="18"/>
      <c r="Y340" s="18"/>
      <c r="Z340" s="18"/>
      <c r="AA340" s="18"/>
      <c r="AB340" s="18"/>
      <c r="AC340" s="8" t="str">
        <f t="shared" si="21"/>
        <v/>
      </c>
      <c r="AD340" s="8"/>
      <c r="AE340" s="8"/>
      <c r="AF340" s="14"/>
      <c r="AG340" s="13"/>
      <c r="AH340" s="14"/>
      <c r="AI340" s="14"/>
      <c r="AJ340" s="8"/>
      <c r="AK340" s="8"/>
      <c r="AL340" s="8"/>
      <c r="AM340" s="8"/>
      <c r="AN340" s="631"/>
      <c r="AO340" s="18"/>
      <c r="AP340" s="18"/>
      <c r="AQ340" s="18"/>
      <c r="AR340" s="18"/>
      <c r="AS340" s="18"/>
      <c r="AU340" s="448"/>
      <c r="AV340" s="448"/>
      <c r="AW340" s="8" t="str">
        <f>IF(C340&gt;0,VLOOKUP(C340,Foundation_Calc!$A$2:$C$986,3,1),
IF(J340&gt;0,VLOOKUP(J340,Foundation_Calc!$A$2:$C$986,3,1),""))</f>
        <v/>
      </c>
      <c r="AX340" s="8" t="str">
        <f>IF(C340&gt;0,VLOOKUP(C340,Foundation_Calc!$E$2:$G$986,3,1),
IF(J340&gt;0,VLOOKUP(J340,Foundation_Calc!$E$2:$G$986,3,1),""))</f>
        <v/>
      </c>
      <c r="AY340" s="631" t="str">
        <f>IF(L340="","",
IF(AX340="PT",VLOOKUP(L340,Foundation_Calc!$K$4:$R$37,VLOOKUP(AW340,Foundation_Calc!$I$2:$J$8,2,FALSE),0),
IF(AX340="K",VLOOKUP(L340,Foundation_Calc!$K$41:$R$74,VLOOKUP(AW340,Foundation_Calc!$I$2:$J$8,2,FALSE),0),"")))</f>
        <v/>
      </c>
      <c r="AZ340" s="631" t="str">
        <f>IF(K340="","",
IF(AX340="PT",VLOOKUP(K340,Foundation_Calc!$K$4:$R$37,VLOOKUP(AW340,Foundation_Calc!$I$2:$J$8,2,FALSE),0),
IF(AX340="K",VLOOKUP(K340,Foundation_Calc!$K$41:$R$74,VLOOKUP(AW340,Foundation_Calc!$I$2:$J$8,2,FALSE),0),"")))</f>
        <v/>
      </c>
      <c r="BA340" s="632" t="str">
        <f t="shared" si="22"/>
        <v/>
      </c>
      <c r="BB340" s="632" t="str">
        <f t="shared" si="23"/>
        <v/>
      </c>
      <c r="BC340" s="632" t="str">
        <f t="shared" si="24"/>
        <v/>
      </c>
      <c r="BD340" s="633" t="str">
        <f>IF(AND(L340="",H340=""),"",
IF(H340="",Pole_Calc!A368,
IF(H340="MP",Pole_Calc!A369,
IF(H340="AnMP",Pole_Calc!A370,
IF(H340="A",Pole_Calc!A371,
IF(H340="S/A",Pole_Calc!A372,
IF(H340="A/S",Pole_Calc!A373,"Poner a mano")))))))</f>
        <v/>
      </c>
      <c r="BE340" s="448" t="s">
        <v>1726</v>
      </c>
      <c r="BF340" s="634"/>
      <c r="BG340" s="634"/>
      <c r="BH340" s="634"/>
      <c r="BI340" s="634"/>
    </row>
    <row r="341" spans="1:61" ht="16.2" customHeight="1">
      <c r="A341" s="12"/>
      <c r="B341" s="446"/>
      <c r="C341" s="89"/>
      <c r="D341" s="13"/>
      <c r="E341" s="14"/>
      <c r="F341" s="14"/>
      <c r="G341" s="15"/>
      <c r="H341" s="8"/>
      <c r="I341" s="8"/>
      <c r="J341" s="89"/>
      <c r="K341" s="8"/>
      <c r="L341" s="8"/>
      <c r="M341" s="8" t="str">
        <f>IF(L341="","",
IF(AX341="PT",VLOOKUP(L341,Foundation_Calc!$V$4:$X$37,VLOOKUP(AX341,Foundation_Calc!$I$10:$J$13,2,FALSE),0),
IF(AX341="K",VLOOKUP(L341,Foundation_Calc!$V$41:$X$74,VLOOKUP(AX341,Foundation_Calc!$I$10:$J$13,2,FALSE),0),"")))</f>
        <v/>
      </c>
      <c r="N341" s="8"/>
      <c r="O341" s="8"/>
      <c r="P341" s="8"/>
      <c r="Q341" s="14"/>
      <c r="R341" s="15"/>
      <c r="S341" s="15"/>
      <c r="T341" s="14"/>
      <c r="U341" s="14"/>
      <c r="V341" s="14"/>
      <c r="W341" s="18"/>
      <c r="X341" s="18"/>
      <c r="Y341" s="18"/>
      <c r="Z341" s="18"/>
      <c r="AA341" s="18"/>
      <c r="AB341" s="18"/>
      <c r="AC341" s="8" t="str">
        <f t="shared" si="21"/>
        <v/>
      </c>
      <c r="AD341" s="8"/>
      <c r="AE341" s="8"/>
      <c r="AF341" s="14"/>
      <c r="AG341" s="13"/>
      <c r="AH341" s="14"/>
      <c r="AI341" s="14"/>
      <c r="AJ341" s="8"/>
      <c r="AK341" s="8"/>
      <c r="AL341" s="8"/>
      <c r="AM341" s="8"/>
      <c r="AN341" s="631"/>
      <c r="AO341" s="18"/>
      <c r="AP341" s="18"/>
      <c r="AQ341" s="18"/>
      <c r="AR341" s="18"/>
      <c r="AS341" s="18"/>
      <c r="AU341" s="448"/>
      <c r="AV341" s="448"/>
      <c r="AW341" s="8" t="str">
        <f>IF(C341&gt;0,VLOOKUP(C341,Foundation_Calc!$A$2:$C$986,3,1),
IF(J341&gt;0,VLOOKUP(J341,Foundation_Calc!$A$2:$C$986,3,1),""))</f>
        <v/>
      </c>
      <c r="AX341" s="8" t="str">
        <f>IF(C341&gt;0,VLOOKUP(C341,Foundation_Calc!$E$2:$G$986,3,1),
IF(J341&gt;0,VLOOKUP(J341,Foundation_Calc!$E$2:$G$986,3,1),""))</f>
        <v/>
      </c>
      <c r="AY341" s="631" t="str">
        <f>IF(L341="","",
IF(AX341="PT",VLOOKUP(L341,Foundation_Calc!$K$4:$R$37,VLOOKUP(AW341,Foundation_Calc!$I$2:$J$8,2,FALSE),0),
IF(AX341="K",VLOOKUP(L341,Foundation_Calc!$K$41:$R$74,VLOOKUP(AW341,Foundation_Calc!$I$2:$J$8,2,FALSE),0),"")))</f>
        <v/>
      </c>
      <c r="AZ341" s="631" t="str">
        <f>IF(K341="","",
IF(AX341="PT",VLOOKUP(K341,Foundation_Calc!$K$4:$R$37,VLOOKUP(AW341,Foundation_Calc!$I$2:$J$8,2,FALSE),0),
IF(AX341="K",VLOOKUP(K341,Foundation_Calc!$K$41:$R$74,VLOOKUP(AW341,Foundation_Calc!$I$2:$J$8,2,FALSE),0),"")))</f>
        <v/>
      </c>
      <c r="BA341" s="632" t="str">
        <f t="shared" si="22"/>
        <v/>
      </c>
      <c r="BB341" s="632" t="str">
        <f t="shared" si="23"/>
        <v/>
      </c>
      <c r="BC341" s="632" t="str">
        <f t="shared" si="24"/>
        <v/>
      </c>
      <c r="BD341" s="633" t="str">
        <f>IF(AND(L341="",H341=""),"",
IF(H341="",Pole_Calc!A369,
IF(H341="MP",Pole_Calc!A370,
IF(H341="AnMP",Pole_Calc!A371,
IF(H341="A",Pole_Calc!A372,
IF(H341="S/A",Pole_Calc!A373,
IF(H341="A/S",Pole_Calc!A374,"Poner a mano")))))))</f>
        <v/>
      </c>
      <c r="BE341" s="448" t="s">
        <v>1726</v>
      </c>
      <c r="BF341" s="635"/>
      <c r="BG341" s="635"/>
      <c r="BH341" s="634"/>
      <c r="BI341" s="635"/>
    </row>
    <row r="342" spans="1:61" ht="16.2" customHeight="1">
      <c r="A342" s="12"/>
      <c r="B342" s="446"/>
      <c r="C342" s="89"/>
      <c r="D342" s="13"/>
      <c r="E342" s="14"/>
      <c r="F342" s="14"/>
      <c r="G342" s="15"/>
      <c r="H342" s="8"/>
      <c r="I342" s="8"/>
      <c r="J342" s="89"/>
      <c r="K342" s="8"/>
      <c r="L342" s="8"/>
      <c r="M342" s="8" t="str">
        <f>IF(L342="","",
IF(AX342="PT",VLOOKUP(L342,Foundation_Calc!$V$4:$X$37,VLOOKUP(AX342,Foundation_Calc!$I$10:$J$13,2,FALSE),0),
IF(AX342="K",VLOOKUP(L342,Foundation_Calc!$V$41:$X$74,VLOOKUP(AX342,Foundation_Calc!$I$10:$J$13,2,FALSE),0),"")))</f>
        <v/>
      </c>
      <c r="N342" s="8"/>
      <c r="O342" s="8"/>
      <c r="P342" s="8"/>
      <c r="Q342" s="14"/>
      <c r="R342" s="15"/>
      <c r="S342" s="15"/>
      <c r="T342" s="14"/>
      <c r="U342" s="14"/>
      <c r="V342" s="14"/>
      <c r="W342" s="18"/>
      <c r="X342" s="18"/>
      <c r="Y342" s="18"/>
      <c r="Z342" s="18"/>
      <c r="AA342" s="18"/>
      <c r="AB342" s="18"/>
      <c r="AC342" s="8" t="str">
        <f t="shared" si="21"/>
        <v/>
      </c>
      <c r="AD342" s="8"/>
      <c r="AE342" s="8"/>
      <c r="AF342" s="14"/>
      <c r="AG342" s="13"/>
      <c r="AH342" s="14"/>
      <c r="AI342" s="14"/>
      <c r="AJ342" s="8"/>
      <c r="AK342" s="8"/>
      <c r="AL342" s="8"/>
      <c r="AM342" s="8"/>
      <c r="AN342" s="631"/>
      <c r="AO342" s="18"/>
      <c r="AP342" s="18"/>
      <c r="AQ342" s="18"/>
      <c r="AR342" s="18"/>
      <c r="AS342" s="18"/>
      <c r="AU342" s="448"/>
      <c r="AV342" s="448"/>
      <c r="AW342" s="8" t="str">
        <f>IF(C342&gt;0,VLOOKUP(C342,Foundation_Calc!$A$2:$C$986,3,1),
IF(J342&gt;0,VLOOKUP(J342,Foundation_Calc!$A$2:$C$986,3,1),""))</f>
        <v/>
      </c>
      <c r="AX342" s="8" t="str">
        <f>IF(C342&gt;0,VLOOKUP(C342,Foundation_Calc!$E$2:$G$986,3,1),
IF(J342&gt;0,VLOOKUP(J342,Foundation_Calc!$E$2:$G$986,3,1),""))</f>
        <v/>
      </c>
      <c r="AY342" s="631" t="str">
        <f>IF(L342="","",
IF(AX342="PT",VLOOKUP(L342,Foundation_Calc!$K$4:$R$37,VLOOKUP(AW342,Foundation_Calc!$I$2:$J$8,2,FALSE),0),
IF(AX342="K",VLOOKUP(L342,Foundation_Calc!$K$41:$R$74,VLOOKUP(AW342,Foundation_Calc!$I$2:$J$8,2,FALSE),0),"")))</f>
        <v/>
      </c>
      <c r="AZ342" s="631" t="str">
        <f>IF(K342="","",
IF(AX342="PT",VLOOKUP(K342,Foundation_Calc!$K$4:$R$37,VLOOKUP(AW342,Foundation_Calc!$I$2:$J$8,2,FALSE),0),
IF(AX342="K",VLOOKUP(K342,Foundation_Calc!$K$41:$R$74,VLOOKUP(AW342,Foundation_Calc!$I$2:$J$8,2,FALSE),0),"")))</f>
        <v/>
      </c>
      <c r="BA342" s="632" t="str">
        <f t="shared" si="22"/>
        <v/>
      </c>
      <c r="BB342" s="632" t="str">
        <f t="shared" si="23"/>
        <v/>
      </c>
      <c r="BC342" s="632" t="str">
        <f t="shared" si="24"/>
        <v/>
      </c>
      <c r="BD342" s="633" t="str">
        <f>IF(AND(L342="",H342=""),"",
IF(H342="",Pole_Calc!A370,
IF(H342="MP",Pole_Calc!A371,
IF(H342="AnMP",Pole_Calc!A372,
IF(H342="A",Pole_Calc!A373,
IF(H342="S/A",Pole_Calc!A374,
IF(H342="A/S",Pole_Calc!A375,"Poner a mano")))))))</f>
        <v/>
      </c>
      <c r="BE342" s="448" t="s">
        <v>1726</v>
      </c>
      <c r="BF342" s="634"/>
      <c r="BG342" s="634"/>
      <c r="BH342" s="634"/>
      <c r="BI342" s="634"/>
    </row>
    <row r="343" spans="1:61" ht="16.2" customHeight="1">
      <c r="A343" s="12"/>
      <c r="B343" s="446"/>
      <c r="C343" s="89"/>
      <c r="D343" s="13"/>
      <c r="E343" s="14"/>
      <c r="F343" s="14"/>
      <c r="G343" s="15"/>
      <c r="H343" s="8"/>
      <c r="I343" s="8"/>
      <c r="J343" s="89"/>
      <c r="K343" s="8"/>
      <c r="L343" s="8"/>
      <c r="M343" s="8" t="str">
        <f>IF(L343="","",
IF(AX343="PT",VLOOKUP(L343,Foundation_Calc!$V$4:$X$37,VLOOKUP(AX343,Foundation_Calc!$I$10:$J$13,2,FALSE),0),
IF(AX343="K",VLOOKUP(L343,Foundation_Calc!$V$41:$X$74,VLOOKUP(AX343,Foundation_Calc!$I$10:$J$13,2,FALSE),0),"")))</f>
        <v/>
      </c>
      <c r="N343" s="8"/>
      <c r="O343" s="8"/>
      <c r="P343" s="8"/>
      <c r="Q343" s="14"/>
      <c r="R343" s="15"/>
      <c r="S343" s="15"/>
      <c r="T343" s="14"/>
      <c r="U343" s="14"/>
      <c r="V343" s="14"/>
      <c r="W343" s="18"/>
      <c r="X343" s="18"/>
      <c r="Y343" s="18"/>
      <c r="Z343" s="18"/>
      <c r="AA343" s="18"/>
      <c r="AB343" s="18"/>
      <c r="AC343" s="8" t="str">
        <f t="shared" si="21"/>
        <v/>
      </c>
      <c r="AD343" s="8"/>
      <c r="AE343" s="8"/>
      <c r="AF343" s="14"/>
      <c r="AG343" s="13"/>
      <c r="AH343" s="14"/>
      <c r="AI343" s="14"/>
      <c r="AJ343" s="8"/>
      <c r="AK343" s="8"/>
      <c r="AL343" s="8"/>
      <c r="AM343" s="8"/>
      <c r="AN343" s="631"/>
      <c r="AO343" s="18"/>
      <c r="AP343" s="18"/>
      <c r="AQ343" s="18"/>
      <c r="AR343" s="18"/>
      <c r="AS343" s="18"/>
      <c r="AU343" s="448"/>
      <c r="AV343" s="448"/>
      <c r="AW343" s="8" t="str">
        <f>IF(C343&gt;0,VLOOKUP(C343,Foundation_Calc!$A$2:$C$986,3,1),
IF(J343&gt;0,VLOOKUP(J343,Foundation_Calc!$A$2:$C$986,3,1),""))</f>
        <v/>
      </c>
      <c r="AX343" s="8" t="str">
        <f>IF(C343&gt;0,VLOOKUP(C343,Foundation_Calc!$E$2:$G$986,3,1),
IF(J343&gt;0,VLOOKUP(J343,Foundation_Calc!$E$2:$G$986,3,1),""))</f>
        <v/>
      </c>
      <c r="AY343" s="631" t="str">
        <f>IF(L343="","",
IF(AX343="PT",VLOOKUP(L343,Foundation_Calc!$K$4:$R$37,VLOOKUP(AW343,Foundation_Calc!$I$2:$J$8,2,FALSE),0),
IF(AX343="K",VLOOKUP(L343,Foundation_Calc!$K$41:$R$74,VLOOKUP(AW343,Foundation_Calc!$I$2:$J$8,2,FALSE),0),"")))</f>
        <v/>
      </c>
      <c r="AZ343" s="631" t="str">
        <f>IF(K343="","",
IF(AX343="PT",VLOOKUP(K343,Foundation_Calc!$K$4:$R$37,VLOOKUP(AW343,Foundation_Calc!$I$2:$J$8,2,FALSE),0),
IF(AX343="K",VLOOKUP(K343,Foundation_Calc!$K$41:$R$74,VLOOKUP(AW343,Foundation_Calc!$I$2:$J$8,2,FALSE),0),"")))</f>
        <v/>
      </c>
      <c r="BA343" s="632" t="str">
        <f t="shared" si="22"/>
        <v/>
      </c>
      <c r="BB343" s="632" t="str">
        <f t="shared" si="23"/>
        <v/>
      </c>
      <c r="BC343" s="632" t="str">
        <f t="shared" si="24"/>
        <v/>
      </c>
      <c r="BD343" s="633" t="str">
        <f>IF(AND(L343="",H343=""),"",
IF(H343="",Pole_Calc!A371,
IF(H343="MP",Pole_Calc!A372,
IF(H343="AnMP",Pole_Calc!A373,
IF(H343="A",Pole_Calc!A374,
IF(H343="S/A",Pole_Calc!A375,
IF(H343="A/S",Pole_Calc!A376,"Poner a mano")))))))</f>
        <v/>
      </c>
      <c r="BE343" s="448" t="s">
        <v>1726</v>
      </c>
      <c r="BF343" s="635"/>
      <c r="BG343" s="635"/>
      <c r="BH343" s="634"/>
      <c r="BI343" s="635"/>
    </row>
    <row r="344" spans="1:61" ht="16.2" customHeight="1">
      <c r="A344" s="12"/>
      <c r="B344" s="446"/>
      <c r="C344" s="89"/>
      <c r="D344" s="13"/>
      <c r="E344" s="14"/>
      <c r="F344" s="14"/>
      <c r="G344" s="15"/>
      <c r="H344" s="8"/>
      <c r="I344" s="8"/>
      <c r="J344" s="89"/>
      <c r="K344" s="8"/>
      <c r="L344" s="8"/>
      <c r="M344" s="8" t="str">
        <f>IF(L344="","",
IF(AX344="PT",VLOOKUP(L344,Foundation_Calc!$V$4:$X$37,VLOOKUP(AX344,Foundation_Calc!$I$10:$J$13,2,FALSE),0),
IF(AX344="K",VLOOKUP(L344,Foundation_Calc!$V$41:$X$74,VLOOKUP(AX344,Foundation_Calc!$I$10:$J$13,2,FALSE),0),"")))</f>
        <v/>
      </c>
      <c r="N344" s="8"/>
      <c r="O344" s="8"/>
      <c r="P344" s="8"/>
      <c r="Q344" s="14"/>
      <c r="R344" s="15"/>
      <c r="S344" s="15"/>
      <c r="T344" s="14"/>
      <c r="U344" s="14"/>
      <c r="V344" s="14"/>
      <c r="W344" s="18"/>
      <c r="X344" s="18"/>
      <c r="Y344" s="18"/>
      <c r="Z344" s="18"/>
      <c r="AA344" s="18"/>
      <c r="AB344" s="18"/>
      <c r="AC344" s="8" t="str">
        <f t="shared" si="21"/>
        <v/>
      </c>
      <c r="AD344" s="8"/>
      <c r="AE344" s="8"/>
      <c r="AF344" s="14"/>
      <c r="AG344" s="13"/>
      <c r="AH344" s="14"/>
      <c r="AI344" s="14"/>
      <c r="AJ344" s="8"/>
      <c r="AK344" s="8"/>
      <c r="AL344" s="8"/>
      <c r="AM344" s="8"/>
      <c r="AN344" s="631"/>
      <c r="AO344" s="18"/>
      <c r="AP344" s="18"/>
      <c r="AQ344" s="18"/>
      <c r="AR344" s="18"/>
      <c r="AS344" s="18"/>
      <c r="AU344" s="448"/>
      <c r="AV344" s="448"/>
      <c r="AW344" s="8" t="str">
        <f>IF(C344&gt;0,VLOOKUP(C344,Foundation_Calc!$A$2:$C$986,3,1),
IF(J344&gt;0,VLOOKUP(J344,Foundation_Calc!$A$2:$C$986,3,1),""))</f>
        <v/>
      </c>
      <c r="AX344" s="8" t="str">
        <f>IF(C344&gt;0,VLOOKUP(C344,Foundation_Calc!$E$2:$G$986,3,1),
IF(J344&gt;0,VLOOKUP(J344,Foundation_Calc!$E$2:$G$986,3,1),""))</f>
        <v/>
      </c>
      <c r="AY344" s="631" t="str">
        <f>IF(L344="","",
IF(AX344="PT",VLOOKUP(L344,Foundation_Calc!$K$4:$R$37,VLOOKUP(AW344,Foundation_Calc!$I$2:$J$8,2,FALSE),0),
IF(AX344="K",VLOOKUP(L344,Foundation_Calc!$K$41:$R$74,VLOOKUP(AW344,Foundation_Calc!$I$2:$J$8,2,FALSE),0),"")))</f>
        <v/>
      </c>
      <c r="AZ344" s="631" t="str">
        <f>IF(K344="","",
IF(AX344="PT",VLOOKUP(K344,Foundation_Calc!$K$4:$R$37,VLOOKUP(AW344,Foundation_Calc!$I$2:$J$8,2,FALSE),0),
IF(AX344="K",VLOOKUP(K344,Foundation_Calc!$K$41:$R$74,VLOOKUP(AW344,Foundation_Calc!$I$2:$J$8,2,FALSE),0),"")))</f>
        <v/>
      </c>
      <c r="BA344" s="632" t="str">
        <f t="shared" si="22"/>
        <v/>
      </c>
      <c r="BB344" s="632" t="str">
        <f t="shared" si="23"/>
        <v/>
      </c>
      <c r="BC344" s="632" t="str">
        <f t="shared" si="24"/>
        <v/>
      </c>
      <c r="BD344" s="633" t="str">
        <f>IF(AND(L344="",H344=""),"",
IF(H344="",Pole_Calc!A372,
IF(H344="MP",Pole_Calc!A373,
IF(H344="AnMP",Pole_Calc!A374,
IF(H344="A",Pole_Calc!A375,
IF(H344="S/A",Pole_Calc!A376,
IF(H344="A/S",Pole_Calc!A377,"Poner a mano")))))))</f>
        <v/>
      </c>
      <c r="BE344" s="448" t="s">
        <v>1726</v>
      </c>
      <c r="BF344" s="634"/>
      <c r="BG344" s="634"/>
      <c r="BH344" s="634"/>
      <c r="BI344" s="634"/>
    </row>
    <row r="345" spans="1:61" ht="16.2" customHeight="1">
      <c r="A345" s="12"/>
      <c r="B345" s="446"/>
      <c r="C345" s="89"/>
      <c r="D345" s="13"/>
      <c r="E345" s="14"/>
      <c r="F345" s="14"/>
      <c r="G345" s="15"/>
      <c r="H345" s="8"/>
      <c r="I345" s="8"/>
      <c r="J345" s="89"/>
      <c r="K345" s="8"/>
      <c r="L345" s="8"/>
      <c r="M345" s="8" t="str">
        <f>IF(L345="","",
IF(AX345="PT",VLOOKUP(L345,Foundation_Calc!$V$4:$X$37,VLOOKUP(AX345,Foundation_Calc!$I$10:$J$13,2,FALSE),0),
IF(AX345="K",VLOOKUP(L345,Foundation_Calc!$V$41:$X$74,VLOOKUP(AX345,Foundation_Calc!$I$10:$J$13,2,FALSE),0),"")))</f>
        <v/>
      </c>
      <c r="N345" s="8"/>
      <c r="O345" s="8"/>
      <c r="P345" s="8"/>
      <c r="Q345" s="14"/>
      <c r="R345" s="15"/>
      <c r="S345" s="15"/>
      <c r="T345" s="14"/>
      <c r="U345" s="14"/>
      <c r="V345" s="14"/>
      <c r="W345" s="18"/>
      <c r="X345" s="18"/>
      <c r="Y345" s="18"/>
      <c r="Z345" s="18"/>
      <c r="AA345" s="18"/>
      <c r="AB345" s="18"/>
      <c r="AC345" s="8" t="str">
        <f t="shared" si="21"/>
        <v/>
      </c>
      <c r="AD345" s="8"/>
      <c r="AE345" s="8"/>
      <c r="AF345" s="14"/>
      <c r="AG345" s="13"/>
      <c r="AH345" s="14"/>
      <c r="AI345" s="14"/>
      <c r="AJ345" s="8"/>
      <c r="AK345" s="8"/>
      <c r="AL345" s="8"/>
      <c r="AM345" s="8"/>
      <c r="AN345" s="631"/>
      <c r="AO345" s="18"/>
      <c r="AP345" s="18"/>
      <c r="AQ345" s="18"/>
      <c r="AR345" s="18"/>
      <c r="AS345" s="18"/>
      <c r="AU345" s="448"/>
      <c r="AV345" s="448"/>
      <c r="AW345" s="8" t="str">
        <f>IF(C345&gt;0,VLOOKUP(C345,Foundation_Calc!$A$2:$C$986,3,1),
IF(J345&gt;0,VLOOKUP(J345,Foundation_Calc!$A$2:$C$986,3,1),""))</f>
        <v/>
      </c>
      <c r="AX345" s="8" t="str">
        <f>IF(C345&gt;0,VLOOKUP(C345,Foundation_Calc!$E$2:$G$986,3,1),
IF(J345&gt;0,VLOOKUP(J345,Foundation_Calc!$E$2:$G$986,3,1),""))</f>
        <v/>
      </c>
      <c r="AY345" s="631" t="str">
        <f>IF(L345="","",
IF(AX345="PT",VLOOKUP(L345,Foundation_Calc!$K$4:$R$37,VLOOKUP(AW345,Foundation_Calc!$I$2:$J$8,2,FALSE),0),
IF(AX345="K",VLOOKUP(L345,Foundation_Calc!$K$41:$R$74,VLOOKUP(AW345,Foundation_Calc!$I$2:$J$8,2,FALSE),0),"")))</f>
        <v/>
      </c>
      <c r="AZ345" s="631" t="str">
        <f>IF(K345="","",
IF(AX345="PT",VLOOKUP(K345,Foundation_Calc!$K$4:$R$37,VLOOKUP(AW345,Foundation_Calc!$I$2:$J$8,2,FALSE),0),
IF(AX345="K",VLOOKUP(K345,Foundation_Calc!$K$41:$R$74,VLOOKUP(AW345,Foundation_Calc!$I$2:$J$8,2,FALSE),0),"")))</f>
        <v/>
      </c>
      <c r="BA345" s="632" t="str">
        <f t="shared" si="22"/>
        <v/>
      </c>
      <c r="BB345" s="632" t="str">
        <f t="shared" si="23"/>
        <v/>
      </c>
      <c r="BC345" s="632" t="str">
        <f t="shared" si="24"/>
        <v/>
      </c>
      <c r="BD345" s="633" t="str">
        <f>IF(AND(L345="",H345=""),"",
IF(H345="",Pole_Calc!A373,
IF(H345="MP",Pole_Calc!A374,
IF(H345="AnMP",Pole_Calc!A375,
IF(H345="A",Pole_Calc!A376,
IF(H345="S/A",Pole_Calc!A377,
IF(H345="A/S",Pole_Calc!A378,"Poner a mano")))))))</f>
        <v/>
      </c>
      <c r="BE345" s="448" t="s">
        <v>1726</v>
      </c>
      <c r="BF345" s="635"/>
      <c r="BG345" s="635"/>
      <c r="BH345" s="634"/>
      <c r="BI345" s="635"/>
    </row>
    <row r="346" spans="1:61" ht="16.2" customHeight="1">
      <c r="A346" s="12"/>
      <c r="B346" s="446"/>
      <c r="C346" s="89"/>
      <c r="D346" s="13"/>
      <c r="E346" s="14"/>
      <c r="F346" s="14"/>
      <c r="G346" s="15"/>
      <c r="H346" s="8"/>
      <c r="I346" s="8"/>
      <c r="J346" s="89"/>
      <c r="K346" s="8"/>
      <c r="L346" s="8"/>
      <c r="M346" s="8" t="str">
        <f>IF(L346="","",
IF(AX346="PT",VLOOKUP(L346,Foundation_Calc!$V$4:$X$37,VLOOKUP(AX346,Foundation_Calc!$I$10:$J$13,2,FALSE),0),
IF(AX346="K",VLOOKUP(L346,Foundation_Calc!$V$41:$X$74,VLOOKUP(AX346,Foundation_Calc!$I$10:$J$13,2,FALSE),0),"")))</f>
        <v/>
      </c>
      <c r="N346" s="8"/>
      <c r="O346" s="8"/>
      <c r="P346" s="8"/>
      <c r="Q346" s="14"/>
      <c r="R346" s="15"/>
      <c r="S346" s="15"/>
      <c r="T346" s="14"/>
      <c r="U346" s="14"/>
      <c r="V346" s="14"/>
      <c r="W346" s="18"/>
      <c r="X346" s="18"/>
      <c r="Y346" s="18"/>
      <c r="Z346" s="18"/>
      <c r="AA346" s="18"/>
      <c r="AB346" s="18"/>
      <c r="AC346" s="8" t="str">
        <f t="shared" si="21"/>
        <v/>
      </c>
      <c r="AD346" s="8"/>
      <c r="AE346" s="8"/>
      <c r="AF346" s="14"/>
      <c r="AG346" s="13"/>
      <c r="AH346" s="14"/>
      <c r="AI346" s="14"/>
      <c r="AJ346" s="8"/>
      <c r="AK346" s="8"/>
      <c r="AL346" s="8"/>
      <c r="AM346" s="8"/>
      <c r="AN346" s="631"/>
      <c r="AO346" s="18"/>
      <c r="AP346" s="18"/>
      <c r="AQ346" s="18"/>
      <c r="AR346" s="18"/>
      <c r="AS346" s="18"/>
      <c r="AU346" s="448"/>
      <c r="AV346" s="448"/>
      <c r="AW346" s="8" t="str">
        <f>IF(C346&gt;0,VLOOKUP(C346,Foundation_Calc!$A$2:$C$986,3,1),
IF(J346&gt;0,VLOOKUP(J346,Foundation_Calc!$A$2:$C$986,3,1),""))</f>
        <v/>
      </c>
      <c r="AX346" s="8" t="str">
        <f>IF(C346&gt;0,VLOOKUP(C346,Foundation_Calc!$E$2:$G$986,3,1),
IF(J346&gt;0,VLOOKUP(J346,Foundation_Calc!$E$2:$G$986,3,1),""))</f>
        <v/>
      </c>
      <c r="AY346" s="631" t="str">
        <f>IF(L346="","",
IF(AX346="PT",VLOOKUP(L346,Foundation_Calc!$K$4:$R$37,VLOOKUP(AW346,Foundation_Calc!$I$2:$J$8,2,FALSE),0),
IF(AX346="K",VLOOKUP(L346,Foundation_Calc!$K$41:$R$74,VLOOKUP(AW346,Foundation_Calc!$I$2:$J$8,2,FALSE),0),"")))</f>
        <v/>
      </c>
      <c r="AZ346" s="631" t="str">
        <f>IF(K346="","",
IF(AX346="PT",VLOOKUP(K346,Foundation_Calc!$K$4:$R$37,VLOOKUP(AW346,Foundation_Calc!$I$2:$J$8,2,FALSE),0),
IF(AX346="K",VLOOKUP(K346,Foundation_Calc!$K$41:$R$74,VLOOKUP(AW346,Foundation_Calc!$I$2:$J$8,2,FALSE),0),"")))</f>
        <v/>
      </c>
      <c r="BA346" s="632" t="str">
        <f t="shared" si="22"/>
        <v/>
      </c>
      <c r="BB346" s="632" t="str">
        <f t="shared" si="23"/>
        <v/>
      </c>
      <c r="BC346" s="632" t="str">
        <f t="shared" si="24"/>
        <v/>
      </c>
      <c r="BD346" s="633" t="str">
        <f>IF(AND(L346="",H346=""),"",
IF(H346="",Pole_Calc!A374,
IF(H346="MP",Pole_Calc!A375,
IF(H346="AnMP",Pole_Calc!A376,
IF(H346="A",Pole_Calc!A377,
IF(H346="S/A",Pole_Calc!A378,
IF(H346="A/S",Pole_Calc!A379,"Poner a mano")))))))</f>
        <v/>
      </c>
      <c r="BE346" s="448" t="s">
        <v>1726</v>
      </c>
      <c r="BF346" s="634"/>
      <c r="BG346" s="634"/>
      <c r="BH346" s="634"/>
      <c r="BI346" s="634"/>
    </row>
    <row r="347" spans="1:61" ht="16.2" customHeight="1">
      <c r="A347" s="12"/>
      <c r="B347" s="446"/>
      <c r="C347" s="89"/>
      <c r="D347" s="13"/>
      <c r="E347" s="14"/>
      <c r="F347" s="14"/>
      <c r="G347" s="15"/>
      <c r="H347" s="8"/>
      <c r="I347" s="8"/>
      <c r="J347" s="89"/>
      <c r="K347" s="8"/>
      <c r="L347" s="8"/>
      <c r="M347" s="8" t="str">
        <f>IF(L347="","",
IF(AX347="PT",VLOOKUP(L347,Foundation_Calc!$V$4:$X$37,VLOOKUP(AX347,Foundation_Calc!$I$10:$J$13,2,FALSE),0),
IF(AX347="K",VLOOKUP(L347,Foundation_Calc!$V$41:$X$74,VLOOKUP(AX347,Foundation_Calc!$I$10:$J$13,2,FALSE),0),"")))</f>
        <v/>
      </c>
      <c r="N347" s="8"/>
      <c r="O347" s="8"/>
      <c r="P347" s="8"/>
      <c r="Q347" s="14"/>
      <c r="R347" s="15"/>
      <c r="S347" s="15"/>
      <c r="T347" s="14"/>
      <c r="U347" s="14"/>
      <c r="V347" s="14"/>
      <c r="W347" s="18"/>
      <c r="X347" s="18"/>
      <c r="Y347" s="18"/>
      <c r="Z347" s="18"/>
      <c r="AA347" s="18"/>
      <c r="AB347" s="18"/>
      <c r="AC347" s="8" t="str">
        <f t="shared" si="21"/>
        <v/>
      </c>
      <c r="AD347" s="8"/>
      <c r="AE347" s="8"/>
      <c r="AF347" s="14"/>
      <c r="AG347" s="13"/>
      <c r="AH347" s="14"/>
      <c r="AI347" s="14"/>
      <c r="AJ347" s="8"/>
      <c r="AK347" s="8"/>
      <c r="AL347" s="8"/>
      <c r="AM347" s="8"/>
      <c r="AN347" s="631"/>
      <c r="AO347" s="18"/>
      <c r="AP347" s="18"/>
      <c r="AQ347" s="18"/>
      <c r="AR347" s="18"/>
      <c r="AS347" s="18"/>
      <c r="AU347" s="448"/>
      <c r="AV347" s="448"/>
      <c r="AW347" s="8" t="str">
        <f>IF(C347&gt;0,VLOOKUP(C347,Foundation_Calc!$A$2:$C$986,3,1),
IF(J347&gt;0,VLOOKUP(J347,Foundation_Calc!$A$2:$C$986,3,1),""))</f>
        <v/>
      </c>
      <c r="AX347" s="8" t="str">
        <f>IF(C347&gt;0,VLOOKUP(C347,Foundation_Calc!$E$2:$G$986,3,1),
IF(J347&gt;0,VLOOKUP(J347,Foundation_Calc!$E$2:$G$986,3,1),""))</f>
        <v/>
      </c>
      <c r="AY347" s="631" t="str">
        <f>IF(L347="","",
IF(AX347="PT",VLOOKUP(L347,Foundation_Calc!$K$4:$R$37,VLOOKUP(AW347,Foundation_Calc!$I$2:$J$8,2,FALSE),0),
IF(AX347="K",VLOOKUP(L347,Foundation_Calc!$K$41:$R$74,VLOOKUP(AW347,Foundation_Calc!$I$2:$J$8,2,FALSE),0),"")))</f>
        <v/>
      </c>
      <c r="AZ347" s="631" t="str">
        <f>IF(K347="","",
IF(AX347="PT",VLOOKUP(K347,Foundation_Calc!$K$4:$R$37,VLOOKUP(AW347,Foundation_Calc!$I$2:$J$8,2,FALSE),0),
IF(AX347="K",VLOOKUP(K347,Foundation_Calc!$K$41:$R$74,VLOOKUP(AW347,Foundation_Calc!$I$2:$J$8,2,FALSE),0),"")))</f>
        <v/>
      </c>
      <c r="BA347" s="632" t="str">
        <f t="shared" si="22"/>
        <v/>
      </c>
      <c r="BB347" s="632" t="str">
        <f t="shared" si="23"/>
        <v/>
      </c>
      <c r="BC347" s="632" t="str">
        <f t="shared" si="24"/>
        <v/>
      </c>
      <c r="BD347" s="633" t="str">
        <f>IF(AND(L347="",H347=""),"",
IF(H347="",Pole_Calc!A375,
IF(H347="MP",Pole_Calc!A376,
IF(H347="AnMP",Pole_Calc!A377,
IF(H347="A",Pole_Calc!A378,
IF(H347="S/A",Pole_Calc!A379,
IF(H347="A/S",Pole_Calc!A380,"Poner a mano")))))))</f>
        <v/>
      </c>
      <c r="BE347" s="448" t="s">
        <v>1726</v>
      </c>
      <c r="BF347" s="635"/>
      <c r="BG347" s="635"/>
      <c r="BH347" s="634"/>
      <c r="BI347" s="635"/>
    </row>
    <row r="348" spans="1:61" ht="16.2" customHeight="1">
      <c r="A348" s="12"/>
      <c r="B348" s="446"/>
      <c r="C348" s="89"/>
      <c r="D348" s="13"/>
      <c r="E348" s="14"/>
      <c r="F348" s="14"/>
      <c r="G348" s="15"/>
      <c r="H348" s="8"/>
      <c r="I348" s="8"/>
      <c r="J348" s="89"/>
      <c r="K348" s="8"/>
      <c r="L348" s="8"/>
      <c r="M348" s="8" t="str">
        <f>IF(L348="","",
IF(AX348="PT",VLOOKUP(L348,Foundation_Calc!$V$4:$X$37,VLOOKUP(AX348,Foundation_Calc!$I$10:$J$13,2,FALSE),0),
IF(AX348="K",VLOOKUP(L348,Foundation_Calc!$V$41:$X$74,VLOOKUP(AX348,Foundation_Calc!$I$10:$J$13,2,FALSE),0),"")))</f>
        <v/>
      </c>
      <c r="N348" s="8"/>
      <c r="O348" s="8"/>
      <c r="P348" s="8"/>
      <c r="Q348" s="14"/>
      <c r="R348" s="15"/>
      <c r="S348" s="15"/>
      <c r="T348" s="14"/>
      <c r="U348" s="14"/>
      <c r="V348" s="14"/>
      <c r="W348" s="18"/>
      <c r="X348" s="18"/>
      <c r="Y348" s="18"/>
      <c r="Z348" s="18"/>
      <c r="AA348" s="18"/>
      <c r="AB348" s="18"/>
      <c r="AC348" s="8" t="str">
        <f t="shared" si="21"/>
        <v/>
      </c>
      <c r="AD348" s="8"/>
      <c r="AE348" s="8"/>
      <c r="AF348" s="14"/>
      <c r="AG348" s="13"/>
      <c r="AH348" s="14"/>
      <c r="AI348" s="14"/>
      <c r="AJ348" s="8"/>
      <c r="AK348" s="8"/>
      <c r="AL348" s="8"/>
      <c r="AM348" s="8"/>
      <c r="AN348" s="631"/>
      <c r="AO348" s="18"/>
      <c r="AP348" s="18"/>
      <c r="AQ348" s="18"/>
      <c r="AR348" s="18"/>
      <c r="AS348" s="18"/>
      <c r="AU348" s="448"/>
      <c r="AV348" s="448"/>
      <c r="AW348" s="8" t="str">
        <f>IF(C348&gt;0,VLOOKUP(C348,Foundation_Calc!$A$2:$C$986,3,1),
IF(J348&gt;0,VLOOKUP(J348,Foundation_Calc!$A$2:$C$986,3,1),""))</f>
        <v/>
      </c>
      <c r="AX348" s="8" t="str">
        <f>IF(C348&gt;0,VLOOKUP(C348,Foundation_Calc!$E$2:$G$986,3,1),
IF(J348&gt;0,VLOOKUP(J348,Foundation_Calc!$E$2:$G$986,3,1),""))</f>
        <v/>
      </c>
      <c r="AY348" s="631" t="str">
        <f>IF(L348="","",
IF(AX348="PT",VLOOKUP(L348,Foundation_Calc!$K$4:$R$37,VLOOKUP(AW348,Foundation_Calc!$I$2:$J$8,2,FALSE),0),
IF(AX348="K",VLOOKUP(L348,Foundation_Calc!$K$41:$R$74,VLOOKUP(AW348,Foundation_Calc!$I$2:$J$8,2,FALSE),0),"")))</f>
        <v/>
      </c>
      <c r="AZ348" s="631" t="str">
        <f>IF(K348="","",
IF(AX348="PT",VLOOKUP(K348,Foundation_Calc!$K$4:$R$37,VLOOKUP(AW348,Foundation_Calc!$I$2:$J$8,2,FALSE),0),
IF(AX348="K",VLOOKUP(K348,Foundation_Calc!$K$41:$R$74,VLOOKUP(AW348,Foundation_Calc!$I$2:$J$8,2,FALSE),0),"")))</f>
        <v/>
      </c>
      <c r="BA348" s="632" t="str">
        <f t="shared" si="22"/>
        <v/>
      </c>
      <c r="BB348" s="632" t="str">
        <f t="shared" si="23"/>
        <v/>
      </c>
      <c r="BC348" s="632" t="str">
        <f t="shared" si="24"/>
        <v/>
      </c>
      <c r="BD348" s="633" t="str">
        <f>IF(AND(L348="",H348=""),"",
IF(H348="",Pole_Calc!A376,
IF(H348="MP",Pole_Calc!A377,
IF(H348="AnMP",Pole_Calc!A378,
IF(H348="A",Pole_Calc!A379,
IF(H348="S/A",Pole_Calc!A380,
IF(H348="A/S",Pole_Calc!A381,"Poner a mano")))))))</f>
        <v/>
      </c>
      <c r="BE348" s="448" t="s">
        <v>1726</v>
      </c>
      <c r="BF348" s="634"/>
      <c r="BG348" s="634"/>
      <c r="BH348" s="634"/>
      <c r="BI348" s="634"/>
    </row>
    <row r="349" spans="1:61" ht="16.2" customHeight="1">
      <c r="A349" s="12"/>
      <c r="B349" s="446"/>
      <c r="C349" s="89"/>
      <c r="D349" s="13"/>
      <c r="E349" s="14"/>
      <c r="F349" s="14"/>
      <c r="G349" s="15"/>
      <c r="H349" s="8"/>
      <c r="I349" s="8"/>
      <c r="J349" s="89"/>
      <c r="K349" s="8"/>
      <c r="L349" s="8"/>
      <c r="M349" s="8" t="str">
        <f>IF(L349="","",
IF(AX349="PT",VLOOKUP(L349,Foundation_Calc!$V$4:$X$37,VLOOKUP(AX349,Foundation_Calc!$I$10:$J$13,2,FALSE),0),
IF(AX349="K",VLOOKUP(L349,Foundation_Calc!$V$41:$X$74,VLOOKUP(AX349,Foundation_Calc!$I$10:$J$13,2,FALSE),0),"")))</f>
        <v/>
      </c>
      <c r="N349" s="8"/>
      <c r="O349" s="8"/>
      <c r="P349" s="8"/>
      <c r="Q349" s="14"/>
      <c r="R349" s="15"/>
      <c r="S349" s="15"/>
      <c r="T349" s="14"/>
      <c r="U349" s="14"/>
      <c r="V349" s="14"/>
      <c r="W349" s="18"/>
      <c r="X349" s="18"/>
      <c r="Y349" s="18"/>
      <c r="Z349" s="18"/>
      <c r="AA349" s="18"/>
      <c r="AB349" s="18"/>
      <c r="AC349" s="8" t="str">
        <f t="shared" si="21"/>
        <v/>
      </c>
      <c r="AD349" s="8"/>
      <c r="AE349" s="8"/>
      <c r="AF349" s="14"/>
      <c r="AG349" s="13"/>
      <c r="AH349" s="14"/>
      <c r="AI349" s="14"/>
      <c r="AJ349" s="8"/>
      <c r="AK349" s="8"/>
      <c r="AL349" s="8"/>
      <c r="AM349" s="8"/>
      <c r="AN349" s="631"/>
      <c r="AO349" s="18"/>
      <c r="AP349" s="18"/>
      <c r="AQ349" s="18"/>
      <c r="AR349" s="18"/>
      <c r="AS349" s="18"/>
      <c r="AU349" s="448"/>
      <c r="AV349" s="448"/>
      <c r="AW349" s="8" t="str">
        <f>IF(C349&gt;0,VLOOKUP(C349,Foundation_Calc!$A$2:$C$986,3,1),
IF(J349&gt;0,VLOOKUP(J349,Foundation_Calc!$A$2:$C$986,3,1),""))</f>
        <v/>
      </c>
      <c r="AX349" s="8" t="str">
        <f>IF(C349&gt;0,VLOOKUP(C349,Foundation_Calc!$E$2:$G$986,3,1),
IF(J349&gt;0,VLOOKUP(J349,Foundation_Calc!$E$2:$G$986,3,1),""))</f>
        <v/>
      </c>
      <c r="AY349" s="631" t="str">
        <f>IF(L349="","",
IF(AX349="PT",VLOOKUP(L349,Foundation_Calc!$K$4:$R$37,VLOOKUP(AW349,Foundation_Calc!$I$2:$J$8,2,FALSE),0),
IF(AX349="K",VLOOKUP(L349,Foundation_Calc!$K$41:$R$74,VLOOKUP(AW349,Foundation_Calc!$I$2:$J$8,2,FALSE),0),"")))</f>
        <v/>
      </c>
      <c r="AZ349" s="631" t="str">
        <f>IF(K349="","",
IF(AX349="PT",VLOOKUP(K349,Foundation_Calc!$K$4:$R$37,VLOOKUP(AW349,Foundation_Calc!$I$2:$J$8,2,FALSE),0),
IF(AX349="K",VLOOKUP(K349,Foundation_Calc!$K$41:$R$74,VLOOKUP(AW349,Foundation_Calc!$I$2:$J$8,2,FALSE),0),"")))</f>
        <v/>
      </c>
      <c r="BA349" s="632" t="str">
        <f t="shared" si="22"/>
        <v/>
      </c>
      <c r="BB349" s="632" t="str">
        <f t="shared" si="23"/>
        <v/>
      </c>
      <c r="BC349" s="632" t="str">
        <f t="shared" si="24"/>
        <v/>
      </c>
      <c r="BD349" s="633" t="str">
        <f>IF(AND(L349="",H349=""),"",
IF(H349="",Pole_Calc!A377,
IF(H349="MP",Pole_Calc!A378,
IF(H349="AnMP",Pole_Calc!A379,
IF(H349="A",Pole_Calc!A380,
IF(H349="S/A",Pole_Calc!A381,
IF(H349="A/S",Pole_Calc!A382,"Poner a mano")))))))</f>
        <v/>
      </c>
      <c r="BE349" s="448" t="s">
        <v>1726</v>
      </c>
      <c r="BF349" s="635"/>
      <c r="BG349" s="635"/>
      <c r="BH349" s="634"/>
      <c r="BI349" s="635"/>
    </row>
    <row r="350" spans="1:61" ht="16.2" customHeight="1">
      <c r="A350" s="12"/>
      <c r="B350" s="446"/>
      <c r="C350" s="89"/>
      <c r="D350" s="13"/>
      <c r="E350" s="14"/>
      <c r="F350" s="14"/>
      <c r="G350" s="15"/>
      <c r="H350" s="8"/>
      <c r="I350" s="8"/>
      <c r="J350" s="89"/>
      <c r="K350" s="8"/>
      <c r="L350" s="8"/>
      <c r="M350" s="8" t="str">
        <f>IF(L350="","",
IF(AX350="PT",VLOOKUP(L350,Foundation_Calc!$V$4:$X$37,VLOOKUP(AX350,Foundation_Calc!$I$10:$J$13,2,FALSE),0),
IF(AX350="K",VLOOKUP(L350,Foundation_Calc!$V$41:$X$74,VLOOKUP(AX350,Foundation_Calc!$I$10:$J$13,2,FALSE),0),"")))</f>
        <v/>
      </c>
      <c r="N350" s="8"/>
      <c r="O350" s="8"/>
      <c r="P350" s="8"/>
      <c r="Q350" s="14"/>
      <c r="R350" s="15"/>
      <c r="S350" s="15"/>
      <c r="T350" s="14"/>
      <c r="U350" s="14"/>
      <c r="V350" s="14"/>
      <c r="W350" s="18"/>
      <c r="X350" s="18"/>
      <c r="Y350" s="18"/>
      <c r="Z350" s="18"/>
      <c r="AA350" s="18"/>
      <c r="AB350" s="18"/>
      <c r="AC350" s="8" t="str">
        <f t="shared" si="21"/>
        <v/>
      </c>
      <c r="AD350" s="8"/>
      <c r="AE350" s="8"/>
      <c r="AF350" s="14"/>
      <c r="AG350" s="13"/>
      <c r="AH350" s="14"/>
      <c r="AI350" s="14"/>
      <c r="AJ350" s="8"/>
      <c r="AK350" s="8"/>
      <c r="AL350" s="8"/>
      <c r="AM350" s="8"/>
      <c r="AN350" s="631"/>
      <c r="AO350" s="18"/>
      <c r="AP350" s="18"/>
      <c r="AQ350" s="18"/>
      <c r="AR350" s="18"/>
      <c r="AS350" s="18"/>
      <c r="AU350" s="448"/>
      <c r="AV350" s="448"/>
      <c r="AW350" s="8" t="str">
        <f>IF(C350&gt;0,VLOOKUP(C350,Foundation_Calc!$A$2:$C$986,3,1),
IF(J350&gt;0,VLOOKUP(J350,Foundation_Calc!$A$2:$C$986,3,1),""))</f>
        <v/>
      </c>
      <c r="AX350" s="8" t="str">
        <f>IF(C350&gt;0,VLOOKUP(C350,Foundation_Calc!$E$2:$G$986,3,1),
IF(J350&gt;0,VLOOKUP(J350,Foundation_Calc!$E$2:$G$986,3,1),""))</f>
        <v/>
      </c>
      <c r="AY350" s="631" t="str">
        <f>IF(L350="","",
IF(AX350="PT",VLOOKUP(L350,Foundation_Calc!$K$4:$R$37,VLOOKUP(AW350,Foundation_Calc!$I$2:$J$8,2,FALSE),0),
IF(AX350="K",VLOOKUP(L350,Foundation_Calc!$K$41:$R$74,VLOOKUP(AW350,Foundation_Calc!$I$2:$J$8,2,FALSE),0),"")))</f>
        <v/>
      </c>
      <c r="AZ350" s="631" t="str">
        <f>IF(K350="","",
IF(AX350="PT",VLOOKUP(K350,Foundation_Calc!$K$4:$R$37,VLOOKUP(AW350,Foundation_Calc!$I$2:$J$8,2,FALSE),0),
IF(AX350="K",VLOOKUP(K350,Foundation_Calc!$K$41:$R$74,VLOOKUP(AW350,Foundation_Calc!$I$2:$J$8,2,FALSE),0),"")))</f>
        <v/>
      </c>
      <c r="BA350" s="632" t="str">
        <f t="shared" si="22"/>
        <v/>
      </c>
      <c r="BB350" s="632" t="str">
        <f t="shared" si="23"/>
        <v/>
      </c>
      <c r="BC350" s="632" t="str">
        <f t="shared" si="24"/>
        <v/>
      </c>
      <c r="BD350" s="633" t="str">
        <f>IF(AND(L350="",H350=""),"",
IF(H350="",Pole_Calc!A378,
IF(H350="MP",Pole_Calc!A379,
IF(H350="AnMP",Pole_Calc!A380,
IF(H350="A",Pole_Calc!A381,
IF(H350="S/A",Pole_Calc!A382,
IF(H350="A/S",Pole_Calc!A383,"Poner a mano")))))))</f>
        <v/>
      </c>
      <c r="BE350" s="448" t="s">
        <v>1726</v>
      </c>
      <c r="BF350" s="634"/>
      <c r="BG350" s="634"/>
      <c r="BH350" s="634"/>
      <c r="BI350" s="634"/>
    </row>
    <row r="351" spans="1:61" ht="16.2" customHeight="1">
      <c r="A351" s="12"/>
      <c r="B351" s="446"/>
      <c r="C351" s="89"/>
      <c r="D351" s="13"/>
      <c r="E351" s="14"/>
      <c r="F351" s="14"/>
      <c r="G351" s="15"/>
      <c r="H351" s="8"/>
      <c r="I351" s="8"/>
      <c r="J351" s="89"/>
      <c r="K351" s="8"/>
      <c r="L351" s="8"/>
      <c r="M351" s="8" t="str">
        <f>IF(L351="","",
IF(AX351="PT",VLOOKUP(L351,Foundation_Calc!$V$4:$X$37,VLOOKUP(AX351,Foundation_Calc!$I$10:$J$13,2,FALSE),0),
IF(AX351="K",VLOOKUP(L351,Foundation_Calc!$V$41:$X$74,VLOOKUP(AX351,Foundation_Calc!$I$10:$J$13,2,FALSE),0),"")))</f>
        <v/>
      </c>
      <c r="N351" s="8"/>
      <c r="O351" s="8"/>
      <c r="P351" s="8"/>
      <c r="Q351" s="14"/>
      <c r="R351" s="15"/>
      <c r="S351" s="15"/>
      <c r="T351" s="14"/>
      <c r="U351" s="14"/>
      <c r="V351" s="14"/>
      <c r="W351" s="18"/>
      <c r="X351" s="18"/>
      <c r="Y351" s="18"/>
      <c r="Z351" s="18"/>
      <c r="AA351" s="18"/>
      <c r="AB351" s="18"/>
      <c r="AC351" s="8" t="str">
        <f t="shared" si="21"/>
        <v/>
      </c>
      <c r="AD351" s="8"/>
      <c r="AE351" s="8"/>
      <c r="AF351" s="14"/>
      <c r="AG351" s="13"/>
      <c r="AH351" s="14"/>
      <c r="AI351" s="14"/>
      <c r="AJ351" s="8"/>
      <c r="AK351" s="8"/>
      <c r="AL351" s="8"/>
      <c r="AM351" s="8"/>
      <c r="AN351" s="631"/>
      <c r="AO351" s="18"/>
      <c r="AP351" s="18"/>
      <c r="AQ351" s="18"/>
      <c r="AR351" s="18"/>
      <c r="AS351" s="18"/>
      <c r="AU351" s="448"/>
      <c r="AV351" s="448"/>
      <c r="AW351" s="8" t="str">
        <f>IF(C351&gt;0,VLOOKUP(C351,Foundation_Calc!$A$2:$C$986,3,1),
IF(J351&gt;0,VLOOKUP(J351,Foundation_Calc!$A$2:$C$986,3,1),""))</f>
        <v/>
      </c>
      <c r="AX351" s="8" t="str">
        <f>IF(C351&gt;0,VLOOKUP(C351,Foundation_Calc!$E$2:$G$986,3,1),
IF(J351&gt;0,VLOOKUP(J351,Foundation_Calc!$E$2:$G$986,3,1),""))</f>
        <v/>
      </c>
      <c r="AY351" s="631" t="str">
        <f>IF(L351="","",
IF(AX351="PT",VLOOKUP(L351,Foundation_Calc!$K$4:$R$37,VLOOKUP(AW351,Foundation_Calc!$I$2:$J$8,2,FALSE),0),
IF(AX351="K",VLOOKUP(L351,Foundation_Calc!$K$41:$R$74,VLOOKUP(AW351,Foundation_Calc!$I$2:$J$8,2,FALSE),0),"")))</f>
        <v/>
      </c>
      <c r="AZ351" s="631" t="str">
        <f>IF(K351="","",
IF(AX351="PT",VLOOKUP(K351,Foundation_Calc!$K$4:$R$37,VLOOKUP(AW351,Foundation_Calc!$I$2:$J$8,2,FALSE),0),
IF(AX351="K",VLOOKUP(K351,Foundation_Calc!$K$41:$R$74,VLOOKUP(AW351,Foundation_Calc!$I$2:$J$8,2,FALSE),0),"")))</f>
        <v/>
      </c>
      <c r="BA351" s="632" t="str">
        <f t="shared" si="22"/>
        <v/>
      </c>
      <c r="BB351" s="632" t="str">
        <f t="shared" si="23"/>
        <v/>
      </c>
      <c r="BC351" s="632" t="str">
        <f t="shared" si="24"/>
        <v/>
      </c>
      <c r="BD351" s="633" t="str">
        <f>IF(AND(L351="",H351=""),"",
IF(H351="",Pole_Calc!A379,
IF(H351="MP",Pole_Calc!A380,
IF(H351="AnMP",Pole_Calc!A381,
IF(H351="A",Pole_Calc!A382,
IF(H351="S/A",Pole_Calc!A383,
IF(H351="A/S",Pole_Calc!A384,"Poner a mano")))))))</f>
        <v/>
      </c>
      <c r="BE351" s="448" t="s">
        <v>1726</v>
      </c>
      <c r="BF351" s="635"/>
      <c r="BG351" s="635"/>
      <c r="BH351" s="634"/>
      <c r="BI351" s="635"/>
    </row>
    <row r="352" spans="1:61" ht="16.2" customHeight="1">
      <c r="A352" s="12"/>
      <c r="B352" s="446"/>
      <c r="C352" s="89"/>
      <c r="D352" s="13"/>
      <c r="E352" s="14"/>
      <c r="F352" s="14"/>
      <c r="G352" s="15"/>
      <c r="H352" s="8"/>
      <c r="I352" s="8"/>
      <c r="J352" s="89"/>
      <c r="K352" s="8"/>
      <c r="L352" s="8"/>
      <c r="M352" s="8" t="str">
        <f>IF(L352="","",
IF(AX352="PT",VLOOKUP(L352,Foundation_Calc!$V$4:$X$37,VLOOKUP(AX352,Foundation_Calc!$I$10:$J$13,2,FALSE),0),
IF(AX352="K",VLOOKUP(L352,Foundation_Calc!$V$41:$X$74,VLOOKUP(AX352,Foundation_Calc!$I$10:$J$13,2,FALSE),0),"")))</f>
        <v/>
      </c>
      <c r="N352" s="8"/>
      <c r="O352" s="8"/>
      <c r="P352" s="8"/>
      <c r="Q352" s="14"/>
      <c r="R352" s="15"/>
      <c r="S352" s="15"/>
      <c r="T352" s="14"/>
      <c r="U352" s="14"/>
      <c r="V352" s="14"/>
      <c r="W352" s="18"/>
      <c r="X352" s="18"/>
      <c r="Y352" s="18"/>
      <c r="Z352" s="18"/>
      <c r="AA352" s="18"/>
      <c r="AB352" s="18"/>
      <c r="AC352" s="8" t="str">
        <f t="shared" si="21"/>
        <v/>
      </c>
      <c r="AD352" s="8"/>
      <c r="AE352" s="8"/>
      <c r="AF352" s="14"/>
      <c r="AG352" s="13"/>
      <c r="AH352" s="14"/>
      <c r="AI352" s="14"/>
      <c r="AJ352" s="8"/>
      <c r="AK352" s="8"/>
      <c r="AL352" s="8"/>
      <c r="AM352" s="8"/>
      <c r="AN352" s="631"/>
      <c r="AO352" s="18"/>
      <c r="AP352" s="18"/>
      <c r="AQ352" s="18"/>
      <c r="AR352" s="18"/>
      <c r="AS352" s="18"/>
      <c r="AU352" s="448"/>
      <c r="AV352" s="448"/>
      <c r="AW352" s="8" t="str">
        <f>IF(C352&gt;0,VLOOKUP(C352,Foundation_Calc!$A$2:$C$986,3,1),
IF(J352&gt;0,VLOOKUP(J352,Foundation_Calc!$A$2:$C$986,3,1),""))</f>
        <v/>
      </c>
      <c r="AX352" s="8" t="str">
        <f>IF(C352&gt;0,VLOOKUP(C352,Foundation_Calc!$E$2:$G$986,3,1),
IF(J352&gt;0,VLOOKUP(J352,Foundation_Calc!$E$2:$G$986,3,1),""))</f>
        <v/>
      </c>
      <c r="AY352" s="631" t="str">
        <f>IF(L352="","",
IF(AX352="PT",VLOOKUP(L352,Foundation_Calc!$K$4:$R$37,VLOOKUP(AW352,Foundation_Calc!$I$2:$J$8,2,FALSE),0),
IF(AX352="K",VLOOKUP(L352,Foundation_Calc!$K$41:$R$74,VLOOKUP(AW352,Foundation_Calc!$I$2:$J$8,2,FALSE),0),"")))</f>
        <v/>
      </c>
      <c r="AZ352" s="631" t="str">
        <f>IF(K352="","",
IF(AX352="PT",VLOOKUP(K352,Foundation_Calc!$K$4:$R$37,VLOOKUP(AW352,Foundation_Calc!$I$2:$J$8,2,FALSE),0),
IF(AX352="K",VLOOKUP(K352,Foundation_Calc!$K$41:$R$74,VLOOKUP(AW352,Foundation_Calc!$I$2:$J$8,2,FALSE),0),"")))</f>
        <v/>
      </c>
      <c r="BA352" s="632" t="str">
        <f t="shared" si="22"/>
        <v/>
      </c>
      <c r="BB352" s="632" t="str">
        <f t="shared" si="23"/>
        <v/>
      </c>
      <c r="BC352" s="632" t="str">
        <f t="shared" si="24"/>
        <v/>
      </c>
      <c r="BD352" s="633" t="str">
        <f>IF(AND(L352="",H352=""),"",
IF(H352="",Pole_Calc!A380,
IF(H352="MP",Pole_Calc!A381,
IF(H352="AnMP",Pole_Calc!A382,
IF(H352="A",Pole_Calc!A383,
IF(H352="S/A",Pole_Calc!A384,
IF(H352="A/S",Pole_Calc!A385,"Poner a mano")))))))</f>
        <v/>
      </c>
      <c r="BE352" s="448" t="s">
        <v>1726</v>
      </c>
      <c r="BF352" s="634"/>
      <c r="BG352" s="634"/>
      <c r="BH352" s="634"/>
      <c r="BI352" s="634"/>
    </row>
    <row r="353" spans="1:61" ht="16.2" customHeight="1">
      <c r="A353" s="12"/>
      <c r="B353" s="446"/>
      <c r="C353" s="89"/>
      <c r="D353" s="13"/>
      <c r="E353" s="14"/>
      <c r="F353" s="14"/>
      <c r="G353" s="15"/>
      <c r="H353" s="8"/>
      <c r="I353" s="8"/>
      <c r="J353" s="89"/>
      <c r="K353" s="8"/>
      <c r="L353" s="8"/>
      <c r="M353" s="8" t="str">
        <f>IF(L353="","",
IF(AX353="PT",VLOOKUP(L353,Foundation_Calc!$V$4:$X$37,VLOOKUP(AX353,Foundation_Calc!$I$10:$J$13,2,FALSE),0),
IF(AX353="K",VLOOKUP(L353,Foundation_Calc!$V$41:$X$74,VLOOKUP(AX353,Foundation_Calc!$I$10:$J$13,2,FALSE),0),"")))</f>
        <v/>
      </c>
      <c r="N353" s="8"/>
      <c r="O353" s="8"/>
      <c r="P353" s="8"/>
      <c r="Q353" s="14"/>
      <c r="R353" s="15"/>
      <c r="S353" s="15"/>
      <c r="T353" s="14"/>
      <c r="U353" s="14"/>
      <c r="V353" s="14"/>
      <c r="W353" s="18"/>
      <c r="X353" s="18"/>
      <c r="Y353" s="18"/>
      <c r="Z353" s="18"/>
      <c r="AA353" s="18"/>
      <c r="AB353" s="18"/>
      <c r="AC353" s="8" t="str">
        <f t="shared" si="21"/>
        <v/>
      </c>
      <c r="AD353" s="8"/>
      <c r="AE353" s="8"/>
      <c r="AF353" s="14"/>
      <c r="AG353" s="13"/>
      <c r="AH353" s="14"/>
      <c r="AI353" s="14"/>
      <c r="AJ353" s="8"/>
      <c r="AK353" s="8"/>
      <c r="AL353" s="8"/>
      <c r="AM353" s="8"/>
      <c r="AN353" s="631"/>
      <c r="AO353" s="18"/>
      <c r="AP353" s="18"/>
      <c r="AQ353" s="18"/>
      <c r="AR353" s="18"/>
      <c r="AS353" s="18"/>
      <c r="AU353" s="448"/>
      <c r="AV353" s="448"/>
      <c r="AW353" s="8" t="str">
        <f>IF(C353&gt;0,VLOOKUP(C353,Foundation_Calc!$A$2:$C$986,3,1),
IF(J353&gt;0,VLOOKUP(J353,Foundation_Calc!$A$2:$C$986,3,1),""))</f>
        <v/>
      </c>
      <c r="AX353" s="8" t="str">
        <f>IF(C353&gt;0,VLOOKUP(C353,Foundation_Calc!$E$2:$G$986,3,1),
IF(J353&gt;0,VLOOKUP(J353,Foundation_Calc!$E$2:$G$986,3,1),""))</f>
        <v/>
      </c>
      <c r="AY353" s="631" t="str">
        <f>IF(L353="","",
IF(AX353="PT",VLOOKUP(L353,Foundation_Calc!$K$4:$R$37,VLOOKUP(AW353,Foundation_Calc!$I$2:$J$8,2,FALSE),0),
IF(AX353="K",VLOOKUP(L353,Foundation_Calc!$K$41:$R$74,VLOOKUP(AW353,Foundation_Calc!$I$2:$J$8,2,FALSE),0),"")))</f>
        <v/>
      </c>
      <c r="AZ353" s="631" t="str">
        <f>IF(K353="","",
IF(AX353="PT",VLOOKUP(K353,Foundation_Calc!$K$4:$R$37,VLOOKUP(AW353,Foundation_Calc!$I$2:$J$8,2,FALSE),0),
IF(AX353="K",VLOOKUP(K353,Foundation_Calc!$K$41:$R$74,VLOOKUP(AW353,Foundation_Calc!$I$2:$J$8,2,FALSE),0),"")))</f>
        <v/>
      </c>
      <c r="BA353" s="632" t="str">
        <f t="shared" si="22"/>
        <v/>
      </c>
      <c r="BB353" s="632" t="str">
        <f t="shared" si="23"/>
        <v/>
      </c>
      <c r="BC353" s="632" t="str">
        <f t="shared" si="24"/>
        <v/>
      </c>
      <c r="BD353" s="633" t="str">
        <f>IF(AND(L353="",H353=""),"",
IF(H353="",Pole_Calc!A381,
IF(H353="MP",Pole_Calc!A382,
IF(H353="AnMP",Pole_Calc!A383,
IF(H353="A",Pole_Calc!A384,
IF(H353="S/A",Pole_Calc!A385,
IF(H353="A/S",Pole_Calc!A386,"Poner a mano")))))))</f>
        <v/>
      </c>
      <c r="BE353" s="448" t="s">
        <v>1726</v>
      </c>
      <c r="BF353" s="635"/>
      <c r="BG353" s="635"/>
      <c r="BH353" s="634"/>
      <c r="BI353" s="635"/>
    </row>
    <row r="354" spans="1:61" ht="16.2" customHeight="1">
      <c r="A354" s="12"/>
      <c r="B354" s="446"/>
      <c r="C354" s="89"/>
      <c r="D354" s="13"/>
      <c r="E354" s="14"/>
      <c r="F354" s="14"/>
      <c r="G354" s="15"/>
      <c r="H354" s="8"/>
      <c r="I354" s="8"/>
      <c r="J354" s="89"/>
      <c r="K354" s="8"/>
      <c r="L354" s="8"/>
      <c r="M354" s="8" t="str">
        <f>IF(L354="","",
IF(AX354="PT",VLOOKUP(L354,Foundation_Calc!$V$4:$X$37,VLOOKUP(AX354,Foundation_Calc!$I$10:$J$13,2,FALSE),0),
IF(AX354="K",VLOOKUP(L354,Foundation_Calc!$V$41:$X$74,VLOOKUP(AX354,Foundation_Calc!$I$10:$J$13,2,FALSE),0),"")))</f>
        <v/>
      </c>
      <c r="N354" s="8"/>
      <c r="O354" s="8"/>
      <c r="P354" s="8"/>
      <c r="Q354" s="14"/>
      <c r="R354" s="15"/>
      <c r="S354" s="15"/>
      <c r="T354" s="14"/>
      <c r="U354" s="14"/>
      <c r="V354" s="14"/>
      <c r="W354" s="18"/>
      <c r="X354" s="18"/>
      <c r="Y354" s="18"/>
      <c r="Z354" s="18"/>
      <c r="AA354" s="18"/>
      <c r="AB354" s="18"/>
      <c r="AC354" s="8" t="str">
        <f t="shared" si="21"/>
        <v/>
      </c>
      <c r="AD354" s="8"/>
      <c r="AE354" s="8"/>
      <c r="AF354" s="14"/>
      <c r="AG354" s="13"/>
      <c r="AH354" s="14"/>
      <c r="AI354" s="14"/>
      <c r="AJ354" s="8"/>
      <c r="AK354" s="8"/>
      <c r="AL354" s="8"/>
      <c r="AM354" s="8"/>
      <c r="AN354" s="631"/>
      <c r="AO354" s="18"/>
      <c r="AP354" s="18"/>
      <c r="AQ354" s="18"/>
      <c r="AR354" s="18"/>
      <c r="AS354" s="18"/>
      <c r="AU354" s="448"/>
      <c r="AV354" s="448"/>
      <c r="AW354" s="8" t="str">
        <f>IF(C354&gt;0,VLOOKUP(C354,Foundation_Calc!$A$2:$C$986,3,1),
IF(J354&gt;0,VLOOKUP(J354,Foundation_Calc!$A$2:$C$986,3,1),""))</f>
        <v/>
      </c>
      <c r="AX354" s="8" t="str">
        <f>IF(C354&gt;0,VLOOKUP(C354,Foundation_Calc!$E$2:$G$986,3,1),
IF(J354&gt;0,VLOOKUP(J354,Foundation_Calc!$E$2:$G$986,3,1),""))</f>
        <v/>
      </c>
      <c r="AY354" s="631" t="str">
        <f>IF(L354="","",
IF(AX354="PT",VLOOKUP(L354,Foundation_Calc!$K$4:$R$37,VLOOKUP(AW354,Foundation_Calc!$I$2:$J$8,2,FALSE),0),
IF(AX354="K",VLOOKUP(L354,Foundation_Calc!$K$41:$R$74,VLOOKUP(AW354,Foundation_Calc!$I$2:$J$8,2,FALSE),0),"")))</f>
        <v/>
      </c>
      <c r="AZ354" s="631" t="str">
        <f>IF(K354="","",
IF(AX354="PT",VLOOKUP(K354,Foundation_Calc!$K$4:$R$37,VLOOKUP(AW354,Foundation_Calc!$I$2:$J$8,2,FALSE),0),
IF(AX354="K",VLOOKUP(K354,Foundation_Calc!$K$41:$R$74,VLOOKUP(AW354,Foundation_Calc!$I$2:$J$8,2,FALSE),0),"")))</f>
        <v/>
      </c>
      <c r="BA354" s="632" t="str">
        <f t="shared" si="22"/>
        <v/>
      </c>
      <c r="BB354" s="632" t="str">
        <f t="shared" si="23"/>
        <v/>
      </c>
      <c r="BC354" s="632" t="str">
        <f t="shared" si="24"/>
        <v/>
      </c>
      <c r="BD354" s="633" t="str">
        <f>IF(AND(L354="",H354=""),"",
IF(H354="",Pole_Calc!A382,
IF(H354="MP",Pole_Calc!A383,
IF(H354="AnMP",Pole_Calc!A384,
IF(H354="A",Pole_Calc!A385,
IF(H354="S/A",Pole_Calc!A386,
IF(H354="A/S",Pole_Calc!A387,"Poner a mano")))))))</f>
        <v/>
      </c>
      <c r="BE354" s="448" t="s">
        <v>1726</v>
      </c>
      <c r="BF354" s="634"/>
      <c r="BG354" s="634"/>
      <c r="BH354" s="634"/>
      <c r="BI354" s="634"/>
    </row>
    <row r="355" spans="1:61" ht="16.2" customHeight="1">
      <c r="A355" s="12"/>
      <c r="B355" s="446"/>
      <c r="C355" s="89"/>
      <c r="D355" s="13"/>
      <c r="E355" s="14"/>
      <c r="F355" s="14"/>
      <c r="G355" s="15"/>
      <c r="H355" s="8"/>
      <c r="I355" s="8"/>
      <c r="J355" s="89"/>
      <c r="K355" s="8"/>
      <c r="L355" s="8"/>
      <c r="M355" s="8" t="str">
        <f>IF(L355="","",
IF(AX355="PT",VLOOKUP(L355,Foundation_Calc!$V$4:$X$37,VLOOKUP(AX355,Foundation_Calc!$I$10:$J$13,2,FALSE),0),
IF(AX355="K",VLOOKUP(L355,Foundation_Calc!$V$41:$X$74,VLOOKUP(AX355,Foundation_Calc!$I$10:$J$13,2,FALSE),0),"")))</f>
        <v/>
      </c>
      <c r="N355" s="8"/>
      <c r="O355" s="8"/>
      <c r="P355" s="8"/>
      <c r="Q355" s="14"/>
      <c r="R355" s="15"/>
      <c r="S355" s="15"/>
      <c r="T355" s="14"/>
      <c r="U355" s="14"/>
      <c r="V355" s="14"/>
      <c r="W355" s="18"/>
      <c r="X355" s="18"/>
      <c r="Y355" s="18"/>
      <c r="Z355" s="18"/>
      <c r="AA355" s="18"/>
      <c r="AB355" s="18"/>
      <c r="AC355" s="8" t="str">
        <f t="shared" si="21"/>
        <v/>
      </c>
      <c r="AD355" s="8"/>
      <c r="AE355" s="8"/>
      <c r="AF355" s="14"/>
      <c r="AG355" s="13"/>
      <c r="AH355" s="14"/>
      <c r="AI355" s="14"/>
      <c r="AJ355" s="8"/>
      <c r="AK355" s="8"/>
      <c r="AL355" s="8"/>
      <c r="AM355" s="8"/>
      <c r="AN355" s="631"/>
      <c r="AO355" s="18"/>
      <c r="AP355" s="18"/>
      <c r="AQ355" s="18"/>
      <c r="AR355" s="18"/>
      <c r="AS355" s="18"/>
      <c r="AU355" s="448"/>
      <c r="AV355" s="448"/>
      <c r="AW355" s="8" t="str">
        <f>IF(C355&gt;0,VLOOKUP(C355,Foundation_Calc!$A$2:$C$986,3,1),
IF(J355&gt;0,VLOOKUP(J355,Foundation_Calc!$A$2:$C$986,3,1),""))</f>
        <v/>
      </c>
      <c r="AX355" s="8" t="str">
        <f>IF(C355&gt;0,VLOOKUP(C355,Foundation_Calc!$E$2:$G$986,3,1),
IF(J355&gt;0,VLOOKUP(J355,Foundation_Calc!$E$2:$G$986,3,1),""))</f>
        <v/>
      </c>
      <c r="AY355" s="631" t="str">
        <f>IF(L355="","",
IF(AX355="PT",VLOOKUP(L355,Foundation_Calc!$K$4:$R$37,VLOOKUP(AW355,Foundation_Calc!$I$2:$J$8,2,FALSE),0),
IF(AX355="K",VLOOKUP(L355,Foundation_Calc!$K$41:$R$74,VLOOKUP(AW355,Foundation_Calc!$I$2:$J$8,2,FALSE),0),"")))</f>
        <v/>
      </c>
      <c r="AZ355" s="631" t="str">
        <f>IF(K355="","",
IF(AX355="PT",VLOOKUP(K355,Foundation_Calc!$K$4:$R$37,VLOOKUP(AW355,Foundation_Calc!$I$2:$J$8,2,FALSE),0),
IF(AX355="K",VLOOKUP(K355,Foundation_Calc!$K$41:$R$74,VLOOKUP(AW355,Foundation_Calc!$I$2:$J$8,2,FALSE),0),"")))</f>
        <v/>
      </c>
      <c r="BA355" s="632" t="str">
        <f t="shared" si="22"/>
        <v/>
      </c>
      <c r="BB355" s="632" t="str">
        <f t="shared" si="23"/>
        <v/>
      </c>
      <c r="BC355" s="632" t="str">
        <f t="shared" si="24"/>
        <v/>
      </c>
      <c r="BD355" s="633" t="str">
        <f>IF(AND(L355="",H355=""),"",
IF(H355="",Pole_Calc!A383,
IF(H355="MP",Pole_Calc!A384,
IF(H355="AnMP",Pole_Calc!A385,
IF(H355="A",Pole_Calc!A386,
IF(H355="S/A",Pole_Calc!A387,
IF(H355="A/S",Pole_Calc!A388,"Poner a mano")))))))</f>
        <v/>
      </c>
      <c r="BE355" s="448" t="s">
        <v>1726</v>
      </c>
      <c r="BF355" s="635"/>
      <c r="BG355" s="635"/>
      <c r="BH355" s="634"/>
      <c r="BI355" s="635"/>
    </row>
    <row r="356" spans="1:61" ht="16.2" customHeight="1">
      <c r="A356" s="12"/>
      <c r="B356" s="446"/>
      <c r="C356" s="89"/>
      <c r="D356" s="13"/>
      <c r="E356" s="14"/>
      <c r="F356" s="14"/>
      <c r="G356" s="15"/>
      <c r="H356" s="8"/>
      <c r="I356" s="8"/>
      <c r="J356" s="89"/>
      <c r="K356" s="8"/>
      <c r="L356" s="8"/>
      <c r="M356" s="8" t="str">
        <f>IF(L356="","",
IF(AX356="PT",VLOOKUP(L356,Foundation_Calc!$V$4:$X$37,VLOOKUP(AX356,Foundation_Calc!$I$10:$J$13,2,FALSE),0),
IF(AX356="K",VLOOKUP(L356,Foundation_Calc!$V$41:$X$74,VLOOKUP(AX356,Foundation_Calc!$I$10:$J$13,2,FALSE),0),"")))</f>
        <v/>
      </c>
      <c r="N356" s="8"/>
      <c r="O356" s="8"/>
      <c r="P356" s="8"/>
      <c r="Q356" s="14"/>
      <c r="R356" s="15"/>
      <c r="S356" s="15"/>
      <c r="T356" s="14"/>
      <c r="U356" s="14"/>
      <c r="V356" s="14"/>
      <c r="W356" s="18"/>
      <c r="X356" s="18"/>
      <c r="Y356" s="18"/>
      <c r="Z356" s="18"/>
      <c r="AA356" s="18"/>
      <c r="AB356" s="18"/>
      <c r="AC356" s="8" t="str">
        <f t="shared" si="21"/>
        <v/>
      </c>
      <c r="AD356" s="8"/>
      <c r="AE356" s="8"/>
      <c r="AF356" s="14"/>
      <c r="AG356" s="13"/>
      <c r="AH356" s="14"/>
      <c r="AI356" s="14"/>
      <c r="AJ356" s="8"/>
      <c r="AK356" s="8"/>
      <c r="AL356" s="8"/>
      <c r="AM356" s="8"/>
      <c r="AN356" s="631"/>
      <c r="AO356" s="18"/>
      <c r="AP356" s="18"/>
      <c r="AQ356" s="18"/>
      <c r="AR356" s="18"/>
      <c r="AS356" s="18"/>
      <c r="AU356" s="448"/>
      <c r="AV356" s="448"/>
      <c r="AW356" s="8" t="str">
        <f>IF(C356&gt;0,VLOOKUP(C356,Foundation_Calc!$A$2:$C$986,3,1),
IF(J356&gt;0,VLOOKUP(J356,Foundation_Calc!$A$2:$C$986,3,1),""))</f>
        <v/>
      </c>
      <c r="AX356" s="8" t="str">
        <f>IF(C356&gt;0,VLOOKUP(C356,Foundation_Calc!$E$2:$G$986,3,1),
IF(J356&gt;0,VLOOKUP(J356,Foundation_Calc!$E$2:$G$986,3,1),""))</f>
        <v/>
      </c>
      <c r="AY356" s="631" t="str">
        <f>IF(L356="","",
IF(AX356="PT",VLOOKUP(L356,Foundation_Calc!$K$4:$R$37,VLOOKUP(AW356,Foundation_Calc!$I$2:$J$8,2,FALSE),0),
IF(AX356="K",VLOOKUP(L356,Foundation_Calc!$K$41:$R$74,VLOOKUP(AW356,Foundation_Calc!$I$2:$J$8,2,FALSE),0),"")))</f>
        <v/>
      </c>
      <c r="AZ356" s="631" t="str">
        <f>IF(K356="","",
IF(AX356="PT",VLOOKUP(K356,Foundation_Calc!$K$4:$R$37,VLOOKUP(AW356,Foundation_Calc!$I$2:$J$8,2,FALSE),0),
IF(AX356="K",VLOOKUP(K356,Foundation_Calc!$K$41:$R$74,VLOOKUP(AW356,Foundation_Calc!$I$2:$J$8,2,FALSE),0),"")))</f>
        <v/>
      </c>
      <c r="BA356" s="632" t="str">
        <f t="shared" si="22"/>
        <v/>
      </c>
      <c r="BB356" s="632" t="str">
        <f t="shared" si="23"/>
        <v/>
      </c>
      <c r="BC356" s="632" t="str">
        <f t="shared" si="24"/>
        <v/>
      </c>
      <c r="BD356" s="633" t="str">
        <f>IF(AND(L356="",H356=""),"",
IF(H356="",Pole_Calc!A384,
IF(H356="MP",Pole_Calc!A385,
IF(H356="AnMP",Pole_Calc!A386,
IF(H356="A",Pole_Calc!A387,
IF(H356="S/A",Pole_Calc!A388,
IF(H356="A/S",Pole_Calc!A389,"Poner a mano")))))))</f>
        <v/>
      </c>
      <c r="BE356" s="448" t="s">
        <v>1726</v>
      </c>
      <c r="BF356" s="634"/>
      <c r="BG356" s="634"/>
      <c r="BH356" s="634"/>
      <c r="BI356" s="634"/>
    </row>
    <row r="357" spans="1:61" ht="16.2" customHeight="1">
      <c r="A357" s="12"/>
      <c r="B357" s="446"/>
      <c r="C357" s="89"/>
      <c r="D357" s="13"/>
      <c r="E357" s="14"/>
      <c r="F357" s="14"/>
      <c r="G357" s="15"/>
      <c r="H357" s="8"/>
      <c r="I357" s="8"/>
      <c r="J357" s="89"/>
      <c r="K357" s="8"/>
      <c r="L357" s="8"/>
      <c r="M357" s="8" t="str">
        <f>IF(L357="","",
IF(AX357="PT",VLOOKUP(L357,Foundation_Calc!$V$4:$X$37,VLOOKUP(AX357,Foundation_Calc!$I$10:$J$13,2,FALSE),0),
IF(AX357="K",VLOOKUP(L357,Foundation_Calc!$V$41:$X$74,VLOOKUP(AX357,Foundation_Calc!$I$10:$J$13,2,FALSE),0),"")))</f>
        <v/>
      </c>
      <c r="N357" s="8"/>
      <c r="O357" s="8"/>
      <c r="P357" s="8"/>
      <c r="Q357" s="14"/>
      <c r="R357" s="15"/>
      <c r="S357" s="15"/>
      <c r="T357" s="14"/>
      <c r="U357" s="14"/>
      <c r="V357" s="14"/>
      <c r="W357" s="18"/>
      <c r="X357" s="18"/>
      <c r="Y357" s="18"/>
      <c r="Z357" s="18"/>
      <c r="AA357" s="18"/>
      <c r="AB357" s="18"/>
      <c r="AC357" s="8" t="str">
        <f t="shared" si="21"/>
        <v/>
      </c>
      <c r="AD357" s="8"/>
      <c r="AE357" s="8"/>
      <c r="AF357" s="14"/>
      <c r="AG357" s="13"/>
      <c r="AH357" s="14"/>
      <c r="AI357" s="14"/>
      <c r="AJ357" s="8"/>
      <c r="AK357" s="8"/>
      <c r="AL357" s="8"/>
      <c r="AM357" s="8"/>
      <c r="AN357" s="631"/>
      <c r="AO357" s="18"/>
      <c r="AP357" s="18"/>
      <c r="AQ357" s="18"/>
      <c r="AR357" s="18"/>
      <c r="AS357" s="18"/>
      <c r="AU357" s="448"/>
      <c r="AV357" s="448"/>
      <c r="AW357" s="8" t="str">
        <f>IF(C357&gt;0,VLOOKUP(C357,Foundation_Calc!$A$2:$C$986,3,1),
IF(J357&gt;0,VLOOKUP(J357,Foundation_Calc!$A$2:$C$986,3,1),""))</f>
        <v/>
      </c>
      <c r="AX357" s="8" t="str">
        <f>IF(C357&gt;0,VLOOKUP(C357,Foundation_Calc!$E$2:$G$986,3,1),
IF(J357&gt;0,VLOOKUP(J357,Foundation_Calc!$E$2:$G$986,3,1),""))</f>
        <v/>
      </c>
      <c r="AY357" s="631" t="str">
        <f>IF(L357="","",
IF(AX357="PT",VLOOKUP(L357,Foundation_Calc!$K$4:$R$37,VLOOKUP(AW357,Foundation_Calc!$I$2:$J$8,2,FALSE),0),
IF(AX357="K",VLOOKUP(L357,Foundation_Calc!$K$41:$R$74,VLOOKUP(AW357,Foundation_Calc!$I$2:$J$8,2,FALSE),0),"")))</f>
        <v/>
      </c>
      <c r="AZ357" s="631" t="str">
        <f>IF(K357="","",
IF(AX357="PT",VLOOKUP(K357,Foundation_Calc!$K$4:$R$37,VLOOKUP(AW357,Foundation_Calc!$I$2:$J$8,2,FALSE),0),
IF(AX357="K",VLOOKUP(K357,Foundation_Calc!$K$41:$R$74,VLOOKUP(AW357,Foundation_Calc!$I$2:$J$8,2,FALSE),0),"")))</f>
        <v/>
      </c>
      <c r="BA357" s="632" t="str">
        <f t="shared" si="22"/>
        <v/>
      </c>
      <c r="BB357" s="632" t="str">
        <f t="shared" si="23"/>
        <v/>
      </c>
      <c r="BC357" s="632" t="str">
        <f t="shared" si="24"/>
        <v/>
      </c>
      <c r="BD357" s="633" t="str">
        <f>IF(AND(L357="",H357=""),"",
IF(H357="",Pole_Calc!A385,
IF(H357="MP",Pole_Calc!A386,
IF(H357="AnMP",Pole_Calc!A387,
IF(H357="A",Pole_Calc!A388,
IF(H357="S/A",Pole_Calc!A389,
IF(H357="A/S",Pole_Calc!A390,"Poner a mano")))))))</f>
        <v/>
      </c>
      <c r="BE357" s="448" t="s">
        <v>1726</v>
      </c>
      <c r="BF357" s="635"/>
      <c r="BG357" s="635"/>
      <c r="BH357" s="634"/>
      <c r="BI357" s="635"/>
    </row>
    <row r="358" spans="1:61" ht="16.2" customHeight="1">
      <c r="A358" s="12"/>
      <c r="B358" s="446"/>
      <c r="C358" s="89"/>
      <c r="D358" s="13"/>
      <c r="E358" s="14"/>
      <c r="F358" s="14"/>
      <c r="G358" s="15"/>
      <c r="H358" s="8"/>
      <c r="I358" s="8"/>
      <c r="J358" s="89"/>
      <c r="K358" s="8"/>
      <c r="L358" s="8"/>
      <c r="M358" s="8" t="str">
        <f>IF(L358="","",
IF(AX358="PT",VLOOKUP(L358,Foundation_Calc!$V$4:$X$37,VLOOKUP(AX358,Foundation_Calc!$I$10:$J$13,2,FALSE),0),
IF(AX358="K",VLOOKUP(L358,Foundation_Calc!$V$41:$X$74,VLOOKUP(AX358,Foundation_Calc!$I$10:$J$13,2,FALSE),0),"")))</f>
        <v/>
      </c>
      <c r="N358" s="8"/>
      <c r="O358" s="8"/>
      <c r="P358" s="8"/>
      <c r="Q358" s="14"/>
      <c r="R358" s="15"/>
      <c r="S358" s="15"/>
      <c r="T358" s="14"/>
      <c r="U358" s="14"/>
      <c r="V358" s="14"/>
      <c r="W358" s="18"/>
      <c r="X358" s="18"/>
      <c r="Y358" s="18"/>
      <c r="Z358" s="18"/>
      <c r="AA358" s="18"/>
      <c r="AB358" s="18"/>
      <c r="AC358" s="8" t="str">
        <f t="shared" si="21"/>
        <v/>
      </c>
      <c r="AD358" s="8"/>
      <c r="AE358" s="8"/>
      <c r="AF358" s="14"/>
      <c r="AG358" s="13"/>
      <c r="AH358" s="14"/>
      <c r="AI358" s="14"/>
      <c r="AJ358" s="8"/>
      <c r="AK358" s="8"/>
      <c r="AL358" s="8"/>
      <c r="AM358" s="8"/>
      <c r="AN358" s="631"/>
      <c r="AO358" s="18"/>
      <c r="AP358" s="18"/>
      <c r="AQ358" s="18"/>
      <c r="AR358" s="18"/>
      <c r="AS358" s="18"/>
      <c r="AU358" s="448"/>
      <c r="AV358" s="448"/>
      <c r="AW358" s="8" t="str">
        <f>IF(C358&gt;0,VLOOKUP(C358,Foundation_Calc!$A$2:$C$986,3,1),
IF(J358&gt;0,VLOOKUP(J358,Foundation_Calc!$A$2:$C$986,3,1),""))</f>
        <v/>
      </c>
      <c r="AX358" s="8" t="str">
        <f>IF(C358&gt;0,VLOOKUP(C358,Foundation_Calc!$E$2:$G$986,3,1),
IF(J358&gt;0,VLOOKUP(J358,Foundation_Calc!$E$2:$G$986,3,1),""))</f>
        <v/>
      </c>
      <c r="AY358" s="631" t="str">
        <f>IF(L358="","",
IF(AX358="PT",VLOOKUP(L358,Foundation_Calc!$K$4:$R$37,VLOOKUP(AW358,Foundation_Calc!$I$2:$J$8,2,FALSE),0),
IF(AX358="K",VLOOKUP(L358,Foundation_Calc!$K$41:$R$74,VLOOKUP(AW358,Foundation_Calc!$I$2:$J$8,2,FALSE),0),"")))</f>
        <v/>
      </c>
      <c r="AZ358" s="631" t="str">
        <f>IF(K358="","",
IF(AX358="PT",VLOOKUP(K358,Foundation_Calc!$K$4:$R$37,VLOOKUP(AW358,Foundation_Calc!$I$2:$J$8,2,FALSE),0),
IF(AX358="K",VLOOKUP(K358,Foundation_Calc!$K$41:$R$74,VLOOKUP(AW358,Foundation_Calc!$I$2:$J$8,2,FALSE),0),"")))</f>
        <v/>
      </c>
      <c r="BA358" s="632" t="str">
        <f t="shared" si="22"/>
        <v/>
      </c>
      <c r="BB358" s="632" t="str">
        <f t="shared" si="23"/>
        <v/>
      </c>
      <c r="BC358" s="632" t="str">
        <f t="shared" si="24"/>
        <v/>
      </c>
      <c r="BD358" s="633" t="str">
        <f>IF(AND(L358="",H358=""),"",
IF(H358="",Pole_Calc!A386,
IF(H358="MP",Pole_Calc!A387,
IF(H358="AnMP",Pole_Calc!A388,
IF(H358="A",Pole_Calc!A389,
IF(H358="S/A",Pole_Calc!A390,
IF(H358="A/S",Pole_Calc!A391,"Poner a mano")))))))</f>
        <v/>
      </c>
      <c r="BE358" s="448" t="s">
        <v>1726</v>
      </c>
      <c r="BF358" s="634"/>
      <c r="BG358" s="634"/>
      <c r="BH358" s="634"/>
      <c r="BI358" s="634"/>
    </row>
    <row r="359" spans="1:61" ht="16.2" customHeight="1">
      <c r="A359" s="12"/>
      <c r="B359" s="446"/>
      <c r="C359" s="89"/>
      <c r="D359" s="13"/>
      <c r="E359" s="14"/>
      <c r="F359" s="14"/>
      <c r="G359" s="15"/>
      <c r="H359" s="8"/>
      <c r="I359" s="8"/>
      <c r="J359" s="89"/>
      <c r="K359" s="8"/>
      <c r="L359" s="8"/>
      <c r="M359" s="8" t="str">
        <f>IF(L359="","",
IF(AX359="PT",VLOOKUP(L359,Foundation_Calc!$V$4:$X$37,VLOOKUP(AX359,Foundation_Calc!$I$10:$J$13,2,FALSE),0),
IF(AX359="K",VLOOKUP(L359,Foundation_Calc!$V$41:$X$74,VLOOKUP(AX359,Foundation_Calc!$I$10:$J$13,2,FALSE),0),"")))</f>
        <v/>
      </c>
      <c r="N359" s="8"/>
      <c r="O359" s="8"/>
      <c r="P359" s="8"/>
      <c r="Q359" s="14"/>
      <c r="R359" s="15"/>
      <c r="S359" s="15"/>
      <c r="T359" s="14"/>
      <c r="U359" s="14"/>
      <c r="V359" s="14"/>
      <c r="W359" s="18"/>
      <c r="X359" s="18"/>
      <c r="Y359" s="18"/>
      <c r="Z359" s="18"/>
      <c r="AA359" s="18"/>
      <c r="AB359" s="18"/>
      <c r="AC359" s="8" t="str">
        <f t="shared" si="21"/>
        <v/>
      </c>
      <c r="AD359" s="8"/>
      <c r="AE359" s="8"/>
      <c r="AF359" s="14"/>
      <c r="AG359" s="13"/>
      <c r="AH359" s="14"/>
      <c r="AI359" s="14"/>
      <c r="AJ359" s="8"/>
      <c r="AK359" s="8"/>
      <c r="AL359" s="8"/>
      <c r="AM359" s="8"/>
      <c r="AN359" s="631"/>
      <c r="AO359" s="18"/>
      <c r="AP359" s="18"/>
      <c r="AQ359" s="18"/>
      <c r="AR359" s="18"/>
      <c r="AS359" s="18"/>
      <c r="AU359" s="448"/>
      <c r="AV359" s="448"/>
      <c r="AW359" s="8" t="str">
        <f>IF(C359&gt;0,VLOOKUP(C359,Foundation_Calc!$A$2:$C$986,3,1),
IF(J359&gt;0,VLOOKUP(J359,Foundation_Calc!$A$2:$C$986,3,1),""))</f>
        <v/>
      </c>
      <c r="AX359" s="8" t="str">
        <f>IF(C359&gt;0,VLOOKUP(C359,Foundation_Calc!$E$2:$G$986,3,1),
IF(J359&gt;0,VLOOKUP(J359,Foundation_Calc!$E$2:$G$986,3,1),""))</f>
        <v/>
      </c>
      <c r="AY359" s="631" t="str">
        <f>IF(L359="","",
IF(AX359="PT",VLOOKUP(L359,Foundation_Calc!$K$4:$R$37,VLOOKUP(AW359,Foundation_Calc!$I$2:$J$8,2,FALSE),0),
IF(AX359="K",VLOOKUP(L359,Foundation_Calc!$K$41:$R$74,VLOOKUP(AW359,Foundation_Calc!$I$2:$J$8,2,FALSE),0),"")))</f>
        <v/>
      </c>
      <c r="AZ359" s="631" t="str">
        <f>IF(K359="","",
IF(AX359="PT",VLOOKUP(K359,Foundation_Calc!$K$4:$R$37,VLOOKUP(AW359,Foundation_Calc!$I$2:$J$8,2,FALSE),0),
IF(AX359="K",VLOOKUP(K359,Foundation_Calc!$K$41:$R$74,VLOOKUP(AW359,Foundation_Calc!$I$2:$J$8,2,FALSE),0),"")))</f>
        <v/>
      </c>
      <c r="BA359" s="632" t="str">
        <f t="shared" si="22"/>
        <v/>
      </c>
      <c r="BB359" s="632" t="str">
        <f t="shared" si="23"/>
        <v/>
      </c>
      <c r="BC359" s="632" t="str">
        <f t="shared" si="24"/>
        <v/>
      </c>
      <c r="BD359" s="633" t="str">
        <f>IF(AND(L359="",H359=""),"",
IF(H359="",Pole_Calc!A387,
IF(H359="MP",Pole_Calc!A388,
IF(H359="AnMP",Pole_Calc!A389,
IF(H359="A",Pole_Calc!A390,
IF(H359="S/A",Pole_Calc!A391,
IF(H359="A/S",Pole_Calc!A392,"Poner a mano")))))))</f>
        <v/>
      </c>
      <c r="BE359" s="448" t="s">
        <v>1726</v>
      </c>
      <c r="BF359" s="635"/>
      <c r="BG359" s="635"/>
      <c r="BH359" s="634"/>
      <c r="BI359" s="635"/>
    </row>
    <row r="360" spans="1:61" ht="16.2" customHeight="1">
      <c r="A360" s="12"/>
      <c r="B360" s="446"/>
      <c r="C360" s="89"/>
      <c r="D360" s="13"/>
      <c r="E360" s="14"/>
      <c r="F360" s="14"/>
      <c r="G360" s="15"/>
      <c r="H360" s="8"/>
      <c r="I360" s="8"/>
      <c r="J360" s="89"/>
      <c r="K360" s="8"/>
      <c r="L360" s="8"/>
      <c r="M360" s="8" t="str">
        <f>IF(L360="","",
IF(AX360="PT",VLOOKUP(L360,Foundation_Calc!$V$4:$X$37,VLOOKUP(AX360,Foundation_Calc!$I$10:$J$13,2,FALSE),0),
IF(AX360="K",VLOOKUP(L360,Foundation_Calc!$V$41:$X$74,VLOOKUP(AX360,Foundation_Calc!$I$10:$J$13,2,FALSE),0),"")))</f>
        <v/>
      </c>
      <c r="N360" s="8"/>
      <c r="O360" s="8"/>
      <c r="P360" s="8"/>
      <c r="Q360" s="14"/>
      <c r="R360" s="15"/>
      <c r="S360" s="15"/>
      <c r="T360" s="14"/>
      <c r="U360" s="14"/>
      <c r="V360" s="14"/>
      <c r="W360" s="18"/>
      <c r="X360" s="18"/>
      <c r="Y360" s="18"/>
      <c r="Z360" s="18"/>
      <c r="AA360" s="18"/>
      <c r="AB360" s="18"/>
      <c r="AC360" s="8" t="str">
        <f t="shared" si="21"/>
        <v/>
      </c>
      <c r="AD360" s="8"/>
      <c r="AE360" s="8"/>
      <c r="AF360" s="14"/>
      <c r="AG360" s="13"/>
      <c r="AH360" s="14"/>
      <c r="AI360" s="14"/>
      <c r="AJ360" s="8"/>
      <c r="AK360" s="8"/>
      <c r="AL360" s="8"/>
      <c r="AM360" s="8"/>
      <c r="AN360" s="631"/>
      <c r="AO360" s="18"/>
      <c r="AP360" s="18"/>
      <c r="AQ360" s="18"/>
      <c r="AR360" s="18"/>
      <c r="AS360" s="18"/>
      <c r="AU360" s="448"/>
      <c r="AV360" s="448"/>
      <c r="AW360" s="8" t="str">
        <f>IF(C360&gt;0,VLOOKUP(C360,Foundation_Calc!$A$2:$C$986,3,1),
IF(J360&gt;0,VLOOKUP(J360,Foundation_Calc!$A$2:$C$986,3,1),""))</f>
        <v/>
      </c>
      <c r="AX360" s="8" t="str">
        <f>IF(C360&gt;0,VLOOKUP(C360,Foundation_Calc!$E$2:$G$986,3,1),
IF(J360&gt;0,VLOOKUP(J360,Foundation_Calc!$E$2:$G$986,3,1),""))</f>
        <v/>
      </c>
      <c r="AY360" s="631" t="str">
        <f>IF(L360="","",
IF(AX360="PT",VLOOKUP(L360,Foundation_Calc!$K$4:$R$37,VLOOKUP(AW360,Foundation_Calc!$I$2:$J$8,2,FALSE),0),
IF(AX360="K",VLOOKUP(L360,Foundation_Calc!$K$41:$R$74,VLOOKUP(AW360,Foundation_Calc!$I$2:$J$8,2,FALSE),0),"")))</f>
        <v/>
      </c>
      <c r="AZ360" s="631" t="str">
        <f>IF(K360="","",
IF(AX360="PT",VLOOKUP(K360,Foundation_Calc!$K$4:$R$37,VLOOKUP(AW360,Foundation_Calc!$I$2:$J$8,2,FALSE),0),
IF(AX360="K",VLOOKUP(K360,Foundation_Calc!$K$41:$R$74,VLOOKUP(AW360,Foundation_Calc!$I$2:$J$8,2,FALSE),0),"")))</f>
        <v/>
      </c>
      <c r="BA360" s="632" t="str">
        <f t="shared" si="22"/>
        <v/>
      </c>
      <c r="BB360" s="632" t="str">
        <f t="shared" si="23"/>
        <v/>
      </c>
      <c r="BC360" s="632" t="str">
        <f t="shared" si="24"/>
        <v/>
      </c>
      <c r="BD360" s="633" t="str">
        <f>IF(AND(L360="",H360=""),"",
IF(H360="",Pole_Calc!A388,
IF(H360="MP",Pole_Calc!A389,
IF(H360="AnMP",Pole_Calc!A390,
IF(H360="A",Pole_Calc!A391,
IF(H360="S/A",Pole_Calc!A392,
IF(H360="A/S",Pole_Calc!A393,"Poner a mano")))))))</f>
        <v/>
      </c>
      <c r="BE360" s="448" t="s">
        <v>1726</v>
      </c>
      <c r="BF360" s="634"/>
      <c r="BG360" s="634"/>
      <c r="BH360" s="634"/>
      <c r="BI360" s="634"/>
    </row>
    <row r="361" spans="1:61" ht="16.2" customHeight="1">
      <c r="A361" s="12"/>
      <c r="B361" s="446"/>
      <c r="C361" s="89"/>
      <c r="D361" s="13"/>
      <c r="E361" s="14"/>
      <c r="F361" s="14"/>
      <c r="G361" s="15"/>
      <c r="H361" s="8"/>
      <c r="I361" s="8"/>
      <c r="J361" s="89"/>
      <c r="K361" s="8"/>
      <c r="L361" s="8"/>
      <c r="M361" s="8" t="str">
        <f>IF(L361="","",
IF(AX361="PT",VLOOKUP(L361,Foundation_Calc!$V$4:$X$37,VLOOKUP(AX361,Foundation_Calc!$I$10:$J$13,2,FALSE),0),
IF(AX361="K",VLOOKUP(L361,Foundation_Calc!$V$41:$X$74,VLOOKUP(AX361,Foundation_Calc!$I$10:$J$13,2,FALSE),0),"")))</f>
        <v/>
      </c>
      <c r="N361" s="8"/>
      <c r="O361" s="8"/>
      <c r="P361" s="8"/>
      <c r="Q361" s="14"/>
      <c r="R361" s="15"/>
      <c r="S361" s="15"/>
      <c r="T361" s="14"/>
      <c r="U361" s="14"/>
      <c r="V361" s="14"/>
      <c r="W361" s="18"/>
      <c r="X361" s="18"/>
      <c r="Y361" s="18"/>
      <c r="Z361" s="18"/>
      <c r="AA361" s="18"/>
      <c r="AB361" s="18"/>
      <c r="AC361" s="8" t="str">
        <f t="shared" si="21"/>
        <v/>
      </c>
      <c r="AD361" s="8"/>
      <c r="AE361" s="8"/>
      <c r="AF361" s="14"/>
      <c r="AG361" s="13"/>
      <c r="AH361" s="14"/>
      <c r="AI361" s="14"/>
      <c r="AJ361" s="8"/>
      <c r="AK361" s="8"/>
      <c r="AL361" s="8"/>
      <c r="AM361" s="8"/>
      <c r="AN361" s="631"/>
      <c r="AO361" s="18"/>
      <c r="AP361" s="18"/>
      <c r="AQ361" s="18"/>
      <c r="AR361" s="18"/>
      <c r="AS361" s="18"/>
      <c r="AU361" s="448"/>
      <c r="AV361" s="448"/>
      <c r="AW361" s="8" t="str">
        <f>IF(C361&gt;0,VLOOKUP(C361,Foundation_Calc!$A$2:$C$986,3,1),
IF(J361&gt;0,VLOOKUP(J361,Foundation_Calc!$A$2:$C$986,3,1),""))</f>
        <v/>
      </c>
      <c r="AX361" s="8" t="str">
        <f>IF(C361&gt;0,VLOOKUP(C361,Foundation_Calc!$E$2:$G$986,3,1),
IF(J361&gt;0,VLOOKUP(J361,Foundation_Calc!$E$2:$G$986,3,1),""))</f>
        <v/>
      </c>
      <c r="AY361" s="631" t="str">
        <f>IF(L361="","",
IF(AX361="PT",VLOOKUP(L361,Foundation_Calc!$K$4:$R$37,VLOOKUP(AW361,Foundation_Calc!$I$2:$J$8,2,FALSE),0),
IF(AX361="K",VLOOKUP(L361,Foundation_Calc!$K$41:$R$74,VLOOKUP(AW361,Foundation_Calc!$I$2:$J$8,2,FALSE),0),"")))</f>
        <v/>
      </c>
      <c r="AZ361" s="631" t="str">
        <f>IF(K361="","",
IF(AX361="PT",VLOOKUP(K361,Foundation_Calc!$K$4:$R$37,VLOOKUP(AW361,Foundation_Calc!$I$2:$J$8,2,FALSE),0),
IF(AX361="K",VLOOKUP(K361,Foundation_Calc!$K$41:$R$74,VLOOKUP(AW361,Foundation_Calc!$I$2:$J$8,2,FALSE),0),"")))</f>
        <v/>
      </c>
      <c r="BA361" s="632" t="str">
        <f t="shared" si="22"/>
        <v/>
      </c>
      <c r="BB361" s="632" t="str">
        <f t="shared" si="23"/>
        <v/>
      </c>
      <c r="BC361" s="632" t="str">
        <f t="shared" si="24"/>
        <v/>
      </c>
      <c r="BD361" s="633" t="str">
        <f>IF(AND(L361="",H361=""),"",
IF(H361="",Pole_Calc!A389,
IF(H361="MP",Pole_Calc!A390,
IF(H361="AnMP",Pole_Calc!A391,
IF(H361="A",Pole_Calc!A392,
IF(H361="S/A",Pole_Calc!A393,
IF(H361="A/S",Pole_Calc!A394,"Poner a mano")))))))</f>
        <v/>
      </c>
      <c r="BE361" s="448" t="s">
        <v>1726</v>
      </c>
      <c r="BF361" s="635"/>
      <c r="BG361" s="635"/>
      <c r="BH361" s="634"/>
      <c r="BI361" s="635"/>
    </row>
    <row r="362" spans="1:61" ht="16.2" customHeight="1">
      <c r="A362" s="12"/>
      <c r="B362" s="446"/>
      <c r="C362" s="89"/>
      <c r="D362" s="13"/>
      <c r="E362" s="14"/>
      <c r="F362" s="14"/>
      <c r="G362" s="15"/>
      <c r="H362" s="8"/>
      <c r="I362" s="8"/>
      <c r="J362" s="89"/>
      <c r="K362" s="8"/>
      <c r="L362" s="8"/>
      <c r="M362" s="8" t="str">
        <f>IF(L362="","",
IF(AX362="PT",VLOOKUP(L362,Foundation_Calc!$V$4:$X$37,VLOOKUP(AX362,Foundation_Calc!$I$10:$J$13,2,FALSE),0),
IF(AX362="K",VLOOKUP(L362,Foundation_Calc!$V$41:$X$74,VLOOKUP(AX362,Foundation_Calc!$I$10:$J$13,2,FALSE),0),"")))</f>
        <v/>
      </c>
      <c r="N362" s="8"/>
      <c r="O362" s="8"/>
      <c r="P362" s="8"/>
      <c r="Q362" s="14"/>
      <c r="R362" s="15"/>
      <c r="S362" s="15"/>
      <c r="T362" s="14"/>
      <c r="U362" s="14"/>
      <c r="V362" s="14"/>
      <c r="W362" s="18"/>
      <c r="X362" s="18"/>
      <c r="Y362" s="18"/>
      <c r="Z362" s="18"/>
      <c r="AA362" s="18"/>
      <c r="AB362" s="18"/>
      <c r="AC362" s="8" t="str">
        <f t="shared" si="21"/>
        <v/>
      </c>
      <c r="AD362" s="8"/>
      <c r="AE362" s="8"/>
      <c r="AF362" s="14"/>
      <c r="AG362" s="13"/>
      <c r="AH362" s="14"/>
      <c r="AI362" s="14"/>
      <c r="AJ362" s="8"/>
      <c r="AK362" s="8"/>
      <c r="AL362" s="8"/>
      <c r="AM362" s="8"/>
      <c r="AN362" s="631"/>
      <c r="AO362" s="18"/>
      <c r="AP362" s="18"/>
      <c r="AQ362" s="18"/>
      <c r="AR362" s="18"/>
      <c r="AS362" s="18"/>
      <c r="AU362" s="448"/>
      <c r="AV362" s="448"/>
      <c r="AW362" s="8" t="str">
        <f>IF(C362&gt;0,VLOOKUP(C362,Foundation_Calc!$A$2:$C$986,3,1),
IF(J362&gt;0,VLOOKUP(J362,Foundation_Calc!$A$2:$C$986,3,1),""))</f>
        <v/>
      </c>
      <c r="AX362" s="8" t="str">
        <f>IF(C362&gt;0,VLOOKUP(C362,Foundation_Calc!$E$2:$G$986,3,1),
IF(J362&gt;0,VLOOKUP(J362,Foundation_Calc!$E$2:$G$986,3,1),""))</f>
        <v/>
      </c>
      <c r="AY362" s="631" t="str">
        <f>IF(L362="","",
IF(AX362="PT",VLOOKUP(L362,Foundation_Calc!$K$4:$R$37,VLOOKUP(AW362,Foundation_Calc!$I$2:$J$8,2,FALSE),0),
IF(AX362="K",VLOOKUP(L362,Foundation_Calc!$K$41:$R$74,VLOOKUP(AW362,Foundation_Calc!$I$2:$J$8,2,FALSE),0),"")))</f>
        <v/>
      </c>
      <c r="AZ362" s="631" t="str">
        <f>IF(K362="","",
IF(AX362="PT",VLOOKUP(K362,Foundation_Calc!$K$4:$R$37,VLOOKUP(AW362,Foundation_Calc!$I$2:$J$8,2,FALSE),0),
IF(AX362="K",VLOOKUP(K362,Foundation_Calc!$K$41:$R$74,VLOOKUP(AW362,Foundation_Calc!$I$2:$J$8,2,FALSE),0),"")))</f>
        <v/>
      </c>
      <c r="BA362" s="632" t="str">
        <f t="shared" si="22"/>
        <v/>
      </c>
      <c r="BB362" s="632" t="str">
        <f t="shared" si="23"/>
        <v/>
      </c>
      <c r="BC362" s="632" t="str">
        <f t="shared" si="24"/>
        <v/>
      </c>
      <c r="BD362" s="633" t="str">
        <f>IF(AND(L362="",H362=""),"",
IF(H362="",Pole_Calc!A390,
IF(H362="MP",Pole_Calc!A391,
IF(H362="AnMP",Pole_Calc!A392,
IF(H362="A",Pole_Calc!A393,
IF(H362="S/A",Pole_Calc!A394,
IF(H362="A/S",Pole_Calc!A395,"Poner a mano")))))))</f>
        <v/>
      </c>
      <c r="BE362" s="448" t="s">
        <v>1726</v>
      </c>
      <c r="BF362" s="634"/>
      <c r="BG362" s="634"/>
      <c r="BH362" s="634"/>
      <c r="BI362" s="634"/>
    </row>
    <row r="363" spans="1:61" ht="16.2" customHeight="1">
      <c r="A363" s="12"/>
      <c r="B363" s="446"/>
      <c r="C363" s="89"/>
      <c r="D363" s="13"/>
      <c r="E363" s="14"/>
      <c r="F363" s="14"/>
      <c r="G363" s="15"/>
      <c r="H363" s="8"/>
      <c r="I363" s="8"/>
      <c r="J363" s="89"/>
      <c r="K363" s="8"/>
      <c r="L363" s="8"/>
      <c r="M363" s="8" t="str">
        <f>IF(L363="","",
IF(AX363="PT",VLOOKUP(L363,Foundation_Calc!$V$4:$X$37,VLOOKUP(AX363,Foundation_Calc!$I$10:$J$13,2,FALSE),0),
IF(AX363="K",VLOOKUP(L363,Foundation_Calc!$V$41:$X$74,VLOOKUP(AX363,Foundation_Calc!$I$10:$J$13,2,FALSE),0),"")))</f>
        <v/>
      </c>
      <c r="N363" s="8"/>
      <c r="O363" s="8"/>
      <c r="P363" s="8"/>
      <c r="Q363" s="14"/>
      <c r="R363" s="15"/>
      <c r="S363" s="15"/>
      <c r="T363" s="14"/>
      <c r="U363" s="14"/>
      <c r="V363" s="14"/>
      <c r="W363" s="18"/>
      <c r="X363" s="18"/>
      <c r="Y363" s="18"/>
      <c r="Z363" s="18"/>
      <c r="AA363" s="18"/>
      <c r="AB363" s="18"/>
      <c r="AC363" s="8" t="str">
        <f t="shared" si="21"/>
        <v/>
      </c>
      <c r="AD363" s="8"/>
      <c r="AE363" s="8"/>
      <c r="AF363" s="14"/>
      <c r="AG363" s="13"/>
      <c r="AH363" s="14"/>
      <c r="AI363" s="14"/>
      <c r="AJ363" s="8"/>
      <c r="AK363" s="8"/>
      <c r="AL363" s="8"/>
      <c r="AM363" s="8"/>
      <c r="AN363" s="631"/>
      <c r="AO363" s="18"/>
      <c r="AP363" s="18"/>
      <c r="AQ363" s="18"/>
      <c r="AR363" s="18"/>
      <c r="AS363" s="18"/>
      <c r="AU363" s="448"/>
      <c r="AV363" s="448"/>
      <c r="AW363" s="8" t="str">
        <f>IF(C363&gt;0,VLOOKUP(C363,Foundation_Calc!$A$2:$C$986,3,1),
IF(J363&gt;0,VLOOKUP(J363,Foundation_Calc!$A$2:$C$986,3,1),""))</f>
        <v/>
      </c>
      <c r="AX363" s="8" t="str">
        <f>IF(C363&gt;0,VLOOKUP(C363,Foundation_Calc!$E$2:$G$986,3,1),
IF(J363&gt;0,VLOOKUP(J363,Foundation_Calc!$E$2:$G$986,3,1),""))</f>
        <v/>
      </c>
      <c r="AY363" s="631" t="str">
        <f>IF(L363="","",
IF(AX363="PT",VLOOKUP(L363,Foundation_Calc!$K$4:$R$37,VLOOKUP(AW363,Foundation_Calc!$I$2:$J$8,2,FALSE),0),
IF(AX363="K",VLOOKUP(L363,Foundation_Calc!$K$41:$R$74,VLOOKUP(AW363,Foundation_Calc!$I$2:$J$8,2,FALSE),0),"")))</f>
        <v/>
      </c>
      <c r="AZ363" s="631" t="str">
        <f>IF(K363="","",
IF(AX363="PT",VLOOKUP(K363,Foundation_Calc!$K$4:$R$37,VLOOKUP(AW363,Foundation_Calc!$I$2:$J$8,2,FALSE),0),
IF(AX363="K",VLOOKUP(K363,Foundation_Calc!$K$41:$R$74,VLOOKUP(AW363,Foundation_Calc!$I$2:$J$8,2,FALSE),0),"")))</f>
        <v/>
      </c>
      <c r="BA363" s="632" t="str">
        <f t="shared" si="22"/>
        <v/>
      </c>
      <c r="BB363" s="632" t="str">
        <f t="shared" si="23"/>
        <v/>
      </c>
      <c r="BC363" s="632" t="str">
        <f t="shared" si="24"/>
        <v/>
      </c>
      <c r="BD363" s="633" t="str">
        <f>IF(AND(L363="",H363=""),"",
IF(H363="",Pole_Calc!A391,
IF(H363="MP",Pole_Calc!A392,
IF(H363="AnMP",Pole_Calc!A393,
IF(H363="A",Pole_Calc!A394,
IF(H363="S/A",Pole_Calc!A395,
IF(H363="A/S",Pole_Calc!A396,"Poner a mano")))))))</f>
        <v/>
      </c>
      <c r="BE363" s="448" t="s">
        <v>1726</v>
      </c>
      <c r="BF363" s="635"/>
      <c r="BG363" s="635"/>
      <c r="BH363" s="634"/>
      <c r="BI363" s="635"/>
    </row>
    <row r="364" spans="1:61" ht="16.2" customHeight="1">
      <c r="A364" s="12"/>
      <c r="B364" s="446"/>
      <c r="C364" s="89"/>
      <c r="D364" s="13"/>
      <c r="E364" s="14"/>
      <c r="F364" s="14"/>
      <c r="G364" s="15"/>
      <c r="H364" s="8"/>
      <c r="I364" s="8"/>
      <c r="J364" s="89"/>
      <c r="K364" s="8"/>
      <c r="L364" s="8"/>
      <c r="M364" s="8" t="str">
        <f>IF(L364="","",
IF(AX364="PT",VLOOKUP(L364,Foundation_Calc!$V$4:$X$37,VLOOKUP(AX364,Foundation_Calc!$I$10:$J$13,2,FALSE),0),
IF(AX364="K",VLOOKUP(L364,Foundation_Calc!$V$41:$X$74,VLOOKUP(AX364,Foundation_Calc!$I$10:$J$13,2,FALSE),0),"")))</f>
        <v/>
      </c>
      <c r="N364" s="8"/>
      <c r="O364" s="8"/>
      <c r="P364" s="8"/>
      <c r="Q364" s="14"/>
      <c r="R364" s="15"/>
      <c r="S364" s="15"/>
      <c r="T364" s="14"/>
      <c r="U364" s="14"/>
      <c r="V364" s="14"/>
      <c r="W364" s="18"/>
      <c r="X364" s="18"/>
      <c r="Y364" s="18"/>
      <c r="Z364" s="18"/>
      <c r="AA364" s="18"/>
      <c r="AB364" s="18"/>
      <c r="AC364" s="8" t="str">
        <f t="shared" si="21"/>
        <v/>
      </c>
      <c r="AD364" s="8"/>
      <c r="AE364" s="8"/>
      <c r="AF364" s="14"/>
      <c r="AG364" s="13"/>
      <c r="AH364" s="14"/>
      <c r="AI364" s="14"/>
      <c r="AJ364" s="8"/>
      <c r="AK364" s="8"/>
      <c r="AL364" s="8"/>
      <c r="AM364" s="8"/>
      <c r="AN364" s="631"/>
      <c r="AO364" s="18"/>
      <c r="AP364" s="18"/>
      <c r="AQ364" s="18"/>
      <c r="AR364" s="18"/>
      <c r="AS364" s="18"/>
      <c r="AU364" s="448"/>
      <c r="AV364" s="448"/>
      <c r="AW364" s="8" t="str">
        <f>IF(C364&gt;0,VLOOKUP(C364,Foundation_Calc!$A$2:$C$986,3,1),
IF(J364&gt;0,VLOOKUP(J364,Foundation_Calc!$A$2:$C$986,3,1),""))</f>
        <v/>
      </c>
      <c r="AX364" s="8" t="str">
        <f>IF(C364&gt;0,VLOOKUP(C364,Foundation_Calc!$E$2:$G$986,3,1),
IF(J364&gt;0,VLOOKUP(J364,Foundation_Calc!$E$2:$G$986,3,1),""))</f>
        <v/>
      </c>
      <c r="AY364" s="631" t="str">
        <f>IF(L364="","",
IF(AX364="PT",VLOOKUP(L364,Foundation_Calc!$K$4:$R$37,VLOOKUP(AW364,Foundation_Calc!$I$2:$J$8,2,FALSE),0),
IF(AX364="K",VLOOKUP(L364,Foundation_Calc!$K$41:$R$74,VLOOKUP(AW364,Foundation_Calc!$I$2:$J$8,2,FALSE),0),"")))</f>
        <v/>
      </c>
      <c r="AZ364" s="631" t="str">
        <f>IF(K364="","",
IF(AX364="PT",VLOOKUP(K364,Foundation_Calc!$K$4:$R$37,VLOOKUP(AW364,Foundation_Calc!$I$2:$J$8,2,FALSE),0),
IF(AX364="K",VLOOKUP(K364,Foundation_Calc!$K$41:$R$74,VLOOKUP(AW364,Foundation_Calc!$I$2:$J$8,2,FALSE),0),"")))</f>
        <v/>
      </c>
      <c r="BA364" s="632" t="str">
        <f t="shared" si="22"/>
        <v/>
      </c>
      <c r="BB364" s="632" t="str">
        <f t="shared" si="23"/>
        <v/>
      </c>
      <c r="BC364" s="632" t="str">
        <f t="shared" si="24"/>
        <v/>
      </c>
      <c r="BD364" s="633" t="str">
        <f>IF(AND(L364="",H364=""),"",
IF(H364="",Pole_Calc!A392,
IF(H364="MP",Pole_Calc!A393,
IF(H364="AnMP",Pole_Calc!A394,
IF(H364="A",Pole_Calc!A395,
IF(H364="S/A",Pole_Calc!A396,
IF(H364="A/S",Pole_Calc!A397,"Poner a mano")))))))</f>
        <v/>
      </c>
      <c r="BE364" s="448" t="s">
        <v>1726</v>
      </c>
      <c r="BF364" s="634"/>
      <c r="BG364" s="634"/>
      <c r="BH364" s="634"/>
      <c r="BI364" s="634"/>
    </row>
    <row r="365" spans="1:61" ht="16.2" customHeight="1">
      <c r="A365" s="12"/>
      <c r="B365" s="446"/>
      <c r="C365" s="89"/>
      <c r="D365" s="13"/>
      <c r="E365" s="14"/>
      <c r="F365" s="14"/>
      <c r="G365" s="15"/>
      <c r="H365" s="8"/>
      <c r="I365" s="8"/>
      <c r="J365" s="89"/>
      <c r="K365" s="8"/>
      <c r="L365" s="8"/>
      <c r="M365" s="8" t="str">
        <f>IF(L365="","",
IF(AX365="PT",VLOOKUP(L365,Foundation_Calc!$V$4:$X$37,VLOOKUP(AX365,Foundation_Calc!$I$10:$J$13,2,FALSE),0),
IF(AX365="K",VLOOKUP(L365,Foundation_Calc!$V$41:$X$74,VLOOKUP(AX365,Foundation_Calc!$I$10:$J$13,2,FALSE),0),"")))</f>
        <v/>
      </c>
      <c r="N365" s="8"/>
      <c r="O365" s="8"/>
      <c r="P365" s="8"/>
      <c r="Q365" s="14"/>
      <c r="R365" s="15"/>
      <c r="S365" s="15"/>
      <c r="T365" s="14"/>
      <c r="U365" s="14"/>
      <c r="V365" s="14"/>
      <c r="W365" s="18"/>
      <c r="X365" s="18"/>
      <c r="Y365" s="18"/>
      <c r="Z365" s="18"/>
      <c r="AA365" s="18"/>
      <c r="AB365" s="18"/>
      <c r="AC365" s="8" t="str">
        <f t="shared" si="21"/>
        <v/>
      </c>
      <c r="AD365" s="8"/>
      <c r="AE365" s="8"/>
      <c r="AF365" s="14"/>
      <c r="AG365" s="13"/>
      <c r="AH365" s="14"/>
      <c r="AI365" s="14"/>
      <c r="AJ365" s="8"/>
      <c r="AK365" s="8"/>
      <c r="AL365" s="8"/>
      <c r="AM365" s="8"/>
      <c r="AN365" s="631"/>
      <c r="AO365" s="18"/>
      <c r="AP365" s="18"/>
      <c r="AQ365" s="18"/>
      <c r="AR365" s="18"/>
      <c r="AS365" s="18"/>
      <c r="AU365" s="448"/>
      <c r="AV365" s="448"/>
      <c r="AW365" s="8" t="str">
        <f>IF(C365&gt;0,VLOOKUP(C365,Foundation_Calc!$A$2:$C$986,3,1),
IF(J365&gt;0,VLOOKUP(J365,Foundation_Calc!$A$2:$C$986,3,1),""))</f>
        <v/>
      </c>
      <c r="AX365" s="8" t="str">
        <f>IF(C365&gt;0,VLOOKUP(C365,Foundation_Calc!$E$2:$G$986,3,1),
IF(J365&gt;0,VLOOKUP(J365,Foundation_Calc!$E$2:$G$986,3,1),""))</f>
        <v/>
      </c>
      <c r="AY365" s="631" t="str">
        <f>IF(L365="","",
IF(AX365="PT",VLOOKUP(L365,Foundation_Calc!$K$4:$R$37,VLOOKUP(AW365,Foundation_Calc!$I$2:$J$8,2,FALSE),0),
IF(AX365="K",VLOOKUP(L365,Foundation_Calc!$K$41:$R$74,VLOOKUP(AW365,Foundation_Calc!$I$2:$J$8,2,FALSE),0),"")))</f>
        <v/>
      </c>
      <c r="AZ365" s="631" t="str">
        <f>IF(K365="","",
IF(AX365="PT",VLOOKUP(K365,Foundation_Calc!$K$4:$R$37,VLOOKUP(AW365,Foundation_Calc!$I$2:$J$8,2,FALSE),0),
IF(AX365="K",VLOOKUP(K365,Foundation_Calc!$K$41:$R$74,VLOOKUP(AW365,Foundation_Calc!$I$2:$J$8,2,FALSE),0),"")))</f>
        <v/>
      </c>
      <c r="BA365" s="632" t="str">
        <f t="shared" si="22"/>
        <v/>
      </c>
      <c r="BB365" s="632" t="str">
        <f t="shared" si="23"/>
        <v/>
      </c>
      <c r="BC365" s="632" t="str">
        <f t="shared" si="24"/>
        <v/>
      </c>
      <c r="BD365" s="633" t="str">
        <f>IF(AND(L365="",H365=""),"",
IF(H365="",Pole_Calc!A393,
IF(H365="MP",Pole_Calc!A394,
IF(H365="AnMP",Pole_Calc!A395,
IF(H365="A",Pole_Calc!A396,
IF(H365="S/A",Pole_Calc!A397,
IF(H365="A/S",Pole_Calc!A398,"Poner a mano")))))))</f>
        <v/>
      </c>
      <c r="BE365" s="448" t="s">
        <v>1726</v>
      </c>
      <c r="BF365" s="635"/>
      <c r="BG365" s="635"/>
      <c r="BH365" s="634"/>
      <c r="BI365" s="635"/>
    </row>
    <row r="366" spans="1:61" ht="16.2" customHeight="1">
      <c r="A366" s="12"/>
      <c r="B366" s="446"/>
      <c r="C366" s="89"/>
      <c r="D366" s="13"/>
      <c r="E366" s="14"/>
      <c r="F366" s="14"/>
      <c r="G366" s="15"/>
      <c r="H366" s="8"/>
      <c r="I366" s="8"/>
      <c r="J366" s="89"/>
      <c r="K366" s="8"/>
      <c r="L366" s="8"/>
      <c r="M366" s="8" t="str">
        <f>IF(L366="","",
IF(AX366="PT",VLOOKUP(L366,Foundation_Calc!$V$4:$X$37,VLOOKUP(AX366,Foundation_Calc!$I$10:$J$13,2,FALSE),0),
IF(AX366="K",VLOOKUP(L366,Foundation_Calc!$V$41:$X$74,VLOOKUP(AX366,Foundation_Calc!$I$10:$J$13,2,FALSE),0),"")))</f>
        <v/>
      </c>
      <c r="N366" s="8"/>
      <c r="O366" s="8"/>
      <c r="P366" s="8"/>
      <c r="Q366" s="14"/>
      <c r="R366" s="15"/>
      <c r="S366" s="15"/>
      <c r="T366" s="14"/>
      <c r="U366" s="14"/>
      <c r="V366" s="14"/>
      <c r="W366" s="18"/>
      <c r="X366" s="18"/>
      <c r="Y366" s="18"/>
      <c r="Z366" s="18"/>
      <c r="AA366" s="18"/>
      <c r="AB366" s="18"/>
      <c r="AC366" s="8" t="str">
        <f t="shared" si="21"/>
        <v/>
      </c>
      <c r="AD366" s="8"/>
      <c r="AE366" s="8"/>
      <c r="AF366" s="14"/>
      <c r="AG366" s="13"/>
      <c r="AH366" s="14"/>
      <c r="AI366" s="14"/>
      <c r="AJ366" s="8"/>
      <c r="AK366" s="8"/>
      <c r="AL366" s="8"/>
      <c r="AM366" s="8"/>
      <c r="AN366" s="631"/>
      <c r="AO366" s="18"/>
      <c r="AP366" s="18"/>
      <c r="AQ366" s="18"/>
      <c r="AR366" s="18"/>
      <c r="AS366" s="18"/>
      <c r="AU366" s="448"/>
      <c r="AV366" s="448"/>
      <c r="AW366" s="8" t="str">
        <f>IF(C366&gt;0,VLOOKUP(C366,Foundation_Calc!$A$2:$C$986,3,1),
IF(J366&gt;0,VLOOKUP(J366,Foundation_Calc!$A$2:$C$986,3,1),""))</f>
        <v/>
      </c>
      <c r="AX366" s="8" t="str">
        <f>IF(C366&gt;0,VLOOKUP(C366,Foundation_Calc!$E$2:$G$986,3,1),
IF(J366&gt;0,VLOOKUP(J366,Foundation_Calc!$E$2:$G$986,3,1),""))</f>
        <v/>
      </c>
      <c r="AY366" s="631" t="str">
        <f>IF(L366="","",
IF(AX366="PT",VLOOKUP(L366,Foundation_Calc!$K$4:$R$37,VLOOKUP(AW366,Foundation_Calc!$I$2:$J$8,2,FALSE),0),
IF(AX366="K",VLOOKUP(L366,Foundation_Calc!$K$41:$R$74,VLOOKUP(AW366,Foundation_Calc!$I$2:$J$8,2,FALSE),0),"")))</f>
        <v/>
      </c>
      <c r="AZ366" s="631" t="str">
        <f>IF(K366="","",
IF(AX366="PT",VLOOKUP(K366,Foundation_Calc!$K$4:$R$37,VLOOKUP(AW366,Foundation_Calc!$I$2:$J$8,2,FALSE),0),
IF(AX366="K",VLOOKUP(K366,Foundation_Calc!$K$41:$R$74,VLOOKUP(AW366,Foundation_Calc!$I$2:$J$8,2,FALSE),0),"")))</f>
        <v/>
      </c>
      <c r="BA366" s="632" t="str">
        <f t="shared" si="22"/>
        <v/>
      </c>
      <c r="BB366" s="632" t="str">
        <f t="shared" si="23"/>
        <v/>
      </c>
      <c r="BC366" s="632" t="str">
        <f t="shared" si="24"/>
        <v/>
      </c>
      <c r="BD366" s="633" t="str">
        <f>IF(AND(L366="",H366=""),"",
IF(H366="",Pole_Calc!A394,
IF(H366="MP",Pole_Calc!A395,
IF(H366="AnMP",Pole_Calc!A396,
IF(H366="A",Pole_Calc!A397,
IF(H366="S/A",Pole_Calc!A398,
IF(H366="A/S",Pole_Calc!A399,"Poner a mano")))))))</f>
        <v/>
      </c>
      <c r="BE366" s="448" t="s">
        <v>1726</v>
      </c>
      <c r="BF366" s="634"/>
      <c r="BG366" s="634"/>
      <c r="BH366" s="634"/>
      <c r="BI366" s="634"/>
    </row>
    <row r="367" spans="1:61" ht="16.2" customHeight="1">
      <c r="A367" s="12"/>
      <c r="B367" s="446"/>
      <c r="C367" s="89"/>
      <c r="D367" s="13"/>
      <c r="E367" s="14"/>
      <c r="F367" s="14"/>
      <c r="G367" s="15"/>
      <c r="H367" s="8"/>
      <c r="I367" s="8"/>
      <c r="J367" s="89"/>
      <c r="K367" s="8"/>
      <c r="L367" s="8"/>
      <c r="M367" s="8" t="str">
        <f>IF(L367="","",
IF(AX367="PT",VLOOKUP(L367,Foundation_Calc!$V$4:$X$37,VLOOKUP(AX367,Foundation_Calc!$I$10:$J$13,2,FALSE),0),
IF(AX367="K",VLOOKUP(L367,Foundation_Calc!$V$41:$X$74,VLOOKUP(AX367,Foundation_Calc!$I$10:$J$13,2,FALSE),0),"")))</f>
        <v/>
      </c>
      <c r="N367" s="8"/>
      <c r="O367" s="8"/>
      <c r="P367" s="8"/>
      <c r="Q367" s="14"/>
      <c r="R367" s="15"/>
      <c r="S367" s="15"/>
      <c r="T367" s="14"/>
      <c r="U367" s="14"/>
      <c r="V367" s="14"/>
      <c r="W367" s="18"/>
      <c r="X367" s="18"/>
      <c r="Y367" s="18"/>
      <c r="Z367" s="18"/>
      <c r="AA367" s="18"/>
      <c r="AB367" s="18"/>
      <c r="AC367" s="8" t="str">
        <f t="shared" si="21"/>
        <v/>
      </c>
      <c r="AD367" s="8"/>
      <c r="AE367" s="8"/>
      <c r="AF367" s="14"/>
      <c r="AG367" s="13"/>
      <c r="AH367" s="14"/>
      <c r="AI367" s="14"/>
      <c r="AJ367" s="8"/>
      <c r="AK367" s="8"/>
      <c r="AL367" s="8"/>
      <c r="AM367" s="8"/>
      <c r="AN367" s="631"/>
      <c r="AO367" s="18"/>
      <c r="AP367" s="18"/>
      <c r="AQ367" s="18"/>
      <c r="AR367" s="18"/>
      <c r="AS367" s="18"/>
      <c r="AU367" s="448"/>
      <c r="AV367" s="448"/>
      <c r="AW367" s="8" t="str">
        <f>IF(C367&gt;0,VLOOKUP(C367,Foundation_Calc!$A$2:$C$986,3,1),
IF(J367&gt;0,VLOOKUP(J367,Foundation_Calc!$A$2:$C$986,3,1),""))</f>
        <v/>
      </c>
      <c r="AX367" s="8" t="str">
        <f>IF(C367&gt;0,VLOOKUP(C367,Foundation_Calc!$E$2:$G$986,3,1),
IF(J367&gt;0,VLOOKUP(J367,Foundation_Calc!$E$2:$G$986,3,1),""))</f>
        <v/>
      </c>
      <c r="AY367" s="631" t="str">
        <f>IF(L367="","",
IF(AX367="PT",VLOOKUP(L367,Foundation_Calc!$K$4:$R$37,VLOOKUP(AW367,Foundation_Calc!$I$2:$J$8,2,FALSE),0),
IF(AX367="K",VLOOKUP(L367,Foundation_Calc!$K$41:$R$74,VLOOKUP(AW367,Foundation_Calc!$I$2:$J$8,2,FALSE),0),"")))</f>
        <v/>
      </c>
      <c r="AZ367" s="631" t="str">
        <f>IF(K367="","",
IF(AX367="PT",VLOOKUP(K367,Foundation_Calc!$K$4:$R$37,VLOOKUP(AW367,Foundation_Calc!$I$2:$J$8,2,FALSE),0),
IF(AX367="K",VLOOKUP(K367,Foundation_Calc!$K$41:$R$74,VLOOKUP(AW367,Foundation_Calc!$I$2:$J$8,2,FALSE),0),"")))</f>
        <v/>
      </c>
      <c r="BA367" s="632" t="str">
        <f t="shared" si="22"/>
        <v/>
      </c>
      <c r="BB367" s="632" t="str">
        <f t="shared" si="23"/>
        <v/>
      </c>
      <c r="BC367" s="632" t="str">
        <f t="shared" si="24"/>
        <v/>
      </c>
      <c r="BD367" s="633" t="str">
        <f>IF(AND(L367="",H367=""),"",
IF(H367="",Pole_Calc!A395,
IF(H367="MP",Pole_Calc!A396,
IF(H367="AnMP",Pole_Calc!A397,
IF(H367="A",Pole_Calc!A398,
IF(H367="S/A",Pole_Calc!A399,
IF(H367="A/S",Pole_Calc!A400,"Poner a mano")))))))</f>
        <v/>
      </c>
      <c r="BE367" s="448" t="s">
        <v>1726</v>
      </c>
      <c r="BF367" s="635"/>
      <c r="BG367" s="635"/>
      <c r="BH367" s="634"/>
      <c r="BI367" s="635"/>
    </row>
    <row r="368" spans="1:61" ht="16.2" customHeight="1">
      <c r="A368" s="12"/>
      <c r="B368" s="446"/>
      <c r="C368" s="89"/>
      <c r="D368" s="13"/>
      <c r="E368" s="14"/>
      <c r="F368" s="14"/>
      <c r="G368" s="15"/>
      <c r="H368" s="8"/>
      <c r="I368" s="8"/>
      <c r="J368" s="89"/>
      <c r="K368" s="8"/>
      <c r="L368" s="8"/>
      <c r="M368" s="8" t="str">
        <f>IF(L368="","",
IF(AX368="PT",VLOOKUP(L368,Foundation_Calc!$V$4:$X$37,VLOOKUP(AX368,Foundation_Calc!$I$10:$J$13,2,FALSE),0),
IF(AX368="K",VLOOKUP(L368,Foundation_Calc!$V$41:$X$74,VLOOKUP(AX368,Foundation_Calc!$I$10:$J$13,2,FALSE),0),"")))</f>
        <v/>
      </c>
      <c r="N368" s="8"/>
      <c r="O368" s="8"/>
      <c r="P368" s="8"/>
      <c r="Q368" s="14"/>
      <c r="R368" s="15"/>
      <c r="S368" s="15"/>
      <c r="T368" s="14"/>
      <c r="U368" s="14"/>
      <c r="V368" s="14"/>
      <c r="W368" s="18"/>
      <c r="X368" s="18"/>
      <c r="Y368" s="18"/>
      <c r="Z368" s="18"/>
      <c r="AA368" s="18"/>
      <c r="AB368" s="18"/>
      <c r="AC368" s="8" t="str">
        <f t="shared" si="21"/>
        <v/>
      </c>
      <c r="AD368" s="8"/>
      <c r="AE368" s="8"/>
      <c r="AF368" s="14"/>
      <c r="AG368" s="13"/>
      <c r="AH368" s="14"/>
      <c r="AI368" s="14"/>
      <c r="AJ368" s="8"/>
      <c r="AK368" s="8"/>
      <c r="AL368" s="8"/>
      <c r="AM368" s="8"/>
      <c r="AN368" s="631"/>
      <c r="AO368" s="18"/>
      <c r="AP368" s="18"/>
      <c r="AQ368" s="18"/>
      <c r="AR368" s="18"/>
      <c r="AS368" s="18"/>
      <c r="AU368" s="448"/>
      <c r="AV368" s="448"/>
      <c r="AW368" s="8" t="str">
        <f>IF(C368&gt;0,VLOOKUP(C368,Foundation_Calc!$A$2:$C$986,3,1),
IF(J368&gt;0,VLOOKUP(J368,Foundation_Calc!$A$2:$C$986,3,1),""))</f>
        <v/>
      </c>
      <c r="AX368" s="8" t="str">
        <f>IF(C368&gt;0,VLOOKUP(C368,Foundation_Calc!$E$2:$G$986,3,1),
IF(J368&gt;0,VLOOKUP(J368,Foundation_Calc!$E$2:$G$986,3,1),""))</f>
        <v/>
      </c>
      <c r="AY368" s="631" t="str">
        <f>IF(L368="","",
IF(AX368="PT",VLOOKUP(L368,Foundation_Calc!$K$4:$R$37,VLOOKUP(AW368,Foundation_Calc!$I$2:$J$8,2,FALSE),0),
IF(AX368="K",VLOOKUP(L368,Foundation_Calc!$K$41:$R$74,VLOOKUP(AW368,Foundation_Calc!$I$2:$J$8,2,FALSE),0),"")))</f>
        <v/>
      </c>
      <c r="AZ368" s="631" t="str">
        <f>IF(K368="","",
IF(AX368="PT",VLOOKUP(K368,Foundation_Calc!$K$4:$R$37,VLOOKUP(AW368,Foundation_Calc!$I$2:$J$8,2,FALSE),0),
IF(AX368="K",VLOOKUP(K368,Foundation_Calc!$K$41:$R$74,VLOOKUP(AW368,Foundation_Calc!$I$2:$J$8,2,FALSE),0),"")))</f>
        <v/>
      </c>
      <c r="BA368" s="632" t="str">
        <f t="shared" si="22"/>
        <v/>
      </c>
      <c r="BB368" s="632" t="str">
        <f t="shared" si="23"/>
        <v/>
      </c>
      <c r="BC368" s="632" t="str">
        <f t="shared" si="24"/>
        <v/>
      </c>
      <c r="BD368" s="633" t="str">
        <f>IF(AND(L368="",H368=""),"",
IF(H368="",Pole_Calc!A396,
IF(H368="MP",Pole_Calc!A397,
IF(H368="AnMP",Pole_Calc!A398,
IF(H368="A",Pole_Calc!A399,
IF(H368="S/A",Pole_Calc!A400,
IF(H368="A/S",Pole_Calc!A401,"Poner a mano")))))))</f>
        <v/>
      </c>
      <c r="BE368" s="448" t="s">
        <v>1726</v>
      </c>
      <c r="BF368" s="634"/>
      <c r="BG368" s="634"/>
      <c r="BH368" s="634"/>
      <c r="BI368" s="634"/>
    </row>
    <row r="369" spans="1:61" ht="16.2" customHeight="1">
      <c r="A369" s="12"/>
      <c r="B369" s="446"/>
      <c r="C369" s="89"/>
      <c r="D369" s="13"/>
      <c r="E369" s="14"/>
      <c r="F369" s="14"/>
      <c r="G369" s="15"/>
      <c r="H369" s="8"/>
      <c r="I369" s="8"/>
      <c r="J369" s="89"/>
      <c r="K369" s="8"/>
      <c r="L369" s="8"/>
      <c r="M369" s="8" t="str">
        <f>IF(L369="","",
IF(AX369="PT",VLOOKUP(L369,Foundation_Calc!$V$4:$X$37,VLOOKUP(AX369,Foundation_Calc!$I$10:$J$13,2,FALSE),0),
IF(AX369="K",VLOOKUP(L369,Foundation_Calc!$V$41:$X$74,VLOOKUP(AX369,Foundation_Calc!$I$10:$J$13,2,FALSE),0),"")))</f>
        <v/>
      </c>
      <c r="N369" s="8"/>
      <c r="O369" s="8"/>
      <c r="P369" s="8"/>
      <c r="Q369" s="14"/>
      <c r="R369" s="15"/>
      <c r="S369" s="15"/>
      <c r="T369" s="14"/>
      <c r="U369" s="14"/>
      <c r="V369" s="14"/>
      <c r="W369" s="18"/>
      <c r="X369" s="18"/>
      <c r="Y369" s="18"/>
      <c r="Z369" s="18"/>
      <c r="AA369" s="18"/>
      <c r="AB369" s="18"/>
      <c r="AC369" s="8" t="str">
        <f t="shared" si="21"/>
        <v/>
      </c>
      <c r="AD369" s="8"/>
      <c r="AE369" s="8"/>
      <c r="AF369" s="14"/>
      <c r="AG369" s="13"/>
      <c r="AH369" s="14"/>
      <c r="AI369" s="14"/>
      <c r="AJ369" s="8"/>
      <c r="AK369" s="8"/>
      <c r="AL369" s="8"/>
      <c r="AM369" s="8"/>
      <c r="AN369" s="631"/>
      <c r="AO369" s="18"/>
      <c r="AP369" s="18"/>
      <c r="AQ369" s="18"/>
      <c r="AR369" s="18"/>
      <c r="AS369" s="18"/>
      <c r="AU369" s="448"/>
      <c r="AV369" s="448"/>
      <c r="AW369" s="8" t="str">
        <f>IF(C369&gt;0,VLOOKUP(C369,Foundation_Calc!$A$2:$C$986,3,1),
IF(J369&gt;0,VLOOKUP(J369,Foundation_Calc!$A$2:$C$986,3,1),""))</f>
        <v/>
      </c>
      <c r="AX369" s="8" t="str">
        <f>IF(C369&gt;0,VLOOKUP(C369,Foundation_Calc!$E$2:$G$986,3,1),
IF(J369&gt;0,VLOOKUP(J369,Foundation_Calc!$E$2:$G$986,3,1),""))</f>
        <v/>
      </c>
      <c r="AY369" s="631" t="str">
        <f>IF(L369="","",
IF(AX369="PT",VLOOKUP(L369,Foundation_Calc!$K$4:$R$37,VLOOKUP(AW369,Foundation_Calc!$I$2:$J$8,2,FALSE),0),
IF(AX369="K",VLOOKUP(L369,Foundation_Calc!$K$41:$R$74,VLOOKUP(AW369,Foundation_Calc!$I$2:$J$8,2,FALSE),0),"")))</f>
        <v/>
      </c>
      <c r="AZ369" s="631" t="str">
        <f>IF(K369="","",
IF(AX369="PT",VLOOKUP(K369,Foundation_Calc!$K$4:$R$37,VLOOKUP(AW369,Foundation_Calc!$I$2:$J$8,2,FALSE),0),
IF(AX369="K",VLOOKUP(K369,Foundation_Calc!$K$41:$R$74,VLOOKUP(AW369,Foundation_Calc!$I$2:$J$8,2,FALSE),0),"")))</f>
        <v/>
      </c>
      <c r="BA369" s="632" t="str">
        <f t="shared" si="22"/>
        <v/>
      </c>
      <c r="BB369" s="632" t="str">
        <f t="shared" si="23"/>
        <v/>
      </c>
      <c r="BC369" s="632" t="str">
        <f t="shared" si="24"/>
        <v/>
      </c>
      <c r="BD369" s="633" t="str">
        <f>IF(AND(L369="",H369=""),"",
IF(H369="",Pole_Calc!A397,
IF(H369="MP",Pole_Calc!A398,
IF(H369="AnMP",Pole_Calc!A399,
IF(H369="A",Pole_Calc!A400,
IF(H369="S/A",Pole_Calc!A401,
IF(H369="A/S",Pole_Calc!A402,"Poner a mano")))))))</f>
        <v/>
      </c>
      <c r="BE369" s="448" t="s">
        <v>1726</v>
      </c>
      <c r="BF369" s="635"/>
      <c r="BG369" s="635"/>
      <c r="BH369" s="634"/>
      <c r="BI369" s="635"/>
    </row>
    <row r="370" spans="1:61" ht="16.2" customHeight="1">
      <c r="A370" s="12"/>
      <c r="B370" s="446"/>
      <c r="C370" s="89"/>
      <c r="D370" s="13"/>
      <c r="E370" s="14"/>
      <c r="F370" s="14"/>
      <c r="G370" s="15"/>
      <c r="H370" s="8"/>
      <c r="I370" s="8"/>
      <c r="J370" s="89"/>
      <c r="K370" s="8"/>
      <c r="L370" s="8"/>
      <c r="M370" s="8" t="str">
        <f>IF(L370="","",
IF(AX370="PT",VLOOKUP(L370,Foundation_Calc!$V$4:$X$37,VLOOKUP(AX370,Foundation_Calc!$I$10:$J$13,2,FALSE),0),
IF(AX370="K",VLOOKUP(L370,Foundation_Calc!$V$41:$X$74,VLOOKUP(AX370,Foundation_Calc!$I$10:$J$13,2,FALSE),0),"")))</f>
        <v/>
      </c>
      <c r="N370" s="8"/>
      <c r="O370" s="8"/>
      <c r="P370" s="8"/>
      <c r="Q370" s="14"/>
      <c r="R370" s="15"/>
      <c r="S370" s="15"/>
      <c r="T370" s="14"/>
      <c r="U370" s="14"/>
      <c r="V370" s="14"/>
      <c r="W370" s="18"/>
      <c r="X370" s="18"/>
      <c r="Y370" s="18"/>
      <c r="Z370" s="18"/>
      <c r="AA370" s="18"/>
      <c r="AB370" s="18"/>
      <c r="AC370" s="8" t="str">
        <f t="shared" si="21"/>
        <v/>
      </c>
      <c r="AD370" s="8"/>
      <c r="AE370" s="8"/>
      <c r="AF370" s="14"/>
      <c r="AG370" s="13"/>
      <c r="AH370" s="14"/>
      <c r="AI370" s="14"/>
      <c r="AJ370" s="8"/>
      <c r="AK370" s="8"/>
      <c r="AL370" s="8"/>
      <c r="AM370" s="8"/>
      <c r="AN370" s="631"/>
      <c r="AO370" s="18"/>
      <c r="AP370" s="18"/>
      <c r="AQ370" s="18"/>
      <c r="AR370" s="18"/>
      <c r="AS370" s="18"/>
      <c r="AU370" s="448"/>
      <c r="AV370" s="448"/>
      <c r="AW370" s="8" t="str">
        <f>IF(C370&gt;0,VLOOKUP(C370,Foundation_Calc!$A$2:$C$986,3,1),
IF(J370&gt;0,VLOOKUP(J370,Foundation_Calc!$A$2:$C$986,3,1),""))</f>
        <v/>
      </c>
      <c r="AX370" s="8" t="str">
        <f>IF(C370&gt;0,VLOOKUP(C370,Foundation_Calc!$E$2:$G$986,3,1),
IF(J370&gt;0,VLOOKUP(J370,Foundation_Calc!$E$2:$G$986,3,1),""))</f>
        <v/>
      </c>
      <c r="AY370" s="631" t="str">
        <f>IF(L370="","",
IF(AX370="PT",VLOOKUP(L370,Foundation_Calc!$K$4:$R$37,VLOOKUP(AW370,Foundation_Calc!$I$2:$J$8,2,FALSE),0),
IF(AX370="K",VLOOKUP(L370,Foundation_Calc!$K$41:$R$74,VLOOKUP(AW370,Foundation_Calc!$I$2:$J$8,2,FALSE),0),"")))</f>
        <v/>
      </c>
      <c r="AZ370" s="631" t="str">
        <f>IF(K370="","",
IF(AX370="PT",VLOOKUP(K370,Foundation_Calc!$K$4:$R$37,VLOOKUP(AW370,Foundation_Calc!$I$2:$J$8,2,FALSE),0),
IF(AX370="K",VLOOKUP(K370,Foundation_Calc!$K$41:$R$74,VLOOKUP(AW370,Foundation_Calc!$I$2:$J$8,2,FALSE),0),"")))</f>
        <v/>
      </c>
      <c r="BA370" s="632" t="str">
        <f t="shared" si="22"/>
        <v/>
      </c>
      <c r="BB370" s="632" t="str">
        <f t="shared" si="23"/>
        <v/>
      </c>
      <c r="BC370" s="632" t="str">
        <f t="shared" si="24"/>
        <v/>
      </c>
      <c r="BD370" s="633" t="str">
        <f>IF(AND(L370="",H370=""),"",
IF(H370="",Pole_Calc!A398,
IF(H370="MP",Pole_Calc!A399,
IF(H370="AnMP",Pole_Calc!A400,
IF(H370="A",Pole_Calc!A401,
IF(H370="S/A",Pole_Calc!A402,
IF(H370="A/S",Pole_Calc!A403,"Poner a mano")))))))</f>
        <v/>
      </c>
      <c r="BE370" s="448" t="s">
        <v>1726</v>
      </c>
      <c r="BF370" s="634"/>
      <c r="BG370" s="634"/>
      <c r="BH370" s="634"/>
      <c r="BI370" s="634"/>
    </row>
    <row r="371" spans="1:61" ht="16.2" customHeight="1">
      <c r="A371" s="12"/>
      <c r="B371" s="446"/>
      <c r="C371" s="89"/>
      <c r="D371" s="13"/>
      <c r="E371" s="14"/>
      <c r="F371" s="14"/>
      <c r="G371" s="15"/>
      <c r="H371" s="8"/>
      <c r="I371" s="8"/>
      <c r="J371" s="89"/>
      <c r="K371" s="8"/>
      <c r="L371" s="8"/>
      <c r="M371" s="8" t="str">
        <f>IF(L371="","",
IF(AX371="PT",VLOOKUP(L371,Foundation_Calc!$V$4:$X$37,VLOOKUP(AX371,Foundation_Calc!$I$10:$J$13,2,FALSE),0),
IF(AX371="K",VLOOKUP(L371,Foundation_Calc!$V$41:$X$74,VLOOKUP(AX371,Foundation_Calc!$I$10:$J$13,2,FALSE),0),"")))</f>
        <v/>
      </c>
      <c r="N371" s="8"/>
      <c r="O371" s="8"/>
      <c r="P371" s="8"/>
      <c r="Q371" s="14"/>
      <c r="R371" s="15"/>
      <c r="S371" s="15"/>
      <c r="T371" s="14"/>
      <c r="U371" s="14"/>
      <c r="V371" s="14"/>
      <c r="W371" s="18"/>
      <c r="X371" s="18"/>
      <c r="Y371" s="18"/>
      <c r="Z371" s="18"/>
      <c r="AA371" s="18"/>
      <c r="AB371" s="18"/>
      <c r="AC371" s="8" t="str">
        <f t="shared" si="21"/>
        <v/>
      </c>
      <c r="AD371" s="8"/>
      <c r="AE371" s="8"/>
      <c r="AF371" s="14"/>
      <c r="AG371" s="13"/>
      <c r="AH371" s="14"/>
      <c r="AI371" s="14"/>
      <c r="AJ371" s="8"/>
      <c r="AK371" s="8"/>
      <c r="AL371" s="8"/>
      <c r="AM371" s="8"/>
      <c r="AN371" s="631"/>
      <c r="AO371" s="18"/>
      <c r="AP371" s="18"/>
      <c r="AQ371" s="18"/>
      <c r="AR371" s="18"/>
      <c r="AS371" s="18"/>
      <c r="AU371" s="448"/>
      <c r="AV371" s="448"/>
      <c r="AW371" s="8" t="str">
        <f>IF(C371&gt;0,VLOOKUP(C371,Foundation_Calc!$A$2:$C$986,3,1),
IF(J371&gt;0,VLOOKUP(J371,Foundation_Calc!$A$2:$C$986,3,1),""))</f>
        <v/>
      </c>
      <c r="AX371" s="8" t="str">
        <f>IF(C371&gt;0,VLOOKUP(C371,Foundation_Calc!$E$2:$G$986,3,1),
IF(J371&gt;0,VLOOKUP(J371,Foundation_Calc!$E$2:$G$986,3,1),""))</f>
        <v/>
      </c>
      <c r="AY371" s="631" t="str">
        <f>IF(L371="","",
IF(AX371="PT",VLOOKUP(L371,Foundation_Calc!$K$4:$R$37,VLOOKUP(AW371,Foundation_Calc!$I$2:$J$8,2,FALSE),0),
IF(AX371="K",VLOOKUP(L371,Foundation_Calc!$K$41:$R$74,VLOOKUP(AW371,Foundation_Calc!$I$2:$J$8,2,FALSE),0),"")))</f>
        <v/>
      </c>
      <c r="AZ371" s="631" t="str">
        <f>IF(K371="","",
IF(AX371="PT",VLOOKUP(K371,Foundation_Calc!$K$4:$R$37,VLOOKUP(AW371,Foundation_Calc!$I$2:$J$8,2,FALSE),0),
IF(AX371="K",VLOOKUP(K371,Foundation_Calc!$K$41:$R$74,VLOOKUP(AW371,Foundation_Calc!$I$2:$J$8,2,FALSE),0),"")))</f>
        <v/>
      </c>
      <c r="BA371" s="632" t="str">
        <f t="shared" si="22"/>
        <v/>
      </c>
      <c r="BB371" s="632" t="str">
        <f t="shared" si="23"/>
        <v/>
      </c>
      <c r="BC371" s="632" t="str">
        <f t="shared" si="24"/>
        <v/>
      </c>
      <c r="BD371" s="633" t="str">
        <f>IF(AND(L371="",H371=""),"",
IF(H371="",Pole_Calc!A399,
IF(H371="MP",Pole_Calc!A400,
IF(H371="AnMP",Pole_Calc!A401,
IF(H371="A",Pole_Calc!A402,
IF(H371="S/A",Pole_Calc!A403,
IF(H371="A/S",Pole_Calc!A404,"Poner a mano")))))))</f>
        <v/>
      </c>
      <c r="BE371" s="448" t="s">
        <v>1726</v>
      </c>
      <c r="BF371" s="635"/>
      <c r="BG371" s="635"/>
      <c r="BH371" s="634"/>
      <c r="BI371" s="635"/>
    </row>
    <row r="372" spans="1:61" ht="16.2" customHeight="1">
      <c r="A372" s="12"/>
      <c r="B372" s="446"/>
      <c r="C372" s="89"/>
      <c r="D372" s="13"/>
      <c r="E372" s="14"/>
      <c r="F372" s="14"/>
      <c r="G372" s="15"/>
      <c r="H372" s="8"/>
      <c r="I372" s="8"/>
      <c r="J372" s="89"/>
      <c r="K372" s="8"/>
      <c r="L372" s="8"/>
      <c r="M372" s="8" t="str">
        <f>IF(L372="","",
IF(AX372="PT",VLOOKUP(L372,Foundation_Calc!$V$4:$X$37,VLOOKUP(AX372,Foundation_Calc!$I$10:$J$13,2,FALSE),0),
IF(AX372="K",VLOOKUP(L372,Foundation_Calc!$V$41:$X$74,VLOOKUP(AX372,Foundation_Calc!$I$10:$J$13,2,FALSE),0),"")))</f>
        <v/>
      </c>
      <c r="N372" s="8"/>
      <c r="O372" s="8"/>
      <c r="P372" s="8"/>
      <c r="Q372" s="14"/>
      <c r="R372" s="15"/>
      <c r="S372" s="15"/>
      <c r="T372" s="14"/>
      <c r="U372" s="14"/>
      <c r="V372" s="14"/>
      <c r="W372" s="18"/>
      <c r="X372" s="18"/>
      <c r="Y372" s="18"/>
      <c r="Z372" s="18"/>
      <c r="AA372" s="18"/>
      <c r="AB372" s="18"/>
      <c r="AC372" s="8" t="str">
        <f t="shared" si="21"/>
        <v/>
      </c>
      <c r="AD372" s="8"/>
      <c r="AE372" s="8"/>
      <c r="AF372" s="14"/>
      <c r="AG372" s="13"/>
      <c r="AH372" s="14"/>
      <c r="AI372" s="14"/>
      <c r="AJ372" s="8"/>
      <c r="AK372" s="8"/>
      <c r="AL372" s="8"/>
      <c r="AM372" s="8"/>
      <c r="AN372" s="631"/>
      <c r="AO372" s="18"/>
      <c r="AP372" s="18"/>
      <c r="AQ372" s="18"/>
      <c r="AR372" s="18"/>
      <c r="AS372" s="18"/>
      <c r="AU372" s="448"/>
      <c r="AV372" s="448"/>
      <c r="AW372" s="8" t="str">
        <f>IF(C372&gt;0,VLOOKUP(C372,Foundation_Calc!$A$2:$C$986,3,1),
IF(J372&gt;0,VLOOKUP(J372,Foundation_Calc!$A$2:$C$986,3,1),""))</f>
        <v/>
      </c>
      <c r="AX372" s="8" t="str">
        <f>IF(C372&gt;0,VLOOKUP(C372,Foundation_Calc!$E$2:$G$986,3,1),
IF(J372&gt;0,VLOOKUP(J372,Foundation_Calc!$E$2:$G$986,3,1),""))</f>
        <v/>
      </c>
      <c r="AY372" s="631" t="str">
        <f>IF(L372="","",
IF(AX372="PT",VLOOKUP(L372,Foundation_Calc!$K$4:$R$37,VLOOKUP(AW372,Foundation_Calc!$I$2:$J$8,2,FALSE),0),
IF(AX372="K",VLOOKUP(L372,Foundation_Calc!$K$41:$R$74,VLOOKUP(AW372,Foundation_Calc!$I$2:$J$8,2,FALSE),0),"")))</f>
        <v/>
      </c>
      <c r="AZ372" s="631" t="str">
        <f>IF(K372="","",
IF(AX372="PT",VLOOKUP(K372,Foundation_Calc!$K$4:$R$37,VLOOKUP(AW372,Foundation_Calc!$I$2:$J$8,2,FALSE),0),
IF(AX372="K",VLOOKUP(K372,Foundation_Calc!$K$41:$R$74,VLOOKUP(AW372,Foundation_Calc!$I$2:$J$8,2,FALSE),0),"")))</f>
        <v/>
      </c>
      <c r="BA372" s="632" t="str">
        <f t="shared" si="22"/>
        <v/>
      </c>
      <c r="BB372" s="632" t="str">
        <f t="shared" si="23"/>
        <v/>
      </c>
      <c r="BC372" s="632" t="str">
        <f t="shared" si="24"/>
        <v/>
      </c>
      <c r="BD372" s="633" t="str">
        <f>IF(AND(L372="",H372=""),"",
IF(H372="",Pole_Calc!A400,
IF(H372="MP",Pole_Calc!A401,
IF(H372="AnMP",Pole_Calc!A402,
IF(H372="A",Pole_Calc!A403,
IF(H372="S/A",Pole_Calc!A404,
IF(H372="A/S",Pole_Calc!A405,"Poner a mano")))))))</f>
        <v/>
      </c>
      <c r="BE372" s="448" t="s">
        <v>1726</v>
      </c>
      <c r="BF372" s="634"/>
      <c r="BG372" s="634"/>
      <c r="BH372" s="634"/>
      <c r="BI372" s="634"/>
    </row>
    <row r="373" spans="1:61" ht="16.2" customHeight="1">
      <c r="A373" s="12"/>
      <c r="B373" s="446"/>
      <c r="C373" s="89"/>
      <c r="D373" s="13"/>
      <c r="E373" s="14"/>
      <c r="F373" s="14"/>
      <c r="G373" s="15"/>
      <c r="H373" s="8"/>
      <c r="I373" s="8"/>
      <c r="J373" s="89"/>
      <c r="K373" s="8"/>
      <c r="L373" s="8"/>
      <c r="M373" s="8" t="str">
        <f>IF(L373="","",
IF(AX373="PT",VLOOKUP(L373,Foundation_Calc!$V$4:$X$37,VLOOKUP(AX373,Foundation_Calc!$I$10:$J$13,2,FALSE),0),
IF(AX373="K",VLOOKUP(L373,Foundation_Calc!$V$41:$X$74,VLOOKUP(AX373,Foundation_Calc!$I$10:$J$13,2,FALSE),0),"")))</f>
        <v/>
      </c>
      <c r="N373" s="8"/>
      <c r="O373" s="8"/>
      <c r="P373" s="8"/>
      <c r="Q373" s="14"/>
      <c r="R373" s="15"/>
      <c r="S373" s="15"/>
      <c r="T373" s="14"/>
      <c r="U373" s="14"/>
      <c r="V373" s="14"/>
      <c r="W373" s="18"/>
      <c r="X373" s="18"/>
      <c r="Y373" s="18"/>
      <c r="Z373" s="18"/>
      <c r="AA373" s="18"/>
      <c r="AB373" s="18"/>
      <c r="AC373" s="8" t="str">
        <f t="shared" si="21"/>
        <v/>
      </c>
      <c r="AD373" s="8"/>
      <c r="AE373" s="8"/>
      <c r="AF373" s="14"/>
      <c r="AG373" s="13"/>
      <c r="AH373" s="14"/>
      <c r="AI373" s="14"/>
      <c r="AJ373" s="8"/>
      <c r="AK373" s="8"/>
      <c r="AL373" s="8"/>
      <c r="AM373" s="8"/>
      <c r="AN373" s="631"/>
      <c r="AO373" s="18"/>
      <c r="AP373" s="18"/>
      <c r="AQ373" s="18"/>
      <c r="AR373" s="18"/>
      <c r="AS373" s="18"/>
      <c r="AU373" s="448"/>
      <c r="AV373" s="448"/>
      <c r="AW373" s="8" t="str">
        <f>IF(C373&gt;0,VLOOKUP(C373,Foundation_Calc!$A$2:$C$986,3,1),
IF(J373&gt;0,VLOOKUP(J373,Foundation_Calc!$A$2:$C$986,3,1),""))</f>
        <v/>
      </c>
      <c r="AX373" s="8" t="str">
        <f>IF(C373&gt;0,VLOOKUP(C373,Foundation_Calc!$E$2:$G$986,3,1),
IF(J373&gt;0,VLOOKUP(J373,Foundation_Calc!$E$2:$G$986,3,1),""))</f>
        <v/>
      </c>
      <c r="AY373" s="631" t="str">
        <f>IF(L373="","",
IF(AX373="PT",VLOOKUP(L373,Foundation_Calc!$K$4:$R$37,VLOOKUP(AW373,Foundation_Calc!$I$2:$J$8,2,FALSE),0),
IF(AX373="K",VLOOKUP(L373,Foundation_Calc!$K$41:$R$74,VLOOKUP(AW373,Foundation_Calc!$I$2:$J$8,2,FALSE),0),"")))</f>
        <v/>
      </c>
      <c r="AZ373" s="631" t="str">
        <f>IF(K373="","",
IF(AX373="PT",VLOOKUP(K373,Foundation_Calc!$K$4:$R$37,VLOOKUP(AW373,Foundation_Calc!$I$2:$J$8,2,FALSE),0),
IF(AX373="K",VLOOKUP(K373,Foundation_Calc!$K$41:$R$74,VLOOKUP(AW373,Foundation_Calc!$I$2:$J$8,2,FALSE),0),"")))</f>
        <v/>
      </c>
      <c r="BA373" s="632" t="str">
        <f t="shared" si="22"/>
        <v/>
      </c>
      <c r="BB373" s="632" t="str">
        <f t="shared" si="23"/>
        <v/>
      </c>
      <c r="BC373" s="632" t="str">
        <f t="shared" si="24"/>
        <v/>
      </c>
      <c r="BD373" s="633" t="str">
        <f>IF(AND(L373="",H373=""),"",
IF(H373="",Pole_Calc!A401,
IF(H373="MP",Pole_Calc!A402,
IF(H373="AnMP",Pole_Calc!A403,
IF(H373="A",Pole_Calc!A404,
IF(H373="S/A",Pole_Calc!A405,
IF(H373="A/S",Pole_Calc!A406,"Poner a mano")))))))</f>
        <v/>
      </c>
      <c r="BE373" s="448" t="s">
        <v>1726</v>
      </c>
      <c r="BF373" s="635"/>
      <c r="BG373" s="635"/>
      <c r="BH373" s="634"/>
      <c r="BI373" s="635"/>
    </row>
    <row r="374" spans="1:61" ht="16.2" customHeight="1">
      <c r="A374" s="12"/>
      <c r="B374" s="446"/>
      <c r="C374" s="89"/>
      <c r="D374" s="13"/>
      <c r="E374" s="14"/>
      <c r="F374" s="14"/>
      <c r="G374" s="15"/>
      <c r="H374" s="8"/>
      <c r="I374" s="8"/>
      <c r="J374" s="89"/>
      <c r="K374" s="8"/>
      <c r="L374" s="8"/>
      <c r="M374" s="8" t="str">
        <f>IF(L374="","",
IF(AX374="PT",VLOOKUP(L374,Foundation_Calc!$V$4:$X$37,VLOOKUP(AX374,Foundation_Calc!$I$10:$J$13,2,FALSE),0),
IF(AX374="K",VLOOKUP(L374,Foundation_Calc!$V$41:$X$74,VLOOKUP(AX374,Foundation_Calc!$I$10:$J$13,2,FALSE),0),"")))</f>
        <v/>
      </c>
      <c r="N374" s="8"/>
      <c r="O374" s="8"/>
      <c r="P374" s="8"/>
      <c r="Q374" s="14"/>
      <c r="R374" s="15"/>
      <c r="S374" s="15"/>
      <c r="T374" s="14"/>
      <c r="U374" s="14"/>
      <c r="V374" s="14"/>
      <c r="W374" s="18"/>
      <c r="X374" s="18"/>
      <c r="Y374" s="18"/>
      <c r="Z374" s="18"/>
      <c r="AA374" s="18"/>
      <c r="AB374" s="18"/>
      <c r="AC374" s="8" t="str">
        <f t="shared" si="21"/>
        <v/>
      </c>
      <c r="AD374" s="8"/>
      <c r="AE374" s="8"/>
      <c r="AF374" s="14"/>
      <c r="AG374" s="13"/>
      <c r="AH374" s="14"/>
      <c r="AI374" s="14"/>
      <c r="AJ374" s="8"/>
      <c r="AK374" s="8"/>
      <c r="AL374" s="8"/>
      <c r="AM374" s="8"/>
      <c r="AN374" s="631"/>
      <c r="AO374" s="18"/>
      <c r="AP374" s="18"/>
      <c r="AQ374" s="18"/>
      <c r="AR374" s="18"/>
      <c r="AS374" s="18"/>
      <c r="AU374" s="448"/>
      <c r="AV374" s="448"/>
      <c r="AW374" s="8" t="str">
        <f>IF(C374&gt;0,VLOOKUP(C374,Foundation_Calc!$A$2:$C$986,3,1),
IF(J374&gt;0,VLOOKUP(J374,Foundation_Calc!$A$2:$C$986,3,1),""))</f>
        <v/>
      </c>
      <c r="AX374" s="8" t="str">
        <f>IF(C374&gt;0,VLOOKUP(C374,Foundation_Calc!$E$2:$G$986,3,1),
IF(J374&gt;0,VLOOKUP(J374,Foundation_Calc!$E$2:$G$986,3,1),""))</f>
        <v/>
      </c>
      <c r="AY374" s="631" t="str">
        <f>IF(L374="","",
IF(AX374="PT",VLOOKUP(L374,Foundation_Calc!$K$4:$R$37,VLOOKUP(AW374,Foundation_Calc!$I$2:$J$8,2,FALSE),0),
IF(AX374="K",VLOOKUP(L374,Foundation_Calc!$K$41:$R$74,VLOOKUP(AW374,Foundation_Calc!$I$2:$J$8,2,FALSE),0),"")))</f>
        <v/>
      </c>
      <c r="AZ374" s="631" t="str">
        <f>IF(K374="","",
IF(AX374="PT",VLOOKUP(K374,Foundation_Calc!$K$4:$R$37,VLOOKUP(AW374,Foundation_Calc!$I$2:$J$8,2,FALSE),0),
IF(AX374="K",VLOOKUP(K374,Foundation_Calc!$K$41:$R$74,VLOOKUP(AW374,Foundation_Calc!$I$2:$J$8,2,FALSE),0),"")))</f>
        <v/>
      </c>
      <c r="BA374" s="632" t="str">
        <f t="shared" si="22"/>
        <v/>
      </c>
      <c r="BB374" s="632" t="str">
        <f t="shared" si="23"/>
        <v/>
      </c>
      <c r="BC374" s="632" t="str">
        <f t="shared" si="24"/>
        <v/>
      </c>
      <c r="BD374" s="633" t="str">
        <f>IF(AND(L374="",H374=""),"",
IF(H374="",Pole_Calc!A402,
IF(H374="MP",Pole_Calc!A403,
IF(H374="AnMP",Pole_Calc!A404,
IF(H374="A",Pole_Calc!A405,
IF(H374="S/A",Pole_Calc!A406,
IF(H374="A/S",Pole_Calc!A407,"Poner a mano")))))))</f>
        <v/>
      </c>
      <c r="BE374" s="448" t="s">
        <v>1726</v>
      </c>
      <c r="BF374" s="634"/>
      <c r="BG374" s="634"/>
      <c r="BH374" s="634"/>
      <c r="BI374" s="634"/>
    </row>
    <row r="375" spans="1:61" ht="16.2" customHeight="1">
      <c r="A375" s="12"/>
      <c r="B375" s="446"/>
      <c r="C375" s="89"/>
      <c r="D375" s="13"/>
      <c r="E375" s="14"/>
      <c r="F375" s="14"/>
      <c r="G375" s="15"/>
      <c r="H375" s="8"/>
      <c r="I375" s="8"/>
      <c r="J375" s="89"/>
      <c r="K375" s="8"/>
      <c r="L375" s="8"/>
      <c r="M375" s="8" t="str">
        <f>IF(L375="","",
IF(AX375="PT",VLOOKUP(L375,Foundation_Calc!$V$4:$X$37,VLOOKUP(AX375,Foundation_Calc!$I$10:$J$13,2,FALSE),0),
IF(AX375="K",VLOOKUP(L375,Foundation_Calc!$V$41:$X$74,VLOOKUP(AX375,Foundation_Calc!$I$10:$J$13,2,FALSE),0),"")))</f>
        <v/>
      </c>
      <c r="N375" s="8"/>
      <c r="O375" s="8"/>
      <c r="P375" s="8"/>
      <c r="Q375" s="14"/>
      <c r="R375" s="15"/>
      <c r="S375" s="15"/>
      <c r="T375" s="14"/>
      <c r="U375" s="14"/>
      <c r="V375" s="14"/>
      <c r="W375" s="18"/>
      <c r="X375" s="18"/>
      <c r="Y375" s="18"/>
      <c r="Z375" s="18"/>
      <c r="AA375" s="18"/>
      <c r="AB375" s="18"/>
      <c r="AC375" s="8" t="str">
        <f t="shared" si="21"/>
        <v/>
      </c>
      <c r="AD375" s="8"/>
      <c r="AE375" s="8"/>
      <c r="AF375" s="14"/>
      <c r="AG375" s="13"/>
      <c r="AH375" s="14"/>
      <c r="AI375" s="14"/>
      <c r="AJ375" s="8"/>
      <c r="AK375" s="8"/>
      <c r="AL375" s="8"/>
      <c r="AM375" s="8"/>
      <c r="AN375" s="631"/>
      <c r="AO375" s="18"/>
      <c r="AP375" s="18"/>
      <c r="AQ375" s="18"/>
      <c r="AR375" s="18"/>
      <c r="AS375" s="18"/>
      <c r="AU375" s="448"/>
      <c r="AV375" s="448"/>
      <c r="AW375" s="8" t="str">
        <f>IF(C375&gt;0,VLOOKUP(C375,Foundation_Calc!$A$2:$C$986,3,1),
IF(J375&gt;0,VLOOKUP(J375,Foundation_Calc!$A$2:$C$986,3,1),""))</f>
        <v/>
      </c>
      <c r="AX375" s="8" t="str">
        <f>IF(C375&gt;0,VLOOKUP(C375,Foundation_Calc!$E$2:$G$986,3,1),
IF(J375&gt;0,VLOOKUP(J375,Foundation_Calc!$E$2:$G$986,3,1),""))</f>
        <v/>
      </c>
      <c r="AY375" s="631" t="str">
        <f>IF(L375="","",
IF(AX375="PT",VLOOKUP(L375,Foundation_Calc!$K$4:$R$37,VLOOKUP(AW375,Foundation_Calc!$I$2:$J$8,2,FALSE),0),
IF(AX375="K",VLOOKUP(L375,Foundation_Calc!$K$41:$R$74,VLOOKUP(AW375,Foundation_Calc!$I$2:$J$8,2,FALSE),0),"")))</f>
        <v/>
      </c>
      <c r="AZ375" s="631" t="str">
        <f>IF(K375="","",
IF(AX375="PT",VLOOKUP(K375,Foundation_Calc!$K$4:$R$37,VLOOKUP(AW375,Foundation_Calc!$I$2:$J$8,2,FALSE),0),
IF(AX375="K",VLOOKUP(K375,Foundation_Calc!$K$41:$R$74,VLOOKUP(AW375,Foundation_Calc!$I$2:$J$8,2,FALSE),0),"")))</f>
        <v/>
      </c>
      <c r="BA375" s="632" t="str">
        <f t="shared" si="22"/>
        <v/>
      </c>
      <c r="BB375" s="632" t="str">
        <f t="shared" si="23"/>
        <v/>
      </c>
      <c r="BC375" s="632" t="str">
        <f t="shared" si="24"/>
        <v/>
      </c>
      <c r="BD375" s="633" t="str">
        <f>IF(AND(L375="",H375=""),"",
IF(H375="",Pole_Calc!A403,
IF(H375="MP",Pole_Calc!A404,
IF(H375="AnMP",Pole_Calc!A405,
IF(H375="A",Pole_Calc!A406,
IF(H375="S/A",Pole_Calc!A407,
IF(H375="A/S",Pole_Calc!A408,"Poner a mano")))))))</f>
        <v/>
      </c>
      <c r="BE375" s="448" t="s">
        <v>1726</v>
      </c>
      <c r="BF375" s="635"/>
      <c r="BG375" s="635"/>
      <c r="BH375" s="634"/>
      <c r="BI375" s="635"/>
    </row>
    <row r="376" spans="1:61" ht="16.2" customHeight="1">
      <c r="A376" s="12"/>
      <c r="B376" s="446"/>
      <c r="C376" s="89"/>
      <c r="D376" s="13"/>
      <c r="E376" s="14"/>
      <c r="F376" s="14"/>
      <c r="G376" s="15"/>
      <c r="H376" s="8"/>
      <c r="I376" s="8"/>
      <c r="J376" s="89"/>
      <c r="K376" s="8"/>
      <c r="L376" s="8"/>
      <c r="M376" s="8" t="str">
        <f>IF(L376="","",
IF(AX376="PT",VLOOKUP(L376,Foundation_Calc!$V$4:$X$37,VLOOKUP(AX376,Foundation_Calc!$I$10:$J$13,2,FALSE),0),
IF(AX376="K",VLOOKUP(L376,Foundation_Calc!$V$41:$X$74,VLOOKUP(AX376,Foundation_Calc!$I$10:$J$13,2,FALSE),0),"")))</f>
        <v/>
      </c>
      <c r="N376" s="8"/>
      <c r="O376" s="8"/>
      <c r="P376" s="8"/>
      <c r="Q376" s="14"/>
      <c r="R376" s="15"/>
      <c r="S376" s="15"/>
      <c r="T376" s="14"/>
      <c r="U376" s="14"/>
      <c r="V376" s="14"/>
      <c r="W376" s="18"/>
      <c r="X376" s="18"/>
      <c r="Y376" s="18"/>
      <c r="Z376" s="18"/>
      <c r="AA376" s="18"/>
      <c r="AB376" s="18"/>
      <c r="AC376" s="8" t="str">
        <f t="shared" si="21"/>
        <v/>
      </c>
      <c r="AD376" s="8"/>
      <c r="AE376" s="8"/>
      <c r="AF376" s="14"/>
      <c r="AG376" s="13"/>
      <c r="AH376" s="14"/>
      <c r="AI376" s="14"/>
      <c r="AJ376" s="8"/>
      <c r="AK376" s="8"/>
      <c r="AL376" s="8"/>
      <c r="AM376" s="8"/>
      <c r="AN376" s="631"/>
      <c r="AO376" s="18"/>
      <c r="AP376" s="18"/>
      <c r="AQ376" s="18"/>
      <c r="AR376" s="18"/>
      <c r="AS376" s="18"/>
      <c r="AU376" s="448"/>
      <c r="AV376" s="448"/>
      <c r="AW376" s="8" t="str">
        <f>IF(C376&gt;0,VLOOKUP(C376,Foundation_Calc!$A$2:$C$986,3,1),
IF(J376&gt;0,VLOOKUP(J376,Foundation_Calc!$A$2:$C$986,3,1),""))</f>
        <v/>
      </c>
      <c r="AX376" s="8" t="str">
        <f>IF(C376&gt;0,VLOOKUP(C376,Foundation_Calc!$E$2:$G$986,3,1),
IF(J376&gt;0,VLOOKUP(J376,Foundation_Calc!$E$2:$G$986,3,1),""))</f>
        <v/>
      </c>
      <c r="AY376" s="631" t="str">
        <f>IF(L376="","",
IF(AX376="PT",VLOOKUP(L376,Foundation_Calc!$K$4:$R$37,VLOOKUP(AW376,Foundation_Calc!$I$2:$J$8,2,FALSE),0),
IF(AX376="K",VLOOKUP(L376,Foundation_Calc!$K$41:$R$74,VLOOKUP(AW376,Foundation_Calc!$I$2:$J$8,2,FALSE),0),"")))</f>
        <v/>
      </c>
      <c r="AZ376" s="631" t="str">
        <f>IF(K376="","",
IF(AX376="PT",VLOOKUP(K376,Foundation_Calc!$K$4:$R$37,VLOOKUP(AW376,Foundation_Calc!$I$2:$J$8,2,FALSE),0),
IF(AX376="K",VLOOKUP(K376,Foundation_Calc!$K$41:$R$74,VLOOKUP(AW376,Foundation_Calc!$I$2:$J$8,2,FALSE),0),"")))</f>
        <v/>
      </c>
      <c r="BA376" s="632" t="str">
        <f t="shared" si="22"/>
        <v/>
      </c>
      <c r="BB376" s="632" t="str">
        <f t="shared" si="23"/>
        <v/>
      </c>
      <c r="BC376" s="632" t="str">
        <f t="shared" si="24"/>
        <v/>
      </c>
      <c r="BD376" s="633" t="str">
        <f>IF(AND(L376="",H376=""),"",
IF(H376="",Pole_Calc!A404,
IF(H376="MP",Pole_Calc!A405,
IF(H376="AnMP",Pole_Calc!A406,
IF(H376="A",Pole_Calc!A407,
IF(H376="S/A",Pole_Calc!A408,
IF(H376="A/S",Pole_Calc!A409,"Poner a mano")))))))</f>
        <v/>
      </c>
      <c r="BE376" s="448" t="s">
        <v>1726</v>
      </c>
      <c r="BF376" s="634"/>
      <c r="BG376" s="634"/>
      <c r="BH376" s="634"/>
      <c r="BI376" s="634"/>
    </row>
    <row r="377" spans="1:61" ht="16.2" customHeight="1">
      <c r="A377" s="12"/>
      <c r="B377" s="446"/>
      <c r="C377" s="89"/>
      <c r="D377" s="13"/>
      <c r="E377" s="14"/>
      <c r="F377" s="14"/>
      <c r="G377" s="15"/>
      <c r="H377" s="8"/>
      <c r="I377" s="8"/>
      <c r="J377" s="89"/>
      <c r="K377" s="8"/>
      <c r="L377" s="8"/>
      <c r="M377" s="8" t="str">
        <f>IF(L377="","",
IF(AX377="PT",VLOOKUP(L377,Foundation_Calc!$V$4:$X$37,VLOOKUP(AX377,Foundation_Calc!$I$10:$J$13,2,FALSE),0),
IF(AX377="K",VLOOKUP(L377,Foundation_Calc!$V$41:$X$74,VLOOKUP(AX377,Foundation_Calc!$I$10:$J$13,2,FALSE),0),"")))</f>
        <v/>
      </c>
      <c r="N377" s="8"/>
      <c r="O377" s="8"/>
      <c r="P377" s="8"/>
      <c r="Q377" s="14"/>
      <c r="R377" s="15"/>
      <c r="S377" s="15"/>
      <c r="T377" s="14"/>
      <c r="U377" s="14"/>
      <c r="V377" s="14"/>
      <c r="W377" s="18"/>
      <c r="X377" s="18"/>
      <c r="Y377" s="18"/>
      <c r="Z377" s="18"/>
      <c r="AA377" s="18"/>
      <c r="AB377" s="18"/>
      <c r="AC377" s="8" t="str">
        <f t="shared" si="21"/>
        <v/>
      </c>
      <c r="AD377" s="8"/>
      <c r="AE377" s="8"/>
      <c r="AF377" s="14"/>
      <c r="AG377" s="13"/>
      <c r="AH377" s="14"/>
      <c r="AI377" s="14"/>
      <c r="AJ377" s="8"/>
      <c r="AK377" s="8"/>
      <c r="AL377" s="8"/>
      <c r="AM377" s="8"/>
      <c r="AN377" s="631"/>
      <c r="AO377" s="18"/>
      <c r="AP377" s="18"/>
      <c r="AQ377" s="18"/>
      <c r="AR377" s="18"/>
      <c r="AS377" s="18"/>
      <c r="AU377" s="448"/>
      <c r="AV377" s="448"/>
      <c r="AW377" s="8" t="str">
        <f>IF(C377&gt;0,VLOOKUP(C377,Foundation_Calc!$A$2:$C$986,3,1),
IF(J377&gt;0,VLOOKUP(J377,Foundation_Calc!$A$2:$C$986,3,1),""))</f>
        <v/>
      </c>
      <c r="AX377" s="8" t="str">
        <f>IF(C377&gt;0,VLOOKUP(C377,Foundation_Calc!$E$2:$G$986,3,1),
IF(J377&gt;0,VLOOKUP(J377,Foundation_Calc!$E$2:$G$986,3,1),""))</f>
        <v/>
      </c>
      <c r="AY377" s="631" t="str">
        <f>IF(L377="","",
IF(AX377="PT",VLOOKUP(L377,Foundation_Calc!$K$4:$R$37,VLOOKUP(AW377,Foundation_Calc!$I$2:$J$8,2,FALSE),0),
IF(AX377="K",VLOOKUP(L377,Foundation_Calc!$K$41:$R$74,VLOOKUP(AW377,Foundation_Calc!$I$2:$J$8,2,FALSE),0),"")))</f>
        <v/>
      </c>
      <c r="AZ377" s="631" t="str">
        <f>IF(K377="","",
IF(AX377="PT",VLOOKUP(K377,Foundation_Calc!$K$4:$R$37,VLOOKUP(AW377,Foundation_Calc!$I$2:$J$8,2,FALSE),0),
IF(AX377="K",VLOOKUP(K377,Foundation_Calc!$K$41:$R$74,VLOOKUP(AW377,Foundation_Calc!$I$2:$J$8,2,FALSE),0),"")))</f>
        <v/>
      </c>
      <c r="BA377" s="632" t="str">
        <f t="shared" si="22"/>
        <v/>
      </c>
      <c r="BB377" s="632" t="str">
        <f t="shared" si="23"/>
        <v/>
      </c>
      <c r="BC377" s="632" t="str">
        <f t="shared" si="24"/>
        <v/>
      </c>
      <c r="BD377" s="633" t="str">
        <f>IF(AND(L377="",H377=""),"",
IF(H377="",Pole_Calc!A405,
IF(H377="MP",Pole_Calc!A406,
IF(H377="AnMP",Pole_Calc!A407,
IF(H377="A",Pole_Calc!A408,
IF(H377="S/A",Pole_Calc!A409,
IF(H377="A/S",Pole_Calc!A410,"Poner a mano")))))))</f>
        <v/>
      </c>
      <c r="BE377" s="448" t="s">
        <v>1726</v>
      </c>
      <c r="BF377" s="635"/>
      <c r="BG377" s="635"/>
      <c r="BH377" s="634"/>
      <c r="BI377" s="635"/>
    </row>
    <row r="378" spans="1:61" ht="16.2" customHeight="1">
      <c r="A378" s="12"/>
      <c r="B378" s="446"/>
      <c r="C378" s="89"/>
      <c r="D378" s="13"/>
      <c r="E378" s="14"/>
      <c r="F378" s="14"/>
      <c r="G378" s="15"/>
      <c r="H378" s="8"/>
      <c r="I378" s="8"/>
      <c r="J378" s="89"/>
      <c r="K378" s="8"/>
      <c r="L378" s="8"/>
      <c r="M378" s="8" t="str">
        <f>IF(L378="","",
IF(AX378="PT",VLOOKUP(L378,Foundation_Calc!$V$4:$X$37,VLOOKUP(AX378,Foundation_Calc!$I$10:$J$13,2,FALSE),0),
IF(AX378="K",VLOOKUP(L378,Foundation_Calc!$V$41:$X$74,VLOOKUP(AX378,Foundation_Calc!$I$10:$J$13,2,FALSE),0),"")))</f>
        <v/>
      </c>
      <c r="N378" s="8"/>
      <c r="O378" s="8"/>
      <c r="P378" s="8"/>
      <c r="Q378" s="14"/>
      <c r="R378" s="15"/>
      <c r="S378" s="15"/>
      <c r="T378" s="14"/>
      <c r="U378" s="14"/>
      <c r="V378" s="14"/>
      <c r="W378" s="18"/>
      <c r="X378" s="18"/>
      <c r="Y378" s="18"/>
      <c r="Z378" s="18"/>
      <c r="AA378" s="18"/>
      <c r="AB378" s="18"/>
      <c r="AC378" s="8" t="str">
        <f t="shared" si="21"/>
        <v/>
      </c>
      <c r="AD378" s="8"/>
      <c r="AE378" s="8"/>
      <c r="AF378" s="14"/>
      <c r="AG378" s="13"/>
      <c r="AH378" s="14"/>
      <c r="AI378" s="14"/>
      <c r="AJ378" s="8"/>
      <c r="AK378" s="8"/>
      <c r="AL378" s="8"/>
      <c r="AM378" s="8"/>
      <c r="AN378" s="631"/>
      <c r="AO378" s="18"/>
      <c r="AP378" s="18"/>
      <c r="AQ378" s="18"/>
      <c r="AR378" s="18"/>
      <c r="AS378" s="18"/>
      <c r="AU378" s="448"/>
      <c r="AV378" s="448"/>
      <c r="AW378" s="8" t="str">
        <f>IF(C378&gt;0,VLOOKUP(C378,Foundation_Calc!$A$2:$C$986,3,1),
IF(J378&gt;0,VLOOKUP(J378,Foundation_Calc!$A$2:$C$986,3,1),""))</f>
        <v/>
      </c>
      <c r="AX378" s="8" t="str">
        <f>IF(C378&gt;0,VLOOKUP(C378,Foundation_Calc!$E$2:$G$986,3,1),
IF(J378&gt;0,VLOOKUP(J378,Foundation_Calc!$E$2:$G$986,3,1),""))</f>
        <v/>
      </c>
      <c r="AY378" s="631" t="str">
        <f>IF(L378="","",
IF(AX378="PT",VLOOKUP(L378,Foundation_Calc!$K$4:$R$37,VLOOKUP(AW378,Foundation_Calc!$I$2:$J$8,2,FALSE),0),
IF(AX378="K",VLOOKUP(L378,Foundation_Calc!$K$41:$R$74,VLOOKUP(AW378,Foundation_Calc!$I$2:$J$8,2,FALSE),0),"")))</f>
        <v/>
      </c>
      <c r="AZ378" s="631" t="str">
        <f>IF(K378="","",
IF(AX378="PT",VLOOKUP(K378,Foundation_Calc!$K$4:$R$37,VLOOKUP(AW378,Foundation_Calc!$I$2:$J$8,2,FALSE),0),
IF(AX378="K",VLOOKUP(K378,Foundation_Calc!$K$41:$R$74,VLOOKUP(AW378,Foundation_Calc!$I$2:$J$8,2,FALSE),0),"")))</f>
        <v/>
      </c>
      <c r="BA378" s="632" t="str">
        <f t="shared" si="22"/>
        <v/>
      </c>
      <c r="BB378" s="632" t="str">
        <f t="shared" si="23"/>
        <v/>
      </c>
      <c r="BC378" s="632" t="str">
        <f t="shared" si="24"/>
        <v/>
      </c>
      <c r="BD378" s="633" t="str">
        <f>IF(AND(L378="",H378=""),"",
IF(H378="",Pole_Calc!A406,
IF(H378="MP",Pole_Calc!A407,
IF(H378="AnMP",Pole_Calc!A408,
IF(H378="A",Pole_Calc!A409,
IF(H378="S/A",Pole_Calc!A410,
IF(H378="A/S",Pole_Calc!A411,"Poner a mano")))))))</f>
        <v/>
      </c>
      <c r="BE378" s="448" t="s">
        <v>1726</v>
      </c>
      <c r="BF378" s="634"/>
      <c r="BG378" s="634"/>
      <c r="BH378" s="634"/>
      <c r="BI378" s="634"/>
    </row>
    <row r="379" spans="1:61" ht="16.2" customHeight="1">
      <c r="A379" s="12"/>
      <c r="B379" s="446"/>
      <c r="C379" s="89"/>
      <c r="D379" s="13"/>
      <c r="E379" s="14"/>
      <c r="F379" s="14"/>
      <c r="G379" s="15"/>
      <c r="H379" s="8"/>
      <c r="I379" s="8"/>
      <c r="J379" s="89"/>
      <c r="K379" s="8"/>
      <c r="L379" s="8"/>
      <c r="M379" s="8" t="str">
        <f>IF(L379="","",
IF(AX379="PT",VLOOKUP(L379,Foundation_Calc!$V$4:$X$37,VLOOKUP(AX379,Foundation_Calc!$I$10:$J$13,2,FALSE),0),
IF(AX379="K",VLOOKUP(L379,Foundation_Calc!$V$41:$X$74,VLOOKUP(AX379,Foundation_Calc!$I$10:$J$13,2,FALSE),0),"")))</f>
        <v/>
      </c>
      <c r="N379" s="8"/>
      <c r="O379" s="8"/>
      <c r="P379" s="8"/>
      <c r="Q379" s="14"/>
      <c r="R379" s="15"/>
      <c r="S379" s="15"/>
      <c r="T379" s="14"/>
      <c r="U379" s="14"/>
      <c r="V379" s="14"/>
      <c r="W379" s="18"/>
      <c r="X379" s="18"/>
      <c r="Y379" s="18"/>
      <c r="Z379" s="18"/>
      <c r="AA379" s="18"/>
      <c r="AB379" s="18"/>
      <c r="AC379" s="8" t="str">
        <f t="shared" si="21"/>
        <v/>
      </c>
      <c r="AD379" s="8"/>
      <c r="AE379" s="8"/>
      <c r="AF379" s="14"/>
      <c r="AG379" s="13"/>
      <c r="AH379" s="14"/>
      <c r="AI379" s="14"/>
      <c r="AJ379" s="8"/>
      <c r="AK379" s="8"/>
      <c r="AL379" s="8"/>
      <c r="AM379" s="8"/>
      <c r="AN379" s="631"/>
      <c r="AO379" s="18"/>
      <c r="AP379" s="18"/>
      <c r="AQ379" s="18"/>
      <c r="AR379" s="18"/>
      <c r="AS379" s="18"/>
      <c r="AU379" s="448"/>
      <c r="AV379" s="448"/>
      <c r="AW379" s="8" t="str">
        <f>IF(C379&gt;0,VLOOKUP(C379,Foundation_Calc!$A$2:$C$986,3,1),
IF(J379&gt;0,VLOOKUP(J379,Foundation_Calc!$A$2:$C$986,3,1),""))</f>
        <v/>
      </c>
      <c r="AX379" s="8" t="str">
        <f>IF(C379&gt;0,VLOOKUP(C379,Foundation_Calc!$E$2:$G$986,3,1),
IF(J379&gt;0,VLOOKUP(J379,Foundation_Calc!$E$2:$G$986,3,1),""))</f>
        <v/>
      </c>
      <c r="AY379" s="631" t="str">
        <f>IF(L379="","",
IF(AX379="PT",VLOOKUP(L379,Foundation_Calc!$K$4:$R$37,VLOOKUP(AW379,Foundation_Calc!$I$2:$J$8,2,FALSE),0),
IF(AX379="K",VLOOKUP(L379,Foundation_Calc!$K$41:$R$74,VLOOKUP(AW379,Foundation_Calc!$I$2:$J$8,2,FALSE),0),"")))</f>
        <v/>
      </c>
      <c r="AZ379" s="631" t="str">
        <f>IF(K379="","",
IF(AX379="PT",VLOOKUP(K379,Foundation_Calc!$K$4:$R$37,VLOOKUP(AW379,Foundation_Calc!$I$2:$J$8,2,FALSE),0),
IF(AX379="K",VLOOKUP(K379,Foundation_Calc!$K$41:$R$74,VLOOKUP(AW379,Foundation_Calc!$I$2:$J$8,2,FALSE),0),"")))</f>
        <v/>
      </c>
      <c r="BA379" s="632" t="str">
        <f t="shared" si="22"/>
        <v/>
      </c>
      <c r="BB379" s="632" t="str">
        <f t="shared" si="23"/>
        <v/>
      </c>
      <c r="BC379" s="632" t="str">
        <f t="shared" si="24"/>
        <v/>
      </c>
      <c r="BD379" s="633" t="str">
        <f>IF(AND(L379="",H379=""),"",
IF(H379="",Pole_Calc!A407,
IF(H379="MP",Pole_Calc!A408,
IF(H379="AnMP",Pole_Calc!A409,
IF(H379="A",Pole_Calc!A410,
IF(H379="S/A",Pole_Calc!A411,
IF(H379="A/S",Pole_Calc!A412,"Poner a mano")))))))</f>
        <v/>
      </c>
      <c r="BE379" s="448" t="s">
        <v>1726</v>
      </c>
      <c r="BF379" s="635"/>
      <c r="BG379" s="635"/>
      <c r="BH379" s="634"/>
      <c r="BI379" s="635"/>
    </row>
    <row r="380" spans="1:61" ht="16.2" customHeight="1">
      <c r="A380" s="12"/>
      <c r="B380" s="446"/>
      <c r="C380" s="89"/>
      <c r="D380" s="13"/>
      <c r="E380" s="14"/>
      <c r="F380" s="14"/>
      <c r="G380" s="15"/>
      <c r="H380" s="8"/>
      <c r="I380" s="8"/>
      <c r="J380" s="89"/>
      <c r="K380" s="8"/>
      <c r="L380" s="8"/>
      <c r="M380" s="8" t="str">
        <f>IF(L380="","",
IF(AX380="PT",VLOOKUP(L380,Foundation_Calc!$V$4:$X$37,VLOOKUP(AX380,Foundation_Calc!$I$10:$J$13,2,FALSE),0),
IF(AX380="K",VLOOKUP(L380,Foundation_Calc!$V$41:$X$74,VLOOKUP(AX380,Foundation_Calc!$I$10:$J$13,2,FALSE),0),"")))</f>
        <v/>
      </c>
      <c r="N380" s="8"/>
      <c r="O380" s="8"/>
      <c r="P380" s="8"/>
      <c r="Q380" s="14"/>
      <c r="R380" s="15"/>
      <c r="S380" s="15"/>
      <c r="T380" s="14"/>
      <c r="U380" s="14"/>
      <c r="V380" s="14"/>
      <c r="W380" s="18"/>
      <c r="X380" s="18"/>
      <c r="Y380" s="18"/>
      <c r="Z380" s="18"/>
      <c r="AA380" s="18"/>
      <c r="AB380" s="18"/>
      <c r="AC380" s="8" t="str">
        <f t="shared" si="21"/>
        <v/>
      </c>
      <c r="AD380" s="8"/>
      <c r="AE380" s="8"/>
      <c r="AF380" s="14"/>
      <c r="AG380" s="13"/>
      <c r="AH380" s="14"/>
      <c r="AI380" s="14"/>
      <c r="AJ380" s="8"/>
      <c r="AK380" s="8"/>
      <c r="AL380" s="8"/>
      <c r="AM380" s="8"/>
      <c r="AN380" s="631"/>
      <c r="AO380" s="18"/>
      <c r="AP380" s="18"/>
      <c r="AQ380" s="18"/>
      <c r="AR380" s="18"/>
      <c r="AS380" s="18"/>
      <c r="AU380" s="448"/>
      <c r="AV380" s="448"/>
      <c r="AW380" s="8" t="str">
        <f>IF(C380&gt;0,VLOOKUP(C380,Foundation_Calc!$A$2:$C$986,3,1),
IF(J380&gt;0,VLOOKUP(J380,Foundation_Calc!$A$2:$C$986,3,1),""))</f>
        <v/>
      </c>
      <c r="AX380" s="8" t="str">
        <f>IF(C380&gt;0,VLOOKUP(C380,Foundation_Calc!$E$2:$G$986,3,1),
IF(J380&gt;0,VLOOKUP(J380,Foundation_Calc!$E$2:$G$986,3,1),""))</f>
        <v/>
      </c>
      <c r="AY380" s="631" t="str">
        <f>IF(L380="","",
IF(AX380="PT",VLOOKUP(L380,Foundation_Calc!$K$4:$R$37,VLOOKUP(AW380,Foundation_Calc!$I$2:$J$8,2,FALSE),0),
IF(AX380="K",VLOOKUP(L380,Foundation_Calc!$K$41:$R$74,VLOOKUP(AW380,Foundation_Calc!$I$2:$J$8,2,FALSE),0),"")))</f>
        <v/>
      </c>
      <c r="AZ380" s="631" t="str">
        <f>IF(K380="","",
IF(AX380="PT",VLOOKUP(K380,Foundation_Calc!$K$4:$R$37,VLOOKUP(AW380,Foundation_Calc!$I$2:$J$8,2,FALSE),0),
IF(AX380="K",VLOOKUP(K380,Foundation_Calc!$K$41:$R$74,VLOOKUP(AW380,Foundation_Calc!$I$2:$J$8,2,FALSE),0),"")))</f>
        <v/>
      </c>
      <c r="BA380" s="632" t="str">
        <f t="shared" si="22"/>
        <v/>
      </c>
      <c r="BB380" s="632" t="str">
        <f t="shared" si="23"/>
        <v/>
      </c>
      <c r="BC380" s="632" t="str">
        <f t="shared" si="24"/>
        <v/>
      </c>
      <c r="BD380" s="633" t="str">
        <f>IF(AND(L380="",H380=""),"",
IF(H380="",Pole_Calc!A408,
IF(H380="MP",Pole_Calc!A409,
IF(H380="AnMP",Pole_Calc!A410,
IF(H380="A",Pole_Calc!A411,
IF(H380="S/A",Pole_Calc!A412,
IF(H380="A/S",Pole_Calc!A413,"Poner a mano")))))))</f>
        <v/>
      </c>
      <c r="BE380" s="448" t="s">
        <v>1726</v>
      </c>
      <c r="BF380" s="634"/>
      <c r="BG380" s="634"/>
      <c r="BH380" s="634"/>
      <c r="BI380" s="634"/>
    </row>
    <row r="381" spans="1:61" ht="16.2" customHeight="1">
      <c r="A381" s="12"/>
      <c r="B381" s="446"/>
      <c r="C381" s="89"/>
      <c r="D381" s="13"/>
      <c r="E381" s="14"/>
      <c r="F381" s="14"/>
      <c r="G381" s="15"/>
      <c r="H381" s="8"/>
      <c r="I381" s="8"/>
      <c r="J381" s="89"/>
      <c r="K381" s="8"/>
      <c r="L381" s="8"/>
      <c r="M381" s="8" t="str">
        <f>IF(L381="","",
IF(AX381="PT",VLOOKUP(L381,Foundation_Calc!$V$4:$X$37,VLOOKUP(AX381,Foundation_Calc!$I$10:$J$13,2,FALSE),0),
IF(AX381="K",VLOOKUP(L381,Foundation_Calc!$V$41:$X$74,VLOOKUP(AX381,Foundation_Calc!$I$10:$J$13,2,FALSE),0),"")))</f>
        <v/>
      </c>
      <c r="N381" s="8"/>
      <c r="O381" s="8"/>
      <c r="P381" s="8"/>
      <c r="Q381" s="14"/>
      <c r="R381" s="15"/>
      <c r="S381" s="15"/>
      <c r="T381" s="14"/>
      <c r="U381" s="14"/>
      <c r="V381" s="14"/>
      <c r="W381" s="18"/>
      <c r="X381" s="18"/>
      <c r="Y381" s="18"/>
      <c r="Z381" s="18"/>
      <c r="AA381" s="18"/>
      <c r="AB381" s="18"/>
      <c r="AC381" s="8" t="str">
        <f t="shared" si="21"/>
        <v/>
      </c>
      <c r="AD381" s="8"/>
      <c r="AE381" s="8"/>
      <c r="AF381" s="14"/>
      <c r="AG381" s="13"/>
      <c r="AH381" s="14"/>
      <c r="AI381" s="14"/>
      <c r="AJ381" s="8"/>
      <c r="AK381" s="8"/>
      <c r="AL381" s="8"/>
      <c r="AM381" s="8"/>
      <c r="AN381" s="631"/>
      <c r="AO381" s="18"/>
      <c r="AP381" s="18"/>
      <c r="AQ381" s="18"/>
      <c r="AR381" s="18"/>
      <c r="AS381" s="18"/>
      <c r="AU381" s="448"/>
      <c r="AV381" s="448"/>
      <c r="AW381" s="8" t="str">
        <f>IF(C381&gt;0,VLOOKUP(C381,Foundation_Calc!$A$2:$C$986,3,1),
IF(J381&gt;0,VLOOKUP(J381,Foundation_Calc!$A$2:$C$986,3,1),""))</f>
        <v/>
      </c>
      <c r="AX381" s="8" t="str">
        <f>IF(C381&gt;0,VLOOKUP(C381,Foundation_Calc!$E$2:$G$986,3,1),
IF(J381&gt;0,VLOOKUP(J381,Foundation_Calc!$E$2:$G$986,3,1),""))</f>
        <v/>
      </c>
      <c r="AY381" s="631" t="str">
        <f>IF(L381="","",
IF(AX381="PT",VLOOKUP(L381,Foundation_Calc!$K$4:$R$37,VLOOKUP(AW381,Foundation_Calc!$I$2:$J$8,2,FALSE),0),
IF(AX381="K",VLOOKUP(L381,Foundation_Calc!$K$41:$R$74,VLOOKUP(AW381,Foundation_Calc!$I$2:$J$8,2,FALSE),0),"")))</f>
        <v/>
      </c>
      <c r="AZ381" s="631" t="str">
        <f>IF(K381="","",
IF(AX381="PT",VLOOKUP(K381,Foundation_Calc!$K$4:$R$37,VLOOKUP(AW381,Foundation_Calc!$I$2:$J$8,2,FALSE),0),
IF(AX381="K",VLOOKUP(K381,Foundation_Calc!$K$41:$R$74,VLOOKUP(AW381,Foundation_Calc!$I$2:$J$8,2,FALSE),0),"")))</f>
        <v/>
      </c>
      <c r="BA381" s="632" t="str">
        <f t="shared" si="22"/>
        <v/>
      </c>
      <c r="BB381" s="632" t="str">
        <f t="shared" si="23"/>
        <v/>
      </c>
      <c r="BC381" s="632" t="str">
        <f t="shared" si="24"/>
        <v/>
      </c>
      <c r="BD381" s="633" t="str">
        <f>IF(AND(L381="",H381=""),"",
IF(H381="",Pole_Calc!A409,
IF(H381="MP",Pole_Calc!A410,
IF(H381="AnMP",Pole_Calc!A411,
IF(H381="A",Pole_Calc!A412,
IF(H381="S/A",Pole_Calc!A413,
IF(H381="A/S",Pole_Calc!A414,"Poner a mano")))))))</f>
        <v/>
      </c>
      <c r="BE381" s="448" t="s">
        <v>1726</v>
      </c>
      <c r="BF381" s="635"/>
      <c r="BG381" s="635"/>
      <c r="BH381" s="634"/>
      <c r="BI381" s="635"/>
    </row>
    <row r="382" spans="1:61" ht="16.2" customHeight="1">
      <c r="A382" s="12"/>
      <c r="B382" s="446"/>
      <c r="C382" s="89"/>
      <c r="D382" s="13"/>
      <c r="E382" s="14"/>
      <c r="F382" s="14"/>
      <c r="G382" s="15"/>
      <c r="H382" s="8"/>
      <c r="I382" s="8"/>
      <c r="J382" s="89"/>
      <c r="K382" s="8"/>
      <c r="L382" s="8"/>
      <c r="M382" s="8" t="str">
        <f>IF(L382="","",
IF(AX382="PT",VLOOKUP(L382,Foundation_Calc!$V$4:$X$37,VLOOKUP(AX382,Foundation_Calc!$I$10:$J$13,2,FALSE),0),
IF(AX382="K",VLOOKUP(L382,Foundation_Calc!$V$41:$X$74,VLOOKUP(AX382,Foundation_Calc!$I$10:$J$13,2,FALSE),0),"")))</f>
        <v/>
      </c>
      <c r="N382" s="8"/>
      <c r="O382" s="8"/>
      <c r="P382" s="8"/>
      <c r="Q382" s="14"/>
      <c r="R382" s="15"/>
      <c r="S382" s="15"/>
      <c r="T382" s="14"/>
      <c r="U382" s="14"/>
      <c r="V382" s="14"/>
      <c r="W382" s="18"/>
      <c r="X382" s="18"/>
      <c r="Y382" s="18"/>
      <c r="Z382" s="18"/>
      <c r="AA382" s="18"/>
      <c r="AB382" s="18"/>
      <c r="AC382" s="8" t="str">
        <f t="shared" si="21"/>
        <v/>
      </c>
      <c r="AD382" s="8"/>
      <c r="AE382" s="8"/>
      <c r="AF382" s="14"/>
      <c r="AG382" s="13"/>
      <c r="AH382" s="14"/>
      <c r="AI382" s="14"/>
      <c r="AJ382" s="8"/>
      <c r="AK382" s="8"/>
      <c r="AL382" s="8"/>
      <c r="AM382" s="8"/>
      <c r="AN382" s="631"/>
      <c r="AO382" s="18"/>
      <c r="AP382" s="18"/>
      <c r="AQ382" s="18"/>
      <c r="AR382" s="18"/>
      <c r="AS382" s="18"/>
      <c r="AU382" s="448"/>
      <c r="AV382" s="448"/>
      <c r="AW382" s="8" t="str">
        <f>IF(C382&gt;0,VLOOKUP(C382,Foundation_Calc!$A$2:$C$986,3,1),
IF(J382&gt;0,VLOOKUP(J382,Foundation_Calc!$A$2:$C$986,3,1),""))</f>
        <v/>
      </c>
      <c r="AX382" s="8" t="str">
        <f>IF(C382&gt;0,VLOOKUP(C382,Foundation_Calc!$E$2:$G$986,3,1),
IF(J382&gt;0,VLOOKUP(J382,Foundation_Calc!$E$2:$G$986,3,1),""))</f>
        <v/>
      </c>
      <c r="AY382" s="631" t="str">
        <f>IF(L382="","",
IF(AX382="PT",VLOOKUP(L382,Foundation_Calc!$K$4:$R$37,VLOOKUP(AW382,Foundation_Calc!$I$2:$J$8,2,FALSE),0),
IF(AX382="K",VLOOKUP(L382,Foundation_Calc!$K$41:$R$74,VLOOKUP(AW382,Foundation_Calc!$I$2:$J$8,2,FALSE),0),"")))</f>
        <v/>
      </c>
      <c r="AZ382" s="631" t="str">
        <f>IF(K382="","",
IF(AX382="PT",VLOOKUP(K382,Foundation_Calc!$K$4:$R$37,VLOOKUP(AW382,Foundation_Calc!$I$2:$J$8,2,FALSE),0),
IF(AX382="K",VLOOKUP(K382,Foundation_Calc!$K$41:$R$74,VLOOKUP(AW382,Foundation_Calc!$I$2:$J$8,2,FALSE),0),"")))</f>
        <v/>
      </c>
      <c r="BA382" s="632" t="str">
        <f t="shared" si="22"/>
        <v/>
      </c>
      <c r="BB382" s="632" t="str">
        <f t="shared" si="23"/>
        <v/>
      </c>
      <c r="BC382" s="632" t="str">
        <f t="shared" si="24"/>
        <v/>
      </c>
      <c r="BD382" s="633" t="str">
        <f>IF(AND(L382="",H382=""),"",
IF(H382="",Pole_Calc!A410,
IF(H382="MP",Pole_Calc!A411,
IF(H382="AnMP",Pole_Calc!A412,
IF(H382="A",Pole_Calc!A413,
IF(H382="S/A",Pole_Calc!A414,
IF(H382="A/S",Pole_Calc!A415,"Poner a mano")))))))</f>
        <v/>
      </c>
      <c r="BE382" s="448" t="s">
        <v>1726</v>
      </c>
      <c r="BF382" s="634"/>
      <c r="BG382" s="634"/>
      <c r="BH382" s="634"/>
      <c r="BI382" s="634"/>
    </row>
    <row r="383" spans="1:61" ht="16.2" customHeight="1">
      <c r="A383" s="12"/>
      <c r="B383" s="446"/>
      <c r="C383" s="89"/>
      <c r="D383" s="13"/>
      <c r="E383" s="14"/>
      <c r="F383" s="14"/>
      <c r="G383" s="15"/>
      <c r="H383" s="8"/>
      <c r="I383" s="8"/>
      <c r="J383" s="89"/>
      <c r="K383" s="8"/>
      <c r="L383" s="8"/>
      <c r="M383" s="8" t="str">
        <f>IF(L383="","",
IF(AX383="PT",VLOOKUP(L383,Foundation_Calc!$V$4:$X$37,VLOOKUP(AX383,Foundation_Calc!$I$10:$J$13,2,FALSE),0),
IF(AX383="K",VLOOKUP(L383,Foundation_Calc!$V$41:$X$74,VLOOKUP(AX383,Foundation_Calc!$I$10:$J$13,2,FALSE),0),"")))</f>
        <v/>
      </c>
      <c r="N383" s="8"/>
      <c r="O383" s="8"/>
      <c r="P383" s="8"/>
      <c r="Q383" s="14"/>
      <c r="R383" s="15"/>
      <c r="S383" s="15"/>
      <c r="T383" s="14"/>
      <c r="U383" s="14"/>
      <c r="V383" s="14"/>
      <c r="W383" s="18"/>
      <c r="X383" s="18"/>
      <c r="Y383" s="18"/>
      <c r="Z383" s="18"/>
      <c r="AA383" s="18"/>
      <c r="AB383" s="18"/>
      <c r="AC383" s="8" t="str">
        <f t="shared" si="21"/>
        <v/>
      </c>
      <c r="AD383" s="8"/>
      <c r="AE383" s="8"/>
      <c r="AF383" s="14"/>
      <c r="AG383" s="13"/>
      <c r="AH383" s="14"/>
      <c r="AI383" s="14"/>
      <c r="AJ383" s="8"/>
      <c r="AK383" s="8"/>
      <c r="AL383" s="8"/>
      <c r="AM383" s="8"/>
      <c r="AN383" s="631"/>
      <c r="AO383" s="18"/>
      <c r="AP383" s="18"/>
      <c r="AQ383" s="18"/>
      <c r="AR383" s="18"/>
      <c r="AS383" s="18"/>
      <c r="AU383" s="448"/>
      <c r="AV383" s="448"/>
      <c r="AW383" s="8" t="str">
        <f>IF(C383&gt;0,VLOOKUP(C383,Foundation_Calc!$A$2:$C$986,3,1),
IF(J383&gt;0,VLOOKUP(J383,Foundation_Calc!$A$2:$C$986,3,1),""))</f>
        <v/>
      </c>
      <c r="AX383" s="8" t="str">
        <f>IF(C383&gt;0,VLOOKUP(C383,Foundation_Calc!$E$2:$G$986,3,1),
IF(J383&gt;0,VLOOKUP(J383,Foundation_Calc!$E$2:$G$986,3,1),""))</f>
        <v/>
      </c>
      <c r="AY383" s="631" t="str">
        <f>IF(L383="","",
IF(AX383="PT",VLOOKUP(L383,Foundation_Calc!$K$4:$R$37,VLOOKUP(AW383,Foundation_Calc!$I$2:$J$8,2,FALSE),0),
IF(AX383="K",VLOOKUP(L383,Foundation_Calc!$K$41:$R$74,VLOOKUP(AW383,Foundation_Calc!$I$2:$J$8,2,FALSE),0),"")))</f>
        <v/>
      </c>
      <c r="AZ383" s="631" t="str">
        <f>IF(K383="","",
IF(AX383="PT",VLOOKUP(K383,Foundation_Calc!$K$4:$R$37,VLOOKUP(AW383,Foundation_Calc!$I$2:$J$8,2,FALSE),0),
IF(AX383="K",VLOOKUP(K383,Foundation_Calc!$K$41:$R$74,VLOOKUP(AW383,Foundation_Calc!$I$2:$J$8,2,FALSE),0),"")))</f>
        <v/>
      </c>
      <c r="BA383" s="632" t="str">
        <f t="shared" si="22"/>
        <v/>
      </c>
      <c r="BB383" s="632" t="str">
        <f t="shared" si="23"/>
        <v/>
      </c>
      <c r="BC383" s="632" t="str">
        <f t="shared" si="24"/>
        <v/>
      </c>
      <c r="BD383" s="633" t="str">
        <f>IF(AND(L383="",H383=""),"",
IF(H383="",Pole_Calc!A411,
IF(H383="MP",Pole_Calc!A412,
IF(H383="AnMP",Pole_Calc!A413,
IF(H383="A",Pole_Calc!A414,
IF(H383="S/A",Pole_Calc!A415,
IF(H383="A/S",Pole_Calc!A416,"Poner a mano")))))))</f>
        <v/>
      </c>
      <c r="BE383" s="448" t="s">
        <v>1726</v>
      </c>
      <c r="BF383" s="635"/>
      <c r="BG383" s="635"/>
      <c r="BH383" s="634"/>
      <c r="BI383" s="635"/>
    </row>
    <row r="384" spans="1:61" ht="16.2" customHeight="1">
      <c r="A384" s="12"/>
      <c r="B384" s="446"/>
      <c r="C384" s="89"/>
      <c r="D384" s="13"/>
      <c r="E384" s="14"/>
      <c r="F384" s="14"/>
      <c r="G384" s="15"/>
      <c r="H384" s="8"/>
      <c r="I384" s="8"/>
      <c r="J384" s="89"/>
      <c r="K384" s="8"/>
      <c r="L384" s="8"/>
      <c r="M384" s="8" t="str">
        <f>IF(L384="","",
IF(AX384="PT",VLOOKUP(L384,Foundation_Calc!$V$4:$X$37,VLOOKUP(AX384,Foundation_Calc!$I$10:$J$13,2,FALSE),0),
IF(AX384="K",VLOOKUP(L384,Foundation_Calc!$V$41:$X$74,VLOOKUP(AX384,Foundation_Calc!$I$10:$J$13,2,FALSE),0),"")))</f>
        <v/>
      </c>
      <c r="N384" s="8"/>
      <c r="O384" s="8"/>
      <c r="P384" s="8"/>
      <c r="Q384" s="14"/>
      <c r="R384" s="15"/>
      <c r="S384" s="15"/>
      <c r="T384" s="14"/>
      <c r="U384" s="14"/>
      <c r="V384" s="14"/>
      <c r="W384" s="18"/>
      <c r="X384" s="18"/>
      <c r="Y384" s="18"/>
      <c r="Z384" s="18"/>
      <c r="AA384" s="18"/>
      <c r="AB384" s="18"/>
      <c r="AC384" s="8" t="str">
        <f t="shared" si="21"/>
        <v/>
      </c>
      <c r="AD384" s="8"/>
      <c r="AE384" s="8"/>
      <c r="AF384" s="14"/>
      <c r="AG384" s="13"/>
      <c r="AH384" s="14"/>
      <c r="AI384" s="14"/>
      <c r="AJ384" s="8"/>
      <c r="AK384" s="8"/>
      <c r="AL384" s="8"/>
      <c r="AM384" s="8"/>
      <c r="AN384" s="631"/>
      <c r="AO384" s="18"/>
      <c r="AP384" s="18"/>
      <c r="AQ384" s="18"/>
      <c r="AR384" s="18"/>
      <c r="AS384" s="18"/>
      <c r="AU384" s="448"/>
      <c r="AV384" s="448"/>
      <c r="AW384" s="8" t="str">
        <f>IF(C384&gt;0,VLOOKUP(C384,Foundation_Calc!$A$2:$C$986,3,1),
IF(J384&gt;0,VLOOKUP(J384,Foundation_Calc!$A$2:$C$986,3,1),""))</f>
        <v/>
      </c>
      <c r="AX384" s="8" t="str">
        <f>IF(C384&gt;0,VLOOKUP(C384,Foundation_Calc!$E$2:$G$986,3,1),
IF(J384&gt;0,VLOOKUP(J384,Foundation_Calc!$E$2:$G$986,3,1),""))</f>
        <v/>
      </c>
      <c r="AY384" s="631" t="str">
        <f>IF(L384="","",
IF(AX384="PT",VLOOKUP(L384,Foundation_Calc!$K$4:$R$37,VLOOKUP(AW384,Foundation_Calc!$I$2:$J$8,2,FALSE),0),
IF(AX384="K",VLOOKUP(L384,Foundation_Calc!$K$41:$R$74,VLOOKUP(AW384,Foundation_Calc!$I$2:$J$8,2,FALSE),0),"")))</f>
        <v/>
      </c>
      <c r="AZ384" s="631" t="str">
        <f>IF(K384="","",
IF(AX384="PT",VLOOKUP(K384,Foundation_Calc!$K$4:$R$37,VLOOKUP(AW384,Foundation_Calc!$I$2:$J$8,2,FALSE),0),
IF(AX384="K",VLOOKUP(K384,Foundation_Calc!$K$41:$R$74,VLOOKUP(AW384,Foundation_Calc!$I$2:$J$8,2,FALSE),0),"")))</f>
        <v/>
      </c>
      <c r="BA384" s="632" t="str">
        <f t="shared" si="22"/>
        <v/>
      </c>
      <c r="BB384" s="632" t="str">
        <f t="shared" si="23"/>
        <v/>
      </c>
      <c r="BC384" s="632" t="str">
        <f t="shared" si="24"/>
        <v/>
      </c>
      <c r="BD384" s="633" t="str">
        <f>IF(AND(L384="",H384=""),"",
IF(H384="",Pole_Calc!A412,
IF(H384="MP",Pole_Calc!A413,
IF(H384="AnMP",Pole_Calc!A414,
IF(H384="A",Pole_Calc!A415,
IF(H384="S/A",Pole_Calc!A416,
IF(H384="A/S",Pole_Calc!A417,"Poner a mano")))))))</f>
        <v/>
      </c>
      <c r="BE384" s="448" t="s">
        <v>1726</v>
      </c>
      <c r="BF384" s="634"/>
      <c r="BG384" s="634"/>
      <c r="BH384" s="634"/>
      <c r="BI384" s="634"/>
    </row>
    <row r="385" spans="1:61" ht="16.2" customHeight="1">
      <c r="A385" s="12"/>
      <c r="B385" s="446"/>
      <c r="C385" s="89"/>
      <c r="D385" s="13"/>
      <c r="E385" s="14"/>
      <c r="F385" s="14"/>
      <c r="G385" s="15"/>
      <c r="H385" s="8"/>
      <c r="I385" s="8"/>
      <c r="J385" s="89"/>
      <c r="K385" s="8"/>
      <c r="L385" s="8"/>
      <c r="M385" s="8" t="str">
        <f>IF(L385="","",
IF(AX385="PT",VLOOKUP(L385,Foundation_Calc!$V$4:$X$37,VLOOKUP(AX385,Foundation_Calc!$I$10:$J$13,2,FALSE),0),
IF(AX385="K",VLOOKUP(L385,Foundation_Calc!$V$41:$X$74,VLOOKUP(AX385,Foundation_Calc!$I$10:$J$13,2,FALSE),0),"")))</f>
        <v/>
      </c>
      <c r="N385" s="8"/>
      <c r="O385" s="8"/>
      <c r="P385" s="8"/>
      <c r="Q385" s="14"/>
      <c r="R385" s="15"/>
      <c r="S385" s="15"/>
      <c r="T385" s="14"/>
      <c r="U385" s="14"/>
      <c r="V385" s="14"/>
      <c r="W385" s="18"/>
      <c r="X385" s="18"/>
      <c r="Y385" s="18"/>
      <c r="Z385" s="18"/>
      <c r="AA385" s="18"/>
      <c r="AB385" s="18"/>
      <c r="AC385" s="8" t="str">
        <f t="shared" si="21"/>
        <v/>
      </c>
      <c r="AD385" s="8"/>
      <c r="AE385" s="8"/>
      <c r="AF385" s="14"/>
      <c r="AG385" s="13"/>
      <c r="AH385" s="14"/>
      <c r="AI385" s="14"/>
      <c r="AJ385" s="8"/>
      <c r="AK385" s="8"/>
      <c r="AL385" s="8"/>
      <c r="AM385" s="8"/>
      <c r="AN385" s="631"/>
      <c r="AO385" s="18"/>
      <c r="AP385" s="18"/>
      <c r="AQ385" s="18"/>
      <c r="AR385" s="18"/>
      <c r="AS385" s="18"/>
      <c r="AU385" s="448"/>
      <c r="AV385" s="448"/>
      <c r="AW385" s="8" t="str">
        <f>IF(C385&gt;0,VLOOKUP(C385,Foundation_Calc!$A$2:$C$986,3,1),
IF(J385&gt;0,VLOOKUP(J385,Foundation_Calc!$A$2:$C$986,3,1),""))</f>
        <v/>
      </c>
      <c r="AX385" s="8" t="str">
        <f>IF(C385&gt;0,VLOOKUP(C385,Foundation_Calc!$E$2:$G$986,3,1),
IF(J385&gt;0,VLOOKUP(J385,Foundation_Calc!$E$2:$G$986,3,1),""))</f>
        <v/>
      </c>
      <c r="AY385" s="631" t="str">
        <f>IF(L385="","",
IF(AX385="PT",VLOOKUP(L385,Foundation_Calc!$K$4:$R$37,VLOOKUP(AW385,Foundation_Calc!$I$2:$J$8,2,FALSE),0),
IF(AX385="K",VLOOKUP(L385,Foundation_Calc!$K$41:$R$74,VLOOKUP(AW385,Foundation_Calc!$I$2:$J$8,2,FALSE),0),"")))</f>
        <v/>
      </c>
      <c r="AZ385" s="631" t="str">
        <f>IF(K385="","",
IF(AX385="PT",VLOOKUP(K385,Foundation_Calc!$K$4:$R$37,VLOOKUP(AW385,Foundation_Calc!$I$2:$J$8,2,FALSE),0),
IF(AX385="K",VLOOKUP(K385,Foundation_Calc!$K$41:$R$74,VLOOKUP(AW385,Foundation_Calc!$I$2:$J$8,2,FALSE),0),"")))</f>
        <v/>
      </c>
      <c r="BA385" s="632" t="str">
        <f t="shared" si="22"/>
        <v/>
      </c>
      <c r="BB385" s="632" t="str">
        <f t="shared" si="23"/>
        <v/>
      </c>
      <c r="BC385" s="632" t="str">
        <f t="shared" si="24"/>
        <v/>
      </c>
      <c r="BD385" s="633" t="str">
        <f>IF(AND(L385="",H385=""),"",
IF(H385="",Pole_Calc!A413,
IF(H385="MP",Pole_Calc!A414,
IF(H385="AnMP",Pole_Calc!A415,
IF(H385="A",Pole_Calc!A416,
IF(H385="S/A",Pole_Calc!A417,
IF(H385="A/S",Pole_Calc!A418,"Poner a mano")))))))</f>
        <v/>
      </c>
      <c r="BE385" s="448" t="s">
        <v>1726</v>
      </c>
      <c r="BF385" s="635"/>
      <c r="BG385" s="635"/>
      <c r="BH385" s="634"/>
      <c r="BI385" s="635"/>
    </row>
    <row r="386" spans="1:61" ht="16.2" customHeight="1">
      <c r="A386" s="12"/>
      <c r="B386" s="446"/>
      <c r="C386" s="89"/>
      <c r="D386" s="13"/>
      <c r="E386" s="14"/>
      <c r="F386" s="14"/>
      <c r="G386" s="15"/>
      <c r="H386" s="8"/>
      <c r="I386" s="8"/>
      <c r="J386" s="89"/>
      <c r="K386" s="8"/>
      <c r="L386" s="8"/>
      <c r="M386" s="8" t="str">
        <f>IF(L386="","",
IF(AX386="PT",VLOOKUP(L386,Foundation_Calc!$V$4:$X$37,VLOOKUP(AX386,Foundation_Calc!$I$10:$J$13,2,FALSE),0),
IF(AX386="K",VLOOKUP(L386,Foundation_Calc!$V$41:$X$74,VLOOKUP(AX386,Foundation_Calc!$I$10:$J$13,2,FALSE),0),"")))</f>
        <v/>
      </c>
      <c r="N386" s="8"/>
      <c r="O386" s="8"/>
      <c r="P386" s="8"/>
      <c r="Q386" s="14"/>
      <c r="R386" s="15"/>
      <c r="S386" s="15"/>
      <c r="T386" s="14"/>
      <c r="U386" s="14"/>
      <c r="V386" s="14"/>
      <c r="W386" s="18"/>
      <c r="X386" s="18"/>
      <c r="Y386" s="18"/>
      <c r="Z386" s="18"/>
      <c r="AA386" s="18"/>
      <c r="AB386" s="18"/>
      <c r="AC386" s="8" t="str">
        <f t="shared" si="21"/>
        <v/>
      </c>
      <c r="AD386" s="8"/>
      <c r="AE386" s="8"/>
      <c r="AF386" s="14"/>
      <c r="AG386" s="13"/>
      <c r="AH386" s="14"/>
      <c r="AI386" s="14"/>
      <c r="AJ386" s="8"/>
      <c r="AK386" s="8"/>
      <c r="AL386" s="8"/>
      <c r="AM386" s="8"/>
      <c r="AN386" s="631"/>
      <c r="AO386" s="18"/>
      <c r="AP386" s="18"/>
      <c r="AQ386" s="18"/>
      <c r="AR386" s="18"/>
      <c r="AS386" s="18"/>
      <c r="AU386" s="448"/>
      <c r="AV386" s="448"/>
      <c r="AW386" s="8" t="str">
        <f>IF(C386&gt;0,VLOOKUP(C386,Foundation_Calc!$A$2:$C$986,3,1),
IF(J386&gt;0,VLOOKUP(J386,Foundation_Calc!$A$2:$C$986,3,1),""))</f>
        <v/>
      </c>
      <c r="AX386" s="8" t="str">
        <f>IF(C386&gt;0,VLOOKUP(C386,Foundation_Calc!$E$2:$G$986,3,1),
IF(J386&gt;0,VLOOKUP(J386,Foundation_Calc!$E$2:$G$986,3,1),""))</f>
        <v/>
      </c>
      <c r="AY386" s="631" t="str">
        <f>IF(L386="","",
IF(AX386="PT",VLOOKUP(L386,Foundation_Calc!$K$4:$R$37,VLOOKUP(AW386,Foundation_Calc!$I$2:$J$8,2,FALSE),0),
IF(AX386="K",VLOOKUP(L386,Foundation_Calc!$K$41:$R$74,VLOOKUP(AW386,Foundation_Calc!$I$2:$J$8,2,FALSE),0),"")))</f>
        <v/>
      </c>
      <c r="AZ386" s="631" t="str">
        <f>IF(K386="","",
IF(AX386="PT",VLOOKUP(K386,Foundation_Calc!$K$4:$R$37,VLOOKUP(AW386,Foundation_Calc!$I$2:$J$8,2,FALSE),0),
IF(AX386="K",VLOOKUP(K386,Foundation_Calc!$K$41:$R$74,VLOOKUP(AW386,Foundation_Calc!$I$2:$J$8,2,FALSE),0),"")))</f>
        <v/>
      </c>
      <c r="BA386" s="632" t="str">
        <f t="shared" si="22"/>
        <v/>
      </c>
      <c r="BB386" s="632" t="str">
        <f t="shared" si="23"/>
        <v/>
      </c>
      <c r="BC386" s="632" t="str">
        <f t="shared" si="24"/>
        <v/>
      </c>
      <c r="BD386" s="633" t="str">
        <f>IF(AND(L386="",H386=""),"",
IF(H386="",Pole_Calc!A414,
IF(H386="MP",Pole_Calc!A415,
IF(H386="AnMP",Pole_Calc!A416,
IF(H386="A",Pole_Calc!A417,
IF(H386="S/A",Pole_Calc!A418,
IF(H386="A/S",Pole_Calc!A419,"Poner a mano")))))))</f>
        <v/>
      </c>
      <c r="BE386" s="448" t="s">
        <v>1726</v>
      </c>
      <c r="BF386" s="634"/>
      <c r="BG386" s="634"/>
      <c r="BH386" s="634"/>
      <c r="BI386" s="634"/>
    </row>
    <row r="387" spans="1:61" ht="16.2" customHeight="1">
      <c r="A387" s="12"/>
      <c r="B387" s="446"/>
      <c r="C387" s="89"/>
      <c r="D387" s="13"/>
      <c r="E387" s="14"/>
      <c r="F387" s="14"/>
      <c r="G387" s="15"/>
      <c r="H387" s="8"/>
      <c r="I387" s="8"/>
      <c r="J387" s="89"/>
      <c r="K387" s="8"/>
      <c r="L387" s="8"/>
      <c r="M387" s="8" t="str">
        <f>IF(L387="","",
IF(AX387="PT",VLOOKUP(L387,Foundation_Calc!$V$4:$X$37,VLOOKUP(AX387,Foundation_Calc!$I$10:$J$13,2,FALSE),0),
IF(AX387="K",VLOOKUP(L387,Foundation_Calc!$V$41:$X$74,VLOOKUP(AX387,Foundation_Calc!$I$10:$J$13,2,FALSE),0),"")))</f>
        <v/>
      </c>
      <c r="N387" s="8"/>
      <c r="O387" s="8"/>
      <c r="P387" s="8"/>
      <c r="Q387" s="14"/>
      <c r="R387" s="15"/>
      <c r="S387" s="15"/>
      <c r="T387" s="14"/>
      <c r="U387" s="14"/>
      <c r="V387" s="14"/>
      <c r="W387" s="18"/>
      <c r="X387" s="18"/>
      <c r="Y387" s="18"/>
      <c r="Z387" s="18"/>
      <c r="AA387" s="18"/>
      <c r="AB387" s="18"/>
      <c r="AC387" s="8" t="str">
        <f t="shared" si="21"/>
        <v/>
      </c>
      <c r="AD387" s="8"/>
      <c r="AE387" s="8"/>
      <c r="AF387" s="14"/>
      <c r="AG387" s="13"/>
      <c r="AH387" s="14"/>
      <c r="AI387" s="14"/>
      <c r="AJ387" s="8"/>
      <c r="AK387" s="8"/>
      <c r="AL387" s="8"/>
      <c r="AM387" s="8"/>
      <c r="AN387" s="631"/>
      <c r="AO387" s="18"/>
      <c r="AP387" s="18"/>
      <c r="AQ387" s="18"/>
      <c r="AR387" s="18"/>
      <c r="AS387" s="18"/>
      <c r="AU387" s="448"/>
      <c r="AV387" s="448"/>
      <c r="AW387" s="8" t="str">
        <f>IF(C387&gt;0,VLOOKUP(C387,Foundation_Calc!$A$2:$C$986,3,1),
IF(J387&gt;0,VLOOKUP(J387,Foundation_Calc!$A$2:$C$986,3,1),""))</f>
        <v/>
      </c>
      <c r="AX387" s="8" t="str">
        <f>IF(C387&gt;0,VLOOKUP(C387,Foundation_Calc!$E$2:$G$986,3,1),
IF(J387&gt;0,VLOOKUP(J387,Foundation_Calc!$E$2:$G$986,3,1),""))</f>
        <v/>
      </c>
      <c r="AY387" s="631" t="str">
        <f>IF(L387="","",
IF(AX387="PT",VLOOKUP(L387,Foundation_Calc!$K$4:$R$37,VLOOKUP(AW387,Foundation_Calc!$I$2:$J$8,2,FALSE),0),
IF(AX387="K",VLOOKUP(L387,Foundation_Calc!$K$41:$R$74,VLOOKUP(AW387,Foundation_Calc!$I$2:$J$8,2,FALSE),0),"")))</f>
        <v/>
      </c>
      <c r="AZ387" s="631" t="str">
        <f>IF(K387="","",
IF(AX387="PT",VLOOKUP(K387,Foundation_Calc!$K$4:$R$37,VLOOKUP(AW387,Foundation_Calc!$I$2:$J$8,2,FALSE),0),
IF(AX387="K",VLOOKUP(K387,Foundation_Calc!$K$41:$R$74,VLOOKUP(AW387,Foundation_Calc!$I$2:$J$8,2,FALSE),0),"")))</f>
        <v/>
      </c>
      <c r="BA387" s="632" t="str">
        <f t="shared" si="22"/>
        <v/>
      </c>
      <c r="BB387" s="632" t="str">
        <f t="shared" si="23"/>
        <v/>
      </c>
      <c r="BC387" s="632" t="str">
        <f t="shared" si="24"/>
        <v/>
      </c>
      <c r="BD387" s="633" t="str">
        <f>IF(AND(L387="",H387=""),"",
IF(H387="",Pole_Calc!A415,
IF(H387="MP",Pole_Calc!A416,
IF(H387="AnMP",Pole_Calc!A417,
IF(H387="A",Pole_Calc!A418,
IF(H387="S/A",Pole_Calc!A419,
IF(H387="A/S",Pole_Calc!A420,"Poner a mano")))))))</f>
        <v/>
      </c>
      <c r="BE387" s="448" t="s">
        <v>1726</v>
      </c>
      <c r="BF387" s="635"/>
      <c r="BG387" s="635"/>
      <c r="BH387" s="634"/>
      <c r="BI387" s="635"/>
    </row>
    <row r="388" spans="1:61" ht="16.2" customHeight="1">
      <c r="A388" s="12"/>
      <c r="B388" s="446"/>
      <c r="C388" s="89"/>
      <c r="D388" s="13"/>
      <c r="E388" s="14"/>
      <c r="F388" s="14"/>
      <c r="G388" s="15"/>
      <c r="H388" s="8"/>
      <c r="I388" s="8"/>
      <c r="J388" s="89"/>
      <c r="K388" s="8"/>
      <c r="L388" s="8"/>
      <c r="M388" s="8" t="str">
        <f>IF(L388="","",
IF(AX388="PT",VLOOKUP(L388,Foundation_Calc!$V$4:$X$37,VLOOKUP(AX388,Foundation_Calc!$I$10:$J$13,2,FALSE),0),
IF(AX388="K",VLOOKUP(L388,Foundation_Calc!$V$41:$X$74,VLOOKUP(AX388,Foundation_Calc!$I$10:$J$13,2,FALSE),0),"")))</f>
        <v/>
      </c>
      <c r="N388" s="8"/>
      <c r="O388" s="8"/>
      <c r="P388" s="8"/>
      <c r="Q388" s="14"/>
      <c r="R388" s="15"/>
      <c r="S388" s="15"/>
      <c r="T388" s="14"/>
      <c r="U388" s="14"/>
      <c r="V388" s="14"/>
      <c r="W388" s="18"/>
      <c r="X388" s="18"/>
      <c r="Y388" s="18"/>
      <c r="Z388" s="18"/>
      <c r="AA388" s="18"/>
      <c r="AB388" s="18"/>
      <c r="AC388" s="8" t="str">
        <f t="shared" si="21"/>
        <v/>
      </c>
      <c r="AD388" s="8"/>
      <c r="AE388" s="8"/>
      <c r="AF388" s="14"/>
      <c r="AG388" s="13"/>
      <c r="AH388" s="14"/>
      <c r="AI388" s="14"/>
      <c r="AJ388" s="8"/>
      <c r="AK388" s="8"/>
      <c r="AL388" s="8"/>
      <c r="AM388" s="8"/>
      <c r="AN388" s="631"/>
      <c r="AO388" s="18"/>
      <c r="AP388" s="18"/>
      <c r="AQ388" s="18"/>
      <c r="AR388" s="18"/>
      <c r="AS388" s="18"/>
      <c r="AU388" s="448"/>
      <c r="AV388" s="448"/>
      <c r="AW388" s="8" t="str">
        <f>IF(C388&gt;0,VLOOKUP(C388,Foundation_Calc!$A$2:$C$986,3,1),
IF(J388&gt;0,VLOOKUP(J388,Foundation_Calc!$A$2:$C$986,3,1),""))</f>
        <v/>
      </c>
      <c r="AX388" s="8" t="str">
        <f>IF(C388&gt;0,VLOOKUP(C388,Foundation_Calc!$E$2:$G$986,3,1),
IF(J388&gt;0,VLOOKUP(J388,Foundation_Calc!$E$2:$G$986,3,1),""))</f>
        <v/>
      </c>
      <c r="AY388" s="631" t="str">
        <f>IF(L388="","",
IF(AX388="PT",VLOOKUP(L388,Foundation_Calc!$K$4:$R$37,VLOOKUP(AW388,Foundation_Calc!$I$2:$J$8,2,FALSE),0),
IF(AX388="K",VLOOKUP(L388,Foundation_Calc!$K$41:$R$74,VLOOKUP(AW388,Foundation_Calc!$I$2:$J$8,2,FALSE),0),"")))</f>
        <v/>
      </c>
      <c r="AZ388" s="631" t="str">
        <f>IF(K388="","",
IF(AX388="PT",VLOOKUP(K388,Foundation_Calc!$K$4:$R$37,VLOOKUP(AW388,Foundation_Calc!$I$2:$J$8,2,FALSE),0),
IF(AX388="K",VLOOKUP(K388,Foundation_Calc!$K$41:$R$74,VLOOKUP(AW388,Foundation_Calc!$I$2:$J$8,2,FALSE),0),"")))</f>
        <v/>
      </c>
      <c r="BA388" s="632" t="str">
        <f t="shared" si="22"/>
        <v/>
      </c>
      <c r="BB388" s="632" t="str">
        <f t="shared" si="23"/>
        <v/>
      </c>
      <c r="BC388" s="632" t="str">
        <f t="shared" si="24"/>
        <v/>
      </c>
      <c r="BD388" s="633" t="str">
        <f>IF(AND(L388="",H388=""),"",
IF(H388="",Pole_Calc!A416,
IF(H388="MP",Pole_Calc!A417,
IF(H388="AnMP",Pole_Calc!A418,
IF(H388="A",Pole_Calc!A419,
IF(H388="S/A",Pole_Calc!A420,
IF(H388="A/S",Pole_Calc!A421,"Poner a mano")))))))</f>
        <v/>
      </c>
      <c r="BE388" s="448" t="s">
        <v>1726</v>
      </c>
      <c r="BF388" s="634"/>
      <c r="BG388" s="634"/>
      <c r="BH388" s="634"/>
      <c r="BI388" s="634"/>
    </row>
    <row r="389" spans="1:61" ht="16.2" customHeight="1">
      <c r="A389" s="12"/>
      <c r="B389" s="446"/>
      <c r="C389" s="89"/>
      <c r="D389" s="13"/>
      <c r="E389" s="14"/>
      <c r="F389" s="14"/>
      <c r="G389" s="15"/>
      <c r="H389" s="8"/>
      <c r="I389" s="8"/>
      <c r="J389" s="89"/>
      <c r="K389" s="8"/>
      <c r="L389" s="8"/>
      <c r="M389" s="8" t="str">
        <f>IF(L389="","",
IF(AX389="PT",VLOOKUP(L389,Foundation_Calc!$V$4:$X$37,VLOOKUP(AX389,Foundation_Calc!$I$10:$J$13,2,FALSE),0),
IF(AX389="K",VLOOKUP(L389,Foundation_Calc!$V$41:$X$74,VLOOKUP(AX389,Foundation_Calc!$I$10:$J$13,2,FALSE),0),"")))</f>
        <v/>
      </c>
      <c r="N389" s="8"/>
      <c r="O389" s="8"/>
      <c r="P389" s="8"/>
      <c r="Q389" s="14"/>
      <c r="R389" s="15"/>
      <c r="S389" s="15"/>
      <c r="T389" s="14"/>
      <c r="U389" s="14"/>
      <c r="V389" s="14"/>
      <c r="W389" s="18"/>
      <c r="X389" s="18"/>
      <c r="Y389" s="18"/>
      <c r="Z389" s="18"/>
      <c r="AA389" s="18"/>
      <c r="AB389" s="18"/>
      <c r="AC389" s="8" t="str">
        <f t="shared" si="21"/>
        <v/>
      </c>
      <c r="AD389" s="8"/>
      <c r="AE389" s="8"/>
      <c r="AF389" s="14"/>
      <c r="AG389" s="13"/>
      <c r="AH389" s="14"/>
      <c r="AI389" s="14"/>
      <c r="AJ389" s="8"/>
      <c r="AK389" s="8"/>
      <c r="AL389" s="8"/>
      <c r="AM389" s="8"/>
      <c r="AN389" s="631"/>
      <c r="AO389" s="18"/>
      <c r="AP389" s="18"/>
      <c r="AQ389" s="18"/>
      <c r="AR389" s="18"/>
      <c r="AS389" s="18"/>
      <c r="AU389" s="448"/>
      <c r="AV389" s="448"/>
      <c r="AW389" s="8" t="str">
        <f>IF(C389&gt;0,VLOOKUP(C389,Foundation_Calc!$A$2:$C$986,3,1),
IF(J389&gt;0,VLOOKUP(J389,Foundation_Calc!$A$2:$C$986,3,1),""))</f>
        <v/>
      </c>
      <c r="AX389" s="8" t="str">
        <f>IF(C389&gt;0,VLOOKUP(C389,Foundation_Calc!$E$2:$G$986,3,1),
IF(J389&gt;0,VLOOKUP(J389,Foundation_Calc!$E$2:$G$986,3,1),""))</f>
        <v/>
      </c>
      <c r="AY389" s="631" t="str">
        <f>IF(L389="","",
IF(AX389="PT",VLOOKUP(L389,Foundation_Calc!$K$4:$R$37,VLOOKUP(AW389,Foundation_Calc!$I$2:$J$8,2,FALSE),0),
IF(AX389="K",VLOOKUP(L389,Foundation_Calc!$K$41:$R$74,VLOOKUP(AW389,Foundation_Calc!$I$2:$J$8,2,FALSE),0),"")))</f>
        <v/>
      </c>
      <c r="AZ389" s="631" t="str">
        <f>IF(K389="","",
IF(AX389="PT",VLOOKUP(K389,Foundation_Calc!$K$4:$R$37,VLOOKUP(AW389,Foundation_Calc!$I$2:$J$8,2,FALSE),0),
IF(AX389="K",VLOOKUP(K389,Foundation_Calc!$K$41:$R$74,VLOOKUP(AW389,Foundation_Calc!$I$2:$J$8,2,FALSE),0),"")))</f>
        <v/>
      </c>
      <c r="BA389" s="632" t="str">
        <f t="shared" si="22"/>
        <v/>
      </c>
      <c r="BB389" s="632" t="str">
        <f t="shared" si="23"/>
        <v/>
      </c>
      <c r="BC389" s="632" t="str">
        <f t="shared" si="24"/>
        <v/>
      </c>
      <c r="BD389" s="633" t="str">
        <f>IF(AND(L389="",H389=""),"",
IF(H389="",Pole_Calc!A417,
IF(H389="MP",Pole_Calc!A418,
IF(H389="AnMP",Pole_Calc!A419,
IF(H389="A",Pole_Calc!A420,
IF(H389="S/A",Pole_Calc!A421,
IF(H389="A/S",Pole_Calc!A422,"Poner a mano")))))))</f>
        <v/>
      </c>
      <c r="BE389" s="448" t="s">
        <v>1726</v>
      </c>
      <c r="BF389" s="635"/>
      <c r="BG389" s="635"/>
      <c r="BH389" s="634"/>
      <c r="BI389" s="635"/>
    </row>
    <row r="390" spans="1:61" ht="16.2" customHeight="1">
      <c r="A390" s="12"/>
      <c r="B390" s="446"/>
      <c r="C390" s="89"/>
      <c r="D390" s="13"/>
      <c r="E390" s="14"/>
      <c r="F390" s="14"/>
      <c r="G390" s="15"/>
      <c r="H390" s="8"/>
      <c r="I390" s="8"/>
      <c r="J390" s="89"/>
      <c r="K390" s="8"/>
      <c r="L390" s="8"/>
      <c r="M390" s="8" t="str">
        <f>IF(L390="","",
IF(AX390="PT",VLOOKUP(L390,Foundation_Calc!$V$4:$X$37,VLOOKUP(AX390,Foundation_Calc!$I$10:$J$13,2,FALSE),0),
IF(AX390="K",VLOOKUP(L390,Foundation_Calc!$V$41:$X$74,VLOOKUP(AX390,Foundation_Calc!$I$10:$J$13,2,FALSE),0),"")))</f>
        <v/>
      </c>
      <c r="N390" s="8"/>
      <c r="O390" s="8"/>
      <c r="P390" s="8"/>
      <c r="Q390" s="14"/>
      <c r="R390" s="15"/>
      <c r="S390" s="15"/>
      <c r="T390" s="14"/>
      <c r="U390" s="14"/>
      <c r="V390" s="14"/>
      <c r="W390" s="18"/>
      <c r="X390" s="18"/>
      <c r="Y390" s="18"/>
      <c r="Z390" s="18"/>
      <c r="AA390" s="18"/>
      <c r="AB390" s="18"/>
      <c r="AC390" s="8" t="str">
        <f t="shared" ref="AC390:AC453" si="25">IF(OR(AT390&gt;8,AT390&lt;-8),"PH",
IF(OR(AT390&gt;5,AT390&lt;-5),"PHQ",
IF(OR(AT390&gt;1,AT390&lt;-1),
"PHC","")))</f>
        <v/>
      </c>
      <c r="AD390" s="8"/>
      <c r="AE390" s="8"/>
      <c r="AF390" s="14"/>
      <c r="AG390" s="13"/>
      <c r="AH390" s="14"/>
      <c r="AI390" s="14"/>
      <c r="AJ390" s="8"/>
      <c r="AK390" s="8"/>
      <c r="AL390" s="8"/>
      <c r="AM390" s="8"/>
      <c r="AN390" s="631"/>
      <c r="AO390" s="18"/>
      <c r="AP390" s="18"/>
      <c r="AQ390" s="18"/>
      <c r="AR390" s="18"/>
      <c r="AS390" s="18"/>
      <c r="AU390" s="448"/>
      <c r="AV390" s="448"/>
      <c r="AW390" s="8" t="str">
        <f>IF(C390&gt;0,VLOOKUP(C390,Foundation_Calc!$A$2:$C$986,3,1),
IF(J390&gt;0,VLOOKUP(J390,Foundation_Calc!$A$2:$C$986,3,1),""))</f>
        <v/>
      </c>
      <c r="AX390" s="8" t="str">
        <f>IF(C390&gt;0,VLOOKUP(C390,Foundation_Calc!$E$2:$G$986,3,1),
IF(J390&gt;0,VLOOKUP(J390,Foundation_Calc!$E$2:$G$986,3,1),""))</f>
        <v/>
      </c>
      <c r="AY390" s="631" t="str">
        <f>IF(L390="","",
IF(AX390="PT",VLOOKUP(L390,Foundation_Calc!$K$4:$R$37,VLOOKUP(AW390,Foundation_Calc!$I$2:$J$8,2,FALSE),0),
IF(AX390="K",VLOOKUP(L390,Foundation_Calc!$K$41:$R$74,VLOOKUP(AW390,Foundation_Calc!$I$2:$J$8,2,FALSE),0),"")))</f>
        <v/>
      </c>
      <c r="AZ390" s="631" t="str">
        <f>IF(K390="","",
IF(AX390="PT",VLOOKUP(K390,Foundation_Calc!$K$4:$R$37,VLOOKUP(AW390,Foundation_Calc!$I$2:$J$8,2,FALSE),0),
IF(AX390="K",VLOOKUP(K390,Foundation_Calc!$K$41:$R$74,VLOOKUP(AW390,Foundation_Calc!$I$2:$J$8,2,FALSE),0),"")))</f>
        <v/>
      </c>
      <c r="BA390" s="632" t="str">
        <f t="shared" ref="BA390:BA453" si="26">IF(AY390="","",IF(AY390&gt;0,"ü",""))</f>
        <v/>
      </c>
      <c r="BB390" s="632" t="str">
        <f t="shared" ref="BB390:BB453" si="27">IF(AZ390="","",IF(AZ390&gt;0,"ü",""))</f>
        <v/>
      </c>
      <c r="BC390" s="632" t="str">
        <f t="shared" ref="BC390:BC453" si="28">IF(M390="","",IF(M390="Unique Solution","ü",""))</f>
        <v/>
      </c>
      <c r="BD390" s="633" t="str">
        <f>IF(AND(L390="",H390=""),"",
IF(H390="",Pole_Calc!A418,
IF(H390="MP",Pole_Calc!A419,
IF(H390="AnMP",Pole_Calc!A420,
IF(H390="A",Pole_Calc!A421,
IF(H390="S/A",Pole_Calc!A422,
IF(H390="A/S",Pole_Calc!A423,"Poner a mano")))))))</f>
        <v/>
      </c>
      <c r="BE390" s="448" t="s">
        <v>1726</v>
      </c>
      <c r="BF390" s="634"/>
      <c r="BG390" s="634"/>
      <c r="BH390" s="634"/>
      <c r="BI390" s="634"/>
    </row>
    <row r="391" spans="1:61" ht="16.2" customHeight="1">
      <c r="A391" s="12"/>
      <c r="B391" s="446"/>
      <c r="C391" s="89"/>
      <c r="D391" s="13"/>
      <c r="E391" s="14"/>
      <c r="F391" s="14"/>
      <c r="G391" s="15"/>
      <c r="H391" s="8"/>
      <c r="I391" s="8"/>
      <c r="J391" s="89"/>
      <c r="K391" s="8"/>
      <c r="L391" s="8"/>
      <c r="M391" s="8" t="str">
        <f>IF(L391="","",
IF(AX391="PT",VLOOKUP(L391,Foundation_Calc!$V$4:$X$37,VLOOKUP(AX391,Foundation_Calc!$I$10:$J$13,2,FALSE),0),
IF(AX391="K",VLOOKUP(L391,Foundation_Calc!$V$41:$X$74,VLOOKUP(AX391,Foundation_Calc!$I$10:$J$13,2,FALSE),0),"")))</f>
        <v/>
      </c>
      <c r="N391" s="8"/>
      <c r="O391" s="8"/>
      <c r="P391" s="8"/>
      <c r="Q391" s="14"/>
      <c r="R391" s="15"/>
      <c r="S391" s="15"/>
      <c r="T391" s="14"/>
      <c r="U391" s="14"/>
      <c r="V391" s="14"/>
      <c r="W391" s="18"/>
      <c r="X391" s="18"/>
      <c r="Y391" s="18"/>
      <c r="Z391" s="18"/>
      <c r="AA391" s="18"/>
      <c r="AB391" s="18"/>
      <c r="AC391" s="8" t="str">
        <f t="shared" si="25"/>
        <v/>
      </c>
      <c r="AD391" s="8"/>
      <c r="AE391" s="8"/>
      <c r="AF391" s="14"/>
      <c r="AG391" s="13"/>
      <c r="AH391" s="14"/>
      <c r="AI391" s="14"/>
      <c r="AJ391" s="8"/>
      <c r="AK391" s="8"/>
      <c r="AL391" s="8"/>
      <c r="AM391" s="8"/>
      <c r="AN391" s="631"/>
      <c r="AO391" s="18"/>
      <c r="AP391" s="18"/>
      <c r="AQ391" s="18"/>
      <c r="AR391" s="18"/>
      <c r="AS391" s="18"/>
      <c r="AU391" s="448"/>
      <c r="AV391" s="448"/>
      <c r="AW391" s="8" t="str">
        <f>IF(C391&gt;0,VLOOKUP(C391,Foundation_Calc!$A$2:$C$986,3,1),
IF(J391&gt;0,VLOOKUP(J391,Foundation_Calc!$A$2:$C$986,3,1),""))</f>
        <v/>
      </c>
      <c r="AX391" s="8" t="str">
        <f>IF(C391&gt;0,VLOOKUP(C391,Foundation_Calc!$E$2:$G$986,3,1),
IF(J391&gt;0,VLOOKUP(J391,Foundation_Calc!$E$2:$G$986,3,1),""))</f>
        <v/>
      </c>
      <c r="AY391" s="631" t="str">
        <f>IF(L391="","",
IF(AX391="PT",VLOOKUP(L391,Foundation_Calc!$K$4:$R$37,VLOOKUP(AW391,Foundation_Calc!$I$2:$J$8,2,FALSE),0),
IF(AX391="K",VLOOKUP(L391,Foundation_Calc!$K$41:$R$74,VLOOKUP(AW391,Foundation_Calc!$I$2:$J$8,2,FALSE),0),"")))</f>
        <v/>
      </c>
      <c r="AZ391" s="631" t="str">
        <f>IF(K391="","",
IF(AX391="PT",VLOOKUP(K391,Foundation_Calc!$K$4:$R$37,VLOOKUP(AW391,Foundation_Calc!$I$2:$J$8,2,FALSE),0),
IF(AX391="K",VLOOKUP(K391,Foundation_Calc!$K$41:$R$74,VLOOKUP(AW391,Foundation_Calc!$I$2:$J$8,2,FALSE),0),"")))</f>
        <v/>
      </c>
      <c r="BA391" s="632" t="str">
        <f t="shared" si="26"/>
        <v/>
      </c>
      <c r="BB391" s="632" t="str">
        <f t="shared" si="27"/>
        <v/>
      </c>
      <c r="BC391" s="632" t="str">
        <f t="shared" si="28"/>
        <v/>
      </c>
      <c r="BD391" s="633" t="str">
        <f>IF(AND(L391="",H391=""),"",
IF(H391="",Pole_Calc!A419,
IF(H391="MP",Pole_Calc!A420,
IF(H391="AnMP",Pole_Calc!A421,
IF(H391="A",Pole_Calc!A422,
IF(H391="S/A",Pole_Calc!A423,
IF(H391="A/S",Pole_Calc!A424,"Poner a mano")))))))</f>
        <v/>
      </c>
      <c r="BE391" s="448" t="s">
        <v>1726</v>
      </c>
      <c r="BF391" s="635"/>
      <c r="BG391" s="635"/>
      <c r="BH391" s="634"/>
      <c r="BI391" s="635"/>
    </row>
    <row r="392" spans="1:61" ht="16.2" customHeight="1">
      <c r="A392" s="12"/>
      <c r="B392" s="446"/>
      <c r="C392" s="89"/>
      <c r="D392" s="13"/>
      <c r="E392" s="14"/>
      <c r="F392" s="14"/>
      <c r="G392" s="15"/>
      <c r="H392" s="8"/>
      <c r="I392" s="8"/>
      <c r="J392" s="89"/>
      <c r="K392" s="8"/>
      <c r="L392" s="8"/>
      <c r="M392" s="8" t="str">
        <f>IF(L392="","",
IF(AX392="PT",VLOOKUP(L392,Foundation_Calc!$V$4:$X$37,VLOOKUP(AX392,Foundation_Calc!$I$10:$J$13,2,FALSE),0),
IF(AX392="K",VLOOKUP(L392,Foundation_Calc!$V$41:$X$74,VLOOKUP(AX392,Foundation_Calc!$I$10:$J$13,2,FALSE),0),"")))</f>
        <v/>
      </c>
      <c r="N392" s="8"/>
      <c r="O392" s="8"/>
      <c r="P392" s="8"/>
      <c r="Q392" s="14"/>
      <c r="R392" s="15"/>
      <c r="S392" s="15"/>
      <c r="T392" s="14"/>
      <c r="U392" s="14"/>
      <c r="V392" s="14"/>
      <c r="W392" s="18"/>
      <c r="X392" s="18"/>
      <c r="Y392" s="18"/>
      <c r="Z392" s="18"/>
      <c r="AA392" s="18"/>
      <c r="AB392" s="18"/>
      <c r="AC392" s="8" t="str">
        <f t="shared" si="25"/>
        <v/>
      </c>
      <c r="AD392" s="8"/>
      <c r="AE392" s="8"/>
      <c r="AF392" s="14"/>
      <c r="AG392" s="13"/>
      <c r="AH392" s="14"/>
      <c r="AI392" s="14"/>
      <c r="AJ392" s="8"/>
      <c r="AK392" s="8"/>
      <c r="AL392" s="8"/>
      <c r="AM392" s="8"/>
      <c r="AN392" s="631"/>
      <c r="AO392" s="18"/>
      <c r="AP392" s="18"/>
      <c r="AQ392" s="18"/>
      <c r="AR392" s="18"/>
      <c r="AS392" s="18"/>
      <c r="AU392" s="448"/>
      <c r="AV392" s="448"/>
      <c r="AW392" s="8" t="str">
        <f>IF(C392&gt;0,VLOOKUP(C392,Foundation_Calc!$A$2:$C$986,3,1),
IF(J392&gt;0,VLOOKUP(J392,Foundation_Calc!$A$2:$C$986,3,1),""))</f>
        <v/>
      </c>
      <c r="AX392" s="8" t="str">
        <f>IF(C392&gt;0,VLOOKUP(C392,Foundation_Calc!$E$2:$G$986,3,1),
IF(J392&gt;0,VLOOKUP(J392,Foundation_Calc!$E$2:$G$986,3,1),""))</f>
        <v/>
      </c>
      <c r="AY392" s="631" t="str">
        <f>IF(L392="","",
IF(AX392="PT",VLOOKUP(L392,Foundation_Calc!$K$4:$R$37,VLOOKUP(AW392,Foundation_Calc!$I$2:$J$8,2,FALSE),0),
IF(AX392="K",VLOOKUP(L392,Foundation_Calc!$K$41:$R$74,VLOOKUP(AW392,Foundation_Calc!$I$2:$J$8,2,FALSE),0),"")))</f>
        <v/>
      </c>
      <c r="AZ392" s="631" t="str">
        <f>IF(K392="","",
IF(AX392="PT",VLOOKUP(K392,Foundation_Calc!$K$4:$R$37,VLOOKUP(AW392,Foundation_Calc!$I$2:$J$8,2,FALSE),0),
IF(AX392="K",VLOOKUP(K392,Foundation_Calc!$K$41:$R$74,VLOOKUP(AW392,Foundation_Calc!$I$2:$J$8,2,FALSE),0),"")))</f>
        <v/>
      </c>
      <c r="BA392" s="632" t="str">
        <f t="shared" si="26"/>
        <v/>
      </c>
      <c r="BB392" s="632" t="str">
        <f t="shared" si="27"/>
        <v/>
      </c>
      <c r="BC392" s="632" t="str">
        <f t="shared" si="28"/>
        <v/>
      </c>
      <c r="BD392" s="633" t="str">
        <f>IF(AND(L392="",H392=""),"",
IF(H392="",Pole_Calc!A420,
IF(H392="MP",Pole_Calc!A421,
IF(H392="AnMP",Pole_Calc!A422,
IF(H392="A",Pole_Calc!A423,
IF(H392="S/A",Pole_Calc!A424,
IF(H392="A/S",Pole_Calc!A425,"Poner a mano")))))))</f>
        <v/>
      </c>
      <c r="BE392" s="448" t="s">
        <v>1726</v>
      </c>
      <c r="BF392" s="634"/>
      <c r="BG392" s="634"/>
      <c r="BH392" s="634"/>
      <c r="BI392" s="634"/>
    </row>
    <row r="393" spans="1:61" ht="16.2" customHeight="1">
      <c r="A393" s="12"/>
      <c r="B393" s="446"/>
      <c r="C393" s="89"/>
      <c r="D393" s="13"/>
      <c r="E393" s="14"/>
      <c r="F393" s="14"/>
      <c r="G393" s="15"/>
      <c r="H393" s="8"/>
      <c r="I393" s="8"/>
      <c r="J393" s="89"/>
      <c r="K393" s="8"/>
      <c r="L393" s="8"/>
      <c r="M393" s="8" t="str">
        <f>IF(L393="","",
IF(AX393="PT",VLOOKUP(L393,Foundation_Calc!$V$4:$X$37,VLOOKUP(AX393,Foundation_Calc!$I$10:$J$13,2,FALSE),0),
IF(AX393="K",VLOOKUP(L393,Foundation_Calc!$V$41:$X$74,VLOOKUP(AX393,Foundation_Calc!$I$10:$J$13,2,FALSE),0),"")))</f>
        <v/>
      </c>
      <c r="N393" s="8"/>
      <c r="O393" s="8"/>
      <c r="P393" s="8"/>
      <c r="Q393" s="14"/>
      <c r="R393" s="15"/>
      <c r="S393" s="15"/>
      <c r="T393" s="14"/>
      <c r="U393" s="14"/>
      <c r="V393" s="14"/>
      <c r="W393" s="18"/>
      <c r="X393" s="18"/>
      <c r="Y393" s="18"/>
      <c r="Z393" s="18"/>
      <c r="AA393" s="18"/>
      <c r="AB393" s="18"/>
      <c r="AC393" s="8" t="str">
        <f t="shared" si="25"/>
        <v/>
      </c>
      <c r="AD393" s="8"/>
      <c r="AE393" s="8"/>
      <c r="AF393" s="14"/>
      <c r="AG393" s="13"/>
      <c r="AH393" s="14"/>
      <c r="AI393" s="14"/>
      <c r="AJ393" s="8"/>
      <c r="AK393" s="8"/>
      <c r="AL393" s="8"/>
      <c r="AM393" s="8"/>
      <c r="AN393" s="631"/>
      <c r="AO393" s="18"/>
      <c r="AP393" s="18"/>
      <c r="AQ393" s="18"/>
      <c r="AR393" s="18"/>
      <c r="AS393" s="18"/>
      <c r="AU393" s="448"/>
      <c r="AV393" s="448"/>
      <c r="AW393" s="8" t="str">
        <f>IF(C393&gt;0,VLOOKUP(C393,Foundation_Calc!$A$2:$C$986,3,1),
IF(J393&gt;0,VLOOKUP(J393,Foundation_Calc!$A$2:$C$986,3,1),""))</f>
        <v/>
      </c>
      <c r="AX393" s="8" t="str">
        <f>IF(C393&gt;0,VLOOKUP(C393,Foundation_Calc!$E$2:$G$986,3,1),
IF(J393&gt;0,VLOOKUP(J393,Foundation_Calc!$E$2:$G$986,3,1),""))</f>
        <v/>
      </c>
      <c r="AY393" s="631" t="str">
        <f>IF(L393="","",
IF(AX393="PT",VLOOKUP(L393,Foundation_Calc!$K$4:$R$37,VLOOKUP(AW393,Foundation_Calc!$I$2:$J$8,2,FALSE),0),
IF(AX393="K",VLOOKUP(L393,Foundation_Calc!$K$41:$R$74,VLOOKUP(AW393,Foundation_Calc!$I$2:$J$8,2,FALSE),0),"")))</f>
        <v/>
      </c>
      <c r="AZ393" s="631" t="str">
        <f>IF(K393="","",
IF(AX393="PT",VLOOKUP(K393,Foundation_Calc!$K$4:$R$37,VLOOKUP(AW393,Foundation_Calc!$I$2:$J$8,2,FALSE),0),
IF(AX393="K",VLOOKUP(K393,Foundation_Calc!$K$41:$R$74,VLOOKUP(AW393,Foundation_Calc!$I$2:$J$8,2,FALSE),0),"")))</f>
        <v/>
      </c>
      <c r="BA393" s="632" t="str">
        <f t="shared" si="26"/>
        <v/>
      </c>
      <c r="BB393" s="632" t="str">
        <f t="shared" si="27"/>
        <v/>
      </c>
      <c r="BC393" s="632" t="str">
        <f t="shared" si="28"/>
        <v/>
      </c>
      <c r="BD393" s="633" t="str">
        <f>IF(AND(L393="",H393=""),"",
IF(H393="",Pole_Calc!A421,
IF(H393="MP",Pole_Calc!A422,
IF(H393="AnMP",Pole_Calc!A423,
IF(H393="A",Pole_Calc!A424,
IF(H393="S/A",Pole_Calc!A425,
IF(H393="A/S",Pole_Calc!A426,"Poner a mano")))))))</f>
        <v/>
      </c>
      <c r="BE393" s="448" t="s">
        <v>1726</v>
      </c>
      <c r="BF393" s="635"/>
      <c r="BG393" s="635"/>
      <c r="BH393" s="634"/>
      <c r="BI393" s="635"/>
    </row>
    <row r="394" spans="1:61" ht="16.2" customHeight="1">
      <c r="A394" s="12"/>
      <c r="B394" s="446"/>
      <c r="C394" s="89"/>
      <c r="D394" s="13"/>
      <c r="E394" s="14"/>
      <c r="F394" s="14"/>
      <c r="G394" s="15"/>
      <c r="H394" s="8"/>
      <c r="I394" s="8"/>
      <c r="J394" s="89"/>
      <c r="K394" s="8"/>
      <c r="L394" s="8"/>
      <c r="M394" s="8" t="str">
        <f>IF(L394="","",
IF(AX394="PT",VLOOKUP(L394,Foundation_Calc!$V$4:$X$37,VLOOKUP(AX394,Foundation_Calc!$I$10:$J$13,2,FALSE),0),
IF(AX394="K",VLOOKUP(L394,Foundation_Calc!$V$41:$X$74,VLOOKUP(AX394,Foundation_Calc!$I$10:$J$13,2,FALSE),0),"")))</f>
        <v/>
      </c>
      <c r="N394" s="8"/>
      <c r="O394" s="8"/>
      <c r="P394" s="8"/>
      <c r="Q394" s="14"/>
      <c r="R394" s="15"/>
      <c r="S394" s="15"/>
      <c r="T394" s="14"/>
      <c r="U394" s="14"/>
      <c r="V394" s="14"/>
      <c r="W394" s="18"/>
      <c r="X394" s="18"/>
      <c r="Y394" s="18"/>
      <c r="Z394" s="18"/>
      <c r="AA394" s="18"/>
      <c r="AB394" s="18"/>
      <c r="AC394" s="8" t="str">
        <f t="shared" si="25"/>
        <v/>
      </c>
      <c r="AD394" s="8"/>
      <c r="AE394" s="8"/>
      <c r="AF394" s="14"/>
      <c r="AG394" s="13"/>
      <c r="AH394" s="14"/>
      <c r="AI394" s="14"/>
      <c r="AJ394" s="8"/>
      <c r="AK394" s="8"/>
      <c r="AL394" s="8"/>
      <c r="AM394" s="8"/>
      <c r="AN394" s="631"/>
      <c r="AO394" s="18"/>
      <c r="AP394" s="18"/>
      <c r="AQ394" s="18"/>
      <c r="AR394" s="18"/>
      <c r="AS394" s="18"/>
      <c r="AU394" s="448"/>
      <c r="AV394" s="448"/>
      <c r="AW394" s="8" t="str">
        <f>IF(C394&gt;0,VLOOKUP(C394,Foundation_Calc!$A$2:$C$986,3,1),
IF(J394&gt;0,VLOOKUP(J394,Foundation_Calc!$A$2:$C$986,3,1),""))</f>
        <v/>
      </c>
      <c r="AX394" s="8" t="str">
        <f>IF(C394&gt;0,VLOOKUP(C394,Foundation_Calc!$E$2:$G$986,3,1),
IF(J394&gt;0,VLOOKUP(J394,Foundation_Calc!$E$2:$G$986,3,1),""))</f>
        <v/>
      </c>
      <c r="AY394" s="631" t="str">
        <f>IF(L394="","",
IF(AX394="PT",VLOOKUP(L394,Foundation_Calc!$K$4:$R$37,VLOOKUP(AW394,Foundation_Calc!$I$2:$J$8,2,FALSE),0),
IF(AX394="K",VLOOKUP(L394,Foundation_Calc!$K$41:$R$74,VLOOKUP(AW394,Foundation_Calc!$I$2:$J$8,2,FALSE),0),"")))</f>
        <v/>
      </c>
      <c r="AZ394" s="631" t="str">
        <f>IF(K394="","",
IF(AX394="PT",VLOOKUP(K394,Foundation_Calc!$K$4:$R$37,VLOOKUP(AW394,Foundation_Calc!$I$2:$J$8,2,FALSE),0),
IF(AX394="K",VLOOKUP(K394,Foundation_Calc!$K$41:$R$74,VLOOKUP(AW394,Foundation_Calc!$I$2:$J$8,2,FALSE),0),"")))</f>
        <v/>
      </c>
      <c r="BA394" s="632" t="str">
        <f t="shared" si="26"/>
        <v/>
      </c>
      <c r="BB394" s="632" t="str">
        <f t="shared" si="27"/>
        <v/>
      </c>
      <c r="BC394" s="632" t="str">
        <f t="shared" si="28"/>
        <v/>
      </c>
      <c r="BD394" s="633" t="str">
        <f>IF(AND(L394="",H394=""),"",
IF(H394="",Pole_Calc!A422,
IF(H394="MP",Pole_Calc!A423,
IF(H394="AnMP",Pole_Calc!A424,
IF(H394="A",Pole_Calc!A425,
IF(H394="S/A",Pole_Calc!A426,
IF(H394="A/S",Pole_Calc!A427,"Poner a mano")))))))</f>
        <v/>
      </c>
      <c r="BE394" s="448" t="s">
        <v>1726</v>
      </c>
      <c r="BF394" s="634"/>
      <c r="BG394" s="634"/>
      <c r="BH394" s="634"/>
      <c r="BI394" s="634"/>
    </row>
    <row r="395" spans="1:61" ht="16.2" customHeight="1">
      <c r="A395" s="12"/>
      <c r="B395" s="446"/>
      <c r="C395" s="89"/>
      <c r="D395" s="13"/>
      <c r="E395" s="14"/>
      <c r="F395" s="14"/>
      <c r="G395" s="15"/>
      <c r="H395" s="8"/>
      <c r="I395" s="8"/>
      <c r="J395" s="89"/>
      <c r="K395" s="8"/>
      <c r="L395" s="8"/>
      <c r="M395" s="8" t="str">
        <f>IF(L395="","",
IF(AX395="PT",VLOOKUP(L395,Foundation_Calc!$V$4:$X$37,VLOOKUP(AX395,Foundation_Calc!$I$10:$J$13,2,FALSE),0),
IF(AX395="K",VLOOKUP(L395,Foundation_Calc!$V$41:$X$74,VLOOKUP(AX395,Foundation_Calc!$I$10:$J$13,2,FALSE),0),"")))</f>
        <v/>
      </c>
      <c r="N395" s="8"/>
      <c r="O395" s="8"/>
      <c r="P395" s="8"/>
      <c r="Q395" s="14"/>
      <c r="R395" s="15"/>
      <c r="S395" s="15"/>
      <c r="T395" s="14"/>
      <c r="U395" s="14"/>
      <c r="V395" s="14"/>
      <c r="W395" s="18"/>
      <c r="X395" s="18"/>
      <c r="Y395" s="18"/>
      <c r="Z395" s="18"/>
      <c r="AA395" s="18"/>
      <c r="AB395" s="18"/>
      <c r="AC395" s="8" t="str">
        <f t="shared" si="25"/>
        <v/>
      </c>
      <c r="AD395" s="8"/>
      <c r="AE395" s="8"/>
      <c r="AF395" s="14"/>
      <c r="AG395" s="13"/>
      <c r="AH395" s="14"/>
      <c r="AI395" s="14"/>
      <c r="AJ395" s="8"/>
      <c r="AK395" s="8"/>
      <c r="AL395" s="8"/>
      <c r="AM395" s="8"/>
      <c r="AN395" s="631"/>
      <c r="AO395" s="18"/>
      <c r="AP395" s="18"/>
      <c r="AQ395" s="18"/>
      <c r="AR395" s="18"/>
      <c r="AS395" s="18"/>
      <c r="AU395" s="448"/>
      <c r="AV395" s="448"/>
      <c r="AW395" s="8" t="str">
        <f>IF(C395&gt;0,VLOOKUP(C395,Foundation_Calc!$A$2:$C$986,3,1),
IF(J395&gt;0,VLOOKUP(J395,Foundation_Calc!$A$2:$C$986,3,1),""))</f>
        <v/>
      </c>
      <c r="AX395" s="8" t="str">
        <f>IF(C395&gt;0,VLOOKUP(C395,Foundation_Calc!$E$2:$G$986,3,1),
IF(J395&gt;0,VLOOKUP(J395,Foundation_Calc!$E$2:$G$986,3,1),""))</f>
        <v/>
      </c>
      <c r="AY395" s="631" t="str">
        <f>IF(L395="","",
IF(AX395="PT",VLOOKUP(L395,Foundation_Calc!$K$4:$R$37,VLOOKUP(AW395,Foundation_Calc!$I$2:$J$8,2,FALSE),0),
IF(AX395="K",VLOOKUP(L395,Foundation_Calc!$K$41:$R$74,VLOOKUP(AW395,Foundation_Calc!$I$2:$J$8,2,FALSE),0),"")))</f>
        <v/>
      </c>
      <c r="AZ395" s="631" t="str">
        <f>IF(K395="","",
IF(AX395="PT",VLOOKUP(K395,Foundation_Calc!$K$4:$R$37,VLOOKUP(AW395,Foundation_Calc!$I$2:$J$8,2,FALSE),0),
IF(AX395="K",VLOOKUP(K395,Foundation_Calc!$K$41:$R$74,VLOOKUP(AW395,Foundation_Calc!$I$2:$J$8,2,FALSE),0),"")))</f>
        <v/>
      </c>
      <c r="BA395" s="632" t="str">
        <f t="shared" si="26"/>
        <v/>
      </c>
      <c r="BB395" s="632" t="str">
        <f t="shared" si="27"/>
        <v/>
      </c>
      <c r="BC395" s="632" t="str">
        <f t="shared" si="28"/>
        <v/>
      </c>
      <c r="BD395" s="633" t="str">
        <f>IF(AND(L395="",H395=""),"",
IF(H395="",Pole_Calc!A423,
IF(H395="MP",Pole_Calc!A424,
IF(H395="AnMP",Pole_Calc!A425,
IF(H395="A",Pole_Calc!A426,
IF(H395="S/A",Pole_Calc!A427,
IF(H395="A/S",Pole_Calc!A428,"Poner a mano")))))))</f>
        <v/>
      </c>
      <c r="BE395" s="448" t="s">
        <v>1726</v>
      </c>
      <c r="BF395" s="635"/>
      <c r="BG395" s="635"/>
      <c r="BH395" s="634"/>
      <c r="BI395" s="635"/>
    </row>
    <row r="396" spans="1:61" ht="16.2" customHeight="1">
      <c r="A396" s="12"/>
      <c r="B396" s="446"/>
      <c r="C396" s="89"/>
      <c r="D396" s="13"/>
      <c r="E396" s="14"/>
      <c r="F396" s="14"/>
      <c r="G396" s="15"/>
      <c r="H396" s="8"/>
      <c r="I396" s="8"/>
      <c r="J396" s="89"/>
      <c r="K396" s="8"/>
      <c r="L396" s="8"/>
      <c r="M396" s="8" t="str">
        <f>IF(L396="","",
IF(AX396="PT",VLOOKUP(L396,Foundation_Calc!$V$4:$X$37,VLOOKUP(AX396,Foundation_Calc!$I$10:$J$13,2,FALSE),0),
IF(AX396="K",VLOOKUP(L396,Foundation_Calc!$V$41:$X$74,VLOOKUP(AX396,Foundation_Calc!$I$10:$J$13,2,FALSE),0),"")))</f>
        <v/>
      </c>
      <c r="N396" s="8"/>
      <c r="O396" s="8"/>
      <c r="P396" s="8"/>
      <c r="Q396" s="14"/>
      <c r="R396" s="15"/>
      <c r="S396" s="15"/>
      <c r="T396" s="14"/>
      <c r="U396" s="14"/>
      <c r="V396" s="14"/>
      <c r="W396" s="18"/>
      <c r="X396" s="18"/>
      <c r="Y396" s="18"/>
      <c r="Z396" s="18"/>
      <c r="AA396" s="18"/>
      <c r="AB396" s="18"/>
      <c r="AC396" s="8" t="str">
        <f t="shared" si="25"/>
        <v/>
      </c>
      <c r="AD396" s="8"/>
      <c r="AE396" s="8"/>
      <c r="AF396" s="14"/>
      <c r="AG396" s="13"/>
      <c r="AH396" s="14"/>
      <c r="AI396" s="14"/>
      <c r="AJ396" s="8"/>
      <c r="AK396" s="8"/>
      <c r="AL396" s="8"/>
      <c r="AM396" s="8"/>
      <c r="AN396" s="631"/>
      <c r="AO396" s="18"/>
      <c r="AP396" s="18"/>
      <c r="AQ396" s="18"/>
      <c r="AR396" s="18"/>
      <c r="AS396" s="18"/>
      <c r="AU396" s="448"/>
      <c r="AV396" s="448"/>
      <c r="AW396" s="8" t="str">
        <f>IF(C396&gt;0,VLOOKUP(C396,Foundation_Calc!$A$2:$C$986,3,1),
IF(J396&gt;0,VLOOKUP(J396,Foundation_Calc!$A$2:$C$986,3,1),""))</f>
        <v/>
      </c>
      <c r="AX396" s="8" t="str">
        <f>IF(C396&gt;0,VLOOKUP(C396,Foundation_Calc!$E$2:$G$986,3,1),
IF(J396&gt;0,VLOOKUP(J396,Foundation_Calc!$E$2:$G$986,3,1),""))</f>
        <v/>
      </c>
      <c r="AY396" s="631" t="str">
        <f>IF(L396="","",
IF(AX396="PT",VLOOKUP(L396,Foundation_Calc!$K$4:$R$37,VLOOKUP(AW396,Foundation_Calc!$I$2:$J$8,2,FALSE),0),
IF(AX396="K",VLOOKUP(L396,Foundation_Calc!$K$41:$R$74,VLOOKUP(AW396,Foundation_Calc!$I$2:$J$8,2,FALSE),0),"")))</f>
        <v/>
      </c>
      <c r="AZ396" s="631" t="str">
        <f>IF(K396="","",
IF(AX396="PT",VLOOKUP(K396,Foundation_Calc!$K$4:$R$37,VLOOKUP(AW396,Foundation_Calc!$I$2:$J$8,2,FALSE),0),
IF(AX396="K",VLOOKUP(K396,Foundation_Calc!$K$41:$R$74,VLOOKUP(AW396,Foundation_Calc!$I$2:$J$8,2,FALSE),0),"")))</f>
        <v/>
      </c>
      <c r="BA396" s="632" t="str">
        <f t="shared" si="26"/>
        <v/>
      </c>
      <c r="BB396" s="632" t="str">
        <f t="shared" si="27"/>
        <v/>
      </c>
      <c r="BC396" s="632" t="str">
        <f t="shared" si="28"/>
        <v/>
      </c>
      <c r="BD396" s="633" t="str">
        <f>IF(AND(L396="",H396=""),"",
IF(H396="",Pole_Calc!A424,
IF(H396="MP",Pole_Calc!A425,
IF(H396="AnMP",Pole_Calc!A426,
IF(H396="A",Pole_Calc!A427,
IF(H396="S/A",Pole_Calc!A428,
IF(H396="A/S",Pole_Calc!A429,"Poner a mano")))))))</f>
        <v/>
      </c>
      <c r="BE396" s="448" t="s">
        <v>1726</v>
      </c>
      <c r="BF396" s="634"/>
      <c r="BG396" s="634"/>
      <c r="BH396" s="634"/>
      <c r="BI396" s="634"/>
    </row>
    <row r="397" spans="1:61" ht="16.2" customHeight="1">
      <c r="A397" s="12"/>
      <c r="B397" s="446"/>
      <c r="C397" s="89"/>
      <c r="D397" s="13"/>
      <c r="E397" s="14"/>
      <c r="F397" s="14"/>
      <c r="G397" s="15"/>
      <c r="H397" s="8"/>
      <c r="I397" s="8"/>
      <c r="J397" s="89"/>
      <c r="K397" s="8"/>
      <c r="L397" s="8"/>
      <c r="M397" s="8" t="str">
        <f>IF(L397="","",
IF(AX397="PT",VLOOKUP(L397,Foundation_Calc!$V$4:$X$37,VLOOKUP(AX397,Foundation_Calc!$I$10:$J$13,2,FALSE),0),
IF(AX397="K",VLOOKUP(L397,Foundation_Calc!$V$41:$X$74,VLOOKUP(AX397,Foundation_Calc!$I$10:$J$13,2,FALSE),0),"")))</f>
        <v/>
      </c>
      <c r="N397" s="8"/>
      <c r="O397" s="8"/>
      <c r="P397" s="8"/>
      <c r="Q397" s="14"/>
      <c r="R397" s="15"/>
      <c r="S397" s="15"/>
      <c r="T397" s="14"/>
      <c r="U397" s="14"/>
      <c r="V397" s="14"/>
      <c r="W397" s="18"/>
      <c r="X397" s="18"/>
      <c r="Y397" s="18"/>
      <c r="Z397" s="18"/>
      <c r="AA397" s="18"/>
      <c r="AB397" s="18"/>
      <c r="AC397" s="8" t="str">
        <f t="shared" si="25"/>
        <v/>
      </c>
      <c r="AD397" s="8"/>
      <c r="AE397" s="8"/>
      <c r="AF397" s="14"/>
      <c r="AG397" s="13"/>
      <c r="AH397" s="14"/>
      <c r="AI397" s="14"/>
      <c r="AJ397" s="8"/>
      <c r="AK397" s="8"/>
      <c r="AL397" s="8"/>
      <c r="AM397" s="8"/>
      <c r="AN397" s="631"/>
      <c r="AO397" s="18"/>
      <c r="AP397" s="18"/>
      <c r="AQ397" s="18"/>
      <c r="AR397" s="18"/>
      <c r="AS397" s="18"/>
      <c r="AU397" s="448"/>
      <c r="AV397" s="448"/>
      <c r="AW397" s="8" t="str">
        <f>IF(C397&gt;0,VLOOKUP(C397,Foundation_Calc!$A$2:$C$986,3,1),
IF(J397&gt;0,VLOOKUP(J397,Foundation_Calc!$A$2:$C$986,3,1),""))</f>
        <v/>
      </c>
      <c r="AX397" s="8" t="str">
        <f>IF(C397&gt;0,VLOOKUP(C397,Foundation_Calc!$E$2:$G$986,3,1),
IF(J397&gt;0,VLOOKUP(J397,Foundation_Calc!$E$2:$G$986,3,1),""))</f>
        <v/>
      </c>
      <c r="AY397" s="631" t="str">
        <f>IF(L397="","",
IF(AX397="PT",VLOOKUP(L397,Foundation_Calc!$K$4:$R$37,VLOOKUP(AW397,Foundation_Calc!$I$2:$J$8,2,FALSE),0),
IF(AX397="K",VLOOKUP(L397,Foundation_Calc!$K$41:$R$74,VLOOKUP(AW397,Foundation_Calc!$I$2:$J$8,2,FALSE),0),"")))</f>
        <v/>
      </c>
      <c r="AZ397" s="631" t="str">
        <f>IF(K397="","",
IF(AX397="PT",VLOOKUP(K397,Foundation_Calc!$K$4:$R$37,VLOOKUP(AW397,Foundation_Calc!$I$2:$J$8,2,FALSE),0),
IF(AX397="K",VLOOKUP(K397,Foundation_Calc!$K$41:$R$74,VLOOKUP(AW397,Foundation_Calc!$I$2:$J$8,2,FALSE),0),"")))</f>
        <v/>
      </c>
      <c r="BA397" s="632" t="str">
        <f t="shared" si="26"/>
        <v/>
      </c>
      <c r="BB397" s="632" t="str">
        <f t="shared" si="27"/>
        <v/>
      </c>
      <c r="BC397" s="632" t="str">
        <f t="shared" si="28"/>
        <v/>
      </c>
      <c r="BD397" s="633" t="str">
        <f>IF(AND(L397="",H397=""),"",
IF(H397="",Pole_Calc!A425,
IF(H397="MP",Pole_Calc!A426,
IF(H397="AnMP",Pole_Calc!A427,
IF(H397="A",Pole_Calc!A428,
IF(H397="S/A",Pole_Calc!A429,
IF(H397="A/S",Pole_Calc!A430,"Poner a mano")))))))</f>
        <v/>
      </c>
      <c r="BE397" s="448" t="s">
        <v>1726</v>
      </c>
      <c r="BF397" s="635"/>
      <c r="BG397" s="635"/>
      <c r="BH397" s="634"/>
      <c r="BI397" s="635"/>
    </row>
    <row r="398" spans="1:61" ht="16.2" customHeight="1">
      <c r="A398" s="12"/>
      <c r="B398" s="446"/>
      <c r="C398" s="89"/>
      <c r="D398" s="13"/>
      <c r="E398" s="14"/>
      <c r="F398" s="14"/>
      <c r="G398" s="15"/>
      <c r="H398" s="8"/>
      <c r="I398" s="8"/>
      <c r="J398" s="89"/>
      <c r="K398" s="8"/>
      <c r="L398" s="8"/>
      <c r="M398" s="8" t="str">
        <f>IF(L398="","",
IF(AX398="PT",VLOOKUP(L398,Foundation_Calc!$V$4:$X$37,VLOOKUP(AX398,Foundation_Calc!$I$10:$J$13,2,FALSE),0),
IF(AX398="K",VLOOKUP(L398,Foundation_Calc!$V$41:$X$74,VLOOKUP(AX398,Foundation_Calc!$I$10:$J$13,2,FALSE),0),"")))</f>
        <v/>
      </c>
      <c r="N398" s="8"/>
      <c r="O398" s="8"/>
      <c r="P398" s="8"/>
      <c r="Q398" s="14"/>
      <c r="R398" s="15"/>
      <c r="S398" s="15"/>
      <c r="T398" s="14"/>
      <c r="U398" s="14"/>
      <c r="V398" s="14"/>
      <c r="W398" s="18"/>
      <c r="X398" s="18"/>
      <c r="Y398" s="18"/>
      <c r="Z398" s="18"/>
      <c r="AA398" s="18"/>
      <c r="AB398" s="18"/>
      <c r="AC398" s="8" t="str">
        <f t="shared" si="25"/>
        <v/>
      </c>
      <c r="AD398" s="8"/>
      <c r="AE398" s="8"/>
      <c r="AF398" s="14"/>
      <c r="AG398" s="13"/>
      <c r="AH398" s="14"/>
      <c r="AI398" s="14"/>
      <c r="AJ398" s="8"/>
      <c r="AK398" s="8"/>
      <c r="AL398" s="8"/>
      <c r="AM398" s="8"/>
      <c r="AN398" s="631"/>
      <c r="AO398" s="18"/>
      <c r="AP398" s="18"/>
      <c r="AQ398" s="18"/>
      <c r="AR398" s="18"/>
      <c r="AS398" s="18"/>
      <c r="AU398" s="448"/>
      <c r="AV398" s="448"/>
      <c r="AW398" s="8" t="str">
        <f>IF(C398&gt;0,VLOOKUP(C398,Foundation_Calc!$A$2:$C$986,3,1),
IF(J398&gt;0,VLOOKUP(J398,Foundation_Calc!$A$2:$C$986,3,1),""))</f>
        <v/>
      </c>
      <c r="AX398" s="8" t="str">
        <f>IF(C398&gt;0,VLOOKUP(C398,Foundation_Calc!$E$2:$G$986,3,1),
IF(J398&gt;0,VLOOKUP(J398,Foundation_Calc!$E$2:$G$986,3,1),""))</f>
        <v/>
      </c>
      <c r="AY398" s="631" t="str">
        <f>IF(L398="","",
IF(AX398="PT",VLOOKUP(L398,Foundation_Calc!$K$4:$R$37,VLOOKUP(AW398,Foundation_Calc!$I$2:$J$8,2,FALSE),0),
IF(AX398="K",VLOOKUP(L398,Foundation_Calc!$K$41:$R$74,VLOOKUP(AW398,Foundation_Calc!$I$2:$J$8,2,FALSE),0),"")))</f>
        <v/>
      </c>
      <c r="AZ398" s="631" t="str">
        <f>IF(K398="","",
IF(AX398="PT",VLOOKUP(K398,Foundation_Calc!$K$4:$R$37,VLOOKUP(AW398,Foundation_Calc!$I$2:$J$8,2,FALSE),0),
IF(AX398="K",VLOOKUP(K398,Foundation_Calc!$K$41:$R$74,VLOOKUP(AW398,Foundation_Calc!$I$2:$J$8,2,FALSE),0),"")))</f>
        <v/>
      </c>
      <c r="BA398" s="632" t="str">
        <f t="shared" si="26"/>
        <v/>
      </c>
      <c r="BB398" s="632" t="str">
        <f t="shared" si="27"/>
        <v/>
      </c>
      <c r="BC398" s="632" t="str">
        <f t="shared" si="28"/>
        <v/>
      </c>
      <c r="BD398" s="633" t="str">
        <f>IF(AND(L398="",H398=""),"",
IF(H398="",Pole_Calc!A426,
IF(H398="MP",Pole_Calc!A427,
IF(H398="AnMP",Pole_Calc!A428,
IF(H398="A",Pole_Calc!A429,
IF(H398="S/A",Pole_Calc!A430,
IF(H398="A/S",Pole_Calc!A431,"Poner a mano")))))))</f>
        <v/>
      </c>
      <c r="BE398" s="448" t="s">
        <v>1726</v>
      </c>
      <c r="BF398" s="634"/>
      <c r="BG398" s="634"/>
      <c r="BH398" s="634"/>
      <c r="BI398" s="634"/>
    </row>
    <row r="399" spans="1:61" ht="16.2" customHeight="1">
      <c r="A399" s="12"/>
      <c r="B399" s="446"/>
      <c r="C399" s="89"/>
      <c r="D399" s="13"/>
      <c r="E399" s="14"/>
      <c r="F399" s="14"/>
      <c r="G399" s="15"/>
      <c r="H399" s="8"/>
      <c r="I399" s="8"/>
      <c r="J399" s="89"/>
      <c r="K399" s="8"/>
      <c r="L399" s="8"/>
      <c r="M399" s="8" t="str">
        <f>IF(L399="","",
IF(AX399="PT",VLOOKUP(L399,Foundation_Calc!$V$4:$X$37,VLOOKUP(AX399,Foundation_Calc!$I$10:$J$13,2,FALSE),0),
IF(AX399="K",VLOOKUP(L399,Foundation_Calc!$V$41:$X$74,VLOOKUP(AX399,Foundation_Calc!$I$10:$J$13,2,FALSE),0),"")))</f>
        <v/>
      </c>
      <c r="N399" s="8"/>
      <c r="O399" s="8"/>
      <c r="P399" s="8"/>
      <c r="Q399" s="14"/>
      <c r="R399" s="15"/>
      <c r="S399" s="15"/>
      <c r="T399" s="14"/>
      <c r="U399" s="14"/>
      <c r="V399" s="14"/>
      <c r="W399" s="18"/>
      <c r="X399" s="18"/>
      <c r="Y399" s="18"/>
      <c r="Z399" s="18"/>
      <c r="AA399" s="18"/>
      <c r="AB399" s="18"/>
      <c r="AC399" s="8" t="str">
        <f t="shared" si="25"/>
        <v/>
      </c>
      <c r="AD399" s="8"/>
      <c r="AE399" s="8"/>
      <c r="AF399" s="14"/>
      <c r="AG399" s="13"/>
      <c r="AH399" s="14"/>
      <c r="AI399" s="14"/>
      <c r="AJ399" s="8"/>
      <c r="AK399" s="8"/>
      <c r="AL399" s="8"/>
      <c r="AM399" s="8"/>
      <c r="AN399" s="631"/>
      <c r="AO399" s="18"/>
      <c r="AP399" s="18"/>
      <c r="AQ399" s="18"/>
      <c r="AR399" s="18"/>
      <c r="AS399" s="18"/>
      <c r="AU399" s="448"/>
      <c r="AV399" s="448"/>
      <c r="AW399" s="8" t="str">
        <f>IF(C399&gt;0,VLOOKUP(C399,Foundation_Calc!$A$2:$C$986,3,1),
IF(J399&gt;0,VLOOKUP(J399,Foundation_Calc!$A$2:$C$986,3,1),""))</f>
        <v/>
      </c>
      <c r="AX399" s="8" t="str">
        <f>IF(C399&gt;0,VLOOKUP(C399,Foundation_Calc!$E$2:$G$986,3,1),
IF(J399&gt;0,VLOOKUP(J399,Foundation_Calc!$E$2:$G$986,3,1),""))</f>
        <v/>
      </c>
      <c r="AY399" s="631" t="str">
        <f>IF(L399="","",
IF(AX399="PT",VLOOKUP(L399,Foundation_Calc!$K$4:$R$37,VLOOKUP(AW399,Foundation_Calc!$I$2:$J$8,2,FALSE),0),
IF(AX399="K",VLOOKUP(L399,Foundation_Calc!$K$41:$R$74,VLOOKUP(AW399,Foundation_Calc!$I$2:$J$8,2,FALSE),0),"")))</f>
        <v/>
      </c>
      <c r="AZ399" s="631" t="str">
        <f>IF(K399="","",
IF(AX399="PT",VLOOKUP(K399,Foundation_Calc!$K$4:$R$37,VLOOKUP(AW399,Foundation_Calc!$I$2:$J$8,2,FALSE),0),
IF(AX399="K",VLOOKUP(K399,Foundation_Calc!$K$41:$R$74,VLOOKUP(AW399,Foundation_Calc!$I$2:$J$8,2,FALSE),0),"")))</f>
        <v/>
      </c>
      <c r="BA399" s="632" t="str">
        <f t="shared" si="26"/>
        <v/>
      </c>
      <c r="BB399" s="632" t="str">
        <f t="shared" si="27"/>
        <v/>
      </c>
      <c r="BC399" s="632" t="str">
        <f t="shared" si="28"/>
        <v/>
      </c>
      <c r="BD399" s="633" t="str">
        <f>IF(AND(L399="",H399=""),"",
IF(H399="",Pole_Calc!A427,
IF(H399="MP",Pole_Calc!A428,
IF(H399="AnMP",Pole_Calc!A429,
IF(H399="A",Pole_Calc!A430,
IF(H399="S/A",Pole_Calc!A431,
IF(H399="A/S",Pole_Calc!A432,"Poner a mano")))))))</f>
        <v/>
      </c>
      <c r="BE399" s="448" t="s">
        <v>1726</v>
      </c>
      <c r="BF399" s="635"/>
      <c r="BG399" s="635"/>
      <c r="BH399" s="634"/>
      <c r="BI399" s="635"/>
    </row>
    <row r="400" spans="1:61" ht="16.2" customHeight="1">
      <c r="A400" s="12"/>
      <c r="B400" s="446"/>
      <c r="C400" s="89"/>
      <c r="D400" s="13"/>
      <c r="E400" s="14"/>
      <c r="F400" s="14"/>
      <c r="G400" s="15"/>
      <c r="H400" s="8"/>
      <c r="I400" s="8"/>
      <c r="J400" s="89"/>
      <c r="K400" s="8"/>
      <c r="L400" s="8"/>
      <c r="M400" s="8" t="str">
        <f>IF(L400="","",
IF(AX400="PT",VLOOKUP(L400,Foundation_Calc!$V$4:$X$37,VLOOKUP(AX400,Foundation_Calc!$I$10:$J$13,2,FALSE),0),
IF(AX400="K",VLOOKUP(L400,Foundation_Calc!$V$41:$X$74,VLOOKUP(AX400,Foundation_Calc!$I$10:$J$13,2,FALSE),0),"")))</f>
        <v/>
      </c>
      <c r="N400" s="8"/>
      <c r="O400" s="8"/>
      <c r="P400" s="8"/>
      <c r="Q400" s="14"/>
      <c r="R400" s="15"/>
      <c r="S400" s="15"/>
      <c r="T400" s="14"/>
      <c r="U400" s="14"/>
      <c r="V400" s="14"/>
      <c r="W400" s="18"/>
      <c r="X400" s="18"/>
      <c r="Y400" s="18"/>
      <c r="Z400" s="18"/>
      <c r="AA400" s="18"/>
      <c r="AB400" s="18"/>
      <c r="AC400" s="8" t="str">
        <f t="shared" si="25"/>
        <v/>
      </c>
      <c r="AD400" s="8"/>
      <c r="AE400" s="8"/>
      <c r="AF400" s="14"/>
      <c r="AG400" s="13"/>
      <c r="AH400" s="14"/>
      <c r="AI400" s="14"/>
      <c r="AJ400" s="8"/>
      <c r="AK400" s="8"/>
      <c r="AL400" s="8"/>
      <c r="AM400" s="8"/>
      <c r="AN400" s="631"/>
      <c r="AO400" s="18"/>
      <c r="AP400" s="18"/>
      <c r="AQ400" s="18"/>
      <c r="AR400" s="18"/>
      <c r="AS400" s="18"/>
      <c r="AU400" s="448"/>
      <c r="AV400" s="448"/>
      <c r="AW400" s="8" t="str">
        <f>IF(C400&gt;0,VLOOKUP(C400,Foundation_Calc!$A$2:$C$986,3,1),
IF(J400&gt;0,VLOOKUP(J400,Foundation_Calc!$A$2:$C$986,3,1),""))</f>
        <v/>
      </c>
      <c r="AX400" s="8" t="str">
        <f>IF(C400&gt;0,VLOOKUP(C400,Foundation_Calc!$E$2:$G$986,3,1),
IF(J400&gt;0,VLOOKUP(J400,Foundation_Calc!$E$2:$G$986,3,1),""))</f>
        <v/>
      </c>
      <c r="AY400" s="631" t="str">
        <f>IF(L400="","",
IF(AX400="PT",VLOOKUP(L400,Foundation_Calc!$K$4:$R$37,VLOOKUP(AW400,Foundation_Calc!$I$2:$J$8,2,FALSE),0),
IF(AX400="K",VLOOKUP(L400,Foundation_Calc!$K$41:$R$74,VLOOKUP(AW400,Foundation_Calc!$I$2:$J$8,2,FALSE),0),"")))</f>
        <v/>
      </c>
      <c r="AZ400" s="631" t="str">
        <f>IF(K400="","",
IF(AX400="PT",VLOOKUP(K400,Foundation_Calc!$K$4:$R$37,VLOOKUP(AW400,Foundation_Calc!$I$2:$J$8,2,FALSE),0),
IF(AX400="K",VLOOKUP(K400,Foundation_Calc!$K$41:$R$74,VLOOKUP(AW400,Foundation_Calc!$I$2:$J$8,2,FALSE),0),"")))</f>
        <v/>
      </c>
      <c r="BA400" s="632" t="str">
        <f t="shared" si="26"/>
        <v/>
      </c>
      <c r="BB400" s="632" t="str">
        <f t="shared" si="27"/>
        <v/>
      </c>
      <c r="BC400" s="632" t="str">
        <f t="shared" si="28"/>
        <v/>
      </c>
      <c r="BD400" s="633" t="str">
        <f>IF(AND(L400="",H400=""),"",
IF(H400="",Pole_Calc!A428,
IF(H400="MP",Pole_Calc!A429,
IF(H400="AnMP",Pole_Calc!A430,
IF(H400="A",Pole_Calc!A431,
IF(H400="S/A",Pole_Calc!A432,
IF(H400="A/S",Pole_Calc!A433,"Poner a mano")))))))</f>
        <v/>
      </c>
      <c r="BE400" s="448" t="s">
        <v>1726</v>
      </c>
      <c r="BF400" s="634"/>
      <c r="BG400" s="634"/>
      <c r="BH400" s="634"/>
      <c r="BI400" s="634"/>
    </row>
    <row r="401" spans="1:61" ht="16.2" customHeight="1">
      <c r="A401" s="12"/>
      <c r="B401" s="446"/>
      <c r="C401" s="89"/>
      <c r="D401" s="13"/>
      <c r="E401" s="14"/>
      <c r="F401" s="14"/>
      <c r="G401" s="15"/>
      <c r="H401" s="8"/>
      <c r="I401" s="8"/>
      <c r="J401" s="89"/>
      <c r="K401" s="8"/>
      <c r="L401" s="8"/>
      <c r="M401" s="8" t="str">
        <f>IF(L401="","",
IF(AX401="PT",VLOOKUP(L401,Foundation_Calc!$V$4:$X$37,VLOOKUP(AX401,Foundation_Calc!$I$10:$J$13,2,FALSE),0),
IF(AX401="K",VLOOKUP(L401,Foundation_Calc!$V$41:$X$74,VLOOKUP(AX401,Foundation_Calc!$I$10:$J$13,2,FALSE),0),"")))</f>
        <v/>
      </c>
      <c r="N401" s="8"/>
      <c r="O401" s="8"/>
      <c r="P401" s="8"/>
      <c r="Q401" s="14"/>
      <c r="R401" s="15"/>
      <c r="S401" s="15"/>
      <c r="T401" s="14"/>
      <c r="U401" s="14"/>
      <c r="V401" s="14"/>
      <c r="W401" s="18"/>
      <c r="X401" s="18"/>
      <c r="Y401" s="18"/>
      <c r="Z401" s="18"/>
      <c r="AA401" s="18"/>
      <c r="AB401" s="18"/>
      <c r="AC401" s="8" t="str">
        <f t="shared" si="25"/>
        <v/>
      </c>
      <c r="AD401" s="8"/>
      <c r="AE401" s="8"/>
      <c r="AF401" s="14"/>
      <c r="AG401" s="13"/>
      <c r="AH401" s="14"/>
      <c r="AI401" s="14"/>
      <c r="AJ401" s="8"/>
      <c r="AK401" s="8"/>
      <c r="AL401" s="8"/>
      <c r="AM401" s="8"/>
      <c r="AN401" s="631"/>
      <c r="AO401" s="18"/>
      <c r="AP401" s="18"/>
      <c r="AQ401" s="18"/>
      <c r="AR401" s="18"/>
      <c r="AS401" s="18"/>
      <c r="AU401" s="448"/>
      <c r="AV401" s="448"/>
      <c r="AW401" s="8" t="str">
        <f>IF(C401&gt;0,VLOOKUP(C401,Foundation_Calc!$A$2:$C$986,3,1),
IF(J401&gt;0,VLOOKUP(J401,Foundation_Calc!$A$2:$C$986,3,1),""))</f>
        <v/>
      </c>
      <c r="AX401" s="8" t="str">
        <f>IF(C401&gt;0,VLOOKUP(C401,Foundation_Calc!$E$2:$G$986,3,1),
IF(J401&gt;0,VLOOKUP(J401,Foundation_Calc!$E$2:$G$986,3,1),""))</f>
        <v/>
      </c>
      <c r="AY401" s="631" t="str">
        <f>IF(L401="","",
IF(AX401="PT",VLOOKUP(L401,Foundation_Calc!$K$4:$R$37,VLOOKUP(AW401,Foundation_Calc!$I$2:$J$8,2,FALSE),0),
IF(AX401="K",VLOOKUP(L401,Foundation_Calc!$K$41:$R$74,VLOOKUP(AW401,Foundation_Calc!$I$2:$J$8,2,FALSE),0),"")))</f>
        <v/>
      </c>
      <c r="AZ401" s="631" t="str">
        <f>IF(K401="","",
IF(AX401="PT",VLOOKUP(K401,Foundation_Calc!$K$4:$R$37,VLOOKUP(AW401,Foundation_Calc!$I$2:$J$8,2,FALSE),0),
IF(AX401="K",VLOOKUP(K401,Foundation_Calc!$K$41:$R$74,VLOOKUP(AW401,Foundation_Calc!$I$2:$J$8,2,FALSE),0),"")))</f>
        <v/>
      </c>
      <c r="BA401" s="632" t="str">
        <f t="shared" si="26"/>
        <v/>
      </c>
      <c r="BB401" s="632" t="str">
        <f t="shared" si="27"/>
        <v/>
      </c>
      <c r="BC401" s="632" t="str">
        <f t="shared" si="28"/>
        <v/>
      </c>
      <c r="BD401" s="633" t="str">
        <f>IF(AND(L401="",H401=""),"",
IF(H401="",Pole_Calc!A429,
IF(H401="MP",Pole_Calc!A430,
IF(H401="AnMP",Pole_Calc!A431,
IF(H401="A",Pole_Calc!A432,
IF(H401="S/A",Pole_Calc!A433,
IF(H401="A/S",Pole_Calc!A434,"Poner a mano")))))))</f>
        <v/>
      </c>
      <c r="BE401" s="448" t="s">
        <v>1726</v>
      </c>
      <c r="BF401" s="635"/>
      <c r="BG401" s="635"/>
      <c r="BH401" s="634"/>
      <c r="BI401" s="635"/>
    </row>
    <row r="402" spans="1:61" ht="16.2" customHeight="1">
      <c r="A402" s="12"/>
      <c r="B402" s="446"/>
      <c r="C402" s="89"/>
      <c r="D402" s="13"/>
      <c r="E402" s="14"/>
      <c r="F402" s="14"/>
      <c r="G402" s="15"/>
      <c r="H402" s="8"/>
      <c r="I402" s="8"/>
      <c r="J402" s="89"/>
      <c r="K402" s="8"/>
      <c r="L402" s="8"/>
      <c r="M402" s="8" t="str">
        <f>IF(L402="","",
IF(AX402="PT",VLOOKUP(L402,Foundation_Calc!$V$4:$X$37,VLOOKUP(AX402,Foundation_Calc!$I$10:$J$13,2,FALSE),0),
IF(AX402="K",VLOOKUP(L402,Foundation_Calc!$V$41:$X$74,VLOOKUP(AX402,Foundation_Calc!$I$10:$J$13,2,FALSE),0),"")))</f>
        <v/>
      </c>
      <c r="N402" s="8"/>
      <c r="O402" s="8"/>
      <c r="P402" s="8"/>
      <c r="Q402" s="14"/>
      <c r="R402" s="15"/>
      <c r="S402" s="15"/>
      <c r="T402" s="14"/>
      <c r="U402" s="14"/>
      <c r="V402" s="14"/>
      <c r="W402" s="18"/>
      <c r="X402" s="18"/>
      <c r="Y402" s="18"/>
      <c r="Z402" s="18"/>
      <c r="AA402" s="18"/>
      <c r="AB402" s="18"/>
      <c r="AC402" s="8" t="str">
        <f t="shared" si="25"/>
        <v/>
      </c>
      <c r="AD402" s="8"/>
      <c r="AE402" s="8"/>
      <c r="AF402" s="14"/>
      <c r="AG402" s="13"/>
      <c r="AH402" s="14"/>
      <c r="AI402" s="14"/>
      <c r="AJ402" s="8"/>
      <c r="AK402" s="8"/>
      <c r="AL402" s="8"/>
      <c r="AM402" s="8"/>
      <c r="AN402" s="631"/>
      <c r="AO402" s="18"/>
      <c r="AP402" s="18"/>
      <c r="AQ402" s="18"/>
      <c r="AR402" s="18"/>
      <c r="AS402" s="18"/>
      <c r="AU402" s="448"/>
      <c r="AV402" s="448"/>
      <c r="AW402" s="8" t="str">
        <f>IF(C402&gt;0,VLOOKUP(C402,Foundation_Calc!$A$2:$C$986,3,1),
IF(J402&gt;0,VLOOKUP(J402,Foundation_Calc!$A$2:$C$986,3,1),""))</f>
        <v/>
      </c>
      <c r="AX402" s="8" t="str">
        <f>IF(C402&gt;0,VLOOKUP(C402,Foundation_Calc!$E$2:$G$986,3,1),
IF(J402&gt;0,VLOOKUP(J402,Foundation_Calc!$E$2:$G$986,3,1),""))</f>
        <v/>
      </c>
      <c r="AY402" s="631" t="str">
        <f>IF(L402="","",
IF(AX402="PT",VLOOKUP(L402,Foundation_Calc!$K$4:$R$37,VLOOKUP(AW402,Foundation_Calc!$I$2:$J$8,2,FALSE),0),
IF(AX402="K",VLOOKUP(L402,Foundation_Calc!$K$41:$R$74,VLOOKUP(AW402,Foundation_Calc!$I$2:$J$8,2,FALSE),0),"")))</f>
        <v/>
      </c>
      <c r="AZ402" s="631" t="str">
        <f>IF(K402="","",
IF(AX402="PT",VLOOKUP(K402,Foundation_Calc!$K$4:$R$37,VLOOKUP(AW402,Foundation_Calc!$I$2:$J$8,2,FALSE),0),
IF(AX402="K",VLOOKUP(K402,Foundation_Calc!$K$41:$R$74,VLOOKUP(AW402,Foundation_Calc!$I$2:$J$8,2,FALSE),0),"")))</f>
        <v/>
      </c>
      <c r="BA402" s="632" t="str">
        <f t="shared" si="26"/>
        <v/>
      </c>
      <c r="BB402" s="632" t="str">
        <f t="shared" si="27"/>
        <v/>
      </c>
      <c r="BC402" s="632" t="str">
        <f t="shared" si="28"/>
        <v/>
      </c>
      <c r="BD402" s="633" t="str">
        <f>IF(AND(L402="",H402=""),"",
IF(H402="",Pole_Calc!A430,
IF(H402="MP",Pole_Calc!A431,
IF(H402="AnMP",Pole_Calc!A432,
IF(H402="A",Pole_Calc!A433,
IF(H402="S/A",Pole_Calc!A434,
IF(H402="A/S",Pole_Calc!A435,"Poner a mano")))))))</f>
        <v/>
      </c>
      <c r="BE402" s="448" t="s">
        <v>1726</v>
      </c>
      <c r="BF402" s="634"/>
      <c r="BG402" s="634"/>
      <c r="BH402" s="634"/>
      <c r="BI402" s="634"/>
    </row>
    <row r="403" spans="1:61" ht="16.2" customHeight="1">
      <c r="A403" s="12"/>
      <c r="B403" s="446"/>
      <c r="C403" s="89"/>
      <c r="D403" s="13"/>
      <c r="E403" s="14"/>
      <c r="F403" s="14"/>
      <c r="G403" s="15"/>
      <c r="H403" s="8"/>
      <c r="I403" s="8"/>
      <c r="J403" s="89"/>
      <c r="K403" s="8"/>
      <c r="L403" s="8"/>
      <c r="M403" s="8" t="str">
        <f>IF(L403="","",
IF(AX403="PT",VLOOKUP(L403,Foundation_Calc!$V$4:$X$37,VLOOKUP(AX403,Foundation_Calc!$I$10:$J$13,2,FALSE),0),
IF(AX403="K",VLOOKUP(L403,Foundation_Calc!$V$41:$X$74,VLOOKUP(AX403,Foundation_Calc!$I$10:$J$13,2,FALSE),0),"")))</f>
        <v/>
      </c>
      <c r="N403" s="8"/>
      <c r="O403" s="8"/>
      <c r="P403" s="8"/>
      <c r="Q403" s="14"/>
      <c r="R403" s="15"/>
      <c r="S403" s="15"/>
      <c r="T403" s="14"/>
      <c r="U403" s="14"/>
      <c r="V403" s="14"/>
      <c r="W403" s="18"/>
      <c r="X403" s="18"/>
      <c r="Y403" s="18"/>
      <c r="Z403" s="18"/>
      <c r="AA403" s="18"/>
      <c r="AB403" s="18"/>
      <c r="AC403" s="8" t="str">
        <f t="shared" si="25"/>
        <v/>
      </c>
      <c r="AD403" s="8"/>
      <c r="AE403" s="8"/>
      <c r="AF403" s="14"/>
      <c r="AG403" s="13"/>
      <c r="AH403" s="14"/>
      <c r="AI403" s="14"/>
      <c r="AJ403" s="8"/>
      <c r="AK403" s="8"/>
      <c r="AL403" s="8"/>
      <c r="AM403" s="8"/>
      <c r="AN403" s="631"/>
      <c r="AO403" s="18"/>
      <c r="AP403" s="18"/>
      <c r="AQ403" s="18"/>
      <c r="AR403" s="18"/>
      <c r="AS403" s="18"/>
      <c r="AU403" s="448"/>
      <c r="AV403" s="448"/>
      <c r="AW403" s="8" t="str">
        <f>IF(C403&gt;0,VLOOKUP(C403,Foundation_Calc!$A$2:$C$986,3,1),
IF(J403&gt;0,VLOOKUP(J403,Foundation_Calc!$A$2:$C$986,3,1),""))</f>
        <v/>
      </c>
      <c r="AX403" s="8" t="str">
        <f>IF(C403&gt;0,VLOOKUP(C403,Foundation_Calc!$E$2:$G$986,3,1),
IF(J403&gt;0,VLOOKUP(J403,Foundation_Calc!$E$2:$G$986,3,1),""))</f>
        <v/>
      </c>
      <c r="AY403" s="631" t="str">
        <f>IF(L403="","",
IF(AX403="PT",VLOOKUP(L403,Foundation_Calc!$K$4:$R$37,VLOOKUP(AW403,Foundation_Calc!$I$2:$J$8,2,FALSE),0),
IF(AX403="K",VLOOKUP(L403,Foundation_Calc!$K$41:$R$74,VLOOKUP(AW403,Foundation_Calc!$I$2:$J$8,2,FALSE),0),"")))</f>
        <v/>
      </c>
      <c r="AZ403" s="631" t="str">
        <f>IF(K403="","",
IF(AX403="PT",VLOOKUP(K403,Foundation_Calc!$K$4:$R$37,VLOOKUP(AW403,Foundation_Calc!$I$2:$J$8,2,FALSE),0),
IF(AX403="K",VLOOKUP(K403,Foundation_Calc!$K$41:$R$74,VLOOKUP(AW403,Foundation_Calc!$I$2:$J$8,2,FALSE),0),"")))</f>
        <v/>
      </c>
      <c r="BA403" s="632" t="str">
        <f t="shared" si="26"/>
        <v/>
      </c>
      <c r="BB403" s="632" t="str">
        <f t="shared" si="27"/>
        <v/>
      </c>
      <c r="BC403" s="632" t="str">
        <f t="shared" si="28"/>
        <v/>
      </c>
      <c r="BD403" s="633" t="str">
        <f>IF(AND(L403="",H403=""),"",
IF(H403="",Pole_Calc!A431,
IF(H403="MP",Pole_Calc!A432,
IF(H403="AnMP",Pole_Calc!A433,
IF(H403="A",Pole_Calc!A434,
IF(H403="S/A",Pole_Calc!A435,
IF(H403="A/S",Pole_Calc!A436,"Poner a mano")))))))</f>
        <v/>
      </c>
      <c r="BE403" s="448" t="s">
        <v>1726</v>
      </c>
      <c r="BF403" s="635"/>
      <c r="BG403" s="635"/>
      <c r="BH403" s="634"/>
      <c r="BI403" s="635"/>
    </row>
    <row r="404" spans="1:61" ht="16.2" customHeight="1">
      <c r="A404" s="12"/>
      <c r="B404" s="446"/>
      <c r="C404" s="89"/>
      <c r="D404" s="13"/>
      <c r="E404" s="14"/>
      <c r="F404" s="14"/>
      <c r="G404" s="15"/>
      <c r="H404" s="8"/>
      <c r="I404" s="8"/>
      <c r="J404" s="89"/>
      <c r="K404" s="8"/>
      <c r="L404" s="8"/>
      <c r="M404" s="8" t="str">
        <f>IF(L404="","",
IF(AX404="PT",VLOOKUP(L404,Foundation_Calc!$V$4:$X$37,VLOOKUP(AX404,Foundation_Calc!$I$10:$J$13,2,FALSE),0),
IF(AX404="K",VLOOKUP(L404,Foundation_Calc!$V$41:$X$74,VLOOKUP(AX404,Foundation_Calc!$I$10:$J$13,2,FALSE),0),"")))</f>
        <v/>
      </c>
      <c r="N404" s="8"/>
      <c r="O404" s="8"/>
      <c r="P404" s="8"/>
      <c r="Q404" s="14"/>
      <c r="R404" s="15"/>
      <c r="S404" s="15"/>
      <c r="T404" s="14"/>
      <c r="U404" s="14"/>
      <c r="V404" s="14"/>
      <c r="W404" s="18"/>
      <c r="X404" s="18"/>
      <c r="Y404" s="18"/>
      <c r="Z404" s="18"/>
      <c r="AA404" s="18"/>
      <c r="AB404" s="18"/>
      <c r="AC404" s="8" t="str">
        <f t="shared" si="25"/>
        <v/>
      </c>
      <c r="AD404" s="8"/>
      <c r="AE404" s="8"/>
      <c r="AF404" s="14"/>
      <c r="AG404" s="13"/>
      <c r="AH404" s="14"/>
      <c r="AI404" s="14"/>
      <c r="AJ404" s="8"/>
      <c r="AK404" s="8"/>
      <c r="AL404" s="8"/>
      <c r="AM404" s="8"/>
      <c r="AN404" s="631"/>
      <c r="AO404" s="18"/>
      <c r="AP404" s="18"/>
      <c r="AQ404" s="18"/>
      <c r="AR404" s="18"/>
      <c r="AS404" s="18"/>
      <c r="AU404" s="448"/>
      <c r="AV404" s="448"/>
      <c r="AW404" s="8" t="str">
        <f>IF(C404&gt;0,VLOOKUP(C404,Foundation_Calc!$A$2:$C$986,3,1),
IF(J404&gt;0,VLOOKUP(J404,Foundation_Calc!$A$2:$C$986,3,1),""))</f>
        <v/>
      </c>
      <c r="AX404" s="8" t="str">
        <f>IF(C404&gt;0,VLOOKUP(C404,Foundation_Calc!$E$2:$G$986,3,1),
IF(J404&gt;0,VLOOKUP(J404,Foundation_Calc!$E$2:$G$986,3,1),""))</f>
        <v/>
      </c>
      <c r="AY404" s="631" t="str">
        <f>IF(L404="","",
IF(AX404="PT",VLOOKUP(L404,Foundation_Calc!$K$4:$R$37,VLOOKUP(AW404,Foundation_Calc!$I$2:$J$8,2,FALSE),0),
IF(AX404="K",VLOOKUP(L404,Foundation_Calc!$K$41:$R$74,VLOOKUP(AW404,Foundation_Calc!$I$2:$J$8,2,FALSE),0),"")))</f>
        <v/>
      </c>
      <c r="AZ404" s="631" t="str">
        <f>IF(K404="","",
IF(AX404="PT",VLOOKUP(K404,Foundation_Calc!$K$4:$R$37,VLOOKUP(AW404,Foundation_Calc!$I$2:$J$8,2,FALSE),0),
IF(AX404="K",VLOOKUP(K404,Foundation_Calc!$K$41:$R$74,VLOOKUP(AW404,Foundation_Calc!$I$2:$J$8,2,FALSE),0),"")))</f>
        <v/>
      </c>
      <c r="BA404" s="632" t="str">
        <f t="shared" si="26"/>
        <v/>
      </c>
      <c r="BB404" s="632" t="str">
        <f t="shared" si="27"/>
        <v/>
      </c>
      <c r="BC404" s="632" t="str">
        <f t="shared" si="28"/>
        <v/>
      </c>
      <c r="BD404" s="633" t="str">
        <f>IF(AND(L404="",H404=""),"",
IF(H404="",Pole_Calc!A432,
IF(H404="MP",Pole_Calc!A433,
IF(H404="AnMP",Pole_Calc!A434,
IF(H404="A",Pole_Calc!A435,
IF(H404="S/A",Pole_Calc!A436,
IF(H404="A/S",Pole_Calc!A437,"Poner a mano")))))))</f>
        <v/>
      </c>
      <c r="BE404" s="448" t="s">
        <v>1726</v>
      </c>
      <c r="BF404" s="634"/>
      <c r="BG404" s="634"/>
      <c r="BH404" s="634"/>
      <c r="BI404" s="634"/>
    </row>
    <row r="405" spans="1:61" ht="16.2" customHeight="1">
      <c r="A405" s="12"/>
      <c r="B405" s="446"/>
      <c r="C405" s="89"/>
      <c r="D405" s="13"/>
      <c r="E405" s="14"/>
      <c r="F405" s="14"/>
      <c r="G405" s="15"/>
      <c r="H405" s="8"/>
      <c r="I405" s="8"/>
      <c r="J405" s="89"/>
      <c r="K405" s="8"/>
      <c r="L405" s="8"/>
      <c r="M405" s="8" t="str">
        <f>IF(L405="","",
IF(AX405="PT",VLOOKUP(L405,Foundation_Calc!$V$4:$X$37,VLOOKUP(AX405,Foundation_Calc!$I$10:$J$13,2,FALSE),0),
IF(AX405="K",VLOOKUP(L405,Foundation_Calc!$V$41:$X$74,VLOOKUP(AX405,Foundation_Calc!$I$10:$J$13,2,FALSE),0),"")))</f>
        <v/>
      </c>
      <c r="N405" s="8"/>
      <c r="O405" s="8"/>
      <c r="P405" s="8"/>
      <c r="Q405" s="14"/>
      <c r="R405" s="15"/>
      <c r="S405" s="15"/>
      <c r="T405" s="14"/>
      <c r="U405" s="14"/>
      <c r="V405" s="14"/>
      <c r="W405" s="18"/>
      <c r="X405" s="18"/>
      <c r="Y405" s="18"/>
      <c r="Z405" s="18"/>
      <c r="AA405" s="18"/>
      <c r="AB405" s="18"/>
      <c r="AC405" s="8" t="str">
        <f t="shared" si="25"/>
        <v/>
      </c>
      <c r="AD405" s="8"/>
      <c r="AE405" s="8"/>
      <c r="AF405" s="14"/>
      <c r="AG405" s="13"/>
      <c r="AH405" s="14"/>
      <c r="AI405" s="14"/>
      <c r="AJ405" s="8"/>
      <c r="AK405" s="8"/>
      <c r="AL405" s="8"/>
      <c r="AM405" s="8"/>
      <c r="AN405" s="631"/>
      <c r="AO405" s="18"/>
      <c r="AP405" s="18"/>
      <c r="AQ405" s="18"/>
      <c r="AR405" s="18"/>
      <c r="AS405" s="18"/>
      <c r="AU405" s="448"/>
      <c r="AV405" s="448"/>
      <c r="AW405" s="8" t="str">
        <f>IF(C405&gt;0,VLOOKUP(C405,Foundation_Calc!$A$2:$C$986,3,1),
IF(J405&gt;0,VLOOKUP(J405,Foundation_Calc!$A$2:$C$986,3,1),""))</f>
        <v/>
      </c>
      <c r="AX405" s="8" t="str">
        <f>IF(C405&gt;0,VLOOKUP(C405,Foundation_Calc!$E$2:$G$986,3,1),
IF(J405&gt;0,VLOOKUP(J405,Foundation_Calc!$E$2:$G$986,3,1),""))</f>
        <v/>
      </c>
      <c r="AY405" s="631" t="str">
        <f>IF(L405="","",
IF(AX405="PT",VLOOKUP(L405,Foundation_Calc!$K$4:$R$37,VLOOKUP(AW405,Foundation_Calc!$I$2:$J$8,2,FALSE),0),
IF(AX405="K",VLOOKUP(L405,Foundation_Calc!$K$41:$R$74,VLOOKUP(AW405,Foundation_Calc!$I$2:$J$8,2,FALSE),0),"")))</f>
        <v/>
      </c>
      <c r="AZ405" s="631" t="str">
        <f>IF(K405="","",
IF(AX405="PT",VLOOKUP(K405,Foundation_Calc!$K$4:$R$37,VLOOKUP(AW405,Foundation_Calc!$I$2:$J$8,2,FALSE),0),
IF(AX405="K",VLOOKUP(K405,Foundation_Calc!$K$41:$R$74,VLOOKUP(AW405,Foundation_Calc!$I$2:$J$8,2,FALSE),0),"")))</f>
        <v/>
      </c>
      <c r="BA405" s="632" t="str">
        <f t="shared" si="26"/>
        <v/>
      </c>
      <c r="BB405" s="632" t="str">
        <f t="shared" si="27"/>
        <v/>
      </c>
      <c r="BC405" s="632" t="str">
        <f t="shared" si="28"/>
        <v/>
      </c>
      <c r="BD405" s="633" t="str">
        <f>IF(AND(L405="",H405=""),"",
IF(H405="",Pole_Calc!A433,
IF(H405="MP",Pole_Calc!A434,
IF(H405="AnMP",Pole_Calc!A435,
IF(H405="A",Pole_Calc!A436,
IF(H405="S/A",Pole_Calc!A437,
IF(H405="A/S",Pole_Calc!A438,"Poner a mano")))))))</f>
        <v/>
      </c>
      <c r="BE405" s="448" t="s">
        <v>1726</v>
      </c>
      <c r="BF405" s="635"/>
      <c r="BG405" s="635"/>
      <c r="BH405" s="634"/>
      <c r="BI405" s="635"/>
    </row>
    <row r="406" spans="1:61" ht="16.2" customHeight="1">
      <c r="A406" s="12"/>
      <c r="B406" s="446"/>
      <c r="C406" s="89"/>
      <c r="D406" s="13"/>
      <c r="E406" s="14"/>
      <c r="F406" s="14"/>
      <c r="G406" s="15"/>
      <c r="H406" s="8"/>
      <c r="I406" s="8"/>
      <c r="J406" s="89"/>
      <c r="K406" s="8"/>
      <c r="L406" s="8"/>
      <c r="M406" s="8" t="str">
        <f>IF(L406="","",
IF(AX406="PT",VLOOKUP(L406,Foundation_Calc!$V$4:$X$37,VLOOKUP(AX406,Foundation_Calc!$I$10:$J$13,2,FALSE),0),
IF(AX406="K",VLOOKUP(L406,Foundation_Calc!$V$41:$X$74,VLOOKUP(AX406,Foundation_Calc!$I$10:$J$13,2,FALSE),0),"")))</f>
        <v/>
      </c>
      <c r="N406" s="8"/>
      <c r="O406" s="8"/>
      <c r="P406" s="8"/>
      <c r="Q406" s="14"/>
      <c r="R406" s="15"/>
      <c r="S406" s="15"/>
      <c r="T406" s="14"/>
      <c r="U406" s="14"/>
      <c r="V406" s="14"/>
      <c r="W406" s="18"/>
      <c r="X406" s="18"/>
      <c r="Y406" s="18"/>
      <c r="Z406" s="18"/>
      <c r="AA406" s="18"/>
      <c r="AB406" s="18"/>
      <c r="AC406" s="8" t="str">
        <f t="shared" si="25"/>
        <v/>
      </c>
      <c r="AD406" s="8"/>
      <c r="AE406" s="8"/>
      <c r="AF406" s="14"/>
      <c r="AG406" s="13"/>
      <c r="AH406" s="14"/>
      <c r="AI406" s="14"/>
      <c r="AJ406" s="8"/>
      <c r="AK406" s="8"/>
      <c r="AL406" s="8"/>
      <c r="AM406" s="8"/>
      <c r="AN406" s="631"/>
      <c r="AO406" s="18"/>
      <c r="AP406" s="18"/>
      <c r="AQ406" s="18"/>
      <c r="AR406" s="18"/>
      <c r="AS406" s="18"/>
      <c r="AU406" s="448"/>
      <c r="AV406" s="448"/>
      <c r="AW406" s="8" t="str">
        <f>IF(C406&gt;0,VLOOKUP(C406,Foundation_Calc!$A$2:$C$986,3,1),
IF(J406&gt;0,VLOOKUP(J406,Foundation_Calc!$A$2:$C$986,3,1),""))</f>
        <v/>
      </c>
      <c r="AX406" s="8" t="str">
        <f>IF(C406&gt;0,VLOOKUP(C406,Foundation_Calc!$E$2:$G$986,3,1),
IF(J406&gt;0,VLOOKUP(J406,Foundation_Calc!$E$2:$G$986,3,1),""))</f>
        <v/>
      </c>
      <c r="AY406" s="631" t="str">
        <f>IF(L406="","",
IF(AX406="PT",VLOOKUP(L406,Foundation_Calc!$K$4:$R$37,VLOOKUP(AW406,Foundation_Calc!$I$2:$J$8,2,FALSE),0),
IF(AX406="K",VLOOKUP(L406,Foundation_Calc!$K$41:$R$74,VLOOKUP(AW406,Foundation_Calc!$I$2:$J$8,2,FALSE),0),"")))</f>
        <v/>
      </c>
      <c r="AZ406" s="631" t="str">
        <f>IF(K406="","",
IF(AX406="PT",VLOOKUP(K406,Foundation_Calc!$K$4:$R$37,VLOOKUP(AW406,Foundation_Calc!$I$2:$J$8,2,FALSE),0),
IF(AX406="K",VLOOKUP(K406,Foundation_Calc!$K$41:$R$74,VLOOKUP(AW406,Foundation_Calc!$I$2:$J$8,2,FALSE),0),"")))</f>
        <v/>
      </c>
      <c r="BA406" s="632" t="str">
        <f t="shared" si="26"/>
        <v/>
      </c>
      <c r="BB406" s="632" t="str">
        <f t="shared" si="27"/>
        <v/>
      </c>
      <c r="BC406" s="632" t="str">
        <f t="shared" si="28"/>
        <v/>
      </c>
      <c r="BD406" s="633" t="str">
        <f>IF(AND(L406="",H406=""),"",
IF(H406="",Pole_Calc!A434,
IF(H406="MP",Pole_Calc!A435,
IF(H406="AnMP",Pole_Calc!A436,
IF(H406="A",Pole_Calc!A437,
IF(H406="S/A",Pole_Calc!A438,
IF(H406="A/S",Pole_Calc!A439,"Poner a mano")))))))</f>
        <v/>
      </c>
      <c r="BE406" s="448" t="s">
        <v>1726</v>
      </c>
      <c r="BF406" s="634"/>
      <c r="BG406" s="634"/>
      <c r="BH406" s="634"/>
      <c r="BI406" s="634"/>
    </row>
    <row r="407" spans="1:61" ht="16.2" customHeight="1">
      <c r="A407" s="12"/>
      <c r="B407" s="446"/>
      <c r="C407" s="89"/>
      <c r="D407" s="13"/>
      <c r="E407" s="14"/>
      <c r="F407" s="14"/>
      <c r="G407" s="15"/>
      <c r="H407" s="8"/>
      <c r="I407" s="8"/>
      <c r="J407" s="89"/>
      <c r="K407" s="8"/>
      <c r="L407" s="8"/>
      <c r="M407" s="8" t="str">
        <f>IF(L407="","",
IF(AX407="PT",VLOOKUP(L407,Foundation_Calc!$V$4:$X$37,VLOOKUP(AX407,Foundation_Calc!$I$10:$J$13,2,FALSE),0),
IF(AX407="K",VLOOKUP(L407,Foundation_Calc!$V$41:$X$74,VLOOKUP(AX407,Foundation_Calc!$I$10:$J$13,2,FALSE),0),"")))</f>
        <v/>
      </c>
      <c r="N407" s="8"/>
      <c r="O407" s="8"/>
      <c r="P407" s="8"/>
      <c r="Q407" s="14"/>
      <c r="R407" s="15"/>
      <c r="S407" s="15"/>
      <c r="T407" s="14"/>
      <c r="U407" s="14"/>
      <c r="V407" s="14"/>
      <c r="W407" s="18"/>
      <c r="X407" s="18"/>
      <c r="Y407" s="18"/>
      <c r="Z407" s="18"/>
      <c r="AA407" s="18"/>
      <c r="AB407" s="18"/>
      <c r="AC407" s="8" t="str">
        <f t="shared" si="25"/>
        <v/>
      </c>
      <c r="AD407" s="8"/>
      <c r="AE407" s="8"/>
      <c r="AF407" s="14"/>
      <c r="AG407" s="13"/>
      <c r="AH407" s="14"/>
      <c r="AI407" s="14"/>
      <c r="AJ407" s="8"/>
      <c r="AK407" s="8"/>
      <c r="AL407" s="8"/>
      <c r="AM407" s="8"/>
      <c r="AN407" s="631"/>
      <c r="AO407" s="18"/>
      <c r="AP407" s="18"/>
      <c r="AQ407" s="18"/>
      <c r="AR407" s="18"/>
      <c r="AS407" s="18"/>
      <c r="AU407" s="448"/>
      <c r="AV407" s="448"/>
      <c r="AW407" s="8" t="str">
        <f>IF(C407&gt;0,VLOOKUP(C407,Foundation_Calc!$A$2:$C$986,3,1),
IF(J407&gt;0,VLOOKUP(J407,Foundation_Calc!$A$2:$C$986,3,1),""))</f>
        <v/>
      </c>
      <c r="AX407" s="8" t="str">
        <f>IF(C407&gt;0,VLOOKUP(C407,Foundation_Calc!$E$2:$G$986,3,1),
IF(J407&gt;0,VLOOKUP(J407,Foundation_Calc!$E$2:$G$986,3,1),""))</f>
        <v/>
      </c>
      <c r="AY407" s="631" t="str">
        <f>IF(L407="","",
IF(AX407="PT",VLOOKUP(L407,Foundation_Calc!$K$4:$R$37,VLOOKUP(AW407,Foundation_Calc!$I$2:$J$8,2,FALSE),0),
IF(AX407="K",VLOOKUP(L407,Foundation_Calc!$K$41:$R$74,VLOOKUP(AW407,Foundation_Calc!$I$2:$J$8,2,FALSE),0),"")))</f>
        <v/>
      </c>
      <c r="AZ407" s="631" t="str">
        <f>IF(K407="","",
IF(AX407="PT",VLOOKUP(K407,Foundation_Calc!$K$4:$R$37,VLOOKUP(AW407,Foundation_Calc!$I$2:$J$8,2,FALSE),0),
IF(AX407="K",VLOOKUP(K407,Foundation_Calc!$K$41:$R$74,VLOOKUP(AW407,Foundation_Calc!$I$2:$J$8,2,FALSE),0),"")))</f>
        <v/>
      </c>
      <c r="BA407" s="632" t="str">
        <f t="shared" si="26"/>
        <v/>
      </c>
      <c r="BB407" s="632" t="str">
        <f t="shared" si="27"/>
        <v/>
      </c>
      <c r="BC407" s="632" t="str">
        <f t="shared" si="28"/>
        <v/>
      </c>
      <c r="BD407" s="633" t="str">
        <f>IF(AND(L407="",H407=""),"",
IF(H407="",Pole_Calc!A435,
IF(H407="MP",Pole_Calc!A436,
IF(H407="AnMP",Pole_Calc!A437,
IF(H407="A",Pole_Calc!A438,
IF(H407="S/A",Pole_Calc!A439,
IF(H407="A/S",Pole_Calc!A440,"Poner a mano")))))))</f>
        <v/>
      </c>
      <c r="BE407" s="448" t="s">
        <v>1726</v>
      </c>
      <c r="BF407" s="635"/>
      <c r="BG407" s="635"/>
      <c r="BH407" s="634"/>
      <c r="BI407" s="635"/>
    </row>
    <row r="408" spans="1:61" ht="16.2" customHeight="1">
      <c r="A408" s="12"/>
      <c r="B408" s="446"/>
      <c r="C408" s="89"/>
      <c r="D408" s="13"/>
      <c r="E408" s="14"/>
      <c r="F408" s="14"/>
      <c r="G408" s="15"/>
      <c r="H408" s="8"/>
      <c r="I408" s="8"/>
      <c r="J408" s="89"/>
      <c r="K408" s="8"/>
      <c r="L408" s="8"/>
      <c r="M408" s="8" t="str">
        <f>IF(L408="","",
IF(AX408="PT",VLOOKUP(L408,Foundation_Calc!$V$4:$X$37,VLOOKUP(AX408,Foundation_Calc!$I$10:$J$13,2,FALSE),0),
IF(AX408="K",VLOOKUP(L408,Foundation_Calc!$V$41:$X$74,VLOOKUP(AX408,Foundation_Calc!$I$10:$J$13,2,FALSE),0),"")))</f>
        <v/>
      </c>
      <c r="N408" s="8"/>
      <c r="O408" s="8"/>
      <c r="P408" s="8"/>
      <c r="Q408" s="14"/>
      <c r="R408" s="15"/>
      <c r="S408" s="15"/>
      <c r="T408" s="14"/>
      <c r="U408" s="14"/>
      <c r="V408" s="14"/>
      <c r="W408" s="18"/>
      <c r="X408" s="18"/>
      <c r="Y408" s="18"/>
      <c r="Z408" s="18"/>
      <c r="AA408" s="18"/>
      <c r="AB408" s="18"/>
      <c r="AC408" s="8" t="str">
        <f t="shared" si="25"/>
        <v/>
      </c>
      <c r="AD408" s="8"/>
      <c r="AE408" s="8"/>
      <c r="AF408" s="14"/>
      <c r="AG408" s="13"/>
      <c r="AH408" s="14"/>
      <c r="AI408" s="14"/>
      <c r="AJ408" s="8"/>
      <c r="AK408" s="8"/>
      <c r="AL408" s="8"/>
      <c r="AM408" s="8"/>
      <c r="AN408" s="631"/>
      <c r="AO408" s="18"/>
      <c r="AP408" s="18"/>
      <c r="AQ408" s="18"/>
      <c r="AR408" s="18"/>
      <c r="AS408" s="18"/>
      <c r="AU408" s="448"/>
      <c r="AV408" s="448"/>
      <c r="AW408" s="8" t="str">
        <f>IF(C408&gt;0,VLOOKUP(C408,Foundation_Calc!$A$2:$C$986,3,1),
IF(J408&gt;0,VLOOKUP(J408,Foundation_Calc!$A$2:$C$986,3,1),""))</f>
        <v/>
      </c>
      <c r="AX408" s="8" t="str">
        <f>IF(C408&gt;0,VLOOKUP(C408,Foundation_Calc!$E$2:$G$986,3,1),
IF(J408&gt;0,VLOOKUP(J408,Foundation_Calc!$E$2:$G$986,3,1),""))</f>
        <v/>
      </c>
      <c r="AY408" s="631" t="str">
        <f>IF(L408="","",
IF(AX408="PT",VLOOKUP(L408,Foundation_Calc!$K$4:$R$37,VLOOKUP(AW408,Foundation_Calc!$I$2:$J$8,2,FALSE),0),
IF(AX408="K",VLOOKUP(L408,Foundation_Calc!$K$41:$R$74,VLOOKUP(AW408,Foundation_Calc!$I$2:$J$8,2,FALSE),0),"")))</f>
        <v/>
      </c>
      <c r="AZ408" s="631" t="str">
        <f>IF(K408="","",
IF(AX408="PT",VLOOKUP(K408,Foundation_Calc!$K$4:$R$37,VLOOKUP(AW408,Foundation_Calc!$I$2:$J$8,2,FALSE),0),
IF(AX408="K",VLOOKUP(K408,Foundation_Calc!$K$41:$R$74,VLOOKUP(AW408,Foundation_Calc!$I$2:$J$8,2,FALSE),0),"")))</f>
        <v/>
      </c>
      <c r="BA408" s="632" t="str">
        <f t="shared" si="26"/>
        <v/>
      </c>
      <c r="BB408" s="632" t="str">
        <f t="shared" si="27"/>
        <v/>
      </c>
      <c r="BC408" s="632" t="str">
        <f t="shared" si="28"/>
        <v/>
      </c>
      <c r="BD408" s="633" t="str">
        <f>IF(AND(L408="",H408=""),"",
IF(H408="",Pole_Calc!A436,
IF(H408="MP",Pole_Calc!A437,
IF(H408="AnMP",Pole_Calc!A438,
IF(H408="A",Pole_Calc!A439,
IF(H408="S/A",Pole_Calc!A440,
IF(H408="A/S",Pole_Calc!A441,"Poner a mano")))))))</f>
        <v/>
      </c>
      <c r="BE408" s="448" t="s">
        <v>1726</v>
      </c>
      <c r="BF408" s="634"/>
      <c r="BG408" s="634"/>
      <c r="BH408" s="634"/>
      <c r="BI408" s="634"/>
    </row>
    <row r="409" spans="1:61" ht="16.2" customHeight="1">
      <c r="A409" s="12"/>
      <c r="B409" s="446"/>
      <c r="C409" s="89"/>
      <c r="D409" s="13"/>
      <c r="E409" s="14"/>
      <c r="F409" s="14"/>
      <c r="G409" s="15"/>
      <c r="H409" s="8"/>
      <c r="I409" s="8"/>
      <c r="J409" s="89"/>
      <c r="K409" s="8"/>
      <c r="L409" s="8"/>
      <c r="M409" s="8" t="str">
        <f>IF(L409="","",
IF(AX409="PT",VLOOKUP(L409,Foundation_Calc!$V$4:$X$37,VLOOKUP(AX409,Foundation_Calc!$I$10:$J$13,2,FALSE),0),
IF(AX409="K",VLOOKUP(L409,Foundation_Calc!$V$41:$X$74,VLOOKUP(AX409,Foundation_Calc!$I$10:$J$13,2,FALSE),0),"")))</f>
        <v/>
      </c>
      <c r="N409" s="8"/>
      <c r="O409" s="8"/>
      <c r="P409" s="8"/>
      <c r="Q409" s="14"/>
      <c r="R409" s="15"/>
      <c r="S409" s="15"/>
      <c r="T409" s="14"/>
      <c r="U409" s="14"/>
      <c r="V409" s="14"/>
      <c r="W409" s="18"/>
      <c r="X409" s="18"/>
      <c r="Y409" s="18"/>
      <c r="Z409" s="18"/>
      <c r="AA409" s="18"/>
      <c r="AB409" s="18"/>
      <c r="AC409" s="8" t="str">
        <f t="shared" si="25"/>
        <v/>
      </c>
      <c r="AD409" s="8"/>
      <c r="AE409" s="8"/>
      <c r="AF409" s="14"/>
      <c r="AG409" s="13"/>
      <c r="AH409" s="14"/>
      <c r="AI409" s="14"/>
      <c r="AJ409" s="8"/>
      <c r="AK409" s="8"/>
      <c r="AL409" s="8"/>
      <c r="AM409" s="8"/>
      <c r="AN409" s="631"/>
      <c r="AO409" s="18"/>
      <c r="AP409" s="18"/>
      <c r="AQ409" s="18"/>
      <c r="AR409" s="18"/>
      <c r="AS409" s="18"/>
      <c r="AU409" s="448"/>
      <c r="AV409" s="448"/>
      <c r="AW409" s="8" t="str">
        <f>IF(C409&gt;0,VLOOKUP(C409,Foundation_Calc!$A$2:$C$986,3,1),
IF(J409&gt;0,VLOOKUP(J409,Foundation_Calc!$A$2:$C$986,3,1),""))</f>
        <v/>
      </c>
      <c r="AX409" s="8" t="str">
        <f>IF(C409&gt;0,VLOOKUP(C409,Foundation_Calc!$E$2:$G$986,3,1),
IF(J409&gt;0,VLOOKUP(J409,Foundation_Calc!$E$2:$G$986,3,1),""))</f>
        <v/>
      </c>
      <c r="AY409" s="631" t="str">
        <f>IF(L409="","",
IF(AX409="PT",VLOOKUP(L409,Foundation_Calc!$K$4:$R$37,VLOOKUP(AW409,Foundation_Calc!$I$2:$J$8,2,FALSE),0),
IF(AX409="K",VLOOKUP(L409,Foundation_Calc!$K$41:$R$74,VLOOKUP(AW409,Foundation_Calc!$I$2:$J$8,2,FALSE),0),"")))</f>
        <v/>
      </c>
      <c r="AZ409" s="631" t="str">
        <f>IF(K409="","",
IF(AX409="PT",VLOOKUP(K409,Foundation_Calc!$K$4:$R$37,VLOOKUP(AW409,Foundation_Calc!$I$2:$J$8,2,FALSE),0),
IF(AX409="K",VLOOKUP(K409,Foundation_Calc!$K$41:$R$74,VLOOKUP(AW409,Foundation_Calc!$I$2:$J$8,2,FALSE),0),"")))</f>
        <v/>
      </c>
      <c r="BA409" s="632" t="str">
        <f t="shared" si="26"/>
        <v/>
      </c>
      <c r="BB409" s="632" t="str">
        <f t="shared" si="27"/>
        <v/>
      </c>
      <c r="BC409" s="632" t="str">
        <f t="shared" si="28"/>
        <v/>
      </c>
      <c r="BD409" s="633" t="str">
        <f>IF(AND(L409="",H409=""),"",
IF(H409="",Pole_Calc!A437,
IF(H409="MP",Pole_Calc!A438,
IF(H409="AnMP",Pole_Calc!A439,
IF(H409="A",Pole_Calc!A440,
IF(H409="S/A",Pole_Calc!A441,
IF(H409="A/S",Pole_Calc!A442,"Poner a mano")))))))</f>
        <v/>
      </c>
      <c r="BE409" s="448" t="s">
        <v>1726</v>
      </c>
      <c r="BF409" s="635"/>
      <c r="BG409" s="635"/>
      <c r="BH409" s="634"/>
      <c r="BI409" s="635"/>
    </row>
    <row r="410" spans="1:61" ht="16.2" customHeight="1">
      <c r="A410" s="12"/>
      <c r="B410" s="446"/>
      <c r="C410" s="89"/>
      <c r="D410" s="13"/>
      <c r="E410" s="14"/>
      <c r="F410" s="14"/>
      <c r="G410" s="15"/>
      <c r="H410" s="8"/>
      <c r="I410" s="8"/>
      <c r="J410" s="89"/>
      <c r="K410" s="8"/>
      <c r="L410" s="8"/>
      <c r="M410" s="8" t="str">
        <f>IF(L410="","",
IF(AX410="PT",VLOOKUP(L410,Foundation_Calc!$V$4:$X$37,VLOOKUP(AX410,Foundation_Calc!$I$10:$J$13,2,FALSE),0),
IF(AX410="K",VLOOKUP(L410,Foundation_Calc!$V$41:$X$74,VLOOKUP(AX410,Foundation_Calc!$I$10:$J$13,2,FALSE),0),"")))</f>
        <v/>
      </c>
      <c r="N410" s="8"/>
      <c r="O410" s="8"/>
      <c r="P410" s="8"/>
      <c r="Q410" s="14"/>
      <c r="R410" s="15"/>
      <c r="S410" s="15"/>
      <c r="T410" s="14"/>
      <c r="U410" s="14"/>
      <c r="V410" s="14"/>
      <c r="W410" s="18"/>
      <c r="X410" s="18"/>
      <c r="Y410" s="18"/>
      <c r="Z410" s="18"/>
      <c r="AA410" s="18"/>
      <c r="AB410" s="18"/>
      <c r="AC410" s="8" t="str">
        <f t="shared" si="25"/>
        <v/>
      </c>
      <c r="AD410" s="8"/>
      <c r="AE410" s="8"/>
      <c r="AF410" s="14"/>
      <c r="AG410" s="13"/>
      <c r="AH410" s="14"/>
      <c r="AI410" s="14"/>
      <c r="AJ410" s="8"/>
      <c r="AK410" s="8"/>
      <c r="AL410" s="8"/>
      <c r="AM410" s="8"/>
      <c r="AN410" s="631"/>
      <c r="AO410" s="18"/>
      <c r="AP410" s="18"/>
      <c r="AQ410" s="18"/>
      <c r="AR410" s="18"/>
      <c r="AS410" s="18"/>
      <c r="AU410" s="448"/>
      <c r="AV410" s="448"/>
      <c r="AW410" s="8" t="str">
        <f>IF(C410&gt;0,VLOOKUP(C410,Foundation_Calc!$A$2:$C$986,3,1),
IF(J410&gt;0,VLOOKUP(J410,Foundation_Calc!$A$2:$C$986,3,1),""))</f>
        <v/>
      </c>
      <c r="AX410" s="8" t="str">
        <f>IF(C410&gt;0,VLOOKUP(C410,Foundation_Calc!$E$2:$G$986,3,1),
IF(J410&gt;0,VLOOKUP(J410,Foundation_Calc!$E$2:$G$986,3,1),""))</f>
        <v/>
      </c>
      <c r="AY410" s="631" t="str">
        <f>IF(L410="","",
IF(AX410="PT",VLOOKUP(L410,Foundation_Calc!$K$4:$R$37,VLOOKUP(AW410,Foundation_Calc!$I$2:$J$8,2,FALSE),0),
IF(AX410="K",VLOOKUP(L410,Foundation_Calc!$K$41:$R$74,VLOOKUP(AW410,Foundation_Calc!$I$2:$J$8,2,FALSE),0),"")))</f>
        <v/>
      </c>
      <c r="AZ410" s="631" t="str">
        <f>IF(K410="","",
IF(AX410="PT",VLOOKUP(K410,Foundation_Calc!$K$4:$R$37,VLOOKUP(AW410,Foundation_Calc!$I$2:$J$8,2,FALSE),0),
IF(AX410="K",VLOOKUP(K410,Foundation_Calc!$K$41:$R$74,VLOOKUP(AW410,Foundation_Calc!$I$2:$J$8,2,FALSE),0),"")))</f>
        <v/>
      </c>
      <c r="BA410" s="632" t="str">
        <f t="shared" si="26"/>
        <v/>
      </c>
      <c r="BB410" s="632" t="str">
        <f t="shared" si="27"/>
        <v/>
      </c>
      <c r="BC410" s="632" t="str">
        <f t="shared" si="28"/>
        <v/>
      </c>
      <c r="BD410" s="633" t="str">
        <f>IF(AND(L410="",H410=""),"",
IF(H410="",Pole_Calc!A438,
IF(H410="MP",Pole_Calc!A439,
IF(H410="AnMP",Pole_Calc!A440,
IF(H410="A",Pole_Calc!A441,
IF(H410="S/A",Pole_Calc!A442,
IF(H410="A/S",Pole_Calc!A443,"Poner a mano")))))))</f>
        <v/>
      </c>
      <c r="BE410" s="448" t="s">
        <v>1726</v>
      </c>
      <c r="BF410" s="634"/>
      <c r="BG410" s="634"/>
      <c r="BH410" s="634"/>
      <c r="BI410" s="634"/>
    </row>
    <row r="411" spans="1:61" ht="16.2" customHeight="1">
      <c r="A411" s="12"/>
      <c r="B411" s="446"/>
      <c r="C411" s="89"/>
      <c r="D411" s="13"/>
      <c r="E411" s="14"/>
      <c r="F411" s="14"/>
      <c r="G411" s="15"/>
      <c r="H411" s="8"/>
      <c r="I411" s="8"/>
      <c r="J411" s="89"/>
      <c r="K411" s="8"/>
      <c r="L411" s="8"/>
      <c r="M411" s="8" t="str">
        <f>IF(L411="","",
IF(AX411="PT",VLOOKUP(L411,Foundation_Calc!$V$4:$X$37,VLOOKUP(AX411,Foundation_Calc!$I$10:$J$13,2,FALSE),0),
IF(AX411="K",VLOOKUP(L411,Foundation_Calc!$V$41:$X$74,VLOOKUP(AX411,Foundation_Calc!$I$10:$J$13,2,FALSE),0),"")))</f>
        <v/>
      </c>
      <c r="N411" s="8"/>
      <c r="O411" s="8"/>
      <c r="P411" s="8"/>
      <c r="Q411" s="14"/>
      <c r="R411" s="15"/>
      <c r="S411" s="15"/>
      <c r="T411" s="14"/>
      <c r="U411" s="14"/>
      <c r="V411" s="14"/>
      <c r="W411" s="18"/>
      <c r="X411" s="18"/>
      <c r="Y411" s="18"/>
      <c r="Z411" s="18"/>
      <c r="AA411" s="18"/>
      <c r="AB411" s="18"/>
      <c r="AC411" s="8" t="str">
        <f t="shared" si="25"/>
        <v/>
      </c>
      <c r="AD411" s="8"/>
      <c r="AE411" s="8"/>
      <c r="AF411" s="14"/>
      <c r="AG411" s="13"/>
      <c r="AH411" s="14"/>
      <c r="AI411" s="14"/>
      <c r="AJ411" s="8"/>
      <c r="AK411" s="8"/>
      <c r="AL411" s="8"/>
      <c r="AM411" s="8"/>
      <c r="AN411" s="631"/>
      <c r="AO411" s="18"/>
      <c r="AP411" s="18"/>
      <c r="AQ411" s="18"/>
      <c r="AR411" s="18"/>
      <c r="AS411" s="18"/>
      <c r="AU411" s="448"/>
      <c r="AV411" s="448"/>
      <c r="AW411" s="8" t="str">
        <f>IF(C411&gt;0,VLOOKUP(C411,Foundation_Calc!$A$2:$C$986,3,1),
IF(J411&gt;0,VLOOKUP(J411,Foundation_Calc!$A$2:$C$986,3,1),""))</f>
        <v/>
      </c>
      <c r="AX411" s="8" t="str">
        <f>IF(C411&gt;0,VLOOKUP(C411,Foundation_Calc!$E$2:$G$986,3,1),
IF(J411&gt;0,VLOOKUP(J411,Foundation_Calc!$E$2:$G$986,3,1),""))</f>
        <v/>
      </c>
      <c r="AY411" s="631" t="str">
        <f>IF(L411="","",
IF(AX411="PT",VLOOKUP(L411,Foundation_Calc!$K$4:$R$37,VLOOKUP(AW411,Foundation_Calc!$I$2:$J$8,2,FALSE),0),
IF(AX411="K",VLOOKUP(L411,Foundation_Calc!$K$41:$R$74,VLOOKUP(AW411,Foundation_Calc!$I$2:$J$8,2,FALSE),0),"")))</f>
        <v/>
      </c>
      <c r="AZ411" s="631" t="str">
        <f>IF(K411="","",
IF(AX411="PT",VLOOKUP(K411,Foundation_Calc!$K$4:$R$37,VLOOKUP(AW411,Foundation_Calc!$I$2:$J$8,2,FALSE),0),
IF(AX411="K",VLOOKUP(K411,Foundation_Calc!$K$41:$R$74,VLOOKUP(AW411,Foundation_Calc!$I$2:$J$8,2,FALSE),0),"")))</f>
        <v/>
      </c>
      <c r="BA411" s="632" t="str">
        <f t="shared" si="26"/>
        <v/>
      </c>
      <c r="BB411" s="632" t="str">
        <f t="shared" si="27"/>
        <v/>
      </c>
      <c r="BC411" s="632" t="str">
        <f t="shared" si="28"/>
        <v/>
      </c>
      <c r="BD411" s="633" t="str">
        <f>IF(AND(L411="",H411=""),"",
IF(H411="",Pole_Calc!A439,
IF(H411="MP",Pole_Calc!A440,
IF(H411="AnMP",Pole_Calc!A441,
IF(H411="A",Pole_Calc!A442,
IF(H411="S/A",Pole_Calc!A443,
IF(H411="A/S",Pole_Calc!A444,"Poner a mano")))))))</f>
        <v/>
      </c>
      <c r="BE411" s="448" t="s">
        <v>1726</v>
      </c>
      <c r="BF411" s="635"/>
      <c r="BG411" s="635"/>
      <c r="BH411" s="634"/>
      <c r="BI411" s="635"/>
    </row>
    <row r="412" spans="1:61" ht="16.2" customHeight="1">
      <c r="A412" s="12"/>
      <c r="B412" s="446"/>
      <c r="C412" s="89"/>
      <c r="D412" s="13"/>
      <c r="E412" s="14"/>
      <c r="F412" s="14"/>
      <c r="G412" s="15"/>
      <c r="H412" s="8"/>
      <c r="I412" s="8"/>
      <c r="J412" s="89"/>
      <c r="K412" s="8"/>
      <c r="L412" s="8"/>
      <c r="M412" s="8" t="str">
        <f>IF(L412="","",
IF(AX412="PT",VLOOKUP(L412,Foundation_Calc!$V$4:$X$37,VLOOKUP(AX412,Foundation_Calc!$I$10:$J$13,2,FALSE),0),
IF(AX412="K",VLOOKUP(L412,Foundation_Calc!$V$41:$X$74,VLOOKUP(AX412,Foundation_Calc!$I$10:$J$13,2,FALSE),0),"")))</f>
        <v/>
      </c>
      <c r="N412" s="8"/>
      <c r="O412" s="8"/>
      <c r="P412" s="8"/>
      <c r="Q412" s="14"/>
      <c r="R412" s="15"/>
      <c r="S412" s="15"/>
      <c r="T412" s="14"/>
      <c r="U412" s="14"/>
      <c r="V412" s="14"/>
      <c r="W412" s="18"/>
      <c r="X412" s="18"/>
      <c r="Y412" s="18"/>
      <c r="Z412" s="18"/>
      <c r="AA412" s="18"/>
      <c r="AB412" s="18"/>
      <c r="AC412" s="8" t="str">
        <f t="shared" si="25"/>
        <v/>
      </c>
      <c r="AD412" s="8"/>
      <c r="AE412" s="8"/>
      <c r="AF412" s="14"/>
      <c r="AG412" s="13"/>
      <c r="AH412" s="14"/>
      <c r="AI412" s="14"/>
      <c r="AJ412" s="8"/>
      <c r="AK412" s="8"/>
      <c r="AL412" s="8"/>
      <c r="AM412" s="8"/>
      <c r="AN412" s="631"/>
      <c r="AO412" s="18"/>
      <c r="AP412" s="18"/>
      <c r="AQ412" s="18"/>
      <c r="AR412" s="18"/>
      <c r="AS412" s="18"/>
      <c r="AU412" s="448"/>
      <c r="AV412" s="448"/>
      <c r="AW412" s="8" t="str">
        <f>IF(C412&gt;0,VLOOKUP(C412,Foundation_Calc!$A$2:$C$986,3,1),
IF(J412&gt;0,VLOOKUP(J412,Foundation_Calc!$A$2:$C$986,3,1),""))</f>
        <v/>
      </c>
      <c r="AX412" s="8" t="str">
        <f>IF(C412&gt;0,VLOOKUP(C412,Foundation_Calc!$E$2:$G$986,3,1),
IF(J412&gt;0,VLOOKUP(J412,Foundation_Calc!$E$2:$G$986,3,1),""))</f>
        <v/>
      </c>
      <c r="AY412" s="631" t="str">
        <f>IF(L412="","",
IF(AX412="PT",VLOOKUP(L412,Foundation_Calc!$K$4:$R$37,VLOOKUP(AW412,Foundation_Calc!$I$2:$J$8,2,FALSE),0),
IF(AX412="K",VLOOKUP(L412,Foundation_Calc!$K$41:$R$74,VLOOKUP(AW412,Foundation_Calc!$I$2:$J$8,2,FALSE),0),"")))</f>
        <v/>
      </c>
      <c r="AZ412" s="631" t="str">
        <f>IF(K412="","",
IF(AX412="PT",VLOOKUP(K412,Foundation_Calc!$K$4:$R$37,VLOOKUP(AW412,Foundation_Calc!$I$2:$J$8,2,FALSE),0),
IF(AX412="K",VLOOKUP(K412,Foundation_Calc!$K$41:$R$74,VLOOKUP(AW412,Foundation_Calc!$I$2:$J$8,2,FALSE),0),"")))</f>
        <v/>
      </c>
      <c r="BA412" s="632" t="str">
        <f t="shared" si="26"/>
        <v/>
      </c>
      <c r="BB412" s="632" t="str">
        <f t="shared" si="27"/>
        <v/>
      </c>
      <c r="BC412" s="632" t="str">
        <f t="shared" si="28"/>
        <v/>
      </c>
      <c r="BD412" s="633" t="str">
        <f>IF(AND(L412="",H412=""),"",
IF(H412="",Pole_Calc!A440,
IF(H412="MP",Pole_Calc!A441,
IF(H412="AnMP",Pole_Calc!A442,
IF(H412="A",Pole_Calc!A443,
IF(H412="S/A",Pole_Calc!A444,
IF(H412="A/S",Pole_Calc!A445,"Poner a mano")))))))</f>
        <v/>
      </c>
      <c r="BE412" s="448" t="s">
        <v>1726</v>
      </c>
      <c r="BF412" s="634"/>
      <c r="BG412" s="634"/>
      <c r="BH412" s="634"/>
      <c r="BI412" s="634"/>
    </row>
    <row r="413" spans="1:61" ht="16.2" customHeight="1">
      <c r="A413" s="12"/>
      <c r="B413" s="446"/>
      <c r="C413" s="89"/>
      <c r="D413" s="13"/>
      <c r="E413" s="14"/>
      <c r="F413" s="14"/>
      <c r="G413" s="15"/>
      <c r="H413" s="8"/>
      <c r="I413" s="8"/>
      <c r="J413" s="89"/>
      <c r="K413" s="8"/>
      <c r="L413" s="8"/>
      <c r="M413" s="8" t="str">
        <f>IF(L413="","",
IF(AX413="PT",VLOOKUP(L413,Foundation_Calc!$V$4:$X$37,VLOOKUP(AX413,Foundation_Calc!$I$10:$J$13,2,FALSE),0),
IF(AX413="K",VLOOKUP(L413,Foundation_Calc!$V$41:$X$74,VLOOKUP(AX413,Foundation_Calc!$I$10:$J$13,2,FALSE),0),"")))</f>
        <v/>
      </c>
      <c r="N413" s="8"/>
      <c r="O413" s="8"/>
      <c r="P413" s="8"/>
      <c r="Q413" s="14"/>
      <c r="R413" s="15"/>
      <c r="S413" s="15"/>
      <c r="T413" s="14"/>
      <c r="U413" s="14"/>
      <c r="V413" s="14"/>
      <c r="W413" s="18"/>
      <c r="X413" s="18"/>
      <c r="Y413" s="18"/>
      <c r="Z413" s="18"/>
      <c r="AA413" s="18"/>
      <c r="AB413" s="18"/>
      <c r="AC413" s="8" t="str">
        <f t="shared" si="25"/>
        <v/>
      </c>
      <c r="AD413" s="8"/>
      <c r="AE413" s="8"/>
      <c r="AF413" s="14"/>
      <c r="AG413" s="13"/>
      <c r="AH413" s="14"/>
      <c r="AI413" s="14"/>
      <c r="AJ413" s="8"/>
      <c r="AK413" s="8"/>
      <c r="AL413" s="8"/>
      <c r="AM413" s="8"/>
      <c r="AN413" s="631"/>
      <c r="AO413" s="18"/>
      <c r="AP413" s="18"/>
      <c r="AQ413" s="18"/>
      <c r="AR413" s="18"/>
      <c r="AS413" s="18"/>
      <c r="AU413" s="448"/>
      <c r="AV413" s="448"/>
      <c r="AW413" s="8" t="str">
        <f>IF(C413&gt;0,VLOOKUP(C413,Foundation_Calc!$A$2:$C$986,3,1),
IF(J413&gt;0,VLOOKUP(J413,Foundation_Calc!$A$2:$C$986,3,1),""))</f>
        <v/>
      </c>
      <c r="AX413" s="8" t="str">
        <f>IF(C413&gt;0,VLOOKUP(C413,Foundation_Calc!$E$2:$G$986,3,1),
IF(J413&gt;0,VLOOKUP(J413,Foundation_Calc!$E$2:$G$986,3,1),""))</f>
        <v/>
      </c>
      <c r="AY413" s="631" t="str">
        <f>IF(L413="","",
IF(AX413="PT",VLOOKUP(L413,Foundation_Calc!$K$4:$R$37,VLOOKUP(AW413,Foundation_Calc!$I$2:$J$8,2,FALSE),0),
IF(AX413="K",VLOOKUP(L413,Foundation_Calc!$K$41:$R$74,VLOOKUP(AW413,Foundation_Calc!$I$2:$J$8,2,FALSE),0),"")))</f>
        <v/>
      </c>
      <c r="AZ413" s="631" t="str">
        <f>IF(K413="","",
IF(AX413="PT",VLOOKUP(K413,Foundation_Calc!$K$4:$R$37,VLOOKUP(AW413,Foundation_Calc!$I$2:$J$8,2,FALSE),0),
IF(AX413="K",VLOOKUP(K413,Foundation_Calc!$K$41:$R$74,VLOOKUP(AW413,Foundation_Calc!$I$2:$J$8,2,FALSE),0),"")))</f>
        <v/>
      </c>
      <c r="BA413" s="632" t="str">
        <f t="shared" si="26"/>
        <v/>
      </c>
      <c r="BB413" s="632" t="str">
        <f t="shared" si="27"/>
        <v/>
      </c>
      <c r="BC413" s="632" t="str">
        <f t="shared" si="28"/>
        <v/>
      </c>
      <c r="BD413" s="633" t="str">
        <f>IF(AND(L413="",H413=""),"",
IF(H413="",Pole_Calc!A441,
IF(H413="MP",Pole_Calc!A442,
IF(H413="AnMP",Pole_Calc!A443,
IF(H413="A",Pole_Calc!A444,
IF(H413="S/A",Pole_Calc!A445,
IF(H413="A/S",Pole_Calc!A446,"Poner a mano")))))))</f>
        <v/>
      </c>
      <c r="BE413" s="448" t="s">
        <v>1726</v>
      </c>
      <c r="BF413" s="635"/>
      <c r="BG413" s="635"/>
      <c r="BH413" s="634"/>
      <c r="BI413" s="635"/>
    </row>
    <row r="414" spans="1:61" ht="16.2" customHeight="1">
      <c r="A414" s="12"/>
      <c r="B414" s="446"/>
      <c r="C414" s="89"/>
      <c r="D414" s="13"/>
      <c r="E414" s="14"/>
      <c r="F414" s="14"/>
      <c r="G414" s="15"/>
      <c r="H414" s="8"/>
      <c r="I414" s="8"/>
      <c r="J414" s="89"/>
      <c r="K414" s="8"/>
      <c r="L414" s="8"/>
      <c r="M414" s="8" t="str">
        <f>IF(L414="","",
IF(AX414="PT",VLOOKUP(L414,Foundation_Calc!$V$4:$X$37,VLOOKUP(AX414,Foundation_Calc!$I$10:$J$13,2,FALSE),0),
IF(AX414="K",VLOOKUP(L414,Foundation_Calc!$V$41:$X$74,VLOOKUP(AX414,Foundation_Calc!$I$10:$J$13,2,FALSE),0),"")))</f>
        <v/>
      </c>
      <c r="N414" s="8"/>
      <c r="O414" s="8"/>
      <c r="P414" s="8"/>
      <c r="Q414" s="14"/>
      <c r="R414" s="15"/>
      <c r="S414" s="15"/>
      <c r="T414" s="14"/>
      <c r="U414" s="14"/>
      <c r="V414" s="14"/>
      <c r="W414" s="18"/>
      <c r="X414" s="18"/>
      <c r="Y414" s="18"/>
      <c r="Z414" s="18"/>
      <c r="AA414" s="18"/>
      <c r="AB414" s="18"/>
      <c r="AC414" s="8" t="str">
        <f t="shared" si="25"/>
        <v/>
      </c>
      <c r="AD414" s="8"/>
      <c r="AE414" s="8"/>
      <c r="AF414" s="14"/>
      <c r="AG414" s="13"/>
      <c r="AH414" s="14"/>
      <c r="AI414" s="14"/>
      <c r="AJ414" s="8"/>
      <c r="AK414" s="8"/>
      <c r="AL414" s="8"/>
      <c r="AM414" s="8"/>
      <c r="AN414" s="631"/>
      <c r="AO414" s="18"/>
      <c r="AP414" s="18"/>
      <c r="AQ414" s="18"/>
      <c r="AR414" s="18"/>
      <c r="AS414" s="18"/>
      <c r="AU414" s="448"/>
      <c r="AV414" s="448"/>
      <c r="AW414" s="8" t="str">
        <f>IF(C414&gt;0,VLOOKUP(C414,Foundation_Calc!$A$2:$C$986,3,1),
IF(J414&gt;0,VLOOKUP(J414,Foundation_Calc!$A$2:$C$986,3,1),""))</f>
        <v/>
      </c>
      <c r="AX414" s="8" t="str">
        <f>IF(C414&gt;0,VLOOKUP(C414,Foundation_Calc!$E$2:$G$986,3,1),
IF(J414&gt;0,VLOOKUP(J414,Foundation_Calc!$E$2:$G$986,3,1),""))</f>
        <v/>
      </c>
      <c r="AY414" s="631" t="str">
        <f>IF(L414="","",
IF(AX414="PT",VLOOKUP(L414,Foundation_Calc!$K$4:$R$37,VLOOKUP(AW414,Foundation_Calc!$I$2:$J$8,2,FALSE),0),
IF(AX414="K",VLOOKUP(L414,Foundation_Calc!$K$41:$R$74,VLOOKUP(AW414,Foundation_Calc!$I$2:$J$8,2,FALSE),0),"")))</f>
        <v/>
      </c>
      <c r="AZ414" s="631" t="str">
        <f>IF(K414="","",
IF(AX414="PT",VLOOKUP(K414,Foundation_Calc!$K$4:$R$37,VLOOKUP(AW414,Foundation_Calc!$I$2:$J$8,2,FALSE),0),
IF(AX414="K",VLOOKUP(K414,Foundation_Calc!$K$41:$R$74,VLOOKUP(AW414,Foundation_Calc!$I$2:$J$8,2,FALSE),0),"")))</f>
        <v/>
      </c>
      <c r="BA414" s="632" t="str">
        <f t="shared" si="26"/>
        <v/>
      </c>
      <c r="BB414" s="632" t="str">
        <f t="shared" si="27"/>
        <v/>
      </c>
      <c r="BC414" s="632" t="str">
        <f t="shared" si="28"/>
        <v/>
      </c>
      <c r="BD414" s="633" t="str">
        <f>IF(AND(L414="",H414=""),"",
IF(H414="",Pole_Calc!A442,
IF(H414="MP",Pole_Calc!A443,
IF(H414="AnMP",Pole_Calc!A444,
IF(H414="A",Pole_Calc!A445,
IF(H414="S/A",Pole_Calc!A446,
IF(H414="A/S",Pole_Calc!A447,"Poner a mano")))))))</f>
        <v/>
      </c>
      <c r="BE414" s="448" t="s">
        <v>1726</v>
      </c>
      <c r="BF414" s="634"/>
      <c r="BG414" s="634"/>
      <c r="BH414" s="634"/>
      <c r="BI414" s="634"/>
    </row>
    <row r="415" spans="1:61" ht="16.2" customHeight="1">
      <c r="A415" s="12"/>
      <c r="B415" s="446"/>
      <c r="C415" s="89"/>
      <c r="D415" s="13"/>
      <c r="E415" s="14"/>
      <c r="F415" s="14"/>
      <c r="G415" s="15"/>
      <c r="H415" s="8"/>
      <c r="I415" s="8"/>
      <c r="J415" s="89"/>
      <c r="K415" s="8"/>
      <c r="L415" s="8"/>
      <c r="M415" s="8" t="str">
        <f>IF(L415="","",
IF(AX415="PT",VLOOKUP(L415,Foundation_Calc!$V$4:$X$37,VLOOKUP(AX415,Foundation_Calc!$I$10:$J$13,2,FALSE),0),
IF(AX415="K",VLOOKUP(L415,Foundation_Calc!$V$41:$X$74,VLOOKUP(AX415,Foundation_Calc!$I$10:$J$13,2,FALSE),0),"")))</f>
        <v/>
      </c>
      <c r="N415" s="8"/>
      <c r="O415" s="8"/>
      <c r="P415" s="8"/>
      <c r="Q415" s="14"/>
      <c r="R415" s="15"/>
      <c r="S415" s="15"/>
      <c r="T415" s="14"/>
      <c r="U415" s="14"/>
      <c r="V415" s="14"/>
      <c r="W415" s="18"/>
      <c r="X415" s="18"/>
      <c r="Y415" s="18"/>
      <c r="Z415" s="18"/>
      <c r="AA415" s="18"/>
      <c r="AB415" s="18"/>
      <c r="AC415" s="8" t="str">
        <f t="shared" si="25"/>
        <v/>
      </c>
      <c r="AD415" s="8"/>
      <c r="AE415" s="8"/>
      <c r="AF415" s="14"/>
      <c r="AG415" s="13"/>
      <c r="AH415" s="14"/>
      <c r="AI415" s="14"/>
      <c r="AJ415" s="8"/>
      <c r="AK415" s="8"/>
      <c r="AL415" s="8"/>
      <c r="AM415" s="8"/>
      <c r="AN415" s="631"/>
      <c r="AO415" s="18"/>
      <c r="AP415" s="18"/>
      <c r="AQ415" s="18"/>
      <c r="AR415" s="18"/>
      <c r="AS415" s="18"/>
      <c r="AU415" s="448"/>
      <c r="AV415" s="448"/>
      <c r="AW415" s="8" t="str">
        <f>IF(C415&gt;0,VLOOKUP(C415,Foundation_Calc!$A$2:$C$986,3,1),
IF(J415&gt;0,VLOOKUP(J415,Foundation_Calc!$A$2:$C$986,3,1),""))</f>
        <v/>
      </c>
      <c r="AX415" s="8" t="str">
        <f>IF(C415&gt;0,VLOOKUP(C415,Foundation_Calc!$E$2:$G$986,3,1),
IF(J415&gt;0,VLOOKUP(J415,Foundation_Calc!$E$2:$G$986,3,1),""))</f>
        <v/>
      </c>
      <c r="AY415" s="631" t="str">
        <f>IF(L415="","",
IF(AX415="PT",VLOOKUP(L415,Foundation_Calc!$K$4:$R$37,VLOOKUP(AW415,Foundation_Calc!$I$2:$J$8,2,FALSE),0),
IF(AX415="K",VLOOKUP(L415,Foundation_Calc!$K$41:$R$74,VLOOKUP(AW415,Foundation_Calc!$I$2:$J$8,2,FALSE),0),"")))</f>
        <v/>
      </c>
      <c r="AZ415" s="631" t="str">
        <f>IF(K415="","",
IF(AX415="PT",VLOOKUP(K415,Foundation_Calc!$K$4:$R$37,VLOOKUP(AW415,Foundation_Calc!$I$2:$J$8,2,FALSE),0),
IF(AX415="K",VLOOKUP(K415,Foundation_Calc!$K$41:$R$74,VLOOKUP(AW415,Foundation_Calc!$I$2:$J$8,2,FALSE),0),"")))</f>
        <v/>
      </c>
      <c r="BA415" s="632" t="str">
        <f t="shared" si="26"/>
        <v/>
      </c>
      <c r="BB415" s="632" t="str">
        <f t="shared" si="27"/>
        <v/>
      </c>
      <c r="BC415" s="632" t="str">
        <f t="shared" si="28"/>
        <v/>
      </c>
      <c r="BD415" s="633" t="str">
        <f>IF(AND(L415="",H415=""),"",
IF(H415="",Pole_Calc!A443,
IF(H415="MP",Pole_Calc!A444,
IF(H415="AnMP",Pole_Calc!A445,
IF(H415="A",Pole_Calc!A446,
IF(H415="S/A",Pole_Calc!A447,
IF(H415="A/S",Pole_Calc!A448,"Poner a mano")))))))</f>
        <v/>
      </c>
      <c r="BE415" s="448" t="s">
        <v>1726</v>
      </c>
      <c r="BF415" s="635"/>
      <c r="BG415" s="635"/>
      <c r="BH415" s="634"/>
      <c r="BI415" s="635"/>
    </row>
    <row r="416" spans="1:61" ht="16.2" customHeight="1">
      <c r="A416" s="12"/>
      <c r="B416" s="446"/>
      <c r="C416" s="89"/>
      <c r="D416" s="13"/>
      <c r="E416" s="14"/>
      <c r="F416" s="14"/>
      <c r="G416" s="15"/>
      <c r="H416" s="8"/>
      <c r="I416" s="8"/>
      <c r="J416" s="89"/>
      <c r="K416" s="8"/>
      <c r="L416" s="8"/>
      <c r="M416" s="8" t="str">
        <f>IF(L416="","",
IF(AX416="PT",VLOOKUP(L416,Foundation_Calc!$V$4:$X$37,VLOOKUP(AX416,Foundation_Calc!$I$10:$J$13,2,FALSE),0),
IF(AX416="K",VLOOKUP(L416,Foundation_Calc!$V$41:$X$74,VLOOKUP(AX416,Foundation_Calc!$I$10:$J$13,2,FALSE),0),"")))</f>
        <v/>
      </c>
      <c r="N416" s="8"/>
      <c r="O416" s="8"/>
      <c r="P416" s="8"/>
      <c r="Q416" s="14"/>
      <c r="R416" s="15"/>
      <c r="S416" s="15"/>
      <c r="T416" s="14"/>
      <c r="U416" s="14"/>
      <c r="V416" s="14"/>
      <c r="W416" s="18"/>
      <c r="X416" s="18"/>
      <c r="Y416" s="18"/>
      <c r="Z416" s="18"/>
      <c r="AA416" s="18"/>
      <c r="AB416" s="18"/>
      <c r="AC416" s="8" t="str">
        <f t="shared" si="25"/>
        <v/>
      </c>
      <c r="AD416" s="8"/>
      <c r="AE416" s="8"/>
      <c r="AF416" s="14"/>
      <c r="AG416" s="13"/>
      <c r="AH416" s="14"/>
      <c r="AI416" s="14"/>
      <c r="AJ416" s="8"/>
      <c r="AK416" s="8"/>
      <c r="AL416" s="8"/>
      <c r="AM416" s="8"/>
      <c r="AN416" s="631"/>
      <c r="AO416" s="18"/>
      <c r="AP416" s="18"/>
      <c r="AQ416" s="18"/>
      <c r="AR416" s="18"/>
      <c r="AS416" s="18"/>
      <c r="AU416" s="448"/>
      <c r="AV416" s="448"/>
      <c r="AW416" s="8" t="str">
        <f>IF(C416&gt;0,VLOOKUP(C416,Foundation_Calc!$A$2:$C$986,3,1),
IF(J416&gt;0,VLOOKUP(J416,Foundation_Calc!$A$2:$C$986,3,1),""))</f>
        <v/>
      </c>
      <c r="AX416" s="8" t="str">
        <f>IF(C416&gt;0,VLOOKUP(C416,Foundation_Calc!$E$2:$G$986,3,1),
IF(J416&gt;0,VLOOKUP(J416,Foundation_Calc!$E$2:$G$986,3,1),""))</f>
        <v/>
      </c>
      <c r="AY416" s="631" t="str">
        <f>IF(L416="","",
IF(AX416="PT",VLOOKUP(L416,Foundation_Calc!$K$4:$R$37,VLOOKUP(AW416,Foundation_Calc!$I$2:$J$8,2,FALSE),0),
IF(AX416="K",VLOOKUP(L416,Foundation_Calc!$K$41:$R$74,VLOOKUP(AW416,Foundation_Calc!$I$2:$J$8,2,FALSE),0),"")))</f>
        <v/>
      </c>
      <c r="AZ416" s="631" t="str">
        <f>IF(K416="","",
IF(AX416="PT",VLOOKUP(K416,Foundation_Calc!$K$4:$R$37,VLOOKUP(AW416,Foundation_Calc!$I$2:$J$8,2,FALSE),0),
IF(AX416="K",VLOOKUP(K416,Foundation_Calc!$K$41:$R$74,VLOOKUP(AW416,Foundation_Calc!$I$2:$J$8,2,FALSE),0),"")))</f>
        <v/>
      </c>
      <c r="BA416" s="632" t="str">
        <f t="shared" si="26"/>
        <v/>
      </c>
      <c r="BB416" s="632" t="str">
        <f t="shared" si="27"/>
        <v/>
      </c>
      <c r="BC416" s="632" t="str">
        <f t="shared" si="28"/>
        <v/>
      </c>
      <c r="BD416" s="633" t="str">
        <f>IF(AND(L416="",H416=""),"",
IF(H416="",Pole_Calc!A444,
IF(H416="MP",Pole_Calc!A445,
IF(H416="AnMP",Pole_Calc!A446,
IF(H416="A",Pole_Calc!A447,
IF(H416="S/A",Pole_Calc!A448,
IF(H416="A/S",Pole_Calc!A449,"Poner a mano")))))))</f>
        <v/>
      </c>
      <c r="BE416" s="448" t="s">
        <v>1726</v>
      </c>
      <c r="BF416" s="634"/>
      <c r="BG416" s="634"/>
      <c r="BH416" s="634"/>
      <c r="BI416" s="634"/>
    </row>
    <row r="417" spans="1:61" ht="16.2" customHeight="1">
      <c r="A417" s="12"/>
      <c r="B417" s="446"/>
      <c r="C417" s="89"/>
      <c r="D417" s="13"/>
      <c r="E417" s="14"/>
      <c r="F417" s="14"/>
      <c r="G417" s="15"/>
      <c r="H417" s="8"/>
      <c r="I417" s="8"/>
      <c r="J417" s="89"/>
      <c r="K417" s="8"/>
      <c r="L417" s="8"/>
      <c r="M417" s="8" t="str">
        <f>IF(L417="","",
IF(AX417="PT",VLOOKUP(L417,Foundation_Calc!$V$4:$X$37,VLOOKUP(AX417,Foundation_Calc!$I$10:$J$13,2,FALSE),0),
IF(AX417="K",VLOOKUP(L417,Foundation_Calc!$V$41:$X$74,VLOOKUP(AX417,Foundation_Calc!$I$10:$J$13,2,FALSE),0),"")))</f>
        <v/>
      </c>
      <c r="N417" s="8"/>
      <c r="O417" s="8"/>
      <c r="P417" s="8"/>
      <c r="Q417" s="14"/>
      <c r="R417" s="15"/>
      <c r="S417" s="15"/>
      <c r="T417" s="14"/>
      <c r="U417" s="14"/>
      <c r="V417" s="14"/>
      <c r="W417" s="18"/>
      <c r="X417" s="18"/>
      <c r="Y417" s="18"/>
      <c r="Z417" s="18"/>
      <c r="AA417" s="18"/>
      <c r="AB417" s="18"/>
      <c r="AC417" s="8" t="str">
        <f t="shared" si="25"/>
        <v/>
      </c>
      <c r="AD417" s="8"/>
      <c r="AE417" s="8"/>
      <c r="AF417" s="14"/>
      <c r="AG417" s="13"/>
      <c r="AH417" s="14"/>
      <c r="AI417" s="14"/>
      <c r="AJ417" s="8"/>
      <c r="AK417" s="8"/>
      <c r="AL417" s="8"/>
      <c r="AM417" s="8"/>
      <c r="AN417" s="631"/>
      <c r="AO417" s="18"/>
      <c r="AP417" s="18"/>
      <c r="AQ417" s="18"/>
      <c r="AR417" s="18"/>
      <c r="AS417" s="18"/>
      <c r="AU417" s="448"/>
      <c r="AV417" s="448"/>
      <c r="AW417" s="8" t="str">
        <f>IF(C417&gt;0,VLOOKUP(C417,Foundation_Calc!$A$2:$C$986,3,1),
IF(J417&gt;0,VLOOKUP(J417,Foundation_Calc!$A$2:$C$986,3,1),""))</f>
        <v/>
      </c>
      <c r="AX417" s="8" t="str">
        <f>IF(C417&gt;0,VLOOKUP(C417,Foundation_Calc!$E$2:$G$986,3,1),
IF(J417&gt;0,VLOOKUP(J417,Foundation_Calc!$E$2:$G$986,3,1),""))</f>
        <v/>
      </c>
      <c r="AY417" s="631" t="str">
        <f>IF(L417="","",
IF(AX417="PT",VLOOKUP(L417,Foundation_Calc!$K$4:$R$37,VLOOKUP(AW417,Foundation_Calc!$I$2:$J$8,2,FALSE),0),
IF(AX417="K",VLOOKUP(L417,Foundation_Calc!$K$41:$R$74,VLOOKUP(AW417,Foundation_Calc!$I$2:$J$8,2,FALSE),0),"")))</f>
        <v/>
      </c>
      <c r="AZ417" s="631" t="str">
        <f>IF(K417="","",
IF(AX417="PT",VLOOKUP(K417,Foundation_Calc!$K$4:$R$37,VLOOKUP(AW417,Foundation_Calc!$I$2:$J$8,2,FALSE),0),
IF(AX417="K",VLOOKUP(K417,Foundation_Calc!$K$41:$R$74,VLOOKUP(AW417,Foundation_Calc!$I$2:$J$8,2,FALSE),0),"")))</f>
        <v/>
      </c>
      <c r="BA417" s="632" t="str">
        <f t="shared" si="26"/>
        <v/>
      </c>
      <c r="BB417" s="632" t="str">
        <f t="shared" si="27"/>
        <v/>
      </c>
      <c r="BC417" s="632" t="str">
        <f t="shared" si="28"/>
        <v/>
      </c>
      <c r="BD417" s="633" t="str">
        <f>IF(AND(L417="",H417=""),"",
IF(H417="",Pole_Calc!A445,
IF(H417="MP",Pole_Calc!A446,
IF(H417="AnMP",Pole_Calc!A447,
IF(H417="A",Pole_Calc!A448,
IF(H417="S/A",Pole_Calc!A449,
IF(H417="A/S",Pole_Calc!A450,"Poner a mano")))))))</f>
        <v/>
      </c>
      <c r="BE417" s="448" t="s">
        <v>1726</v>
      </c>
      <c r="BF417" s="635"/>
      <c r="BG417" s="635"/>
      <c r="BH417" s="634"/>
      <c r="BI417" s="635"/>
    </row>
    <row r="418" spans="1:61" ht="16.2" customHeight="1">
      <c r="A418" s="12"/>
      <c r="B418" s="446"/>
      <c r="C418" s="89"/>
      <c r="D418" s="13"/>
      <c r="E418" s="14"/>
      <c r="F418" s="14"/>
      <c r="G418" s="15"/>
      <c r="H418" s="8"/>
      <c r="I418" s="8"/>
      <c r="J418" s="89"/>
      <c r="K418" s="8"/>
      <c r="L418" s="8"/>
      <c r="M418" s="8" t="str">
        <f>IF(L418="","",
IF(AX418="PT",VLOOKUP(L418,Foundation_Calc!$V$4:$X$37,VLOOKUP(AX418,Foundation_Calc!$I$10:$J$13,2,FALSE),0),
IF(AX418="K",VLOOKUP(L418,Foundation_Calc!$V$41:$X$74,VLOOKUP(AX418,Foundation_Calc!$I$10:$J$13,2,FALSE),0),"")))</f>
        <v/>
      </c>
      <c r="N418" s="8"/>
      <c r="O418" s="8"/>
      <c r="P418" s="8"/>
      <c r="Q418" s="14"/>
      <c r="R418" s="15"/>
      <c r="S418" s="15"/>
      <c r="T418" s="14"/>
      <c r="U418" s="14"/>
      <c r="V418" s="14"/>
      <c r="W418" s="18"/>
      <c r="X418" s="18"/>
      <c r="Y418" s="18"/>
      <c r="Z418" s="18"/>
      <c r="AA418" s="18"/>
      <c r="AB418" s="18"/>
      <c r="AC418" s="8" t="str">
        <f t="shared" si="25"/>
        <v/>
      </c>
      <c r="AD418" s="8"/>
      <c r="AE418" s="8"/>
      <c r="AF418" s="14"/>
      <c r="AG418" s="13"/>
      <c r="AH418" s="14"/>
      <c r="AI418" s="14"/>
      <c r="AJ418" s="8"/>
      <c r="AK418" s="8"/>
      <c r="AL418" s="8"/>
      <c r="AM418" s="8"/>
      <c r="AN418" s="631"/>
      <c r="AO418" s="18"/>
      <c r="AP418" s="18"/>
      <c r="AQ418" s="18"/>
      <c r="AR418" s="18"/>
      <c r="AS418" s="18"/>
      <c r="AU418" s="448"/>
      <c r="AV418" s="448"/>
      <c r="AW418" s="8" t="str">
        <f>IF(C418&gt;0,VLOOKUP(C418,Foundation_Calc!$A$2:$C$986,3,1),
IF(J418&gt;0,VLOOKUP(J418,Foundation_Calc!$A$2:$C$986,3,1),""))</f>
        <v/>
      </c>
      <c r="AX418" s="8" t="str">
        <f>IF(C418&gt;0,VLOOKUP(C418,Foundation_Calc!$E$2:$G$986,3,1),
IF(J418&gt;0,VLOOKUP(J418,Foundation_Calc!$E$2:$G$986,3,1),""))</f>
        <v/>
      </c>
      <c r="AY418" s="631" t="str">
        <f>IF(L418="","",
IF(AX418="PT",VLOOKUP(L418,Foundation_Calc!$K$4:$R$37,VLOOKUP(AW418,Foundation_Calc!$I$2:$J$8,2,FALSE),0),
IF(AX418="K",VLOOKUP(L418,Foundation_Calc!$K$41:$R$74,VLOOKUP(AW418,Foundation_Calc!$I$2:$J$8,2,FALSE),0),"")))</f>
        <v/>
      </c>
      <c r="AZ418" s="631" t="str">
        <f>IF(K418="","",
IF(AX418="PT",VLOOKUP(K418,Foundation_Calc!$K$4:$R$37,VLOOKUP(AW418,Foundation_Calc!$I$2:$J$8,2,FALSE),0),
IF(AX418="K",VLOOKUP(K418,Foundation_Calc!$K$41:$R$74,VLOOKUP(AW418,Foundation_Calc!$I$2:$J$8,2,FALSE),0),"")))</f>
        <v/>
      </c>
      <c r="BA418" s="632" t="str">
        <f t="shared" si="26"/>
        <v/>
      </c>
      <c r="BB418" s="632" t="str">
        <f t="shared" si="27"/>
        <v/>
      </c>
      <c r="BC418" s="632" t="str">
        <f t="shared" si="28"/>
        <v/>
      </c>
      <c r="BD418" s="633" t="str">
        <f>IF(AND(L418="",H418=""),"",
IF(H418="",Pole_Calc!A446,
IF(H418="MP",Pole_Calc!A447,
IF(H418="AnMP",Pole_Calc!A448,
IF(H418="A",Pole_Calc!A449,
IF(H418="S/A",Pole_Calc!A450,
IF(H418="A/S",Pole_Calc!A451,"Poner a mano")))))))</f>
        <v/>
      </c>
      <c r="BE418" s="448" t="s">
        <v>1726</v>
      </c>
      <c r="BF418" s="634"/>
      <c r="BG418" s="634"/>
      <c r="BH418" s="634"/>
      <c r="BI418" s="634"/>
    </row>
    <row r="419" spans="1:61" ht="16.2" customHeight="1">
      <c r="A419" s="12"/>
      <c r="B419" s="446"/>
      <c r="C419" s="89"/>
      <c r="D419" s="13"/>
      <c r="E419" s="14"/>
      <c r="F419" s="14"/>
      <c r="G419" s="15"/>
      <c r="H419" s="8"/>
      <c r="I419" s="8"/>
      <c r="J419" s="89"/>
      <c r="K419" s="8"/>
      <c r="L419" s="8"/>
      <c r="M419" s="8" t="str">
        <f>IF(L419="","",
IF(AX419="PT",VLOOKUP(L419,Foundation_Calc!$V$4:$X$37,VLOOKUP(AX419,Foundation_Calc!$I$10:$J$13,2,FALSE),0),
IF(AX419="K",VLOOKUP(L419,Foundation_Calc!$V$41:$X$74,VLOOKUP(AX419,Foundation_Calc!$I$10:$J$13,2,FALSE),0),"")))</f>
        <v/>
      </c>
      <c r="N419" s="8"/>
      <c r="O419" s="8"/>
      <c r="P419" s="8"/>
      <c r="Q419" s="14"/>
      <c r="R419" s="15"/>
      <c r="S419" s="15"/>
      <c r="T419" s="14"/>
      <c r="U419" s="14"/>
      <c r="V419" s="14"/>
      <c r="W419" s="18"/>
      <c r="X419" s="18"/>
      <c r="Y419" s="18"/>
      <c r="Z419" s="18"/>
      <c r="AA419" s="18"/>
      <c r="AB419" s="18"/>
      <c r="AC419" s="8" t="str">
        <f t="shared" si="25"/>
        <v/>
      </c>
      <c r="AD419" s="8"/>
      <c r="AE419" s="8"/>
      <c r="AF419" s="14"/>
      <c r="AG419" s="13"/>
      <c r="AH419" s="14"/>
      <c r="AI419" s="14"/>
      <c r="AJ419" s="8"/>
      <c r="AK419" s="8"/>
      <c r="AL419" s="8"/>
      <c r="AM419" s="8"/>
      <c r="AN419" s="631"/>
      <c r="AO419" s="18"/>
      <c r="AP419" s="18"/>
      <c r="AQ419" s="18"/>
      <c r="AR419" s="18"/>
      <c r="AS419" s="18"/>
      <c r="AU419" s="448"/>
      <c r="AV419" s="448"/>
      <c r="AW419" s="8" t="str">
        <f>IF(C419&gt;0,VLOOKUP(C419,Foundation_Calc!$A$2:$C$986,3,1),
IF(J419&gt;0,VLOOKUP(J419,Foundation_Calc!$A$2:$C$986,3,1),""))</f>
        <v/>
      </c>
      <c r="AX419" s="8" t="str">
        <f>IF(C419&gt;0,VLOOKUP(C419,Foundation_Calc!$E$2:$G$986,3,1),
IF(J419&gt;0,VLOOKUP(J419,Foundation_Calc!$E$2:$G$986,3,1),""))</f>
        <v/>
      </c>
      <c r="AY419" s="631" t="str">
        <f>IF(L419="","",
IF(AX419="PT",VLOOKUP(L419,Foundation_Calc!$K$4:$R$37,VLOOKUP(AW419,Foundation_Calc!$I$2:$J$8,2,FALSE),0),
IF(AX419="K",VLOOKUP(L419,Foundation_Calc!$K$41:$R$74,VLOOKUP(AW419,Foundation_Calc!$I$2:$J$8,2,FALSE),0),"")))</f>
        <v/>
      </c>
      <c r="AZ419" s="631" t="str">
        <f>IF(K419="","",
IF(AX419="PT",VLOOKUP(K419,Foundation_Calc!$K$4:$R$37,VLOOKUP(AW419,Foundation_Calc!$I$2:$J$8,2,FALSE),0),
IF(AX419="K",VLOOKUP(K419,Foundation_Calc!$K$41:$R$74,VLOOKUP(AW419,Foundation_Calc!$I$2:$J$8,2,FALSE),0),"")))</f>
        <v/>
      </c>
      <c r="BA419" s="632" t="str">
        <f t="shared" si="26"/>
        <v/>
      </c>
      <c r="BB419" s="632" t="str">
        <f t="shared" si="27"/>
        <v/>
      </c>
      <c r="BC419" s="632" t="str">
        <f t="shared" si="28"/>
        <v/>
      </c>
      <c r="BD419" s="633" t="str">
        <f>IF(AND(L419="",H419=""),"",
IF(H419="",Pole_Calc!A447,
IF(H419="MP",Pole_Calc!A448,
IF(H419="AnMP",Pole_Calc!A449,
IF(H419="A",Pole_Calc!A450,
IF(H419="S/A",Pole_Calc!A451,
IF(H419="A/S",Pole_Calc!A452,"Poner a mano")))))))</f>
        <v/>
      </c>
      <c r="BE419" s="448" t="s">
        <v>1726</v>
      </c>
      <c r="BF419" s="635"/>
      <c r="BG419" s="635"/>
      <c r="BH419" s="634"/>
      <c r="BI419" s="635"/>
    </row>
    <row r="420" spans="1:61" ht="16.2" customHeight="1">
      <c r="A420" s="12"/>
      <c r="B420" s="446"/>
      <c r="C420" s="89"/>
      <c r="D420" s="13"/>
      <c r="E420" s="14"/>
      <c r="F420" s="14"/>
      <c r="G420" s="15"/>
      <c r="H420" s="8"/>
      <c r="I420" s="8"/>
      <c r="J420" s="89"/>
      <c r="K420" s="8"/>
      <c r="L420" s="8"/>
      <c r="M420" s="8" t="str">
        <f>IF(L420="","",
IF(AX420="PT",VLOOKUP(L420,Foundation_Calc!$V$4:$X$37,VLOOKUP(AX420,Foundation_Calc!$I$10:$J$13,2,FALSE),0),
IF(AX420="K",VLOOKUP(L420,Foundation_Calc!$V$41:$X$74,VLOOKUP(AX420,Foundation_Calc!$I$10:$J$13,2,FALSE),0),"")))</f>
        <v/>
      </c>
      <c r="N420" s="8"/>
      <c r="O420" s="8"/>
      <c r="P420" s="8"/>
      <c r="Q420" s="14"/>
      <c r="R420" s="15"/>
      <c r="S420" s="15"/>
      <c r="T420" s="14"/>
      <c r="U420" s="14"/>
      <c r="V420" s="14"/>
      <c r="W420" s="18"/>
      <c r="X420" s="18"/>
      <c r="Y420" s="18"/>
      <c r="Z420" s="18"/>
      <c r="AA420" s="18"/>
      <c r="AB420" s="18"/>
      <c r="AC420" s="8" t="str">
        <f t="shared" si="25"/>
        <v/>
      </c>
      <c r="AD420" s="8"/>
      <c r="AE420" s="8"/>
      <c r="AF420" s="14"/>
      <c r="AG420" s="13"/>
      <c r="AH420" s="14"/>
      <c r="AI420" s="14"/>
      <c r="AJ420" s="8"/>
      <c r="AK420" s="8"/>
      <c r="AL420" s="8"/>
      <c r="AM420" s="8"/>
      <c r="AN420" s="631"/>
      <c r="AO420" s="18"/>
      <c r="AP420" s="18"/>
      <c r="AQ420" s="18"/>
      <c r="AR420" s="18"/>
      <c r="AS420" s="18"/>
      <c r="AU420" s="448"/>
      <c r="AV420" s="448"/>
      <c r="AW420" s="8" t="str">
        <f>IF(C420&gt;0,VLOOKUP(C420,Foundation_Calc!$A$2:$C$986,3,1),
IF(J420&gt;0,VLOOKUP(J420,Foundation_Calc!$A$2:$C$986,3,1),""))</f>
        <v/>
      </c>
      <c r="AX420" s="8" t="str">
        <f>IF(C420&gt;0,VLOOKUP(C420,Foundation_Calc!$E$2:$G$986,3,1),
IF(J420&gt;0,VLOOKUP(J420,Foundation_Calc!$E$2:$G$986,3,1),""))</f>
        <v/>
      </c>
      <c r="AY420" s="631" t="str">
        <f>IF(L420="","",
IF(AX420="PT",VLOOKUP(L420,Foundation_Calc!$K$4:$R$37,VLOOKUP(AW420,Foundation_Calc!$I$2:$J$8,2,FALSE),0),
IF(AX420="K",VLOOKUP(L420,Foundation_Calc!$K$41:$R$74,VLOOKUP(AW420,Foundation_Calc!$I$2:$J$8,2,FALSE),0),"")))</f>
        <v/>
      </c>
      <c r="AZ420" s="631" t="str">
        <f>IF(K420="","",
IF(AX420="PT",VLOOKUP(K420,Foundation_Calc!$K$4:$R$37,VLOOKUP(AW420,Foundation_Calc!$I$2:$J$8,2,FALSE),0),
IF(AX420="K",VLOOKUP(K420,Foundation_Calc!$K$41:$R$74,VLOOKUP(AW420,Foundation_Calc!$I$2:$J$8,2,FALSE),0),"")))</f>
        <v/>
      </c>
      <c r="BA420" s="632" t="str">
        <f t="shared" si="26"/>
        <v/>
      </c>
      <c r="BB420" s="632" t="str">
        <f t="shared" si="27"/>
        <v/>
      </c>
      <c r="BC420" s="632" t="str">
        <f t="shared" si="28"/>
        <v/>
      </c>
      <c r="BD420" s="633" t="str">
        <f>IF(AND(L420="",H420=""),"",
IF(H420="",Pole_Calc!A448,
IF(H420="MP",Pole_Calc!A449,
IF(H420="AnMP",Pole_Calc!A450,
IF(H420="A",Pole_Calc!A451,
IF(H420="S/A",Pole_Calc!A452,
IF(H420="A/S",Pole_Calc!A453,"Poner a mano")))))))</f>
        <v/>
      </c>
      <c r="BE420" s="448" t="s">
        <v>1726</v>
      </c>
      <c r="BF420" s="634"/>
      <c r="BG420" s="634"/>
      <c r="BH420" s="634"/>
      <c r="BI420" s="634"/>
    </row>
    <row r="421" spans="1:61" ht="16.2" customHeight="1">
      <c r="A421" s="12"/>
      <c r="B421" s="446"/>
      <c r="C421" s="89"/>
      <c r="D421" s="13"/>
      <c r="E421" s="14"/>
      <c r="F421" s="14"/>
      <c r="G421" s="15"/>
      <c r="H421" s="8"/>
      <c r="I421" s="8"/>
      <c r="J421" s="89"/>
      <c r="K421" s="8"/>
      <c r="L421" s="8"/>
      <c r="M421" s="8" t="str">
        <f>IF(L421="","",
IF(AX421="PT",VLOOKUP(L421,Foundation_Calc!$V$4:$X$37,VLOOKUP(AX421,Foundation_Calc!$I$10:$J$13,2,FALSE),0),
IF(AX421="K",VLOOKUP(L421,Foundation_Calc!$V$41:$X$74,VLOOKUP(AX421,Foundation_Calc!$I$10:$J$13,2,FALSE),0),"")))</f>
        <v/>
      </c>
      <c r="N421" s="8"/>
      <c r="O421" s="8"/>
      <c r="P421" s="8"/>
      <c r="Q421" s="14"/>
      <c r="R421" s="15"/>
      <c r="S421" s="15"/>
      <c r="T421" s="14"/>
      <c r="U421" s="14"/>
      <c r="V421" s="14"/>
      <c r="W421" s="18"/>
      <c r="X421" s="18"/>
      <c r="Y421" s="18"/>
      <c r="Z421" s="18"/>
      <c r="AA421" s="18"/>
      <c r="AB421" s="18"/>
      <c r="AC421" s="8" t="str">
        <f t="shared" si="25"/>
        <v/>
      </c>
      <c r="AD421" s="8"/>
      <c r="AE421" s="8"/>
      <c r="AF421" s="14"/>
      <c r="AG421" s="13"/>
      <c r="AH421" s="14"/>
      <c r="AI421" s="14"/>
      <c r="AJ421" s="8"/>
      <c r="AK421" s="8"/>
      <c r="AL421" s="8"/>
      <c r="AM421" s="8"/>
      <c r="AN421" s="631"/>
      <c r="AO421" s="18"/>
      <c r="AP421" s="18"/>
      <c r="AQ421" s="18"/>
      <c r="AR421" s="18"/>
      <c r="AS421" s="18"/>
      <c r="AU421" s="448"/>
      <c r="AV421" s="448"/>
      <c r="AW421" s="8" t="str">
        <f>IF(C421&gt;0,VLOOKUP(C421,Foundation_Calc!$A$2:$C$986,3,1),
IF(J421&gt;0,VLOOKUP(J421,Foundation_Calc!$A$2:$C$986,3,1),""))</f>
        <v/>
      </c>
      <c r="AX421" s="8" t="str">
        <f>IF(C421&gt;0,VLOOKUP(C421,Foundation_Calc!$E$2:$G$986,3,1),
IF(J421&gt;0,VLOOKUP(J421,Foundation_Calc!$E$2:$G$986,3,1),""))</f>
        <v/>
      </c>
      <c r="AY421" s="631" t="str">
        <f>IF(L421="","",
IF(AX421="PT",VLOOKUP(L421,Foundation_Calc!$K$4:$R$37,VLOOKUP(AW421,Foundation_Calc!$I$2:$J$8,2,FALSE),0),
IF(AX421="K",VLOOKUP(L421,Foundation_Calc!$K$41:$R$74,VLOOKUP(AW421,Foundation_Calc!$I$2:$J$8,2,FALSE),0),"")))</f>
        <v/>
      </c>
      <c r="AZ421" s="631" t="str">
        <f>IF(K421="","",
IF(AX421="PT",VLOOKUP(K421,Foundation_Calc!$K$4:$R$37,VLOOKUP(AW421,Foundation_Calc!$I$2:$J$8,2,FALSE),0),
IF(AX421="K",VLOOKUP(K421,Foundation_Calc!$K$41:$R$74,VLOOKUP(AW421,Foundation_Calc!$I$2:$J$8,2,FALSE),0),"")))</f>
        <v/>
      </c>
      <c r="BA421" s="632" t="str">
        <f t="shared" si="26"/>
        <v/>
      </c>
      <c r="BB421" s="632" t="str">
        <f t="shared" si="27"/>
        <v/>
      </c>
      <c r="BC421" s="632" t="str">
        <f t="shared" si="28"/>
        <v/>
      </c>
      <c r="BD421" s="633" t="str">
        <f>IF(AND(L421="",H421=""),"",
IF(H421="",Pole_Calc!A449,
IF(H421="MP",Pole_Calc!A450,
IF(H421="AnMP",Pole_Calc!A451,
IF(H421="A",Pole_Calc!A452,
IF(H421="S/A",Pole_Calc!A453,
IF(H421="A/S",Pole_Calc!A454,"Poner a mano")))))))</f>
        <v/>
      </c>
      <c r="BE421" s="448" t="s">
        <v>1726</v>
      </c>
      <c r="BF421" s="635"/>
      <c r="BG421" s="635"/>
      <c r="BH421" s="634"/>
      <c r="BI421" s="635"/>
    </row>
    <row r="422" spans="1:61" ht="16.2" customHeight="1">
      <c r="A422" s="12"/>
      <c r="B422" s="446"/>
      <c r="C422" s="89"/>
      <c r="D422" s="13"/>
      <c r="E422" s="14"/>
      <c r="F422" s="14"/>
      <c r="G422" s="15"/>
      <c r="H422" s="8"/>
      <c r="I422" s="8"/>
      <c r="J422" s="89"/>
      <c r="K422" s="8"/>
      <c r="L422" s="8"/>
      <c r="M422" s="8" t="str">
        <f>IF(L422="","",
IF(AX422="PT",VLOOKUP(L422,Foundation_Calc!$V$4:$X$37,VLOOKUP(AX422,Foundation_Calc!$I$10:$J$13,2,FALSE),0),
IF(AX422="K",VLOOKUP(L422,Foundation_Calc!$V$41:$X$74,VLOOKUP(AX422,Foundation_Calc!$I$10:$J$13,2,FALSE),0),"")))</f>
        <v/>
      </c>
      <c r="N422" s="8"/>
      <c r="O422" s="8"/>
      <c r="P422" s="8"/>
      <c r="Q422" s="14"/>
      <c r="R422" s="15"/>
      <c r="S422" s="15"/>
      <c r="T422" s="14"/>
      <c r="U422" s="14"/>
      <c r="V422" s="14"/>
      <c r="W422" s="18"/>
      <c r="X422" s="18"/>
      <c r="Y422" s="18"/>
      <c r="Z422" s="18"/>
      <c r="AA422" s="18"/>
      <c r="AB422" s="18"/>
      <c r="AC422" s="8" t="str">
        <f t="shared" si="25"/>
        <v/>
      </c>
      <c r="AD422" s="8"/>
      <c r="AE422" s="8"/>
      <c r="AF422" s="14"/>
      <c r="AG422" s="13"/>
      <c r="AH422" s="14"/>
      <c r="AI422" s="14"/>
      <c r="AJ422" s="8"/>
      <c r="AK422" s="8"/>
      <c r="AL422" s="8"/>
      <c r="AM422" s="8"/>
      <c r="AN422" s="631"/>
      <c r="AO422" s="18"/>
      <c r="AP422" s="18"/>
      <c r="AQ422" s="18"/>
      <c r="AR422" s="18"/>
      <c r="AS422" s="18"/>
      <c r="AU422" s="448"/>
      <c r="AV422" s="448"/>
      <c r="AW422" s="8" t="str">
        <f>IF(C422&gt;0,VLOOKUP(C422,Foundation_Calc!$A$2:$C$986,3,1),
IF(J422&gt;0,VLOOKUP(J422,Foundation_Calc!$A$2:$C$986,3,1),""))</f>
        <v/>
      </c>
      <c r="AX422" s="8" t="str">
        <f>IF(C422&gt;0,VLOOKUP(C422,Foundation_Calc!$E$2:$G$986,3,1),
IF(J422&gt;0,VLOOKUP(J422,Foundation_Calc!$E$2:$G$986,3,1),""))</f>
        <v/>
      </c>
      <c r="AY422" s="631" t="str">
        <f>IF(L422="","",
IF(AX422="PT",VLOOKUP(L422,Foundation_Calc!$K$4:$R$37,VLOOKUP(AW422,Foundation_Calc!$I$2:$J$8,2,FALSE),0),
IF(AX422="K",VLOOKUP(L422,Foundation_Calc!$K$41:$R$74,VLOOKUP(AW422,Foundation_Calc!$I$2:$J$8,2,FALSE),0),"")))</f>
        <v/>
      </c>
      <c r="AZ422" s="631" t="str">
        <f>IF(K422="","",
IF(AX422="PT",VLOOKUP(K422,Foundation_Calc!$K$4:$R$37,VLOOKUP(AW422,Foundation_Calc!$I$2:$J$8,2,FALSE),0),
IF(AX422="K",VLOOKUP(K422,Foundation_Calc!$K$41:$R$74,VLOOKUP(AW422,Foundation_Calc!$I$2:$J$8,2,FALSE),0),"")))</f>
        <v/>
      </c>
      <c r="BA422" s="632" t="str">
        <f t="shared" si="26"/>
        <v/>
      </c>
      <c r="BB422" s="632" t="str">
        <f t="shared" si="27"/>
        <v/>
      </c>
      <c r="BC422" s="632" t="str">
        <f t="shared" si="28"/>
        <v/>
      </c>
      <c r="BD422" s="633" t="str">
        <f>IF(AND(L422="",H422=""),"",
IF(H422="",Pole_Calc!A450,
IF(H422="MP",Pole_Calc!A451,
IF(H422="AnMP",Pole_Calc!A452,
IF(H422="A",Pole_Calc!A453,
IF(H422="S/A",Pole_Calc!A454,
IF(H422="A/S",Pole_Calc!A455,"Poner a mano")))))))</f>
        <v/>
      </c>
      <c r="BE422" s="448" t="s">
        <v>1726</v>
      </c>
      <c r="BF422" s="634"/>
      <c r="BG422" s="634"/>
      <c r="BH422" s="634"/>
      <c r="BI422" s="634"/>
    </row>
    <row r="423" spans="1:61" ht="16.2" customHeight="1">
      <c r="A423" s="12"/>
      <c r="B423" s="446"/>
      <c r="C423" s="89"/>
      <c r="D423" s="13"/>
      <c r="E423" s="14"/>
      <c r="F423" s="14"/>
      <c r="G423" s="15"/>
      <c r="H423" s="8"/>
      <c r="I423" s="8"/>
      <c r="J423" s="89"/>
      <c r="K423" s="8"/>
      <c r="L423" s="8"/>
      <c r="M423" s="8" t="str">
        <f>IF(L423="","",
IF(AX423="PT",VLOOKUP(L423,Foundation_Calc!$V$4:$X$37,VLOOKUP(AX423,Foundation_Calc!$I$10:$J$13,2,FALSE),0),
IF(AX423="K",VLOOKUP(L423,Foundation_Calc!$V$41:$X$74,VLOOKUP(AX423,Foundation_Calc!$I$10:$J$13,2,FALSE),0),"")))</f>
        <v/>
      </c>
      <c r="N423" s="8"/>
      <c r="O423" s="8"/>
      <c r="P423" s="8"/>
      <c r="Q423" s="14"/>
      <c r="R423" s="15"/>
      <c r="S423" s="15"/>
      <c r="T423" s="14"/>
      <c r="U423" s="14"/>
      <c r="V423" s="14"/>
      <c r="W423" s="18"/>
      <c r="X423" s="18"/>
      <c r="Y423" s="18"/>
      <c r="Z423" s="18"/>
      <c r="AA423" s="18"/>
      <c r="AB423" s="18"/>
      <c r="AC423" s="8" t="str">
        <f t="shared" si="25"/>
        <v/>
      </c>
      <c r="AD423" s="8"/>
      <c r="AE423" s="8"/>
      <c r="AF423" s="14"/>
      <c r="AG423" s="13"/>
      <c r="AH423" s="14"/>
      <c r="AI423" s="14"/>
      <c r="AJ423" s="8"/>
      <c r="AK423" s="8"/>
      <c r="AL423" s="8"/>
      <c r="AM423" s="8"/>
      <c r="AN423" s="631"/>
      <c r="AO423" s="18"/>
      <c r="AP423" s="18"/>
      <c r="AQ423" s="18"/>
      <c r="AR423" s="18"/>
      <c r="AS423" s="18"/>
      <c r="AU423" s="448"/>
      <c r="AV423" s="448"/>
      <c r="AW423" s="8" t="str">
        <f>IF(C423&gt;0,VLOOKUP(C423,Foundation_Calc!$A$2:$C$986,3,1),
IF(J423&gt;0,VLOOKUP(J423,Foundation_Calc!$A$2:$C$986,3,1),""))</f>
        <v/>
      </c>
      <c r="AX423" s="8" t="str">
        <f>IF(C423&gt;0,VLOOKUP(C423,Foundation_Calc!$E$2:$G$986,3,1),
IF(J423&gt;0,VLOOKUP(J423,Foundation_Calc!$E$2:$G$986,3,1),""))</f>
        <v/>
      </c>
      <c r="AY423" s="631" t="str">
        <f>IF(L423="","",
IF(AX423="PT",VLOOKUP(L423,Foundation_Calc!$K$4:$R$37,VLOOKUP(AW423,Foundation_Calc!$I$2:$J$8,2,FALSE),0),
IF(AX423="K",VLOOKUP(L423,Foundation_Calc!$K$41:$R$74,VLOOKUP(AW423,Foundation_Calc!$I$2:$J$8,2,FALSE),0),"")))</f>
        <v/>
      </c>
      <c r="AZ423" s="631" t="str">
        <f>IF(K423="","",
IF(AX423="PT",VLOOKUP(K423,Foundation_Calc!$K$4:$R$37,VLOOKUP(AW423,Foundation_Calc!$I$2:$J$8,2,FALSE),0),
IF(AX423="K",VLOOKUP(K423,Foundation_Calc!$K$41:$R$74,VLOOKUP(AW423,Foundation_Calc!$I$2:$J$8,2,FALSE),0),"")))</f>
        <v/>
      </c>
      <c r="BA423" s="632" t="str">
        <f t="shared" si="26"/>
        <v/>
      </c>
      <c r="BB423" s="632" t="str">
        <f t="shared" si="27"/>
        <v/>
      </c>
      <c r="BC423" s="632" t="str">
        <f t="shared" si="28"/>
        <v/>
      </c>
      <c r="BD423" s="633" t="str">
        <f>IF(AND(L423="",H423=""),"",
IF(H423="",Pole_Calc!A451,
IF(H423="MP",Pole_Calc!A452,
IF(H423="AnMP",Pole_Calc!A453,
IF(H423="A",Pole_Calc!A454,
IF(H423="S/A",Pole_Calc!A455,
IF(H423="A/S",Pole_Calc!A456,"Poner a mano")))))))</f>
        <v/>
      </c>
      <c r="BE423" s="448" t="s">
        <v>1726</v>
      </c>
      <c r="BF423" s="635"/>
      <c r="BG423" s="635"/>
      <c r="BH423" s="634"/>
      <c r="BI423" s="635"/>
    </row>
    <row r="424" spans="1:61" ht="16.2" customHeight="1">
      <c r="A424" s="12"/>
      <c r="B424" s="446"/>
      <c r="C424" s="89"/>
      <c r="D424" s="13"/>
      <c r="E424" s="14"/>
      <c r="F424" s="14"/>
      <c r="G424" s="15"/>
      <c r="H424" s="8"/>
      <c r="I424" s="8"/>
      <c r="J424" s="89"/>
      <c r="K424" s="8"/>
      <c r="L424" s="8"/>
      <c r="M424" s="8" t="str">
        <f>IF(L424="","",
IF(AX424="PT",VLOOKUP(L424,Foundation_Calc!$V$4:$X$37,VLOOKUP(AX424,Foundation_Calc!$I$10:$J$13,2,FALSE),0),
IF(AX424="K",VLOOKUP(L424,Foundation_Calc!$V$41:$X$74,VLOOKUP(AX424,Foundation_Calc!$I$10:$J$13,2,FALSE),0),"")))</f>
        <v/>
      </c>
      <c r="N424" s="8"/>
      <c r="O424" s="8"/>
      <c r="P424" s="8"/>
      <c r="Q424" s="14"/>
      <c r="R424" s="15"/>
      <c r="S424" s="15"/>
      <c r="T424" s="14"/>
      <c r="U424" s="14"/>
      <c r="V424" s="14"/>
      <c r="W424" s="18"/>
      <c r="X424" s="18"/>
      <c r="Y424" s="18"/>
      <c r="Z424" s="18"/>
      <c r="AA424" s="18"/>
      <c r="AB424" s="18"/>
      <c r="AC424" s="8" t="str">
        <f t="shared" si="25"/>
        <v/>
      </c>
      <c r="AD424" s="8"/>
      <c r="AE424" s="8"/>
      <c r="AF424" s="14"/>
      <c r="AG424" s="13"/>
      <c r="AH424" s="14"/>
      <c r="AI424" s="14"/>
      <c r="AJ424" s="8"/>
      <c r="AK424" s="8"/>
      <c r="AL424" s="8"/>
      <c r="AM424" s="8"/>
      <c r="AN424" s="631"/>
      <c r="AO424" s="18"/>
      <c r="AP424" s="18"/>
      <c r="AQ424" s="18"/>
      <c r="AR424" s="18"/>
      <c r="AS424" s="18"/>
      <c r="AU424" s="448"/>
      <c r="AV424" s="448"/>
      <c r="AW424" s="8" t="str">
        <f>IF(C424&gt;0,VLOOKUP(C424,Foundation_Calc!$A$2:$C$986,3,1),
IF(J424&gt;0,VLOOKUP(J424,Foundation_Calc!$A$2:$C$986,3,1),""))</f>
        <v/>
      </c>
      <c r="AX424" s="8" t="str">
        <f>IF(C424&gt;0,VLOOKUP(C424,Foundation_Calc!$E$2:$G$986,3,1),
IF(J424&gt;0,VLOOKUP(J424,Foundation_Calc!$E$2:$G$986,3,1),""))</f>
        <v/>
      </c>
      <c r="AY424" s="631" t="str">
        <f>IF(L424="","",
IF(AX424="PT",VLOOKUP(L424,Foundation_Calc!$K$4:$R$37,VLOOKUP(AW424,Foundation_Calc!$I$2:$J$8,2,FALSE),0),
IF(AX424="K",VLOOKUP(L424,Foundation_Calc!$K$41:$R$74,VLOOKUP(AW424,Foundation_Calc!$I$2:$J$8,2,FALSE),0),"")))</f>
        <v/>
      </c>
      <c r="AZ424" s="631" t="str">
        <f>IF(K424="","",
IF(AX424="PT",VLOOKUP(K424,Foundation_Calc!$K$4:$R$37,VLOOKUP(AW424,Foundation_Calc!$I$2:$J$8,2,FALSE),0),
IF(AX424="K",VLOOKUP(K424,Foundation_Calc!$K$41:$R$74,VLOOKUP(AW424,Foundation_Calc!$I$2:$J$8,2,FALSE),0),"")))</f>
        <v/>
      </c>
      <c r="BA424" s="632" t="str">
        <f t="shared" si="26"/>
        <v/>
      </c>
      <c r="BB424" s="632" t="str">
        <f t="shared" si="27"/>
        <v/>
      </c>
      <c r="BC424" s="632" t="str">
        <f t="shared" si="28"/>
        <v/>
      </c>
      <c r="BD424" s="633" t="str">
        <f>IF(AND(L424="",H424=""),"",
IF(H424="",Pole_Calc!A452,
IF(H424="MP",Pole_Calc!A453,
IF(H424="AnMP",Pole_Calc!A454,
IF(H424="A",Pole_Calc!A455,
IF(H424="S/A",Pole_Calc!A456,
IF(H424="A/S",Pole_Calc!A457,"Poner a mano")))))))</f>
        <v/>
      </c>
      <c r="BE424" s="448" t="s">
        <v>1726</v>
      </c>
      <c r="BF424" s="634"/>
      <c r="BG424" s="634"/>
      <c r="BH424" s="634"/>
      <c r="BI424" s="634"/>
    </row>
    <row r="425" spans="1:61" ht="16.2" customHeight="1">
      <c r="A425" s="12"/>
      <c r="B425" s="446"/>
      <c r="C425" s="89"/>
      <c r="D425" s="13"/>
      <c r="E425" s="14"/>
      <c r="F425" s="14"/>
      <c r="G425" s="15"/>
      <c r="H425" s="8"/>
      <c r="I425" s="8"/>
      <c r="J425" s="89"/>
      <c r="K425" s="8"/>
      <c r="L425" s="8"/>
      <c r="M425" s="8" t="str">
        <f>IF(L425="","",
IF(AX425="PT",VLOOKUP(L425,Foundation_Calc!$V$4:$X$37,VLOOKUP(AX425,Foundation_Calc!$I$10:$J$13,2,FALSE),0),
IF(AX425="K",VLOOKUP(L425,Foundation_Calc!$V$41:$X$74,VLOOKUP(AX425,Foundation_Calc!$I$10:$J$13,2,FALSE),0),"")))</f>
        <v/>
      </c>
      <c r="N425" s="8"/>
      <c r="O425" s="8"/>
      <c r="P425" s="8"/>
      <c r="Q425" s="14"/>
      <c r="R425" s="15"/>
      <c r="S425" s="15"/>
      <c r="T425" s="14"/>
      <c r="U425" s="14"/>
      <c r="V425" s="14"/>
      <c r="W425" s="18"/>
      <c r="X425" s="18"/>
      <c r="Y425" s="18"/>
      <c r="Z425" s="18"/>
      <c r="AA425" s="18"/>
      <c r="AB425" s="18"/>
      <c r="AC425" s="8" t="str">
        <f t="shared" si="25"/>
        <v/>
      </c>
      <c r="AD425" s="8"/>
      <c r="AE425" s="8"/>
      <c r="AF425" s="14"/>
      <c r="AG425" s="13"/>
      <c r="AH425" s="14"/>
      <c r="AI425" s="14"/>
      <c r="AJ425" s="8"/>
      <c r="AK425" s="8"/>
      <c r="AL425" s="8"/>
      <c r="AM425" s="8"/>
      <c r="AN425" s="631"/>
      <c r="AO425" s="18"/>
      <c r="AP425" s="18"/>
      <c r="AQ425" s="18"/>
      <c r="AR425" s="18"/>
      <c r="AS425" s="18"/>
      <c r="AU425" s="448"/>
      <c r="AV425" s="448"/>
      <c r="AW425" s="8" t="str">
        <f>IF(C425&gt;0,VLOOKUP(C425,Foundation_Calc!$A$2:$C$986,3,1),
IF(J425&gt;0,VLOOKUP(J425,Foundation_Calc!$A$2:$C$986,3,1),""))</f>
        <v/>
      </c>
      <c r="AX425" s="8" t="str">
        <f>IF(C425&gt;0,VLOOKUP(C425,Foundation_Calc!$E$2:$G$986,3,1),
IF(J425&gt;0,VLOOKUP(J425,Foundation_Calc!$E$2:$G$986,3,1),""))</f>
        <v/>
      </c>
      <c r="AY425" s="631" t="str">
        <f>IF(L425="","",
IF(AX425="PT",VLOOKUP(L425,Foundation_Calc!$K$4:$R$37,VLOOKUP(AW425,Foundation_Calc!$I$2:$J$8,2,FALSE),0),
IF(AX425="K",VLOOKUP(L425,Foundation_Calc!$K$41:$R$74,VLOOKUP(AW425,Foundation_Calc!$I$2:$J$8,2,FALSE),0),"")))</f>
        <v/>
      </c>
      <c r="AZ425" s="631" t="str">
        <f>IF(K425="","",
IF(AX425="PT",VLOOKUP(K425,Foundation_Calc!$K$4:$R$37,VLOOKUP(AW425,Foundation_Calc!$I$2:$J$8,2,FALSE),0),
IF(AX425="K",VLOOKUP(K425,Foundation_Calc!$K$41:$R$74,VLOOKUP(AW425,Foundation_Calc!$I$2:$J$8,2,FALSE),0),"")))</f>
        <v/>
      </c>
      <c r="BA425" s="632" t="str">
        <f t="shared" si="26"/>
        <v/>
      </c>
      <c r="BB425" s="632" t="str">
        <f t="shared" si="27"/>
        <v/>
      </c>
      <c r="BC425" s="632" t="str">
        <f t="shared" si="28"/>
        <v/>
      </c>
      <c r="BD425" s="633" t="str">
        <f>IF(AND(L425="",H425=""),"",
IF(H425="",Pole_Calc!A453,
IF(H425="MP",Pole_Calc!A454,
IF(H425="AnMP",Pole_Calc!A455,
IF(H425="A",Pole_Calc!A456,
IF(H425="S/A",Pole_Calc!A457,
IF(H425="A/S",Pole_Calc!A458,"Poner a mano")))))))</f>
        <v/>
      </c>
      <c r="BE425" s="448" t="s">
        <v>1726</v>
      </c>
      <c r="BF425" s="635"/>
      <c r="BG425" s="635"/>
      <c r="BH425" s="634"/>
      <c r="BI425" s="635"/>
    </row>
    <row r="426" spans="1:61" ht="16.2" customHeight="1">
      <c r="A426" s="12"/>
      <c r="B426" s="446"/>
      <c r="C426" s="89"/>
      <c r="D426" s="13"/>
      <c r="E426" s="14"/>
      <c r="F426" s="14"/>
      <c r="G426" s="15"/>
      <c r="H426" s="8"/>
      <c r="I426" s="8"/>
      <c r="J426" s="89"/>
      <c r="K426" s="8"/>
      <c r="L426" s="8"/>
      <c r="M426" s="8" t="str">
        <f>IF(L426="","",
IF(AX426="PT",VLOOKUP(L426,Foundation_Calc!$V$4:$X$37,VLOOKUP(AX426,Foundation_Calc!$I$10:$J$13,2,FALSE),0),
IF(AX426="K",VLOOKUP(L426,Foundation_Calc!$V$41:$X$74,VLOOKUP(AX426,Foundation_Calc!$I$10:$J$13,2,FALSE),0),"")))</f>
        <v/>
      </c>
      <c r="N426" s="8"/>
      <c r="O426" s="8"/>
      <c r="P426" s="8"/>
      <c r="Q426" s="14"/>
      <c r="R426" s="15"/>
      <c r="S426" s="15"/>
      <c r="T426" s="14"/>
      <c r="U426" s="14"/>
      <c r="V426" s="14"/>
      <c r="W426" s="18"/>
      <c r="X426" s="18"/>
      <c r="Y426" s="18"/>
      <c r="Z426" s="18"/>
      <c r="AA426" s="18"/>
      <c r="AB426" s="18"/>
      <c r="AC426" s="8" t="str">
        <f t="shared" si="25"/>
        <v/>
      </c>
      <c r="AD426" s="8"/>
      <c r="AE426" s="8"/>
      <c r="AF426" s="14"/>
      <c r="AG426" s="13"/>
      <c r="AH426" s="14"/>
      <c r="AI426" s="14"/>
      <c r="AJ426" s="8"/>
      <c r="AK426" s="8"/>
      <c r="AL426" s="8"/>
      <c r="AM426" s="8"/>
      <c r="AN426" s="631"/>
      <c r="AO426" s="18"/>
      <c r="AP426" s="18"/>
      <c r="AQ426" s="18"/>
      <c r="AR426" s="18"/>
      <c r="AS426" s="18"/>
      <c r="AU426" s="448"/>
      <c r="AV426" s="448"/>
      <c r="AW426" s="8" t="str">
        <f>IF(C426&gt;0,VLOOKUP(C426,Foundation_Calc!$A$2:$C$986,3,1),
IF(J426&gt;0,VLOOKUP(J426,Foundation_Calc!$A$2:$C$986,3,1),""))</f>
        <v/>
      </c>
      <c r="AX426" s="8" t="str">
        <f>IF(C426&gt;0,VLOOKUP(C426,Foundation_Calc!$E$2:$G$986,3,1),
IF(J426&gt;0,VLOOKUP(J426,Foundation_Calc!$E$2:$G$986,3,1),""))</f>
        <v/>
      </c>
      <c r="AY426" s="631" t="str">
        <f>IF(L426="","",
IF(AX426="PT",VLOOKUP(L426,Foundation_Calc!$K$4:$R$37,VLOOKUP(AW426,Foundation_Calc!$I$2:$J$8,2,FALSE),0),
IF(AX426="K",VLOOKUP(L426,Foundation_Calc!$K$41:$R$74,VLOOKUP(AW426,Foundation_Calc!$I$2:$J$8,2,FALSE),0),"")))</f>
        <v/>
      </c>
      <c r="AZ426" s="631" t="str">
        <f>IF(K426="","",
IF(AX426="PT",VLOOKUP(K426,Foundation_Calc!$K$4:$R$37,VLOOKUP(AW426,Foundation_Calc!$I$2:$J$8,2,FALSE),0),
IF(AX426="K",VLOOKUP(K426,Foundation_Calc!$K$41:$R$74,VLOOKUP(AW426,Foundation_Calc!$I$2:$J$8,2,FALSE),0),"")))</f>
        <v/>
      </c>
      <c r="BA426" s="632" t="str">
        <f t="shared" si="26"/>
        <v/>
      </c>
      <c r="BB426" s="632" t="str">
        <f t="shared" si="27"/>
        <v/>
      </c>
      <c r="BC426" s="632" t="str">
        <f t="shared" si="28"/>
        <v/>
      </c>
      <c r="BD426" s="633" t="str">
        <f>IF(AND(L426="",H426=""),"",
IF(H426="",Pole_Calc!A454,
IF(H426="MP",Pole_Calc!A455,
IF(H426="AnMP",Pole_Calc!A456,
IF(H426="A",Pole_Calc!A457,
IF(H426="S/A",Pole_Calc!A458,
IF(H426="A/S",Pole_Calc!A459,"Poner a mano")))))))</f>
        <v/>
      </c>
      <c r="BE426" s="448" t="s">
        <v>1726</v>
      </c>
      <c r="BF426" s="634"/>
      <c r="BG426" s="634"/>
      <c r="BH426" s="634"/>
      <c r="BI426" s="634"/>
    </row>
    <row r="427" spans="1:61" ht="16.2" customHeight="1">
      <c r="A427" s="12"/>
      <c r="B427" s="446"/>
      <c r="C427" s="89"/>
      <c r="D427" s="13"/>
      <c r="E427" s="14"/>
      <c r="F427" s="14"/>
      <c r="G427" s="15"/>
      <c r="H427" s="8"/>
      <c r="I427" s="8"/>
      <c r="J427" s="89"/>
      <c r="K427" s="8"/>
      <c r="L427" s="8"/>
      <c r="M427" s="8" t="str">
        <f>IF(L427="","",
IF(AX427="PT",VLOOKUP(L427,Foundation_Calc!$V$4:$X$37,VLOOKUP(AX427,Foundation_Calc!$I$10:$J$13,2,FALSE),0),
IF(AX427="K",VLOOKUP(L427,Foundation_Calc!$V$41:$X$74,VLOOKUP(AX427,Foundation_Calc!$I$10:$J$13,2,FALSE),0),"")))</f>
        <v/>
      </c>
      <c r="N427" s="8"/>
      <c r="O427" s="8"/>
      <c r="P427" s="8"/>
      <c r="Q427" s="14"/>
      <c r="R427" s="15"/>
      <c r="S427" s="15"/>
      <c r="T427" s="14"/>
      <c r="U427" s="14"/>
      <c r="V427" s="14"/>
      <c r="W427" s="18"/>
      <c r="X427" s="18"/>
      <c r="Y427" s="18"/>
      <c r="Z427" s="18"/>
      <c r="AA427" s="18"/>
      <c r="AB427" s="18"/>
      <c r="AC427" s="8" t="str">
        <f t="shared" si="25"/>
        <v/>
      </c>
      <c r="AD427" s="8"/>
      <c r="AE427" s="8"/>
      <c r="AF427" s="14"/>
      <c r="AG427" s="13"/>
      <c r="AH427" s="14"/>
      <c r="AI427" s="14"/>
      <c r="AJ427" s="8"/>
      <c r="AK427" s="8"/>
      <c r="AL427" s="8"/>
      <c r="AM427" s="8"/>
      <c r="AN427" s="631"/>
      <c r="AO427" s="18"/>
      <c r="AP427" s="18"/>
      <c r="AQ427" s="18"/>
      <c r="AR427" s="18"/>
      <c r="AS427" s="18"/>
      <c r="AU427" s="448"/>
      <c r="AV427" s="448"/>
      <c r="AW427" s="8" t="str">
        <f>IF(C427&gt;0,VLOOKUP(C427,Foundation_Calc!$A$2:$C$986,3,1),
IF(J427&gt;0,VLOOKUP(J427,Foundation_Calc!$A$2:$C$986,3,1),""))</f>
        <v/>
      </c>
      <c r="AX427" s="8" t="str">
        <f>IF(C427&gt;0,VLOOKUP(C427,Foundation_Calc!$E$2:$G$986,3,1),
IF(J427&gt;0,VLOOKUP(J427,Foundation_Calc!$E$2:$G$986,3,1),""))</f>
        <v/>
      </c>
      <c r="AY427" s="631" t="str">
        <f>IF(L427="","",
IF(AX427="PT",VLOOKUP(L427,Foundation_Calc!$K$4:$R$37,VLOOKUP(AW427,Foundation_Calc!$I$2:$J$8,2,FALSE),0),
IF(AX427="K",VLOOKUP(L427,Foundation_Calc!$K$41:$R$74,VLOOKUP(AW427,Foundation_Calc!$I$2:$J$8,2,FALSE),0),"")))</f>
        <v/>
      </c>
      <c r="AZ427" s="631" t="str">
        <f>IF(K427="","",
IF(AX427="PT",VLOOKUP(K427,Foundation_Calc!$K$4:$R$37,VLOOKUP(AW427,Foundation_Calc!$I$2:$J$8,2,FALSE),0),
IF(AX427="K",VLOOKUP(K427,Foundation_Calc!$K$41:$R$74,VLOOKUP(AW427,Foundation_Calc!$I$2:$J$8,2,FALSE),0),"")))</f>
        <v/>
      </c>
      <c r="BA427" s="632" t="str">
        <f t="shared" si="26"/>
        <v/>
      </c>
      <c r="BB427" s="632" t="str">
        <f t="shared" si="27"/>
        <v/>
      </c>
      <c r="BC427" s="632" t="str">
        <f t="shared" si="28"/>
        <v/>
      </c>
      <c r="BD427" s="633" t="str">
        <f>IF(AND(L427="",H427=""),"",
IF(H427="",Pole_Calc!A455,
IF(H427="MP",Pole_Calc!A456,
IF(H427="AnMP",Pole_Calc!A457,
IF(H427="A",Pole_Calc!A458,
IF(H427="S/A",Pole_Calc!A459,
IF(H427="A/S",Pole_Calc!A460,"Poner a mano")))))))</f>
        <v/>
      </c>
      <c r="BE427" s="448" t="s">
        <v>1726</v>
      </c>
      <c r="BF427" s="635"/>
      <c r="BG427" s="635"/>
      <c r="BH427" s="634"/>
      <c r="BI427" s="635"/>
    </row>
    <row r="428" spans="1:61" ht="16.2" customHeight="1">
      <c r="A428" s="12"/>
      <c r="B428" s="446"/>
      <c r="C428" s="89"/>
      <c r="D428" s="13"/>
      <c r="E428" s="14"/>
      <c r="F428" s="14"/>
      <c r="G428" s="15"/>
      <c r="H428" s="8"/>
      <c r="I428" s="8"/>
      <c r="J428" s="89"/>
      <c r="K428" s="8"/>
      <c r="L428" s="8"/>
      <c r="M428" s="8" t="str">
        <f>IF(L428="","",
IF(AX428="PT",VLOOKUP(L428,Foundation_Calc!$V$4:$X$37,VLOOKUP(AX428,Foundation_Calc!$I$10:$J$13,2,FALSE),0),
IF(AX428="K",VLOOKUP(L428,Foundation_Calc!$V$41:$X$74,VLOOKUP(AX428,Foundation_Calc!$I$10:$J$13,2,FALSE),0),"")))</f>
        <v/>
      </c>
      <c r="N428" s="8"/>
      <c r="O428" s="8"/>
      <c r="P428" s="8"/>
      <c r="Q428" s="14"/>
      <c r="R428" s="15"/>
      <c r="S428" s="15"/>
      <c r="T428" s="14"/>
      <c r="U428" s="14"/>
      <c r="V428" s="14"/>
      <c r="W428" s="18"/>
      <c r="X428" s="18"/>
      <c r="Y428" s="18"/>
      <c r="Z428" s="18"/>
      <c r="AA428" s="18"/>
      <c r="AB428" s="18"/>
      <c r="AC428" s="8" t="str">
        <f t="shared" si="25"/>
        <v/>
      </c>
      <c r="AD428" s="8"/>
      <c r="AE428" s="8"/>
      <c r="AF428" s="14"/>
      <c r="AG428" s="13"/>
      <c r="AH428" s="14"/>
      <c r="AI428" s="14"/>
      <c r="AJ428" s="8"/>
      <c r="AK428" s="8"/>
      <c r="AL428" s="8"/>
      <c r="AM428" s="8"/>
      <c r="AN428" s="631"/>
      <c r="AO428" s="18"/>
      <c r="AP428" s="18"/>
      <c r="AQ428" s="18"/>
      <c r="AR428" s="18"/>
      <c r="AS428" s="18"/>
      <c r="AU428" s="448"/>
      <c r="AV428" s="448"/>
      <c r="AW428" s="8" t="str">
        <f>IF(C428&gt;0,VLOOKUP(C428,Foundation_Calc!$A$2:$C$986,3,1),
IF(J428&gt;0,VLOOKUP(J428,Foundation_Calc!$A$2:$C$986,3,1),""))</f>
        <v/>
      </c>
      <c r="AX428" s="8" t="str">
        <f>IF(C428&gt;0,VLOOKUP(C428,Foundation_Calc!$E$2:$G$986,3,1),
IF(J428&gt;0,VLOOKUP(J428,Foundation_Calc!$E$2:$G$986,3,1),""))</f>
        <v/>
      </c>
      <c r="AY428" s="631" t="str">
        <f>IF(L428="","",
IF(AX428="PT",VLOOKUP(L428,Foundation_Calc!$K$4:$R$37,VLOOKUP(AW428,Foundation_Calc!$I$2:$J$8,2,FALSE),0),
IF(AX428="K",VLOOKUP(L428,Foundation_Calc!$K$41:$R$74,VLOOKUP(AW428,Foundation_Calc!$I$2:$J$8,2,FALSE),0),"")))</f>
        <v/>
      </c>
      <c r="AZ428" s="631" t="str">
        <f>IF(K428="","",
IF(AX428="PT",VLOOKUP(K428,Foundation_Calc!$K$4:$R$37,VLOOKUP(AW428,Foundation_Calc!$I$2:$J$8,2,FALSE),0),
IF(AX428="K",VLOOKUP(K428,Foundation_Calc!$K$41:$R$74,VLOOKUP(AW428,Foundation_Calc!$I$2:$J$8,2,FALSE),0),"")))</f>
        <v/>
      </c>
      <c r="BA428" s="632" t="str">
        <f t="shared" si="26"/>
        <v/>
      </c>
      <c r="BB428" s="632" t="str">
        <f t="shared" si="27"/>
        <v/>
      </c>
      <c r="BC428" s="632" t="str">
        <f t="shared" si="28"/>
        <v/>
      </c>
      <c r="BD428" s="633" t="str">
        <f>IF(AND(L428="",H428=""),"",
IF(H428="",Pole_Calc!A456,
IF(H428="MP",Pole_Calc!A457,
IF(H428="AnMP",Pole_Calc!A458,
IF(H428="A",Pole_Calc!A459,
IF(H428="S/A",Pole_Calc!A460,
IF(H428="A/S",Pole_Calc!A461,"Poner a mano")))))))</f>
        <v/>
      </c>
      <c r="BE428" s="448" t="s">
        <v>1726</v>
      </c>
      <c r="BF428" s="634"/>
      <c r="BG428" s="634"/>
      <c r="BH428" s="634"/>
      <c r="BI428" s="634"/>
    </row>
    <row r="429" spans="1:61" ht="16.2" customHeight="1">
      <c r="A429" s="12"/>
      <c r="B429" s="446"/>
      <c r="C429" s="89"/>
      <c r="D429" s="13"/>
      <c r="E429" s="14"/>
      <c r="F429" s="14"/>
      <c r="G429" s="15"/>
      <c r="H429" s="8"/>
      <c r="I429" s="8"/>
      <c r="J429" s="89"/>
      <c r="K429" s="8"/>
      <c r="L429" s="8"/>
      <c r="M429" s="8" t="str">
        <f>IF(L429="","",
IF(AX429="PT",VLOOKUP(L429,Foundation_Calc!$V$4:$X$37,VLOOKUP(AX429,Foundation_Calc!$I$10:$J$13,2,FALSE),0),
IF(AX429="K",VLOOKUP(L429,Foundation_Calc!$V$41:$X$74,VLOOKUP(AX429,Foundation_Calc!$I$10:$J$13,2,FALSE),0),"")))</f>
        <v/>
      </c>
      <c r="N429" s="8"/>
      <c r="O429" s="8"/>
      <c r="P429" s="8"/>
      <c r="Q429" s="14"/>
      <c r="R429" s="15"/>
      <c r="S429" s="15"/>
      <c r="T429" s="14"/>
      <c r="U429" s="14"/>
      <c r="V429" s="14"/>
      <c r="W429" s="18"/>
      <c r="X429" s="18"/>
      <c r="Y429" s="18"/>
      <c r="Z429" s="18"/>
      <c r="AA429" s="18"/>
      <c r="AB429" s="18"/>
      <c r="AC429" s="8" t="str">
        <f t="shared" si="25"/>
        <v/>
      </c>
      <c r="AD429" s="8"/>
      <c r="AE429" s="8"/>
      <c r="AF429" s="14"/>
      <c r="AG429" s="13"/>
      <c r="AH429" s="14"/>
      <c r="AI429" s="14"/>
      <c r="AJ429" s="8"/>
      <c r="AK429" s="8"/>
      <c r="AL429" s="8"/>
      <c r="AM429" s="8"/>
      <c r="AN429" s="631"/>
      <c r="AO429" s="18"/>
      <c r="AP429" s="18"/>
      <c r="AQ429" s="18"/>
      <c r="AR429" s="18"/>
      <c r="AS429" s="18"/>
      <c r="AU429" s="448"/>
      <c r="AV429" s="448"/>
      <c r="AW429" s="8" t="str">
        <f>IF(C429&gt;0,VLOOKUP(C429,Foundation_Calc!$A$2:$C$986,3,1),
IF(J429&gt;0,VLOOKUP(J429,Foundation_Calc!$A$2:$C$986,3,1),""))</f>
        <v/>
      </c>
      <c r="AX429" s="8" t="str">
        <f>IF(C429&gt;0,VLOOKUP(C429,Foundation_Calc!$E$2:$G$986,3,1),
IF(J429&gt;0,VLOOKUP(J429,Foundation_Calc!$E$2:$G$986,3,1),""))</f>
        <v/>
      </c>
      <c r="AY429" s="631" t="str">
        <f>IF(L429="","",
IF(AX429="PT",VLOOKUP(L429,Foundation_Calc!$K$4:$R$37,VLOOKUP(AW429,Foundation_Calc!$I$2:$J$8,2,FALSE),0),
IF(AX429="K",VLOOKUP(L429,Foundation_Calc!$K$41:$R$74,VLOOKUP(AW429,Foundation_Calc!$I$2:$J$8,2,FALSE),0),"")))</f>
        <v/>
      </c>
      <c r="AZ429" s="631" t="str">
        <f>IF(K429="","",
IF(AX429="PT",VLOOKUP(K429,Foundation_Calc!$K$4:$R$37,VLOOKUP(AW429,Foundation_Calc!$I$2:$J$8,2,FALSE),0),
IF(AX429="K",VLOOKUP(K429,Foundation_Calc!$K$41:$R$74,VLOOKUP(AW429,Foundation_Calc!$I$2:$J$8,2,FALSE),0),"")))</f>
        <v/>
      </c>
      <c r="BA429" s="632" t="str">
        <f t="shared" si="26"/>
        <v/>
      </c>
      <c r="BB429" s="632" t="str">
        <f t="shared" si="27"/>
        <v/>
      </c>
      <c r="BC429" s="632" t="str">
        <f t="shared" si="28"/>
        <v/>
      </c>
      <c r="BD429" s="633" t="str">
        <f>IF(AND(L429="",H429=""),"",
IF(H429="",Pole_Calc!A457,
IF(H429="MP",Pole_Calc!A458,
IF(H429="AnMP",Pole_Calc!A459,
IF(H429="A",Pole_Calc!A460,
IF(H429="S/A",Pole_Calc!A461,
IF(H429="A/S",Pole_Calc!A462,"Poner a mano")))))))</f>
        <v/>
      </c>
      <c r="BE429" s="448" t="s">
        <v>1726</v>
      </c>
      <c r="BF429" s="635"/>
      <c r="BG429" s="635"/>
      <c r="BH429" s="634"/>
      <c r="BI429" s="635"/>
    </row>
    <row r="430" spans="1:61" ht="16.2" customHeight="1">
      <c r="A430" s="12"/>
      <c r="B430" s="446"/>
      <c r="C430" s="89"/>
      <c r="D430" s="13"/>
      <c r="E430" s="14"/>
      <c r="F430" s="14"/>
      <c r="G430" s="15"/>
      <c r="H430" s="8"/>
      <c r="I430" s="8"/>
      <c r="J430" s="89"/>
      <c r="K430" s="8"/>
      <c r="L430" s="8"/>
      <c r="M430" s="8" t="str">
        <f>IF(L430="","",
IF(AX430="PT",VLOOKUP(L430,Foundation_Calc!$V$4:$X$37,VLOOKUP(AX430,Foundation_Calc!$I$10:$J$13,2,FALSE),0),
IF(AX430="K",VLOOKUP(L430,Foundation_Calc!$V$41:$X$74,VLOOKUP(AX430,Foundation_Calc!$I$10:$J$13,2,FALSE),0),"")))</f>
        <v/>
      </c>
      <c r="N430" s="8"/>
      <c r="O430" s="8"/>
      <c r="P430" s="8"/>
      <c r="Q430" s="14"/>
      <c r="R430" s="15"/>
      <c r="S430" s="15"/>
      <c r="T430" s="14"/>
      <c r="U430" s="14"/>
      <c r="V430" s="14"/>
      <c r="W430" s="18"/>
      <c r="X430" s="18"/>
      <c r="Y430" s="18"/>
      <c r="Z430" s="18"/>
      <c r="AA430" s="18"/>
      <c r="AB430" s="18"/>
      <c r="AC430" s="8" t="str">
        <f t="shared" si="25"/>
        <v/>
      </c>
      <c r="AD430" s="8"/>
      <c r="AE430" s="8"/>
      <c r="AF430" s="14"/>
      <c r="AG430" s="13"/>
      <c r="AH430" s="14"/>
      <c r="AI430" s="14"/>
      <c r="AJ430" s="8"/>
      <c r="AK430" s="8"/>
      <c r="AL430" s="8"/>
      <c r="AM430" s="8"/>
      <c r="AN430" s="631"/>
      <c r="AO430" s="18"/>
      <c r="AP430" s="18"/>
      <c r="AQ430" s="18"/>
      <c r="AR430" s="18"/>
      <c r="AS430" s="18"/>
      <c r="AU430" s="448"/>
      <c r="AV430" s="448"/>
      <c r="AW430" s="8" t="str">
        <f>IF(C430&gt;0,VLOOKUP(C430,Foundation_Calc!$A$2:$C$986,3,1),
IF(J430&gt;0,VLOOKUP(J430,Foundation_Calc!$A$2:$C$986,3,1),""))</f>
        <v/>
      </c>
      <c r="AX430" s="8" t="str">
        <f>IF(C430&gt;0,VLOOKUP(C430,Foundation_Calc!$E$2:$G$986,3,1),
IF(J430&gt;0,VLOOKUP(J430,Foundation_Calc!$E$2:$G$986,3,1),""))</f>
        <v/>
      </c>
      <c r="AY430" s="631" t="str">
        <f>IF(L430="","",
IF(AX430="PT",VLOOKUP(L430,Foundation_Calc!$K$4:$R$37,VLOOKUP(AW430,Foundation_Calc!$I$2:$J$8,2,FALSE),0),
IF(AX430="K",VLOOKUP(L430,Foundation_Calc!$K$41:$R$74,VLOOKUP(AW430,Foundation_Calc!$I$2:$J$8,2,FALSE),0),"")))</f>
        <v/>
      </c>
      <c r="AZ430" s="631" t="str">
        <f>IF(K430="","",
IF(AX430="PT",VLOOKUP(K430,Foundation_Calc!$K$4:$R$37,VLOOKUP(AW430,Foundation_Calc!$I$2:$J$8,2,FALSE),0),
IF(AX430="K",VLOOKUP(K430,Foundation_Calc!$K$41:$R$74,VLOOKUP(AW430,Foundation_Calc!$I$2:$J$8,2,FALSE),0),"")))</f>
        <v/>
      </c>
      <c r="BA430" s="632" t="str">
        <f t="shared" si="26"/>
        <v/>
      </c>
      <c r="BB430" s="632" t="str">
        <f t="shared" si="27"/>
        <v/>
      </c>
      <c r="BC430" s="632" t="str">
        <f t="shared" si="28"/>
        <v/>
      </c>
      <c r="BD430" s="633" t="str">
        <f>IF(AND(L430="",H430=""),"",
IF(H430="",Pole_Calc!A458,
IF(H430="MP",Pole_Calc!A459,
IF(H430="AnMP",Pole_Calc!A460,
IF(H430="A",Pole_Calc!A461,
IF(H430="S/A",Pole_Calc!A462,
IF(H430="A/S",Pole_Calc!A463,"Poner a mano")))))))</f>
        <v/>
      </c>
      <c r="BE430" s="448" t="s">
        <v>1726</v>
      </c>
      <c r="BF430" s="634"/>
      <c r="BG430" s="634"/>
      <c r="BH430" s="634"/>
      <c r="BI430" s="634"/>
    </row>
    <row r="431" spans="1:61" ht="16.2" customHeight="1">
      <c r="A431" s="12"/>
      <c r="B431" s="446"/>
      <c r="C431" s="89"/>
      <c r="D431" s="13"/>
      <c r="E431" s="14"/>
      <c r="F431" s="14"/>
      <c r="G431" s="15"/>
      <c r="H431" s="8"/>
      <c r="I431" s="8"/>
      <c r="J431" s="89"/>
      <c r="K431" s="8"/>
      <c r="L431" s="8"/>
      <c r="M431" s="8" t="str">
        <f>IF(L431="","",
IF(AX431="PT",VLOOKUP(L431,Foundation_Calc!$V$4:$X$37,VLOOKUP(AX431,Foundation_Calc!$I$10:$J$13,2,FALSE),0),
IF(AX431="K",VLOOKUP(L431,Foundation_Calc!$V$41:$X$74,VLOOKUP(AX431,Foundation_Calc!$I$10:$J$13,2,FALSE),0),"")))</f>
        <v/>
      </c>
      <c r="N431" s="8"/>
      <c r="O431" s="8"/>
      <c r="P431" s="8"/>
      <c r="Q431" s="14"/>
      <c r="R431" s="15"/>
      <c r="S431" s="15"/>
      <c r="T431" s="14"/>
      <c r="U431" s="14"/>
      <c r="V431" s="14"/>
      <c r="W431" s="18"/>
      <c r="X431" s="18"/>
      <c r="Y431" s="18"/>
      <c r="Z431" s="18"/>
      <c r="AA431" s="18"/>
      <c r="AB431" s="18"/>
      <c r="AC431" s="8" t="str">
        <f t="shared" si="25"/>
        <v/>
      </c>
      <c r="AD431" s="8"/>
      <c r="AE431" s="8"/>
      <c r="AF431" s="14"/>
      <c r="AG431" s="13"/>
      <c r="AH431" s="14"/>
      <c r="AI431" s="14"/>
      <c r="AJ431" s="8"/>
      <c r="AK431" s="8"/>
      <c r="AL431" s="8"/>
      <c r="AM431" s="8"/>
      <c r="AN431" s="631"/>
      <c r="AO431" s="18"/>
      <c r="AP431" s="18"/>
      <c r="AQ431" s="18"/>
      <c r="AR431" s="18"/>
      <c r="AS431" s="18"/>
      <c r="AU431" s="448"/>
      <c r="AV431" s="448"/>
      <c r="AW431" s="8" t="str">
        <f>IF(C431&gt;0,VLOOKUP(C431,Foundation_Calc!$A$2:$C$986,3,1),
IF(J431&gt;0,VLOOKUP(J431,Foundation_Calc!$A$2:$C$986,3,1),""))</f>
        <v/>
      </c>
      <c r="AX431" s="8" t="str">
        <f>IF(C431&gt;0,VLOOKUP(C431,Foundation_Calc!$E$2:$G$986,3,1),
IF(J431&gt;0,VLOOKUP(J431,Foundation_Calc!$E$2:$G$986,3,1),""))</f>
        <v/>
      </c>
      <c r="AY431" s="631" t="str">
        <f>IF(L431="","",
IF(AX431="PT",VLOOKUP(L431,Foundation_Calc!$K$4:$R$37,VLOOKUP(AW431,Foundation_Calc!$I$2:$J$8,2,FALSE),0),
IF(AX431="K",VLOOKUP(L431,Foundation_Calc!$K$41:$R$74,VLOOKUP(AW431,Foundation_Calc!$I$2:$J$8,2,FALSE),0),"")))</f>
        <v/>
      </c>
      <c r="AZ431" s="631" t="str">
        <f>IF(K431="","",
IF(AX431="PT",VLOOKUP(K431,Foundation_Calc!$K$4:$R$37,VLOOKUP(AW431,Foundation_Calc!$I$2:$J$8,2,FALSE),0),
IF(AX431="K",VLOOKUP(K431,Foundation_Calc!$K$41:$R$74,VLOOKUP(AW431,Foundation_Calc!$I$2:$J$8,2,FALSE),0),"")))</f>
        <v/>
      </c>
      <c r="BA431" s="632" t="str">
        <f t="shared" si="26"/>
        <v/>
      </c>
      <c r="BB431" s="632" t="str">
        <f t="shared" si="27"/>
        <v/>
      </c>
      <c r="BC431" s="632" t="str">
        <f t="shared" si="28"/>
        <v/>
      </c>
      <c r="BD431" s="633" t="str">
        <f>IF(AND(L431="",H431=""),"",
IF(H431="",Pole_Calc!A459,
IF(H431="MP",Pole_Calc!A460,
IF(H431="AnMP",Pole_Calc!A461,
IF(H431="A",Pole_Calc!A462,
IF(H431="S/A",Pole_Calc!A463,
IF(H431="A/S",Pole_Calc!A464,"Poner a mano")))))))</f>
        <v/>
      </c>
      <c r="BE431" s="448" t="s">
        <v>1726</v>
      </c>
      <c r="BF431" s="635"/>
      <c r="BG431" s="635"/>
      <c r="BH431" s="634"/>
      <c r="BI431" s="635"/>
    </row>
    <row r="432" spans="1:61" ht="16.2" customHeight="1">
      <c r="A432" s="12"/>
      <c r="B432" s="446"/>
      <c r="C432" s="89"/>
      <c r="D432" s="13"/>
      <c r="E432" s="14"/>
      <c r="F432" s="14"/>
      <c r="G432" s="15"/>
      <c r="H432" s="8"/>
      <c r="I432" s="8"/>
      <c r="J432" s="89"/>
      <c r="K432" s="8"/>
      <c r="L432" s="8"/>
      <c r="M432" s="8" t="str">
        <f>IF(L432="","",
IF(AX432="PT",VLOOKUP(L432,Foundation_Calc!$V$4:$X$37,VLOOKUP(AX432,Foundation_Calc!$I$10:$J$13,2,FALSE),0),
IF(AX432="K",VLOOKUP(L432,Foundation_Calc!$V$41:$X$74,VLOOKUP(AX432,Foundation_Calc!$I$10:$J$13,2,FALSE),0),"")))</f>
        <v/>
      </c>
      <c r="N432" s="8"/>
      <c r="O432" s="8"/>
      <c r="P432" s="8"/>
      <c r="Q432" s="14"/>
      <c r="R432" s="15"/>
      <c r="S432" s="15"/>
      <c r="T432" s="14"/>
      <c r="U432" s="14"/>
      <c r="V432" s="14"/>
      <c r="W432" s="18"/>
      <c r="X432" s="18"/>
      <c r="Y432" s="18"/>
      <c r="Z432" s="18"/>
      <c r="AA432" s="18"/>
      <c r="AB432" s="18"/>
      <c r="AC432" s="8" t="str">
        <f t="shared" si="25"/>
        <v/>
      </c>
      <c r="AD432" s="8"/>
      <c r="AE432" s="8"/>
      <c r="AF432" s="14"/>
      <c r="AG432" s="13"/>
      <c r="AH432" s="14"/>
      <c r="AI432" s="14"/>
      <c r="AJ432" s="8"/>
      <c r="AK432" s="8"/>
      <c r="AL432" s="8"/>
      <c r="AM432" s="8"/>
      <c r="AN432" s="631"/>
      <c r="AO432" s="18"/>
      <c r="AP432" s="18"/>
      <c r="AQ432" s="18"/>
      <c r="AR432" s="18"/>
      <c r="AS432" s="18"/>
      <c r="AU432" s="448"/>
      <c r="AV432" s="448"/>
      <c r="AW432" s="8" t="str">
        <f>IF(C432&gt;0,VLOOKUP(C432,Foundation_Calc!$A$2:$C$986,3,1),
IF(J432&gt;0,VLOOKUP(J432,Foundation_Calc!$A$2:$C$986,3,1),""))</f>
        <v/>
      </c>
      <c r="AX432" s="8" t="str">
        <f>IF(C432&gt;0,VLOOKUP(C432,Foundation_Calc!$E$2:$G$986,3,1),
IF(J432&gt;0,VLOOKUP(J432,Foundation_Calc!$E$2:$G$986,3,1),""))</f>
        <v/>
      </c>
      <c r="AY432" s="631" t="str">
        <f>IF(L432="","",
IF(AX432="PT",VLOOKUP(L432,Foundation_Calc!$K$4:$R$37,VLOOKUP(AW432,Foundation_Calc!$I$2:$J$8,2,FALSE),0),
IF(AX432="K",VLOOKUP(L432,Foundation_Calc!$K$41:$R$74,VLOOKUP(AW432,Foundation_Calc!$I$2:$J$8,2,FALSE),0),"")))</f>
        <v/>
      </c>
      <c r="AZ432" s="631" t="str">
        <f>IF(K432="","",
IF(AX432="PT",VLOOKUP(K432,Foundation_Calc!$K$4:$R$37,VLOOKUP(AW432,Foundation_Calc!$I$2:$J$8,2,FALSE),0),
IF(AX432="K",VLOOKUP(K432,Foundation_Calc!$K$41:$R$74,VLOOKUP(AW432,Foundation_Calc!$I$2:$J$8,2,FALSE),0),"")))</f>
        <v/>
      </c>
      <c r="BA432" s="632" t="str">
        <f t="shared" si="26"/>
        <v/>
      </c>
      <c r="BB432" s="632" t="str">
        <f t="shared" si="27"/>
        <v/>
      </c>
      <c r="BC432" s="632" t="str">
        <f t="shared" si="28"/>
        <v/>
      </c>
      <c r="BD432" s="633" t="str">
        <f>IF(AND(L432="",H432=""),"",
IF(H432="",Pole_Calc!A460,
IF(H432="MP",Pole_Calc!A461,
IF(H432="AnMP",Pole_Calc!A462,
IF(H432="A",Pole_Calc!A463,
IF(H432="S/A",Pole_Calc!A464,
IF(H432="A/S",Pole_Calc!A465,"Poner a mano")))))))</f>
        <v/>
      </c>
      <c r="BE432" s="448" t="s">
        <v>1726</v>
      </c>
      <c r="BF432" s="634"/>
      <c r="BG432" s="634"/>
      <c r="BH432" s="634"/>
      <c r="BI432" s="634"/>
    </row>
    <row r="433" spans="1:61" ht="16.2" customHeight="1">
      <c r="A433" s="12"/>
      <c r="B433" s="446"/>
      <c r="C433" s="89"/>
      <c r="D433" s="13"/>
      <c r="E433" s="14"/>
      <c r="F433" s="14"/>
      <c r="G433" s="15"/>
      <c r="H433" s="8"/>
      <c r="I433" s="8"/>
      <c r="J433" s="89"/>
      <c r="K433" s="8"/>
      <c r="L433" s="8"/>
      <c r="M433" s="8" t="str">
        <f>IF(L433="","",
IF(AX433="PT",VLOOKUP(L433,Foundation_Calc!$V$4:$X$37,VLOOKUP(AX433,Foundation_Calc!$I$10:$J$13,2,FALSE),0),
IF(AX433="K",VLOOKUP(L433,Foundation_Calc!$V$41:$X$74,VLOOKUP(AX433,Foundation_Calc!$I$10:$J$13,2,FALSE),0),"")))</f>
        <v/>
      </c>
      <c r="N433" s="8"/>
      <c r="O433" s="8"/>
      <c r="P433" s="8"/>
      <c r="Q433" s="14"/>
      <c r="R433" s="15"/>
      <c r="S433" s="15"/>
      <c r="T433" s="14"/>
      <c r="U433" s="14"/>
      <c r="V433" s="14"/>
      <c r="W433" s="18"/>
      <c r="X433" s="18"/>
      <c r="Y433" s="18"/>
      <c r="Z433" s="18"/>
      <c r="AA433" s="18"/>
      <c r="AB433" s="18"/>
      <c r="AC433" s="8" t="str">
        <f t="shared" si="25"/>
        <v/>
      </c>
      <c r="AD433" s="8"/>
      <c r="AE433" s="8"/>
      <c r="AF433" s="14"/>
      <c r="AG433" s="13"/>
      <c r="AH433" s="14"/>
      <c r="AI433" s="14"/>
      <c r="AJ433" s="8"/>
      <c r="AK433" s="8"/>
      <c r="AL433" s="8"/>
      <c r="AM433" s="8"/>
      <c r="AN433" s="631"/>
      <c r="AO433" s="18"/>
      <c r="AP433" s="18"/>
      <c r="AQ433" s="18"/>
      <c r="AR433" s="18"/>
      <c r="AS433" s="18"/>
      <c r="AU433" s="448"/>
      <c r="AV433" s="448"/>
      <c r="AW433" s="8" t="str">
        <f>IF(C433&gt;0,VLOOKUP(C433,Foundation_Calc!$A$2:$C$986,3,1),
IF(J433&gt;0,VLOOKUP(J433,Foundation_Calc!$A$2:$C$986,3,1),""))</f>
        <v/>
      </c>
      <c r="AX433" s="8" t="str">
        <f>IF(C433&gt;0,VLOOKUP(C433,Foundation_Calc!$E$2:$G$986,3,1),
IF(J433&gt;0,VLOOKUP(J433,Foundation_Calc!$E$2:$G$986,3,1),""))</f>
        <v/>
      </c>
      <c r="AY433" s="631" t="str">
        <f>IF(L433="","",
IF(AX433="PT",VLOOKUP(L433,Foundation_Calc!$K$4:$R$37,VLOOKUP(AW433,Foundation_Calc!$I$2:$J$8,2,FALSE),0),
IF(AX433="K",VLOOKUP(L433,Foundation_Calc!$K$41:$R$74,VLOOKUP(AW433,Foundation_Calc!$I$2:$J$8,2,FALSE),0),"")))</f>
        <v/>
      </c>
      <c r="AZ433" s="631" t="str">
        <f>IF(K433="","",
IF(AX433="PT",VLOOKUP(K433,Foundation_Calc!$K$4:$R$37,VLOOKUP(AW433,Foundation_Calc!$I$2:$J$8,2,FALSE),0),
IF(AX433="K",VLOOKUP(K433,Foundation_Calc!$K$41:$R$74,VLOOKUP(AW433,Foundation_Calc!$I$2:$J$8,2,FALSE),0),"")))</f>
        <v/>
      </c>
      <c r="BA433" s="632" t="str">
        <f t="shared" si="26"/>
        <v/>
      </c>
      <c r="BB433" s="632" t="str">
        <f t="shared" si="27"/>
        <v/>
      </c>
      <c r="BC433" s="632" t="str">
        <f t="shared" si="28"/>
        <v/>
      </c>
      <c r="BD433" s="633" t="str">
        <f>IF(AND(L433="",H433=""),"",
IF(H433="",Pole_Calc!A461,
IF(H433="MP",Pole_Calc!A462,
IF(H433="AnMP",Pole_Calc!A463,
IF(H433="A",Pole_Calc!A464,
IF(H433="S/A",Pole_Calc!A465,
IF(H433="A/S",Pole_Calc!A466,"Poner a mano")))))))</f>
        <v/>
      </c>
      <c r="BE433" s="448" t="s">
        <v>1726</v>
      </c>
      <c r="BF433" s="635"/>
      <c r="BG433" s="635"/>
      <c r="BH433" s="634"/>
      <c r="BI433" s="635"/>
    </row>
    <row r="434" spans="1:61" ht="16.2" customHeight="1">
      <c r="A434" s="12"/>
      <c r="B434" s="446"/>
      <c r="C434" s="89"/>
      <c r="D434" s="13"/>
      <c r="E434" s="14"/>
      <c r="F434" s="14"/>
      <c r="G434" s="15"/>
      <c r="H434" s="8"/>
      <c r="I434" s="8"/>
      <c r="J434" s="89"/>
      <c r="K434" s="8"/>
      <c r="L434" s="8"/>
      <c r="M434" s="8" t="str">
        <f>IF(L434="","",
IF(AX434="PT",VLOOKUP(L434,Foundation_Calc!$V$4:$X$37,VLOOKUP(AX434,Foundation_Calc!$I$10:$J$13,2,FALSE),0),
IF(AX434="K",VLOOKUP(L434,Foundation_Calc!$V$41:$X$74,VLOOKUP(AX434,Foundation_Calc!$I$10:$J$13,2,FALSE),0),"")))</f>
        <v/>
      </c>
      <c r="N434" s="8"/>
      <c r="O434" s="8"/>
      <c r="P434" s="8"/>
      <c r="Q434" s="14"/>
      <c r="R434" s="15"/>
      <c r="S434" s="15"/>
      <c r="T434" s="14"/>
      <c r="U434" s="14"/>
      <c r="V434" s="14"/>
      <c r="W434" s="18"/>
      <c r="X434" s="18"/>
      <c r="Y434" s="18"/>
      <c r="Z434" s="18"/>
      <c r="AA434" s="18"/>
      <c r="AB434" s="18"/>
      <c r="AC434" s="8" t="str">
        <f t="shared" si="25"/>
        <v/>
      </c>
      <c r="AD434" s="8"/>
      <c r="AE434" s="8"/>
      <c r="AF434" s="14"/>
      <c r="AG434" s="13"/>
      <c r="AH434" s="14"/>
      <c r="AI434" s="14"/>
      <c r="AJ434" s="8"/>
      <c r="AK434" s="8"/>
      <c r="AL434" s="8"/>
      <c r="AM434" s="8"/>
      <c r="AN434" s="631"/>
      <c r="AO434" s="18"/>
      <c r="AP434" s="18"/>
      <c r="AQ434" s="18"/>
      <c r="AR434" s="18"/>
      <c r="AS434" s="18"/>
      <c r="AU434" s="448"/>
      <c r="AV434" s="448"/>
      <c r="AW434" s="8" t="str">
        <f>IF(C434&gt;0,VLOOKUP(C434,Foundation_Calc!$A$2:$C$986,3,1),
IF(J434&gt;0,VLOOKUP(J434,Foundation_Calc!$A$2:$C$986,3,1),""))</f>
        <v/>
      </c>
      <c r="AX434" s="8" t="str">
        <f>IF(C434&gt;0,VLOOKUP(C434,Foundation_Calc!$E$2:$G$986,3,1),
IF(J434&gt;0,VLOOKUP(J434,Foundation_Calc!$E$2:$G$986,3,1),""))</f>
        <v/>
      </c>
      <c r="AY434" s="631" t="str">
        <f>IF(L434="","",
IF(AX434="PT",VLOOKUP(L434,Foundation_Calc!$K$4:$R$37,VLOOKUP(AW434,Foundation_Calc!$I$2:$J$8,2,FALSE),0),
IF(AX434="K",VLOOKUP(L434,Foundation_Calc!$K$41:$R$74,VLOOKUP(AW434,Foundation_Calc!$I$2:$J$8,2,FALSE),0),"")))</f>
        <v/>
      </c>
      <c r="AZ434" s="631" t="str">
        <f>IF(K434="","",
IF(AX434="PT",VLOOKUP(K434,Foundation_Calc!$K$4:$R$37,VLOOKUP(AW434,Foundation_Calc!$I$2:$J$8,2,FALSE),0),
IF(AX434="K",VLOOKUP(K434,Foundation_Calc!$K$41:$R$74,VLOOKUP(AW434,Foundation_Calc!$I$2:$J$8,2,FALSE),0),"")))</f>
        <v/>
      </c>
      <c r="BA434" s="632" t="str">
        <f t="shared" si="26"/>
        <v/>
      </c>
      <c r="BB434" s="632" t="str">
        <f t="shared" si="27"/>
        <v/>
      </c>
      <c r="BC434" s="632" t="str">
        <f t="shared" si="28"/>
        <v/>
      </c>
      <c r="BD434" s="633" t="str">
        <f>IF(AND(L434="",H434=""),"",
IF(H434="",Pole_Calc!A462,
IF(H434="MP",Pole_Calc!A463,
IF(H434="AnMP",Pole_Calc!A464,
IF(H434="A",Pole_Calc!A465,
IF(H434="S/A",Pole_Calc!A466,
IF(H434="A/S",Pole_Calc!A467,"Poner a mano")))))))</f>
        <v/>
      </c>
      <c r="BE434" s="448" t="s">
        <v>1726</v>
      </c>
      <c r="BF434" s="634"/>
      <c r="BG434" s="634"/>
      <c r="BH434" s="634"/>
      <c r="BI434" s="634"/>
    </row>
    <row r="435" spans="1:61" ht="16.2" customHeight="1">
      <c r="A435" s="12"/>
      <c r="B435" s="446"/>
      <c r="C435" s="89"/>
      <c r="D435" s="13"/>
      <c r="E435" s="14"/>
      <c r="F435" s="14"/>
      <c r="G435" s="15"/>
      <c r="H435" s="8"/>
      <c r="I435" s="8"/>
      <c r="J435" s="89"/>
      <c r="K435" s="8"/>
      <c r="L435" s="8"/>
      <c r="M435" s="8" t="str">
        <f>IF(L435="","",
IF(AX435="PT",VLOOKUP(L435,Foundation_Calc!$V$4:$X$37,VLOOKUP(AX435,Foundation_Calc!$I$10:$J$13,2,FALSE),0),
IF(AX435="K",VLOOKUP(L435,Foundation_Calc!$V$41:$X$74,VLOOKUP(AX435,Foundation_Calc!$I$10:$J$13,2,FALSE),0),"")))</f>
        <v/>
      </c>
      <c r="N435" s="8"/>
      <c r="O435" s="8"/>
      <c r="P435" s="8"/>
      <c r="Q435" s="14"/>
      <c r="R435" s="15"/>
      <c r="S435" s="15"/>
      <c r="T435" s="14"/>
      <c r="U435" s="14"/>
      <c r="V435" s="14"/>
      <c r="W435" s="18"/>
      <c r="X435" s="18"/>
      <c r="Y435" s="18"/>
      <c r="Z435" s="18"/>
      <c r="AA435" s="18"/>
      <c r="AB435" s="18"/>
      <c r="AC435" s="8" t="str">
        <f t="shared" si="25"/>
        <v/>
      </c>
      <c r="AD435" s="8"/>
      <c r="AE435" s="8"/>
      <c r="AF435" s="14"/>
      <c r="AG435" s="13"/>
      <c r="AH435" s="14"/>
      <c r="AI435" s="14"/>
      <c r="AJ435" s="8"/>
      <c r="AK435" s="8"/>
      <c r="AL435" s="8"/>
      <c r="AM435" s="8"/>
      <c r="AN435" s="631"/>
      <c r="AO435" s="18"/>
      <c r="AP435" s="18"/>
      <c r="AQ435" s="18"/>
      <c r="AR435" s="18"/>
      <c r="AS435" s="18"/>
      <c r="AU435" s="448"/>
      <c r="AV435" s="448"/>
      <c r="AW435" s="8" t="str">
        <f>IF(C435&gt;0,VLOOKUP(C435,Foundation_Calc!$A$2:$C$986,3,1),
IF(J435&gt;0,VLOOKUP(J435,Foundation_Calc!$A$2:$C$986,3,1),""))</f>
        <v/>
      </c>
      <c r="AX435" s="8" t="str">
        <f>IF(C435&gt;0,VLOOKUP(C435,Foundation_Calc!$E$2:$G$986,3,1),
IF(J435&gt;0,VLOOKUP(J435,Foundation_Calc!$E$2:$G$986,3,1),""))</f>
        <v/>
      </c>
      <c r="AY435" s="631" t="str">
        <f>IF(L435="","",
IF(AX435="PT",VLOOKUP(L435,Foundation_Calc!$K$4:$R$37,VLOOKUP(AW435,Foundation_Calc!$I$2:$J$8,2,FALSE),0),
IF(AX435="K",VLOOKUP(L435,Foundation_Calc!$K$41:$R$74,VLOOKUP(AW435,Foundation_Calc!$I$2:$J$8,2,FALSE),0),"")))</f>
        <v/>
      </c>
      <c r="AZ435" s="631" t="str">
        <f>IF(K435="","",
IF(AX435="PT",VLOOKUP(K435,Foundation_Calc!$K$4:$R$37,VLOOKUP(AW435,Foundation_Calc!$I$2:$J$8,2,FALSE),0),
IF(AX435="K",VLOOKUP(K435,Foundation_Calc!$K$41:$R$74,VLOOKUP(AW435,Foundation_Calc!$I$2:$J$8,2,FALSE),0),"")))</f>
        <v/>
      </c>
      <c r="BA435" s="632" t="str">
        <f t="shared" si="26"/>
        <v/>
      </c>
      <c r="BB435" s="632" t="str">
        <f t="shared" si="27"/>
        <v/>
      </c>
      <c r="BC435" s="632" t="str">
        <f t="shared" si="28"/>
        <v/>
      </c>
      <c r="BD435" s="633" t="str">
        <f>IF(AND(L435="",H435=""),"",
IF(H435="",Pole_Calc!A463,
IF(H435="MP",Pole_Calc!A464,
IF(H435="AnMP",Pole_Calc!A465,
IF(H435="A",Pole_Calc!A466,
IF(H435="S/A",Pole_Calc!A467,
IF(H435="A/S",Pole_Calc!A468,"Poner a mano")))))))</f>
        <v/>
      </c>
      <c r="BE435" s="448" t="s">
        <v>1726</v>
      </c>
      <c r="BF435" s="635"/>
      <c r="BG435" s="635"/>
      <c r="BH435" s="634"/>
      <c r="BI435" s="635"/>
    </row>
    <row r="436" spans="1:61" ht="16.2" customHeight="1">
      <c r="A436" s="12"/>
      <c r="B436" s="446"/>
      <c r="C436" s="89"/>
      <c r="D436" s="13"/>
      <c r="E436" s="14"/>
      <c r="F436" s="14"/>
      <c r="G436" s="15"/>
      <c r="H436" s="8"/>
      <c r="I436" s="8"/>
      <c r="J436" s="89"/>
      <c r="K436" s="8"/>
      <c r="L436" s="8"/>
      <c r="M436" s="8" t="str">
        <f>IF(L436="","",
IF(AX436="PT",VLOOKUP(L436,Foundation_Calc!$V$4:$X$37,VLOOKUP(AX436,Foundation_Calc!$I$10:$J$13,2,FALSE),0),
IF(AX436="K",VLOOKUP(L436,Foundation_Calc!$V$41:$X$74,VLOOKUP(AX436,Foundation_Calc!$I$10:$J$13,2,FALSE),0),"")))</f>
        <v/>
      </c>
      <c r="N436" s="8"/>
      <c r="O436" s="8"/>
      <c r="P436" s="8"/>
      <c r="Q436" s="14"/>
      <c r="R436" s="15"/>
      <c r="S436" s="15"/>
      <c r="T436" s="14"/>
      <c r="U436" s="14"/>
      <c r="V436" s="14"/>
      <c r="W436" s="18"/>
      <c r="X436" s="18"/>
      <c r="Y436" s="18"/>
      <c r="Z436" s="18"/>
      <c r="AA436" s="18"/>
      <c r="AB436" s="18"/>
      <c r="AC436" s="8" t="str">
        <f t="shared" si="25"/>
        <v/>
      </c>
      <c r="AD436" s="8"/>
      <c r="AE436" s="8"/>
      <c r="AF436" s="14"/>
      <c r="AG436" s="13"/>
      <c r="AH436" s="14"/>
      <c r="AI436" s="14"/>
      <c r="AJ436" s="8"/>
      <c r="AK436" s="8"/>
      <c r="AL436" s="8"/>
      <c r="AM436" s="8"/>
      <c r="AN436" s="631"/>
      <c r="AO436" s="18"/>
      <c r="AP436" s="18"/>
      <c r="AQ436" s="18"/>
      <c r="AR436" s="18"/>
      <c r="AS436" s="18"/>
      <c r="AU436" s="448"/>
      <c r="AV436" s="448"/>
      <c r="AW436" s="8" t="str">
        <f>IF(C436&gt;0,VLOOKUP(C436,Foundation_Calc!$A$2:$C$986,3,1),
IF(J436&gt;0,VLOOKUP(J436,Foundation_Calc!$A$2:$C$986,3,1),""))</f>
        <v/>
      </c>
      <c r="AX436" s="8" t="str">
        <f>IF(C436&gt;0,VLOOKUP(C436,Foundation_Calc!$E$2:$G$986,3,1),
IF(J436&gt;0,VLOOKUP(J436,Foundation_Calc!$E$2:$G$986,3,1),""))</f>
        <v/>
      </c>
      <c r="AY436" s="631" t="str">
        <f>IF(L436="","",
IF(AX436="PT",VLOOKUP(L436,Foundation_Calc!$K$4:$R$37,VLOOKUP(AW436,Foundation_Calc!$I$2:$J$8,2,FALSE),0),
IF(AX436="K",VLOOKUP(L436,Foundation_Calc!$K$41:$R$74,VLOOKUP(AW436,Foundation_Calc!$I$2:$J$8,2,FALSE),0),"")))</f>
        <v/>
      </c>
      <c r="AZ436" s="631" t="str">
        <f>IF(K436="","",
IF(AX436="PT",VLOOKUP(K436,Foundation_Calc!$K$4:$R$37,VLOOKUP(AW436,Foundation_Calc!$I$2:$J$8,2,FALSE),0),
IF(AX436="K",VLOOKUP(K436,Foundation_Calc!$K$41:$R$74,VLOOKUP(AW436,Foundation_Calc!$I$2:$J$8,2,FALSE),0),"")))</f>
        <v/>
      </c>
      <c r="BA436" s="632" t="str">
        <f t="shared" si="26"/>
        <v/>
      </c>
      <c r="BB436" s="632" t="str">
        <f t="shared" si="27"/>
        <v/>
      </c>
      <c r="BC436" s="632" t="str">
        <f t="shared" si="28"/>
        <v/>
      </c>
      <c r="BD436" s="633" t="str">
        <f>IF(AND(L436="",H436=""),"",
IF(H436="",Pole_Calc!A464,
IF(H436="MP",Pole_Calc!A465,
IF(H436="AnMP",Pole_Calc!A466,
IF(H436="A",Pole_Calc!A467,
IF(H436="S/A",Pole_Calc!A468,
IF(H436="A/S",Pole_Calc!A469,"Poner a mano")))))))</f>
        <v/>
      </c>
      <c r="BE436" s="448" t="s">
        <v>1726</v>
      </c>
      <c r="BF436" s="634"/>
      <c r="BG436" s="634"/>
      <c r="BH436" s="634"/>
      <c r="BI436" s="634"/>
    </row>
    <row r="437" spans="1:61" ht="16.2" customHeight="1">
      <c r="A437" s="12"/>
      <c r="B437" s="446"/>
      <c r="C437" s="89"/>
      <c r="D437" s="13"/>
      <c r="E437" s="14"/>
      <c r="F437" s="14"/>
      <c r="G437" s="15"/>
      <c r="H437" s="8"/>
      <c r="I437" s="8"/>
      <c r="J437" s="89"/>
      <c r="K437" s="8"/>
      <c r="L437" s="8"/>
      <c r="M437" s="8" t="str">
        <f>IF(L437="","",
IF(AX437="PT",VLOOKUP(L437,Foundation_Calc!$V$4:$X$37,VLOOKUP(AX437,Foundation_Calc!$I$10:$J$13,2,FALSE),0),
IF(AX437="K",VLOOKUP(L437,Foundation_Calc!$V$41:$X$74,VLOOKUP(AX437,Foundation_Calc!$I$10:$J$13,2,FALSE),0),"")))</f>
        <v/>
      </c>
      <c r="N437" s="8"/>
      <c r="O437" s="8"/>
      <c r="P437" s="8"/>
      <c r="Q437" s="14"/>
      <c r="R437" s="15"/>
      <c r="S437" s="15"/>
      <c r="T437" s="14"/>
      <c r="U437" s="14"/>
      <c r="V437" s="14"/>
      <c r="W437" s="18"/>
      <c r="X437" s="18"/>
      <c r="Y437" s="18"/>
      <c r="Z437" s="18"/>
      <c r="AA437" s="18"/>
      <c r="AB437" s="18"/>
      <c r="AC437" s="8" t="str">
        <f t="shared" si="25"/>
        <v/>
      </c>
      <c r="AD437" s="8"/>
      <c r="AE437" s="8"/>
      <c r="AF437" s="14"/>
      <c r="AG437" s="13"/>
      <c r="AH437" s="14"/>
      <c r="AI437" s="14"/>
      <c r="AJ437" s="8"/>
      <c r="AK437" s="8"/>
      <c r="AL437" s="8"/>
      <c r="AM437" s="8"/>
      <c r="AN437" s="631"/>
      <c r="AO437" s="18"/>
      <c r="AP437" s="18"/>
      <c r="AQ437" s="18"/>
      <c r="AR437" s="18"/>
      <c r="AS437" s="18"/>
      <c r="AU437" s="448"/>
      <c r="AV437" s="448"/>
      <c r="AW437" s="8" t="str">
        <f>IF(C437&gt;0,VLOOKUP(C437,Foundation_Calc!$A$2:$C$986,3,1),
IF(J437&gt;0,VLOOKUP(J437,Foundation_Calc!$A$2:$C$986,3,1),""))</f>
        <v/>
      </c>
      <c r="AX437" s="8" t="str">
        <f>IF(C437&gt;0,VLOOKUP(C437,Foundation_Calc!$E$2:$G$986,3,1),
IF(J437&gt;0,VLOOKUP(J437,Foundation_Calc!$E$2:$G$986,3,1),""))</f>
        <v/>
      </c>
      <c r="AY437" s="631" t="str">
        <f>IF(L437="","",
IF(AX437="PT",VLOOKUP(L437,Foundation_Calc!$K$4:$R$37,VLOOKUP(AW437,Foundation_Calc!$I$2:$J$8,2,FALSE),0),
IF(AX437="K",VLOOKUP(L437,Foundation_Calc!$K$41:$R$74,VLOOKUP(AW437,Foundation_Calc!$I$2:$J$8,2,FALSE),0),"")))</f>
        <v/>
      </c>
      <c r="AZ437" s="631" t="str">
        <f>IF(K437="","",
IF(AX437="PT",VLOOKUP(K437,Foundation_Calc!$K$4:$R$37,VLOOKUP(AW437,Foundation_Calc!$I$2:$J$8,2,FALSE),0),
IF(AX437="K",VLOOKUP(K437,Foundation_Calc!$K$41:$R$74,VLOOKUP(AW437,Foundation_Calc!$I$2:$J$8,2,FALSE),0),"")))</f>
        <v/>
      </c>
      <c r="BA437" s="632" t="str">
        <f t="shared" si="26"/>
        <v/>
      </c>
      <c r="BB437" s="632" t="str">
        <f t="shared" si="27"/>
        <v/>
      </c>
      <c r="BC437" s="632" t="str">
        <f t="shared" si="28"/>
        <v/>
      </c>
      <c r="BD437" s="633" t="str">
        <f>IF(AND(L437="",H437=""),"",
IF(H437="",Pole_Calc!A465,
IF(H437="MP",Pole_Calc!A466,
IF(H437="AnMP",Pole_Calc!A467,
IF(H437="A",Pole_Calc!A468,
IF(H437="S/A",Pole_Calc!A469,
IF(H437="A/S",Pole_Calc!A470,"Poner a mano")))))))</f>
        <v/>
      </c>
      <c r="BE437" s="448" t="s">
        <v>1726</v>
      </c>
      <c r="BF437" s="635"/>
      <c r="BG437" s="635"/>
      <c r="BH437" s="634"/>
      <c r="BI437" s="635"/>
    </row>
    <row r="438" spans="1:61" ht="16.2" customHeight="1">
      <c r="A438" s="12"/>
      <c r="B438" s="446"/>
      <c r="C438" s="89"/>
      <c r="D438" s="13"/>
      <c r="E438" s="14"/>
      <c r="F438" s="14"/>
      <c r="G438" s="15"/>
      <c r="H438" s="8"/>
      <c r="I438" s="8"/>
      <c r="J438" s="89"/>
      <c r="K438" s="8"/>
      <c r="L438" s="8"/>
      <c r="M438" s="8" t="str">
        <f>IF(L438="","",
IF(AX438="PT",VLOOKUP(L438,Foundation_Calc!$V$4:$X$37,VLOOKUP(AX438,Foundation_Calc!$I$10:$J$13,2,FALSE),0),
IF(AX438="K",VLOOKUP(L438,Foundation_Calc!$V$41:$X$74,VLOOKUP(AX438,Foundation_Calc!$I$10:$J$13,2,FALSE),0),"")))</f>
        <v/>
      </c>
      <c r="N438" s="8"/>
      <c r="O438" s="8"/>
      <c r="P438" s="8"/>
      <c r="Q438" s="14"/>
      <c r="R438" s="15"/>
      <c r="S438" s="15"/>
      <c r="T438" s="14"/>
      <c r="U438" s="14"/>
      <c r="V438" s="14"/>
      <c r="W438" s="18"/>
      <c r="X438" s="18"/>
      <c r="Y438" s="18"/>
      <c r="Z438" s="18"/>
      <c r="AA438" s="18"/>
      <c r="AB438" s="18"/>
      <c r="AC438" s="8" t="str">
        <f t="shared" si="25"/>
        <v/>
      </c>
      <c r="AD438" s="8"/>
      <c r="AE438" s="8"/>
      <c r="AF438" s="14"/>
      <c r="AG438" s="13"/>
      <c r="AH438" s="14"/>
      <c r="AI438" s="14"/>
      <c r="AJ438" s="8"/>
      <c r="AK438" s="8"/>
      <c r="AL438" s="8"/>
      <c r="AM438" s="8"/>
      <c r="AN438" s="631"/>
      <c r="AO438" s="18"/>
      <c r="AP438" s="18"/>
      <c r="AQ438" s="18"/>
      <c r="AR438" s="18"/>
      <c r="AS438" s="18"/>
      <c r="AU438" s="448"/>
      <c r="AV438" s="448"/>
      <c r="AW438" s="8" t="str">
        <f>IF(C438&gt;0,VLOOKUP(C438,Foundation_Calc!$A$2:$C$986,3,1),
IF(J438&gt;0,VLOOKUP(J438,Foundation_Calc!$A$2:$C$986,3,1),""))</f>
        <v/>
      </c>
      <c r="AX438" s="8" t="str">
        <f>IF(C438&gt;0,VLOOKUP(C438,Foundation_Calc!$E$2:$G$986,3,1),
IF(J438&gt;0,VLOOKUP(J438,Foundation_Calc!$E$2:$G$986,3,1),""))</f>
        <v/>
      </c>
      <c r="AY438" s="631" t="str">
        <f>IF(L438="","",
IF(AX438="PT",VLOOKUP(L438,Foundation_Calc!$K$4:$R$37,VLOOKUP(AW438,Foundation_Calc!$I$2:$J$8,2,FALSE),0),
IF(AX438="K",VLOOKUP(L438,Foundation_Calc!$K$41:$R$74,VLOOKUP(AW438,Foundation_Calc!$I$2:$J$8,2,FALSE),0),"")))</f>
        <v/>
      </c>
      <c r="AZ438" s="631" t="str">
        <f>IF(K438="","",
IF(AX438="PT",VLOOKUP(K438,Foundation_Calc!$K$4:$R$37,VLOOKUP(AW438,Foundation_Calc!$I$2:$J$8,2,FALSE),0),
IF(AX438="K",VLOOKUP(K438,Foundation_Calc!$K$41:$R$74,VLOOKUP(AW438,Foundation_Calc!$I$2:$J$8,2,FALSE),0),"")))</f>
        <v/>
      </c>
      <c r="BA438" s="632" t="str">
        <f t="shared" si="26"/>
        <v/>
      </c>
      <c r="BB438" s="632" t="str">
        <f t="shared" si="27"/>
        <v/>
      </c>
      <c r="BC438" s="632" t="str">
        <f t="shared" si="28"/>
        <v/>
      </c>
      <c r="BD438" s="633" t="str">
        <f>IF(AND(L438="",H438=""),"",
IF(H438="",Pole_Calc!A466,
IF(H438="MP",Pole_Calc!A467,
IF(H438="AnMP",Pole_Calc!A468,
IF(H438="A",Pole_Calc!A469,
IF(H438="S/A",Pole_Calc!A470,
IF(H438="A/S",Pole_Calc!A471,"Poner a mano")))))))</f>
        <v/>
      </c>
      <c r="BE438" s="448" t="s">
        <v>1726</v>
      </c>
      <c r="BF438" s="634"/>
      <c r="BG438" s="634"/>
      <c r="BH438" s="634"/>
      <c r="BI438" s="634"/>
    </row>
    <row r="439" spans="1:61" ht="16.2" customHeight="1">
      <c r="A439" s="12"/>
      <c r="B439" s="446"/>
      <c r="C439" s="89"/>
      <c r="D439" s="13"/>
      <c r="E439" s="14"/>
      <c r="F439" s="14"/>
      <c r="G439" s="15"/>
      <c r="H439" s="8"/>
      <c r="I439" s="8"/>
      <c r="J439" s="89"/>
      <c r="K439" s="8"/>
      <c r="L439" s="8"/>
      <c r="M439" s="8" t="str">
        <f>IF(L439="","",
IF(AX439="PT",VLOOKUP(L439,Foundation_Calc!$V$4:$X$37,VLOOKUP(AX439,Foundation_Calc!$I$10:$J$13,2,FALSE),0),
IF(AX439="K",VLOOKUP(L439,Foundation_Calc!$V$41:$X$74,VLOOKUP(AX439,Foundation_Calc!$I$10:$J$13,2,FALSE),0),"")))</f>
        <v/>
      </c>
      <c r="N439" s="8"/>
      <c r="O439" s="8"/>
      <c r="P439" s="8"/>
      <c r="Q439" s="14"/>
      <c r="R439" s="15"/>
      <c r="S439" s="15"/>
      <c r="T439" s="14"/>
      <c r="U439" s="14"/>
      <c r="V439" s="14"/>
      <c r="W439" s="18"/>
      <c r="X439" s="18"/>
      <c r="Y439" s="18"/>
      <c r="Z439" s="18"/>
      <c r="AA439" s="18"/>
      <c r="AB439" s="18"/>
      <c r="AC439" s="8" t="str">
        <f t="shared" si="25"/>
        <v/>
      </c>
      <c r="AD439" s="8"/>
      <c r="AE439" s="8"/>
      <c r="AF439" s="14"/>
      <c r="AG439" s="13"/>
      <c r="AH439" s="14"/>
      <c r="AI439" s="14"/>
      <c r="AJ439" s="8"/>
      <c r="AK439" s="8"/>
      <c r="AL439" s="8"/>
      <c r="AM439" s="8"/>
      <c r="AN439" s="631"/>
      <c r="AO439" s="18"/>
      <c r="AP439" s="18"/>
      <c r="AQ439" s="18"/>
      <c r="AR439" s="18"/>
      <c r="AS439" s="18"/>
      <c r="AU439" s="448"/>
      <c r="AV439" s="448"/>
      <c r="AW439" s="8" t="str">
        <f>IF(C439&gt;0,VLOOKUP(C439,Foundation_Calc!$A$2:$C$986,3,1),
IF(J439&gt;0,VLOOKUP(J439,Foundation_Calc!$A$2:$C$986,3,1),""))</f>
        <v/>
      </c>
      <c r="AX439" s="8" t="str">
        <f>IF(C439&gt;0,VLOOKUP(C439,Foundation_Calc!$E$2:$G$986,3,1),
IF(J439&gt;0,VLOOKUP(J439,Foundation_Calc!$E$2:$G$986,3,1),""))</f>
        <v/>
      </c>
      <c r="AY439" s="631" t="str">
        <f>IF(L439="","",
IF(AX439="PT",VLOOKUP(L439,Foundation_Calc!$K$4:$R$37,VLOOKUP(AW439,Foundation_Calc!$I$2:$J$8,2,FALSE),0),
IF(AX439="K",VLOOKUP(L439,Foundation_Calc!$K$41:$R$74,VLOOKUP(AW439,Foundation_Calc!$I$2:$J$8,2,FALSE),0),"")))</f>
        <v/>
      </c>
      <c r="AZ439" s="631" t="str">
        <f>IF(K439="","",
IF(AX439="PT",VLOOKUP(K439,Foundation_Calc!$K$4:$R$37,VLOOKUP(AW439,Foundation_Calc!$I$2:$J$8,2,FALSE),0),
IF(AX439="K",VLOOKUP(K439,Foundation_Calc!$K$41:$R$74,VLOOKUP(AW439,Foundation_Calc!$I$2:$J$8,2,FALSE),0),"")))</f>
        <v/>
      </c>
      <c r="BA439" s="632" t="str">
        <f t="shared" si="26"/>
        <v/>
      </c>
      <c r="BB439" s="632" t="str">
        <f t="shared" si="27"/>
        <v/>
      </c>
      <c r="BC439" s="632" t="str">
        <f t="shared" si="28"/>
        <v/>
      </c>
      <c r="BD439" s="633" t="str">
        <f>IF(AND(L439="",H439=""),"",
IF(H439="",Pole_Calc!A467,
IF(H439="MP",Pole_Calc!A468,
IF(H439="AnMP",Pole_Calc!A469,
IF(H439="A",Pole_Calc!A470,
IF(H439="S/A",Pole_Calc!A471,
IF(H439="A/S",Pole_Calc!A472,"Poner a mano")))))))</f>
        <v/>
      </c>
      <c r="BE439" s="448" t="s">
        <v>1726</v>
      </c>
      <c r="BF439" s="635"/>
      <c r="BG439" s="635"/>
      <c r="BH439" s="634"/>
      <c r="BI439" s="635"/>
    </row>
    <row r="440" spans="1:61" ht="16.2" customHeight="1">
      <c r="A440" s="12"/>
      <c r="B440" s="446"/>
      <c r="C440" s="89"/>
      <c r="D440" s="13"/>
      <c r="E440" s="14"/>
      <c r="F440" s="14"/>
      <c r="G440" s="15"/>
      <c r="H440" s="8"/>
      <c r="I440" s="8"/>
      <c r="J440" s="89"/>
      <c r="K440" s="8"/>
      <c r="L440" s="8"/>
      <c r="M440" s="8" t="str">
        <f>IF(L440="","",
IF(AX440="PT",VLOOKUP(L440,Foundation_Calc!$V$4:$X$37,VLOOKUP(AX440,Foundation_Calc!$I$10:$J$13,2,FALSE),0),
IF(AX440="K",VLOOKUP(L440,Foundation_Calc!$V$41:$X$74,VLOOKUP(AX440,Foundation_Calc!$I$10:$J$13,2,FALSE),0),"")))</f>
        <v/>
      </c>
      <c r="N440" s="8"/>
      <c r="O440" s="8"/>
      <c r="P440" s="8"/>
      <c r="Q440" s="14"/>
      <c r="R440" s="15"/>
      <c r="S440" s="15"/>
      <c r="T440" s="14"/>
      <c r="U440" s="14"/>
      <c r="V440" s="14"/>
      <c r="W440" s="18"/>
      <c r="X440" s="18"/>
      <c r="Y440" s="18"/>
      <c r="Z440" s="18"/>
      <c r="AA440" s="18"/>
      <c r="AB440" s="18"/>
      <c r="AC440" s="8" t="str">
        <f t="shared" si="25"/>
        <v/>
      </c>
      <c r="AD440" s="8"/>
      <c r="AE440" s="8"/>
      <c r="AF440" s="14"/>
      <c r="AG440" s="13"/>
      <c r="AH440" s="14"/>
      <c r="AI440" s="14"/>
      <c r="AJ440" s="8"/>
      <c r="AK440" s="8"/>
      <c r="AL440" s="8"/>
      <c r="AM440" s="8"/>
      <c r="AN440" s="631"/>
      <c r="AO440" s="18"/>
      <c r="AP440" s="18"/>
      <c r="AQ440" s="18"/>
      <c r="AR440" s="18"/>
      <c r="AS440" s="18"/>
      <c r="AU440" s="448"/>
      <c r="AV440" s="448"/>
      <c r="AW440" s="8" t="str">
        <f>IF(C440&gt;0,VLOOKUP(C440,Foundation_Calc!$A$2:$C$986,3,1),
IF(J440&gt;0,VLOOKUP(J440,Foundation_Calc!$A$2:$C$986,3,1),""))</f>
        <v/>
      </c>
      <c r="AX440" s="8" t="str">
        <f>IF(C440&gt;0,VLOOKUP(C440,Foundation_Calc!$E$2:$G$986,3,1),
IF(J440&gt;0,VLOOKUP(J440,Foundation_Calc!$E$2:$G$986,3,1),""))</f>
        <v/>
      </c>
      <c r="AY440" s="631" t="str">
        <f>IF(L440="","",
IF(AX440="PT",VLOOKUP(L440,Foundation_Calc!$K$4:$R$37,VLOOKUP(AW440,Foundation_Calc!$I$2:$J$8,2,FALSE),0),
IF(AX440="K",VLOOKUP(L440,Foundation_Calc!$K$41:$R$74,VLOOKUP(AW440,Foundation_Calc!$I$2:$J$8,2,FALSE),0),"")))</f>
        <v/>
      </c>
      <c r="AZ440" s="631" t="str">
        <f>IF(K440="","",
IF(AX440="PT",VLOOKUP(K440,Foundation_Calc!$K$4:$R$37,VLOOKUP(AW440,Foundation_Calc!$I$2:$J$8,2,FALSE),0),
IF(AX440="K",VLOOKUP(K440,Foundation_Calc!$K$41:$R$74,VLOOKUP(AW440,Foundation_Calc!$I$2:$J$8,2,FALSE),0),"")))</f>
        <v/>
      </c>
      <c r="BA440" s="632" t="str">
        <f t="shared" si="26"/>
        <v/>
      </c>
      <c r="BB440" s="632" t="str">
        <f t="shared" si="27"/>
        <v/>
      </c>
      <c r="BC440" s="632" t="str">
        <f t="shared" si="28"/>
        <v/>
      </c>
      <c r="BD440" s="633" t="str">
        <f>IF(AND(L440="",H440=""),"",
IF(H440="",Pole_Calc!A468,
IF(H440="MP",Pole_Calc!A469,
IF(H440="AnMP",Pole_Calc!A470,
IF(H440="A",Pole_Calc!A471,
IF(H440="S/A",Pole_Calc!A472,
IF(H440="A/S",Pole_Calc!A473,"Poner a mano")))))))</f>
        <v/>
      </c>
      <c r="BE440" s="448" t="s">
        <v>1726</v>
      </c>
      <c r="BF440" s="634"/>
      <c r="BG440" s="634"/>
      <c r="BH440" s="634"/>
      <c r="BI440" s="634"/>
    </row>
    <row r="441" spans="1:61" ht="16.2" customHeight="1">
      <c r="A441" s="12"/>
      <c r="B441" s="446"/>
      <c r="C441" s="89"/>
      <c r="D441" s="13"/>
      <c r="E441" s="14"/>
      <c r="F441" s="14"/>
      <c r="G441" s="15"/>
      <c r="H441" s="8"/>
      <c r="I441" s="8"/>
      <c r="J441" s="89"/>
      <c r="K441" s="8"/>
      <c r="L441" s="8"/>
      <c r="M441" s="8" t="str">
        <f>IF(L441="","",
IF(AX441="PT",VLOOKUP(L441,Foundation_Calc!$V$4:$X$37,VLOOKUP(AX441,Foundation_Calc!$I$10:$J$13,2,FALSE),0),
IF(AX441="K",VLOOKUP(L441,Foundation_Calc!$V$41:$X$74,VLOOKUP(AX441,Foundation_Calc!$I$10:$J$13,2,FALSE),0),"")))</f>
        <v/>
      </c>
      <c r="N441" s="8"/>
      <c r="O441" s="8"/>
      <c r="P441" s="8"/>
      <c r="Q441" s="14"/>
      <c r="R441" s="15"/>
      <c r="S441" s="15"/>
      <c r="T441" s="14"/>
      <c r="U441" s="14"/>
      <c r="V441" s="14"/>
      <c r="W441" s="18"/>
      <c r="X441" s="18"/>
      <c r="Y441" s="18"/>
      <c r="Z441" s="18"/>
      <c r="AA441" s="18"/>
      <c r="AB441" s="18"/>
      <c r="AC441" s="8" t="str">
        <f t="shared" si="25"/>
        <v/>
      </c>
      <c r="AD441" s="8"/>
      <c r="AE441" s="8"/>
      <c r="AF441" s="14"/>
      <c r="AG441" s="13"/>
      <c r="AH441" s="14"/>
      <c r="AI441" s="14"/>
      <c r="AJ441" s="8"/>
      <c r="AK441" s="8"/>
      <c r="AL441" s="8"/>
      <c r="AM441" s="8"/>
      <c r="AN441" s="631"/>
      <c r="AO441" s="18"/>
      <c r="AP441" s="18"/>
      <c r="AQ441" s="18"/>
      <c r="AR441" s="18"/>
      <c r="AS441" s="18"/>
      <c r="AU441" s="448"/>
      <c r="AV441" s="448"/>
      <c r="AW441" s="8" t="str">
        <f>IF(C441&gt;0,VLOOKUP(C441,Foundation_Calc!$A$2:$C$986,3,1),
IF(J441&gt;0,VLOOKUP(J441,Foundation_Calc!$A$2:$C$986,3,1),""))</f>
        <v/>
      </c>
      <c r="AX441" s="8" t="str">
        <f>IF(C441&gt;0,VLOOKUP(C441,Foundation_Calc!$E$2:$G$986,3,1),
IF(J441&gt;0,VLOOKUP(J441,Foundation_Calc!$E$2:$G$986,3,1),""))</f>
        <v/>
      </c>
      <c r="AY441" s="631" t="str">
        <f>IF(L441="","",
IF(AX441="PT",VLOOKUP(L441,Foundation_Calc!$K$4:$R$37,VLOOKUP(AW441,Foundation_Calc!$I$2:$J$8,2,FALSE),0),
IF(AX441="K",VLOOKUP(L441,Foundation_Calc!$K$41:$R$74,VLOOKUP(AW441,Foundation_Calc!$I$2:$J$8,2,FALSE),0),"")))</f>
        <v/>
      </c>
      <c r="AZ441" s="631" t="str">
        <f>IF(K441="","",
IF(AX441="PT",VLOOKUP(K441,Foundation_Calc!$K$4:$R$37,VLOOKUP(AW441,Foundation_Calc!$I$2:$J$8,2,FALSE),0),
IF(AX441="K",VLOOKUP(K441,Foundation_Calc!$K$41:$R$74,VLOOKUP(AW441,Foundation_Calc!$I$2:$J$8,2,FALSE),0),"")))</f>
        <v/>
      </c>
      <c r="BA441" s="632" t="str">
        <f t="shared" si="26"/>
        <v/>
      </c>
      <c r="BB441" s="632" t="str">
        <f t="shared" si="27"/>
        <v/>
      </c>
      <c r="BC441" s="632" t="str">
        <f t="shared" si="28"/>
        <v/>
      </c>
      <c r="BD441" s="633" t="str">
        <f>IF(AND(L441="",H441=""),"",
IF(H441="",Pole_Calc!A469,
IF(H441="MP",Pole_Calc!A470,
IF(H441="AnMP",Pole_Calc!A471,
IF(H441="A",Pole_Calc!A472,
IF(H441="S/A",Pole_Calc!A473,
IF(H441="A/S",Pole_Calc!A474,"Poner a mano")))))))</f>
        <v/>
      </c>
      <c r="BE441" s="448" t="s">
        <v>1726</v>
      </c>
      <c r="BF441" s="635"/>
      <c r="BG441" s="635"/>
      <c r="BH441" s="634"/>
      <c r="BI441" s="635"/>
    </row>
    <row r="442" spans="1:61" ht="16.2" customHeight="1">
      <c r="A442" s="12"/>
      <c r="B442" s="446"/>
      <c r="C442" s="89"/>
      <c r="D442" s="13"/>
      <c r="E442" s="14"/>
      <c r="F442" s="14"/>
      <c r="G442" s="15"/>
      <c r="H442" s="8"/>
      <c r="I442" s="8"/>
      <c r="J442" s="89"/>
      <c r="K442" s="8"/>
      <c r="L442" s="8"/>
      <c r="M442" s="8" t="str">
        <f>IF(L442="","",
IF(AX442="PT",VLOOKUP(L442,Foundation_Calc!$V$4:$X$37,VLOOKUP(AX442,Foundation_Calc!$I$10:$J$13,2,FALSE),0),
IF(AX442="K",VLOOKUP(L442,Foundation_Calc!$V$41:$X$74,VLOOKUP(AX442,Foundation_Calc!$I$10:$J$13,2,FALSE),0),"")))</f>
        <v/>
      </c>
      <c r="N442" s="8"/>
      <c r="O442" s="8"/>
      <c r="P442" s="8"/>
      <c r="Q442" s="14"/>
      <c r="R442" s="15"/>
      <c r="S442" s="15"/>
      <c r="T442" s="14"/>
      <c r="U442" s="14"/>
      <c r="V442" s="14"/>
      <c r="W442" s="18"/>
      <c r="X442" s="18"/>
      <c r="Y442" s="18"/>
      <c r="Z442" s="18"/>
      <c r="AA442" s="18"/>
      <c r="AB442" s="18"/>
      <c r="AC442" s="8" t="str">
        <f t="shared" si="25"/>
        <v/>
      </c>
      <c r="AD442" s="8"/>
      <c r="AE442" s="8"/>
      <c r="AF442" s="14"/>
      <c r="AG442" s="13"/>
      <c r="AH442" s="14"/>
      <c r="AI442" s="14"/>
      <c r="AJ442" s="8"/>
      <c r="AK442" s="8"/>
      <c r="AL442" s="8"/>
      <c r="AM442" s="8"/>
      <c r="AN442" s="631"/>
      <c r="AO442" s="18"/>
      <c r="AP442" s="18"/>
      <c r="AQ442" s="18"/>
      <c r="AR442" s="18"/>
      <c r="AS442" s="18"/>
      <c r="AU442" s="448"/>
      <c r="AV442" s="448"/>
      <c r="AW442" s="8" t="str">
        <f>IF(C442&gt;0,VLOOKUP(C442,Foundation_Calc!$A$2:$C$986,3,1),
IF(J442&gt;0,VLOOKUP(J442,Foundation_Calc!$A$2:$C$986,3,1),""))</f>
        <v/>
      </c>
      <c r="AX442" s="8" t="str">
        <f>IF(C442&gt;0,VLOOKUP(C442,Foundation_Calc!$E$2:$G$986,3,1),
IF(J442&gt;0,VLOOKUP(J442,Foundation_Calc!$E$2:$G$986,3,1),""))</f>
        <v/>
      </c>
      <c r="AY442" s="631" t="str">
        <f>IF(L442="","",
IF(AX442="PT",VLOOKUP(L442,Foundation_Calc!$K$4:$R$37,VLOOKUP(AW442,Foundation_Calc!$I$2:$J$8,2,FALSE),0),
IF(AX442="K",VLOOKUP(L442,Foundation_Calc!$K$41:$R$74,VLOOKUP(AW442,Foundation_Calc!$I$2:$J$8,2,FALSE),0),"")))</f>
        <v/>
      </c>
      <c r="AZ442" s="631" t="str">
        <f>IF(K442="","",
IF(AX442="PT",VLOOKUP(K442,Foundation_Calc!$K$4:$R$37,VLOOKUP(AW442,Foundation_Calc!$I$2:$J$8,2,FALSE),0),
IF(AX442="K",VLOOKUP(K442,Foundation_Calc!$K$41:$R$74,VLOOKUP(AW442,Foundation_Calc!$I$2:$J$8,2,FALSE),0),"")))</f>
        <v/>
      </c>
      <c r="BA442" s="632" t="str">
        <f t="shared" si="26"/>
        <v/>
      </c>
      <c r="BB442" s="632" t="str">
        <f t="shared" si="27"/>
        <v/>
      </c>
      <c r="BC442" s="632" t="str">
        <f t="shared" si="28"/>
        <v/>
      </c>
      <c r="BD442" s="633" t="str">
        <f>IF(AND(L442="",H442=""),"",
IF(H442="",Pole_Calc!A470,
IF(H442="MP",Pole_Calc!A471,
IF(H442="AnMP",Pole_Calc!A472,
IF(H442="A",Pole_Calc!A473,
IF(H442="S/A",Pole_Calc!A474,
IF(H442="A/S",Pole_Calc!A475,"Poner a mano")))))))</f>
        <v/>
      </c>
      <c r="BE442" s="448" t="s">
        <v>1726</v>
      </c>
      <c r="BF442" s="634"/>
      <c r="BG442" s="634"/>
      <c r="BH442" s="634"/>
      <c r="BI442" s="634"/>
    </row>
    <row r="443" spans="1:61" ht="16.2" customHeight="1">
      <c r="A443" s="12"/>
      <c r="B443" s="446"/>
      <c r="C443" s="89"/>
      <c r="D443" s="13"/>
      <c r="E443" s="14"/>
      <c r="F443" s="14"/>
      <c r="G443" s="15"/>
      <c r="H443" s="8"/>
      <c r="I443" s="8"/>
      <c r="J443" s="89"/>
      <c r="K443" s="8"/>
      <c r="L443" s="8"/>
      <c r="M443" s="8" t="str">
        <f>IF(L443="","",
IF(AX443="PT",VLOOKUP(L443,Foundation_Calc!$V$4:$X$37,VLOOKUP(AX443,Foundation_Calc!$I$10:$J$13,2,FALSE),0),
IF(AX443="K",VLOOKUP(L443,Foundation_Calc!$V$41:$X$74,VLOOKUP(AX443,Foundation_Calc!$I$10:$J$13,2,FALSE),0),"")))</f>
        <v/>
      </c>
      <c r="N443" s="8"/>
      <c r="O443" s="8"/>
      <c r="P443" s="8"/>
      <c r="Q443" s="14"/>
      <c r="R443" s="15"/>
      <c r="S443" s="15"/>
      <c r="T443" s="14"/>
      <c r="U443" s="14"/>
      <c r="V443" s="14"/>
      <c r="W443" s="18"/>
      <c r="X443" s="18"/>
      <c r="Y443" s="18"/>
      <c r="Z443" s="18"/>
      <c r="AA443" s="18"/>
      <c r="AB443" s="18"/>
      <c r="AC443" s="8" t="str">
        <f t="shared" si="25"/>
        <v/>
      </c>
      <c r="AD443" s="8"/>
      <c r="AE443" s="8"/>
      <c r="AF443" s="14"/>
      <c r="AG443" s="13"/>
      <c r="AH443" s="14"/>
      <c r="AI443" s="14"/>
      <c r="AJ443" s="8"/>
      <c r="AK443" s="8"/>
      <c r="AL443" s="8"/>
      <c r="AM443" s="8"/>
      <c r="AN443" s="631"/>
      <c r="AO443" s="18"/>
      <c r="AP443" s="18"/>
      <c r="AQ443" s="18"/>
      <c r="AR443" s="18"/>
      <c r="AS443" s="18"/>
      <c r="AU443" s="448"/>
      <c r="AV443" s="448"/>
      <c r="AW443" s="8" t="str">
        <f>IF(C443&gt;0,VLOOKUP(C443,Foundation_Calc!$A$2:$C$986,3,1),
IF(J443&gt;0,VLOOKUP(J443,Foundation_Calc!$A$2:$C$986,3,1),""))</f>
        <v/>
      </c>
      <c r="AX443" s="8" t="str">
        <f>IF(C443&gt;0,VLOOKUP(C443,Foundation_Calc!$E$2:$G$986,3,1),
IF(J443&gt;0,VLOOKUP(J443,Foundation_Calc!$E$2:$G$986,3,1),""))</f>
        <v/>
      </c>
      <c r="AY443" s="631" t="str">
        <f>IF(L443="","",
IF(AX443="PT",VLOOKUP(L443,Foundation_Calc!$K$4:$R$37,VLOOKUP(AW443,Foundation_Calc!$I$2:$J$8,2,FALSE),0),
IF(AX443="K",VLOOKUP(L443,Foundation_Calc!$K$41:$R$74,VLOOKUP(AW443,Foundation_Calc!$I$2:$J$8,2,FALSE),0),"")))</f>
        <v/>
      </c>
      <c r="AZ443" s="631" t="str">
        <f>IF(K443="","",
IF(AX443="PT",VLOOKUP(K443,Foundation_Calc!$K$4:$R$37,VLOOKUP(AW443,Foundation_Calc!$I$2:$J$8,2,FALSE),0),
IF(AX443="K",VLOOKUP(K443,Foundation_Calc!$K$41:$R$74,VLOOKUP(AW443,Foundation_Calc!$I$2:$J$8,2,FALSE),0),"")))</f>
        <v/>
      </c>
      <c r="BA443" s="632" t="str">
        <f t="shared" si="26"/>
        <v/>
      </c>
      <c r="BB443" s="632" t="str">
        <f t="shared" si="27"/>
        <v/>
      </c>
      <c r="BC443" s="632" t="str">
        <f t="shared" si="28"/>
        <v/>
      </c>
      <c r="BD443" s="633" t="str">
        <f>IF(AND(L443="",H443=""),"",
IF(H443="",Pole_Calc!A471,
IF(H443="MP",Pole_Calc!A472,
IF(H443="AnMP",Pole_Calc!A473,
IF(H443="A",Pole_Calc!A474,
IF(H443="S/A",Pole_Calc!A475,
IF(H443="A/S",Pole_Calc!A476,"Poner a mano")))))))</f>
        <v/>
      </c>
      <c r="BE443" s="448" t="s">
        <v>1726</v>
      </c>
      <c r="BF443" s="635"/>
      <c r="BG443" s="635"/>
      <c r="BH443" s="634"/>
      <c r="BI443" s="635"/>
    </row>
    <row r="444" spans="1:61" ht="16.2" customHeight="1">
      <c r="A444" s="12"/>
      <c r="B444" s="446"/>
      <c r="C444" s="89"/>
      <c r="D444" s="13"/>
      <c r="E444" s="14"/>
      <c r="F444" s="14"/>
      <c r="G444" s="15"/>
      <c r="H444" s="8"/>
      <c r="I444" s="8"/>
      <c r="J444" s="89"/>
      <c r="K444" s="8"/>
      <c r="L444" s="8"/>
      <c r="M444" s="8" t="str">
        <f>IF(L444="","",
IF(AX444="PT",VLOOKUP(L444,Foundation_Calc!$V$4:$X$37,VLOOKUP(AX444,Foundation_Calc!$I$10:$J$13,2,FALSE),0),
IF(AX444="K",VLOOKUP(L444,Foundation_Calc!$V$41:$X$74,VLOOKUP(AX444,Foundation_Calc!$I$10:$J$13,2,FALSE),0),"")))</f>
        <v/>
      </c>
      <c r="N444" s="8"/>
      <c r="O444" s="8"/>
      <c r="P444" s="8"/>
      <c r="Q444" s="14"/>
      <c r="R444" s="15"/>
      <c r="S444" s="15"/>
      <c r="T444" s="14"/>
      <c r="U444" s="14"/>
      <c r="V444" s="14"/>
      <c r="W444" s="18"/>
      <c r="X444" s="18"/>
      <c r="Y444" s="18"/>
      <c r="Z444" s="18"/>
      <c r="AA444" s="18"/>
      <c r="AB444" s="18"/>
      <c r="AC444" s="8" t="str">
        <f t="shared" si="25"/>
        <v/>
      </c>
      <c r="AD444" s="8"/>
      <c r="AE444" s="8"/>
      <c r="AF444" s="14"/>
      <c r="AG444" s="13"/>
      <c r="AH444" s="14"/>
      <c r="AI444" s="14"/>
      <c r="AJ444" s="8"/>
      <c r="AK444" s="8"/>
      <c r="AL444" s="8"/>
      <c r="AM444" s="8"/>
      <c r="AN444" s="631"/>
      <c r="AO444" s="18"/>
      <c r="AP444" s="18"/>
      <c r="AQ444" s="18"/>
      <c r="AR444" s="18"/>
      <c r="AS444" s="18"/>
      <c r="AU444" s="448"/>
      <c r="AV444" s="448"/>
      <c r="AW444" s="8" t="str">
        <f>IF(C444&gt;0,VLOOKUP(C444,Foundation_Calc!$A$2:$C$986,3,1),
IF(J444&gt;0,VLOOKUP(J444,Foundation_Calc!$A$2:$C$986,3,1),""))</f>
        <v/>
      </c>
      <c r="AX444" s="8" t="str">
        <f>IF(C444&gt;0,VLOOKUP(C444,Foundation_Calc!$E$2:$G$986,3,1),
IF(J444&gt;0,VLOOKUP(J444,Foundation_Calc!$E$2:$G$986,3,1),""))</f>
        <v/>
      </c>
      <c r="AY444" s="631" t="str">
        <f>IF(L444="","",
IF(AX444="PT",VLOOKUP(L444,Foundation_Calc!$K$4:$R$37,VLOOKUP(AW444,Foundation_Calc!$I$2:$J$8,2,FALSE),0),
IF(AX444="K",VLOOKUP(L444,Foundation_Calc!$K$41:$R$74,VLOOKUP(AW444,Foundation_Calc!$I$2:$J$8,2,FALSE),0),"")))</f>
        <v/>
      </c>
      <c r="AZ444" s="631" t="str">
        <f>IF(K444="","",
IF(AX444="PT",VLOOKUP(K444,Foundation_Calc!$K$4:$R$37,VLOOKUP(AW444,Foundation_Calc!$I$2:$J$8,2,FALSE),0),
IF(AX444="K",VLOOKUP(K444,Foundation_Calc!$K$41:$R$74,VLOOKUP(AW444,Foundation_Calc!$I$2:$J$8,2,FALSE),0),"")))</f>
        <v/>
      </c>
      <c r="BA444" s="632" t="str">
        <f t="shared" si="26"/>
        <v/>
      </c>
      <c r="BB444" s="632" t="str">
        <f t="shared" si="27"/>
        <v/>
      </c>
      <c r="BC444" s="632" t="str">
        <f t="shared" si="28"/>
        <v/>
      </c>
      <c r="BD444" s="633" t="str">
        <f>IF(AND(L444="",H444=""),"",
IF(H444="",Pole_Calc!A472,
IF(H444="MP",Pole_Calc!A473,
IF(H444="AnMP",Pole_Calc!A474,
IF(H444="A",Pole_Calc!A475,
IF(H444="S/A",Pole_Calc!A476,
IF(H444="A/S",Pole_Calc!A477,"Poner a mano")))))))</f>
        <v/>
      </c>
      <c r="BE444" s="448" t="s">
        <v>1726</v>
      </c>
      <c r="BF444" s="634"/>
      <c r="BG444" s="634"/>
      <c r="BH444" s="634"/>
      <c r="BI444" s="634"/>
    </row>
    <row r="445" spans="1:61" ht="16.2" customHeight="1">
      <c r="A445" s="12"/>
      <c r="B445" s="446"/>
      <c r="C445" s="89"/>
      <c r="D445" s="13"/>
      <c r="E445" s="14"/>
      <c r="F445" s="14"/>
      <c r="G445" s="15"/>
      <c r="H445" s="8"/>
      <c r="I445" s="8"/>
      <c r="J445" s="89"/>
      <c r="K445" s="8"/>
      <c r="L445" s="8"/>
      <c r="M445" s="8" t="str">
        <f>IF(L445="","",
IF(AX445="PT",VLOOKUP(L445,Foundation_Calc!$V$4:$X$37,VLOOKUP(AX445,Foundation_Calc!$I$10:$J$13,2,FALSE),0),
IF(AX445="K",VLOOKUP(L445,Foundation_Calc!$V$41:$X$74,VLOOKUP(AX445,Foundation_Calc!$I$10:$J$13,2,FALSE),0),"")))</f>
        <v/>
      </c>
      <c r="N445" s="8"/>
      <c r="O445" s="8"/>
      <c r="P445" s="8"/>
      <c r="Q445" s="14"/>
      <c r="R445" s="15"/>
      <c r="S445" s="15"/>
      <c r="T445" s="14"/>
      <c r="U445" s="14"/>
      <c r="V445" s="14"/>
      <c r="W445" s="18"/>
      <c r="X445" s="18"/>
      <c r="Y445" s="18"/>
      <c r="Z445" s="18"/>
      <c r="AA445" s="18"/>
      <c r="AB445" s="18"/>
      <c r="AC445" s="8" t="str">
        <f t="shared" si="25"/>
        <v/>
      </c>
      <c r="AD445" s="8"/>
      <c r="AE445" s="8"/>
      <c r="AF445" s="14"/>
      <c r="AG445" s="13"/>
      <c r="AH445" s="14"/>
      <c r="AI445" s="14"/>
      <c r="AJ445" s="8"/>
      <c r="AK445" s="8"/>
      <c r="AL445" s="8"/>
      <c r="AM445" s="8"/>
      <c r="AN445" s="631"/>
      <c r="AO445" s="18"/>
      <c r="AP445" s="18"/>
      <c r="AQ445" s="18"/>
      <c r="AR445" s="18"/>
      <c r="AS445" s="18"/>
      <c r="AU445" s="448"/>
      <c r="AV445" s="448"/>
      <c r="AW445" s="8" t="str">
        <f>IF(C445&gt;0,VLOOKUP(C445,Foundation_Calc!$A$2:$C$986,3,1),
IF(J445&gt;0,VLOOKUP(J445,Foundation_Calc!$A$2:$C$986,3,1),""))</f>
        <v/>
      </c>
      <c r="AX445" s="8" t="str">
        <f>IF(C445&gt;0,VLOOKUP(C445,Foundation_Calc!$E$2:$G$986,3,1),
IF(J445&gt;0,VLOOKUP(J445,Foundation_Calc!$E$2:$G$986,3,1),""))</f>
        <v/>
      </c>
      <c r="AY445" s="631" t="str">
        <f>IF(L445="","",
IF(AX445="PT",VLOOKUP(L445,Foundation_Calc!$K$4:$R$37,VLOOKUP(AW445,Foundation_Calc!$I$2:$J$8,2,FALSE),0),
IF(AX445="K",VLOOKUP(L445,Foundation_Calc!$K$41:$R$74,VLOOKUP(AW445,Foundation_Calc!$I$2:$J$8,2,FALSE),0),"")))</f>
        <v/>
      </c>
      <c r="AZ445" s="631" t="str">
        <f>IF(K445="","",
IF(AX445="PT",VLOOKUP(K445,Foundation_Calc!$K$4:$R$37,VLOOKUP(AW445,Foundation_Calc!$I$2:$J$8,2,FALSE),0),
IF(AX445="K",VLOOKUP(K445,Foundation_Calc!$K$41:$R$74,VLOOKUP(AW445,Foundation_Calc!$I$2:$J$8,2,FALSE),0),"")))</f>
        <v/>
      </c>
      <c r="BA445" s="632" t="str">
        <f t="shared" si="26"/>
        <v/>
      </c>
      <c r="BB445" s="632" t="str">
        <f t="shared" si="27"/>
        <v/>
      </c>
      <c r="BC445" s="632" t="str">
        <f t="shared" si="28"/>
        <v/>
      </c>
      <c r="BD445" s="633" t="str">
        <f>IF(AND(L445="",H445=""),"",
IF(H445="",Pole_Calc!A473,
IF(H445="MP",Pole_Calc!A474,
IF(H445="AnMP",Pole_Calc!A475,
IF(H445="A",Pole_Calc!A476,
IF(H445="S/A",Pole_Calc!A477,
IF(H445="A/S",Pole_Calc!A478,"Poner a mano")))))))</f>
        <v/>
      </c>
      <c r="BE445" s="448" t="s">
        <v>1726</v>
      </c>
      <c r="BF445" s="635"/>
      <c r="BG445" s="635"/>
      <c r="BH445" s="634"/>
      <c r="BI445" s="635"/>
    </row>
    <row r="446" spans="1:61" ht="16.2" customHeight="1">
      <c r="A446" s="12"/>
      <c r="B446" s="446"/>
      <c r="C446" s="89"/>
      <c r="D446" s="13"/>
      <c r="E446" s="14"/>
      <c r="F446" s="14"/>
      <c r="G446" s="15"/>
      <c r="H446" s="8"/>
      <c r="I446" s="8"/>
      <c r="J446" s="89"/>
      <c r="K446" s="8"/>
      <c r="L446" s="8"/>
      <c r="M446" s="8" t="str">
        <f>IF(L446="","",
IF(AX446="PT",VLOOKUP(L446,Foundation_Calc!$V$4:$X$37,VLOOKUP(AX446,Foundation_Calc!$I$10:$J$13,2,FALSE),0),
IF(AX446="K",VLOOKUP(L446,Foundation_Calc!$V$41:$X$74,VLOOKUP(AX446,Foundation_Calc!$I$10:$J$13,2,FALSE),0),"")))</f>
        <v/>
      </c>
      <c r="N446" s="8"/>
      <c r="O446" s="8"/>
      <c r="P446" s="8"/>
      <c r="Q446" s="14"/>
      <c r="R446" s="15"/>
      <c r="S446" s="15"/>
      <c r="T446" s="14"/>
      <c r="U446" s="14"/>
      <c r="V446" s="14"/>
      <c r="W446" s="18"/>
      <c r="X446" s="18"/>
      <c r="Y446" s="18"/>
      <c r="Z446" s="18"/>
      <c r="AA446" s="18"/>
      <c r="AB446" s="18"/>
      <c r="AC446" s="8" t="str">
        <f t="shared" si="25"/>
        <v/>
      </c>
      <c r="AD446" s="8"/>
      <c r="AE446" s="8"/>
      <c r="AF446" s="14"/>
      <c r="AG446" s="13"/>
      <c r="AH446" s="14"/>
      <c r="AI446" s="14"/>
      <c r="AJ446" s="8"/>
      <c r="AK446" s="8"/>
      <c r="AL446" s="8"/>
      <c r="AM446" s="8"/>
      <c r="AN446" s="631"/>
      <c r="AO446" s="18"/>
      <c r="AP446" s="18"/>
      <c r="AQ446" s="18"/>
      <c r="AR446" s="18"/>
      <c r="AS446" s="18"/>
      <c r="AU446" s="448"/>
      <c r="AV446" s="448"/>
      <c r="AW446" s="8" t="str">
        <f>IF(C446&gt;0,VLOOKUP(C446,Foundation_Calc!$A$2:$C$986,3,1),
IF(J446&gt;0,VLOOKUP(J446,Foundation_Calc!$A$2:$C$986,3,1),""))</f>
        <v/>
      </c>
      <c r="AX446" s="8" t="str">
        <f>IF(C446&gt;0,VLOOKUP(C446,Foundation_Calc!$E$2:$G$986,3,1),
IF(J446&gt;0,VLOOKUP(J446,Foundation_Calc!$E$2:$G$986,3,1),""))</f>
        <v/>
      </c>
      <c r="AY446" s="631" t="str">
        <f>IF(L446="","",
IF(AX446="PT",VLOOKUP(L446,Foundation_Calc!$K$4:$R$37,VLOOKUP(AW446,Foundation_Calc!$I$2:$J$8,2,FALSE),0),
IF(AX446="K",VLOOKUP(L446,Foundation_Calc!$K$41:$R$74,VLOOKUP(AW446,Foundation_Calc!$I$2:$J$8,2,FALSE),0),"")))</f>
        <v/>
      </c>
      <c r="AZ446" s="631" t="str">
        <f>IF(K446="","",
IF(AX446="PT",VLOOKUP(K446,Foundation_Calc!$K$4:$R$37,VLOOKUP(AW446,Foundation_Calc!$I$2:$J$8,2,FALSE),0),
IF(AX446="K",VLOOKUP(K446,Foundation_Calc!$K$41:$R$74,VLOOKUP(AW446,Foundation_Calc!$I$2:$J$8,2,FALSE),0),"")))</f>
        <v/>
      </c>
      <c r="BA446" s="632" t="str">
        <f t="shared" si="26"/>
        <v/>
      </c>
      <c r="BB446" s="632" t="str">
        <f t="shared" si="27"/>
        <v/>
      </c>
      <c r="BC446" s="632" t="str">
        <f t="shared" si="28"/>
        <v/>
      </c>
      <c r="BD446" s="633" t="str">
        <f>IF(AND(L446="",H446=""),"",
IF(H446="",Pole_Calc!A474,
IF(H446="MP",Pole_Calc!A475,
IF(H446="AnMP",Pole_Calc!A476,
IF(H446="A",Pole_Calc!A477,
IF(H446="S/A",Pole_Calc!A478,
IF(H446="A/S",Pole_Calc!A479,"Poner a mano")))))))</f>
        <v/>
      </c>
      <c r="BE446" s="448" t="s">
        <v>1726</v>
      </c>
      <c r="BF446" s="634"/>
      <c r="BG446" s="634"/>
      <c r="BH446" s="634"/>
      <c r="BI446" s="634"/>
    </row>
    <row r="447" spans="1:61" ht="16.2" customHeight="1">
      <c r="A447" s="12"/>
      <c r="B447" s="446"/>
      <c r="C447" s="89"/>
      <c r="D447" s="13"/>
      <c r="E447" s="14"/>
      <c r="F447" s="14"/>
      <c r="G447" s="15"/>
      <c r="H447" s="8"/>
      <c r="I447" s="8"/>
      <c r="J447" s="89"/>
      <c r="K447" s="8"/>
      <c r="L447" s="8"/>
      <c r="M447" s="8" t="str">
        <f>IF(L447="","",
IF(AX447="PT",VLOOKUP(L447,Foundation_Calc!$V$4:$X$37,VLOOKUP(AX447,Foundation_Calc!$I$10:$J$13,2,FALSE),0),
IF(AX447="K",VLOOKUP(L447,Foundation_Calc!$V$41:$X$74,VLOOKUP(AX447,Foundation_Calc!$I$10:$J$13,2,FALSE),0),"")))</f>
        <v/>
      </c>
      <c r="N447" s="8"/>
      <c r="O447" s="8"/>
      <c r="P447" s="8"/>
      <c r="Q447" s="14"/>
      <c r="R447" s="15"/>
      <c r="S447" s="15"/>
      <c r="T447" s="14"/>
      <c r="U447" s="14"/>
      <c r="V447" s="14"/>
      <c r="W447" s="18"/>
      <c r="X447" s="18"/>
      <c r="Y447" s="18"/>
      <c r="Z447" s="18"/>
      <c r="AA447" s="18"/>
      <c r="AB447" s="18"/>
      <c r="AC447" s="8" t="str">
        <f t="shared" si="25"/>
        <v/>
      </c>
      <c r="AD447" s="8"/>
      <c r="AE447" s="8"/>
      <c r="AF447" s="14"/>
      <c r="AG447" s="13"/>
      <c r="AH447" s="14"/>
      <c r="AI447" s="14"/>
      <c r="AJ447" s="8"/>
      <c r="AK447" s="8"/>
      <c r="AL447" s="8"/>
      <c r="AM447" s="8"/>
      <c r="AN447" s="631"/>
      <c r="AO447" s="18"/>
      <c r="AP447" s="18"/>
      <c r="AQ447" s="18"/>
      <c r="AR447" s="18"/>
      <c r="AS447" s="18"/>
      <c r="AU447" s="448"/>
      <c r="AV447" s="448"/>
      <c r="AW447" s="8" t="str">
        <f>IF(C447&gt;0,VLOOKUP(C447,Foundation_Calc!$A$2:$C$986,3,1),
IF(J447&gt;0,VLOOKUP(J447,Foundation_Calc!$A$2:$C$986,3,1),""))</f>
        <v/>
      </c>
      <c r="AX447" s="8" t="str">
        <f>IF(C447&gt;0,VLOOKUP(C447,Foundation_Calc!$E$2:$G$986,3,1),
IF(J447&gt;0,VLOOKUP(J447,Foundation_Calc!$E$2:$G$986,3,1),""))</f>
        <v/>
      </c>
      <c r="AY447" s="631" t="str">
        <f>IF(L447="","",
IF(AX447="PT",VLOOKUP(L447,Foundation_Calc!$K$4:$R$37,VLOOKUP(AW447,Foundation_Calc!$I$2:$J$8,2,FALSE),0),
IF(AX447="K",VLOOKUP(L447,Foundation_Calc!$K$41:$R$74,VLOOKUP(AW447,Foundation_Calc!$I$2:$J$8,2,FALSE),0),"")))</f>
        <v/>
      </c>
      <c r="AZ447" s="631" t="str">
        <f>IF(K447="","",
IF(AX447="PT",VLOOKUP(K447,Foundation_Calc!$K$4:$R$37,VLOOKUP(AW447,Foundation_Calc!$I$2:$J$8,2,FALSE),0),
IF(AX447="K",VLOOKUP(K447,Foundation_Calc!$K$41:$R$74,VLOOKUP(AW447,Foundation_Calc!$I$2:$J$8,2,FALSE),0),"")))</f>
        <v/>
      </c>
      <c r="BA447" s="632" t="str">
        <f t="shared" si="26"/>
        <v/>
      </c>
      <c r="BB447" s="632" t="str">
        <f t="shared" si="27"/>
        <v/>
      </c>
      <c r="BC447" s="632" t="str">
        <f t="shared" si="28"/>
        <v/>
      </c>
      <c r="BD447" s="633" t="str">
        <f>IF(AND(L447="",H447=""),"",
IF(H447="",Pole_Calc!A475,
IF(H447="MP",Pole_Calc!A476,
IF(H447="AnMP",Pole_Calc!A477,
IF(H447="A",Pole_Calc!A478,
IF(H447="S/A",Pole_Calc!A479,
IF(H447="A/S",Pole_Calc!A480,"Poner a mano")))))))</f>
        <v/>
      </c>
      <c r="BE447" s="448" t="s">
        <v>1726</v>
      </c>
      <c r="BF447" s="635"/>
      <c r="BG447" s="635"/>
      <c r="BH447" s="634"/>
      <c r="BI447" s="635"/>
    </row>
    <row r="448" spans="1:61" ht="16.2" customHeight="1">
      <c r="A448" s="12"/>
      <c r="B448" s="446"/>
      <c r="C448" s="89"/>
      <c r="D448" s="13"/>
      <c r="E448" s="14"/>
      <c r="F448" s="14"/>
      <c r="G448" s="15"/>
      <c r="H448" s="8"/>
      <c r="I448" s="8"/>
      <c r="J448" s="89"/>
      <c r="K448" s="8"/>
      <c r="L448" s="8"/>
      <c r="M448" s="8" t="str">
        <f>IF(L448="","",
IF(AX448="PT",VLOOKUP(L448,Foundation_Calc!$V$4:$X$37,VLOOKUP(AX448,Foundation_Calc!$I$10:$J$13,2,FALSE),0),
IF(AX448="K",VLOOKUP(L448,Foundation_Calc!$V$41:$X$74,VLOOKUP(AX448,Foundation_Calc!$I$10:$J$13,2,FALSE),0),"")))</f>
        <v/>
      </c>
      <c r="N448" s="8"/>
      <c r="O448" s="8"/>
      <c r="P448" s="8"/>
      <c r="Q448" s="14"/>
      <c r="R448" s="15"/>
      <c r="S448" s="15"/>
      <c r="T448" s="14"/>
      <c r="U448" s="14"/>
      <c r="V448" s="14"/>
      <c r="W448" s="18"/>
      <c r="X448" s="18"/>
      <c r="Y448" s="18"/>
      <c r="Z448" s="18"/>
      <c r="AA448" s="18"/>
      <c r="AB448" s="18"/>
      <c r="AC448" s="8" t="str">
        <f t="shared" si="25"/>
        <v/>
      </c>
      <c r="AD448" s="8"/>
      <c r="AE448" s="8"/>
      <c r="AF448" s="14"/>
      <c r="AG448" s="13"/>
      <c r="AH448" s="14"/>
      <c r="AI448" s="14"/>
      <c r="AJ448" s="8"/>
      <c r="AK448" s="8"/>
      <c r="AL448" s="8"/>
      <c r="AM448" s="8"/>
      <c r="AN448" s="631"/>
      <c r="AO448" s="18"/>
      <c r="AP448" s="18"/>
      <c r="AQ448" s="18"/>
      <c r="AR448" s="18"/>
      <c r="AS448" s="18"/>
      <c r="AU448" s="448"/>
      <c r="AV448" s="448"/>
      <c r="AW448" s="8" t="str">
        <f>IF(C448&gt;0,VLOOKUP(C448,Foundation_Calc!$A$2:$C$986,3,1),
IF(J448&gt;0,VLOOKUP(J448,Foundation_Calc!$A$2:$C$986,3,1),""))</f>
        <v/>
      </c>
      <c r="AX448" s="8" t="str">
        <f>IF(C448&gt;0,VLOOKUP(C448,Foundation_Calc!$E$2:$G$986,3,1),
IF(J448&gt;0,VLOOKUP(J448,Foundation_Calc!$E$2:$G$986,3,1),""))</f>
        <v/>
      </c>
      <c r="AY448" s="631" t="str">
        <f>IF(L448="","",
IF(AX448="PT",VLOOKUP(L448,Foundation_Calc!$K$4:$R$37,VLOOKUP(AW448,Foundation_Calc!$I$2:$J$8,2,FALSE),0),
IF(AX448="K",VLOOKUP(L448,Foundation_Calc!$K$41:$R$74,VLOOKUP(AW448,Foundation_Calc!$I$2:$J$8,2,FALSE),0),"")))</f>
        <v/>
      </c>
      <c r="AZ448" s="631" t="str">
        <f>IF(K448="","",
IF(AX448="PT",VLOOKUP(K448,Foundation_Calc!$K$4:$R$37,VLOOKUP(AW448,Foundation_Calc!$I$2:$J$8,2,FALSE),0),
IF(AX448="K",VLOOKUP(K448,Foundation_Calc!$K$41:$R$74,VLOOKUP(AW448,Foundation_Calc!$I$2:$J$8,2,FALSE),0),"")))</f>
        <v/>
      </c>
      <c r="BA448" s="632" t="str">
        <f t="shared" si="26"/>
        <v/>
      </c>
      <c r="BB448" s="632" t="str">
        <f t="shared" si="27"/>
        <v/>
      </c>
      <c r="BC448" s="632" t="str">
        <f t="shared" si="28"/>
        <v/>
      </c>
      <c r="BD448" s="633" t="str">
        <f>IF(AND(L448="",H448=""),"",
IF(H448="",Pole_Calc!A476,
IF(H448="MP",Pole_Calc!A477,
IF(H448="AnMP",Pole_Calc!A478,
IF(H448="A",Pole_Calc!A479,
IF(H448="S/A",Pole_Calc!A480,
IF(H448="A/S",Pole_Calc!A481,"Poner a mano")))))))</f>
        <v/>
      </c>
      <c r="BE448" s="448" t="s">
        <v>1726</v>
      </c>
      <c r="BF448" s="634"/>
      <c r="BG448" s="634"/>
      <c r="BH448" s="634"/>
      <c r="BI448" s="634"/>
    </row>
    <row r="449" spans="1:61" ht="16.2" customHeight="1">
      <c r="A449" s="12"/>
      <c r="B449" s="446"/>
      <c r="C449" s="89"/>
      <c r="D449" s="13"/>
      <c r="E449" s="14"/>
      <c r="F449" s="14"/>
      <c r="G449" s="15"/>
      <c r="H449" s="8"/>
      <c r="I449" s="8"/>
      <c r="J449" s="89"/>
      <c r="K449" s="8"/>
      <c r="L449" s="8"/>
      <c r="M449" s="8" t="str">
        <f>IF(L449="","",
IF(AX449="PT",VLOOKUP(L449,Foundation_Calc!$V$4:$X$37,VLOOKUP(AX449,Foundation_Calc!$I$10:$J$13,2,FALSE),0),
IF(AX449="K",VLOOKUP(L449,Foundation_Calc!$V$41:$X$74,VLOOKUP(AX449,Foundation_Calc!$I$10:$J$13,2,FALSE),0),"")))</f>
        <v/>
      </c>
      <c r="N449" s="8"/>
      <c r="O449" s="8"/>
      <c r="P449" s="8"/>
      <c r="Q449" s="14"/>
      <c r="R449" s="15"/>
      <c r="S449" s="15"/>
      <c r="T449" s="14"/>
      <c r="U449" s="14"/>
      <c r="V449" s="14"/>
      <c r="W449" s="18"/>
      <c r="X449" s="18"/>
      <c r="Y449" s="18"/>
      <c r="Z449" s="18"/>
      <c r="AA449" s="18"/>
      <c r="AB449" s="18"/>
      <c r="AC449" s="8" t="str">
        <f t="shared" si="25"/>
        <v/>
      </c>
      <c r="AD449" s="8"/>
      <c r="AE449" s="8"/>
      <c r="AF449" s="14"/>
      <c r="AG449" s="13"/>
      <c r="AH449" s="14"/>
      <c r="AI449" s="14"/>
      <c r="AJ449" s="8"/>
      <c r="AK449" s="8"/>
      <c r="AL449" s="8"/>
      <c r="AM449" s="8"/>
      <c r="AN449" s="631"/>
      <c r="AO449" s="18"/>
      <c r="AP449" s="18"/>
      <c r="AQ449" s="18"/>
      <c r="AR449" s="18"/>
      <c r="AS449" s="18"/>
      <c r="AU449" s="448"/>
      <c r="AV449" s="448"/>
      <c r="AW449" s="8" t="str">
        <f>IF(C449&gt;0,VLOOKUP(C449,Foundation_Calc!$A$2:$C$986,3,1),
IF(J449&gt;0,VLOOKUP(J449,Foundation_Calc!$A$2:$C$986,3,1),""))</f>
        <v/>
      </c>
      <c r="AX449" s="8" t="str">
        <f>IF(C449&gt;0,VLOOKUP(C449,Foundation_Calc!$E$2:$G$986,3,1),
IF(J449&gt;0,VLOOKUP(J449,Foundation_Calc!$E$2:$G$986,3,1),""))</f>
        <v/>
      </c>
      <c r="AY449" s="631" t="str">
        <f>IF(L449="","",
IF(AX449="PT",VLOOKUP(L449,Foundation_Calc!$K$4:$R$37,VLOOKUP(AW449,Foundation_Calc!$I$2:$J$8,2,FALSE),0),
IF(AX449="K",VLOOKUP(L449,Foundation_Calc!$K$41:$R$74,VLOOKUP(AW449,Foundation_Calc!$I$2:$J$8,2,FALSE),0),"")))</f>
        <v/>
      </c>
      <c r="AZ449" s="631" t="str">
        <f>IF(K449="","",
IF(AX449="PT",VLOOKUP(K449,Foundation_Calc!$K$4:$R$37,VLOOKUP(AW449,Foundation_Calc!$I$2:$J$8,2,FALSE),0),
IF(AX449="K",VLOOKUP(K449,Foundation_Calc!$K$41:$R$74,VLOOKUP(AW449,Foundation_Calc!$I$2:$J$8,2,FALSE),0),"")))</f>
        <v/>
      </c>
      <c r="BA449" s="632" t="str">
        <f t="shared" si="26"/>
        <v/>
      </c>
      <c r="BB449" s="632" t="str">
        <f t="shared" si="27"/>
        <v/>
      </c>
      <c r="BC449" s="632" t="str">
        <f t="shared" si="28"/>
        <v/>
      </c>
      <c r="BD449" s="633" t="str">
        <f>IF(AND(L449="",H449=""),"",
IF(H449="",Pole_Calc!A477,
IF(H449="MP",Pole_Calc!A478,
IF(H449="AnMP",Pole_Calc!A479,
IF(H449="A",Pole_Calc!A480,
IF(H449="S/A",Pole_Calc!A481,
IF(H449="A/S",Pole_Calc!A482,"Poner a mano")))))))</f>
        <v/>
      </c>
      <c r="BE449" s="448" t="s">
        <v>1726</v>
      </c>
      <c r="BF449" s="635"/>
      <c r="BG449" s="635"/>
      <c r="BH449" s="634"/>
      <c r="BI449" s="635"/>
    </row>
    <row r="450" spans="1:61" ht="16.2" customHeight="1">
      <c r="A450" s="12"/>
      <c r="B450" s="446"/>
      <c r="C450" s="89"/>
      <c r="D450" s="13"/>
      <c r="E450" s="14"/>
      <c r="F450" s="14"/>
      <c r="G450" s="15"/>
      <c r="H450" s="8"/>
      <c r="I450" s="8"/>
      <c r="J450" s="89"/>
      <c r="K450" s="8"/>
      <c r="L450" s="8"/>
      <c r="M450" s="8" t="str">
        <f>IF(L450="","",
IF(AX450="PT",VLOOKUP(L450,Foundation_Calc!$V$4:$X$37,VLOOKUP(AX450,Foundation_Calc!$I$10:$J$13,2,FALSE),0),
IF(AX450="K",VLOOKUP(L450,Foundation_Calc!$V$41:$X$74,VLOOKUP(AX450,Foundation_Calc!$I$10:$J$13,2,FALSE),0),"")))</f>
        <v/>
      </c>
      <c r="N450" s="8"/>
      <c r="O450" s="8"/>
      <c r="P450" s="8"/>
      <c r="Q450" s="14"/>
      <c r="R450" s="15"/>
      <c r="S450" s="15"/>
      <c r="T450" s="14"/>
      <c r="U450" s="14"/>
      <c r="V450" s="14"/>
      <c r="W450" s="18"/>
      <c r="X450" s="18"/>
      <c r="Y450" s="18"/>
      <c r="Z450" s="18"/>
      <c r="AA450" s="18"/>
      <c r="AB450" s="18"/>
      <c r="AC450" s="8" t="str">
        <f t="shared" si="25"/>
        <v/>
      </c>
      <c r="AD450" s="8"/>
      <c r="AE450" s="8"/>
      <c r="AF450" s="14"/>
      <c r="AG450" s="13"/>
      <c r="AH450" s="14"/>
      <c r="AI450" s="14"/>
      <c r="AJ450" s="8"/>
      <c r="AK450" s="8"/>
      <c r="AL450" s="8"/>
      <c r="AM450" s="8"/>
      <c r="AN450" s="631"/>
      <c r="AO450" s="18"/>
      <c r="AP450" s="18"/>
      <c r="AQ450" s="18"/>
      <c r="AR450" s="18"/>
      <c r="AS450" s="18"/>
      <c r="AU450" s="448"/>
      <c r="AV450" s="448"/>
      <c r="AW450" s="8" t="str">
        <f>IF(C450&gt;0,VLOOKUP(C450,Foundation_Calc!$A$2:$C$986,3,1),
IF(J450&gt;0,VLOOKUP(J450,Foundation_Calc!$A$2:$C$986,3,1),""))</f>
        <v/>
      </c>
      <c r="AX450" s="8" t="str">
        <f>IF(C450&gt;0,VLOOKUP(C450,Foundation_Calc!$E$2:$G$986,3,1),
IF(J450&gt;0,VLOOKUP(J450,Foundation_Calc!$E$2:$G$986,3,1),""))</f>
        <v/>
      </c>
      <c r="AY450" s="631" t="str">
        <f>IF(L450="","",
IF(AX450="PT",VLOOKUP(L450,Foundation_Calc!$K$4:$R$37,VLOOKUP(AW450,Foundation_Calc!$I$2:$J$8,2,FALSE),0),
IF(AX450="K",VLOOKUP(L450,Foundation_Calc!$K$41:$R$74,VLOOKUP(AW450,Foundation_Calc!$I$2:$J$8,2,FALSE),0),"")))</f>
        <v/>
      </c>
      <c r="AZ450" s="631" t="str">
        <f>IF(K450="","",
IF(AX450="PT",VLOOKUP(K450,Foundation_Calc!$K$4:$R$37,VLOOKUP(AW450,Foundation_Calc!$I$2:$J$8,2,FALSE),0),
IF(AX450="K",VLOOKUP(K450,Foundation_Calc!$K$41:$R$74,VLOOKUP(AW450,Foundation_Calc!$I$2:$J$8,2,FALSE),0),"")))</f>
        <v/>
      </c>
      <c r="BA450" s="632" t="str">
        <f t="shared" si="26"/>
        <v/>
      </c>
      <c r="BB450" s="632" t="str">
        <f t="shared" si="27"/>
        <v/>
      </c>
      <c r="BC450" s="632" t="str">
        <f t="shared" si="28"/>
        <v/>
      </c>
      <c r="BD450" s="633" t="str">
        <f>IF(AND(L450="",H450=""),"",
IF(H450="",Pole_Calc!A478,
IF(H450="MP",Pole_Calc!A479,
IF(H450="AnMP",Pole_Calc!A480,
IF(H450="A",Pole_Calc!A481,
IF(H450="S/A",Pole_Calc!A482,
IF(H450="A/S",Pole_Calc!A483,"Poner a mano")))))))</f>
        <v/>
      </c>
      <c r="BE450" s="448" t="s">
        <v>1726</v>
      </c>
      <c r="BF450" s="634"/>
      <c r="BG450" s="634"/>
      <c r="BH450" s="634"/>
      <c r="BI450" s="634"/>
    </row>
    <row r="451" spans="1:61" ht="16.2" customHeight="1">
      <c r="A451" s="12"/>
      <c r="B451" s="446"/>
      <c r="C451" s="89"/>
      <c r="D451" s="13"/>
      <c r="E451" s="14"/>
      <c r="F451" s="14"/>
      <c r="G451" s="15"/>
      <c r="H451" s="8"/>
      <c r="I451" s="8"/>
      <c r="J451" s="89"/>
      <c r="K451" s="8"/>
      <c r="L451" s="8"/>
      <c r="M451" s="8" t="str">
        <f>IF(L451="","",
IF(AX451="PT",VLOOKUP(L451,Foundation_Calc!$V$4:$X$37,VLOOKUP(AX451,Foundation_Calc!$I$10:$J$13,2,FALSE),0),
IF(AX451="K",VLOOKUP(L451,Foundation_Calc!$V$41:$X$74,VLOOKUP(AX451,Foundation_Calc!$I$10:$J$13,2,FALSE),0),"")))</f>
        <v/>
      </c>
      <c r="N451" s="8"/>
      <c r="O451" s="8"/>
      <c r="P451" s="8"/>
      <c r="Q451" s="14"/>
      <c r="R451" s="15"/>
      <c r="S451" s="15"/>
      <c r="T451" s="14"/>
      <c r="U451" s="14"/>
      <c r="V451" s="14"/>
      <c r="W451" s="18"/>
      <c r="X451" s="18"/>
      <c r="Y451" s="18"/>
      <c r="Z451" s="18"/>
      <c r="AA451" s="18"/>
      <c r="AB451" s="18"/>
      <c r="AC451" s="8" t="str">
        <f t="shared" si="25"/>
        <v/>
      </c>
      <c r="AD451" s="8"/>
      <c r="AE451" s="8"/>
      <c r="AF451" s="14"/>
      <c r="AG451" s="13"/>
      <c r="AH451" s="14"/>
      <c r="AI451" s="14"/>
      <c r="AJ451" s="8"/>
      <c r="AK451" s="8"/>
      <c r="AL451" s="8"/>
      <c r="AM451" s="8"/>
      <c r="AN451" s="631"/>
      <c r="AO451" s="18"/>
      <c r="AP451" s="18"/>
      <c r="AQ451" s="18"/>
      <c r="AR451" s="18"/>
      <c r="AS451" s="18"/>
      <c r="AU451" s="448"/>
      <c r="AV451" s="448"/>
      <c r="AW451" s="8" t="str">
        <f>IF(C451&gt;0,VLOOKUP(C451,Foundation_Calc!$A$2:$C$986,3,1),
IF(J451&gt;0,VLOOKUP(J451,Foundation_Calc!$A$2:$C$986,3,1),""))</f>
        <v/>
      </c>
      <c r="AX451" s="8" t="str">
        <f>IF(C451&gt;0,VLOOKUP(C451,Foundation_Calc!$E$2:$G$986,3,1),
IF(J451&gt;0,VLOOKUP(J451,Foundation_Calc!$E$2:$G$986,3,1),""))</f>
        <v/>
      </c>
      <c r="AY451" s="631" t="str">
        <f>IF(L451="","",
IF(AX451="PT",VLOOKUP(L451,Foundation_Calc!$K$4:$R$37,VLOOKUP(AW451,Foundation_Calc!$I$2:$J$8,2,FALSE),0),
IF(AX451="K",VLOOKUP(L451,Foundation_Calc!$K$41:$R$74,VLOOKUP(AW451,Foundation_Calc!$I$2:$J$8,2,FALSE),0),"")))</f>
        <v/>
      </c>
      <c r="AZ451" s="631" t="str">
        <f>IF(K451="","",
IF(AX451="PT",VLOOKUP(K451,Foundation_Calc!$K$4:$R$37,VLOOKUP(AW451,Foundation_Calc!$I$2:$J$8,2,FALSE),0),
IF(AX451="K",VLOOKUP(K451,Foundation_Calc!$K$41:$R$74,VLOOKUP(AW451,Foundation_Calc!$I$2:$J$8,2,FALSE),0),"")))</f>
        <v/>
      </c>
      <c r="BA451" s="632" t="str">
        <f t="shared" si="26"/>
        <v/>
      </c>
      <c r="BB451" s="632" t="str">
        <f t="shared" si="27"/>
        <v/>
      </c>
      <c r="BC451" s="632" t="str">
        <f t="shared" si="28"/>
        <v/>
      </c>
      <c r="BD451" s="633" t="str">
        <f>IF(AND(L451="",H451=""),"",
IF(H451="",Pole_Calc!A479,
IF(H451="MP",Pole_Calc!A480,
IF(H451="AnMP",Pole_Calc!A481,
IF(H451="A",Pole_Calc!A482,
IF(H451="S/A",Pole_Calc!A483,
IF(H451="A/S",Pole_Calc!A484,"Poner a mano")))))))</f>
        <v/>
      </c>
      <c r="BE451" s="448" t="s">
        <v>1726</v>
      </c>
      <c r="BF451" s="635"/>
      <c r="BG451" s="635"/>
      <c r="BH451" s="634"/>
      <c r="BI451" s="635"/>
    </row>
    <row r="452" spans="1:61" ht="16.2" customHeight="1">
      <c r="A452" s="12"/>
      <c r="B452" s="446"/>
      <c r="C452" s="89"/>
      <c r="D452" s="13"/>
      <c r="E452" s="14"/>
      <c r="F452" s="14"/>
      <c r="G452" s="15"/>
      <c r="H452" s="8"/>
      <c r="I452" s="8"/>
      <c r="J452" s="89"/>
      <c r="K452" s="8"/>
      <c r="L452" s="8"/>
      <c r="M452" s="8" t="str">
        <f>IF(L452="","",
IF(AX452="PT",VLOOKUP(L452,Foundation_Calc!$V$4:$X$37,VLOOKUP(AX452,Foundation_Calc!$I$10:$J$13,2,FALSE),0),
IF(AX452="K",VLOOKUP(L452,Foundation_Calc!$V$41:$X$74,VLOOKUP(AX452,Foundation_Calc!$I$10:$J$13,2,FALSE),0),"")))</f>
        <v/>
      </c>
      <c r="N452" s="8"/>
      <c r="O452" s="8"/>
      <c r="P452" s="8"/>
      <c r="Q452" s="14"/>
      <c r="R452" s="15"/>
      <c r="S452" s="15"/>
      <c r="T452" s="14"/>
      <c r="U452" s="14"/>
      <c r="V452" s="14"/>
      <c r="W452" s="18"/>
      <c r="X452" s="18"/>
      <c r="Y452" s="18"/>
      <c r="Z452" s="18"/>
      <c r="AA452" s="18"/>
      <c r="AB452" s="18"/>
      <c r="AC452" s="8" t="str">
        <f t="shared" si="25"/>
        <v/>
      </c>
      <c r="AD452" s="8"/>
      <c r="AE452" s="8"/>
      <c r="AF452" s="14"/>
      <c r="AG452" s="13"/>
      <c r="AH452" s="14"/>
      <c r="AI452" s="14"/>
      <c r="AJ452" s="8"/>
      <c r="AK452" s="8"/>
      <c r="AL452" s="8"/>
      <c r="AM452" s="8"/>
      <c r="AN452" s="631"/>
      <c r="AO452" s="18"/>
      <c r="AP452" s="18"/>
      <c r="AQ452" s="18"/>
      <c r="AR452" s="18"/>
      <c r="AS452" s="18"/>
      <c r="AU452" s="448"/>
      <c r="AV452" s="448"/>
      <c r="AW452" s="8" t="str">
        <f>IF(C452&gt;0,VLOOKUP(C452,Foundation_Calc!$A$2:$C$986,3,1),
IF(J452&gt;0,VLOOKUP(J452,Foundation_Calc!$A$2:$C$986,3,1),""))</f>
        <v/>
      </c>
      <c r="AX452" s="8" t="str">
        <f>IF(C452&gt;0,VLOOKUP(C452,Foundation_Calc!$E$2:$G$986,3,1),
IF(J452&gt;0,VLOOKUP(J452,Foundation_Calc!$E$2:$G$986,3,1),""))</f>
        <v/>
      </c>
      <c r="AY452" s="631" t="str">
        <f>IF(L452="","",
IF(AX452="PT",VLOOKUP(L452,Foundation_Calc!$K$4:$R$37,VLOOKUP(AW452,Foundation_Calc!$I$2:$J$8,2,FALSE),0),
IF(AX452="K",VLOOKUP(L452,Foundation_Calc!$K$41:$R$74,VLOOKUP(AW452,Foundation_Calc!$I$2:$J$8,2,FALSE),0),"")))</f>
        <v/>
      </c>
      <c r="AZ452" s="631" t="str">
        <f>IF(K452="","",
IF(AX452="PT",VLOOKUP(K452,Foundation_Calc!$K$4:$R$37,VLOOKUP(AW452,Foundation_Calc!$I$2:$J$8,2,FALSE),0),
IF(AX452="K",VLOOKUP(K452,Foundation_Calc!$K$41:$R$74,VLOOKUP(AW452,Foundation_Calc!$I$2:$J$8,2,FALSE),0),"")))</f>
        <v/>
      </c>
      <c r="BA452" s="632" t="str">
        <f t="shared" si="26"/>
        <v/>
      </c>
      <c r="BB452" s="632" t="str">
        <f t="shared" si="27"/>
        <v/>
      </c>
      <c r="BC452" s="632" t="str">
        <f t="shared" si="28"/>
        <v/>
      </c>
      <c r="BD452" s="633" t="str">
        <f>IF(AND(L452="",H452=""),"",
IF(H452="",Pole_Calc!A480,
IF(H452="MP",Pole_Calc!A481,
IF(H452="AnMP",Pole_Calc!A482,
IF(H452="A",Pole_Calc!A483,
IF(H452="S/A",Pole_Calc!A484,
IF(H452="A/S",Pole_Calc!A485,"Poner a mano")))))))</f>
        <v/>
      </c>
      <c r="BE452" s="448" t="s">
        <v>1726</v>
      </c>
      <c r="BF452" s="634"/>
      <c r="BG452" s="634"/>
      <c r="BH452" s="634"/>
      <c r="BI452" s="634"/>
    </row>
    <row r="453" spans="1:61" ht="16.2" customHeight="1">
      <c r="A453" s="12"/>
      <c r="B453" s="446"/>
      <c r="C453" s="89"/>
      <c r="D453" s="13"/>
      <c r="E453" s="14"/>
      <c r="F453" s="14"/>
      <c r="G453" s="15"/>
      <c r="H453" s="8"/>
      <c r="I453" s="8"/>
      <c r="J453" s="89"/>
      <c r="K453" s="8"/>
      <c r="L453" s="8"/>
      <c r="M453" s="8" t="str">
        <f>IF(L453="","",
IF(AX453="PT",VLOOKUP(L453,Foundation_Calc!$V$4:$X$37,VLOOKUP(AX453,Foundation_Calc!$I$10:$J$13,2,FALSE),0),
IF(AX453="K",VLOOKUP(L453,Foundation_Calc!$V$41:$X$74,VLOOKUP(AX453,Foundation_Calc!$I$10:$J$13,2,FALSE),0),"")))</f>
        <v/>
      </c>
      <c r="N453" s="8"/>
      <c r="O453" s="8"/>
      <c r="P453" s="8"/>
      <c r="Q453" s="14"/>
      <c r="R453" s="15"/>
      <c r="S453" s="15"/>
      <c r="T453" s="14"/>
      <c r="U453" s="14"/>
      <c r="V453" s="14"/>
      <c r="W453" s="18"/>
      <c r="X453" s="18"/>
      <c r="Y453" s="18"/>
      <c r="Z453" s="18"/>
      <c r="AA453" s="18"/>
      <c r="AB453" s="18"/>
      <c r="AC453" s="8" t="str">
        <f t="shared" si="25"/>
        <v/>
      </c>
      <c r="AD453" s="8"/>
      <c r="AE453" s="8"/>
      <c r="AF453" s="14"/>
      <c r="AG453" s="13"/>
      <c r="AH453" s="14"/>
      <c r="AI453" s="14"/>
      <c r="AJ453" s="8"/>
      <c r="AK453" s="8"/>
      <c r="AL453" s="8"/>
      <c r="AM453" s="8"/>
      <c r="AN453" s="631"/>
      <c r="AO453" s="18"/>
      <c r="AP453" s="18"/>
      <c r="AQ453" s="18"/>
      <c r="AR453" s="18"/>
      <c r="AS453" s="18"/>
      <c r="AU453" s="448"/>
      <c r="AV453" s="448"/>
      <c r="AW453" s="8" t="str">
        <f>IF(C453&gt;0,VLOOKUP(C453,Foundation_Calc!$A$2:$C$986,3,1),
IF(J453&gt;0,VLOOKUP(J453,Foundation_Calc!$A$2:$C$986,3,1),""))</f>
        <v/>
      </c>
      <c r="AX453" s="8" t="str">
        <f>IF(C453&gt;0,VLOOKUP(C453,Foundation_Calc!$E$2:$G$986,3,1),
IF(J453&gt;0,VLOOKUP(J453,Foundation_Calc!$E$2:$G$986,3,1),""))</f>
        <v/>
      </c>
      <c r="AY453" s="631" t="str">
        <f>IF(L453="","",
IF(AX453="PT",VLOOKUP(L453,Foundation_Calc!$K$4:$R$37,VLOOKUP(AW453,Foundation_Calc!$I$2:$J$8,2,FALSE),0),
IF(AX453="K",VLOOKUP(L453,Foundation_Calc!$K$41:$R$74,VLOOKUP(AW453,Foundation_Calc!$I$2:$J$8,2,FALSE),0),"")))</f>
        <v/>
      </c>
      <c r="AZ453" s="631" t="str">
        <f>IF(K453="","",
IF(AX453="PT",VLOOKUP(K453,Foundation_Calc!$K$4:$R$37,VLOOKUP(AW453,Foundation_Calc!$I$2:$J$8,2,FALSE),0),
IF(AX453="K",VLOOKUP(K453,Foundation_Calc!$K$41:$R$74,VLOOKUP(AW453,Foundation_Calc!$I$2:$J$8,2,FALSE),0),"")))</f>
        <v/>
      </c>
      <c r="BA453" s="632" t="str">
        <f t="shared" si="26"/>
        <v/>
      </c>
      <c r="BB453" s="632" t="str">
        <f t="shared" si="27"/>
        <v/>
      </c>
      <c r="BC453" s="632" t="str">
        <f t="shared" si="28"/>
        <v/>
      </c>
      <c r="BD453" s="633" t="str">
        <f>IF(AND(L453="",H453=""),"",
IF(H453="",Pole_Calc!A481,
IF(H453="MP",Pole_Calc!A482,
IF(H453="AnMP",Pole_Calc!A483,
IF(H453="A",Pole_Calc!A484,
IF(H453="S/A",Pole_Calc!A485,
IF(H453="A/S",Pole_Calc!A486,"Poner a mano")))))))</f>
        <v/>
      </c>
      <c r="BE453" s="448" t="s">
        <v>1726</v>
      </c>
      <c r="BF453" s="635"/>
      <c r="BG453" s="635"/>
      <c r="BH453" s="634"/>
      <c r="BI453" s="635"/>
    </row>
    <row r="454" spans="1:61" ht="16.2" customHeight="1">
      <c r="A454" s="12"/>
      <c r="B454" s="446"/>
      <c r="C454" s="89"/>
      <c r="D454" s="13"/>
      <c r="E454" s="14"/>
      <c r="F454" s="14"/>
      <c r="G454" s="15"/>
      <c r="H454" s="8"/>
      <c r="I454" s="8"/>
      <c r="J454" s="89"/>
      <c r="K454" s="8"/>
      <c r="L454" s="8"/>
      <c r="M454" s="8" t="str">
        <f>IF(L454="","",
IF(AX454="PT",VLOOKUP(L454,Foundation_Calc!$V$4:$X$37,VLOOKUP(AX454,Foundation_Calc!$I$10:$J$13,2,FALSE),0),
IF(AX454="K",VLOOKUP(L454,Foundation_Calc!$V$41:$X$74,VLOOKUP(AX454,Foundation_Calc!$I$10:$J$13,2,FALSE),0),"")))</f>
        <v/>
      </c>
      <c r="N454" s="8"/>
      <c r="O454" s="8"/>
      <c r="P454" s="8"/>
      <c r="Q454" s="14"/>
      <c r="R454" s="15"/>
      <c r="S454" s="15"/>
      <c r="T454" s="14"/>
      <c r="U454" s="14"/>
      <c r="V454" s="14"/>
      <c r="W454" s="18"/>
      <c r="X454" s="18"/>
      <c r="Y454" s="18"/>
      <c r="Z454" s="18"/>
      <c r="AA454" s="18"/>
      <c r="AB454" s="18"/>
      <c r="AC454" s="8" t="str">
        <f t="shared" ref="AC454:AC517" si="29">IF(OR(AT454&gt;8,AT454&lt;-8),"PH",
IF(OR(AT454&gt;5,AT454&lt;-5),"PHQ",
IF(OR(AT454&gt;1,AT454&lt;-1),
"PHC","")))</f>
        <v/>
      </c>
      <c r="AD454" s="8"/>
      <c r="AE454" s="8"/>
      <c r="AF454" s="14"/>
      <c r="AG454" s="13"/>
      <c r="AH454" s="14"/>
      <c r="AI454" s="14"/>
      <c r="AJ454" s="8"/>
      <c r="AK454" s="8"/>
      <c r="AL454" s="8"/>
      <c r="AM454" s="8"/>
      <c r="AN454" s="631"/>
      <c r="AO454" s="18"/>
      <c r="AP454" s="18"/>
      <c r="AQ454" s="18"/>
      <c r="AR454" s="18"/>
      <c r="AS454" s="18"/>
      <c r="AU454" s="448"/>
      <c r="AV454" s="448"/>
      <c r="AW454" s="8" t="str">
        <f>IF(C454&gt;0,VLOOKUP(C454,Foundation_Calc!$A$2:$C$986,3,1),
IF(J454&gt;0,VLOOKUP(J454,Foundation_Calc!$A$2:$C$986,3,1),""))</f>
        <v/>
      </c>
      <c r="AX454" s="8" t="str">
        <f>IF(C454&gt;0,VLOOKUP(C454,Foundation_Calc!$E$2:$G$986,3,1),
IF(J454&gt;0,VLOOKUP(J454,Foundation_Calc!$E$2:$G$986,3,1),""))</f>
        <v/>
      </c>
      <c r="AY454" s="631" t="str">
        <f>IF(L454="","",
IF(AX454="PT",VLOOKUP(L454,Foundation_Calc!$K$4:$R$37,VLOOKUP(AW454,Foundation_Calc!$I$2:$J$8,2,FALSE),0),
IF(AX454="K",VLOOKUP(L454,Foundation_Calc!$K$41:$R$74,VLOOKUP(AW454,Foundation_Calc!$I$2:$J$8,2,FALSE),0),"")))</f>
        <v/>
      </c>
      <c r="AZ454" s="631" t="str">
        <f>IF(K454="","",
IF(AX454="PT",VLOOKUP(K454,Foundation_Calc!$K$4:$R$37,VLOOKUP(AW454,Foundation_Calc!$I$2:$J$8,2,FALSE),0),
IF(AX454="K",VLOOKUP(K454,Foundation_Calc!$K$41:$R$74,VLOOKUP(AW454,Foundation_Calc!$I$2:$J$8,2,FALSE),0),"")))</f>
        <v/>
      </c>
      <c r="BA454" s="632" t="str">
        <f t="shared" ref="BA454:BA517" si="30">IF(AY454="","",IF(AY454&gt;0,"ü",""))</f>
        <v/>
      </c>
      <c r="BB454" s="632" t="str">
        <f t="shared" ref="BB454:BB517" si="31">IF(AZ454="","",IF(AZ454&gt;0,"ü",""))</f>
        <v/>
      </c>
      <c r="BC454" s="632" t="str">
        <f t="shared" ref="BC454:BC517" si="32">IF(M454="","",IF(M454="Unique Solution","ü",""))</f>
        <v/>
      </c>
      <c r="BD454" s="633" t="str">
        <f>IF(AND(L454="",H454=""),"",
IF(H454="",Pole_Calc!A482,
IF(H454="MP",Pole_Calc!A483,
IF(H454="AnMP",Pole_Calc!A484,
IF(H454="A",Pole_Calc!A485,
IF(H454="S/A",Pole_Calc!A486,
IF(H454="A/S",Pole_Calc!A487,"Poner a mano")))))))</f>
        <v/>
      </c>
      <c r="BE454" s="448" t="s">
        <v>1726</v>
      </c>
      <c r="BF454" s="634"/>
      <c r="BG454" s="634"/>
      <c r="BH454" s="634"/>
      <c r="BI454" s="634"/>
    </row>
    <row r="455" spans="1:61" ht="16.2" customHeight="1">
      <c r="A455" s="12"/>
      <c r="B455" s="446"/>
      <c r="C455" s="89"/>
      <c r="D455" s="13"/>
      <c r="E455" s="14"/>
      <c r="F455" s="14"/>
      <c r="G455" s="15"/>
      <c r="H455" s="8"/>
      <c r="I455" s="8"/>
      <c r="J455" s="89"/>
      <c r="K455" s="8"/>
      <c r="L455" s="8"/>
      <c r="M455" s="8" t="str">
        <f>IF(L455="","",
IF(AX455="PT",VLOOKUP(L455,Foundation_Calc!$V$4:$X$37,VLOOKUP(AX455,Foundation_Calc!$I$10:$J$13,2,FALSE),0),
IF(AX455="K",VLOOKUP(L455,Foundation_Calc!$V$41:$X$74,VLOOKUP(AX455,Foundation_Calc!$I$10:$J$13,2,FALSE),0),"")))</f>
        <v/>
      </c>
      <c r="N455" s="8"/>
      <c r="O455" s="8"/>
      <c r="P455" s="8"/>
      <c r="Q455" s="14"/>
      <c r="R455" s="15"/>
      <c r="S455" s="15"/>
      <c r="T455" s="14"/>
      <c r="U455" s="14"/>
      <c r="V455" s="14"/>
      <c r="W455" s="18"/>
      <c r="X455" s="18"/>
      <c r="Y455" s="18"/>
      <c r="Z455" s="18"/>
      <c r="AA455" s="18"/>
      <c r="AB455" s="18"/>
      <c r="AC455" s="8" t="str">
        <f t="shared" si="29"/>
        <v/>
      </c>
      <c r="AD455" s="8"/>
      <c r="AE455" s="8"/>
      <c r="AF455" s="14"/>
      <c r="AG455" s="13"/>
      <c r="AH455" s="14"/>
      <c r="AI455" s="14"/>
      <c r="AJ455" s="8"/>
      <c r="AK455" s="8"/>
      <c r="AL455" s="8"/>
      <c r="AM455" s="8"/>
      <c r="AN455" s="631"/>
      <c r="AO455" s="18"/>
      <c r="AP455" s="18"/>
      <c r="AQ455" s="18"/>
      <c r="AR455" s="18"/>
      <c r="AS455" s="18"/>
      <c r="AU455" s="448"/>
      <c r="AV455" s="448"/>
      <c r="AW455" s="8" t="str">
        <f>IF(C455&gt;0,VLOOKUP(C455,Foundation_Calc!$A$2:$C$986,3,1),
IF(J455&gt;0,VLOOKUP(J455,Foundation_Calc!$A$2:$C$986,3,1),""))</f>
        <v/>
      </c>
      <c r="AX455" s="8" t="str">
        <f>IF(C455&gt;0,VLOOKUP(C455,Foundation_Calc!$E$2:$G$986,3,1),
IF(J455&gt;0,VLOOKUP(J455,Foundation_Calc!$E$2:$G$986,3,1),""))</f>
        <v/>
      </c>
      <c r="AY455" s="631" t="str">
        <f>IF(L455="","",
IF(AX455="PT",VLOOKUP(L455,Foundation_Calc!$K$4:$R$37,VLOOKUP(AW455,Foundation_Calc!$I$2:$J$8,2,FALSE),0),
IF(AX455="K",VLOOKUP(L455,Foundation_Calc!$K$41:$R$74,VLOOKUP(AW455,Foundation_Calc!$I$2:$J$8,2,FALSE),0),"")))</f>
        <v/>
      </c>
      <c r="AZ455" s="631" t="str">
        <f>IF(K455="","",
IF(AX455="PT",VLOOKUP(K455,Foundation_Calc!$K$4:$R$37,VLOOKUP(AW455,Foundation_Calc!$I$2:$J$8,2,FALSE),0),
IF(AX455="K",VLOOKUP(K455,Foundation_Calc!$K$41:$R$74,VLOOKUP(AW455,Foundation_Calc!$I$2:$J$8,2,FALSE),0),"")))</f>
        <v/>
      </c>
      <c r="BA455" s="632" t="str">
        <f t="shared" si="30"/>
        <v/>
      </c>
      <c r="BB455" s="632" t="str">
        <f t="shared" si="31"/>
        <v/>
      </c>
      <c r="BC455" s="632" t="str">
        <f t="shared" si="32"/>
        <v/>
      </c>
      <c r="BD455" s="633" t="str">
        <f>IF(AND(L455="",H455=""),"",
IF(H455="",Pole_Calc!A483,
IF(H455="MP",Pole_Calc!A484,
IF(H455="AnMP",Pole_Calc!A485,
IF(H455="A",Pole_Calc!A486,
IF(H455="S/A",Pole_Calc!A487,
IF(H455="A/S",Pole_Calc!A488,"Poner a mano")))))))</f>
        <v/>
      </c>
      <c r="BE455" s="448" t="s">
        <v>1726</v>
      </c>
      <c r="BF455" s="635"/>
      <c r="BG455" s="635"/>
      <c r="BH455" s="634"/>
      <c r="BI455" s="635"/>
    </row>
    <row r="456" spans="1:61" ht="16.2" customHeight="1">
      <c r="A456" s="12"/>
      <c r="B456" s="446"/>
      <c r="C456" s="89"/>
      <c r="D456" s="13"/>
      <c r="E456" s="14"/>
      <c r="F456" s="14"/>
      <c r="G456" s="15"/>
      <c r="H456" s="8"/>
      <c r="I456" s="8"/>
      <c r="J456" s="89"/>
      <c r="K456" s="8"/>
      <c r="L456" s="8"/>
      <c r="M456" s="8" t="str">
        <f>IF(L456="","",
IF(AX456="PT",VLOOKUP(L456,Foundation_Calc!$V$4:$X$37,VLOOKUP(AX456,Foundation_Calc!$I$10:$J$13,2,FALSE),0),
IF(AX456="K",VLOOKUP(L456,Foundation_Calc!$V$41:$X$74,VLOOKUP(AX456,Foundation_Calc!$I$10:$J$13,2,FALSE),0),"")))</f>
        <v/>
      </c>
      <c r="N456" s="8"/>
      <c r="O456" s="8"/>
      <c r="P456" s="8"/>
      <c r="Q456" s="14"/>
      <c r="R456" s="15"/>
      <c r="S456" s="15"/>
      <c r="T456" s="14"/>
      <c r="U456" s="14"/>
      <c r="V456" s="14"/>
      <c r="W456" s="18"/>
      <c r="X456" s="18"/>
      <c r="Y456" s="18"/>
      <c r="Z456" s="18"/>
      <c r="AA456" s="18"/>
      <c r="AB456" s="18"/>
      <c r="AC456" s="8" t="str">
        <f t="shared" si="29"/>
        <v/>
      </c>
      <c r="AD456" s="8"/>
      <c r="AE456" s="8"/>
      <c r="AF456" s="14"/>
      <c r="AG456" s="13"/>
      <c r="AH456" s="14"/>
      <c r="AI456" s="14"/>
      <c r="AJ456" s="8"/>
      <c r="AK456" s="8"/>
      <c r="AL456" s="8"/>
      <c r="AM456" s="8"/>
      <c r="AN456" s="631"/>
      <c r="AO456" s="18"/>
      <c r="AP456" s="18"/>
      <c r="AQ456" s="18"/>
      <c r="AR456" s="18"/>
      <c r="AS456" s="18"/>
      <c r="AU456" s="448"/>
      <c r="AV456" s="448"/>
      <c r="AW456" s="8" t="str">
        <f>IF(C456&gt;0,VLOOKUP(C456,Foundation_Calc!$A$2:$C$986,3,1),
IF(J456&gt;0,VLOOKUP(J456,Foundation_Calc!$A$2:$C$986,3,1),""))</f>
        <v/>
      </c>
      <c r="AX456" s="8" t="str">
        <f>IF(C456&gt;0,VLOOKUP(C456,Foundation_Calc!$E$2:$G$986,3,1),
IF(J456&gt;0,VLOOKUP(J456,Foundation_Calc!$E$2:$G$986,3,1),""))</f>
        <v/>
      </c>
      <c r="AY456" s="631" t="str">
        <f>IF(L456="","",
IF(AX456="PT",VLOOKUP(L456,Foundation_Calc!$K$4:$R$37,VLOOKUP(AW456,Foundation_Calc!$I$2:$J$8,2,FALSE),0),
IF(AX456="K",VLOOKUP(L456,Foundation_Calc!$K$41:$R$74,VLOOKUP(AW456,Foundation_Calc!$I$2:$J$8,2,FALSE),0),"")))</f>
        <v/>
      </c>
      <c r="AZ456" s="631" t="str">
        <f>IF(K456="","",
IF(AX456="PT",VLOOKUP(K456,Foundation_Calc!$K$4:$R$37,VLOOKUP(AW456,Foundation_Calc!$I$2:$J$8,2,FALSE),0),
IF(AX456="K",VLOOKUP(K456,Foundation_Calc!$K$41:$R$74,VLOOKUP(AW456,Foundation_Calc!$I$2:$J$8,2,FALSE),0),"")))</f>
        <v/>
      </c>
      <c r="BA456" s="632" t="str">
        <f t="shared" si="30"/>
        <v/>
      </c>
      <c r="BB456" s="632" t="str">
        <f t="shared" si="31"/>
        <v/>
      </c>
      <c r="BC456" s="632" t="str">
        <f t="shared" si="32"/>
        <v/>
      </c>
      <c r="BD456" s="633" t="str">
        <f>IF(AND(L456="",H456=""),"",
IF(H456="",Pole_Calc!A484,
IF(H456="MP",Pole_Calc!A485,
IF(H456="AnMP",Pole_Calc!A486,
IF(H456="A",Pole_Calc!A487,
IF(H456="S/A",Pole_Calc!A488,
IF(H456="A/S",Pole_Calc!A489,"Poner a mano")))))))</f>
        <v/>
      </c>
      <c r="BE456" s="448" t="s">
        <v>1726</v>
      </c>
      <c r="BF456" s="634"/>
      <c r="BG456" s="634"/>
      <c r="BH456" s="634"/>
      <c r="BI456" s="634"/>
    </row>
    <row r="457" spans="1:61" ht="16.2" customHeight="1">
      <c r="A457" s="12"/>
      <c r="B457" s="446"/>
      <c r="C457" s="89"/>
      <c r="D457" s="13"/>
      <c r="E457" s="14"/>
      <c r="F457" s="14"/>
      <c r="G457" s="15"/>
      <c r="H457" s="8"/>
      <c r="I457" s="8"/>
      <c r="J457" s="89"/>
      <c r="K457" s="8"/>
      <c r="L457" s="8"/>
      <c r="M457" s="8" t="str">
        <f>IF(L457="","",
IF(AX457="PT",VLOOKUP(L457,Foundation_Calc!$V$4:$X$37,VLOOKUP(AX457,Foundation_Calc!$I$10:$J$13,2,FALSE),0),
IF(AX457="K",VLOOKUP(L457,Foundation_Calc!$V$41:$X$74,VLOOKUP(AX457,Foundation_Calc!$I$10:$J$13,2,FALSE),0),"")))</f>
        <v/>
      </c>
      <c r="N457" s="8"/>
      <c r="O457" s="8"/>
      <c r="P457" s="8"/>
      <c r="Q457" s="14"/>
      <c r="R457" s="15"/>
      <c r="S457" s="15"/>
      <c r="T457" s="14"/>
      <c r="U457" s="14"/>
      <c r="V457" s="14"/>
      <c r="W457" s="18"/>
      <c r="X457" s="18"/>
      <c r="Y457" s="18"/>
      <c r="Z457" s="18"/>
      <c r="AA457" s="18"/>
      <c r="AB457" s="18"/>
      <c r="AC457" s="8" t="str">
        <f t="shared" si="29"/>
        <v/>
      </c>
      <c r="AD457" s="8"/>
      <c r="AE457" s="8"/>
      <c r="AF457" s="14"/>
      <c r="AG457" s="13"/>
      <c r="AH457" s="14"/>
      <c r="AI457" s="14"/>
      <c r="AJ457" s="8"/>
      <c r="AK457" s="8"/>
      <c r="AL457" s="8"/>
      <c r="AM457" s="8"/>
      <c r="AN457" s="631"/>
      <c r="AO457" s="18"/>
      <c r="AP457" s="18"/>
      <c r="AQ457" s="18"/>
      <c r="AR457" s="18"/>
      <c r="AS457" s="18"/>
      <c r="AU457" s="448"/>
      <c r="AV457" s="448"/>
      <c r="AW457" s="8" t="str">
        <f>IF(C457&gt;0,VLOOKUP(C457,Foundation_Calc!$A$2:$C$986,3,1),
IF(J457&gt;0,VLOOKUP(J457,Foundation_Calc!$A$2:$C$986,3,1),""))</f>
        <v/>
      </c>
      <c r="AX457" s="8" t="str">
        <f>IF(C457&gt;0,VLOOKUP(C457,Foundation_Calc!$E$2:$G$986,3,1),
IF(J457&gt;0,VLOOKUP(J457,Foundation_Calc!$E$2:$G$986,3,1),""))</f>
        <v/>
      </c>
      <c r="AY457" s="631" t="str">
        <f>IF(L457="","",
IF(AX457="PT",VLOOKUP(L457,Foundation_Calc!$K$4:$R$37,VLOOKUP(AW457,Foundation_Calc!$I$2:$J$8,2,FALSE),0),
IF(AX457="K",VLOOKUP(L457,Foundation_Calc!$K$41:$R$74,VLOOKUP(AW457,Foundation_Calc!$I$2:$J$8,2,FALSE),0),"")))</f>
        <v/>
      </c>
      <c r="AZ457" s="631" t="str">
        <f>IF(K457="","",
IF(AX457="PT",VLOOKUP(K457,Foundation_Calc!$K$4:$R$37,VLOOKUP(AW457,Foundation_Calc!$I$2:$J$8,2,FALSE),0),
IF(AX457="K",VLOOKUP(K457,Foundation_Calc!$K$41:$R$74,VLOOKUP(AW457,Foundation_Calc!$I$2:$J$8,2,FALSE),0),"")))</f>
        <v/>
      </c>
      <c r="BA457" s="632" t="str">
        <f t="shared" si="30"/>
        <v/>
      </c>
      <c r="BB457" s="632" t="str">
        <f t="shared" si="31"/>
        <v/>
      </c>
      <c r="BC457" s="632" t="str">
        <f t="shared" si="32"/>
        <v/>
      </c>
      <c r="BD457" s="633" t="str">
        <f>IF(AND(L457="",H457=""),"",
IF(H457="",Pole_Calc!A485,
IF(H457="MP",Pole_Calc!A486,
IF(H457="AnMP",Pole_Calc!A487,
IF(H457="A",Pole_Calc!A488,
IF(H457="S/A",Pole_Calc!A489,
IF(H457="A/S",Pole_Calc!A490,"Poner a mano")))))))</f>
        <v/>
      </c>
      <c r="BE457" s="448" t="s">
        <v>1726</v>
      </c>
      <c r="BF457" s="635"/>
      <c r="BG457" s="635"/>
      <c r="BH457" s="634"/>
      <c r="BI457" s="635"/>
    </row>
    <row r="458" spans="1:61" ht="16.2" customHeight="1">
      <c r="A458" s="12"/>
      <c r="B458" s="446"/>
      <c r="C458" s="89"/>
      <c r="D458" s="13"/>
      <c r="E458" s="14"/>
      <c r="F458" s="14"/>
      <c r="G458" s="15"/>
      <c r="H458" s="8"/>
      <c r="I458" s="8"/>
      <c r="J458" s="89"/>
      <c r="K458" s="8"/>
      <c r="L458" s="8"/>
      <c r="M458" s="8" t="str">
        <f>IF(L458="","",
IF(AX458="PT",VLOOKUP(L458,Foundation_Calc!$V$4:$X$37,VLOOKUP(AX458,Foundation_Calc!$I$10:$J$13,2,FALSE),0),
IF(AX458="K",VLOOKUP(L458,Foundation_Calc!$V$41:$X$74,VLOOKUP(AX458,Foundation_Calc!$I$10:$J$13,2,FALSE),0),"")))</f>
        <v/>
      </c>
      <c r="N458" s="8"/>
      <c r="O458" s="8"/>
      <c r="P458" s="8"/>
      <c r="Q458" s="14"/>
      <c r="R458" s="15"/>
      <c r="S458" s="15"/>
      <c r="T458" s="14"/>
      <c r="U458" s="14"/>
      <c r="V458" s="14"/>
      <c r="W458" s="18"/>
      <c r="X458" s="18"/>
      <c r="Y458" s="18"/>
      <c r="Z458" s="18"/>
      <c r="AA458" s="18"/>
      <c r="AB458" s="18"/>
      <c r="AC458" s="8" t="str">
        <f t="shared" si="29"/>
        <v/>
      </c>
      <c r="AD458" s="8"/>
      <c r="AE458" s="8"/>
      <c r="AF458" s="14"/>
      <c r="AG458" s="13"/>
      <c r="AH458" s="14"/>
      <c r="AI458" s="14"/>
      <c r="AJ458" s="8"/>
      <c r="AK458" s="8"/>
      <c r="AL458" s="8"/>
      <c r="AM458" s="8"/>
      <c r="AN458" s="631"/>
      <c r="AO458" s="18"/>
      <c r="AP458" s="18"/>
      <c r="AQ458" s="18"/>
      <c r="AR458" s="18"/>
      <c r="AS458" s="18"/>
      <c r="AU458" s="448"/>
      <c r="AV458" s="448"/>
      <c r="AW458" s="8" t="str">
        <f>IF(C458&gt;0,VLOOKUP(C458,Foundation_Calc!$A$2:$C$986,3,1),
IF(J458&gt;0,VLOOKUP(J458,Foundation_Calc!$A$2:$C$986,3,1),""))</f>
        <v/>
      </c>
      <c r="AX458" s="8" t="str">
        <f>IF(C458&gt;0,VLOOKUP(C458,Foundation_Calc!$E$2:$G$986,3,1),
IF(J458&gt;0,VLOOKUP(J458,Foundation_Calc!$E$2:$G$986,3,1),""))</f>
        <v/>
      </c>
      <c r="AY458" s="631" t="str">
        <f>IF(L458="","",
IF(AX458="PT",VLOOKUP(L458,Foundation_Calc!$K$4:$R$37,VLOOKUP(AW458,Foundation_Calc!$I$2:$J$8,2,FALSE),0),
IF(AX458="K",VLOOKUP(L458,Foundation_Calc!$K$41:$R$74,VLOOKUP(AW458,Foundation_Calc!$I$2:$J$8,2,FALSE),0),"")))</f>
        <v/>
      </c>
      <c r="AZ458" s="631" t="str">
        <f>IF(K458="","",
IF(AX458="PT",VLOOKUP(K458,Foundation_Calc!$K$4:$R$37,VLOOKUP(AW458,Foundation_Calc!$I$2:$J$8,2,FALSE),0),
IF(AX458="K",VLOOKUP(K458,Foundation_Calc!$K$41:$R$74,VLOOKUP(AW458,Foundation_Calc!$I$2:$J$8,2,FALSE),0),"")))</f>
        <v/>
      </c>
      <c r="BA458" s="632" t="str">
        <f t="shared" si="30"/>
        <v/>
      </c>
      <c r="BB458" s="632" t="str">
        <f t="shared" si="31"/>
        <v/>
      </c>
      <c r="BC458" s="632" t="str">
        <f t="shared" si="32"/>
        <v/>
      </c>
      <c r="BD458" s="633" t="str">
        <f>IF(AND(L458="",H458=""),"",
IF(H458="",Pole_Calc!A486,
IF(H458="MP",Pole_Calc!A487,
IF(H458="AnMP",Pole_Calc!A488,
IF(H458="A",Pole_Calc!A489,
IF(H458="S/A",Pole_Calc!A490,
IF(H458="A/S",Pole_Calc!A491,"Poner a mano")))))))</f>
        <v/>
      </c>
      <c r="BE458" s="448" t="s">
        <v>1726</v>
      </c>
      <c r="BF458" s="634"/>
      <c r="BG458" s="634"/>
      <c r="BH458" s="634"/>
      <c r="BI458" s="634"/>
    </row>
    <row r="459" spans="1:61" ht="16.2" customHeight="1">
      <c r="A459" s="12"/>
      <c r="B459" s="446"/>
      <c r="C459" s="89"/>
      <c r="D459" s="13"/>
      <c r="E459" s="14"/>
      <c r="F459" s="14"/>
      <c r="G459" s="15"/>
      <c r="H459" s="8"/>
      <c r="I459" s="8"/>
      <c r="J459" s="89"/>
      <c r="K459" s="8"/>
      <c r="L459" s="8"/>
      <c r="M459" s="8" t="str">
        <f>IF(L459="","",
IF(AX459="PT",VLOOKUP(L459,Foundation_Calc!$V$4:$X$37,VLOOKUP(AX459,Foundation_Calc!$I$10:$J$13,2,FALSE),0),
IF(AX459="K",VLOOKUP(L459,Foundation_Calc!$V$41:$X$74,VLOOKUP(AX459,Foundation_Calc!$I$10:$J$13,2,FALSE),0),"")))</f>
        <v/>
      </c>
      <c r="N459" s="8"/>
      <c r="O459" s="8"/>
      <c r="P459" s="8"/>
      <c r="Q459" s="14"/>
      <c r="R459" s="15"/>
      <c r="S459" s="15"/>
      <c r="T459" s="14"/>
      <c r="U459" s="14"/>
      <c r="V459" s="14"/>
      <c r="W459" s="18"/>
      <c r="X459" s="18"/>
      <c r="Y459" s="18"/>
      <c r="Z459" s="18"/>
      <c r="AA459" s="18"/>
      <c r="AB459" s="18"/>
      <c r="AC459" s="8" t="str">
        <f t="shared" si="29"/>
        <v/>
      </c>
      <c r="AD459" s="8"/>
      <c r="AE459" s="8"/>
      <c r="AF459" s="14"/>
      <c r="AG459" s="13"/>
      <c r="AH459" s="14"/>
      <c r="AI459" s="14"/>
      <c r="AJ459" s="8"/>
      <c r="AK459" s="8"/>
      <c r="AL459" s="8"/>
      <c r="AM459" s="8"/>
      <c r="AN459" s="631"/>
      <c r="AO459" s="18"/>
      <c r="AP459" s="18"/>
      <c r="AQ459" s="18"/>
      <c r="AR459" s="18"/>
      <c r="AS459" s="18"/>
      <c r="AU459" s="448"/>
      <c r="AV459" s="448"/>
      <c r="AW459" s="8" t="str">
        <f>IF(C459&gt;0,VLOOKUP(C459,Foundation_Calc!$A$2:$C$986,3,1),
IF(J459&gt;0,VLOOKUP(J459,Foundation_Calc!$A$2:$C$986,3,1),""))</f>
        <v/>
      </c>
      <c r="AX459" s="8" t="str">
        <f>IF(C459&gt;0,VLOOKUP(C459,Foundation_Calc!$E$2:$G$986,3,1),
IF(J459&gt;0,VLOOKUP(J459,Foundation_Calc!$E$2:$G$986,3,1),""))</f>
        <v/>
      </c>
      <c r="AY459" s="631" t="str">
        <f>IF(L459="","",
IF(AX459="PT",VLOOKUP(L459,Foundation_Calc!$K$4:$R$37,VLOOKUP(AW459,Foundation_Calc!$I$2:$J$8,2,FALSE),0),
IF(AX459="K",VLOOKUP(L459,Foundation_Calc!$K$41:$R$74,VLOOKUP(AW459,Foundation_Calc!$I$2:$J$8,2,FALSE),0),"")))</f>
        <v/>
      </c>
      <c r="AZ459" s="631" t="str">
        <f>IF(K459="","",
IF(AX459="PT",VLOOKUP(K459,Foundation_Calc!$K$4:$R$37,VLOOKUP(AW459,Foundation_Calc!$I$2:$J$8,2,FALSE),0),
IF(AX459="K",VLOOKUP(K459,Foundation_Calc!$K$41:$R$74,VLOOKUP(AW459,Foundation_Calc!$I$2:$J$8,2,FALSE),0),"")))</f>
        <v/>
      </c>
      <c r="BA459" s="632" t="str">
        <f t="shared" si="30"/>
        <v/>
      </c>
      <c r="BB459" s="632" t="str">
        <f t="shared" si="31"/>
        <v/>
      </c>
      <c r="BC459" s="632" t="str">
        <f t="shared" si="32"/>
        <v/>
      </c>
      <c r="BD459" s="633" t="str">
        <f>IF(AND(L459="",H459=""),"",
IF(H459="",Pole_Calc!A487,
IF(H459="MP",Pole_Calc!A488,
IF(H459="AnMP",Pole_Calc!A489,
IF(H459="A",Pole_Calc!A490,
IF(H459="S/A",Pole_Calc!A491,
IF(H459="A/S",Pole_Calc!A492,"Poner a mano")))))))</f>
        <v/>
      </c>
      <c r="BE459" s="448" t="s">
        <v>1726</v>
      </c>
      <c r="BF459" s="635"/>
      <c r="BG459" s="635"/>
      <c r="BH459" s="634"/>
      <c r="BI459" s="635"/>
    </row>
    <row r="460" spans="1:61" ht="16.2" customHeight="1">
      <c r="A460" s="12"/>
      <c r="B460" s="446"/>
      <c r="C460" s="89"/>
      <c r="D460" s="13"/>
      <c r="E460" s="14"/>
      <c r="F460" s="14"/>
      <c r="G460" s="15"/>
      <c r="H460" s="8"/>
      <c r="I460" s="8"/>
      <c r="J460" s="89"/>
      <c r="K460" s="8"/>
      <c r="L460" s="8"/>
      <c r="M460" s="8" t="str">
        <f>IF(L460="","",
IF(AX460="PT",VLOOKUP(L460,Foundation_Calc!$V$4:$X$37,VLOOKUP(AX460,Foundation_Calc!$I$10:$J$13,2,FALSE),0),
IF(AX460="K",VLOOKUP(L460,Foundation_Calc!$V$41:$X$74,VLOOKUP(AX460,Foundation_Calc!$I$10:$J$13,2,FALSE),0),"")))</f>
        <v/>
      </c>
      <c r="N460" s="8"/>
      <c r="O460" s="8"/>
      <c r="P460" s="8"/>
      <c r="Q460" s="14"/>
      <c r="R460" s="15"/>
      <c r="S460" s="15"/>
      <c r="T460" s="14"/>
      <c r="U460" s="14"/>
      <c r="V460" s="14"/>
      <c r="W460" s="18"/>
      <c r="X460" s="18"/>
      <c r="Y460" s="18"/>
      <c r="Z460" s="18"/>
      <c r="AA460" s="18"/>
      <c r="AB460" s="18"/>
      <c r="AC460" s="8" t="str">
        <f t="shared" si="29"/>
        <v/>
      </c>
      <c r="AD460" s="8"/>
      <c r="AE460" s="8"/>
      <c r="AF460" s="14"/>
      <c r="AG460" s="13"/>
      <c r="AH460" s="14"/>
      <c r="AI460" s="14"/>
      <c r="AJ460" s="8"/>
      <c r="AK460" s="8"/>
      <c r="AL460" s="8"/>
      <c r="AM460" s="8"/>
      <c r="AN460" s="631"/>
      <c r="AO460" s="18"/>
      <c r="AP460" s="18"/>
      <c r="AQ460" s="18"/>
      <c r="AR460" s="18"/>
      <c r="AS460" s="18"/>
      <c r="AU460" s="448"/>
      <c r="AV460" s="448"/>
      <c r="AW460" s="8" t="str">
        <f>IF(C460&gt;0,VLOOKUP(C460,Foundation_Calc!$A$2:$C$986,3,1),
IF(J460&gt;0,VLOOKUP(J460,Foundation_Calc!$A$2:$C$986,3,1),""))</f>
        <v/>
      </c>
      <c r="AX460" s="8" t="str">
        <f>IF(C460&gt;0,VLOOKUP(C460,Foundation_Calc!$E$2:$G$986,3,1),
IF(J460&gt;0,VLOOKUP(J460,Foundation_Calc!$E$2:$G$986,3,1),""))</f>
        <v/>
      </c>
      <c r="AY460" s="631" t="str">
        <f>IF(L460="","",
IF(AX460="PT",VLOOKUP(L460,Foundation_Calc!$K$4:$R$37,VLOOKUP(AW460,Foundation_Calc!$I$2:$J$8,2,FALSE),0),
IF(AX460="K",VLOOKUP(L460,Foundation_Calc!$K$41:$R$74,VLOOKUP(AW460,Foundation_Calc!$I$2:$J$8,2,FALSE),0),"")))</f>
        <v/>
      </c>
      <c r="AZ460" s="631" t="str">
        <f>IF(K460="","",
IF(AX460="PT",VLOOKUP(K460,Foundation_Calc!$K$4:$R$37,VLOOKUP(AW460,Foundation_Calc!$I$2:$J$8,2,FALSE),0),
IF(AX460="K",VLOOKUP(K460,Foundation_Calc!$K$41:$R$74,VLOOKUP(AW460,Foundation_Calc!$I$2:$J$8,2,FALSE),0),"")))</f>
        <v/>
      </c>
      <c r="BA460" s="632" t="str">
        <f t="shared" si="30"/>
        <v/>
      </c>
      <c r="BB460" s="632" t="str">
        <f t="shared" si="31"/>
        <v/>
      </c>
      <c r="BC460" s="632" t="str">
        <f t="shared" si="32"/>
        <v/>
      </c>
      <c r="BD460" s="633" t="str">
        <f>IF(AND(L460="",H460=""),"",
IF(H460="",Pole_Calc!A488,
IF(H460="MP",Pole_Calc!A489,
IF(H460="AnMP",Pole_Calc!A490,
IF(H460="A",Pole_Calc!A491,
IF(H460="S/A",Pole_Calc!A492,
IF(H460="A/S",Pole_Calc!A493,"Poner a mano")))))))</f>
        <v/>
      </c>
      <c r="BE460" s="448" t="s">
        <v>1726</v>
      </c>
      <c r="BF460" s="634"/>
      <c r="BG460" s="634"/>
      <c r="BH460" s="634"/>
      <c r="BI460" s="634"/>
    </row>
    <row r="461" spans="1:61" ht="16.2" customHeight="1">
      <c r="A461" s="12"/>
      <c r="B461" s="446"/>
      <c r="C461" s="89"/>
      <c r="D461" s="13"/>
      <c r="E461" s="14"/>
      <c r="F461" s="14"/>
      <c r="G461" s="15"/>
      <c r="H461" s="8"/>
      <c r="I461" s="8"/>
      <c r="J461" s="89"/>
      <c r="K461" s="8"/>
      <c r="L461" s="8"/>
      <c r="M461" s="8" t="str">
        <f>IF(L461="","",
IF(AX461="PT",VLOOKUP(L461,Foundation_Calc!$V$4:$X$37,VLOOKUP(AX461,Foundation_Calc!$I$10:$J$13,2,FALSE),0),
IF(AX461="K",VLOOKUP(L461,Foundation_Calc!$V$41:$X$74,VLOOKUP(AX461,Foundation_Calc!$I$10:$J$13,2,FALSE),0),"")))</f>
        <v/>
      </c>
      <c r="N461" s="8"/>
      <c r="O461" s="8"/>
      <c r="P461" s="8"/>
      <c r="Q461" s="14"/>
      <c r="R461" s="15"/>
      <c r="S461" s="15"/>
      <c r="T461" s="14"/>
      <c r="U461" s="14"/>
      <c r="V461" s="14"/>
      <c r="W461" s="18"/>
      <c r="X461" s="18"/>
      <c r="Y461" s="18"/>
      <c r="Z461" s="18"/>
      <c r="AA461" s="18"/>
      <c r="AB461" s="18"/>
      <c r="AC461" s="8" t="str">
        <f t="shared" si="29"/>
        <v/>
      </c>
      <c r="AD461" s="8"/>
      <c r="AE461" s="8"/>
      <c r="AF461" s="14"/>
      <c r="AG461" s="13"/>
      <c r="AH461" s="14"/>
      <c r="AI461" s="14"/>
      <c r="AJ461" s="8"/>
      <c r="AK461" s="8"/>
      <c r="AL461" s="8"/>
      <c r="AM461" s="8"/>
      <c r="AN461" s="631"/>
      <c r="AO461" s="18"/>
      <c r="AP461" s="18"/>
      <c r="AQ461" s="18"/>
      <c r="AR461" s="18"/>
      <c r="AS461" s="18"/>
      <c r="AU461" s="448"/>
      <c r="AV461" s="448"/>
      <c r="AW461" s="8" t="str">
        <f>IF(C461&gt;0,VLOOKUP(C461,Foundation_Calc!$A$2:$C$986,3,1),
IF(J461&gt;0,VLOOKUP(J461,Foundation_Calc!$A$2:$C$986,3,1),""))</f>
        <v/>
      </c>
      <c r="AX461" s="8" t="str">
        <f>IF(C461&gt;0,VLOOKUP(C461,Foundation_Calc!$E$2:$G$986,3,1),
IF(J461&gt;0,VLOOKUP(J461,Foundation_Calc!$E$2:$G$986,3,1),""))</f>
        <v/>
      </c>
      <c r="AY461" s="631" t="str">
        <f>IF(L461="","",
IF(AX461="PT",VLOOKUP(L461,Foundation_Calc!$K$4:$R$37,VLOOKUP(AW461,Foundation_Calc!$I$2:$J$8,2,FALSE),0),
IF(AX461="K",VLOOKUP(L461,Foundation_Calc!$K$41:$R$74,VLOOKUP(AW461,Foundation_Calc!$I$2:$J$8,2,FALSE),0),"")))</f>
        <v/>
      </c>
      <c r="AZ461" s="631" t="str">
        <f>IF(K461="","",
IF(AX461="PT",VLOOKUP(K461,Foundation_Calc!$K$4:$R$37,VLOOKUP(AW461,Foundation_Calc!$I$2:$J$8,2,FALSE),0),
IF(AX461="K",VLOOKUP(K461,Foundation_Calc!$K$41:$R$74,VLOOKUP(AW461,Foundation_Calc!$I$2:$J$8,2,FALSE),0),"")))</f>
        <v/>
      </c>
      <c r="BA461" s="632" t="str">
        <f t="shared" si="30"/>
        <v/>
      </c>
      <c r="BB461" s="632" t="str">
        <f t="shared" si="31"/>
        <v/>
      </c>
      <c r="BC461" s="632" t="str">
        <f t="shared" si="32"/>
        <v/>
      </c>
      <c r="BD461" s="633" t="str">
        <f>IF(AND(L461="",H461=""),"",
IF(H461="",Pole_Calc!A489,
IF(H461="MP",Pole_Calc!A490,
IF(H461="AnMP",Pole_Calc!A491,
IF(H461="A",Pole_Calc!A492,
IF(H461="S/A",Pole_Calc!A493,
IF(H461="A/S",Pole_Calc!A494,"Poner a mano")))))))</f>
        <v/>
      </c>
      <c r="BE461" s="448" t="s">
        <v>1726</v>
      </c>
      <c r="BF461" s="635"/>
      <c r="BG461" s="635"/>
      <c r="BH461" s="634"/>
      <c r="BI461" s="635"/>
    </row>
    <row r="462" spans="1:61" ht="16.2" customHeight="1">
      <c r="A462" s="12"/>
      <c r="B462" s="446"/>
      <c r="C462" s="89"/>
      <c r="D462" s="13"/>
      <c r="E462" s="14"/>
      <c r="F462" s="14"/>
      <c r="G462" s="15"/>
      <c r="H462" s="8"/>
      <c r="I462" s="8"/>
      <c r="J462" s="89"/>
      <c r="K462" s="8"/>
      <c r="L462" s="8"/>
      <c r="M462" s="8" t="str">
        <f>IF(L462="","",
IF(AX462="PT",VLOOKUP(L462,Foundation_Calc!$V$4:$X$37,VLOOKUP(AX462,Foundation_Calc!$I$10:$J$13,2,FALSE),0),
IF(AX462="K",VLOOKUP(L462,Foundation_Calc!$V$41:$X$74,VLOOKUP(AX462,Foundation_Calc!$I$10:$J$13,2,FALSE),0),"")))</f>
        <v/>
      </c>
      <c r="N462" s="8"/>
      <c r="O462" s="8"/>
      <c r="P462" s="8"/>
      <c r="Q462" s="14"/>
      <c r="R462" s="15"/>
      <c r="S462" s="15"/>
      <c r="T462" s="14"/>
      <c r="U462" s="14"/>
      <c r="V462" s="14"/>
      <c r="W462" s="18"/>
      <c r="X462" s="18"/>
      <c r="Y462" s="18"/>
      <c r="Z462" s="18"/>
      <c r="AA462" s="18"/>
      <c r="AB462" s="18"/>
      <c r="AC462" s="8" t="str">
        <f t="shared" si="29"/>
        <v/>
      </c>
      <c r="AD462" s="8"/>
      <c r="AE462" s="8"/>
      <c r="AF462" s="14"/>
      <c r="AG462" s="13"/>
      <c r="AH462" s="14"/>
      <c r="AI462" s="14"/>
      <c r="AJ462" s="8"/>
      <c r="AK462" s="8"/>
      <c r="AL462" s="8"/>
      <c r="AM462" s="8"/>
      <c r="AN462" s="631"/>
      <c r="AO462" s="18"/>
      <c r="AP462" s="18"/>
      <c r="AQ462" s="18"/>
      <c r="AR462" s="18"/>
      <c r="AS462" s="18"/>
      <c r="AU462" s="448"/>
      <c r="AV462" s="448"/>
      <c r="AW462" s="8" t="str">
        <f>IF(C462&gt;0,VLOOKUP(C462,Foundation_Calc!$A$2:$C$986,3,1),
IF(J462&gt;0,VLOOKUP(J462,Foundation_Calc!$A$2:$C$986,3,1),""))</f>
        <v/>
      </c>
      <c r="AX462" s="8" t="str">
        <f>IF(C462&gt;0,VLOOKUP(C462,Foundation_Calc!$E$2:$G$986,3,1),
IF(J462&gt;0,VLOOKUP(J462,Foundation_Calc!$E$2:$G$986,3,1),""))</f>
        <v/>
      </c>
      <c r="AY462" s="631" t="str">
        <f>IF(L462="","",
IF(AX462="PT",VLOOKUP(L462,Foundation_Calc!$K$4:$R$37,VLOOKUP(AW462,Foundation_Calc!$I$2:$J$8,2,FALSE),0),
IF(AX462="K",VLOOKUP(L462,Foundation_Calc!$K$41:$R$74,VLOOKUP(AW462,Foundation_Calc!$I$2:$J$8,2,FALSE),0),"")))</f>
        <v/>
      </c>
      <c r="AZ462" s="631" t="str">
        <f>IF(K462="","",
IF(AX462="PT",VLOOKUP(K462,Foundation_Calc!$K$4:$R$37,VLOOKUP(AW462,Foundation_Calc!$I$2:$J$8,2,FALSE),0),
IF(AX462="K",VLOOKUP(K462,Foundation_Calc!$K$41:$R$74,VLOOKUP(AW462,Foundation_Calc!$I$2:$J$8,2,FALSE),0),"")))</f>
        <v/>
      </c>
      <c r="BA462" s="632" t="str">
        <f t="shared" si="30"/>
        <v/>
      </c>
      <c r="BB462" s="632" t="str">
        <f t="shared" si="31"/>
        <v/>
      </c>
      <c r="BC462" s="632" t="str">
        <f t="shared" si="32"/>
        <v/>
      </c>
      <c r="BD462" s="633" t="str">
        <f>IF(AND(L462="",H462=""),"",
IF(H462="",Pole_Calc!A490,
IF(H462="MP",Pole_Calc!A491,
IF(H462="AnMP",Pole_Calc!A492,
IF(H462="A",Pole_Calc!A493,
IF(H462="S/A",Pole_Calc!A494,
IF(H462="A/S",Pole_Calc!A495,"Poner a mano")))))))</f>
        <v/>
      </c>
      <c r="BE462" s="448" t="s">
        <v>1726</v>
      </c>
      <c r="BF462" s="634"/>
      <c r="BG462" s="634"/>
      <c r="BH462" s="634"/>
      <c r="BI462" s="634"/>
    </row>
    <row r="463" spans="1:61" ht="16.2" customHeight="1">
      <c r="A463" s="12"/>
      <c r="B463" s="446"/>
      <c r="C463" s="89"/>
      <c r="D463" s="13"/>
      <c r="E463" s="14"/>
      <c r="F463" s="14"/>
      <c r="G463" s="15"/>
      <c r="H463" s="8"/>
      <c r="I463" s="8"/>
      <c r="J463" s="89"/>
      <c r="K463" s="8"/>
      <c r="L463" s="8"/>
      <c r="M463" s="8" t="str">
        <f>IF(L463="","",
IF(AX463="PT",VLOOKUP(L463,Foundation_Calc!$V$4:$X$37,VLOOKUP(AX463,Foundation_Calc!$I$10:$J$13,2,FALSE),0),
IF(AX463="K",VLOOKUP(L463,Foundation_Calc!$V$41:$X$74,VLOOKUP(AX463,Foundation_Calc!$I$10:$J$13,2,FALSE),0),"")))</f>
        <v/>
      </c>
      <c r="N463" s="8"/>
      <c r="O463" s="8"/>
      <c r="P463" s="8"/>
      <c r="Q463" s="14"/>
      <c r="R463" s="15"/>
      <c r="S463" s="15"/>
      <c r="T463" s="14"/>
      <c r="U463" s="14"/>
      <c r="V463" s="14"/>
      <c r="W463" s="18"/>
      <c r="X463" s="18"/>
      <c r="Y463" s="18"/>
      <c r="Z463" s="18"/>
      <c r="AA463" s="18"/>
      <c r="AB463" s="18"/>
      <c r="AC463" s="8" t="str">
        <f t="shared" si="29"/>
        <v/>
      </c>
      <c r="AD463" s="8"/>
      <c r="AE463" s="8"/>
      <c r="AF463" s="14"/>
      <c r="AG463" s="13"/>
      <c r="AH463" s="14"/>
      <c r="AI463" s="14"/>
      <c r="AJ463" s="8"/>
      <c r="AK463" s="8"/>
      <c r="AL463" s="8"/>
      <c r="AM463" s="8"/>
      <c r="AN463" s="631"/>
      <c r="AO463" s="18"/>
      <c r="AP463" s="18"/>
      <c r="AQ463" s="18"/>
      <c r="AR463" s="18"/>
      <c r="AS463" s="18"/>
      <c r="AU463" s="448"/>
      <c r="AV463" s="448"/>
      <c r="AW463" s="8" t="str">
        <f>IF(C463&gt;0,VLOOKUP(C463,Foundation_Calc!$A$2:$C$986,3,1),
IF(J463&gt;0,VLOOKUP(J463,Foundation_Calc!$A$2:$C$986,3,1),""))</f>
        <v/>
      </c>
      <c r="AX463" s="8" t="str">
        <f>IF(C463&gt;0,VLOOKUP(C463,Foundation_Calc!$E$2:$G$986,3,1),
IF(J463&gt;0,VLOOKUP(J463,Foundation_Calc!$E$2:$G$986,3,1),""))</f>
        <v/>
      </c>
      <c r="AY463" s="631" t="str">
        <f>IF(L463="","",
IF(AX463="PT",VLOOKUP(L463,Foundation_Calc!$K$4:$R$37,VLOOKUP(AW463,Foundation_Calc!$I$2:$J$8,2,FALSE),0),
IF(AX463="K",VLOOKUP(L463,Foundation_Calc!$K$41:$R$74,VLOOKUP(AW463,Foundation_Calc!$I$2:$J$8,2,FALSE),0),"")))</f>
        <v/>
      </c>
      <c r="AZ463" s="631" t="str">
        <f>IF(K463="","",
IF(AX463="PT",VLOOKUP(K463,Foundation_Calc!$K$4:$R$37,VLOOKUP(AW463,Foundation_Calc!$I$2:$J$8,2,FALSE),0),
IF(AX463="K",VLOOKUP(K463,Foundation_Calc!$K$41:$R$74,VLOOKUP(AW463,Foundation_Calc!$I$2:$J$8,2,FALSE),0),"")))</f>
        <v/>
      </c>
      <c r="BA463" s="632" t="str">
        <f t="shared" si="30"/>
        <v/>
      </c>
      <c r="BB463" s="632" t="str">
        <f t="shared" si="31"/>
        <v/>
      </c>
      <c r="BC463" s="632" t="str">
        <f t="shared" si="32"/>
        <v/>
      </c>
      <c r="BD463" s="633" t="str">
        <f>IF(AND(L463="",H463=""),"",
IF(H463="",Pole_Calc!A491,
IF(H463="MP",Pole_Calc!A492,
IF(H463="AnMP",Pole_Calc!A493,
IF(H463="A",Pole_Calc!A494,
IF(H463="S/A",Pole_Calc!A495,
IF(H463="A/S",Pole_Calc!A496,"Poner a mano")))))))</f>
        <v/>
      </c>
      <c r="BE463" s="448" t="s">
        <v>1726</v>
      </c>
      <c r="BF463" s="635"/>
      <c r="BG463" s="635"/>
      <c r="BH463" s="634"/>
      <c r="BI463" s="635"/>
    </row>
    <row r="464" spans="1:61" ht="16.2" customHeight="1">
      <c r="A464" s="12"/>
      <c r="B464" s="446"/>
      <c r="C464" s="89"/>
      <c r="D464" s="13"/>
      <c r="E464" s="14"/>
      <c r="F464" s="14"/>
      <c r="G464" s="15"/>
      <c r="H464" s="8"/>
      <c r="I464" s="8"/>
      <c r="J464" s="89"/>
      <c r="K464" s="8"/>
      <c r="L464" s="8"/>
      <c r="M464" s="8" t="str">
        <f>IF(L464="","",
IF(AX464="PT",VLOOKUP(L464,Foundation_Calc!$V$4:$X$37,VLOOKUP(AX464,Foundation_Calc!$I$10:$J$13,2,FALSE),0),
IF(AX464="K",VLOOKUP(L464,Foundation_Calc!$V$41:$X$74,VLOOKUP(AX464,Foundation_Calc!$I$10:$J$13,2,FALSE),0),"")))</f>
        <v/>
      </c>
      <c r="N464" s="8"/>
      <c r="O464" s="8"/>
      <c r="P464" s="8"/>
      <c r="Q464" s="14"/>
      <c r="R464" s="15"/>
      <c r="S464" s="15"/>
      <c r="T464" s="14"/>
      <c r="U464" s="14"/>
      <c r="V464" s="14"/>
      <c r="W464" s="18"/>
      <c r="X464" s="18"/>
      <c r="Y464" s="18"/>
      <c r="Z464" s="18"/>
      <c r="AA464" s="18"/>
      <c r="AB464" s="18"/>
      <c r="AC464" s="8" t="str">
        <f t="shared" si="29"/>
        <v/>
      </c>
      <c r="AD464" s="8"/>
      <c r="AE464" s="8"/>
      <c r="AF464" s="14"/>
      <c r="AG464" s="13"/>
      <c r="AH464" s="14"/>
      <c r="AI464" s="14"/>
      <c r="AJ464" s="8"/>
      <c r="AK464" s="8"/>
      <c r="AL464" s="8"/>
      <c r="AM464" s="8"/>
      <c r="AN464" s="631"/>
      <c r="AO464" s="18"/>
      <c r="AP464" s="18"/>
      <c r="AQ464" s="18"/>
      <c r="AR464" s="18"/>
      <c r="AS464" s="18"/>
      <c r="AU464" s="448"/>
      <c r="AV464" s="448"/>
      <c r="AW464" s="8" t="str">
        <f>IF(C464&gt;0,VLOOKUP(C464,Foundation_Calc!$A$2:$C$986,3,1),
IF(J464&gt;0,VLOOKUP(J464,Foundation_Calc!$A$2:$C$986,3,1),""))</f>
        <v/>
      </c>
      <c r="AX464" s="8" t="str">
        <f>IF(C464&gt;0,VLOOKUP(C464,Foundation_Calc!$E$2:$G$986,3,1),
IF(J464&gt;0,VLOOKUP(J464,Foundation_Calc!$E$2:$G$986,3,1),""))</f>
        <v/>
      </c>
      <c r="AY464" s="631" t="str">
        <f>IF(L464="","",
IF(AX464="PT",VLOOKUP(L464,Foundation_Calc!$K$4:$R$37,VLOOKUP(AW464,Foundation_Calc!$I$2:$J$8,2,FALSE),0),
IF(AX464="K",VLOOKUP(L464,Foundation_Calc!$K$41:$R$74,VLOOKUP(AW464,Foundation_Calc!$I$2:$J$8,2,FALSE),0),"")))</f>
        <v/>
      </c>
      <c r="AZ464" s="631" t="str">
        <f>IF(K464="","",
IF(AX464="PT",VLOOKUP(K464,Foundation_Calc!$K$4:$R$37,VLOOKUP(AW464,Foundation_Calc!$I$2:$J$8,2,FALSE),0),
IF(AX464="K",VLOOKUP(K464,Foundation_Calc!$K$41:$R$74,VLOOKUP(AW464,Foundation_Calc!$I$2:$J$8,2,FALSE),0),"")))</f>
        <v/>
      </c>
      <c r="BA464" s="632" t="str">
        <f t="shared" si="30"/>
        <v/>
      </c>
      <c r="BB464" s="632" t="str">
        <f t="shared" si="31"/>
        <v/>
      </c>
      <c r="BC464" s="632" t="str">
        <f t="shared" si="32"/>
        <v/>
      </c>
      <c r="BD464" s="633" t="str">
        <f>IF(AND(L464="",H464=""),"",
IF(H464="",Pole_Calc!A492,
IF(H464="MP",Pole_Calc!A493,
IF(H464="AnMP",Pole_Calc!A494,
IF(H464="A",Pole_Calc!A495,
IF(H464="S/A",Pole_Calc!A496,
IF(H464="A/S",Pole_Calc!A497,"Poner a mano")))))))</f>
        <v/>
      </c>
      <c r="BE464" s="448" t="s">
        <v>1726</v>
      </c>
      <c r="BF464" s="634"/>
      <c r="BG464" s="634"/>
      <c r="BH464" s="634"/>
      <c r="BI464" s="634"/>
    </row>
    <row r="465" spans="1:61" ht="16.2" customHeight="1">
      <c r="A465" s="12"/>
      <c r="B465" s="446"/>
      <c r="C465" s="89"/>
      <c r="D465" s="13"/>
      <c r="E465" s="14"/>
      <c r="F465" s="14"/>
      <c r="G465" s="15"/>
      <c r="H465" s="8"/>
      <c r="I465" s="8"/>
      <c r="J465" s="89"/>
      <c r="K465" s="8"/>
      <c r="L465" s="8"/>
      <c r="M465" s="8" t="str">
        <f>IF(L465="","",
IF(AX465="PT",VLOOKUP(L465,Foundation_Calc!$V$4:$X$37,VLOOKUP(AX465,Foundation_Calc!$I$10:$J$13,2,FALSE),0),
IF(AX465="K",VLOOKUP(L465,Foundation_Calc!$V$41:$X$74,VLOOKUP(AX465,Foundation_Calc!$I$10:$J$13,2,FALSE),0),"")))</f>
        <v/>
      </c>
      <c r="N465" s="8"/>
      <c r="O465" s="8"/>
      <c r="P465" s="8"/>
      <c r="Q465" s="14"/>
      <c r="R465" s="15"/>
      <c r="S465" s="15"/>
      <c r="T465" s="14"/>
      <c r="U465" s="14"/>
      <c r="V465" s="14"/>
      <c r="W465" s="18"/>
      <c r="X465" s="18"/>
      <c r="Y465" s="18"/>
      <c r="Z465" s="18"/>
      <c r="AA465" s="18"/>
      <c r="AB465" s="18"/>
      <c r="AC465" s="8" t="str">
        <f t="shared" si="29"/>
        <v/>
      </c>
      <c r="AD465" s="8"/>
      <c r="AE465" s="8"/>
      <c r="AF465" s="14"/>
      <c r="AG465" s="13"/>
      <c r="AH465" s="14"/>
      <c r="AI465" s="14"/>
      <c r="AJ465" s="8"/>
      <c r="AK465" s="8"/>
      <c r="AL465" s="8"/>
      <c r="AM465" s="8"/>
      <c r="AN465" s="631"/>
      <c r="AO465" s="18"/>
      <c r="AP465" s="18"/>
      <c r="AQ465" s="18"/>
      <c r="AR465" s="18"/>
      <c r="AS465" s="18"/>
      <c r="AU465" s="448"/>
      <c r="AV465" s="448"/>
      <c r="AW465" s="8" t="str">
        <f>IF(C465&gt;0,VLOOKUP(C465,Foundation_Calc!$A$2:$C$986,3,1),
IF(J465&gt;0,VLOOKUP(J465,Foundation_Calc!$A$2:$C$986,3,1),""))</f>
        <v/>
      </c>
      <c r="AX465" s="8" t="str">
        <f>IF(C465&gt;0,VLOOKUP(C465,Foundation_Calc!$E$2:$G$986,3,1),
IF(J465&gt;0,VLOOKUP(J465,Foundation_Calc!$E$2:$G$986,3,1),""))</f>
        <v/>
      </c>
      <c r="AY465" s="631" t="str">
        <f>IF(L465="","",
IF(AX465="PT",VLOOKUP(L465,Foundation_Calc!$K$4:$R$37,VLOOKUP(AW465,Foundation_Calc!$I$2:$J$8,2,FALSE),0),
IF(AX465="K",VLOOKUP(L465,Foundation_Calc!$K$41:$R$74,VLOOKUP(AW465,Foundation_Calc!$I$2:$J$8,2,FALSE),0),"")))</f>
        <v/>
      </c>
      <c r="AZ465" s="631" t="str">
        <f>IF(K465="","",
IF(AX465="PT",VLOOKUP(K465,Foundation_Calc!$K$4:$R$37,VLOOKUP(AW465,Foundation_Calc!$I$2:$J$8,2,FALSE),0),
IF(AX465="K",VLOOKUP(K465,Foundation_Calc!$K$41:$R$74,VLOOKUP(AW465,Foundation_Calc!$I$2:$J$8,2,FALSE),0),"")))</f>
        <v/>
      </c>
      <c r="BA465" s="632" t="str">
        <f t="shared" si="30"/>
        <v/>
      </c>
      <c r="BB465" s="632" t="str">
        <f t="shared" si="31"/>
        <v/>
      </c>
      <c r="BC465" s="632" t="str">
        <f t="shared" si="32"/>
        <v/>
      </c>
      <c r="BD465" s="633" t="str">
        <f>IF(AND(L465="",H465=""),"",
IF(H465="",Pole_Calc!A493,
IF(H465="MP",Pole_Calc!A494,
IF(H465="AnMP",Pole_Calc!A495,
IF(H465="A",Pole_Calc!A496,
IF(H465="S/A",Pole_Calc!A497,
IF(H465="A/S",Pole_Calc!A498,"Poner a mano")))))))</f>
        <v/>
      </c>
      <c r="BE465" s="448" t="s">
        <v>1726</v>
      </c>
      <c r="BF465" s="635"/>
      <c r="BG465" s="635"/>
      <c r="BH465" s="634"/>
      <c r="BI465" s="635"/>
    </row>
    <row r="466" spans="1:61" ht="16.2" customHeight="1">
      <c r="A466" s="12"/>
      <c r="B466" s="446"/>
      <c r="C466" s="89"/>
      <c r="D466" s="13"/>
      <c r="E466" s="14"/>
      <c r="F466" s="14"/>
      <c r="G466" s="15"/>
      <c r="H466" s="8"/>
      <c r="I466" s="8"/>
      <c r="J466" s="89"/>
      <c r="K466" s="8"/>
      <c r="L466" s="8"/>
      <c r="M466" s="8" t="str">
        <f>IF(L466="","",
IF(AX466="PT",VLOOKUP(L466,Foundation_Calc!$V$4:$X$37,VLOOKUP(AX466,Foundation_Calc!$I$10:$J$13,2,FALSE),0),
IF(AX466="K",VLOOKUP(L466,Foundation_Calc!$V$41:$X$74,VLOOKUP(AX466,Foundation_Calc!$I$10:$J$13,2,FALSE),0),"")))</f>
        <v/>
      </c>
      <c r="N466" s="8"/>
      <c r="O466" s="8"/>
      <c r="P466" s="8"/>
      <c r="Q466" s="14"/>
      <c r="R466" s="15"/>
      <c r="S466" s="15"/>
      <c r="T466" s="14"/>
      <c r="U466" s="14"/>
      <c r="V466" s="14"/>
      <c r="W466" s="18"/>
      <c r="X466" s="18"/>
      <c r="Y466" s="18"/>
      <c r="Z466" s="18"/>
      <c r="AA466" s="18"/>
      <c r="AB466" s="18"/>
      <c r="AC466" s="8" t="str">
        <f t="shared" si="29"/>
        <v/>
      </c>
      <c r="AD466" s="8"/>
      <c r="AE466" s="8"/>
      <c r="AF466" s="14"/>
      <c r="AG466" s="13"/>
      <c r="AH466" s="14"/>
      <c r="AI466" s="14"/>
      <c r="AJ466" s="8"/>
      <c r="AK466" s="8"/>
      <c r="AL466" s="8"/>
      <c r="AM466" s="8"/>
      <c r="AN466" s="631"/>
      <c r="AO466" s="18"/>
      <c r="AP466" s="18"/>
      <c r="AQ466" s="18"/>
      <c r="AR466" s="18"/>
      <c r="AS466" s="18"/>
      <c r="AU466" s="448"/>
      <c r="AV466" s="448"/>
      <c r="AW466" s="8" t="str">
        <f>IF(C466&gt;0,VLOOKUP(C466,Foundation_Calc!$A$2:$C$986,3,1),
IF(J466&gt;0,VLOOKUP(J466,Foundation_Calc!$A$2:$C$986,3,1),""))</f>
        <v/>
      </c>
      <c r="AX466" s="8" t="str">
        <f>IF(C466&gt;0,VLOOKUP(C466,Foundation_Calc!$E$2:$G$986,3,1),
IF(J466&gt;0,VLOOKUP(J466,Foundation_Calc!$E$2:$G$986,3,1),""))</f>
        <v/>
      </c>
      <c r="AY466" s="631" t="str">
        <f>IF(L466="","",
IF(AX466="PT",VLOOKUP(L466,Foundation_Calc!$K$4:$R$37,VLOOKUP(AW466,Foundation_Calc!$I$2:$J$8,2,FALSE),0),
IF(AX466="K",VLOOKUP(L466,Foundation_Calc!$K$41:$R$74,VLOOKUP(AW466,Foundation_Calc!$I$2:$J$8,2,FALSE),0),"")))</f>
        <v/>
      </c>
      <c r="AZ466" s="631" t="str">
        <f>IF(K466="","",
IF(AX466="PT",VLOOKUP(K466,Foundation_Calc!$K$4:$R$37,VLOOKUP(AW466,Foundation_Calc!$I$2:$J$8,2,FALSE),0),
IF(AX466="K",VLOOKUP(K466,Foundation_Calc!$K$41:$R$74,VLOOKUP(AW466,Foundation_Calc!$I$2:$J$8,2,FALSE),0),"")))</f>
        <v/>
      </c>
      <c r="BA466" s="632" t="str">
        <f t="shared" si="30"/>
        <v/>
      </c>
      <c r="BB466" s="632" t="str">
        <f t="shared" si="31"/>
        <v/>
      </c>
      <c r="BC466" s="632" t="str">
        <f t="shared" si="32"/>
        <v/>
      </c>
      <c r="BD466" s="633" t="str">
        <f>IF(AND(L466="",H466=""),"",
IF(H466="",Pole_Calc!A494,
IF(H466="MP",Pole_Calc!A495,
IF(H466="AnMP",Pole_Calc!A496,
IF(H466="A",Pole_Calc!A497,
IF(H466="S/A",Pole_Calc!A498,
IF(H466="A/S",Pole_Calc!A499,"Poner a mano")))))))</f>
        <v/>
      </c>
      <c r="BE466" s="448" t="s">
        <v>1726</v>
      </c>
      <c r="BF466" s="634"/>
      <c r="BG466" s="634"/>
      <c r="BH466" s="634"/>
      <c r="BI466" s="634"/>
    </row>
    <row r="467" spans="1:61" ht="16.2" customHeight="1">
      <c r="A467" s="12"/>
      <c r="B467" s="446"/>
      <c r="C467" s="89"/>
      <c r="D467" s="13"/>
      <c r="E467" s="14"/>
      <c r="F467" s="14"/>
      <c r="G467" s="15"/>
      <c r="H467" s="8"/>
      <c r="I467" s="8"/>
      <c r="J467" s="89"/>
      <c r="K467" s="8"/>
      <c r="L467" s="8"/>
      <c r="M467" s="8" t="str">
        <f>IF(L467="","",
IF(AX467="PT",VLOOKUP(L467,Foundation_Calc!$V$4:$X$37,VLOOKUP(AX467,Foundation_Calc!$I$10:$J$13,2,FALSE),0),
IF(AX467="K",VLOOKUP(L467,Foundation_Calc!$V$41:$X$74,VLOOKUP(AX467,Foundation_Calc!$I$10:$J$13,2,FALSE),0),"")))</f>
        <v/>
      </c>
      <c r="N467" s="8"/>
      <c r="O467" s="8"/>
      <c r="P467" s="8"/>
      <c r="Q467" s="14"/>
      <c r="R467" s="15"/>
      <c r="S467" s="15"/>
      <c r="T467" s="14"/>
      <c r="U467" s="14"/>
      <c r="V467" s="14"/>
      <c r="W467" s="18"/>
      <c r="X467" s="18"/>
      <c r="Y467" s="18"/>
      <c r="Z467" s="18"/>
      <c r="AA467" s="18"/>
      <c r="AB467" s="18"/>
      <c r="AC467" s="8" t="str">
        <f t="shared" si="29"/>
        <v/>
      </c>
      <c r="AD467" s="8"/>
      <c r="AE467" s="8"/>
      <c r="AF467" s="14"/>
      <c r="AG467" s="13"/>
      <c r="AH467" s="14"/>
      <c r="AI467" s="14"/>
      <c r="AJ467" s="8"/>
      <c r="AK467" s="8"/>
      <c r="AL467" s="8"/>
      <c r="AM467" s="8"/>
      <c r="AN467" s="631"/>
      <c r="AO467" s="18"/>
      <c r="AP467" s="18"/>
      <c r="AQ467" s="18"/>
      <c r="AR467" s="18"/>
      <c r="AS467" s="18"/>
      <c r="AU467" s="448"/>
      <c r="AV467" s="448"/>
      <c r="AW467" s="8" t="str">
        <f>IF(C467&gt;0,VLOOKUP(C467,Foundation_Calc!$A$2:$C$986,3,1),
IF(J467&gt;0,VLOOKUP(J467,Foundation_Calc!$A$2:$C$986,3,1),""))</f>
        <v/>
      </c>
      <c r="AX467" s="8" t="str">
        <f>IF(C467&gt;0,VLOOKUP(C467,Foundation_Calc!$E$2:$G$986,3,1),
IF(J467&gt;0,VLOOKUP(J467,Foundation_Calc!$E$2:$G$986,3,1),""))</f>
        <v/>
      </c>
      <c r="AY467" s="631" t="str">
        <f>IF(L467="","",
IF(AX467="PT",VLOOKUP(L467,Foundation_Calc!$K$4:$R$37,VLOOKUP(AW467,Foundation_Calc!$I$2:$J$8,2,FALSE),0),
IF(AX467="K",VLOOKUP(L467,Foundation_Calc!$K$41:$R$74,VLOOKUP(AW467,Foundation_Calc!$I$2:$J$8,2,FALSE),0),"")))</f>
        <v/>
      </c>
      <c r="AZ467" s="631" t="str">
        <f>IF(K467="","",
IF(AX467="PT",VLOOKUP(K467,Foundation_Calc!$K$4:$R$37,VLOOKUP(AW467,Foundation_Calc!$I$2:$J$8,2,FALSE),0),
IF(AX467="K",VLOOKUP(K467,Foundation_Calc!$K$41:$R$74,VLOOKUP(AW467,Foundation_Calc!$I$2:$J$8,2,FALSE),0),"")))</f>
        <v/>
      </c>
      <c r="BA467" s="632" t="str">
        <f t="shared" si="30"/>
        <v/>
      </c>
      <c r="BB467" s="632" t="str">
        <f t="shared" si="31"/>
        <v/>
      </c>
      <c r="BC467" s="632" t="str">
        <f t="shared" si="32"/>
        <v/>
      </c>
      <c r="BD467" s="633" t="str">
        <f>IF(AND(L467="",H467=""),"",
IF(H467="",Pole_Calc!A495,
IF(H467="MP",Pole_Calc!A496,
IF(H467="AnMP",Pole_Calc!A497,
IF(H467="A",Pole_Calc!A498,
IF(H467="S/A",Pole_Calc!A499,
IF(H467="A/S",Pole_Calc!A500,"Poner a mano")))))))</f>
        <v/>
      </c>
      <c r="BE467" s="448" t="s">
        <v>1726</v>
      </c>
      <c r="BF467" s="635"/>
      <c r="BG467" s="635"/>
      <c r="BH467" s="634"/>
      <c r="BI467" s="635"/>
    </row>
    <row r="468" spans="1:61" ht="16.2" customHeight="1">
      <c r="A468" s="12"/>
      <c r="B468" s="446"/>
      <c r="C468" s="89"/>
      <c r="D468" s="13"/>
      <c r="E468" s="14"/>
      <c r="F468" s="14"/>
      <c r="G468" s="15"/>
      <c r="H468" s="8"/>
      <c r="I468" s="8"/>
      <c r="J468" s="89"/>
      <c r="K468" s="8"/>
      <c r="L468" s="8"/>
      <c r="M468" s="8" t="str">
        <f>IF(L468="","",
IF(AX468="PT",VLOOKUP(L468,Foundation_Calc!$V$4:$X$37,VLOOKUP(AX468,Foundation_Calc!$I$10:$J$13,2,FALSE),0),
IF(AX468="K",VLOOKUP(L468,Foundation_Calc!$V$41:$X$74,VLOOKUP(AX468,Foundation_Calc!$I$10:$J$13,2,FALSE),0),"")))</f>
        <v/>
      </c>
      <c r="N468" s="8"/>
      <c r="O468" s="8"/>
      <c r="P468" s="8"/>
      <c r="Q468" s="14"/>
      <c r="R468" s="15"/>
      <c r="S468" s="15"/>
      <c r="T468" s="14"/>
      <c r="U468" s="14"/>
      <c r="V468" s="14"/>
      <c r="W468" s="18"/>
      <c r="X468" s="18"/>
      <c r="Y468" s="18"/>
      <c r="Z468" s="18"/>
      <c r="AA468" s="18"/>
      <c r="AB468" s="18"/>
      <c r="AC468" s="8" t="str">
        <f t="shared" si="29"/>
        <v/>
      </c>
      <c r="AD468" s="8"/>
      <c r="AE468" s="8"/>
      <c r="AF468" s="14"/>
      <c r="AG468" s="13"/>
      <c r="AH468" s="14"/>
      <c r="AI468" s="14"/>
      <c r="AJ468" s="8"/>
      <c r="AK468" s="8"/>
      <c r="AL468" s="8"/>
      <c r="AM468" s="8"/>
      <c r="AN468" s="631"/>
      <c r="AO468" s="18"/>
      <c r="AP468" s="18"/>
      <c r="AQ468" s="18"/>
      <c r="AR468" s="18"/>
      <c r="AS468" s="18"/>
      <c r="AU468" s="448"/>
      <c r="AV468" s="448"/>
      <c r="AW468" s="8" t="str">
        <f>IF(C468&gt;0,VLOOKUP(C468,Foundation_Calc!$A$2:$C$986,3,1),
IF(J468&gt;0,VLOOKUP(J468,Foundation_Calc!$A$2:$C$986,3,1),""))</f>
        <v/>
      </c>
      <c r="AX468" s="8" t="str">
        <f>IF(C468&gt;0,VLOOKUP(C468,Foundation_Calc!$E$2:$G$986,3,1),
IF(J468&gt;0,VLOOKUP(J468,Foundation_Calc!$E$2:$G$986,3,1),""))</f>
        <v/>
      </c>
      <c r="AY468" s="631" t="str">
        <f>IF(L468="","",
IF(AX468="PT",VLOOKUP(L468,Foundation_Calc!$K$4:$R$37,VLOOKUP(AW468,Foundation_Calc!$I$2:$J$8,2,FALSE),0),
IF(AX468="K",VLOOKUP(L468,Foundation_Calc!$K$41:$R$74,VLOOKUP(AW468,Foundation_Calc!$I$2:$J$8,2,FALSE),0),"")))</f>
        <v/>
      </c>
      <c r="AZ468" s="631" t="str">
        <f>IF(K468="","",
IF(AX468="PT",VLOOKUP(K468,Foundation_Calc!$K$4:$R$37,VLOOKUP(AW468,Foundation_Calc!$I$2:$J$8,2,FALSE),0),
IF(AX468="K",VLOOKUP(K468,Foundation_Calc!$K$41:$R$74,VLOOKUP(AW468,Foundation_Calc!$I$2:$J$8,2,FALSE),0),"")))</f>
        <v/>
      </c>
      <c r="BA468" s="632" t="str">
        <f t="shared" si="30"/>
        <v/>
      </c>
      <c r="BB468" s="632" t="str">
        <f t="shared" si="31"/>
        <v/>
      </c>
      <c r="BC468" s="632" t="str">
        <f t="shared" si="32"/>
        <v/>
      </c>
      <c r="BD468" s="633" t="str">
        <f>IF(AND(L468="",H468=""),"",
IF(H468="",Pole_Calc!A496,
IF(H468="MP",Pole_Calc!A497,
IF(H468="AnMP",Pole_Calc!A498,
IF(H468="A",Pole_Calc!A499,
IF(H468="S/A",Pole_Calc!A500,
IF(H468="A/S",Pole_Calc!A501,"Poner a mano")))))))</f>
        <v/>
      </c>
      <c r="BE468" s="448" t="s">
        <v>1726</v>
      </c>
      <c r="BF468" s="634"/>
      <c r="BG468" s="634"/>
      <c r="BH468" s="634"/>
      <c r="BI468" s="634"/>
    </row>
    <row r="469" spans="1:61" ht="16.2" customHeight="1">
      <c r="A469" s="12"/>
      <c r="B469" s="446"/>
      <c r="C469" s="89"/>
      <c r="D469" s="13"/>
      <c r="E469" s="14"/>
      <c r="F469" s="14"/>
      <c r="G469" s="15"/>
      <c r="H469" s="8"/>
      <c r="I469" s="8"/>
      <c r="J469" s="89"/>
      <c r="K469" s="8"/>
      <c r="L469" s="8"/>
      <c r="M469" s="8" t="str">
        <f>IF(L469="","",
IF(AX469="PT",VLOOKUP(L469,Foundation_Calc!$V$4:$X$37,VLOOKUP(AX469,Foundation_Calc!$I$10:$J$13,2,FALSE),0),
IF(AX469="K",VLOOKUP(L469,Foundation_Calc!$V$41:$X$74,VLOOKUP(AX469,Foundation_Calc!$I$10:$J$13,2,FALSE),0),"")))</f>
        <v/>
      </c>
      <c r="N469" s="8"/>
      <c r="O469" s="8"/>
      <c r="P469" s="8"/>
      <c r="Q469" s="14"/>
      <c r="R469" s="15"/>
      <c r="S469" s="15"/>
      <c r="T469" s="14"/>
      <c r="U469" s="14"/>
      <c r="V469" s="14"/>
      <c r="W469" s="18"/>
      <c r="X469" s="18"/>
      <c r="Y469" s="18"/>
      <c r="Z469" s="18"/>
      <c r="AA469" s="18"/>
      <c r="AB469" s="18"/>
      <c r="AC469" s="8" t="str">
        <f t="shared" si="29"/>
        <v/>
      </c>
      <c r="AD469" s="8"/>
      <c r="AE469" s="8"/>
      <c r="AF469" s="14"/>
      <c r="AG469" s="13"/>
      <c r="AH469" s="14"/>
      <c r="AI469" s="14"/>
      <c r="AJ469" s="8"/>
      <c r="AK469" s="8"/>
      <c r="AL469" s="8"/>
      <c r="AM469" s="8"/>
      <c r="AN469" s="631"/>
      <c r="AO469" s="18"/>
      <c r="AP469" s="18"/>
      <c r="AQ469" s="18"/>
      <c r="AR469" s="18"/>
      <c r="AS469" s="18"/>
      <c r="AU469" s="448"/>
      <c r="AV469" s="448"/>
      <c r="AW469" s="8" t="str">
        <f>IF(C469&gt;0,VLOOKUP(C469,Foundation_Calc!$A$2:$C$986,3,1),
IF(J469&gt;0,VLOOKUP(J469,Foundation_Calc!$A$2:$C$986,3,1),""))</f>
        <v/>
      </c>
      <c r="AX469" s="8" t="str">
        <f>IF(C469&gt;0,VLOOKUP(C469,Foundation_Calc!$E$2:$G$986,3,1),
IF(J469&gt;0,VLOOKUP(J469,Foundation_Calc!$E$2:$G$986,3,1),""))</f>
        <v/>
      </c>
      <c r="AY469" s="631" t="str">
        <f>IF(L469="","",
IF(AX469="PT",VLOOKUP(L469,Foundation_Calc!$K$4:$R$37,VLOOKUP(AW469,Foundation_Calc!$I$2:$J$8,2,FALSE),0),
IF(AX469="K",VLOOKUP(L469,Foundation_Calc!$K$41:$R$74,VLOOKUP(AW469,Foundation_Calc!$I$2:$J$8,2,FALSE),0),"")))</f>
        <v/>
      </c>
      <c r="AZ469" s="631" t="str">
        <f>IF(K469="","",
IF(AX469="PT",VLOOKUP(K469,Foundation_Calc!$K$4:$R$37,VLOOKUP(AW469,Foundation_Calc!$I$2:$J$8,2,FALSE),0),
IF(AX469="K",VLOOKUP(K469,Foundation_Calc!$K$41:$R$74,VLOOKUP(AW469,Foundation_Calc!$I$2:$J$8,2,FALSE),0),"")))</f>
        <v/>
      </c>
      <c r="BA469" s="632" t="str">
        <f t="shared" si="30"/>
        <v/>
      </c>
      <c r="BB469" s="632" t="str">
        <f t="shared" si="31"/>
        <v/>
      </c>
      <c r="BC469" s="632" t="str">
        <f t="shared" si="32"/>
        <v/>
      </c>
      <c r="BD469" s="633" t="str">
        <f>IF(AND(L469="",H469=""),"",
IF(H469="",Pole_Calc!A497,
IF(H469="MP",Pole_Calc!A498,
IF(H469="AnMP",Pole_Calc!A499,
IF(H469="A",Pole_Calc!A500,
IF(H469="S/A",Pole_Calc!A501,
IF(H469="A/S",Pole_Calc!A502,"Poner a mano")))))))</f>
        <v/>
      </c>
      <c r="BE469" s="448" t="s">
        <v>1726</v>
      </c>
      <c r="BF469" s="635"/>
      <c r="BG469" s="635"/>
      <c r="BH469" s="634"/>
      <c r="BI469" s="635"/>
    </row>
    <row r="470" spans="1:61" ht="16.2" customHeight="1">
      <c r="A470" s="12"/>
      <c r="B470" s="446"/>
      <c r="C470" s="89"/>
      <c r="D470" s="13"/>
      <c r="E470" s="14"/>
      <c r="F470" s="14"/>
      <c r="G470" s="15"/>
      <c r="H470" s="8"/>
      <c r="I470" s="8"/>
      <c r="J470" s="89"/>
      <c r="K470" s="8"/>
      <c r="L470" s="8"/>
      <c r="M470" s="8" t="str">
        <f>IF(L470="","",
IF(AX470="PT",VLOOKUP(L470,Foundation_Calc!$V$4:$X$37,VLOOKUP(AX470,Foundation_Calc!$I$10:$J$13,2,FALSE),0),
IF(AX470="K",VLOOKUP(L470,Foundation_Calc!$V$41:$X$74,VLOOKUP(AX470,Foundation_Calc!$I$10:$J$13,2,FALSE),0),"")))</f>
        <v/>
      </c>
      <c r="N470" s="8"/>
      <c r="O470" s="8"/>
      <c r="P470" s="8"/>
      <c r="Q470" s="14"/>
      <c r="R470" s="15"/>
      <c r="S470" s="15"/>
      <c r="T470" s="14"/>
      <c r="U470" s="14"/>
      <c r="V470" s="14"/>
      <c r="W470" s="18"/>
      <c r="X470" s="18"/>
      <c r="Y470" s="18"/>
      <c r="Z470" s="18"/>
      <c r="AA470" s="18"/>
      <c r="AB470" s="18"/>
      <c r="AC470" s="8" t="str">
        <f t="shared" si="29"/>
        <v/>
      </c>
      <c r="AD470" s="8"/>
      <c r="AE470" s="8"/>
      <c r="AF470" s="14"/>
      <c r="AG470" s="13"/>
      <c r="AH470" s="14"/>
      <c r="AI470" s="14"/>
      <c r="AJ470" s="8"/>
      <c r="AK470" s="8"/>
      <c r="AL470" s="8"/>
      <c r="AM470" s="8"/>
      <c r="AN470" s="631"/>
      <c r="AO470" s="18"/>
      <c r="AP470" s="18"/>
      <c r="AQ470" s="18"/>
      <c r="AR470" s="18"/>
      <c r="AS470" s="18"/>
      <c r="AU470" s="448"/>
      <c r="AV470" s="448"/>
      <c r="AW470" s="8" t="str">
        <f>IF(C470&gt;0,VLOOKUP(C470,Foundation_Calc!$A$2:$C$986,3,1),
IF(J470&gt;0,VLOOKUP(J470,Foundation_Calc!$A$2:$C$986,3,1),""))</f>
        <v/>
      </c>
      <c r="AX470" s="8" t="str">
        <f>IF(C470&gt;0,VLOOKUP(C470,Foundation_Calc!$E$2:$G$986,3,1),
IF(J470&gt;0,VLOOKUP(J470,Foundation_Calc!$E$2:$G$986,3,1),""))</f>
        <v/>
      </c>
      <c r="AY470" s="631" t="str">
        <f>IF(L470="","",
IF(AX470="PT",VLOOKUP(L470,Foundation_Calc!$K$4:$R$37,VLOOKUP(AW470,Foundation_Calc!$I$2:$J$8,2,FALSE),0),
IF(AX470="K",VLOOKUP(L470,Foundation_Calc!$K$41:$R$74,VLOOKUP(AW470,Foundation_Calc!$I$2:$J$8,2,FALSE),0),"")))</f>
        <v/>
      </c>
      <c r="AZ470" s="631" t="str">
        <f>IF(K470="","",
IF(AX470="PT",VLOOKUP(K470,Foundation_Calc!$K$4:$R$37,VLOOKUP(AW470,Foundation_Calc!$I$2:$J$8,2,FALSE),0),
IF(AX470="K",VLOOKUP(K470,Foundation_Calc!$K$41:$R$74,VLOOKUP(AW470,Foundation_Calc!$I$2:$J$8,2,FALSE),0),"")))</f>
        <v/>
      </c>
      <c r="BA470" s="632" t="str">
        <f t="shared" si="30"/>
        <v/>
      </c>
      <c r="BB470" s="632" t="str">
        <f t="shared" si="31"/>
        <v/>
      </c>
      <c r="BC470" s="632" t="str">
        <f t="shared" si="32"/>
        <v/>
      </c>
      <c r="BD470" s="633" t="str">
        <f>IF(AND(L470="",H470=""),"",
IF(H470="",Pole_Calc!A498,
IF(H470="MP",Pole_Calc!A499,
IF(H470="AnMP",Pole_Calc!A500,
IF(H470="A",Pole_Calc!A501,
IF(H470="S/A",Pole_Calc!A502,
IF(H470="A/S",Pole_Calc!A503,"Poner a mano")))))))</f>
        <v/>
      </c>
      <c r="BE470" s="448" t="s">
        <v>1726</v>
      </c>
      <c r="BF470" s="634"/>
      <c r="BG470" s="634"/>
      <c r="BH470" s="634"/>
      <c r="BI470" s="634"/>
    </row>
    <row r="471" spans="1:61" ht="16.2" customHeight="1">
      <c r="A471" s="12"/>
      <c r="B471" s="446"/>
      <c r="C471" s="89"/>
      <c r="D471" s="13"/>
      <c r="E471" s="14"/>
      <c r="F471" s="14"/>
      <c r="G471" s="15"/>
      <c r="H471" s="8"/>
      <c r="I471" s="8"/>
      <c r="J471" s="89"/>
      <c r="K471" s="8"/>
      <c r="L471" s="8"/>
      <c r="M471" s="8" t="str">
        <f>IF(L471="","",
IF(AX471="PT",VLOOKUP(L471,Foundation_Calc!$V$4:$X$37,VLOOKUP(AX471,Foundation_Calc!$I$10:$J$13,2,FALSE),0),
IF(AX471="K",VLOOKUP(L471,Foundation_Calc!$V$41:$X$74,VLOOKUP(AX471,Foundation_Calc!$I$10:$J$13,2,FALSE),0),"")))</f>
        <v/>
      </c>
      <c r="N471" s="8"/>
      <c r="O471" s="8"/>
      <c r="P471" s="8"/>
      <c r="Q471" s="14"/>
      <c r="R471" s="15"/>
      <c r="S471" s="15"/>
      <c r="T471" s="14"/>
      <c r="U471" s="14"/>
      <c r="V471" s="14"/>
      <c r="W471" s="18"/>
      <c r="X471" s="18"/>
      <c r="Y471" s="18"/>
      <c r="Z471" s="18"/>
      <c r="AA471" s="18"/>
      <c r="AB471" s="18"/>
      <c r="AC471" s="8" t="str">
        <f t="shared" si="29"/>
        <v/>
      </c>
      <c r="AD471" s="8"/>
      <c r="AE471" s="8"/>
      <c r="AF471" s="14"/>
      <c r="AG471" s="13"/>
      <c r="AH471" s="14"/>
      <c r="AI471" s="14"/>
      <c r="AJ471" s="8"/>
      <c r="AK471" s="8"/>
      <c r="AL471" s="8"/>
      <c r="AM471" s="8"/>
      <c r="AN471" s="631"/>
      <c r="AO471" s="18"/>
      <c r="AP471" s="18"/>
      <c r="AQ471" s="18"/>
      <c r="AR471" s="18"/>
      <c r="AS471" s="18"/>
      <c r="AU471" s="448"/>
      <c r="AV471" s="448"/>
      <c r="AW471" s="8" t="str">
        <f>IF(C471&gt;0,VLOOKUP(C471,Foundation_Calc!$A$2:$C$986,3,1),
IF(J471&gt;0,VLOOKUP(J471,Foundation_Calc!$A$2:$C$986,3,1),""))</f>
        <v/>
      </c>
      <c r="AX471" s="8" t="str">
        <f>IF(C471&gt;0,VLOOKUP(C471,Foundation_Calc!$E$2:$G$986,3,1),
IF(J471&gt;0,VLOOKUP(J471,Foundation_Calc!$E$2:$G$986,3,1),""))</f>
        <v/>
      </c>
      <c r="AY471" s="631" t="str">
        <f>IF(L471="","",
IF(AX471="PT",VLOOKUP(L471,Foundation_Calc!$K$4:$R$37,VLOOKUP(AW471,Foundation_Calc!$I$2:$J$8,2,FALSE),0),
IF(AX471="K",VLOOKUP(L471,Foundation_Calc!$K$41:$R$74,VLOOKUP(AW471,Foundation_Calc!$I$2:$J$8,2,FALSE),0),"")))</f>
        <v/>
      </c>
      <c r="AZ471" s="631" t="str">
        <f>IF(K471="","",
IF(AX471="PT",VLOOKUP(K471,Foundation_Calc!$K$4:$R$37,VLOOKUP(AW471,Foundation_Calc!$I$2:$J$8,2,FALSE),0),
IF(AX471="K",VLOOKUP(K471,Foundation_Calc!$K$41:$R$74,VLOOKUP(AW471,Foundation_Calc!$I$2:$J$8,2,FALSE),0),"")))</f>
        <v/>
      </c>
      <c r="BA471" s="632" t="str">
        <f t="shared" si="30"/>
        <v/>
      </c>
      <c r="BB471" s="632" t="str">
        <f t="shared" si="31"/>
        <v/>
      </c>
      <c r="BC471" s="632" t="str">
        <f t="shared" si="32"/>
        <v/>
      </c>
      <c r="BD471" s="633" t="str">
        <f>IF(AND(L471="",H471=""),"",
IF(H471="",Pole_Calc!A499,
IF(H471="MP",Pole_Calc!A500,
IF(H471="AnMP",Pole_Calc!A501,
IF(H471="A",Pole_Calc!A502,
IF(H471="S/A",Pole_Calc!A503,
IF(H471="A/S",Pole_Calc!A504,"Poner a mano")))))))</f>
        <v/>
      </c>
      <c r="BE471" s="448" t="s">
        <v>1726</v>
      </c>
      <c r="BF471" s="635"/>
      <c r="BG471" s="635"/>
      <c r="BH471" s="634"/>
      <c r="BI471" s="635"/>
    </row>
    <row r="472" spans="1:61" ht="16.2" customHeight="1">
      <c r="A472" s="12"/>
      <c r="B472" s="446"/>
      <c r="C472" s="89"/>
      <c r="D472" s="13"/>
      <c r="E472" s="14"/>
      <c r="F472" s="14"/>
      <c r="G472" s="15"/>
      <c r="H472" s="8"/>
      <c r="I472" s="8"/>
      <c r="J472" s="89"/>
      <c r="K472" s="8"/>
      <c r="L472" s="8"/>
      <c r="M472" s="8" t="str">
        <f>IF(L472="","",
IF(AX472="PT",VLOOKUP(L472,Foundation_Calc!$V$4:$X$37,VLOOKUP(AX472,Foundation_Calc!$I$10:$J$13,2,FALSE),0),
IF(AX472="K",VLOOKUP(L472,Foundation_Calc!$V$41:$X$74,VLOOKUP(AX472,Foundation_Calc!$I$10:$J$13,2,FALSE),0),"")))</f>
        <v/>
      </c>
      <c r="N472" s="8"/>
      <c r="O472" s="8"/>
      <c r="P472" s="8"/>
      <c r="Q472" s="14"/>
      <c r="R472" s="15"/>
      <c r="S472" s="15"/>
      <c r="T472" s="14"/>
      <c r="U472" s="14"/>
      <c r="V472" s="14"/>
      <c r="W472" s="18"/>
      <c r="X472" s="18"/>
      <c r="Y472" s="18"/>
      <c r="Z472" s="18"/>
      <c r="AA472" s="18"/>
      <c r="AB472" s="18"/>
      <c r="AC472" s="8" t="str">
        <f t="shared" si="29"/>
        <v/>
      </c>
      <c r="AD472" s="8"/>
      <c r="AE472" s="8"/>
      <c r="AF472" s="14"/>
      <c r="AG472" s="13"/>
      <c r="AH472" s="14"/>
      <c r="AI472" s="14"/>
      <c r="AJ472" s="8"/>
      <c r="AK472" s="8"/>
      <c r="AL472" s="8"/>
      <c r="AM472" s="8"/>
      <c r="AN472" s="631"/>
      <c r="AO472" s="18"/>
      <c r="AP472" s="18"/>
      <c r="AQ472" s="18"/>
      <c r="AR472" s="18"/>
      <c r="AS472" s="18"/>
      <c r="AU472" s="448"/>
      <c r="AV472" s="448"/>
      <c r="AW472" s="8" t="str">
        <f>IF(C472&gt;0,VLOOKUP(C472,Foundation_Calc!$A$2:$C$986,3,1),
IF(J472&gt;0,VLOOKUP(J472,Foundation_Calc!$A$2:$C$986,3,1),""))</f>
        <v/>
      </c>
      <c r="AX472" s="8" t="str">
        <f>IF(C472&gt;0,VLOOKUP(C472,Foundation_Calc!$E$2:$G$986,3,1),
IF(J472&gt;0,VLOOKUP(J472,Foundation_Calc!$E$2:$G$986,3,1),""))</f>
        <v/>
      </c>
      <c r="AY472" s="631" t="str">
        <f>IF(L472="","",
IF(AX472="PT",VLOOKUP(L472,Foundation_Calc!$K$4:$R$37,VLOOKUP(AW472,Foundation_Calc!$I$2:$J$8,2,FALSE),0),
IF(AX472="K",VLOOKUP(L472,Foundation_Calc!$K$41:$R$74,VLOOKUP(AW472,Foundation_Calc!$I$2:$J$8,2,FALSE),0),"")))</f>
        <v/>
      </c>
      <c r="AZ472" s="631" t="str">
        <f>IF(K472="","",
IF(AX472="PT",VLOOKUP(K472,Foundation_Calc!$K$4:$R$37,VLOOKUP(AW472,Foundation_Calc!$I$2:$J$8,2,FALSE),0),
IF(AX472="K",VLOOKUP(K472,Foundation_Calc!$K$41:$R$74,VLOOKUP(AW472,Foundation_Calc!$I$2:$J$8,2,FALSE),0),"")))</f>
        <v/>
      </c>
      <c r="BA472" s="632" t="str">
        <f t="shared" si="30"/>
        <v/>
      </c>
      <c r="BB472" s="632" t="str">
        <f t="shared" si="31"/>
        <v/>
      </c>
      <c r="BC472" s="632" t="str">
        <f t="shared" si="32"/>
        <v/>
      </c>
      <c r="BD472" s="633" t="str">
        <f>IF(AND(L472="",H472=""),"",
IF(H472="",Pole_Calc!A500,
IF(H472="MP",Pole_Calc!A501,
IF(H472="AnMP",Pole_Calc!A502,
IF(H472="A",Pole_Calc!A503,
IF(H472="S/A",Pole_Calc!A504,
IF(H472="A/S",Pole_Calc!A505,"Poner a mano")))))))</f>
        <v/>
      </c>
      <c r="BE472" s="448" t="s">
        <v>1726</v>
      </c>
      <c r="BF472" s="634"/>
      <c r="BG472" s="634"/>
      <c r="BH472" s="634"/>
      <c r="BI472" s="634"/>
    </row>
    <row r="473" spans="1:61" ht="16.2" customHeight="1">
      <c r="A473" s="12"/>
      <c r="B473" s="446"/>
      <c r="C473" s="89"/>
      <c r="D473" s="13"/>
      <c r="E473" s="14"/>
      <c r="F473" s="14"/>
      <c r="G473" s="15"/>
      <c r="H473" s="8"/>
      <c r="I473" s="8"/>
      <c r="J473" s="89"/>
      <c r="K473" s="8"/>
      <c r="L473" s="8"/>
      <c r="M473" s="8" t="str">
        <f>IF(L473="","",
IF(AX473="PT",VLOOKUP(L473,Foundation_Calc!$V$4:$X$37,VLOOKUP(AX473,Foundation_Calc!$I$10:$J$13,2,FALSE),0),
IF(AX473="K",VLOOKUP(L473,Foundation_Calc!$V$41:$X$74,VLOOKUP(AX473,Foundation_Calc!$I$10:$J$13,2,FALSE),0),"")))</f>
        <v/>
      </c>
      <c r="N473" s="8"/>
      <c r="O473" s="8"/>
      <c r="P473" s="8"/>
      <c r="Q473" s="14"/>
      <c r="R473" s="15"/>
      <c r="S473" s="15"/>
      <c r="T473" s="14"/>
      <c r="U473" s="14"/>
      <c r="V473" s="14"/>
      <c r="W473" s="18"/>
      <c r="X473" s="18"/>
      <c r="Y473" s="18"/>
      <c r="Z473" s="18"/>
      <c r="AA473" s="18"/>
      <c r="AB473" s="18"/>
      <c r="AC473" s="8" t="str">
        <f t="shared" si="29"/>
        <v/>
      </c>
      <c r="AD473" s="8"/>
      <c r="AE473" s="8"/>
      <c r="AF473" s="14"/>
      <c r="AG473" s="13"/>
      <c r="AH473" s="14"/>
      <c r="AI473" s="14"/>
      <c r="AJ473" s="8"/>
      <c r="AK473" s="8"/>
      <c r="AL473" s="8"/>
      <c r="AM473" s="8"/>
      <c r="AN473" s="631"/>
      <c r="AO473" s="18"/>
      <c r="AP473" s="18"/>
      <c r="AQ473" s="18"/>
      <c r="AR473" s="18"/>
      <c r="AS473" s="18"/>
      <c r="AU473" s="448"/>
      <c r="AV473" s="448"/>
      <c r="AW473" s="8" t="str">
        <f>IF(C473&gt;0,VLOOKUP(C473,Foundation_Calc!$A$2:$C$986,3,1),
IF(J473&gt;0,VLOOKUP(J473,Foundation_Calc!$A$2:$C$986,3,1),""))</f>
        <v/>
      </c>
      <c r="AX473" s="8" t="str">
        <f>IF(C473&gt;0,VLOOKUP(C473,Foundation_Calc!$E$2:$G$986,3,1),
IF(J473&gt;0,VLOOKUP(J473,Foundation_Calc!$E$2:$G$986,3,1),""))</f>
        <v/>
      </c>
      <c r="AY473" s="631" t="str">
        <f>IF(L473="","",
IF(AX473="PT",VLOOKUP(L473,Foundation_Calc!$K$4:$R$37,VLOOKUP(AW473,Foundation_Calc!$I$2:$J$8,2,FALSE),0),
IF(AX473="K",VLOOKUP(L473,Foundation_Calc!$K$41:$R$74,VLOOKUP(AW473,Foundation_Calc!$I$2:$J$8,2,FALSE),0),"")))</f>
        <v/>
      </c>
      <c r="AZ473" s="631" t="str">
        <f>IF(K473="","",
IF(AX473="PT",VLOOKUP(K473,Foundation_Calc!$K$4:$R$37,VLOOKUP(AW473,Foundation_Calc!$I$2:$J$8,2,FALSE),0),
IF(AX473="K",VLOOKUP(K473,Foundation_Calc!$K$41:$R$74,VLOOKUP(AW473,Foundation_Calc!$I$2:$J$8,2,FALSE),0),"")))</f>
        <v/>
      </c>
      <c r="BA473" s="632" t="str">
        <f t="shared" si="30"/>
        <v/>
      </c>
      <c r="BB473" s="632" t="str">
        <f t="shared" si="31"/>
        <v/>
      </c>
      <c r="BC473" s="632" t="str">
        <f t="shared" si="32"/>
        <v/>
      </c>
      <c r="BD473" s="633" t="str">
        <f>IF(AND(L473="",H473=""),"",
IF(H473="",Pole_Calc!A501,
IF(H473="MP",Pole_Calc!A502,
IF(H473="AnMP",Pole_Calc!A503,
IF(H473="A",Pole_Calc!A504,
IF(H473="S/A",Pole_Calc!A505,
IF(H473="A/S",Pole_Calc!A506,"Poner a mano")))))))</f>
        <v/>
      </c>
      <c r="BE473" s="448" t="s">
        <v>1726</v>
      </c>
      <c r="BF473" s="635"/>
      <c r="BG473" s="635"/>
      <c r="BH473" s="634"/>
      <c r="BI473" s="635"/>
    </row>
    <row r="474" spans="1:61" ht="16.2" customHeight="1">
      <c r="A474" s="12"/>
      <c r="B474" s="446"/>
      <c r="C474" s="89"/>
      <c r="D474" s="13"/>
      <c r="E474" s="14"/>
      <c r="F474" s="14"/>
      <c r="G474" s="15"/>
      <c r="H474" s="8"/>
      <c r="I474" s="8"/>
      <c r="J474" s="89"/>
      <c r="K474" s="8"/>
      <c r="L474" s="8"/>
      <c r="M474" s="8" t="str">
        <f>IF(L474="","",
IF(AX474="PT",VLOOKUP(L474,Foundation_Calc!$V$4:$X$37,VLOOKUP(AX474,Foundation_Calc!$I$10:$J$13,2,FALSE),0),
IF(AX474="K",VLOOKUP(L474,Foundation_Calc!$V$41:$X$74,VLOOKUP(AX474,Foundation_Calc!$I$10:$J$13,2,FALSE),0),"")))</f>
        <v/>
      </c>
      <c r="N474" s="8"/>
      <c r="O474" s="8"/>
      <c r="P474" s="8"/>
      <c r="Q474" s="14"/>
      <c r="R474" s="15"/>
      <c r="S474" s="15"/>
      <c r="T474" s="14"/>
      <c r="U474" s="14"/>
      <c r="V474" s="14"/>
      <c r="W474" s="18"/>
      <c r="X474" s="18"/>
      <c r="Y474" s="18"/>
      <c r="Z474" s="18"/>
      <c r="AA474" s="18"/>
      <c r="AB474" s="18"/>
      <c r="AC474" s="8" t="str">
        <f t="shared" si="29"/>
        <v/>
      </c>
      <c r="AD474" s="8"/>
      <c r="AE474" s="8"/>
      <c r="AF474" s="14"/>
      <c r="AG474" s="13"/>
      <c r="AH474" s="14"/>
      <c r="AI474" s="14"/>
      <c r="AJ474" s="8"/>
      <c r="AK474" s="8"/>
      <c r="AL474" s="8"/>
      <c r="AM474" s="8"/>
      <c r="AN474" s="631"/>
      <c r="AO474" s="18"/>
      <c r="AP474" s="18"/>
      <c r="AQ474" s="18"/>
      <c r="AR474" s="18"/>
      <c r="AS474" s="18"/>
      <c r="AU474" s="448"/>
      <c r="AV474" s="448"/>
      <c r="AW474" s="8" t="str">
        <f>IF(C474&gt;0,VLOOKUP(C474,Foundation_Calc!$A$2:$C$986,3,1),
IF(J474&gt;0,VLOOKUP(J474,Foundation_Calc!$A$2:$C$986,3,1),""))</f>
        <v/>
      </c>
      <c r="AX474" s="8" t="str">
        <f>IF(C474&gt;0,VLOOKUP(C474,Foundation_Calc!$E$2:$G$986,3,1),
IF(J474&gt;0,VLOOKUP(J474,Foundation_Calc!$E$2:$G$986,3,1),""))</f>
        <v/>
      </c>
      <c r="AY474" s="631" t="str">
        <f>IF(L474="","",
IF(AX474="PT",VLOOKUP(L474,Foundation_Calc!$K$4:$R$37,VLOOKUP(AW474,Foundation_Calc!$I$2:$J$8,2,FALSE),0),
IF(AX474="K",VLOOKUP(L474,Foundation_Calc!$K$41:$R$74,VLOOKUP(AW474,Foundation_Calc!$I$2:$J$8,2,FALSE),0),"")))</f>
        <v/>
      </c>
      <c r="AZ474" s="631" t="str">
        <f>IF(K474="","",
IF(AX474="PT",VLOOKUP(K474,Foundation_Calc!$K$4:$R$37,VLOOKUP(AW474,Foundation_Calc!$I$2:$J$8,2,FALSE),0),
IF(AX474="K",VLOOKUP(K474,Foundation_Calc!$K$41:$R$74,VLOOKUP(AW474,Foundation_Calc!$I$2:$J$8,2,FALSE),0),"")))</f>
        <v/>
      </c>
      <c r="BA474" s="632" t="str">
        <f t="shared" si="30"/>
        <v/>
      </c>
      <c r="BB474" s="632" t="str">
        <f t="shared" si="31"/>
        <v/>
      </c>
      <c r="BC474" s="632" t="str">
        <f t="shared" si="32"/>
        <v/>
      </c>
      <c r="BD474" s="633" t="str">
        <f>IF(AND(L474="",H474=""),"",
IF(H474="",Pole_Calc!A502,
IF(H474="MP",Pole_Calc!A503,
IF(H474="AnMP",Pole_Calc!A504,
IF(H474="A",Pole_Calc!A505,
IF(H474="S/A",Pole_Calc!A506,
IF(H474="A/S",Pole_Calc!A507,"Poner a mano")))))))</f>
        <v/>
      </c>
      <c r="BE474" s="448" t="s">
        <v>1726</v>
      </c>
      <c r="BF474" s="634"/>
      <c r="BG474" s="634"/>
      <c r="BH474" s="634"/>
      <c r="BI474" s="634"/>
    </row>
    <row r="475" spans="1:61" ht="16.2" customHeight="1">
      <c r="A475" s="12"/>
      <c r="B475" s="446"/>
      <c r="C475" s="89"/>
      <c r="D475" s="13"/>
      <c r="E475" s="14"/>
      <c r="F475" s="14"/>
      <c r="G475" s="15"/>
      <c r="H475" s="8"/>
      <c r="I475" s="8"/>
      <c r="J475" s="89"/>
      <c r="K475" s="8"/>
      <c r="L475" s="8"/>
      <c r="M475" s="8" t="str">
        <f>IF(L475="","",
IF(AX475="PT",VLOOKUP(L475,Foundation_Calc!$V$4:$X$37,VLOOKUP(AX475,Foundation_Calc!$I$10:$J$13,2,FALSE),0),
IF(AX475="K",VLOOKUP(L475,Foundation_Calc!$V$41:$X$74,VLOOKUP(AX475,Foundation_Calc!$I$10:$J$13,2,FALSE),0),"")))</f>
        <v/>
      </c>
      <c r="N475" s="8"/>
      <c r="O475" s="8"/>
      <c r="P475" s="8"/>
      <c r="Q475" s="14"/>
      <c r="R475" s="15"/>
      <c r="S475" s="15"/>
      <c r="T475" s="14"/>
      <c r="U475" s="14"/>
      <c r="V475" s="14"/>
      <c r="W475" s="18"/>
      <c r="X475" s="18"/>
      <c r="Y475" s="18"/>
      <c r="Z475" s="18"/>
      <c r="AA475" s="18"/>
      <c r="AB475" s="18"/>
      <c r="AC475" s="8" t="str">
        <f t="shared" si="29"/>
        <v/>
      </c>
      <c r="AD475" s="8"/>
      <c r="AE475" s="8"/>
      <c r="AF475" s="14"/>
      <c r="AG475" s="13"/>
      <c r="AH475" s="14"/>
      <c r="AI475" s="14"/>
      <c r="AJ475" s="8"/>
      <c r="AK475" s="8"/>
      <c r="AL475" s="8"/>
      <c r="AM475" s="8"/>
      <c r="AN475" s="631"/>
      <c r="AO475" s="18"/>
      <c r="AP475" s="18"/>
      <c r="AQ475" s="18"/>
      <c r="AR475" s="18"/>
      <c r="AS475" s="18"/>
      <c r="AU475" s="448"/>
      <c r="AV475" s="448"/>
      <c r="AW475" s="8" t="str">
        <f>IF(C475&gt;0,VLOOKUP(C475,Foundation_Calc!$A$2:$C$986,3,1),
IF(J475&gt;0,VLOOKUP(J475,Foundation_Calc!$A$2:$C$986,3,1),""))</f>
        <v/>
      </c>
      <c r="AX475" s="8" t="str">
        <f>IF(C475&gt;0,VLOOKUP(C475,Foundation_Calc!$E$2:$G$986,3,1),
IF(J475&gt;0,VLOOKUP(J475,Foundation_Calc!$E$2:$G$986,3,1),""))</f>
        <v/>
      </c>
      <c r="AY475" s="631" t="str">
        <f>IF(L475="","",
IF(AX475="PT",VLOOKUP(L475,Foundation_Calc!$K$4:$R$37,VLOOKUP(AW475,Foundation_Calc!$I$2:$J$8,2,FALSE),0),
IF(AX475="K",VLOOKUP(L475,Foundation_Calc!$K$41:$R$74,VLOOKUP(AW475,Foundation_Calc!$I$2:$J$8,2,FALSE),0),"")))</f>
        <v/>
      </c>
      <c r="AZ475" s="631" t="str">
        <f>IF(K475="","",
IF(AX475="PT",VLOOKUP(K475,Foundation_Calc!$K$4:$R$37,VLOOKUP(AW475,Foundation_Calc!$I$2:$J$8,2,FALSE),0),
IF(AX475="K",VLOOKUP(K475,Foundation_Calc!$K$41:$R$74,VLOOKUP(AW475,Foundation_Calc!$I$2:$J$8,2,FALSE),0),"")))</f>
        <v/>
      </c>
      <c r="BA475" s="632" t="str">
        <f t="shared" si="30"/>
        <v/>
      </c>
      <c r="BB475" s="632" t="str">
        <f t="shared" si="31"/>
        <v/>
      </c>
      <c r="BC475" s="632" t="str">
        <f t="shared" si="32"/>
        <v/>
      </c>
      <c r="BD475" s="633" t="str">
        <f>IF(AND(L475="",H475=""),"",
IF(H475="",Pole_Calc!A503,
IF(H475="MP",Pole_Calc!A504,
IF(H475="AnMP",Pole_Calc!A505,
IF(H475="A",Pole_Calc!A506,
IF(H475="S/A",Pole_Calc!A507,
IF(H475="A/S",Pole_Calc!A508,"Poner a mano")))))))</f>
        <v/>
      </c>
      <c r="BE475" s="448" t="s">
        <v>1726</v>
      </c>
      <c r="BF475" s="635"/>
      <c r="BG475" s="635"/>
      <c r="BH475" s="634"/>
      <c r="BI475" s="635"/>
    </row>
    <row r="476" spans="1:61" ht="16.2" customHeight="1">
      <c r="A476" s="12"/>
      <c r="B476" s="446"/>
      <c r="C476" s="89"/>
      <c r="D476" s="13"/>
      <c r="E476" s="14"/>
      <c r="F476" s="14"/>
      <c r="G476" s="15"/>
      <c r="H476" s="8"/>
      <c r="I476" s="8"/>
      <c r="J476" s="89"/>
      <c r="K476" s="8"/>
      <c r="L476" s="8"/>
      <c r="M476" s="8" t="str">
        <f>IF(L476="","",
IF(AX476="PT",VLOOKUP(L476,Foundation_Calc!$V$4:$X$37,VLOOKUP(AX476,Foundation_Calc!$I$10:$J$13,2,FALSE),0),
IF(AX476="K",VLOOKUP(L476,Foundation_Calc!$V$41:$X$74,VLOOKUP(AX476,Foundation_Calc!$I$10:$J$13,2,FALSE),0),"")))</f>
        <v/>
      </c>
      <c r="N476" s="8"/>
      <c r="O476" s="8"/>
      <c r="P476" s="8"/>
      <c r="Q476" s="14"/>
      <c r="R476" s="15"/>
      <c r="S476" s="15"/>
      <c r="T476" s="14"/>
      <c r="U476" s="14"/>
      <c r="V476" s="14"/>
      <c r="W476" s="18"/>
      <c r="X476" s="18"/>
      <c r="Y476" s="18"/>
      <c r="Z476" s="18"/>
      <c r="AA476" s="18"/>
      <c r="AB476" s="18"/>
      <c r="AC476" s="8" t="str">
        <f t="shared" si="29"/>
        <v/>
      </c>
      <c r="AD476" s="8"/>
      <c r="AE476" s="8"/>
      <c r="AF476" s="14"/>
      <c r="AG476" s="13"/>
      <c r="AH476" s="14"/>
      <c r="AI476" s="14"/>
      <c r="AJ476" s="8"/>
      <c r="AK476" s="8"/>
      <c r="AL476" s="8"/>
      <c r="AM476" s="8"/>
      <c r="AN476" s="631"/>
      <c r="AO476" s="18"/>
      <c r="AP476" s="18"/>
      <c r="AQ476" s="18"/>
      <c r="AR476" s="18"/>
      <c r="AS476" s="18"/>
      <c r="AU476" s="448"/>
      <c r="AV476" s="448"/>
      <c r="AW476" s="8" t="str">
        <f>IF(C476&gt;0,VLOOKUP(C476,Foundation_Calc!$A$2:$C$986,3,1),
IF(J476&gt;0,VLOOKUP(J476,Foundation_Calc!$A$2:$C$986,3,1),""))</f>
        <v/>
      </c>
      <c r="AX476" s="8" t="str">
        <f>IF(C476&gt;0,VLOOKUP(C476,Foundation_Calc!$E$2:$G$986,3,1),
IF(J476&gt;0,VLOOKUP(J476,Foundation_Calc!$E$2:$G$986,3,1),""))</f>
        <v/>
      </c>
      <c r="AY476" s="631" t="str">
        <f>IF(L476="","",
IF(AX476="PT",VLOOKUP(L476,Foundation_Calc!$K$4:$R$37,VLOOKUP(AW476,Foundation_Calc!$I$2:$J$8,2,FALSE),0),
IF(AX476="K",VLOOKUP(L476,Foundation_Calc!$K$41:$R$74,VLOOKUP(AW476,Foundation_Calc!$I$2:$J$8,2,FALSE),0),"")))</f>
        <v/>
      </c>
      <c r="AZ476" s="631" t="str">
        <f>IF(K476="","",
IF(AX476="PT",VLOOKUP(K476,Foundation_Calc!$K$4:$R$37,VLOOKUP(AW476,Foundation_Calc!$I$2:$J$8,2,FALSE),0),
IF(AX476="K",VLOOKUP(K476,Foundation_Calc!$K$41:$R$74,VLOOKUP(AW476,Foundation_Calc!$I$2:$J$8,2,FALSE),0),"")))</f>
        <v/>
      </c>
      <c r="BA476" s="632" t="str">
        <f t="shared" si="30"/>
        <v/>
      </c>
      <c r="BB476" s="632" t="str">
        <f t="shared" si="31"/>
        <v/>
      </c>
      <c r="BC476" s="632" t="str">
        <f t="shared" si="32"/>
        <v/>
      </c>
      <c r="BD476" s="633" t="str">
        <f>IF(AND(L476="",H476=""),"",
IF(H476="",Pole_Calc!A504,
IF(H476="MP",Pole_Calc!A505,
IF(H476="AnMP",Pole_Calc!A506,
IF(H476="A",Pole_Calc!A507,
IF(H476="S/A",Pole_Calc!A508,
IF(H476="A/S",Pole_Calc!A509,"Poner a mano")))))))</f>
        <v/>
      </c>
      <c r="BE476" s="448" t="s">
        <v>1726</v>
      </c>
      <c r="BF476" s="634"/>
      <c r="BG476" s="634"/>
      <c r="BH476" s="634"/>
      <c r="BI476" s="634"/>
    </row>
    <row r="477" spans="1:61" ht="16.2" customHeight="1">
      <c r="A477" s="12"/>
      <c r="B477" s="446"/>
      <c r="C477" s="89"/>
      <c r="D477" s="13"/>
      <c r="E477" s="14"/>
      <c r="F477" s="14"/>
      <c r="G477" s="15"/>
      <c r="H477" s="8"/>
      <c r="I477" s="8"/>
      <c r="J477" s="89"/>
      <c r="K477" s="8"/>
      <c r="L477" s="8"/>
      <c r="M477" s="8" t="str">
        <f>IF(L477="","",
IF(AX477="PT",VLOOKUP(L477,Foundation_Calc!$V$4:$X$37,VLOOKUP(AX477,Foundation_Calc!$I$10:$J$13,2,FALSE),0),
IF(AX477="K",VLOOKUP(L477,Foundation_Calc!$V$41:$X$74,VLOOKUP(AX477,Foundation_Calc!$I$10:$J$13,2,FALSE),0),"")))</f>
        <v/>
      </c>
      <c r="N477" s="8"/>
      <c r="O477" s="8"/>
      <c r="P477" s="8"/>
      <c r="Q477" s="14"/>
      <c r="R477" s="15"/>
      <c r="S477" s="15"/>
      <c r="T477" s="14"/>
      <c r="U477" s="14"/>
      <c r="V477" s="14"/>
      <c r="W477" s="18"/>
      <c r="X477" s="18"/>
      <c r="Y477" s="18"/>
      <c r="Z477" s="18"/>
      <c r="AA477" s="18"/>
      <c r="AB477" s="18"/>
      <c r="AC477" s="8" t="str">
        <f t="shared" si="29"/>
        <v/>
      </c>
      <c r="AD477" s="8"/>
      <c r="AE477" s="8"/>
      <c r="AF477" s="14"/>
      <c r="AG477" s="13"/>
      <c r="AH477" s="14"/>
      <c r="AI477" s="14"/>
      <c r="AJ477" s="8"/>
      <c r="AK477" s="8"/>
      <c r="AL477" s="8"/>
      <c r="AM477" s="8"/>
      <c r="AN477" s="631"/>
      <c r="AO477" s="18"/>
      <c r="AP477" s="18"/>
      <c r="AQ477" s="18"/>
      <c r="AR477" s="18"/>
      <c r="AS477" s="18"/>
      <c r="AU477" s="448"/>
      <c r="AV477" s="448"/>
      <c r="AW477" s="8" t="str">
        <f>IF(C477&gt;0,VLOOKUP(C477,Foundation_Calc!$A$2:$C$986,3,1),
IF(J477&gt;0,VLOOKUP(J477,Foundation_Calc!$A$2:$C$986,3,1),""))</f>
        <v/>
      </c>
      <c r="AX477" s="8" t="str">
        <f>IF(C477&gt;0,VLOOKUP(C477,Foundation_Calc!$E$2:$G$986,3,1),
IF(J477&gt;0,VLOOKUP(J477,Foundation_Calc!$E$2:$G$986,3,1),""))</f>
        <v/>
      </c>
      <c r="AY477" s="631" t="str">
        <f>IF(L477="","",
IF(AX477="PT",VLOOKUP(L477,Foundation_Calc!$K$4:$R$37,VLOOKUP(AW477,Foundation_Calc!$I$2:$J$8,2,FALSE),0),
IF(AX477="K",VLOOKUP(L477,Foundation_Calc!$K$41:$R$74,VLOOKUP(AW477,Foundation_Calc!$I$2:$J$8,2,FALSE),0),"")))</f>
        <v/>
      </c>
      <c r="AZ477" s="631" t="str">
        <f>IF(K477="","",
IF(AX477="PT",VLOOKUP(K477,Foundation_Calc!$K$4:$R$37,VLOOKUP(AW477,Foundation_Calc!$I$2:$J$8,2,FALSE),0),
IF(AX477="K",VLOOKUP(K477,Foundation_Calc!$K$41:$R$74,VLOOKUP(AW477,Foundation_Calc!$I$2:$J$8,2,FALSE),0),"")))</f>
        <v/>
      </c>
      <c r="BA477" s="632" t="str">
        <f t="shared" si="30"/>
        <v/>
      </c>
      <c r="BB477" s="632" t="str">
        <f t="shared" si="31"/>
        <v/>
      </c>
      <c r="BC477" s="632" t="str">
        <f t="shared" si="32"/>
        <v/>
      </c>
      <c r="BD477" s="633" t="str">
        <f>IF(AND(L477="",H477=""),"",
IF(H477="",Pole_Calc!A505,
IF(H477="MP",Pole_Calc!A506,
IF(H477="AnMP",Pole_Calc!A507,
IF(H477="A",Pole_Calc!A508,
IF(H477="S/A",Pole_Calc!A509,
IF(H477="A/S",Pole_Calc!A510,"Poner a mano")))))))</f>
        <v/>
      </c>
      <c r="BE477" s="448" t="s">
        <v>1726</v>
      </c>
      <c r="BF477" s="635"/>
      <c r="BG477" s="635"/>
      <c r="BH477" s="634"/>
      <c r="BI477" s="635"/>
    </row>
    <row r="478" spans="1:61" ht="16.2" customHeight="1">
      <c r="A478" s="12"/>
      <c r="B478" s="446"/>
      <c r="C478" s="89"/>
      <c r="D478" s="13"/>
      <c r="E478" s="14"/>
      <c r="F478" s="14"/>
      <c r="G478" s="15"/>
      <c r="H478" s="8"/>
      <c r="I478" s="8"/>
      <c r="J478" s="89"/>
      <c r="K478" s="8"/>
      <c r="L478" s="8"/>
      <c r="M478" s="8" t="str">
        <f>IF(L478="","",
IF(AX478="PT",VLOOKUP(L478,Foundation_Calc!$V$4:$X$37,VLOOKUP(AX478,Foundation_Calc!$I$10:$J$13,2,FALSE),0),
IF(AX478="K",VLOOKUP(L478,Foundation_Calc!$V$41:$X$74,VLOOKUP(AX478,Foundation_Calc!$I$10:$J$13,2,FALSE),0),"")))</f>
        <v/>
      </c>
      <c r="N478" s="8"/>
      <c r="O478" s="8"/>
      <c r="P478" s="8"/>
      <c r="Q478" s="14"/>
      <c r="R478" s="15"/>
      <c r="S478" s="15"/>
      <c r="T478" s="14"/>
      <c r="U478" s="14"/>
      <c r="V478" s="14"/>
      <c r="W478" s="18"/>
      <c r="X478" s="18"/>
      <c r="Y478" s="18"/>
      <c r="Z478" s="18"/>
      <c r="AA478" s="18"/>
      <c r="AB478" s="18"/>
      <c r="AC478" s="8" t="str">
        <f t="shared" si="29"/>
        <v/>
      </c>
      <c r="AD478" s="8"/>
      <c r="AE478" s="8"/>
      <c r="AF478" s="14"/>
      <c r="AG478" s="13"/>
      <c r="AH478" s="14"/>
      <c r="AI478" s="14"/>
      <c r="AJ478" s="8"/>
      <c r="AK478" s="8"/>
      <c r="AL478" s="8"/>
      <c r="AM478" s="8"/>
      <c r="AN478" s="631"/>
      <c r="AO478" s="18"/>
      <c r="AP478" s="18"/>
      <c r="AQ478" s="18"/>
      <c r="AR478" s="18"/>
      <c r="AS478" s="18"/>
      <c r="AU478" s="448"/>
      <c r="AV478" s="448"/>
      <c r="AW478" s="8" t="str">
        <f>IF(C478&gt;0,VLOOKUP(C478,Foundation_Calc!$A$2:$C$986,3,1),
IF(J478&gt;0,VLOOKUP(J478,Foundation_Calc!$A$2:$C$986,3,1),""))</f>
        <v/>
      </c>
      <c r="AX478" s="8" t="str">
        <f>IF(C478&gt;0,VLOOKUP(C478,Foundation_Calc!$E$2:$G$986,3,1),
IF(J478&gt;0,VLOOKUP(J478,Foundation_Calc!$E$2:$G$986,3,1),""))</f>
        <v/>
      </c>
      <c r="AY478" s="631" t="str">
        <f>IF(L478="","",
IF(AX478="PT",VLOOKUP(L478,Foundation_Calc!$K$4:$R$37,VLOOKUP(AW478,Foundation_Calc!$I$2:$J$8,2,FALSE),0),
IF(AX478="K",VLOOKUP(L478,Foundation_Calc!$K$41:$R$74,VLOOKUP(AW478,Foundation_Calc!$I$2:$J$8,2,FALSE),0),"")))</f>
        <v/>
      </c>
      <c r="AZ478" s="631" t="str">
        <f>IF(K478="","",
IF(AX478="PT",VLOOKUP(K478,Foundation_Calc!$K$4:$R$37,VLOOKUP(AW478,Foundation_Calc!$I$2:$J$8,2,FALSE),0),
IF(AX478="K",VLOOKUP(K478,Foundation_Calc!$K$41:$R$74,VLOOKUP(AW478,Foundation_Calc!$I$2:$J$8,2,FALSE),0),"")))</f>
        <v/>
      </c>
      <c r="BA478" s="632" t="str">
        <f t="shared" si="30"/>
        <v/>
      </c>
      <c r="BB478" s="632" t="str">
        <f t="shared" si="31"/>
        <v/>
      </c>
      <c r="BC478" s="632" t="str">
        <f t="shared" si="32"/>
        <v/>
      </c>
      <c r="BD478" s="633" t="str">
        <f>IF(AND(L478="",H478=""),"",
IF(H478="",Pole_Calc!A506,
IF(H478="MP",Pole_Calc!A507,
IF(H478="AnMP",Pole_Calc!A508,
IF(H478="A",Pole_Calc!A509,
IF(H478="S/A",Pole_Calc!A510,
IF(H478="A/S",Pole_Calc!A511,"Poner a mano")))))))</f>
        <v/>
      </c>
      <c r="BE478" s="448" t="s">
        <v>1726</v>
      </c>
      <c r="BF478" s="634"/>
      <c r="BG478" s="634"/>
      <c r="BH478" s="634"/>
      <c r="BI478" s="634"/>
    </row>
    <row r="479" spans="1:61" ht="16.2" customHeight="1">
      <c r="A479" s="12"/>
      <c r="B479" s="446"/>
      <c r="C479" s="89"/>
      <c r="D479" s="13"/>
      <c r="E479" s="14"/>
      <c r="F479" s="14"/>
      <c r="G479" s="15"/>
      <c r="H479" s="8"/>
      <c r="I479" s="8"/>
      <c r="J479" s="89"/>
      <c r="K479" s="8"/>
      <c r="L479" s="8"/>
      <c r="M479" s="8" t="str">
        <f>IF(L479="","",
IF(AX479="PT",VLOOKUP(L479,Foundation_Calc!$V$4:$X$37,VLOOKUP(AX479,Foundation_Calc!$I$10:$J$13,2,FALSE),0),
IF(AX479="K",VLOOKUP(L479,Foundation_Calc!$V$41:$X$74,VLOOKUP(AX479,Foundation_Calc!$I$10:$J$13,2,FALSE),0),"")))</f>
        <v/>
      </c>
      <c r="N479" s="8"/>
      <c r="O479" s="8"/>
      <c r="P479" s="8"/>
      <c r="Q479" s="14"/>
      <c r="R479" s="15"/>
      <c r="S479" s="15"/>
      <c r="T479" s="14"/>
      <c r="U479" s="14"/>
      <c r="V479" s="14"/>
      <c r="W479" s="18"/>
      <c r="X479" s="18"/>
      <c r="Y479" s="18"/>
      <c r="Z479" s="18"/>
      <c r="AA479" s="18"/>
      <c r="AB479" s="18"/>
      <c r="AC479" s="8" t="str">
        <f t="shared" si="29"/>
        <v/>
      </c>
      <c r="AD479" s="8"/>
      <c r="AE479" s="8"/>
      <c r="AF479" s="14"/>
      <c r="AG479" s="13"/>
      <c r="AH479" s="14"/>
      <c r="AI479" s="14"/>
      <c r="AJ479" s="8"/>
      <c r="AK479" s="8"/>
      <c r="AL479" s="8"/>
      <c r="AM479" s="8"/>
      <c r="AN479" s="631"/>
      <c r="AO479" s="18"/>
      <c r="AP479" s="18"/>
      <c r="AQ479" s="18"/>
      <c r="AR479" s="18"/>
      <c r="AS479" s="18"/>
      <c r="AU479" s="448"/>
      <c r="AV479" s="448"/>
      <c r="AW479" s="8" t="str">
        <f>IF(C479&gt;0,VLOOKUP(C479,Foundation_Calc!$A$2:$C$986,3,1),
IF(J479&gt;0,VLOOKUP(J479,Foundation_Calc!$A$2:$C$986,3,1),""))</f>
        <v/>
      </c>
      <c r="AX479" s="8" t="str">
        <f>IF(C479&gt;0,VLOOKUP(C479,Foundation_Calc!$E$2:$G$986,3,1),
IF(J479&gt;0,VLOOKUP(J479,Foundation_Calc!$E$2:$G$986,3,1),""))</f>
        <v/>
      </c>
      <c r="AY479" s="631" t="str">
        <f>IF(L479="","",
IF(AX479="PT",VLOOKUP(L479,Foundation_Calc!$K$4:$R$37,VLOOKUP(AW479,Foundation_Calc!$I$2:$J$8,2,FALSE),0),
IF(AX479="K",VLOOKUP(L479,Foundation_Calc!$K$41:$R$74,VLOOKUP(AW479,Foundation_Calc!$I$2:$J$8,2,FALSE),0),"")))</f>
        <v/>
      </c>
      <c r="AZ479" s="631" t="str">
        <f>IF(K479="","",
IF(AX479="PT",VLOOKUP(K479,Foundation_Calc!$K$4:$R$37,VLOOKUP(AW479,Foundation_Calc!$I$2:$J$8,2,FALSE),0),
IF(AX479="K",VLOOKUP(K479,Foundation_Calc!$K$41:$R$74,VLOOKUP(AW479,Foundation_Calc!$I$2:$J$8,2,FALSE),0),"")))</f>
        <v/>
      </c>
      <c r="BA479" s="632" t="str">
        <f t="shared" si="30"/>
        <v/>
      </c>
      <c r="BB479" s="632" t="str">
        <f t="shared" si="31"/>
        <v/>
      </c>
      <c r="BC479" s="632" t="str">
        <f t="shared" si="32"/>
        <v/>
      </c>
      <c r="BD479" s="633" t="str">
        <f>IF(AND(L479="",H479=""),"",
IF(H479="",Pole_Calc!A507,
IF(H479="MP",Pole_Calc!A508,
IF(H479="AnMP",Pole_Calc!A509,
IF(H479="A",Pole_Calc!A510,
IF(H479="S/A",Pole_Calc!A511,
IF(H479="A/S",Pole_Calc!A512,"Poner a mano")))))))</f>
        <v/>
      </c>
      <c r="BE479" s="448" t="s">
        <v>1726</v>
      </c>
      <c r="BF479" s="635"/>
      <c r="BG479" s="635"/>
      <c r="BH479" s="634"/>
      <c r="BI479" s="635"/>
    </row>
    <row r="480" spans="1:61" ht="16.2" customHeight="1">
      <c r="A480" s="12"/>
      <c r="B480" s="446"/>
      <c r="C480" s="89"/>
      <c r="D480" s="13"/>
      <c r="E480" s="14"/>
      <c r="F480" s="14"/>
      <c r="G480" s="15"/>
      <c r="H480" s="8"/>
      <c r="I480" s="8"/>
      <c r="J480" s="89"/>
      <c r="K480" s="8"/>
      <c r="L480" s="8"/>
      <c r="M480" s="8" t="str">
        <f>IF(L480="","",
IF(AX480="PT",VLOOKUP(L480,Foundation_Calc!$V$4:$X$37,VLOOKUP(AX480,Foundation_Calc!$I$10:$J$13,2,FALSE),0),
IF(AX480="K",VLOOKUP(L480,Foundation_Calc!$V$41:$X$74,VLOOKUP(AX480,Foundation_Calc!$I$10:$J$13,2,FALSE),0),"")))</f>
        <v/>
      </c>
      <c r="N480" s="8"/>
      <c r="O480" s="8"/>
      <c r="P480" s="8"/>
      <c r="Q480" s="14"/>
      <c r="R480" s="15"/>
      <c r="S480" s="15"/>
      <c r="T480" s="14"/>
      <c r="U480" s="14"/>
      <c r="V480" s="14"/>
      <c r="W480" s="18"/>
      <c r="X480" s="18"/>
      <c r="Y480" s="18"/>
      <c r="Z480" s="18"/>
      <c r="AA480" s="18"/>
      <c r="AB480" s="18"/>
      <c r="AC480" s="8" t="str">
        <f t="shared" si="29"/>
        <v/>
      </c>
      <c r="AD480" s="8"/>
      <c r="AE480" s="8"/>
      <c r="AF480" s="14"/>
      <c r="AG480" s="13"/>
      <c r="AH480" s="14"/>
      <c r="AI480" s="14"/>
      <c r="AJ480" s="8"/>
      <c r="AK480" s="8"/>
      <c r="AL480" s="8"/>
      <c r="AM480" s="8"/>
      <c r="AN480" s="631"/>
      <c r="AO480" s="18"/>
      <c r="AP480" s="18"/>
      <c r="AQ480" s="18"/>
      <c r="AR480" s="18"/>
      <c r="AS480" s="18"/>
      <c r="AU480" s="448"/>
      <c r="AV480" s="448"/>
      <c r="AW480" s="8" t="str">
        <f>IF(C480&gt;0,VLOOKUP(C480,Foundation_Calc!$A$2:$C$986,3,1),
IF(J480&gt;0,VLOOKUP(J480,Foundation_Calc!$A$2:$C$986,3,1),""))</f>
        <v/>
      </c>
      <c r="AX480" s="8" t="str">
        <f>IF(C480&gt;0,VLOOKUP(C480,Foundation_Calc!$E$2:$G$986,3,1),
IF(J480&gt;0,VLOOKUP(J480,Foundation_Calc!$E$2:$G$986,3,1),""))</f>
        <v/>
      </c>
      <c r="AY480" s="631" t="str">
        <f>IF(L480="","",
IF(AX480="PT",VLOOKUP(L480,Foundation_Calc!$K$4:$R$37,VLOOKUP(AW480,Foundation_Calc!$I$2:$J$8,2,FALSE),0),
IF(AX480="K",VLOOKUP(L480,Foundation_Calc!$K$41:$R$74,VLOOKUP(AW480,Foundation_Calc!$I$2:$J$8,2,FALSE),0),"")))</f>
        <v/>
      </c>
      <c r="AZ480" s="631" t="str">
        <f>IF(K480="","",
IF(AX480="PT",VLOOKUP(K480,Foundation_Calc!$K$4:$R$37,VLOOKUP(AW480,Foundation_Calc!$I$2:$J$8,2,FALSE),0),
IF(AX480="K",VLOOKUP(K480,Foundation_Calc!$K$41:$R$74,VLOOKUP(AW480,Foundation_Calc!$I$2:$J$8,2,FALSE),0),"")))</f>
        <v/>
      </c>
      <c r="BA480" s="632" t="str">
        <f t="shared" si="30"/>
        <v/>
      </c>
      <c r="BB480" s="632" t="str">
        <f t="shared" si="31"/>
        <v/>
      </c>
      <c r="BC480" s="632" t="str">
        <f t="shared" si="32"/>
        <v/>
      </c>
      <c r="BD480" s="633" t="str">
        <f>IF(AND(L480="",H480=""),"",
IF(H480="",Pole_Calc!A508,
IF(H480="MP",Pole_Calc!A509,
IF(H480="AnMP",Pole_Calc!A510,
IF(H480="A",Pole_Calc!A511,
IF(H480="S/A",Pole_Calc!A512,
IF(H480="A/S",Pole_Calc!A513,"Poner a mano")))))))</f>
        <v/>
      </c>
      <c r="BE480" s="448" t="s">
        <v>1726</v>
      </c>
      <c r="BF480" s="634"/>
      <c r="BG480" s="634"/>
      <c r="BH480" s="634"/>
      <c r="BI480" s="634"/>
    </row>
    <row r="481" spans="1:61" ht="16.2" customHeight="1">
      <c r="A481" s="12"/>
      <c r="B481" s="446"/>
      <c r="C481" s="89"/>
      <c r="D481" s="13"/>
      <c r="E481" s="14"/>
      <c r="F481" s="14"/>
      <c r="G481" s="15"/>
      <c r="H481" s="8"/>
      <c r="I481" s="8"/>
      <c r="J481" s="89"/>
      <c r="K481" s="8"/>
      <c r="L481" s="8"/>
      <c r="M481" s="8" t="str">
        <f>IF(L481="","",
IF(AX481="PT",VLOOKUP(L481,Foundation_Calc!$V$4:$X$37,VLOOKUP(AX481,Foundation_Calc!$I$10:$J$13,2,FALSE),0),
IF(AX481="K",VLOOKUP(L481,Foundation_Calc!$V$41:$X$74,VLOOKUP(AX481,Foundation_Calc!$I$10:$J$13,2,FALSE),0),"")))</f>
        <v/>
      </c>
      <c r="N481" s="8"/>
      <c r="O481" s="8"/>
      <c r="P481" s="8"/>
      <c r="Q481" s="14"/>
      <c r="R481" s="15"/>
      <c r="S481" s="15"/>
      <c r="T481" s="14"/>
      <c r="U481" s="14"/>
      <c r="V481" s="14"/>
      <c r="W481" s="18"/>
      <c r="X481" s="18"/>
      <c r="Y481" s="18"/>
      <c r="Z481" s="18"/>
      <c r="AA481" s="18"/>
      <c r="AB481" s="18"/>
      <c r="AC481" s="8" t="str">
        <f t="shared" si="29"/>
        <v/>
      </c>
      <c r="AD481" s="8"/>
      <c r="AE481" s="8"/>
      <c r="AF481" s="14"/>
      <c r="AG481" s="13"/>
      <c r="AH481" s="14"/>
      <c r="AI481" s="14"/>
      <c r="AJ481" s="8"/>
      <c r="AK481" s="8"/>
      <c r="AL481" s="8"/>
      <c r="AM481" s="8"/>
      <c r="AN481" s="631"/>
      <c r="AO481" s="18"/>
      <c r="AP481" s="18"/>
      <c r="AQ481" s="18"/>
      <c r="AR481" s="18"/>
      <c r="AS481" s="18"/>
      <c r="AU481" s="448"/>
      <c r="AV481" s="448"/>
      <c r="AW481" s="8" t="str">
        <f>IF(C481&gt;0,VLOOKUP(C481,Foundation_Calc!$A$2:$C$986,3,1),
IF(J481&gt;0,VLOOKUP(J481,Foundation_Calc!$A$2:$C$986,3,1),""))</f>
        <v/>
      </c>
      <c r="AX481" s="8" t="str">
        <f>IF(C481&gt;0,VLOOKUP(C481,Foundation_Calc!$E$2:$G$986,3,1),
IF(J481&gt;0,VLOOKUP(J481,Foundation_Calc!$E$2:$G$986,3,1),""))</f>
        <v/>
      </c>
      <c r="AY481" s="631" t="str">
        <f>IF(L481="","",
IF(AX481="PT",VLOOKUP(L481,Foundation_Calc!$K$4:$R$37,VLOOKUP(AW481,Foundation_Calc!$I$2:$J$8,2,FALSE),0),
IF(AX481="K",VLOOKUP(L481,Foundation_Calc!$K$41:$R$74,VLOOKUP(AW481,Foundation_Calc!$I$2:$J$8,2,FALSE),0),"")))</f>
        <v/>
      </c>
      <c r="AZ481" s="631" t="str">
        <f>IF(K481="","",
IF(AX481="PT",VLOOKUP(K481,Foundation_Calc!$K$4:$R$37,VLOOKUP(AW481,Foundation_Calc!$I$2:$J$8,2,FALSE),0),
IF(AX481="K",VLOOKUP(K481,Foundation_Calc!$K$41:$R$74,VLOOKUP(AW481,Foundation_Calc!$I$2:$J$8,2,FALSE),0),"")))</f>
        <v/>
      </c>
      <c r="BA481" s="632" t="str">
        <f t="shared" si="30"/>
        <v/>
      </c>
      <c r="BB481" s="632" t="str">
        <f t="shared" si="31"/>
        <v/>
      </c>
      <c r="BC481" s="632" t="str">
        <f t="shared" si="32"/>
        <v/>
      </c>
      <c r="BD481" s="633" t="str">
        <f>IF(AND(L481="",H481=""),"",
IF(H481="",Pole_Calc!A509,
IF(H481="MP",Pole_Calc!A510,
IF(H481="AnMP",Pole_Calc!A511,
IF(H481="A",Pole_Calc!A512,
IF(H481="S/A",Pole_Calc!A513,
IF(H481="A/S",Pole_Calc!A514,"Poner a mano")))))))</f>
        <v/>
      </c>
      <c r="BE481" s="448" t="s">
        <v>1726</v>
      </c>
      <c r="BF481" s="635"/>
      <c r="BG481" s="635"/>
      <c r="BH481" s="634"/>
      <c r="BI481" s="635"/>
    </row>
    <row r="482" spans="1:61" ht="16.2" customHeight="1">
      <c r="A482" s="12"/>
      <c r="B482" s="446"/>
      <c r="C482" s="89"/>
      <c r="D482" s="13"/>
      <c r="E482" s="14"/>
      <c r="F482" s="14"/>
      <c r="G482" s="15"/>
      <c r="H482" s="8"/>
      <c r="I482" s="8"/>
      <c r="J482" s="89"/>
      <c r="K482" s="8"/>
      <c r="L482" s="8"/>
      <c r="M482" s="8" t="str">
        <f>IF(L482="","",
IF(AX482="PT",VLOOKUP(L482,Foundation_Calc!$V$4:$X$37,VLOOKUP(AX482,Foundation_Calc!$I$10:$J$13,2,FALSE),0),
IF(AX482="K",VLOOKUP(L482,Foundation_Calc!$V$41:$X$74,VLOOKUP(AX482,Foundation_Calc!$I$10:$J$13,2,FALSE),0),"")))</f>
        <v/>
      </c>
      <c r="N482" s="8"/>
      <c r="O482" s="8"/>
      <c r="P482" s="8"/>
      <c r="Q482" s="14"/>
      <c r="R482" s="15"/>
      <c r="S482" s="15"/>
      <c r="T482" s="14"/>
      <c r="U482" s="14"/>
      <c r="V482" s="14"/>
      <c r="W482" s="18"/>
      <c r="X482" s="18"/>
      <c r="Y482" s="18"/>
      <c r="Z482" s="18"/>
      <c r="AA482" s="18"/>
      <c r="AB482" s="18"/>
      <c r="AC482" s="8" t="str">
        <f t="shared" si="29"/>
        <v/>
      </c>
      <c r="AD482" s="8"/>
      <c r="AE482" s="8"/>
      <c r="AF482" s="14"/>
      <c r="AG482" s="13"/>
      <c r="AH482" s="14"/>
      <c r="AI482" s="14"/>
      <c r="AJ482" s="8"/>
      <c r="AK482" s="8"/>
      <c r="AL482" s="8"/>
      <c r="AM482" s="8"/>
      <c r="AN482" s="631"/>
      <c r="AO482" s="18"/>
      <c r="AP482" s="18"/>
      <c r="AQ482" s="18"/>
      <c r="AR482" s="18"/>
      <c r="AS482" s="18"/>
      <c r="AU482" s="448"/>
      <c r="AV482" s="448"/>
      <c r="AW482" s="8" t="str">
        <f>IF(C482&gt;0,VLOOKUP(C482,Foundation_Calc!$A$2:$C$986,3,1),
IF(J482&gt;0,VLOOKUP(J482,Foundation_Calc!$A$2:$C$986,3,1),""))</f>
        <v/>
      </c>
      <c r="AX482" s="8" t="str">
        <f>IF(C482&gt;0,VLOOKUP(C482,Foundation_Calc!$E$2:$G$986,3,1),
IF(J482&gt;0,VLOOKUP(J482,Foundation_Calc!$E$2:$G$986,3,1),""))</f>
        <v/>
      </c>
      <c r="AY482" s="631" t="str">
        <f>IF(L482="","",
IF(AX482="PT",VLOOKUP(L482,Foundation_Calc!$K$4:$R$37,VLOOKUP(AW482,Foundation_Calc!$I$2:$J$8,2,FALSE),0),
IF(AX482="K",VLOOKUP(L482,Foundation_Calc!$K$41:$R$74,VLOOKUP(AW482,Foundation_Calc!$I$2:$J$8,2,FALSE),0),"")))</f>
        <v/>
      </c>
      <c r="AZ482" s="631" t="str">
        <f>IF(K482="","",
IF(AX482="PT",VLOOKUP(K482,Foundation_Calc!$K$4:$R$37,VLOOKUP(AW482,Foundation_Calc!$I$2:$J$8,2,FALSE),0),
IF(AX482="K",VLOOKUP(K482,Foundation_Calc!$K$41:$R$74,VLOOKUP(AW482,Foundation_Calc!$I$2:$J$8,2,FALSE),0),"")))</f>
        <v/>
      </c>
      <c r="BA482" s="632" t="str">
        <f t="shared" si="30"/>
        <v/>
      </c>
      <c r="BB482" s="632" t="str">
        <f t="shared" si="31"/>
        <v/>
      </c>
      <c r="BC482" s="632" t="str">
        <f t="shared" si="32"/>
        <v/>
      </c>
      <c r="BD482" s="633" t="str">
        <f>IF(AND(L482="",H482=""),"",
IF(H482="",Pole_Calc!A510,
IF(H482="MP",Pole_Calc!A511,
IF(H482="AnMP",Pole_Calc!A512,
IF(H482="A",Pole_Calc!A513,
IF(H482="S/A",Pole_Calc!A514,
IF(H482="A/S",Pole_Calc!A515,"Poner a mano")))))))</f>
        <v/>
      </c>
      <c r="BE482" s="448" t="s">
        <v>1726</v>
      </c>
      <c r="BF482" s="634"/>
      <c r="BG482" s="634"/>
      <c r="BH482" s="634"/>
      <c r="BI482" s="634"/>
    </row>
    <row r="483" spans="1:61" ht="16.2" customHeight="1">
      <c r="A483" s="12"/>
      <c r="B483" s="446"/>
      <c r="C483" s="89"/>
      <c r="D483" s="13"/>
      <c r="E483" s="14"/>
      <c r="F483" s="14"/>
      <c r="G483" s="15"/>
      <c r="H483" s="8"/>
      <c r="I483" s="8"/>
      <c r="J483" s="89"/>
      <c r="K483" s="8"/>
      <c r="L483" s="8"/>
      <c r="M483" s="8" t="str">
        <f>IF(L483="","",
IF(AX483="PT",VLOOKUP(L483,Foundation_Calc!$V$4:$X$37,VLOOKUP(AX483,Foundation_Calc!$I$10:$J$13,2,FALSE),0),
IF(AX483="K",VLOOKUP(L483,Foundation_Calc!$V$41:$X$74,VLOOKUP(AX483,Foundation_Calc!$I$10:$J$13,2,FALSE),0),"")))</f>
        <v/>
      </c>
      <c r="N483" s="8"/>
      <c r="O483" s="8"/>
      <c r="P483" s="8"/>
      <c r="Q483" s="14"/>
      <c r="R483" s="15"/>
      <c r="S483" s="15"/>
      <c r="T483" s="14"/>
      <c r="U483" s="14"/>
      <c r="V483" s="14"/>
      <c r="W483" s="18"/>
      <c r="X483" s="18"/>
      <c r="Y483" s="18"/>
      <c r="Z483" s="18"/>
      <c r="AA483" s="18"/>
      <c r="AB483" s="18"/>
      <c r="AC483" s="8" t="str">
        <f t="shared" si="29"/>
        <v/>
      </c>
      <c r="AD483" s="8"/>
      <c r="AE483" s="8"/>
      <c r="AF483" s="14"/>
      <c r="AG483" s="13"/>
      <c r="AH483" s="14"/>
      <c r="AI483" s="14"/>
      <c r="AJ483" s="8"/>
      <c r="AK483" s="8"/>
      <c r="AL483" s="8"/>
      <c r="AM483" s="8"/>
      <c r="AN483" s="631"/>
      <c r="AO483" s="18"/>
      <c r="AP483" s="18"/>
      <c r="AQ483" s="18"/>
      <c r="AR483" s="18"/>
      <c r="AS483" s="18"/>
      <c r="AU483" s="448"/>
      <c r="AV483" s="448"/>
      <c r="AW483" s="8" t="str">
        <f>IF(C483&gt;0,VLOOKUP(C483,Foundation_Calc!$A$2:$C$986,3,1),
IF(J483&gt;0,VLOOKUP(J483,Foundation_Calc!$A$2:$C$986,3,1),""))</f>
        <v/>
      </c>
      <c r="AX483" s="8" t="str">
        <f>IF(C483&gt;0,VLOOKUP(C483,Foundation_Calc!$E$2:$G$986,3,1),
IF(J483&gt;0,VLOOKUP(J483,Foundation_Calc!$E$2:$G$986,3,1),""))</f>
        <v/>
      </c>
      <c r="AY483" s="631" t="str">
        <f>IF(L483="","",
IF(AX483="PT",VLOOKUP(L483,Foundation_Calc!$K$4:$R$37,VLOOKUP(AW483,Foundation_Calc!$I$2:$J$8,2,FALSE),0),
IF(AX483="K",VLOOKUP(L483,Foundation_Calc!$K$41:$R$74,VLOOKUP(AW483,Foundation_Calc!$I$2:$J$8,2,FALSE),0),"")))</f>
        <v/>
      </c>
      <c r="AZ483" s="631" t="str">
        <f>IF(K483="","",
IF(AX483="PT",VLOOKUP(K483,Foundation_Calc!$K$4:$R$37,VLOOKUP(AW483,Foundation_Calc!$I$2:$J$8,2,FALSE),0),
IF(AX483="K",VLOOKUP(K483,Foundation_Calc!$K$41:$R$74,VLOOKUP(AW483,Foundation_Calc!$I$2:$J$8,2,FALSE),0),"")))</f>
        <v/>
      </c>
      <c r="BA483" s="632" t="str">
        <f t="shared" si="30"/>
        <v/>
      </c>
      <c r="BB483" s="632" t="str">
        <f t="shared" si="31"/>
        <v/>
      </c>
      <c r="BC483" s="632" t="str">
        <f t="shared" si="32"/>
        <v/>
      </c>
      <c r="BD483" s="633" t="str">
        <f>IF(AND(L483="",H483=""),"",
IF(H483="",Pole_Calc!A511,
IF(H483="MP",Pole_Calc!A512,
IF(H483="AnMP",Pole_Calc!A513,
IF(H483="A",Pole_Calc!A514,
IF(H483="S/A",Pole_Calc!A515,
IF(H483="A/S",Pole_Calc!A516,"Poner a mano")))))))</f>
        <v/>
      </c>
      <c r="BE483" s="448" t="s">
        <v>1726</v>
      </c>
      <c r="BF483" s="635"/>
      <c r="BG483" s="635"/>
      <c r="BH483" s="634"/>
      <c r="BI483" s="635"/>
    </row>
    <row r="484" spans="1:61" ht="16.2" customHeight="1">
      <c r="A484" s="12"/>
      <c r="B484" s="446"/>
      <c r="C484" s="89"/>
      <c r="D484" s="13"/>
      <c r="E484" s="14"/>
      <c r="F484" s="14"/>
      <c r="G484" s="15"/>
      <c r="H484" s="8"/>
      <c r="I484" s="8"/>
      <c r="J484" s="89"/>
      <c r="K484" s="8"/>
      <c r="L484" s="8"/>
      <c r="M484" s="8" t="str">
        <f>IF(L484="","",
IF(AX484="PT",VLOOKUP(L484,Foundation_Calc!$V$4:$X$37,VLOOKUP(AX484,Foundation_Calc!$I$10:$J$13,2,FALSE),0),
IF(AX484="K",VLOOKUP(L484,Foundation_Calc!$V$41:$X$74,VLOOKUP(AX484,Foundation_Calc!$I$10:$J$13,2,FALSE),0),"")))</f>
        <v/>
      </c>
      <c r="N484" s="8"/>
      <c r="O484" s="8"/>
      <c r="P484" s="8"/>
      <c r="Q484" s="14"/>
      <c r="R484" s="15"/>
      <c r="S484" s="15"/>
      <c r="T484" s="14"/>
      <c r="U484" s="14"/>
      <c r="V484" s="14"/>
      <c r="W484" s="18"/>
      <c r="X484" s="18"/>
      <c r="Y484" s="18"/>
      <c r="Z484" s="18"/>
      <c r="AA484" s="18"/>
      <c r="AB484" s="18"/>
      <c r="AC484" s="8" t="str">
        <f t="shared" si="29"/>
        <v/>
      </c>
      <c r="AD484" s="8"/>
      <c r="AE484" s="8"/>
      <c r="AF484" s="14"/>
      <c r="AG484" s="13"/>
      <c r="AH484" s="14"/>
      <c r="AI484" s="14"/>
      <c r="AJ484" s="8"/>
      <c r="AK484" s="8"/>
      <c r="AL484" s="8"/>
      <c r="AM484" s="8"/>
      <c r="AN484" s="631"/>
      <c r="AO484" s="18"/>
      <c r="AP484" s="18"/>
      <c r="AQ484" s="18"/>
      <c r="AR484" s="18"/>
      <c r="AS484" s="18"/>
      <c r="AU484" s="448"/>
      <c r="AV484" s="448"/>
      <c r="AW484" s="8" t="str">
        <f>IF(C484&gt;0,VLOOKUP(C484,Foundation_Calc!$A$2:$C$986,3,1),
IF(J484&gt;0,VLOOKUP(J484,Foundation_Calc!$A$2:$C$986,3,1),""))</f>
        <v/>
      </c>
      <c r="AX484" s="8" t="str">
        <f>IF(C484&gt;0,VLOOKUP(C484,Foundation_Calc!$E$2:$G$986,3,1),
IF(J484&gt;0,VLOOKUP(J484,Foundation_Calc!$E$2:$G$986,3,1),""))</f>
        <v/>
      </c>
      <c r="AY484" s="631" t="str">
        <f>IF(L484="","",
IF(AX484="PT",VLOOKUP(L484,Foundation_Calc!$K$4:$R$37,VLOOKUP(AW484,Foundation_Calc!$I$2:$J$8,2,FALSE),0),
IF(AX484="K",VLOOKUP(L484,Foundation_Calc!$K$41:$R$74,VLOOKUP(AW484,Foundation_Calc!$I$2:$J$8,2,FALSE),0),"")))</f>
        <v/>
      </c>
      <c r="AZ484" s="631" t="str">
        <f>IF(K484="","",
IF(AX484="PT",VLOOKUP(K484,Foundation_Calc!$K$4:$R$37,VLOOKUP(AW484,Foundation_Calc!$I$2:$J$8,2,FALSE),0),
IF(AX484="K",VLOOKUP(K484,Foundation_Calc!$K$41:$R$74,VLOOKUP(AW484,Foundation_Calc!$I$2:$J$8,2,FALSE),0),"")))</f>
        <v/>
      </c>
      <c r="BA484" s="632" t="str">
        <f t="shared" si="30"/>
        <v/>
      </c>
      <c r="BB484" s="632" t="str">
        <f t="shared" si="31"/>
        <v/>
      </c>
      <c r="BC484" s="632" t="str">
        <f t="shared" si="32"/>
        <v/>
      </c>
      <c r="BD484" s="633" t="str">
        <f>IF(AND(L484="",H484=""),"",
IF(H484="",Pole_Calc!A512,
IF(H484="MP",Pole_Calc!A513,
IF(H484="AnMP",Pole_Calc!A514,
IF(H484="A",Pole_Calc!A515,
IF(H484="S/A",Pole_Calc!A516,
IF(H484="A/S",Pole_Calc!A517,"Poner a mano")))))))</f>
        <v/>
      </c>
      <c r="BE484" s="448" t="s">
        <v>1726</v>
      </c>
      <c r="BF484" s="634"/>
      <c r="BG484" s="634"/>
      <c r="BH484" s="634"/>
      <c r="BI484" s="634"/>
    </row>
    <row r="485" spans="1:61" ht="16.2" customHeight="1">
      <c r="A485" s="12"/>
      <c r="B485" s="446"/>
      <c r="C485" s="89"/>
      <c r="D485" s="13"/>
      <c r="E485" s="14"/>
      <c r="F485" s="14"/>
      <c r="G485" s="15"/>
      <c r="H485" s="8"/>
      <c r="I485" s="8"/>
      <c r="J485" s="89"/>
      <c r="K485" s="8"/>
      <c r="L485" s="8"/>
      <c r="M485" s="8" t="str">
        <f>IF(L485="","",
IF(AX485="PT",VLOOKUP(L485,Foundation_Calc!$V$4:$X$37,VLOOKUP(AX485,Foundation_Calc!$I$10:$J$13,2,FALSE),0),
IF(AX485="K",VLOOKUP(L485,Foundation_Calc!$V$41:$X$74,VLOOKUP(AX485,Foundation_Calc!$I$10:$J$13,2,FALSE),0),"")))</f>
        <v/>
      </c>
      <c r="N485" s="8"/>
      <c r="O485" s="8"/>
      <c r="P485" s="8"/>
      <c r="Q485" s="14"/>
      <c r="R485" s="15"/>
      <c r="S485" s="15"/>
      <c r="T485" s="14"/>
      <c r="U485" s="14"/>
      <c r="V485" s="14"/>
      <c r="W485" s="18"/>
      <c r="X485" s="18"/>
      <c r="Y485" s="18"/>
      <c r="Z485" s="18"/>
      <c r="AA485" s="18"/>
      <c r="AB485" s="18"/>
      <c r="AC485" s="8" t="str">
        <f t="shared" si="29"/>
        <v/>
      </c>
      <c r="AD485" s="8"/>
      <c r="AE485" s="8"/>
      <c r="AF485" s="14"/>
      <c r="AG485" s="13"/>
      <c r="AH485" s="14"/>
      <c r="AI485" s="14"/>
      <c r="AJ485" s="8"/>
      <c r="AK485" s="8"/>
      <c r="AL485" s="8"/>
      <c r="AM485" s="8"/>
      <c r="AN485" s="631"/>
      <c r="AO485" s="18"/>
      <c r="AP485" s="18"/>
      <c r="AQ485" s="18"/>
      <c r="AR485" s="18"/>
      <c r="AS485" s="18"/>
      <c r="AU485" s="448"/>
      <c r="AV485" s="448"/>
      <c r="AW485" s="8" t="str">
        <f>IF(C485&gt;0,VLOOKUP(C485,Foundation_Calc!$A$2:$C$986,3,1),
IF(J485&gt;0,VLOOKUP(J485,Foundation_Calc!$A$2:$C$986,3,1),""))</f>
        <v/>
      </c>
      <c r="AX485" s="8" t="str">
        <f>IF(C485&gt;0,VLOOKUP(C485,Foundation_Calc!$E$2:$G$986,3,1),
IF(J485&gt;0,VLOOKUP(J485,Foundation_Calc!$E$2:$G$986,3,1),""))</f>
        <v/>
      </c>
      <c r="AY485" s="631" t="str">
        <f>IF(L485="","",
IF(AX485="PT",VLOOKUP(L485,Foundation_Calc!$K$4:$R$37,VLOOKUP(AW485,Foundation_Calc!$I$2:$J$8,2,FALSE),0),
IF(AX485="K",VLOOKUP(L485,Foundation_Calc!$K$41:$R$74,VLOOKUP(AW485,Foundation_Calc!$I$2:$J$8,2,FALSE),0),"")))</f>
        <v/>
      </c>
      <c r="AZ485" s="631" t="str">
        <f>IF(K485="","",
IF(AX485="PT",VLOOKUP(K485,Foundation_Calc!$K$4:$R$37,VLOOKUP(AW485,Foundation_Calc!$I$2:$J$8,2,FALSE),0),
IF(AX485="K",VLOOKUP(K485,Foundation_Calc!$K$41:$R$74,VLOOKUP(AW485,Foundation_Calc!$I$2:$J$8,2,FALSE),0),"")))</f>
        <v/>
      </c>
      <c r="BA485" s="632" t="str">
        <f t="shared" si="30"/>
        <v/>
      </c>
      <c r="BB485" s="632" t="str">
        <f t="shared" si="31"/>
        <v/>
      </c>
      <c r="BC485" s="632" t="str">
        <f t="shared" si="32"/>
        <v/>
      </c>
      <c r="BD485" s="633" t="str">
        <f>IF(AND(L485="",H485=""),"",
IF(H485="",Pole_Calc!A513,
IF(H485="MP",Pole_Calc!A514,
IF(H485="AnMP",Pole_Calc!A515,
IF(H485="A",Pole_Calc!A516,
IF(H485="S/A",Pole_Calc!A517,
IF(H485="A/S",Pole_Calc!A518,"Poner a mano")))))))</f>
        <v/>
      </c>
      <c r="BE485" s="448" t="s">
        <v>1726</v>
      </c>
      <c r="BF485" s="635"/>
      <c r="BG485" s="635"/>
      <c r="BH485" s="634"/>
      <c r="BI485" s="635"/>
    </row>
    <row r="486" spans="1:61" ht="16.2" customHeight="1">
      <c r="A486" s="12"/>
      <c r="B486" s="446"/>
      <c r="C486" s="89"/>
      <c r="D486" s="13"/>
      <c r="E486" s="14"/>
      <c r="F486" s="14"/>
      <c r="G486" s="15"/>
      <c r="H486" s="8"/>
      <c r="I486" s="8"/>
      <c r="J486" s="89"/>
      <c r="K486" s="8"/>
      <c r="L486" s="8"/>
      <c r="M486" s="8" t="str">
        <f>IF(L486="","",
IF(AX486="PT",VLOOKUP(L486,Foundation_Calc!$V$4:$X$37,VLOOKUP(AX486,Foundation_Calc!$I$10:$J$13,2,FALSE),0),
IF(AX486="K",VLOOKUP(L486,Foundation_Calc!$V$41:$X$74,VLOOKUP(AX486,Foundation_Calc!$I$10:$J$13,2,FALSE),0),"")))</f>
        <v/>
      </c>
      <c r="N486" s="8"/>
      <c r="O486" s="8"/>
      <c r="P486" s="8"/>
      <c r="Q486" s="14"/>
      <c r="R486" s="15"/>
      <c r="S486" s="15"/>
      <c r="T486" s="14"/>
      <c r="U486" s="14"/>
      <c r="V486" s="14"/>
      <c r="W486" s="18"/>
      <c r="X486" s="18"/>
      <c r="Y486" s="18"/>
      <c r="Z486" s="18"/>
      <c r="AA486" s="18"/>
      <c r="AB486" s="18"/>
      <c r="AC486" s="8" t="str">
        <f t="shared" si="29"/>
        <v/>
      </c>
      <c r="AD486" s="8"/>
      <c r="AE486" s="8"/>
      <c r="AF486" s="14"/>
      <c r="AG486" s="13"/>
      <c r="AH486" s="14"/>
      <c r="AI486" s="14"/>
      <c r="AJ486" s="8"/>
      <c r="AK486" s="8"/>
      <c r="AL486" s="8"/>
      <c r="AM486" s="8"/>
      <c r="AN486" s="631"/>
      <c r="AO486" s="18"/>
      <c r="AP486" s="18"/>
      <c r="AQ486" s="18"/>
      <c r="AR486" s="18"/>
      <c r="AS486" s="18"/>
      <c r="AU486" s="448"/>
      <c r="AV486" s="448"/>
      <c r="AW486" s="8" t="str">
        <f>IF(C486&gt;0,VLOOKUP(C486,Foundation_Calc!$A$2:$C$986,3,1),
IF(J486&gt;0,VLOOKUP(J486,Foundation_Calc!$A$2:$C$986,3,1),""))</f>
        <v/>
      </c>
      <c r="AX486" s="8" t="str">
        <f>IF(C486&gt;0,VLOOKUP(C486,Foundation_Calc!$E$2:$G$986,3,1),
IF(J486&gt;0,VLOOKUP(J486,Foundation_Calc!$E$2:$G$986,3,1),""))</f>
        <v/>
      </c>
      <c r="AY486" s="631" t="str">
        <f>IF(L486="","",
IF(AX486="PT",VLOOKUP(L486,Foundation_Calc!$K$4:$R$37,VLOOKUP(AW486,Foundation_Calc!$I$2:$J$8,2,FALSE),0),
IF(AX486="K",VLOOKUP(L486,Foundation_Calc!$K$41:$R$74,VLOOKUP(AW486,Foundation_Calc!$I$2:$J$8,2,FALSE),0),"")))</f>
        <v/>
      </c>
      <c r="AZ486" s="631" t="str">
        <f>IF(K486="","",
IF(AX486="PT",VLOOKUP(K486,Foundation_Calc!$K$4:$R$37,VLOOKUP(AW486,Foundation_Calc!$I$2:$J$8,2,FALSE),0),
IF(AX486="K",VLOOKUP(K486,Foundation_Calc!$K$41:$R$74,VLOOKUP(AW486,Foundation_Calc!$I$2:$J$8,2,FALSE),0),"")))</f>
        <v/>
      </c>
      <c r="BA486" s="632" t="str">
        <f t="shared" si="30"/>
        <v/>
      </c>
      <c r="BB486" s="632" t="str">
        <f t="shared" si="31"/>
        <v/>
      </c>
      <c r="BC486" s="632" t="str">
        <f t="shared" si="32"/>
        <v/>
      </c>
      <c r="BD486" s="633" t="str">
        <f>IF(AND(L486="",H486=""),"",
IF(H486="",Pole_Calc!A514,
IF(H486="MP",Pole_Calc!A515,
IF(H486="AnMP",Pole_Calc!A516,
IF(H486="A",Pole_Calc!A517,
IF(H486="S/A",Pole_Calc!A518,
IF(H486="A/S",Pole_Calc!A519,"Poner a mano")))))))</f>
        <v/>
      </c>
      <c r="BE486" s="448" t="s">
        <v>1726</v>
      </c>
      <c r="BF486" s="634"/>
      <c r="BG486" s="634"/>
      <c r="BH486" s="634"/>
      <c r="BI486" s="634"/>
    </row>
    <row r="487" spans="1:61" ht="16.2" customHeight="1">
      <c r="A487" s="12"/>
      <c r="B487" s="446"/>
      <c r="C487" s="89"/>
      <c r="D487" s="13"/>
      <c r="E487" s="14"/>
      <c r="F487" s="14"/>
      <c r="G487" s="15"/>
      <c r="H487" s="8"/>
      <c r="I487" s="8"/>
      <c r="J487" s="89"/>
      <c r="K487" s="8"/>
      <c r="L487" s="8"/>
      <c r="M487" s="8" t="str">
        <f>IF(L487="","",
IF(AX487="PT",VLOOKUP(L487,Foundation_Calc!$V$4:$X$37,VLOOKUP(AX487,Foundation_Calc!$I$10:$J$13,2,FALSE),0),
IF(AX487="K",VLOOKUP(L487,Foundation_Calc!$V$41:$X$74,VLOOKUP(AX487,Foundation_Calc!$I$10:$J$13,2,FALSE),0),"")))</f>
        <v/>
      </c>
      <c r="N487" s="8"/>
      <c r="O487" s="8"/>
      <c r="P487" s="8"/>
      <c r="Q487" s="14"/>
      <c r="R487" s="15"/>
      <c r="S487" s="15"/>
      <c r="T487" s="14"/>
      <c r="U487" s="14"/>
      <c r="V487" s="14"/>
      <c r="W487" s="18"/>
      <c r="X487" s="18"/>
      <c r="Y487" s="18"/>
      <c r="Z487" s="18"/>
      <c r="AA487" s="18"/>
      <c r="AB487" s="18"/>
      <c r="AC487" s="8" t="str">
        <f t="shared" si="29"/>
        <v/>
      </c>
      <c r="AD487" s="8"/>
      <c r="AE487" s="8"/>
      <c r="AF487" s="14"/>
      <c r="AG487" s="13"/>
      <c r="AH487" s="14"/>
      <c r="AI487" s="14"/>
      <c r="AJ487" s="8"/>
      <c r="AK487" s="8"/>
      <c r="AL487" s="8"/>
      <c r="AM487" s="8"/>
      <c r="AN487" s="631"/>
      <c r="AO487" s="18"/>
      <c r="AP487" s="18"/>
      <c r="AQ487" s="18"/>
      <c r="AR487" s="18"/>
      <c r="AS487" s="18"/>
      <c r="AU487" s="448"/>
      <c r="AV487" s="448"/>
      <c r="AW487" s="8" t="str">
        <f>IF(C487&gt;0,VLOOKUP(C487,Foundation_Calc!$A$2:$C$986,3,1),
IF(J487&gt;0,VLOOKUP(J487,Foundation_Calc!$A$2:$C$986,3,1),""))</f>
        <v/>
      </c>
      <c r="AX487" s="8" t="str">
        <f>IF(C487&gt;0,VLOOKUP(C487,Foundation_Calc!$E$2:$G$986,3,1),
IF(J487&gt;0,VLOOKUP(J487,Foundation_Calc!$E$2:$G$986,3,1),""))</f>
        <v/>
      </c>
      <c r="AY487" s="631" t="str">
        <f>IF(L487="","",
IF(AX487="PT",VLOOKUP(L487,Foundation_Calc!$K$4:$R$37,VLOOKUP(AW487,Foundation_Calc!$I$2:$J$8,2,FALSE),0),
IF(AX487="K",VLOOKUP(L487,Foundation_Calc!$K$41:$R$74,VLOOKUP(AW487,Foundation_Calc!$I$2:$J$8,2,FALSE),0),"")))</f>
        <v/>
      </c>
      <c r="AZ487" s="631" t="str">
        <f>IF(K487="","",
IF(AX487="PT",VLOOKUP(K487,Foundation_Calc!$K$4:$R$37,VLOOKUP(AW487,Foundation_Calc!$I$2:$J$8,2,FALSE),0),
IF(AX487="K",VLOOKUP(K487,Foundation_Calc!$K$41:$R$74,VLOOKUP(AW487,Foundation_Calc!$I$2:$J$8,2,FALSE),0),"")))</f>
        <v/>
      </c>
      <c r="BA487" s="632" t="str">
        <f t="shared" si="30"/>
        <v/>
      </c>
      <c r="BB487" s="632" t="str">
        <f t="shared" si="31"/>
        <v/>
      </c>
      <c r="BC487" s="632" t="str">
        <f t="shared" si="32"/>
        <v/>
      </c>
      <c r="BD487" s="633" t="str">
        <f>IF(AND(L487="",H487=""),"",
IF(H487="",Pole_Calc!A515,
IF(H487="MP",Pole_Calc!A516,
IF(H487="AnMP",Pole_Calc!A517,
IF(H487="A",Pole_Calc!A518,
IF(H487="S/A",Pole_Calc!A519,
IF(H487="A/S",Pole_Calc!A520,"Poner a mano")))))))</f>
        <v/>
      </c>
      <c r="BE487" s="448" t="s">
        <v>1726</v>
      </c>
      <c r="BF487" s="635"/>
      <c r="BG487" s="635"/>
      <c r="BH487" s="634"/>
      <c r="BI487" s="635"/>
    </row>
    <row r="488" spans="1:61" ht="16.2" customHeight="1">
      <c r="A488" s="12"/>
      <c r="B488" s="446"/>
      <c r="C488" s="89"/>
      <c r="D488" s="13"/>
      <c r="E488" s="14"/>
      <c r="F488" s="14"/>
      <c r="G488" s="15"/>
      <c r="H488" s="8"/>
      <c r="I488" s="8"/>
      <c r="J488" s="89"/>
      <c r="K488" s="8"/>
      <c r="L488" s="8"/>
      <c r="M488" s="8" t="str">
        <f>IF(L488="","",
IF(AX488="PT",VLOOKUP(L488,Foundation_Calc!$V$4:$X$37,VLOOKUP(AX488,Foundation_Calc!$I$10:$J$13,2,FALSE),0),
IF(AX488="K",VLOOKUP(L488,Foundation_Calc!$V$41:$X$74,VLOOKUP(AX488,Foundation_Calc!$I$10:$J$13,2,FALSE),0),"")))</f>
        <v/>
      </c>
      <c r="N488" s="8"/>
      <c r="O488" s="8"/>
      <c r="P488" s="8"/>
      <c r="Q488" s="14"/>
      <c r="R488" s="15"/>
      <c r="S488" s="15"/>
      <c r="T488" s="14"/>
      <c r="U488" s="14"/>
      <c r="V488" s="14"/>
      <c r="W488" s="18"/>
      <c r="X488" s="18"/>
      <c r="Y488" s="18"/>
      <c r="Z488" s="18"/>
      <c r="AA488" s="18"/>
      <c r="AB488" s="18"/>
      <c r="AC488" s="8" t="str">
        <f t="shared" si="29"/>
        <v/>
      </c>
      <c r="AD488" s="8"/>
      <c r="AE488" s="8"/>
      <c r="AF488" s="14"/>
      <c r="AG488" s="13"/>
      <c r="AH488" s="14"/>
      <c r="AI488" s="14"/>
      <c r="AJ488" s="8"/>
      <c r="AK488" s="8"/>
      <c r="AL488" s="8"/>
      <c r="AM488" s="8"/>
      <c r="AN488" s="631"/>
      <c r="AO488" s="18"/>
      <c r="AP488" s="18"/>
      <c r="AQ488" s="18"/>
      <c r="AR488" s="18"/>
      <c r="AS488" s="18"/>
      <c r="AU488" s="448"/>
      <c r="AV488" s="448"/>
      <c r="AW488" s="8" t="str">
        <f>IF(C488&gt;0,VLOOKUP(C488,Foundation_Calc!$A$2:$C$986,3,1),
IF(J488&gt;0,VLOOKUP(J488,Foundation_Calc!$A$2:$C$986,3,1),""))</f>
        <v/>
      </c>
      <c r="AX488" s="8" t="str">
        <f>IF(C488&gt;0,VLOOKUP(C488,Foundation_Calc!$E$2:$G$986,3,1),
IF(J488&gt;0,VLOOKUP(J488,Foundation_Calc!$E$2:$G$986,3,1),""))</f>
        <v/>
      </c>
      <c r="AY488" s="631" t="str">
        <f>IF(L488="","",
IF(AX488="PT",VLOOKUP(L488,Foundation_Calc!$K$4:$R$37,VLOOKUP(AW488,Foundation_Calc!$I$2:$J$8,2,FALSE),0),
IF(AX488="K",VLOOKUP(L488,Foundation_Calc!$K$41:$R$74,VLOOKUP(AW488,Foundation_Calc!$I$2:$J$8,2,FALSE),0),"")))</f>
        <v/>
      </c>
      <c r="AZ488" s="631" t="str">
        <f>IF(K488="","",
IF(AX488="PT",VLOOKUP(K488,Foundation_Calc!$K$4:$R$37,VLOOKUP(AW488,Foundation_Calc!$I$2:$J$8,2,FALSE),0),
IF(AX488="K",VLOOKUP(K488,Foundation_Calc!$K$41:$R$74,VLOOKUP(AW488,Foundation_Calc!$I$2:$J$8,2,FALSE),0),"")))</f>
        <v/>
      </c>
      <c r="BA488" s="632" t="str">
        <f t="shared" si="30"/>
        <v/>
      </c>
      <c r="BB488" s="632" t="str">
        <f t="shared" si="31"/>
        <v/>
      </c>
      <c r="BC488" s="632" t="str">
        <f t="shared" si="32"/>
        <v/>
      </c>
      <c r="BD488" s="633" t="str">
        <f>IF(AND(L488="",H488=""),"",
IF(H488="",Pole_Calc!A516,
IF(H488="MP",Pole_Calc!A517,
IF(H488="AnMP",Pole_Calc!A518,
IF(H488="A",Pole_Calc!A519,
IF(H488="S/A",Pole_Calc!A520,
IF(H488="A/S",Pole_Calc!A521,"Poner a mano")))))))</f>
        <v/>
      </c>
      <c r="BE488" s="448" t="s">
        <v>1726</v>
      </c>
      <c r="BF488" s="634"/>
      <c r="BG488" s="634"/>
      <c r="BH488" s="634"/>
      <c r="BI488" s="634"/>
    </row>
    <row r="489" spans="1:61" ht="16.2" customHeight="1">
      <c r="A489" s="12"/>
      <c r="B489" s="446"/>
      <c r="C489" s="89"/>
      <c r="D489" s="13"/>
      <c r="E489" s="14"/>
      <c r="F489" s="14"/>
      <c r="G489" s="15"/>
      <c r="H489" s="8"/>
      <c r="I489" s="8"/>
      <c r="J489" s="89"/>
      <c r="K489" s="8"/>
      <c r="L489" s="8"/>
      <c r="M489" s="8" t="str">
        <f>IF(L489="","",
IF(AX489="PT",VLOOKUP(L489,Foundation_Calc!$V$4:$X$37,VLOOKUP(AX489,Foundation_Calc!$I$10:$J$13,2,FALSE),0),
IF(AX489="K",VLOOKUP(L489,Foundation_Calc!$V$41:$X$74,VLOOKUP(AX489,Foundation_Calc!$I$10:$J$13,2,FALSE),0),"")))</f>
        <v/>
      </c>
      <c r="N489" s="8"/>
      <c r="O489" s="8"/>
      <c r="P489" s="8"/>
      <c r="Q489" s="14"/>
      <c r="R489" s="15"/>
      <c r="S489" s="15"/>
      <c r="T489" s="14"/>
      <c r="U489" s="14"/>
      <c r="V489" s="14"/>
      <c r="W489" s="18"/>
      <c r="X489" s="18"/>
      <c r="Y489" s="18"/>
      <c r="Z489" s="18"/>
      <c r="AA489" s="18"/>
      <c r="AB489" s="18"/>
      <c r="AC489" s="8" t="str">
        <f t="shared" si="29"/>
        <v/>
      </c>
      <c r="AD489" s="8"/>
      <c r="AE489" s="8"/>
      <c r="AF489" s="14"/>
      <c r="AG489" s="13"/>
      <c r="AH489" s="14"/>
      <c r="AI489" s="14"/>
      <c r="AJ489" s="8"/>
      <c r="AK489" s="8"/>
      <c r="AL489" s="8"/>
      <c r="AM489" s="8"/>
      <c r="AN489" s="631"/>
      <c r="AO489" s="18"/>
      <c r="AP489" s="18"/>
      <c r="AQ489" s="18"/>
      <c r="AR489" s="18"/>
      <c r="AS489" s="18"/>
      <c r="AU489" s="448"/>
      <c r="AV489" s="448"/>
      <c r="AW489" s="8" t="str">
        <f>IF(C489&gt;0,VLOOKUP(C489,Foundation_Calc!$A$2:$C$986,3,1),
IF(J489&gt;0,VLOOKUP(J489,Foundation_Calc!$A$2:$C$986,3,1),""))</f>
        <v/>
      </c>
      <c r="AX489" s="8" t="str">
        <f>IF(C489&gt;0,VLOOKUP(C489,Foundation_Calc!$E$2:$G$986,3,1),
IF(J489&gt;0,VLOOKUP(J489,Foundation_Calc!$E$2:$G$986,3,1),""))</f>
        <v/>
      </c>
      <c r="AY489" s="631" t="str">
        <f>IF(L489="","",
IF(AX489="PT",VLOOKUP(L489,Foundation_Calc!$K$4:$R$37,VLOOKUP(AW489,Foundation_Calc!$I$2:$J$8,2,FALSE),0),
IF(AX489="K",VLOOKUP(L489,Foundation_Calc!$K$41:$R$74,VLOOKUP(AW489,Foundation_Calc!$I$2:$J$8,2,FALSE),0),"")))</f>
        <v/>
      </c>
      <c r="AZ489" s="631" t="str">
        <f>IF(K489="","",
IF(AX489="PT",VLOOKUP(K489,Foundation_Calc!$K$4:$R$37,VLOOKUP(AW489,Foundation_Calc!$I$2:$J$8,2,FALSE),0),
IF(AX489="K",VLOOKUP(K489,Foundation_Calc!$K$41:$R$74,VLOOKUP(AW489,Foundation_Calc!$I$2:$J$8,2,FALSE),0),"")))</f>
        <v/>
      </c>
      <c r="BA489" s="632" t="str">
        <f t="shared" si="30"/>
        <v/>
      </c>
      <c r="BB489" s="632" t="str">
        <f t="shared" si="31"/>
        <v/>
      </c>
      <c r="BC489" s="632" t="str">
        <f t="shared" si="32"/>
        <v/>
      </c>
      <c r="BD489" s="633" t="str">
        <f>IF(AND(L489="",H489=""),"",
IF(H489="",Pole_Calc!A517,
IF(H489="MP",Pole_Calc!A518,
IF(H489="AnMP",Pole_Calc!A519,
IF(H489="A",Pole_Calc!A520,
IF(H489="S/A",Pole_Calc!A521,
IF(H489="A/S",Pole_Calc!A522,"Poner a mano")))))))</f>
        <v/>
      </c>
      <c r="BE489" s="448" t="s">
        <v>1726</v>
      </c>
      <c r="BF489" s="635"/>
      <c r="BG489" s="635"/>
      <c r="BH489" s="634"/>
      <c r="BI489" s="635"/>
    </row>
    <row r="490" spans="1:61" ht="16.2" customHeight="1">
      <c r="A490" s="12"/>
      <c r="B490" s="446"/>
      <c r="C490" s="89"/>
      <c r="D490" s="13"/>
      <c r="E490" s="14"/>
      <c r="F490" s="14"/>
      <c r="G490" s="15"/>
      <c r="H490" s="8"/>
      <c r="I490" s="8"/>
      <c r="J490" s="89"/>
      <c r="K490" s="8"/>
      <c r="L490" s="8"/>
      <c r="M490" s="8" t="str">
        <f>IF(L490="","",
IF(AX490="PT",VLOOKUP(L490,Foundation_Calc!$V$4:$X$37,VLOOKUP(AX490,Foundation_Calc!$I$10:$J$13,2,FALSE),0),
IF(AX490="K",VLOOKUP(L490,Foundation_Calc!$V$41:$X$74,VLOOKUP(AX490,Foundation_Calc!$I$10:$J$13,2,FALSE),0),"")))</f>
        <v/>
      </c>
      <c r="N490" s="8"/>
      <c r="O490" s="8"/>
      <c r="P490" s="8"/>
      <c r="Q490" s="14"/>
      <c r="R490" s="15"/>
      <c r="S490" s="15"/>
      <c r="T490" s="14"/>
      <c r="U490" s="14"/>
      <c r="V490" s="14"/>
      <c r="W490" s="18"/>
      <c r="X490" s="18"/>
      <c r="Y490" s="18"/>
      <c r="Z490" s="18"/>
      <c r="AA490" s="18"/>
      <c r="AB490" s="18"/>
      <c r="AC490" s="8" t="str">
        <f t="shared" si="29"/>
        <v/>
      </c>
      <c r="AD490" s="8"/>
      <c r="AE490" s="8"/>
      <c r="AF490" s="14"/>
      <c r="AG490" s="13"/>
      <c r="AH490" s="14"/>
      <c r="AI490" s="14"/>
      <c r="AJ490" s="8"/>
      <c r="AK490" s="8"/>
      <c r="AL490" s="8"/>
      <c r="AM490" s="8"/>
      <c r="AN490" s="631"/>
      <c r="AO490" s="18"/>
      <c r="AP490" s="18"/>
      <c r="AQ490" s="18"/>
      <c r="AR490" s="18"/>
      <c r="AS490" s="18"/>
      <c r="AU490" s="448"/>
      <c r="AV490" s="448"/>
      <c r="AW490" s="8" t="str">
        <f>IF(C490&gt;0,VLOOKUP(C490,Foundation_Calc!$A$2:$C$986,3,1),
IF(J490&gt;0,VLOOKUP(J490,Foundation_Calc!$A$2:$C$986,3,1),""))</f>
        <v/>
      </c>
      <c r="AX490" s="8" t="str">
        <f>IF(C490&gt;0,VLOOKUP(C490,Foundation_Calc!$E$2:$G$986,3,1),
IF(J490&gt;0,VLOOKUP(J490,Foundation_Calc!$E$2:$G$986,3,1),""))</f>
        <v/>
      </c>
      <c r="AY490" s="631" t="str">
        <f>IF(L490="","",
IF(AX490="PT",VLOOKUP(L490,Foundation_Calc!$K$4:$R$37,VLOOKUP(AW490,Foundation_Calc!$I$2:$J$8,2,FALSE),0),
IF(AX490="K",VLOOKUP(L490,Foundation_Calc!$K$41:$R$74,VLOOKUP(AW490,Foundation_Calc!$I$2:$J$8,2,FALSE),0),"")))</f>
        <v/>
      </c>
      <c r="AZ490" s="631" t="str">
        <f>IF(K490="","",
IF(AX490="PT",VLOOKUP(K490,Foundation_Calc!$K$4:$R$37,VLOOKUP(AW490,Foundation_Calc!$I$2:$J$8,2,FALSE),0),
IF(AX490="K",VLOOKUP(K490,Foundation_Calc!$K$41:$R$74,VLOOKUP(AW490,Foundation_Calc!$I$2:$J$8,2,FALSE),0),"")))</f>
        <v/>
      </c>
      <c r="BA490" s="632" t="str">
        <f t="shared" si="30"/>
        <v/>
      </c>
      <c r="BB490" s="632" t="str">
        <f t="shared" si="31"/>
        <v/>
      </c>
      <c r="BC490" s="632" t="str">
        <f t="shared" si="32"/>
        <v/>
      </c>
      <c r="BD490" s="633" t="str">
        <f>IF(AND(L490="",H490=""),"",
IF(H490="",Pole_Calc!A518,
IF(H490="MP",Pole_Calc!A519,
IF(H490="AnMP",Pole_Calc!A520,
IF(H490="A",Pole_Calc!A521,
IF(H490="S/A",Pole_Calc!A522,
IF(H490="A/S",Pole_Calc!A523,"Poner a mano")))))))</f>
        <v/>
      </c>
      <c r="BE490" s="448" t="s">
        <v>1726</v>
      </c>
      <c r="BF490" s="634"/>
      <c r="BG490" s="634"/>
      <c r="BH490" s="634"/>
      <c r="BI490" s="634"/>
    </row>
    <row r="491" spans="1:61" ht="16.2" customHeight="1">
      <c r="A491" s="12"/>
      <c r="B491" s="446"/>
      <c r="C491" s="89"/>
      <c r="D491" s="13"/>
      <c r="E491" s="14"/>
      <c r="F491" s="14"/>
      <c r="G491" s="15"/>
      <c r="H491" s="8"/>
      <c r="I491" s="8"/>
      <c r="J491" s="89"/>
      <c r="K491" s="8"/>
      <c r="L491" s="8"/>
      <c r="M491" s="8" t="str">
        <f>IF(L491="","",
IF(AX491="PT",VLOOKUP(L491,Foundation_Calc!$V$4:$X$37,VLOOKUP(AX491,Foundation_Calc!$I$10:$J$13,2,FALSE),0),
IF(AX491="K",VLOOKUP(L491,Foundation_Calc!$V$41:$X$74,VLOOKUP(AX491,Foundation_Calc!$I$10:$J$13,2,FALSE),0),"")))</f>
        <v/>
      </c>
      <c r="N491" s="8"/>
      <c r="O491" s="8"/>
      <c r="P491" s="8"/>
      <c r="Q491" s="14"/>
      <c r="R491" s="15"/>
      <c r="S491" s="15"/>
      <c r="T491" s="14"/>
      <c r="U491" s="14"/>
      <c r="V491" s="14"/>
      <c r="W491" s="18"/>
      <c r="X491" s="18"/>
      <c r="Y491" s="18"/>
      <c r="Z491" s="18"/>
      <c r="AA491" s="18"/>
      <c r="AB491" s="18"/>
      <c r="AC491" s="8" t="str">
        <f t="shared" si="29"/>
        <v/>
      </c>
      <c r="AD491" s="8"/>
      <c r="AE491" s="8"/>
      <c r="AF491" s="14"/>
      <c r="AG491" s="13"/>
      <c r="AH491" s="14"/>
      <c r="AI491" s="14"/>
      <c r="AJ491" s="8"/>
      <c r="AK491" s="8"/>
      <c r="AL491" s="8"/>
      <c r="AM491" s="8"/>
      <c r="AN491" s="631"/>
      <c r="AO491" s="18"/>
      <c r="AP491" s="18"/>
      <c r="AQ491" s="18"/>
      <c r="AR491" s="18"/>
      <c r="AS491" s="18"/>
      <c r="AU491" s="448"/>
      <c r="AV491" s="448"/>
      <c r="AW491" s="8" t="str">
        <f>IF(C491&gt;0,VLOOKUP(C491,Foundation_Calc!$A$2:$C$986,3,1),
IF(J491&gt;0,VLOOKUP(J491,Foundation_Calc!$A$2:$C$986,3,1),""))</f>
        <v/>
      </c>
      <c r="AX491" s="8" t="str">
        <f>IF(C491&gt;0,VLOOKUP(C491,Foundation_Calc!$E$2:$G$986,3,1),
IF(J491&gt;0,VLOOKUP(J491,Foundation_Calc!$E$2:$G$986,3,1),""))</f>
        <v/>
      </c>
      <c r="AY491" s="631" t="str">
        <f>IF(L491="","",
IF(AX491="PT",VLOOKUP(L491,Foundation_Calc!$K$4:$R$37,VLOOKUP(AW491,Foundation_Calc!$I$2:$J$8,2,FALSE),0),
IF(AX491="K",VLOOKUP(L491,Foundation_Calc!$K$41:$R$74,VLOOKUP(AW491,Foundation_Calc!$I$2:$J$8,2,FALSE),0),"")))</f>
        <v/>
      </c>
      <c r="AZ491" s="631" t="str">
        <f>IF(K491="","",
IF(AX491="PT",VLOOKUP(K491,Foundation_Calc!$K$4:$R$37,VLOOKUP(AW491,Foundation_Calc!$I$2:$J$8,2,FALSE),0),
IF(AX491="K",VLOOKUP(K491,Foundation_Calc!$K$41:$R$74,VLOOKUP(AW491,Foundation_Calc!$I$2:$J$8,2,FALSE),0),"")))</f>
        <v/>
      </c>
      <c r="BA491" s="632" t="str">
        <f t="shared" si="30"/>
        <v/>
      </c>
      <c r="BB491" s="632" t="str">
        <f t="shared" si="31"/>
        <v/>
      </c>
      <c r="BC491" s="632" t="str">
        <f t="shared" si="32"/>
        <v/>
      </c>
      <c r="BD491" s="633" t="str">
        <f>IF(AND(L491="",H491=""),"",
IF(H491="",Pole_Calc!A519,
IF(H491="MP",Pole_Calc!A520,
IF(H491="AnMP",Pole_Calc!A521,
IF(H491="A",Pole_Calc!A522,
IF(H491="S/A",Pole_Calc!A523,
IF(H491="A/S",Pole_Calc!A524,"Poner a mano")))))))</f>
        <v/>
      </c>
      <c r="BE491" s="448" t="s">
        <v>1726</v>
      </c>
      <c r="BF491" s="635"/>
      <c r="BG491" s="635"/>
      <c r="BH491" s="634"/>
      <c r="BI491" s="635"/>
    </row>
    <row r="492" spans="1:61" ht="16.2" customHeight="1">
      <c r="A492" s="12"/>
      <c r="B492" s="446"/>
      <c r="C492" s="89"/>
      <c r="D492" s="13"/>
      <c r="E492" s="14"/>
      <c r="F492" s="14"/>
      <c r="G492" s="15"/>
      <c r="H492" s="8"/>
      <c r="I492" s="8"/>
      <c r="J492" s="89"/>
      <c r="K492" s="8"/>
      <c r="L492" s="8"/>
      <c r="M492" s="8" t="str">
        <f>IF(L492="","",
IF(AX492="PT",VLOOKUP(L492,Foundation_Calc!$V$4:$X$37,VLOOKUP(AX492,Foundation_Calc!$I$10:$J$13,2,FALSE),0),
IF(AX492="K",VLOOKUP(L492,Foundation_Calc!$V$41:$X$74,VLOOKUP(AX492,Foundation_Calc!$I$10:$J$13,2,FALSE),0),"")))</f>
        <v/>
      </c>
      <c r="N492" s="8"/>
      <c r="O492" s="8"/>
      <c r="P492" s="8"/>
      <c r="Q492" s="14"/>
      <c r="R492" s="15"/>
      <c r="S492" s="15"/>
      <c r="T492" s="14"/>
      <c r="U492" s="14"/>
      <c r="V492" s="14"/>
      <c r="W492" s="18"/>
      <c r="X492" s="18"/>
      <c r="Y492" s="18"/>
      <c r="Z492" s="18"/>
      <c r="AA492" s="18"/>
      <c r="AB492" s="18"/>
      <c r="AC492" s="8" t="str">
        <f t="shared" si="29"/>
        <v/>
      </c>
      <c r="AD492" s="8"/>
      <c r="AE492" s="8"/>
      <c r="AF492" s="14"/>
      <c r="AG492" s="13"/>
      <c r="AH492" s="14"/>
      <c r="AI492" s="14"/>
      <c r="AJ492" s="8"/>
      <c r="AK492" s="8"/>
      <c r="AL492" s="8"/>
      <c r="AM492" s="8"/>
      <c r="AN492" s="631"/>
      <c r="AO492" s="18"/>
      <c r="AP492" s="18"/>
      <c r="AQ492" s="18"/>
      <c r="AR492" s="18"/>
      <c r="AS492" s="18"/>
      <c r="AU492" s="448"/>
      <c r="AV492" s="448"/>
      <c r="AW492" s="8" t="str">
        <f>IF(C492&gt;0,VLOOKUP(C492,Foundation_Calc!$A$2:$C$986,3,1),
IF(J492&gt;0,VLOOKUP(J492,Foundation_Calc!$A$2:$C$986,3,1),""))</f>
        <v/>
      </c>
      <c r="AX492" s="8" t="str">
        <f>IF(C492&gt;0,VLOOKUP(C492,Foundation_Calc!$E$2:$G$986,3,1),
IF(J492&gt;0,VLOOKUP(J492,Foundation_Calc!$E$2:$G$986,3,1),""))</f>
        <v/>
      </c>
      <c r="AY492" s="631" t="str">
        <f>IF(L492="","",
IF(AX492="PT",VLOOKUP(L492,Foundation_Calc!$K$4:$R$37,VLOOKUP(AW492,Foundation_Calc!$I$2:$J$8,2,FALSE),0),
IF(AX492="K",VLOOKUP(L492,Foundation_Calc!$K$41:$R$74,VLOOKUP(AW492,Foundation_Calc!$I$2:$J$8,2,FALSE),0),"")))</f>
        <v/>
      </c>
      <c r="AZ492" s="631" t="str">
        <f>IF(K492="","",
IF(AX492="PT",VLOOKUP(K492,Foundation_Calc!$K$4:$R$37,VLOOKUP(AW492,Foundation_Calc!$I$2:$J$8,2,FALSE),0),
IF(AX492="K",VLOOKUP(K492,Foundation_Calc!$K$41:$R$74,VLOOKUP(AW492,Foundation_Calc!$I$2:$J$8,2,FALSE),0),"")))</f>
        <v/>
      </c>
      <c r="BA492" s="632" t="str">
        <f t="shared" si="30"/>
        <v/>
      </c>
      <c r="BB492" s="632" t="str">
        <f t="shared" si="31"/>
        <v/>
      </c>
      <c r="BC492" s="632" t="str">
        <f t="shared" si="32"/>
        <v/>
      </c>
      <c r="BD492" s="633" t="str">
        <f>IF(AND(L492="",H492=""),"",
IF(H492="",Pole_Calc!A520,
IF(H492="MP",Pole_Calc!A521,
IF(H492="AnMP",Pole_Calc!A522,
IF(H492="A",Pole_Calc!A523,
IF(H492="S/A",Pole_Calc!A524,
IF(H492="A/S",Pole_Calc!A525,"Poner a mano")))))))</f>
        <v/>
      </c>
      <c r="BE492" s="448" t="s">
        <v>1726</v>
      </c>
      <c r="BF492" s="634"/>
      <c r="BG492" s="634"/>
      <c r="BH492" s="634"/>
      <c r="BI492" s="634"/>
    </row>
    <row r="493" spans="1:61" ht="16.2" customHeight="1">
      <c r="A493" s="12"/>
      <c r="B493" s="446"/>
      <c r="C493" s="89"/>
      <c r="D493" s="13"/>
      <c r="E493" s="14"/>
      <c r="F493" s="14"/>
      <c r="G493" s="15"/>
      <c r="H493" s="8"/>
      <c r="I493" s="8"/>
      <c r="J493" s="89"/>
      <c r="K493" s="8"/>
      <c r="L493" s="8"/>
      <c r="M493" s="8" t="str">
        <f>IF(L493="","",
IF(AX493="PT",VLOOKUP(L493,Foundation_Calc!$V$4:$X$37,VLOOKUP(AX493,Foundation_Calc!$I$10:$J$13,2,FALSE),0),
IF(AX493="K",VLOOKUP(L493,Foundation_Calc!$V$41:$X$74,VLOOKUP(AX493,Foundation_Calc!$I$10:$J$13,2,FALSE),0),"")))</f>
        <v/>
      </c>
      <c r="N493" s="8"/>
      <c r="O493" s="8"/>
      <c r="P493" s="8"/>
      <c r="Q493" s="14"/>
      <c r="R493" s="15"/>
      <c r="S493" s="15"/>
      <c r="T493" s="14"/>
      <c r="U493" s="14"/>
      <c r="V493" s="14"/>
      <c r="W493" s="18"/>
      <c r="X493" s="18"/>
      <c r="Y493" s="18"/>
      <c r="Z493" s="18"/>
      <c r="AA493" s="18"/>
      <c r="AB493" s="18"/>
      <c r="AC493" s="8" t="str">
        <f t="shared" si="29"/>
        <v/>
      </c>
      <c r="AD493" s="8"/>
      <c r="AE493" s="8"/>
      <c r="AF493" s="14"/>
      <c r="AG493" s="13"/>
      <c r="AH493" s="14"/>
      <c r="AI493" s="14"/>
      <c r="AJ493" s="8"/>
      <c r="AK493" s="8"/>
      <c r="AL493" s="8"/>
      <c r="AM493" s="8"/>
      <c r="AN493" s="631"/>
      <c r="AO493" s="18"/>
      <c r="AP493" s="18"/>
      <c r="AQ493" s="18"/>
      <c r="AR493" s="18"/>
      <c r="AS493" s="18"/>
      <c r="AU493" s="448"/>
      <c r="AV493" s="448"/>
      <c r="AW493" s="8" t="str">
        <f>IF(C493&gt;0,VLOOKUP(C493,Foundation_Calc!$A$2:$C$986,3,1),
IF(J493&gt;0,VLOOKUP(J493,Foundation_Calc!$A$2:$C$986,3,1),""))</f>
        <v/>
      </c>
      <c r="AX493" s="8" t="str">
        <f>IF(C493&gt;0,VLOOKUP(C493,Foundation_Calc!$E$2:$G$986,3,1),
IF(J493&gt;0,VLOOKUP(J493,Foundation_Calc!$E$2:$G$986,3,1),""))</f>
        <v/>
      </c>
      <c r="AY493" s="631" t="str">
        <f>IF(L493="","",
IF(AX493="PT",VLOOKUP(L493,Foundation_Calc!$K$4:$R$37,VLOOKUP(AW493,Foundation_Calc!$I$2:$J$8,2,FALSE),0),
IF(AX493="K",VLOOKUP(L493,Foundation_Calc!$K$41:$R$74,VLOOKUP(AW493,Foundation_Calc!$I$2:$J$8,2,FALSE),0),"")))</f>
        <v/>
      </c>
      <c r="AZ493" s="631" t="str">
        <f>IF(K493="","",
IF(AX493="PT",VLOOKUP(K493,Foundation_Calc!$K$4:$R$37,VLOOKUP(AW493,Foundation_Calc!$I$2:$J$8,2,FALSE),0),
IF(AX493="K",VLOOKUP(K493,Foundation_Calc!$K$41:$R$74,VLOOKUP(AW493,Foundation_Calc!$I$2:$J$8,2,FALSE),0),"")))</f>
        <v/>
      </c>
      <c r="BA493" s="632" t="str">
        <f t="shared" si="30"/>
        <v/>
      </c>
      <c r="BB493" s="632" t="str">
        <f t="shared" si="31"/>
        <v/>
      </c>
      <c r="BC493" s="632" t="str">
        <f t="shared" si="32"/>
        <v/>
      </c>
      <c r="BD493" s="633" t="str">
        <f>IF(AND(L493="",H493=""),"",
IF(H493="",Pole_Calc!A521,
IF(H493="MP",Pole_Calc!A522,
IF(H493="AnMP",Pole_Calc!A523,
IF(H493="A",Pole_Calc!A524,
IF(H493="S/A",Pole_Calc!A525,
IF(H493="A/S",Pole_Calc!A526,"Poner a mano")))))))</f>
        <v/>
      </c>
      <c r="BE493" s="448" t="s">
        <v>1726</v>
      </c>
      <c r="BF493" s="635"/>
      <c r="BG493" s="635"/>
      <c r="BH493" s="634"/>
      <c r="BI493" s="635"/>
    </row>
    <row r="494" spans="1:61" ht="16.2" customHeight="1">
      <c r="A494" s="12"/>
      <c r="B494" s="446"/>
      <c r="C494" s="89"/>
      <c r="D494" s="13"/>
      <c r="E494" s="14"/>
      <c r="F494" s="14"/>
      <c r="G494" s="15"/>
      <c r="H494" s="8"/>
      <c r="I494" s="8"/>
      <c r="J494" s="89"/>
      <c r="K494" s="8"/>
      <c r="L494" s="8"/>
      <c r="M494" s="8" t="str">
        <f>IF(L494="","",
IF(AX494="PT",VLOOKUP(L494,Foundation_Calc!$V$4:$X$37,VLOOKUP(AX494,Foundation_Calc!$I$10:$J$13,2,FALSE),0),
IF(AX494="K",VLOOKUP(L494,Foundation_Calc!$V$41:$X$74,VLOOKUP(AX494,Foundation_Calc!$I$10:$J$13,2,FALSE),0),"")))</f>
        <v/>
      </c>
      <c r="N494" s="8"/>
      <c r="O494" s="8"/>
      <c r="P494" s="8"/>
      <c r="Q494" s="14"/>
      <c r="R494" s="15"/>
      <c r="S494" s="15"/>
      <c r="T494" s="14"/>
      <c r="U494" s="14"/>
      <c r="V494" s="14"/>
      <c r="W494" s="18"/>
      <c r="X494" s="18"/>
      <c r="Y494" s="18"/>
      <c r="Z494" s="18"/>
      <c r="AA494" s="18"/>
      <c r="AB494" s="18"/>
      <c r="AC494" s="8" t="str">
        <f t="shared" si="29"/>
        <v/>
      </c>
      <c r="AD494" s="8"/>
      <c r="AE494" s="8"/>
      <c r="AF494" s="14"/>
      <c r="AG494" s="13"/>
      <c r="AH494" s="14"/>
      <c r="AI494" s="14"/>
      <c r="AJ494" s="8"/>
      <c r="AK494" s="8"/>
      <c r="AL494" s="8"/>
      <c r="AM494" s="8"/>
      <c r="AN494" s="631"/>
      <c r="AO494" s="18"/>
      <c r="AP494" s="18"/>
      <c r="AQ494" s="18"/>
      <c r="AR494" s="18"/>
      <c r="AS494" s="18"/>
      <c r="AU494" s="448"/>
      <c r="AV494" s="448"/>
      <c r="AW494" s="8" t="str">
        <f>IF(C494&gt;0,VLOOKUP(C494,Foundation_Calc!$A$2:$C$986,3,1),
IF(J494&gt;0,VLOOKUP(J494,Foundation_Calc!$A$2:$C$986,3,1),""))</f>
        <v/>
      </c>
      <c r="AX494" s="8" t="str">
        <f>IF(C494&gt;0,VLOOKUP(C494,Foundation_Calc!$E$2:$G$986,3,1),
IF(J494&gt;0,VLOOKUP(J494,Foundation_Calc!$E$2:$G$986,3,1),""))</f>
        <v/>
      </c>
      <c r="AY494" s="631" t="str">
        <f>IF(L494="","",
IF(AX494="PT",VLOOKUP(L494,Foundation_Calc!$K$4:$R$37,VLOOKUP(AW494,Foundation_Calc!$I$2:$J$8,2,FALSE),0),
IF(AX494="K",VLOOKUP(L494,Foundation_Calc!$K$41:$R$74,VLOOKUP(AW494,Foundation_Calc!$I$2:$J$8,2,FALSE),0),"")))</f>
        <v/>
      </c>
      <c r="AZ494" s="631" t="str">
        <f>IF(K494="","",
IF(AX494="PT",VLOOKUP(K494,Foundation_Calc!$K$4:$R$37,VLOOKUP(AW494,Foundation_Calc!$I$2:$J$8,2,FALSE),0),
IF(AX494="K",VLOOKUP(K494,Foundation_Calc!$K$41:$R$74,VLOOKUP(AW494,Foundation_Calc!$I$2:$J$8,2,FALSE),0),"")))</f>
        <v/>
      </c>
      <c r="BA494" s="632" t="str">
        <f t="shared" si="30"/>
        <v/>
      </c>
      <c r="BB494" s="632" t="str">
        <f t="shared" si="31"/>
        <v/>
      </c>
      <c r="BC494" s="632" t="str">
        <f t="shared" si="32"/>
        <v/>
      </c>
      <c r="BD494" s="633" t="str">
        <f>IF(AND(L494="",H494=""),"",
IF(H494="",Pole_Calc!A522,
IF(H494="MP",Pole_Calc!A523,
IF(H494="AnMP",Pole_Calc!A524,
IF(H494="A",Pole_Calc!A525,
IF(H494="S/A",Pole_Calc!A526,
IF(H494="A/S",Pole_Calc!A527,"Poner a mano")))))))</f>
        <v/>
      </c>
      <c r="BE494" s="448" t="s">
        <v>1726</v>
      </c>
      <c r="BF494" s="634"/>
      <c r="BG494" s="634"/>
      <c r="BH494" s="634"/>
      <c r="BI494" s="634"/>
    </row>
    <row r="495" spans="1:61" ht="16.2" customHeight="1">
      <c r="A495" s="12"/>
      <c r="B495" s="446"/>
      <c r="C495" s="89"/>
      <c r="D495" s="13"/>
      <c r="E495" s="14"/>
      <c r="F495" s="14"/>
      <c r="G495" s="15"/>
      <c r="H495" s="8"/>
      <c r="I495" s="8"/>
      <c r="J495" s="89"/>
      <c r="K495" s="8"/>
      <c r="L495" s="8"/>
      <c r="M495" s="8" t="str">
        <f>IF(L495="","",
IF(AX495="PT",VLOOKUP(L495,Foundation_Calc!$V$4:$X$37,VLOOKUP(AX495,Foundation_Calc!$I$10:$J$13,2,FALSE),0),
IF(AX495="K",VLOOKUP(L495,Foundation_Calc!$V$41:$X$74,VLOOKUP(AX495,Foundation_Calc!$I$10:$J$13,2,FALSE),0),"")))</f>
        <v/>
      </c>
      <c r="N495" s="8"/>
      <c r="O495" s="8"/>
      <c r="P495" s="8"/>
      <c r="Q495" s="14"/>
      <c r="R495" s="15"/>
      <c r="S495" s="15"/>
      <c r="T495" s="14"/>
      <c r="U495" s="14"/>
      <c r="V495" s="14"/>
      <c r="W495" s="18"/>
      <c r="X495" s="18"/>
      <c r="Y495" s="18"/>
      <c r="Z495" s="18"/>
      <c r="AA495" s="18"/>
      <c r="AB495" s="18"/>
      <c r="AC495" s="8" t="str">
        <f t="shared" si="29"/>
        <v/>
      </c>
      <c r="AD495" s="8"/>
      <c r="AE495" s="8"/>
      <c r="AF495" s="14"/>
      <c r="AG495" s="13"/>
      <c r="AH495" s="14"/>
      <c r="AI495" s="14"/>
      <c r="AJ495" s="8"/>
      <c r="AK495" s="8"/>
      <c r="AL495" s="8"/>
      <c r="AM495" s="8"/>
      <c r="AN495" s="631"/>
      <c r="AO495" s="18"/>
      <c r="AP495" s="18"/>
      <c r="AQ495" s="18"/>
      <c r="AR495" s="18"/>
      <c r="AS495" s="18"/>
      <c r="AU495" s="448"/>
      <c r="AV495" s="448"/>
      <c r="AW495" s="8" t="str">
        <f>IF(C495&gt;0,VLOOKUP(C495,Foundation_Calc!$A$2:$C$986,3,1),
IF(J495&gt;0,VLOOKUP(J495,Foundation_Calc!$A$2:$C$986,3,1),""))</f>
        <v/>
      </c>
      <c r="AX495" s="8" t="str">
        <f>IF(C495&gt;0,VLOOKUP(C495,Foundation_Calc!$E$2:$G$986,3,1),
IF(J495&gt;0,VLOOKUP(J495,Foundation_Calc!$E$2:$G$986,3,1),""))</f>
        <v/>
      </c>
      <c r="AY495" s="631" t="str">
        <f>IF(L495="","",
IF(AX495="PT",VLOOKUP(L495,Foundation_Calc!$K$4:$R$37,VLOOKUP(AW495,Foundation_Calc!$I$2:$J$8,2,FALSE),0),
IF(AX495="K",VLOOKUP(L495,Foundation_Calc!$K$41:$R$74,VLOOKUP(AW495,Foundation_Calc!$I$2:$J$8,2,FALSE),0),"")))</f>
        <v/>
      </c>
      <c r="AZ495" s="631" t="str">
        <f>IF(K495="","",
IF(AX495="PT",VLOOKUP(K495,Foundation_Calc!$K$4:$R$37,VLOOKUP(AW495,Foundation_Calc!$I$2:$J$8,2,FALSE),0),
IF(AX495="K",VLOOKUP(K495,Foundation_Calc!$K$41:$R$74,VLOOKUP(AW495,Foundation_Calc!$I$2:$J$8,2,FALSE),0),"")))</f>
        <v/>
      </c>
      <c r="BA495" s="632" t="str">
        <f t="shared" si="30"/>
        <v/>
      </c>
      <c r="BB495" s="632" t="str">
        <f t="shared" si="31"/>
        <v/>
      </c>
      <c r="BC495" s="632" t="str">
        <f t="shared" si="32"/>
        <v/>
      </c>
      <c r="BD495" s="633" t="str">
        <f>IF(AND(L495="",H495=""),"",
IF(H495="",Pole_Calc!A523,
IF(H495="MP",Pole_Calc!A524,
IF(H495="AnMP",Pole_Calc!A525,
IF(H495="A",Pole_Calc!A526,
IF(H495="S/A",Pole_Calc!A527,
IF(H495="A/S",Pole_Calc!A528,"Poner a mano")))))))</f>
        <v/>
      </c>
      <c r="BE495" s="448" t="s">
        <v>1726</v>
      </c>
      <c r="BF495" s="635"/>
      <c r="BG495" s="635"/>
      <c r="BH495" s="634"/>
      <c r="BI495" s="635"/>
    </row>
    <row r="496" spans="1:61" ht="16.2" customHeight="1">
      <c r="A496" s="12"/>
      <c r="B496" s="446"/>
      <c r="C496" s="89"/>
      <c r="D496" s="13"/>
      <c r="E496" s="14"/>
      <c r="F496" s="14"/>
      <c r="G496" s="15"/>
      <c r="H496" s="8"/>
      <c r="I496" s="8"/>
      <c r="J496" s="89"/>
      <c r="K496" s="8"/>
      <c r="L496" s="8"/>
      <c r="M496" s="8" t="str">
        <f>IF(L496="","",
IF(AX496="PT",VLOOKUP(L496,Foundation_Calc!$V$4:$X$37,VLOOKUP(AX496,Foundation_Calc!$I$10:$J$13,2,FALSE),0),
IF(AX496="K",VLOOKUP(L496,Foundation_Calc!$V$41:$X$74,VLOOKUP(AX496,Foundation_Calc!$I$10:$J$13,2,FALSE),0),"")))</f>
        <v/>
      </c>
      <c r="N496" s="8"/>
      <c r="O496" s="8"/>
      <c r="P496" s="8"/>
      <c r="Q496" s="14"/>
      <c r="R496" s="15"/>
      <c r="S496" s="15"/>
      <c r="T496" s="14"/>
      <c r="U496" s="14"/>
      <c r="V496" s="14"/>
      <c r="W496" s="18"/>
      <c r="X496" s="18"/>
      <c r="Y496" s="18"/>
      <c r="Z496" s="18"/>
      <c r="AA496" s="18"/>
      <c r="AB496" s="18"/>
      <c r="AC496" s="8" t="str">
        <f t="shared" si="29"/>
        <v/>
      </c>
      <c r="AD496" s="8"/>
      <c r="AE496" s="8"/>
      <c r="AF496" s="14"/>
      <c r="AG496" s="13"/>
      <c r="AH496" s="14"/>
      <c r="AI496" s="14"/>
      <c r="AJ496" s="8"/>
      <c r="AK496" s="8"/>
      <c r="AL496" s="8"/>
      <c r="AM496" s="8"/>
      <c r="AN496" s="631"/>
      <c r="AO496" s="18"/>
      <c r="AP496" s="18"/>
      <c r="AQ496" s="18"/>
      <c r="AR496" s="18"/>
      <c r="AS496" s="18"/>
      <c r="AU496" s="448"/>
      <c r="AV496" s="448"/>
      <c r="AW496" s="8" t="str">
        <f>IF(C496&gt;0,VLOOKUP(C496,Foundation_Calc!$A$2:$C$986,3,1),
IF(J496&gt;0,VLOOKUP(J496,Foundation_Calc!$A$2:$C$986,3,1),""))</f>
        <v/>
      </c>
      <c r="AX496" s="8" t="str">
        <f>IF(C496&gt;0,VLOOKUP(C496,Foundation_Calc!$E$2:$G$986,3,1),
IF(J496&gt;0,VLOOKUP(J496,Foundation_Calc!$E$2:$G$986,3,1),""))</f>
        <v/>
      </c>
      <c r="AY496" s="631" t="str">
        <f>IF(L496="","",
IF(AX496="PT",VLOOKUP(L496,Foundation_Calc!$K$4:$R$37,VLOOKUP(AW496,Foundation_Calc!$I$2:$J$8,2,FALSE),0),
IF(AX496="K",VLOOKUP(L496,Foundation_Calc!$K$41:$R$74,VLOOKUP(AW496,Foundation_Calc!$I$2:$J$8,2,FALSE),0),"")))</f>
        <v/>
      </c>
      <c r="AZ496" s="631" t="str">
        <f>IF(K496="","",
IF(AX496="PT",VLOOKUP(K496,Foundation_Calc!$K$4:$R$37,VLOOKUP(AW496,Foundation_Calc!$I$2:$J$8,2,FALSE),0),
IF(AX496="K",VLOOKUP(K496,Foundation_Calc!$K$41:$R$74,VLOOKUP(AW496,Foundation_Calc!$I$2:$J$8,2,FALSE),0),"")))</f>
        <v/>
      </c>
      <c r="BA496" s="632" t="str">
        <f t="shared" si="30"/>
        <v/>
      </c>
      <c r="BB496" s="632" t="str">
        <f t="shared" si="31"/>
        <v/>
      </c>
      <c r="BC496" s="632" t="str">
        <f t="shared" si="32"/>
        <v/>
      </c>
      <c r="BD496" s="633" t="str">
        <f>IF(AND(L496="",H496=""),"",
IF(H496="",Pole_Calc!A524,
IF(H496="MP",Pole_Calc!A525,
IF(H496="AnMP",Pole_Calc!A526,
IF(H496="A",Pole_Calc!A527,
IF(H496="S/A",Pole_Calc!A528,
IF(H496="A/S",Pole_Calc!A529,"Poner a mano")))))))</f>
        <v/>
      </c>
      <c r="BE496" s="448" t="s">
        <v>1726</v>
      </c>
      <c r="BF496" s="634"/>
      <c r="BG496" s="634"/>
      <c r="BH496" s="634"/>
      <c r="BI496" s="634"/>
    </row>
    <row r="497" spans="1:61" ht="16.2" customHeight="1">
      <c r="A497" s="12"/>
      <c r="B497" s="446"/>
      <c r="C497" s="89"/>
      <c r="D497" s="13"/>
      <c r="E497" s="14"/>
      <c r="F497" s="14"/>
      <c r="G497" s="15"/>
      <c r="H497" s="8"/>
      <c r="I497" s="8"/>
      <c r="J497" s="89"/>
      <c r="K497" s="8"/>
      <c r="L497" s="8"/>
      <c r="M497" s="8" t="str">
        <f>IF(L497="","",
IF(AX497="PT",VLOOKUP(L497,Foundation_Calc!$V$4:$X$37,VLOOKUP(AX497,Foundation_Calc!$I$10:$J$13,2,FALSE),0),
IF(AX497="K",VLOOKUP(L497,Foundation_Calc!$V$41:$X$74,VLOOKUP(AX497,Foundation_Calc!$I$10:$J$13,2,FALSE),0),"")))</f>
        <v/>
      </c>
      <c r="N497" s="8"/>
      <c r="O497" s="8"/>
      <c r="P497" s="8"/>
      <c r="Q497" s="14"/>
      <c r="R497" s="15"/>
      <c r="S497" s="15"/>
      <c r="T497" s="14"/>
      <c r="U497" s="14"/>
      <c r="V497" s="14"/>
      <c r="W497" s="18"/>
      <c r="X497" s="18"/>
      <c r="Y497" s="18"/>
      <c r="Z497" s="18"/>
      <c r="AA497" s="18"/>
      <c r="AB497" s="18"/>
      <c r="AC497" s="8" t="str">
        <f t="shared" si="29"/>
        <v/>
      </c>
      <c r="AD497" s="8"/>
      <c r="AE497" s="8"/>
      <c r="AF497" s="14"/>
      <c r="AG497" s="13"/>
      <c r="AH497" s="14"/>
      <c r="AI497" s="14"/>
      <c r="AJ497" s="8"/>
      <c r="AK497" s="8"/>
      <c r="AL497" s="8"/>
      <c r="AM497" s="8"/>
      <c r="AN497" s="631"/>
      <c r="AO497" s="18"/>
      <c r="AP497" s="18"/>
      <c r="AQ497" s="18"/>
      <c r="AR497" s="18"/>
      <c r="AS497" s="18"/>
      <c r="AU497" s="448"/>
      <c r="AV497" s="448"/>
      <c r="AW497" s="8" t="str">
        <f>IF(C497&gt;0,VLOOKUP(C497,Foundation_Calc!$A$2:$C$986,3,1),
IF(J497&gt;0,VLOOKUP(J497,Foundation_Calc!$A$2:$C$986,3,1),""))</f>
        <v/>
      </c>
      <c r="AX497" s="8" t="str">
        <f>IF(C497&gt;0,VLOOKUP(C497,Foundation_Calc!$E$2:$G$986,3,1),
IF(J497&gt;0,VLOOKUP(J497,Foundation_Calc!$E$2:$G$986,3,1),""))</f>
        <v/>
      </c>
      <c r="AY497" s="631" t="str">
        <f>IF(L497="","",
IF(AX497="PT",VLOOKUP(L497,Foundation_Calc!$K$4:$R$37,VLOOKUP(AW497,Foundation_Calc!$I$2:$J$8,2,FALSE),0),
IF(AX497="K",VLOOKUP(L497,Foundation_Calc!$K$41:$R$74,VLOOKUP(AW497,Foundation_Calc!$I$2:$J$8,2,FALSE),0),"")))</f>
        <v/>
      </c>
      <c r="AZ497" s="631" t="str">
        <f>IF(K497="","",
IF(AX497="PT",VLOOKUP(K497,Foundation_Calc!$K$4:$R$37,VLOOKUP(AW497,Foundation_Calc!$I$2:$J$8,2,FALSE),0),
IF(AX497="K",VLOOKUP(K497,Foundation_Calc!$K$41:$R$74,VLOOKUP(AW497,Foundation_Calc!$I$2:$J$8,2,FALSE),0),"")))</f>
        <v/>
      </c>
      <c r="BA497" s="632" t="str">
        <f t="shared" si="30"/>
        <v/>
      </c>
      <c r="BB497" s="632" t="str">
        <f t="shared" si="31"/>
        <v/>
      </c>
      <c r="BC497" s="632" t="str">
        <f t="shared" si="32"/>
        <v/>
      </c>
      <c r="BD497" s="633" t="str">
        <f>IF(AND(L497="",H497=""),"",
IF(H497="",Pole_Calc!A525,
IF(H497="MP",Pole_Calc!A526,
IF(H497="AnMP",Pole_Calc!A527,
IF(H497="A",Pole_Calc!A528,
IF(H497="S/A",Pole_Calc!A529,
IF(H497="A/S",Pole_Calc!A530,"Poner a mano")))))))</f>
        <v/>
      </c>
      <c r="BE497" s="448" t="s">
        <v>1726</v>
      </c>
      <c r="BF497" s="635"/>
      <c r="BG497" s="635"/>
      <c r="BH497" s="634"/>
      <c r="BI497" s="635"/>
    </row>
    <row r="498" spans="1:61" ht="16.2" customHeight="1">
      <c r="A498" s="12"/>
      <c r="B498" s="446"/>
      <c r="C498" s="89"/>
      <c r="D498" s="13"/>
      <c r="E498" s="14"/>
      <c r="F498" s="14"/>
      <c r="G498" s="15"/>
      <c r="H498" s="8"/>
      <c r="I498" s="8"/>
      <c r="J498" s="89"/>
      <c r="K498" s="8"/>
      <c r="L498" s="8"/>
      <c r="M498" s="8" t="str">
        <f>IF(L498="","",
IF(AX498="PT",VLOOKUP(L498,Foundation_Calc!$V$4:$X$37,VLOOKUP(AX498,Foundation_Calc!$I$10:$J$13,2,FALSE),0),
IF(AX498="K",VLOOKUP(L498,Foundation_Calc!$V$41:$X$74,VLOOKUP(AX498,Foundation_Calc!$I$10:$J$13,2,FALSE),0),"")))</f>
        <v/>
      </c>
      <c r="N498" s="8"/>
      <c r="O498" s="8"/>
      <c r="P498" s="8"/>
      <c r="Q498" s="14"/>
      <c r="R498" s="15"/>
      <c r="S498" s="15"/>
      <c r="T498" s="14"/>
      <c r="U498" s="14"/>
      <c r="V498" s="14"/>
      <c r="W498" s="18"/>
      <c r="X498" s="18"/>
      <c r="Y498" s="18"/>
      <c r="Z498" s="18"/>
      <c r="AA498" s="18"/>
      <c r="AB498" s="18"/>
      <c r="AC498" s="8" t="str">
        <f t="shared" si="29"/>
        <v/>
      </c>
      <c r="AD498" s="8"/>
      <c r="AE498" s="8"/>
      <c r="AF498" s="14"/>
      <c r="AG498" s="13"/>
      <c r="AH498" s="14"/>
      <c r="AI498" s="14"/>
      <c r="AJ498" s="8"/>
      <c r="AK498" s="8"/>
      <c r="AL498" s="8"/>
      <c r="AM498" s="8"/>
      <c r="AN498" s="631"/>
      <c r="AO498" s="18"/>
      <c r="AP498" s="18"/>
      <c r="AQ498" s="18"/>
      <c r="AR498" s="18"/>
      <c r="AS498" s="18"/>
      <c r="AU498" s="448"/>
      <c r="AV498" s="448"/>
      <c r="AW498" s="8" t="str">
        <f>IF(C498&gt;0,VLOOKUP(C498,Foundation_Calc!$A$2:$C$986,3,1),
IF(J498&gt;0,VLOOKUP(J498,Foundation_Calc!$A$2:$C$986,3,1),""))</f>
        <v/>
      </c>
      <c r="AX498" s="8" t="str">
        <f>IF(C498&gt;0,VLOOKUP(C498,Foundation_Calc!$E$2:$G$986,3,1),
IF(J498&gt;0,VLOOKUP(J498,Foundation_Calc!$E$2:$G$986,3,1),""))</f>
        <v/>
      </c>
      <c r="AY498" s="631" t="str">
        <f>IF(L498="","",
IF(AX498="PT",VLOOKUP(L498,Foundation_Calc!$K$4:$R$37,VLOOKUP(AW498,Foundation_Calc!$I$2:$J$8,2,FALSE),0),
IF(AX498="K",VLOOKUP(L498,Foundation_Calc!$K$41:$R$74,VLOOKUP(AW498,Foundation_Calc!$I$2:$J$8,2,FALSE),0),"")))</f>
        <v/>
      </c>
      <c r="AZ498" s="631" t="str">
        <f>IF(K498="","",
IF(AX498="PT",VLOOKUP(K498,Foundation_Calc!$K$4:$R$37,VLOOKUP(AW498,Foundation_Calc!$I$2:$J$8,2,FALSE),0),
IF(AX498="K",VLOOKUP(K498,Foundation_Calc!$K$41:$R$74,VLOOKUP(AW498,Foundation_Calc!$I$2:$J$8,2,FALSE),0),"")))</f>
        <v/>
      </c>
      <c r="BA498" s="632" t="str">
        <f t="shared" si="30"/>
        <v/>
      </c>
      <c r="BB498" s="632" t="str">
        <f t="shared" si="31"/>
        <v/>
      </c>
      <c r="BC498" s="632" t="str">
        <f t="shared" si="32"/>
        <v/>
      </c>
      <c r="BD498" s="633" t="str">
        <f>IF(AND(L498="",H498=""),"",
IF(H498="",Pole_Calc!A526,
IF(H498="MP",Pole_Calc!A527,
IF(H498="AnMP",Pole_Calc!A528,
IF(H498="A",Pole_Calc!A529,
IF(H498="S/A",Pole_Calc!A530,
IF(H498="A/S",Pole_Calc!A531,"Poner a mano")))))))</f>
        <v/>
      </c>
      <c r="BE498" s="448" t="s">
        <v>1726</v>
      </c>
      <c r="BF498" s="634"/>
      <c r="BG498" s="634"/>
      <c r="BH498" s="634"/>
      <c r="BI498" s="634"/>
    </row>
    <row r="499" spans="1:61" ht="16.2" customHeight="1">
      <c r="A499" s="12"/>
      <c r="B499" s="446"/>
      <c r="C499" s="89"/>
      <c r="D499" s="13"/>
      <c r="E499" s="14"/>
      <c r="F499" s="14"/>
      <c r="G499" s="15"/>
      <c r="H499" s="8"/>
      <c r="I499" s="8"/>
      <c r="J499" s="89"/>
      <c r="K499" s="8"/>
      <c r="L499" s="8"/>
      <c r="M499" s="8" t="str">
        <f>IF(L499="","",
IF(AX499="PT",VLOOKUP(L499,Foundation_Calc!$V$4:$X$37,VLOOKUP(AX499,Foundation_Calc!$I$10:$J$13,2,FALSE),0),
IF(AX499="K",VLOOKUP(L499,Foundation_Calc!$V$41:$X$74,VLOOKUP(AX499,Foundation_Calc!$I$10:$J$13,2,FALSE),0),"")))</f>
        <v/>
      </c>
      <c r="N499" s="8"/>
      <c r="O499" s="8"/>
      <c r="P499" s="8"/>
      <c r="Q499" s="14"/>
      <c r="R499" s="15"/>
      <c r="S499" s="15"/>
      <c r="T499" s="14"/>
      <c r="U499" s="14"/>
      <c r="V499" s="14"/>
      <c r="W499" s="18"/>
      <c r="X499" s="18"/>
      <c r="Y499" s="18"/>
      <c r="Z499" s="18"/>
      <c r="AA499" s="18"/>
      <c r="AB499" s="18"/>
      <c r="AC499" s="8" t="str">
        <f t="shared" si="29"/>
        <v/>
      </c>
      <c r="AD499" s="8"/>
      <c r="AE499" s="8"/>
      <c r="AF499" s="14"/>
      <c r="AG499" s="13"/>
      <c r="AH499" s="14"/>
      <c r="AI499" s="14"/>
      <c r="AJ499" s="8"/>
      <c r="AK499" s="8"/>
      <c r="AL499" s="8"/>
      <c r="AM499" s="8"/>
      <c r="AN499" s="631"/>
      <c r="AO499" s="18"/>
      <c r="AP499" s="18"/>
      <c r="AQ499" s="18"/>
      <c r="AR499" s="18"/>
      <c r="AS499" s="18"/>
      <c r="AU499" s="448"/>
      <c r="AV499" s="448"/>
      <c r="AW499" s="8" t="str">
        <f>IF(C499&gt;0,VLOOKUP(C499,Foundation_Calc!$A$2:$C$986,3,1),
IF(J499&gt;0,VLOOKUP(J499,Foundation_Calc!$A$2:$C$986,3,1),""))</f>
        <v/>
      </c>
      <c r="AX499" s="8" t="str">
        <f>IF(C499&gt;0,VLOOKUP(C499,Foundation_Calc!$E$2:$G$986,3,1),
IF(J499&gt;0,VLOOKUP(J499,Foundation_Calc!$E$2:$G$986,3,1),""))</f>
        <v/>
      </c>
      <c r="AY499" s="631" t="str">
        <f>IF(L499="","",
IF(AX499="PT",VLOOKUP(L499,Foundation_Calc!$K$4:$R$37,VLOOKUP(AW499,Foundation_Calc!$I$2:$J$8,2,FALSE),0),
IF(AX499="K",VLOOKUP(L499,Foundation_Calc!$K$41:$R$74,VLOOKUP(AW499,Foundation_Calc!$I$2:$J$8,2,FALSE),0),"")))</f>
        <v/>
      </c>
      <c r="AZ499" s="631" t="str">
        <f>IF(K499="","",
IF(AX499="PT",VLOOKUP(K499,Foundation_Calc!$K$4:$R$37,VLOOKUP(AW499,Foundation_Calc!$I$2:$J$8,2,FALSE),0),
IF(AX499="K",VLOOKUP(K499,Foundation_Calc!$K$41:$R$74,VLOOKUP(AW499,Foundation_Calc!$I$2:$J$8,2,FALSE),0),"")))</f>
        <v/>
      </c>
      <c r="BA499" s="632" t="str">
        <f t="shared" si="30"/>
        <v/>
      </c>
      <c r="BB499" s="632" t="str">
        <f t="shared" si="31"/>
        <v/>
      </c>
      <c r="BC499" s="632" t="str">
        <f t="shared" si="32"/>
        <v/>
      </c>
      <c r="BD499" s="633" t="str">
        <f>IF(AND(L499="",H499=""),"",
IF(H499="",Pole_Calc!A527,
IF(H499="MP",Pole_Calc!A528,
IF(H499="AnMP",Pole_Calc!A529,
IF(H499="A",Pole_Calc!A530,
IF(H499="S/A",Pole_Calc!A531,
IF(H499="A/S",Pole_Calc!A532,"Poner a mano")))))))</f>
        <v/>
      </c>
      <c r="BE499" s="448" t="s">
        <v>1726</v>
      </c>
      <c r="BF499" s="635"/>
      <c r="BG499" s="635"/>
      <c r="BH499" s="634"/>
      <c r="BI499" s="635"/>
    </row>
    <row r="500" spans="1:61" ht="16.2" customHeight="1">
      <c r="A500" s="12"/>
      <c r="B500" s="446"/>
      <c r="C500" s="89"/>
      <c r="D500" s="13"/>
      <c r="E500" s="14"/>
      <c r="F500" s="14"/>
      <c r="G500" s="15"/>
      <c r="H500" s="8"/>
      <c r="I500" s="8"/>
      <c r="J500" s="89"/>
      <c r="K500" s="8"/>
      <c r="L500" s="8"/>
      <c r="M500" s="8" t="str">
        <f>IF(L500="","",
IF(AX500="PT",VLOOKUP(L500,Foundation_Calc!$V$4:$X$37,VLOOKUP(AX500,Foundation_Calc!$I$10:$J$13,2,FALSE),0),
IF(AX500="K",VLOOKUP(L500,Foundation_Calc!$V$41:$X$74,VLOOKUP(AX500,Foundation_Calc!$I$10:$J$13,2,FALSE),0),"")))</f>
        <v/>
      </c>
      <c r="N500" s="8"/>
      <c r="O500" s="8"/>
      <c r="P500" s="8"/>
      <c r="Q500" s="14"/>
      <c r="R500" s="15"/>
      <c r="S500" s="15"/>
      <c r="T500" s="14"/>
      <c r="U500" s="14"/>
      <c r="V500" s="14"/>
      <c r="W500" s="18"/>
      <c r="X500" s="18"/>
      <c r="Y500" s="18"/>
      <c r="Z500" s="18"/>
      <c r="AA500" s="18"/>
      <c r="AB500" s="18"/>
      <c r="AC500" s="8" t="str">
        <f t="shared" si="29"/>
        <v/>
      </c>
      <c r="AD500" s="8"/>
      <c r="AE500" s="8"/>
      <c r="AF500" s="14"/>
      <c r="AG500" s="13"/>
      <c r="AH500" s="14"/>
      <c r="AI500" s="14"/>
      <c r="AJ500" s="8"/>
      <c r="AK500" s="8"/>
      <c r="AL500" s="8"/>
      <c r="AM500" s="8"/>
      <c r="AN500" s="631"/>
      <c r="AO500" s="18"/>
      <c r="AP500" s="18"/>
      <c r="AQ500" s="18"/>
      <c r="AR500" s="18"/>
      <c r="AS500" s="18"/>
      <c r="AU500" s="448"/>
      <c r="AV500" s="448"/>
      <c r="AW500" s="8" t="str">
        <f>IF(C500&gt;0,VLOOKUP(C500,Foundation_Calc!$A$2:$C$986,3,1),
IF(J500&gt;0,VLOOKUP(J500,Foundation_Calc!$A$2:$C$986,3,1),""))</f>
        <v/>
      </c>
      <c r="AX500" s="8" t="str">
        <f>IF(C500&gt;0,VLOOKUP(C500,Foundation_Calc!$E$2:$G$986,3,1),
IF(J500&gt;0,VLOOKUP(J500,Foundation_Calc!$E$2:$G$986,3,1),""))</f>
        <v/>
      </c>
      <c r="AY500" s="631" t="str">
        <f>IF(L500="","",
IF(AX500="PT",VLOOKUP(L500,Foundation_Calc!$K$4:$R$37,VLOOKUP(AW500,Foundation_Calc!$I$2:$J$8,2,FALSE),0),
IF(AX500="K",VLOOKUP(L500,Foundation_Calc!$K$41:$R$74,VLOOKUP(AW500,Foundation_Calc!$I$2:$J$8,2,FALSE),0),"")))</f>
        <v/>
      </c>
      <c r="AZ500" s="631" t="str">
        <f>IF(K500="","",
IF(AX500="PT",VLOOKUP(K500,Foundation_Calc!$K$4:$R$37,VLOOKUP(AW500,Foundation_Calc!$I$2:$J$8,2,FALSE),0),
IF(AX500="K",VLOOKUP(K500,Foundation_Calc!$K$41:$R$74,VLOOKUP(AW500,Foundation_Calc!$I$2:$J$8,2,FALSE),0),"")))</f>
        <v/>
      </c>
      <c r="BA500" s="632" t="str">
        <f t="shared" si="30"/>
        <v/>
      </c>
      <c r="BB500" s="632" t="str">
        <f t="shared" si="31"/>
        <v/>
      </c>
      <c r="BC500" s="632" t="str">
        <f t="shared" si="32"/>
        <v/>
      </c>
      <c r="BD500" s="633" t="str">
        <f>IF(AND(L500="",H500=""),"",
IF(H500="",Pole_Calc!A528,
IF(H500="MP",Pole_Calc!A529,
IF(H500="AnMP",Pole_Calc!A530,
IF(H500="A",Pole_Calc!A531,
IF(H500="S/A",Pole_Calc!A532,
IF(H500="A/S",Pole_Calc!A533,"Poner a mano")))))))</f>
        <v/>
      </c>
      <c r="BE500" s="448" t="s">
        <v>1726</v>
      </c>
      <c r="BF500" s="634"/>
      <c r="BG500" s="634"/>
      <c r="BH500" s="634"/>
      <c r="BI500" s="634"/>
    </row>
    <row r="501" spans="1:61" ht="16.2" customHeight="1">
      <c r="A501" s="12"/>
      <c r="B501" s="446"/>
      <c r="C501" s="89"/>
      <c r="D501" s="13"/>
      <c r="E501" s="14"/>
      <c r="F501" s="14"/>
      <c r="G501" s="15"/>
      <c r="H501" s="8"/>
      <c r="I501" s="8"/>
      <c r="J501" s="89"/>
      <c r="K501" s="8"/>
      <c r="L501" s="8"/>
      <c r="M501" s="8" t="str">
        <f>IF(L501="","",
IF(AX501="PT",VLOOKUP(L501,Foundation_Calc!$V$4:$X$37,VLOOKUP(AX501,Foundation_Calc!$I$10:$J$13,2,FALSE),0),
IF(AX501="K",VLOOKUP(L501,Foundation_Calc!$V$41:$X$74,VLOOKUP(AX501,Foundation_Calc!$I$10:$J$13,2,FALSE),0),"")))</f>
        <v/>
      </c>
      <c r="N501" s="8"/>
      <c r="O501" s="8"/>
      <c r="P501" s="8"/>
      <c r="Q501" s="14"/>
      <c r="R501" s="15"/>
      <c r="S501" s="15"/>
      <c r="T501" s="14"/>
      <c r="U501" s="14"/>
      <c r="V501" s="14"/>
      <c r="W501" s="18"/>
      <c r="X501" s="18"/>
      <c r="Y501" s="18"/>
      <c r="Z501" s="18"/>
      <c r="AA501" s="18"/>
      <c r="AB501" s="18"/>
      <c r="AC501" s="8" t="str">
        <f t="shared" si="29"/>
        <v/>
      </c>
      <c r="AD501" s="8"/>
      <c r="AE501" s="8"/>
      <c r="AF501" s="14"/>
      <c r="AG501" s="13"/>
      <c r="AH501" s="14"/>
      <c r="AI501" s="14"/>
      <c r="AJ501" s="8"/>
      <c r="AK501" s="8"/>
      <c r="AL501" s="8"/>
      <c r="AM501" s="8"/>
      <c r="AN501" s="631"/>
      <c r="AO501" s="18"/>
      <c r="AP501" s="18"/>
      <c r="AQ501" s="18"/>
      <c r="AR501" s="18"/>
      <c r="AS501" s="18"/>
      <c r="AU501" s="448"/>
      <c r="AV501" s="448"/>
      <c r="AW501" s="8" t="str">
        <f>IF(C501&gt;0,VLOOKUP(C501,Foundation_Calc!$A$2:$C$986,3,1),
IF(J501&gt;0,VLOOKUP(J501,Foundation_Calc!$A$2:$C$986,3,1),""))</f>
        <v/>
      </c>
      <c r="AX501" s="8" t="str">
        <f>IF(C501&gt;0,VLOOKUP(C501,Foundation_Calc!$E$2:$G$986,3,1),
IF(J501&gt;0,VLOOKUP(J501,Foundation_Calc!$E$2:$G$986,3,1),""))</f>
        <v/>
      </c>
      <c r="AY501" s="631" t="str">
        <f>IF(L501="","",
IF(AX501="PT",VLOOKUP(L501,Foundation_Calc!$K$4:$R$37,VLOOKUP(AW501,Foundation_Calc!$I$2:$J$8,2,FALSE),0),
IF(AX501="K",VLOOKUP(L501,Foundation_Calc!$K$41:$R$74,VLOOKUP(AW501,Foundation_Calc!$I$2:$J$8,2,FALSE),0),"")))</f>
        <v/>
      </c>
      <c r="AZ501" s="631" t="str">
        <f>IF(K501="","",
IF(AX501="PT",VLOOKUP(K501,Foundation_Calc!$K$4:$R$37,VLOOKUP(AW501,Foundation_Calc!$I$2:$J$8,2,FALSE),0),
IF(AX501="K",VLOOKUP(K501,Foundation_Calc!$K$41:$R$74,VLOOKUP(AW501,Foundation_Calc!$I$2:$J$8,2,FALSE),0),"")))</f>
        <v/>
      </c>
      <c r="BA501" s="632" t="str">
        <f t="shared" si="30"/>
        <v/>
      </c>
      <c r="BB501" s="632" t="str">
        <f t="shared" si="31"/>
        <v/>
      </c>
      <c r="BC501" s="632" t="str">
        <f t="shared" si="32"/>
        <v/>
      </c>
      <c r="BD501" s="633" t="str">
        <f>IF(AND(L501="",H501=""),"",
IF(H501="",Pole_Calc!A529,
IF(H501="MP",Pole_Calc!A530,
IF(H501="AnMP",Pole_Calc!A531,
IF(H501="A",Pole_Calc!A532,
IF(H501="S/A",Pole_Calc!A533,
IF(H501="A/S",Pole_Calc!A534,"Poner a mano")))))))</f>
        <v/>
      </c>
      <c r="BE501" s="448" t="s">
        <v>1726</v>
      </c>
      <c r="BF501" s="635"/>
      <c r="BG501" s="635"/>
      <c r="BH501" s="634"/>
      <c r="BI501" s="635"/>
    </row>
    <row r="502" spans="1:61" ht="16.2" customHeight="1">
      <c r="A502" s="12"/>
      <c r="B502" s="446"/>
      <c r="C502" s="89"/>
      <c r="D502" s="13"/>
      <c r="E502" s="14"/>
      <c r="F502" s="14"/>
      <c r="G502" s="15"/>
      <c r="H502" s="8"/>
      <c r="I502" s="8"/>
      <c r="J502" s="89"/>
      <c r="K502" s="8"/>
      <c r="L502" s="8"/>
      <c r="M502" s="8" t="str">
        <f>IF(L502="","",
IF(AX502="PT",VLOOKUP(L502,Foundation_Calc!$V$4:$X$37,VLOOKUP(AX502,Foundation_Calc!$I$10:$J$13,2,FALSE),0),
IF(AX502="K",VLOOKUP(L502,Foundation_Calc!$V$41:$X$74,VLOOKUP(AX502,Foundation_Calc!$I$10:$J$13,2,FALSE),0),"")))</f>
        <v/>
      </c>
      <c r="N502" s="8"/>
      <c r="O502" s="8"/>
      <c r="P502" s="8"/>
      <c r="Q502" s="14"/>
      <c r="R502" s="15"/>
      <c r="S502" s="15"/>
      <c r="T502" s="14"/>
      <c r="U502" s="14"/>
      <c r="V502" s="14"/>
      <c r="W502" s="18"/>
      <c r="X502" s="18"/>
      <c r="Y502" s="18"/>
      <c r="Z502" s="18"/>
      <c r="AA502" s="18"/>
      <c r="AB502" s="18"/>
      <c r="AC502" s="8" t="str">
        <f t="shared" si="29"/>
        <v/>
      </c>
      <c r="AD502" s="8"/>
      <c r="AE502" s="8"/>
      <c r="AF502" s="14"/>
      <c r="AG502" s="13"/>
      <c r="AH502" s="14"/>
      <c r="AI502" s="14"/>
      <c r="AJ502" s="8"/>
      <c r="AK502" s="8"/>
      <c r="AL502" s="8"/>
      <c r="AM502" s="8"/>
      <c r="AN502" s="631"/>
      <c r="AO502" s="18"/>
      <c r="AP502" s="18"/>
      <c r="AQ502" s="18"/>
      <c r="AR502" s="18"/>
      <c r="AS502" s="18"/>
      <c r="AU502" s="448"/>
      <c r="AV502" s="448"/>
      <c r="AW502" s="8" t="str">
        <f>IF(C502&gt;0,VLOOKUP(C502,Foundation_Calc!$A$2:$C$986,3,1),
IF(J502&gt;0,VLOOKUP(J502,Foundation_Calc!$A$2:$C$986,3,1),""))</f>
        <v/>
      </c>
      <c r="AX502" s="8" t="str">
        <f>IF(C502&gt;0,VLOOKUP(C502,Foundation_Calc!$E$2:$G$986,3,1),
IF(J502&gt;0,VLOOKUP(J502,Foundation_Calc!$E$2:$G$986,3,1),""))</f>
        <v/>
      </c>
      <c r="AY502" s="631" t="str">
        <f>IF(L502="","",
IF(AX502="PT",VLOOKUP(L502,Foundation_Calc!$K$4:$R$37,VLOOKUP(AW502,Foundation_Calc!$I$2:$J$8,2,FALSE),0),
IF(AX502="K",VLOOKUP(L502,Foundation_Calc!$K$41:$R$74,VLOOKUP(AW502,Foundation_Calc!$I$2:$J$8,2,FALSE),0),"")))</f>
        <v/>
      </c>
      <c r="AZ502" s="631" t="str">
        <f>IF(K502="","",
IF(AX502="PT",VLOOKUP(K502,Foundation_Calc!$K$4:$R$37,VLOOKUP(AW502,Foundation_Calc!$I$2:$J$8,2,FALSE),0),
IF(AX502="K",VLOOKUP(K502,Foundation_Calc!$K$41:$R$74,VLOOKUP(AW502,Foundation_Calc!$I$2:$J$8,2,FALSE),0),"")))</f>
        <v/>
      </c>
      <c r="BA502" s="632" t="str">
        <f t="shared" si="30"/>
        <v/>
      </c>
      <c r="BB502" s="632" t="str">
        <f t="shared" si="31"/>
        <v/>
      </c>
      <c r="BC502" s="632" t="str">
        <f t="shared" si="32"/>
        <v/>
      </c>
      <c r="BD502" s="633" t="str">
        <f>IF(AND(L502="",H502=""),"",
IF(H502="",Pole_Calc!A530,
IF(H502="MP",Pole_Calc!A531,
IF(H502="AnMP",Pole_Calc!A532,
IF(H502="A",Pole_Calc!A533,
IF(H502="S/A",Pole_Calc!A534,
IF(H502="A/S",Pole_Calc!A535,"Poner a mano")))))))</f>
        <v/>
      </c>
      <c r="BE502" s="448" t="s">
        <v>1726</v>
      </c>
      <c r="BF502" s="634"/>
      <c r="BG502" s="634"/>
      <c r="BH502" s="634"/>
      <c r="BI502" s="634"/>
    </row>
    <row r="503" spans="1:61" ht="16.2" customHeight="1">
      <c r="A503" s="12"/>
      <c r="B503" s="446"/>
      <c r="C503" s="89"/>
      <c r="D503" s="13"/>
      <c r="E503" s="14"/>
      <c r="F503" s="14"/>
      <c r="G503" s="15"/>
      <c r="H503" s="8"/>
      <c r="I503" s="8"/>
      <c r="J503" s="89"/>
      <c r="K503" s="8"/>
      <c r="L503" s="8"/>
      <c r="M503" s="8" t="str">
        <f>IF(L503="","",
IF(AX503="PT",VLOOKUP(L503,Foundation_Calc!$V$4:$X$37,VLOOKUP(AX503,Foundation_Calc!$I$10:$J$13,2,FALSE),0),
IF(AX503="K",VLOOKUP(L503,Foundation_Calc!$V$41:$X$74,VLOOKUP(AX503,Foundation_Calc!$I$10:$J$13,2,FALSE),0),"")))</f>
        <v/>
      </c>
      <c r="N503" s="8"/>
      <c r="O503" s="8"/>
      <c r="P503" s="8"/>
      <c r="Q503" s="14"/>
      <c r="R503" s="15"/>
      <c r="S503" s="15"/>
      <c r="T503" s="14"/>
      <c r="U503" s="14"/>
      <c r="V503" s="14"/>
      <c r="W503" s="18"/>
      <c r="X503" s="18"/>
      <c r="Y503" s="18"/>
      <c r="Z503" s="18"/>
      <c r="AA503" s="18"/>
      <c r="AB503" s="18"/>
      <c r="AC503" s="8" t="str">
        <f t="shared" si="29"/>
        <v/>
      </c>
      <c r="AD503" s="8"/>
      <c r="AE503" s="8"/>
      <c r="AF503" s="14"/>
      <c r="AG503" s="13"/>
      <c r="AH503" s="14"/>
      <c r="AI503" s="14"/>
      <c r="AJ503" s="8"/>
      <c r="AK503" s="8"/>
      <c r="AL503" s="8"/>
      <c r="AM503" s="8"/>
      <c r="AN503" s="631"/>
      <c r="AO503" s="18"/>
      <c r="AP503" s="18"/>
      <c r="AQ503" s="18"/>
      <c r="AR503" s="18"/>
      <c r="AS503" s="18"/>
      <c r="AU503" s="448"/>
      <c r="AV503" s="448"/>
      <c r="AW503" s="8" t="str">
        <f>IF(C503&gt;0,VLOOKUP(C503,Foundation_Calc!$A$2:$C$986,3,1),
IF(J503&gt;0,VLOOKUP(J503,Foundation_Calc!$A$2:$C$986,3,1),""))</f>
        <v/>
      </c>
      <c r="AX503" s="8" t="str">
        <f>IF(C503&gt;0,VLOOKUP(C503,Foundation_Calc!$E$2:$G$986,3,1),
IF(J503&gt;0,VLOOKUP(J503,Foundation_Calc!$E$2:$G$986,3,1),""))</f>
        <v/>
      </c>
      <c r="AY503" s="631" t="str">
        <f>IF(L503="","",
IF(AX503="PT",VLOOKUP(L503,Foundation_Calc!$K$4:$R$37,VLOOKUP(AW503,Foundation_Calc!$I$2:$J$8,2,FALSE),0),
IF(AX503="K",VLOOKUP(L503,Foundation_Calc!$K$41:$R$74,VLOOKUP(AW503,Foundation_Calc!$I$2:$J$8,2,FALSE),0),"")))</f>
        <v/>
      </c>
      <c r="AZ503" s="631" t="str">
        <f>IF(K503="","",
IF(AX503="PT",VLOOKUP(K503,Foundation_Calc!$K$4:$R$37,VLOOKUP(AW503,Foundation_Calc!$I$2:$J$8,2,FALSE),0),
IF(AX503="K",VLOOKUP(K503,Foundation_Calc!$K$41:$R$74,VLOOKUP(AW503,Foundation_Calc!$I$2:$J$8,2,FALSE),0),"")))</f>
        <v/>
      </c>
      <c r="BA503" s="632" t="str">
        <f t="shared" si="30"/>
        <v/>
      </c>
      <c r="BB503" s="632" t="str">
        <f t="shared" si="31"/>
        <v/>
      </c>
      <c r="BC503" s="632" t="str">
        <f t="shared" si="32"/>
        <v/>
      </c>
      <c r="BD503" s="633" t="str">
        <f>IF(AND(L503="",H503=""),"",
IF(H503="",Pole_Calc!A531,
IF(H503="MP",Pole_Calc!A532,
IF(H503="AnMP",Pole_Calc!A533,
IF(H503="A",Pole_Calc!A534,
IF(H503="S/A",Pole_Calc!A535,
IF(H503="A/S",Pole_Calc!A536,"Poner a mano")))))))</f>
        <v/>
      </c>
      <c r="BE503" s="448" t="s">
        <v>1726</v>
      </c>
      <c r="BF503" s="635"/>
      <c r="BG503" s="635"/>
      <c r="BH503" s="634"/>
      <c r="BI503" s="635"/>
    </row>
    <row r="504" spans="1:61" ht="16.2" customHeight="1">
      <c r="A504" s="12"/>
      <c r="B504" s="446"/>
      <c r="C504" s="89"/>
      <c r="D504" s="13"/>
      <c r="E504" s="14"/>
      <c r="F504" s="14"/>
      <c r="G504" s="15"/>
      <c r="H504" s="8"/>
      <c r="I504" s="8"/>
      <c r="J504" s="89"/>
      <c r="K504" s="8"/>
      <c r="L504" s="8"/>
      <c r="M504" s="8" t="str">
        <f>IF(L504="","",
IF(AX504="PT",VLOOKUP(L504,Foundation_Calc!$V$4:$X$37,VLOOKUP(AX504,Foundation_Calc!$I$10:$J$13,2,FALSE),0),
IF(AX504="K",VLOOKUP(L504,Foundation_Calc!$V$41:$X$74,VLOOKUP(AX504,Foundation_Calc!$I$10:$J$13,2,FALSE),0),"")))</f>
        <v/>
      </c>
      <c r="N504" s="8"/>
      <c r="O504" s="8"/>
      <c r="P504" s="8"/>
      <c r="Q504" s="14"/>
      <c r="R504" s="15"/>
      <c r="S504" s="15"/>
      <c r="T504" s="14"/>
      <c r="U504" s="14"/>
      <c r="V504" s="14"/>
      <c r="W504" s="18"/>
      <c r="X504" s="18"/>
      <c r="Y504" s="18"/>
      <c r="Z504" s="18"/>
      <c r="AA504" s="18"/>
      <c r="AB504" s="18"/>
      <c r="AC504" s="8" t="str">
        <f t="shared" si="29"/>
        <v/>
      </c>
      <c r="AD504" s="8"/>
      <c r="AE504" s="8"/>
      <c r="AF504" s="14"/>
      <c r="AG504" s="13"/>
      <c r="AH504" s="14"/>
      <c r="AI504" s="14"/>
      <c r="AJ504" s="8"/>
      <c r="AK504" s="8"/>
      <c r="AL504" s="8"/>
      <c r="AM504" s="8"/>
      <c r="AN504" s="631"/>
      <c r="AO504" s="18"/>
      <c r="AP504" s="18"/>
      <c r="AQ504" s="18"/>
      <c r="AR504" s="18"/>
      <c r="AS504" s="18"/>
      <c r="AU504" s="448"/>
      <c r="AV504" s="448"/>
      <c r="AW504" s="8" t="str">
        <f>IF(C504&gt;0,VLOOKUP(C504,Foundation_Calc!$A$2:$C$986,3,1),
IF(J504&gt;0,VLOOKUP(J504,Foundation_Calc!$A$2:$C$986,3,1),""))</f>
        <v/>
      </c>
      <c r="AX504" s="8" t="str">
        <f>IF(C504&gt;0,VLOOKUP(C504,Foundation_Calc!$E$2:$G$986,3,1),
IF(J504&gt;0,VLOOKUP(J504,Foundation_Calc!$E$2:$G$986,3,1),""))</f>
        <v/>
      </c>
      <c r="AY504" s="631" t="str">
        <f>IF(L504="","",
IF(AX504="PT",VLOOKUP(L504,Foundation_Calc!$K$4:$R$37,VLOOKUP(AW504,Foundation_Calc!$I$2:$J$8,2,FALSE),0),
IF(AX504="K",VLOOKUP(L504,Foundation_Calc!$K$41:$R$74,VLOOKUP(AW504,Foundation_Calc!$I$2:$J$8,2,FALSE),0),"")))</f>
        <v/>
      </c>
      <c r="AZ504" s="631" t="str">
        <f>IF(K504="","",
IF(AX504="PT",VLOOKUP(K504,Foundation_Calc!$K$4:$R$37,VLOOKUP(AW504,Foundation_Calc!$I$2:$J$8,2,FALSE),0),
IF(AX504="K",VLOOKUP(K504,Foundation_Calc!$K$41:$R$74,VLOOKUP(AW504,Foundation_Calc!$I$2:$J$8,2,FALSE),0),"")))</f>
        <v/>
      </c>
      <c r="BA504" s="632" t="str">
        <f t="shared" si="30"/>
        <v/>
      </c>
      <c r="BB504" s="632" t="str">
        <f t="shared" si="31"/>
        <v/>
      </c>
      <c r="BC504" s="632" t="str">
        <f t="shared" si="32"/>
        <v/>
      </c>
      <c r="BD504" s="633" t="str">
        <f>IF(AND(L504="",H504=""),"",
IF(H504="",Pole_Calc!A532,
IF(H504="MP",Pole_Calc!A533,
IF(H504="AnMP",Pole_Calc!A534,
IF(H504="A",Pole_Calc!A535,
IF(H504="S/A",Pole_Calc!A536,
IF(H504="A/S",Pole_Calc!A537,"Poner a mano")))))))</f>
        <v/>
      </c>
      <c r="BE504" s="448" t="s">
        <v>1726</v>
      </c>
      <c r="BF504" s="634"/>
      <c r="BG504" s="634"/>
      <c r="BH504" s="634"/>
      <c r="BI504" s="634"/>
    </row>
    <row r="505" spans="1:61" ht="16.2" customHeight="1">
      <c r="A505" s="12"/>
      <c r="B505" s="446"/>
      <c r="C505" s="89"/>
      <c r="D505" s="13"/>
      <c r="E505" s="14"/>
      <c r="F505" s="14"/>
      <c r="G505" s="15"/>
      <c r="H505" s="8"/>
      <c r="I505" s="8"/>
      <c r="J505" s="89"/>
      <c r="K505" s="8"/>
      <c r="L505" s="8"/>
      <c r="M505" s="8" t="str">
        <f>IF(L505="","",
IF(AX505="PT",VLOOKUP(L505,Foundation_Calc!$V$4:$X$37,VLOOKUP(AX505,Foundation_Calc!$I$10:$J$13,2,FALSE),0),
IF(AX505="K",VLOOKUP(L505,Foundation_Calc!$V$41:$X$74,VLOOKUP(AX505,Foundation_Calc!$I$10:$J$13,2,FALSE),0),"")))</f>
        <v/>
      </c>
      <c r="N505" s="8"/>
      <c r="O505" s="8"/>
      <c r="P505" s="8"/>
      <c r="Q505" s="14"/>
      <c r="R505" s="15"/>
      <c r="S505" s="15"/>
      <c r="T505" s="14"/>
      <c r="U505" s="14"/>
      <c r="V505" s="14"/>
      <c r="W505" s="18"/>
      <c r="X505" s="18"/>
      <c r="Y505" s="18"/>
      <c r="Z505" s="18"/>
      <c r="AA505" s="18"/>
      <c r="AB505" s="18"/>
      <c r="AC505" s="8" t="str">
        <f t="shared" si="29"/>
        <v/>
      </c>
      <c r="AD505" s="8"/>
      <c r="AE505" s="8"/>
      <c r="AF505" s="14"/>
      <c r="AG505" s="13"/>
      <c r="AH505" s="14"/>
      <c r="AI505" s="14"/>
      <c r="AJ505" s="8"/>
      <c r="AK505" s="8"/>
      <c r="AL505" s="8"/>
      <c r="AM505" s="8"/>
      <c r="AN505" s="631"/>
      <c r="AO505" s="18"/>
      <c r="AP505" s="18"/>
      <c r="AQ505" s="18"/>
      <c r="AR505" s="18"/>
      <c r="AS505" s="18"/>
      <c r="AU505" s="448"/>
      <c r="AV505" s="448"/>
      <c r="AW505" s="8" t="str">
        <f>IF(C505&gt;0,VLOOKUP(C505,Foundation_Calc!$A$2:$C$986,3,1),
IF(J505&gt;0,VLOOKUP(J505,Foundation_Calc!$A$2:$C$986,3,1),""))</f>
        <v/>
      </c>
      <c r="AX505" s="8" t="str">
        <f>IF(C505&gt;0,VLOOKUP(C505,Foundation_Calc!$E$2:$G$986,3,1),
IF(J505&gt;0,VLOOKUP(J505,Foundation_Calc!$E$2:$G$986,3,1),""))</f>
        <v/>
      </c>
      <c r="AY505" s="631" t="str">
        <f>IF(L505="","",
IF(AX505="PT",VLOOKUP(L505,Foundation_Calc!$K$4:$R$37,VLOOKUP(AW505,Foundation_Calc!$I$2:$J$8,2,FALSE),0),
IF(AX505="K",VLOOKUP(L505,Foundation_Calc!$K$41:$R$74,VLOOKUP(AW505,Foundation_Calc!$I$2:$J$8,2,FALSE),0),"")))</f>
        <v/>
      </c>
      <c r="AZ505" s="631" t="str">
        <f>IF(K505="","",
IF(AX505="PT",VLOOKUP(K505,Foundation_Calc!$K$4:$R$37,VLOOKUP(AW505,Foundation_Calc!$I$2:$J$8,2,FALSE),0),
IF(AX505="K",VLOOKUP(K505,Foundation_Calc!$K$41:$R$74,VLOOKUP(AW505,Foundation_Calc!$I$2:$J$8,2,FALSE),0),"")))</f>
        <v/>
      </c>
      <c r="BA505" s="632" t="str">
        <f t="shared" si="30"/>
        <v/>
      </c>
      <c r="BB505" s="632" t="str">
        <f t="shared" si="31"/>
        <v/>
      </c>
      <c r="BC505" s="632" t="str">
        <f t="shared" si="32"/>
        <v/>
      </c>
      <c r="BD505" s="633" t="str">
        <f>IF(AND(L505="",H505=""),"",
IF(H505="",Pole_Calc!A533,
IF(H505="MP",Pole_Calc!A534,
IF(H505="AnMP",Pole_Calc!A535,
IF(H505="A",Pole_Calc!A536,
IF(H505="S/A",Pole_Calc!A537,
IF(H505="A/S",Pole_Calc!A538,"Poner a mano")))))))</f>
        <v/>
      </c>
      <c r="BE505" s="448" t="s">
        <v>1726</v>
      </c>
      <c r="BF505" s="635"/>
      <c r="BG505" s="635"/>
      <c r="BH505" s="634"/>
      <c r="BI505" s="635"/>
    </row>
    <row r="506" spans="1:61" ht="16.2" customHeight="1">
      <c r="A506" s="12"/>
      <c r="B506" s="446"/>
      <c r="C506" s="89"/>
      <c r="D506" s="13"/>
      <c r="E506" s="14"/>
      <c r="F506" s="14"/>
      <c r="G506" s="15"/>
      <c r="H506" s="8"/>
      <c r="I506" s="8"/>
      <c r="J506" s="89"/>
      <c r="K506" s="8"/>
      <c r="L506" s="8"/>
      <c r="M506" s="8" t="str">
        <f>IF(L506="","",
IF(AX506="PT",VLOOKUP(L506,Foundation_Calc!$V$4:$X$37,VLOOKUP(AX506,Foundation_Calc!$I$10:$J$13,2,FALSE),0),
IF(AX506="K",VLOOKUP(L506,Foundation_Calc!$V$41:$X$74,VLOOKUP(AX506,Foundation_Calc!$I$10:$J$13,2,FALSE),0),"")))</f>
        <v/>
      </c>
      <c r="N506" s="8"/>
      <c r="O506" s="8"/>
      <c r="P506" s="8"/>
      <c r="Q506" s="14"/>
      <c r="R506" s="15"/>
      <c r="S506" s="15"/>
      <c r="T506" s="14"/>
      <c r="U506" s="14"/>
      <c r="V506" s="14"/>
      <c r="W506" s="18"/>
      <c r="X506" s="18"/>
      <c r="Y506" s="18"/>
      <c r="Z506" s="18"/>
      <c r="AA506" s="18"/>
      <c r="AB506" s="18"/>
      <c r="AC506" s="8" t="str">
        <f t="shared" si="29"/>
        <v/>
      </c>
      <c r="AD506" s="8"/>
      <c r="AE506" s="8"/>
      <c r="AF506" s="14"/>
      <c r="AG506" s="13"/>
      <c r="AH506" s="14"/>
      <c r="AI506" s="14"/>
      <c r="AJ506" s="8"/>
      <c r="AK506" s="8"/>
      <c r="AL506" s="8"/>
      <c r="AM506" s="8"/>
      <c r="AN506" s="631"/>
      <c r="AO506" s="18"/>
      <c r="AP506" s="18"/>
      <c r="AQ506" s="18"/>
      <c r="AR506" s="18"/>
      <c r="AS506" s="18"/>
      <c r="AU506" s="448"/>
      <c r="AV506" s="448"/>
      <c r="AW506" s="8" t="str">
        <f>IF(C506&gt;0,VLOOKUP(C506,Foundation_Calc!$A$2:$C$986,3,1),
IF(J506&gt;0,VLOOKUP(J506,Foundation_Calc!$A$2:$C$986,3,1),""))</f>
        <v/>
      </c>
      <c r="AX506" s="8" t="str">
        <f>IF(C506&gt;0,VLOOKUP(C506,Foundation_Calc!$E$2:$G$986,3,1),
IF(J506&gt;0,VLOOKUP(J506,Foundation_Calc!$E$2:$G$986,3,1),""))</f>
        <v/>
      </c>
      <c r="AY506" s="631" t="str">
        <f>IF(L506="","",
IF(AX506="PT",VLOOKUP(L506,Foundation_Calc!$K$4:$R$37,VLOOKUP(AW506,Foundation_Calc!$I$2:$J$8,2,FALSE),0),
IF(AX506="K",VLOOKUP(L506,Foundation_Calc!$K$41:$R$74,VLOOKUP(AW506,Foundation_Calc!$I$2:$J$8,2,FALSE),0),"")))</f>
        <v/>
      </c>
      <c r="AZ506" s="631" t="str">
        <f>IF(K506="","",
IF(AX506="PT",VLOOKUP(K506,Foundation_Calc!$K$4:$R$37,VLOOKUP(AW506,Foundation_Calc!$I$2:$J$8,2,FALSE),0),
IF(AX506="K",VLOOKUP(K506,Foundation_Calc!$K$41:$R$74,VLOOKUP(AW506,Foundation_Calc!$I$2:$J$8,2,FALSE),0),"")))</f>
        <v/>
      </c>
      <c r="BA506" s="632" t="str">
        <f t="shared" si="30"/>
        <v/>
      </c>
      <c r="BB506" s="632" t="str">
        <f t="shared" si="31"/>
        <v/>
      </c>
      <c r="BC506" s="632" t="str">
        <f t="shared" si="32"/>
        <v/>
      </c>
      <c r="BD506" s="633" t="str">
        <f>IF(AND(L506="",H506=""),"",
IF(H506="",Pole_Calc!A534,
IF(H506="MP",Pole_Calc!A535,
IF(H506="AnMP",Pole_Calc!A536,
IF(H506="A",Pole_Calc!A537,
IF(H506="S/A",Pole_Calc!A538,
IF(H506="A/S",Pole_Calc!A539,"Poner a mano")))))))</f>
        <v/>
      </c>
      <c r="BE506" s="448" t="s">
        <v>1726</v>
      </c>
      <c r="BF506" s="634"/>
      <c r="BG506" s="634"/>
      <c r="BH506" s="634"/>
      <c r="BI506" s="634"/>
    </row>
    <row r="507" spans="1:61" ht="16.2" customHeight="1">
      <c r="A507" s="12"/>
      <c r="B507" s="446"/>
      <c r="C507" s="89"/>
      <c r="D507" s="13"/>
      <c r="E507" s="14"/>
      <c r="F507" s="14"/>
      <c r="G507" s="15"/>
      <c r="H507" s="8"/>
      <c r="I507" s="8"/>
      <c r="J507" s="89"/>
      <c r="K507" s="8"/>
      <c r="L507" s="8"/>
      <c r="M507" s="8" t="str">
        <f>IF(L507="","",
IF(AX507="PT",VLOOKUP(L507,Foundation_Calc!$V$4:$X$37,VLOOKUP(AX507,Foundation_Calc!$I$10:$J$13,2,FALSE),0),
IF(AX507="K",VLOOKUP(L507,Foundation_Calc!$V$41:$X$74,VLOOKUP(AX507,Foundation_Calc!$I$10:$J$13,2,FALSE),0),"")))</f>
        <v/>
      </c>
      <c r="N507" s="8"/>
      <c r="O507" s="8"/>
      <c r="P507" s="8"/>
      <c r="Q507" s="14"/>
      <c r="R507" s="15"/>
      <c r="S507" s="15"/>
      <c r="T507" s="14"/>
      <c r="U507" s="14"/>
      <c r="V507" s="14"/>
      <c r="W507" s="18"/>
      <c r="X507" s="18"/>
      <c r="Y507" s="18"/>
      <c r="Z507" s="18"/>
      <c r="AA507" s="18"/>
      <c r="AB507" s="18"/>
      <c r="AC507" s="8" t="str">
        <f t="shared" si="29"/>
        <v/>
      </c>
      <c r="AD507" s="8"/>
      <c r="AE507" s="8"/>
      <c r="AF507" s="14"/>
      <c r="AG507" s="13"/>
      <c r="AH507" s="14"/>
      <c r="AI507" s="14"/>
      <c r="AJ507" s="8"/>
      <c r="AK507" s="8"/>
      <c r="AL507" s="8"/>
      <c r="AM507" s="8"/>
      <c r="AN507" s="631"/>
      <c r="AO507" s="18"/>
      <c r="AP507" s="18"/>
      <c r="AQ507" s="18"/>
      <c r="AR507" s="18"/>
      <c r="AS507" s="18"/>
      <c r="AU507" s="448"/>
      <c r="AV507" s="448"/>
      <c r="AW507" s="8" t="str">
        <f>IF(C507&gt;0,VLOOKUP(C507,Foundation_Calc!$A$2:$C$986,3,1),
IF(J507&gt;0,VLOOKUP(J507,Foundation_Calc!$A$2:$C$986,3,1),""))</f>
        <v/>
      </c>
      <c r="AX507" s="8" t="str">
        <f>IF(C507&gt;0,VLOOKUP(C507,Foundation_Calc!$E$2:$G$986,3,1),
IF(J507&gt;0,VLOOKUP(J507,Foundation_Calc!$E$2:$G$986,3,1),""))</f>
        <v/>
      </c>
      <c r="AY507" s="631" t="str">
        <f>IF(L507="","",
IF(AX507="PT",VLOOKUP(L507,Foundation_Calc!$K$4:$R$37,VLOOKUP(AW507,Foundation_Calc!$I$2:$J$8,2,FALSE),0),
IF(AX507="K",VLOOKUP(L507,Foundation_Calc!$K$41:$R$74,VLOOKUP(AW507,Foundation_Calc!$I$2:$J$8,2,FALSE),0),"")))</f>
        <v/>
      </c>
      <c r="AZ507" s="631" t="str">
        <f>IF(K507="","",
IF(AX507="PT",VLOOKUP(K507,Foundation_Calc!$K$4:$R$37,VLOOKUP(AW507,Foundation_Calc!$I$2:$J$8,2,FALSE),0),
IF(AX507="K",VLOOKUP(K507,Foundation_Calc!$K$41:$R$74,VLOOKUP(AW507,Foundation_Calc!$I$2:$J$8,2,FALSE),0),"")))</f>
        <v/>
      </c>
      <c r="BA507" s="632" t="str">
        <f t="shared" si="30"/>
        <v/>
      </c>
      <c r="BB507" s="632" t="str">
        <f t="shared" si="31"/>
        <v/>
      </c>
      <c r="BC507" s="632" t="str">
        <f t="shared" si="32"/>
        <v/>
      </c>
      <c r="BD507" s="633" t="str">
        <f>IF(AND(L507="",H507=""),"",
IF(H507="",Pole_Calc!A535,
IF(H507="MP",Pole_Calc!A536,
IF(H507="AnMP",Pole_Calc!A537,
IF(H507="A",Pole_Calc!A538,
IF(H507="S/A",Pole_Calc!A539,
IF(H507="A/S",Pole_Calc!A540,"Poner a mano")))))))</f>
        <v/>
      </c>
      <c r="BE507" s="448" t="s">
        <v>1726</v>
      </c>
      <c r="BF507" s="635"/>
      <c r="BG507" s="635"/>
      <c r="BH507" s="634"/>
      <c r="BI507" s="635"/>
    </row>
    <row r="508" spans="1:61" ht="16.2" customHeight="1">
      <c r="A508" s="12"/>
      <c r="B508" s="446"/>
      <c r="C508" s="89"/>
      <c r="D508" s="13"/>
      <c r="E508" s="14"/>
      <c r="F508" s="14"/>
      <c r="G508" s="15"/>
      <c r="H508" s="8"/>
      <c r="I508" s="8"/>
      <c r="J508" s="89"/>
      <c r="K508" s="8"/>
      <c r="L508" s="8"/>
      <c r="M508" s="8" t="str">
        <f>IF(L508="","",
IF(AX508="PT",VLOOKUP(L508,Foundation_Calc!$V$4:$X$37,VLOOKUP(AX508,Foundation_Calc!$I$10:$J$13,2,FALSE),0),
IF(AX508="K",VLOOKUP(L508,Foundation_Calc!$V$41:$X$74,VLOOKUP(AX508,Foundation_Calc!$I$10:$J$13,2,FALSE),0),"")))</f>
        <v/>
      </c>
      <c r="N508" s="8"/>
      <c r="O508" s="8"/>
      <c r="P508" s="8"/>
      <c r="Q508" s="14"/>
      <c r="R508" s="15"/>
      <c r="S508" s="15"/>
      <c r="T508" s="14"/>
      <c r="U508" s="14"/>
      <c r="V508" s="14"/>
      <c r="W508" s="18"/>
      <c r="X508" s="18"/>
      <c r="Y508" s="18"/>
      <c r="Z508" s="18"/>
      <c r="AA508" s="18"/>
      <c r="AB508" s="18"/>
      <c r="AC508" s="8" t="str">
        <f t="shared" si="29"/>
        <v/>
      </c>
      <c r="AD508" s="8"/>
      <c r="AE508" s="8"/>
      <c r="AF508" s="14"/>
      <c r="AG508" s="13"/>
      <c r="AH508" s="14"/>
      <c r="AI508" s="14"/>
      <c r="AJ508" s="8"/>
      <c r="AK508" s="8"/>
      <c r="AL508" s="8"/>
      <c r="AM508" s="8"/>
      <c r="AN508" s="631"/>
      <c r="AO508" s="18"/>
      <c r="AP508" s="18"/>
      <c r="AQ508" s="18"/>
      <c r="AR508" s="18"/>
      <c r="AS508" s="18"/>
      <c r="AU508" s="448"/>
      <c r="AV508" s="448"/>
      <c r="AW508" s="8" t="str">
        <f>IF(C508&gt;0,VLOOKUP(C508,Foundation_Calc!$A$2:$C$986,3,1),
IF(J508&gt;0,VLOOKUP(J508,Foundation_Calc!$A$2:$C$986,3,1),""))</f>
        <v/>
      </c>
      <c r="AX508" s="8" t="str">
        <f>IF(C508&gt;0,VLOOKUP(C508,Foundation_Calc!$E$2:$G$986,3,1),
IF(J508&gt;0,VLOOKUP(J508,Foundation_Calc!$E$2:$G$986,3,1),""))</f>
        <v/>
      </c>
      <c r="AY508" s="631" t="str">
        <f>IF(L508="","",
IF(AX508="PT",VLOOKUP(L508,Foundation_Calc!$K$4:$R$37,VLOOKUP(AW508,Foundation_Calc!$I$2:$J$8,2,FALSE),0),
IF(AX508="K",VLOOKUP(L508,Foundation_Calc!$K$41:$R$74,VLOOKUP(AW508,Foundation_Calc!$I$2:$J$8,2,FALSE),0),"")))</f>
        <v/>
      </c>
      <c r="AZ508" s="631" t="str">
        <f>IF(K508="","",
IF(AX508="PT",VLOOKUP(K508,Foundation_Calc!$K$4:$R$37,VLOOKUP(AW508,Foundation_Calc!$I$2:$J$8,2,FALSE),0),
IF(AX508="K",VLOOKUP(K508,Foundation_Calc!$K$41:$R$74,VLOOKUP(AW508,Foundation_Calc!$I$2:$J$8,2,FALSE),0),"")))</f>
        <v/>
      </c>
      <c r="BA508" s="632" t="str">
        <f t="shared" si="30"/>
        <v/>
      </c>
      <c r="BB508" s="632" t="str">
        <f t="shared" si="31"/>
        <v/>
      </c>
      <c r="BC508" s="632" t="str">
        <f t="shared" si="32"/>
        <v/>
      </c>
      <c r="BD508" s="633" t="str">
        <f>IF(AND(L508="",H508=""),"",
IF(H508="",Pole_Calc!A536,
IF(H508="MP",Pole_Calc!A537,
IF(H508="AnMP",Pole_Calc!A538,
IF(H508="A",Pole_Calc!A539,
IF(H508="S/A",Pole_Calc!A540,
IF(H508="A/S",Pole_Calc!A541,"Poner a mano")))))))</f>
        <v/>
      </c>
      <c r="BE508" s="448" t="s">
        <v>1726</v>
      </c>
      <c r="BF508" s="634"/>
      <c r="BG508" s="634"/>
      <c r="BH508" s="634"/>
      <c r="BI508" s="634"/>
    </row>
    <row r="509" spans="1:61" ht="16.2" customHeight="1">
      <c r="A509" s="12"/>
      <c r="B509" s="446"/>
      <c r="C509" s="89"/>
      <c r="D509" s="13"/>
      <c r="E509" s="14"/>
      <c r="F509" s="14"/>
      <c r="G509" s="15"/>
      <c r="H509" s="8"/>
      <c r="I509" s="8"/>
      <c r="J509" s="89"/>
      <c r="K509" s="8"/>
      <c r="L509" s="8"/>
      <c r="M509" s="8" t="str">
        <f>IF(L509="","",
IF(AX509="PT",VLOOKUP(L509,Foundation_Calc!$V$4:$X$37,VLOOKUP(AX509,Foundation_Calc!$I$10:$J$13,2,FALSE),0),
IF(AX509="K",VLOOKUP(L509,Foundation_Calc!$V$41:$X$74,VLOOKUP(AX509,Foundation_Calc!$I$10:$J$13,2,FALSE),0),"")))</f>
        <v/>
      </c>
      <c r="N509" s="8"/>
      <c r="O509" s="8"/>
      <c r="P509" s="8"/>
      <c r="Q509" s="14"/>
      <c r="R509" s="15"/>
      <c r="S509" s="15"/>
      <c r="T509" s="14"/>
      <c r="U509" s="14"/>
      <c r="V509" s="14"/>
      <c r="W509" s="18"/>
      <c r="X509" s="18"/>
      <c r="Y509" s="18"/>
      <c r="Z509" s="18"/>
      <c r="AA509" s="18"/>
      <c r="AB509" s="18"/>
      <c r="AC509" s="8" t="str">
        <f t="shared" si="29"/>
        <v/>
      </c>
      <c r="AD509" s="8"/>
      <c r="AE509" s="8"/>
      <c r="AF509" s="14"/>
      <c r="AG509" s="13"/>
      <c r="AH509" s="14"/>
      <c r="AI509" s="14"/>
      <c r="AJ509" s="8"/>
      <c r="AK509" s="8"/>
      <c r="AL509" s="8"/>
      <c r="AM509" s="8"/>
      <c r="AN509" s="631"/>
      <c r="AO509" s="18"/>
      <c r="AP509" s="18"/>
      <c r="AQ509" s="18"/>
      <c r="AR509" s="18"/>
      <c r="AS509" s="18"/>
      <c r="AU509" s="448"/>
      <c r="AV509" s="448"/>
      <c r="AW509" s="8" t="str">
        <f>IF(C509&gt;0,VLOOKUP(C509,Foundation_Calc!$A$2:$C$986,3,1),
IF(J509&gt;0,VLOOKUP(J509,Foundation_Calc!$A$2:$C$986,3,1),""))</f>
        <v/>
      </c>
      <c r="AX509" s="8" t="str">
        <f>IF(C509&gt;0,VLOOKUP(C509,Foundation_Calc!$E$2:$G$986,3,1),
IF(J509&gt;0,VLOOKUP(J509,Foundation_Calc!$E$2:$G$986,3,1),""))</f>
        <v/>
      </c>
      <c r="AY509" s="631" t="str">
        <f>IF(L509="","",
IF(AX509="PT",VLOOKUP(L509,Foundation_Calc!$K$4:$R$37,VLOOKUP(AW509,Foundation_Calc!$I$2:$J$8,2,FALSE),0),
IF(AX509="K",VLOOKUP(L509,Foundation_Calc!$K$41:$R$74,VLOOKUP(AW509,Foundation_Calc!$I$2:$J$8,2,FALSE),0),"")))</f>
        <v/>
      </c>
      <c r="AZ509" s="631" t="str">
        <f>IF(K509="","",
IF(AX509="PT",VLOOKUP(K509,Foundation_Calc!$K$4:$R$37,VLOOKUP(AW509,Foundation_Calc!$I$2:$J$8,2,FALSE),0),
IF(AX509="K",VLOOKUP(K509,Foundation_Calc!$K$41:$R$74,VLOOKUP(AW509,Foundation_Calc!$I$2:$J$8,2,FALSE),0),"")))</f>
        <v/>
      </c>
      <c r="BA509" s="632" t="str">
        <f t="shared" si="30"/>
        <v/>
      </c>
      <c r="BB509" s="632" t="str">
        <f t="shared" si="31"/>
        <v/>
      </c>
      <c r="BC509" s="632" t="str">
        <f t="shared" si="32"/>
        <v/>
      </c>
      <c r="BD509" s="633" t="str">
        <f>IF(AND(L509="",H509=""),"",
IF(H509="",Pole_Calc!A537,
IF(H509="MP",Pole_Calc!A538,
IF(H509="AnMP",Pole_Calc!A539,
IF(H509="A",Pole_Calc!A540,
IF(H509="S/A",Pole_Calc!A541,
IF(H509="A/S",Pole_Calc!A542,"Poner a mano")))))))</f>
        <v/>
      </c>
      <c r="BE509" s="448" t="s">
        <v>1726</v>
      </c>
      <c r="BF509" s="635"/>
      <c r="BG509" s="635"/>
      <c r="BH509" s="634"/>
      <c r="BI509" s="635"/>
    </row>
    <row r="510" spans="1:61" ht="16.2" customHeight="1">
      <c r="A510" s="12"/>
      <c r="B510" s="446"/>
      <c r="C510" s="89"/>
      <c r="D510" s="13"/>
      <c r="E510" s="14"/>
      <c r="F510" s="14"/>
      <c r="G510" s="15"/>
      <c r="H510" s="8"/>
      <c r="I510" s="8"/>
      <c r="J510" s="89"/>
      <c r="K510" s="8"/>
      <c r="L510" s="8"/>
      <c r="M510" s="8" t="str">
        <f>IF(L510="","",
IF(AX510="PT",VLOOKUP(L510,Foundation_Calc!$V$4:$X$37,VLOOKUP(AX510,Foundation_Calc!$I$10:$J$13,2,FALSE),0),
IF(AX510="K",VLOOKUP(L510,Foundation_Calc!$V$41:$X$74,VLOOKUP(AX510,Foundation_Calc!$I$10:$J$13,2,FALSE),0),"")))</f>
        <v/>
      </c>
      <c r="N510" s="8"/>
      <c r="O510" s="8"/>
      <c r="P510" s="8"/>
      <c r="Q510" s="14"/>
      <c r="R510" s="15"/>
      <c r="S510" s="15"/>
      <c r="T510" s="14"/>
      <c r="U510" s="14"/>
      <c r="V510" s="14"/>
      <c r="W510" s="18"/>
      <c r="X510" s="18"/>
      <c r="Y510" s="18"/>
      <c r="Z510" s="18"/>
      <c r="AA510" s="18"/>
      <c r="AB510" s="18"/>
      <c r="AC510" s="8" t="str">
        <f t="shared" si="29"/>
        <v/>
      </c>
      <c r="AD510" s="8"/>
      <c r="AE510" s="8"/>
      <c r="AF510" s="14"/>
      <c r="AG510" s="13"/>
      <c r="AH510" s="14"/>
      <c r="AI510" s="14"/>
      <c r="AJ510" s="8"/>
      <c r="AK510" s="8"/>
      <c r="AL510" s="8"/>
      <c r="AM510" s="8"/>
      <c r="AN510" s="631"/>
      <c r="AO510" s="18"/>
      <c r="AP510" s="18"/>
      <c r="AQ510" s="18"/>
      <c r="AR510" s="18"/>
      <c r="AS510" s="18"/>
      <c r="AU510" s="448"/>
      <c r="AV510" s="448"/>
      <c r="AW510" s="8" t="str">
        <f>IF(C510&gt;0,VLOOKUP(C510,Foundation_Calc!$A$2:$C$986,3,1),
IF(J510&gt;0,VLOOKUP(J510,Foundation_Calc!$A$2:$C$986,3,1),""))</f>
        <v/>
      </c>
      <c r="AX510" s="8" t="str">
        <f>IF(C510&gt;0,VLOOKUP(C510,Foundation_Calc!$E$2:$G$986,3,1),
IF(J510&gt;0,VLOOKUP(J510,Foundation_Calc!$E$2:$G$986,3,1),""))</f>
        <v/>
      </c>
      <c r="AY510" s="631" t="str">
        <f>IF(L510="","",
IF(AX510="PT",VLOOKUP(L510,Foundation_Calc!$K$4:$R$37,VLOOKUP(AW510,Foundation_Calc!$I$2:$J$8,2,FALSE),0),
IF(AX510="K",VLOOKUP(L510,Foundation_Calc!$K$41:$R$74,VLOOKUP(AW510,Foundation_Calc!$I$2:$J$8,2,FALSE),0),"")))</f>
        <v/>
      </c>
      <c r="AZ510" s="631" t="str">
        <f>IF(K510="","",
IF(AX510="PT",VLOOKUP(K510,Foundation_Calc!$K$4:$R$37,VLOOKUP(AW510,Foundation_Calc!$I$2:$J$8,2,FALSE),0),
IF(AX510="K",VLOOKUP(K510,Foundation_Calc!$K$41:$R$74,VLOOKUP(AW510,Foundation_Calc!$I$2:$J$8,2,FALSE),0),"")))</f>
        <v/>
      </c>
      <c r="BA510" s="632" t="str">
        <f t="shared" si="30"/>
        <v/>
      </c>
      <c r="BB510" s="632" t="str">
        <f t="shared" si="31"/>
        <v/>
      </c>
      <c r="BC510" s="632" t="str">
        <f t="shared" si="32"/>
        <v/>
      </c>
      <c r="BD510" s="633" t="str">
        <f>IF(AND(L510="",H510=""),"",
IF(H510="",Pole_Calc!A538,
IF(H510="MP",Pole_Calc!A539,
IF(H510="AnMP",Pole_Calc!A540,
IF(H510="A",Pole_Calc!A541,
IF(H510="S/A",Pole_Calc!A542,
IF(H510="A/S",Pole_Calc!A543,"Poner a mano")))))))</f>
        <v/>
      </c>
      <c r="BE510" s="448" t="s">
        <v>1726</v>
      </c>
      <c r="BF510" s="634"/>
      <c r="BG510" s="634"/>
      <c r="BH510" s="634"/>
      <c r="BI510" s="634"/>
    </row>
    <row r="511" spans="1:61" ht="16.2" customHeight="1">
      <c r="A511" s="12"/>
      <c r="B511" s="446"/>
      <c r="C511" s="89"/>
      <c r="D511" s="13"/>
      <c r="E511" s="14"/>
      <c r="F511" s="14"/>
      <c r="G511" s="15"/>
      <c r="H511" s="8"/>
      <c r="I511" s="8"/>
      <c r="J511" s="89"/>
      <c r="K511" s="8"/>
      <c r="L511" s="8"/>
      <c r="M511" s="8" t="str">
        <f>IF(L511="","",
IF(AX511="PT",VLOOKUP(L511,Foundation_Calc!$V$4:$X$37,VLOOKUP(AX511,Foundation_Calc!$I$10:$J$13,2,FALSE),0),
IF(AX511="K",VLOOKUP(L511,Foundation_Calc!$V$41:$X$74,VLOOKUP(AX511,Foundation_Calc!$I$10:$J$13,2,FALSE),0),"")))</f>
        <v/>
      </c>
      <c r="N511" s="8"/>
      <c r="O511" s="8"/>
      <c r="P511" s="8"/>
      <c r="Q511" s="14"/>
      <c r="R511" s="15"/>
      <c r="S511" s="15"/>
      <c r="T511" s="14"/>
      <c r="U511" s="14"/>
      <c r="V511" s="14"/>
      <c r="W511" s="18"/>
      <c r="X511" s="18"/>
      <c r="Y511" s="18"/>
      <c r="Z511" s="18"/>
      <c r="AA511" s="18"/>
      <c r="AB511" s="18"/>
      <c r="AC511" s="8" t="str">
        <f t="shared" si="29"/>
        <v/>
      </c>
      <c r="AD511" s="8"/>
      <c r="AE511" s="8"/>
      <c r="AF511" s="14"/>
      <c r="AG511" s="13"/>
      <c r="AH511" s="14"/>
      <c r="AI511" s="14"/>
      <c r="AJ511" s="8"/>
      <c r="AK511" s="8"/>
      <c r="AL511" s="8"/>
      <c r="AM511" s="8"/>
      <c r="AN511" s="631"/>
      <c r="AO511" s="18"/>
      <c r="AP511" s="18"/>
      <c r="AQ511" s="18"/>
      <c r="AR511" s="18"/>
      <c r="AS511" s="18"/>
      <c r="AU511" s="448"/>
      <c r="AV511" s="448"/>
      <c r="AW511" s="8" t="str">
        <f>IF(C511&gt;0,VLOOKUP(C511,Foundation_Calc!$A$2:$C$986,3,1),
IF(J511&gt;0,VLOOKUP(J511,Foundation_Calc!$A$2:$C$986,3,1),""))</f>
        <v/>
      </c>
      <c r="AX511" s="8" t="str">
        <f>IF(C511&gt;0,VLOOKUP(C511,Foundation_Calc!$E$2:$G$986,3,1),
IF(J511&gt;0,VLOOKUP(J511,Foundation_Calc!$E$2:$G$986,3,1),""))</f>
        <v/>
      </c>
      <c r="AY511" s="631" t="str">
        <f>IF(L511="","",
IF(AX511="PT",VLOOKUP(L511,Foundation_Calc!$K$4:$R$37,VLOOKUP(AW511,Foundation_Calc!$I$2:$J$8,2,FALSE),0),
IF(AX511="K",VLOOKUP(L511,Foundation_Calc!$K$41:$R$74,VLOOKUP(AW511,Foundation_Calc!$I$2:$J$8,2,FALSE),0),"")))</f>
        <v/>
      </c>
      <c r="AZ511" s="631" t="str">
        <f>IF(K511="","",
IF(AX511="PT",VLOOKUP(K511,Foundation_Calc!$K$4:$R$37,VLOOKUP(AW511,Foundation_Calc!$I$2:$J$8,2,FALSE),0),
IF(AX511="K",VLOOKUP(K511,Foundation_Calc!$K$41:$R$74,VLOOKUP(AW511,Foundation_Calc!$I$2:$J$8,2,FALSE),0),"")))</f>
        <v/>
      </c>
      <c r="BA511" s="632" t="str">
        <f t="shared" si="30"/>
        <v/>
      </c>
      <c r="BB511" s="632" t="str">
        <f t="shared" si="31"/>
        <v/>
      </c>
      <c r="BC511" s="632" t="str">
        <f t="shared" si="32"/>
        <v/>
      </c>
      <c r="BD511" s="633" t="str">
        <f>IF(AND(L511="",H511=""),"",
IF(H511="",Pole_Calc!A539,
IF(H511="MP",Pole_Calc!A540,
IF(H511="AnMP",Pole_Calc!A541,
IF(H511="A",Pole_Calc!A542,
IF(H511="S/A",Pole_Calc!A543,
IF(H511="A/S",Pole_Calc!A544,"Poner a mano")))))))</f>
        <v/>
      </c>
      <c r="BE511" s="448" t="s">
        <v>1726</v>
      </c>
      <c r="BF511" s="635"/>
      <c r="BG511" s="635"/>
      <c r="BH511" s="634"/>
      <c r="BI511" s="635"/>
    </row>
    <row r="512" spans="1:61" ht="16.2" customHeight="1">
      <c r="A512" s="12"/>
      <c r="B512" s="446"/>
      <c r="C512" s="89"/>
      <c r="D512" s="13"/>
      <c r="E512" s="14"/>
      <c r="F512" s="14"/>
      <c r="G512" s="15"/>
      <c r="H512" s="8"/>
      <c r="I512" s="8"/>
      <c r="J512" s="89"/>
      <c r="K512" s="8"/>
      <c r="L512" s="8"/>
      <c r="M512" s="8" t="str">
        <f>IF(L512="","",
IF(AX512="PT",VLOOKUP(L512,Foundation_Calc!$V$4:$X$37,VLOOKUP(AX512,Foundation_Calc!$I$10:$J$13,2,FALSE),0),
IF(AX512="K",VLOOKUP(L512,Foundation_Calc!$V$41:$X$74,VLOOKUP(AX512,Foundation_Calc!$I$10:$J$13,2,FALSE),0),"")))</f>
        <v/>
      </c>
      <c r="N512" s="8"/>
      <c r="O512" s="8"/>
      <c r="P512" s="8"/>
      <c r="Q512" s="14"/>
      <c r="R512" s="15"/>
      <c r="S512" s="15"/>
      <c r="T512" s="14"/>
      <c r="U512" s="14"/>
      <c r="V512" s="14"/>
      <c r="W512" s="18"/>
      <c r="X512" s="18"/>
      <c r="Y512" s="18"/>
      <c r="Z512" s="18"/>
      <c r="AA512" s="18"/>
      <c r="AB512" s="18"/>
      <c r="AC512" s="8" t="str">
        <f t="shared" si="29"/>
        <v/>
      </c>
      <c r="AD512" s="8"/>
      <c r="AE512" s="8"/>
      <c r="AF512" s="14"/>
      <c r="AG512" s="13"/>
      <c r="AH512" s="14"/>
      <c r="AI512" s="14"/>
      <c r="AJ512" s="8"/>
      <c r="AK512" s="8"/>
      <c r="AL512" s="8"/>
      <c r="AM512" s="8"/>
      <c r="AN512" s="631"/>
      <c r="AO512" s="18"/>
      <c r="AP512" s="18"/>
      <c r="AQ512" s="18"/>
      <c r="AR512" s="18"/>
      <c r="AS512" s="18"/>
      <c r="AU512" s="448"/>
      <c r="AV512" s="448"/>
      <c r="AW512" s="8" t="str">
        <f>IF(C512&gt;0,VLOOKUP(C512,Foundation_Calc!$A$2:$C$986,3,1),
IF(J512&gt;0,VLOOKUP(J512,Foundation_Calc!$A$2:$C$986,3,1),""))</f>
        <v/>
      </c>
      <c r="AX512" s="8" t="str">
        <f>IF(C512&gt;0,VLOOKUP(C512,Foundation_Calc!$E$2:$G$986,3,1),
IF(J512&gt;0,VLOOKUP(J512,Foundation_Calc!$E$2:$G$986,3,1),""))</f>
        <v/>
      </c>
      <c r="AY512" s="631" t="str">
        <f>IF(L512="","",
IF(AX512="PT",VLOOKUP(L512,Foundation_Calc!$K$4:$R$37,VLOOKUP(AW512,Foundation_Calc!$I$2:$J$8,2,FALSE),0),
IF(AX512="K",VLOOKUP(L512,Foundation_Calc!$K$41:$R$74,VLOOKUP(AW512,Foundation_Calc!$I$2:$J$8,2,FALSE),0),"")))</f>
        <v/>
      </c>
      <c r="AZ512" s="631" t="str">
        <f>IF(K512="","",
IF(AX512="PT",VLOOKUP(K512,Foundation_Calc!$K$4:$R$37,VLOOKUP(AW512,Foundation_Calc!$I$2:$J$8,2,FALSE),0),
IF(AX512="K",VLOOKUP(K512,Foundation_Calc!$K$41:$R$74,VLOOKUP(AW512,Foundation_Calc!$I$2:$J$8,2,FALSE),0),"")))</f>
        <v/>
      </c>
      <c r="BA512" s="632" t="str">
        <f t="shared" si="30"/>
        <v/>
      </c>
      <c r="BB512" s="632" t="str">
        <f t="shared" si="31"/>
        <v/>
      </c>
      <c r="BC512" s="632" t="str">
        <f t="shared" si="32"/>
        <v/>
      </c>
      <c r="BD512" s="633" t="str">
        <f>IF(AND(L512="",H512=""),"",
IF(H512="",Pole_Calc!A540,
IF(H512="MP",Pole_Calc!A541,
IF(H512="AnMP",Pole_Calc!A542,
IF(H512="A",Pole_Calc!A543,
IF(H512="S/A",Pole_Calc!A544,
IF(H512="A/S",Pole_Calc!A545,"Poner a mano")))))))</f>
        <v/>
      </c>
      <c r="BE512" s="448" t="s">
        <v>1726</v>
      </c>
      <c r="BF512" s="634"/>
      <c r="BG512" s="634"/>
      <c r="BH512" s="634"/>
      <c r="BI512" s="634"/>
    </row>
    <row r="513" spans="1:61" ht="16.2" customHeight="1">
      <c r="A513" s="12"/>
      <c r="B513" s="446"/>
      <c r="C513" s="89"/>
      <c r="D513" s="13"/>
      <c r="E513" s="14"/>
      <c r="F513" s="14"/>
      <c r="G513" s="15"/>
      <c r="H513" s="8"/>
      <c r="I513" s="8"/>
      <c r="J513" s="89"/>
      <c r="K513" s="8"/>
      <c r="L513" s="8"/>
      <c r="M513" s="8" t="str">
        <f>IF(L513="","",
IF(AX513="PT",VLOOKUP(L513,Foundation_Calc!$V$4:$X$37,VLOOKUP(AX513,Foundation_Calc!$I$10:$J$13,2,FALSE),0),
IF(AX513="K",VLOOKUP(L513,Foundation_Calc!$V$41:$X$74,VLOOKUP(AX513,Foundation_Calc!$I$10:$J$13,2,FALSE),0),"")))</f>
        <v/>
      </c>
      <c r="N513" s="8"/>
      <c r="O513" s="8"/>
      <c r="P513" s="8"/>
      <c r="Q513" s="14"/>
      <c r="R513" s="15"/>
      <c r="S513" s="15"/>
      <c r="T513" s="14"/>
      <c r="U513" s="14"/>
      <c r="V513" s="14"/>
      <c r="W513" s="18"/>
      <c r="X513" s="18"/>
      <c r="Y513" s="18"/>
      <c r="Z513" s="18"/>
      <c r="AA513" s="18"/>
      <c r="AB513" s="18"/>
      <c r="AC513" s="8" t="str">
        <f t="shared" si="29"/>
        <v/>
      </c>
      <c r="AD513" s="8"/>
      <c r="AE513" s="8"/>
      <c r="AF513" s="14"/>
      <c r="AG513" s="13"/>
      <c r="AH513" s="14"/>
      <c r="AI513" s="14"/>
      <c r="AJ513" s="8"/>
      <c r="AK513" s="8"/>
      <c r="AL513" s="8"/>
      <c r="AM513" s="8"/>
      <c r="AN513" s="631"/>
      <c r="AO513" s="18"/>
      <c r="AP513" s="18"/>
      <c r="AQ513" s="18"/>
      <c r="AR513" s="18"/>
      <c r="AS513" s="18"/>
      <c r="AU513" s="448"/>
      <c r="AV513" s="448"/>
      <c r="AW513" s="8" t="str">
        <f>IF(C513&gt;0,VLOOKUP(C513,Foundation_Calc!$A$2:$C$986,3,1),
IF(J513&gt;0,VLOOKUP(J513,Foundation_Calc!$A$2:$C$986,3,1),""))</f>
        <v/>
      </c>
      <c r="AX513" s="8" t="str">
        <f>IF(C513&gt;0,VLOOKUP(C513,Foundation_Calc!$E$2:$G$986,3,1),
IF(J513&gt;0,VLOOKUP(J513,Foundation_Calc!$E$2:$G$986,3,1),""))</f>
        <v/>
      </c>
      <c r="AY513" s="631" t="str">
        <f>IF(L513="","",
IF(AX513="PT",VLOOKUP(L513,Foundation_Calc!$K$4:$R$37,VLOOKUP(AW513,Foundation_Calc!$I$2:$J$8,2,FALSE),0),
IF(AX513="K",VLOOKUP(L513,Foundation_Calc!$K$41:$R$74,VLOOKUP(AW513,Foundation_Calc!$I$2:$J$8,2,FALSE),0),"")))</f>
        <v/>
      </c>
      <c r="AZ513" s="631" t="str">
        <f>IF(K513="","",
IF(AX513="PT",VLOOKUP(K513,Foundation_Calc!$K$4:$R$37,VLOOKUP(AW513,Foundation_Calc!$I$2:$J$8,2,FALSE),0),
IF(AX513="K",VLOOKUP(K513,Foundation_Calc!$K$41:$R$74,VLOOKUP(AW513,Foundation_Calc!$I$2:$J$8,2,FALSE),0),"")))</f>
        <v/>
      </c>
      <c r="BA513" s="632" t="str">
        <f t="shared" si="30"/>
        <v/>
      </c>
      <c r="BB513" s="632" t="str">
        <f t="shared" si="31"/>
        <v/>
      </c>
      <c r="BC513" s="632" t="str">
        <f t="shared" si="32"/>
        <v/>
      </c>
      <c r="BD513" s="633" t="str">
        <f>IF(AND(L513="",H513=""),"",
IF(H513="",Pole_Calc!A541,
IF(H513="MP",Pole_Calc!A542,
IF(H513="AnMP",Pole_Calc!A543,
IF(H513="A",Pole_Calc!A544,
IF(H513="S/A",Pole_Calc!A545,
IF(H513="A/S",Pole_Calc!A546,"Poner a mano")))))))</f>
        <v/>
      </c>
      <c r="BE513" s="448" t="s">
        <v>1726</v>
      </c>
      <c r="BF513" s="635"/>
      <c r="BG513" s="635"/>
      <c r="BH513" s="634"/>
      <c r="BI513" s="635"/>
    </row>
    <row r="514" spans="1:61" ht="16.2" customHeight="1">
      <c r="A514" s="12"/>
      <c r="B514" s="446"/>
      <c r="C514" s="89"/>
      <c r="D514" s="13"/>
      <c r="E514" s="14"/>
      <c r="F514" s="14"/>
      <c r="G514" s="15"/>
      <c r="H514" s="8"/>
      <c r="I514" s="8"/>
      <c r="J514" s="89"/>
      <c r="K514" s="8"/>
      <c r="L514" s="8"/>
      <c r="M514" s="8" t="str">
        <f>IF(L514="","",
IF(AX514="PT",VLOOKUP(L514,Foundation_Calc!$V$4:$X$37,VLOOKUP(AX514,Foundation_Calc!$I$10:$J$13,2,FALSE),0),
IF(AX514="K",VLOOKUP(L514,Foundation_Calc!$V$41:$X$74,VLOOKUP(AX514,Foundation_Calc!$I$10:$J$13,2,FALSE),0),"")))</f>
        <v/>
      </c>
      <c r="N514" s="8"/>
      <c r="O514" s="8"/>
      <c r="P514" s="8"/>
      <c r="Q514" s="14"/>
      <c r="R514" s="15"/>
      <c r="S514" s="15"/>
      <c r="T514" s="14"/>
      <c r="U514" s="14"/>
      <c r="V514" s="14"/>
      <c r="W514" s="18"/>
      <c r="X514" s="18"/>
      <c r="Y514" s="18"/>
      <c r="Z514" s="18"/>
      <c r="AA514" s="18"/>
      <c r="AB514" s="18"/>
      <c r="AC514" s="8" t="str">
        <f t="shared" si="29"/>
        <v/>
      </c>
      <c r="AD514" s="8"/>
      <c r="AE514" s="8"/>
      <c r="AF514" s="14"/>
      <c r="AG514" s="13"/>
      <c r="AH514" s="14"/>
      <c r="AI514" s="14"/>
      <c r="AJ514" s="8"/>
      <c r="AK514" s="8"/>
      <c r="AL514" s="8"/>
      <c r="AM514" s="8"/>
      <c r="AN514" s="631"/>
      <c r="AO514" s="18"/>
      <c r="AP514" s="18"/>
      <c r="AQ514" s="18"/>
      <c r="AR514" s="18"/>
      <c r="AS514" s="18"/>
      <c r="AU514" s="448"/>
      <c r="AV514" s="448"/>
      <c r="AW514" s="8" t="str">
        <f>IF(C514&gt;0,VLOOKUP(C514,Foundation_Calc!$A$2:$C$986,3,1),
IF(J514&gt;0,VLOOKUP(J514,Foundation_Calc!$A$2:$C$986,3,1),""))</f>
        <v/>
      </c>
      <c r="AX514" s="8" t="str">
        <f>IF(C514&gt;0,VLOOKUP(C514,Foundation_Calc!$E$2:$G$986,3,1),
IF(J514&gt;0,VLOOKUP(J514,Foundation_Calc!$E$2:$G$986,3,1),""))</f>
        <v/>
      </c>
      <c r="AY514" s="631" t="str">
        <f>IF(L514="","",
IF(AX514="PT",VLOOKUP(L514,Foundation_Calc!$K$4:$R$37,VLOOKUP(AW514,Foundation_Calc!$I$2:$J$8,2,FALSE),0),
IF(AX514="K",VLOOKUP(L514,Foundation_Calc!$K$41:$R$74,VLOOKUP(AW514,Foundation_Calc!$I$2:$J$8,2,FALSE),0),"")))</f>
        <v/>
      </c>
      <c r="AZ514" s="631" t="str">
        <f>IF(K514="","",
IF(AX514="PT",VLOOKUP(K514,Foundation_Calc!$K$4:$R$37,VLOOKUP(AW514,Foundation_Calc!$I$2:$J$8,2,FALSE),0),
IF(AX514="K",VLOOKUP(K514,Foundation_Calc!$K$41:$R$74,VLOOKUP(AW514,Foundation_Calc!$I$2:$J$8,2,FALSE),0),"")))</f>
        <v/>
      </c>
      <c r="BA514" s="632" t="str">
        <f t="shared" si="30"/>
        <v/>
      </c>
      <c r="BB514" s="632" t="str">
        <f t="shared" si="31"/>
        <v/>
      </c>
      <c r="BC514" s="632" t="str">
        <f t="shared" si="32"/>
        <v/>
      </c>
      <c r="BD514" s="633" t="str">
        <f>IF(AND(L514="",H514=""),"",
IF(H514="",Pole_Calc!A542,
IF(H514="MP",Pole_Calc!A543,
IF(H514="AnMP",Pole_Calc!A544,
IF(H514="A",Pole_Calc!A545,
IF(H514="S/A",Pole_Calc!A546,
IF(H514="A/S",Pole_Calc!A547,"Poner a mano")))))))</f>
        <v/>
      </c>
      <c r="BE514" s="448" t="s">
        <v>1726</v>
      </c>
      <c r="BF514" s="634"/>
      <c r="BG514" s="634"/>
      <c r="BH514" s="634"/>
      <c r="BI514" s="634"/>
    </row>
    <row r="515" spans="1:61" ht="16.2" customHeight="1">
      <c r="A515" s="12"/>
      <c r="B515" s="446"/>
      <c r="C515" s="89"/>
      <c r="D515" s="13"/>
      <c r="E515" s="14"/>
      <c r="F515" s="14"/>
      <c r="G515" s="15"/>
      <c r="H515" s="8"/>
      <c r="I515" s="8"/>
      <c r="J515" s="89"/>
      <c r="K515" s="8"/>
      <c r="L515" s="8"/>
      <c r="M515" s="8" t="str">
        <f>IF(L515="","",
IF(AX515="PT",VLOOKUP(L515,Foundation_Calc!$V$4:$X$37,VLOOKUP(AX515,Foundation_Calc!$I$10:$J$13,2,FALSE),0),
IF(AX515="K",VLOOKUP(L515,Foundation_Calc!$V$41:$X$74,VLOOKUP(AX515,Foundation_Calc!$I$10:$J$13,2,FALSE),0),"")))</f>
        <v/>
      </c>
      <c r="N515" s="8"/>
      <c r="O515" s="8"/>
      <c r="P515" s="8"/>
      <c r="Q515" s="14"/>
      <c r="R515" s="15"/>
      <c r="S515" s="15"/>
      <c r="T515" s="14"/>
      <c r="U515" s="14"/>
      <c r="V515" s="14"/>
      <c r="W515" s="18"/>
      <c r="X515" s="18"/>
      <c r="Y515" s="18"/>
      <c r="Z515" s="18"/>
      <c r="AA515" s="18"/>
      <c r="AB515" s="18"/>
      <c r="AC515" s="8" t="str">
        <f t="shared" si="29"/>
        <v/>
      </c>
      <c r="AD515" s="8"/>
      <c r="AE515" s="8"/>
      <c r="AF515" s="14"/>
      <c r="AG515" s="13"/>
      <c r="AH515" s="14"/>
      <c r="AI515" s="14"/>
      <c r="AJ515" s="8"/>
      <c r="AK515" s="8"/>
      <c r="AL515" s="8"/>
      <c r="AM515" s="8"/>
      <c r="AN515" s="631"/>
      <c r="AO515" s="18"/>
      <c r="AP515" s="18"/>
      <c r="AQ515" s="18"/>
      <c r="AR515" s="18"/>
      <c r="AS515" s="18"/>
      <c r="AU515" s="448"/>
      <c r="AV515" s="448"/>
      <c r="AW515" s="8" t="str">
        <f>IF(C515&gt;0,VLOOKUP(C515,Foundation_Calc!$A$2:$C$986,3,1),
IF(J515&gt;0,VLOOKUP(J515,Foundation_Calc!$A$2:$C$986,3,1),""))</f>
        <v/>
      </c>
      <c r="AX515" s="8" t="str">
        <f>IF(C515&gt;0,VLOOKUP(C515,Foundation_Calc!$E$2:$G$986,3,1),
IF(J515&gt;0,VLOOKUP(J515,Foundation_Calc!$E$2:$G$986,3,1),""))</f>
        <v/>
      </c>
      <c r="AY515" s="631" t="str">
        <f>IF(L515="","",
IF(AX515="PT",VLOOKUP(L515,Foundation_Calc!$K$4:$R$37,VLOOKUP(AW515,Foundation_Calc!$I$2:$J$8,2,FALSE),0),
IF(AX515="K",VLOOKUP(L515,Foundation_Calc!$K$41:$R$74,VLOOKUP(AW515,Foundation_Calc!$I$2:$J$8,2,FALSE),0),"")))</f>
        <v/>
      </c>
      <c r="AZ515" s="631" t="str">
        <f>IF(K515="","",
IF(AX515="PT",VLOOKUP(K515,Foundation_Calc!$K$4:$R$37,VLOOKUP(AW515,Foundation_Calc!$I$2:$J$8,2,FALSE),0),
IF(AX515="K",VLOOKUP(K515,Foundation_Calc!$K$41:$R$74,VLOOKUP(AW515,Foundation_Calc!$I$2:$J$8,2,FALSE),0),"")))</f>
        <v/>
      </c>
      <c r="BA515" s="632" t="str">
        <f t="shared" si="30"/>
        <v/>
      </c>
      <c r="BB515" s="632" t="str">
        <f t="shared" si="31"/>
        <v/>
      </c>
      <c r="BC515" s="632" t="str">
        <f t="shared" si="32"/>
        <v/>
      </c>
      <c r="BD515" s="633" t="str">
        <f>IF(AND(L515="",H515=""),"",
IF(H515="",Pole_Calc!A543,
IF(H515="MP",Pole_Calc!A544,
IF(H515="AnMP",Pole_Calc!A545,
IF(H515="A",Pole_Calc!A546,
IF(H515="S/A",Pole_Calc!A547,
IF(H515="A/S",Pole_Calc!A548,"Poner a mano")))))))</f>
        <v/>
      </c>
      <c r="BE515" s="448" t="s">
        <v>1726</v>
      </c>
      <c r="BF515" s="635"/>
      <c r="BG515" s="635"/>
      <c r="BH515" s="634"/>
      <c r="BI515" s="635"/>
    </row>
    <row r="516" spans="1:61" ht="16.2" customHeight="1">
      <c r="A516" s="12"/>
      <c r="B516" s="446"/>
      <c r="C516" s="89"/>
      <c r="D516" s="13"/>
      <c r="E516" s="14"/>
      <c r="F516" s="14"/>
      <c r="G516" s="15"/>
      <c r="H516" s="8"/>
      <c r="I516" s="8"/>
      <c r="J516" s="89"/>
      <c r="K516" s="8"/>
      <c r="L516" s="8"/>
      <c r="M516" s="8" t="str">
        <f>IF(L516="","",
IF(AX516="PT",VLOOKUP(L516,Foundation_Calc!$V$4:$X$37,VLOOKUP(AX516,Foundation_Calc!$I$10:$J$13,2,FALSE),0),
IF(AX516="K",VLOOKUP(L516,Foundation_Calc!$V$41:$X$74,VLOOKUP(AX516,Foundation_Calc!$I$10:$J$13,2,FALSE),0),"")))</f>
        <v/>
      </c>
      <c r="N516" s="8"/>
      <c r="O516" s="8"/>
      <c r="P516" s="8"/>
      <c r="Q516" s="14"/>
      <c r="R516" s="15"/>
      <c r="S516" s="15"/>
      <c r="T516" s="14"/>
      <c r="U516" s="14"/>
      <c r="V516" s="14"/>
      <c r="W516" s="18"/>
      <c r="X516" s="18"/>
      <c r="Y516" s="18"/>
      <c r="Z516" s="18"/>
      <c r="AA516" s="18"/>
      <c r="AB516" s="18"/>
      <c r="AC516" s="8" t="str">
        <f t="shared" si="29"/>
        <v/>
      </c>
      <c r="AD516" s="8"/>
      <c r="AE516" s="8"/>
      <c r="AF516" s="14"/>
      <c r="AG516" s="13"/>
      <c r="AH516" s="14"/>
      <c r="AI516" s="14"/>
      <c r="AJ516" s="8"/>
      <c r="AK516" s="8"/>
      <c r="AL516" s="8"/>
      <c r="AM516" s="8"/>
      <c r="AN516" s="631"/>
      <c r="AO516" s="18"/>
      <c r="AP516" s="18"/>
      <c r="AQ516" s="18"/>
      <c r="AR516" s="18"/>
      <c r="AS516" s="18"/>
      <c r="AU516" s="448"/>
      <c r="AV516" s="448"/>
      <c r="AW516" s="8" t="str">
        <f>IF(C516&gt;0,VLOOKUP(C516,Foundation_Calc!$A$2:$C$986,3,1),
IF(J516&gt;0,VLOOKUP(J516,Foundation_Calc!$A$2:$C$986,3,1),""))</f>
        <v/>
      </c>
      <c r="AX516" s="8" t="str">
        <f>IF(C516&gt;0,VLOOKUP(C516,Foundation_Calc!$E$2:$G$986,3,1),
IF(J516&gt;0,VLOOKUP(J516,Foundation_Calc!$E$2:$G$986,3,1),""))</f>
        <v/>
      </c>
      <c r="AY516" s="631" t="str">
        <f>IF(L516="","",
IF(AX516="PT",VLOOKUP(L516,Foundation_Calc!$K$4:$R$37,VLOOKUP(AW516,Foundation_Calc!$I$2:$J$8,2,FALSE),0),
IF(AX516="K",VLOOKUP(L516,Foundation_Calc!$K$41:$R$74,VLOOKUP(AW516,Foundation_Calc!$I$2:$J$8,2,FALSE),0),"")))</f>
        <v/>
      </c>
      <c r="AZ516" s="631" t="str">
        <f>IF(K516="","",
IF(AX516="PT",VLOOKUP(K516,Foundation_Calc!$K$4:$R$37,VLOOKUP(AW516,Foundation_Calc!$I$2:$J$8,2,FALSE),0),
IF(AX516="K",VLOOKUP(K516,Foundation_Calc!$K$41:$R$74,VLOOKUP(AW516,Foundation_Calc!$I$2:$J$8,2,FALSE),0),"")))</f>
        <v/>
      </c>
      <c r="BA516" s="632" t="str">
        <f t="shared" si="30"/>
        <v/>
      </c>
      <c r="BB516" s="632" t="str">
        <f t="shared" si="31"/>
        <v/>
      </c>
      <c r="BC516" s="632" t="str">
        <f t="shared" si="32"/>
        <v/>
      </c>
      <c r="BD516" s="633" t="str">
        <f>IF(AND(L516="",H516=""),"",
IF(H516="",Pole_Calc!A544,
IF(H516="MP",Pole_Calc!A545,
IF(H516="AnMP",Pole_Calc!A546,
IF(H516="A",Pole_Calc!A547,
IF(H516="S/A",Pole_Calc!A548,
IF(H516="A/S",Pole_Calc!A549,"Poner a mano")))))))</f>
        <v/>
      </c>
      <c r="BE516" s="448" t="s">
        <v>1726</v>
      </c>
      <c r="BF516" s="634"/>
      <c r="BG516" s="634"/>
      <c r="BH516" s="634"/>
      <c r="BI516" s="634"/>
    </row>
    <row r="517" spans="1:61" ht="16.2" customHeight="1">
      <c r="A517" s="12"/>
      <c r="B517" s="446"/>
      <c r="C517" s="89"/>
      <c r="D517" s="13"/>
      <c r="E517" s="14"/>
      <c r="F517" s="14"/>
      <c r="G517" s="15"/>
      <c r="H517" s="8"/>
      <c r="I517" s="8"/>
      <c r="J517" s="89"/>
      <c r="K517" s="8"/>
      <c r="L517" s="8"/>
      <c r="M517" s="8" t="str">
        <f>IF(L517="","",
IF(AX517="PT",VLOOKUP(L517,Foundation_Calc!$V$4:$X$37,VLOOKUP(AX517,Foundation_Calc!$I$10:$J$13,2,FALSE),0),
IF(AX517="K",VLOOKUP(L517,Foundation_Calc!$V$41:$X$74,VLOOKUP(AX517,Foundation_Calc!$I$10:$J$13,2,FALSE),0),"")))</f>
        <v/>
      </c>
      <c r="N517" s="8"/>
      <c r="O517" s="8"/>
      <c r="P517" s="8"/>
      <c r="Q517" s="14"/>
      <c r="R517" s="15"/>
      <c r="S517" s="15"/>
      <c r="T517" s="14"/>
      <c r="U517" s="14"/>
      <c r="V517" s="14"/>
      <c r="W517" s="18"/>
      <c r="X517" s="18"/>
      <c r="Y517" s="18"/>
      <c r="Z517" s="18"/>
      <c r="AA517" s="18"/>
      <c r="AB517" s="18"/>
      <c r="AC517" s="8" t="str">
        <f t="shared" si="29"/>
        <v/>
      </c>
      <c r="AD517" s="8"/>
      <c r="AE517" s="8"/>
      <c r="AF517" s="14"/>
      <c r="AG517" s="13"/>
      <c r="AH517" s="14"/>
      <c r="AI517" s="14"/>
      <c r="AJ517" s="8"/>
      <c r="AK517" s="8"/>
      <c r="AL517" s="8"/>
      <c r="AM517" s="8"/>
      <c r="AN517" s="631"/>
      <c r="AO517" s="18"/>
      <c r="AP517" s="18"/>
      <c r="AQ517" s="18"/>
      <c r="AR517" s="18"/>
      <c r="AS517" s="18"/>
      <c r="AU517" s="448"/>
      <c r="AV517" s="448"/>
      <c r="AW517" s="8" t="str">
        <f>IF(C517&gt;0,VLOOKUP(C517,Foundation_Calc!$A$2:$C$986,3,1),
IF(J517&gt;0,VLOOKUP(J517,Foundation_Calc!$A$2:$C$986,3,1),""))</f>
        <v/>
      </c>
      <c r="AX517" s="8" t="str">
        <f>IF(C517&gt;0,VLOOKUP(C517,Foundation_Calc!$E$2:$G$986,3,1),
IF(J517&gt;0,VLOOKUP(J517,Foundation_Calc!$E$2:$G$986,3,1),""))</f>
        <v/>
      </c>
      <c r="AY517" s="631" t="str">
        <f>IF(L517="","",
IF(AX517="PT",VLOOKUP(L517,Foundation_Calc!$K$4:$R$37,VLOOKUP(AW517,Foundation_Calc!$I$2:$J$8,2,FALSE),0),
IF(AX517="K",VLOOKUP(L517,Foundation_Calc!$K$41:$R$74,VLOOKUP(AW517,Foundation_Calc!$I$2:$J$8,2,FALSE),0),"")))</f>
        <v/>
      </c>
      <c r="AZ517" s="631" t="str">
        <f>IF(K517="","",
IF(AX517="PT",VLOOKUP(K517,Foundation_Calc!$K$4:$R$37,VLOOKUP(AW517,Foundation_Calc!$I$2:$J$8,2,FALSE),0),
IF(AX517="K",VLOOKUP(K517,Foundation_Calc!$K$41:$R$74,VLOOKUP(AW517,Foundation_Calc!$I$2:$J$8,2,FALSE),0),"")))</f>
        <v/>
      </c>
      <c r="BA517" s="632" t="str">
        <f t="shared" si="30"/>
        <v/>
      </c>
      <c r="BB517" s="632" t="str">
        <f t="shared" si="31"/>
        <v/>
      </c>
      <c r="BC517" s="632" t="str">
        <f t="shared" si="32"/>
        <v/>
      </c>
      <c r="BD517" s="633" t="str">
        <f>IF(AND(L517="",H517=""),"",
IF(H517="",Pole_Calc!A545,
IF(H517="MP",Pole_Calc!A546,
IF(H517="AnMP",Pole_Calc!A547,
IF(H517="A",Pole_Calc!A548,
IF(H517="S/A",Pole_Calc!A549,
IF(H517="A/S",Pole_Calc!A550,"Poner a mano")))))))</f>
        <v/>
      </c>
      <c r="BE517" s="448" t="s">
        <v>1726</v>
      </c>
      <c r="BF517" s="635"/>
      <c r="BG517" s="635"/>
      <c r="BH517" s="634"/>
      <c r="BI517" s="635"/>
    </row>
    <row r="518" spans="1:61" ht="16.2" customHeight="1">
      <c r="A518" s="12"/>
      <c r="B518" s="446"/>
      <c r="C518" s="89"/>
      <c r="D518" s="13"/>
      <c r="E518" s="14"/>
      <c r="F518" s="14"/>
      <c r="G518" s="15"/>
      <c r="H518" s="8"/>
      <c r="I518" s="8"/>
      <c r="J518" s="89"/>
      <c r="K518" s="8"/>
      <c r="L518" s="8"/>
      <c r="M518" s="8" t="str">
        <f>IF(L518="","",
IF(AX518="PT",VLOOKUP(L518,Foundation_Calc!$V$4:$X$37,VLOOKUP(AX518,Foundation_Calc!$I$10:$J$13,2,FALSE),0),
IF(AX518="K",VLOOKUP(L518,Foundation_Calc!$V$41:$X$74,VLOOKUP(AX518,Foundation_Calc!$I$10:$J$13,2,FALSE),0),"")))</f>
        <v/>
      </c>
      <c r="N518" s="8"/>
      <c r="O518" s="8"/>
      <c r="P518" s="8"/>
      <c r="Q518" s="14"/>
      <c r="R518" s="15"/>
      <c r="S518" s="15"/>
      <c r="T518" s="14"/>
      <c r="U518" s="14"/>
      <c r="V518" s="14"/>
      <c r="W518" s="18"/>
      <c r="X518" s="18"/>
      <c r="Y518" s="18"/>
      <c r="Z518" s="18"/>
      <c r="AA518" s="18"/>
      <c r="AB518" s="18"/>
      <c r="AC518" s="8" t="str">
        <f t="shared" ref="AC518:AC581" si="33">IF(OR(AT518&gt;8,AT518&lt;-8),"PH",
IF(OR(AT518&gt;5,AT518&lt;-5),"PHQ",
IF(OR(AT518&gt;1,AT518&lt;-1),
"PHC","")))</f>
        <v/>
      </c>
      <c r="AD518" s="8"/>
      <c r="AE518" s="8"/>
      <c r="AF518" s="14"/>
      <c r="AG518" s="13"/>
      <c r="AH518" s="14"/>
      <c r="AI518" s="14"/>
      <c r="AJ518" s="8"/>
      <c r="AK518" s="8"/>
      <c r="AL518" s="8"/>
      <c r="AM518" s="8"/>
      <c r="AN518" s="631"/>
      <c r="AO518" s="18"/>
      <c r="AP518" s="18"/>
      <c r="AQ518" s="18"/>
      <c r="AR518" s="18"/>
      <c r="AS518" s="18"/>
      <c r="AU518" s="448"/>
      <c r="AV518" s="448"/>
      <c r="AW518" s="8" t="str">
        <f>IF(C518&gt;0,VLOOKUP(C518,Foundation_Calc!$A$2:$C$986,3,1),
IF(J518&gt;0,VLOOKUP(J518,Foundation_Calc!$A$2:$C$986,3,1),""))</f>
        <v/>
      </c>
      <c r="AX518" s="8" t="str">
        <f>IF(C518&gt;0,VLOOKUP(C518,Foundation_Calc!$E$2:$G$986,3,1),
IF(J518&gt;0,VLOOKUP(J518,Foundation_Calc!$E$2:$G$986,3,1),""))</f>
        <v/>
      </c>
      <c r="AY518" s="631" t="str">
        <f>IF(L518="","",
IF(AX518="PT",VLOOKUP(L518,Foundation_Calc!$K$4:$R$37,VLOOKUP(AW518,Foundation_Calc!$I$2:$J$8,2,FALSE),0),
IF(AX518="K",VLOOKUP(L518,Foundation_Calc!$K$41:$R$74,VLOOKUP(AW518,Foundation_Calc!$I$2:$J$8,2,FALSE),0),"")))</f>
        <v/>
      </c>
      <c r="AZ518" s="631" t="str">
        <f>IF(K518="","",
IF(AX518="PT",VLOOKUP(K518,Foundation_Calc!$K$4:$R$37,VLOOKUP(AW518,Foundation_Calc!$I$2:$J$8,2,FALSE),0),
IF(AX518="K",VLOOKUP(K518,Foundation_Calc!$K$41:$R$74,VLOOKUP(AW518,Foundation_Calc!$I$2:$J$8,2,FALSE),0),"")))</f>
        <v/>
      </c>
      <c r="BA518" s="632" t="str">
        <f t="shared" ref="BA518:BA581" si="34">IF(AY518="","",IF(AY518&gt;0,"ü",""))</f>
        <v/>
      </c>
      <c r="BB518" s="632" t="str">
        <f t="shared" ref="BB518:BB581" si="35">IF(AZ518="","",IF(AZ518&gt;0,"ü",""))</f>
        <v/>
      </c>
      <c r="BC518" s="632" t="str">
        <f t="shared" ref="BC518:BC581" si="36">IF(M518="","",IF(M518="Unique Solution","ü",""))</f>
        <v/>
      </c>
      <c r="BD518" s="633" t="str">
        <f>IF(AND(L518="",H518=""),"",
IF(H518="",Pole_Calc!A546,
IF(H518="MP",Pole_Calc!A547,
IF(H518="AnMP",Pole_Calc!A548,
IF(H518="A",Pole_Calc!A549,
IF(H518="S/A",Pole_Calc!A550,
IF(H518="A/S",Pole_Calc!A551,"Poner a mano")))))))</f>
        <v/>
      </c>
      <c r="BE518" s="448" t="s">
        <v>1726</v>
      </c>
      <c r="BF518" s="634"/>
      <c r="BG518" s="634"/>
      <c r="BH518" s="634"/>
      <c r="BI518" s="634"/>
    </row>
    <row r="519" spans="1:61" ht="16.2" customHeight="1">
      <c r="A519" s="12"/>
      <c r="B519" s="446"/>
      <c r="C519" s="89"/>
      <c r="D519" s="13"/>
      <c r="E519" s="14"/>
      <c r="F519" s="14"/>
      <c r="G519" s="15"/>
      <c r="H519" s="8"/>
      <c r="I519" s="8"/>
      <c r="J519" s="89"/>
      <c r="K519" s="8"/>
      <c r="L519" s="8"/>
      <c r="M519" s="8" t="str">
        <f>IF(L519="","",
IF(AX519="PT",VLOOKUP(L519,Foundation_Calc!$V$4:$X$37,VLOOKUP(AX519,Foundation_Calc!$I$10:$J$13,2,FALSE),0),
IF(AX519="K",VLOOKUP(L519,Foundation_Calc!$V$41:$X$74,VLOOKUP(AX519,Foundation_Calc!$I$10:$J$13,2,FALSE),0),"")))</f>
        <v/>
      </c>
      <c r="N519" s="8"/>
      <c r="O519" s="8"/>
      <c r="P519" s="8"/>
      <c r="Q519" s="14"/>
      <c r="R519" s="15"/>
      <c r="S519" s="15"/>
      <c r="T519" s="14"/>
      <c r="U519" s="14"/>
      <c r="V519" s="14"/>
      <c r="W519" s="18"/>
      <c r="X519" s="18"/>
      <c r="Y519" s="18"/>
      <c r="Z519" s="18"/>
      <c r="AA519" s="18"/>
      <c r="AB519" s="18"/>
      <c r="AC519" s="8" t="str">
        <f t="shared" si="33"/>
        <v/>
      </c>
      <c r="AD519" s="8"/>
      <c r="AE519" s="8"/>
      <c r="AF519" s="14"/>
      <c r="AG519" s="13"/>
      <c r="AH519" s="14"/>
      <c r="AI519" s="14"/>
      <c r="AJ519" s="8"/>
      <c r="AK519" s="8"/>
      <c r="AL519" s="8"/>
      <c r="AM519" s="8"/>
      <c r="AN519" s="631"/>
      <c r="AO519" s="18"/>
      <c r="AP519" s="18"/>
      <c r="AQ519" s="18"/>
      <c r="AR519" s="18"/>
      <c r="AS519" s="18"/>
      <c r="AU519" s="448"/>
      <c r="AV519" s="448"/>
      <c r="AW519" s="8" t="str">
        <f>IF(C519&gt;0,VLOOKUP(C519,Foundation_Calc!$A$2:$C$986,3,1),
IF(J519&gt;0,VLOOKUP(J519,Foundation_Calc!$A$2:$C$986,3,1),""))</f>
        <v/>
      </c>
      <c r="AX519" s="8" t="str">
        <f>IF(C519&gt;0,VLOOKUP(C519,Foundation_Calc!$E$2:$G$986,3,1),
IF(J519&gt;0,VLOOKUP(J519,Foundation_Calc!$E$2:$G$986,3,1),""))</f>
        <v/>
      </c>
      <c r="AY519" s="631" t="str">
        <f>IF(L519="","",
IF(AX519="PT",VLOOKUP(L519,Foundation_Calc!$K$4:$R$37,VLOOKUP(AW519,Foundation_Calc!$I$2:$J$8,2,FALSE),0),
IF(AX519="K",VLOOKUP(L519,Foundation_Calc!$K$41:$R$74,VLOOKUP(AW519,Foundation_Calc!$I$2:$J$8,2,FALSE),0),"")))</f>
        <v/>
      </c>
      <c r="AZ519" s="631" t="str">
        <f>IF(K519="","",
IF(AX519="PT",VLOOKUP(K519,Foundation_Calc!$K$4:$R$37,VLOOKUP(AW519,Foundation_Calc!$I$2:$J$8,2,FALSE),0),
IF(AX519="K",VLOOKUP(K519,Foundation_Calc!$K$41:$R$74,VLOOKUP(AW519,Foundation_Calc!$I$2:$J$8,2,FALSE),0),"")))</f>
        <v/>
      </c>
      <c r="BA519" s="632" t="str">
        <f t="shared" si="34"/>
        <v/>
      </c>
      <c r="BB519" s="632" t="str">
        <f t="shared" si="35"/>
        <v/>
      </c>
      <c r="BC519" s="632" t="str">
        <f t="shared" si="36"/>
        <v/>
      </c>
      <c r="BD519" s="633" t="str">
        <f>IF(AND(L519="",H519=""),"",
IF(H519="",Pole_Calc!A547,
IF(H519="MP",Pole_Calc!A548,
IF(H519="AnMP",Pole_Calc!A549,
IF(H519="A",Pole_Calc!A550,
IF(H519="S/A",Pole_Calc!A551,
IF(H519="A/S",Pole_Calc!A552,"Poner a mano")))))))</f>
        <v/>
      </c>
      <c r="BE519" s="448" t="s">
        <v>1726</v>
      </c>
      <c r="BF519" s="635"/>
      <c r="BG519" s="635"/>
      <c r="BH519" s="634"/>
      <c r="BI519" s="635"/>
    </row>
    <row r="520" spans="1:61" ht="16.2" customHeight="1">
      <c r="A520" s="12"/>
      <c r="B520" s="446"/>
      <c r="C520" s="89"/>
      <c r="D520" s="13"/>
      <c r="E520" s="14"/>
      <c r="F520" s="14"/>
      <c r="G520" s="15"/>
      <c r="H520" s="8"/>
      <c r="I520" s="8"/>
      <c r="J520" s="89"/>
      <c r="K520" s="8"/>
      <c r="L520" s="8"/>
      <c r="M520" s="8" t="str">
        <f>IF(L520="","",
IF(AX520="PT",VLOOKUP(L520,Foundation_Calc!$V$4:$X$37,VLOOKUP(AX520,Foundation_Calc!$I$10:$J$13,2,FALSE),0),
IF(AX520="K",VLOOKUP(L520,Foundation_Calc!$V$41:$X$74,VLOOKUP(AX520,Foundation_Calc!$I$10:$J$13,2,FALSE),0),"")))</f>
        <v/>
      </c>
      <c r="N520" s="8"/>
      <c r="O520" s="8"/>
      <c r="P520" s="8"/>
      <c r="Q520" s="14"/>
      <c r="R520" s="15"/>
      <c r="S520" s="15"/>
      <c r="T520" s="14"/>
      <c r="U520" s="14"/>
      <c r="V520" s="14"/>
      <c r="W520" s="18"/>
      <c r="X520" s="18"/>
      <c r="Y520" s="18"/>
      <c r="Z520" s="18"/>
      <c r="AA520" s="18"/>
      <c r="AB520" s="18"/>
      <c r="AC520" s="8" t="str">
        <f t="shared" si="33"/>
        <v/>
      </c>
      <c r="AD520" s="8"/>
      <c r="AE520" s="8"/>
      <c r="AF520" s="14"/>
      <c r="AG520" s="13"/>
      <c r="AH520" s="14"/>
      <c r="AI520" s="14"/>
      <c r="AJ520" s="8"/>
      <c r="AK520" s="8"/>
      <c r="AL520" s="8"/>
      <c r="AM520" s="8"/>
      <c r="AN520" s="631"/>
      <c r="AO520" s="18"/>
      <c r="AP520" s="18"/>
      <c r="AQ520" s="18"/>
      <c r="AR520" s="18"/>
      <c r="AS520" s="18"/>
      <c r="AU520" s="448"/>
      <c r="AV520" s="448"/>
      <c r="AW520" s="8" t="str">
        <f>IF(C520&gt;0,VLOOKUP(C520,Foundation_Calc!$A$2:$C$986,3,1),
IF(J520&gt;0,VLOOKUP(J520,Foundation_Calc!$A$2:$C$986,3,1),""))</f>
        <v/>
      </c>
      <c r="AX520" s="8" t="str">
        <f>IF(C520&gt;0,VLOOKUP(C520,Foundation_Calc!$E$2:$G$986,3,1),
IF(J520&gt;0,VLOOKUP(J520,Foundation_Calc!$E$2:$G$986,3,1),""))</f>
        <v/>
      </c>
      <c r="AY520" s="631" t="str">
        <f>IF(L520="","",
IF(AX520="PT",VLOOKUP(L520,Foundation_Calc!$K$4:$R$37,VLOOKUP(AW520,Foundation_Calc!$I$2:$J$8,2,FALSE),0),
IF(AX520="K",VLOOKUP(L520,Foundation_Calc!$K$41:$R$74,VLOOKUP(AW520,Foundation_Calc!$I$2:$J$8,2,FALSE),0),"")))</f>
        <v/>
      </c>
      <c r="AZ520" s="631" t="str">
        <f>IF(K520="","",
IF(AX520="PT",VLOOKUP(K520,Foundation_Calc!$K$4:$R$37,VLOOKUP(AW520,Foundation_Calc!$I$2:$J$8,2,FALSE),0),
IF(AX520="K",VLOOKUP(K520,Foundation_Calc!$K$41:$R$74,VLOOKUP(AW520,Foundation_Calc!$I$2:$J$8,2,FALSE),0),"")))</f>
        <v/>
      </c>
      <c r="BA520" s="632" t="str">
        <f t="shared" si="34"/>
        <v/>
      </c>
      <c r="BB520" s="632" t="str">
        <f t="shared" si="35"/>
        <v/>
      </c>
      <c r="BC520" s="632" t="str">
        <f t="shared" si="36"/>
        <v/>
      </c>
      <c r="BD520" s="633" t="str">
        <f>IF(AND(L520="",H520=""),"",
IF(H520="",Pole_Calc!A548,
IF(H520="MP",Pole_Calc!A549,
IF(H520="AnMP",Pole_Calc!A550,
IF(H520="A",Pole_Calc!A551,
IF(H520="S/A",Pole_Calc!A552,
IF(H520="A/S",Pole_Calc!A553,"Poner a mano")))))))</f>
        <v/>
      </c>
      <c r="BE520" s="448" t="s">
        <v>1726</v>
      </c>
      <c r="BF520" s="634"/>
      <c r="BG520" s="634"/>
      <c r="BH520" s="634"/>
      <c r="BI520" s="634"/>
    </row>
    <row r="521" spans="1:61" ht="16.2" customHeight="1">
      <c r="A521" s="12"/>
      <c r="B521" s="446"/>
      <c r="C521" s="89"/>
      <c r="D521" s="13"/>
      <c r="E521" s="14"/>
      <c r="F521" s="14"/>
      <c r="G521" s="15"/>
      <c r="H521" s="8"/>
      <c r="I521" s="8"/>
      <c r="J521" s="89"/>
      <c r="K521" s="8"/>
      <c r="L521" s="8"/>
      <c r="M521" s="8" t="str">
        <f>IF(L521="","",
IF(AX521="PT",VLOOKUP(L521,Foundation_Calc!$V$4:$X$37,VLOOKUP(AX521,Foundation_Calc!$I$10:$J$13,2,FALSE),0),
IF(AX521="K",VLOOKUP(L521,Foundation_Calc!$V$41:$X$74,VLOOKUP(AX521,Foundation_Calc!$I$10:$J$13,2,FALSE),0),"")))</f>
        <v/>
      </c>
      <c r="N521" s="8"/>
      <c r="O521" s="8"/>
      <c r="P521" s="8"/>
      <c r="Q521" s="14"/>
      <c r="R521" s="15"/>
      <c r="S521" s="15"/>
      <c r="T521" s="14"/>
      <c r="U521" s="14"/>
      <c r="V521" s="14"/>
      <c r="W521" s="18"/>
      <c r="X521" s="18"/>
      <c r="Y521" s="18"/>
      <c r="Z521" s="18"/>
      <c r="AA521" s="18"/>
      <c r="AB521" s="18"/>
      <c r="AC521" s="8" t="str">
        <f t="shared" si="33"/>
        <v/>
      </c>
      <c r="AD521" s="8"/>
      <c r="AE521" s="8"/>
      <c r="AF521" s="14"/>
      <c r="AG521" s="13"/>
      <c r="AH521" s="14"/>
      <c r="AI521" s="14"/>
      <c r="AJ521" s="8"/>
      <c r="AK521" s="8"/>
      <c r="AL521" s="8"/>
      <c r="AM521" s="8"/>
      <c r="AN521" s="631"/>
      <c r="AO521" s="18"/>
      <c r="AP521" s="18"/>
      <c r="AQ521" s="18"/>
      <c r="AR521" s="18"/>
      <c r="AS521" s="18"/>
      <c r="AU521" s="448"/>
      <c r="AV521" s="448"/>
      <c r="AW521" s="8" t="str">
        <f>IF(C521&gt;0,VLOOKUP(C521,Foundation_Calc!$A$2:$C$986,3,1),
IF(J521&gt;0,VLOOKUP(J521,Foundation_Calc!$A$2:$C$986,3,1),""))</f>
        <v/>
      </c>
      <c r="AX521" s="8" t="str">
        <f>IF(C521&gt;0,VLOOKUP(C521,Foundation_Calc!$E$2:$G$986,3,1),
IF(J521&gt;0,VLOOKUP(J521,Foundation_Calc!$E$2:$G$986,3,1),""))</f>
        <v/>
      </c>
      <c r="AY521" s="631" t="str">
        <f>IF(L521="","",
IF(AX521="PT",VLOOKUP(L521,Foundation_Calc!$K$4:$R$37,VLOOKUP(AW521,Foundation_Calc!$I$2:$J$8,2,FALSE),0),
IF(AX521="K",VLOOKUP(L521,Foundation_Calc!$K$41:$R$74,VLOOKUP(AW521,Foundation_Calc!$I$2:$J$8,2,FALSE),0),"")))</f>
        <v/>
      </c>
      <c r="AZ521" s="631" t="str">
        <f>IF(K521="","",
IF(AX521="PT",VLOOKUP(K521,Foundation_Calc!$K$4:$R$37,VLOOKUP(AW521,Foundation_Calc!$I$2:$J$8,2,FALSE),0),
IF(AX521="K",VLOOKUP(K521,Foundation_Calc!$K$41:$R$74,VLOOKUP(AW521,Foundation_Calc!$I$2:$J$8,2,FALSE),0),"")))</f>
        <v/>
      </c>
      <c r="BA521" s="632" t="str">
        <f t="shared" si="34"/>
        <v/>
      </c>
      <c r="BB521" s="632" t="str">
        <f t="shared" si="35"/>
        <v/>
      </c>
      <c r="BC521" s="632" t="str">
        <f t="shared" si="36"/>
        <v/>
      </c>
      <c r="BD521" s="633" t="str">
        <f>IF(AND(L521="",H521=""),"",
IF(H521="",Pole_Calc!A549,
IF(H521="MP",Pole_Calc!A550,
IF(H521="AnMP",Pole_Calc!A551,
IF(H521="A",Pole_Calc!A552,
IF(H521="S/A",Pole_Calc!A553,
IF(H521="A/S",Pole_Calc!A554,"Poner a mano")))))))</f>
        <v/>
      </c>
      <c r="BE521" s="448" t="s">
        <v>1726</v>
      </c>
      <c r="BF521" s="635"/>
      <c r="BG521" s="635"/>
      <c r="BH521" s="634"/>
      <c r="BI521" s="635"/>
    </row>
    <row r="522" spans="1:61" ht="16.2" customHeight="1">
      <c r="A522" s="12"/>
      <c r="B522" s="446"/>
      <c r="C522" s="89"/>
      <c r="D522" s="13"/>
      <c r="E522" s="14"/>
      <c r="F522" s="14"/>
      <c r="G522" s="15"/>
      <c r="H522" s="8"/>
      <c r="I522" s="8"/>
      <c r="J522" s="89"/>
      <c r="K522" s="8"/>
      <c r="L522" s="8"/>
      <c r="M522" s="8" t="str">
        <f>IF(L522="","",
IF(AX522="PT",VLOOKUP(L522,Foundation_Calc!$V$4:$X$37,VLOOKUP(AX522,Foundation_Calc!$I$10:$J$13,2,FALSE),0),
IF(AX522="K",VLOOKUP(L522,Foundation_Calc!$V$41:$X$74,VLOOKUP(AX522,Foundation_Calc!$I$10:$J$13,2,FALSE),0),"")))</f>
        <v/>
      </c>
      <c r="N522" s="8"/>
      <c r="O522" s="8"/>
      <c r="P522" s="8"/>
      <c r="Q522" s="14"/>
      <c r="R522" s="15"/>
      <c r="S522" s="15"/>
      <c r="T522" s="14"/>
      <c r="U522" s="14"/>
      <c r="V522" s="14"/>
      <c r="W522" s="18"/>
      <c r="X522" s="18"/>
      <c r="Y522" s="18"/>
      <c r="Z522" s="18"/>
      <c r="AA522" s="18"/>
      <c r="AB522" s="18"/>
      <c r="AC522" s="8" t="str">
        <f t="shared" si="33"/>
        <v/>
      </c>
      <c r="AD522" s="8"/>
      <c r="AE522" s="8"/>
      <c r="AF522" s="14"/>
      <c r="AG522" s="13"/>
      <c r="AH522" s="14"/>
      <c r="AI522" s="14"/>
      <c r="AJ522" s="8"/>
      <c r="AK522" s="8"/>
      <c r="AL522" s="8"/>
      <c r="AM522" s="8"/>
      <c r="AN522" s="631"/>
      <c r="AO522" s="18"/>
      <c r="AP522" s="18"/>
      <c r="AQ522" s="18"/>
      <c r="AR522" s="18"/>
      <c r="AS522" s="18"/>
      <c r="AU522" s="448"/>
      <c r="AV522" s="448"/>
      <c r="AW522" s="8" t="str">
        <f>IF(C522&gt;0,VLOOKUP(C522,Foundation_Calc!$A$2:$C$986,3,1),
IF(J522&gt;0,VLOOKUP(J522,Foundation_Calc!$A$2:$C$986,3,1),""))</f>
        <v/>
      </c>
      <c r="AX522" s="8" t="str">
        <f>IF(C522&gt;0,VLOOKUP(C522,Foundation_Calc!$E$2:$G$986,3,1),
IF(J522&gt;0,VLOOKUP(J522,Foundation_Calc!$E$2:$G$986,3,1),""))</f>
        <v/>
      </c>
      <c r="AY522" s="631" t="str">
        <f>IF(L522="","",
IF(AX522="PT",VLOOKUP(L522,Foundation_Calc!$K$4:$R$37,VLOOKUP(AW522,Foundation_Calc!$I$2:$J$8,2,FALSE),0),
IF(AX522="K",VLOOKUP(L522,Foundation_Calc!$K$41:$R$74,VLOOKUP(AW522,Foundation_Calc!$I$2:$J$8,2,FALSE),0),"")))</f>
        <v/>
      </c>
      <c r="AZ522" s="631" t="str">
        <f>IF(K522="","",
IF(AX522="PT",VLOOKUP(K522,Foundation_Calc!$K$4:$R$37,VLOOKUP(AW522,Foundation_Calc!$I$2:$J$8,2,FALSE),0),
IF(AX522="K",VLOOKUP(K522,Foundation_Calc!$K$41:$R$74,VLOOKUP(AW522,Foundation_Calc!$I$2:$J$8,2,FALSE),0),"")))</f>
        <v/>
      </c>
      <c r="BA522" s="632" t="str">
        <f t="shared" si="34"/>
        <v/>
      </c>
      <c r="BB522" s="632" t="str">
        <f t="shared" si="35"/>
        <v/>
      </c>
      <c r="BC522" s="632" t="str">
        <f t="shared" si="36"/>
        <v/>
      </c>
      <c r="BD522" s="633" t="str">
        <f>IF(AND(L522="",H522=""),"",
IF(H522="",Pole_Calc!A550,
IF(H522="MP",Pole_Calc!A551,
IF(H522="AnMP",Pole_Calc!A552,
IF(H522="A",Pole_Calc!A553,
IF(H522="S/A",Pole_Calc!A554,
IF(H522="A/S",Pole_Calc!A555,"Poner a mano")))))))</f>
        <v/>
      </c>
      <c r="BE522" s="448" t="s">
        <v>1726</v>
      </c>
      <c r="BF522" s="634"/>
      <c r="BG522" s="634"/>
      <c r="BH522" s="634"/>
      <c r="BI522" s="634"/>
    </row>
    <row r="523" spans="1:61" ht="16.2" customHeight="1">
      <c r="A523" s="12"/>
      <c r="B523" s="446"/>
      <c r="C523" s="89"/>
      <c r="D523" s="13"/>
      <c r="E523" s="14"/>
      <c r="F523" s="14"/>
      <c r="G523" s="15"/>
      <c r="H523" s="8"/>
      <c r="I523" s="8"/>
      <c r="J523" s="89"/>
      <c r="K523" s="8"/>
      <c r="L523" s="8"/>
      <c r="M523" s="8" t="str">
        <f>IF(L523="","",
IF(AX523="PT",VLOOKUP(L523,Foundation_Calc!$V$4:$X$37,VLOOKUP(AX523,Foundation_Calc!$I$10:$J$13,2,FALSE),0),
IF(AX523="K",VLOOKUP(L523,Foundation_Calc!$V$41:$X$74,VLOOKUP(AX523,Foundation_Calc!$I$10:$J$13,2,FALSE),0),"")))</f>
        <v/>
      </c>
      <c r="N523" s="8"/>
      <c r="O523" s="8"/>
      <c r="P523" s="8"/>
      <c r="Q523" s="14"/>
      <c r="R523" s="15"/>
      <c r="S523" s="15"/>
      <c r="T523" s="14"/>
      <c r="U523" s="14"/>
      <c r="V523" s="14"/>
      <c r="W523" s="18"/>
      <c r="X523" s="18"/>
      <c r="Y523" s="18"/>
      <c r="Z523" s="18"/>
      <c r="AA523" s="18"/>
      <c r="AB523" s="18"/>
      <c r="AC523" s="8" t="str">
        <f t="shared" si="33"/>
        <v/>
      </c>
      <c r="AD523" s="8"/>
      <c r="AE523" s="8"/>
      <c r="AF523" s="14"/>
      <c r="AG523" s="13"/>
      <c r="AH523" s="14"/>
      <c r="AI523" s="14"/>
      <c r="AJ523" s="8"/>
      <c r="AK523" s="8"/>
      <c r="AL523" s="8"/>
      <c r="AM523" s="8"/>
      <c r="AN523" s="631"/>
      <c r="AO523" s="18"/>
      <c r="AP523" s="18"/>
      <c r="AQ523" s="18"/>
      <c r="AR523" s="18"/>
      <c r="AS523" s="18"/>
      <c r="AU523" s="448"/>
      <c r="AV523" s="448"/>
      <c r="AW523" s="8" t="str">
        <f>IF(C523&gt;0,VLOOKUP(C523,Foundation_Calc!$A$2:$C$986,3,1),
IF(J523&gt;0,VLOOKUP(J523,Foundation_Calc!$A$2:$C$986,3,1),""))</f>
        <v/>
      </c>
      <c r="AX523" s="8" t="str">
        <f>IF(C523&gt;0,VLOOKUP(C523,Foundation_Calc!$E$2:$G$986,3,1),
IF(J523&gt;0,VLOOKUP(J523,Foundation_Calc!$E$2:$G$986,3,1),""))</f>
        <v/>
      </c>
      <c r="AY523" s="631" t="str">
        <f>IF(L523="","",
IF(AX523="PT",VLOOKUP(L523,Foundation_Calc!$K$4:$R$37,VLOOKUP(AW523,Foundation_Calc!$I$2:$J$8,2,FALSE),0),
IF(AX523="K",VLOOKUP(L523,Foundation_Calc!$K$41:$R$74,VLOOKUP(AW523,Foundation_Calc!$I$2:$J$8,2,FALSE),0),"")))</f>
        <v/>
      </c>
      <c r="AZ523" s="631" t="str">
        <f>IF(K523="","",
IF(AX523="PT",VLOOKUP(K523,Foundation_Calc!$K$4:$R$37,VLOOKUP(AW523,Foundation_Calc!$I$2:$J$8,2,FALSE),0),
IF(AX523="K",VLOOKUP(K523,Foundation_Calc!$K$41:$R$74,VLOOKUP(AW523,Foundation_Calc!$I$2:$J$8,2,FALSE),0),"")))</f>
        <v/>
      </c>
      <c r="BA523" s="632" t="str">
        <f t="shared" si="34"/>
        <v/>
      </c>
      <c r="BB523" s="632" t="str">
        <f t="shared" si="35"/>
        <v/>
      </c>
      <c r="BC523" s="632" t="str">
        <f t="shared" si="36"/>
        <v/>
      </c>
      <c r="BD523" s="633" t="str">
        <f>IF(AND(L523="",H523=""),"",
IF(H523="",Pole_Calc!A551,
IF(H523="MP",Pole_Calc!A552,
IF(H523="AnMP",Pole_Calc!A553,
IF(H523="A",Pole_Calc!A554,
IF(H523="S/A",Pole_Calc!A555,
IF(H523="A/S",Pole_Calc!A556,"Poner a mano")))))))</f>
        <v/>
      </c>
      <c r="BE523" s="448" t="s">
        <v>1726</v>
      </c>
      <c r="BF523" s="635"/>
      <c r="BG523" s="635"/>
      <c r="BH523" s="634"/>
      <c r="BI523" s="635"/>
    </row>
    <row r="524" spans="1:61" ht="16.2" customHeight="1">
      <c r="A524" s="12"/>
      <c r="B524" s="446"/>
      <c r="C524" s="89"/>
      <c r="D524" s="13"/>
      <c r="E524" s="14"/>
      <c r="F524" s="14"/>
      <c r="G524" s="15"/>
      <c r="H524" s="8"/>
      <c r="I524" s="8"/>
      <c r="J524" s="89"/>
      <c r="K524" s="8"/>
      <c r="L524" s="8"/>
      <c r="M524" s="8" t="str">
        <f>IF(L524="","",
IF(AX524="PT",VLOOKUP(L524,Foundation_Calc!$V$4:$X$37,VLOOKUP(AX524,Foundation_Calc!$I$10:$J$13,2,FALSE),0),
IF(AX524="K",VLOOKUP(L524,Foundation_Calc!$V$41:$X$74,VLOOKUP(AX524,Foundation_Calc!$I$10:$J$13,2,FALSE),0),"")))</f>
        <v/>
      </c>
      <c r="N524" s="8"/>
      <c r="O524" s="8"/>
      <c r="P524" s="8"/>
      <c r="Q524" s="14"/>
      <c r="R524" s="15"/>
      <c r="S524" s="15"/>
      <c r="T524" s="14"/>
      <c r="U524" s="14"/>
      <c r="V524" s="14"/>
      <c r="W524" s="18"/>
      <c r="X524" s="18"/>
      <c r="Y524" s="18"/>
      <c r="Z524" s="18"/>
      <c r="AA524" s="18"/>
      <c r="AB524" s="18"/>
      <c r="AC524" s="8" t="str">
        <f t="shared" si="33"/>
        <v/>
      </c>
      <c r="AD524" s="8"/>
      <c r="AE524" s="8"/>
      <c r="AF524" s="14"/>
      <c r="AG524" s="13"/>
      <c r="AH524" s="14"/>
      <c r="AI524" s="14"/>
      <c r="AJ524" s="8"/>
      <c r="AK524" s="8"/>
      <c r="AL524" s="8"/>
      <c r="AM524" s="8"/>
      <c r="AN524" s="631"/>
      <c r="AO524" s="18"/>
      <c r="AP524" s="18"/>
      <c r="AQ524" s="18"/>
      <c r="AR524" s="18"/>
      <c r="AS524" s="18"/>
      <c r="AU524" s="448"/>
      <c r="AV524" s="448"/>
      <c r="AW524" s="8" t="str">
        <f>IF(C524&gt;0,VLOOKUP(C524,Foundation_Calc!$A$2:$C$986,3,1),
IF(J524&gt;0,VLOOKUP(J524,Foundation_Calc!$A$2:$C$986,3,1),""))</f>
        <v/>
      </c>
      <c r="AX524" s="8" t="str">
        <f>IF(C524&gt;0,VLOOKUP(C524,Foundation_Calc!$E$2:$G$986,3,1),
IF(J524&gt;0,VLOOKUP(J524,Foundation_Calc!$E$2:$G$986,3,1),""))</f>
        <v/>
      </c>
      <c r="AY524" s="631" t="str">
        <f>IF(L524="","",
IF(AX524="PT",VLOOKUP(L524,Foundation_Calc!$K$4:$R$37,VLOOKUP(AW524,Foundation_Calc!$I$2:$J$8,2,FALSE),0),
IF(AX524="K",VLOOKUP(L524,Foundation_Calc!$K$41:$R$74,VLOOKUP(AW524,Foundation_Calc!$I$2:$J$8,2,FALSE),0),"")))</f>
        <v/>
      </c>
      <c r="AZ524" s="631" t="str">
        <f>IF(K524="","",
IF(AX524="PT",VLOOKUP(K524,Foundation_Calc!$K$4:$R$37,VLOOKUP(AW524,Foundation_Calc!$I$2:$J$8,2,FALSE),0),
IF(AX524="K",VLOOKUP(K524,Foundation_Calc!$K$41:$R$74,VLOOKUP(AW524,Foundation_Calc!$I$2:$J$8,2,FALSE),0),"")))</f>
        <v/>
      </c>
      <c r="BA524" s="632" t="str">
        <f t="shared" si="34"/>
        <v/>
      </c>
      <c r="BB524" s="632" t="str">
        <f t="shared" si="35"/>
        <v/>
      </c>
      <c r="BC524" s="632" t="str">
        <f t="shared" si="36"/>
        <v/>
      </c>
      <c r="BD524" s="633" t="str">
        <f>IF(AND(L524="",H524=""),"",
IF(H524="",Pole_Calc!A552,
IF(H524="MP",Pole_Calc!A553,
IF(H524="AnMP",Pole_Calc!A554,
IF(H524="A",Pole_Calc!A555,
IF(H524="S/A",Pole_Calc!A556,
IF(H524="A/S",Pole_Calc!A557,"Poner a mano")))))))</f>
        <v/>
      </c>
      <c r="BE524" s="448" t="s">
        <v>1726</v>
      </c>
      <c r="BF524" s="634"/>
      <c r="BG524" s="634"/>
      <c r="BH524" s="634"/>
      <c r="BI524" s="634"/>
    </row>
    <row r="525" spans="1:61" ht="16.2" customHeight="1">
      <c r="A525" s="12"/>
      <c r="B525" s="446"/>
      <c r="C525" s="89"/>
      <c r="D525" s="13"/>
      <c r="E525" s="14"/>
      <c r="F525" s="14"/>
      <c r="G525" s="15"/>
      <c r="H525" s="8"/>
      <c r="I525" s="8"/>
      <c r="J525" s="89"/>
      <c r="K525" s="8"/>
      <c r="L525" s="8"/>
      <c r="M525" s="8" t="str">
        <f>IF(L525="","",
IF(AX525="PT",VLOOKUP(L525,Foundation_Calc!$V$4:$X$37,VLOOKUP(AX525,Foundation_Calc!$I$10:$J$13,2,FALSE),0),
IF(AX525="K",VLOOKUP(L525,Foundation_Calc!$V$41:$X$74,VLOOKUP(AX525,Foundation_Calc!$I$10:$J$13,2,FALSE),0),"")))</f>
        <v/>
      </c>
      <c r="N525" s="8"/>
      <c r="O525" s="8"/>
      <c r="P525" s="8"/>
      <c r="Q525" s="14"/>
      <c r="R525" s="15"/>
      <c r="S525" s="15"/>
      <c r="T525" s="14"/>
      <c r="U525" s="14"/>
      <c r="V525" s="14"/>
      <c r="W525" s="18"/>
      <c r="X525" s="18"/>
      <c r="Y525" s="18"/>
      <c r="Z525" s="18"/>
      <c r="AA525" s="18"/>
      <c r="AB525" s="18"/>
      <c r="AC525" s="8" t="str">
        <f t="shared" si="33"/>
        <v/>
      </c>
      <c r="AD525" s="8"/>
      <c r="AE525" s="8"/>
      <c r="AF525" s="14"/>
      <c r="AG525" s="13"/>
      <c r="AH525" s="14"/>
      <c r="AI525" s="14"/>
      <c r="AJ525" s="8"/>
      <c r="AK525" s="8"/>
      <c r="AL525" s="8"/>
      <c r="AM525" s="8"/>
      <c r="AN525" s="631"/>
      <c r="AO525" s="18"/>
      <c r="AP525" s="18"/>
      <c r="AQ525" s="18"/>
      <c r="AR525" s="18"/>
      <c r="AS525" s="18"/>
      <c r="AU525" s="448"/>
      <c r="AV525" s="448"/>
      <c r="AW525" s="8" t="str">
        <f>IF(C525&gt;0,VLOOKUP(C525,Foundation_Calc!$A$2:$C$986,3,1),
IF(J525&gt;0,VLOOKUP(J525,Foundation_Calc!$A$2:$C$986,3,1),""))</f>
        <v/>
      </c>
      <c r="AX525" s="8" t="str">
        <f>IF(C525&gt;0,VLOOKUP(C525,Foundation_Calc!$E$2:$G$986,3,1),
IF(J525&gt;0,VLOOKUP(J525,Foundation_Calc!$E$2:$G$986,3,1),""))</f>
        <v/>
      </c>
      <c r="AY525" s="631" t="str">
        <f>IF(L525="","",
IF(AX525="PT",VLOOKUP(L525,Foundation_Calc!$K$4:$R$37,VLOOKUP(AW525,Foundation_Calc!$I$2:$J$8,2,FALSE),0),
IF(AX525="K",VLOOKUP(L525,Foundation_Calc!$K$41:$R$74,VLOOKUP(AW525,Foundation_Calc!$I$2:$J$8,2,FALSE),0),"")))</f>
        <v/>
      </c>
      <c r="AZ525" s="631" t="str">
        <f>IF(K525="","",
IF(AX525="PT",VLOOKUP(K525,Foundation_Calc!$K$4:$R$37,VLOOKUP(AW525,Foundation_Calc!$I$2:$J$8,2,FALSE),0),
IF(AX525="K",VLOOKUP(K525,Foundation_Calc!$K$41:$R$74,VLOOKUP(AW525,Foundation_Calc!$I$2:$J$8,2,FALSE),0),"")))</f>
        <v/>
      </c>
      <c r="BA525" s="632" t="str">
        <f t="shared" si="34"/>
        <v/>
      </c>
      <c r="BB525" s="632" t="str">
        <f t="shared" si="35"/>
        <v/>
      </c>
      <c r="BC525" s="632" t="str">
        <f t="shared" si="36"/>
        <v/>
      </c>
      <c r="BD525" s="633" t="str">
        <f>IF(AND(L525="",H525=""),"",
IF(H525="",Pole_Calc!A553,
IF(H525="MP",Pole_Calc!A554,
IF(H525="AnMP",Pole_Calc!A555,
IF(H525="A",Pole_Calc!A556,
IF(H525="S/A",Pole_Calc!A557,
IF(H525="A/S",Pole_Calc!A558,"Poner a mano")))))))</f>
        <v/>
      </c>
      <c r="BE525" s="448" t="s">
        <v>1726</v>
      </c>
      <c r="BF525" s="635"/>
      <c r="BG525" s="635"/>
      <c r="BH525" s="634"/>
      <c r="BI525" s="635"/>
    </row>
    <row r="526" spans="1:61" ht="16.2" customHeight="1">
      <c r="A526" s="12"/>
      <c r="B526" s="446"/>
      <c r="C526" s="89"/>
      <c r="D526" s="13"/>
      <c r="E526" s="14"/>
      <c r="F526" s="14"/>
      <c r="G526" s="15"/>
      <c r="H526" s="8"/>
      <c r="I526" s="8"/>
      <c r="J526" s="89"/>
      <c r="K526" s="8"/>
      <c r="L526" s="8"/>
      <c r="M526" s="8" t="str">
        <f>IF(L526="","",
IF(AX526="PT",VLOOKUP(L526,Foundation_Calc!$V$4:$X$37,VLOOKUP(AX526,Foundation_Calc!$I$10:$J$13,2,FALSE),0),
IF(AX526="K",VLOOKUP(L526,Foundation_Calc!$V$41:$X$74,VLOOKUP(AX526,Foundation_Calc!$I$10:$J$13,2,FALSE),0),"")))</f>
        <v/>
      </c>
      <c r="N526" s="8"/>
      <c r="O526" s="8"/>
      <c r="P526" s="8"/>
      <c r="Q526" s="14"/>
      <c r="R526" s="15"/>
      <c r="S526" s="15"/>
      <c r="T526" s="14"/>
      <c r="U526" s="14"/>
      <c r="V526" s="14"/>
      <c r="W526" s="18"/>
      <c r="X526" s="18"/>
      <c r="Y526" s="18"/>
      <c r="Z526" s="18"/>
      <c r="AA526" s="18"/>
      <c r="AB526" s="18"/>
      <c r="AC526" s="8" t="str">
        <f t="shared" si="33"/>
        <v/>
      </c>
      <c r="AD526" s="8"/>
      <c r="AE526" s="8"/>
      <c r="AF526" s="14"/>
      <c r="AG526" s="13"/>
      <c r="AH526" s="14"/>
      <c r="AI526" s="14"/>
      <c r="AJ526" s="8"/>
      <c r="AK526" s="8"/>
      <c r="AL526" s="8"/>
      <c r="AM526" s="8"/>
      <c r="AN526" s="631"/>
      <c r="AO526" s="18"/>
      <c r="AP526" s="18"/>
      <c r="AQ526" s="18"/>
      <c r="AR526" s="18"/>
      <c r="AS526" s="18"/>
      <c r="AU526" s="448"/>
      <c r="AV526" s="448"/>
      <c r="AW526" s="8" t="str">
        <f>IF(C526&gt;0,VLOOKUP(C526,Foundation_Calc!$A$2:$C$986,3,1),
IF(J526&gt;0,VLOOKUP(J526,Foundation_Calc!$A$2:$C$986,3,1),""))</f>
        <v/>
      </c>
      <c r="AX526" s="8" t="str">
        <f>IF(C526&gt;0,VLOOKUP(C526,Foundation_Calc!$E$2:$G$986,3,1),
IF(J526&gt;0,VLOOKUP(J526,Foundation_Calc!$E$2:$G$986,3,1),""))</f>
        <v/>
      </c>
      <c r="AY526" s="631" t="str">
        <f>IF(L526="","",
IF(AX526="PT",VLOOKUP(L526,Foundation_Calc!$K$4:$R$37,VLOOKUP(AW526,Foundation_Calc!$I$2:$J$8,2,FALSE),0),
IF(AX526="K",VLOOKUP(L526,Foundation_Calc!$K$41:$R$74,VLOOKUP(AW526,Foundation_Calc!$I$2:$J$8,2,FALSE),0),"")))</f>
        <v/>
      </c>
      <c r="AZ526" s="631" t="str">
        <f>IF(K526="","",
IF(AX526="PT",VLOOKUP(K526,Foundation_Calc!$K$4:$R$37,VLOOKUP(AW526,Foundation_Calc!$I$2:$J$8,2,FALSE),0),
IF(AX526="K",VLOOKUP(K526,Foundation_Calc!$K$41:$R$74,VLOOKUP(AW526,Foundation_Calc!$I$2:$J$8,2,FALSE),0),"")))</f>
        <v/>
      </c>
      <c r="BA526" s="632" t="str">
        <f t="shared" si="34"/>
        <v/>
      </c>
      <c r="BB526" s="632" t="str">
        <f t="shared" si="35"/>
        <v/>
      </c>
      <c r="BC526" s="632" t="str">
        <f t="shared" si="36"/>
        <v/>
      </c>
      <c r="BD526" s="633" t="str">
        <f>IF(AND(L526="",H526=""),"",
IF(H526="",Pole_Calc!A554,
IF(H526="MP",Pole_Calc!A555,
IF(H526="AnMP",Pole_Calc!A556,
IF(H526="A",Pole_Calc!A557,
IF(H526="S/A",Pole_Calc!A558,
IF(H526="A/S",Pole_Calc!A559,"Poner a mano")))))))</f>
        <v/>
      </c>
      <c r="BE526" s="448" t="s">
        <v>1726</v>
      </c>
      <c r="BF526" s="634"/>
      <c r="BG526" s="634"/>
      <c r="BH526" s="634"/>
      <c r="BI526" s="634"/>
    </row>
    <row r="527" spans="1:61" ht="16.2" customHeight="1">
      <c r="A527" s="12"/>
      <c r="B527" s="446"/>
      <c r="C527" s="89"/>
      <c r="D527" s="13"/>
      <c r="E527" s="14"/>
      <c r="F527" s="14"/>
      <c r="G527" s="15"/>
      <c r="H527" s="8"/>
      <c r="I527" s="8"/>
      <c r="J527" s="89"/>
      <c r="K527" s="8"/>
      <c r="L527" s="8"/>
      <c r="M527" s="8" t="str">
        <f>IF(L527="","",
IF(AX527="PT",VLOOKUP(L527,Foundation_Calc!$V$4:$X$37,VLOOKUP(AX527,Foundation_Calc!$I$10:$J$13,2,FALSE),0),
IF(AX527="K",VLOOKUP(L527,Foundation_Calc!$V$41:$X$74,VLOOKUP(AX527,Foundation_Calc!$I$10:$J$13,2,FALSE),0),"")))</f>
        <v/>
      </c>
      <c r="N527" s="8"/>
      <c r="O527" s="8"/>
      <c r="P527" s="8"/>
      <c r="Q527" s="14"/>
      <c r="R527" s="15"/>
      <c r="S527" s="15"/>
      <c r="T527" s="14"/>
      <c r="U527" s="14"/>
      <c r="V527" s="14"/>
      <c r="W527" s="18"/>
      <c r="X527" s="18"/>
      <c r="Y527" s="18"/>
      <c r="Z527" s="18"/>
      <c r="AA527" s="18"/>
      <c r="AB527" s="18"/>
      <c r="AC527" s="8" t="str">
        <f t="shared" si="33"/>
        <v/>
      </c>
      <c r="AD527" s="8"/>
      <c r="AE527" s="8"/>
      <c r="AF527" s="14"/>
      <c r="AG527" s="13"/>
      <c r="AH527" s="14"/>
      <c r="AI527" s="14"/>
      <c r="AJ527" s="8"/>
      <c r="AK527" s="8"/>
      <c r="AL527" s="8"/>
      <c r="AM527" s="8"/>
      <c r="AN527" s="631"/>
      <c r="AO527" s="18"/>
      <c r="AP527" s="18"/>
      <c r="AQ527" s="18"/>
      <c r="AR527" s="18"/>
      <c r="AS527" s="18"/>
      <c r="AU527" s="448"/>
      <c r="AV527" s="448"/>
      <c r="AW527" s="8" t="str">
        <f>IF(C527&gt;0,VLOOKUP(C527,Foundation_Calc!$A$2:$C$986,3,1),
IF(J527&gt;0,VLOOKUP(J527,Foundation_Calc!$A$2:$C$986,3,1),""))</f>
        <v/>
      </c>
      <c r="AX527" s="8" t="str">
        <f>IF(C527&gt;0,VLOOKUP(C527,Foundation_Calc!$E$2:$G$986,3,1),
IF(J527&gt;0,VLOOKUP(J527,Foundation_Calc!$E$2:$G$986,3,1),""))</f>
        <v/>
      </c>
      <c r="AY527" s="631" t="str">
        <f>IF(L527="","",
IF(AX527="PT",VLOOKUP(L527,Foundation_Calc!$K$4:$R$37,VLOOKUP(AW527,Foundation_Calc!$I$2:$J$8,2,FALSE),0),
IF(AX527="K",VLOOKUP(L527,Foundation_Calc!$K$41:$R$74,VLOOKUP(AW527,Foundation_Calc!$I$2:$J$8,2,FALSE),0),"")))</f>
        <v/>
      </c>
      <c r="AZ527" s="631" t="str">
        <f>IF(K527="","",
IF(AX527="PT",VLOOKUP(K527,Foundation_Calc!$K$4:$R$37,VLOOKUP(AW527,Foundation_Calc!$I$2:$J$8,2,FALSE),0),
IF(AX527="K",VLOOKUP(K527,Foundation_Calc!$K$41:$R$74,VLOOKUP(AW527,Foundation_Calc!$I$2:$J$8,2,FALSE),0),"")))</f>
        <v/>
      </c>
      <c r="BA527" s="632" t="str">
        <f t="shared" si="34"/>
        <v/>
      </c>
      <c r="BB527" s="632" t="str">
        <f t="shared" si="35"/>
        <v/>
      </c>
      <c r="BC527" s="632" t="str">
        <f t="shared" si="36"/>
        <v/>
      </c>
      <c r="BD527" s="633" t="str">
        <f>IF(AND(L527="",H527=""),"",
IF(H527="",Pole_Calc!A555,
IF(H527="MP",Pole_Calc!A556,
IF(H527="AnMP",Pole_Calc!A557,
IF(H527="A",Pole_Calc!A558,
IF(H527="S/A",Pole_Calc!A559,
IF(H527="A/S",Pole_Calc!A560,"Poner a mano")))))))</f>
        <v/>
      </c>
      <c r="BE527" s="448" t="s">
        <v>1726</v>
      </c>
      <c r="BF527" s="635"/>
      <c r="BG527" s="635"/>
      <c r="BH527" s="634"/>
      <c r="BI527" s="635"/>
    </row>
    <row r="528" spans="1:61" ht="16.2" customHeight="1">
      <c r="A528" s="12"/>
      <c r="B528" s="446"/>
      <c r="C528" s="89"/>
      <c r="D528" s="13"/>
      <c r="E528" s="14"/>
      <c r="F528" s="14"/>
      <c r="G528" s="15"/>
      <c r="H528" s="8"/>
      <c r="I528" s="8"/>
      <c r="J528" s="89"/>
      <c r="K528" s="8"/>
      <c r="L528" s="8"/>
      <c r="M528" s="8" t="str">
        <f>IF(L528="","",
IF(AX528="PT",VLOOKUP(L528,Foundation_Calc!$V$4:$X$37,VLOOKUP(AX528,Foundation_Calc!$I$10:$J$13,2,FALSE),0),
IF(AX528="K",VLOOKUP(L528,Foundation_Calc!$V$41:$X$74,VLOOKUP(AX528,Foundation_Calc!$I$10:$J$13,2,FALSE),0),"")))</f>
        <v/>
      </c>
      <c r="N528" s="8"/>
      <c r="O528" s="8"/>
      <c r="P528" s="8"/>
      <c r="Q528" s="14"/>
      <c r="R528" s="15"/>
      <c r="S528" s="15"/>
      <c r="T528" s="14"/>
      <c r="U528" s="14"/>
      <c r="V528" s="14"/>
      <c r="W528" s="18"/>
      <c r="X528" s="18"/>
      <c r="Y528" s="18"/>
      <c r="Z528" s="18"/>
      <c r="AA528" s="18"/>
      <c r="AB528" s="18"/>
      <c r="AC528" s="8" t="str">
        <f t="shared" si="33"/>
        <v/>
      </c>
      <c r="AD528" s="8"/>
      <c r="AE528" s="8"/>
      <c r="AF528" s="14"/>
      <c r="AG528" s="13"/>
      <c r="AH528" s="14"/>
      <c r="AI528" s="14"/>
      <c r="AJ528" s="8"/>
      <c r="AK528" s="8"/>
      <c r="AL528" s="8"/>
      <c r="AM528" s="8"/>
      <c r="AN528" s="631"/>
      <c r="AO528" s="18"/>
      <c r="AP528" s="18"/>
      <c r="AQ528" s="18"/>
      <c r="AR528" s="18"/>
      <c r="AS528" s="18"/>
      <c r="AU528" s="448"/>
      <c r="AV528" s="448"/>
      <c r="AW528" s="8" t="str">
        <f>IF(C528&gt;0,VLOOKUP(C528,Foundation_Calc!$A$2:$C$986,3,1),
IF(J528&gt;0,VLOOKUP(J528,Foundation_Calc!$A$2:$C$986,3,1),""))</f>
        <v/>
      </c>
      <c r="AX528" s="8" t="str">
        <f>IF(C528&gt;0,VLOOKUP(C528,Foundation_Calc!$E$2:$G$986,3,1),
IF(J528&gt;0,VLOOKUP(J528,Foundation_Calc!$E$2:$G$986,3,1),""))</f>
        <v/>
      </c>
      <c r="AY528" s="631" t="str">
        <f>IF(L528="","",
IF(AX528="PT",VLOOKUP(L528,Foundation_Calc!$K$4:$R$37,VLOOKUP(AW528,Foundation_Calc!$I$2:$J$8,2,FALSE),0),
IF(AX528="K",VLOOKUP(L528,Foundation_Calc!$K$41:$R$74,VLOOKUP(AW528,Foundation_Calc!$I$2:$J$8,2,FALSE),0),"")))</f>
        <v/>
      </c>
      <c r="AZ528" s="631" t="str">
        <f>IF(K528="","",
IF(AX528="PT",VLOOKUP(K528,Foundation_Calc!$K$4:$R$37,VLOOKUP(AW528,Foundation_Calc!$I$2:$J$8,2,FALSE),0),
IF(AX528="K",VLOOKUP(K528,Foundation_Calc!$K$41:$R$74,VLOOKUP(AW528,Foundation_Calc!$I$2:$J$8,2,FALSE),0),"")))</f>
        <v/>
      </c>
      <c r="BA528" s="632" t="str">
        <f t="shared" si="34"/>
        <v/>
      </c>
      <c r="BB528" s="632" t="str">
        <f t="shared" si="35"/>
        <v/>
      </c>
      <c r="BC528" s="632" t="str">
        <f t="shared" si="36"/>
        <v/>
      </c>
      <c r="BD528" s="633" t="str">
        <f>IF(AND(L528="",H528=""),"",
IF(H528="",Pole_Calc!A556,
IF(H528="MP",Pole_Calc!A557,
IF(H528="AnMP",Pole_Calc!A558,
IF(H528="A",Pole_Calc!A559,
IF(H528="S/A",Pole_Calc!A560,
IF(H528="A/S",Pole_Calc!A561,"Poner a mano")))))))</f>
        <v/>
      </c>
      <c r="BE528" s="448" t="s">
        <v>1726</v>
      </c>
      <c r="BF528" s="634"/>
      <c r="BG528" s="634"/>
      <c r="BH528" s="634"/>
      <c r="BI528" s="634"/>
    </row>
    <row r="529" spans="1:61" ht="16.2" customHeight="1">
      <c r="A529" s="12"/>
      <c r="B529" s="446"/>
      <c r="C529" s="89"/>
      <c r="D529" s="13"/>
      <c r="E529" s="14"/>
      <c r="F529" s="14"/>
      <c r="G529" s="15"/>
      <c r="H529" s="8"/>
      <c r="I529" s="8"/>
      <c r="J529" s="89"/>
      <c r="K529" s="8"/>
      <c r="L529" s="8"/>
      <c r="M529" s="8" t="str">
        <f>IF(L529="","",
IF(AX529="PT",VLOOKUP(L529,Foundation_Calc!$V$4:$X$37,VLOOKUP(AX529,Foundation_Calc!$I$10:$J$13,2,FALSE),0),
IF(AX529="K",VLOOKUP(L529,Foundation_Calc!$V$41:$X$74,VLOOKUP(AX529,Foundation_Calc!$I$10:$J$13,2,FALSE),0),"")))</f>
        <v/>
      </c>
      <c r="N529" s="8"/>
      <c r="O529" s="8"/>
      <c r="P529" s="8"/>
      <c r="Q529" s="14"/>
      <c r="R529" s="15"/>
      <c r="S529" s="15"/>
      <c r="T529" s="14"/>
      <c r="U529" s="14"/>
      <c r="V529" s="14"/>
      <c r="W529" s="18"/>
      <c r="X529" s="18"/>
      <c r="Y529" s="18"/>
      <c r="Z529" s="18"/>
      <c r="AA529" s="18"/>
      <c r="AB529" s="18"/>
      <c r="AC529" s="8" t="str">
        <f t="shared" si="33"/>
        <v/>
      </c>
      <c r="AD529" s="8"/>
      <c r="AE529" s="8"/>
      <c r="AF529" s="14"/>
      <c r="AG529" s="13"/>
      <c r="AH529" s="14"/>
      <c r="AI529" s="14"/>
      <c r="AJ529" s="8"/>
      <c r="AK529" s="8"/>
      <c r="AL529" s="8"/>
      <c r="AM529" s="8"/>
      <c r="AN529" s="631"/>
      <c r="AO529" s="18"/>
      <c r="AP529" s="18"/>
      <c r="AQ529" s="18"/>
      <c r="AR529" s="18"/>
      <c r="AS529" s="18"/>
      <c r="AU529" s="448"/>
      <c r="AV529" s="448"/>
      <c r="AW529" s="8" t="str">
        <f>IF(C529&gt;0,VLOOKUP(C529,Foundation_Calc!$A$2:$C$986,3,1),
IF(J529&gt;0,VLOOKUP(J529,Foundation_Calc!$A$2:$C$986,3,1),""))</f>
        <v/>
      </c>
      <c r="AX529" s="8" t="str">
        <f>IF(C529&gt;0,VLOOKUP(C529,Foundation_Calc!$E$2:$G$986,3,1),
IF(J529&gt;0,VLOOKUP(J529,Foundation_Calc!$E$2:$G$986,3,1),""))</f>
        <v/>
      </c>
      <c r="AY529" s="631" t="str">
        <f>IF(L529="","",
IF(AX529="PT",VLOOKUP(L529,Foundation_Calc!$K$4:$R$37,VLOOKUP(AW529,Foundation_Calc!$I$2:$J$8,2,FALSE),0),
IF(AX529="K",VLOOKUP(L529,Foundation_Calc!$K$41:$R$74,VLOOKUP(AW529,Foundation_Calc!$I$2:$J$8,2,FALSE),0),"")))</f>
        <v/>
      </c>
      <c r="AZ529" s="631" t="str">
        <f>IF(K529="","",
IF(AX529="PT",VLOOKUP(K529,Foundation_Calc!$K$4:$R$37,VLOOKUP(AW529,Foundation_Calc!$I$2:$J$8,2,FALSE),0),
IF(AX529="K",VLOOKUP(K529,Foundation_Calc!$K$41:$R$74,VLOOKUP(AW529,Foundation_Calc!$I$2:$J$8,2,FALSE),0),"")))</f>
        <v/>
      </c>
      <c r="BA529" s="632" t="str">
        <f t="shared" si="34"/>
        <v/>
      </c>
      <c r="BB529" s="632" t="str">
        <f t="shared" si="35"/>
        <v/>
      </c>
      <c r="BC529" s="632" t="str">
        <f t="shared" si="36"/>
        <v/>
      </c>
      <c r="BD529" s="633" t="str">
        <f>IF(AND(L529="",H529=""),"",
IF(H529="",Pole_Calc!A557,
IF(H529="MP",Pole_Calc!A558,
IF(H529="AnMP",Pole_Calc!A559,
IF(H529="A",Pole_Calc!A560,
IF(H529="S/A",Pole_Calc!A561,
IF(H529="A/S",Pole_Calc!A562,"Poner a mano")))))))</f>
        <v/>
      </c>
      <c r="BE529" s="448" t="s">
        <v>1726</v>
      </c>
      <c r="BF529" s="635"/>
      <c r="BG529" s="635"/>
      <c r="BH529" s="634"/>
      <c r="BI529" s="635"/>
    </row>
    <row r="530" spans="1:61" ht="16.2" customHeight="1">
      <c r="A530" s="12"/>
      <c r="B530" s="446"/>
      <c r="C530" s="89"/>
      <c r="D530" s="13"/>
      <c r="E530" s="14"/>
      <c r="F530" s="14"/>
      <c r="G530" s="15"/>
      <c r="H530" s="8"/>
      <c r="I530" s="8"/>
      <c r="J530" s="89"/>
      <c r="K530" s="8"/>
      <c r="L530" s="8"/>
      <c r="M530" s="8" t="str">
        <f>IF(L530="","",
IF(AX530="PT",VLOOKUP(L530,Foundation_Calc!$V$4:$X$37,VLOOKUP(AX530,Foundation_Calc!$I$10:$J$13,2,FALSE),0),
IF(AX530="K",VLOOKUP(L530,Foundation_Calc!$V$41:$X$74,VLOOKUP(AX530,Foundation_Calc!$I$10:$J$13,2,FALSE),0),"")))</f>
        <v/>
      </c>
      <c r="N530" s="8"/>
      <c r="O530" s="8"/>
      <c r="P530" s="8"/>
      <c r="Q530" s="14"/>
      <c r="R530" s="15"/>
      <c r="S530" s="15"/>
      <c r="T530" s="14"/>
      <c r="U530" s="14"/>
      <c r="V530" s="14"/>
      <c r="W530" s="18"/>
      <c r="X530" s="18"/>
      <c r="Y530" s="18"/>
      <c r="Z530" s="18"/>
      <c r="AA530" s="18"/>
      <c r="AB530" s="18"/>
      <c r="AC530" s="8" t="str">
        <f t="shared" si="33"/>
        <v/>
      </c>
      <c r="AD530" s="8"/>
      <c r="AE530" s="8"/>
      <c r="AF530" s="14"/>
      <c r="AG530" s="13"/>
      <c r="AH530" s="14"/>
      <c r="AI530" s="14"/>
      <c r="AJ530" s="8"/>
      <c r="AK530" s="8"/>
      <c r="AL530" s="8"/>
      <c r="AM530" s="8"/>
      <c r="AN530" s="631"/>
      <c r="AO530" s="18"/>
      <c r="AP530" s="18"/>
      <c r="AQ530" s="18"/>
      <c r="AR530" s="18"/>
      <c r="AS530" s="18"/>
      <c r="AU530" s="448"/>
      <c r="AV530" s="448"/>
      <c r="AW530" s="8" t="str">
        <f>IF(C530&gt;0,VLOOKUP(C530,Foundation_Calc!$A$2:$C$986,3,1),
IF(J530&gt;0,VLOOKUP(J530,Foundation_Calc!$A$2:$C$986,3,1),""))</f>
        <v/>
      </c>
      <c r="AX530" s="8" t="str">
        <f>IF(C530&gt;0,VLOOKUP(C530,Foundation_Calc!$E$2:$G$986,3,1),
IF(J530&gt;0,VLOOKUP(J530,Foundation_Calc!$E$2:$G$986,3,1),""))</f>
        <v/>
      </c>
      <c r="AY530" s="631" t="str">
        <f>IF(L530="","",
IF(AX530="PT",VLOOKUP(L530,Foundation_Calc!$K$4:$R$37,VLOOKUP(AW530,Foundation_Calc!$I$2:$J$8,2,FALSE),0),
IF(AX530="K",VLOOKUP(L530,Foundation_Calc!$K$41:$R$74,VLOOKUP(AW530,Foundation_Calc!$I$2:$J$8,2,FALSE),0),"")))</f>
        <v/>
      </c>
      <c r="AZ530" s="631" t="str">
        <f>IF(K530="","",
IF(AX530="PT",VLOOKUP(K530,Foundation_Calc!$K$4:$R$37,VLOOKUP(AW530,Foundation_Calc!$I$2:$J$8,2,FALSE),0),
IF(AX530="K",VLOOKUP(K530,Foundation_Calc!$K$41:$R$74,VLOOKUP(AW530,Foundation_Calc!$I$2:$J$8,2,FALSE),0),"")))</f>
        <v/>
      </c>
      <c r="BA530" s="632" t="str">
        <f t="shared" si="34"/>
        <v/>
      </c>
      <c r="BB530" s="632" t="str">
        <f t="shared" si="35"/>
        <v/>
      </c>
      <c r="BC530" s="632" t="str">
        <f t="shared" si="36"/>
        <v/>
      </c>
      <c r="BD530" s="633" t="str">
        <f>IF(AND(L530="",H530=""),"",
IF(H530="",Pole_Calc!A558,
IF(H530="MP",Pole_Calc!A559,
IF(H530="AnMP",Pole_Calc!A560,
IF(H530="A",Pole_Calc!A561,
IF(H530="S/A",Pole_Calc!A562,
IF(H530="A/S",Pole_Calc!A563,"Poner a mano")))))))</f>
        <v/>
      </c>
      <c r="BE530" s="448" t="s">
        <v>1726</v>
      </c>
      <c r="BF530" s="634"/>
      <c r="BG530" s="634"/>
      <c r="BH530" s="634"/>
      <c r="BI530" s="634"/>
    </row>
    <row r="531" spans="1:61" ht="16.2" customHeight="1">
      <c r="A531" s="12"/>
      <c r="B531" s="446"/>
      <c r="C531" s="89"/>
      <c r="D531" s="13"/>
      <c r="E531" s="14"/>
      <c r="F531" s="14"/>
      <c r="G531" s="15"/>
      <c r="H531" s="8"/>
      <c r="I531" s="8"/>
      <c r="J531" s="89"/>
      <c r="K531" s="8"/>
      <c r="L531" s="8"/>
      <c r="M531" s="8" t="str">
        <f>IF(L531="","",
IF(AX531="PT",VLOOKUP(L531,Foundation_Calc!$V$4:$X$37,VLOOKUP(AX531,Foundation_Calc!$I$10:$J$13,2,FALSE),0),
IF(AX531="K",VLOOKUP(L531,Foundation_Calc!$V$41:$X$74,VLOOKUP(AX531,Foundation_Calc!$I$10:$J$13,2,FALSE),0),"")))</f>
        <v/>
      </c>
      <c r="N531" s="8"/>
      <c r="O531" s="8"/>
      <c r="P531" s="8"/>
      <c r="Q531" s="14"/>
      <c r="R531" s="15"/>
      <c r="S531" s="15"/>
      <c r="T531" s="14"/>
      <c r="U531" s="14"/>
      <c r="V531" s="14"/>
      <c r="W531" s="18"/>
      <c r="X531" s="18"/>
      <c r="Y531" s="18"/>
      <c r="Z531" s="18"/>
      <c r="AA531" s="18"/>
      <c r="AB531" s="18"/>
      <c r="AC531" s="8" t="str">
        <f t="shared" si="33"/>
        <v/>
      </c>
      <c r="AD531" s="8"/>
      <c r="AE531" s="8"/>
      <c r="AF531" s="14"/>
      <c r="AG531" s="13"/>
      <c r="AH531" s="14"/>
      <c r="AI531" s="14"/>
      <c r="AJ531" s="8"/>
      <c r="AK531" s="8"/>
      <c r="AL531" s="8"/>
      <c r="AM531" s="8"/>
      <c r="AN531" s="631"/>
      <c r="AO531" s="18"/>
      <c r="AP531" s="18"/>
      <c r="AQ531" s="18"/>
      <c r="AR531" s="18"/>
      <c r="AS531" s="18"/>
      <c r="AU531" s="448"/>
      <c r="AV531" s="448"/>
      <c r="AW531" s="8" t="str">
        <f>IF(C531&gt;0,VLOOKUP(C531,Foundation_Calc!$A$2:$C$986,3,1),
IF(J531&gt;0,VLOOKUP(J531,Foundation_Calc!$A$2:$C$986,3,1),""))</f>
        <v/>
      </c>
      <c r="AX531" s="8" t="str">
        <f>IF(C531&gt;0,VLOOKUP(C531,Foundation_Calc!$E$2:$G$986,3,1),
IF(J531&gt;0,VLOOKUP(J531,Foundation_Calc!$E$2:$G$986,3,1),""))</f>
        <v/>
      </c>
      <c r="AY531" s="631" t="str">
        <f>IF(L531="","",
IF(AX531="PT",VLOOKUP(L531,Foundation_Calc!$K$4:$R$37,VLOOKUP(AW531,Foundation_Calc!$I$2:$J$8,2,FALSE),0),
IF(AX531="K",VLOOKUP(L531,Foundation_Calc!$K$41:$R$74,VLOOKUP(AW531,Foundation_Calc!$I$2:$J$8,2,FALSE),0),"")))</f>
        <v/>
      </c>
      <c r="AZ531" s="631" t="str">
        <f>IF(K531="","",
IF(AX531="PT",VLOOKUP(K531,Foundation_Calc!$K$4:$R$37,VLOOKUP(AW531,Foundation_Calc!$I$2:$J$8,2,FALSE),0),
IF(AX531="K",VLOOKUP(K531,Foundation_Calc!$K$41:$R$74,VLOOKUP(AW531,Foundation_Calc!$I$2:$J$8,2,FALSE),0),"")))</f>
        <v/>
      </c>
      <c r="BA531" s="632" t="str">
        <f t="shared" si="34"/>
        <v/>
      </c>
      <c r="BB531" s="632" t="str">
        <f t="shared" si="35"/>
        <v/>
      </c>
      <c r="BC531" s="632" t="str">
        <f t="shared" si="36"/>
        <v/>
      </c>
      <c r="BD531" s="633" t="str">
        <f>IF(AND(L531="",H531=""),"",
IF(H531="",Pole_Calc!A559,
IF(H531="MP",Pole_Calc!A560,
IF(H531="AnMP",Pole_Calc!A561,
IF(H531="A",Pole_Calc!A562,
IF(H531="S/A",Pole_Calc!A563,
IF(H531="A/S",Pole_Calc!A564,"Poner a mano")))))))</f>
        <v/>
      </c>
      <c r="BE531" s="448" t="s">
        <v>1726</v>
      </c>
      <c r="BF531" s="635"/>
      <c r="BG531" s="635"/>
      <c r="BH531" s="634"/>
      <c r="BI531" s="635"/>
    </row>
    <row r="532" spans="1:61" ht="16.2" customHeight="1">
      <c r="A532" s="12"/>
      <c r="B532" s="446"/>
      <c r="C532" s="89"/>
      <c r="D532" s="13"/>
      <c r="E532" s="14"/>
      <c r="F532" s="14"/>
      <c r="G532" s="15"/>
      <c r="H532" s="8"/>
      <c r="I532" s="8"/>
      <c r="J532" s="89"/>
      <c r="K532" s="8"/>
      <c r="L532" s="8"/>
      <c r="M532" s="8" t="str">
        <f>IF(L532="","",
IF(AX532="PT",VLOOKUP(L532,Foundation_Calc!$V$4:$X$37,VLOOKUP(AX532,Foundation_Calc!$I$10:$J$13,2,FALSE),0),
IF(AX532="K",VLOOKUP(L532,Foundation_Calc!$V$41:$X$74,VLOOKUP(AX532,Foundation_Calc!$I$10:$J$13,2,FALSE),0),"")))</f>
        <v/>
      </c>
      <c r="N532" s="8"/>
      <c r="O532" s="8"/>
      <c r="P532" s="8"/>
      <c r="Q532" s="14"/>
      <c r="R532" s="15"/>
      <c r="S532" s="15"/>
      <c r="T532" s="14"/>
      <c r="U532" s="14"/>
      <c r="V532" s="14"/>
      <c r="W532" s="18"/>
      <c r="X532" s="18"/>
      <c r="Y532" s="18"/>
      <c r="Z532" s="18"/>
      <c r="AA532" s="18"/>
      <c r="AB532" s="18"/>
      <c r="AC532" s="8" t="str">
        <f t="shared" si="33"/>
        <v/>
      </c>
      <c r="AD532" s="8"/>
      <c r="AE532" s="8"/>
      <c r="AF532" s="14"/>
      <c r="AG532" s="13"/>
      <c r="AH532" s="14"/>
      <c r="AI532" s="14"/>
      <c r="AJ532" s="8"/>
      <c r="AK532" s="8"/>
      <c r="AL532" s="8"/>
      <c r="AM532" s="8"/>
      <c r="AN532" s="631"/>
      <c r="AO532" s="18"/>
      <c r="AP532" s="18"/>
      <c r="AQ532" s="18"/>
      <c r="AR532" s="18"/>
      <c r="AS532" s="18"/>
      <c r="AU532" s="448"/>
      <c r="AV532" s="448"/>
      <c r="AW532" s="8" t="str">
        <f>IF(C532&gt;0,VLOOKUP(C532,Foundation_Calc!$A$2:$C$986,3,1),
IF(J532&gt;0,VLOOKUP(J532,Foundation_Calc!$A$2:$C$986,3,1),""))</f>
        <v/>
      </c>
      <c r="AX532" s="8" t="str">
        <f>IF(C532&gt;0,VLOOKUP(C532,Foundation_Calc!$E$2:$G$986,3,1),
IF(J532&gt;0,VLOOKUP(J532,Foundation_Calc!$E$2:$G$986,3,1),""))</f>
        <v/>
      </c>
      <c r="AY532" s="631" t="str">
        <f>IF(L532="","",
IF(AX532="PT",VLOOKUP(L532,Foundation_Calc!$K$4:$R$37,VLOOKUP(AW532,Foundation_Calc!$I$2:$J$8,2,FALSE),0),
IF(AX532="K",VLOOKUP(L532,Foundation_Calc!$K$41:$R$74,VLOOKUP(AW532,Foundation_Calc!$I$2:$J$8,2,FALSE),0),"")))</f>
        <v/>
      </c>
      <c r="AZ532" s="631" t="str">
        <f>IF(K532="","",
IF(AX532="PT",VLOOKUP(K532,Foundation_Calc!$K$4:$R$37,VLOOKUP(AW532,Foundation_Calc!$I$2:$J$8,2,FALSE),0),
IF(AX532="K",VLOOKUP(K532,Foundation_Calc!$K$41:$R$74,VLOOKUP(AW532,Foundation_Calc!$I$2:$J$8,2,FALSE),0),"")))</f>
        <v/>
      </c>
      <c r="BA532" s="632" t="str">
        <f t="shared" si="34"/>
        <v/>
      </c>
      <c r="BB532" s="632" t="str">
        <f t="shared" si="35"/>
        <v/>
      </c>
      <c r="BC532" s="632" t="str">
        <f t="shared" si="36"/>
        <v/>
      </c>
      <c r="BD532" s="633" t="str">
        <f>IF(AND(L532="",H532=""),"",
IF(H532="",Pole_Calc!A560,
IF(H532="MP",Pole_Calc!A561,
IF(H532="AnMP",Pole_Calc!A562,
IF(H532="A",Pole_Calc!A563,
IF(H532="S/A",Pole_Calc!A564,
IF(H532="A/S",Pole_Calc!A565,"Poner a mano")))))))</f>
        <v/>
      </c>
      <c r="BE532" s="448" t="s">
        <v>1726</v>
      </c>
      <c r="BF532" s="634"/>
      <c r="BG532" s="634"/>
      <c r="BH532" s="634"/>
      <c r="BI532" s="634"/>
    </row>
    <row r="533" spans="1:61" ht="16.2" customHeight="1">
      <c r="A533" s="12"/>
      <c r="B533" s="446"/>
      <c r="C533" s="89"/>
      <c r="D533" s="13"/>
      <c r="E533" s="14"/>
      <c r="F533" s="14"/>
      <c r="G533" s="15"/>
      <c r="H533" s="8"/>
      <c r="I533" s="8"/>
      <c r="J533" s="89"/>
      <c r="K533" s="8"/>
      <c r="L533" s="8"/>
      <c r="M533" s="8" t="str">
        <f>IF(L533="","",
IF(AX533="PT",VLOOKUP(L533,Foundation_Calc!$V$4:$X$37,VLOOKUP(AX533,Foundation_Calc!$I$10:$J$13,2,FALSE),0),
IF(AX533="K",VLOOKUP(L533,Foundation_Calc!$V$41:$X$74,VLOOKUP(AX533,Foundation_Calc!$I$10:$J$13,2,FALSE),0),"")))</f>
        <v/>
      </c>
      <c r="N533" s="8"/>
      <c r="O533" s="8"/>
      <c r="P533" s="8"/>
      <c r="Q533" s="14"/>
      <c r="R533" s="15"/>
      <c r="S533" s="15"/>
      <c r="T533" s="14"/>
      <c r="U533" s="14"/>
      <c r="V533" s="14"/>
      <c r="W533" s="18"/>
      <c r="X533" s="18"/>
      <c r="Y533" s="18"/>
      <c r="Z533" s="18"/>
      <c r="AA533" s="18"/>
      <c r="AB533" s="18"/>
      <c r="AC533" s="8" t="str">
        <f t="shared" si="33"/>
        <v/>
      </c>
      <c r="AD533" s="8"/>
      <c r="AE533" s="8"/>
      <c r="AF533" s="14"/>
      <c r="AG533" s="13"/>
      <c r="AH533" s="14"/>
      <c r="AI533" s="14"/>
      <c r="AJ533" s="8"/>
      <c r="AK533" s="8"/>
      <c r="AL533" s="8"/>
      <c r="AM533" s="8"/>
      <c r="AN533" s="631"/>
      <c r="AO533" s="18"/>
      <c r="AP533" s="18"/>
      <c r="AQ533" s="18"/>
      <c r="AR533" s="18"/>
      <c r="AS533" s="18"/>
      <c r="AU533" s="448"/>
      <c r="AV533" s="448"/>
      <c r="AW533" s="8" t="str">
        <f>IF(C533&gt;0,VLOOKUP(C533,Foundation_Calc!$A$2:$C$986,3,1),
IF(J533&gt;0,VLOOKUP(J533,Foundation_Calc!$A$2:$C$986,3,1),""))</f>
        <v/>
      </c>
      <c r="AX533" s="8" t="str">
        <f>IF(C533&gt;0,VLOOKUP(C533,Foundation_Calc!$E$2:$G$986,3,1),
IF(J533&gt;0,VLOOKUP(J533,Foundation_Calc!$E$2:$G$986,3,1),""))</f>
        <v/>
      </c>
      <c r="AY533" s="631" t="str">
        <f>IF(L533="","",
IF(AX533="PT",VLOOKUP(L533,Foundation_Calc!$K$4:$R$37,VLOOKUP(AW533,Foundation_Calc!$I$2:$J$8,2,FALSE),0),
IF(AX533="K",VLOOKUP(L533,Foundation_Calc!$K$41:$R$74,VLOOKUP(AW533,Foundation_Calc!$I$2:$J$8,2,FALSE),0),"")))</f>
        <v/>
      </c>
      <c r="AZ533" s="631" t="str">
        <f>IF(K533="","",
IF(AX533="PT",VLOOKUP(K533,Foundation_Calc!$K$4:$R$37,VLOOKUP(AW533,Foundation_Calc!$I$2:$J$8,2,FALSE),0),
IF(AX533="K",VLOOKUP(K533,Foundation_Calc!$K$41:$R$74,VLOOKUP(AW533,Foundation_Calc!$I$2:$J$8,2,FALSE),0),"")))</f>
        <v/>
      </c>
      <c r="BA533" s="632" t="str">
        <f t="shared" si="34"/>
        <v/>
      </c>
      <c r="BB533" s="632" t="str">
        <f t="shared" si="35"/>
        <v/>
      </c>
      <c r="BC533" s="632" t="str">
        <f t="shared" si="36"/>
        <v/>
      </c>
      <c r="BD533" s="633" t="str">
        <f>IF(AND(L533="",H533=""),"",
IF(H533="",Pole_Calc!A561,
IF(H533="MP",Pole_Calc!A562,
IF(H533="AnMP",Pole_Calc!A563,
IF(H533="A",Pole_Calc!A564,
IF(H533="S/A",Pole_Calc!A565,
IF(H533="A/S",Pole_Calc!A566,"Poner a mano")))))))</f>
        <v/>
      </c>
      <c r="BE533" s="448" t="s">
        <v>1726</v>
      </c>
      <c r="BF533" s="635"/>
      <c r="BG533" s="635"/>
      <c r="BH533" s="634"/>
      <c r="BI533" s="635"/>
    </row>
    <row r="534" spans="1:61" ht="16.2" customHeight="1">
      <c r="A534" s="12"/>
      <c r="B534" s="446"/>
      <c r="C534" s="89"/>
      <c r="D534" s="13"/>
      <c r="E534" s="14"/>
      <c r="F534" s="14"/>
      <c r="G534" s="15"/>
      <c r="H534" s="8"/>
      <c r="I534" s="8"/>
      <c r="J534" s="89"/>
      <c r="K534" s="8"/>
      <c r="L534" s="8"/>
      <c r="M534" s="8" t="str">
        <f>IF(L534="","",
IF(AX534="PT",VLOOKUP(L534,Foundation_Calc!$V$4:$X$37,VLOOKUP(AX534,Foundation_Calc!$I$10:$J$13,2,FALSE),0),
IF(AX534="K",VLOOKUP(L534,Foundation_Calc!$V$41:$X$74,VLOOKUP(AX534,Foundation_Calc!$I$10:$J$13,2,FALSE),0),"")))</f>
        <v/>
      </c>
      <c r="N534" s="8"/>
      <c r="O534" s="8"/>
      <c r="P534" s="8"/>
      <c r="Q534" s="14"/>
      <c r="R534" s="15"/>
      <c r="S534" s="15"/>
      <c r="T534" s="14"/>
      <c r="U534" s="14"/>
      <c r="V534" s="14"/>
      <c r="W534" s="18"/>
      <c r="X534" s="18"/>
      <c r="Y534" s="18"/>
      <c r="Z534" s="18"/>
      <c r="AA534" s="18"/>
      <c r="AB534" s="18"/>
      <c r="AC534" s="8" t="str">
        <f t="shared" si="33"/>
        <v/>
      </c>
      <c r="AD534" s="8"/>
      <c r="AE534" s="8"/>
      <c r="AF534" s="14"/>
      <c r="AG534" s="13"/>
      <c r="AH534" s="14"/>
      <c r="AI534" s="14"/>
      <c r="AJ534" s="8"/>
      <c r="AK534" s="8"/>
      <c r="AL534" s="8"/>
      <c r="AM534" s="8"/>
      <c r="AN534" s="631"/>
      <c r="AO534" s="18"/>
      <c r="AP534" s="18"/>
      <c r="AQ534" s="18"/>
      <c r="AR534" s="18"/>
      <c r="AS534" s="18"/>
      <c r="AU534" s="448"/>
      <c r="AV534" s="448"/>
      <c r="AW534" s="8" t="str">
        <f>IF(C534&gt;0,VLOOKUP(C534,Foundation_Calc!$A$2:$C$986,3,1),
IF(J534&gt;0,VLOOKUP(J534,Foundation_Calc!$A$2:$C$986,3,1),""))</f>
        <v/>
      </c>
      <c r="AX534" s="8" t="str">
        <f>IF(C534&gt;0,VLOOKUP(C534,Foundation_Calc!$E$2:$G$986,3,1),
IF(J534&gt;0,VLOOKUP(J534,Foundation_Calc!$E$2:$G$986,3,1),""))</f>
        <v/>
      </c>
      <c r="AY534" s="631" t="str">
        <f>IF(L534="","",
IF(AX534="PT",VLOOKUP(L534,Foundation_Calc!$K$4:$R$37,VLOOKUP(AW534,Foundation_Calc!$I$2:$J$8,2,FALSE),0),
IF(AX534="K",VLOOKUP(L534,Foundation_Calc!$K$41:$R$74,VLOOKUP(AW534,Foundation_Calc!$I$2:$J$8,2,FALSE),0),"")))</f>
        <v/>
      </c>
      <c r="AZ534" s="631" t="str">
        <f>IF(K534="","",
IF(AX534="PT",VLOOKUP(K534,Foundation_Calc!$K$4:$R$37,VLOOKUP(AW534,Foundation_Calc!$I$2:$J$8,2,FALSE),0),
IF(AX534="K",VLOOKUP(K534,Foundation_Calc!$K$41:$R$74,VLOOKUP(AW534,Foundation_Calc!$I$2:$J$8,2,FALSE),0),"")))</f>
        <v/>
      </c>
      <c r="BA534" s="632" t="str">
        <f t="shared" si="34"/>
        <v/>
      </c>
      <c r="BB534" s="632" t="str">
        <f t="shared" si="35"/>
        <v/>
      </c>
      <c r="BC534" s="632" t="str">
        <f t="shared" si="36"/>
        <v/>
      </c>
      <c r="BD534" s="633" t="str">
        <f>IF(AND(L534="",H534=""),"",
IF(H534="",Pole_Calc!A562,
IF(H534="MP",Pole_Calc!A563,
IF(H534="AnMP",Pole_Calc!A564,
IF(H534="A",Pole_Calc!A565,
IF(H534="S/A",Pole_Calc!A566,
IF(H534="A/S",Pole_Calc!A567,"Poner a mano")))))))</f>
        <v/>
      </c>
      <c r="BE534" s="448" t="s">
        <v>1726</v>
      </c>
      <c r="BF534" s="634"/>
      <c r="BG534" s="634"/>
      <c r="BH534" s="634"/>
      <c r="BI534" s="634"/>
    </row>
    <row r="535" spans="1:61" ht="16.2" customHeight="1">
      <c r="A535" s="12"/>
      <c r="B535" s="446"/>
      <c r="C535" s="89"/>
      <c r="D535" s="13"/>
      <c r="E535" s="14"/>
      <c r="F535" s="14"/>
      <c r="G535" s="15"/>
      <c r="H535" s="8"/>
      <c r="I535" s="8"/>
      <c r="J535" s="89"/>
      <c r="K535" s="8"/>
      <c r="L535" s="8"/>
      <c r="M535" s="8" t="str">
        <f>IF(L535="","",
IF(AX535="PT",VLOOKUP(L535,Foundation_Calc!$V$4:$X$37,VLOOKUP(AX535,Foundation_Calc!$I$10:$J$13,2,FALSE),0),
IF(AX535="K",VLOOKUP(L535,Foundation_Calc!$V$41:$X$74,VLOOKUP(AX535,Foundation_Calc!$I$10:$J$13,2,FALSE),0),"")))</f>
        <v/>
      </c>
      <c r="N535" s="8"/>
      <c r="O535" s="8"/>
      <c r="P535" s="8"/>
      <c r="Q535" s="14"/>
      <c r="R535" s="15"/>
      <c r="S535" s="15"/>
      <c r="T535" s="14"/>
      <c r="U535" s="14"/>
      <c r="V535" s="14"/>
      <c r="W535" s="18"/>
      <c r="X535" s="18"/>
      <c r="Y535" s="18"/>
      <c r="Z535" s="18"/>
      <c r="AA535" s="18"/>
      <c r="AB535" s="18"/>
      <c r="AC535" s="8" t="str">
        <f t="shared" si="33"/>
        <v/>
      </c>
      <c r="AD535" s="8"/>
      <c r="AE535" s="8"/>
      <c r="AF535" s="14"/>
      <c r="AG535" s="13"/>
      <c r="AH535" s="14"/>
      <c r="AI535" s="14"/>
      <c r="AJ535" s="8"/>
      <c r="AK535" s="8"/>
      <c r="AL535" s="8"/>
      <c r="AM535" s="8"/>
      <c r="AN535" s="631"/>
      <c r="AO535" s="18"/>
      <c r="AP535" s="18"/>
      <c r="AQ535" s="18"/>
      <c r="AR535" s="18"/>
      <c r="AS535" s="18"/>
      <c r="AU535" s="448"/>
      <c r="AV535" s="448"/>
      <c r="AW535" s="8" t="str">
        <f>IF(C535&gt;0,VLOOKUP(C535,Foundation_Calc!$A$2:$C$986,3,1),
IF(J535&gt;0,VLOOKUP(J535,Foundation_Calc!$A$2:$C$986,3,1),""))</f>
        <v/>
      </c>
      <c r="AX535" s="8" t="str">
        <f>IF(C535&gt;0,VLOOKUP(C535,Foundation_Calc!$E$2:$G$986,3,1),
IF(J535&gt;0,VLOOKUP(J535,Foundation_Calc!$E$2:$G$986,3,1),""))</f>
        <v/>
      </c>
      <c r="AY535" s="631" t="str">
        <f>IF(L535="","",
IF(AX535="PT",VLOOKUP(L535,Foundation_Calc!$K$4:$R$37,VLOOKUP(AW535,Foundation_Calc!$I$2:$J$8,2,FALSE),0),
IF(AX535="K",VLOOKUP(L535,Foundation_Calc!$K$41:$R$74,VLOOKUP(AW535,Foundation_Calc!$I$2:$J$8,2,FALSE),0),"")))</f>
        <v/>
      </c>
      <c r="AZ535" s="631" t="str">
        <f>IF(K535="","",
IF(AX535="PT",VLOOKUP(K535,Foundation_Calc!$K$4:$R$37,VLOOKUP(AW535,Foundation_Calc!$I$2:$J$8,2,FALSE),0),
IF(AX535="K",VLOOKUP(K535,Foundation_Calc!$K$41:$R$74,VLOOKUP(AW535,Foundation_Calc!$I$2:$J$8,2,FALSE),0),"")))</f>
        <v/>
      </c>
      <c r="BA535" s="632" t="str">
        <f t="shared" si="34"/>
        <v/>
      </c>
      <c r="BB535" s="632" t="str">
        <f t="shared" si="35"/>
        <v/>
      </c>
      <c r="BC535" s="632" t="str">
        <f t="shared" si="36"/>
        <v/>
      </c>
      <c r="BD535" s="633" t="str">
        <f>IF(AND(L535="",H535=""),"",
IF(H535="",Pole_Calc!A563,
IF(H535="MP",Pole_Calc!A564,
IF(H535="AnMP",Pole_Calc!A565,
IF(H535="A",Pole_Calc!A566,
IF(H535="S/A",Pole_Calc!A567,
IF(H535="A/S",Pole_Calc!A568,"Poner a mano")))))))</f>
        <v/>
      </c>
      <c r="BE535" s="448" t="s">
        <v>1726</v>
      </c>
      <c r="BF535" s="635"/>
      <c r="BG535" s="635"/>
      <c r="BH535" s="634"/>
      <c r="BI535" s="635"/>
    </row>
    <row r="536" spans="1:61" ht="16.2" customHeight="1">
      <c r="A536" s="12"/>
      <c r="B536" s="446"/>
      <c r="C536" s="89"/>
      <c r="D536" s="13"/>
      <c r="E536" s="14"/>
      <c r="F536" s="14"/>
      <c r="G536" s="15"/>
      <c r="H536" s="8"/>
      <c r="I536" s="8"/>
      <c r="J536" s="89"/>
      <c r="K536" s="8"/>
      <c r="L536" s="8"/>
      <c r="M536" s="8" t="str">
        <f>IF(L536="","",
IF(AX536="PT",VLOOKUP(L536,Foundation_Calc!$V$4:$X$37,VLOOKUP(AX536,Foundation_Calc!$I$10:$J$13,2,FALSE),0),
IF(AX536="K",VLOOKUP(L536,Foundation_Calc!$V$41:$X$74,VLOOKUP(AX536,Foundation_Calc!$I$10:$J$13,2,FALSE),0),"")))</f>
        <v/>
      </c>
      <c r="N536" s="8"/>
      <c r="O536" s="8"/>
      <c r="P536" s="8"/>
      <c r="Q536" s="14"/>
      <c r="R536" s="15"/>
      <c r="S536" s="15"/>
      <c r="T536" s="14"/>
      <c r="U536" s="14"/>
      <c r="V536" s="14"/>
      <c r="W536" s="18"/>
      <c r="X536" s="18"/>
      <c r="Y536" s="18"/>
      <c r="Z536" s="18"/>
      <c r="AA536" s="18"/>
      <c r="AB536" s="18"/>
      <c r="AC536" s="8" t="str">
        <f t="shared" si="33"/>
        <v/>
      </c>
      <c r="AD536" s="8"/>
      <c r="AE536" s="8"/>
      <c r="AF536" s="14"/>
      <c r="AG536" s="13"/>
      <c r="AH536" s="14"/>
      <c r="AI536" s="14"/>
      <c r="AJ536" s="8"/>
      <c r="AK536" s="8"/>
      <c r="AL536" s="8"/>
      <c r="AM536" s="8"/>
      <c r="AN536" s="631"/>
      <c r="AO536" s="18"/>
      <c r="AP536" s="18"/>
      <c r="AQ536" s="18"/>
      <c r="AR536" s="18"/>
      <c r="AS536" s="18"/>
      <c r="AU536" s="448"/>
      <c r="AV536" s="448"/>
      <c r="AW536" s="8" t="str">
        <f>IF(C536&gt;0,VLOOKUP(C536,Foundation_Calc!$A$2:$C$986,3,1),
IF(J536&gt;0,VLOOKUP(J536,Foundation_Calc!$A$2:$C$986,3,1),""))</f>
        <v/>
      </c>
      <c r="AX536" s="8" t="str">
        <f>IF(C536&gt;0,VLOOKUP(C536,Foundation_Calc!$E$2:$G$986,3,1),
IF(J536&gt;0,VLOOKUP(J536,Foundation_Calc!$E$2:$G$986,3,1),""))</f>
        <v/>
      </c>
      <c r="AY536" s="631" t="str">
        <f>IF(L536="","",
IF(AX536="PT",VLOOKUP(L536,Foundation_Calc!$K$4:$R$37,VLOOKUP(AW536,Foundation_Calc!$I$2:$J$8,2,FALSE),0),
IF(AX536="K",VLOOKUP(L536,Foundation_Calc!$K$41:$R$74,VLOOKUP(AW536,Foundation_Calc!$I$2:$J$8,2,FALSE),0),"")))</f>
        <v/>
      </c>
      <c r="AZ536" s="631" t="str">
        <f>IF(K536="","",
IF(AX536="PT",VLOOKUP(K536,Foundation_Calc!$K$4:$R$37,VLOOKUP(AW536,Foundation_Calc!$I$2:$J$8,2,FALSE),0),
IF(AX536="K",VLOOKUP(K536,Foundation_Calc!$K$41:$R$74,VLOOKUP(AW536,Foundation_Calc!$I$2:$J$8,2,FALSE),0),"")))</f>
        <v/>
      </c>
      <c r="BA536" s="632" t="str">
        <f t="shared" si="34"/>
        <v/>
      </c>
      <c r="BB536" s="632" t="str">
        <f t="shared" si="35"/>
        <v/>
      </c>
      <c r="BC536" s="632" t="str">
        <f t="shared" si="36"/>
        <v/>
      </c>
      <c r="BD536" s="633" t="str">
        <f>IF(AND(L536="",H536=""),"",
IF(H536="",Pole_Calc!A564,
IF(H536="MP",Pole_Calc!A565,
IF(H536="AnMP",Pole_Calc!A566,
IF(H536="A",Pole_Calc!A567,
IF(H536="S/A",Pole_Calc!A568,
IF(H536="A/S",Pole_Calc!A569,"Poner a mano")))))))</f>
        <v/>
      </c>
      <c r="BE536" s="448" t="s">
        <v>1726</v>
      </c>
      <c r="BF536" s="634"/>
      <c r="BG536" s="634"/>
      <c r="BH536" s="634"/>
      <c r="BI536" s="634"/>
    </row>
    <row r="537" spans="1:61" ht="16.2" customHeight="1">
      <c r="A537" s="12"/>
      <c r="B537" s="446"/>
      <c r="C537" s="89"/>
      <c r="D537" s="13"/>
      <c r="E537" s="14"/>
      <c r="F537" s="14"/>
      <c r="G537" s="15"/>
      <c r="H537" s="8"/>
      <c r="I537" s="8"/>
      <c r="J537" s="89"/>
      <c r="K537" s="8"/>
      <c r="L537" s="8"/>
      <c r="M537" s="8" t="str">
        <f>IF(L537="","",
IF(AX537="PT",VLOOKUP(L537,Foundation_Calc!$V$4:$X$37,VLOOKUP(AX537,Foundation_Calc!$I$10:$J$13,2,FALSE),0),
IF(AX537="K",VLOOKUP(L537,Foundation_Calc!$V$41:$X$74,VLOOKUP(AX537,Foundation_Calc!$I$10:$J$13,2,FALSE),0),"")))</f>
        <v/>
      </c>
      <c r="N537" s="8"/>
      <c r="O537" s="8"/>
      <c r="P537" s="8"/>
      <c r="Q537" s="14"/>
      <c r="R537" s="15"/>
      <c r="S537" s="15"/>
      <c r="T537" s="14"/>
      <c r="U537" s="14"/>
      <c r="V537" s="14"/>
      <c r="W537" s="18"/>
      <c r="X537" s="18"/>
      <c r="Y537" s="18"/>
      <c r="Z537" s="18"/>
      <c r="AA537" s="18"/>
      <c r="AB537" s="18"/>
      <c r="AC537" s="8" t="str">
        <f t="shared" si="33"/>
        <v/>
      </c>
      <c r="AD537" s="8"/>
      <c r="AE537" s="8"/>
      <c r="AF537" s="14"/>
      <c r="AG537" s="13"/>
      <c r="AH537" s="14"/>
      <c r="AI537" s="14"/>
      <c r="AJ537" s="8"/>
      <c r="AK537" s="8"/>
      <c r="AL537" s="8"/>
      <c r="AM537" s="8"/>
      <c r="AN537" s="631"/>
      <c r="AO537" s="18"/>
      <c r="AP537" s="18"/>
      <c r="AQ537" s="18"/>
      <c r="AR537" s="18"/>
      <c r="AS537" s="18"/>
      <c r="AU537" s="448"/>
      <c r="AV537" s="448"/>
      <c r="AW537" s="8" t="str">
        <f>IF(C537&gt;0,VLOOKUP(C537,Foundation_Calc!$A$2:$C$986,3,1),
IF(J537&gt;0,VLOOKUP(J537,Foundation_Calc!$A$2:$C$986,3,1),""))</f>
        <v/>
      </c>
      <c r="AX537" s="8" t="str">
        <f>IF(C537&gt;0,VLOOKUP(C537,Foundation_Calc!$E$2:$G$986,3,1),
IF(J537&gt;0,VLOOKUP(J537,Foundation_Calc!$E$2:$G$986,3,1),""))</f>
        <v/>
      </c>
      <c r="AY537" s="631" t="str">
        <f>IF(L537="","",
IF(AX537="PT",VLOOKUP(L537,Foundation_Calc!$K$4:$R$37,VLOOKUP(AW537,Foundation_Calc!$I$2:$J$8,2,FALSE),0),
IF(AX537="K",VLOOKUP(L537,Foundation_Calc!$K$41:$R$74,VLOOKUP(AW537,Foundation_Calc!$I$2:$J$8,2,FALSE),0),"")))</f>
        <v/>
      </c>
      <c r="AZ537" s="631" t="str">
        <f>IF(K537="","",
IF(AX537="PT",VLOOKUP(K537,Foundation_Calc!$K$4:$R$37,VLOOKUP(AW537,Foundation_Calc!$I$2:$J$8,2,FALSE),0),
IF(AX537="K",VLOOKUP(K537,Foundation_Calc!$K$41:$R$74,VLOOKUP(AW537,Foundation_Calc!$I$2:$J$8,2,FALSE),0),"")))</f>
        <v/>
      </c>
      <c r="BA537" s="632" t="str">
        <f t="shared" si="34"/>
        <v/>
      </c>
      <c r="BB537" s="632" t="str">
        <f t="shared" si="35"/>
        <v/>
      </c>
      <c r="BC537" s="632" t="str">
        <f t="shared" si="36"/>
        <v/>
      </c>
      <c r="BD537" s="633" t="str">
        <f>IF(AND(L537="",H537=""),"",
IF(H537="",Pole_Calc!A565,
IF(H537="MP",Pole_Calc!A566,
IF(H537="AnMP",Pole_Calc!A567,
IF(H537="A",Pole_Calc!A568,
IF(H537="S/A",Pole_Calc!A569,
IF(H537="A/S",Pole_Calc!A570,"Poner a mano")))))))</f>
        <v/>
      </c>
      <c r="BE537" s="448" t="s">
        <v>1726</v>
      </c>
      <c r="BF537" s="635"/>
      <c r="BG537" s="635"/>
      <c r="BH537" s="634"/>
      <c r="BI537" s="635"/>
    </row>
    <row r="538" spans="1:61" ht="16.2" customHeight="1">
      <c r="A538" s="12"/>
      <c r="B538" s="446"/>
      <c r="C538" s="89"/>
      <c r="D538" s="13"/>
      <c r="E538" s="14"/>
      <c r="F538" s="14"/>
      <c r="G538" s="15"/>
      <c r="H538" s="8"/>
      <c r="I538" s="8"/>
      <c r="J538" s="89"/>
      <c r="K538" s="8"/>
      <c r="L538" s="8"/>
      <c r="M538" s="8" t="str">
        <f>IF(L538="","",
IF(AX538="PT",VLOOKUP(L538,Foundation_Calc!$V$4:$X$37,VLOOKUP(AX538,Foundation_Calc!$I$10:$J$13,2,FALSE),0),
IF(AX538="K",VLOOKUP(L538,Foundation_Calc!$V$41:$X$74,VLOOKUP(AX538,Foundation_Calc!$I$10:$J$13,2,FALSE),0),"")))</f>
        <v/>
      </c>
      <c r="N538" s="8"/>
      <c r="O538" s="8"/>
      <c r="P538" s="8"/>
      <c r="Q538" s="14"/>
      <c r="R538" s="15"/>
      <c r="S538" s="15"/>
      <c r="T538" s="14"/>
      <c r="U538" s="14"/>
      <c r="V538" s="14"/>
      <c r="W538" s="18"/>
      <c r="X538" s="18"/>
      <c r="Y538" s="18"/>
      <c r="Z538" s="18"/>
      <c r="AA538" s="18"/>
      <c r="AB538" s="18"/>
      <c r="AC538" s="8" t="str">
        <f t="shared" si="33"/>
        <v/>
      </c>
      <c r="AD538" s="8"/>
      <c r="AE538" s="8"/>
      <c r="AF538" s="14"/>
      <c r="AG538" s="13"/>
      <c r="AH538" s="14"/>
      <c r="AI538" s="14"/>
      <c r="AJ538" s="8"/>
      <c r="AK538" s="8"/>
      <c r="AL538" s="8"/>
      <c r="AM538" s="8"/>
      <c r="AN538" s="631"/>
      <c r="AO538" s="18"/>
      <c r="AP538" s="18"/>
      <c r="AQ538" s="18"/>
      <c r="AR538" s="18"/>
      <c r="AS538" s="18"/>
      <c r="AU538" s="448"/>
      <c r="AV538" s="448"/>
      <c r="AW538" s="8" t="str">
        <f>IF(C538&gt;0,VLOOKUP(C538,Foundation_Calc!$A$2:$C$986,3,1),
IF(J538&gt;0,VLOOKUP(J538,Foundation_Calc!$A$2:$C$986,3,1),""))</f>
        <v/>
      </c>
      <c r="AX538" s="8" t="str">
        <f>IF(C538&gt;0,VLOOKUP(C538,Foundation_Calc!$E$2:$G$986,3,1),
IF(J538&gt;0,VLOOKUP(J538,Foundation_Calc!$E$2:$G$986,3,1),""))</f>
        <v/>
      </c>
      <c r="AY538" s="631" t="str">
        <f>IF(L538="","",
IF(AX538="PT",VLOOKUP(L538,Foundation_Calc!$K$4:$R$37,VLOOKUP(AW538,Foundation_Calc!$I$2:$J$8,2,FALSE),0),
IF(AX538="K",VLOOKUP(L538,Foundation_Calc!$K$41:$R$74,VLOOKUP(AW538,Foundation_Calc!$I$2:$J$8,2,FALSE),0),"")))</f>
        <v/>
      </c>
      <c r="AZ538" s="631" t="str">
        <f>IF(K538="","",
IF(AX538="PT",VLOOKUP(K538,Foundation_Calc!$K$4:$R$37,VLOOKUP(AW538,Foundation_Calc!$I$2:$J$8,2,FALSE),0),
IF(AX538="K",VLOOKUP(K538,Foundation_Calc!$K$41:$R$74,VLOOKUP(AW538,Foundation_Calc!$I$2:$J$8,2,FALSE),0),"")))</f>
        <v/>
      </c>
      <c r="BA538" s="632" t="str">
        <f t="shared" si="34"/>
        <v/>
      </c>
      <c r="BB538" s="632" t="str">
        <f t="shared" si="35"/>
        <v/>
      </c>
      <c r="BC538" s="632" t="str">
        <f t="shared" si="36"/>
        <v/>
      </c>
      <c r="BD538" s="633" t="str">
        <f>IF(AND(L538="",H538=""),"",
IF(H538="",Pole_Calc!A566,
IF(H538="MP",Pole_Calc!A567,
IF(H538="AnMP",Pole_Calc!A568,
IF(H538="A",Pole_Calc!A569,
IF(H538="S/A",Pole_Calc!A570,
IF(H538="A/S",Pole_Calc!A571,"Poner a mano")))))))</f>
        <v/>
      </c>
      <c r="BE538" s="448" t="s">
        <v>1726</v>
      </c>
      <c r="BF538" s="634"/>
      <c r="BG538" s="634"/>
      <c r="BH538" s="634"/>
      <c r="BI538" s="634"/>
    </row>
    <row r="539" spans="1:61" ht="16.2" customHeight="1">
      <c r="A539" s="12"/>
      <c r="B539" s="446"/>
      <c r="C539" s="89"/>
      <c r="D539" s="13"/>
      <c r="E539" s="14"/>
      <c r="F539" s="14"/>
      <c r="G539" s="15"/>
      <c r="H539" s="8"/>
      <c r="I539" s="8"/>
      <c r="J539" s="89"/>
      <c r="K539" s="8"/>
      <c r="L539" s="8"/>
      <c r="M539" s="8" t="str">
        <f>IF(L539="","",
IF(AX539="PT",VLOOKUP(L539,Foundation_Calc!$V$4:$X$37,VLOOKUP(AX539,Foundation_Calc!$I$10:$J$13,2,FALSE),0),
IF(AX539="K",VLOOKUP(L539,Foundation_Calc!$V$41:$X$74,VLOOKUP(AX539,Foundation_Calc!$I$10:$J$13,2,FALSE),0),"")))</f>
        <v/>
      </c>
      <c r="N539" s="8"/>
      <c r="O539" s="8"/>
      <c r="P539" s="8"/>
      <c r="Q539" s="14"/>
      <c r="R539" s="15"/>
      <c r="S539" s="15"/>
      <c r="T539" s="14"/>
      <c r="U539" s="14"/>
      <c r="V539" s="14"/>
      <c r="W539" s="18"/>
      <c r="X539" s="18"/>
      <c r="Y539" s="18"/>
      <c r="Z539" s="18"/>
      <c r="AA539" s="18"/>
      <c r="AB539" s="18"/>
      <c r="AC539" s="8" t="str">
        <f t="shared" si="33"/>
        <v/>
      </c>
      <c r="AD539" s="8"/>
      <c r="AE539" s="8"/>
      <c r="AF539" s="14"/>
      <c r="AG539" s="13"/>
      <c r="AH539" s="14"/>
      <c r="AI539" s="14"/>
      <c r="AJ539" s="8"/>
      <c r="AK539" s="8"/>
      <c r="AL539" s="8"/>
      <c r="AM539" s="8"/>
      <c r="AN539" s="631"/>
      <c r="AO539" s="18"/>
      <c r="AP539" s="18"/>
      <c r="AQ539" s="18"/>
      <c r="AR539" s="18"/>
      <c r="AS539" s="18"/>
      <c r="AU539" s="448"/>
      <c r="AV539" s="448"/>
      <c r="AW539" s="8" t="str">
        <f>IF(C539&gt;0,VLOOKUP(C539,Foundation_Calc!$A$2:$C$986,3,1),
IF(J539&gt;0,VLOOKUP(J539,Foundation_Calc!$A$2:$C$986,3,1),""))</f>
        <v/>
      </c>
      <c r="AX539" s="8" t="str">
        <f>IF(C539&gt;0,VLOOKUP(C539,Foundation_Calc!$E$2:$G$986,3,1),
IF(J539&gt;0,VLOOKUP(J539,Foundation_Calc!$E$2:$G$986,3,1),""))</f>
        <v/>
      </c>
      <c r="AY539" s="631" t="str">
        <f>IF(L539="","",
IF(AX539="PT",VLOOKUP(L539,Foundation_Calc!$K$4:$R$37,VLOOKUP(AW539,Foundation_Calc!$I$2:$J$8,2,FALSE),0),
IF(AX539="K",VLOOKUP(L539,Foundation_Calc!$K$41:$R$74,VLOOKUP(AW539,Foundation_Calc!$I$2:$J$8,2,FALSE),0),"")))</f>
        <v/>
      </c>
      <c r="AZ539" s="631" t="str">
        <f>IF(K539="","",
IF(AX539="PT",VLOOKUP(K539,Foundation_Calc!$K$4:$R$37,VLOOKUP(AW539,Foundation_Calc!$I$2:$J$8,2,FALSE),0),
IF(AX539="K",VLOOKUP(K539,Foundation_Calc!$K$41:$R$74,VLOOKUP(AW539,Foundation_Calc!$I$2:$J$8,2,FALSE),0),"")))</f>
        <v/>
      </c>
      <c r="BA539" s="632" t="str">
        <f t="shared" si="34"/>
        <v/>
      </c>
      <c r="BB539" s="632" t="str">
        <f t="shared" si="35"/>
        <v/>
      </c>
      <c r="BC539" s="632" t="str">
        <f t="shared" si="36"/>
        <v/>
      </c>
      <c r="BD539" s="633" t="str">
        <f>IF(AND(L539="",H539=""),"",
IF(H539="",Pole_Calc!A567,
IF(H539="MP",Pole_Calc!A568,
IF(H539="AnMP",Pole_Calc!A569,
IF(H539="A",Pole_Calc!A570,
IF(H539="S/A",Pole_Calc!A571,
IF(H539="A/S",Pole_Calc!A572,"Poner a mano")))))))</f>
        <v/>
      </c>
      <c r="BE539" s="448" t="s">
        <v>1726</v>
      </c>
      <c r="BF539" s="635"/>
      <c r="BG539" s="635"/>
      <c r="BH539" s="634"/>
      <c r="BI539" s="635"/>
    </row>
    <row r="540" spans="1:61" ht="16.2" customHeight="1">
      <c r="A540" s="12"/>
      <c r="B540" s="446"/>
      <c r="C540" s="89"/>
      <c r="D540" s="13"/>
      <c r="E540" s="14"/>
      <c r="F540" s="14"/>
      <c r="G540" s="15"/>
      <c r="H540" s="8"/>
      <c r="I540" s="8"/>
      <c r="J540" s="89"/>
      <c r="K540" s="8"/>
      <c r="L540" s="8"/>
      <c r="M540" s="8" t="str">
        <f>IF(L540="","",
IF(AX540="PT",VLOOKUP(L540,Foundation_Calc!$V$4:$X$37,VLOOKUP(AX540,Foundation_Calc!$I$10:$J$13,2,FALSE),0),
IF(AX540="K",VLOOKUP(L540,Foundation_Calc!$V$41:$X$74,VLOOKUP(AX540,Foundation_Calc!$I$10:$J$13,2,FALSE),0),"")))</f>
        <v/>
      </c>
      <c r="N540" s="8"/>
      <c r="O540" s="8"/>
      <c r="P540" s="8"/>
      <c r="Q540" s="14"/>
      <c r="R540" s="15"/>
      <c r="S540" s="15"/>
      <c r="T540" s="14"/>
      <c r="U540" s="14"/>
      <c r="V540" s="14"/>
      <c r="W540" s="18"/>
      <c r="X540" s="18"/>
      <c r="Y540" s="18"/>
      <c r="Z540" s="18"/>
      <c r="AA540" s="18"/>
      <c r="AB540" s="18"/>
      <c r="AC540" s="8" t="str">
        <f t="shared" si="33"/>
        <v/>
      </c>
      <c r="AD540" s="8"/>
      <c r="AE540" s="8"/>
      <c r="AF540" s="14"/>
      <c r="AG540" s="13"/>
      <c r="AH540" s="14"/>
      <c r="AI540" s="14"/>
      <c r="AJ540" s="8"/>
      <c r="AK540" s="8"/>
      <c r="AL540" s="8"/>
      <c r="AM540" s="8"/>
      <c r="AN540" s="631"/>
      <c r="AO540" s="18"/>
      <c r="AP540" s="18"/>
      <c r="AQ540" s="18"/>
      <c r="AR540" s="18"/>
      <c r="AS540" s="18"/>
      <c r="AU540" s="448"/>
      <c r="AV540" s="448"/>
      <c r="AW540" s="8" t="str">
        <f>IF(C540&gt;0,VLOOKUP(C540,Foundation_Calc!$A$2:$C$986,3,1),
IF(J540&gt;0,VLOOKUP(J540,Foundation_Calc!$A$2:$C$986,3,1),""))</f>
        <v/>
      </c>
      <c r="AX540" s="8" t="str">
        <f>IF(C540&gt;0,VLOOKUP(C540,Foundation_Calc!$E$2:$G$986,3,1),
IF(J540&gt;0,VLOOKUP(J540,Foundation_Calc!$E$2:$G$986,3,1),""))</f>
        <v/>
      </c>
      <c r="AY540" s="631" t="str">
        <f>IF(L540="","",
IF(AX540="PT",VLOOKUP(L540,Foundation_Calc!$K$4:$R$37,VLOOKUP(AW540,Foundation_Calc!$I$2:$J$8,2,FALSE),0),
IF(AX540="K",VLOOKUP(L540,Foundation_Calc!$K$41:$R$74,VLOOKUP(AW540,Foundation_Calc!$I$2:$J$8,2,FALSE),0),"")))</f>
        <v/>
      </c>
      <c r="AZ540" s="631" t="str">
        <f>IF(K540="","",
IF(AX540="PT",VLOOKUP(K540,Foundation_Calc!$K$4:$R$37,VLOOKUP(AW540,Foundation_Calc!$I$2:$J$8,2,FALSE),0),
IF(AX540="K",VLOOKUP(K540,Foundation_Calc!$K$41:$R$74,VLOOKUP(AW540,Foundation_Calc!$I$2:$J$8,2,FALSE),0),"")))</f>
        <v/>
      </c>
      <c r="BA540" s="632" t="str">
        <f t="shared" si="34"/>
        <v/>
      </c>
      <c r="BB540" s="632" t="str">
        <f t="shared" si="35"/>
        <v/>
      </c>
      <c r="BC540" s="632" t="str">
        <f t="shared" si="36"/>
        <v/>
      </c>
      <c r="BD540" s="633" t="str">
        <f>IF(AND(L540="",H540=""),"",
IF(H540="",Pole_Calc!A568,
IF(H540="MP",Pole_Calc!A569,
IF(H540="AnMP",Pole_Calc!A570,
IF(H540="A",Pole_Calc!A571,
IF(H540="S/A",Pole_Calc!A572,
IF(H540="A/S",Pole_Calc!A573,"Poner a mano")))))))</f>
        <v/>
      </c>
      <c r="BE540" s="448" t="s">
        <v>1726</v>
      </c>
      <c r="BF540" s="634"/>
      <c r="BG540" s="634"/>
      <c r="BH540" s="634"/>
      <c r="BI540" s="634"/>
    </row>
    <row r="541" spans="1:61" ht="16.2" customHeight="1">
      <c r="A541" s="12"/>
      <c r="B541" s="446"/>
      <c r="C541" s="89"/>
      <c r="D541" s="13"/>
      <c r="E541" s="14"/>
      <c r="F541" s="14"/>
      <c r="G541" s="15"/>
      <c r="H541" s="8"/>
      <c r="I541" s="8"/>
      <c r="J541" s="89"/>
      <c r="K541" s="8"/>
      <c r="L541" s="8"/>
      <c r="M541" s="8" t="str">
        <f>IF(L541="","",
IF(AX541="PT",VLOOKUP(L541,Foundation_Calc!$V$4:$X$37,VLOOKUP(AX541,Foundation_Calc!$I$10:$J$13,2,FALSE),0),
IF(AX541="K",VLOOKUP(L541,Foundation_Calc!$V$41:$X$74,VLOOKUP(AX541,Foundation_Calc!$I$10:$J$13,2,FALSE),0),"")))</f>
        <v/>
      </c>
      <c r="N541" s="8"/>
      <c r="O541" s="8"/>
      <c r="P541" s="8"/>
      <c r="Q541" s="14"/>
      <c r="R541" s="15"/>
      <c r="S541" s="15"/>
      <c r="T541" s="14"/>
      <c r="U541" s="14"/>
      <c r="V541" s="14"/>
      <c r="W541" s="18"/>
      <c r="X541" s="18"/>
      <c r="Y541" s="18"/>
      <c r="Z541" s="18"/>
      <c r="AA541" s="18"/>
      <c r="AB541" s="18"/>
      <c r="AC541" s="8" t="str">
        <f t="shared" si="33"/>
        <v/>
      </c>
      <c r="AD541" s="8"/>
      <c r="AE541" s="8"/>
      <c r="AF541" s="14"/>
      <c r="AG541" s="13"/>
      <c r="AH541" s="14"/>
      <c r="AI541" s="14"/>
      <c r="AJ541" s="8"/>
      <c r="AK541" s="8"/>
      <c r="AL541" s="8"/>
      <c r="AM541" s="8"/>
      <c r="AN541" s="631"/>
      <c r="AO541" s="18"/>
      <c r="AP541" s="18"/>
      <c r="AQ541" s="18"/>
      <c r="AR541" s="18"/>
      <c r="AS541" s="18"/>
      <c r="AU541" s="448"/>
      <c r="AV541" s="448"/>
      <c r="AW541" s="8" t="str">
        <f>IF(C541&gt;0,VLOOKUP(C541,Foundation_Calc!$A$2:$C$986,3,1),
IF(J541&gt;0,VLOOKUP(J541,Foundation_Calc!$A$2:$C$986,3,1),""))</f>
        <v/>
      </c>
      <c r="AX541" s="8" t="str">
        <f>IF(C541&gt;0,VLOOKUP(C541,Foundation_Calc!$E$2:$G$986,3,1),
IF(J541&gt;0,VLOOKUP(J541,Foundation_Calc!$E$2:$G$986,3,1),""))</f>
        <v/>
      </c>
      <c r="AY541" s="631" t="str">
        <f>IF(L541="","",
IF(AX541="PT",VLOOKUP(L541,Foundation_Calc!$K$4:$R$37,VLOOKUP(AW541,Foundation_Calc!$I$2:$J$8,2,FALSE),0),
IF(AX541="K",VLOOKUP(L541,Foundation_Calc!$K$41:$R$74,VLOOKUP(AW541,Foundation_Calc!$I$2:$J$8,2,FALSE),0),"")))</f>
        <v/>
      </c>
      <c r="AZ541" s="631" t="str">
        <f>IF(K541="","",
IF(AX541="PT",VLOOKUP(K541,Foundation_Calc!$K$4:$R$37,VLOOKUP(AW541,Foundation_Calc!$I$2:$J$8,2,FALSE),0),
IF(AX541="K",VLOOKUP(K541,Foundation_Calc!$K$41:$R$74,VLOOKUP(AW541,Foundation_Calc!$I$2:$J$8,2,FALSE),0),"")))</f>
        <v/>
      </c>
      <c r="BA541" s="632" t="str">
        <f t="shared" si="34"/>
        <v/>
      </c>
      <c r="BB541" s="632" t="str">
        <f t="shared" si="35"/>
        <v/>
      </c>
      <c r="BC541" s="632" t="str">
        <f t="shared" si="36"/>
        <v/>
      </c>
      <c r="BD541" s="633" t="str">
        <f>IF(AND(L541="",H541=""),"",
IF(H541="",Pole_Calc!A569,
IF(H541="MP",Pole_Calc!A570,
IF(H541="AnMP",Pole_Calc!A571,
IF(H541="A",Pole_Calc!A572,
IF(H541="S/A",Pole_Calc!A573,
IF(H541="A/S",Pole_Calc!A574,"Poner a mano")))))))</f>
        <v/>
      </c>
      <c r="BE541" s="448" t="s">
        <v>1726</v>
      </c>
      <c r="BF541" s="635"/>
      <c r="BG541" s="635"/>
      <c r="BH541" s="634"/>
      <c r="BI541" s="635"/>
    </row>
    <row r="542" spans="1:61" ht="16.2" customHeight="1">
      <c r="A542" s="12"/>
      <c r="B542" s="446"/>
      <c r="C542" s="89"/>
      <c r="D542" s="13"/>
      <c r="E542" s="14"/>
      <c r="F542" s="14"/>
      <c r="G542" s="15"/>
      <c r="H542" s="8"/>
      <c r="I542" s="8"/>
      <c r="J542" s="89"/>
      <c r="K542" s="8"/>
      <c r="L542" s="8"/>
      <c r="M542" s="8" t="str">
        <f>IF(L542="","",
IF(AX542="PT",VLOOKUP(L542,Foundation_Calc!$V$4:$X$37,VLOOKUP(AX542,Foundation_Calc!$I$10:$J$13,2,FALSE),0),
IF(AX542="K",VLOOKUP(L542,Foundation_Calc!$V$41:$X$74,VLOOKUP(AX542,Foundation_Calc!$I$10:$J$13,2,FALSE),0),"")))</f>
        <v/>
      </c>
      <c r="N542" s="8"/>
      <c r="O542" s="8"/>
      <c r="P542" s="8"/>
      <c r="Q542" s="14"/>
      <c r="R542" s="15"/>
      <c r="S542" s="15"/>
      <c r="T542" s="14"/>
      <c r="U542" s="14"/>
      <c r="V542" s="14"/>
      <c r="W542" s="18"/>
      <c r="X542" s="18"/>
      <c r="Y542" s="18"/>
      <c r="Z542" s="18"/>
      <c r="AA542" s="18"/>
      <c r="AB542" s="18"/>
      <c r="AC542" s="8" t="str">
        <f t="shared" si="33"/>
        <v/>
      </c>
      <c r="AD542" s="8"/>
      <c r="AE542" s="8"/>
      <c r="AF542" s="14"/>
      <c r="AG542" s="13"/>
      <c r="AH542" s="14"/>
      <c r="AI542" s="14"/>
      <c r="AJ542" s="8"/>
      <c r="AK542" s="8"/>
      <c r="AL542" s="8"/>
      <c r="AM542" s="8"/>
      <c r="AN542" s="631"/>
      <c r="AO542" s="18"/>
      <c r="AP542" s="18"/>
      <c r="AQ542" s="18"/>
      <c r="AR542" s="18"/>
      <c r="AS542" s="18"/>
      <c r="AU542" s="448"/>
      <c r="AV542" s="448"/>
      <c r="AW542" s="8" t="str">
        <f>IF(C542&gt;0,VLOOKUP(C542,Foundation_Calc!$A$2:$C$986,3,1),
IF(J542&gt;0,VLOOKUP(J542,Foundation_Calc!$A$2:$C$986,3,1),""))</f>
        <v/>
      </c>
      <c r="AX542" s="8" t="str">
        <f>IF(C542&gt;0,VLOOKUP(C542,Foundation_Calc!$E$2:$G$986,3,1),
IF(J542&gt;0,VLOOKUP(J542,Foundation_Calc!$E$2:$G$986,3,1),""))</f>
        <v/>
      </c>
      <c r="AY542" s="631" t="str">
        <f>IF(L542="","",
IF(AX542="PT",VLOOKUP(L542,Foundation_Calc!$K$4:$R$37,VLOOKUP(AW542,Foundation_Calc!$I$2:$J$8,2,FALSE),0),
IF(AX542="K",VLOOKUP(L542,Foundation_Calc!$K$41:$R$74,VLOOKUP(AW542,Foundation_Calc!$I$2:$J$8,2,FALSE),0),"")))</f>
        <v/>
      </c>
      <c r="AZ542" s="631" t="str">
        <f>IF(K542="","",
IF(AX542="PT",VLOOKUP(K542,Foundation_Calc!$K$4:$R$37,VLOOKUP(AW542,Foundation_Calc!$I$2:$J$8,2,FALSE),0),
IF(AX542="K",VLOOKUP(K542,Foundation_Calc!$K$41:$R$74,VLOOKUP(AW542,Foundation_Calc!$I$2:$J$8,2,FALSE),0),"")))</f>
        <v/>
      </c>
      <c r="BA542" s="632" t="str">
        <f t="shared" si="34"/>
        <v/>
      </c>
      <c r="BB542" s="632" t="str">
        <f t="shared" si="35"/>
        <v/>
      </c>
      <c r="BC542" s="632" t="str">
        <f t="shared" si="36"/>
        <v/>
      </c>
      <c r="BD542" s="633" t="str">
        <f>IF(AND(L542="",H542=""),"",
IF(H542="",Pole_Calc!A570,
IF(H542="MP",Pole_Calc!A571,
IF(H542="AnMP",Pole_Calc!A572,
IF(H542="A",Pole_Calc!A573,
IF(H542="S/A",Pole_Calc!A574,
IF(H542="A/S",Pole_Calc!A575,"Poner a mano")))))))</f>
        <v/>
      </c>
      <c r="BE542" s="448" t="s">
        <v>1726</v>
      </c>
      <c r="BF542" s="634"/>
      <c r="BG542" s="634"/>
      <c r="BH542" s="634"/>
      <c r="BI542" s="634"/>
    </row>
    <row r="543" spans="1:61" ht="16.2" customHeight="1">
      <c r="A543" s="12"/>
      <c r="B543" s="446"/>
      <c r="C543" s="89"/>
      <c r="D543" s="13"/>
      <c r="E543" s="14"/>
      <c r="F543" s="14"/>
      <c r="G543" s="15"/>
      <c r="H543" s="8"/>
      <c r="I543" s="8"/>
      <c r="J543" s="89"/>
      <c r="K543" s="8"/>
      <c r="L543" s="8"/>
      <c r="M543" s="8" t="str">
        <f>IF(L543="","",
IF(AX543="PT",VLOOKUP(L543,Foundation_Calc!$V$4:$X$37,VLOOKUP(AX543,Foundation_Calc!$I$10:$J$13,2,FALSE),0),
IF(AX543="K",VLOOKUP(L543,Foundation_Calc!$V$41:$X$74,VLOOKUP(AX543,Foundation_Calc!$I$10:$J$13,2,FALSE),0),"")))</f>
        <v/>
      </c>
      <c r="N543" s="8"/>
      <c r="O543" s="8"/>
      <c r="P543" s="8"/>
      <c r="Q543" s="14"/>
      <c r="R543" s="15"/>
      <c r="S543" s="15"/>
      <c r="T543" s="14"/>
      <c r="U543" s="14"/>
      <c r="V543" s="14"/>
      <c r="W543" s="18"/>
      <c r="X543" s="18"/>
      <c r="Y543" s="18"/>
      <c r="Z543" s="18"/>
      <c r="AA543" s="18"/>
      <c r="AB543" s="18"/>
      <c r="AC543" s="8" t="str">
        <f t="shared" si="33"/>
        <v/>
      </c>
      <c r="AD543" s="8"/>
      <c r="AE543" s="8"/>
      <c r="AF543" s="14"/>
      <c r="AG543" s="13"/>
      <c r="AH543" s="14"/>
      <c r="AI543" s="14"/>
      <c r="AJ543" s="8"/>
      <c r="AK543" s="8"/>
      <c r="AL543" s="8"/>
      <c r="AM543" s="8"/>
      <c r="AN543" s="631"/>
      <c r="AO543" s="18"/>
      <c r="AP543" s="18"/>
      <c r="AQ543" s="18"/>
      <c r="AR543" s="18"/>
      <c r="AS543" s="18"/>
      <c r="AU543" s="448"/>
      <c r="AV543" s="448"/>
      <c r="AW543" s="8" t="str">
        <f>IF(C543&gt;0,VLOOKUP(C543,Foundation_Calc!$A$2:$C$986,3,1),
IF(J543&gt;0,VLOOKUP(J543,Foundation_Calc!$A$2:$C$986,3,1),""))</f>
        <v/>
      </c>
      <c r="AX543" s="8" t="str">
        <f>IF(C543&gt;0,VLOOKUP(C543,Foundation_Calc!$E$2:$G$986,3,1),
IF(J543&gt;0,VLOOKUP(J543,Foundation_Calc!$E$2:$G$986,3,1),""))</f>
        <v/>
      </c>
      <c r="AY543" s="631" t="str">
        <f>IF(L543="","",
IF(AX543="PT",VLOOKUP(L543,Foundation_Calc!$K$4:$R$37,VLOOKUP(AW543,Foundation_Calc!$I$2:$J$8,2,FALSE),0),
IF(AX543="K",VLOOKUP(L543,Foundation_Calc!$K$41:$R$74,VLOOKUP(AW543,Foundation_Calc!$I$2:$J$8,2,FALSE),0),"")))</f>
        <v/>
      </c>
      <c r="AZ543" s="631" t="str">
        <f>IF(K543="","",
IF(AX543="PT",VLOOKUP(K543,Foundation_Calc!$K$4:$R$37,VLOOKUP(AW543,Foundation_Calc!$I$2:$J$8,2,FALSE),0),
IF(AX543="K",VLOOKUP(K543,Foundation_Calc!$K$41:$R$74,VLOOKUP(AW543,Foundation_Calc!$I$2:$J$8,2,FALSE),0),"")))</f>
        <v/>
      </c>
      <c r="BA543" s="632" t="str">
        <f t="shared" si="34"/>
        <v/>
      </c>
      <c r="BB543" s="632" t="str">
        <f t="shared" si="35"/>
        <v/>
      </c>
      <c r="BC543" s="632" t="str">
        <f t="shared" si="36"/>
        <v/>
      </c>
      <c r="BD543" s="633" t="str">
        <f>IF(AND(L543="",H543=""),"",
IF(H543="",Pole_Calc!A571,
IF(H543="MP",Pole_Calc!A572,
IF(H543="AnMP",Pole_Calc!A573,
IF(H543="A",Pole_Calc!A574,
IF(H543="S/A",Pole_Calc!A575,
IF(H543="A/S",Pole_Calc!A576,"Poner a mano")))))))</f>
        <v/>
      </c>
      <c r="BE543" s="448" t="s">
        <v>1726</v>
      </c>
      <c r="BF543" s="635"/>
      <c r="BG543" s="635"/>
      <c r="BH543" s="634"/>
      <c r="BI543" s="635"/>
    </row>
    <row r="544" spans="1:61" ht="16.2" customHeight="1">
      <c r="A544" s="12"/>
      <c r="B544" s="446"/>
      <c r="C544" s="89"/>
      <c r="D544" s="13"/>
      <c r="E544" s="14"/>
      <c r="F544" s="14"/>
      <c r="G544" s="15"/>
      <c r="H544" s="8"/>
      <c r="I544" s="8"/>
      <c r="J544" s="89"/>
      <c r="K544" s="8"/>
      <c r="L544" s="8"/>
      <c r="M544" s="8" t="str">
        <f>IF(L544="","",
IF(AX544="PT",VLOOKUP(L544,Foundation_Calc!$V$4:$X$37,VLOOKUP(AX544,Foundation_Calc!$I$10:$J$13,2,FALSE),0),
IF(AX544="K",VLOOKUP(L544,Foundation_Calc!$V$41:$X$74,VLOOKUP(AX544,Foundation_Calc!$I$10:$J$13,2,FALSE),0),"")))</f>
        <v/>
      </c>
      <c r="N544" s="8"/>
      <c r="O544" s="8"/>
      <c r="P544" s="8"/>
      <c r="Q544" s="14"/>
      <c r="R544" s="15"/>
      <c r="S544" s="15"/>
      <c r="T544" s="14"/>
      <c r="U544" s="14"/>
      <c r="V544" s="14"/>
      <c r="W544" s="18"/>
      <c r="X544" s="18"/>
      <c r="Y544" s="18"/>
      <c r="Z544" s="18"/>
      <c r="AA544" s="18"/>
      <c r="AB544" s="18"/>
      <c r="AC544" s="8" t="str">
        <f t="shared" si="33"/>
        <v/>
      </c>
      <c r="AD544" s="8"/>
      <c r="AE544" s="8"/>
      <c r="AF544" s="14"/>
      <c r="AG544" s="13"/>
      <c r="AH544" s="14"/>
      <c r="AI544" s="14"/>
      <c r="AJ544" s="8"/>
      <c r="AK544" s="8"/>
      <c r="AL544" s="8"/>
      <c r="AM544" s="8"/>
      <c r="AN544" s="631"/>
      <c r="AO544" s="18"/>
      <c r="AP544" s="18"/>
      <c r="AQ544" s="18"/>
      <c r="AR544" s="18"/>
      <c r="AS544" s="18"/>
      <c r="AU544" s="448"/>
      <c r="AV544" s="448"/>
      <c r="AW544" s="8" t="str">
        <f>IF(C544&gt;0,VLOOKUP(C544,Foundation_Calc!$A$2:$C$986,3,1),
IF(J544&gt;0,VLOOKUP(J544,Foundation_Calc!$A$2:$C$986,3,1),""))</f>
        <v/>
      </c>
      <c r="AX544" s="8" t="str">
        <f>IF(C544&gt;0,VLOOKUP(C544,Foundation_Calc!$E$2:$G$986,3,1),
IF(J544&gt;0,VLOOKUP(J544,Foundation_Calc!$E$2:$G$986,3,1),""))</f>
        <v/>
      </c>
      <c r="AY544" s="631" t="str">
        <f>IF(L544="","",
IF(AX544="PT",VLOOKUP(L544,Foundation_Calc!$K$4:$R$37,VLOOKUP(AW544,Foundation_Calc!$I$2:$J$8,2,FALSE),0),
IF(AX544="K",VLOOKUP(L544,Foundation_Calc!$K$41:$R$74,VLOOKUP(AW544,Foundation_Calc!$I$2:$J$8,2,FALSE),0),"")))</f>
        <v/>
      </c>
      <c r="AZ544" s="631" t="str">
        <f>IF(K544="","",
IF(AX544="PT",VLOOKUP(K544,Foundation_Calc!$K$4:$R$37,VLOOKUP(AW544,Foundation_Calc!$I$2:$J$8,2,FALSE),0),
IF(AX544="K",VLOOKUP(K544,Foundation_Calc!$K$41:$R$74,VLOOKUP(AW544,Foundation_Calc!$I$2:$J$8,2,FALSE),0),"")))</f>
        <v/>
      </c>
      <c r="BA544" s="632" t="str">
        <f t="shared" si="34"/>
        <v/>
      </c>
      <c r="BB544" s="632" t="str">
        <f t="shared" si="35"/>
        <v/>
      </c>
      <c r="BC544" s="632" t="str">
        <f t="shared" si="36"/>
        <v/>
      </c>
      <c r="BD544" s="633" t="str">
        <f>IF(AND(L544="",H544=""),"",
IF(H544="",Pole_Calc!A572,
IF(H544="MP",Pole_Calc!A573,
IF(H544="AnMP",Pole_Calc!A574,
IF(H544="A",Pole_Calc!A575,
IF(H544="S/A",Pole_Calc!A576,
IF(H544="A/S",Pole_Calc!A577,"Poner a mano")))))))</f>
        <v/>
      </c>
      <c r="BE544" s="448" t="s">
        <v>1726</v>
      </c>
      <c r="BF544" s="634"/>
      <c r="BG544" s="634"/>
      <c r="BH544" s="634"/>
      <c r="BI544" s="634"/>
    </row>
    <row r="545" spans="1:61" ht="16.2" customHeight="1">
      <c r="A545" s="12"/>
      <c r="B545" s="446"/>
      <c r="C545" s="89"/>
      <c r="D545" s="13"/>
      <c r="E545" s="14"/>
      <c r="F545" s="14"/>
      <c r="G545" s="15"/>
      <c r="H545" s="8"/>
      <c r="I545" s="8"/>
      <c r="J545" s="89"/>
      <c r="K545" s="8"/>
      <c r="L545" s="8"/>
      <c r="M545" s="8" t="str">
        <f>IF(L545="","",
IF(AX545="PT",VLOOKUP(L545,Foundation_Calc!$V$4:$X$37,VLOOKUP(AX545,Foundation_Calc!$I$10:$J$13,2,FALSE),0),
IF(AX545="K",VLOOKUP(L545,Foundation_Calc!$V$41:$X$74,VLOOKUP(AX545,Foundation_Calc!$I$10:$J$13,2,FALSE),0),"")))</f>
        <v/>
      </c>
      <c r="N545" s="8"/>
      <c r="O545" s="8"/>
      <c r="P545" s="8"/>
      <c r="Q545" s="14"/>
      <c r="R545" s="15"/>
      <c r="S545" s="15"/>
      <c r="T545" s="14"/>
      <c r="U545" s="14"/>
      <c r="V545" s="14"/>
      <c r="W545" s="18"/>
      <c r="X545" s="18"/>
      <c r="Y545" s="18"/>
      <c r="Z545" s="18"/>
      <c r="AA545" s="18"/>
      <c r="AB545" s="18"/>
      <c r="AC545" s="8" t="str">
        <f t="shared" si="33"/>
        <v/>
      </c>
      <c r="AD545" s="8"/>
      <c r="AE545" s="8"/>
      <c r="AF545" s="14"/>
      <c r="AG545" s="13"/>
      <c r="AH545" s="14"/>
      <c r="AI545" s="14"/>
      <c r="AJ545" s="8"/>
      <c r="AK545" s="8"/>
      <c r="AL545" s="8"/>
      <c r="AM545" s="8"/>
      <c r="AN545" s="631"/>
      <c r="AO545" s="18"/>
      <c r="AP545" s="18"/>
      <c r="AQ545" s="18"/>
      <c r="AR545" s="18"/>
      <c r="AS545" s="18"/>
      <c r="AU545" s="448"/>
      <c r="AV545" s="448"/>
      <c r="AW545" s="8" t="str">
        <f>IF(C545&gt;0,VLOOKUP(C545,Foundation_Calc!$A$2:$C$986,3,1),
IF(J545&gt;0,VLOOKUP(J545,Foundation_Calc!$A$2:$C$986,3,1),""))</f>
        <v/>
      </c>
      <c r="AX545" s="8" t="str">
        <f>IF(C545&gt;0,VLOOKUP(C545,Foundation_Calc!$E$2:$G$986,3,1),
IF(J545&gt;0,VLOOKUP(J545,Foundation_Calc!$E$2:$G$986,3,1),""))</f>
        <v/>
      </c>
      <c r="AY545" s="631" t="str">
        <f>IF(L545="","",
IF(AX545="PT",VLOOKUP(L545,Foundation_Calc!$K$4:$R$37,VLOOKUP(AW545,Foundation_Calc!$I$2:$J$8,2,FALSE),0),
IF(AX545="K",VLOOKUP(L545,Foundation_Calc!$K$41:$R$74,VLOOKUP(AW545,Foundation_Calc!$I$2:$J$8,2,FALSE),0),"")))</f>
        <v/>
      </c>
      <c r="AZ545" s="631" t="str">
        <f>IF(K545="","",
IF(AX545="PT",VLOOKUP(K545,Foundation_Calc!$K$4:$R$37,VLOOKUP(AW545,Foundation_Calc!$I$2:$J$8,2,FALSE),0),
IF(AX545="K",VLOOKUP(K545,Foundation_Calc!$K$41:$R$74,VLOOKUP(AW545,Foundation_Calc!$I$2:$J$8,2,FALSE),0),"")))</f>
        <v/>
      </c>
      <c r="BA545" s="632" t="str">
        <f t="shared" si="34"/>
        <v/>
      </c>
      <c r="BB545" s="632" t="str">
        <f t="shared" si="35"/>
        <v/>
      </c>
      <c r="BC545" s="632" t="str">
        <f t="shared" si="36"/>
        <v/>
      </c>
      <c r="BD545" s="633" t="str">
        <f>IF(AND(L545="",H545=""),"",
IF(H545="",Pole_Calc!A573,
IF(H545="MP",Pole_Calc!A574,
IF(H545="AnMP",Pole_Calc!A575,
IF(H545="A",Pole_Calc!A576,
IF(H545="S/A",Pole_Calc!A577,
IF(H545="A/S",Pole_Calc!A578,"Poner a mano")))))))</f>
        <v/>
      </c>
      <c r="BE545" s="448" t="s">
        <v>1726</v>
      </c>
      <c r="BF545" s="635"/>
      <c r="BG545" s="635"/>
      <c r="BH545" s="634"/>
      <c r="BI545" s="635"/>
    </row>
    <row r="546" spans="1:61" ht="16.2" customHeight="1">
      <c r="A546" s="12"/>
      <c r="B546" s="446"/>
      <c r="C546" s="89"/>
      <c r="D546" s="13"/>
      <c r="E546" s="14"/>
      <c r="F546" s="14"/>
      <c r="G546" s="15"/>
      <c r="H546" s="8"/>
      <c r="I546" s="8"/>
      <c r="J546" s="89"/>
      <c r="K546" s="8"/>
      <c r="L546" s="8"/>
      <c r="M546" s="8" t="str">
        <f>IF(L546="","",
IF(AX546="PT",VLOOKUP(L546,Foundation_Calc!$V$4:$X$37,VLOOKUP(AX546,Foundation_Calc!$I$10:$J$13,2,FALSE),0),
IF(AX546="K",VLOOKUP(L546,Foundation_Calc!$V$41:$X$74,VLOOKUP(AX546,Foundation_Calc!$I$10:$J$13,2,FALSE),0),"")))</f>
        <v/>
      </c>
      <c r="N546" s="8"/>
      <c r="O546" s="8"/>
      <c r="P546" s="8"/>
      <c r="Q546" s="14"/>
      <c r="R546" s="15"/>
      <c r="S546" s="15"/>
      <c r="T546" s="14"/>
      <c r="U546" s="14"/>
      <c r="V546" s="14"/>
      <c r="W546" s="18"/>
      <c r="X546" s="18"/>
      <c r="Y546" s="18"/>
      <c r="Z546" s="18"/>
      <c r="AA546" s="18"/>
      <c r="AB546" s="18"/>
      <c r="AC546" s="8" t="str">
        <f t="shared" si="33"/>
        <v/>
      </c>
      <c r="AD546" s="8"/>
      <c r="AE546" s="8"/>
      <c r="AF546" s="14"/>
      <c r="AG546" s="13"/>
      <c r="AH546" s="14"/>
      <c r="AI546" s="14"/>
      <c r="AJ546" s="8"/>
      <c r="AK546" s="8"/>
      <c r="AL546" s="8"/>
      <c r="AM546" s="8"/>
      <c r="AN546" s="631"/>
      <c r="AO546" s="18"/>
      <c r="AP546" s="18"/>
      <c r="AQ546" s="18"/>
      <c r="AR546" s="18"/>
      <c r="AS546" s="18"/>
      <c r="AU546" s="448"/>
      <c r="AV546" s="448"/>
      <c r="AW546" s="8" t="str">
        <f>IF(C546&gt;0,VLOOKUP(C546,Foundation_Calc!$A$2:$C$986,3,1),
IF(J546&gt;0,VLOOKUP(J546,Foundation_Calc!$A$2:$C$986,3,1),""))</f>
        <v/>
      </c>
      <c r="AX546" s="8" t="str">
        <f>IF(C546&gt;0,VLOOKUP(C546,Foundation_Calc!$E$2:$G$986,3,1),
IF(J546&gt;0,VLOOKUP(J546,Foundation_Calc!$E$2:$G$986,3,1),""))</f>
        <v/>
      </c>
      <c r="AY546" s="631" t="str">
        <f>IF(L546="","",
IF(AX546="PT",VLOOKUP(L546,Foundation_Calc!$K$4:$R$37,VLOOKUP(AW546,Foundation_Calc!$I$2:$J$8,2,FALSE),0),
IF(AX546="K",VLOOKUP(L546,Foundation_Calc!$K$41:$R$74,VLOOKUP(AW546,Foundation_Calc!$I$2:$J$8,2,FALSE),0),"")))</f>
        <v/>
      </c>
      <c r="AZ546" s="631" t="str">
        <f>IF(K546="","",
IF(AX546="PT",VLOOKUP(K546,Foundation_Calc!$K$4:$R$37,VLOOKUP(AW546,Foundation_Calc!$I$2:$J$8,2,FALSE),0),
IF(AX546="K",VLOOKUP(K546,Foundation_Calc!$K$41:$R$74,VLOOKUP(AW546,Foundation_Calc!$I$2:$J$8,2,FALSE),0),"")))</f>
        <v/>
      </c>
      <c r="BA546" s="632" t="str">
        <f t="shared" si="34"/>
        <v/>
      </c>
      <c r="BB546" s="632" t="str">
        <f t="shared" si="35"/>
        <v/>
      </c>
      <c r="BC546" s="632" t="str">
        <f t="shared" si="36"/>
        <v/>
      </c>
      <c r="BD546" s="633" t="str">
        <f>IF(AND(L546="",H546=""),"",
IF(H546="",Pole_Calc!A574,
IF(H546="MP",Pole_Calc!A575,
IF(H546="AnMP",Pole_Calc!A576,
IF(H546="A",Pole_Calc!A577,
IF(H546="S/A",Pole_Calc!A578,
IF(H546="A/S",Pole_Calc!A579,"Poner a mano")))))))</f>
        <v/>
      </c>
      <c r="BE546" s="448" t="s">
        <v>1726</v>
      </c>
      <c r="BF546" s="634"/>
      <c r="BG546" s="634"/>
      <c r="BH546" s="634"/>
      <c r="BI546" s="634"/>
    </row>
    <row r="547" spans="1:61" ht="16.2" customHeight="1">
      <c r="A547" s="12"/>
      <c r="B547" s="446"/>
      <c r="C547" s="89"/>
      <c r="D547" s="13"/>
      <c r="E547" s="14"/>
      <c r="F547" s="14"/>
      <c r="G547" s="15"/>
      <c r="H547" s="8"/>
      <c r="I547" s="8"/>
      <c r="J547" s="89"/>
      <c r="K547" s="8"/>
      <c r="L547" s="8"/>
      <c r="M547" s="8" t="str">
        <f>IF(L547="","",
IF(AX547="PT",VLOOKUP(L547,Foundation_Calc!$V$4:$X$37,VLOOKUP(AX547,Foundation_Calc!$I$10:$J$13,2,FALSE),0),
IF(AX547="K",VLOOKUP(L547,Foundation_Calc!$V$41:$X$74,VLOOKUP(AX547,Foundation_Calc!$I$10:$J$13,2,FALSE),0),"")))</f>
        <v/>
      </c>
      <c r="N547" s="8"/>
      <c r="O547" s="8"/>
      <c r="P547" s="8"/>
      <c r="Q547" s="14"/>
      <c r="R547" s="15"/>
      <c r="S547" s="15"/>
      <c r="T547" s="14"/>
      <c r="U547" s="14"/>
      <c r="V547" s="14"/>
      <c r="W547" s="18"/>
      <c r="X547" s="18"/>
      <c r="Y547" s="18"/>
      <c r="Z547" s="18"/>
      <c r="AA547" s="18"/>
      <c r="AB547" s="18"/>
      <c r="AC547" s="8" t="str">
        <f t="shared" si="33"/>
        <v/>
      </c>
      <c r="AD547" s="8"/>
      <c r="AE547" s="8"/>
      <c r="AF547" s="14"/>
      <c r="AG547" s="13"/>
      <c r="AH547" s="14"/>
      <c r="AI547" s="14"/>
      <c r="AJ547" s="8"/>
      <c r="AK547" s="8"/>
      <c r="AL547" s="8"/>
      <c r="AM547" s="8"/>
      <c r="AN547" s="631"/>
      <c r="AO547" s="18"/>
      <c r="AP547" s="18"/>
      <c r="AQ547" s="18"/>
      <c r="AR547" s="18"/>
      <c r="AS547" s="18"/>
      <c r="AU547" s="448"/>
      <c r="AV547" s="448"/>
      <c r="AW547" s="8" t="str">
        <f>IF(C547&gt;0,VLOOKUP(C547,Foundation_Calc!$A$2:$C$986,3,1),
IF(J547&gt;0,VLOOKUP(J547,Foundation_Calc!$A$2:$C$986,3,1),""))</f>
        <v/>
      </c>
      <c r="AX547" s="8" t="str">
        <f>IF(C547&gt;0,VLOOKUP(C547,Foundation_Calc!$E$2:$G$986,3,1),
IF(J547&gt;0,VLOOKUP(J547,Foundation_Calc!$E$2:$G$986,3,1),""))</f>
        <v/>
      </c>
      <c r="AY547" s="631" t="str">
        <f>IF(L547="","",
IF(AX547="PT",VLOOKUP(L547,Foundation_Calc!$K$4:$R$37,VLOOKUP(AW547,Foundation_Calc!$I$2:$J$8,2,FALSE),0),
IF(AX547="K",VLOOKUP(L547,Foundation_Calc!$K$41:$R$74,VLOOKUP(AW547,Foundation_Calc!$I$2:$J$8,2,FALSE),0),"")))</f>
        <v/>
      </c>
      <c r="AZ547" s="631" t="str">
        <f>IF(K547="","",
IF(AX547="PT",VLOOKUP(K547,Foundation_Calc!$K$4:$R$37,VLOOKUP(AW547,Foundation_Calc!$I$2:$J$8,2,FALSE),0),
IF(AX547="K",VLOOKUP(K547,Foundation_Calc!$K$41:$R$74,VLOOKUP(AW547,Foundation_Calc!$I$2:$J$8,2,FALSE),0),"")))</f>
        <v/>
      </c>
      <c r="BA547" s="632" t="str">
        <f t="shared" si="34"/>
        <v/>
      </c>
      <c r="BB547" s="632" t="str">
        <f t="shared" si="35"/>
        <v/>
      </c>
      <c r="BC547" s="632" t="str">
        <f t="shared" si="36"/>
        <v/>
      </c>
      <c r="BD547" s="633" t="str">
        <f>IF(AND(L547="",H547=""),"",
IF(H547="",Pole_Calc!A575,
IF(H547="MP",Pole_Calc!A576,
IF(H547="AnMP",Pole_Calc!A577,
IF(H547="A",Pole_Calc!A578,
IF(H547="S/A",Pole_Calc!A579,
IF(H547="A/S",Pole_Calc!A580,"Poner a mano")))))))</f>
        <v/>
      </c>
      <c r="BE547" s="448" t="s">
        <v>1726</v>
      </c>
      <c r="BF547" s="635"/>
      <c r="BG547" s="635"/>
      <c r="BH547" s="634"/>
      <c r="BI547" s="635"/>
    </row>
    <row r="548" spans="1:61" ht="16.2" customHeight="1">
      <c r="A548" s="12"/>
      <c r="B548" s="446"/>
      <c r="C548" s="89"/>
      <c r="D548" s="13"/>
      <c r="E548" s="14"/>
      <c r="F548" s="14"/>
      <c r="G548" s="15"/>
      <c r="H548" s="8"/>
      <c r="I548" s="8"/>
      <c r="J548" s="89"/>
      <c r="K548" s="8"/>
      <c r="L548" s="8"/>
      <c r="M548" s="8" t="str">
        <f>IF(L548="","",
IF(AX548="PT",VLOOKUP(L548,Foundation_Calc!$V$4:$X$37,VLOOKUP(AX548,Foundation_Calc!$I$10:$J$13,2,FALSE),0),
IF(AX548="K",VLOOKUP(L548,Foundation_Calc!$V$41:$X$74,VLOOKUP(AX548,Foundation_Calc!$I$10:$J$13,2,FALSE),0),"")))</f>
        <v/>
      </c>
      <c r="N548" s="8"/>
      <c r="O548" s="8"/>
      <c r="P548" s="8"/>
      <c r="Q548" s="14"/>
      <c r="R548" s="15"/>
      <c r="S548" s="15"/>
      <c r="T548" s="14"/>
      <c r="U548" s="14"/>
      <c r="V548" s="14"/>
      <c r="W548" s="18"/>
      <c r="X548" s="18"/>
      <c r="Y548" s="18"/>
      <c r="Z548" s="18"/>
      <c r="AA548" s="18"/>
      <c r="AB548" s="18"/>
      <c r="AC548" s="8" t="str">
        <f t="shared" si="33"/>
        <v/>
      </c>
      <c r="AD548" s="8"/>
      <c r="AE548" s="8"/>
      <c r="AF548" s="14"/>
      <c r="AG548" s="13"/>
      <c r="AH548" s="14"/>
      <c r="AI548" s="14"/>
      <c r="AJ548" s="8"/>
      <c r="AK548" s="8"/>
      <c r="AL548" s="8"/>
      <c r="AM548" s="8"/>
      <c r="AN548" s="631"/>
      <c r="AO548" s="18"/>
      <c r="AP548" s="18"/>
      <c r="AQ548" s="18"/>
      <c r="AR548" s="18"/>
      <c r="AS548" s="18"/>
      <c r="AU548" s="448"/>
      <c r="AV548" s="448"/>
      <c r="AW548" s="8" t="str">
        <f>IF(C548&gt;0,VLOOKUP(C548,Foundation_Calc!$A$2:$C$986,3,1),
IF(J548&gt;0,VLOOKUP(J548,Foundation_Calc!$A$2:$C$986,3,1),""))</f>
        <v/>
      </c>
      <c r="AX548" s="8" t="str">
        <f>IF(C548&gt;0,VLOOKUP(C548,Foundation_Calc!$E$2:$G$986,3,1),
IF(J548&gt;0,VLOOKUP(J548,Foundation_Calc!$E$2:$G$986,3,1),""))</f>
        <v/>
      </c>
      <c r="AY548" s="631" t="str">
        <f>IF(L548="","",
IF(AX548="PT",VLOOKUP(L548,Foundation_Calc!$K$4:$R$37,VLOOKUP(AW548,Foundation_Calc!$I$2:$J$8,2,FALSE),0),
IF(AX548="K",VLOOKUP(L548,Foundation_Calc!$K$41:$R$74,VLOOKUP(AW548,Foundation_Calc!$I$2:$J$8,2,FALSE),0),"")))</f>
        <v/>
      </c>
      <c r="AZ548" s="631" t="str">
        <f>IF(K548="","",
IF(AX548="PT",VLOOKUP(K548,Foundation_Calc!$K$4:$R$37,VLOOKUP(AW548,Foundation_Calc!$I$2:$J$8,2,FALSE),0),
IF(AX548="K",VLOOKUP(K548,Foundation_Calc!$K$41:$R$74,VLOOKUP(AW548,Foundation_Calc!$I$2:$J$8,2,FALSE),0),"")))</f>
        <v/>
      </c>
      <c r="BA548" s="632" t="str">
        <f t="shared" si="34"/>
        <v/>
      </c>
      <c r="BB548" s="632" t="str">
        <f t="shared" si="35"/>
        <v/>
      </c>
      <c r="BC548" s="632" t="str">
        <f t="shared" si="36"/>
        <v/>
      </c>
      <c r="BD548" s="633" t="str">
        <f>IF(AND(L548="",H548=""),"",
IF(H548="",Pole_Calc!A576,
IF(H548="MP",Pole_Calc!A577,
IF(H548="AnMP",Pole_Calc!A578,
IF(H548="A",Pole_Calc!A579,
IF(H548="S/A",Pole_Calc!A580,
IF(H548="A/S",Pole_Calc!A581,"Poner a mano")))))))</f>
        <v/>
      </c>
      <c r="BE548" s="448" t="s">
        <v>1726</v>
      </c>
      <c r="BF548" s="634"/>
      <c r="BG548" s="634"/>
      <c r="BH548" s="634"/>
      <c r="BI548" s="634"/>
    </row>
    <row r="549" spans="1:61" ht="16.2" customHeight="1">
      <c r="A549" s="12"/>
      <c r="B549" s="446"/>
      <c r="C549" s="89"/>
      <c r="D549" s="13"/>
      <c r="E549" s="14"/>
      <c r="F549" s="14"/>
      <c r="G549" s="15"/>
      <c r="H549" s="8"/>
      <c r="I549" s="8"/>
      <c r="J549" s="89"/>
      <c r="K549" s="8"/>
      <c r="L549" s="8"/>
      <c r="M549" s="8" t="str">
        <f>IF(L549="","",
IF(AX549="PT",VLOOKUP(L549,Foundation_Calc!$V$4:$X$37,VLOOKUP(AX549,Foundation_Calc!$I$10:$J$13,2,FALSE),0),
IF(AX549="K",VLOOKUP(L549,Foundation_Calc!$V$41:$X$74,VLOOKUP(AX549,Foundation_Calc!$I$10:$J$13,2,FALSE),0),"")))</f>
        <v/>
      </c>
      <c r="N549" s="8"/>
      <c r="O549" s="8"/>
      <c r="P549" s="8"/>
      <c r="Q549" s="14"/>
      <c r="R549" s="15"/>
      <c r="S549" s="15"/>
      <c r="T549" s="14"/>
      <c r="U549" s="14"/>
      <c r="V549" s="14"/>
      <c r="W549" s="18"/>
      <c r="X549" s="18"/>
      <c r="Y549" s="18"/>
      <c r="Z549" s="18"/>
      <c r="AA549" s="18"/>
      <c r="AB549" s="18"/>
      <c r="AC549" s="8" t="str">
        <f t="shared" si="33"/>
        <v/>
      </c>
      <c r="AD549" s="8"/>
      <c r="AE549" s="8"/>
      <c r="AF549" s="14"/>
      <c r="AG549" s="13"/>
      <c r="AH549" s="14"/>
      <c r="AI549" s="14"/>
      <c r="AJ549" s="8"/>
      <c r="AK549" s="8"/>
      <c r="AL549" s="8"/>
      <c r="AM549" s="8"/>
      <c r="AN549" s="631"/>
      <c r="AO549" s="18"/>
      <c r="AP549" s="18"/>
      <c r="AQ549" s="18"/>
      <c r="AR549" s="18"/>
      <c r="AS549" s="18"/>
      <c r="AU549" s="448"/>
      <c r="AV549" s="448"/>
      <c r="AW549" s="8" t="str">
        <f>IF(C549&gt;0,VLOOKUP(C549,Foundation_Calc!$A$2:$C$986,3,1),
IF(J549&gt;0,VLOOKUP(J549,Foundation_Calc!$A$2:$C$986,3,1),""))</f>
        <v/>
      </c>
      <c r="AX549" s="8" t="str">
        <f>IF(C549&gt;0,VLOOKUP(C549,Foundation_Calc!$E$2:$G$986,3,1),
IF(J549&gt;0,VLOOKUP(J549,Foundation_Calc!$E$2:$G$986,3,1),""))</f>
        <v/>
      </c>
      <c r="AY549" s="631" t="str">
        <f>IF(L549="","",
IF(AX549="PT",VLOOKUP(L549,Foundation_Calc!$K$4:$R$37,VLOOKUP(AW549,Foundation_Calc!$I$2:$J$8,2,FALSE),0),
IF(AX549="K",VLOOKUP(L549,Foundation_Calc!$K$41:$R$74,VLOOKUP(AW549,Foundation_Calc!$I$2:$J$8,2,FALSE),0),"")))</f>
        <v/>
      </c>
      <c r="AZ549" s="631" t="str">
        <f>IF(K549="","",
IF(AX549="PT",VLOOKUP(K549,Foundation_Calc!$K$4:$R$37,VLOOKUP(AW549,Foundation_Calc!$I$2:$J$8,2,FALSE),0),
IF(AX549="K",VLOOKUP(K549,Foundation_Calc!$K$41:$R$74,VLOOKUP(AW549,Foundation_Calc!$I$2:$J$8,2,FALSE),0),"")))</f>
        <v/>
      </c>
      <c r="BA549" s="632" t="str">
        <f t="shared" si="34"/>
        <v/>
      </c>
      <c r="BB549" s="632" t="str">
        <f t="shared" si="35"/>
        <v/>
      </c>
      <c r="BC549" s="632" t="str">
        <f t="shared" si="36"/>
        <v/>
      </c>
      <c r="BD549" s="633" t="str">
        <f>IF(AND(L549="",H549=""),"",
IF(H549="",Pole_Calc!A577,
IF(H549="MP",Pole_Calc!A578,
IF(H549="AnMP",Pole_Calc!A579,
IF(H549="A",Pole_Calc!A580,
IF(H549="S/A",Pole_Calc!A581,
IF(H549="A/S",Pole_Calc!A582,"Poner a mano")))))))</f>
        <v/>
      </c>
      <c r="BE549" s="448" t="s">
        <v>1726</v>
      </c>
      <c r="BF549" s="635"/>
      <c r="BG549" s="635"/>
      <c r="BH549" s="634"/>
      <c r="BI549" s="635"/>
    </row>
    <row r="550" spans="1:61" ht="16.2" customHeight="1">
      <c r="A550" s="12"/>
      <c r="B550" s="446"/>
      <c r="C550" s="89"/>
      <c r="D550" s="13"/>
      <c r="E550" s="14"/>
      <c r="F550" s="14"/>
      <c r="G550" s="15"/>
      <c r="H550" s="8"/>
      <c r="I550" s="8"/>
      <c r="J550" s="89"/>
      <c r="K550" s="8"/>
      <c r="L550" s="8"/>
      <c r="M550" s="8" t="str">
        <f>IF(L550="","",
IF(AX550="PT",VLOOKUP(L550,Foundation_Calc!$V$4:$X$37,VLOOKUP(AX550,Foundation_Calc!$I$10:$J$13,2,FALSE),0),
IF(AX550="K",VLOOKUP(L550,Foundation_Calc!$V$41:$X$74,VLOOKUP(AX550,Foundation_Calc!$I$10:$J$13,2,FALSE),0),"")))</f>
        <v/>
      </c>
      <c r="N550" s="8"/>
      <c r="O550" s="8"/>
      <c r="P550" s="8"/>
      <c r="Q550" s="14"/>
      <c r="R550" s="15"/>
      <c r="S550" s="15"/>
      <c r="T550" s="14"/>
      <c r="U550" s="14"/>
      <c r="V550" s="14"/>
      <c r="W550" s="18"/>
      <c r="X550" s="18"/>
      <c r="Y550" s="18"/>
      <c r="Z550" s="18"/>
      <c r="AA550" s="18"/>
      <c r="AB550" s="18"/>
      <c r="AC550" s="8" t="str">
        <f t="shared" si="33"/>
        <v/>
      </c>
      <c r="AD550" s="8"/>
      <c r="AE550" s="8"/>
      <c r="AF550" s="14"/>
      <c r="AG550" s="13"/>
      <c r="AH550" s="14"/>
      <c r="AI550" s="14"/>
      <c r="AJ550" s="8"/>
      <c r="AK550" s="8"/>
      <c r="AL550" s="8"/>
      <c r="AM550" s="8"/>
      <c r="AN550" s="631"/>
      <c r="AO550" s="18"/>
      <c r="AP550" s="18"/>
      <c r="AQ550" s="18"/>
      <c r="AR550" s="18"/>
      <c r="AS550" s="18"/>
      <c r="AU550" s="448"/>
      <c r="AV550" s="448"/>
      <c r="AW550" s="8" t="str">
        <f>IF(C550&gt;0,VLOOKUP(C550,Foundation_Calc!$A$2:$C$986,3,1),
IF(J550&gt;0,VLOOKUP(J550,Foundation_Calc!$A$2:$C$986,3,1),""))</f>
        <v/>
      </c>
      <c r="AX550" s="8" t="str">
        <f>IF(C550&gt;0,VLOOKUP(C550,Foundation_Calc!$E$2:$G$986,3,1),
IF(J550&gt;0,VLOOKUP(J550,Foundation_Calc!$E$2:$G$986,3,1),""))</f>
        <v/>
      </c>
      <c r="AY550" s="631" t="str">
        <f>IF(L550="","",
IF(AX550="PT",VLOOKUP(L550,Foundation_Calc!$K$4:$R$37,VLOOKUP(AW550,Foundation_Calc!$I$2:$J$8,2,FALSE),0),
IF(AX550="K",VLOOKUP(L550,Foundation_Calc!$K$41:$R$74,VLOOKUP(AW550,Foundation_Calc!$I$2:$J$8,2,FALSE),0),"")))</f>
        <v/>
      </c>
      <c r="AZ550" s="631" t="str">
        <f>IF(K550="","",
IF(AX550="PT",VLOOKUP(K550,Foundation_Calc!$K$4:$R$37,VLOOKUP(AW550,Foundation_Calc!$I$2:$J$8,2,FALSE),0),
IF(AX550="K",VLOOKUP(K550,Foundation_Calc!$K$41:$R$74,VLOOKUP(AW550,Foundation_Calc!$I$2:$J$8,2,FALSE),0),"")))</f>
        <v/>
      </c>
      <c r="BA550" s="632" t="str">
        <f t="shared" si="34"/>
        <v/>
      </c>
      <c r="BB550" s="632" t="str">
        <f t="shared" si="35"/>
        <v/>
      </c>
      <c r="BC550" s="632" t="str">
        <f t="shared" si="36"/>
        <v/>
      </c>
      <c r="BD550" s="633" t="str">
        <f>IF(AND(L550="",H550=""),"",
IF(H550="",Pole_Calc!A578,
IF(H550="MP",Pole_Calc!A579,
IF(H550="AnMP",Pole_Calc!A580,
IF(H550="A",Pole_Calc!A581,
IF(H550="S/A",Pole_Calc!A582,
IF(H550="A/S",Pole_Calc!A583,"Poner a mano")))))))</f>
        <v/>
      </c>
      <c r="BE550" s="448" t="s">
        <v>1726</v>
      </c>
      <c r="BF550" s="634"/>
      <c r="BG550" s="634"/>
      <c r="BH550" s="634"/>
      <c r="BI550" s="634"/>
    </row>
    <row r="551" spans="1:61" ht="16.2" customHeight="1">
      <c r="A551" s="12"/>
      <c r="B551" s="446"/>
      <c r="C551" s="89"/>
      <c r="D551" s="13"/>
      <c r="E551" s="14"/>
      <c r="F551" s="14"/>
      <c r="G551" s="15"/>
      <c r="H551" s="8"/>
      <c r="I551" s="8"/>
      <c r="J551" s="89"/>
      <c r="K551" s="8"/>
      <c r="L551" s="8"/>
      <c r="M551" s="8" t="str">
        <f>IF(L551="","",
IF(AX551="PT",VLOOKUP(L551,Foundation_Calc!$V$4:$X$37,VLOOKUP(AX551,Foundation_Calc!$I$10:$J$13,2,FALSE),0),
IF(AX551="K",VLOOKUP(L551,Foundation_Calc!$V$41:$X$74,VLOOKUP(AX551,Foundation_Calc!$I$10:$J$13,2,FALSE),0),"")))</f>
        <v/>
      </c>
      <c r="N551" s="8"/>
      <c r="O551" s="8"/>
      <c r="P551" s="8"/>
      <c r="Q551" s="14"/>
      <c r="R551" s="15"/>
      <c r="S551" s="15"/>
      <c r="T551" s="14"/>
      <c r="U551" s="14"/>
      <c r="V551" s="14"/>
      <c r="W551" s="18"/>
      <c r="X551" s="18"/>
      <c r="Y551" s="18"/>
      <c r="Z551" s="18"/>
      <c r="AA551" s="18"/>
      <c r="AB551" s="18"/>
      <c r="AC551" s="8" t="str">
        <f t="shared" si="33"/>
        <v/>
      </c>
      <c r="AD551" s="8"/>
      <c r="AE551" s="8"/>
      <c r="AF551" s="14"/>
      <c r="AG551" s="13"/>
      <c r="AH551" s="14"/>
      <c r="AI551" s="14"/>
      <c r="AJ551" s="8"/>
      <c r="AK551" s="8"/>
      <c r="AL551" s="8"/>
      <c r="AM551" s="8"/>
      <c r="AN551" s="631"/>
      <c r="AO551" s="18"/>
      <c r="AP551" s="18"/>
      <c r="AQ551" s="18"/>
      <c r="AR551" s="18"/>
      <c r="AS551" s="18"/>
      <c r="AU551" s="448"/>
      <c r="AV551" s="448"/>
      <c r="AW551" s="8" t="str">
        <f>IF(C551&gt;0,VLOOKUP(C551,Foundation_Calc!$A$2:$C$986,3,1),
IF(J551&gt;0,VLOOKUP(J551,Foundation_Calc!$A$2:$C$986,3,1),""))</f>
        <v/>
      </c>
      <c r="AX551" s="8" t="str">
        <f>IF(C551&gt;0,VLOOKUP(C551,Foundation_Calc!$E$2:$G$986,3,1),
IF(J551&gt;0,VLOOKUP(J551,Foundation_Calc!$E$2:$G$986,3,1),""))</f>
        <v/>
      </c>
      <c r="AY551" s="631" t="str">
        <f>IF(L551="","",
IF(AX551="PT",VLOOKUP(L551,Foundation_Calc!$K$4:$R$37,VLOOKUP(AW551,Foundation_Calc!$I$2:$J$8,2,FALSE),0),
IF(AX551="K",VLOOKUP(L551,Foundation_Calc!$K$41:$R$74,VLOOKUP(AW551,Foundation_Calc!$I$2:$J$8,2,FALSE),0),"")))</f>
        <v/>
      </c>
      <c r="AZ551" s="631" t="str">
        <f>IF(K551="","",
IF(AX551="PT",VLOOKUP(K551,Foundation_Calc!$K$4:$R$37,VLOOKUP(AW551,Foundation_Calc!$I$2:$J$8,2,FALSE),0),
IF(AX551="K",VLOOKUP(K551,Foundation_Calc!$K$41:$R$74,VLOOKUP(AW551,Foundation_Calc!$I$2:$J$8,2,FALSE),0),"")))</f>
        <v/>
      </c>
      <c r="BA551" s="632" t="str">
        <f t="shared" si="34"/>
        <v/>
      </c>
      <c r="BB551" s="632" t="str">
        <f t="shared" si="35"/>
        <v/>
      </c>
      <c r="BC551" s="632" t="str">
        <f t="shared" si="36"/>
        <v/>
      </c>
      <c r="BD551" s="633" t="str">
        <f>IF(AND(L551="",H551=""),"",
IF(H551="",Pole_Calc!A579,
IF(H551="MP",Pole_Calc!A580,
IF(H551="AnMP",Pole_Calc!A581,
IF(H551="A",Pole_Calc!A582,
IF(H551="S/A",Pole_Calc!A583,
IF(H551="A/S",Pole_Calc!A584,"Poner a mano")))))))</f>
        <v/>
      </c>
      <c r="BE551" s="448" t="s">
        <v>1726</v>
      </c>
      <c r="BF551" s="635"/>
      <c r="BG551" s="635"/>
      <c r="BH551" s="634"/>
      <c r="BI551" s="635"/>
    </row>
    <row r="552" spans="1:61" ht="16.2" customHeight="1">
      <c r="A552" s="12"/>
      <c r="B552" s="446"/>
      <c r="C552" s="89"/>
      <c r="D552" s="13"/>
      <c r="E552" s="14"/>
      <c r="F552" s="14"/>
      <c r="G552" s="15"/>
      <c r="H552" s="8"/>
      <c r="I552" s="8"/>
      <c r="J552" s="89"/>
      <c r="K552" s="8"/>
      <c r="L552" s="8"/>
      <c r="M552" s="8" t="str">
        <f>IF(L552="","",
IF(AX552="PT",VLOOKUP(L552,Foundation_Calc!$V$4:$X$37,VLOOKUP(AX552,Foundation_Calc!$I$10:$J$13,2,FALSE),0),
IF(AX552="K",VLOOKUP(L552,Foundation_Calc!$V$41:$X$74,VLOOKUP(AX552,Foundation_Calc!$I$10:$J$13,2,FALSE),0),"")))</f>
        <v/>
      </c>
      <c r="N552" s="8"/>
      <c r="O552" s="8"/>
      <c r="P552" s="8"/>
      <c r="Q552" s="14"/>
      <c r="R552" s="15"/>
      <c r="S552" s="15"/>
      <c r="T552" s="14"/>
      <c r="U552" s="14"/>
      <c r="V552" s="14"/>
      <c r="W552" s="18"/>
      <c r="X552" s="18"/>
      <c r="Y552" s="18"/>
      <c r="Z552" s="18"/>
      <c r="AA552" s="18"/>
      <c r="AB552" s="18"/>
      <c r="AC552" s="8" t="str">
        <f t="shared" si="33"/>
        <v/>
      </c>
      <c r="AD552" s="8"/>
      <c r="AE552" s="8"/>
      <c r="AF552" s="14"/>
      <c r="AG552" s="13"/>
      <c r="AH552" s="14"/>
      <c r="AI552" s="14"/>
      <c r="AJ552" s="8"/>
      <c r="AK552" s="8"/>
      <c r="AL552" s="8"/>
      <c r="AM552" s="8"/>
      <c r="AN552" s="631"/>
      <c r="AO552" s="18"/>
      <c r="AP552" s="18"/>
      <c r="AQ552" s="18"/>
      <c r="AR552" s="18"/>
      <c r="AS552" s="18"/>
      <c r="AU552" s="448"/>
      <c r="AV552" s="448"/>
      <c r="AW552" s="8" t="str">
        <f>IF(C552&gt;0,VLOOKUP(C552,Foundation_Calc!$A$2:$C$986,3,1),
IF(J552&gt;0,VLOOKUP(J552,Foundation_Calc!$A$2:$C$986,3,1),""))</f>
        <v/>
      </c>
      <c r="AX552" s="8" t="str">
        <f>IF(C552&gt;0,VLOOKUP(C552,Foundation_Calc!$E$2:$G$986,3,1),
IF(J552&gt;0,VLOOKUP(J552,Foundation_Calc!$E$2:$G$986,3,1),""))</f>
        <v/>
      </c>
      <c r="AY552" s="631" t="str">
        <f>IF(L552="","",
IF(AX552="PT",VLOOKUP(L552,Foundation_Calc!$K$4:$R$37,VLOOKUP(AW552,Foundation_Calc!$I$2:$J$8,2,FALSE),0),
IF(AX552="K",VLOOKUP(L552,Foundation_Calc!$K$41:$R$74,VLOOKUP(AW552,Foundation_Calc!$I$2:$J$8,2,FALSE),0),"")))</f>
        <v/>
      </c>
      <c r="AZ552" s="631" t="str">
        <f>IF(K552="","",
IF(AX552="PT",VLOOKUP(K552,Foundation_Calc!$K$4:$R$37,VLOOKUP(AW552,Foundation_Calc!$I$2:$J$8,2,FALSE),0),
IF(AX552="K",VLOOKUP(K552,Foundation_Calc!$K$41:$R$74,VLOOKUP(AW552,Foundation_Calc!$I$2:$J$8,2,FALSE),0),"")))</f>
        <v/>
      </c>
      <c r="BA552" s="632" t="str">
        <f t="shared" si="34"/>
        <v/>
      </c>
      <c r="BB552" s="632" t="str">
        <f t="shared" si="35"/>
        <v/>
      </c>
      <c r="BC552" s="632" t="str">
        <f t="shared" si="36"/>
        <v/>
      </c>
      <c r="BD552" s="633" t="str">
        <f>IF(AND(L552="",H552=""),"",
IF(H552="",Pole_Calc!A580,
IF(H552="MP",Pole_Calc!A581,
IF(H552="AnMP",Pole_Calc!A582,
IF(H552="A",Pole_Calc!A583,
IF(H552="S/A",Pole_Calc!A584,
IF(H552="A/S",Pole_Calc!A585,"Poner a mano")))))))</f>
        <v/>
      </c>
      <c r="BE552" s="448" t="s">
        <v>1726</v>
      </c>
      <c r="BF552" s="634"/>
      <c r="BG552" s="634"/>
      <c r="BH552" s="634"/>
      <c r="BI552" s="634"/>
    </row>
    <row r="553" spans="1:61" ht="16.2" customHeight="1">
      <c r="A553" s="12"/>
      <c r="B553" s="446"/>
      <c r="C553" s="89"/>
      <c r="D553" s="13"/>
      <c r="E553" s="14"/>
      <c r="F553" s="14"/>
      <c r="G553" s="15"/>
      <c r="H553" s="8"/>
      <c r="I553" s="8"/>
      <c r="J553" s="89"/>
      <c r="K553" s="8"/>
      <c r="L553" s="8"/>
      <c r="M553" s="8" t="str">
        <f>IF(L553="","",
IF(AX553="PT",VLOOKUP(L553,Foundation_Calc!$V$4:$X$37,VLOOKUP(AX553,Foundation_Calc!$I$10:$J$13,2,FALSE),0),
IF(AX553="K",VLOOKUP(L553,Foundation_Calc!$V$41:$X$74,VLOOKUP(AX553,Foundation_Calc!$I$10:$J$13,2,FALSE),0),"")))</f>
        <v/>
      </c>
      <c r="N553" s="8"/>
      <c r="O553" s="8"/>
      <c r="P553" s="8"/>
      <c r="Q553" s="14"/>
      <c r="R553" s="15"/>
      <c r="S553" s="15"/>
      <c r="T553" s="14"/>
      <c r="U553" s="14"/>
      <c r="V553" s="14"/>
      <c r="W553" s="18"/>
      <c r="X553" s="18"/>
      <c r="Y553" s="18"/>
      <c r="Z553" s="18"/>
      <c r="AA553" s="18"/>
      <c r="AB553" s="18"/>
      <c r="AC553" s="8" t="str">
        <f t="shared" si="33"/>
        <v/>
      </c>
      <c r="AD553" s="8"/>
      <c r="AE553" s="8"/>
      <c r="AF553" s="14"/>
      <c r="AG553" s="13"/>
      <c r="AH553" s="14"/>
      <c r="AI553" s="14"/>
      <c r="AJ553" s="8"/>
      <c r="AK553" s="8"/>
      <c r="AL553" s="8"/>
      <c r="AM553" s="8"/>
      <c r="AN553" s="631"/>
      <c r="AO553" s="18"/>
      <c r="AP553" s="18"/>
      <c r="AQ553" s="18"/>
      <c r="AR553" s="18"/>
      <c r="AS553" s="18"/>
      <c r="AU553" s="448"/>
      <c r="AV553" s="448"/>
      <c r="AW553" s="8" t="str">
        <f>IF(C553&gt;0,VLOOKUP(C553,Foundation_Calc!$A$2:$C$986,3,1),
IF(J553&gt;0,VLOOKUP(J553,Foundation_Calc!$A$2:$C$986,3,1),""))</f>
        <v/>
      </c>
      <c r="AX553" s="8" t="str">
        <f>IF(C553&gt;0,VLOOKUP(C553,Foundation_Calc!$E$2:$G$986,3,1),
IF(J553&gt;0,VLOOKUP(J553,Foundation_Calc!$E$2:$G$986,3,1),""))</f>
        <v/>
      </c>
      <c r="AY553" s="631" t="str">
        <f>IF(L553="","",
IF(AX553="PT",VLOOKUP(L553,Foundation_Calc!$K$4:$R$37,VLOOKUP(AW553,Foundation_Calc!$I$2:$J$8,2,FALSE),0),
IF(AX553="K",VLOOKUP(L553,Foundation_Calc!$K$41:$R$74,VLOOKUP(AW553,Foundation_Calc!$I$2:$J$8,2,FALSE),0),"")))</f>
        <v/>
      </c>
      <c r="AZ553" s="631" t="str">
        <f>IF(K553="","",
IF(AX553="PT",VLOOKUP(K553,Foundation_Calc!$K$4:$R$37,VLOOKUP(AW553,Foundation_Calc!$I$2:$J$8,2,FALSE),0),
IF(AX553="K",VLOOKUP(K553,Foundation_Calc!$K$41:$R$74,VLOOKUP(AW553,Foundation_Calc!$I$2:$J$8,2,FALSE),0),"")))</f>
        <v/>
      </c>
      <c r="BA553" s="632" t="str">
        <f t="shared" si="34"/>
        <v/>
      </c>
      <c r="BB553" s="632" t="str">
        <f t="shared" si="35"/>
        <v/>
      </c>
      <c r="BC553" s="632" t="str">
        <f t="shared" si="36"/>
        <v/>
      </c>
      <c r="BD553" s="633" t="str">
        <f>IF(AND(L553="",H553=""),"",
IF(H553="",Pole_Calc!A581,
IF(H553="MP",Pole_Calc!A582,
IF(H553="AnMP",Pole_Calc!A583,
IF(H553="A",Pole_Calc!A584,
IF(H553="S/A",Pole_Calc!A585,
IF(H553="A/S",Pole_Calc!A586,"Poner a mano")))))))</f>
        <v/>
      </c>
      <c r="BE553" s="448" t="s">
        <v>1726</v>
      </c>
      <c r="BF553" s="635"/>
      <c r="BG553" s="635"/>
      <c r="BH553" s="634"/>
      <c r="BI553" s="635"/>
    </row>
    <row r="554" spans="1:61" ht="16.2" customHeight="1">
      <c r="A554" s="12"/>
      <c r="B554" s="446"/>
      <c r="C554" s="89"/>
      <c r="D554" s="13"/>
      <c r="E554" s="14"/>
      <c r="F554" s="14"/>
      <c r="G554" s="15"/>
      <c r="H554" s="8"/>
      <c r="I554" s="8"/>
      <c r="J554" s="89"/>
      <c r="K554" s="8"/>
      <c r="L554" s="8"/>
      <c r="M554" s="8" t="str">
        <f>IF(L554="","",
IF(AX554="PT",VLOOKUP(L554,Foundation_Calc!$V$4:$X$37,VLOOKUP(AX554,Foundation_Calc!$I$10:$J$13,2,FALSE),0),
IF(AX554="K",VLOOKUP(L554,Foundation_Calc!$V$41:$X$74,VLOOKUP(AX554,Foundation_Calc!$I$10:$J$13,2,FALSE),0),"")))</f>
        <v/>
      </c>
      <c r="N554" s="8"/>
      <c r="O554" s="8"/>
      <c r="P554" s="8"/>
      <c r="Q554" s="14"/>
      <c r="R554" s="15"/>
      <c r="S554" s="15"/>
      <c r="T554" s="14"/>
      <c r="U554" s="14"/>
      <c r="V554" s="14"/>
      <c r="W554" s="18"/>
      <c r="X554" s="18"/>
      <c r="Y554" s="18"/>
      <c r="Z554" s="18"/>
      <c r="AA554" s="18"/>
      <c r="AB554" s="18"/>
      <c r="AC554" s="8" t="str">
        <f t="shared" si="33"/>
        <v/>
      </c>
      <c r="AD554" s="8"/>
      <c r="AE554" s="8"/>
      <c r="AF554" s="14"/>
      <c r="AG554" s="13"/>
      <c r="AH554" s="14"/>
      <c r="AI554" s="14"/>
      <c r="AJ554" s="8"/>
      <c r="AK554" s="8"/>
      <c r="AL554" s="8"/>
      <c r="AM554" s="8"/>
      <c r="AN554" s="631"/>
      <c r="AO554" s="18"/>
      <c r="AP554" s="18"/>
      <c r="AQ554" s="18"/>
      <c r="AR554" s="18"/>
      <c r="AS554" s="18"/>
      <c r="AU554" s="448"/>
      <c r="AV554" s="448"/>
      <c r="AW554" s="8" t="str">
        <f>IF(C554&gt;0,VLOOKUP(C554,Foundation_Calc!$A$2:$C$986,3,1),
IF(J554&gt;0,VLOOKUP(J554,Foundation_Calc!$A$2:$C$986,3,1),""))</f>
        <v/>
      </c>
      <c r="AX554" s="8" t="str">
        <f>IF(C554&gt;0,VLOOKUP(C554,Foundation_Calc!$E$2:$G$986,3,1),
IF(J554&gt;0,VLOOKUP(J554,Foundation_Calc!$E$2:$G$986,3,1),""))</f>
        <v/>
      </c>
      <c r="AY554" s="631" t="str">
        <f>IF(L554="","",
IF(AX554="PT",VLOOKUP(L554,Foundation_Calc!$K$4:$R$37,VLOOKUP(AW554,Foundation_Calc!$I$2:$J$8,2,FALSE),0),
IF(AX554="K",VLOOKUP(L554,Foundation_Calc!$K$41:$R$74,VLOOKUP(AW554,Foundation_Calc!$I$2:$J$8,2,FALSE),0),"")))</f>
        <v/>
      </c>
      <c r="AZ554" s="631" t="str">
        <f>IF(K554="","",
IF(AX554="PT",VLOOKUP(K554,Foundation_Calc!$K$4:$R$37,VLOOKUP(AW554,Foundation_Calc!$I$2:$J$8,2,FALSE),0),
IF(AX554="K",VLOOKUP(K554,Foundation_Calc!$K$41:$R$74,VLOOKUP(AW554,Foundation_Calc!$I$2:$J$8,2,FALSE),0),"")))</f>
        <v/>
      </c>
      <c r="BA554" s="632" t="str">
        <f t="shared" si="34"/>
        <v/>
      </c>
      <c r="BB554" s="632" t="str">
        <f t="shared" si="35"/>
        <v/>
      </c>
      <c r="BC554" s="632" t="str">
        <f t="shared" si="36"/>
        <v/>
      </c>
      <c r="BD554" s="633" t="str">
        <f>IF(AND(L554="",H554=""),"",
IF(H554="",Pole_Calc!A582,
IF(H554="MP",Pole_Calc!A583,
IF(H554="AnMP",Pole_Calc!A584,
IF(H554="A",Pole_Calc!A585,
IF(H554="S/A",Pole_Calc!A586,
IF(H554="A/S",Pole_Calc!A587,"Poner a mano")))))))</f>
        <v/>
      </c>
      <c r="BE554" s="448" t="s">
        <v>1726</v>
      </c>
      <c r="BF554" s="634"/>
      <c r="BG554" s="634"/>
      <c r="BH554" s="634"/>
      <c r="BI554" s="634"/>
    </row>
    <row r="555" spans="1:61" ht="16.2" customHeight="1">
      <c r="A555" s="12"/>
      <c r="B555" s="446"/>
      <c r="C555" s="89"/>
      <c r="D555" s="13"/>
      <c r="E555" s="14"/>
      <c r="F555" s="14"/>
      <c r="G555" s="15"/>
      <c r="H555" s="8"/>
      <c r="I555" s="8"/>
      <c r="J555" s="89"/>
      <c r="K555" s="8"/>
      <c r="L555" s="8"/>
      <c r="M555" s="8" t="str">
        <f>IF(L555="","",
IF(AX555="PT",VLOOKUP(L555,Foundation_Calc!$V$4:$X$37,VLOOKUP(AX555,Foundation_Calc!$I$10:$J$13,2,FALSE),0),
IF(AX555="K",VLOOKUP(L555,Foundation_Calc!$V$41:$X$74,VLOOKUP(AX555,Foundation_Calc!$I$10:$J$13,2,FALSE),0),"")))</f>
        <v/>
      </c>
      <c r="N555" s="8"/>
      <c r="O555" s="8"/>
      <c r="P555" s="8"/>
      <c r="Q555" s="14"/>
      <c r="R555" s="15"/>
      <c r="S555" s="15"/>
      <c r="T555" s="14"/>
      <c r="U555" s="14"/>
      <c r="V555" s="14"/>
      <c r="W555" s="18"/>
      <c r="X555" s="18"/>
      <c r="Y555" s="18"/>
      <c r="Z555" s="18"/>
      <c r="AA555" s="18"/>
      <c r="AB555" s="18"/>
      <c r="AC555" s="8" t="str">
        <f t="shared" si="33"/>
        <v/>
      </c>
      <c r="AD555" s="8"/>
      <c r="AE555" s="8"/>
      <c r="AF555" s="14"/>
      <c r="AG555" s="13"/>
      <c r="AH555" s="14"/>
      <c r="AI555" s="14"/>
      <c r="AJ555" s="8"/>
      <c r="AK555" s="8"/>
      <c r="AL555" s="8"/>
      <c r="AM555" s="8"/>
      <c r="AN555" s="631"/>
      <c r="AO555" s="18"/>
      <c r="AP555" s="18"/>
      <c r="AQ555" s="18"/>
      <c r="AR555" s="18"/>
      <c r="AS555" s="18"/>
      <c r="AU555" s="448"/>
      <c r="AV555" s="448"/>
      <c r="AW555" s="8" t="str">
        <f>IF(C555&gt;0,VLOOKUP(C555,Foundation_Calc!$A$2:$C$986,3,1),
IF(J555&gt;0,VLOOKUP(J555,Foundation_Calc!$A$2:$C$986,3,1),""))</f>
        <v/>
      </c>
      <c r="AX555" s="8" t="str">
        <f>IF(C555&gt;0,VLOOKUP(C555,Foundation_Calc!$E$2:$G$986,3,1),
IF(J555&gt;0,VLOOKUP(J555,Foundation_Calc!$E$2:$G$986,3,1),""))</f>
        <v/>
      </c>
      <c r="AY555" s="631" t="str">
        <f>IF(L555="","",
IF(AX555="PT",VLOOKUP(L555,Foundation_Calc!$K$4:$R$37,VLOOKUP(AW555,Foundation_Calc!$I$2:$J$8,2,FALSE),0),
IF(AX555="K",VLOOKUP(L555,Foundation_Calc!$K$41:$R$74,VLOOKUP(AW555,Foundation_Calc!$I$2:$J$8,2,FALSE),0),"")))</f>
        <v/>
      </c>
      <c r="AZ555" s="631" t="str">
        <f>IF(K555="","",
IF(AX555="PT",VLOOKUP(K555,Foundation_Calc!$K$4:$R$37,VLOOKUP(AW555,Foundation_Calc!$I$2:$J$8,2,FALSE),0),
IF(AX555="K",VLOOKUP(K555,Foundation_Calc!$K$41:$R$74,VLOOKUP(AW555,Foundation_Calc!$I$2:$J$8,2,FALSE),0),"")))</f>
        <v/>
      </c>
      <c r="BA555" s="632" t="str">
        <f t="shared" si="34"/>
        <v/>
      </c>
      <c r="BB555" s="632" t="str">
        <f t="shared" si="35"/>
        <v/>
      </c>
      <c r="BC555" s="632" t="str">
        <f t="shared" si="36"/>
        <v/>
      </c>
      <c r="BD555" s="633" t="str">
        <f>IF(AND(L555="",H555=""),"",
IF(H555="",Pole_Calc!A583,
IF(H555="MP",Pole_Calc!A584,
IF(H555="AnMP",Pole_Calc!A585,
IF(H555="A",Pole_Calc!A586,
IF(H555="S/A",Pole_Calc!A587,
IF(H555="A/S",Pole_Calc!A588,"Poner a mano")))))))</f>
        <v/>
      </c>
      <c r="BE555" s="448" t="s">
        <v>1726</v>
      </c>
      <c r="BF555" s="635"/>
      <c r="BG555" s="635"/>
      <c r="BH555" s="634"/>
      <c r="BI555" s="635"/>
    </row>
    <row r="556" spans="1:61" ht="16.2" customHeight="1">
      <c r="A556" s="12"/>
      <c r="B556" s="446"/>
      <c r="C556" s="89"/>
      <c r="D556" s="13"/>
      <c r="E556" s="14"/>
      <c r="F556" s="14"/>
      <c r="G556" s="15"/>
      <c r="H556" s="8"/>
      <c r="I556" s="8"/>
      <c r="J556" s="89"/>
      <c r="K556" s="8"/>
      <c r="L556" s="8"/>
      <c r="M556" s="8" t="str">
        <f>IF(L556="","",
IF(AX556="PT",VLOOKUP(L556,Foundation_Calc!$V$4:$X$37,VLOOKUP(AX556,Foundation_Calc!$I$10:$J$13,2,FALSE),0),
IF(AX556="K",VLOOKUP(L556,Foundation_Calc!$V$41:$X$74,VLOOKUP(AX556,Foundation_Calc!$I$10:$J$13,2,FALSE),0),"")))</f>
        <v/>
      </c>
      <c r="N556" s="8"/>
      <c r="O556" s="8"/>
      <c r="P556" s="8"/>
      <c r="Q556" s="14"/>
      <c r="R556" s="15"/>
      <c r="S556" s="15"/>
      <c r="T556" s="14"/>
      <c r="U556" s="14"/>
      <c r="V556" s="14"/>
      <c r="W556" s="18"/>
      <c r="X556" s="18"/>
      <c r="Y556" s="18"/>
      <c r="Z556" s="18"/>
      <c r="AA556" s="18"/>
      <c r="AB556" s="18"/>
      <c r="AC556" s="8" t="str">
        <f t="shared" si="33"/>
        <v/>
      </c>
      <c r="AD556" s="8"/>
      <c r="AE556" s="8"/>
      <c r="AF556" s="14"/>
      <c r="AG556" s="13"/>
      <c r="AH556" s="14"/>
      <c r="AI556" s="14"/>
      <c r="AJ556" s="8"/>
      <c r="AK556" s="8"/>
      <c r="AL556" s="8"/>
      <c r="AM556" s="8"/>
      <c r="AN556" s="631"/>
      <c r="AO556" s="18"/>
      <c r="AP556" s="18"/>
      <c r="AQ556" s="18"/>
      <c r="AR556" s="18"/>
      <c r="AS556" s="18"/>
      <c r="AU556" s="448"/>
      <c r="AV556" s="448"/>
      <c r="AW556" s="8" t="str">
        <f>IF(C556&gt;0,VLOOKUP(C556,Foundation_Calc!$A$2:$C$986,3,1),
IF(J556&gt;0,VLOOKUP(J556,Foundation_Calc!$A$2:$C$986,3,1),""))</f>
        <v/>
      </c>
      <c r="AX556" s="8" t="str">
        <f>IF(C556&gt;0,VLOOKUP(C556,Foundation_Calc!$E$2:$G$986,3,1),
IF(J556&gt;0,VLOOKUP(J556,Foundation_Calc!$E$2:$G$986,3,1),""))</f>
        <v/>
      </c>
      <c r="AY556" s="631" t="str">
        <f>IF(L556="","",
IF(AX556="PT",VLOOKUP(L556,Foundation_Calc!$K$4:$R$37,VLOOKUP(AW556,Foundation_Calc!$I$2:$J$8,2,FALSE),0),
IF(AX556="K",VLOOKUP(L556,Foundation_Calc!$K$41:$R$74,VLOOKUP(AW556,Foundation_Calc!$I$2:$J$8,2,FALSE),0),"")))</f>
        <v/>
      </c>
      <c r="AZ556" s="631" t="str">
        <f>IF(K556="","",
IF(AX556="PT",VLOOKUP(K556,Foundation_Calc!$K$4:$R$37,VLOOKUP(AW556,Foundation_Calc!$I$2:$J$8,2,FALSE),0),
IF(AX556="K",VLOOKUP(K556,Foundation_Calc!$K$41:$R$74,VLOOKUP(AW556,Foundation_Calc!$I$2:$J$8,2,FALSE),0),"")))</f>
        <v/>
      </c>
      <c r="BA556" s="632" t="str">
        <f t="shared" si="34"/>
        <v/>
      </c>
      <c r="BB556" s="632" t="str">
        <f t="shared" si="35"/>
        <v/>
      </c>
      <c r="BC556" s="632" t="str">
        <f t="shared" si="36"/>
        <v/>
      </c>
      <c r="BD556" s="633" t="str">
        <f>IF(AND(L556="",H556=""),"",
IF(H556="",Pole_Calc!A584,
IF(H556="MP",Pole_Calc!A585,
IF(H556="AnMP",Pole_Calc!A586,
IF(H556="A",Pole_Calc!A587,
IF(H556="S/A",Pole_Calc!A588,
IF(H556="A/S",Pole_Calc!A589,"Poner a mano")))))))</f>
        <v/>
      </c>
      <c r="BE556" s="448" t="s">
        <v>1726</v>
      </c>
      <c r="BF556" s="634"/>
      <c r="BG556" s="634"/>
      <c r="BH556" s="634"/>
      <c r="BI556" s="634"/>
    </row>
    <row r="557" spans="1:61" ht="16.2" customHeight="1">
      <c r="A557" s="12"/>
      <c r="B557" s="446"/>
      <c r="C557" s="89"/>
      <c r="D557" s="13"/>
      <c r="E557" s="14"/>
      <c r="F557" s="14"/>
      <c r="G557" s="15"/>
      <c r="H557" s="8"/>
      <c r="I557" s="8"/>
      <c r="J557" s="89"/>
      <c r="K557" s="8"/>
      <c r="L557" s="8"/>
      <c r="M557" s="8" t="str">
        <f>IF(L557="","",
IF(AX557="PT",VLOOKUP(L557,Foundation_Calc!$V$4:$X$37,VLOOKUP(AX557,Foundation_Calc!$I$10:$J$13,2,FALSE),0),
IF(AX557="K",VLOOKUP(L557,Foundation_Calc!$V$41:$X$74,VLOOKUP(AX557,Foundation_Calc!$I$10:$J$13,2,FALSE),0),"")))</f>
        <v/>
      </c>
      <c r="N557" s="8"/>
      <c r="O557" s="8"/>
      <c r="P557" s="8"/>
      <c r="Q557" s="14"/>
      <c r="R557" s="15"/>
      <c r="S557" s="15"/>
      <c r="T557" s="14"/>
      <c r="U557" s="14"/>
      <c r="V557" s="14"/>
      <c r="W557" s="18"/>
      <c r="X557" s="18"/>
      <c r="Y557" s="18"/>
      <c r="Z557" s="18"/>
      <c r="AA557" s="18"/>
      <c r="AB557" s="18"/>
      <c r="AC557" s="8" t="str">
        <f t="shared" si="33"/>
        <v/>
      </c>
      <c r="AD557" s="8"/>
      <c r="AE557" s="8"/>
      <c r="AF557" s="14"/>
      <c r="AG557" s="13"/>
      <c r="AH557" s="14"/>
      <c r="AI557" s="14"/>
      <c r="AJ557" s="8"/>
      <c r="AK557" s="8"/>
      <c r="AL557" s="8"/>
      <c r="AM557" s="8"/>
      <c r="AN557" s="631"/>
      <c r="AO557" s="18"/>
      <c r="AP557" s="18"/>
      <c r="AQ557" s="18"/>
      <c r="AR557" s="18"/>
      <c r="AS557" s="18"/>
      <c r="AU557" s="448"/>
      <c r="AV557" s="448"/>
      <c r="AW557" s="8" t="str">
        <f>IF(C557&gt;0,VLOOKUP(C557,Foundation_Calc!$A$2:$C$986,3,1),
IF(J557&gt;0,VLOOKUP(J557,Foundation_Calc!$A$2:$C$986,3,1),""))</f>
        <v/>
      </c>
      <c r="AX557" s="8" t="str">
        <f>IF(C557&gt;0,VLOOKUP(C557,Foundation_Calc!$E$2:$G$986,3,1),
IF(J557&gt;0,VLOOKUP(J557,Foundation_Calc!$E$2:$G$986,3,1),""))</f>
        <v/>
      </c>
      <c r="AY557" s="631" t="str">
        <f>IF(L557="","",
IF(AX557="PT",VLOOKUP(L557,Foundation_Calc!$K$4:$R$37,VLOOKUP(AW557,Foundation_Calc!$I$2:$J$8,2,FALSE),0),
IF(AX557="K",VLOOKUP(L557,Foundation_Calc!$K$41:$R$74,VLOOKUP(AW557,Foundation_Calc!$I$2:$J$8,2,FALSE),0),"")))</f>
        <v/>
      </c>
      <c r="AZ557" s="631" t="str">
        <f>IF(K557="","",
IF(AX557="PT",VLOOKUP(K557,Foundation_Calc!$K$4:$R$37,VLOOKUP(AW557,Foundation_Calc!$I$2:$J$8,2,FALSE),0),
IF(AX557="K",VLOOKUP(K557,Foundation_Calc!$K$41:$R$74,VLOOKUP(AW557,Foundation_Calc!$I$2:$J$8,2,FALSE),0),"")))</f>
        <v/>
      </c>
      <c r="BA557" s="632" t="str">
        <f t="shared" si="34"/>
        <v/>
      </c>
      <c r="BB557" s="632" t="str">
        <f t="shared" si="35"/>
        <v/>
      </c>
      <c r="BC557" s="632" t="str">
        <f t="shared" si="36"/>
        <v/>
      </c>
      <c r="BD557" s="633" t="str">
        <f>IF(AND(L557="",H557=""),"",
IF(H557="",Pole_Calc!A585,
IF(H557="MP",Pole_Calc!A586,
IF(H557="AnMP",Pole_Calc!A587,
IF(H557="A",Pole_Calc!A588,
IF(H557="S/A",Pole_Calc!A589,
IF(H557="A/S",Pole_Calc!A590,"Poner a mano")))))))</f>
        <v/>
      </c>
      <c r="BE557" s="448" t="s">
        <v>1726</v>
      </c>
      <c r="BF557" s="635"/>
      <c r="BG557" s="635"/>
      <c r="BH557" s="634"/>
      <c r="BI557" s="635"/>
    </row>
    <row r="558" spans="1:61" ht="16.2" customHeight="1">
      <c r="A558" s="12"/>
      <c r="B558" s="446"/>
      <c r="C558" s="89"/>
      <c r="D558" s="13"/>
      <c r="E558" s="14"/>
      <c r="F558" s="14"/>
      <c r="G558" s="15"/>
      <c r="H558" s="8"/>
      <c r="I558" s="8"/>
      <c r="J558" s="89"/>
      <c r="K558" s="8"/>
      <c r="L558" s="8"/>
      <c r="M558" s="8" t="str">
        <f>IF(L558="","",
IF(AX558="PT",VLOOKUP(L558,Foundation_Calc!$V$4:$X$37,VLOOKUP(AX558,Foundation_Calc!$I$10:$J$13,2,FALSE),0),
IF(AX558="K",VLOOKUP(L558,Foundation_Calc!$V$41:$X$74,VLOOKUP(AX558,Foundation_Calc!$I$10:$J$13,2,FALSE),0),"")))</f>
        <v/>
      </c>
      <c r="N558" s="8"/>
      <c r="O558" s="8"/>
      <c r="P558" s="8"/>
      <c r="Q558" s="14"/>
      <c r="R558" s="15"/>
      <c r="S558" s="15"/>
      <c r="T558" s="14"/>
      <c r="U558" s="14"/>
      <c r="V558" s="14"/>
      <c r="W558" s="18"/>
      <c r="X558" s="18"/>
      <c r="Y558" s="18"/>
      <c r="Z558" s="18"/>
      <c r="AA558" s="18"/>
      <c r="AB558" s="18"/>
      <c r="AC558" s="8" t="str">
        <f t="shared" si="33"/>
        <v/>
      </c>
      <c r="AD558" s="8"/>
      <c r="AE558" s="8"/>
      <c r="AF558" s="14"/>
      <c r="AG558" s="13"/>
      <c r="AH558" s="14"/>
      <c r="AI558" s="14"/>
      <c r="AJ558" s="8"/>
      <c r="AK558" s="8"/>
      <c r="AL558" s="8"/>
      <c r="AM558" s="8"/>
      <c r="AN558" s="631"/>
      <c r="AO558" s="18"/>
      <c r="AP558" s="18"/>
      <c r="AQ558" s="18"/>
      <c r="AR558" s="18"/>
      <c r="AS558" s="18"/>
      <c r="AU558" s="448"/>
      <c r="AV558" s="448"/>
      <c r="AW558" s="8" t="str">
        <f>IF(C558&gt;0,VLOOKUP(C558,Foundation_Calc!$A$2:$C$986,3,1),
IF(J558&gt;0,VLOOKUP(J558,Foundation_Calc!$A$2:$C$986,3,1),""))</f>
        <v/>
      </c>
      <c r="AX558" s="8" t="str">
        <f>IF(C558&gt;0,VLOOKUP(C558,Foundation_Calc!$E$2:$G$986,3,1),
IF(J558&gt;0,VLOOKUP(J558,Foundation_Calc!$E$2:$G$986,3,1),""))</f>
        <v/>
      </c>
      <c r="AY558" s="631" t="str">
        <f>IF(L558="","",
IF(AX558="PT",VLOOKUP(L558,Foundation_Calc!$K$4:$R$37,VLOOKUP(AW558,Foundation_Calc!$I$2:$J$8,2,FALSE),0),
IF(AX558="K",VLOOKUP(L558,Foundation_Calc!$K$41:$R$74,VLOOKUP(AW558,Foundation_Calc!$I$2:$J$8,2,FALSE),0),"")))</f>
        <v/>
      </c>
      <c r="AZ558" s="631" t="str">
        <f>IF(K558="","",
IF(AX558="PT",VLOOKUP(K558,Foundation_Calc!$K$4:$R$37,VLOOKUP(AW558,Foundation_Calc!$I$2:$J$8,2,FALSE),0),
IF(AX558="K",VLOOKUP(K558,Foundation_Calc!$K$41:$R$74,VLOOKUP(AW558,Foundation_Calc!$I$2:$J$8,2,FALSE),0),"")))</f>
        <v/>
      </c>
      <c r="BA558" s="632" t="str">
        <f t="shared" si="34"/>
        <v/>
      </c>
      <c r="BB558" s="632" t="str">
        <f t="shared" si="35"/>
        <v/>
      </c>
      <c r="BC558" s="632" t="str">
        <f t="shared" si="36"/>
        <v/>
      </c>
      <c r="BD558" s="633" t="str">
        <f>IF(AND(L558="",H558=""),"",
IF(H558="",Pole_Calc!A586,
IF(H558="MP",Pole_Calc!A587,
IF(H558="AnMP",Pole_Calc!A588,
IF(H558="A",Pole_Calc!A589,
IF(H558="S/A",Pole_Calc!A590,
IF(H558="A/S",Pole_Calc!A591,"Poner a mano")))))))</f>
        <v/>
      </c>
      <c r="BE558" s="448" t="s">
        <v>1726</v>
      </c>
      <c r="BF558" s="634"/>
      <c r="BG558" s="634"/>
      <c r="BH558" s="634"/>
      <c r="BI558" s="634"/>
    </row>
    <row r="559" spans="1:61" ht="16.2" customHeight="1">
      <c r="A559" s="12"/>
      <c r="B559" s="446"/>
      <c r="C559" s="89"/>
      <c r="D559" s="13"/>
      <c r="E559" s="14"/>
      <c r="F559" s="14"/>
      <c r="G559" s="15"/>
      <c r="H559" s="8"/>
      <c r="I559" s="8"/>
      <c r="J559" s="89"/>
      <c r="K559" s="8"/>
      <c r="L559" s="8"/>
      <c r="M559" s="8" t="str">
        <f>IF(L559="","",
IF(AX559="PT",VLOOKUP(L559,Foundation_Calc!$V$4:$X$37,VLOOKUP(AX559,Foundation_Calc!$I$10:$J$13,2,FALSE),0),
IF(AX559="K",VLOOKUP(L559,Foundation_Calc!$V$41:$X$74,VLOOKUP(AX559,Foundation_Calc!$I$10:$J$13,2,FALSE),0),"")))</f>
        <v/>
      </c>
      <c r="N559" s="8"/>
      <c r="O559" s="8"/>
      <c r="P559" s="8"/>
      <c r="Q559" s="14"/>
      <c r="R559" s="15"/>
      <c r="S559" s="15"/>
      <c r="T559" s="14"/>
      <c r="U559" s="14"/>
      <c r="V559" s="14"/>
      <c r="W559" s="18"/>
      <c r="X559" s="18"/>
      <c r="Y559" s="18"/>
      <c r="Z559" s="18"/>
      <c r="AA559" s="18"/>
      <c r="AB559" s="18"/>
      <c r="AC559" s="8" t="str">
        <f t="shared" si="33"/>
        <v/>
      </c>
      <c r="AD559" s="8"/>
      <c r="AE559" s="8"/>
      <c r="AF559" s="14"/>
      <c r="AG559" s="13"/>
      <c r="AH559" s="14"/>
      <c r="AI559" s="14"/>
      <c r="AJ559" s="8"/>
      <c r="AK559" s="8"/>
      <c r="AL559" s="8"/>
      <c r="AM559" s="8"/>
      <c r="AN559" s="631"/>
      <c r="AO559" s="18"/>
      <c r="AP559" s="18"/>
      <c r="AQ559" s="18"/>
      <c r="AR559" s="18"/>
      <c r="AS559" s="18"/>
      <c r="AU559" s="448"/>
      <c r="AV559" s="448"/>
      <c r="AW559" s="8" t="str">
        <f>IF(C559&gt;0,VLOOKUP(C559,Foundation_Calc!$A$2:$C$986,3,1),
IF(J559&gt;0,VLOOKUP(J559,Foundation_Calc!$A$2:$C$986,3,1),""))</f>
        <v/>
      </c>
      <c r="AX559" s="8" t="str">
        <f>IF(C559&gt;0,VLOOKUP(C559,Foundation_Calc!$E$2:$G$986,3,1),
IF(J559&gt;0,VLOOKUP(J559,Foundation_Calc!$E$2:$G$986,3,1),""))</f>
        <v/>
      </c>
      <c r="AY559" s="631" t="str">
        <f>IF(L559="","",
IF(AX559="PT",VLOOKUP(L559,Foundation_Calc!$K$4:$R$37,VLOOKUP(AW559,Foundation_Calc!$I$2:$J$8,2,FALSE),0),
IF(AX559="K",VLOOKUP(L559,Foundation_Calc!$K$41:$R$74,VLOOKUP(AW559,Foundation_Calc!$I$2:$J$8,2,FALSE),0),"")))</f>
        <v/>
      </c>
      <c r="AZ559" s="631" t="str">
        <f>IF(K559="","",
IF(AX559="PT",VLOOKUP(K559,Foundation_Calc!$K$4:$R$37,VLOOKUP(AW559,Foundation_Calc!$I$2:$J$8,2,FALSE),0),
IF(AX559="K",VLOOKUP(K559,Foundation_Calc!$K$41:$R$74,VLOOKUP(AW559,Foundation_Calc!$I$2:$J$8,2,FALSE),0),"")))</f>
        <v/>
      </c>
      <c r="BA559" s="632" t="str">
        <f t="shared" si="34"/>
        <v/>
      </c>
      <c r="BB559" s="632" t="str">
        <f t="shared" si="35"/>
        <v/>
      </c>
      <c r="BC559" s="632" t="str">
        <f t="shared" si="36"/>
        <v/>
      </c>
      <c r="BD559" s="633" t="str">
        <f>IF(AND(L559="",H559=""),"",
IF(H559="",Pole_Calc!A587,
IF(H559="MP",Pole_Calc!A588,
IF(H559="AnMP",Pole_Calc!A589,
IF(H559="A",Pole_Calc!A590,
IF(H559="S/A",Pole_Calc!A591,
IF(H559="A/S",Pole_Calc!A592,"Poner a mano")))))))</f>
        <v/>
      </c>
      <c r="BE559" s="448" t="s">
        <v>1726</v>
      </c>
      <c r="BF559" s="635"/>
      <c r="BG559" s="635"/>
      <c r="BH559" s="634"/>
      <c r="BI559" s="635"/>
    </row>
    <row r="560" spans="1:61" ht="16.2" customHeight="1">
      <c r="A560" s="12"/>
      <c r="B560" s="446"/>
      <c r="C560" s="89"/>
      <c r="D560" s="13"/>
      <c r="E560" s="14"/>
      <c r="F560" s="14"/>
      <c r="G560" s="15"/>
      <c r="H560" s="8"/>
      <c r="I560" s="8"/>
      <c r="J560" s="89"/>
      <c r="K560" s="8"/>
      <c r="L560" s="8"/>
      <c r="M560" s="8" t="str">
        <f>IF(L560="","",
IF(AX560="PT",VLOOKUP(L560,Foundation_Calc!$V$4:$X$37,VLOOKUP(AX560,Foundation_Calc!$I$10:$J$13,2,FALSE),0),
IF(AX560="K",VLOOKUP(L560,Foundation_Calc!$V$41:$X$74,VLOOKUP(AX560,Foundation_Calc!$I$10:$J$13,2,FALSE),0),"")))</f>
        <v/>
      </c>
      <c r="N560" s="8"/>
      <c r="O560" s="8"/>
      <c r="P560" s="8"/>
      <c r="Q560" s="14"/>
      <c r="R560" s="15"/>
      <c r="S560" s="15"/>
      <c r="T560" s="14"/>
      <c r="U560" s="14"/>
      <c r="V560" s="14"/>
      <c r="W560" s="18"/>
      <c r="X560" s="18"/>
      <c r="Y560" s="18"/>
      <c r="Z560" s="18"/>
      <c r="AA560" s="18"/>
      <c r="AB560" s="18"/>
      <c r="AC560" s="8" t="str">
        <f t="shared" si="33"/>
        <v/>
      </c>
      <c r="AD560" s="8"/>
      <c r="AE560" s="8"/>
      <c r="AF560" s="14"/>
      <c r="AG560" s="13"/>
      <c r="AH560" s="14"/>
      <c r="AI560" s="14"/>
      <c r="AJ560" s="8"/>
      <c r="AK560" s="8"/>
      <c r="AL560" s="8"/>
      <c r="AM560" s="8"/>
      <c r="AN560" s="631"/>
      <c r="AO560" s="18"/>
      <c r="AP560" s="18"/>
      <c r="AQ560" s="18"/>
      <c r="AR560" s="18"/>
      <c r="AS560" s="18"/>
      <c r="AU560" s="448"/>
      <c r="AV560" s="448"/>
      <c r="AW560" s="8" t="str">
        <f>IF(C560&gt;0,VLOOKUP(C560,Foundation_Calc!$A$2:$C$986,3,1),
IF(J560&gt;0,VLOOKUP(J560,Foundation_Calc!$A$2:$C$986,3,1),""))</f>
        <v/>
      </c>
      <c r="AX560" s="8" t="str">
        <f>IF(C560&gt;0,VLOOKUP(C560,Foundation_Calc!$E$2:$G$986,3,1),
IF(J560&gt;0,VLOOKUP(J560,Foundation_Calc!$E$2:$G$986,3,1),""))</f>
        <v/>
      </c>
      <c r="AY560" s="631" t="str">
        <f>IF(L560="","",
IF(AX560="PT",VLOOKUP(L560,Foundation_Calc!$K$4:$R$37,VLOOKUP(AW560,Foundation_Calc!$I$2:$J$8,2,FALSE),0),
IF(AX560="K",VLOOKUP(L560,Foundation_Calc!$K$41:$R$74,VLOOKUP(AW560,Foundation_Calc!$I$2:$J$8,2,FALSE),0),"")))</f>
        <v/>
      </c>
      <c r="AZ560" s="631" t="str">
        <f>IF(K560="","",
IF(AX560="PT",VLOOKUP(K560,Foundation_Calc!$K$4:$R$37,VLOOKUP(AW560,Foundation_Calc!$I$2:$J$8,2,FALSE),0),
IF(AX560="K",VLOOKUP(K560,Foundation_Calc!$K$41:$R$74,VLOOKUP(AW560,Foundation_Calc!$I$2:$J$8,2,FALSE),0),"")))</f>
        <v/>
      </c>
      <c r="BA560" s="632" t="str">
        <f t="shared" si="34"/>
        <v/>
      </c>
      <c r="BB560" s="632" t="str">
        <f t="shared" si="35"/>
        <v/>
      </c>
      <c r="BC560" s="632" t="str">
        <f t="shared" si="36"/>
        <v/>
      </c>
      <c r="BD560" s="633" t="str">
        <f>IF(AND(L560="",H560=""),"",
IF(H560="",Pole_Calc!A588,
IF(H560="MP",Pole_Calc!A589,
IF(H560="AnMP",Pole_Calc!A590,
IF(H560="A",Pole_Calc!A591,
IF(H560="S/A",Pole_Calc!A592,
IF(H560="A/S",Pole_Calc!A593,"Poner a mano")))))))</f>
        <v/>
      </c>
      <c r="BE560" s="448" t="s">
        <v>1726</v>
      </c>
      <c r="BF560" s="634"/>
      <c r="BG560" s="634"/>
      <c r="BH560" s="634"/>
      <c r="BI560" s="634"/>
    </row>
    <row r="561" spans="1:61" ht="16.2" customHeight="1">
      <c r="A561" s="12"/>
      <c r="B561" s="446"/>
      <c r="C561" s="89"/>
      <c r="D561" s="13"/>
      <c r="E561" s="14"/>
      <c r="F561" s="14"/>
      <c r="G561" s="15"/>
      <c r="H561" s="8"/>
      <c r="I561" s="8"/>
      <c r="J561" s="89"/>
      <c r="K561" s="8"/>
      <c r="L561" s="8"/>
      <c r="M561" s="8" t="str">
        <f>IF(L561="","",
IF(AX561="PT",VLOOKUP(L561,Foundation_Calc!$V$4:$X$37,VLOOKUP(AX561,Foundation_Calc!$I$10:$J$13,2,FALSE),0),
IF(AX561="K",VLOOKUP(L561,Foundation_Calc!$V$41:$X$74,VLOOKUP(AX561,Foundation_Calc!$I$10:$J$13,2,FALSE),0),"")))</f>
        <v/>
      </c>
      <c r="N561" s="8"/>
      <c r="O561" s="8"/>
      <c r="P561" s="8"/>
      <c r="Q561" s="14"/>
      <c r="R561" s="15"/>
      <c r="S561" s="15"/>
      <c r="T561" s="14"/>
      <c r="U561" s="14"/>
      <c r="V561" s="14"/>
      <c r="W561" s="18"/>
      <c r="X561" s="18"/>
      <c r="Y561" s="18"/>
      <c r="Z561" s="18"/>
      <c r="AA561" s="18"/>
      <c r="AB561" s="18"/>
      <c r="AC561" s="8" t="str">
        <f t="shared" si="33"/>
        <v/>
      </c>
      <c r="AD561" s="8"/>
      <c r="AE561" s="8"/>
      <c r="AF561" s="14"/>
      <c r="AG561" s="13"/>
      <c r="AH561" s="14"/>
      <c r="AI561" s="14"/>
      <c r="AJ561" s="8"/>
      <c r="AK561" s="8"/>
      <c r="AL561" s="8"/>
      <c r="AM561" s="8"/>
      <c r="AN561" s="631"/>
      <c r="AO561" s="18"/>
      <c r="AP561" s="18"/>
      <c r="AQ561" s="18"/>
      <c r="AR561" s="18"/>
      <c r="AS561" s="18"/>
      <c r="AU561" s="448"/>
      <c r="AV561" s="448"/>
      <c r="AW561" s="8" t="str">
        <f>IF(C561&gt;0,VLOOKUP(C561,Foundation_Calc!$A$2:$C$986,3,1),
IF(J561&gt;0,VLOOKUP(J561,Foundation_Calc!$A$2:$C$986,3,1),""))</f>
        <v/>
      </c>
      <c r="AX561" s="8" t="str">
        <f>IF(C561&gt;0,VLOOKUP(C561,Foundation_Calc!$E$2:$G$986,3,1),
IF(J561&gt;0,VLOOKUP(J561,Foundation_Calc!$E$2:$G$986,3,1),""))</f>
        <v/>
      </c>
      <c r="AY561" s="631" t="str">
        <f>IF(L561="","",
IF(AX561="PT",VLOOKUP(L561,Foundation_Calc!$K$4:$R$37,VLOOKUP(AW561,Foundation_Calc!$I$2:$J$8,2,FALSE),0),
IF(AX561="K",VLOOKUP(L561,Foundation_Calc!$K$41:$R$74,VLOOKUP(AW561,Foundation_Calc!$I$2:$J$8,2,FALSE),0),"")))</f>
        <v/>
      </c>
      <c r="AZ561" s="631" t="str">
        <f>IF(K561="","",
IF(AX561="PT",VLOOKUP(K561,Foundation_Calc!$K$4:$R$37,VLOOKUP(AW561,Foundation_Calc!$I$2:$J$8,2,FALSE),0),
IF(AX561="K",VLOOKUP(K561,Foundation_Calc!$K$41:$R$74,VLOOKUP(AW561,Foundation_Calc!$I$2:$J$8,2,FALSE),0),"")))</f>
        <v/>
      </c>
      <c r="BA561" s="632" t="str">
        <f t="shared" si="34"/>
        <v/>
      </c>
      <c r="BB561" s="632" t="str">
        <f t="shared" si="35"/>
        <v/>
      </c>
      <c r="BC561" s="632" t="str">
        <f t="shared" si="36"/>
        <v/>
      </c>
      <c r="BD561" s="633" t="str">
        <f>IF(AND(L561="",H561=""),"",
IF(H561="",Pole_Calc!A589,
IF(H561="MP",Pole_Calc!A590,
IF(H561="AnMP",Pole_Calc!A591,
IF(H561="A",Pole_Calc!A592,
IF(H561="S/A",Pole_Calc!A593,
IF(H561="A/S",Pole_Calc!A594,"Poner a mano")))))))</f>
        <v/>
      </c>
      <c r="BE561" s="448" t="s">
        <v>1726</v>
      </c>
      <c r="BF561" s="635"/>
      <c r="BG561" s="635"/>
      <c r="BH561" s="634"/>
      <c r="BI561" s="635"/>
    </row>
    <row r="562" spans="1:61" ht="16.2" customHeight="1">
      <c r="A562" s="12"/>
      <c r="B562" s="446"/>
      <c r="C562" s="89"/>
      <c r="D562" s="13"/>
      <c r="E562" s="14"/>
      <c r="F562" s="14"/>
      <c r="G562" s="15"/>
      <c r="H562" s="8"/>
      <c r="I562" s="8"/>
      <c r="J562" s="89"/>
      <c r="K562" s="8"/>
      <c r="L562" s="8"/>
      <c r="M562" s="8" t="str">
        <f>IF(L562="","",
IF(AX562="PT",VLOOKUP(L562,Foundation_Calc!$V$4:$X$37,VLOOKUP(AX562,Foundation_Calc!$I$10:$J$13,2,FALSE),0),
IF(AX562="K",VLOOKUP(L562,Foundation_Calc!$V$41:$X$74,VLOOKUP(AX562,Foundation_Calc!$I$10:$J$13,2,FALSE),0),"")))</f>
        <v/>
      </c>
      <c r="N562" s="8"/>
      <c r="O562" s="8"/>
      <c r="P562" s="8"/>
      <c r="Q562" s="14"/>
      <c r="R562" s="15"/>
      <c r="S562" s="15"/>
      <c r="T562" s="14"/>
      <c r="U562" s="14"/>
      <c r="V562" s="14"/>
      <c r="W562" s="18"/>
      <c r="X562" s="18"/>
      <c r="Y562" s="18"/>
      <c r="Z562" s="18"/>
      <c r="AA562" s="18"/>
      <c r="AB562" s="18"/>
      <c r="AC562" s="8" t="str">
        <f t="shared" si="33"/>
        <v/>
      </c>
      <c r="AD562" s="8"/>
      <c r="AE562" s="8"/>
      <c r="AF562" s="14"/>
      <c r="AG562" s="13"/>
      <c r="AH562" s="14"/>
      <c r="AI562" s="14"/>
      <c r="AJ562" s="8"/>
      <c r="AK562" s="8"/>
      <c r="AL562" s="8"/>
      <c r="AM562" s="8"/>
      <c r="AN562" s="631"/>
      <c r="AO562" s="18"/>
      <c r="AP562" s="18"/>
      <c r="AQ562" s="18"/>
      <c r="AR562" s="18"/>
      <c r="AS562" s="18"/>
      <c r="AU562" s="448"/>
      <c r="AV562" s="448"/>
      <c r="AW562" s="8" t="str">
        <f>IF(C562&gt;0,VLOOKUP(C562,Foundation_Calc!$A$2:$C$986,3,1),
IF(J562&gt;0,VLOOKUP(J562,Foundation_Calc!$A$2:$C$986,3,1),""))</f>
        <v/>
      </c>
      <c r="AX562" s="8" t="str">
        <f>IF(C562&gt;0,VLOOKUP(C562,Foundation_Calc!$E$2:$G$986,3,1),
IF(J562&gt;0,VLOOKUP(J562,Foundation_Calc!$E$2:$G$986,3,1),""))</f>
        <v/>
      </c>
      <c r="AY562" s="631" t="str">
        <f>IF(L562="","",
IF(AX562="PT",VLOOKUP(L562,Foundation_Calc!$K$4:$R$37,VLOOKUP(AW562,Foundation_Calc!$I$2:$J$8,2,FALSE),0),
IF(AX562="K",VLOOKUP(L562,Foundation_Calc!$K$41:$R$74,VLOOKUP(AW562,Foundation_Calc!$I$2:$J$8,2,FALSE),0),"")))</f>
        <v/>
      </c>
      <c r="AZ562" s="631" t="str">
        <f>IF(K562="","",
IF(AX562="PT",VLOOKUP(K562,Foundation_Calc!$K$4:$R$37,VLOOKUP(AW562,Foundation_Calc!$I$2:$J$8,2,FALSE),0),
IF(AX562="K",VLOOKUP(K562,Foundation_Calc!$K$41:$R$74,VLOOKUP(AW562,Foundation_Calc!$I$2:$J$8,2,FALSE),0),"")))</f>
        <v/>
      </c>
      <c r="BA562" s="632" t="str">
        <f t="shared" si="34"/>
        <v/>
      </c>
      <c r="BB562" s="632" t="str">
        <f t="shared" si="35"/>
        <v/>
      </c>
      <c r="BC562" s="632" t="str">
        <f t="shared" si="36"/>
        <v/>
      </c>
      <c r="BD562" s="633" t="str">
        <f>IF(AND(L562="",H562=""),"",
IF(H562="",Pole_Calc!A590,
IF(H562="MP",Pole_Calc!A591,
IF(H562="AnMP",Pole_Calc!A592,
IF(H562="A",Pole_Calc!A593,
IF(H562="S/A",Pole_Calc!A594,
IF(H562="A/S",Pole_Calc!A595,"Poner a mano")))))))</f>
        <v/>
      </c>
      <c r="BE562" s="448" t="s">
        <v>1726</v>
      </c>
      <c r="BF562" s="634"/>
      <c r="BG562" s="634"/>
      <c r="BH562" s="634"/>
      <c r="BI562" s="634"/>
    </row>
    <row r="563" spans="1:61" ht="16.2" customHeight="1">
      <c r="A563" s="12"/>
      <c r="B563" s="446"/>
      <c r="C563" s="89"/>
      <c r="D563" s="13"/>
      <c r="E563" s="14"/>
      <c r="F563" s="14"/>
      <c r="G563" s="15"/>
      <c r="H563" s="8"/>
      <c r="I563" s="8"/>
      <c r="J563" s="89"/>
      <c r="K563" s="8"/>
      <c r="L563" s="8"/>
      <c r="M563" s="8" t="str">
        <f>IF(L563="","",
IF(AX563="PT",VLOOKUP(L563,Foundation_Calc!$V$4:$X$37,VLOOKUP(AX563,Foundation_Calc!$I$10:$J$13,2,FALSE),0),
IF(AX563="K",VLOOKUP(L563,Foundation_Calc!$V$41:$X$74,VLOOKUP(AX563,Foundation_Calc!$I$10:$J$13,2,FALSE),0),"")))</f>
        <v/>
      </c>
      <c r="N563" s="8"/>
      <c r="O563" s="8"/>
      <c r="P563" s="8"/>
      <c r="Q563" s="14"/>
      <c r="R563" s="15"/>
      <c r="S563" s="15"/>
      <c r="T563" s="14"/>
      <c r="U563" s="14"/>
      <c r="V563" s="14"/>
      <c r="W563" s="18"/>
      <c r="X563" s="18"/>
      <c r="Y563" s="18"/>
      <c r="Z563" s="18"/>
      <c r="AA563" s="18"/>
      <c r="AB563" s="18"/>
      <c r="AC563" s="8" t="str">
        <f t="shared" si="33"/>
        <v/>
      </c>
      <c r="AD563" s="8"/>
      <c r="AE563" s="8"/>
      <c r="AF563" s="14"/>
      <c r="AG563" s="13"/>
      <c r="AH563" s="14"/>
      <c r="AI563" s="14"/>
      <c r="AJ563" s="8"/>
      <c r="AK563" s="8"/>
      <c r="AL563" s="8"/>
      <c r="AM563" s="8"/>
      <c r="AN563" s="631"/>
      <c r="AO563" s="18"/>
      <c r="AP563" s="18"/>
      <c r="AQ563" s="18"/>
      <c r="AR563" s="18"/>
      <c r="AS563" s="18"/>
      <c r="AU563" s="448"/>
      <c r="AV563" s="448"/>
      <c r="AW563" s="8" t="str">
        <f>IF(C563&gt;0,VLOOKUP(C563,Foundation_Calc!$A$2:$C$986,3,1),
IF(J563&gt;0,VLOOKUP(J563,Foundation_Calc!$A$2:$C$986,3,1),""))</f>
        <v/>
      </c>
      <c r="AX563" s="8" t="str">
        <f>IF(C563&gt;0,VLOOKUP(C563,Foundation_Calc!$E$2:$G$986,3,1),
IF(J563&gt;0,VLOOKUP(J563,Foundation_Calc!$E$2:$G$986,3,1),""))</f>
        <v/>
      </c>
      <c r="AY563" s="631" t="str">
        <f>IF(L563="","",
IF(AX563="PT",VLOOKUP(L563,Foundation_Calc!$K$4:$R$37,VLOOKUP(AW563,Foundation_Calc!$I$2:$J$8,2,FALSE),0),
IF(AX563="K",VLOOKUP(L563,Foundation_Calc!$K$41:$R$74,VLOOKUP(AW563,Foundation_Calc!$I$2:$J$8,2,FALSE),0),"")))</f>
        <v/>
      </c>
      <c r="AZ563" s="631" t="str">
        <f>IF(K563="","",
IF(AX563="PT",VLOOKUP(K563,Foundation_Calc!$K$4:$R$37,VLOOKUP(AW563,Foundation_Calc!$I$2:$J$8,2,FALSE),0),
IF(AX563="K",VLOOKUP(K563,Foundation_Calc!$K$41:$R$74,VLOOKUP(AW563,Foundation_Calc!$I$2:$J$8,2,FALSE),0),"")))</f>
        <v/>
      </c>
      <c r="BA563" s="632" t="str">
        <f t="shared" si="34"/>
        <v/>
      </c>
      <c r="BB563" s="632" t="str">
        <f t="shared" si="35"/>
        <v/>
      </c>
      <c r="BC563" s="632" t="str">
        <f t="shared" si="36"/>
        <v/>
      </c>
      <c r="BD563" s="633" t="str">
        <f>IF(AND(L563="",H563=""),"",
IF(H563="",Pole_Calc!A591,
IF(H563="MP",Pole_Calc!A592,
IF(H563="AnMP",Pole_Calc!A593,
IF(H563="A",Pole_Calc!A594,
IF(H563="S/A",Pole_Calc!A595,
IF(H563="A/S",Pole_Calc!A596,"Poner a mano")))))))</f>
        <v/>
      </c>
      <c r="BE563" s="448" t="s">
        <v>1726</v>
      </c>
      <c r="BF563" s="635"/>
      <c r="BG563" s="635"/>
      <c r="BH563" s="634"/>
      <c r="BI563" s="635"/>
    </row>
    <row r="564" spans="1:61" ht="16.2" customHeight="1">
      <c r="A564" s="12"/>
      <c r="B564" s="446"/>
      <c r="C564" s="89"/>
      <c r="D564" s="13"/>
      <c r="E564" s="14"/>
      <c r="F564" s="14"/>
      <c r="G564" s="15"/>
      <c r="H564" s="8"/>
      <c r="I564" s="8"/>
      <c r="J564" s="89"/>
      <c r="K564" s="8"/>
      <c r="L564" s="8"/>
      <c r="M564" s="8" t="str">
        <f>IF(L564="","",
IF(AX564="PT",VLOOKUP(L564,Foundation_Calc!$V$4:$X$37,VLOOKUP(AX564,Foundation_Calc!$I$10:$J$13,2,FALSE),0),
IF(AX564="K",VLOOKUP(L564,Foundation_Calc!$V$41:$X$74,VLOOKUP(AX564,Foundation_Calc!$I$10:$J$13,2,FALSE),0),"")))</f>
        <v/>
      </c>
      <c r="N564" s="8"/>
      <c r="O564" s="8"/>
      <c r="P564" s="8"/>
      <c r="Q564" s="14"/>
      <c r="R564" s="15"/>
      <c r="S564" s="15"/>
      <c r="T564" s="14"/>
      <c r="U564" s="14"/>
      <c r="V564" s="14"/>
      <c r="W564" s="18"/>
      <c r="X564" s="18"/>
      <c r="Y564" s="18"/>
      <c r="Z564" s="18"/>
      <c r="AA564" s="18"/>
      <c r="AB564" s="18"/>
      <c r="AC564" s="8" t="str">
        <f t="shared" si="33"/>
        <v/>
      </c>
      <c r="AD564" s="8"/>
      <c r="AE564" s="8"/>
      <c r="AF564" s="14"/>
      <c r="AG564" s="13"/>
      <c r="AH564" s="14"/>
      <c r="AI564" s="14"/>
      <c r="AJ564" s="8"/>
      <c r="AK564" s="8"/>
      <c r="AL564" s="8"/>
      <c r="AM564" s="8"/>
      <c r="AN564" s="631"/>
      <c r="AO564" s="18"/>
      <c r="AP564" s="18"/>
      <c r="AQ564" s="18"/>
      <c r="AR564" s="18"/>
      <c r="AS564" s="18"/>
      <c r="AU564" s="448"/>
      <c r="AV564" s="448"/>
      <c r="AW564" s="8" t="str">
        <f>IF(C564&gt;0,VLOOKUP(C564,Foundation_Calc!$A$2:$C$986,3,1),
IF(J564&gt;0,VLOOKUP(J564,Foundation_Calc!$A$2:$C$986,3,1),""))</f>
        <v/>
      </c>
      <c r="AX564" s="8" t="str">
        <f>IF(C564&gt;0,VLOOKUP(C564,Foundation_Calc!$E$2:$G$986,3,1),
IF(J564&gt;0,VLOOKUP(J564,Foundation_Calc!$E$2:$G$986,3,1),""))</f>
        <v/>
      </c>
      <c r="AY564" s="631" t="str">
        <f>IF(L564="","",
IF(AX564="PT",VLOOKUP(L564,Foundation_Calc!$K$4:$R$37,VLOOKUP(AW564,Foundation_Calc!$I$2:$J$8,2,FALSE),0),
IF(AX564="K",VLOOKUP(L564,Foundation_Calc!$K$41:$R$74,VLOOKUP(AW564,Foundation_Calc!$I$2:$J$8,2,FALSE),0),"")))</f>
        <v/>
      </c>
      <c r="AZ564" s="631" t="str">
        <f>IF(K564="","",
IF(AX564="PT",VLOOKUP(K564,Foundation_Calc!$K$4:$R$37,VLOOKUP(AW564,Foundation_Calc!$I$2:$J$8,2,FALSE),0),
IF(AX564="K",VLOOKUP(K564,Foundation_Calc!$K$41:$R$74,VLOOKUP(AW564,Foundation_Calc!$I$2:$J$8,2,FALSE),0),"")))</f>
        <v/>
      </c>
      <c r="BA564" s="632" t="str">
        <f t="shared" si="34"/>
        <v/>
      </c>
      <c r="BB564" s="632" t="str">
        <f t="shared" si="35"/>
        <v/>
      </c>
      <c r="BC564" s="632" t="str">
        <f t="shared" si="36"/>
        <v/>
      </c>
      <c r="BD564" s="633" t="str">
        <f>IF(AND(L564="",H564=""),"",
IF(H564="",Pole_Calc!A592,
IF(H564="MP",Pole_Calc!A593,
IF(H564="AnMP",Pole_Calc!A594,
IF(H564="A",Pole_Calc!A595,
IF(H564="S/A",Pole_Calc!A596,
IF(H564="A/S",Pole_Calc!A597,"Poner a mano")))))))</f>
        <v/>
      </c>
      <c r="BE564" s="448" t="s">
        <v>1726</v>
      </c>
      <c r="BF564" s="634"/>
      <c r="BG564" s="634"/>
      <c r="BH564" s="634"/>
      <c r="BI564" s="634"/>
    </row>
    <row r="565" spans="1:61" ht="16.2" customHeight="1">
      <c r="A565" s="12"/>
      <c r="B565" s="446"/>
      <c r="C565" s="89"/>
      <c r="D565" s="13"/>
      <c r="E565" s="14"/>
      <c r="F565" s="14"/>
      <c r="G565" s="15"/>
      <c r="H565" s="8"/>
      <c r="I565" s="8"/>
      <c r="J565" s="89"/>
      <c r="K565" s="8"/>
      <c r="L565" s="8"/>
      <c r="M565" s="8" t="str">
        <f>IF(L565="","",
IF(AX565="PT",VLOOKUP(L565,Foundation_Calc!$V$4:$X$37,VLOOKUP(AX565,Foundation_Calc!$I$10:$J$13,2,FALSE),0),
IF(AX565="K",VLOOKUP(L565,Foundation_Calc!$V$41:$X$74,VLOOKUP(AX565,Foundation_Calc!$I$10:$J$13,2,FALSE),0),"")))</f>
        <v/>
      </c>
      <c r="N565" s="8"/>
      <c r="O565" s="8"/>
      <c r="P565" s="8"/>
      <c r="Q565" s="14"/>
      <c r="R565" s="15"/>
      <c r="S565" s="15"/>
      <c r="T565" s="14"/>
      <c r="U565" s="14"/>
      <c r="V565" s="14"/>
      <c r="W565" s="18"/>
      <c r="X565" s="18"/>
      <c r="Y565" s="18"/>
      <c r="Z565" s="18"/>
      <c r="AA565" s="18"/>
      <c r="AB565" s="18"/>
      <c r="AC565" s="8" t="str">
        <f t="shared" si="33"/>
        <v/>
      </c>
      <c r="AD565" s="8"/>
      <c r="AE565" s="8"/>
      <c r="AF565" s="14"/>
      <c r="AG565" s="13"/>
      <c r="AH565" s="14"/>
      <c r="AI565" s="14"/>
      <c r="AJ565" s="8"/>
      <c r="AK565" s="8"/>
      <c r="AL565" s="8"/>
      <c r="AM565" s="8"/>
      <c r="AN565" s="631"/>
      <c r="AO565" s="18"/>
      <c r="AP565" s="18"/>
      <c r="AQ565" s="18"/>
      <c r="AR565" s="18"/>
      <c r="AS565" s="18"/>
      <c r="AU565" s="448"/>
      <c r="AV565" s="448"/>
      <c r="AW565" s="8" t="str">
        <f>IF(C565&gt;0,VLOOKUP(C565,Foundation_Calc!$A$2:$C$986,3,1),
IF(J565&gt;0,VLOOKUP(J565,Foundation_Calc!$A$2:$C$986,3,1),""))</f>
        <v/>
      </c>
      <c r="AX565" s="8" t="str">
        <f>IF(C565&gt;0,VLOOKUP(C565,Foundation_Calc!$E$2:$G$986,3,1),
IF(J565&gt;0,VLOOKUP(J565,Foundation_Calc!$E$2:$G$986,3,1),""))</f>
        <v/>
      </c>
      <c r="AY565" s="631" t="str">
        <f>IF(L565="","",
IF(AX565="PT",VLOOKUP(L565,Foundation_Calc!$K$4:$R$37,VLOOKUP(AW565,Foundation_Calc!$I$2:$J$8,2,FALSE),0),
IF(AX565="K",VLOOKUP(L565,Foundation_Calc!$K$41:$R$74,VLOOKUP(AW565,Foundation_Calc!$I$2:$J$8,2,FALSE),0),"")))</f>
        <v/>
      </c>
      <c r="AZ565" s="631" t="str">
        <f>IF(K565="","",
IF(AX565="PT",VLOOKUP(K565,Foundation_Calc!$K$4:$R$37,VLOOKUP(AW565,Foundation_Calc!$I$2:$J$8,2,FALSE),0),
IF(AX565="K",VLOOKUP(K565,Foundation_Calc!$K$41:$R$74,VLOOKUP(AW565,Foundation_Calc!$I$2:$J$8,2,FALSE),0),"")))</f>
        <v/>
      </c>
      <c r="BA565" s="632" t="str">
        <f t="shared" si="34"/>
        <v/>
      </c>
      <c r="BB565" s="632" t="str">
        <f t="shared" si="35"/>
        <v/>
      </c>
      <c r="BC565" s="632" t="str">
        <f t="shared" si="36"/>
        <v/>
      </c>
      <c r="BD565" s="633" t="str">
        <f>IF(AND(L565="",H565=""),"",
IF(H565="",Pole_Calc!A593,
IF(H565="MP",Pole_Calc!A594,
IF(H565="AnMP",Pole_Calc!A595,
IF(H565="A",Pole_Calc!A596,
IF(H565="S/A",Pole_Calc!A597,
IF(H565="A/S",Pole_Calc!A598,"Poner a mano")))))))</f>
        <v/>
      </c>
      <c r="BE565" s="448" t="s">
        <v>1726</v>
      </c>
      <c r="BF565" s="635"/>
      <c r="BG565" s="635"/>
      <c r="BH565" s="634"/>
      <c r="BI565" s="635"/>
    </row>
    <row r="566" spans="1:61" ht="16.2" customHeight="1">
      <c r="A566" s="12"/>
      <c r="B566" s="446"/>
      <c r="C566" s="89"/>
      <c r="D566" s="13"/>
      <c r="E566" s="14"/>
      <c r="F566" s="14"/>
      <c r="G566" s="15"/>
      <c r="H566" s="8"/>
      <c r="I566" s="8"/>
      <c r="J566" s="89"/>
      <c r="K566" s="8"/>
      <c r="L566" s="8"/>
      <c r="M566" s="8" t="str">
        <f>IF(L566="","",
IF(AX566="PT",VLOOKUP(L566,Foundation_Calc!$V$4:$X$37,VLOOKUP(AX566,Foundation_Calc!$I$10:$J$13,2,FALSE),0),
IF(AX566="K",VLOOKUP(L566,Foundation_Calc!$V$41:$X$74,VLOOKUP(AX566,Foundation_Calc!$I$10:$J$13,2,FALSE),0),"")))</f>
        <v/>
      </c>
      <c r="N566" s="8"/>
      <c r="O566" s="8"/>
      <c r="P566" s="8"/>
      <c r="Q566" s="14"/>
      <c r="R566" s="15"/>
      <c r="S566" s="15"/>
      <c r="T566" s="14"/>
      <c r="U566" s="14"/>
      <c r="V566" s="14"/>
      <c r="W566" s="18"/>
      <c r="X566" s="18"/>
      <c r="Y566" s="18"/>
      <c r="Z566" s="18"/>
      <c r="AA566" s="18"/>
      <c r="AB566" s="18"/>
      <c r="AC566" s="8" t="str">
        <f t="shared" si="33"/>
        <v/>
      </c>
      <c r="AD566" s="8"/>
      <c r="AE566" s="8"/>
      <c r="AF566" s="14"/>
      <c r="AG566" s="13"/>
      <c r="AH566" s="14"/>
      <c r="AI566" s="14"/>
      <c r="AJ566" s="8"/>
      <c r="AK566" s="8"/>
      <c r="AL566" s="8"/>
      <c r="AM566" s="8"/>
      <c r="AN566" s="631"/>
      <c r="AO566" s="18"/>
      <c r="AP566" s="18"/>
      <c r="AQ566" s="18"/>
      <c r="AR566" s="18"/>
      <c r="AS566" s="18"/>
      <c r="AU566" s="448"/>
      <c r="AV566" s="448"/>
      <c r="AW566" s="8" t="str">
        <f>IF(C566&gt;0,VLOOKUP(C566,Foundation_Calc!$A$2:$C$986,3,1),
IF(J566&gt;0,VLOOKUP(J566,Foundation_Calc!$A$2:$C$986,3,1),""))</f>
        <v/>
      </c>
      <c r="AX566" s="8" t="str">
        <f>IF(C566&gt;0,VLOOKUP(C566,Foundation_Calc!$E$2:$G$986,3,1),
IF(J566&gt;0,VLOOKUP(J566,Foundation_Calc!$E$2:$G$986,3,1),""))</f>
        <v/>
      </c>
      <c r="AY566" s="631" t="str">
        <f>IF(L566="","",
IF(AX566="PT",VLOOKUP(L566,Foundation_Calc!$K$4:$R$37,VLOOKUP(AW566,Foundation_Calc!$I$2:$J$8,2,FALSE),0),
IF(AX566="K",VLOOKUP(L566,Foundation_Calc!$K$41:$R$74,VLOOKUP(AW566,Foundation_Calc!$I$2:$J$8,2,FALSE),0),"")))</f>
        <v/>
      </c>
      <c r="AZ566" s="631" t="str">
        <f>IF(K566="","",
IF(AX566="PT",VLOOKUP(K566,Foundation_Calc!$K$4:$R$37,VLOOKUP(AW566,Foundation_Calc!$I$2:$J$8,2,FALSE),0),
IF(AX566="K",VLOOKUP(K566,Foundation_Calc!$K$41:$R$74,VLOOKUP(AW566,Foundation_Calc!$I$2:$J$8,2,FALSE),0),"")))</f>
        <v/>
      </c>
      <c r="BA566" s="632" t="str">
        <f t="shared" si="34"/>
        <v/>
      </c>
      <c r="BB566" s="632" t="str">
        <f t="shared" si="35"/>
        <v/>
      </c>
      <c r="BC566" s="632" t="str">
        <f t="shared" si="36"/>
        <v/>
      </c>
      <c r="BD566" s="633" t="str">
        <f>IF(AND(L566="",H566=""),"",
IF(H566="",Pole_Calc!A594,
IF(H566="MP",Pole_Calc!A595,
IF(H566="AnMP",Pole_Calc!A596,
IF(H566="A",Pole_Calc!A597,
IF(H566="S/A",Pole_Calc!A598,
IF(H566="A/S",Pole_Calc!A599,"Poner a mano")))))))</f>
        <v/>
      </c>
      <c r="BE566" s="448" t="s">
        <v>1726</v>
      </c>
      <c r="BF566" s="634"/>
      <c r="BG566" s="634"/>
      <c r="BH566" s="634"/>
      <c r="BI566" s="634"/>
    </row>
    <row r="567" spans="1:61" ht="16.2" customHeight="1">
      <c r="A567" s="12"/>
      <c r="B567" s="446"/>
      <c r="C567" s="89"/>
      <c r="D567" s="13"/>
      <c r="E567" s="14"/>
      <c r="F567" s="14"/>
      <c r="G567" s="15"/>
      <c r="H567" s="8"/>
      <c r="I567" s="8"/>
      <c r="J567" s="89"/>
      <c r="K567" s="8"/>
      <c r="L567" s="8"/>
      <c r="M567" s="8" t="str">
        <f>IF(L567="","",
IF(AX567="PT",VLOOKUP(L567,Foundation_Calc!$V$4:$X$37,VLOOKUP(AX567,Foundation_Calc!$I$10:$J$13,2,FALSE),0),
IF(AX567="K",VLOOKUP(L567,Foundation_Calc!$V$41:$X$74,VLOOKUP(AX567,Foundation_Calc!$I$10:$J$13,2,FALSE),0),"")))</f>
        <v/>
      </c>
      <c r="N567" s="8"/>
      <c r="O567" s="8"/>
      <c r="P567" s="8"/>
      <c r="Q567" s="14"/>
      <c r="R567" s="15"/>
      <c r="S567" s="15"/>
      <c r="T567" s="14"/>
      <c r="U567" s="14"/>
      <c r="V567" s="14"/>
      <c r="W567" s="18"/>
      <c r="X567" s="18"/>
      <c r="Y567" s="18"/>
      <c r="Z567" s="18"/>
      <c r="AA567" s="18"/>
      <c r="AB567" s="18"/>
      <c r="AC567" s="8" t="str">
        <f t="shared" si="33"/>
        <v/>
      </c>
      <c r="AD567" s="8"/>
      <c r="AE567" s="8"/>
      <c r="AF567" s="14"/>
      <c r="AG567" s="13"/>
      <c r="AH567" s="14"/>
      <c r="AI567" s="14"/>
      <c r="AJ567" s="8"/>
      <c r="AK567" s="8"/>
      <c r="AL567" s="8"/>
      <c r="AM567" s="8"/>
      <c r="AN567" s="631"/>
      <c r="AO567" s="18"/>
      <c r="AP567" s="18"/>
      <c r="AQ567" s="18"/>
      <c r="AR567" s="18"/>
      <c r="AS567" s="18"/>
      <c r="AU567" s="448"/>
      <c r="AV567" s="448"/>
      <c r="AW567" s="8" t="str">
        <f>IF(C567&gt;0,VLOOKUP(C567,Foundation_Calc!$A$2:$C$986,3,1),
IF(J567&gt;0,VLOOKUP(J567,Foundation_Calc!$A$2:$C$986,3,1),""))</f>
        <v/>
      </c>
      <c r="AX567" s="8" t="str">
        <f>IF(C567&gt;0,VLOOKUP(C567,Foundation_Calc!$E$2:$G$986,3,1),
IF(J567&gt;0,VLOOKUP(J567,Foundation_Calc!$E$2:$G$986,3,1),""))</f>
        <v/>
      </c>
      <c r="AY567" s="631" t="str">
        <f>IF(L567="","",
IF(AX567="PT",VLOOKUP(L567,Foundation_Calc!$K$4:$R$37,VLOOKUP(AW567,Foundation_Calc!$I$2:$J$8,2,FALSE),0),
IF(AX567="K",VLOOKUP(L567,Foundation_Calc!$K$41:$R$74,VLOOKUP(AW567,Foundation_Calc!$I$2:$J$8,2,FALSE),0),"")))</f>
        <v/>
      </c>
      <c r="AZ567" s="631" t="str">
        <f>IF(K567="","",
IF(AX567="PT",VLOOKUP(K567,Foundation_Calc!$K$4:$R$37,VLOOKUP(AW567,Foundation_Calc!$I$2:$J$8,2,FALSE),0),
IF(AX567="K",VLOOKUP(K567,Foundation_Calc!$K$41:$R$74,VLOOKUP(AW567,Foundation_Calc!$I$2:$J$8,2,FALSE),0),"")))</f>
        <v/>
      </c>
      <c r="BA567" s="632" t="str">
        <f t="shared" si="34"/>
        <v/>
      </c>
      <c r="BB567" s="632" t="str">
        <f t="shared" si="35"/>
        <v/>
      </c>
      <c r="BC567" s="632" t="str">
        <f t="shared" si="36"/>
        <v/>
      </c>
      <c r="BD567" s="633" t="str">
        <f>IF(AND(L567="",H567=""),"",
IF(H567="",Pole_Calc!A595,
IF(H567="MP",Pole_Calc!A596,
IF(H567="AnMP",Pole_Calc!A597,
IF(H567="A",Pole_Calc!A598,
IF(H567="S/A",Pole_Calc!A599,
IF(H567="A/S",Pole_Calc!A600,"Poner a mano")))))))</f>
        <v/>
      </c>
      <c r="BE567" s="448" t="s">
        <v>1726</v>
      </c>
      <c r="BF567" s="635"/>
      <c r="BG567" s="635"/>
      <c r="BH567" s="634"/>
      <c r="BI567" s="635"/>
    </row>
    <row r="568" spans="1:61" ht="16.2" customHeight="1">
      <c r="A568" s="12"/>
      <c r="B568" s="446"/>
      <c r="C568" s="89"/>
      <c r="D568" s="13"/>
      <c r="E568" s="14"/>
      <c r="F568" s="14"/>
      <c r="G568" s="15"/>
      <c r="H568" s="8"/>
      <c r="I568" s="8"/>
      <c r="J568" s="89"/>
      <c r="K568" s="8"/>
      <c r="L568" s="8"/>
      <c r="M568" s="8" t="str">
        <f>IF(L568="","",
IF(AX568="PT",VLOOKUP(L568,Foundation_Calc!$V$4:$X$37,VLOOKUP(AX568,Foundation_Calc!$I$10:$J$13,2,FALSE),0),
IF(AX568="K",VLOOKUP(L568,Foundation_Calc!$V$41:$X$74,VLOOKUP(AX568,Foundation_Calc!$I$10:$J$13,2,FALSE),0),"")))</f>
        <v/>
      </c>
      <c r="N568" s="8"/>
      <c r="O568" s="8"/>
      <c r="P568" s="8"/>
      <c r="Q568" s="14"/>
      <c r="R568" s="15"/>
      <c r="S568" s="15"/>
      <c r="T568" s="14"/>
      <c r="U568" s="14"/>
      <c r="V568" s="14"/>
      <c r="W568" s="18"/>
      <c r="X568" s="18"/>
      <c r="Y568" s="18"/>
      <c r="Z568" s="18"/>
      <c r="AA568" s="18"/>
      <c r="AB568" s="18"/>
      <c r="AC568" s="8" t="str">
        <f t="shared" si="33"/>
        <v/>
      </c>
      <c r="AD568" s="8"/>
      <c r="AE568" s="8"/>
      <c r="AF568" s="14"/>
      <c r="AG568" s="13"/>
      <c r="AH568" s="14"/>
      <c r="AI568" s="14"/>
      <c r="AJ568" s="8"/>
      <c r="AK568" s="8"/>
      <c r="AL568" s="8"/>
      <c r="AM568" s="8"/>
      <c r="AN568" s="631"/>
      <c r="AO568" s="18"/>
      <c r="AP568" s="18"/>
      <c r="AQ568" s="18"/>
      <c r="AR568" s="18"/>
      <c r="AS568" s="18"/>
      <c r="AU568" s="448"/>
      <c r="AV568" s="448"/>
      <c r="AW568" s="8" t="str">
        <f>IF(C568&gt;0,VLOOKUP(C568,Foundation_Calc!$A$2:$C$986,3,1),
IF(J568&gt;0,VLOOKUP(J568,Foundation_Calc!$A$2:$C$986,3,1),""))</f>
        <v/>
      </c>
      <c r="AX568" s="8" t="str">
        <f>IF(C568&gt;0,VLOOKUP(C568,Foundation_Calc!$E$2:$G$986,3,1),
IF(J568&gt;0,VLOOKUP(J568,Foundation_Calc!$E$2:$G$986,3,1),""))</f>
        <v/>
      </c>
      <c r="AY568" s="631" t="str">
        <f>IF(L568="","",
IF(AX568="PT",VLOOKUP(L568,Foundation_Calc!$K$4:$R$37,VLOOKUP(AW568,Foundation_Calc!$I$2:$J$8,2,FALSE),0),
IF(AX568="K",VLOOKUP(L568,Foundation_Calc!$K$41:$R$74,VLOOKUP(AW568,Foundation_Calc!$I$2:$J$8,2,FALSE),0),"")))</f>
        <v/>
      </c>
      <c r="AZ568" s="631" t="str">
        <f>IF(K568="","",
IF(AX568="PT",VLOOKUP(K568,Foundation_Calc!$K$4:$R$37,VLOOKUP(AW568,Foundation_Calc!$I$2:$J$8,2,FALSE),0),
IF(AX568="K",VLOOKUP(K568,Foundation_Calc!$K$41:$R$74,VLOOKUP(AW568,Foundation_Calc!$I$2:$J$8,2,FALSE),0),"")))</f>
        <v/>
      </c>
      <c r="BA568" s="632" t="str">
        <f t="shared" si="34"/>
        <v/>
      </c>
      <c r="BB568" s="632" t="str">
        <f t="shared" si="35"/>
        <v/>
      </c>
      <c r="BC568" s="632" t="str">
        <f t="shared" si="36"/>
        <v/>
      </c>
      <c r="BD568" s="633" t="str">
        <f>IF(AND(L568="",H568=""),"",
IF(H568="",Pole_Calc!A596,
IF(H568="MP",Pole_Calc!A597,
IF(H568="AnMP",Pole_Calc!A598,
IF(H568="A",Pole_Calc!A599,
IF(H568="S/A",Pole_Calc!A600,
IF(H568="A/S",Pole_Calc!A601,"Poner a mano")))))))</f>
        <v/>
      </c>
      <c r="BE568" s="448" t="s">
        <v>1726</v>
      </c>
      <c r="BF568" s="634"/>
      <c r="BG568" s="634"/>
      <c r="BH568" s="634"/>
      <c r="BI568" s="634"/>
    </row>
    <row r="569" spans="1:61" ht="16.2" customHeight="1">
      <c r="A569" s="12"/>
      <c r="B569" s="446"/>
      <c r="C569" s="89"/>
      <c r="D569" s="13"/>
      <c r="E569" s="14"/>
      <c r="F569" s="14"/>
      <c r="G569" s="15"/>
      <c r="H569" s="8"/>
      <c r="I569" s="8"/>
      <c r="J569" s="89"/>
      <c r="K569" s="8"/>
      <c r="L569" s="8"/>
      <c r="M569" s="8" t="str">
        <f>IF(L569="","",
IF(AX569="PT",VLOOKUP(L569,Foundation_Calc!$V$4:$X$37,VLOOKUP(AX569,Foundation_Calc!$I$10:$J$13,2,FALSE),0),
IF(AX569="K",VLOOKUP(L569,Foundation_Calc!$V$41:$X$74,VLOOKUP(AX569,Foundation_Calc!$I$10:$J$13,2,FALSE),0),"")))</f>
        <v/>
      </c>
      <c r="N569" s="8"/>
      <c r="O569" s="8"/>
      <c r="P569" s="8"/>
      <c r="Q569" s="14"/>
      <c r="R569" s="15"/>
      <c r="S569" s="15"/>
      <c r="T569" s="14"/>
      <c r="U569" s="14"/>
      <c r="V569" s="14"/>
      <c r="W569" s="18"/>
      <c r="X569" s="18"/>
      <c r="Y569" s="18"/>
      <c r="Z569" s="18"/>
      <c r="AA569" s="18"/>
      <c r="AB569" s="18"/>
      <c r="AC569" s="8" t="str">
        <f t="shared" si="33"/>
        <v/>
      </c>
      <c r="AD569" s="8"/>
      <c r="AE569" s="8"/>
      <c r="AF569" s="14"/>
      <c r="AG569" s="13"/>
      <c r="AH569" s="14"/>
      <c r="AI569" s="14"/>
      <c r="AJ569" s="8"/>
      <c r="AK569" s="8"/>
      <c r="AL569" s="8"/>
      <c r="AM569" s="8"/>
      <c r="AN569" s="631"/>
      <c r="AO569" s="18"/>
      <c r="AP569" s="18"/>
      <c r="AQ569" s="18"/>
      <c r="AR569" s="18"/>
      <c r="AS569" s="18"/>
      <c r="AU569" s="448"/>
      <c r="AV569" s="448"/>
      <c r="AW569" s="8" t="str">
        <f>IF(C569&gt;0,VLOOKUP(C569,Foundation_Calc!$A$2:$C$986,3,1),
IF(J569&gt;0,VLOOKUP(J569,Foundation_Calc!$A$2:$C$986,3,1),""))</f>
        <v/>
      </c>
      <c r="AX569" s="8" t="str">
        <f>IF(C569&gt;0,VLOOKUP(C569,Foundation_Calc!$E$2:$G$986,3,1),
IF(J569&gt;0,VLOOKUP(J569,Foundation_Calc!$E$2:$G$986,3,1),""))</f>
        <v/>
      </c>
      <c r="AY569" s="631" t="str">
        <f>IF(L569="","",
IF(AX569="PT",VLOOKUP(L569,Foundation_Calc!$K$4:$R$37,VLOOKUP(AW569,Foundation_Calc!$I$2:$J$8,2,FALSE),0),
IF(AX569="K",VLOOKUP(L569,Foundation_Calc!$K$41:$R$74,VLOOKUP(AW569,Foundation_Calc!$I$2:$J$8,2,FALSE),0),"")))</f>
        <v/>
      </c>
      <c r="AZ569" s="631" t="str">
        <f>IF(K569="","",
IF(AX569="PT",VLOOKUP(K569,Foundation_Calc!$K$4:$R$37,VLOOKUP(AW569,Foundation_Calc!$I$2:$J$8,2,FALSE),0),
IF(AX569="K",VLOOKUP(K569,Foundation_Calc!$K$41:$R$74,VLOOKUP(AW569,Foundation_Calc!$I$2:$J$8,2,FALSE),0),"")))</f>
        <v/>
      </c>
      <c r="BA569" s="632" t="str">
        <f t="shared" si="34"/>
        <v/>
      </c>
      <c r="BB569" s="632" t="str">
        <f t="shared" si="35"/>
        <v/>
      </c>
      <c r="BC569" s="632" t="str">
        <f t="shared" si="36"/>
        <v/>
      </c>
      <c r="BD569" s="633" t="str">
        <f>IF(AND(L569="",H569=""),"",
IF(H569="",Pole_Calc!A597,
IF(H569="MP",Pole_Calc!A598,
IF(H569="AnMP",Pole_Calc!A599,
IF(H569="A",Pole_Calc!A600,
IF(H569="S/A",Pole_Calc!A601,
IF(H569="A/S",Pole_Calc!A602,"Poner a mano")))))))</f>
        <v/>
      </c>
      <c r="BE569" s="448" t="s">
        <v>1726</v>
      </c>
      <c r="BF569" s="635"/>
      <c r="BG569" s="635"/>
      <c r="BH569" s="634"/>
      <c r="BI569" s="635"/>
    </row>
    <row r="570" spans="1:61" ht="16.2" customHeight="1">
      <c r="A570" s="12"/>
      <c r="B570" s="446"/>
      <c r="C570" s="89"/>
      <c r="D570" s="13"/>
      <c r="E570" s="14"/>
      <c r="F570" s="14"/>
      <c r="G570" s="15"/>
      <c r="H570" s="8"/>
      <c r="I570" s="8"/>
      <c r="J570" s="89"/>
      <c r="K570" s="8"/>
      <c r="L570" s="8"/>
      <c r="M570" s="8" t="str">
        <f>IF(L570="","",
IF(AX570="PT",VLOOKUP(L570,Foundation_Calc!$V$4:$X$37,VLOOKUP(AX570,Foundation_Calc!$I$10:$J$13,2,FALSE),0),
IF(AX570="K",VLOOKUP(L570,Foundation_Calc!$V$41:$X$74,VLOOKUP(AX570,Foundation_Calc!$I$10:$J$13,2,FALSE),0),"")))</f>
        <v/>
      </c>
      <c r="N570" s="8"/>
      <c r="O570" s="8"/>
      <c r="P570" s="8"/>
      <c r="Q570" s="14"/>
      <c r="R570" s="15"/>
      <c r="S570" s="15"/>
      <c r="T570" s="14"/>
      <c r="U570" s="14"/>
      <c r="V570" s="14"/>
      <c r="W570" s="18"/>
      <c r="X570" s="18"/>
      <c r="Y570" s="18"/>
      <c r="Z570" s="18"/>
      <c r="AA570" s="18"/>
      <c r="AB570" s="18"/>
      <c r="AC570" s="8" t="str">
        <f t="shared" si="33"/>
        <v/>
      </c>
      <c r="AD570" s="8"/>
      <c r="AE570" s="8"/>
      <c r="AF570" s="14"/>
      <c r="AG570" s="13"/>
      <c r="AH570" s="14"/>
      <c r="AI570" s="14"/>
      <c r="AJ570" s="8"/>
      <c r="AK570" s="8"/>
      <c r="AL570" s="8"/>
      <c r="AM570" s="8"/>
      <c r="AN570" s="631"/>
      <c r="AO570" s="18"/>
      <c r="AP570" s="18"/>
      <c r="AQ570" s="18"/>
      <c r="AR570" s="18"/>
      <c r="AS570" s="18"/>
      <c r="AU570" s="448"/>
      <c r="AV570" s="448"/>
      <c r="AW570" s="8" t="str">
        <f>IF(C570&gt;0,VLOOKUP(C570,Foundation_Calc!$A$2:$C$986,3,1),
IF(J570&gt;0,VLOOKUP(J570,Foundation_Calc!$A$2:$C$986,3,1),""))</f>
        <v/>
      </c>
      <c r="AX570" s="8" t="str">
        <f>IF(C570&gt;0,VLOOKUP(C570,Foundation_Calc!$E$2:$G$986,3,1),
IF(J570&gt;0,VLOOKUP(J570,Foundation_Calc!$E$2:$G$986,3,1),""))</f>
        <v/>
      </c>
      <c r="AY570" s="631" t="str">
        <f>IF(L570="","",
IF(AX570="PT",VLOOKUP(L570,Foundation_Calc!$K$4:$R$37,VLOOKUP(AW570,Foundation_Calc!$I$2:$J$8,2,FALSE),0),
IF(AX570="K",VLOOKUP(L570,Foundation_Calc!$K$41:$R$74,VLOOKUP(AW570,Foundation_Calc!$I$2:$J$8,2,FALSE),0),"")))</f>
        <v/>
      </c>
      <c r="AZ570" s="631" t="str">
        <f>IF(K570="","",
IF(AX570="PT",VLOOKUP(K570,Foundation_Calc!$K$4:$R$37,VLOOKUP(AW570,Foundation_Calc!$I$2:$J$8,2,FALSE),0),
IF(AX570="K",VLOOKUP(K570,Foundation_Calc!$K$41:$R$74,VLOOKUP(AW570,Foundation_Calc!$I$2:$J$8,2,FALSE),0),"")))</f>
        <v/>
      </c>
      <c r="BA570" s="632" t="str">
        <f t="shared" si="34"/>
        <v/>
      </c>
      <c r="BB570" s="632" t="str">
        <f t="shared" si="35"/>
        <v/>
      </c>
      <c r="BC570" s="632" t="str">
        <f t="shared" si="36"/>
        <v/>
      </c>
      <c r="BD570" s="633" t="str">
        <f>IF(AND(L570="",H570=""),"",
IF(H570="",Pole_Calc!A598,
IF(H570="MP",Pole_Calc!A599,
IF(H570="AnMP",Pole_Calc!A600,
IF(H570="A",Pole_Calc!A601,
IF(H570="S/A",Pole_Calc!A602,
IF(H570="A/S",Pole_Calc!A603,"Poner a mano")))))))</f>
        <v/>
      </c>
      <c r="BE570" s="448" t="s">
        <v>1726</v>
      </c>
      <c r="BF570" s="634"/>
      <c r="BG570" s="634"/>
      <c r="BH570" s="634"/>
      <c r="BI570" s="634"/>
    </row>
    <row r="571" spans="1:61" ht="16.2" customHeight="1">
      <c r="A571" s="12"/>
      <c r="B571" s="446"/>
      <c r="C571" s="89"/>
      <c r="D571" s="13"/>
      <c r="E571" s="14"/>
      <c r="F571" s="14"/>
      <c r="G571" s="15"/>
      <c r="H571" s="8"/>
      <c r="I571" s="8"/>
      <c r="J571" s="89"/>
      <c r="K571" s="8"/>
      <c r="L571" s="8"/>
      <c r="M571" s="8" t="str">
        <f>IF(L571="","",
IF(AX571="PT",VLOOKUP(L571,Foundation_Calc!$V$4:$X$37,VLOOKUP(AX571,Foundation_Calc!$I$10:$J$13,2,FALSE),0),
IF(AX571="K",VLOOKUP(L571,Foundation_Calc!$V$41:$X$74,VLOOKUP(AX571,Foundation_Calc!$I$10:$J$13,2,FALSE),0),"")))</f>
        <v/>
      </c>
      <c r="N571" s="8"/>
      <c r="O571" s="8"/>
      <c r="P571" s="8"/>
      <c r="Q571" s="14"/>
      <c r="R571" s="15"/>
      <c r="S571" s="15"/>
      <c r="T571" s="14"/>
      <c r="U571" s="14"/>
      <c r="V571" s="14"/>
      <c r="W571" s="18"/>
      <c r="X571" s="18"/>
      <c r="Y571" s="18"/>
      <c r="Z571" s="18"/>
      <c r="AA571" s="18"/>
      <c r="AB571" s="18"/>
      <c r="AC571" s="8" t="str">
        <f t="shared" si="33"/>
        <v/>
      </c>
      <c r="AD571" s="8"/>
      <c r="AE571" s="8"/>
      <c r="AF571" s="14"/>
      <c r="AG571" s="13"/>
      <c r="AH571" s="14"/>
      <c r="AI571" s="14"/>
      <c r="AJ571" s="8"/>
      <c r="AK571" s="8"/>
      <c r="AL571" s="8"/>
      <c r="AM571" s="8"/>
      <c r="AN571" s="631"/>
      <c r="AO571" s="18"/>
      <c r="AP571" s="18"/>
      <c r="AQ571" s="18"/>
      <c r="AR571" s="18"/>
      <c r="AS571" s="18"/>
      <c r="AU571" s="448"/>
      <c r="AV571" s="448"/>
      <c r="AW571" s="8" t="str">
        <f>IF(C571&gt;0,VLOOKUP(C571,Foundation_Calc!$A$2:$C$986,3,1),
IF(J571&gt;0,VLOOKUP(J571,Foundation_Calc!$A$2:$C$986,3,1),""))</f>
        <v/>
      </c>
      <c r="AX571" s="8" t="str">
        <f>IF(C571&gt;0,VLOOKUP(C571,Foundation_Calc!$E$2:$G$986,3,1),
IF(J571&gt;0,VLOOKUP(J571,Foundation_Calc!$E$2:$G$986,3,1),""))</f>
        <v/>
      </c>
      <c r="AY571" s="631" t="str">
        <f>IF(L571="","",
IF(AX571="PT",VLOOKUP(L571,Foundation_Calc!$K$4:$R$37,VLOOKUP(AW571,Foundation_Calc!$I$2:$J$8,2,FALSE),0),
IF(AX571="K",VLOOKUP(L571,Foundation_Calc!$K$41:$R$74,VLOOKUP(AW571,Foundation_Calc!$I$2:$J$8,2,FALSE),0),"")))</f>
        <v/>
      </c>
      <c r="AZ571" s="631" t="str">
        <f>IF(K571="","",
IF(AX571="PT",VLOOKUP(K571,Foundation_Calc!$K$4:$R$37,VLOOKUP(AW571,Foundation_Calc!$I$2:$J$8,2,FALSE),0),
IF(AX571="K",VLOOKUP(K571,Foundation_Calc!$K$41:$R$74,VLOOKUP(AW571,Foundation_Calc!$I$2:$J$8,2,FALSE),0),"")))</f>
        <v/>
      </c>
      <c r="BA571" s="632" t="str">
        <f t="shared" si="34"/>
        <v/>
      </c>
      <c r="BB571" s="632" t="str">
        <f t="shared" si="35"/>
        <v/>
      </c>
      <c r="BC571" s="632" t="str">
        <f t="shared" si="36"/>
        <v/>
      </c>
      <c r="BD571" s="633" t="str">
        <f>IF(AND(L571="",H571=""),"",
IF(H571="",Pole_Calc!A599,
IF(H571="MP",Pole_Calc!A600,
IF(H571="AnMP",Pole_Calc!A601,
IF(H571="A",Pole_Calc!A602,
IF(H571="S/A",Pole_Calc!A603,
IF(H571="A/S",Pole_Calc!A604,"Poner a mano")))))))</f>
        <v/>
      </c>
      <c r="BE571" s="448" t="s">
        <v>1726</v>
      </c>
      <c r="BF571" s="635"/>
      <c r="BG571" s="635"/>
      <c r="BH571" s="634"/>
      <c r="BI571" s="635"/>
    </row>
    <row r="572" spans="1:61" ht="16.2" customHeight="1">
      <c r="A572" s="12"/>
      <c r="B572" s="446"/>
      <c r="C572" s="89"/>
      <c r="D572" s="13"/>
      <c r="E572" s="14"/>
      <c r="F572" s="14"/>
      <c r="G572" s="15"/>
      <c r="H572" s="8"/>
      <c r="I572" s="8"/>
      <c r="J572" s="89"/>
      <c r="K572" s="8"/>
      <c r="L572" s="8"/>
      <c r="M572" s="8" t="str">
        <f>IF(L572="","",
IF(AX572="PT",VLOOKUP(L572,Foundation_Calc!$V$4:$X$37,VLOOKUP(AX572,Foundation_Calc!$I$10:$J$13,2,FALSE),0),
IF(AX572="K",VLOOKUP(L572,Foundation_Calc!$V$41:$X$74,VLOOKUP(AX572,Foundation_Calc!$I$10:$J$13,2,FALSE),0),"")))</f>
        <v/>
      </c>
      <c r="N572" s="8"/>
      <c r="O572" s="8"/>
      <c r="P572" s="8"/>
      <c r="Q572" s="14"/>
      <c r="R572" s="15"/>
      <c r="S572" s="15"/>
      <c r="T572" s="14"/>
      <c r="U572" s="14"/>
      <c r="V572" s="14"/>
      <c r="W572" s="18"/>
      <c r="X572" s="18"/>
      <c r="Y572" s="18"/>
      <c r="Z572" s="18"/>
      <c r="AA572" s="18"/>
      <c r="AB572" s="18"/>
      <c r="AC572" s="8" t="str">
        <f t="shared" si="33"/>
        <v/>
      </c>
      <c r="AD572" s="8"/>
      <c r="AE572" s="8"/>
      <c r="AF572" s="14"/>
      <c r="AG572" s="13"/>
      <c r="AH572" s="14"/>
      <c r="AI572" s="14"/>
      <c r="AJ572" s="8"/>
      <c r="AK572" s="8"/>
      <c r="AL572" s="8"/>
      <c r="AM572" s="8"/>
      <c r="AN572" s="631"/>
      <c r="AO572" s="18"/>
      <c r="AP572" s="18"/>
      <c r="AQ572" s="18"/>
      <c r="AR572" s="18"/>
      <c r="AS572" s="18"/>
      <c r="AU572" s="448"/>
      <c r="AV572" s="448"/>
      <c r="AW572" s="8" t="str">
        <f>IF(C572&gt;0,VLOOKUP(C572,Foundation_Calc!$A$2:$C$986,3,1),
IF(J572&gt;0,VLOOKUP(J572,Foundation_Calc!$A$2:$C$986,3,1),""))</f>
        <v/>
      </c>
      <c r="AX572" s="8" t="str">
        <f>IF(C572&gt;0,VLOOKUP(C572,Foundation_Calc!$E$2:$G$986,3,1),
IF(J572&gt;0,VLOOKUP(J572,Foundation_Calc!$E$2:$G$986,3,1),""))</f>
        <v/>
      </c>
      <c r="AY572" s="631" t="str">
        <f>IF(L572="","",
IF(AX572="PT",VLOOKUP(L572,Foundation_Calc!$K$4:$R$37,VLOOKUP(AW572,Foundation_Calc!$I$2:$J$8,2,FALSE),0),
IF(AX572="K",VLOOKUP(L572,Foundation_Calc!$K$41:$R$74,VLOOKUP(AW572,Foundation_Calc!$I$2:$J$8,2,FALSE),0),"")))</f>
        <v/>
      </c>
      <c r="AZ572" s="631" t="str">
        <f>IF(K572="","",
IF(AX572="PT",VLOOKUP(K572,Foundation_Calc!$K$4:$R$37,VLOOKUP(AW572,Foundation_Calc!$I$2:$J$8,2,FALSE),0),
IF(AX572="K",VLOOKUP(K572,Foundation_Calc!$K$41:$R$74,VLOOKUP(AW572,Foundation_Calc!$I$2:$J$8,2,FALSE),0),"")))</f>
        <v/>
      </c>
      <c r="BA572" s="632" t="str">
        <f t="shared" si="34"/>
        <v/>
      </c>
      <c r="BB572" s="632" t="str">
        <f t="shared" si="35"/>
        <v/>
      </c>
      <c r="BC572" s="632" t="str">
        <f t="shared" si="36"/>
        <v/>
      </c>
      <c r="BD572" s="633" t="str">
        <f>IF(AND(L572="",H572=""),"",
IF(H572="",Pole_Calc!A600,
IF(H572="MP",Pole_Calc!A601,
IF(H572="AnMP",Pole_Calc!A602,
IF(H572="A",Pole_Calc!A603,
IF(H572="S/A",Pole_Calc!A604,
IF(H572="A/S",Pole_Calc!A605,"Poner a mano")))))))</f>
        <v/>
      </c>
      <c r="BE572" s="448" t="s">
        <v>1726</v>
      </c>
      <c r="BF572" s="634"/>
      <c r="BG572" s="634"/>
      <c r="BH572" s="634"/>
      <c r="BI572" s="634"/>
    </row>
    <row r="573" spans="1:61" ht="16.2" customHeight="1">
      <c r="A573" s="12"/>
      <c r="B573" s="446"/>
      <c r="C573" s="89"/>
      <c r="D573" s="13"/>
      <c r="E573" s="14"/>
      <c r="F573" s="14"/>
      <c r="G573" s="15"/>
      <c r="H573" s="8"/>
      <c r="I573" s="8"/>
      <c r="J573" s="89"/>
      <c r="K573" s="8"/>
      <c r="L573" s="8"/>
      <c r="M573" s="8" t="str">
        <f>IF(L573="","",
IF(AX573="PT",VLOOKUP(L573,Foundation_Calc!$V$4:$X$37,VLOOKUP(AX573,Foundation_Calc!$I$10:$J$13,2,FALSE),0),
IF(AX573="K",VLOOKUP(L573,Foundation_Calc!$V$41:$X$74,VLOOKUP(AX573,Foundation_Calc!$I$10:$J$13,2,FALSE),0),"")))</f>
        <v/>
      </c>
      <c r="N573" s="8"/>
      <c r="O573" s="8"/>
      <c r="P573" s="8"/>
      <c r="Q573" s="14"/>
      <c r="R573" s="15"/>
      <c r="S573" s="15"/>
      <c r="T573" s="14"/>
      <c r="U573" s="14"/>
      <c r="V573" s="14"/>
      <c r="W573" s="18"/>
      <c r="X573" s="18"/>
      <c r="Y573" s="18"/>
      <c r="Z573" s="18"/>
      <c r="AA573" s="18"/>
      <c r="AB573" s="18"/>
      <c r="AC573" s="8" t="str">
        <f t="shared" si="33"/>
        <v/>
      </c>
      <c r="AD573" s="8"/>
      <c r="AE573" s="8"/>
      <c r="AF573" s="14"/>
      <c r="AG573" s="13"/>
      <c r="AH573" s="14"/>
      <c r="AI573" s="14"/>
      <c r="AJ573" s="8"/>
      <c r="AK573" s="8"/>
      <c r="AL573" s="8"/>
      <c r="AM573" s="8"/>
      <c r="AN573" s="631"/>
      <c r="AO573" s="18"/>
      <c r="AP573" s="18"/>
      <c r="AQ573" s="18"/>
      <c r="AR573" s="18"/>
      <c r="AS573" s="18"/>
      <c r="AU573" s="448"/>
      <c r="AV573" s="448"/>
      <c r="AW573" s="8" t="str">
        <f>IF(C573&gt;0,VLOOKUP(C573,Foundation_Calc!$A$2:$C$986,3,1),
IF(J573&gt;0,VLOOKUP(J573,Foundation_Calc!$A$2:$C$986,3,1),""))</f>
        <v/>
      </c>
      <c r="AX573" s="8" t="str">
        <f>IF(C573&gt;0,VLOOKUP(C573,Foundation_Calc!$E$2:$G$986,3,1),
IF(J573&gt;0,VLOOKUP(J573,Foundation_Calc!$E$2:$G$986,3,1),""))</f>
        <v/>
      </c>
      <c r="AY573" s="631" t="str">
        <f>IF(L573="","",
IF(AX573="PT",VLOOKUP(L573,Foundation_Calc!$K$4:$R$37,VLOOKUP(AW573,Foundation_Calc!$I$2:$J$8,2,FALSE),0),
IF(AX573="K",VLOOKUP(L573,Foundation_Calc!$K$41:$R$74,VLOOKUP(AW573,Foundation_Calc!$I$2:$J$8,2,FALSE),0),"")))</f>
        <v/>
      </c>
      <c r="AZ573" s="631" t="str">
        <f>IF(K573="","",
IF(AX573="PT",VLOOKUP(K573,Foundation_Calc!$K$4:$R$37,VLOOKUP(AW573,Foundation_Calc!$I$2:$J$8,2,FALSE),0),
IF(AX573="K",VLOOKUP(K573,Foundation_Calc!$K$41:$R$74,VLOOKUP(AW573,Foundation_Calc!$I$2:$J$8,2,FALSE),0),"")))</f>
        <v/>
      </c>
      <c r="BA573" s="632" t="str">
        <f t="shared" si="34"/>
        <v/>
      </c>
      <c r="BB573" s="632" t="str">
        <f t="shared" si="35"/>
        <v/>
      </c>
      <c r="BC573" s="632" t="str">
        <f t="shared" si="36"/>
        <v/>
      </c>
      <c r="BD573" s="633" t="str">
        <f>IF(AND(L573="",H573=""),"",
IF(H573="",Pole_Calc!A601,
IF(H573="MP",Pole_Calc!A602,
IF(H573="AnMP",Pole_Calc!A603,
IF(H573="A",Pole_Calc!A604,
IF(H573="S/A",Pole_Calc!A605,
IF(H573="A/S",Pole_Calc!A606,"Poner a mano")))))))</f>
        <v/>
      </c>
      <c r="BE573" s="448" t="s">
        <v>1726</v>
      </c>
      <c r="BF573" s="635"/>
      <c r="BG573" s="635"/>
      <c r="BH573" s="634"/>
      <c r="BI573" s="635"/>
    </row>
    <row r="574" spans="1:61" ht="16.2" customHeight="1">
      <c r="A574" s="12"/>
      <c r="B574" s="446"/>
      <c r="C574" s="89"/>
      <c r="D574" s="13"/>
      <c r="E574" s="14"/>
      <c r="F574" s="14"/>
      <c r="G574" s="15"/>
      <c r="H574" s="8"/>
      <c r="I574" s="8"/>
      <c r="J574" s="89"/>
      <c r="K574" s="8"/>
      <c r="L574" s="8"/>
      <c r="M574" s="8" t="str">
        <f>IF(L574="","",
IF(AX574="PT",VLOOKUP(L574,Foundation_Calc!$V$4:$X$37,VLOOKUP(AX574,Foundation_Calc!$I$10:$J$13,2,FALSE),0),
IF(AX574="K",VLOOKUP(L574,Foundation_Calc!$V$41:$X$74,VLOOKUP(AX574,Foundation_Calc!$I$10:$J$13,2,FALSE),0),"")))</f>
        <v/>
      </c>
      <c r="N574" s="8"/>
      <c r="O574" s="8"/>
      <c r="P574" s="8"/>
      <c r="Q574" s="14"/>
      <c r="R574" s="15"/>
      <c r="S574" s="15"/>
      <c r="T574" s="14"/>
      <c r="U574" s="14"/>
      <c r="V574" s="14"/>
      <c r="W574" s="18"/>
      <c r="X574" s="18"/>
      <c r="Y574" s="18"/>
      <c r="Z574" s="18"/>
      <c r="AA574" s="18"/>
      <c r="AB574" s="18"/>
      <c r="AC574" s="8" t="str">
        <f t="shared" si="33"/>
        <v/>
      </c>
      <c r="AD574" s="8"/>
      <c r="AE574" s="8"/>
      <c r="AF574" s="14"/>
      <c r="AG574" s="13"/>
      <c r="AH574" s="14"/>
      <c r="AI574" s="14"/>
      <c r="AJ574" s="8"/>
      <c r="AK574" s="8"/>
      <c r="AL574" s="8"/>
      <c r="AM574" s="8"/>
      <c r="AN574" s="631"/>
      <c r="AO574" s="18"/>
      <c r="AP574" s="18"/>
      <c r="AQ574" s="18"/>
      <c r="AR574" s="18"/>
      <c r="AS574" s="18"/>
      <c r="AU574" s="448"/>
      <c r="AV574" s="448"/>
      <c r="AW574" s="8" t="str">
        <f>IF(C574&gt;0,VLOOKUP(C574,Foundation_Calc!$A$2:$C$986,3,1),
IF(J574&gt;0,VLOOKUP(J574,Foundation_Calc!$A$2:$C$986,3,1),""))</f>
        <v/>
      </c>
      <c r="AX574" s="8" t="str">
        <f>IF(C574&gt;0,VLOOKUP(C574,Foundation_Calc!$E$2:$G$986,3,1),
IF(J574&gt;0,VLOOKUP(J574,Foundation_Calc!$E$2:$G$986,3,1),""))</f>
        <v/>
      </c>
      <c r="AY574" s="631" t="str">
        <f>IF(L574="","",
IF(AX574="PT",VLOOKUP(L574,Foundation_Calc!$K$4:$R$37,VLOOKUP(AW574,Foundation_Calc!$I$2:$J$8,2,FALSE),0),
IF(AX574="K",VLOOKUP(L574,Foundation_Calc!$K$41:$R$74,VLOOKUP(AW574,Foundation_Calc!$I$2:$J$8,2,FALSE),0),"")))</f>
        <v/>
      </c>
      <c r="AZ574" s="631" t="str">
        <f>IF(K574="","",
IF(AX574="PT",VLOOKUP(K574,Foundation_Calc!$K$4:$R$37,VLOOKUP(AW574,Foundation_Calc!$I$2:$J$8,2,FALSE),0),
IF(AX574="K",VLOOKUP(K574,Foundation_Calc!$K$41:$R$74,VLOOKUP(AW574,Foundation_Calc!$I$2:$J$8,2,FALSE),0),"")))</f>
        <v/>
      </c>
      <c r="BA574" s="632" t="str">
        <f t="shared" si="34"/>
        <v/>
      </c>
      <c r="BB574" s="632" t="str">
        <f t="shared" si="35"/>
        <v/>
      </c>
      <c r="BC574" s="632" t="str">
        <f t="shared" si="36"/>
        <v/>
      </c>
      <c r="BD574" s="633" t="str">
        <f>IF(AND(L574="",H574=""),"",
IF(H574="",Pole_Calc!A602,
IF(H574="MP",Pole_Calc!A603,
IF(H574="AnMP",Pole_Calc!A604,
IF(H574="A",Pole_Calc!A605,
IF(H574="S/A",Pole_Calc!A606,
IF(H574="A/S",Pole_Calc!A607,"Poner a mano")))))))</f>
        <v/>
      </c>
      <c r="BE574" s="448" t="s">
        <v>1726</v>
      </c>
      <c r="BF574" s="634"/>
      <c r="BG574" s="634"/>
      <c r="BH574" s="634"/>
      <c r="BI574" s="634"/>
    </row>
    <row r="575" spans="1:61" ht="16.2" customHeight="1">
      <c r="A575" s="12"/>
      <c r="B575" s="446"/>
      <c r="C575" s="89"/>
      <c r="D575" s="13"/>
      <c r="E575" s="14"/>
      <c r="F575" s="14"/>
      <c r="G575" s="15"/>
      <c r="H575" s="8"/>
      <c r="I575" s="8"/>
      <c r="J575" s="89"/>
      <c r="K575" s="8"/>
      <c r="L575" s="8"/>
      <c r="M575" s="8" t="str">
        <f>IF(L575="","",
IF(AX575="PT",VLOOKUP(L575,Foundation_Calc!$V$4:$X$37,VLOOKUP(AX575,Foundation_Calc!$I$10:$J$13,2,FALSE),0),
IF(AX575="K",VLOOKUP(L575,Foundation_Calc!$V$41:$X$74,VLOOKUP(AX575,Foundation_Calc!$I$10:$J$13,2,FALSE),0),"")))</f>
        <v/>
      </c>
      <c r="N575" s="8"/>
      <c r="O575" s="8"/>
      <c r="P575" s="8"/>
      <c r="Q575" s="14"/>
      <c r="R575" s="15"/>
      <c r="S575" s="15"/>
      <c r="T575" s="14"/>
      <c r="U575" s="14"/>
      <c r="V575" s="14"/>
      <c r="W575" s="18"/>
      <c r="X575" s="18"/>
      <c r="Y575" s="18"/>
      <c r="Z575" s="18"/>
      <c r="AA575" s="18"/>
      <c r="AB575" s="18"/>
      <c r="AC575" s="8" t="str">
        <f t="shared" si="33"/>
        <v/>
      </c>
      <c r="AD575" s="8"/>
      <c r="AE575" s="8"/>
      <c r="AF575" s="14"/>
      <c r="AG575" s="13"/>
      <c r="AH575" s="14"/>
      <c r="AI575" s="14"/>
      <c r="AJ575" s="8"/>
      <c r="AK575" s="8"/>
      <c r="AL575" s="8"/>
      <c r="AM575" s="8"/>
      <c r="AN575" s="631"/>
      <c r="AO575" s="18"/>
      <c r="AP575" s="18"/>
      <c r="AQ575" s="18"/>
      <c r="AR575" s="18"/>
      <c r="AS575" s="18"/>
      <c r="AU575" s="448"/>
      <c r="AV575" s="448"/>
      <c r="AW575" s="8" t="str">
        <f>IF(C575&gt;0,VLOOKUP(C575,Foundation_Calc!$A$2:$C$986,3,1),
IF(J575&gt;0,VLOOKUP(J575,Foundation_Calc!$A$2:$C$986,3,1),""))</f>
        <v/>
      </c>
      <c r="AX575" s="8" t="str">
        <f>IF(C575&gt;0,VLOOKUP(C575,Foundation_Calc!$E$2:$G$986,3,1),
IF(J575&gt;0,VLOOKUP(J575,Foundation_Calc!$E$2:$G$986,3,1),""))</f>
        <v/>
      </c>
      <c r="AY575" s="631" t="str">
        <f>IF(L575="","",
IF(AX575="PT",VLOOKUP(L575,Foundation_Calc!$K$4:$R$37,VLOOKUP(AW575,Foundation_Calc!$I$2:$J$8,2,FALSE),0),
IF(AX575="K",VLOOKUP(L575,Foundation_Calc!$K$41:$R$74,VLOOKUP(AW575,Foundation_Calc!$I$2:$J$8,2,FALSE),0),"")))</f>
        <v/>
      </c>
      <c r="AZ575" s="631" t="str">
        <f>IF(K575="","",
IF(AX575="PT",VLOOKUP(K575,Foundation_Calc!$K$4:$R$37,VLOOKUP(AW575,Foundation_Calc!$I$2:$J$8,2,FALSE),0),
IF(AX575="K",VLOOKUP(K575,Foundation_Calc!$K$41:$R$74,VLOOKUP(AW575,Foundation_Calc!$I$2:$J$8,2,FALSE),0),"")))</f>
        <v/>
      </c>
      <c r="BA575" s="632" t="str">
        <f t="shared" si="34"/>
        <v/>
      </c>
      <c r="BB575" s="632" t="str">
        <f t="shared" si="35"/>
        <v/>
      </c>
      <c r="BC575" s="632" t="str">
        <f t="shared" si="36"/>
        <v/>
      </c>
      <c r="BD575" s="633" t="str">
        <f>IF(AND(L575="",H575=""),"",
IF(H575="",Pole_Calc!A603,
IF(H575="MP",Pole_Calc!A604,
IF(H575="AnMP",Pole_Calc!A605,
IF(H575="A",Pole_Calc!A606,
IF(H575="S/A",Pole_Calc!A607,
IF(H575="A/S",Pole_Calc!A608,"Poner a mano")))))))</f>
        <v/>
      </c>
      <c r="BE575" s="448" t="s">
        <v>1726</v>
      </c>
      <c r="BF575" s="635"/>
      <c r="BG575" s="635"/>
      <c r="BH575" s="634"/>
      <c r="BI575" s="635"/>
    </row>
    <row r="576" spans="1:61" ht="16.2" customHeight="1">
      <c r="A576" s="12"/>
      <c r="B576" s="446"/>
      <c r="C576" s="89"/>
      <c r="D576" s="13"/>
      <c r="E576" s="14"/>
      <c r="F576" s="14"/>
      <c r="G576" s="15"/>
      <c r="H576" s="8"/>
      <c r="I576" s="8"/>
      <c r="J576" s="89"/>
      <c r="K576" s="8"/>
      <c r="L576" s="8"/>
      <c r="M576" s="8" t="str">
        <f>IF(L576="","",
IF(AX576="PT",VLOOKUP(L576,Foundation_Calc!$V$4:$X$37,VLOOKUP(AX576,Foundation_Calc!$I$10:$J$13,2,FALSE),0),
IF(AX576="K",VLOOKUP(L576,Foundation_Calc!$V$41:$X$74,VLOOKUP(AX576,Foundation_Calc!$I$10:$J$13,2,FALSE),0),"")))</f>
        <v/>
      </c>
      <c r="N576" s="8"/>
      <c r="O576" s="8"/>
      <c r="P576" s="8"/>
      <c r="Q576" s="14"/>
      <c r="R576" s="15"/>
      <c r="S576" s="15"/>
      <c r="T576" s="14"/>
      <c r="U576" s="14"/>
      <c r="V576" s="14"/>
      <c r="W576" s="18"/>
      <c r="X576" s="18"/>
      <c r="Y576" s="18"/>
      <c r="Z576" s="18"/>
      <c r="AA576" s="18"/>
      <c r="AB576" s="18"/>
      <c r="AC576" s="8" t="str">
        <f t="shared" si="33"/>
        <v/>
      </c>
      <c r="AD576" s="8"/>
      <c r="AE576" s="8"/>
      <c r="AF576" s="14"/>
      <c r="AG576" s="13"/>
      <c r="AH576" s="14"/>
      <c r="AI576" s="14"/>
      <c r="AJ576" s="8"/>
      <c r="AK576" s="8"/>
      <c r="AL576" s="8"/>
      <c r="AM576" s="8"/>
      <c r="AN576" s="631"/>
      <c r="AO576" s="18"/>
      <c r="AP576" s="18"/>
      <c r="AQ576" s="18"/>
      <c r="AR576" s="18"/>
      <c r="AS576" s="18"/>
      <c r="AU576" s="448"/>
      <c r="AV576" s="448"/>
      <c r="AW576" s="8" t="str">
        <f>IF(C576&gt;0,VLOOKUP(C576,Foundation_Calc!$A$2:$C$986,3,1),
IF(J576&gt;0,VLOOKUP(J576,Foundation_Calc!$A$2:$C$986,3,1),""))</f>
        <v/>
      </c>
      <c r="AX576" s="8" t="str">
        <f>IF(C576&gt;0,VLOOKUP(C576,Foundation_Calc!$E$2:$G$986,3,1),
IF(J576&gt;0,VLOOKUP(J576,Foundation_Calc!$E$2:$G$986,3,1),""))</f>
        <v/>
      </c>
      <c r="AY576" s="631" t="str">
        <f>IF(L576="","",
IF(AX576="PT",VLOOKUP(L576,Foundation_Calc!$K$4:$R$37,VLOOKUP(AW576,Foundation_Calc!$I$2:$J$8,2,FALSE),0),
IF(AX576="K",VLOOKUP(L576,Foundation_Calc!$K$41:$R$74,VLOOKUP(AW576,Foundation_Calc!$I$2:$J$8,2,FALSE),0),"")))</f>
        <v/>
      </c>
      <c r="AZ576" s="631" t="str">
        <f>IF(K576="","",
IF(AX576="PT",VLOOKUP(K576,Foundation_Calc!$K$4:$R$37,VLOOKUP(AW576,Foundation_Calc!$I$2:$J$8,2,FALSE),0),
IF(AX576="K",VLOOKUP(K576,Foundation_Calc!$K$41:$R$74,VLOOKUP(AW576,Foundation_Calc!$I$2:$J$8,2,FALSE),0),"")))</f>
        <v/>
      </c>
      <c r="BA576" s="632" t="str">
        <f t="shared" si="34"/>
        <v/>
      </c>
      <c r="BB576" s="632" t="str">
        <f t="shared" si="35"/>
        <v/>
      </c>
      <c r="BC576" s="632" t="str">
        <f t="shared" si="36"/>
        <v/>
      </c>
      <c r="BD576" s="633" t="str">
        <f>IF(AND(L576="",H576=""),"",
IF(H576="",Pole_Calc!A604,
IF(H576="MP",Pole_Calc!A605,
IF(H576="AnMP",Pole_Calc!A606,
IF(H576="A",Pole_Calc!A607,
IF(H576="S/A",Pole_Calc!A608,
IF(H576="A/S",Pole_Calc!A609,"Poner a mano")))))))</f>
        <v/>
      </c>
      <c r="BE576" s="448" t="s">
        <v>1726</v>
      </c>
      <c r="BF576" s="634"/>
      <c r="BG576" s="634"/>
      <c r="BH576" s="634"/>
      <c r="BI576" s="634"/>
    </row>
    <row r="577" spans="1:61" ht="16.2" customHeight="1">
      <c r="A577" s="12"/>
      <c r="B577" s="446"/>
      <c r="C577" s="89"/>
      <c r="D577" s="13"/>
      <c r="E577" s="14"/>
      <c r="F577" s="14"/>
      <c r="G577" s="15"/>
      <c r="H577" s="8"/>
      <c r="I577" s="8"/>
      <c r="J577" s="89"/>
      <c r="K577" s="8"/>
      <c r="L577" s="8"/>
      <c r="M577" s="8" t="str">
        <f>IF(L577="","",
IF(AX577="PT",VLOOKUP(L577,Foundation_Calc!$V$4:$X$37,VLOOKUP(AX577,Foundation_Calc!$I$10:$J$13,2,FALSE),0),
IF(AX577="K",VLOOKUP(L577,Foundation_Calc!$V$41:$X$74,VLOOKUP(AX577,Foundation_Calc!$I$10:$J$13,2,FALSE),0),"")))</f>
        <v/>
      </c>
      <c r="N577" s="8"/>
      <c r="O577" s="8"/>
      <c r="P577" s="8"/>
      <c r="Q577" s="14"/>
      <c r="R577" s="15"/>
      <c r="S577" s="15"/>
      <c r="T577" s="14"/>
      <c r="U577" s="14"/>
      <c r="V577" s="14"/>
      <c r="W577" s="18"/>
      <c r="X577" s="18"/>
      <c r="Y577" s="18"/>
      <c r="Z577" s="18"/>
      <c r="AA577" s="18"/>
      <c r="AB577" s="18"/>
      <c r="AC577" s="8" t="str">
        <f t="shared" si="33"/>
        <v/>
      </c>
      <c r="AD577" s="8"/>
      <c r="AE577" s="8"/>
      <c r="AF577" s="14"/>
      <c r="AG577" s="13"/>
      <c r="AH577" s="14"/>
      <c r="AI577" s="14"/>
      <c r="AJ577" s="8"/>
      <c r="AK577" s="8"/>
      <c r="AL577" s="8"/>
      <c r="AM577" s="8"/>
      <c r="AN577" s="631"/>
      <c r="AO577" s="18"/>
      <c r="AP577" s="18"/>
      <c r="AQ577" s="18"/>
      <c r="AR577" s="18"/>
      <c r="AS577" s="18"/>
      <c r="AU577" s="448"/>
      <c r="AV577" s="448"/>
      <c r="AW577" s="8" t="str">
        <f>IF(C577&gt;0,VLOOKUP(C577,Foundation_Calc!$A$2:$C$986,3,1),
IF(J577&gt;0,VLOOKUP(J577,Foundation_Calc!$A$2:$C$986,3,1),""))</f>
        <v/>
      </c>
      <c r="AX577" s="8" t="str">
        <f>IF(C577&gt;0,VLOOKUP(C577,Foundation_Calc!$E$2:$G$986,3,1),
IF(J577&gt;0,VLOOKUP(J577,Foundation_Calc!$E$2:$G$986,3,1),""))</f>
        <v/>
      </c>
      <c r="AY577" s="631" t="str">
        <f>IF(L577="","",
IF(AX577="PT",VLOOKUP(L577,Foundation_Calc!$K$4:$R$37,VLOOKUP(AW577,Foundation_Calc!$I$2:$J$8,2,FALSE),0),
IF(AX577="K",VLOOKUP(L577,Foundation_Calc!$K$41:$R$74,VLOOKUP(AW577,Foundation_Calc!$I$2:$J$8,2,FALSE),0),"")))</f>
        <v/>
      </c>
      <c r="AZ577" s="631" t="str">
        <f>IF(K577="","",
IF(AX577="PT",VLOOKUP(K577,Foundation_Calc!$K$4:$R$37,VLOOKUP(AW577,Foundation_Calc!$I$2:$J$8,2,FALSE),0),
IF(AX577="K",VLOOKUP(K577,Foundation_Calc!$K$41:$R$74,VLOOKUP(AW577,Foundation_Calc!$I$2:$J$8,2,FALSE),0),"")))</f>
        <v/>
      </c>
      <c r="BA577" s="632" t="str">
        <f t="shared" si="34"/>
        <v/>
      </c>
      <c r="BB577" s="632" t="str">
        <f t="shared" si="35"/>
        <v/>
      </c>
      <c r="BC577" s="632" t="str">
        <f t="shared" si="36"/>
        <v/>
      </c>
      <c r="BD577" s="633" t="str">
        <f>IF(AND(L577="",H577=""),"",
IF(H577="",Pole_Calc!A605,
IF(H577="MP",Pole_Calc!A606,
IF(H577="AnMP",Pole_Calc!A607,
IF(H577="A",Pole_Calc!A608,
IF(H577="S/A",Pole_Calc!A609,
IF(H577="A/S",Pole_Calc!A610,"Poner a mano")))))))</f>
        <v/>
      </c>
      <c r="BE577" s="448" t="s">
        <v>1726</v>
      </c>
      <c r="BF577" s="635"/>
      <c r="BG577" s="635"/>
      <c r="BH577" s="634"/>
      <c r="BI577" s="635"/>
    </row>
    <row r="578" spans="1:61" ht="16.2" customHeight="1">
      <c r="A578" s="12"/>
      <c r="B578" s="446"/>
      <c r="C578" s="89"/>
      <c r="D578" s="13"/>
      <c r="E578" s="14"/>
      <c r="F578" s="14"/>
      <c r="G578" s="15"/>
      <c r="H578" s="8"/>
      <c r="I578" s="8"/>
      <c r="J578" s="89"/>
      <c r="K578" s="8"/>
      <c r="L578" s="8"/>
      <c r="M578" s="8" t="str">
        <f>IF(L578="","",
IF(AX578="PT",VLOOKUP(L578,Foundation_Calc!$V$4:$X$37,VLOOKUP(AX578,Foundation_Calc!$I$10:$J$13,2,FALSE),0),
IF(AX578="K",VLOOKUP(L578,Foundation_Calc!$V$41:$X$74,VLOOKUP(AX578,Foundation_Calc!$I$10:$J$13,2,FALSE),0),"")))</f>
        <v/>
      </c>
      <c r="N578" s="8"/>
      <c r="O578" s="8"/>
      <c r="P578" s="8"/>
      <c r="Q578" s="14"/>
      <c r="R578" s="15"/>
      <c r="S578" s="15"/>
      <c r="T578" s="14"/>
      <c r="U578" s="14"/>
      <c r="V578" s="14"/>
      <c r="W578" s="18"/>
      <c r="X578" s="18"/>
      <c r="Y578" s="18"/>
      <c r="Z578" s="18"/>
      <c r="AA578" s="18"/>
      <c r="AB578" s="18"/>
      <c r="AC578" s="8" t="str">
        <f t="shared" si="33"/>
        <v/>
      </c>
      <c r="AD578" s="8"/>
      <c r="AE578" s="8"/>
      <c r="AF578" s="14"/>
      <c r="AG578" s="13"/>
      <c r="AH578" s="14"/>
      <c r="AI578" s="14"/>
      <c r="AJ578" s="8"/>
      <c r="AK578" s="8"/>
      <c r="AL578" s="8"/>
      <c r="AM578" s="8"/>
      <c r="AN578" s="631"/>
      <c r="AO578" s="18"/>
      <c r="AP578" s="18"/>
      <c r="AQ578" s="18"/>
      <c r="AR578" s="18"/>
      <c r="AS578" s="18"/>
      <c r="AU578" s="448"/>
      <c r="AV578" s="448"/>
      <c r="AW578" s="8" t="str">
        <f>IF(C578&gt;0,VLOOKUP(C578,Foundation_Calc!$A$2:$C$986,3,1),
IF(J578&gt;0,VLOOKUP(J578,Foundation_Calc!$A$2:$C$986,3,1),""))</f>
        <v/>
      </c>
      <c r="AX578" s="8" t="str">
        <f>IF(C578&gt;0,VLOOKUP(C578,Foundation_Calc!$E$2:$G$986,3,1),
IF(J578&gt;0,VLOOKUP(J578,Foundation_Calc!$E$2:$G$986,3,1),""))</f>
        <v/>
      </c>
      <c r="AY578" s="631" t="str">
        <f>IF(L578="","",
IF(AX578="PT",VLOOKUP(L578,Foundation_Calc!$K$4:$R$37,VLOOKUP(AW578,Foundation_Calc!$I$2:$J$8,2,FALSE),0),
IF(AX578="K",VLOOKUP(L578,Foundation_Calc!$K$41:$R$74,VLOOKUP(AW578,Foundation_Calc!$I$2:$J$8,2,FALSE),0),"")))</f>
        <v/>
      </c>
      <c r="AZ578" s="631" t="str">
        <f>IF(K578="","",
IF(AX578="PT",VLOOKUP(K578,Foundation_Calc!$K$4:$R$37,VLOOKUP(AW578,Foundation_Calc!$I$2:$J$8,2,FALSE),0),
IF(AX578="K",VLOOKUP(K578,Foundation_Calc!$K$41:$R$74,VLOOKUP(AW578,Foundation_Calc!$I$2:$J$8,2,FALSE),0),"")))</f>
        <v/>
      </c>
      <c r="BA578" s="632" t="str">
        <f t="shared" si="34"/>
        <v/>
      </c>
      <c r="BB578" s="632" t="str">
        <f t="shared" si="35"/>
        <v/>
      </c>
      <c r="BC578" s="632" t="str">
        <f t="shared" si="36"/>
        <v/>
      </c>
      <c r="BD578" s="633" t="str">
        <f>IF(AND(L578="",H578=""),"",
IF(H578="",Pole_Calc!A606,
IF(H578="MP",Pole_Calc!A607,
IF(H578="AnMP",Pole_Calc!A608,
IF(H578="A",Pole_Calc!A609,
IF(H578="S/A",Pole_Calc!A610,
IF(H578="A/S",Pole_Calc!A611,"Poner a mano")))))))</f>
        <v/>
      </c>
      <c r="BE578" s="448" t="s">
        <v>1726</v>
      </c>
      <c r="BF578" s="634"/>
      <c r="BG578" s="634"/>
      <c r="BH578" s="634"/>
      <c r="BI578" s="634"/>
    </row>
    <row r="579" spans="1:61" ht="16.2" customHeight="1">
      <c r="A579" s="12"/>
      <c r="B579" s="446"/>
      <c r="C579" s="89"/>
      <c r="D579" s="13"/>
      <c r="E579" s="14"/>
      <c r="F579" s="14"/>
      <c r="G579" s="15"/>
      <c r="H579" s="8"/>
      <c r="I579" s="8"/>
      <c r="J579" s="89"/>
      <c r="K579" s="8"/>
      <c r="L579" s="8"/>
      <c r="M579" s="8" t="str">
        <f>IF(L579="","",
IF(AX579="PT",VLOOKUP(L579,Foundation_Calc!$V$4:$X$37,VLOOKUP(AX579,Foundation_Calc!$I$10:$J$13,2,FALSE),0),
IF(AX579="K",VLOOKUP(L579,Foundation_Calc!$V$41:$X$74,VLOOKUP(AX579,Foundation_Calc!$I$10:$J$13,2,FALSE),0),"")))</f>
        <v/>
      </c>
      <c r="N579" s="8"/>
      <c r="O579" s="8"/>
      <c r="P579" s="8"/>
      <c r="Q579" s="14"/>
      <c r="R579" s="15"/>
      <c r="S579" s="15"/>
      <c r="T579" s="14"/>
      <c r="U579" s="14"/>
      <c r="V579" s="14"/>
      <c r="W579" s="18"/>
      <c r="X579" s="18"/>
      <c r="Y579" s="18"/>
      <c r="Z579" s="18"/>
      <c r="AA579" s="18"/>
      <c r="AB579" s="18"/>
      <c r="AC579" s="8" t="str">
        <f t="shared" si="33"/>
        <v/>
      </c>
      <c r="AD579" s="8"/>
      <c r="AE579" s="8"/>
      <c r="AF579" s="14"/>
      <c r="AG579" s="13"/>
      <c r="AH579" s="14"/>
      <c r="AI579" s="14"/>
      <c r="AJ579" s="8"/>
      <c r="AK579" s="8"/>
      <c r="AL579" s="8"/>
      <c r="AM579" s="8"/>
      <c r="AN579" s="631"/>
      <c r="AO579" s="18"/>
      <c r="AP579" s="18"/>
      <c r="AQ579" s="18"/>
      <c r="AR579" s="18"/>
      <c r="AS579" s="18"/>
      <c r="AU579" s="448"/>
      <c r="AV579" s="448"/>
      <c r="AW579" s="8" t="str">
        <f>IF(C579&gt;0,VLOOKUP(C579,Foundation_Calc!$A$2:$C$986,3,1),
IF(J579&gt;0,VLOOKUP(J579,Foundation_Calc!$A$2:$C$986,3,1),""))</f>
        <v/>
      </c>
      <c r="AX579" s="8" t="str">
        <f>IF(C579&gt;0,VLOOKUP(C579,Foundation_Calc!$E$2:$G$986,3,1),
IF(J579&gt;0,VLOOKUP(J579,Foundation_Calc!$E$2:$G$986,3,1),""))</f>
        <v/>
      </c>
      <c r="AY579" s="631" t="str">
        <f>IF(L579="","",
IF(AX579="PT",VLOOKUP(L579,Foundation_Calc!$K$4:$R$37,VLOOKUP(AW579,Foundation_Calc!$I$2:$J$8,2,FALSE),0),
IF(AX579="K",VLOOKUP(L579,Foundation_Calc!$K$41:$R$74,VLOOKUP(AW579,Foundation_Calc!$I$2:$J$8,2,FALSE),0),"")))</f>
        <v/>
      </c>
      <c r="AZ579" s="631" t="str">
        <f>IF(K579="","",
IF(AX579="PT",VLOOKUP(K579,Foundation_Calc!$K$4:$R$37,VLOOKUP(AW579,Foundation_Calc!$I$2:$J$8,2,FALSE),0),
IF(AX579="K",VLOOKUP(K579,Foundation_Calc!$K$41:$R$74,VLOOKUP(AW579,Foundation_Calc!$I$2:$J$8,2,FALSE),0),"")))</f>
        <v/>
      </c>
      <c r="BA579" s="632" t="str">
        <f t="shared" si="34"/>
        <v/>
      </c>
      <c r="BB579" s="632" t="str">
        <f t="shared" si="35"/>
        <v/>
      </c>
      <c r="BC579" s="632" t="str">
        <f t="shared" si="36"/>
        <v/>
      </c>
      <c r="BD579" s="633" t="str">
        <f>IF(AND(L579="",H579=""),"",
IF(H579="",Pole_Calc!A607,
IF(H579="MP",Pole_Calc!A608,
IF(H579="AnMP",Pole_Calc!A609,
IF(H579="A",Pole_Calc!A610,
IF(H579="S/A",Pole_Calc!A611,
IF(H579="A/S",Pole_Calc!A612,"Poner a mano")))))))</f>
        <v/>
      </c>
      <c r="BE579" s="448" t="s">
        <v>1726</v>
      </c>
      <c r="BF579" s="635"/>
      <c r="BG579" s="635"/>
      <c r="BH579" s="634"/>
      <c r="BI579" s="635"/>
    </row>
    <row r="580" spans="1:61" ht="16.2" customHeight="1">
      <c r="A580" s="12"/>
      <c r="B580" s="446"/>
      <c r="C580" s="89"/>
      <c r="D580" s="13"/>
      <c r="E580" s="14"/>
      <c r="F580" s="14"/>
      <c r="G580" s="15"/>
      <c r="H580" s="8"/>
      <c r="I580" s="8"/>
      <c r="J580" s="89"/>
      <c r="K580" s="8"/>
      <c r="L580" s="8"/>
      <c r="M580" s="8" t="str">
        <f>IF(L580="","",
IF(AX580="PT",VLOOKUP(L580,Foundation_Calc!$V$4:$X$37,VLOOKUP(AX580,Foundation_Calc!$I$10:$J$13,2,FALSE),0),
IF(AX580="K",VLOOKUP(L580,Foundation_Calc!$V$41:$X$74,VLOOKUP(AX580,Foundation_Calc!$I$10:$J$13,2,FALSE),0),"")))</f>
        <v/>
      </c>
      <c r="N580" s="8"/>
      <c r="O580" s="8"/>
      <c r="P580" s="8"/>
      <c r="Q580" s="14"/>
      <c r="R580" s="15"/>
      <c r="S580" s="15"/>
      <c r="T580" s="14"/>
      <c r="U580" s="14"/>
      <c r="V580" s="14"/>
      <c r="W580" s="18"/>
      <c r="X580" s="18"/>
      <c r="Y580" s="18"/>
      <c r="Z580" s="18"/>
      <c r="AA580" s="18"/>
      <c r="AB580" s="18"/>
      <c r="AC580" s="8" t="str">
        <f t="shared" si="33"/>
        <v/>
      </c>
      <c r="AD580" s="8"/>
      <c r="AE580" s="8"/>
      <c r="AF580" s="14"/>
      <c r="AG580" s="13"/>
      <c r="AH580" s="14"/>
      <c r="AI580" s="14"/>
      <c r="AJ580" s="8"/>
      <c r="AK580" s="8"/>
      <c r="AL580" s="8"/>
      <c r="AM580" s="8"/>
      <c r="AN580" s="631"/>
      <c r="AO580" s="18"/>
      <c r="AP580" s="18"/>
      <c r="AQ580" s="18"/>
      <c r="AR580" s="18"/>
      <c r="AS580" s="18"/>
      <c r="AU580" s="448"/>
      <c r="AV580" s="448"/>
      <c r="AW580" s="8" t="str">
        <f>IF(C580&gt;0,VLOOKUP(C580,Foundation_Calc!$A$2:$C$986,3,1),
IF(J580&gt;0,VLOOKUP(J580,Foundation_Calc!$A$2:$C$986,3,1),""))</f>
        <v/>
      </c>
      <c r="AX580" s="8" t="str">
        <f>IF(C580&gt;0,VLOOKUP(C580,Foundation_Calc!$E$2:$G$986,3,1),
IF(J580&gt;0,VLOOKUP(J580,Foundation_Calc!$E$2:$G$986,3,1),""))</f>
        <v/>
      </c>
      <c r="AY580" s="631" t="str">
        <f>IF(L580="","",
IF(AX580="PT",VLOOKUP(L580,Foundation_Calc!$K$4:$R$37,VLOOKUP(AW580,Foundation_Calc!$I$2:$J$8,2,FALSE),0),
IF(AX580="K",VLOOKUP(L580,Foundation_Calc!$K$41:$R$74,VLOOKUP(AW580,Foundation_Calc!$I$2:$J$8,2,FALSE),0),"")))</f>
        <v/>
      </c>
      <c r="AZ580" s="631" t="str">
        <f>IF(K580="","",
IF(AX580="PT",VLOOKUP(K580,Foundation_Calc!$K$4:$R$37,VLOOKUP(AW580,Foundation_Calc!$I$2:$J$8,2,FALSE),0),
IF(AX580="K",VLOOKUP(K580,Foundation_Calc!$K$41:$R$74,VLOOKUP(AW580,Foundation_Calc!$I$2:$J$8,2,FALSE),0),"")))</f>
        <v/>
      </c>
      <c r="BA580" s="632" t="str">
        <f t="shared" si="34"/>
        <v/>
      </c>
      <c r="BB580" s="632" t="str">
        <f t="shared" si="35"/>
        <v/>
      </c>
      <c r="BC580" s="632" t="str">
        <f t="shared" si="36"/>
        <v/>
      </c>
      <c r="BD580" s="633" t="str">
        <f>IF(AND(L580="",H580=""),"",
IF(H580="",Pole_Calc!A608,
IF(H580="MP",Pole_Calc!A609,
IF(H580="AnMP",Pole_Calc!A610,
IF(H580="A",Pole_Calc!A611,
IF(H580="S/A",Pole_Calc!A612,
IF(H580="A/S",Pole_Calc!A613,"Poner a mano")))))))</f>
        <v/>
      </c>
      <c r="BE580" s="448" t="s">
        <v>1726</v>
      </c>
      <c r="BF580" s="634"/>
      <c r="BG580" s="634"/>
      <c r="BH580" s="634"/>
      <c r="BI580" s="634"/>
    </row>
    <row r="581" spans="1:61" ht="16.2" customHeight="1">
      <c r="A581" s="12"/>
      <c r="B581" s="446"/>
      <c r="C581" s="89"/>
      <c r="D581" s="13"/>
      <c r="E581" s="14"/>
      <c r="F581" s="14"/>
      <c r="G581" s="15"/>
      <c r="H581" s="8"/>
      <c r="I581" s="8"/>
      <c r="J581" s="89"/>
      <c r="K581" s="8"/>
      <c r="L581" s="8"/>
      <c r="M581" s="8" t="str">
        <f>IF(L581="","",
IF(AX581="PT",VLOOKUP(L581,Foundation_Calc!$V$4:$X$37,VLOOKUP(AX581,Foundation_Calc!$I$10:$J$13,2,FALSE),0),
IF(AX581="K",VLOOKUP(L581,Foundation_Calc!$V$41:$X$74,VLOOKUP(AX581,Foundation_Calc!$I$10:$J$13,2,FALSE),0),"")))</f>
        <v/>
      </c>
      <c r="N581" s="8"/>
      <c r="O581" s="8"/>
      <c r="P581" s="8"/>
      <c r="Q581" s="14"/>
      <c r="R581" s="15"/>
      <c r="S581" s="15"/>
      <c r="T581" s="14"/>
      <c r="U581" s="14"/>
      <c r="V581" s="14"/>
      <c r="W581" s="18"/>
      <c r="X581" s="18"/>
      <c r="Y581" s="18"/>
      <c r="Z581" s="18"/>
      <c r="AA581" s="18"/>
      <c r="AB581" s="18"/>
      <c r="AC581" s="8" t="str">
        <f t="shared" si="33"/>
        <v/>
      </c>
      <c r="AD581" s="8"/>
      <c r="AE581" s="8"/>
      <c r="AF581" s="14"/>
      <c r="AG581" s="13"/>
      <c r="AH581" s="14"/>
      <c r="AI581" s="14"/>
      <c r="AJ581" s="8"/>
      <c r="AK581" s="8"/>
      <c r="AL581" s="8"/>
      <c r="AM581" s="8"/>
      <c r="AN581" s="631"/>
      <c r="AO581" s="18"/>
      <c r="AP581" s="18"/>
      <c r="AQ581" s="18"/>
      <c r="AR581" s="18"/>
      <c r="AS581" s="18"/>
      <c r="AU581" s="448"/>
      <c r="AV581" s="448"/>
      <c r="AW581" s="8" t="str">
        <f>IF(C581&gt;0,VLOOKUP(C581,Foundation_Calc!$A$2:$C$986,3,1),
IF(J581&gt;0,VLOOKUP(J581,Foundation_Calc!$A$2:$C$986,3,1),""))</f>
        <v/>
      </c>
      <c r="AX581" s="8" t="str">
        <f>IF(C581&gt;0,VLOOKUP(C581,Foundation_Calc!$E$2:$G$986,3,1),
IF(J581&gt;0,VLOOKUP(J581,Foundation_Calc!$E$2:$G$986,3,1),""))</f>
        <v/>
      </c>
      <c r="AY581" s="631" t="str">
        <f>IF(L581="","",
IF(AX581="PT",VLOOKUP(L581,Foundation_Calc!$K$4:$R$37,VLOOKUP(AW581,Foundation_Calc!$I$2:$J$8,2,FALSE),0),
IF(AX581="K",VLOOKUP(L581,Foundation_Calc!$K$41:$R$74,VLOOKUP(AW581,Foundation_Calc!$I$2:$J$8,2,FALSE),0),"")))</f>
        <v/>
      </c>
      <c r="AZ581" s="631" t="str">
        <f>IF(K581="","",
IF(AX581="PT",VLOOKUP(K581,Foundation_Calc!$K$4:$R$37,VLOOKUP(AW581,Foundation_Calc!$I$2:$J$8,2,FALSE),0),
IF(AX581="K",VLOOKUP(K581,Foundation_Calc!$K$41:$R$74,VLOOKUP(AW581,Foundation_Calc!$I$2:$J$8,2,FALSE),0),"")))</f>
        <v/>
      </c>
      <c r="BA581" s="632" t="str">
        <f t="shared" si="34"/>
        <v/>
      </c>
      <c r="BB581" s="632" t="str">
        <f t="shared" si="35"/>
        <v/>
      </c>
      <c r="BC581" s="632" t="str">
        <f t="shared" si="36"/>
        <v/>
      </c>
      <c r="BD581" s="633" t="str">
        <f>IF(AND(L581="",H581=""),"",
IF(H581="",Pole_Calc!A609,
IF(H581="MP",Pole_Calc!A610,
IF(H581="AnMP",Pole_Calc!A611,
IF(H581="A",Pole_Calc!A612,
IF(H581="S/A",Pole_Calc!A613,
IF(H581="A/S",Pole_Calc!A614,"Poner a mano")))))))</f>
        <v/>
      </c>
      <c r="BE581" s="448" t="s">
        <v>1726</v>
      </c>
      <c r="BF581" s="635"/>
      <c r="BG581" s="635"/>
      <c r="BH581" s="634"/>
      <c r="BI581" s="635"/>
    </row>
    <row r="582" spans="1:61" ht="16.2" customHeight="1">
      <c r="A582" s="12"/>
      <c r="B582" s="446"/>
      <c r="C582" s="89"/>
      <c r="D582" s="13"/>
      <c r="E582" s="14"/>
      <c r="F582" s="14"/>
      <c r="G582" s="15"/>
      <c r="H582" s="8"/>
      <c r="I582" s="8"/>
      <c r="J582" s="89"/>
      <c r="K582" s="8"/>
      <c r="L582" s="8"/>
      <c r="M582" s="8" t="str">
        <f>IF(L582="","",
IF(AX582="PT",VLOOKUP(L582,Foundation_Calc!$V$4:$X$37,VLOOKUP(AX582,Foundation_Calc!$I$10:$J$13,2,FALSE),0),
IF(AX582="K",VLOOKUP(L582,Foundation_Calc!$V$41:$X$74,VLOOKUP(AX582,Foundation_Calc!$I$10:$J$13,2,FALSE),0),"")))</f>
        <v/>
      </c>
      <c r="N582" s="8"/>
      <c r="O582" s="8"/>
      <c r="P582" s="8"/>
      <c r="Q582" s="14"/>
      <c r="R582" s="15"/>
      <c r="S582" s="15"/>
      <c r="T582" s="14"/>
      <c r="U582" s="14"/>
      <c r="V582" s="14"/>
      <c r="W582" s="18"/>
      <c r="X582" s="18"/>
      <c r="Y582" s="18"/>
      <c r="Z582" s="18"/>
      <c r="AA582" s="18"/>
      <c r="AB582" s="18"/>
      <c r="AC582" s="8" t="str">
        <f t="shared" ref="AC582:AC645" si="37">IF(OR(AT582&gt;8,AT582&lt;-8),"PH",
IF(OR(AT582&gt;5,AT582&lt;-5),"PHQ",
IF(OR(AT582&gt;1,AT582&lt;-1),
"PHC","")))</f>
        <v/>
      </c>
      <c r="AD582" s="8"/>
      <c r="AE582" s="8"/>
      <c r="AF582" s="14"/>
      <c r="AG582" s="13"/>
      <c r="AH582" s="14"/>
      <c r="AI582" s="14"/>
      <c r="AJ582" s="8"/>
      <c r="AK582" s="8"/>
      <c r="AL582" s="8"/>
      <c r="AM582" s="8"/>
      <c r="AN582" s="631"/>
      <c r="AO582" s="18"/>
      <c r="AP582" s="18"/>
      <c r="AQ582" s="18"/>
      <c r="AR582" s="18"/>
      <c r="AS582" s="18"/>
      <c r="AU582" s="448"/>
      <c r="AV582" s="448"/>
      <c r="AW582" s="8" t="str">
        <f>IF(C582&gt;0,VLOOKUP(C582,Foundation_Calc!$A$2:$C$986,3,1),
IF(J582&gt;0,VLOOKUP(J582,Foundation_Calc!$A$2:$C$986,3,1),""))</f>
        <v/>
      </c>
      <c r="AX582" s="8" t="str">
        <f>IF(C582&gt;0,VLOOKUP(C582,Foundation_Calc!$E$2:$G$986,3,1),
IF(J582&gt;0,VLOOKUP(J582,Foundation_Calc!$E$2:$G$986,3,1),""))</f>
        <v/>
      </c>
      <c r="AY582" s="631" t="str">
        <f>IF(L582="","",
IF(AX582="PT",VLOOKUP(L582,Foundation_Calc!$K$4:$R$37,VLOOKUP(AW582,Foundation_Calc!$I$2:$J$8,2,FALSE),0),
IF(AX582="K",VLOOKUP(L582,Foundation_Calc!$K$41:$R$74,VLOOKUP(AW582,Foundation_Calc!$I$2:$J$8,2,FALSE),0),"")))</f>
        <v/>
      </c>
      <c r="AZ582" s="631" t="str">
        <f>IF(K582="","",
IF(AX582="PT",VLOOKUP(K582,Foundation_Calc!$K$4:$R$37,VLOOKUP(AW582,Foundation_Calc!$I$2:$J$8,2,FALSE),0),
IF(AX582="K",VLOOKUP(K582,Foundation_Calc!$K$41:$R$74,VLOOKUP(AW582,Foundation_Calc!$I$2:$J$8,2,FALSE),0),"")))</f>
        <v/>
      </c>
      <c r="BA582" s="632" t="str">
        <f t="shared" ref="BA582:BA645" si="38">IF(AY582="","",IF(AY582&gt;0,"ü",""))</f>
        <v/>
      </c>
      <c r="BB582" s="632" t="str">
        <f t="shared" ref="BB582:BB645" si="39">IF(AZ582="","",IF(AZ582&gt;0,"ü",""))</f>
        <v/>
      </c>
      <c r="BC582" s="632" t="str">
        <f t="shared" ref="BC582:BC645" si="40">IF(M582="","",IF(M582="Unique Solution","ü",""))</f>
        <v/>
      </c>
      <c r="BD582" s="633" t="str">
        <f>IF(AND(L582="",H582=""),"",
IF(H582="",Pole_Calc!A610,
IF(H582="MP",Pole_Calc!A611,
IF(H582="AnMP",Pole_Calc!A612,
IF(H582="A",Pole_Calc!A613,
IF(H582="S/A",Pole_Calc!A614,
IF(H582="A/S",Pole_Calc!A615,"Poner a mano")))))))</f>
        <v/>
      </c>
      <c r="BE582" s="448" t="s">
        <v>1726</v>
      </c>
      <c r="BF582" s="634"/>
      <c r="BG582" s="634"/>
      <c r="BH582" s="634"/>
      <c r="BI582" s="634"/>
    </row>
    <row r="583" spans="1:61" ht="16.2" customHeight="1">
      <c r="A583" s="12"/>
      <c r="B583" s="446"/>
      <c r="C583" s="89"/>
      <c r="D583" s="13"/>
      <c r="E583" s="14"/>
      <c r="F583" s="14"/>
      <c r="G583" s="15"/>
      <c r="H583" s="8"/>
      <c r="I583" s="8"/>
      <c r="J583" s="89"/>
      <c r="K583" s="8"/>
      <c r="L583" s="8"/>
      <c r="M583" s="8" t="str">
        <f>IF(L583="","",
IF(AX583="PT",VLOOKUP(L583,Foundation_Calc!$V$4:$X$37,VLOOKUP(AX583,Foundation_Calc!$I$10:$J$13,2,FALSE),0),
IF(AX583="K",VLOOKUP(L583,Foundation_Calc!$V$41:$X$74,VLOOKUP(AX583,Foundation_Calc!$I$10:$J$13,2,FALSE),0),"")))</f>
        <v/>
      </c>
      <c r="N583" s="8"/>
      <c r="O583" s="8"/>
      <c r="P583" s="8"/>
      <c r="Q583" s="14"/>
      <c r="R583" s="15"/>
      <c r="S583" s="15"/>
      <c r="T583" s="14"/>
      <c r="U583" s="14"/>
      <c r="V583" s="14"/>
      <c r="W583" s="18"/>
      <c r="X583" s="18"/>
      <c r="Y583" s="18"/>
      <c r="Z583" s="18"/>
      <c r="AA583" s="18"/>
      <c r="AB583" s="18"/>
      <c r="AC583" s="8" t="str">
        <f t="shared" si="37"/>
        <v/>
      </c>
      <c r="AD583" s="8"/>
      <c r="AE583" s="8"/>
      <c r="AF583" s="14"/>
      <c r="AG583" s="13"/>
      <c r="AH583" s="14"/>
      <c r="AI583" s="14"/>
      <c r="AJ583" s="8"/>
      <c r="AK583" s="8"/>
      <c r="AL583" s="8"/>
      <c r="AM583" s="8"/>
      <c r="AN583" s="631"/>
      <c r="AO583" s="18"/>
      <c r="AP583" s="18"/>
      <c r="AQ583" s="18"/>
      <c r="AR583" s="18"/>
      <c r="AS583" s="18"/>
      <c r="AU583" s="448"/>
      <c r="AV583" s="448"/>
      <c r="AW583" s="8" t="str">
        <f>IF(C583&gt;0,VLOOKUP(C583,Foundation_Calc!$A$2:$C$986,3,1),
IF(J583&gt;0,VLOOKUP(J583,Foundation_Calc!$A$2:$C$986,3,1),""))</f>
        <v/>
      </c>
      <c r="AX583" s="8" t="str">
        <f>IF(C583&gt;0,VLOOKUP(C583,Foundation_Calc!$E$2:$G$986,3,1),
IF(J583&gt;0,VLOOKUP(J583,Foundation_Calc!$E$2:$G$986,3,1),""))</f>
        <v/>
      </c>
      <c r="AY583" s="631" t="str">
        <f>IF(L583="","",
IF(AX583="PT",VLOOKUP(L583,Foundation_Calc!$K$4:$R$37,VLOOKUP(AW583,Foundation_Calc!$I$2:$J$8,2,FALSE),0),
IF(AX583="K",VLOOKUP(L583,Foundation_Calc!$K$41:$R$74,VLOOKUP(AW583,Foundation_Calc!$I$2:$J$8,2,FALSE),0),"")))</f>
        <v/>
      </c>
      <c r="AZ583" s="631" t="str">
        <f>IF(K583="","",
IF(AX583="PT",VLOOKUP(K583,Foundation_Calc!$K$4:$R$37,VLOOKUP(AW583,Foundation_Calc!$I$2:$J$8,2,FALSE),0),
IF(AX583="K",VLOOKUP(K583,Foundation_Calc!$K$41:$R$74,VLOOKUP(AW583,Foundation_Calc!$I$2:$J$8,2,FALSE),0),"")))</f>
        <v/>
      </c>
      <c r="BA583" s="632" t="str">
        <f t="shared" si="38"/>
        <v/>
      </c>
      <c r="BB583" s="632" t="str">
        <f t="shared" si="39"/>
        <v/>
      </c>
      <c r="BC583" s="632" t="str">
        <f t="shared" si="40"/>
        <v/>
      </c>
      <c r="BD583" s="633" t="str">
        <f>IF(AND(L583="",H583=""),"",
IF(H583="",Pole_Calc!A611,
IF(H583="MP",Pole_Calc!A612,
IF(H583="AnMP",Pole_Calc!A613,
IF(H583="A",Pole_Calc!A614,
IF(H583="S/A",Pole_Calc!A615,
IF(H583="A/S",Pole_Calc!A616,"Poner a mano")))))))</f>
        <v/>
      </c>
      <c r="BE583" s="448" t="s">
        <v>1726</v>
      </c>
      <c r="BF583" s="635"/>
      <c r="BG583" s="635"/>
      <c r="BH583" s="634"/>
      <c r="BI583" s="635"/>
    </row>
    <row r="584" spans="1:61" ht="16.2" customHeight="1">
      <c r="A584" s="12"/>
      <c r="B584" s="446"/>
      <c r="C584" s="89"/>
      <c r="D584" s="13"/>
      <c r="E584" s="14"/>
      <c r="F584" s="14"/>
      <c r="G584" s="15"/>
      <c r="H584" s="8"/>
      <c r="I584" s="8"/>
      <c r="J584" s="89"/>
      <c r="K584" s="8"/>
      <c r="L584" s="8"/>
      <c r="M584" s="8" t="str">
        <f>IF(L584="","",
IF(AX584="PT",VLOOKUP(L584,Foundation_Calc!$V$4:$X$37,VLOOKUP(AX584,Foundation_Calc!$I$10:$J$13,2,FALSE),0),
IF(AX584="K",VLOOKUP(L584,Foundation_Calc!$V$41:$X$74,VLOOKUP(AX584,Foundation_Calc!$I$10:$J$13,2,FALSE),0),"")))</f>
        <v/>
      </c>
      <c r="N584" s="8"/>
      <c r="O584" s="8"/>
      <c r="P584" s="8"/>
      <c r="Q584" s="14"/>
      <c r="R584" s="15"/>
      <c r="S584" s="15"/>
      <c r="T584" s="14"/>
      <c r="U584" s="14"/>
      <c r="V584" s="14"/>
      <c r="W584" s="18"/>
      <c r="X584" s="18"/>
      <c r="Y584" s="18"/>
      <c r="Z584" s="18"/>
      <c r="AA584" s="18"/>
      <c r="AB584" s="18"/>
      <c r="AC584" s="8" t="str">
        <f t="shared" si="37"/>
        <v/>
      </c>
      <c r="AD584" s="8"/>
      <c r="AE584" s="8"/>
      <c r="AF584" s="14"/>
      <c r="AG584" s="13"/>
      <c r="AH584" s="14"/>
      <c r="AI584" s="14"/>
      <c r="AJ584" s="8"/>
      <c r="AK584" s="8"/>
      <c r="AL584" s="8"/>
      <c r="AM584" s="8"/>
      <c r="AN584" s="631"/>
      <c r="AO584" s="18"/>
      <c r="AP584" s="18"/>
      <c r="AQ584" s="18"/>
      <c r="AR584" s="18"/>
      <c r="AS584" s="18"/>
      <c r="AU584" s="448"/>
      <c r="AV584" s="448"/>
      <c r="AW584" s="8" t="str">
        <f>IF(C584&gt;0,VLOOKUP(C584,Foundation_Calc!$A$2:$C$986,3,1),
IF(J584&gt;0,VLOOKUP(J584,Foundation_Calc!$A$2:$C$986,3,1),""))</f>
        <v/>
      </c>
      <c r="AX584" s="8" t="str">
        <f>IF(C584&gt;0,VLOOKUP(C584,Foundation_Calc!$E$2:$G$986,3,1),
IF(J584&gt;0,VLOOKUP(J584,Foundation_Calc!$E$2:$G$986,3,1),""))</f>
        <v/>
      </c>
      <c r="AY584" s="631" t="str">
        <f>IF(L584="","",
IF(AX584="PT",VLOOKUP(L584,Foundation_Calc!$K$4:$R$37,VLOOKUP(AW584,Foundation_Calc!$I$2:$J$8,2,FALSE),0),
IF(AX584="K",VLOOKUP(L584,Foundation_Calc!$K$41:$R$74,VLOOKUP(AW584,Foundation_Calc!$I$2:$J$8,2,FALSE),0),"")))</f>
        <v/>
      </c>
      <c r="AZ584" s="631" t="str">
        <f>IF(K584="","",
IF(AX584="PT",VLOOKUP(K584,Foundation_Calc!$K$4:$R$37,VLOOKUP(AW584,Foundation_Calc!$I$2:$J$8,2,FALSE),0),
IF(AX584="K",VLOOKUP(K584,Foundation_Calc!$K$41:$R$74,VLOOKUP(AW584,Foundation_Calc!$I$2:$J$8,2,FALSE),0),"")))</f>
        <v/>
      </c>
      <c r="BA584" s="632" t="str">
        <f t="shared" si="38"/>
        <v/>
      </c>
      <c r="BB584" s="632" t="str">
        <f t="shared" si="39"/>
        <v/>
      </c>
      <c r="BC584" s="632" t="str">
        <f t="shared" si="40"/>
        <v/>
      </c>
      <c r="BD584" s="633" t="str">
        <f>IF(AND(L584="",H584=""),"",
IF(H584="",Pole_Calc!A612,
IF(H584="MP",Pole_Calc!A613,
IF(H584="AnMP",Pole_Calc!A614,
IF(H584="A",Pole_Calc!A615,
IF(H584="S/A",Pole_Calc!A616,
IF(H584="A/S",Pole_Calc!A617,"Poner a mano")))))))</f>
        <v/>
      </c>
      <c r="BE584" s="448" t="s">
        <v>1726</v>
      </c>
      <c r="BF584" s="634"/>
      <c r="BG584" s="634"/>
      <c r="BH584" s="634"/>
      <c r="BI584" s="634"/>
    </row>
    <row r="585" spans="1:61" ht="16.2" customHeight="1">
      <c r="A585" s="12"/>
      <c r="B585" s="446"/>
      <c r="C585" s="89"/>
      <c r="D585" s="13"/>
      <c r="E585" s="14"/>
      <c r="F585" s="14"/>
      <c r="G585" s="15"/>
      <c r="H585" s="8"/>
      <c r="I585" s="8"/>
      <c r="J585" s="89"/>
      <c r="K585" s="8"/>
      <c r="L585" s="8"/>
      <c r="M585" s="8" t="str">
        <f>IF(L585="","",
IF(AX585="PT",VLOOKUP(L585,Foundation_Calc!$V$4:$X$37,VLOOKUP(AX585,Foundation_Calc!$I$10:$J$13,2,FALSE),0),
IF(AX585="K",VLOOKUP(L585,Foundation_Calc!$V$41:$X$74,VLOOKUP(AX585,Foundation_Calc!$I$10:$J$13,2,FALSE),0),"")))</f>
        <v/>
      </c>
      <c r="N585" s="8"/>
      <c r="O585" s="8"/>
      <c r="P585" s="8"/>
      <c r="Q585" s="14"/>
      <c r="R585" s="15"/>
      <c r="S585" s="15"/>
      <c r="T585" s="14"/>
      <c r="U585" s="14"/>
      <c r="V585" s="14"/>
      <c r="W585" s="18"/>
      <c r="X585" s="18"/>
      <c r="Y585" s="18"/>
      <c r="Z585" s="18"/>
      <c r="AA585" s="18"/>
      <c r="AB585" s="18"/>
      <c r="AC585" s="8" t="str">
        <f t="shared" si="37"/>
        <v/>
      </c>
      <c r="AD585" s="8"/>
      <c r="AE585" s="8"/>
      <c r="AF585" s="14"/>
      <c r="AG585" s="13"/>
      <c r="AH585" s="14"/>
      <c r="AI585" s="14"/>
      <c r="AJ585" s="8"/>
      <c r="AK585" s="8"/>
      <c r="AL585" s="8"/>
      <c r="AM585" s="8"/>
      <c r="AN585" s="631"/>
      <c r="AO585" s="18"/>
      <c r="AP585" s="18"/>
      <c r="AQ585" s="18"/>
      <c r="AR585" s="18"/>
      <c r="AS585" s="18"/>
      <c r="AU585" s="448"/>
      <c r="AV585" s="448"/>
      <c r="AW585" s="8" t="str">
        <f>IF(C585&gt;0,VLOOKUP(C585,Foundation_Calc!$A$2:$C$986,3,1),
IF(J585&gt;0,VLOOKUP(J585,Foundation_Calc!$A$2:$C$986,3,1),""))</f>
        <v/>
      </c>
      <c r="AX585" s="8" t="str">
        <f>IF(C585&gt;0,VLOOKUP(C585,Foundation_Calc!$E$2:$G$986,3,1),
IF(J585&gt;0,VLOOKUP(J585,Foundation_Calc!$E$2:$G$986,3,1),""))</f>
        <v/>
      </c>
      <c r="AY585" s="631" t="str">
        <f>IF(L585="","",
IF(AX585="PT",VLOOKUP(L585,Foundation_Calc!$K$4:$R$37,VLOOKUP(AW585,Foundation_Calc!$I$2:$J$8,2,FALSE),0),
IF(AX585="K",VLOOKUP(L585,Foundation_Calc!$K$41:$R$74,VLOOKUP(AW585,Foundation_Calc!$I$2:$J$8,2,FALSE),0),"")))</f>
        <v/>
      </c>
      <c r="AZ585" s="631" t="str">
        <f>IF(K585="","",
IF(AX585="PT",VLOOKUP(K585,Foundation_Calc!$K$4:$R$37,VLOOKUP(AW585,Foundation_Calc!$I$2:$J$8,2,FALSE),0),
IF(AX585="K",VLOOKUP(K585,Foundation_Calc!$K$41:$R$74,VLOOKUP(AW585,Foundation_Calc!$I$2:$J$8,2,FALSE),0),"")))</f>
        <v/>
      </c>
      <c r="BA585" s="632" t="str">
        <f t="shared" si="38"/>
        <v/>
      </c>
      <c r="BB585" s="632" t="str">
        <f t="shared" si="39"/>
        <v/>
      </c>
      <c r="BC585" s="632" t="str">
        <f t="shared" si="40"/>
        <v/>
      </c>
      <c r="BD585" s="633" t="str">
        <f>IF(AND(L585="",H585=""),"",
IF(H585="",Pole_Calc!A613,
IF(H585="MP",Pole_Calc!A614,
IF(H585="AnMP",Pole_Calc!A615,
IF(H585="A",Pole_Calc!A616,
IF(H585="S/A",Pole_Calc!A617,
IF(H585="A/S",Pole_Calc!A618,"Poner a mano")))))))</f>
        <v/>
      </c>
      <c r="BE585" s="448" t="s">
        <v>1726</v>
      </c>
      <c r="BF585" s="635"/>
      <c r="BG585" s="635"/>
      <c r="BH585" s="634"/>
      <c r="BI585" s="635"/>
    </row>
    <row r="586" spans="1:61" ht="16.2" customHeight="1">
      <c r="A586" s="12"/>
      <c r="B586" s="446"/>
      <c r="C586" s="89"/>
      <c r="D586" s="13"/>
      <c r="E586" s="14"/>
      <c r="F586" s="14"/>
      <c r="G586" s="15"/>
      <c r="H586" s="8"/>
      <c r="I586" s="8"/>
      <c r="J586" s="89"/>
      <c r="K586" s="8"/>
      <c r="L586" s="8"/>
      <c r="M586" s="8" t="str">
        <f>IF(L586="","",
IF(AX586="PT",VLOOKUP(L586,Foundation_Calc!$V$4:$X$37,VLOOKUP(AX586,Foundation_Calc!$I$10:$J$13,2,FALSE),0),
IF(AX586="K",VLOOKUP(L586,Foundation_Calc!$V$41:$X$74,VLOOKUP(AX586,Foundation_Calc!$I$10:$J$13,2,FALSE),0),"")))</f>
        <v/>
      </c>
      <c r="N586" s="8"/>
      <c r="O586" s="8"/>
      <c r="P586" s="8"/>
      <c r="Q586" s="14"/>
      <c r="R586" s="15"/>
      <c r="S586" s="15"/>
      <c r="T586" s="14"/>
      <c r="U586" s="14"/>
      <c r="V586" s="14"/>
      <c r="W586" s="18"/>
      <c r="X586" s="18"/>
      <c r="Y586" s="18"/>
      <c r="Z586" s="18"/>
      <c r="AA586" s="18"/>
      <c r="AB586" s="18"/>
      <c r="AC586" s="8" t="str">
        <f t="shared" si="37"/>
        <v/>
      </c>
      <c r="AD586" s="8"/>
      <c r="AE586" s="8"/>
      <c r="AF586" s="14"/>
      <c r="AG586" s="13"/>
      <c r="AH586" s="14"/>
      <c r="AI586" s="14"/>
      <c r="AJ586" s="8"/>
      <c r="AK586" s="8"/>
      <c r="AL586" s="8"/>
      <c r="AM586" s="8"/>
      <c r="AN586" s="631"/>
      <c r="AO586" s="18"/>
      <c r="AP586" s="18"/>
      <c r="AQ586" s="18"/>
      <c r="AR586" s="18"/>
      <c r="AS586" s="18"/>
      <c r="AU586" s="448"/>
      <c r="AV586" s="448"/>
      <c r="AW586" s="8" t="str">
        <f>IF(C586&gt;0,VLOOKUP(C586,Foundation_Calc!$A$2:$C$986,3,1),
IF(J586&gt;0,VLOOKUP(J586,Foundation_Calc!$A$2:$C$986,3,1),""))</f>
        <v/>
      </c>
      <c r="AX586" s="8" t="str">
        <f>IF(C586&gt;0,VLOOKUP(C586,Foundation_Calc!$E$2:$G$986,3,1),
IF(J586&gt;0,VLOOKUP(J586,Foundation_Calc!$E$2:$G$986,3,1),""))</f>
        <v/>
      </c>
      <c r="AY586" s="631" t="str">
        <f>IF(L586="","",
IF(AX586="PT",VLOOKUP(L586,Foundation_Calc!$K$4:$R$37,VLOOKUP(AW586,Foundation_Calc!$I$2:$J$8,2,FALSE),0),
IF(AX586="K",VLOOKUP(L586,Foundation_Calc!$K$41:$R$74,VLOOKUP(AW586,Foundation_Calc!$I$2:$J$8,2,FALSE),0),"")))</f>
        <v/>
      </c>
      <c r="AZ586" s="631" t="str">
        <f>IF(K586="","",
IF(AX586="PT",VLOOKUP(K586,Foundation_Calc!$K$4:$R$37,VLOOKUP(AW586,Foundation_Calc!$I$2:$J$8,2,FALSE),0),
IF(AX586="K",VLOOKUP(K586,Foundation_Calc!$K$41:$R$74,VLOOKUP(AW586,Foundation_Calc!$I$2:$J$8,2,FALSE),0),"")))</f>
        <v/>
      </c>
      <c r="BA586" s="632" t="str">
        <f t="shared" si="38"/>
        <v/>
      </c>
      <c r="BB586" s="632" t="str">
        <f t="shared" si="39"/>
        <v/>
      </c>
      <c r="BC586" s="632" t="str">
        <f t="shared" si="40"/>
        <v/>
      </c>
      <c r="BD586" s="633" t="str">
        <f>IF(AND(L586="",H586=""),"",
IF(H586="",Pole_Calc!A614,
IF(H586="MP",Pole_Calc!A615,
IF(H586="AnMP",Pole_Calc!A616,
IF(H586="A",Pole_Calc!A617,
IF(H586="S/A",Pole_Calc!A618,
IF(H586="A/S",Pole_Calc!A619,"Poner a mano")))))))</f>
        <v/>
      </c>
      <c r="BE586" s="448" t="s">
        <v>1726</v>
      </c>
      <c r="BF586" s="634"/>
      <c r="BG586" s="634"/>
      <c r="BH586" s="634"/>
      <c r="BI586" s="634"/>
    </row>
    <row r="587" spans="1:61" ht="16.2" customHeight="1">
      <c r="A587" s="12"/>
      <c r="B587" s="446"/>
      <c r="C587" s="89"/>
      <c r="D587" s="13"/>
      <c r="E587" s="14"/>
      <c r="F587" s="14"/>
      <c r="G587" s="15"/>
      <c r="H587" s="8"/>
      <c r="I587" s="8"/>
      <c r="J587" s="89"/>
      <c r="K587" s="8"/>
      <c r="L587" s="8"/>
      <c r="M587" s="8" t="str">
        <f>IF(L587="","",
IF(AX587="PT",VLOOKUP(L587,Foundation_Calc!$V$4:$X$37,VLOOKUP(AX587,Foundation_Calc!$I$10:$J$13,2,FALSE),0),
IF(AX587="K",VLOOKUP(L587,Foundation_Calc!$V$41:$X$74,VLOOKUP(AX587,Foundation_Calc!$I$10:$J$13,2,FALSE),0),"")))</f>
        <v/>
      </c>
      <c r="N587" s="8"/>
      <c r="O587" s="8"/>
      <c r="P587" s="8"/>
      <c r="Q587" s="14"/>
      <c r="R587" s="15"/>
      <c r="S587" s="15"/>
      <c r="T587" s="14"/>
      <c r="U587" s="14"/>
      <c r="V587" s="14"/>
      <c r="W587" s="18"/>
      <c r="X587" s="18"/>
      <c r="Y587" s="18"/>
      <c r="Z587" s="18"/>
      <c r="AA587" s="18"/>
      <c r="AB587" s="18"/>
      <c r="AC587" s="8" t="str">
        <f t="shared" si="37"/>
        <v/>
      </c>
      <c r="AD587" s="8"/>
      <c r="AE587" s="8"/>
      <c r="AF587" s="14"/>
      <c r="AG587" s="13"/>
      <c r="AH587" s="14"/>
      <c r="AI587" s="14"/>
      <c r="AJ587" s="8"/>
      <c r="AK587" s="8"/>
      <c r="AL587" s="8"/>
      <c r="AM587" s="8"/>
      <c r="AN587" s="631"/>
      <c r="AO587" s="18"/>
      <c r="AP587" s="18"/>
      <c r="AQ587" s="18"/>
      <c r="AR587" s="18"/>
      <c r="AS587" s="18"/>
      <c r="AU587" s="448"/>
      <c r="AV587" s="448"/>
      <c r="AW587" s="8" t="str">
        <f>IF(C587&gt;0,VLOOKUP(C587,Foundation_Calc!$A$2:$C$986,3,1),
IF(J587&gt;0,VLOOKUP(J587,Foundation_Calc!$A$2:$C$986,3,1),""))</f>
        <v/>
      </c>
      <c r="AX587" s="8" t="str">
        <f>IF(C587&gt;0,VLOOKUP(C587,Foundation_Calc!$E$2:$G$986,3,1),
IF(J587&gt;0,VLOOKUP(J587,Foundation_Calc!$E$2:$G$986,3,1),""))</f>
        <v/>
      </c>
      <c r="AY587" s="631" t="str">
        <f>IF(L587="","",
IF(AX587="PT",VLOOKUP(L587,Foundation_Calc!$K$4:$R$37,VLOOKUP(AW587,Foundation_Calc!$I$2:$J$8,2,FALSE),0),
IF(AX587="K",VLOOKUP(L587,Foundation_Calc!$K$41:$R$74,VLOOKUP(AW587,Foundation_Calc!$I$2:$J$8,2,FALSE),0),"")))</f>
        <v/>
      </c>
      <c r="AZ587" s="631" t="str">
        <f>IF(K587="","",
IF(AX587="PT",VLOOKUP(K587,Foundation_Calc!$K$4:$R$37,VLOOKUP(AW587,Foundation_Calc!$I$2:$J$8,2,FALSE),0),
IF(AX587="K",VLOOKUP(K587,Foundation_Calc!$K$41:$R$74,VLOOKUP(AW587,Foundation_Calc!$I$2:$J$8,2,FALSE),0),"")))</f>
        <v/>
      </c>
      <c r="BA587" s="632" t="str">
        <f t="shared" si="38"/>
        <v/>
      </c>
      <c r="BB587" s="632" t="str">
        <f t="shared" si="39"/>
        <v/>
      </c>
      <c r="BC587" s="632" t="str">
        <f t="shared" si="40"/>
        <v/>
      </c>
      <c r="BD587" s="633" t="str">
        <f>IF(AND(L587="",H587=""),"",
IF(H587="",Pole_Calc!A615,
IF(H587="MP",Pole_Calc!A616,
IF(H587="AnMP",Pole_Calc!A617,
IF(H587="A",Pole_Calc!A618,
IF(H587="S/A",Pole_Calc!A619,
IF(H587="A/S",Pole_Calc!A620,"Poner a mano")))))))</f>
        <v/>
      </c>
      <c r="BE587" s="448" t="s">
        <v>1726</v>
      </c>
      <c r="BF587" s="635"/>
      <c r="BG587" s="635"/>
      <c r="BH587" s="634"/>
      <c r="BI587" s="635"/>
    </row>
    <row r="588" spans="1:61" ht="16.2" customHeight="1">
      <c r="A588" s="12"/>
      <c r="B588" s="446"/>
      <c r="C588" s="89"/>
      <c r="D588" s="13"/>
      <c r="E588" s="14"/>
      <c r="F588" s="14"/>
      <c r="G588" s="15"/>
      <c r="H588" s="8"/>
      <c r="I588" s="8"/>
      <c r="J588" s="89"/>
      <c r="K588" s="8"/>
      <c r="L588" s="8"/>
      <c r="M588" s="8" t="str">
        <f>IF(L588="","",
IF(AX588="PT",VLOOKUP(L588,Foundation_Calc!$V$4:$X$37,VLOOKUP(AX588,Foundation_Calc!$I$10:$J$13,2,FALSE),0),
IF(AX588="K",VLOOKUP(L588,Foundation_Calc!$V$41:$X$74,VLOOKUP(AX588,Foundation_Calc!$I$10:$J$13,2,FALSE),0),"")))</f>
        <v/>
      </c>
      <c r="N588" s="8"/>
      <c r="O588" s="8"/>
      <c r="P588" s="8"/>
      <c r="Q588" s="14"/>
      <c r="R588" s="15"/>
      <c r="S588" s="15"/>
      <c r="T588" s="14"/>
      <c r="U588" s="14"/>
      <c r="V588" s="14"/>
      <c r="W588" s="18"/>
      <c r="X588" s="18"/>
      <c r="Y588" s="18"/>
      <c r="Z588" s="18"/>
      <c r="AA588" s="18"/>
      <c r="AB588" s="18"/>
      <c r="AC588" s="8" t="str">
        <f t="shared" si="37"/>
        <v/>
      </c>
      <c r="AD588" s="8"/>
      <c r="AE588" s="8"/>
      <c r="AF588" s="14"/>
      <c r="AG588" s="13"/>
      <c r="AH588" s="14"/>
      <c r="AI588" s="14"/>
      <c r="AJ588" s="8"/>
      <c r="AK588" s="8"/>
      <c r="AL588" s="8"/>
      <c r="AM588" s="8"/>
      <c r="AN588" s="631"/>
      <c r="AO588" s="18"/>
      <c r="AP588" s="18"/>
      <c r="AQ588" s="18"/>
      <c r="AR588" s="18"/>
      <c r="AS588" s="18"/>
      <c r="AU588" s="448"/>
      <c r="AV588" s="448"/>
      <c r="AW588" s="8" t="str">
        <f>IF(C588&gt;0,VLOOKUP(C588,Foundation_Calc!$A$2:$C$986,3,1),
IF(J588&gt;0,VLOOKUP(J588,Foundation_Calc!$A$2:$C$986,3,1),""))</f>
        <v/>
      </c>
      <c r="AX588" s="8" t="str">
        <f>IF(C588&gt;0,VLOOKUP(C588,Foundation_Calc!$E$2:$G$986,3,1),
IF(J588&gt;0,VLOOKUP(J588,Foundation_Calc!$E$2:$G$986,3,1),""))</f>
        <v/>
      </c>
      <c r="AY588" s="631" t="str">
        <f>IF(L588="","",
IF(AX588="PT",VLOOKUP(L588,Foundation_Calc!$K$4:$R$37,VLOOKUP(AW588,Foundation_Calc!$I$2:$J$8,2,FALSE),0),
IF(AX588="K",VLOOKUP(L588,Foundation_Calc!$K$41:$R$74,VLOOKUP(AW588,Foundation_Calc!$I$2:$J$8,2,FALSE),0),"")))</f>
        <v/>
      </c>
      <c r="AZ588" s="631" t="str">
        <f>IF(K588="","",
IF(AX588="PT",VLOOKUP(K588,Foundation_Calc!$K$4:$R$37,VLOOKUP(AW588,Foundation_Calc!$I$2:$J$8,2,FALSE),0),
IF(AX588="K",VLOOKUP(K588,Foundation_Calc!$K$41:$R$74,VLOOKUP(AW588,Foundation_Calc!$I$2:$J$8,2,FALSE),0),"")))</f>
        <v/>
      </c>
      <c r="BA588" s="632" t="str">
        <f t="shared" si="38"/>
        <v/>
      </c>
      <c r="BB588" s="632" t="str">
        <f t="shared" si="39"/>
        <v/>
      </c>
      <c r="BC588" s="632" t="str">
        <f t="shared" si="40"/>
        <v/>
      </c>
      <c r="BD588" s="633" t="str">
        <f>IF(AND(L588="",H588=""),"",
IF(H588="",Pole_Calc!A616,
IF(H588="MP",Pole_Calc!A617,
IF(H588="AnMP",Pole_Calc!A618,
IF(H588="A",Pole_Calc!A619,
IF(H588="S/A",Pole_Calc!A620,
IF(H588="A/S",Pole_Calc!A621,"Poner a mano")))))))</f>
        <v/>
      </c>
      <c r="BE588" s="448" t="s">
        <v>1726</v>
      </c>
      <c r="BF588" s="634"/>
      <c r="BG588" s="634"/>
      <c r="BH588" s="634"/>
      <c r="BI588" s="634"/>
    </row>
    <row r="589" spans="1:61" ht="16.2" customHeight="1">
      <c r="A589" s="12"/>
      <c r="B589" s="446"/>
      <c r="C589" s="89"/>
      <c r="D589" s="13"/>
      <c r="E589" s="14"/>
      <c r="F589" s="14"/>
      <c r="G589" s="15"/>
      <c r="H589" s="8"/>
      <c r="I589" s="8"/>
      <c r="J589" s="89"/>
      <c r="K589" s="8"/>
      <c r="L589" s="8"/>
      <c r="M589" s="8" t="str">
        <f>IF(L589="","",
IF(AX589="PT",VLOOKUP(L589,Foundation_Calc!$V$4:$X$37,VLOOKUP(AX589,Foundation_Calc!$I$10:$J$13,2,FALSE),0),
IF(AX589="K",VLOOKUP(L589,Foundation_Calc!$V$41:$X$74,VLOOKUP(AX589,Foundation_Calc!$I$10:$J$13,2,FALSE),0),"")))</f>
        <v/>
      </c>
      <c r="N589" s="8"/>
      <c r="O589" s="8"/>
      <c r="P589" s="8"/>
      <c r="Q589" s="14"/>
      <c r="R589" s="15"/>
      <c r="S589" s="15"/>
      <c r="T589" s="14"/>
      <c r="U589" s="14"/>
      <c r="V589" s="14"/>
      <c r="W589" s="18"/>
      <c r="X589" s="18"/>
      <c r="Y589" s="18"/>
      <c r="Z589" s="18"/>
      <c r="AA589" s="18"/>
      <c r="AB589" s="18"/>
      <c r="AC589" s="8" t="str">
        <f t="shared" si="37"/>
        <v/>
      </c>
      <c r="AD589" s="8"/>
      <c r="AE589" s="8"/>
      <c r="AF589" s="14"/>
      <c r="AG589" s="13"/>
      <c r="AH589" s="14"/>
      <c r="AI589" s="14"/>
      <c r="AJ589" s="8"/>
      <c r="AK589" s="8"/>
      <c r="AL589" s="8"/>
      <c r="AM589" s="8"/>
      <c r="AN589" s="631"/>
      <c r="AO589" s="18"/>
      <c r="AP589" s="18"/>
      <c r="AQ589" s="18"/>
      <c r="AR589" s="18"/>
      <c r="AS589" s="18"/>
      <c r="AU589" s="448"/>
      <c r="AV589" s="448"/>
      <c r="AW589" s="8" t="str">
        <f>IF(C589&gt;0,VLOOKUP(C589,Foundation_Calc!$A$2:$C$986,3,1),
IF(J589&gt;0,VLOOKUP(J589,Foundation_Calc!$A$2:$C$986,3,1),""))</f>
        <v/>
      </c>
      <c r="AX589" s="8" t="str">
        <f>IF(C589&gt;0,VLOOKUP(C589,Foundation_Calc!$E$2:$G$986,3,1),
IF(J589&gt;0,VLOOKUP(J589,Foundation_Calc!$E$2:$G$986,3,1),""))</f>
        <v/>
      </c>
      <c r="AY589" s="631" t="str">
        <f>IF(L589="","",
IF(AX589="PT",VLOOKUP(L589,Foundation_Calc!$K$4:$R$37,VLOOKUP(AW589,Foundation_Calc!$I$2:$J$8,2,FALSE),0),
IF(AX589="K",VLOOKUP(L589,Foundation_Calc!$K$41:$R$74,VLOOKUP(AW589,Foundation_Calc!$I$2:$J$8,2,FALSE),0),"")))</f>
        <v/>
      </c>
      <c r="AZ589" s="631" t="str">
        <f>IF(K589="","",
IF(AX589="PT",VLOOKUP(K589,Foundation_Calc!$K$4:$R$37,VLOOKUP(AW589,Foundation_Calc!$I$2:$J$8,2,FALSE),0),
IF(AX589="K",VLOOKUP(K589,Foundation_Calc!$K$41:$R$74,VLOOKUP(AW589,Foundation_Calc!$I$2:$J$8,2,FALSE),0),"")))</f>
        <v/>
      </c>
      <c r="BA589" s="632" t="str">
        <f t="shared" si="38"/>
        <v/>
      </c>
      <c r="BB589" s="632" t="str">
        <f t="shared" si="39"/>
        <v/>
      </c>
      <c r="BC589" s="632" t="str">
        <f t="shared" si="40"/>
        <v/>
      </c>
      <c r="BD589" s="633" t="str">
        <f>IF(AND(L589="",H589=""),"",
IF(H589="",Pole_Calc!A617,
IF(H589="MP",Pole_Calc!A618,
IF(H589="AnMP",Pole_Calc!A619,
IF(H589="A",Pole_Calc!A620,
IF(H589="S/A",Pole_Calc!A621,
IF(H589="A/S",Pole_Calc!A622,"Poner a mano")))))))</f>
        <v/>
      </c>
      <c r="BE589" s="448" t="s">
        <v>1726</v>
      </c>
      <c r="BF589" s="635"/>
      <c r="BG589" s="635"/>
      <c r="BH589" s="634"/>
      <c r="BI589" s="635"/>
    </row>
    <row r="590" spans="1:61" ht="16.2" customHeight="1">
      <c r="A590" s="12"/>
      <c r="B590" s="446"/>
      <c r="C590" s="89"/>
      <c r="D590" s="13"/>
      <c r="E590" s="14"/>
      <c r="F590" s="14"/>
      <c r="G590" s="15"/>
      <c r="H590" s="8"/>
      <c r="I590" s="8"/>
      <c r="J590" s="89"/>
      <c r="K590" s="8"/>
      <c r="L590" s="8"/>
      <c r="M590" s="8" t="str">
        <f>IF(L590="","",
IF(AX590="PT",VLOOKUP(L590,Foundation_Calc!$V$4:$X$37,VLOOKUP(AX590,Foundation_Calc!$I$10:$J$13,2,FALSE),0),
IF(AX590="K",VLOOKUP(L590,Foundation_Calc!$V$41:$X$74,VLOOKUP(AX590,Foundation_Calc!$I$10:$J$13,2,FALSE),0),"")))</f>
        <v/>
      </c>
      <c r="N590" s="8"/>
      <c r="O590" s="8"/>
      <c r="P590" s="8"/>
      <c r="Q590" s="14"/>
      <c r="R590" s="15"/>
      <c r="S590" s="15"/>
      <c r="T590" s="14"/>
      <c r="U590" s="14"/>
      <c r="V590" s="14"/>
      <c r="W590" s="18"/>
      <c r="X590" s="18"/>
      <c r="Y590" s="18"/>
      <c r="Z590" s="18"/>
      <c r="AA590" s="18"/>
      <c r="AB590" s="18"/>
      <c r="AC590" s="8" t="str">
        <f t="shared" si="37"/>
        <v/>
      </c>
      <c r="AD590" s="8"/>
      <c r="AE590" s="8"/>
      <c r="AF590" s="14"/>
      <c r="AG590" s="13"/>
      <c r="AH590" s="14"/>
      <c r="AI590" s="14"/>
      <c r="AJ590" s="8"/>
      <c r="AK590" s="8"/>
      <c r="AL590" s="8"/>
      <c r="AM590" s="8"/>
      <c r="AN590" s="631"/>
      <c r="AO590" s="18"/>
      <c r="AP590" s="18"/>
      <c r="AQ590" s="18"/>
      <c r="AR590" s="18"/>
      <c r="AS590" s="18"/>
      <c r="AU590" s="448"/>
      <c r="AV590" s="448"/>
      <c r="AW590" s="8" t="str">
        <f>IF(C590&gt;0,VLOOKUP(C590,Foundation_Calc!$A$2:$C$986,3,1),
IF(J590&gt;0,VLOOKUP(J590,Foundation_Calc!$A$2:$C$986,3,1),""))</f>
        <v/>
      </c>
      <c r="AX590" s="8" t="str">
        <f>IF(C590&gt;0,VLOOKUP(C590,Foundation_Calc!$E$2:$G$986,3,1),
IF(J590&gt;0,VLOOKUP(J590,Foundation_Calc!$E$2:$G$986,3,1),""))</f>
        <v/>
      </c>
      <c r="AY590" s="631" t="str">
        <f>IF(L590="","",
IF(AX590="PT",VLOOKUP(L590,Foundation_Calc!$K$4:$R$37,VLOOKUP(AW590,Foundation_Calc!$I$2:$J$8,2,FALSE),0),
IF(AX590="K",VLOOKUP(L590,Foundation_Calc!$K$41:$R$74,VLOOKUP(AW590,Foundation_Calc!$I$2:$J$8,2,FALSE),0),"")))</f>
        <v/>
      </c>
      <c r="AZ590" s="631" t="str">
        <f>IF(K590="","",
IF(AX590="PT",VLOOKUP(K590,Foundation_Calc!$K$4:$R$37,VLOOKUP(AW590,Foundation_Calc!$I$2:$J$8,2,FALSE),0),
IF(AX590="K",VLOOKUP(K590,Foundation_Calc!$K$41:$R$74,VLOOKUP(AW590,Foundation_Calc!$I$2:$J$8,2,FALSE),0),"")))</f>
        <v/>
      </c>
      <c r="BA590" s="632" t="str">
        <f t="shared" si="38"/>
        <v/>
      </c>
      <c r="BB590" s="632" t="str">
        <f t="shared" si="39"/>
        <v/>
      </c>
      <c r="BC590" s="632" t="str">
        <f t="shared" si="40"/>
        <v/>
      </c>
      <c r="BD590" s="633" t="str">
        <f>IF(AND(L590="",H590=""),"",
IF(H590="",Pole_Calc!A618,
IF(H590="MP",Pole_Calc!A619,
IF(H590="AnMP",Pole_Calc!A620,
IF(H590="A",Pole_Calc!A621,
IF(H590="S/A",Pole_Calc!A622,
IF(H590="A/S",Pole_Calc!A623,"Poner a mano")))))))</f>
        <v/>
      </c>
      <c r="BE590" s="448" t="s">
        <v>1726</v>
      </c>
      <c r="BF590" s="634"/>
      <c r="BG590" s="634"/>
      <c r="BH590" s="634"/>
      <c r="BI590" s="634"/>
    </row>
    <row r="591" spans="1:61" ht="16.2" customHeight="1">
      <c r="A591" s="12"/>
      <c r="B591" s="446"/>
      <c r="C591" s="89"/>
      <c r="D591" s="13"/>
      <c r="E591" s="14"/>
      <c r="F591" s="14"/>
      <c r="G591" s="15"/>
      <c r="H591" s="8"/>
      <c r="I591" s="8"/>
      <c r="J591" s="89"/>
      <c r="K591" s="8"/>
      <c r="L591" s="8"/>
      <c r="M591" s="8" t="str">
        <f>IF(L591="","",
IF(AX591="PT",VLOOKUP(L591,Foundation_Calc!$V$4:$X$37,VLOOKUP(AX591,Foundation_Calc!$I$10:$J$13,2,FALSE),0),
IF(AX591="K",VLOOKUP(L591,Foundation_Calc!$V$41:$X$74,VLOOKUP(AX591,Foundation_Calc!$I$10:$J$13,2,FALSE),0),"")))</f>
        <v/>
      </c>
      <c r="N591" s="8"/>
      <c r="O591" s="8"/>
      <c r="P591" s="8"/>
      <c r="Q591" s="14"/>
      <c r="R591" s="15"/>
      <c r="S591" s="15"/>
      <c r="T591" s="14"/>
      <c r="U591" s="14"/>
      <c r="V591" s="14"/>
      <c r="W591" s="18"/>
      <c r="X591" s="18"/>
      <c r="Y591" s="18"/>
      <c r="Z591" s="18"/>
      <c r="AA591" s="18"/>
      <c r="AB591" s="18"/>
      <c r="AC591" s="8" t="str">
        <f t="shared" si="37"/>
        <v/>
      </c>
      <c r="AD591" s="8"/>
      <c r="AE591" s="8"/>
      <c r="AF591" s="14"/>
      <c r="AG591" s="13"/>
      <c r="AH591" s="14"/>
      <c r="AI591" s="14"/>
      <c r="AJ591" s="8"/>
      <c r="AK591" s="8"/>
      <c r="AL591" s="8"/>
      <c r="AM591" s="8"/>
      <c r="AN591" s="631"/>
      <c r="AO591" s="18"/>
      <c r="AP591" s="18"/>
      <c r="AQ591" s="18"/>
      <c r="AR591" s="18"/>
      <c r="AS591" s="18"/>
      <c r="AU591" s="448"/>
      <c r="AV591" s="448"/>
      <c r="AW591" s="8" t="str">
        <f>IF(C591&gt;0,VLOOKUP(C591,Foundation_Calc!$A$2:$C$986,3,1),
IF(J591&gt;0,VLOOKUP(J591,Foundation_Calc!$A$2:$C$986,3,1),""))</f>
        <v/>
      </c>
      <c r="AX591" s="8" t="str">
        <f>IF(C591&gt;0,VLOOKUP(C591,Foundation_Calc!$E$2:$G$986,3,1),
IF(J591&gt;0,VLOOKUP(J591,Foundation_Calc!$E$2:$G$986,3,1),""))</f>
        <v/>
      </c>
      <c r="AY591" s="631" t="str">
        <f>IF(L591="","",
IF(AX591="PT",VLOOKUP(L591,Foundation_Calc!$K$4:$R$37,VLOOKUP(AW591,Foundation_Calc!$I$2:$J$8,2,FALSE),0),
IF(AX591="K",VLOOKUP(L591,Foundation_Calc!$K$41:$R$74,VLOOKUP(AW591,Foundation_Calc!$I$2:$J$8,2,FALSE),0),"")))</f>
        <v/>
      </c>
      <c r="AZ591" s="631" t="str">
        <f>IF(K591="","",
IF(AX591="PT",VLOOKUP(K591,Foundation_Calc!$K$4:$R$37,VLOOKUP(AW591,Foundation_Calc!$I$2:$J$8,2,FALSE),0),
IF(AX591="K",VLOOKUP(K591,Foundation_Calc!$K$41:$R$74,VLOOKUP(AW591,Foundation_Calc!$I$2:$J$8,2,FALSE),0),"")))</f>
        <v/>
      </c>
      <c r="BA591" s="632" t="str">
        <f t="shared" si="38"/>
        <v/>
      </c>
      <c r="BB591" s="632" t="str">
        <f t="shared" si="39"/>
        <v/>
      </c>
      <c r="BC591" s="632" t="str">
        <f t="shared" si="40"/>
        <v/>
      </c>
      <c r="BD591" s="633" t="str">
        <f>IF(AND(L591="",H591=""),"",
IF(H591="",Pole_Calc!A619,
IF(H591="MP",Pole_Calc!A620,
IF(H591="AnMP",Pole_Calc!A621,
IF(H591="A",Pole_Calc!A622,
IF(H591="S/A",Pole_Calc!A623,
IF(H591="A/S",Pole_Calc!A624,"Poner a mano")))))))</f>
        <v/>
      </c>
      <c r="BE591" s="448" t="s">
        <v>1726</v>
      </c>
      <c r="BF591" s="635"/>
      <c r="BG591" s="635"/>
      <c r="BH591" s="634"/>
      <c r="BI591" s="635"/>
    </row>
    <row r="592" spans="1:61" ht="16.2" customHeight="1">
      <c r="A592" s="12"/>
      <c r="B592" s="446"/>
      <c r="C592" s="89"/>
      <c r="D592" s="13"/>
      <c r="E592" s="14"/>
      <c r="F592" s="14"/>
      <c r="G592" s="15"/>
      <c r="H592" s="8"/>
      <c r="I592" s="8"/>
      <c r="J592" s="89"/>
      <c r="K592" s="8"/>
      <c r="L592" s="8"/>
      <c r="M592" s="8" t="str">
        <f>IF(L592="","",
IF(AX592="PT",VLOOKUP(L592,Foundation_Calc!$V$4:$X$37,VLOOKUP(AX592,Foundation_Calc!$I$10:$J$13,2,FALSE),0),
IF(AX592="K",VLOOKUP(L592,Foundation_Calc!$V$41:$X$74,VLOOKUP(AX592,Foundation_Calc!$I$10:$J$13,2,FALSE),0),"")))</f>
        <v/>
      </c>
      <c r="N592" s="8"/>
      <c r="O592" s="8"/>
      <c r="P592" s="8"/>
      <c r="Q592" s="14"/>
      <c r="R592" s="15"/>
      <c r="S592" s="15"/>
      <c r="T592" s="14"/>
      <c r="U592" s="14"/>
      <c r="V592" s="14"/>
      <c r="W592" s="18"/>
      <c r="X592" s="18"/>
      <c r="Y592" s="18"/>
      <c r="Z592" s="18"/>
      <c r="AA592" s="18"/>
      <c r="AB592" s="18"/>
      <c r="AC592" s="8" t="str">
        <f t="shared" si="37"/>
        <v/>
      </c>
      <c r="AD592" s="8"/>
      <c r="AE592" s="8"/>
      <c r="AF592" s="14"/>
      <c r="AG592" s="13"/>
      <c r="AH592" s="14"/>
      <c r="AI592" s="14"/>
      <c r="AJ592" s="8"/>
      <c r="AK592" s="8"/>
      <c r="AL592" s="8"/>
      <c r="AM592" s="8"/>
      <c r="AN592" s="631"/>
      <c r="AO592" s="18"/>
      <c r="AP592" s="18"/>
      <c r="AQ592" s="18"/>
      <c r="AR592" s="18"/>
      <c r="AS592" s="18"/>
      <c r="AU592" s="448"/>
      <c r="AV592" s="448"/>
      <c r="AW592" s="8" t="str">
        <f>IF(C592&gt;0,VLOOKUP(C592,Foundation_Calc!$A$2:$C$986,3,1),
IF(J592&gt;0,VLOOKUP(J592,Foundation_Calc!$A$2:$C$986,3,1),""))</f>
        <v/>
      </c>
      <c r="AX592" s="8" t="str">
        <f>IF(C592&gt;0,VLOOKUP(C592,Foundation_Calc!$E$2:$G$986,3,1),
IF(J592&gt;0,VLOOKUP(J592,Foundation_Calc!$E$2:$G$986,3,1),""))</f>
        <v/>
      </c>
      <c r="AY592" s="631" t="str">
        <f>IF(L592="","",
IF(AX592="PT",VLOOKUP(L592,Foundation_Calc!$K$4:$R$37,VLOOKUP(AW592,Foundation_Calc!$I$2:$J$8,2,FALSE),0),
IF(AX592="K",VLOOKUP(L592,Foundation_Calc!$K$41:$R$74,VLOOKUP(AW592,Foundation_Calc!$I$2:$J$8,2,FALSE),0),"")))</f>
        <v/>
      </c>
      <c r="AZ592" s="631" t="str">
        <f>IF(K592="","",
IF(AX592="PT",VLOOKUP(K592,Foundation_Calc!$K$4:$R$37,VLOOKUP(AW592,Foundation_Calc!$I$2:$J$8,2,FALSE),0),
IF(AX592="K",VLOOKUP(K592,Foundation_Calc!$K$41:$R$74,VLOOKUP(AW592,Foundation_Calc!$I$2:$J$8,2,FALSE),0),"")))</f>
        <v/>
      </c>
      <c r="BA592" s="632" t="str">
        <f t="shared" si="38"/>
        <v/>
      </c>
      <c r="BB592" s="632" t="str">
        <f t="shared" si="39"/>
        <v/>
      </c>
      <c r="BC592" s="632" t="str">
        <f t="shared" si="40"/>
        <v/>
      </c>
      <c r="BD592" s="633" t="str">
        <f>IF(AND(L592="",H592=""),"",
IF(H592="",Pole_Calc!A620,
IF(H592="MP",Pole_Calc!A621,
IF(H592="AnMP",Pole_Calc!A622,
IF(H592="A",Pole_Calc!A623,
IF(H592="S/A",Pole_Calc!A624,
IF(H592="A/S",Pole_Calc!A625,"Poner a mano")))))))</f>
        <v/>
      </c>
      <c r="BE592" s="448" t="s">
        <v>1726</v>
      </c>
      <c r="BF592" s="634"/>
      <c r="BG592" s="634"/>
      <c r="BH592" s="634"/>
      <c r="BI592" s="634"/>
    </row>
    <row r="593" spans="1:61" ht="16.2" customHeight="1">
      <c r="A593" s="12"/>
      <c r="B593" s="446"/>
      <c r="C593" s="89"/>
      <c r="D593" s="13"/>
      <c r="E593" s="14"/>
      <c r="F593" s="14"/>
      <c r="G593" s="15"/>
      <c r="H593" s="8"/>
      <c r="I593" s="8"/>
      <c r="J593" s="89"/>
      <c r="K593" s="8"/>
      <c r="L593" s="8"/>
      <c r="M593" s="8" t="str">
        <f>IF(L593="","",
IF(AX593="PT",VLOOKUP(L593,Foundation_Calc!$V$4:$X$37,VLOOKUP(AX593,Foundation_Calc!$I$10:$J$13,2,FALSE),0),
IF(AX593="K",VLOOKUP(L593,Foundation_Calc!$V$41:$X$74,VLOOKUP(AX593,Foundation_Calc!$I$10:$J$13,2,FALSE),0),"")))</f>
        <v/>
      </c>
      <c r="N593" s="8"/>
      <c r="O593" s="8"/>
      <c r="P593" s="8"/>
      <c r="Q593" s="14"/>
      <c r="R593" s="15"/>
      <c r="S593" s="15"/>
      <c r="T593" s="14"/>
      <c r="U593" s="14"/>
      <c r="V593" s="14"/>
      <c r="W593" s="18"/>
      <c r="X593" s="18"/>
      <c r="Y593" s="18"/>
      <c r="Z593" s="18"/>
      <c r="AA593" s="18"/>
      <c r="AB593" s="18"/>
      <c r="AC593" s="8" t="str">
        <f t="shared" si="37"/>
        <v/>
      </c>
      <c r="AD593" s="8"/>
      <c r="AE593" s="8"/>
      <c r="AF593" s="14"/>
      <c r="AG593" s="13"/>
      <c r="AH593" s="14"/>
      <c r="AI593" s="14"/>
      <c r="AJ593" s="8"/>
      <c r="AK593" s="8"/>
      <c r="AL593" s="8"/>
      <c r="AM593" s="8"/>
      <c r="AN593" s="631"/>
      <c r="AO593" s="18"/>
      <c r="AP593" s="18"/>
      <c r="AQ593" s="18"/>
      <c r="AR593" s="18"/>
      <c r="AS593" s="18"/>
      <c r="AU593" s="448"/>
      <c r="AV593" s="448"/>
      <c r="AW593" s="8" t="str">
        <f>IF(C593&gt;0,VLOOKUP(C593,Foundation_Calc!$A$2:$C$986,3,1),
IF(J593&gt;0,VLOOKUP(J593,Foundation_Calc!$A$2:$C$986,3,1),""))</f>
        <v/>
      </c>
      <c r="AX593" s="8" t="str">
        <f>IF(C593&gt;0,VLOOKUP(C593,Foundation_Calc!$E$2:$G$986,3,1),
IF(J593&gt;0,VLOOKUP(J593,Foundation_Calc!$E$2:$G$986,3,1),""))</f>
        <v/>
      </c>
      <c r="AY593" s="631" t="str">
        <f>IF(L593="","",
IF(AX593="PT",VLOOKUP(L593,Foundation_Calc!$K$4:$R$37,VLOOKUP(AW593,Foundation_Calc!$I$2:$J$8,2,FALSE),0),
IF(AX593="K",VLOOKUP(L593,Foundation_Calc!$K$41:$R$74,VLOOKUP(AW593,Foundation_Calc!$I$2:$J$8,2,FALSE),0),"")))</f>
        <v/>
      </c>
      <c r="AZ593" s="631" t="str">
        <f>IF(K593="","",
IF(AX593="PT",VLOOKUP(K593,Foundation_Calc!$K$4:$R$37,VLOOKUP(AW593,Foundation_Calc!$I$2:$J$8,2,FALSE),0),
IF(AX593="K",VLOOKUP(K593,Foundation_Calc!$K$41:$R$74,VLOOKUP(AW593,Foundation_Calc!$I$2:$J$8,2,FALSE),0),"")))</f>
        <v/>
      </c>
      <c r="BA593" s="632" t="str">
        <f t="shared" si="38"/>
        <v/>
      </c>
      <c r="BB593" s="632" t="str">
        <f t="shared" si="39"/>
        <v/>
      </c>
      <c r="BC593" s="632" t="str">
        <f t="shared" si="40"/>
        <v/>
      </c>
      <c r="BD593" s="633" t="str">
        <f>IF(AND(L593="",H593=""),"",
IF(H593="",Pole_Calc!A621,
IF(H593="MP",Pole_Calc!A622,
IF(H593="AnMP",Pole_Calc!A623,
IF(H593="A",Pole_Calc!A624,
IF(H593="S/A",Pole_Calc!A625,
IF(H593="A/S",Pole_Calc!A626,"Poner a mano")))))))</f>
        <v/>
      </c>
      <c r="BE593" s="448" t="s">
        <v>1726</v>
      </c>
      <c r="BF593" s="635"/>
      <c r="BG593" s="635"/>
      <c r="BH593" s="634"/>
      <c r="BI593" s="635"/>
    </row>
    <row r="594" spans="1:61" ht="16.2" customHeight="1">
      <c r="A594" s="12"/>
      <c r="B594" s="446"/>
      <c r="C594" s="89"/>
      <c r="D594" s="13"/>
      <c r="E594" s="14"/>
      <c r="F594" s="14"/>
      <c r="G594" s="15"/>
      <c r="H594" s="8"/>
      <c r="I594" s="8"/>
      <c r="J594" s="89"/>
      <c r="K594" s="8"/>
      <c r="L594" s="8"/>
      <c r="M594" s="8" t="str">
        <f>IF(L594="","",
IF(AX594="PT",VLOOKUP(L594,Foundation_Calc!$V$4:$X$37,VLOOKUP(AX594,Foundation_Calc!$I$10:$J$13,2,FALSE),0),
IF(AX594="K",VLOOKUP(L594,Foundation_Calc!$V$41:$X$74,VLOOKUP(AX594,Foundation_Calc!$I$10:$J$13,2,FALSE),0),"")))</f>
        <v/>
      </c>
      <c r="N594" s="8"/>
      <c r="O594" s="8"/>
      <c r="P594" s="8"/>
      <c r="Q594" s="14"/>
      <c r="R594" s="15"/>
      <c r="S594" s="15"/>
      <c r="T594" s="14"/>
      <c r="U594" s="14"/>
      <c r="V594" s="14"/>
      <c r="W594" s="18"/>
      <c r="X594" s="18"/>
      <c r="Y594" s="18"/>
      <c r="Z594" s="18"/>
      <c r="AA594" s="18"/>
      <c r="AB594" s="18"/>
      <c r="AC594" s="8" t="str">
        <f t="shared" si="37"/>
        <v/>
      </c>
      <c r="AD594" s="8"/>
      <c r="AE594" s="8"/>
      <c r="AF594" s="14"/>
      <c r="AG594" s="13"/>
      <c r="AH594" s="14"/>
      <c r="AI594" s="14"/>
      <c r="AJ594" s="8"/>
      <c r="AK594" s="8"/>
      <c r="AL594" s="8"/>
      <c r="AM594" s="8"/>
      <c r="AN594" s="631"/>
      <c r="AO594" s="18"/>
      <c r="AP594" s="18"/>
      <c r="AQ594" s="18"/>
      <c r="AR594" s="18"/>
      <c r="AS594" s="18"/>
      <c r="AU594" s="448"/>
      <c r="AV594" s="448"/>
      <c r="AW594" s="8" t="str">
        <f>IF(C594&gt;0,VLOOKUP(C594,Foundation_Calc!$A$2:$C$986,3,1),
IF(J594&gt;0,VLOOKUP(J594,Foundation_Calc!$A$2:$C$986,3,1),""))</f>
        <v/>
      </c>
      <c r="AX594" s="8" t="str">
        <f>IF(C594&gt;0,VLOOKUP(C594,Foundation_Calc!$E$2:$G$986,3,1),
IF(J594&gt;0,VLOOKUP(J594,Foundation_Calc!$E$2:$G$986,3,1),""))</f>
        <v/>
      </c>
      <c r="AY594" s="631" t="str">
        <f>IF(L594="","",
IF(AX594="PT",VLOOKUP(L594,Foundation_Calc!$K$4:$R$37,VLOOKUP(AW594,Foundation_Calc!$I$2:$J$8,2,FALSE),0),
IF(AX594="K",VLOOKUP(L594,Foundation_Calc!$K$41:$R$74,VLOOKUP(AW594,Foundation_Calc!$I$2:$J$8,2,FALSE),0),"")))</f>
        <v/>
      </c>
      <c r="AZ594" s="631" t="str">
        <f>IF(K594="","",
IF(AX594="PT",VLOOKUP(K594,Foundation_Calc!$K$4:$R$37,VLOOKUP(AW594,Foundation_Calc!$I$2:$J$8,2,FALSE),0),
IF(AX594="K",VLOOKUP(K594,Foundation_Calc!$K$41:$R$74,VLOOKUP(AW594,Foundation_Calc!$I$2:$J$8,2,FALSE),0),"")))</f>
        <v/>
      </c>
      <c r="BA594" s="632" t="str">
        <f t="shared" si="38"/>
        <v/>
      </c>
      <c r="BB594" s="632" t="str">
        <f t="shared" si="39"/>
        <v/>
      </c>
      <c r="BC594" s="632" t="str">
        <f t="shared" si="40"/>
        <v/>
      </c>
      <c r="BD594" s="633" t="str">
        <f>IF(AND(L594="",H594=""),"",
IF(H594="",Pole_Calc!A622,
IF(H594="MP",Pole_Calc!A623,
IF(H594="AnMP",Pole_Calc!A624,
IF(H594="A",Pole_Calc!A625,
IF(H594="S/A",Pole_Calc!A626,
IF(H594="A/S",Pole_Calc!A627,"Poner a mano")))))))</f>
        <v/>
      </c>
      <c r="BE594" s="448" t="s">
        <v>1726</v>
      </c>
      <c r="BF594" s="634"/>
      <c r="BG594" s="634"/>
      <c r="BH594" s="634"/>
      <c r="BI594" s="634"/>
    </row>
    <row r="595" spans="1:61" ht="16.2" customHeight="1">
      <c r="A595" s="12"/>
      <c r="B595" s="446"/>
      <c r="C595" s="89"/>
      <c r="D595" s="13"/>
      <c r="E595" s="14"/>
      <c r="F595" s="14"/>
      <c r="G595" s="15"/>
      <c r="H595" s="8"/>
      <c r="I595" s="8"/>
      <c r="J595" s="89"/>
      <c r="K595" s="8"/>
      <c r="L595" s="8"/>
      <c r="M595" s="8" t="str">
        <f>IF(L595="","",
IF(AX595="PT",VLOOKUP(L595,Foundation_Calc!$V$4:$X$37,VLOOKUP(AX595,Foundation_Calc!$I$10:$J$13,2,FALSE),0),
IF(AX595="K",VLOOKUP(L595,Foundation_Calc!$V$41:$X$74,VLOOKUP(AX595,Foundation_Calc!$I$10:$J$13,2,FALSE),0),"")))</f>
        <v/>
      </c>
      <c r="N595" s="8"/>
      <c r="O595" s="8"/>
      <c r="P595" s="8"/>
      <c r="Q595" s="14"/>
      <c r="R595" s="15"/>
      <c r="S595" s="15"/>
      <c r="T595" s="14"/>
      <c r="U595" s="14"/>
      <c r="V595" s="14"/>
      <c r="W595" s="18"/>
      <c r="X595" s="18"/>
      <c r="Y595" s="18"/>
      <c r="Z595" s="18"/>
      <c r="AA595" s="18"/>
      <c r="AB595" s="18"/>
      <c r="AC595" s="8" t="str">
        <f t="shared" si="37"/>
        <v/>
      </c>
      <c r="AD595" s="8"/>
      <c r="AE595" s="8"/>
      <c r="AF595" s="14"/>
      <c r="AG595" s="13"/>
      <c r="AH595" s="14"/>
      <c r="AI595" s="14"/>
      <c r="AJ595" s="8"/>
      <c r="AK595" s="8"/>
      <c r="AL595" s="8"/>
      <c r="AM595" s="8"/>
      <c r="AN595" s="631"/>
      <c r="AO595" s="18"/>
      <c r="AP595" s="18"/>
      <c r="AQ595" s="18"/>
      <c r="AR595" s="18"/>
      <c r="AS595" s="18"/>
      <c r="AU595" s="448"/>
      <c r="AV595" s="448"/>
      <c r="AW595" s="8" t="str">
        <f>IF(C595&gt;0,VLOOKUP(C595,Foundation_Calc!$A$2:$C$986,3,1),
IF(J595&gt;0,VLOOKUP(J595,Foundation_Calc!$A$2:$C$986,3,1),""))</f>
        <v/>
      </c>
      <c r="AX595" s="8" t="str">
        <f>IF(C595&gt;0,VLOOKUP(C595,Foundation_Calc!$E$2:$G$986,3,1),
IF(J595&gt;0,VLOOKUP(J595,Foundation_Calc!$E$2:$G$986,3,1),""))</f>
        <v/>
      </c>
      <c r="AY595" s="631" t="str">
        <f>IF(L595="","",
IF(AX595="PT",VLOOKUP(L595,Foundation_Calc!$K$4:$R$37,VLOOKUP(AW595,Foundation_Calc!$I$2:$J$8,2,FALSE),0),
IF(AX595="K",VLOOKUP(L595,Foundation_Calc!$K$41:$R$74,VLOOKUP(AW595,Foundation_Calc!$I$2:$J$8,2,FALSE),0),"")))</f>
        <v/>
      </c>
      <c r="AZ595" s="631" t="str">
        <f>IF(K595="","",
IF(AX595="PT",VLOOKUP(K595,Foundation_Calc!$K$4:$R$37,VLOOKUP(AW595,Foundation_Calc!$I$2:$J$8,2,FALSE),0),
IF(AX595="K",VLOOKUP(K595,Foundation_Calc!$K$41:$R$74,VLOOKUP(AW595,Foundation_Calc!$I$2:$J$8,2,FALSE),0),"")))</f>
        <v/>
      </c>
      <c r="BA595" s="632" t="str">
        <f t="shared" si="38"/>
        <v/>
      </c>
      <c r="BB595" s="632" t="str">
        <f t="shared" si="39"/>
        <v/>
      </c>
      <c r="BC595" s="632" t="str">
        <f t="shared" si="40"/>
        <v/>
      </c>
      <c r="BD595" s="633" t="str">
        <f>IF(AND(L595="",H595=""),"",
IF(H595="",Pole_Calc!A623,
IF(H595="MP",Pole_Calc!A624,
IF(H595="AnMP",Pole_Calc!A625,
IF(H595="A",Pole_Calc!A626,
IF(H595="S/A",Pole_Calc!A627,
IF(H595="A/S",Pole_Calc!A628,"Poner a mano")))))))</f>
        <v/>
      </c>
      <c r="BE595" s="448" t="s">
        <v>1726</v>
      </c>
      <c r="BF595" s="635"/>
      <c r="BG595" s="635"/>
      <c r="BH595" s="634"/>
      <c r="BI595" s="635"/>
    </row>
    <row r="596" spans="1:61" ht="16.2" customHeight="1">
      <c r="A596" s="12"/>
      <c r="B596" s="446"/>
      <c r="C596" s="89"/>
      <c r="D596" s="13"/>
      <c r="E596" s="14"/>
      <c r="F596" s="14"/>
      <c r="G596" s="15"/>
      <c r="H596" s="8"/>
      <c r="I596" s="8"/>
      <c r="J596" s="89"/>
      <c r="K596" s="8"/>
      <c r="L596" s="8"/>
      <c r="M596" s="8" t="str">
        <f>IF(L596="","",
IF(AX596="PT",VLOOKUP(L596,Foundation_Calc!$V$4:$X$37,VLOOKUP(AX596,Foundation_Calc!$I$10:$J$13,2,FALSE),0),
IF(AX596="K",VLOOKUP(L596,Foundation_Calc!$V$41:$X$74,VLOOKUP(AX596,Foundation_Calc!$I$10:$J$13,2,FALSE),0),"")))</f>
        <v/>
      </c>
      <c r="N596" s="8"/>
      <c r="O596" s="8"/>
      <c r="P596" s="8"/>
      <c r="Q596" s="14"/>
      <c r="R596" s="15"/>
      <c r="S596" s="15"/>
      <c r="T596" s="14"/>
      <c r="U596" s="14"/>
      <c r="V596" s="14"/>
      <c r="W596" s="18"/>
      <c r="X596" s="18"/>
      <c r="Y596" s="18"/>
      <c r="Z596" s="18"/>
      <c r="AA596" s="18"/>
      <c r="AB596" s="18"/>
      <c r="AC596" s="8" t="str">
        <f t="shared" si="37"/>
        <v/>
      </c>
      <c r="AD596" s="8"/>
      <c r="AE596" s="8"/>
      <c r="AF596" s="14"/>
      <c r="AG596" s="13"/>
      <c r="AH596" s="14"/>
      <c r="AI596" s="14"/>
      <c r="AJ596" s="8"/>
      <c r="AK596" s="8"/>
      <c r="AL596" s="8"/>
      <c r="AM596" s="8"/>
      <c r="AN596" s="631"/>
      <c r="AO596" s="18"/>
      <c r="AP596" s="18"/>
      <c r="AQ596" s="18"/>
      <c r="AR596" s="18"/>
      <c r="AS596" s="18"/>
      <c r="AU596" s="448"/>
      <c r="AV596" s="448"/>
      <c r="AW596" s="8" t="str">
        <f>IF(C596&gt;0,VLOOKUP(C596,Foundation_Calc!$A$2:$C$986,3,1),
IF(J596&gt;0,VLOOKUP(J596,Foundation_Calc!$A$2:$C$986,3,1),""))</f>
        <v/>
      </c>
      <c r="AX596" s="8" t="str">
        <f>IF(C596&gt;0,VLOOKUP(C596,Foundation_Calc!$E$2:$G$986,3,1),
IF(J596&gt;0,VLOOKUP(J596,Foundation_Calc!$E$2:$G$986,3,1),""))</f>
        <v/>
      </c>
      <c r="AY596" s="631" t="str">
        <f>IF(L596="","",
IF(AX596="PT",VLOOKUP(L596,Foundation_Calc!$K$4:$R$37,VLOOKUP(AW596,Foundation_Calc!$I$2:$J$8,2,FALSE),0),
IF(AX596="K",VLOOKUP(L596,Foundation_Calc!$K$41:$R$74,VLOOKUP(AW596,Foundation_Calc!$I$2:$J$8,2,FALSE),0),"")))</f>
        <v/>
      </c>
      <c r="AZ596" s="631" t="str">
        <f>IF(K596="","",
IF(AX596="PT",VLOOKUP(K596,Foundation_Calc!$K$4:$R$37,VLOOKUP(AW596,Foundation_Calc!$I$2:$J$8,2,FALSE),0),
IF(AX596="K",VLOOKUP(K596,Foundation_Calc!$K$41:$R$74,VLOOKUP(AW596,Foundation_Calc!$I$2:$J$8,2,FALSE),0),"")))</f>
        <v/>
      </c>
      <c r="BA596" s="632" t="str">
        <f t="shared" si="38"/>
        <v/>
      </c>
      <c r="BB596" s="632" t="str">
        <f t="shared" si="39"/>
        <v/>
      </c>
      <c r="BC596" s="632" t="str">
        <f t="shared" si="40"/>
        <v/>
      </c>
      <c r="BD596" s="633" t="str">
        <f>IF(AND(L596="",H596=""),"",
IF(H596="",Pole_Calc!A624,
IF(H596="MP",Pole_Calc!A625,
IF(H596="AnMP",Pole_Calc!A626,
IF(H596="A",Pole_Calc!A627,
IF(H596="S/A",Pole_Calc!A628,
IF(H596="A/S",Pole_Calc!A629,"Poner a mano")))))))</f>
        <v/>
      </c>
      <c r="BE596" s="448" t="s">
        <v>1726</v>
      </c>
      <c r="BF596" s="634"/>
      <c r="BG596" s="634"/>
      <c r="BH596" s="634"/>
      <c r="BI596" s="634"/>
    </row>
    <row r="597" spans="1:61" ht="16.2" customHeight="1">
      <c r="A597" s="12"/>
      <c r="B597" s="446"/>
      <c r="C597" s="89"/>
      <c r="D597" s="13"/>
      <c r="E597" s="14"/>
      <c r="F597" s="14"/>
      <c r="G597" s="15"/>
      <c r="H597" s="8"/>
      <c r="I597" s="8"/>
      <c r="J597" s="89"/>
      <c r="K597" s="8"/>
      <c r="L597" s="8"/>
      <c r="M597" s="8" t="str">
        <f>IF(L597="","",
IF(AX597="PT",VLOOKUP(L597,Foundation_Calc!$V$4:$X$37,VLOOKUP(AX597,Foundation_Calc!$I$10:$J$13,2,FALSE),0),
IF(AX597="K",VLOOKUP(L597,Foundation_Calc!$V$41:$X$74,VLOOKUP(AX597,Foundation_Calc!$I$10:$J$13,2,FALSE),0),"")))</f>
        <v/>
      </c>
      <c r="N597" s="8"/>
      <c r="O597" s="8"/>
      <c r="P597" s="8"/>
      <c r="Q597" s="14"/>
      <c r="R597" s="15"/>
      <c r="S597" s="15"/>
      <c r="T597" s="14"/>
      <c r="U597" s="14"/>
      <c r="V597" s="14"/>
      <c r="W597" s="18"/>
      <c r="X597" s="18"/>
      <c r="Y597" s="18"/>
      <c r="Z597" s="18"/>
      <c r="AA597" s="18"/>
      <c r="AB597" s="18"/>
      <c r="AC597" s="8" t="str">
        <f t="shared" si="37"/>
        <v/>
      </c>
      <c r="AD597" s="8"/>
      <c r="AE597" s="8"/>
      <c r="AF597" s="14"/>
      <c r="AG597" s="13"/>
      <c r="AH597" s="14"/>
      <c r="AI597" s="14"/>
      <c r="AJ597" s="8"/>
      <c r="AK597" s="8"/>
      <c r="AL597" s="8"/>
      <c r="AM597" s="8"/>
      <c r="AN597" s="631"/>
      <c r="AO597" s="18"/>
      <c r="AP597" s="18"/>
      <c r="AQ597" s="18"/>
      <c r="AR597" s="18"/>
      <c r="AS597" s="18"/>
      <c r="AU597" s="448"/>
      <c r="AV597" s="448"/>
      <c r="AW597" s="8" t="str">
        <f>IF(C597&gt;0,VLOOKUP(C597,Foundation_Calc!$A$2:$C$986,3,1),
IF(J597&gt;0,VLOOKUP(J597,Foundation_Calc!$A$2:$C$986,3,1),""))</f>
        <v/>
      </c>
      <c r="AX597" s="8" t="str">
        <f>IF(C597&gt;0,VLOOKUP(C597,Foundation_Calc!$E$2:$G$986,3,1),
IF(J597&gt;0,VLOOKUP(J597,Foundation_Calc!$E$2:$G$986,3,1),""))</f>
        <v/>
      </c>
      <c r="AY597" s="631" t="str">
        <f>IF(L597="","",
IF(AX597="PT",VLOOKUP(L597,Foundation_Calc!$K$4:$R$37,VLOOKUP(AW597,Foundation_Calc!$I$2:$J$8,2,FALSE),0),
IF(AX597="K",VLOOKUP(L597,Foundation_Calc!$K$41:$R$74,VLOOKUP(AW597,Foundation_Calc!$I$2:$J$8,2,FALSE),0),"")))</f>
        <v/>
      </c>
      <c r="AZ597" s="631" t="str">
        <f>IF(K597="","",
IF(AX597="PT",VLOOKUP(K597,Foundation_Calc!$K$4:$R$37,VLOOKUP(AW597,Foundation_Calc!$I$2:$J$8,2,FALSE),0),
IF(AX597="K",VLOOKUP(K597,Foundation_Calc!$K$41:$R$74,VLOOKUP(AW597,Foundation_Calc!$I$2:$J$8,2,FALSE),0),"")))</f>
        <v/>
      </c>
      <c r="BA597" s="632" t="str">
        <f t="shared" si="38"/>
        <v/>
      </c>
      <c r="BB597" s="632" t="str">
        <f t="shared" si="39"/>
        <v/>
      </c>
      <c r="BC597" s="632" t="str">
        <f t="shared" si="40"/>
        <v/>
      </c>
      <c r="BD597" s="633" t="str">
        <f>IF(AND(L597="",H597=""),"",
IF(H597="",Pole_Calc!A625,
IF(H597="MP",Pole_Calc!A626,
IF(H597="AnMP",Pole_Calc!A627,
IF(H597="A",Pole_Calc!A628,
IF(H597="S/A",Pole_Calc!A629,
IF(H597="A/S",Pole_Calc!A630,"Poner a mano")))))))</f>
        <v/>
      </c>
      <c r="BE597" s="448" t="s">
        <v>1726</v>
      </c>
      <c r="BF597" s="635"/>
      <c r="BG597" s="635"/>
      <c r="BH597" s="634"/>
      <c r="BI597" s="635"/>
    </row>
    <row r="598" spans="1:61" ht="16.2" customHeight="1">
      <c r="A598" s="12"/>
      <c r="B598" s="446"/>
      <c r="C598" s="89"/>
      <c r="D598" s="13"/>
      <c r="E598" s="14"/>
      <c r="F598" s="14"/>
      <c r="G598" s="15"/>
      <c r="H598" s="8"/>
      <c r="I598" s="8"/>
      <c r="J598" s="89"/>
      <c r="K598" s="8"/>
      <c r="L598" s="8"/>
      <c r="M598" s="8" t="str">
        <f>IF(L598="","",
IF(AX598="PT",VLOOKUP(L598,Foundation_Calc!$V$4:$X$37,VLOOKUP(AX598,Foundation_Calc!$I$10:$J$13,2,FALSE),0),
IF(AX598="K",VLOOKUP(L598,Foundation_Calc!$V$41:$X$74,VLOOKUP(AX598,Foundation_Calc!$I$10:$J$13,2,FALSE),0),"")))</f>
        <v/>
      </c>
      <c r="N598" s="8"/>
      <c r="O598" s="8"/>
      <c r="P598" s="8"/>
      <c r="Q598" s="14"/>
      <c r="R598" s="15"/>
      <c r="S598" s="15"/>
      <c r="T598" s="14"/>
      <c r="U598" s="14"/>
      <c r="V598" s="14"/>
      <c r="W598" s="18"/>
      <c r="X598" s="18"/>
      <c r="Y598" s="18"/>
      <c r="Z598" s="18"/>
      <c r="AA598" s="18"/>
      <c r="AB598" s="18"/>
      <c r="AC598" s="8" t="str">
        <f t="shared" si="37"/>
        <v/>
      </c>
      <c r="AD598" s="8"/>
      <c r="AE598" s="8"/>
      <c r="AF598" s="14"/>
      <c r="AG598" s="13"/>
      <c r="AH598" s="14"/>
      <c r="AI598" s="14"/>
      <c r="AJ598" s="8"/>
      <c r="AK598" s="8"/>
      <c r="AL598" s="8"/>
      <c r="AM598" s="8"/>
      <c r="AN598" s="631"/>
      <c r="AO598" s="18"/>
      <c r="AP598" s="18"/>
      <c r="AQ598" s="18"/>
      <c r="AR598" s="18"/>
      <c r="AS598" s="18"/>
      <c r="AU598" s="448"/>
      <c r="AV598" s="448"/>
      <c r="AW598" s="8" t="str">
        <f>IF(C598&gt;0,VLOOKUP(C598,Foundation_Calc!$A$2:$C$986,3,1),
IF(J598&gt;0,VLOOKUP(J598,Foundation_Calc!$A$2:$C$986,3,1),""))</f>
        <v/>
      </c>
      <c r="AX598" s="8" t="str">
        <f>IF(C598&gt;0,VLOOKUP(C598,Foundation_Calc!$E$2:$G$986,3,1),
IF(J598&gt;0,VLOOKUP(J598,Foundation_Calc!$E$2:$G$986,3,1),""))</f>
        <v/>
      </c>
      <c r="AY598" s="631" t="str">
        <f>IF(L598="","",
IF(AX598="PT",VLOOKUP(L598,Foundation_Calc!$K$4:$R$37,VLOOKUP(AW598,Foundation_Calc!$I$2:$J$8,2,FALSE),0),
IF(AX598="K",VLOOKUP(L598,Foundation_Calc!$K$41:$R$74,VLOOKUP(AW598,Foundation_Calc!$I$2:$J$8,2,FALSE),0),"")))</f>
        <v/>
      </c>
      <c r="AZ598" s="631" t="str">
        <f>IF(K598="","",
IF(AX598="PT",VLOOKUP(K598,Foundation_Calc!$K$4:$R$37,VLOOKUP(AW598,Foundation_Calc!$I$2:$J$8,2,FALSE),0),
IF(AX598="K",VLOOKUP(K598,Foundation_Calc!$K$41:$R$74,VLOOKUP(AW598,Foundation_Calc!$I$2:$J$8,2,FALSE),0),"")))</f>
        <v/>
      </c>
      <c r="BA598" s="632" t="str">
        <f t="shared" si="38"/>
        <v/>
      </c>
      <c r="BB598" s="632" t="str">
        <f t="shared" si="39"/>
        <v/>
      </c>
      <c r="BC598" s="632" t="str">
        <f t="shared" si="40"/>
        <v/>
      </c>
      <c r="BD598" s="633" t="str">
        <f>IF(AND(L598="",H598=""),"",
IF(H598="",Pole_Calc!A626,
IF(H598="MP",Pole_Calc!A627,
IF(H598="AnMP",Pole_Calc!A628,
IF(H598="A",Pole_Calc!A629,
IF(H598="S/A",Pole_Calc!A630,
IF(H598="A/S",Pole_Calc!A631,"Poner a mano")))))))</f>
        <v/>
      </c>
      <c r="BE598" s="448" t="s">
        <v>1726</v>
      </c>
      <c r="BF598" s="634"/>
      <c r="BG598" s="634"/>
      <c r="BH598" s="634"/>
      <c r="BI598" s="634"/>
    </row>
    <row r="599" spans="1:61" ht="16.2" customHeight="1">
      <c r="A599" s="12"/>
      <c r="B599" s="446"/>
      <c r="C599" s="89"/>
      <c r="D599" s="13"/>
      <c r="E599" s="14"/>
      <c r="F599" s="14"/>
      <c r="G599" s="15"/>
      <c r="H599" s="8"/>
      <c r="I599" s="8"/>
      <c r="J599" s="89"/>
      <c r="K599" s="8"/>
      <c r="L599" s="8"/>
      <c r="M599" s="8" t="str">
        <f>IF(L599="","",
IF(AX599="PT",VLOOKUP(L599,Foundation_Calc!$V$4:$X$37,VLOOKUP(AX599,Foundation_Calc!$I$10:$J$13,2,FALSE),0),
IF(AX599="K",VLOOKUP(L599,Foundation_Calc!$V$41:$X$74,VLOOKUP(AX599,Foundation_Calc!$I$10:$J$13,2,FALSE),0),"")))</f>
        <v/>
      </c>
      <c r="N599" s="8"/>
      <c r="O599" s="8"/>
      <c r="P599" s="8"/>
      <c r="Q599" s="14"/>
      <c r="R599" s="15"/>
      <c r="S599" s="15"/>
      <c r="T599" s="14"/>
      <c r="U599" s="14"/>
      <c r="V599" s="14"/>
      <c r="W599" s="18"/>
      <c r="X599" s="18"/>
      <c r="Y599" s="18"/>
      <c r="Z599" s="18"/>
      <c r="AA599" s="18"/>
      <c r="AB599" s="18"/>
      <c r="AC599" s="8" t="str">
        <f t="shared" si="37"/>
        <v/>
      </c>
      <c r="AD599" s="8"/>
      <c r="AE599" s="8"/>
      <c r="AF599" s="14"/>
      <c r="AG599" s="13"/>
      <c r="AH599" s="14"/>
      <c r="AI599" s="14"/>
      <c r="AJ599" s="8"/>
      <c r="AK599" s="8"/>
      <c r="AL599" s="8"/>
      <c r="AM599" s="8"/>
      <c r="AN599" s="631"/>
      <c r="AO599" s="18"/>
      <c r="AP599" s="18"/>
      <c r="AQ599" s="18"/>
      <c r="AR599" s="18"/>
      <c r="AS599" s="18"/>
      <c r="AU599" s="448"/>
      <c r="AV599" s="448"/>
      <c r="AW599" s="8" t="str">
        <f>IF(C599&gt;0,VLOOKUP(C599,Foundation_Calc!$A$2:$C$986,3,1),
IF(J599&gt;0,VLOOKUP(J599,Foundation_Calc!$A$2:$C$986,3,1),""))</f>
        <v/>
      </c>
      <c r="AX599" s="8" t="str">
        <f>IF(C599&gt;0,VLOOKUP(C599,Foundation_Calc!$E$2:$G$986,3,1),
IF(J599&gt;0,VLOOKUP(J599,Foundation_Calc!$E$2:$G$986,3,1),""))</f>
        <v/>
      </c>
      <c r="AY599" s="631" t="str">
        <f>IF(L599="","",
IF(AX599="PT",VLOOKUP(L599,Foundation_Calc!$K$4:$R$37,VLOOKUP(AW599,Foundation_Calc!$I$2:$J$8,2,FALSE),0),
IF(AX599="K",VLOOKUP(L599,Foundation_Calc!$K$41:$R$74,VLOOKUP(AW599,Foundation_Calc!$I$2:$J$8,2,FALSE),0),"")))</f>
        <v/>
      </c>
      <c r="AZ599" s="631" t="str">
        <f>IF(K599="","",
IF(AX599="PT",VLOOKUP(K599,Foundation_Calc!$K$4:$R$37,VLOOKUP(AW599,Foundation_Calc!$I$2:$J$8,2,FALSE),0),
IF(AX599="K",VLOOKUP(K599,Foundation_Calc!$K$41:$R$74,VLOOKUP(AW599,Foundation_Calc!$I$2:$J$8,2,FALSE),0),"")))</f>
        <v/>
      </c>
      <c r="BA599" s="632" t="str">
        <f t="shared" si="38"/>
        <v/>
      </c>
      <c r="BB599" s="632" t="str">
        <f t="shared" si="39"/>
        <v/>
      </c>
      <c r="BC599" s="632" t="str">
        <f t="shared" si="40"/>
        <v/>
      </c>
      <c r="BD599" s="633" t="str">
        <f>IF(AND(L599="",H599=""),"",
IF(H599="",Pole_Calc!A627,
IF(H599="MP",Pole_Calc!A628,
IF(H599="AnMP",Pole_Calc!A629,
IF(H599="A",Pole_Calc!A630,
IF(H599="S/A",Pole_Calc!A631,
IF(H599="A/S",Pole_Calc!A632,"Poner a mano")))))))</f>
        <v/>
      </c>
      <c r="BE599" s="448" t="s">
        <v>1726</v>
      </c>
      <c r="BF599" s="635"/>
      <c r="BG599" s="635"/>
      <c r="BH599" s="634"/>
      <c r="BI599" s="635"/>
    </row>
    <row r="600" spans="1:61" ht="16.2" customHeight="1">
      <c r="A600" s="12"/>
      <c r="B600" s="446"/>
      <c r="C600" s="89"/>
      <c r="D600" s="13"/>
      <c r="E600" s="14"/>
      <c r="F600" s="14"/>
      <c r="G600" s="15"/>
      <c r="H600" s="8"/>
      <c r="I600" s="8"/>
      <c r="J600" s="89"/>
      <c r="K600" s="8"/>
      <c r="L600" s="8"/>
      <c r="M600" s="8" t="str">
        <f>IF(L600="","",
IF(AX600="PT",VLOOKUP(L600,Foundation_Calc!$V$4:$X$37,VLOOKUP(AX600,Foundation_Calc!$I$10:$J$13,2,FALSE),0),
IF(AX600="K",VLOOKUP(L600,Foundation_Calc!$V$41:$X$74,VLOOKUP(AX600,Foundation_Calc!$I$10:$J$13,2,FALSE),0),"")))</f>
        <v/>
      </c>
      <c r="N600" s="8"/>
      <c r="O600" s="8"/>
      <c r="P600" s="8"/>
      <c r="Q600" s="14"/>
      <c r="R600" s="15"/>
      <c r="S600" s="15"/>
      <c r="T600" s="14"/>
      <c r="U600" s="14"/>
      <c r="V600" s="14"/>
      <c r="W600" s="18"/>
      <c r="X600" s="18"/>
      <c r="Y600" s="18"/>
      <c r="Z600" s="18"/>
      <c r="AA600" s="18"/>
      <c r="AB600" s="18"/>
      <c r="AC600" s="8" t="str">
        <f t="shared" si="37"/>
        <v/>
      </c>
      <c r="AD600" s="8"/>
      <c r="AE600" s="8"/>
      <c r="AF600" s="14"/>
      <c r="AG600" s="13"/>
      <c r="AH600" s="14"/>
      <c r="AI600" s="14"/>
      <c r="AJ600" s="8"/>
      <c r="AK600" s="8"/>
      <c r="AL600" s="8"/>
      <c r="AM600" s="8"/>
      <c r="AN600" s="631"/>
      <c r="AO600" s="18"/>
      <c r="AP600" s="18"/>
      <c r="AQ600" s="18"/>
      <c r="AR600" s="18"/>
      <c r="AS600" s="18"/>
      <c r="AU600" s="448"/>
      <c r="AV600" s="448"/>
      <c r="AW600" s="8" t="str">
        <f>IF(C600&gt;0,VLOOKUP(C600,Foundation_Calc!$A$2:$C$986,3,1),
IF(J600&gt;0,VLOOKUP(J600,Foundation_Calc!$A$2:$C$986,3,1),""))</f>
        <v/>
      </c>
      <c r="AX600" s="8" t="str">
        <f>IF(C600&gt;0,VLOOKUP(C600,Foundation_Calc!$E$2:$G$986,3,1),
IF(J600&gt;0,VLOOKUP(J600,Foundation_Calc!$E$2:$G$986,3,1),""))</f>
        <v/>
      </c>
      <c r="AY600" s="631" t="str">
        <f>IF(L600="","",
IF(AX600="PT",VLOOKUP(L600,Foundation_Calc!$K$4:$R$37,VLOOKUP(AW600,Foundation_Calc!$I$2:$J$8,2,FALSE),0),
IF(AX600="K",VLOOKUP(L600,Foundation_Calc!$K$41:$R$74,VLOOKUP(AW600,Foundation_Calc!$I$2:$J$8,2,FALSE),0),"")))</f>
        <v/>
      </c>
      <c r="AZ600" s="631" t="str">
        <f>IF(K600="","",
IF(AX600="PT",VLOOKUP(K600,Foundation_Calc!$K$4:$R$37,VLOOKUP(AW600,Foundation_Calc!$I$2:$J$8,2,FALSE),0),
IF(AX600="K",VLOOKUP(K600,Foundation_Calc!$K$41:$R$74,VLOOKUP(AW600,Foundation_Calc!$I$2:$J$8,2,FALSE),0),"")))</f>
        <v/>
      </c>
      <c r="BA600" s="632" t="str">
        <f t="shared" si="38"/>
        <v/>
      </c>
      <c r="BB600" s="632" t="str">
        <f t="shared" si="39"/>
        <v/>
      </c>
      <c r="BC600" s="632" t="str">
        <f t="shared" si="40"/>
        <v/>
      </c>
      <c r="BD600" s="633" t="str">
        <f>IF(AND(L600="",H600=""),"",
IF(H600="",Pole_Calc!A628,
IF(H600="MP",Pole_Calc!A629,
IF(H600="AnMP",Pole_Calc!A630,
IF(H600="A",Pole_Calc!A631,
IF(H600="S/A",Pole_Calc!A632,
IF(H600="A/S",Pole_Calc!A633,"Poner a mano")))))))</f>
        <v/>
      </c>
      <c r="BE600" s="448" t="s">
        <v>1726</v>
      </c>
      <c r="BF600" s="634"/>
      <c r="BG600" s="634"/>
      <c r="BH600" s="634"/>
      <c r="BI600" s="634"/>
    </row>
    <row r="601" spans="1:61" ht="16.2" customHeight="1">
      <c r="A601" s="12"/>
      <c r="B601" s="446"/>
      <c r="C601" s="89"/>
      <c r="D601" s="13"/>
      <c r="E601" s="14"/>
      <c r="F601" s="14"/>
      <c r="G601" s="15"/>
      <c r="H601" s="8"/>
      <c r="I601" s="8"/>
      <c r="J601" s="89"/>
      <c r="K601" s="8"/>
      <c r="L601" s="8"/>
      <c r="M601" s="8" t="str">
        <f>IF(L601="","",
IF(AX601="PT",VLOOKUP(L601,Foundation_Calc!$V$4:$X$37,VLOOKUP(AX601,Foundation_Calc!$I$10:$J$13,2,FALSE),0),
IF(AX601="K",VLOOKUP(L601,Foundation_Calc!$V$41:$X$74,VLOOKUP(AX601,Foundation_Calc!$I$10:$J$13,2,FALSE),0),"")))</f>
        <v/>
      </c>
      <c r="N601" s="8"/>
      <c r="O601" s="8"/>
      <c r="P601" s="8"/>
      <c r="Q601" s="14"/>
      <c r="R601" s="15"/>
      <c r="S601" s="15"/>
      <c r="T601" s="14"/>
      <c r="U601" s="14"/>
      <c r="V601" s="14"/>
      <c r="W601" s="18"/>
      <c r="X601" s="18"/>
      <c r="Y601" s="18"/>
      <c r="Z601" s="18"/>
      <c r="AA601" s="18"/>
      <c r="AB601" s="18"/>
      <c r="AC601" s="8" t="str">
        <f t="shared" si="37"/>
        <v/>
      </c>
      <c r="AD601" s="8"/>
      <c r="AE601" s="8"/>
      <c r="AF601" s="14"/>
      <c r="AG601" s="13"/>
      <c r="AH601" s="14"/>
      <c r="AI601" s="14"/>
      <c r="AJ601" s="8"/>
      <c r="AK601" s="8"/>
      <c r="AL601" s="8"/>
      <c r="AM601" s="8"/>
      <c r="AN601" s="631"/>
      <c r="AO601" s="18"/>
      <c r="AP601" s="18"/>
      <c r="AQ601" s="18"/>
      <c r="AR601" s="18"/>
      <c r="AS601" s="18"/>
      <c r="AU601" s="448"/>
      <c r="AV601" s="448"/>
      <c r="AW601" s="8" t="str">
        <f>IF(C601&gt;0,VLOOKUP(C601,Foundation_Calc!$A$2:$C$986,3,1),
IF(J601&gt;0,VLOOKUP(J601,Foundation_Calc!$A$2:$C$986,3,1),""))</f>
        <v/>
      </c>
      <c r="AX601" s="8" t="str">
        <f>IF(C601&gt;0,VLOOKUP(C601,Foundation_Calc!$E$2:$G$986,3,1),
IF(J601&gt;0,VLOOKUP(J601,Foundation_Calc!$E$2:$G$986,3,1),""))</f>
        <v/>
      </c>
      <c r="AY601" s="631" t="str">
        <f>IF(L601="","",
IF(AX601="PT",VLOOKUP(L601,Foundation_Calc!$K$4:$R$37,VLOOKUP(AW601,Foundation_Calc!$I$2:$J$8,2,FALSE),0),
IF(AX601="K",VLOOKUP(L601,Foundation_Calc!$K$41:$R$74,VLOOKUP(AW601,Foundation_Calc!$I$2:$J$8,2,FALSE),0),"")))</f>
        <v/>
      </c>
      <c r="AZ601" s="631" t="str">
        <f>IF(K601="","",
IF(AX601="PT",VLOOKUP(K601,Foundation_Calc!$K$4:$R$37,VLOOKUP(AW601,Foundation_Calc!$I$2:$J$8,2,FALSE),0),
IF(AX601="K",VLOOKUP(K601,Foundation_Calc!$K$41:$R$74,VLOOKUP(AW601,Foundation_Calc!$I$2:$J$8,2,FALSE),0),"")))</f>
        <v/>
      </c>
      <c r="BA601" s="632" t="str">
        <f t="shared" si="38"/>
        <v/>
      </c>
      <c r="BB601" s="632" t="str">
        <f t="shared" si="39"/>
        <v/>
      </c>
      <c r="BC601" s="632" t="str">
        <f t="shared" si="40"/>
        <v/>
      </c>
      <c r="BD601" s="633" t="str">
        <f>IF(AND(L601="",H601=""),"",
IF(H601="",Pole_Calc!A629,
IF(H601="MP",Pole_Calc!A630,
IF(H601="AnMP",Pole_Calc!A631,
IF(H601="A",Pole_Calc!A632,
IF(H601="S/A",Pole_Calc!A633,
IF(H601="A/S",Pole_Calc!A634,"Poner a mano")))))))</f>
        <v/>
      </c>
      <c r="BE601" s="448" t="s">
        <v>1726</v>
      </c>
      <c r="BF601" s="635"/>
      <c r="BG601" s="635"/>
      <c r="BH601" s="634"/>
      <c r="BI601" s="635"/>
    </row>
    <row r="602" spans="1:61" ht="16.2" customHeight="1">
      <c r="A602" s="12"/>
      <c r="B602" s="446"/>
      <c r="C602" s="89"/>
      <c r="D602" s="13"/>
      <c r="E602" s="14"/>
      <c r="F602" s="14"/>
      <c r="G602" s="15"/>
      <c r="H602" s="8"/>
      <c r="I602" s="8"/>
      <c r="J602" s="89"/>
      <c r="K602" s="8"/>
      <c r="L602" s="8"/>
      <c r="M602" s="8" t="str">
        <f>IF(L602="","",
IF(AX602="PT",VLOOKUP(L602,Foundation_Calc!$V$4:$X$37,VLOOKUP(AX602,Foundation_Calc!$I$10:$J$13,2,FALSE),0),
IF(AX602="K",VLOOKUP(L602,Foundation_Calc!$V$41:$X$74,VLOOKUP(AX602,Foundation_Calc!$I$10:$J$13,2,FALSE),0),"")))</f>
        <v/>
      </c>
      <c r="N602" s="8"/>
      <c r="O602" s="8"/>
      <c r="P602" s="8"/>
      <c r="Q602" s="14"/>
      <c r="R602" s="15"/>
      <c r="S602" s="15"/>
      <c r="T602" s="14"/>
      <c r="U602" s="14"/>
      <c r="V602" s="14"/>
      <c r="W602" s="18"/>
      <c r="X602" s="18"/>
      <c r="Y602" s="18"/>
      <c r="Z602" s="18"/>
      <c r="AA602" s="18"/>
      <c r="AB602" s="18"/>
      <c r="AC602" s="8" t="str">
        <f t="shared" si="37"/>
        <v/>
      </c>
      <c r="AD602" s="8"/>
      <c r="AE602" s="8"/>
      <c r="AF602" s="14"/>
      <c r="AG602" s="13"/>
      <c r="AH602" s="14"/>
      <c r="AI602" s="14"/>
      <c r="AJ602" s="8"/>
      <c r="AK602" s="8"/>
      <c r="AL602" s="8"/>
      <c r="AM602" s="8"/>
      <c r="AN602" s="631"/>
      <c r="AO602" s="18"/>
      <c r="AP602" s="18"/>
      <c r="AQ602" s="18"/>
      <c r="AR602" s="18"/>
      <c r="AS602" s="18"/>
      <c r="AU602" s="448"/>
      <c r="AV602" s="448"/>
      <c r="AW602" s="8" t="str">
        <f>IF(C602&gt;0,VLOOKUP(C602,Foundation_Calc!$A$2:$C$986,3,1),
IF(J602&gt;0,VLOOKUP(J602,Foundation_Calc!$A$2:$C$986,3,1),""))</f>
        <v/>
      </c>
      <c r="AX602" s="8" t="str">
        <f>IF(C602&gt;0,VLOOKUP(C602,Foundation_Calc!$E$2:$G$986,3,1),
IF(J602&gt;0,VLOOKUP(J602,Foundation_Calc!$E$2:$G$986,3,1),""))</f>
        <v/>
      </c>
      <c r="AY602" s="631" t="str">
        <f>IF(L602="","",
IF(AX602="PT",VLOOKUP(L602,Foundation_Calc!$K$4:$R$37,VLOOKUP(AW602,Foundation_Calc!$I$2:$J$8,2,FALSE),0),
IF(AX602="K",VLOOKUP(L602,Foundation_Calc!$K$41:$R$74,VLOOKUP(AW602,Foundation_Calc!$I$2:$J$8,2,FALSE),0),"")))</f>
        <v/>
      </c>
      <c r="AZ602" s="631" t="str">
        <f>IF(K602="","",
IF(AX602="PT",VLOOKUP(K602,Foundation_Calc!$K$4:$R$37,VLOOKUP(AW602,Foundation_Calc!$I$2:$J$8,2,FALSE),0),
IF(AX602="K",VLOOKUP(K602,Foundation_Calc!$K$41:$R$74,VLOOKUP(AW602,Foundation_Calc!$I$2:$J$8,2,FALSE),0),"")))</f>
        <v/>
      </c>
      <c r="BA602" s="632" t="str">
        <f t="shared" si="38"/>
        <v/>
      </c>
      <c r="BB602" s="632" t="str">
        <f t="shared" si="39"/>
        <v/>
      </c>
      <c r="BC602" s="632" t="str">
        <f t="shared" si="40"/>
        <v/>
      </c>
      <c r="BD602" s="633" t="str">
        <f>IF(AND(L602="",H602=""),"",
IF(H602="",Pole_Calc!A630,
IF(H602="MP",Pole_Calc!A631,
IF(H602="AnMP",Pole_Calc!A632,
IF(H602="A",Pole_Calc!A633,
IF(H602="S/A",Pole_Calc!A634,
IF(H602="A/S",Pole_Calc!A635,"Poner a mano")))))))</f>
        <v/>
      </c>
      <c r="BE602" s="448" t="s">
        <v>1726</v>
      </c>
      <c r="BF602" s="634"/>
      <c r="BG602" s="634"/>
      <c r="BH602" s="634"/>
      <c r="BI602" s="634"/>
    </row>
    <row r="603" spans="1:61" ht="16.2" customHeight="1">
      <c r="A603" s="12"/>
      <c r="B603" s="446"/>
      <c r="C603" s="89"/>
      <c r="D603" s="13"/>
      <c r="E603" s="14"/>
      <c r="F603" s="14"/>
      <c r="G603" s="15"/>
      <c r="H603" s="8"/>
      <c r="I603" s="8"/>
      <c r="J603" s="89"/>
      <c r="K603" s="8"/>
      <c r="L603" s="8"/>
      <c r="M603" s="8" t="str">
        <f>IF(L603="","",
IF(AX603="PT",VLOOKUP(L603,Foundation_Calc!$V$4:$X$37,VLOOKUP(AX603,Foundation_Calc!$I$10:$J$13,2,FALSE),0),
IF(AX603="K",VLOOKUP(L603,Foundation_Calc!$V$41:$X$74,VLOOKUP(AX603,Foundation_Calc!$I$10:$J$13,2,FALSE),0),"")))</f>
        <v/>
      </c>
      <c r="N603" s="8"/>
      <c r="O603" s="8"/>
      <c r="P603" s="8"/>
      <c r="Q603" s="14"/>
      <c r="R603" s="15"/>
      <c r="S603" s="15"/>
      <c r="T603" s="14"/>
      <c r="U603" s="14"/>
      <c r="V603" s="14"/>
      <c r="W603" s="18"/>
      <c r="X603" s="18"/>
      <c r="Y603" s="18"/>
      <c r="Z603" s="18"/>
      <c r="AA603" s="18"/>
      <c r="AB603" s="18"/>
      <c r="AC603" s="8" t="str">
        <f t="shared" si="37"/>
        <v/>
      </c>
      <c r="AD603" s="8"/>
      <c r="AE603" s="8"/>
      <c r="AF603" s="14"/>
      <c r="AG603" s="13"/>
      <c r="AH603" s="14"/>
      <c r="AI603" s="14"/>
      <c r="AJ603" s="8"/>
      <c r="AK603" s="8"/>
      <c r="AL603" s="8"/>
      <c r="AM603" s="8"/>
      <c r="AN603" s="631"/>
      <c r="AO603" s="18"/>
      <c r="AP603" s="18"/>
      <c r="AQ603" s="18"/>
      <c r="AR603" s="18"/>
      <c r="AS603" s="18"/>
      <c r="AU603" s="448"/>
      <c r="AV603" s="448"/>
      <c r="AW603" s="8" t="str">
        <f>IF(C603&gt;0,VLOOKUP(C603,Foundation_Calc!$A$2:$C$986,3,1),
IF(J603&gt;0,VLOOKUP(J603,Foundation_Calc!$A$2:$C$986,3,1),""))</f>
        <v/>
      </c>
      <c r="AX603" s="8" t="str">
        <f>IF(C603&gt;0,VLOOKUP(C603,Foundation_Calc!$E$2:$G$986,3,1),
IF(J603&gt;0,VLOOKUP(J603,Foundation_Calc!$E$2:$G$986,3,1),""))</f>
        <v/>
      </c>
      <c r="AY603" s="631" t="str">
        <f>IF(L603="","",
IF(AX603="PT",VLOOKUP(L603,Foundation_Calc!$K$4:$R$37,VLOOKUP(AW603,Foundation_Calc!$I$2:$J$8,2,FALSE),0),
IF(AX603="K",VLOOKUP(L603,Foundation_Calc!$K$41:$R$74,VLOOKUP(AW603,Foundation_Calc!$I$2:$J$8,2,FALSE),0),"")))</f>
        <v/>
      </c>
      <c r="AZ603" s="631" t="str">
        <f>IF(K603="","",
IF(AX603="PT",VLOOKUP(K603,Foundation_Calc!$K$4:$R$37,VLOOKUP(AW603,Foundation_Calc!$I$2:$J$8,2,FALSE),0),
IF(AX603="K",VLOOKUP(K603,Foundation_Calc!$K$41:$R$74,VLOOKUP(AW603,Foundation_Calc!$I$2:$J$8,2,FALSE),0),"")))</f>
        <v/>
      </c>
      <c r="BA603" s="632" t="str">
        <f t="shared" si="38"/>
        <v/>
      </c>
      <c r="BB603" s="632" t="str">
        <f t="shared" si="39"/>
        <v/>
      </c>
      <c r="BC603" s="632" t="str">
        <f t="shared" si="40"/>
        <v/>
      </c>
      <c r="BD603" s="633" t="str">
        <f>IF(AND(L603="",H603=""),"",
IF(H603="",Pole_Calc!A631,
IF(H603="MP",Pole_Calc!A632,
IF(H603="AnMP",Pole_Calc!A633,
IF(H603="A",Pole_Calc!A634,
IF(H603="S/A",Pole_Calc!A635,
IF(H603="A/S",Pole_Calc!A636,"Poner a mano")))))))</f>
        <v/>
      </c>
      <c r="BE603" s="448" t="s">
        <v>1726</v>
      </c>
      <c r="BF603" s="635"/>
      <c r="BG603" s="635"/>
      <c r="BH603" s="634"/>
      <c r="BI603" s="635"/>
    </row>
    <row r="604" spans="1:61" ht="16.2" customHeight="1">
      <c r="A604" s="12"/>
      <c r="B604" s="446"/>
      <c r="C604" s="89"/>
      <c r="D604" s="13"/>
      <c r="E604" s="14"/>
      <c r="F604" s="14"/>
      <c r="G604" s="15"/>
      <c r="H604" s="8"/>
      <c r="I604" s="8"/>
      <c r="J604" s="89"/>
      <c r="K604" s="8"/>
      <c r="L604" s="8"/>
      <c r="M604" s="8" t="str">
        <f>IF(L604="","",
IF(AX604="PT",VLOOKUP(L604,Foundation_Calc!$V$4:$X$37,VLOOKUP(AX604,Foundation_Calc!$I$10:$J$13,2,FALSE),0),
IF(AX604="K",VLOOKUP(L604,Foundation_Calc!$V$41:$X$74,VLOOKUP(AX604,Foundation_Calc!$I$10:$J$13,2,FALSE),0),"")))</f>
        <v/>
      </c>
      <c r="N604" s="8"/>
      <c r="O604" s="8"/>
      <c r="P604" s="8"/>
      <c r="Q604" s="14"/>
      <c r="R604" s="15"/>
      <c r="S604" s="15"/>
      <c r="T604" s="14"/>
      <c r="U604" s="14"/>
      <c r="V604" s="14"/>
      <c r="W604" s="18"/>
      <c r="X604" s="18"/>
      <c r="Y604" s="18"/>
      <c r="Z604" s="18"/>
      <c r="AA604" s="18"/>
      <c r="AB604" s="18"/>
      <c r="AC604" s="8" t="str">
        <f t="shared" si="37"/>
        <v/>
      </c>
      <c r="AD604" s="8"/>
      <c r="AE604" s="8"/>
      <c r="AF604" s="14"/>
      <c r="AG604" s="13"/>
      <c r="AH604" s="14"/>
      <c r="AI604" s="14"/>
      <c r="AJ604" s="8"/>
      <c r="AK604" s="8"/>
      <c r="AL604" s="8"/>
      <c r="AM604" s="8"/>
      <c r="AN604" s="631"/>
      <c r="AO604" s="18"/>
      <c r="AP604" s="18"/>
      <c r="AQ604" s="18"/>
      <c r="AR604" s="18"/>
      <c r="AS604" s="18"/>
      <c r="AU604" s="448"/>
      <c r="AV604" s="448"/>
      <c r="AW604" s="8" t="str">
        <f>IF(C604&gt;0,VLOOKUP(C604,Foundation_Calc!$A$2:$C$986,3,1),
IF(J604&gt;0,VLOOKUP(J604,Foundation_Calc!$A$2:$C$986,3,1),""))</f>
        <v/>
      </c>
      <c r="AX604" s="8" t="str">
        <f>IF(C604&gt;0,VLOOKUP(C604,Foundation_Calc!$E$2:$G$986,3,1),
IF(J604&gt;0,VLOOKUP(J604,Foundation_Calc!$E$2:$G$986,3,1),""))</f>
        <v/>
      </c>
      <c r="AY604" s="631" t="str">
        <f>IF(L604="","",
IF(AX604="PT",VLOOKUP(L604,Foundation_Calc!$K$4:$R$37,VLOOKUP(AW604,Foundation_Calc!$I$2:$J$8,2,FALSE),0),
IF(AX604="K",VLOOKUP(L604,Foundation_Calc!$K$41:$R$74,VLOOKUP(AW604,Foundation_Calc!$I$2:$J$8,2,FALSE),0),"")))</f>
        <v/>
      </c>
      <c r="AZ604" s="631" t="str">
        <f>IF(K604="","",
IF(AX604="PT",VLOOKUP(K604,Foundation_Calc!$K$4:$R$37,VLOOKUP(AW604,Foundation_Calc!$I$2:$J$8,2,FALSE),0),
IF(AX604="K",VLOOKUP(K604,Foundation_Calc!$K$41:$R$74,VLOOKUP(AW604,Foundation_Calc!$I$2:$J$8,2,FALSE),0),"")))</f>
        <v/>
      </c>
      <c r="BA604" s="632" t="str">
        <f t="shared" si="38"/>
        <v/>
      </c>
      <c r="BB604" s="632" t="str">
        <f t="shared" si="39"/>
        <v/>
      </c>
      <c r="BC604" s="632" t="str">
        <f t="shared" si="40"/>
        <v/>
      </c>
      <c r="BD604" s="633" t="str">
        <f>IF(AND(L604="",H604=""),"",
IF(H604="",Pole_Calc!A632,
IF(H604="MP",Pole_Calc!A633,
IF(H604="AnMP",Pole_Calc!A634,
IF(H604="A",Pole_Calc!A635,
IF(H604="S/A",Pole_Calc!A636,
IF(H604="A/S",Pole_Calc!A637,"Poner a mano")))))))</f>
        <v/>
      </c>
      <c r="BE604" s="448" t="s">
        <v>1726</v>
      </c>
      <c r="BF604" s="634"/>
      <c r="BG604" s="634"/>
      <c r="BH604" s="634"/>
      <c r="BI604" s="634"/>
    </row>
    <row r="605" spans="1:61" ht="16.2" customHeight="1">
      <c r="A605" s="12"/>
      <c r="B605" s="446"/>
      <c r="C605" s="89"/>
      <c r="D605" s="13"/>
      <c r="E605" s="14"/>
      <c r="F605" s="14"/>
      <c r="G605" s="15"/>
      <c r="H605" s="8"/>
      <c r="I605" s="8"/>
      <c r="J605" s="89"/>
      <c r="K605" s="8"/>
      <c r="L605" s="8"/>
      <c r="M605" s="8" t="str">
        <f>IF(L605="","",
IF(AX605="PT",VLOOKUP(L605,Foundation_Calc!$V$4:$X$37,VLOOKUP(AX605,Foundation_Calc!$I$10:$J$13,2,FALSE),0),
IF(AX605="K",VLOOKUP(L605,Foundation_Calc!$V$41:$X$74,VLOOKUP(AX605,Foundation_Calc!$I$10:$J$13,2,FALSE),0),"")))</f>
        <v/>
      </c>
      <c r="N605" s="8"/>
      <c r="O605" s="8"/>
      <c r="P605" s="8"/>
      <c r="Q605" s="14"/>
      <c r="R605" s="15"/>
      <c r="S605" s="15"/>
      <c r="T605" s="14"/>
      <c r="U605" s="14"/>
      <c r="V605" s="14"/>
      <c r="W605" s="18"/>
      <c r="X605" s="18"/>
      <c r="Y605" s="18"/>
      <c r="Z605" s="18"/>
      <c r="AA605" s="18"/>
      <c r="AB605" s="18"/>
      <c r="AC605" s="8" t="str">
        <f t="shared" si="37"/>
        <v/>
      </c>
      <c r="AD605" s="8"/>
      <c r="AE605" s="8"/>
      <c r="AF605" s="14"/>
      <c r="AG605" s="13"/>
      <c r="AH605" s="14"/>
      <c r="AI605" s="14"/>
      <c r="AJ605" s="8"/>
      <c r="AK605" s="8"/>
      <c r="AL605" s="8"/>
      <c r="AM605" s="8"/>
      <c r="AN605" s="631"/>
      <c r="AO605" s="18"/>
      <c r="AP605" s="18"/>
      <c r="AQ605" s="18"/>
      <c r="AR605" s="18"/>
      <c r="AS605" s="18"/>
      <c r="AU605" s="448"/>
      <c r="AV605" s="448"/>
      <c r="AW605" s="8" t="str">
        <f>IF(C605&gt;0,VLOOKUP(C605,Foundation_Calc!$A$2:$C$986,3,1),
IF(J605&gt;0,VLOOKUP(J605,Foundation_Calc!$A$2:$C$986,3,1),""))</f>
        <v/>
      </c>
      <c r="AX605" s="8" t="str">
        <f>IF(C605&gt;0,VLOOKUP(C605,Foundation_Calc!$E$2:$G$986,3,1),
IF(J605&gt;0,VLOOKUP(J605,Foundation_Calc!$E$2:$G$986,3,1),""))</f>
        <v/>
      </c>
      <c r="AY605" s="631" t="str">
        <f>IF(L605="","",
IF(AX605="PT",VLOOKUP(L605,Foundation_Calc!$K$4:$R$37,VLOOKUP(AW605,Foundation_Calc!$I$2:$J$8,2,FALSE),0),
IF(AX605="K",VLOOKUP(L605,Foundation_Calc!$K$41:$R$74,VLOOKUP(AW605,Foundation_Calc!$I$2:$J$8,2,FALSE),0),"")))</f>
        <v/>
      </c>
      <c r="AZ605" s="631" t="str">
        <f>IF(K605="","",
IF(AX605="PT",VLOOKUP(K605,Foundation_Calc!$K$4:$R$37,VLOOKUP(AW605,Foundation_Calc!$I$2:$J$8,2,FALSE),0),
IF(AX605="K",VLOOKUP(K605,Foundation_Calc!$K$41:$R$74,VLOOKUP(AW605,Foundation_Calc!$I$2:$J$8,2,FALSE),0),"")))</f>
        <v/>
      </c>
      <c r="BA605" s="632" t="str">
        <f t="shared" si="38"/>
        <v/>
      </c>
      <c r="BB605" s="632" t="str">
        <f t="shared" si="39"/>
        <v/>
      </c>
      <c r="BC605" s="632" t="str">
        <f t="shared" si="40"/>
        <v/>
      </c>
      <c r="BD605" s="633" t="str">
        <f>IF(AND(L605="",H605=""),"",
IF(H605="",Pole_Calc!A633,
IF(H605="MP",Pole_Calc!A634,
IF(H605="AnMP",Pole_Calc!A635,
IF(H605="A",Pole_Calc!A636,
IF(H605="S/A",Pole_Calc!A637,
IF(H605="A/S",Pole_Calc!A638,"Poner a mano")))))))</f>
        <v/>
      </c>
      <c r="BE605" s="448" t="s">
        <v>1726</v>
      </c>
      <c r="BF605" s="635"/>
      <c r="BG605" s="635"/>
      <c r="BH605" s="634"/>
      <c r="BI605" s="635"/>
    </row>
    <row r="606" spans="1:61" ht="16.2" customHeight="1">
      <c r="A606" s="12"/>
      <c r="B606" s="446"/>
      <c r="C606" s="89"/>
      <c r="D606" s="13"/>
      <c r="E606" s="14"/>
      <c r="F606" s="14"/>
      <c r="G606" s="15"/>
      <c r="H606" s="8"/>
      <c r="I606" s="8"/>
      <c r="J606" s="89"/>
      <c r="K606" s="8"/>
      <c r="L606" s="8"/>
      <c r="M606" s="8" t="str">
        <f>IF(L606="","",
IF(AX606="PT",VLOOKUP(L606,Foundation_Calc!$V$4:$X$37,VLOOKUP(AX606,Foundation_Calc!$I$10:$J$13,2,FALSE),0),
IF(AX606="K",VLOOKUP(L606,Foundation_Calc!$V$41:$X$74,VLOOKUP(AX606,Foundation_Calc!$I$10:$J$13,2,FALSE),0),"")))</f>
        <v/>
      </c>
      <c r="N606" s="8"/>
      <c r="O606" s="8"/>
      <c r="P606" s="8"/>
      <c r="Q606" s="14"/>
      <c r="R606" s="15"/>
      <c r="S606" s="15"/>
      <c r="T606" s="14"/>
      <c r="U606" s="14"/>
      <c r="V606" s="14"/>
      <c r="W606" s="18"/>
      <c r="X606" s="18"/>
      <c r="Y606" s="18"/>
      <c r="Z606" s="18"/>
      <c r="AA606" s="18"/>
      <c r="AB606" s="18"/>
      <c r="AC606" s="8" t="str">
        <f t="shared" si="37"/>
        <v/>
      </c>
      <c r="AD606" s="8"/>
      <c r="AE606" s="8"/>
      <c r="AF606" s="14"/>
      <c r="AG606" s="13"/>
      <c r="AH606" s="14"/>
      <c r="AI606" s="14"/>
      <c r="AJ606" s="8"/>
      <c r="AK606" s="8"/>
      <c r="AL606" s="8"/>
      <c r="AM606" s="8"/>
      <c r="AN606" s="631"/>
      <c r="AO606" s="18"/>
      <c r="AP606" s="18"/>
      <c r="AQ606" s="18"/>
      <c r="AR606" s="18"/>
      <c r="AS606" s="18"/>
      <c r="AU606" s="448"/>
      <c r="AV606" s="448"/>
      <c r="AW606" s="8" t="str">
        <f>IF(C606&gt;0,VLOOKUP(C606,Foundation_Calc!$A$2:$C$986,3,1),
IF(J606&gt;0,VLOOKUP(J606,Foundation_Calc!$A$2:$C$986,3,1),""))</f>
        <v/>
      </c>
      <c r="AX606" s="8" t="str">
        <f>IF(C606&gt;0,VLOOKUP(C606,Foundation_Calc!$E$2:$G$986,3,1),
IF(J606&gt;0,VLOOKUP(J606,Foundation_Calc!$E$2:$G$986,3,1),""))</f>
        <v/>
      </c>
      <c r="AY606" s="631" t="str">
        <f>IF(L606="","",
IF(AX606="PT",VLOOKUP(L606,Foundation_Calc!$K$4:$R$37,VLOOKUP(AW606,Foundation_Calc!$I$2:$J$8,2,FALSE),0),
IF(AX606="K",VLOOKUP(L606,Foundation_Calc!$K$41:$R$74,VLOOKUP(AW606,Foundation_Calc!$I$2:$J$8,2,FALSE),0),"")))</f>
        <v/>
      </c>
      <c r="AZ606" s="631" t="str">
        <f>IF(K606="","",
IF(AX606="PT",VLOOKUP(K606,Foundation_Calc!$K$4:$R$37,VLOOKUP(AW606,Foundation_Calc!$I$2:$J$8,2,FALSE),0),
IF(AX606="K",VLOOKUP(K606,Foundation_Calc!$K$41:$R$74,VLOOKUP(AW606,Foundation_Calc!$I$2:$J$8,2,FALSE),0),"")))</f>
        <v/>
      </c>
      <c r="BA606" s="632" t="str">
        <f t="shared" si="38"/>
        <v/>
      </c>
      <c r="BB606" s="632" t="str">
        <f t="shared" si="39"/>
        <v/>
      </c>
      <c r="BC606" s="632" t="str">
        <f t="shared" si="40"/>
        <v/>
      </c>
      <c r="BD606" s="633" t="str">
        <f>IF(AND(L606="",H606=""),"",
IF(H606="",Pole_Calc!A634,
IF(H606="MP",Pole_Calc!A635,
IF(H606="AnMP",Pole_Calc!A636,
IF(H606="A",Pole_Calc!A637,
IF(H606="S/A",Pole_Calc!A638,
IF(H606="A/S",Pole_Calc!A639,"Poner a mano")))))))</f>
        <v/>
      </c>
      <c r="BE606" s="448" t="s">
        <v>1726</v>
      </c>
      <c r="BF606" s="634"/>
      <c r="BG606" s="634"/>
      <c r="BH606" s="634"/>
      <c r="BI606" s="634"/>
    </row>
    <row r="607" spans="1:61" ht="16.2" customHeight="1">
      <c r="A607" s="12"/>
      <c r="B607" s="446"/>
      <c r="C607" s="89"/>
      <c r="D607" s="13"/>
      <c r="E607" s="14"/>
      <c r="F607" s="14"/>
      <c r="G607" s="15"/>
      <c r="H607" s="8"/>
      <c r="I607" s="8"/>
      <c r="J607" s="89"/>
      <c r="K607" s="8"/>
      <c r="L607" s="8"/>
      <c r="M607" s="8" t="str">
        <f>IF(L607="","",
IF(AX607="PT",VLOOKUP(L607,Foundation_Calc!$V$4:$X$37,VLOOKUP(AX607,Foundation_Calc!$I$10:$J$13,2,FALSE),0),
IF(AX607="K",VLOOKUP(L607,Foundation_Calc!$V$41:$X$74,VLOOKUP(AX607,Foundation_Calc!$I$10:$J$13,2,FALSE),0),"")))</f>
        <v/>
      </c>
      <c r="N607" s="8"/>
      <c r="O607" s="8"/>
      <c r="P607" s="8"/>
      <c r="Q607" s="14"/>
      <c r="R607" s="15"/>
      <c r="S607" s="15"/>
      <c r="T607" s="14"/>
      <c r="U607" s="14"/>
      <c r="V607" s="14"/>
      <c r="W607" s="18"/>
      <c r="X607" s="18"/>
      <c r="Y607" s="18"/>
      <c r="Z607" s="18"/>
      <c r="AA607" s="18"/>
      <c r="AB607" s="18"/>
      <c r="AC607" s="8" t="str">
        <f t="shared" si="37"/>
        <v/>
      </c>
      <c r="AD607" s="8"/>
      <c r="AE607" s="8"/>
      <c r="AF607" s="14"/>
      <c r="AG607" s="13"/>
      <c r="AH607" s="14"/>
      <c r="AI607" s="14"/>
      <c r="AJ607" s="8"/>
      <c r="AK607" s="8"/>
      <c r="AL607" s="8"/>
      <c r="AM607" s="8"/>
      <c r="AN607" s="631"/>
      <c r="AO607" s="18"/>
      <c r="AP607" s="18"/>
      <c r="AQ607" s="18"/>
      <c r="AR607" s="18"/>
      <c r="AS607" s="18"/>
      <c r="AU607" s="448"/>
      <c r="AV607" s="448"/>
      <c r="AW607" s="8" t="str">
        <f>IF(C607&gt;0,VLOOKUP(C607,Foundation_Calc!$A$2:$C$986,3,1),
IF(J607&gt;0,VLOOKUP(J607,Foundation_Calc!$A$2:$C$986,3,1),""))</f>
        <v/>
      </c>
      <c r="AX607" s="8" t="str">
        <f>IF(C607&gt;0,VLOOKUP(C607,Foundation_Calc!$E$2:$G$986,3,1),
IF(J607&gt;0,VLOOKUP(J607,Foundation_Calc!$E$2:$G$986,3,1),""))</f>
        <v/>
      </c>
      <c r="AY607" s="631" t="str">
        <f>IF(L607="","",
IF(AX607="PT",VLOOKUP(L607,Foundation_Calc!$K$4:$R$37,VLOOKUP(AW607,Foundation_Calc!$I$2:$J$8,2,FALSE),0),
IF(AX607="K",VLOOKUP(L607,Foundation_Calc!$K$41:$R$74,VLOOKUP(AW607,Foundation_Calc!$I$2:$J$8,2,FALSE),0),"")))</f>
        <v/>
      </c>
      <c r="AZ607" s="631" t="str">
        <f>IF(K607="","",
IF(AX607="PT",VLOOKUP(K607,Foundation_Calc!$K$4:$R$37,VLOOKUP(AW607,Foundation_Calc!$I$2:$J$8,2,FALSE),0),
IF(AX607="K",VLOOKUP(K607,Foundation_Calc!$K$41:$R$74,VLOOKUP(AW607,Foundation_Calc!$I$2:$J$8,2,FALSE),0),"")))</f>
        <v/>
      </c>
      <c r="BA607" s="632" t="str">
        <f t="shared" si="38"/>
        <v/>
      </c>
      <c r="BB607" s="632" t="str">
        <f t="shared" si="39"/>
        <v/>
      </c>
      <c r="BC607" s="632" t="str">
        <f t="shared" si="40"/>
        <v/>
      </c>
      <c r="BD607" s="633" t="str">
        <f>IF(AND(L607="",H607=""),"",
IF(H607="",Pole_Calc!A635,
IF(H607="MP",Pole_Calc!A636,
IF(H607="AnMP",Pole_Calc!A637,
IF(H607="A",Pole_Calc!A638,
IF(H607="S/A",Pole_Calc!A639,
IF(H607="A/S",Pole_Calc!A640,"Poner a mano")))))))</f>
        <v/>
      </c>
      <c r="BE607" s="448" t="s">
        <v>1726</v>
      </c>
      <c r="BF607" s="635"/>
      <c r="BG607" s="635"/>
      <c r="BH607" s="634"/>
      <c r="BI607" s="635"/>
    </row>
    <row r="608" spans="1:61" ht="16.2" customHeight="1">
      <c r="A608" s="12"/>
      <c r="B608" s="446"/>
      <c r="C608" s="89"/>
      <c r="D608" s="13"/>
      <c r="E608" s="14"/>
      <c r="F608" s="14"/>
      <c r="G608" s="15"/>
      <c r="H608" s="8"/>
      <c r="I608" s="8"/>
      <c r="J608" s="89"/>
      <c r="K608" s="8"/>
      <c r="L608" s="8"/>
      <c r="M608" s="8" t="str">
        <f>IF(L608="","",
IF(AX608="PT",VLOOKUP(L608,Foundation_Calc!$V$4:$X$37,VLOOKUP(AX608,Foundation_Calc!$I$10:$J$13,2,FALSE),0),
IF(AX608="K",VLOOKUP(L608,Foundation_Calc!$V$41:$X$74,VLOOKUP(AX608,Foundation_Calc!$I$10:$J$13,2,FALSE),0),"")))</f>
        <v/>
      </c>
      <c r="N608" s="8"/>
      <c r="O608" s="8"/>
      <c r="P608" s="8"/>
      <c r="Q608" s="14"/>
      <c r="R608" s="15"/>
      <c r="S608" s="15"/>
      <c r="T608" s="14"/>
      <c r="U608" s="14"/>
      <c r="V608" s="14"/>
      <c r="W608" s="18"/>
      <c r="X608" s="18"/>
      <c r="Y608" s="18"/>
      <c r="Z608" s="18"/>
      <c r="AA608" s="18"/>
      <c r="AB608" s="18"/>
      <c r="AC608" s="8" t="str">
        <f t="shared" si="37"/>
        <v/>
      </c>
      <c r="AD608" s="8"/>
      <c r="AE608" s="8"/>
      <c r="AF608" s="14"/>
      <c r="AG608" s="13"/>
      <c r="AH608" s="14"/>
      <c r="AI608" s="14"/>
      <c r="AJ608" s="8"/>
      <c r="AK608" s="8"/>
      <c r="AL608" s="8"/>
      <c r="AM608" s="8"/>
      <c r="AN608" s="631"/>
      <c r="AO608" s="18"/>
      <c r="AP608" s="18"/>
      <c r="AQ608" s="18"/>
      <c r="AR608" s="18"/>
      <c r="AS608" s="18"/>
      <c r="AU608" s="448"/>
      <c r="AV608" s="448"/>
      <c r="AW608" s="8" t="str">
        <f>IF(C608&gt;0,VLOOKUP(C608,Foundation_Calc!$A$2:$C$986,3,1),
IF(J608&gt;0,VLOOKUP(J608,Foundation_Calc!$A$2:$C$986,3,1),""))</f>
        <v/>
      </c>
      <c r="AX608" s="8" t="str">
        <f>IF(C608&gt;0,VLOOKUP(C608,Foundation_Calc!$E$2:$G$986,3,1),
IF(J608&gt;0,VLOOKUP(J608,Foundation_Calc!$E$2:$G$986,3,1),""))</f>
        <v/>
      </c>
      <c r="AY608" s="631" t="str">
        <f>IF(L608="","",
IF(AX608="PT",VLOOKUP(L608,Foundation_Calc!$K$4:$R$37,VLOOKUP(AW608,Foundation_Calc!$I$2:$J$8,2,FALSE),0),
IF(AX608="K",VLOOKUP(L608,Foundation_Calc!$K$41:$R$74,VLOOKUP(AW608,Foundation_Calc!$I$2:$J$8,2,FALSE),0),"")))</f>
        <v/>
      </c>
      <c r="AZ608" s="631" t="str">
        <f>IF(K608="","",
IF(AX608="PT",VLOOKUP(K608,Foundation_Calc!$K$4:$R$37,VLOOKUP(AW608,Foundation_Calc!$I$2:$J$8,2,FALSE),0),
IF(AX608="K",VLOOKUP(K608,Foundation_Calc!$K$41:$R$74,VLOOKUP(AW608,Foundation_Calc!$I$2:$J$8,2,FALSE),0),"")))</f>
        <v/>
      </c>
      <c r="BA608" s="632" t="str">
        <f t="shared" si="38"/>
        <v/>
      </c>
      <c r="BB608" s="632" t="str">
        <f t="shared" si="39"/>
        <v/>
      </c>
      <c r="BC608" s="632" t="str">
        <f t="shared" si="40"/>
        <v/>
      </c>
      <c r="BD608" s="633" t="str">
        <f>IF(AND(L608="",H608=""),"",
IF(H608="",Pole_Calc!A636,
IF(H608="MP",Pole_Calc!A637,
IF(H608="AnMP",Pole_Calc!A638,
IF(H608="A",Pole_Calc!A639,
IF(H608="S/A",Pole_Calc!A640,
IF(H608="A/S",Pole_Calc!A641,"Poner a mano")))))))</f>
        <v/>
      </c>
      <c r="BE608" s="448" t="s">
        <v>1726</v>
      </c>
      <c r="BF608" s="634"/>
      <c r="BG608" s="634"/>
      <c r="BH608" s="634"/>
      <c r="BI608" s="634"/>
    </row>
    <row r="609" spans="1:61" ht="16.2" customHeight="1">
      <c r="A609" s="12"/>
      <c r="B609" s="446"/>
      <c r="C609" s="89"/>
      <c r="D609" s="13"/>
      <c r="E609" s="14"/>
      <c r="F609" s="14"/>
      <c r="G609" s="15"/>
      <c r="H609" s="8"/>
      <c r="I609" s="8"/>
      <c r="J609" s="89"/>
      <c r="K609" s="8"/>
      <c r="L609" s="8"/>
      <c r="M609" s="8" t="str">
        <f>IF(L609="","",
IF(AX609="PT",VLOOKUP(L609,Foundation_Calc!$V$4:$X$37,VLOOKUP(AX609,Foundation_Calc!$I$10:$J$13,2,FALSE),0),
IF(AX609="K",VLOOKUP(L609,Foundation_Calc!$V$41:$X$74,VLOOKUP(AX609,Foundation_Calc!$I$10:$J$13,2,FALSE),0),"")))</f>
        <v/>
      </c>
      <c r="N609" s="8"/>
      <c r="O609" s="8"/>
      <c r="P609" s="8"/>
      <c r="Q609" s="14"/>
      <c r="R609" s="15"/>
      <c r="S609" s="15"/>
      <c r="T609" s="14"/>
      <c r="U609" s="14"/>
      <c r="V609" s="14"/>
      <c r="W609" s="18"/>
      <c r="X609" s="18"/>
      <c r="Y609" s="18"/>
      <c r="Z609" s="18"/>
      <c r="AA609" s="18"/>
      <c r="AB609" s="18"/>
      <c r="AC609" s="8" t="str">
        <f t="shared" si="37"/>
        <v/>
      </c>
      <c r="AD609" s="8"/>
      <c r="AE609" s="8"/>
      <c r="AF609" s="14"/>
      <c r="AG609" s="13"/>
      <c r="AH609" s="14"/>
      <c r="AI609" s="14"/>
      <c r="AJ609" s="8"/>
      <c r="AK609" s="8"/>
      <c r="AL609" s="8"/>
      <c r="AM609" s="8"/>
      <c r="AN609" s="631"/>
      <c r="AO609" s="18"/>
      <c r="AP609" s="18"/>
      <c r="AQ609" s="18"/>
      <c r="AR609" s="18"/>
      <c r="AS609" s="18"/>
      <c r="AU609" s="448"/>
      <c r="AV609" s="448"/>
      <c r="AW609" s="8" t="str">
        <f>IF(C609&gt;0,VLOOKUP(C609,Foundation_Calc!$A$2:$C$986,3,1),
IF(J609&gt;0,VLOOKUP(J609,Foundation_Calc!$A$2:$C$986,3,1),""))</f>
        <v/>
      </c>
      <c r="AX609" s="8" t="str">
        <f>IF(C609&gt;0,VLOOKUP(C609,Foundation_Calc!$E$2:$G$986,3,1),
IF(J609&gt;0,VLOOKUP(J609,Foundation_Calc!$E$2:$G$986,3,1),""))</f>
        <v/>
      </c>
      <c r="AY609" s="631" t="str">
        <f>IF(L609="","",
IF(AX609="PT",VLOOKUP(L609,Foundation_Calc!$K$4:$R$37,VLOOKUP(AW609,Foundation_Calc!$I$2:$J$8,2,FALSE),0),
IF(AX609="K",VLOOKUP(L609,Foundation_Calc!$K$41:$R$74,VLOOKUP(AW609,Foundation_Calc!$I$2:$J$8,2,FALSE),0),"")))</f>
        <v/>
      </c>
      <c r="AZ609" s="631" t="str">
        <f>IF(K609="","",
IF(AX609="PT",VLOOKUP(K609,Foundation_Calc!$K$4:$R$37,VLOOKUP(AW609,Foundation_Calc!$I$2:$J$8,2,FALSE),0),
IF(AX609="K",VLOOKUP(K609,Foundation_Calc!$K$41:$R$74,VLOOKUP(AW609,Foundation_Calc!$I$2:$J$8,2,FALSE),0),"")))</f>
        <v/>
      </c>
      <c r="BA609" s="632" t="str">
        <f t="shared" si="38"/>
        <v/>
      </c>
      <c r="BB609" s="632" t="str">
        <f t="shared" si="39"/>
        <v/>
      </c>
      <c r="BC609" s="632" t="str">
        <f t="shared" si="40"/>
        <v/>
      </c>
      <c r="BD609" s="633" t="str">
        <f>IF(AND(L609="",H609=""),"",
IF(H609="",Pole_Calc!A637,
IF(H609="MP",Pole_Calc!A638,
IF(H609="AnMP",Pole_Calc!A639,
IF(H609="A",Pole_Calc!A640,
IF(H609="S/A",Pole_Calc!A641,
IF(H609="A/S",Pole_Calc!A642,"Poner a mano")))))))</f>
        <v/>
      </c>
      <c r="BE609" s="448" t="s">
        <v>1726</v>
      </c>
      <c r="BF609" s="635"/>
      <c r="BG609" s="635"/>
      <c r="BH609" s="634"/>
      <c r="BI609" s="635"/>
    </row>
    <row r="610" spans="1:61" ht="16.2" customHeight="1">
      <c r="A610" s="12"/>
      <c r="B610" s="446"/>
      <c r="C610" s="89"/>
      <c r="D610" s="13"/>
      <c r="E610" s="14"/>
      <c r="F610" s="14"/>
      <c r="G610" s="15"/>
      <c r="H610" s="8"/>
      <c r="I610" s="8"/>
      <c r="J610" s="89"/>
      <c r="K610" s="8"/>
      <c r="L610" s="8"/>
      <c r="M610" s="8" t="str">
        <f>IF(L610="","",
IF(AX610="PT",VLOOKUP(L610,Foundation_Calc!$V$4:$X$37,VLOOKUP(AX610,Foundation_Calc!$I$10:$J$13,2,FALSE),0),
IF(AX610="K",VLOOKUP(L610,Foundation_Calc!$V$41:$X$74,VLOOKUP(AX610,Foundation_Calc!$I$10:$J$13,2,FALSE),0),"")))</f>
        <v/>
      </c>
      <c r="N610" s="8"/>
      <c r="O610" s="8"/>
      <c r="P610" s="8"/>
      <c r="Q610" s="14"/>
      <c r="R610" s="15"/>
      <c r="S610" s="15"/>
      <c r="T610" s="14"/>
      <c r="U610" s="14"/>
      <c r="V610" s="14"/>
      <c r="W610" s="18"/>
      <c r="X610" s="18"/>
      <c r="Y610" s="18"/>
      <c r="Z610" s="18"/>
      <c r="AA610" s="18"/>
      <c r="AB610" s="18"/>
      <c r="AC610" s="8" t="str">
        <f t="shared" si="37"/>
        <v/>
      </c>
      <c r="AD610" s="8"/>
      <c r="AE610" s="8"/>
      <c r="AF610" s="14"/>
      <c r="AG610" s="13"/>
      <c r="AH610" s="14"/>
      <c r="AI610" s="14"/>
      <c r="AJ610" s="8"/>
      <c r="AK610" s="8"/>
      <c r="AL610" s="8"/>
      <c r="AM610" s="8"/>
      <c r="AN610" s="631"/>
      <c r="AO610" s="18"/>
      <c r="AP610" s="18"/>
      <c r="AQ610" s="18"/>
      <c r="AR610" s="18"/>
      <c r="AS610" s="18"/>
      <c r="AU610" s="448"/>
      <c r="AV610" s="448"/>
      <c r="AW610" s="8" t="str">
        <f>IF(C610&gt;0,VLOOKUP(C610,Foundation_Calc!$A$2:$C$986,3,1),
IF(J610&gt;0,VLOOKUP(J610,Foundation_Calc!$A$2:$C$986,3,1),""))</f>
        <v/>
      </c>
      <c r="AX610" s="8" t="str">
        <f>IF(C610&gt;0,VLOOKUP(C610,Foundation_Calc!$E$2:$G$986,3,1),
IF(J610&gt;0,VLOOKUP(J610,Foundation_Calc!$E$2:$G$986,3,1),""))</f>
        <v/>
      </c>
      <c r="AY610" s="631" t="str">
        <f>IF(L610="","",
IF(AX610="PT",VLOOKUP(L610,Foundation_Calc!$K$4:$R$37,VLOOKUP(AW610,Foundation_Calc!$I$2:$J$8,2,FALSE),0),
IF(AX610="K",VLOOKUP(L610,Foundation_Calc!$K$41:$R$74,VLOOKUP(AW610,Foundation_Calc!$I$2:$J$8,2,FALSE),0),"")))</f>
        <v/>
      </c>
      <c r="AZ610" s="631" t="str">
        <f>IF(K610="","",
IF(AX610="PT",VLOOKUP(K610,Foundation_Calc!$K$4:$R$37,VLOOKUP(AW610,Foundation_Calc!$I$2:$J$8,2,FALSE),0),
IF(AX610="K",VLOOKUP(K610,Foundation_Calc!$K$41:$R$74,VLOOKUP(AW610,Foundation_Calc!$I$2:$J$8,2,FALSE),0),"")))</f>
        <v/>
      </c>
      <c r="BA610" s="632" t="str">
        <f t="shared" si="38"/>
        <v/>
      </c>
      <c r="BB610" s="632" t="str">
        <f t="shared" si="39"/>
        <v/>
      </c>
      <c r="BC610" s="632" t="str">
        <f t="shared" si="40"/>
        <v/>
      </c>
      <c r="BD610" s="633" t="str">
        <f>IF(AND(L610="",H610=""),"",
IF(H610="",Pole_Calc!A638,
IF(H610="MP",Pole_Calc!A639,
IF(H610="AnMP",Pole_Calc!A640,
IF(H610="A",Pole_Calc!A641,
IF(H610="S/A",Pole_Calc!A642,
IF(H610="A/S",Pole_Calc!A643,"Poner a mano")))))))</f>
        <v/>
      </c>
      <c r="BE610" s="448" t="s">
        <v>1726</v>
      </c>
      <c r="BF610" s="634"/>
      <c r="BG610" s="634"/>
      <c r="BH610" s="634"/>
      <c r="BI610" s="634"/>
    </row>
    <row r="611" spans="1:61" ht="16.2" customHeight="1">
      <c r="A611" s="12"/>
      <c r="B611" s="446"/>
      <c r="C611" s="89"/>
      <c r="D611" s="13"/>
      <c r="E611" s="14"/>
      <c r="F611" s="14"/>
      <c r="G611" s="15"/>
      <c r="H611" s="8"/>
      <c r="I611" s="8"/>
      <c r="J611" s="89"/>
      <c r="K611" s="8"/>
      <c r="L611" s="8"/>
      <c r="M611" s="8" t="str">
        <f>IF(L611="","",
IF(AX611="PT",VLOOKUP(L611,Foundation_Calc!$V$4:$X$37,VLOOKUP(AX611,Foundation_Calc!$I$10:$J$13,2,FALSE),0),
IF(AX611="K",VLOOKUP(L611,Foundation_Calc!$V$41:$X$74,VLOOKUP(AX611,Foundation_Calc!$I$10:$J$13,2,FALSE),0),"")))</f>
        <v/>
      </c>
      <c r="N611" s="8"/>
      <c r="O611" s="8"/>
      <c r="P611" s="8"/>
      <c r="Q611" s="14"/>
      <c r="R611" s="15"/>
      <c r="S611" s="15"/>
      <c r="T611" s="14"/>
      <c r="U611" s="14"/>
      <c r="V611" s="14"/>
      <c r="W611" s="18"/>
      <c r="X611" s="18"/>
      <c r="Y611" s="18"/>
      <c r="Z611" s="18"/>
      <c r="AA611" s="18"/>
      <c r="AB611" s="18"/>
      <c r="AC611" s="8" t="str">
        <f t="shared" si="37"/>
        <v/>
      </c>
      <c r="AD611" s="8"/>
      <c r="AE611" s="8"/>
      <c r="AF611" s="14"/>
      <c r="AG611" s="13"/>
      <c r="AH611" s="14"/>
      <c r="AI611" s="14"/>
      <c r="AJ611" s="8"/>
      <c r="AK611" s="8"/>
      <c r="AL611" s="8"/>
      <c r="AM611" s="8"/>
      <c r="AN611" s="631"/>
      <c r="AO611" s="18"/>
      <c r="AP611" s="18"/>
      <c r="AQ611" s="18"/>
      <c r="AR611" s="18"/>
      <c r="AS611" s="18"/>
      <c r="AU611" s="448"/>
      <c r="AV611" s="448"/>
      <c r="AW611" s="8" t="str">
        <f>IF(C611&gt;0,VLOOKUP(C611,Foundation_Calc!$A$2:$C$986,3,1),
IF(J611&gt;0,VLOOKUP(J611,Foundation_Calc!$A$2:$C$986,3,1),""))</f>
        <v/>
      </c>
      <c r="AX611" s="8" t="str">
        <f>IF(C611&gt;0,VLOOKUP(C611,Foundation_Calc!$E$2:$G$986,3,1),
IF(J611&gt;0,VLOOKUP(J611,Foundation_Calc!$E$2:$G$986,3,1),""))</f>
        <v/>
      </c>
      <c r="AY611" s="631" t="str">
        <f>IF(L611="","",
IF(AX611="PT",VLOOKUP(L611,Foundation_Calc!$K$4:$R$37,VLOOKUP(AW611,Foundation_Calc!$I$2:$J$8,2,FALSE),0),
IF(AX611="K",VLOOKUP(L611,Foundation_Calc!$K$41:$R$74,VLOOKUP(AW611,Foundation_Calc!$I$2:$J$8,2,FALSE),0),"")))</f>
        <v/>
      </c>
      <c r="AZ611" s="631" t="str">
        <f>IF(K611="","",
IF(AX611="PT",VLOOKUP(K611,Foundation_Calc!$K$4:$R$37,VLOOKUP(AW611,Foundation_Calc!$I$2:$J$8,2,FALSE),0),
IF(AX611="K",VLOOKUP(K611,Foundation_Calc!$K$41:$R$74,VLOOKUP(AW611,Foundation_Calc!$I$2:$J$8,2,FALSE),0),"")))</f>
        <v/>
      </c>
      <c r="BA611" s="632" t="str">
        <f t="shared" si="38"/>
        <v/>
      </c>
      <c r="BB611" s="632" t="str">
        <f t="shared" si="39"/>
        <v/>
      </c>
      <c r="BC611" s="632" t="str">
        <f t="shared" si="40"/>
        <v/>
      </c>
      <c r="BD611" s="633" t="str">
        <f>IF(AND(L611="",H611=""),"",
IF(H611="",Pole_Calc!A639,
IF(H611="MP",Pole_Calc!A640,
IF(H611="AnMP",Pole_Calc!A641,
IF(H611="A",Pole_Calc!A642,
IF(H611="S/A",Pole_Calc!A643,
IF(H611="A/S",Pole_Calc!A644,"Poner a mano")))))))</f>
        <v/>
      </c>
      <c r="BE611" s="448" t="s">
        <v>1726</v>
      </c>
      <c r="BF611" s="635"/>
      <c r="BG611" s="635"/>
      <c r="BH611" s="634"/>
      <c r="BI611" s="635"/>
    </row>
    <row r="612" spans="1:61" ht="16.2" customHeight="1">
      <c r="A612" s="12"/>
      <c r="B612" s="446"/>
      <c r="C612" s="89"/>
      <c r="D612" s="13"/>
      <c r="E612" s="14"/>
      <c r="F612" s="14"/>
      <c r="G612" s="15"/>
      <c r="H612" s="8"/>
      <c r="I612" s="8"/>
      <c r="J612" s="89"/>
      <c r="K612" s="8"/>
      <c r="L612" s="8"/>
      <c r="M612" s="8" t="str">
        <f>IF(L612="","",
IF(AX612="PT",VLOOKUP(L612,Foundation_Calc!$V$4:$X$37,VLOOKUP(AX612,Foundation_Calc!$I$10:$J$13,2,FALSE),0),
IF(AX612="K",VLOOKUP(L612,Foundation_Calc!$V$41:$X$74,VLOOKUP(AX612,Foundation_Calc!$I$10:$J$13,2,FALSE),0),"")))</f>
        <v/>
      </c>
      <c r="N612" s="8"/>
      <c r="O612" s="8"/>
      <c r="P612" s="8"/>
      <c r="Q612" s="14"/>
      <c r="R612" s="15"/>
      <c r="S612" s="15"/>
      <c r="T612" s="14"/>
      <c r="U612" s="14"/>
      <c r="V612" s="14"/>
      <c r="W612" s="18"/>
      <c r="X612" s="18"/>
      <c r="Y612" s="18"/>
      <c r="Z612" s="18"/>
      <c r="AA612" s="18"/>
      <c r="AB612" s="18"/>
      <c r="AC612" s="8" t="str">
        <f t="shared" si="37"/>
        <v/>
      </c>
      <c r="AD612" s="8"/>
      <c r="AE612" s="8"/>
      <c r="AF612" s="14"/>
      <c r="AG612" s="13"/>
      <c r="AH612" s="14"/>
      <c r="AI612" s="14"/>
      <c r="AJ612" s="8"/>
      <c r="AK612" s="8"/>
      <c r="AL612" s="8"/>
      <c r="AM612" s="8"/>
      <c r="AN612" s="631"/>
      <c r="AO612" s="18"/>
      <c r="AP612" s="18"/>
      <c r="AQ612" s="18"/>
      <c r="AR612" s="18"/>
      <c r="AS612" s="18"/>
      <c r="AU612" s="448"/>
      <c r="AV612" s="448"/>
      <c r="AW612" s="8" t="str">
        <f>IF(C612&gt;0,VLOOKUP(C612,Foundation_Calc!$A$2:$C$986,3,1),
IF(J612&gt;0,VLOOKUP(J612,Foundation_Calc!$A$2:$C$986,3,1),""))</f>
        <v/>
      </c>
      <c r="AX612" s="8" t="str">
        <f>IF(C612&gt;0,VLOOKUP(C612,Foundation_Calc!$E$2:$G$986,3,1),
IF(J612&gt;0,VLOOKUP(J612,Foundation_Calc!$E$2:$G$986,3,1),""))</f>
        <v/>
      </c>
      <c r="AY612" s="631" t="str">
        <f>IF(L612="","",
IF(AX612="PT",VLOOKUP(L612,Foundation_Calc!$K$4:$R$37,VLOOKUP(AW612,Foundation_Calc!$I$2:$J$8,2,FALSE),0),
IF(AX612="K",VLOOKUP(L612,Foundation_Calc!$K$41:$R$74,VLOOKUP(AW612,Foundation_Calc!$I$2:$J$8,2,FALSE),0),"")))</f>
        <v/>
      </c>
      <c r="AZ612" s="631" t="str">
        <f>IF(K612="","",
IF(AX612="PT",VLOOKUP(K612,Foundation_Calc!$K$4:$R$37,VLOOKUP(AW612,Foundation_Calc!$I$2:$J$8,2,FALSE),0),
IF(AX612="K",VLOOKUP(K612,Foundation_Calc!$K$41:$R$74,VLOOKUP(AW612,Foundation_Calc!$I$2:$J$8,2,FALSE),0),"")))</f>
        <v/>
      </c>
      <c r="BA612" s="632" t="str">
        <f t="shared" si="38"/>
        <v/>
      </c>
      <c r="BB612" s="632" t="str">
        <f t="shared" si="39"/>
        <v/>
      </c>
      <c r="BC612" s="632" t="str">
        <f t="shared" si="40"/>
        <v/>
      </c>
      <c r="BD612" s="633" t="str">
        <f>IF(AND(L612="",H612=""),"",
IF(H612="",Pole_Calc!A640,
IF(H612="MP",Pole_Calc!A641,
IF(H612="AnMP",Pole_Calc!A642,
IF(H612="A",Pole_Calc!A643,
IF(H612="S/A",Pole_Calc!A644,
IF(H612="A/S",Pole_Calc!A645,"Poner a mano")))))))</f>
        <v/>
      </c>
      <c r="BE612" s="448" t="s">
        <v>1726</v>
      </c>
      <c r="BF612" s="634"/>
      <c r="BG612" s="634"/>
      <c r="BH612" s="634"/>
      <c r="BI612" s="634"/>
    </row>
    <row r="613" spans="1:61" ht="16.2" customHeight="1">
      <c r="A613" s="12"/>
      <c r="B613" s="446"/>
      <c r="C613" s="89"/>
      <c r="D613" s="13"/>
      <c r="E613" s="14"/>
      <c r="F613" s="14"/>
      <c r="G613" s="15"/>
      <c r="H613" s="8"/>
      <c r="I613" s="8"/>
      <c r="J613" s="89"/>
      <c r="K613" s="8"/>
      <c r="L613" s="8"/>
      <c r="M613" s="8" t="str">
        <f>IF(L613="","",
IF(AX613="PT",VLOOKUP(L613,Foundation_Calc!$V$4:$X$37,VLOOKUP(AX613,Foundation_Calc!$I$10:$J$13,2,FALSE),0),
IF(AX613="K",VLOOKUP(L613,Foundation_Calc!$V$41:$X$74,VLOOKUP(AX613,Foundation_Calc!$I$10:$J$13,2,FALSE),0),"")))</f>
        <v/>
      </c>
      <c r="N613" s="8"/>
      <c r="O613" s="8"/>
      <c r="P613" s="8"/>
      <c r="Q613" s="14"/>
      <c r="R613" s="15"/>
      <c r="S613" s="15"/>
      <c r="T613" s="14"/>
      <c r="U613" s="14"/>
      <c r="V613" s="14"/>
      <c r="W613" s="18"/>
      <c r="X613" s="18"/>
      <c r="Y613" s="18"/>
      <c r="Z613" s="18"/>
      <c r="AA613" s="18"/>
      <c r="AB613" s="18"/>
      <c r="AC613" s="8" t="str">
        <f t="shared" si="37"/>
        <v/>
      </c>
      <c r="AD613" s="8"/>
      <c r="AE613" s="8"/>
      <c r="AF613" s="14"/>
      <c r="AG613" s="13"/>
      <c r="AH613" s="14"/>
      <c r="AI613" s="14"/>
      <c r="AJ613" s="8"/>
      <c r="AK613" s="8"/>
      <c r="AL613" s="8"/>
      <c r="AM613" s="8"/>
      <c r="AN613" s="631"/>
      <c r="AO613" s="18"/>
      <c r="AP613" s="18"/>
      <c r="AQ613" s="18"/>
      <c r="AR613" s="18"/>
      <c r="AS613" s="18"/>
      <c r="AU613" s="448"/>
      <c r="AV613" s="448"/>
      <c r="AW613" s="8" t="str">
        <f>IF(C613&gt;0,VLOOKUP(C613,Foundation_Calc!$A$2:$C$986,3,1),
IF(J613&gt;0,VLOOKUP(J613,Foundation_Calc!$A$2:$C$986,3,1),""))</f>
        <v/>
      </c>
      <c r="AX613" s="8" t="str">
        <f>IF(C613&gt;0,VLOOKUP(C613,Foundation_Calc!$E$2:$G$986,3,1),
IF(J613&gt;0,VLOOKUP(J613,Foundation_Calc!$E$2:$G$986,3,1),""))</f>
        <v/>
      </c>
      <c r="AY613" s="631" t="str">
        <f>IF(L613="","",
IF(AX613="PT",VLOOKUP(L613,Foundation_Calc!$K$4:$R$37,VLOOKUP(AW613,Foundation_Calc!$I$2:$J$8,2,FALSE),0),
IF(AX613="K",VLOOKUP(L613,Foundation_Calc!$K$41:$R$74,VLOOKUP(AW613,Foundation_Calc!$I$2:$J$8,2,FALSE),0),"")))</f>
        <v/>
      </c>
      <c r="AZ613" s="631" t="str">
        <f>IF(K613="","",
IF(AX613="PT",VLOOKUP(K613,Foundation_Calc!$K$4:$R$37,VLOOKUP(AW613,Foundation_Calc!$I$2:$J$8,2,FALSE),0),
IF(AX613="K",VLOOKUP(K613,Foundation_Calc!$K$41:$R$74,VLOOKUP(AW613,Foundation_Calc!$I$2:$J$8,2,FALSE),0),"")))</f>
        <v/>
      </c>
      <c r="BA613" s="632" t="str">
        <f t="shared" si="38"/>
        <v/>
      </c>
      <c r="BB613" s="632" t="str">
        <f t="shared" si="39"/>
        <v/>
      </c>
      <c r="BC613" s="632" t="str">
        <f t="shared" si="40"/>
        <v/>
      </c>
      <c r="BD613" s="633" t="str">
        <f>IF(AND(L613="",H613=""),"",
IF(H613="",Pole_Calc!A641,
IF(H613="MP",Pole_Calc!A642,
IF(H613="AnMP",Pole_Calc!A643,
IF(H613="A",Pole_Calc!A644,
IF(H613="S/A",Pole_Calc!A645,
IF(H613="A/S",Pole_Calc!A646,"Poner a mano")))))))</f>
        <v/>
      </c>
      <c r="BE613" s="448" t="s">
        <v>1726</v>
      </c>
      <c r="BF613" s="635"/>
      <c r="BG613" s="635"/>
      <c r="BH613" s="634"/>
      <c r="BI613" s="635"/>
    </row>
    <row r="614" spans="1:61" ht="16.2" customHeight="1">
      <c r="A614" s="12"/>
      <c r="B614" s="446"/>
      <c r="C614" s="89"/>
      <c r="D614" s="13"/>
      <c r="E614" s="14"/>
      <c r="F614" s="14"/>
      <c r="G614" s="15"/>
      <c r="H614" s="8"/>
      <c r="I614" s="8"/>
      <c r="J614" s="89"/>
      <c r="K614" s="8"/>
      <c r="L614" s="8"/>
      <c r="M614" s="8" t="str">
        <f>IF(L614="","",
IF(AX614="PT",VLOOKUP(L614,Foundation_Calc!$V$4:$X$37,VLOOKUP(AX614,Foundation_Calc!$I$10:$J$13,2,FALSE),0),
IF(AX614="K",VLOOKUP(L614,Foundation_Calc!$V$41:$X$74,VLOOKUP(AX614,Foundation_Calc!$I$10:$J$13,2,FALSE),0),"")))</f>
        <v/>
      </c>
      <c r="N614" s="8"/>
      <c r="O614" s="8"/>
      <c r="P614" s="8"/>
      <c r="Q614" s="14"/>
      <c r="R614" s="15"/>
      <c r="S614" s="15"/>
      <c r="T614" s="14"/>
      <c r="U614" s="14"/>
      <c r="V614" s="14"/>
      <c r="W614" s="18"/>
      <c r="X614" s="18"/>
      <c r="Y614" s="18"/>
      <c r="Z614" s="18"/>
      <c r="AA614" s="18"/>
      <c r="AB614" s="18"/>
      <c r="AC614" s="8" t="str">
        <f t="shared" si="37"/>
        <v/>
      </c>
      <c r="AD614" s="8"/>
      <c r="AE614" s="8"/>
      <c r="AF614" s="14"/>
      <c r="AG614" s="13"/>
      <c r="AH614" s="14"/>
      <c r="AI614" s="14"/>
      <c r="AJ614" s="8"/>
      <c r="AK614" s="8"/>
      <c r="AL614" s="8"/>
      <c r="AM614" s="8"/>
      <c r="AN614" s="631"/>
      <c r="AO614" s="18"/>
      <c r="AP614" s="18"/>
      <c r="AQ614" s="18"/>
      <c r="AR614" s="18"/>
      <c r="AS614" s="18"/>
      <c r="AU614" s="448"/>
      <c r="AV614" s="448"/>
      <c r="AW614" s="8" t="str">
        <f>IF(C614&gt;0,VLOOKUP(C614,Foundation_Calc!$A$2:$C$986,3,1),
IF(J614&gt;0,VLOOKUP(J614,Foundation_Calc!$A$2:$C$986,3,1),""))</f>
        <v/>
      </c>
      <c r="AX614" s="8" t="str">
        <f>IF(C614&gt;0,VLOOKUP(C614,Foundation_Calc!$E$2:$G$986,3,1),
IF(J614&gt;0,VLOOKUP(J614,Foundation_Calc!$E$2:$G$986,3,1),""))</f>
        <v/>
      </c>
      <c r="AY614" s="631" t="str">
        <f>IF(L614="","",
IF(AX614="PT",VLOOKUP(L614,Foundation_Calc!$K$4:$R$37,VLOOKUP(AW614,Foundation_Calc!$I$2:$J$8,2,FALSE),0),
IF(AX614="K",VLOOKUP(L614,Foundation_Calc!$K$41:$R$74,VLOOKUP(AW614,Foundation_Calc!$I$2:$J$8,2,FALSE),0),"")))</f>
        <v/>
      </c>
      <c r="AZ614" s="631" t="str">
        <f>IF(K614="","",
IF(AX614="PT",VLOOKUP(K614,Foundation_Calc!$K$4:$R$37,VLOOKUP(AW614,Foundation_Calc!$I$2:$J$8,2,FALSE),0),
IF(AX614="K",VLOOKUP(K614,Foundation_Calc!$K$41:$R$74,VLOOKUP(AW614,Foundation_Calc!$I$2:$J$8,2,FALSE),0),"")))</f>
        <v/>
      </c>
      <c r="BA614" s="632" t="str">
        <f t="shared" si="38"/>
        <v/>
      </c>
      <c r="BB614" s="632" t="str">
        <f t="shared" si="39"/>
        <v/>
      </c>
      <c r="BC614" s="632" t="str">
        <f t="shared" si="40"/>
        <v/>
      </c>
      <c r="BD614" s="633" t="str">
        <f>IF(AND(L614="",H614=""),"",
IF(H614="",Pole_Calc!A642,
IF(H614="MP",Pole_Calc!A643,
IF(H614="AnMP",Pole_Calc!A644,
IF(H614="A",Pole_Calc!A645,
IF(H614="S/A",Pole_Calc!A646,
IF(H614="A/S",Pole_Calc!A647,"Poner a mano")))))))</f>
        <v/>
      </c>
      <c r="BE614" s="448" t="s">
        <v>1726</v>
      </c>
      <c r="BF614" s="634"/>
      <c r="BG614" s="634"/>
      <c r="BH614" s="634"/>
      <c r="BI614" s="634"/>
    </row>
    <row r="615" spans="1:61" ht="16.2" customHeight="1">
      <c r="A615" s="12"/>
      <c r="B615" s="446"/>
      <c r="C615" s="89"/>
      <c r="D615" s="13"/>
      <c r="E615" s="14"/>
      <c r="F615" s="14"/>
      <c r="G615" s="15"/>
      <c r="H615" s="8"/>
      <c r="I615" s="8"/>
      <c r="J615" s="89"/>
      <c r="K615" s="8"/>
      <c r="L615" s="8"/>
      <c r="M615" s="8" t="str">
        <f>IF(L615="","",
IF(AX615="PT",VLOOKUP(L615,Foundation_Calc!$V$4:$X$37,VLOOKUP(AX615,Foundation_Calc!$I$10:$J$13,2,FALSE),0),
IF(AX615="K",VLOOKUP(L615,Foundation_Calc!$V$41:$X$74,VLOOKUP(AX615,Foundation_Calc!$I$10:$J$13,2,FALSE),0),"")))</f>
        <v/>
      </c>
      <c r="N615" s="8"/>
      <c r="O615" s="8"/>
      <c r="P615" s="8"/>
      <c r="Q615" s="14"/>
      <c r="R615" s="15"/>
      <c r="S615" s="15"/>
      <c r="T615" s="14"/>
      <c r="U615" s="14"/>
      <c r="V615" s="14"/>
      <c r="W615" s="18"/>
      <c r="X615" s="18"/>
      <c r="Y615" s="18"/>
      <c r="Z615" s="18"/>
      <c r="AA615" s="18"/>
      <c r="AB615" s="18"/>
      <c r="AC615" s="8" t="str">
        <f t="shared" si="37"/>
        <v/>
      </c>
      <c r="AD615" s="8"/>
      <c r="AE615" s="8"/>
      <c r="AF615" s="14"/>
      <c r="AG615" s="13"/>
      <c r="AH615" s="14"/>
      <c r="AI615" s="14"/>
      <c r="AJ615" s="8"/>
      <c r="AK615" s="8"/>
      <c r="AL615" s="8"/>
      <c r="AM615" s="8"/>
      <c r="AN615" s="631"/>
      <c r="AO615" s="18"/>
      <c r="AP615" s="18"/>
      <c r="AQ615" s="18"/>
      <c r="AR615" s="18"/>
      <c r="AS615" s="18"/>
      <c r="AU615" s="448"/>
      <c r="AV615" s="448"/>
      <c r="AW615" s="8" t="str">
        <f>IF(C615&gt;0,VLOOKUP(C615,Foundation_Calc!$A$2:$C$986,3,1),
IF(J615&gt;0,VLOOKUP(J615,Foundation_Calc!$A$2:$C$986,3,1),""))</f>
        <v/>
      </c>
      <c r="AX615" s="8" t="str">
        <f>IF(C615&gt;0,VLOOKUP(C615,Foundation_Calc!$E$2:$G$986,3,1),
IF(J615&gt;0,VLOOKUP(J615,Foundation_Calc!$E$2:$G$986,3,1),""))</f>
        <v/>
      </c>
      <c r="AY615" s="631" t="str">
        <f>IF(L615="","",
IF(AX615="PT",VLOOKUP(L615,Foundation_Calc!$K$4:$R$37,VLOOKUP(AW615,Foundation_Calc!$I$2:$J$8,2,FALSE),0),
IF(AX615="K",VLOOKUP(L615,Foundation_Calc!$K$41:$R$74,VLOOKUP(AW615,Foundation_Calc!$I$2:$J$8,2,FALSE),0),"")))</f>
        <v/>
      </c>
      <c r="AZ615" s="631" t="str">
        <f>IF(K615="","",
IF(AX615="PT",VLOOKUP(K615,Foundation_Calc!$K$4:$R$37,VLOOKUP(AW615,Foundation_Calc!$I$2:$J$8,2,FALSE),0),
IF(AX615="K",VLOOKUP(K615,Foundation_Calc!$K$41:$R$74,VLOOKUP(AW615,Foundation_Calc!$I$2:$J$8,2,FALSE),0),"")))</f>
        <v/>
      </c>
      <c r="BA615" s="632" t="str">
        <f t="shared" si="38"/>
        <v/>
      </c>
      <c r="BB615" s="632" t="str">
        <f t="shared" si="39"/>
        <v/>
      </c>
      <c r="BC615" s="632" t="str">
        <f t="shared" si="40"/>
        <v/>
      </c>
      <c r="BD615" s="633" t="str">
        <f>IF(AND(L615="",H615=""),"",
IF(H615="",Pole_Calc!A643,
IF(H615="MP",Pole_Calc!A644,
IF(H615="AnMP",Pole_Calc!A645,
IF(H615="A",Pole_Calc!A646,
IF(H615="S/A",Pole_Calc!A647,
IF(H615="A/S",Pole_Calc!A648,"Poner a mano")))))))</f>
        <v/>
      </c>
      <c r="BE615" s="448" t="s">
        <v>1726</v>
      </c>
      <c r="BF615" s="635"/>
      <c r="BG615" s="635"/>
      <c r="BH615" s="634"/>
      <c r="BI615" s="635"/>
    </row>
    <row r="616" spans="1:61" ht="16.2" customHeight="1">
      <c r="A616" s="12"/>
      <c r="B616" s="446"/>
      <c r="C616" s="89"/>
      <c r="D616" s="13"/>
      <c r="E616" s="14"/>
      <c r="F616" s="14"/>
      <c r="G616" s="15"/>
      <c r="H616" s="8"/>
      <c r="I616" s="8"/>
      <c r="J616" s="89"/>
      <c r="K616" s="8"/>
      <c r="L616" s="8"/>
      <c r="M616" s="8" t="str">
        <f>IF(L616="","",
IF(AX616="PT",VLOOKUP(L616,Foundation_Calc!$V$4:$X$37,VLOOKUP(AX616,Foundation_Calc!$I$10:$J$13,2,FALSE),0),
IF(AX616="K",VLOOKUP(L616,Foundation_Calc!$V$41:$X$74,VLOOKUP(AX616,Foundation_Calc!$I$10:$J$13,2,FALSE),0),"")))</f>
        <v/>
      </c>
      <c r="N616" s="8"/>
      <c r="O616" s="8"/>
      <c r="P616" s="8"/>
      <c r="Q616" s="14"/>
      <c r="R616" s="15"/>
      <c r="S616" s="15"/>
      <c r="T616" s="14"/>
      <c r="U616" s="14"/>
      <c r="V616" s="14"/>
      <c r="W616" s="18"/>
      <c r="X616" s="18"/>
      <c r="Y616" s="18"/>
      <c r="Z616" s="18"/>
      <c r="AA616" s="18"/>
      <c r="AB616" s="18"/>
      <c r="AC616" s="8" t="str">
        <f t="shared" si="37"/>
        <v/>
      </c>
      <c r="AD616" s="8"/>
      <c r="AE616" s="8"/>
      <c r="AF616" s="14"/>
      <c r="AG616" s="13"/>
      <c r="AH616" s="14"/>
      <c r="AI616" s="14"/>
      <c r="AJ616" s="8"/>
      <c r="AK616" s="8"/>
      <c r="AL616" s="8"/>
      <c r="AM616" s="8"/>
      <c r="AN616" s="631"/>
      <c r="AO616" s="18"/>
      <c r="AP616" s="18"/>
      <c r="AQ616" s="18"/>
      <c r="AR616" s="18"/>
      <c r="AS616" s="18"/>
      <c r="AU616" s="448"/>
      <c r="AV616" s="448"/>
      <c r="AW616" s="8" t="str">
        <f>IF(C616&gt;0,VLOOKUP(C616,Foundation_Calc!$A$2:$C$986,3,1),
IF(J616&gt;0,VLOOKUP(J616,Foundation_Calc!$A$2:$C$986,3,1),""))</f>
        <v/>
      </c>
      <c r="AX616" s="8" t="str">
        <f>IF(C616&gt;0,VLOOKUP(C616,Foundation_Calc!$E$2:$G$986,3,1),
IF(J616&gt;0,VLOOKUP(J616,Foundation_Calc!$E$2:$G$986,3,1),""))</f>
        <v/>
      </c>
      <c r="AY616" s="631" t="str">
        <f>IF(L616="","",
IF(AX616="PT",VLOOKUP(L616,Foundation_Calc!$K$4:$R$37,VLOOKUP(AW616,Foundation_Calc!$I$2:$J$8,2,FALSE),0),
IF(AX616="K",VLOOKUP(L616,Foundation_Calc!$K$41:$R$74,VLOOKUP(AW616,Foundation_Calc!$I$2:$J$8,2,FALSE),0),"")))</f>
        <v/>
      </c>
      <c r="AZ616" s="631" t="str">
        <f>IF(K616="","",
IF(AX616="PT",VLOOKUP(K616,Foundation_Calc!$K$4:$R$37,VLOOKUP(AW616,Foundation_Calc!$I$2:$J$8,2,FALSE),0),
IF(AX616="K",VLOOKUP(K616,Foundation_Calc!$K$41:$R$74,VLOOKUP(AW616,Foundation_Calc!$I$2:$J$8,2,FALSE),0),"")))</f>
        <v/>
      </c>
      <c r="BA616" s="632" t="str">
        <f t="shared" si="38"/>
        <v/>
      </c>
      <c r="BB616" s="632" t="str">
        <f t="shared" si="39"/>
        <v/>
      </c>
      <c r="BC616" s="632" t="str">
        <f t="shared" si="40"/>
        <v/>
      </c>
      <c r="BD616" s="633" t="str">
        <f>IF(AND(L616="",H616=""),"",
IF(H616="",Pole_Calc!A644,
IF(H616="MP",Pole_Calc!A645,
IF(H616="AnMP",Pole_Calc!A646,
IF(H616="A",Pole_Calc!A647,
IF(H616="S/A",Pole_Calc!A648,
IF(H616="A/S",Pole_Calc!A649,"Poner a mano")))))))</f>
        <v/>
      </c>
      <c r="BE616" s="448" t="s">
        <v>1726</v>
      </c>
      <c r="BF616" s="634"/>
      <c r="BG616" s="634"/>
      <c r="BH616" s="634"/>
      <c r="BI616" s="634"/>
    </row>
    <row r="617" spans="1:61" ht="16.2" customHeight="1">
      <c r="A617" s="12"/>
      <c r="B617" s="446"/>
      <c r="C617" s="89"/>
      <c r="D617" s="13"/>
      <c r="E617" s="14"/>
      <c r="F617" s="14"/>
      <c r="G617" s="15"/>
      <c r="H617" s="8"/>
      <c r="I617" s="8"/>
      <c r="J617" s="89"/>
      <c r="K617" s="8"/>
      <c r="L617" s="8"/>
      <c r="M617" s="8" t="str">
        <f>IF(L617="","",
IF(AX617="PT",VLOOKUP(L617,Foundation_Calc!$V$4:$X$37,VLOOKUP(AX617,Foundation_Calc!$I$10:$J$13,2,FALSE),0),
IF(AX617="K",VLOOKUP(L617,Foundation_Calc!$V$41:$X$74,VLOOKUP(AX617,Foundation_Calc!$I$10:$J$13,2,FALSE),0),"")))</f>
        <v/>
      </c>
      <c r="N617" s="8"/>
      <c r="O617" s="8"/>
      <c r="P617" s="8"/>
      <c r="Q617" s="14"/>
      <c r="R617" s="15"/>
      <c r="S617" s="15"/>
      <c r="T617" s="14"/>
      <c r="U617" s="14"/>
      <c r="V617" s="14"/>
      <c r="W617" s="18"/>
      <c r="X617" s="18"/>
      <c r="Y617" s="18"/>
      <c r="Z617" s="18"/>
      <c r="AA617" s="18"/>
      <c r="AB617" s="18"/>
      <c r="AC617" s="8" t="str">
        <f t="shared" si="37"/>
        <v/>
      </c>
      <c r="AD617" s="8"/>
      <c r="AE617" s="8"/>
      <c r="AF617" s="14"/>
      <c r="AG617" s="13"/>
      <c r="AH617" s="14"/>
      <c r="AI617" s="14"/>
      <c r="AJ617" s="8"/>
      <c r="AK617" s="8"/>
      <c r="AL617" s="8"/>
      <c r="AM617" s="8"/>
      <c r="AN617" s="631"/>
      <c r="AO617" s="18"/>
      <c r="AP617" s="18"/>
      <c r="AQ617" s="18"/>
      <c r="AR617" s="18"/>
      <c r="AS617" s="18"/>
      <c r="AU617" s="448"/>
      <c r="AV617" s="448"/>
      <c r="AW617" s="8" t="str">
        <f>IF(C617&gt;0,VLOOKUP(C617,Foundation_Calc!$A$2:$C$986,3,1),
IF(J617&gt;0,VLOOKUP(J617,Foundation_Calc!$A$2:$C$986,3,1),""))</f>
        <v/>
      </c>
      <c r="AX617" s="8" t="str">
        <f>IF(C617&gt;0,VLOOKUP(C617,Foundation_Calc!$E$2:$G$986,3,1),
IF(J617&gt;0,VLOOKUP(J617,Foundation_Calc!$E$2:$G$986,3,1),""))</f>
        <v/>
      </c>
      <c r="AY617" s="631" t="str">
        <f>IF(L617="","",
IF(AX617="PT",VLOOKUP(L617,Foundation_Calc!$K$4:$R$37,VLOOKUP(AW617,Foundation_Calc!$I$2:$J$8,2,FALSE),0),
IF(AX617="K",VLOOKUP(L617,Foundation_Calc!$K$41:$R$74,VLOOKUP(AW617,Foundation_Calc!$I$2:$J$8,2,FALSE),0),"")))</f>
        <v/>
      </c>
      <c r="AZ617" s="631" t="str">
        <f>IF(K617="","",
IF(AX617="PT",VLOOKUP(K617,Foundation_Calc!$K$4:$R$37,VLOOKUP(AW617,Foundation_Calc!$I$2:$J$8,2,FALSE),0),
IF(AX617="K",VLOOKUP(K617,Foundation_Calc!$K$41:$R$74,VLOOKUP(AW617,Foundation_Calc!$I$2:$J$8,2,FALSE),0),"")))</f>
        <v/>
      </c>
      <c r="BA617" s="632" t="str">
        <f t="shared" si="38"/>
        <v/>
      </c>
      <c r="BB617" s="632" t="str">
        <f t="shared" si="39"/>
        <v/>
      </c>
      <c r="BC617" s="632" t="str">
        <f t="shared" si="40"/>
        <v/>
      </c>
      <c r="BD617" s="633" t="str">
        <f>IF(AND(L617="",H617=""),"",
IF(H617="",Pole_Calc!A645,
IF(H617="MP",Pole_Calc!A646,
IF(H617="AnMP",Pole_Calc!A647,
IF(H617="A",Pole_Calc!A648,
IF(H617="S/A",Pole_Calc!A649,
IF(H617="A/S",Pole_Calc!A650,"Poner a mano")))))))</f>
        <v/>
      </c>
      <c r="BE617" s="448" t="s">
        <v>1726</v>
      </c>
      <c r="BF617" s="635"/>
      <c r="BG617" s="635"/>
      <c r="BH617" s="634"/>
      <c r="BI617" s="635"/>
    </row>
    <row r="618" spans="1:61" ht="16.2" customHeight="1">
      <c r="A618" s="12"/>
      <c r="B618" s="446"/>
      <c r="C618" s="89"/>
      <c r="D618" s="13"/>
      <c r="E618" s="14"/>
      <c r="F618" s="14"/>
      <c r="G618" s="15"/>
      <c r="H618" s="8"/>
      <c r="I618" s="8"/>
      <c r="J618" s="89"/>
      <c r="K618" s="8"/>
      <c r="L618" s="8"/>
      <c r="M618" s="8" t="str">
        <f>IF(L618="","",
IF(AX618="PT",VLOOKUP(L618,Foundation_Calc!$V$4:$X$37,VLOOKUP(AX618,Foundation_Calc!$I$10:$J$13,2,FALSE),0),
IF(AX618="K",VLOOKUP(L618,Foundation_Calc!$V$41:$X$74,VLOOKUP(AX618,Foundation_Calc!$I$10:$J$13,2,FALSE),0),"")))</f>
        <v/>
      </c>
      <c r="N618" s="8"/>
      <c r="O618" s="8"/>
      <c r="P618" s="8"/>
      <c r="Q618" s="14"/>
      <c r="R618" s="15"/>
      <c r="S618" s="15"/>
      <c r="T618" s="14"/>
      <c r="U618" s="14"/>
      <c r="V618" s="14"/>
      <c r="W618" s="18"/>
      <c r="X618" s="18"/>
      <c r="Y618" s="18"/>
      <c r="Z618" s="18"/>
      <c r="AA618" s="18"/>
      <c r="AB618" s="18"/>
      <c r="AC618" s="8" t="str">
        <f t="shared" si="37"/>
        <v/>
      </c>
      <c r="AD618" s="8"/>
      <c r="AE618" s="8"/>
      <c r="AF618" s="14"/>
      <c r="AG618" s="13"/>
      <c r="AH618" s="14"/>
      <c r="AI618" s="14"/>
      <c r="AJ618" s="8"/>
      <c r="AK618" s="8"/>
      <c r="AL618" s="8"/>
      <c r="AM618" s="8"/>
      <c r="AN618" s="631"/>
      <c r="AO618" s="18"/>
      <c r="AP618" s="18"/>
      <c r="AQ618" s="18"/>
      <c r="AR618" s="18"/>
      <c r="AS618" s="18"/>
      <c r="AU618" s="448"/>
      <c r="AV618" s="448"/>
      <c r="AW618" s="8" t="str">
        <f>IF(C618&gt;0,VLOOKUP(C618,Foundation_Calc!$A$2:$C$986,3,1),
IF(J618&gt;0,VLOOKUP(J618,Foundation_Calc!$A$2:$C$986,3,1),""))</f>
        <v/>
      </c>
      <c r="AX618" s="8" t="str">
        <f>IF(C618&gt;0,VLOOKUP(C618,Foundation_Calc!$E$2:$G$986,3,1),
IF(J618&gt;0,VLOOKUP(J618,Foundation_Calc!$E$2:$G$986,3,1),""))</f>
        <v/>
      </c>
      <c r="AY618" s="631" t="str">
        <f>IF(L618="","",
IF(AX618="PT",VLOOKUP(L618,Foundation_Calc!$K$4:$R$37,VLOOKUP(AW618,Foundation_Calc!$I$2:$J$8,2,FALSE),0),
IF(AX618="K",VLOOKUP(L618,Foundation_Calc!$K$41:$R$74,VLOOKUP(AW618,Foundation_Calc!$I$2:$J$8,2,FALSE),0),"")))</f>
        <v/>
      </c>
      <c r="AZ618" s="631" t="str">
        <f>IF(K618="","",
IF(AX618="PT",VLOOKUP(K618,Foundation_Calc!$K$4:$R$37,VLOOKUP(AW618,Foundation_Calc!$I$2:$J$8,2,FALSE),0),
IF(AX618="K",VLOOKUP(K618,Foundation_Calc!$K$41:$R$74,VLOOKUP(AW618,Foundation_Calc!$I$2:$J$8,2,FALSE),0),"")))</f>
        <v/>
      </c>
      <c r="BA618" s="632" t="str">
        <f t="shared" si="38"/>
        <v/>
      </c>
      <c r="BB618" s="632" t="str">
        <f t="shared" si="39"/>
        <v/>
      </c>
      <c r="BC618" s="632" t="str">
        <f t="shared" si="40"/>
        <v/>
      </c>
      <c r="BD618" s="633" t="str">
        <f>IF(AND(L618="",H618=""),"",
IF(H618="",Pole_Calc!A646,
IF(H618="MP",Pole_Calc!A647,
IF(H618="AnMP",Pole_Calc!A648,
IF(H618="A",Pole_Calc!A649,
IF(H618="S/A",Pole_Calc!A650,
IF(H618="A/S",Pole_Calc!A651,"Poner a mano")))))))</f>
        <v/>
      </c>
      <c r="BE618" s="448" t="s">
        <v>1726</v>
      </c>
      <c r="BF618" s="634"/>
      <c r="BG618" s="634"/>
      <c r="BH618" s="634"/>
      <c r="BI618" s="634"/>
    </row>
    <row r="619" spans="1:61" ht="16.2" customHeight="1">
      <c r="A619" s="12"/>
      <c r="B619" s="446"/>
      <c r="C619" s="89"/>
      <c r="D619" s="13"/>
      <c r="E619" s="14"/>
      <c r="F619" s="14"/>
      <c r="G619" s="15"/>
      <c r="H619" s="8"/>
      <c r="I619" s="8"/>
      <c r="J619" s="89"/>
      <c r="K619" s="8"/>
      <c r="L619" s="8"/>
      <c r="M619" s="8" t="str">
        <f>IF(L619="","",
IF(AX619="PT",VLOOKUP(L619,Foundation_Calc!$V$4:$X$37,VLOOKUP(AX619,Foundation_Calc!$I$10:$J$13,2,FALSE),0),
IF(AX619="K",VLOOKUP(L619,Foundation_Calc!$V$41:$X$74,VLOOKUP(AX619,Foundation_Calc!$I$10:$J$13,2,FALSE),0),"")))</f>
        <v/>
      </c>
      <c r="N619" s="8"/>
      <c r="O619" s="8"/>
      <c r="P619" s="8"/>
      <c r="Q619" s="14"/>
      <c r="R619" s="15"/>
      <c r="S619" s="15"/>
      <c r="T619" s="14"/>
      <c r="U619" s="14"/>
      <c r="V619" s="14"/>
      <c r="W619" s="18"/>
      <c r="X619" s="18"/>
      <c r="Y619" s="18"/>
      <c r="Z619" s="18"/>
      <c r="AA619" s="18"/>
      <c r="AB619" s="18"/>
      <c r="AC619" s="8" t="str">
        <f t="shared" si="37"/>
        <v/>
      </c>
      <c r="AD619" s="8"/>
      <c r="AE619" s="8"/>
      <c r="AF619" s="14"/>
      <c r="AG619" s="13"/>
      <c r="AH619" s="14"/>
      <c r="AI619" s="14"/>
      <c r="AJ619" s="8"/>
      <c r="AK619" s="8"/>
      <c r="AL619" s="8"/>
      <c r="AM619" s="8"/>
      <c r="AN619" s="631"/>
      <c r="AO619" s="18"/>
      <c r="AP619" s="18"/>
      <c r="AQ619" s="18"/>
      <c r="AR619" s="18"/>
      <c r="AS619" s="18"/>
      <c r="AU619" s="448"/>
      <c r="AV619" s="448"/>
      <c r="AW619" s="8" t="str">
        <f>IF(C619&gt;0,VLOOKUP(C619,Foundation_Calc!$A$2:$C$986,3,1),
IF(J619&gt;0,VLOOKUP(J619,Foundation_Calc!$A$2:$C$986,3,1),""))</f>
        <v/>
      </c>
      <c r="AX619" s="8" t="str">
        <f>IF(C619&gt;0,VLOOKUP(C619,Foundation_Calc!$E$2:$G$986,3,1),
IF(J619&gt;0,VLOOKUP(J619,Foundation_Calc!$E$2:$G$986,3,1),""))</f>
        <v/>
      </c>
      <c r="AY619" s="631" t="str">
        <f>IF(L619="","",
IF(AX619="PT",VLOOKUP(L619,Foundation_Calc!$K$4:$R$37,VLOOKUP(AW619,Foundation_Calc!$I$2:$J$8,2,FALSE),0),
IF(AX619="K",VLOOKUP(L619,Foundation_Calc!$K$41:$R$74,VLOOKUP(AW619,Foundation_Calc!$I$2:$J$8,2,FALSE),0),"")))</f>
        <v/>
      </c>
      <c r="AZ619" s="631" t="str">
        <f>IF(K619="","",
IF(AX619="PT",VLOOKUP(K619,Foundation_Calc!$K$4:$R$37,VLOOKUP(AW619,Foundation_Calc!$I$2:$J$8,2,FALSE),0),
IF(AX619="K",VLOOKUP(K619,Foundation_Calc!$K$41:$R$74,VLOOKUP(AW619,Foundation_Calc!$I$2:$J$8,2,FALSE),0),"")))</f>
        <v/>
      </c>
      <c r="BA619" s="632" t="str">
        <f t="shared" si="38"/>
        <v/>
      </c>
      <c r="BB619" s="632" t="str">
        <f t="shared" si="39"/>
        <v/>
      </c>
      <c r="BC619" s="632" t="str">
        <f t="shared" si="40"/>
        <v/>
      </c>
      <c r="BD619" s="633" t="str">
        <f>IF(AND(L619="",H619=""),"",
IF(H619="",Pole_Calc!A647,
IF(H619="MP",Pole_Calc!A648,
IF(H619="AnMP",Pole_Calc!A649,
IF(H619="A",Pole_Calc!A650,
IF(H619="S/A",Pole_Calc!A651,
IF(H619="A/S",Pole_Calc!A652,"Poner a mano")))))))</f>
        <v/>
      </c>
      <c r="BE619" s="448" t="s">
        <v>1726</v>
      </c>
      <c r="BF619" s="635"/>
      <c r="BG619" s="635"/>
      <c r="BH619" s="634"/>
      <c r="BI619" s="635"/>
    </row>
    <row r="620" spans="1:61" ht="16.2" customHeight="1">
      <c r="A620" s="12"/>
      <c r="B620" s="446"/>
      <c r="C620" s="89"/>
      <c r="D620" s="13"/>
      <c r="E620" s="14"/>
      <c r="F620" s="14"/>
      <c r="G620" s="15"/>
      <c r="H620" s="8"/>
      <c r="I620" s="8"/>
      <c r="J620" s="89"/>
      <c r="K620" s="8"/>
      <c r="L620" s="8"/>
      <c r="M620" s="8" t="str">
        <f>IF(L620="","",
IF(AX620="PT",VLOOKUP(L620,Foundation_Calc!$V$4:$X$37,VLOOKUP(AX620,Foundation_Calc!$I$10:$J$13,2,FALSE),0),
IF(AX620="K",VLOOKUP(L620,Foundation_Calc!$V$41:$X$74,VLOOKUP(AX620,Foundation_Calc!$I$10:$J$13,2,FALSE),0),"")))</f>
        <v/>
      </c>
      <c r="N620" s="8"/>
      <c r="O620" s="8"/>
      <c r="P620" s="8"/>
      <c r="Q620" s="14"/>
      <c r="R620" s="15"/>
      <c r="S620" s="15"/>
      <c r="T620" s="14"/>
      <c r="U620" s="14"/>
      <c r="V620" s="14"/>
      <c r="W620" s="18"/>
      <c r="X620" s="18"/>
      <c r="Y620" s="18"/>
      <c r="Z620" s="18"/>
      <c r="AA620" s="18"/>
      <c r="AB620" s="18"/>
      <c r="AC620" s="8" t="str">
        <f t="shared" si="37"/>
        <v/>
      </c>
      <c r="AD620" s="8"/>
      <c r="AE620" s="8"/>
      <c r="AF620" s="14"/>
      <c r="AG620" s="13"/>
      <c r="AH620" s="14"/>
      <c r="AI620" s="14"/>
      <c r="AJ620" s="8"/>
      <c r="AK620" s="8"/>
      <c r="AL620" s="8"/>
      <c r="AM620" s="8"/>
      <c r="AN620" s="631"/>
      <c r="AO620" s="18"/>
      <c r="AP620" s="18"/>
      <c r="AQ620" s="18"/>
      <c r="AR620" s="18"/>
      <c r="AS620" s="18"/>
      <c r="AU620" s="448"/>
      <c r="AV620" s="448"/>
      <c r="AW620" s="8" t="str">
        <f>IF(C620&gt;0,VLOOKUP(C620,Foundation_Calc!$A$2:$C$986,3,1),
IF(J620&gt;0,VLOOKUP(J620,Foundation_Calc!$A$2:$C$986,3,1),""))</f>
        <v/>
      </c>
      <c r="AX620" s="8" t="str">
        <f>IF(C620&gt;0,VLOOKUP(C620,Foundation_Calc!$E$2:$G$986,3,1),
IF(J620&gt;0,VLOOKUP(J620,Foundation_Calc!$E$2:$G$986,3,1),""))</f>
        <v/>
      </c>
      <c r="AY620" s="631" t="str">
        <f>IF(L620="","",
IF(AX620="PT",VLOOKUP(L620,Foundation_Calc!$K$4:$R$37,VLOOKUP(AW620,Foundation_Calc!$I$2:$J$8,2,FALSE),0),
IF(AX620="K",VLOOKUP(L620,Foundation_Calc!$K$41:$R$74,VLOOKUP(AW620,Foundation_Calc!$I$2:$J$8,2,FALSE),0),"")))</f>
        <v/>
      </c>
      <c r="AZ620" s="631" t="str">
        <f>IF(K620="","",
IF(AX620="PT",VLOOKUP(K620,Foundation_Calc!$K$4:$R$37,VLOOKUP(AW620,Foundation_Calc!$I$2:$J$8,2,FALSE),0),
IF(AX620="K",VLOOKUP(K620,Foundation_Calc!$K$41:$R$74,VLOOKUP(AW620,Foundation_Calc!$I$2:$J$8,2,FALSE),0),"")))</f>
        <v/>
      </c>
      <c r="BA620" s="632" t="str">
        <f t="shared" si="38"/>
        <v/>
      </c>
      <c r="BB620" s="632" t="str">
        <f t="shared" si="39"/>
        <v/>
      </c>
      <c r="BC620" s="632" t="str">
        <f t="shared" si="40"/>
        <v/>
      </c>
      <c r="BD620" s="633" t="str">
        <f>IF(AND(L620="",H620=""),"",
IF(H620="",Pole_Calc!A648,
IF(H620="MP",Pole_Calc!A649,
IF(H620="AnMP",Pole_Calc!A650,
IF(H620="A",Pole_Calc!A651,
IF(H620="S/A",Pole_Calc!A652,
IF(H620="A/S",Pole_Calc!A653,"Poner a mano")))))))</f>
        <v/>
      </c>
      <c r="BE620" s="448" t="s">
        <v>1726</v>
      </c>
      <c r="BF620" s="634"/>
      <c r="BG620" s="634"/>
      <c r="BH620" s="634"/>
      <c r="BI620" s="634"/>
    </row>
    <row r="621" spans="1:61" ht="16.2" customHeight="1">
      <c r="A621" s="12"/>
      <c r="B621" s="446"/>
      <c r="C621" s="89"/>
      <c r="D621" s="13"/>
      <c r="E621" s="14"/>
      <c r="F621" s="14"/>
      <c r="G621" s="15"/>
      <c r="H621" s="8"/>
      <c r="I621" s="8"/>
      <c r="J621" s="89"/>
      <c r="K621" s="8"/>
      <c r="L621" s="8"/>
      <c r="M621" s="8" t="str">
        <f>IF(L621="","",
IF(AX621="PT",VLOOKUP(L621,Foundation_Calc!$V$4:$X$37,VLOOKUP(AX621,Foundation_Calc!$I$10:$J$13,2,FALSE),0),
IF(AX621="K",VLOOKUP(L621,Foundation_Calc!$V$41:$X$74,VLOOKUP(AX621,Foundation_Calc!$I$10:$J$13,2,FALSE),0),"")))</f>
        <v/>
      </c>
      <c r="N621" s="8"/>
      <c r="O621" s="8"/>
      <c r="P621" s="8"/>
      <c r="Q621" s="14"/>
      <c r="R621" s="15"/>
      <c r="S621" s="15"/>
      <c r="T621" s="14"/>
      <c r="U621" s="14"/>
      <c r="V621" s="14"/>
      <c r="W621" s="18"/>
      <c r="X621" s="18"/>
      <c r="Y621" s="18"/>
      <c r="Z621" s="18"/>
      <c r="AA621" s="18"/>
      <c r="AB621" s="18"/>
      <c r="AC621" s="8" t="str">
        <f t="shared" si="37"/>
        <v/>
      </c>
      <c r="AD621" s="8"/>
      <c r="AE621" s="8"/>
      <c r="AF621" s="14"/>
      <c r="AG621" s="13"/>
      <c r="AH621" s="14"/>
      <c r="AI621" s="14"/>
      <c r="AJ621" s="8"/>
      <c r="AK621" s="8"/>
      <c r="AL621" s="8"/>
      <c r="AM621" s="8"/>
      <c r="AN621" s="631"/>
      <c r="AO621" s="18"/>
      <c r="AP621" s="18"/>
      <c r="AQ621" s="18"/>
      <c r="AR621" s="18"/>
      <c r="AS621" s="18"/>
      <c r="AU621" s="448"/>
      <c r="AV621" s="448"/>
      <c r="AW621" s="8" t="str">
        <f>IF(C621&gt;0,VLOOKUP(C621,Foundation_Calc!$A$2:$C$986,3,1),
IF(J621&gt;0,VLOOKUP(J621,Foundation_Calc!$A$2:$C$986,3,1),""))</f>
        <v/>
      </c>
      <c r="AX621" s="8" t="str">
        <f>IF(C621&gt;0,VLOOKUP(C621,Foundation_Calc!$E$2:$G$986,3,1),
IF(J621&gt;0,VLOOKUP(J621,Foundation_Calc!$E$2:$G$986,3,1),""))</f>
        <v/>
      </c>
      <c r="AY621" s="631" t="str">
        <f>IF(L621="","",
IF(AX621="PT",VLOOKUP(L621,Foundation_Calc!$K$4:$R$37,VLOOKUP(AW621,Foundation_Calc!$I$2:$J$8,2,FALSE),0),
IF(AX621="K",VLOOKUP(L621,Foundation_Calc!$K$41:$R$74,VLOOKUP(AW621,Foundation_Calc!$I$2:$J$8,2,FALSE),0),"")))</f>
        <v/>
      </c>
      <c r="AZ621" s="631" t="str">
        <f>IF(K621="","",
IF(AX621="PT",VLOOKUP(K621,Foundation_Calc!$K$4:$R$37,VLOOKUP(AW621,Foundation_Calc!$I$2:$J$8,2,FALSE),0),
IF(AX621="K",VLOOKUP(K621,Foundation_Calc!$K$41:$R$74,VLOOKUP(AW621,Foundation_Calc!$I$2:$J$8,2,FALSE),0),"")))</f>
        <v/>
      </c>
      <c r="BA621" s="632" t="str">
        <f t="shared" si="38"/>
        <v/>
      </c>
      <c r="BB621" s="632" t="str">
        <f t="shared" si="39"/>
        <v/>
      </c>
      <c r="BC621" s="632" t="str">
        <f t="shared" si="40"/>
        <v/>
      </c>
      <c r="BD621" s="633" t="str">
        <f>IF(AND(L621="",H621=""),"",
IF(H621="",Pole_Calc!A649,
IF(H621="MP",Pole_Calc!A650,
IF(H621="AnMP",Pole_Calc!A651,
IF(H621="A",Pole_Calc!A652,
IF(H621="S/A",Pole_Calc!A653,
IF(H621="A/S",Pole_Calc!A654,"Poner a mano")))))))</f>
        <v/>
      </c>
      <c r="BE621" s="448" t="s">
        <v>1726</v>
      </c>
      <c r="BF621" s="635"/>
      <c r="BG621" s="635"/>
      <c r="BH621" s="634"/>
      <c r="BI621" s="635"/>
    </row>
    <row r="622" spans="1:61" ht="16.2" customHeight="1">
      <c r="A622" s="12"/>
      <c r="B622" s="446"/>
      <c r="C622" s="89"/>
      <c r="D622" s="13"/>
      <c r="E622" s="14"/>
      <c r="F622" s="14"/>
      <c r="G622" s="15"/>
      <c r="H622" s="8"/>
      <c r="I622" s="8"/>
      <c r="J622" s="89"/>
      <c r="K622" s="8"/>
      <c r="L622" s="8"/>
      <c r="M622" s="8" t="str">
        <f>IF(L622="","",
IF(AX622="PT",VLOOKUP(L622,Foundation_Calc!$V$4:$X$37,VLOOKUP(AX622,Foundation_Calc!$I$10:$J$13,2,FALSE),0),
IF(AX622="K",VLOOKUP(L622,Foundation_Calc!$V$41:$X$74,VLOOKUP(AX622,Foundation_Calc!$I$10:$J$13,2,FALSE),0),"")))</f>
        <v/>
      </c>
      <c r="N622" s="8"/>
      <c r="O622" s="8"/>
      <c r="P622" s="8"/>
      <c r="Q622" s="14"/>
      <c r="R622" s="15"/>
      <c r="S622" s="15"/>
      <c r="T622" s="14"/>
      <c r="U622" s="14"/>
      <c r="V622" s="14"/>
      <c r="W622" s="18"/>
      <c r="X622" s="18"/>
      <c r="Y622" s="18"/>
      <c r="Z622" s="18"/>
      <c r="AA622" s="18"/>
      <c r="AB622" s="18"/>
      <c r="AC622" s="8" t="str">
        <f t="shared" si="37"/>
        <v/>
      </c>
      <c r="AD622" s="8"/>
      <c r="AE622" s="8"/>
      <c r="AF622" s="14"/>
      <c r="AG622" s="13"/>
      <c r="AH622" s="14"/>
      <c r="AI622" s="14"/>
      <c r="AJ622" s="8"/>
      <c r="AK622" s="8"/>
      <c r="AL622" s="8"/>
      <c r="AM622" s="8"/>
      <c r="AN622" s="631"/>
      <c r="AO622" s="18"/>
      <c r="AP622" s="18"/>
      <c r="AQ622" s="18"/>
      <c r="AR622" s="18"/>
      <c r="AS622" s="18"/>
      <c r="AU622" s="448"/>
      <c r="AV622" s="448"/>
      <c r="AW622" s="8" t="str">
        <f>IF(C622&gt;0,VLOOKUP(C622,Foundation_Calc!$A$2:$C$986,3,1),
IF(J622&gt;0,VLOOKUP(J622,Foundation_Calc!$A$2:$C$986,3,1),""))</f>
        <v/>
      </c>
      <c r="AX622" s="8" t="str">
        <f>IF(C622&gt;0,VLOOKUP(C622,Foundation_Calc!$E$2:$G$986,3,1),
IF(J622&gt;0,VLOOKUP(J622,Foundation_Calc!$E$2:$G$986,3,1),""))</f>
        <v/>
      </c>
      <c r="AY622" s="631" t="str">
        <f>IF(L622="","",
IF(AX622="PT",VLOOKUP(L622,Foundation_Calc!$K$4:$R$37,VLOOKUP(AW622,Foundation_Calc!$I$2:$J$8,2,FALSE),0),
IF(AX622="K",VLOOKUP(L622,Foundation_Calc!$K$41:$R$74,VLOOKUP(AW622,Foundation_Calc!$I$2:$J$8,2,FALSE),0),"")))</f>
        <v/>
      </c>
      <c r="AZ622" s="631" t="str">
        <f>IF(K622="","",
IF(AX622="PT",VLOOKUP(K622,Foundation_Calc!$K$4:$R$37,VLOOKUP(AW622,Foundation_Calc!$I$2:$J$8,2,FALSE),0),
IF(AX622="K",VLOOKUP(K622,Foundation_Calc!$K$41:$R$74,VLOOKUP(AW622,Foundation_Calc!$I$2:$J$8,2,FALSE),0),"")))</f>
        <v/>
      </c>
      <c r="BA622" s="632" t="str">
        <f t="shared" si="38"/>
        <v/>
      </c>
      <c r="BB622" s="632" t="str">
        <f t="shared" si="39"/>
        <v/>
      </c>
      <c r="BC622" s="632" t="str">
        <f t="shared" si="40"/>
        <v/>
      </c>
      <c r="BD622" s="633" t="str">
        <f>IF(AND(L622="",H622=""),"",
IF(H622="",Pole_Calc!A650,
IF(H622="MP",Pole_Calc!A651,
IF(H622="AnMP",Pole_Calc!A652,
IF(H622="A",Pole_Calc!A653,
IF(H622="S/A",Pole_Calc!A654,
IF(H622="A/S",Pole_Calc!A655,"Poner a mano")))))))</f>
        <v/>
      </c>
      <c r="BE622" s="448" t="s">
        <v>1726</v>
      </c>
      <c r="BF622" s="634"/>
      <c r="BG622" s="634"/>
      <c r="BH622" s="634"/>
      <c r="BI622" s="634"/>
    </row>
    <row r="623" spans="1:61" ht="16.2" customHeight="1">
      <c r="A623" s="12"/>
      <c r="B623" s="446"/>
      <c r="C623" s="89"/>
      <c r="D623" s="13"/>
      <c r="E623" s="14"/>
      <c r="F623" s="14"/>
      <c r="G623" s="15"/>
      <c r="H623" s="8"/>
      <c r="I623" s="8"/>
      <c r="J623" s="89"/>
      <c r="K623" s="8"/>
      <c r="L623" s="8"/>
      <c r="M623" s="8" t="str">
        <f>IF(L623="","",
IF(AX623="PT",VLOOKUP(L623,Foundation_Calc!$V$4:$X$37,VLOOKUP(AX623,Foundation_Calc!$I$10:$J$13,2,FALSE),0),
IF(AX623="K",VLOOKUP(L623,Foundation_Calc!$V$41:$X$74,VLOOKUP(AX623,Foundation_Calc!$I$10:$J$13,2,FALSE),0),"")))</f>
        <v/>
      </c>
      <c r="N623" s="8"/>
      <c r="O623" s="8"/>
      <c r="P623" s="8"/>
      <c r="Q623" s="14"/>
      <c r="R623" s="15"/>
      <c r="S623" s="15"/>
      <c r="T623" s="14"/>
      <c r="U623" s="14"/>
      <c r="V623" s="14"/>
      <c r="W623" s="18"/>
      <c r="X623" s="18"/>
      <c r="Y623" s="18"/>
      <c r="Z623" s="18"/>
      <c r="AA623" s="18"/>
      <c r="AB623" s="18"/>
      <c r="AC623" s="8" t="str">
        <f t="shared" si="37"/>
        <v/>
      </c>
      <c r="AD623" s="8"/>
      <c r="AE623" s="8"/>
      <c r="AF623" s="14"/>
      <c r="AG623" s="13"/>
      <c r="AH623" s="14"/>
      <c r="AI623" s="14"/>
      <c r="AJ623" s="8"/>
      <c r="AK623" s="8"/>
      <c r="AL623" s="8"/>
      <c r="AM623" s="8"/>
      <c r="AN623" s="631"/>
      <c r="AO623" s="18"/>
      <c r="AP623" s="18"/>
      <c r="AQ623" s="18"/>
      <c r="AR623" s="18"/>
      <c r="AS623" s="18"/>
      <c r="AU623" s="448"/>
      <c r="AV623" s="448"/>
      <c r="AW623" s="8" t="str">
        <f>IF(C623&gt;0,VLOOKUP(C623,Foundation_Calc!$A$2:$C$986,3,1),
IF(J623&gt;0,VLOOKUP(J623,Foundation_Calc!$A$2:$C$986,3,1),""))</f>
        <v/>
      </c>
      <c r="AX623" s="8" t="str">
        <f>IF(C623&gt;0,VLOOKUP(C623,Foundation_Calc!$E$2:$G$986,3,1),
IF(J623&gt;0,VLOOKUP(J623,Foundation_Calc!$E$2:$G$986,3,1),""))</f>
        <v/>
      </c>
      <c r="AY623" s="631" t="str">
        <f>IF(L623="","",
IF(AX623="PT",VLOOKUP(L623,Foundation_Calc!$K$4:$R$37,VLOOKUP(AW623,Foundation_Calc!$I$2:$J$8,2,FALSE),0),
IF(AX623="K",VLOOKUP(L623,Foundation_Calc!$K$41:$R$74,VLOOKUP(AW623,Foundation_Calc!$I$2:$J$8,2,FALSE),0),"")))</f>
        <v/>
      </c>
      <c r="AZ623" s="631" t="str">
        <f>IF(K623="","",
IF(AX623="PT",VLOOKUP(K623,Foundation_Calc!$K$4:$R$37,VLOOKUP(AW623,Foundation_Calc!$I$2:$J$8,2,FALSE),0),
IF(AX623="K",VLOOKUP(K623,Foundation_Calc!$K$41:$R$74,VLOOKUP(AW623,Foundation_Calc!$I$2:$J$8,2,FALSE),0),"")))</f>
        <v/>
      </c>
      <c r="BA623" s="632" t="str">
        <f t="shared" si="38"/>
        <v/>
      </c>
      <c r="BB623" s="632" t="str">
        <f t="shared" si="39"/>
        <v/>
      </c>
      <c r="BC623" s="632" t="str">
        <f t="shared" si="40"/>
        <v/>
      </c>
      <c r="BD623" s="633" t="str">
        <f>IF(AND(L623="",H623=""),"",
IF(H623="",Pole_Calc!A651,
IF(H623="MP",Pole_Calc!A652,
IF(H623="AnMP",Pole_Calc!A653,
IF(H623="A",Pole_Calc!A654,
IF(H623="S/A",Pole_Calc!A655,
IF(H623="A/S",Pole_Calc!A656,"Poner a mano")))))))</f>
        <v/>
      </c>
      <c r="BE623" s="448" t="s">
        <v>1726</v>
      </c>
      <c r="BF623" s="635"/>
      <c r="BG623" s="635"/>
      <c r="BH623" s="634"/>
      <c r="BI623" s="635"/>
    </row>
    <row r="624" spans="1:61" ht="16.2" customHeight="1">
      <c r="A624" s="12"/>
      <c r="B624" s="446"/>
      <c r="C624" s="89"/>
      <c r="D624" s="13"/>
      <c r="E624" s="14"/>
      <c r="F624" s="14"/>
      <c r="G624" s="15"/>
      <c r="H624" s="8"/>
      <c r="I624" s="8"/>
      <c r="J624" s="89"/>
      <c r="K624" s="8"/>
      <c r="L624" s="8"/>
      <c r="M624" s="8" t="str">
        <f>IF(L624="","",
IF(AX624="PT",VLOOKUP(L624,Foundation_Calc!$V$4:$X$37,VLOOKUP(AX624,Foundation_Calc!$I$10:$J$13,2,FALSE),0),
IF(AX624="K",VLOOKUP(L624,Foundation_Calc!$V$41:$X$74,VLOOKUP(AX624,Foundation_Calc!$I$10:$J$13,2,FALSE),0),"")))</f>
        <v/>
      </c>
      <c r="N624" s="8"/>
      <c r="O624" s="8"/>
      <c r="P624" s="8"/>
      <c r="Q624" s="14"/>
      <c r="R624" s="15"/>
      <c r="S624" s="15"/>
      <c r="T624" s="14"/>
      <c r="U624" s="14"/>
      <c r="V624" s="14"/>
      <c r="W624" s="18"/>
      <c r="X624" s="18"/>
      <c r="Y624" s="18"/>
      <c r="Z624" s="18"/>
      <c r="AA624" s="18"/>
      <c r="AB624" s="18"/>
      <c r="AC624" s="8" t="str">
        <f t="shared" si="37"/>
        <v/>
      </c>
      <c r="AD624" s="8"/>
      <c r="AE624" s="8"/>
      <c r="AF624" s="14"/>
      <c r="AG624" s="13"/>
      <c r="AH624" s="14"/>
      <c r="AI624" s="14"/>
      <c r="AJ624" s="8"/>
      <c r="AK624" s="8"/>
      <c r="AL624" s="8"/>
      <c r="AM624" s="8"/>
      <c r="AN624" s="631"/>
      <c r="AO624" s="18"/>
      <c r="AP624" s="18"/>
      <c r="AQ624" s="18"/>
      <c r="AR624" s="18"/>
      <c r="AS624" s="18"/>
      <c r="AU624" s="448"/>
      <c r="AV624" s="448"/>
      <c r="AW624" s="8" t="str">
        <f>IF(C624&gt;0,VLOOKUP(C624,Foundation_Calc!$A$2:$C$986,3,1),
IF(J624&gt;0,VLOOKUP(J624,Foundation_Calc!$A$2:$C$986,3,1),""))</f>
        <v/>
      </c>
      <c r="AX624" s="8" t="str">
        <f>IF(C624&gt;0,VLOOKUP(C624,Foundation_Calc!$E$2:$G$986,3,1),
IF(J624&gt;0,VLOOKUP(J624,Foundation_Calc!$E$2:$G$986,3,1),""))</f>
        <v/>
      </c>
      <c r="AY624" s="631" t="str">
        <f>IF(L624="","",
IF(AX624="PT",VLOOKUP(L624,Foundation_Calc!$K$4:$R$37,VLOOKUP(AW624,Foundation_Calc!$I$2:$J$8,2,FALSE),0),
IF(AX624="K",VLOOKUP(L624,Foundation_Calc!$K$41:$R$74,VLOOKUP(AW624,Foundation_Calc!$I$2:$J$8,2,FALSE),0),"")))</f>
        <v/>
      </c>
      <c r="AZ624" s="631" t="str">
        <f>IF(K624="","",
IF(AX624="PT",VLOOKUP(K624,Foundation_Calc!$K$4:$R$37,VLOOKUP(AW624,Foundation_Calc!$I$2:$J$8,2,FALSE),0),
IF(AX624="K",VLOOKUP(K624,Foundation_Calc!$K$41:$R$74,VLOOKUP(AW624,Foundation_Calc!$I$2:$J$8,2,FALSE),0),"")))</f>
        <v/>
      </c>
      <c r="BA624" s="632" t="str">
        <f t="shared" si="38"/>
        <v/>
      </c>
      <c r="BB624" s="632" t="str">
        <f t="shared" si="39"/>
        <v/>
      </c>
      <c r="BC624" s="632" t="str">
        <f t="shared" si="40"/>
        <v/>
      </c>
      <c r="BD624" s="633" t="str">
        <f>IF(AND(L624="",H624=""),"",
IF(H624="",Pole_Calc!A652,
IF(H624="MP",Pole_Calc!A653,
IF(H624="AnMP",Pole_Calc!A654,
IF(H624="A",Pole_Calc!A655,
IF(H624="S/A",Pole_Calc!A656,
IF(H624="A/S",Pole_Calc!A657,"Poner a mano")))))))</f>
        <v/>
      </c>
      <c r="BE624" s="448" t="s">
        <v>1726</v>
      </c>
      <c r="BF624" s="634"/>
      <c r="BG624" s="634"/>
      <c r="BH624" s="634"/>
      <c r="BI624" s="634"/>
    </row>
    <row r="625" spans="1:61" ht="16.2" customHeight="1">
      <c r="A625" s="12"/>
      <c r="B625" s="446"/>
      <c r="C625" s="89"/>
      <c r="D625" s="13"/>
      <c r="E625" s="14"/>
      <c r="F625" s="14"/>
      <c r="G625" s="15"/>
      <c r="H625" s="8"/>
      <c r="I625" s="8"/>
      <c r="J625" s="89"/>
      <c r="K625" s="8"/>
      <c r="L625" s="8"/>
      <c r="M625" s="8" t="str">
        <f>IF(L625="","",
IF(AX625="PT",VLOOKUP(L625,Foundation_Calc!$V$4:$X$37,VLOOKUP(AX625,Foundation_Calc!$I$10:$J$13,2,FALSE),0),
IF(AX625="K",VLOOKUP(L625,Foundation_Calc!$V$41:$X$74,VLOOKUP(AX625,Foundation_Calc!$I$10:$J$13,2,FALSE),0),"")))</f>
        <v/>
      </c>
      <c r="N625" s="8"/>
      <c r="O625" s="8"/>
      <c r="P625" s="8"/>
      <c r="Q625" s="14"/>
      <c r="R625" s="15"/>
      <c r="S625" s="15"/>
      <c r="T625" s="14"/>
      <c r="U625" s="14"/>
      <c r="V625" s="14"/>
      <c r="W625" s="18"/>
      <c r="X625" s="18"/>
      <c r="Y625" s="18"/>
      <c r="Z625" s="18"/>
      <c r="AA625" s="18"/>
      <c r="AB625" s="18"/>
      <c r="AC625" s="8" t="str">
        <f t="shared" si="37"/>
        <v/>
      </c>
      <c r="AD625" s="8"/>
      <c r="AE625" s="8"/>
      <c r="AF625" s="14"/>
      <c r="AG625" s="13"/>
      <c r="AH625" s="14"/>
      <c r="AI625" s="14"/>
      <c r="AJ625" s="8"/>
      <c r="AK625" s="8"/>
      <c r="AL625" s="8"/>
      <c r="AM625" s="8"/>
      <c r="AN625" s="631"/>
      <c r="AO625" s="18"/>
      <c r="AP625" s="18"/>
      <c r="AQ625" s="18"/>
      <c r="AR625" s="18"/>
      <c r="AS625" s="18"/>
      <c r="AU625" s="448"/>
      <c r="AV625" s="448"/>
      <c r="AW625" s="8" t="str">
        <f>IF(C625&gt;0,VLOOKUP(C625,Foundation_Calc!$A$2:$C$986,3,1),
IF(J625&gt;0,VLOOKUP(J625,Foundation_Calc!$A$2:$C$986,3,1),""))</f>
        <v/>
      </c>
      <c r="AX625" s="8" t="str">
        <f>IF(C625&gt;0,VLOOKUP(C625,Foundation_Calc!$E$2:$G$986,3,1),
IF(J625&gt;0,VLOOKUP(J625,Foundation_Calc!$E$2:$G$986,3,1),""))</f>
        <v/>
      </c>
      <c r="AY625" s="631" t="str">
        <f>IF(L625="","",
IF(AX625="PT",VLOOKUP(L625,Foundation_Calc!$K$4:$R$37,VLOOKUP(AW625,Foundation_Calc!$I$2:$J$8,2,FALSE),0),
IF(AX625="K",VLOOKUP(L625,Foundation_Calc!$K$41:$R$74,VLOOKUP(AW625,Foundation_Calc!$I$2:$J$8,2,FALSE),0),"")))</f>
        <v/>
      </c>
      <c r="AZ625" s="631" t="str">
        <f>IF(K625="","",
IF(AX625="PT",VLOOKUP(K625,Foundation_Calc!$K$4:$R$37,VLOOKUP(AW625,Foundation_Calc!$I$2:$J$8,2,FALSE),0),
IF(AX625="K",VLOOKUP(K625,Foundation_Calc!$K$41:$R$74,VLOOKUP(AW625,Foundation_Calc!$I$2:$J$8,2,FALSE),0),"")))</f>
        <v/>
      </c>
      <c r="BA625" s="632" t="str">
        <f t="shared" si="38"/>
        <v/>
      </c>
      <c r="BB625" s="632" t="str">
        <f t="shared" si="39"/>
        <v/>
      </c>
      <c r="BC625" s="632" t="str">
        <f t="shared" si="40"/>
        <v/>
      </c>
      <c r="BD625" s="633" t="str">
        <f>IF(AND(L625="",H625=""),"",
IF(H625="",Pole_Calc!A653,
IF(H625="MP",Pole_Calc!A654,
IF(H625="AnMP",Pole_Calc!A655,
IF(H625="A",Pole_Calc!A656,
IF(H625="S/A",Pole_Calc!A657,
IF(H625="A/S",Pole_Calc!A658,"Poner a mano")))))))</f>
        <v/>
      </c>
      <c r="BE625" s="448" t="s">
        <v>1726</v>
      </c>
      <c r="BF625" s="635"/>
      <c r="BG625" s="635"/>
      <c r="BH625" s="634"/>
      <c r="BI625" s="635"/>
    </row>
    <row r="626" spans="1:61" ht="16.2" customHeight="1">
      <c r="A626" s="12"/>
      <c r="B626" s="446"/>
      <c r="C626" s="89"/>
      <c r="D626" s="13"/>
      <c r="E626" s="14"/>
      <c r="F626" s="14"/>
      <c r="G626" s="15"/>
      <c r="H626" s="8"/>
      <c r="I626" s="8"/>
      <c r="J626" s="89"/>
      <c r="K626" s="8"/>
      <c r="L626" s="8"/>
      <c r="M626" s="8" t="str">
        <f>IF(L626="","",
IF(AX626="PT",VLOOKUP(L626,Foundation_Calc!$V$4:$X$37,VLOOKUP(AX626,Foundation_Calc!$I$10:$J$13,2,FALSE),0),
IF(AX626="K",VLOOKUP(L626,Foundation_Calc!$V$41:$X$74,VLOOKUP(AX626,Foundation_Calc!$I$10:$J$13,2,FALSE),0),"")))</f>
        <v/>
      </c>
      <c r="N626" s="8"/>
      <c r="O626" s="8"/>
      <c r="P626" s="8"/>
      <c r="Q626" s="14"/>
      <c r="R626" s="15"/>
      <c r="S626" s="15"/>
      <c r="T626" s="14"/>
      <c r="U626" s="14"/>
      <c r="V626" s="14"/>
      <c r="W626" s="18"/>
      <c r="X626" s="18"/>
      <c r="Y626" s="18"/>
      <c r="Z626" s="18"/>
      <c r="AA626" s="18"/>
      <c r="AB626" s="18"/>
      <c r="AC626" s="8" t="str">
        <f t="shared" si="37"/>
        <v/>
      </c>
      <c r="AD626" s="8"/>
      <c r="AE626" s="8"/>
      <c r="AF626" s="14"/>
      <c r="AG626" s="13"/>
      <c r="AH626" s="14"/>
      <c r="AI626" s="14"/>
      <c r="AJ626" s="8"/>
      <c r="AK626" s="8"/>
      <c r="AL626" s="8"/>
      <c r="AM626" s="8"/>
      <c r="AN626" s="631"/>
      <c r="AO626" s="18"/>
      <c r="AP626" s="18"/>
      <c r="AQ626" s="18"/>
      <c r="AR626" s="18"/>
      <c r="AS626" s="18"/>
      <c r="AU626" s="448"/>
      <c r="AV626" s="448"/>
      <c r="AW626" s="8" t="str">
        <f>IF(C626&gt;0,VLOOKUP(C626,Foundation_Calc!$A$2:$C$986,3,1),
IF(J626&gt;0,VLOOKUP(J626,Foundation_Calc!$A$2:$C$986,3,1),""))</f>
        <v/>
      </c>
      <c r="AX626" s="8" t="str">
        <f>IF(C626&gt;0,VLOOKUP(C626,Foundation_Calc!$E$2:$G$986,3,1),
IF(J626&gt;0,VLOOKUP(J626,Foundation_Calc!$E$2:$G$986,3,1),""))</f>
        <v/>
      </c>
      <c r="AY626" s="631" t="str">
        <f>IF(L626="","",
IF(AX626="PT",VLOOKUP(L626,Foundation_Calc!$K$4:$R$37,VLOOKUP(AW626,Foundation_Calc!$I$2:$J$8,2,FALSE),0),
IF(AX626="K",VLOOKUP(L626,Foundation_Calc!$K$41:$R$74,VLOOKUP(AW626,Foundation_Calc!$I$2:$J$8,2,FALSE),0),"")))</f>
        <v/>
      </c>
      <c r="AZ626" s="631" t="str">
        <f>IF(K626="","",
IF(AX626="PT",VLOOKUP(K626,Foundation_Calc!$K$4:$R$37,VLOOKUP(AW626,Foundation_Calc!$I$2:$J$8,2,FALSE),0),
IF(AX626="K",VLOOKUP(K626,Foundation_Calc!$K$41:$R$74,VLOOKUP(AW626,Foundation_Calc!$I$2:$J$8,2,FALSE),0),"")))</f>
        <v/>
      </c>
      <c r="BA626" s="632" t="str">
        <f t="shared" si="38"/>
        <v/>
      </c>
      <c r="BB626" s="632" t="str">
        <f t="shared" si="39"/>
        <v/>
      </c>
      <c r="BC626" s="632" t="str">
        <f t="shared" si="40"/>
        <v/>
      </c>
      <c r="BD626" s="633" t="str">
        <f>IF(AND(L626="",H626=""),"",
IF(H626="",Pole_Calc!A654,
IF(H626="MP",Pole_Calc!A655,
IF(H626="AnMP",Pole_Calc!A656,
IF(H626="A",Pole_Calc!A657,
IF(H626="S/A",Pole_Calc!A658,
IF(H626="A/S",Pole_Calc!A659,"Poner a mano")))))))</f>
        <v/>
      </c>
      <c r="BE626" s="448" t="s">
        <v>1726</v>
      </c>
      <c r="BF626" s="634"/>
      <c r="BG626" s="634"/>
      <c r="BH626" s="634"/>
      <c r="BI626" s="634"/>
    </row>
    <row r="627" spans="1:61" ht="16.2" customHeight="1">
      <c r="A627" s="12"/>
      <c r="B627" s="446"/>
      <c r="C627" s="89"/>
      <c r="D627" s="13"/>
      <c r="E627" s="14"/>
      <c r="F627" s="14"/>
      <c r="G627" s="15"/>
      <c r="H627" s="8"/>
      <c r="I627" s="8"/>
      <c r="J627" s="89"/>
      <c r="K627" s="8"/>
      <c r="L627" s="8"/>
      <c r="M627" s="8" t="str">
        <f>IF(L627="","",
IF(AX627="PT",VLOOKUP(L627,Foundation_Calc!$V$4:$X$37,VLOOKUP(AX627,Foundation_Calc!$I$10:$J$13,2,FALSE),0),
IF(AX627="K",VLOOKUP(L627,Foundation_Calc!$V$41:$X$74,VLOOKUP(AX627,Foundation_Calc!$I$10:$J$13,2,FALSE),0),"")))</f>
        <v/>
      </c>
      <c r="N627" s="8"/>
      <c r="O627" s="8"/>
      <c r="P627" s="8"/>
      <c r="Q627" s="14"/>
      <c r="R627" s="15"/>
      <c r="S627" s="15"/>
      <c r="T627" s="14"/>
      <c r="U627" s="14"/>
      <c r="V627" s="14"/>
      <c r="W627" s="18"/>
      <c r="X627" s="18"/>
      <c r="Y627" s="18"/>
      <c r="Z627" s="18"/>
      <c r="AA627" s="18"/>
      <c r="AB627" s="18"/>
      <c r="AC627" s="8" t="str">
        <f t="shared" si="37"/>
        <v/>
      </c>
      <c r="AD627" s="8"/>
      <c r="AE627" s="8"/>
      <c r="AF627" s="14"/>
      <c r="AG627" s="13"/>
      <c r="AH627" s="14"/>
      <c r="AI627" s="14"/>
      <c r="AJ627" s="8"/>
      <c r="AK627" s="8"/>
      <c r="AL627" s="8"/>
      <c r="AM627" s="8"/>
      <c r="AN627" s="631"/>
      <c r="AO627" s="18"/>
      <c r="AP627" s="18"/>
      <c r="AQ627" s="18"/>
      <c r="AR627" s="18"/>
      <c r="AS627" s="18"/>
      <c r="AU627" s="448"/>
      <c r="AV627" s="448"/>
      <c r="AW627" s="8" t="str">
        <f>IF(C627&gt;0,VLOOKUP(C627,Foundation_Calc!$A$2:$C$986,3,1),
IF(J627&gt;0,VLOOKUP(J627,Foundation_Calc!$A$2:$C$986,3,1),""))</f>
        <v/>
      </c>
      <c r="AX627" s="8" t="str">
        <f>IF(C627&gt;0,VLOOKUP(C627,Foundation_Calc!$E$2:$G$986,3,1),
IF(J627&gt;0,VLOOKUP(J627,Foundation_Calc!$E$2:$G$986,3,1),""))</f>
        <v/>
      </c>
      <c r="AY627" s="631" t="str">
        <f>IF(L627="","",
IF(AX627="PT",VLOOKUP(L627,Foundation_Calc!$K$4:$R$37,VLOOKUP(AW627,Foundation_Calc!$I$2:$J$8,2,FALSE),0),
IF(AX627="K",VLOOKUP(L627,Foundation_Calc!$K$41:$R$74,VLOOKUP(AW627,Foundation_Calc!$I$2:$J$8,2,FALSE),0),"")))</f>
        <v/>
      </c>
      <c r="AZ627" s="631" t="str">
        <f>IF(K627="","",
IF(AX627="PT",VLOOKUP(K627,Foundation_Calc!$K$4:$R$37,VLOOKUP(AW627,Foundation_Calc!$I$2:$J$8,2,FALSE),0),
IF(AX627="K",VLOOKUP(K627,Foundation_Calc!$K$41:$R$74,VLOOKUP(AW627,Foundation_Calc!$I$2:$J$8,2,FALSE),0),"")))</f>
        <v/>
      </c>
      <c r="BA627" s="632" t="str">
        <f t="shared" si="38"/>
        <v/>
      </c>
      <c r="BB627" s="632" t="str">
        <f t="shared" si="39"/>
        <v/>
      </c>
      <c r="BC627" s="632" t="str">
        <f t="shared" si="40"/>
        <v/>
      </c>
      <c r="BD627" s="633" t="str">
        <f>IF(AND(L627="",H627=""),"",
IF(H627="",Pole_Calc!A655,
IF(H627="MP",Pole_Calc!A656,
IF(H627="AnMP",Pole_Calc!A657,
IF(H627="A",Pole_Calc!A658,
IF(H627="S/A",Pole_Calc!A659,
IF(H627="A/S",Pole_Calc!A660,"Poner a mano")))))))</f>
        <v/>
      </c>
      <c r="BE627" s="448" t="s">
        <v>1726</v>
      </c>
      <c r="BF627" s="635"/>
      <c r="BG627" s="635"/>
      <c r="BH627" s="634"/>
      <c r="BI627" s="635"/>
    </row>
    <row r="628" spans="1:61" ht="16.2" customHeight="1">
      <c r="A628" s="12"/>
      <c r="B628" s="446"/>
      <c r="C628" s="89"/>
      <c r="D628" s="13"/>
      <c r="E628" s="14"/>
      <c r="F628" s="14"/>
      <c r="G628" s="15"/>
      <c r="H628" s="8"/>
      <c r="I628" s="8"/>
      <c r="J628" s="89"/>
      <c r="K628" s="8"/>
      <c r="L628" s="8"/>
      <c r="M628" s="8" t="str">
        <f>IF(L628="","",
IF(AX628="PT",VLOOKUP(L628,Foundation_Calc!$V$4:$X$37,VLOOKUP(AX628,Foundation_Calc!$I$10:$J$13,2,FALSE),0),
IF(AX628="K",VLOOKUP(L628,Foundation_Calc!$V$41:$X$74,VLOOKUP(AX628,Foundation_Calc!$I$10:$J$13,2,FALSE),0),"")))</f>
        <v/>
      </c>
      <c r="N628" s="8"/>
      <c r="O628" s="8"/>
      <c r="P628" s="8"/>
      <c r="Q628" s="14"/>
      <c r="R628" s="15"/>
      <c r="S628" s="15"/>
      <c r="T628" s="14"/>
      <c r="U628" s="14"/>
      <c r="V628" s="14"/>
      <c r="W628" s="18"/>
      <c r="X628" s="18"/>
      <c r="Y628" s="18"/>
      <c r="Z628" s="18"/>
      <c r="AA628" s="18"/>
      <c r="AB628" s="18"/>
      <c r="AC628" s="8" t="str">
        <f t="shared" si="37"/>
        <v/>
      </c>
      <c r="AD628" s="8"/>
      <c r="AE628" s="8"/>
      <c r="AF628" s="14"/>
      <c r="AG628" s="13"/>
      <c r="AH628" s="14"/>
      <c r="AI628" s="14"/>
      <c r="AJ628" s="8"/>
      <c r="AK628" s="8"/>
      <c r="AL628" s="8"/>
      <c r="AM628" s="8"/>
      <c r="AN628" s="631"/>
      <c r="AO628" s="18"/>
      <c r="AP628" s="18"/>
      <c r="AQ628" s="18"/>
      <c r="AR628" s="18"/>
      <c r="AS628" s="18"/>
      <c r="AU628" s="448"/>
      <c r="AV628" s="448"/>
      <c r="AW628" s="8" t="str">
        <f>IF(C628&gt;0,VLOOKUP(C628,Foundation_Calc!$A$2:$C$986,3,1),
IF(J628&gt;0,VLOOKUP(J628,Foundation_Calc!$A$2:$C$986,3,1),""))</f>
        <v/>
      </c>
      <c r="AX628" s="8" t="str">
        <f>IF(C628&gt;0,VLOOKUP(C628,Foundation_Calc!$E$2:$G$986,3,1),
IF(J628&gt;0,VLOOKUP(J628,Foundation_Calc!$E$2:$G$986,3,1),""))</f>
        <v/>
      </c>
      <c r="AY628" s="631" t="str">
        <f>IF(L628="","",
IF(AX628="PT",VLOOKUP(L628,Foundation_Calc!$K$4:$R$37,VLOOKUP(AW628,Foundation_Calc!$I$2:$J$8,2,FALSE),0),
IF(AX628="K",VLOOKUP(L628,Foundation_Calc!$K$41:$R$74,VLOOKUP(AW628,Foundation_Calc!$I$2:$J$8,2,FALSE),0),"")))</f>
        <v/>
      </c>
      <c r="AZ628" s="631" t="str">
        <f>IF(K628="","",
IF(AX628="PT",VLOOKUP(K628,Foundation_Calc!$K$4:$R$37,VLOOKUP(AW628,Foundation_Calc!$I$2:$J$8,2,FALSE),0),
IF(AX628="K",VLOOKUP(K628,Foundation_Calc!$K$41:$R$74,VLOOKUP(AW628,Foundation_Calc!$I$2:$J$8,2,FALSE),0),"")))</f>
        <v/>
      </c>
      <c r="BA628" s="632" t="str">
        <f t="shared" si="38"/>
        <v/>
      </c>
      <c r="BB628" s="632" t="str">
        <f t="shared" si="39"/>
        <v/>
      </c>
      <c r="BC628" s="632" t="str">
        <f t="shared" si="40"/>
        <v/>
      </c>
      <c r="BD628" s="633" t="str">
        <f>IF(AND(L628="",H628=""),"",
IF(H628="",Pole_Calc!A656,
IF(H628="MP",Pole_Calc!A657,
IF(H628="AnMP",Pole_Calc!A658,
IF(H628="A",Pole_Calc!A659,
IF(H628="S/A",Pole_Calc!A660,
IF(H628="A/S",Pole_Calc!A661,"Poner a mano")))))))</f>
        <v/>
      </c>
      <c r="BE628" s="448" t="s">
        <v>1726</v>
      </c>
      <c r="BF628" s="634"/>
      <c r="BG628" s="634"/>
      <c r="BH628" s="634"/>
      <c r="BI628" s="634"/>
    </row>
    <row r="629" spans="1:61" ht="16.2" customHeight="1">
      <c r="A629" s="12"/>
      <c r="B629" s="446"/>
      <c r="C629" s="89"/>
      <c r="D629" s="13"/>
      <c r="E629" s="14"/>
      <c r="F629" s="14"/>
      <c r="G629" s="15"/>
      <c r="H629" s="8"/>
      <c r="I629" s="8"/>
      <c r="J629" s="89"/>
      <c r="K629" s="8"/>
      <c r="L629" s="8"/>
      <c r="M629" s="8" t="str">
        <f>IF(L629="","",
IF(AX629="PT",VLOOKUP(L629,Foundation_Calc!$V$4:$X$37,VLOOKUP(AX629,Foundation_Calc!$I$10:$J$13,2,FALSE),0),
IF(AX629="K",VLOOKUP(L629,Foundation_Calc!$V$41:$X$74,VLOOKUP(AX629,Foundation_Calc!$I$10:$J$13,2,FALSE),0),"")))</f>
        <v/>
      </c>
      <c r="N629" s="8"/>
      <c r="O629" s="8"/>
      <c r="P629" s="8"/>
      <c r="Q629" s="14"/>
      <c r="R629" s="15"/>
      <c r="S629" s="15"/>
      <c r="T629" s="14"/>
      <c r="U629" s="14"/>
      <c r="V629" s="14"/>
      <c r="W629" s="18"/>
      <c r="X629" s="18"/>
      <c r="Y629" s="18"/>
      <c r="Z629" s="18"/>
      <c r="AA629" s="18"/>
      <c r="AB629" s="18"/>
      <c r="AC629" s="8" t="str">
        <f t="shared" si="37"/>
        <v/>
      </c>
      <c r="AD629" s="8"/>
      <c r="AE629" s="8"/>
      <c r="AF629" s="14"/>
      <c r="AG629" s="13"/>
      <c r="AH629" s="14"/>
      <c r="AI629" s="14"/>
      <c r="AJ629" s="8"/>
      <c r="AK629" s="8"/>
      <c r="AL629" s="8"/>
      <c r="AM629" s="8"/>
      <c r="AN629" s="631"/>
      <c r="AO629" s="18"/>
      <c r="AP629" s="18"/>
      <c r="AQ629" s="18"/>
      <c r="AR629" s="18"/>
      <c r="AS629" s="18"/>
      <c r="AU629" s="448"/>
      <c r="AV629" s="448"/>
      <c r="AW629" s="8" t="str">
        <f>IF(C629&gt;0,VLOOKUP(C629,Foundation_Calc!$A$2:$C$986,3,1),
IF(J629&gt;0,VLOOKUP(J629,Foundation_Calc!$A$2:$C$986,3,1),""))</f>
        <v/>
      </c>
      <c r="AX629" s="8" t="str">
        <f>IF(C629&gt;0,VLOOKUP(C629,Foundation_Calc!$E$2:$G$986,3,1),
IF(J629&gt;0,VLOOKUP(J629,Foundation_Calc!$E$2:$G$986,3,1),""))</f>
        <v/>
      </c>
      <c r="AY629" s="631" t="str">
        <f>IF(L629="","",
IF(AX629="PT",VLOOKUP(L629,Foundation_Calc!$K$4:$R$37,VLOOKUP(AW629,Foundation_Calc!$I$2:$J$8,2,FALSE),0),
IF(AX629="K",VLOOKUP(L629,Foundation_Calc!$K$41:$R$74,VLOOKUP(AW629,Foundation_Calc!$I$2:$J$8,2,FALSE),0),"")))</f>
        <v/>
      </c>
      <c r="AZ629" s="631" t="str">
        <f>IF(K629="","",
IF(AX629="PT",VLOOKUP(K629,Foundation_Calc!$K$4:$R$37,VLOOKUP(AW629,Foundation_Calc!$I$2:$J$8,2,FALSE),0),
IF(AX629="K",VLOOKUP(K629,Foundation_Calc!$K$41:$R$74,VLOOKUP(AW629,Foundation_Calc!$I$2:$J$8,2,FALSE),0),"")))</f>
        <v/>
      </c>
      <c r="BA629" s="632" t="str">
        <f t="shared" si="38"/>
        <v/>
      </c>
      <c r="BB629" s="632" t="str">
        <f t="shared" si="39"/>
        <v/>
      </c>
      <c r="BC629" s="632" t="str">
        <f t="shared" si="40"/>
        <v/>
      </c>
      <c r="BD629" s="633" t="str">
        <f>IF(AND(L629="",H629=""),"",
IF(H629="",Pole_Calc!A657,
IF(H629="MP",Pole_Calc!A658,
IF(H629="AnMP",Pole_Calc!A659,
IF(H629="A",Pole_Calc!A660,
IF(H629="S/A",Pole_Calc!A661,
IF(H629="A/S",Pole_Calc!A662,"Poner a mano")))))))</f>
        <v/>
      </c>
      <c r="BE629" s="448" t="s">
        <v>1726</v>
      </c>
      <c r="BF629" s="635"/>
      <c r="BG629" s="635"/>
      <c r="BH629" s="634"/>
      <c r="BI629" s="635"/>
    </row>
    <row r="630" spans="1:61" ht="16.2" customHeight="1">
      <c r="A630" s="12"/>
      <c r="B630" s="446"/>
      <c r="C630" s="89"/>
      <c r="D630" s="13"/>
      <c r="E630" s="14"/>
      <c r="F630" s="14"/>
      <c r="G630" s="15"/>
      <c r="H630" s="8"/>
      <c r="I630" s="8"/>
      <c r="J630" s="89"/>
      <c r="K630" s="8"/>
      <c r="L630" s="8"/>
      <c r="M630" s="8" t="str">
        <f>IF(L630="","",
IF(AX630="PT",VLOOKUP(L630,Foundation_Calc!$V$4:$X$37,VLOOKUP(AX630,Foundation_Calc!$I$10:$J$13,2,FALSE),0),
IF(AX630="K",VLOOKUP(L630,Foundation_Calc!$V$41:$X$74,VLOOKUP(AX630,Foundation_Calc!$I$10:$J$13,2,FALSE),0),"")))</f>
        <v/>
      </c>
      <c r="N630" s="8"/>
      <c r="O630" s="8"/>
      <c r="P630" s="8"/>
      <c r="Q630" s="14"/>
      <c r="R630" s="15"/>
      <c r="S630" s="15"/>
      <c r="T630" s="14"/>
      <c r="U630" s="14"/>
      <c r="V630" s="14"/>
      <c r="W630" s="18"/>
      <c r="X630" s="18"/>
      <c r="Y630" s="18"/>
      <c r="Z630" s="18"/>
      <c r="AA630" s="18"/>
      <c r="AB630" s="18"/>
      <c r="AC630" s="8" t="str">
        <f t="shared" si="37"/>
        <v/>
      </c>
      <c r="AD630" s="8"/>
      <c r="AE630" s="8"/>
      <c r="AF630" s="14"/>
      <c r="AG630" s="13"/>
      <c r="AH630" s="14"/>
      <c r="AI630" s="14"/>
      <c r="AJ630" s="8"/>
      <c r="AK630" s="8"/>
      <c r="AL630" s="8"/>
      <c r="AM630" s="8"/>
      <c r="AN630" s="631"/>
      <c r="AO630" s="18"/>
      <c r="AP630" s="18"/>
      <c r="AQ630" s="18"/>
      <c r="AR630" s="18"/>
      <c r="AS630" s="18"/>
      <c r="AU630" s="448"/>
      <c r="AV630" s="448"/>
      <c r="AW630" s="8" t="str">
        <f>IF(C630&gt;0,VLOOKUP(C630,Foundation_Calc!$A$2:$C$986,3,1),
IF(J630&gt;0,VLOOKUP(J630,Foundation_Calc!$A$2:$C$986,3,1),""))</f>
        <v/>
      </c>
      <c r="AX630" s="8" t="str">
        <f>IF(C630&gt;0,VLOOKUP(C630,Foundation_Calc!$E$2:$G$986,3,1),
IF(J630&gt;0,VLOOKUP(J630,Foundation_Calc!$E$2:$G$986,3,1),""))</f>
        <v/>
      </c>
      <c r="AY630" s="631" t="str">
        <f>IF(L630="","",
IF(AX630="PT",VLOOKUP(L630,Foundation_Calc!$K$4:$R$37,VLOOKUP(AW630,Foundation_Calc!$I$2:$J$8,2,FALSE),0),
IF(AX630="K",VLOOKUP(L630,Foundation_Calc!$K$41:$R$74,VLOOKUP(AW630,Foundation_Calc!$I$2:$J$8,2,FALSE),0),"")))</f>
        <v/>
      </c>
      <c r="AZ630" s="631" t="str">
        <f>IF(K630="","",
IF(AX630="PT",VLOOKUP(K630,Foundation_Calc!$K$4:$R$37,VLOOKUP(AW630,Foundation_Calc!$I$2:$J$8,2,FALSE),0),
IF(AX630="K",VLOOKUP(K630,Foundation_Calc!$K$41:$R$74,VLOOKUP(AW630,Foundation_Calc!$I$2:$J$8,2,FALSE),0),"")))</f>
        <v/>
      </c>
      <c r="BA630" s="632" t="str">
        <f t="shared" si="38"/>
        <v/>
      </c>
      <c r="BB630" s="632" t="str">
        <f t="shared" si="39"/>
        <v/>
      </c>
      <c r="BC630" s="632" t="str">
        <f t="shared" si="40"/>
        <v/>
      </c>
      <c r="BD630" s="633" t="str">
        <f>IF(AND(L630="",H630=""),"",
IF(H630="",Pole_Calc!A658,
IF(H630="MP",Pole_Calc!A659,
IF(H630="AnMP",Pole_Calc!A660,
IF(H630="A",Pole_Calc!A661,
IF(H630="S/A",Pole_Calc!A662,
IF(H630="A/S",Pole_Calc!A663,"Poner a mano")))))))</f>
        <v/>
      </c>
      <c r="BE630" s="448" t="s">
        <v>1726</v>
      </c>
      <c r="BF630" s="634"/>
      <c r="BG630" s="634"/>
      <c r="BH630" s="634"/>
      <c r="BI630" s="634"/>
    </row>
    <row r="631" spans="1:61" ht="16.2" customHeight="1">
      <c r="A631" s="12"/>
      <c r="B631" s="446"/>
      <c r="C631" s="89"/>
      <c r="D631" s="13"/>
      <c r="E631" s="14"/>
      <c r="F631" s="14"/>
      <c r="G631" s="15"/>
      <c r="H631" s="8"/>
      <c r="I631" s="8"/>
      <c r="J631" s="89"/>
      <c r="K631" s="8"/>
      <c r="L631" s="8"/>
      <c r="M631" s="8" t="str">
        <f>IF(L631="","",
IF(AX631="PT",VLOOKUP(L631,Foundation_Calc!$V$4:$X$37,VLOOKUP(AX631,Foundation_Calc!$I$10:$J$13,2,FALSE),0),
IF(AX631="K",VLOOKUP(L631,Foundation_Calc!$V$41:$X$74,VLOOKUP(AX631,Foundation_Calc!$I$10:$J$13,2,FALSE),0),"")))</f>
        <v/>
      </c>
      <c r="N631" s="8"/>
      <c r="O631" s="8"/>
      <c r="P631" s="8"/>
      <c r="Q631" s="14"/>
      <c r="R631" s="15"/>
      <c r="S631" s="15"/>
      <c r="T631" s="14"/>
      <c r="U631" s="14"/>
      <c r="V631" s="14"/>
      <c r="W631" s="18"/>
      <c r="X631" s="18"/>
      <c r="Y631" s="18"/>
      <c r="Z631" s="18"/>
      <c r="AA631" s="18"/>
      <c r="AB631" s="18"/>
      <c r="AC631" s="8" t="str">
        <f t="shared" si="37"/>
        <v/>
      </c>
      <c r="AD631" s="8"/>
      <c r="AE631" s="8"/>
      <c r="AF631" s="14"/>
      <c r="AG631" s="13"/>
      <c r="AH631" s="14"/>
      <c r="AI631" s="14"/>
      <c r="AJ631" s="8"/>
      <c r="AK631" s="8"/>
      <c r="AL631" s="8"/>
      <c r="AM631" s="8"/>
      <c r="AN631" s="631"/>
      <c r="AO631" s="18"/>
      <c r="AP631" s="18"/>
      <c r="AQ631" s="18"/>
      <c r="AR631" s="18"/>
      <c r="AS631" s="18"/>
      <c r="AU631" s="448"/>
      <c r="AV631" s="448"/>
      <c r="AW631" s="8" t="str">
        <f>IF(C631&gt;0,VLOOKUP(C631,Foundation_Calc!$A$2:$C$986,3,1),
IF(J631&gt;0,VLOOKUP(J631,Foundation_Calc!$A$2:$C$986,3,1),""))</f>
        <v/>
      </c>
      <c r="AX631" s="8" t="str">
        <f>IF(C631&gt;0,VLOOKUP(C631,Foundation_Calc!$E$2:$G$986,3,1),
IF(J631&gt;0,VLOOKUP(J631,Foundation_Calc!$E$2:$G$986,3,1),""))</f>
        <v/>
      </c>
      <c r="AY631" s="631" t="str">
        <f>IF(L631="","",
IF(AX631="PT",VLOOKUP(L631,Foundation_Calc!$K$4:$R$37,VLOOKUP(AW631,Foundation_Calc!$I$2:$J$8,2,FALSE),0),
IF(AX631="K",VLOOKUP(L631,Foundation_Calc!$K$41:$R$74,VLOOKUP(AW631,Foundation_Calc!$I$2:$J$8,2,FALSE),0),"")))</f>
        <v/>
      </c>
      <c r="AZ631" s="631" t="str">
        <f>IF(K631="","",
IF(AX631="PT",VLOOKUP(K631,Foundation_Calc!$K$4:$R$37,VLOOKUP(AW631,Foundation_Calc!$I$2:$J$8,2,FALSE),0),
IF(AX631="K",VLOOKUP(K631,Foundation_Calc!$K$41:$R$74,VLOOKUP(AW631,Foundation_Calc!$I$2:$J$8,2,FALSE),0),"")))</f>
        <v/>
      </c>
      <c r="BA631" s="632" t="str">
        <f t="shared" si="38"/>
        <v/>
      </c>
      <c r="BB631" s="632" t="str">
        <f t="shared" si="39"/>
        <v/>
      </c>
      <c r="BC631" s="632" t="str">
        <f t="shared" si="40"/>
        <v/>
      </c>
      <c r="BD631" s="633" t="str">
        <f>IF(AND(L631="",H631=""),"",
IF(H631="",Pole_Calc!A659,
IF(H631="MP",Pole_Calc!A660,
IF(H631="AnMP",Pole_Calc!A661,
IF(H631="A",Pole_Calc!A662,
IF(H631="S/A",Pole_Calc!A663,
IF(H631="A/S",Pole_Calc!A664,"Poner a mano")))))))</f>
        <v/>
      </c>
      <c r="BE631" s="448" t="s">
        <v>1726</v>
      </c>
      <c r="BF631" s="635"/>
      <c r="BG631" s="635"/>
      <c r="BH631" s="634"/>
      <c r="BI631" s="635"/>
    </row>
    <row r="632" spans="1:61" ht="16.2" customHeight="1">
      <c r="A632" s="12"/>
      <c r="B632" s="446"/>
      <c r="C632" s="89"/>
      <c r="D632" s="13"/>
      <c r="E632" s="14"/>
      <c r="F632" s="14"/>
      <c r="G632" s="15"/>
      <c r="H632" s="8"/>
      <c r="I632" s="8"/>
      <c r="J632" s="89"/>
      <c r="K632" s="8"/>
      <c r="L632" s="8"/>
      <c r="M632" s="8" t="str">
        <f>IF(L632="","",
IF(AX632="PT",VLOOKUP(L632,Foundation_Calc!$V$4:$X$37,VLOOKUP(AX632,Foundation_Calc!$I$10:$J$13,2,FALSE),0),
IF(AX632="K",VLOOKUP(L632,Foundation_Calc!$V$41:$X$74,VLOOKUP(AX632,Foundation_Calc!$I$10:$J$13,2,FALSE),0),"")))</f>
        <v/>
      </c>
      <c r="N632" s="8"/>
      <c r="O632" s="8"/>
      <c r="P632" s="8"/>
      <c r="Q632" s="14"/>
      <c r="R632" s="15"/>
      <c r="S632" s="15"/>
      <c r="T632" s="14"/>
      <c r="U632" s="14"/>
      <c r="V632" s="14"/>
      <c r="W632" s="18"/>
      <c r="X632" s="18"/>
      <c r="Y632" s="18"/>
      <c r="Z632" s="18"/>
      <c r="AA632" s="18"/>
      <c r="AB632" s="18"/>
      <c r="AC632" s="8" t="str">
        <f t="shared" si="37"/>
        <v/>
      </c>
      <c r="AD632" s="8"/>
      <c r="AE632" s="8"/>
      <c r="AF632" s="14"/>
      <c r="AG632" s="13"/>
      <c r="AH632" s="14"/>
      <c r="AI632" s="14"/>
      <c r="AJ632" s="8"/>
      <c r="AK632" s="8"/>
      <c r="AL632" s="8"/>
      <c r="AM632" s="8"/>
      <c r="AN632" s="631"/>
      <c r="AO632" s="18"/>
      <c r="AP632" s="18"/>
      <c r="AQ632" s="18"/>
      <c r="AR632" s="18"/>
      <c r="AS632" s="18"/>
      <c r="AU632" s="448"/>
      <c r="AV632" s="448"/>
      <c r="AW632" s="8" t="str">
        <f>IF(C632&gt;0,VLOOKUP(C632,Foundation_Calc!$A$2:$C$986,3,1),
IF(J632&gt;0,VLOOKUP(J632,Foundation_Calc!$A$2:$C$986,3,1),""))</f>
        <v/>
      </c>
      <c r="AX632" s="8" t="str">
        <f>IF(C632&gt;0,VLOOKUP(C632,Foundation_Calc!$E$2:$G$986,3,1),
IF(J632&gt;0,VLOOKUP(J632,Foundation_Calc!$E$2:$G$986,3,1),""))</f>
        <v/>
      </c>
      <c r="AY632" s="631" t="str">
        <f>IF(L632="","",
IF(AX632="PT",VLOOKUP(L632,Foundation_Calc!$K$4:$R$37,VLOOKUP(AW632,Foundation_Calc!$I$2:$J$8,2,FALSE),0),
IF(AX632="K",VLOOKUP(L632,Foundation_Calc!$K$41:$R$74,VLOOKUP(AW632,Foundation_Calc!$I$2:$J$8,2,FALSE),0),"")))</f>
        <v/>
      </c>
      <c r="AZ632" s="631" t="str">
        <f>IF(K632="","",
IF(AX632="PT",VLOOKUP(K632,Foundation_Calc!$K$4:$R$37,VLOOKUP(AW632,Foundation_Calc!$I$2:$J$8,2,FALSE),0),
IF(AX632="K",VLOOKUP(K632,Foundation_Calc!$K$41:$R$74,VLOOKUP(AW632,Foundation_Calc!$I$2:$J$8,2,FALSE),0),"")))</f>
        <v/>
      </c>
      <c r="BA632" s="632" t="str">
        <f t="shared" si="38"/>
        <v/>
      </c>
      <c r="BB632" s="632" t="str">
        <f t="shared" si="39"/>
        <v/>
      </c>
      <c r="BC632" s="632" t="str">
        <f t="shared" si="40"/>
        <v/>
      </c>
      <c r="BD632" s="633" t="str">
        <f>IF(AND(L632="",H632=""),"",
IF(H632="",Pole_Calc!A660,
IF(H632="MP",Pole_Calc!A661,
IF(H632="AnMP",Pole_Calc!A662,
IF(H632="A",Pole_Calc!A663,
IF(H632="S/A",Pole_Calc!A664,
IF(H632="A/S",Pole_Calc!A665,"Poner a mano")))))))</f>
        <v/>
      </c>
      <c r="BE632" s="448" t="s">
        <v>1726</v>
      </c>
      <c r="BF632" s="634"/>
      <c r="BG632" s="634"/>
      <c r="BH632" s="634"/>
      <c r="BI632" s="634"/>
    </row>
    <row r="633" spans="1:61" ht="16.2" customHeight="1">
      <c r="A633" s="12"/>
      <c r="B633" s="446"/>
      <c r="C633" s="89"/>
      <c r="D633" s="13"/>
      <c r="E633" s="14"/>
      <c r="F633" s="14"/>
      <c r="G633" s="15"/>
      <c r="H633" s="8"/>
      <c r="I633" s="8"/>
      <c r="J633" s="89"/>
      <c r="K633" s="8"/>
      <c r="L633" s="8"/>
      <c r="M633" s="8" t="str">
        <f>IF(L633="","",
IF(AX633="PT",VLOOKUP(L633,Foundation_Calc!$V$4:$X$37,VLOOKUP(AX633,Foundation_Calc!$I$10:$J$13,2,FALSE),0),
IF(AX633="K",VLOOKUP(L633,Foundation_Calc!$V$41:$X$74,VLOOKUP(AX633,Foundation_Calc!$I$10:$J$13,2,FALSE),0),"")))</f>
        <v/>
      </c>
      <c r="N633" s="8"/>
      <c r="O633" s="8"/>
      <c r="P633" s="8"/>
      <c r="Q633" s="14"/>
      <c r="R633" s="15"/>
      <c r="S633" s="15"/>
      <c r="T633" s="14"/>
      <c r="U633" s="14"/>
      <c r="V633" s="14"/>
      <c r="W633" s="18"/>
      <c r="X633" s="18"/>
      <c r="Y633" s="18"/>
      <c r="Z633" s="18"/>
      <c r="AA633" s="18"/>
      <c r="AB633" s="18"/>
      <c r="AC633" s="8" t="str">
        <f t="shared" si="37"/>
        <v/>
      </c>
      <c r="AD633" s="8"/>
      <c r="AE633" s="8"/>
      <c r="AF633" s="14"/>
      <c r="AG633" s="13"/>
      <c r="AH633" s="14"/>
      <c r="AI633" s="14"/>
      <c r="AJ633" s="8"/>
      <c r="AK633" s="8"/>
      <c r="AL633" s="8"/>
      <c r="AM633" s="8"/>
      <c r="AN633" s="631"/>
      <c r="AO633" s="18"/>
      <c r="AP633" s="18"/>
      <c r="AQ633" s="18"/>
      <c r="AR633" s="18"/>
      <c r="AS633" s="18"/>
      <c r="AU633" s="448"/>
      <c r="AV633" s="448"/>
      <c r="AW633" s="8" t="str">
        <f>IF(C633&gt;0,VLOOKUP(C633,Foundation_Calc!$A$2:$C$986,3,1),
IF(J633&gt;0,VLOOKUP(J633,Foundation_Calc!$A$2:$C$986,3,1),""))</f>
        <v/>
      </c>
      <c r="AX633" s="8" t="str">
        <f>IF(C633&gt;0,VLOOKUP(C633,Foundation_Calc!$E$2:$G$986,3,1),
IF(J633&gt;0,VLOOKUP(J633,Foundation_Calc!$E$2:$G$986,3,1),""))</f>
        <v/>
      </c>
      <c r="AY633" s="631" t="str">
        <f>IF(L633="","",
IF(AX633="PT",VLOOKUP(L633,Foundation_Calc!$K$4:$R$37,VLOOKUP(AW633,Foundation_Calc!$I$2:$J$8,2,FALSE),0),
IF(AX633="K",VLOOKUP(L633,Foundation_Calc!$K$41:$R$74,VLOOKUP(AW633,Foundation_Calc!$I$2:$J$8,2,FALSE),0),"")))</f>
        <v/>
      </c>
      <c r="AZ633" s="631" t="str">
        <f>IF(K633="","",
IF(AX633="PT",VLOOKUP(K633,Foundation_Calc!$K$4:$R$37,VLOOKUP(AW633,Foundation_Calc!$I$2:$J$8,2,FALSE),0),
IF(AX633="K",VLOOKUP(K633,Foundation_Calc!$K$41:$R$74,VLOOKUP(AW633,Foundation_Calc!$I$2:$J$8,2,FALSE),0),"")))</f>
        <v/>
      </c>
      <c r="BA633" s="632" t="str">
        <f t="shared" si="38"/>
        <v/>
      </c>
      <c r="BB633" s="632" t="str">
        <f t="shared" si="39"/>
        <v/>
      </c>
      <c r="BC633" s="632" t="str">
        <f t="shared" si="40"/>
        <v/>
      </c>
      <c r="BD633" s="633" t="str">
        <f>IF(AND(L633="",H633=""),"",
IF(H633="",Pole_Calc!A661,
IF(H633="MP",Pole_Calc!A662,
IF(H633="AnMP",Pole_Calc!A663,
IF(H633="A",Pole_Calc!A664,
IF(H633="S/A",Pole_Calc!A665,
IF(H633="A/S",Pole_Calc!A666,"Poner a mano")))))))</f>
        <v/>
      </c>
      <c r="BE633" s="448" t="s">
        <v>1726</v>
      </c>
      <c r="BF633" s="635"/>
      <c r="BG633" s="635"/>
      <c r="BH633" s="634"/>
      <c r="BI633" s="635"/>
    </row>
    <row r="634" spans="1:61" ht="16.2" customHeight="1">
      <c r="A634" s="12"/>
      <c r="B634" s="446"/>
      <c r="C634" s="89"/>
      <c r="D634" s="13"/>
      <c r="E634" s="14"/>
      <c r="F634" s="14"/>
      <c r="G634" s="15"/>
      <c r="H634" s="8"/>
      <c r="I634" s="8"/>
      <c r="J634" s="89"/>
      <c r="K634" s="8"/>
      <c r="L634" s="8"/>
      <c r="M634" s="8" t="str">
        <f>IF(L634="","",
IF(AX634="PT",VLOOKUP(L634,Foundation_Calc!$V$4:$X$37,VLOOKUP(AX634,Foundation_Calc!$I$10:$J$13,2,FALSE),0),
IF(AX634="K",VLOOKUP(L634,Foundation_Calc!$V$41:$X$74,VLOOKUP(AX634,Foundation_Calc!$I$10:$J$13,2,FALSE),0),"")))</f>
        <v/>
      </c>
      <c r="N634" s="8"/>
      <c r="O634" s="8"/>
      <c r="P634" s="8"/>
      <c r="Q634" s="14"/>
      <c r="R634" s="15"/>
      <c r="S634" s="15"/>
      <c r="T634" s="14"/>
      <c r="U634" s="14"/>
      <c r="V634" s="14"/>
      <c r="W634" s="18"/>
      <c r="X634" s="18"/>
      <c r="Y634" s="18"/>
      <c r="Z634" s="18"/>
      <c r="AA634" s="18"/>
      <c r="AB634" s="18"/>
      <c r="AC634" s="8" t="str">
        <f t="shared" si="37"/>
        <v/>
      </c>
      <c r="AD634" s="8"/>
      <c r="AE634" s="8"/>
      <c r="AF634" s="14"/>
      <c r="AG634" s="13"/>
      <c r="AH634" s="14"/>
      <c r="AI634" s="14"/>
      <c r="AJ634" s="8"/>
      <c r="AK634" s="8"/>
      <c r="AL634" s="8"/>
      <c r="AM634" s="8"/>
      <c r="AN634" s="631"/>
      <c r="AO634" s="18"/>
      <c r="AP634" s="18"/>
      <c r="AQ634" s="18"/>
      <c r="AR634" s="18"/>
      <c r="AS634" s="18"/>
      <c r="AU634" s="448"/>
      <c r="AV634" s="448"/>
      <c r="AW634" s="8" t="str">
        <f>IF(C634&gt;0,VLOOKUP(C634,Foundation_Calc!$A$2:$C$986,3,1),
IF(J634&gt;0,VLOOKUP(J634,Foundation_Calc!$A$2:$C$986,3,1),""))</f>
        <v/>
      </c>
      <c r="AX634" s="8" t="str">
        <f>IF(C634&gt;0,VLOOKUP(C634,Foundation_Calc!$E$2:$G$986,3,1),
IF(J634&gt;0,VLOOKUP(J634,Foundation_Calc!$E$2:$G$986,3,1),""))</f>
        <v/>
      </c>
      <c r="AY634" s="631" t="str">
        <f>IF(L634="","",
IF(AX634="PT",VLOOKUP(L634,Foundation_Calc!$K$4:$R$37,VLOOKUP(AW634,Foundation_Calc!$I$2:$J$8,2,FALSE),0),
IF(AX634="K",VLOOKUP(L634,Foundation_Calc!$K$41:$R$74,VLOOKUP(AW634,Foundation_Calc!$I$2:$J$8,2,FALSE),0),"")))</f>
        <v/>
      </c>
      <c r="AZ634" s="631" t="str">
        <f>IF(K634="","",
IF(AX634="PT",VLOOKUP(K634,Foundation_Calc!$K$4:$R$37,VLOOKUP(AW634,Foundation_Calc!$I$2:$J$8,2,FALSE),0),
IF(AX634="K",VLOOKUP(K634,Foundation_Calc!$K$41:$R$74,VLOOKUP(AW634,Foundation_Calc!$I$2:$J$8,2,FALSE),0),"")))</f>
        <v/>
      </c>
      <c r="BA634" s="632" t="str">
        <f t="shared" si="38"/>
        <v/>
      </c>
      <c r="BB634" s="632" t="str">
        <f t="shared" si="39"/>
        <v/>
      </c>
      <c r="BC634" s="632" t="str">
        <f t="shared" si="40"/>
        <v/>
      </c>
      <c r="BD634" s="633" t="str">
        <f>IF(AND(L634="",H634=""),"",
IF(H634="",Pole_Calc!A662,
IF(H634="MP",Pole_Calc!A663,
IF(H634="AnMP",Pole_Calc!A664,
IF(H634="A",Pole_Calc!A665,
IF(H634="S/A",Pole_Calc!A666,
IF(H634="A/S",Pole_Calc!A667,"Poner a mano")))))))</f>
        <v/>
      </c>
      <c r="BE634" s="448" t="s">
        <v>1726</v>
      </c>
      <c r="BF634" s="634"/>
      <c r="BG634" s="634"/>
      <c r="BH634" s="634"/>
      <c r="BI634" s="634"/>
    </row>
    <row r="635" spans="1:61" ht="16.2" customHeight="1">
      <c r="A635" s="12"/>
      <c r="B635" s="446"/>
      <c r="C635" s="89"/>
      <c r="D635" s="13"/>
      <c r="E635" s="14"/>
      <c r="F635" s="14"/>
      <c r="G635" s="15"/>
      <c r="H635" s="8"/>
      <c r="I635" s="8"/>
      <c r="J635" s="89"/>
      <c r="K635" s="8"/>
      <c r="L635" s="8"/>
      <c r="M635" s="8" t="str">
        <f>IF(L635="","",
IF(AX635="PT",VLOOKUP(L635,Foundation_Calc!$V$4:$X$37,VLOOKUP(AX635,Foundation_Calc!$I$10:$J$13,2,FALSE),0),
IF(AX635="K",VLOOKUP(L635,Foundation_Calc!$V$41:$X$74,VLOOKUP(AX635,Foundation_Calc!$I$10:$J$13,2,FALSE),0),"")))</f>
        <v/>
      </c>
      <c r="N635" s="8"/>
      <c r="O635" s="8"/>
      <c r="P635" s="8"/>
      <c r="Q635" s="14"/>
      <c r="R635" s="15"/>
      <c r="S635" s="15"/>
      <c r="T635" s="14"/>
      <c r="U635" s="14"/>
      <c r="V635" s="14"/>
      <c r="W635" s="18"/>
      <c r="X635" s="18"/>
      <c r="Y635" s="18"/>
      <c r="Z635" s="18"/>
      <c r="AA635" s="18"/>
      <c r="AB635" s="18"/>
      <c r="AC635" s="8" t="str">
        <f t="shared" si="37"/>
        <v/>
      </c>
      <c r="AD635" s="8"/>
      <c r="AE635" s="8"/>
      <c r="AF635" s="14"/>
      <c r="AG635" s="13"/>
      <c r="AH635" s="14"/>
      <c r="AI635" s="14"/>
      <c r="AJ635" s="8"/>
      <c r="AK635" s="8"/>
      <c r="AL635" s="8"/>
      <c r="AM635" s="8"/>
      <c r="AN635" s="631"/>
      <c r="AO635" s="18"/>
      <c r="AP635" s="18"/>
      <c r="AQ635" s="18"/>
      <c r="AR635" s="18"/>
      <c r="AS635" s="18"/>
      <c r="AU635" s="448"/>
      <c r="AV635" s="448"/>
      <c r="AW635" s="8" t="str">
        <f>IF(C635&gt;0,VLOOKUP(C635,Foundation_Calc!$A$2:$C$986,3,1),
IF(J635&gt;0,VLOOKUP(J635,Foundation_Calc!$A$2:$C$986,3,1),""))</f>
        <v/>
      </c>
      <c r="AX635" s="8" t="str">
        <f>IF(C635&gt;0,VLOOKUP(C635,Foundation_Calc!$E$2:$G$986,3,1),
IF(J635&gt;0,VLOOKUP(J635,Foundation_Calc!$E$2:$G$986,3,1),""))</f>
        <v/>
      </c>
      <c r="AY635" s="631" t="str">
        <f>IF(L635="","",
IF(AX635="PT",VLOOKUP(L635,Foundation_Calc!$K$4:$R$37,VLOOKUP(AW635,Foundation_Calc!$I$2:$J$8,2,FALSE),0),
IF(AX635="K",VLOOKUP(L635,Foundation_Calc!$K$41:$R$74,VLOOKUP(AW635,Foundation_Calc!$I$2:$J$8,2,FALSE),0),"")))</f>
        <v/>
      </c>
      <c r="AZ635" s="631" t="str">
        <f>IF(K635="","",
IF(AX635="PT",VLOOKUP(K635,Foundation_Calc!$K$4:$R$37,VLOOKUP(AW635,Foundation_Calc!$I$2:$J$8,2,FALSE),0),
IF(AX635="K",VLOOKUP(K635,Foundation_Calc!$K$41:$R$74,VLOOKUP(AW635,Foundation_Calc!$I$2:$J$8,2,FALSE),0),"")))</f>
        <v/>
      </c>
      <c r="BA635" s="632" t="str">
        <f t="shared" si="38"/>
        <v/>
      </c>
      <c r="BB635" s="632" t="str">
        <f t="shared" si="39"/>
        <v/>
      </c>
      <c r="BC635" s="632" t="str">
        <f t="shared" si="40"/>
        <v/>
      </c>
      <c r="BD635" s="633" t="str">
        <f>IF(AND(L635="",H635=""),"",
IF(H635="",Pole_Calc!A663,
IF(H635="MP",Pole_Calc!A664,
IF(H635="AnMP",Pole_Calc!A665,
IF(H635="A",Pole_Calc!A666,
IF(H635="S/A",Pole_Calc!A667,
IF(H635="A/S",Pole_Calc!A668,"Poner a mano")))))))</f>
        <v/>
      </c>
      <c r="BE635" s="448" t="s">
        <v>1726</v>
      </c>
      <c r="BF635" s="635"/>
      <c r="BG635" s="635"/>
      <c r="BH635" s="634"/>
      <c r="BI635" s="635"/>
    </row>
    <row r="636" spans="1:61" ht="16.2" customHeight="1">
      <c r="A636" s="12"/>
      <c r="B636" s="446"/>
      <c r="C636" s="89"/>
      <c r="D636" s="13"/>
      <c r="E636" s="14"/>
      <c r="F636" s="14"/>
      <c r="G636" s="15"/>
      <c r="H636" s="8"/>
      <c r="I636" s="8"/>
      <c r="J636" s="89"/>
      <c r="K636" s="8"/>
      <c r="L636" s="8"/>
      <c r="M636" s="8" t="str">
        <f>IF(L636="","",
IF(AX636="PT",VLOOKUP(L636,Foundation_Calc!$V$4:$X$37,VLOOKUP(AX636,Foundation_Calc!$I$10:$J$13,2,FALSE),0),
IF(AX636="K",VLOOKUP(L636,Foundation_Calc!$V$41:$X$74,VLOOKUP(AX636,Foundation_Calc!$I$10:$J$13,2,FALSE),0),"")))</f>
        <v/>
      </c>
      <c r="N636" s="8"/>
      <c r="O636" s="8"/>
      <c r="P636" s="8"/>
      <c r="Q636" s="14"/>
      <c r="R636" s="15"/>
      <c r="S636" s="15"/>
      <c r="T636" s="14"/>
      <c r="U636" s="14"/>
      <c r="V636" s="14"/>
      <c r="W636" s="18"/>
      <c r="X636" s="18"/>
      <c r="Y636" s="18"/>
      <c r="Z636" s="18"/>
      <c r="AA636" s="18"/>
      <c r="AB636" s="18"/>
      <c r="AC636" s="8" t="str">
        <f t="shared" si="37"/>
        <v/>
      </c>
      <c r="AD636" s="8"/>
      <c r="AE636" s="8"/>
      <c r="AF636" s="14"/>
      <c r="AG636" s="13"/>
      <c r="AH636" s="14"/>
      <c r="AI636" s="14"/>
      <c r="AJ636" s="8"/>
      <c r="AK636" s="8"/>
      <c r="AL636" s="8"/>
      <c r="AM636" s="8"/>
      <c r="AN636" s="631"/>
      <c r="AO636" s="18"/>
      <c r="AP636" s="18"/>
      <c r="AQ636" s="18"/>
      <c r="AR636" s="18"/>
      <c r="AS636" s="18"/>
      <c r="AU636" s="448"/>
      <c r="AV636" s="448"/>
      <c r="AW636" s="8" t="str">
        <f>IF(C636&gt;0,VLOOKUP(C636,Foundation_Calc!$A$2:$C$986,3,1),
IF(J636&gt;0,VLOOKUP(J636,Foundation_Calc!$A$2:$C$986,3,1),""))</f>
        <v/>
      </c>
      <c r="AX636" s="8" t="str">
        <f>IF(C636&gt;0,VLOOKUP(C636,Foundation_Calc!$E$2:$G$986,3,1),
IF(J636&gt;0,VLOOKUP(J636,Foundation_Calc!$E$2:$G$986,3,1),""))</f>
        <v/>
      </c>
      <c r="AY636" s="631" t="str">
        <f>IF(L636="","",
IF(AX636="PT",VLOOKUP(L636,Foundation_Calc!$K$4:$R$37,VLOOKUP(AW636,Foundation_Calc!$I$2:$J$8,2,FALSE),0),
IF(AX636="K",VLOOKUP(L636,Foundation_Calc!$K$41:$R$74,VLOOKUP(AW636,Foundation_Calc!$I$2:$J$8,2,FALSE),0),"")))</f>
        <v/>
      </c>
      <c r="AZ636" s="631" t="str">
        <f>IF(K636="","",
IF(AX636="PT",VLOOKUP(K636,Foundation_Calc!$K$4:$R$37,VLOOKUP(AW636,Foundation_Calc!$I$2:$J$8,2,FALSE),0),
IF(AX636="K",VLOOKUP(K636,Foundation_Calc!$K$41:$R$74,VLOOKUP(AW636,Foundation_Calc!$I$2:$J$8,2,FALSE),0),"")))</f>
        <v/>
      </c>
      <c r="BA636" s="632" t="str">
        <f t="shared" si="38"/>
        <v/>
      </c>
      <c r="BB636" s="632" t="str">
        <f t="shared" si="39"/>
        <v/>
      </c>
      <c r="BC636" s="632" t="str">
        <f t="shared" si="40"/>
        <v/>
      </c>
      <c r="BD636" s="633" t="str">
        <f>IF(AND(L636="",H636=""),"",
IF(H636="",Pole_Calc!A664,
IF(H636="MP",Pole_Calc!A665,
IF(H636="AnMP",Pole_Calc!A666,
IF(H636="A",Pole_Calc!A667,
IF(H636="S/A",Pole_Calc!A668,
IF(H636="A/S",Pole_Calc!A669,"Poner a mano")))))))</f>
        <v/>
      </c>
      <c r="BE636" s="448" t="s">
        <v>1726</v>
      </c>
      <c r="BF636" s="634"/>
      <c r="BG636" s="634"/>
      <c r="BH636" s="634"/>
      <c r="BI636" s="634"/>
    </row>
    <row r="637" spans="1:61" ht="16.2" customHeight="1">
      <c r="A637" s="12"/>
      <c r="B637" s="446"/>
      <c r="C637" s="89"/>
      <c r="D637" s="13"/>
      <c r="E637" s="14"/>
      <c r="F637" s="14"/>
      <c r="G637" s="15"/>
      <c r="H637" s="8"/>
      <c r="I637" s="8"/>
      <c r="J637" s="89"/>
      <c r="K637" s="8"/>
      <c r="L637" s="8"/>
      <c r="M637" s="8" t="str">
        <f>IF(L637="","",
IF(AX637="PT",VLOOKUP(L637,Foundation_Calc!$V$4:$X$37,VLOOKUP(AX637,Foundation_Calc!$I$10:$J$13,2,FALSE),0),
IF(AX637="K",VLOOKUP(L637,Foundation_Calc!$V$41:$X$74,VLOOKUP(AX637,Foundation_Calc!$I$10:$J$13,2,FALSE),0),"")))</f>
        <v/>
      </c>
      <c r="N637" s="8"/>
      <c r="O637" s="8"/>
      <c r="P637" s="8"/>
      <c r="Q637" s="14"/>
      <c r="R637" s="15"/>
      <c r="S637" s="15"/>
      <c r="T637" s="14"/>
      <c r="U637" s="14"/>
      <c r="V637" s="14"/>
      <c r="W637" s="18"/>
      <c r="X637" s="18"/>
      <c r="Y637" s="18"/>
      <c r="Z637" s="18"/>
      <c r="AA637" s="18"/>
      <c r="AB637" s="18"/>
      <c r="AC637" s="8" t="str">
        <f t="shared" si="37"/>
        <v/>
      </c>
      <c r="AD637" s="8"/>
      <c r="AE637" s="8"/>
      <c r="AF637" s="14"/>
      <c r="AG637" s="13"/>
      <c r="AH637" s="14"/>
      <c r="AI637" s="14"/>
      <c r="AJ637" s="8"/>
      <c r="AK637" s="8"/>
      <c r="AL637" s="8"/>
      <c r="AM637" s="8"/>
      <c r="AN637" s="631"/>
      <c r="AO637" s="18"/>
      <c r="AP637" s="18"/>
      <c r="AQ637" s="18"/>
      <c r="AR637" s="18"/>
      <c r="AS637" s="18"/>
      <c r="AU637" s="448"/>
      <c r="AV637" s="448"/>
      <c r="AW637" s="8" t="str">
        <f>IF(C637&gt;0,VLOOKUP(C637,Foundation_Calc!$A$2:$C$986,3,1),
IF(J637&gt;0,VLOOKUP(J637,Foundation_Calc!$A$2:$C$986,3,1),""))</f>
        <v/>
      </c>
      <c r="AX637" s="8" t="str">
        <f>IF(C637&gt;0,VLOOKUP(C637,Foundation_Calc!$E$2:$G$986,3,1),
IF(J637&gt;0,VLOOKUP(J637,Foundation_Calc!$E$2:$G$986,3,1),""))</f>
        <v/>
      </c>
      <c r="AY637" s="631" t="str">
        <f>IF(L637="","",
IF(AX637="PT",VLOOKUP(L637,Foundation_Calc!$K$4:$R$37,VLOOKUP(AW637,Foundation_Calc!$I$2:$J$8,2,FALSE),0),
IF(AX637="K",VLOOKUP(L637,Foundation_Calc!$K$41:$R$74,VLOOKUP(AW637,Foundation_Calc!$I$2:$J$8,2,FALSE),0),"")))</f>
        <v/>
      </c>
      <c r="AZ637" s="631" t="str">
        <f>IF(K637="","",
IF(AX637="PT",VLOOKUP(K637,Foundation_Calc!$K$4:$R$37,VLOOKUP(AW637,Foundation_Calc!$I$2:$J$8,2,FALSE),0),
IF(AX637="K",VLOOKUP(K637,Foundation_Calc!$K$41:$R$74,VLOOKUP(AW637,Foundation_Calc!$I$2:$J$8,2,FALSE),0),"")))</f>
        <v/>
      </c>
      <c r="BA637" s="632" t="str">
        <f t="shared" si="38"/>
        <v/>
      </c>
      <c r="BB637" s="632" t="str">
        <f t="shared" si="39"/>
        <v/>
      </c>
      <c r="BC637" s="632" t="str">
        <f t="shared" si="40"/>
        <v/>
      </c>
      <c r="BD637" s="633" t="str">
        <f>IF(AND(L637="",H637=""),"",
IF(H637="",Pole_Calc!A665,
IF(H637="MP",Pole_Calc!A666,
IF(H637="AnMP",Pole_Calc!A667,
IF(H637="A",Pole_Calc!A668,
IF(H637="S/A",Pole_Calc!A669,
IF(H637="A/S",Pole_Calc!A670,"Poner a mano")))))))</f>
        <v/>
      </c>
      <c r="BE637" s="448" t="s">
        <v>1726</v>
      </c>
      <c r="BF637" s="635"/>
      <c r="BG637" s="635"/>
      <c r="BH637" s="634"/>
      <c r="BI637" s="635"/>
    </row>
    <row r="638" spans="1:61" ht="16.2" customHeight="1">
      <c r="A638" s="12"/>
      <c r="B638" s="446"/>
      <c r="C638" s="89"/>
      <c r="D638" s="13"/>
      <c r="E638" s="14"/>
      <c r="F638" s="14"/>
      <c r="G638" s="15"/>
      <c r="H638" s="8"/>
      <c r="I638" s="8"/>
      <c r="J638" s="89"/>
      <c r="K638" s="8"/>
      <c r="L638" s="8"/>
      <c r="M638" s="8" t="str">
        <f>IF(L638="","",
IF(AX638="PT",VLOOKUP(L638,Foundation_Calc!$V$4:$X$37,VLOOKUP(AX638,Foundation_Calc!$I$10:$J$13,2,FALSE),0),
IF(AX638="K",VLOOKUP(L638,Foundation_Calc!$V$41:$X$74,VLOOKUP(AX638,Foundation_Calc!$I$10:$J$13,2,FALSE),0),"")))</f>
        <v/>
      </c>
      <c r="N638" s="8"/>
      <c r="O638" s="8"/>
      <c r="P638" s="8"/>
      <c r="Q638" s="14"/>
      <c r="R638" s="15"/>
      <c r="S638" s="15"/>
      <c r="T638" s="14"/>
      <c r="U638" s="14"/>
      <c r="V638" s="14"/>
      <c r="W638" s="18"/>
      <c r="X638" s="18"/>
      <c r="Y638" s="18"/>
      <c r="Z638" s="18"/>
      <c r="AA638" s="18"/>
      <c r="AB638" s="18"/>
      <c r="AC638" s="8" t="str">
        <f t="shared" si="37"/>
        <v/>
      </c>
      <c r="AD638" s="8"/>
      <c r="AE638" s="8"/>
      <c r="AF638" s="14"/>
      <c r="AG638" s="13"/>
      <c r="AH638" s="14"/>
      <c r="AI638" s="14"/>
      <c r="AJ638" s="8"/>
      <c r="AK638" s="8"/>
      <c r="AL638" s="8"/>
      <c r="AM638" s="8"/>
      <c r="AN638" s="631"/>
      <c r="AO638" s="18"/>
      <c r="AP638" s="18"/>
      <c r="AQ638" s="18"/>
      <c r="AR638" s="18"/>
      <c r="AS638" s="18"/>
      <c r="AU638" s="448"/>
      <c r="AV638" s="448"/>
      <c r="AW638" s="8" t="str">
        <f>IF(C638&gt;0,VLOOKUP(C638,Foundation_Calc!$A$2:$C$986,3,1),
IF(J638&gt;0,VLOOKUP(J638,Foundation_Calc!$A$2:$C$986,3,1),""))</f>
        <v/>
      </c>
      <c r="AX638" s="8" t="str">
        <f>IF(C638&gt;0,VLOOKUP(C638,Foundation_Calc!$E$2:$G$986,3,1),
IF(J638&gt;0,VLOOKUP(J638,Foundation_Calc!$E$2:$G$986,3,1),""))</f>
        <v/>
      </c>
      <c r="AY638" s="631" t="str">
        <f>IF(L638="","",
IF(AX638="PT",VLOOKUP(L638,Foundation_Calc!$K$4:$R$37,VLOOKUP(AW638,Foundation_Calc!$I$2:$J$8,2,FALSE),0),
IF(AX638="K",VLOOKUP(L638,Foundation_Calc!$K$41:$R$74,VLOOKUP(AW638,Foundation_Calc!$I$2:$J$8,2,FALSE),0),"")))</f>
        <v/>
      </c>
      <c r="AZ638" s="631" t="str">
        <f>IF(K638="","",
IF(AX638="PT",VLOOKUP(K638,Foundation_Calc!$K$4:$R$37,VLOOKUP(AW638,Foundation_Calc!$I$2:$J$8,2,FALSE),0),
IF(AX638="K",VLOOKUP(K638,Foundation_Calc!$K$41:$R$74,VLOOKUP(AW638,Foundation_Calc!$I$2:$J$8,2,FALSE),0),"")))</f>
        <v/>
      </c>
      <c r="BA638" s="632" t="str">
        <f t="shared" si="38"/>
        <v/>
      </c>
      <c r="BB638" s="632" t="str">
        <f t="shared" si="39"/>
        <v/>
      </c>
      <c r="BC638" s="632" t="str">
        <f t="shared" si="40"/>
        <v/>
      </c>
      <c r="BD638" s="633" t="str">
        <f>IF(AND(L638="",H638=""),"",
IF(H638="",Pole_Calc!A666,
IF(H638="MP",Pole_Calc!A667,
IF(H638="AnMP",Pole_Calc!A668,
IF(H638="A",Pole_Calc!A669,
IF(H638="S/A",Pole_Calc!A670,
IF(H638="A/S",Pole_Calc!A671,"Poner a mano")))))))</f>
        <v/>
      </c>
      <c r="BE638" s="448" t="s">
        <v>1726</v>
      </c>
      <c r="BF638" s="634"/>
      <c r="BG638" s="634"/>
      <c r="BH638" s="634"/>
      <c r="BI638" s="634"/>
    </row>
    <row r="639" spans="1:61" ht="16.2" customHeight="1">
      <c r="A639" s="12"/>
      <c r="B639" s="446"/>
      <c r="C639" s="89"/>
      <c r="D639" s="13"/>
      <c r="E639" s="14"/>
      <c r="F639" s="14"/>
      <c r="G639" s="15"/>
      <c r="H639" s="8"/>
      <c r="I639" s="8"/>
      <c r="J639" s="89"/>
      <c r="K639" s="8"/>
      <c r="L639" s="8"/>
      <c r="M639" s="8" t="str">
        <f>IF(L639="","",
IF(AX639="PT",VLOOKUP(L639,Foundation_Calc!$V$4:$X$37,VLOOKUP(AX639,Foundation_Calc!$I$10:$J$13,2,FALSE),0),
IF(AX639="K",VLOOKUP(L639,Foundation_Calc!$V$41:$X$74,VLOOKUP(AX639,Foundation_Calc!$I$10:$J$13,2,FALSE),0),"")))</f>
        <v/>
      </c>
      <c r="N639" s="8"/>
      <c r="O639" s="8"/>
      <c r="P639" s="8"/>
      <c r="Q639" s="14"/>
      <c r="R639" s="15"/>
      <c r="S639" s="15"/>
      <c r="T639" s="14"/>
      <c r="U639" s="14"/>
      <c r="V639" s="14"/>
      <c r="W639" s="18"/>
      <c r="X639" s="18"/>
      <c r="Y639" s="18"/>
      <c r="Z639" s="18"/>
      <c r="AA639" s="18"/>
      <c r="AB639" s="18"/>
      <c r="AC639" s="8" t="str">
        <f t="shared" si="37"/>
        <v/>
      </c>
      <c r="AD639" s="8"/>
      <c r="AE639" s="8"/>
      <c r="AF639" s="14"/>
      <c r="AG639" s="13"/>
      <c r="AH639" s="14"/>
      <c r="AI639" s="14"/>
      <c r="AJ639" s="8"/>
      <c r="AK639" s="8"/>
      <c r="AL639" s="8"/>
      <c r="AM639" s="8"/>
      <c r="AN639" s="631"/>
      <c r="AO639" s="18"/>
      <c r="AP639" s="18"/>
      <c r="AQ639" s="18"/>
      <c r="AR639" s="18"/>
      <c r="AS639" s="18"/>
      <c r="AU639" s="448"/>
      <c r="AV639" s="448"/>
      <c r="AW639" s="8" t="str">
        <f>IF(C639&gt;0,VLOOKUP(C639,Foundation_Calc!$A$2:$C$986,3,1),
IF(J639&gt;0,VLOOKUP(J639,Foundation_Calc!$A$2:$C$986,3,1),""))</f>
        <v/>
      </c>
      <c r="AX639" s="8" t="str">
        <f>IF(C639&gt;0,VLOOKUP(C639,Foundation_Calc!$E$2:$G$986,3,1),
IF(J639&gt;0,VLOOKUP(J639,Foundation_Calc!$E$2:$G$986,3,1),""))</f>
        <v/>
      </c>
      <c r="AY639" s="631" t="str">
        <f>IF(L639="","",
IF(AX639="PT",VLOOKUP(L639,Foundation_Calc!$K$4:$R$37,VLOOKUP(AW639,Foundation_Calc!$I$2:$J$8,2,FALSE),0),
IF(AX639="K",VLOOKUP(L639,Foundation_Calc!$K$41:$R$74,VLOOKUP(AW639,Foundation_Calc!$I$2:$J$8,2,FALSE),0),"")))</f>
        <v/>
      </c>
      <c r="AZ639" s="631" t="str">
        <f>IF(K639="","",
IF(AX639="PT",VLOOKUP(K639,Foundation_Calc!$K$4:$R$37,VLOOKUP(AW639,Foundation_Calc!$I$2:$J$8,2,FALSE),0),
IF(AX639="K",VLOOKUP(K639,Foundation_Calc!$K$41:$R$74,VLOOKUP(AW639,Foundation_Calc!$I$2:$J$8,2,FALSE),0),"")))</f>
        <v/>
      </c>
      <c r="BA639" s="632" t="str">
        <f t="shared" si="38"/>
        <v/>
      </c>
      <c r="BB639" s="632" t="str">
        <f t="shared" si="39"/>
        <v/>
      </c>
      <c r="BC639" s="632" t="str">
        <f t="shared" si="40"/>
        <v/>
      </c>
      <c r="BD639" s="633" t="str">
        <f>IF(AND(L639="",H639=""),"",
IF(H639="",Pole_Calc!A667,
IF(H639="MP",Pole_Calc!A668,
IF(H639="AnMP",Pole_Calc!A669,
IF(H639="A",Pole_Calc!A670,
IF(H639="S/A",Pole_Calc!A671,
IF(H639="A/S",Pole_Calc!A672,"Poner a mano")))))))</f>
        <v/>
      </c>
      <c r="BE639" s="448" t="s">
        <v>1726</v>
      </c>
      <c r="BF639" s="635"/>
      <c r="BG639" s="635"/>
      <c r="BH639" s="634"/>
      <c r="BI639" s="635"/>
    </row>
    <row r="640" spans="1:61" ht="16.2" customHeight="1">
      <c r="A640" s="12"/>
      <c r="B640" s="446"/>
      <c r="C640" s="89"/>
      <c r="D640" s="13"/>
      <c r="E640" s="14"/>
      <c r="F640" s="14"/>
      <c r="G640" s="15"/>
      <c r="H640" s="8"/>
      <c r="I640" s="8"/>
      <c r="J640" s="89"/>
      <c r="K640" s="8"/>
      <c r="L640" s="8"/>
      <c r="M640" s="8" t="str">
        <f>IF(L640="","",
IF(AX640="PT",VLOOKUP(L640,Foundation_Calc!$V$4:$X$37,VLOOKUP(AX640,Foundation_Calc!$I$10:$J$13,2,FALSE),0),
IF(AX640="K",VLOOKUP(L640,Foundation_Calc!$V$41:$X$74,VLOOKUP(AX640,Foundation_Calc!$I$10:$J$13,2,FALSE),0),"")))</f>
        <v/>
      </c>
      <c r="N640" s="8"/>
      <c r="O640" s="8"/>
      <c r="P640" s="8"/>
      <c r="Q640" s="14"/>
      <c r="R640" s="15"/>
      <c r="S640" s="15"/>
      <c r="T640" s="14"/>
      <c r="U640" s="14"/>
      <c r="V640" s="14"/>
      <c r="W640" s="18"/>
      <c r="X640" s="18"/>
      <c r="Y640" s="18"/>
      <c r="Z640" s="18"/>
      <c r="AA640" s="18"/>
      <c r="AB640" s="18"/>
      <c r="AC640" s="8" t="str">
        <f t="shared" si="37"/>
        <v/>
      </c>
      <c r="AD640" s="8"/>
      <c r="AE640" s="8"/>
      <c r="AF640" s="14"/>
      <c r="AG640" s="13"/>
      <c r="AH640" s="14"/>
      <c r="AI640" s="14"/>
      <c r="AJ640" s="8"/>
      <c r="AK640" s="8"/>
      <c r="AL640" s="8"/>
      <c r="AM640" s="8"/>
      <c r="AN640" s="631"/>
      <c r="AO640" s="18"/>
      <c r="AP640" s="18"/>
      <c r="AQ640" s="18"/>
      <c r="AR640" s="18"/>
      <c r="AS640" s="18"/>
      <c r="AU640" s="448"/>
      <c r="AV640" s="448"/>
      <c r="AW640" s="8" t="str">
        <f>IF(C640&gt;0,VLOOKUP(C640,Foundation_Calc!$A$2:$C$986,3,1),
IF(J640&gt;0,VLOOKUP(J640,Foundation_Calc!$A$2:$C$986,3,1),""))</f>
        <v/>
      </c>
      <c r="AX640" s="8" t="str">
        <f>IF(C640&gt;0,VLOOKUP(C640,Foundation_Calc!$E$2:$G$986,3,1),
IF(J640&gt;0,VLOOKUP(J640,Foundation_Calc!$E$2:$G$986,3,1),""))</f>
        <v/>
      </c>
      <c r="AY640" s="631" t="str">
        <f>IF(L640="","",
IF(AX640="PT",VLOOKUP(L640,Foundation_Calc!$K$4:$R$37,VLOOKUP(AW640,Foundation_Calc!$I$2:$J$8,2,FALSE),0),
IF(AX640="K",VLOOKUP(L640,Foundation_Calc!$K$41:$R$74,VLOOKUP(AW640,Foundation_Calc!$I$2:$J$8,2,FALSE),0),"")))</f>
        <v/>
      </c>
      <c r="AZ640" s="631" t="str">
        <f>IF(K640="","",
IF(AX640="PT",VLOOKUP(K640,Foundation_Calc!$K$4:$R$37,VLOOKUP(AW640,Foundation_Calc!$I$2:$J$8,2,FALSE),0),
IF(AX640="K",VLOOKUP(K640,Foundation_Calc!$K$41:$R$74,VLOOKUP(AW640,Foundation_Calc!$I$2:$J$8,2,FALSE),0),"")))</f>
        <v/>
      </c>
      <c r="BA640" s="632" t="str">
        <f t="shared" si="38"/>
        <v/>
      </c>
      <c r="BB640" s="632" t="str">
        <f t="shared" si="39"/>
        <v/>
      </c>
      <c r="BC640" s="632" t="str">
        <f t="shared" si="40"/>
        <v/>
      </c>
      <c r="BD640" s="633" t="str">
        <f>IF(AND(L640="",H640=""),"",
IF(H640="",Pole_Calc!A668,
IF(H640="MP",Pole_Calc!A669,
IF(H640="AnMP",Pole_Calc!A670,
IF(H640="A",Pole_Calc!A671,
IF(H640="S/A",Pole_Calc!A672,
IF(H640="A/S",Pole_Calc!A673,"Poner a mano")))))))</f>
        <v/>
      </c>
      <c r="BE640" s="448" t="s">
        <v>1726</v>
      </c>
      <c r="BF640" s="634"/>
      <c r="BG640" s="634"/>
      <c r="BH640" s="634"/>
      <c r="BI640" s="634"/>
    </row>
    <row r="641" spans="1:61" ht="16.2" customHeight="1">
      <c r="A641" s="12"/>
      <c r="B641" s="446"/>
      <c r="C641" s="89"/>
      <c r="D641" s="13"/>
      <c r="E641" s="14"/>
      <c r="F641" s="14"/>
      <c r="G641" s="15"/>
      <c r="H641" s="8"/>
      <c r="I641" s="8"/>
      <c r="J641" s="89"/>
      <c r="K641" s="8"/>
      <c r="L641" s="8"/>
      <c r="M641" s="8" t="str">
        <f>IF(L641="","",
IF(AX641="PT",VLOOKUP(L641,Foundation_Calc!$V$4:$X$37,VLOOKUP(AX641,Foundation_Calc!$I$10:$J$13,2,FALSE),0),
IF(AX641="K",VLOOKUP(L641,Foundation_Calc!$V$41:$X$74,VLOOKUP(AX641,Foundation_Calc!$I$10:$J$13,2,FALSE),0),"")))</f>
        <v/>
      </c>
      <c r="N641" s="8"/>
      <c r="O641" s="8"/>
      <c r="P641" s="8"/>
      <c r="Q641" s="14"/>
      <c r="R641" s="15"/>
      <c r="S641" s="15"/>
      <c r="T641" s="14"/>
      <c r="U641" s="14"/>
      <c r="V641" s="14"/>
      <c r="W641" s="18"/>
      <c r="X641" s="18"/>
      <c r="Y641" s="18"/>
      <c r="Z641" s="18"/>
      <c r="AA641" s="18"/>
      <c r="AB641" s="18"/>
      <c r="AC641" s="8" t="str">
        <f t="shared" si="37"/>
        <v/>
      </c>
      <c r="AD641" s="8"/>
      <c r="AE641" s="8"/>
      <c r="AF641" s="14"/>
      <c r="AG641" s="13"/>
      <c r="AH641" s="14"/>
      <c r="AI641" s="14"/>
      <c r="AJ641" s="8"/>
      <c r="AK641" s="8"/>
      <c r="AL641" s="8"/>
      <c r="AM641" s="8"/>
      <c r="AN641" s="631"/>
      <c r="AO641" s="18"/>
      <c r="AP641" s="18"/>
      <c r="AQ641" s="18"/>
      <c r="AR641" s="18"/>
      <c r="AS641" s="18"/>
      <c r="AU641" s="448"/>
      <c r="AV641" s="448"/>
      <c r="AW641" s="8" t="str">
        <f>IF(C641&gt;0,VLOOKUP(C641,Foundation_Calc!$A$2:$C$986,3,1),
IF(J641&gt;0,VLOOKUP(J641,Foundation_Calc!$A$2:$C$986,3,1),""))</f>
        <v/>
      </c>
      <c r="AX641" s="8" t="str">
        <f>IF(C641&gt;0,VLOOKUP(C641,Foundation_Calc!$E$2:$G$986,3,1),
IF(J641&gt;0,VLOOKUP(J641,Foundation_Calc!$E$2:$G$986,3,1),""))</f>
        <v/>
      </c>
      <c r="AY641" s="631" t="str">
        <f>IF(L641="","",
IF(AX641="PT",VLOOKUP(L641,Foundation_Calc!$K$4:$R$37,VLOOKUP(AW641,Foundation_Calc!$I$2:$J$8,2,FALSE),0),
IF(AX641="K",VLOOKUP(L641,Foundation_Calc!$K$41:$R$74,VLOOKUP(AW641,Foundation_Calc!$I$2:$J$8,2,FALSE),0),"")))</f>
        <v/>
      </c>
      <c r="AZ641" s="631" t="str">
        <f>IF(K641="","",
IF(AX641="PT",VLOOKUP(K641,Foundation_Calc!$K$4:$R$37,VLOOKUP(AW641,Foundation_Calc!$I$2:$J$8,2,FALSE),0),
IF(AX641="K",VLOOKUP(K641,Foundation_Calc!$K$41:$R$74,VLOOKUP(AW641,Foundation_Calc!$I$2:$J$8,2,FALSE),0),"")))</f>
        <v/>
      </c>
      <c r="BA641" s="632" t="str">
        <f t="shared" si="38"/>
        <v/>
      </c>
      <c r="BB641" s="632" t="str">
        <f t="shared" si="39"/>
        <v/>
      </c>
      <c r="BC641" s="632" t="str">
        <f t="shared" si="40"/>
        <v/>
      </c>
      <c r="BD641" s="633" t="str">
        <f>IF(AND(L641="",H641=""),"",
IF(H641="",Pole_Calc!A669,
IF(H641="MP",Pole_Calc!A670,
IF(H641="AnMP",Pole_Calc!A671,
IF(H641="A",Pole_Calc!A672,
IF(H641="S/A",Pole_Calc!A673,
IF(H641="A/S",Pole_Calc!A674,"Poner a mano")))))))</f>
        <v/>
      </c>
      <c r="BE641" s="448" t="s">
        <v>1726</v>
      </c>
      <c r="BF641" s="635"/>
      <c r="BG641" s="635"/>
      <c r="BH641" s="634"/>
      <c r="BI641" s="635"/>
    </row>
    <row r="642" spans="1:61" ht="16.2" customHeight="1">
      <c r="A642" s="12"/>
      <c r="B642" s="446"/>
      <c r="C642" s="89"/>
      <c r="D642" s="13"/>
      <c r="E642" s="14"/>
      <c r="F642" s="14"/>
      <c r="G642" s="15"/>
      <c r="H642" s="8"/>
      <c r="I642" s="8"/>
      <c r="J642" s="89"/>
      <c r="K642" s="8"/>
      <c r="L642" s="8"/>
      <c r="M642" s="8" t="str">
        <f>IF(L642="","",
IF(AX642="PT",VLOOKUP(L642,Foundation_Calc!$V$4:$X$37,VLOOKUP(AX642,Foundation_Calc!$I$10:$J$13,2,FALSE),0),
IF(AX642="K",VLOOKUP(L642,Foundation_Calc!$V$41:$X$74,VLOOKUP(AX642,Foundation_Calc!$I$10:$J$13,2,FALSE),0),"")))</f>
        <v/>
      </c>
      <c r="N642" s="8"/>
      <c r="O642" s="8"/>
      <c r="P642" s="8"/>
      <c r="Q642" s="14"/>
      <c r="R642" s="15"/>
      <c r="S642" s="15"/>
      <c r="T642" s="14"/>
      <c r="U642" s="14"/>
      <c r="V642" s="14"/>
      <c r="W642" s="18"/>
      <c r="X642" s="18"/>
      <c r="Y642" s="18"/>
      <c r="Z642" s="18"/>
      <c r="AA642" s="18"/>
      <c r="AB642" s="18"/>
      <c r="AC642" s="8" t="str">
        <f t="shared" si="37"/>
        <v/>
      </c>
      <c r="AD642" s="8"/>
      <c r="AE642" s="8"/>
      <c r="AF642" s="14"/>
      <c r="AG642" s="13"/>
      <c r="AH642" s="14"/>
      <c r="AI642" s="14"/>
      <c r="AJ642" s="8"/>
      <c r="AK642" s="8"/>
      <c r="AL642" s="8"/>
      <c r="AM642" s="8"/>
      <c r="AN642" s="631"/>
      <c r="AO642" s="18"/>
      <c r="AP642" s="18"/>
      <c r="AQ642" s="18"/>
      <c r="AR642" s="18"/>
      <c r="AS642" s="18"/>
      <c r="AU642" s="448"/>
      <c r="AV642" s="448"/>
      <c r="AW642" s="8" t="str">
        <f>IF(C642&gt;0,VLOOKUP(C642,Foundation_Calc!$A$2:$C$986,3,1),
IF(J642&gt;0,VLOOKUP(J642,Foundation_Calc!$A$2:$C$986,3,1),""))</f>
        <v/>
      </c>
      <c r="AX642" s="8" t="str">
        <f>IF(C642&gt;0,VLOOKUP(C642,Foundation_Calc!$E$2:$G$986,3,1),
IF(J642&gt;0,VLOOKUP(J642,Foundation_Calc!$E$2:$G$986,3,1),""))</f>
        <v/>
      </c>
      <c r="AY642" s="631" t="str">
        <f>IF(L642="","",
IF(AX642="PT",VLOOKUP(L642,Foundation_Calc!$K$4:$R$37,VLOOKUP(AW642,Foundation_Calc!$I$2:$J$8,2,FALSE),0),
IF(AX642="K",VLOOKUP(L642,Foundation_Calc!$K$41:$R$74,VLOOKUP(AW642,Foundation_Calc!$I$2:$J$8,2,FALSE),0),"")))</f>
        <v/>
      </c>
      <c r="AZ642" s="631" t="str">
        <f>IF(K642="","",
IF(AX642="PT",VLOOKUP(K642,Foundation_Calc!$K$4:$R$37,VLOOKUP(AW642,Foundation_Calc!$I$2:$J$8,2,FALSE),0),
IF(AX642="K",VLOOKUP(K642,Foundation_Calc!$K$41:$R$74,VLOOKUP(AW642,Foundation_Calc!$I$2:$J$8,2,FALSE),0),"")))</f>
        <v/>
      </c>
      <c r="BA642" s="632" t="str">
        <f t="shared" si="38"/>
        <v/>
      </c>
      <c r="BB642" s="632" t="str">
        <f t="shared" si="39"/>
        <v/>
      </c>
      <c r="BC642" s="632" t="str">
        <f t="shared" si="40"/>
        <v/>
      </c>
      <c r="BD642" s="633" t="str">
        <f>IF(AND(L642="",H642=""),"",
IF(H642="",Pole_Calc!A670,
IF(H642="MP",Pole_Calc!A671,
IF(H642="AnMP",Pole_Calc!A672,
IF(H642="A",Pole_Calc!A673,
IF(H642="S/A",Pole_Calc!A674,
IF(H642="A/S",Pole_Calc!A675,"Poner a mano")))))))</f>
        <v/>
      </c>
      <c r="BE642" s="448" t="s">
        <v>1726</v>
      </c>
      <c r="BF642" s="634"/>
      <c r="BG642" s="634"/>
      <c r="BH642" s="634"/>
      <c r="BI642" s="634"/>
    </row>
    <row r="643" spans="1:61" ht="16.2" customHeight="1">
      <c r="A643" s="12"/>
      <c r="B643" s="446"/>
      <c r="C643" s="89"/>
      <c r="D643" s="13"/>
      <c r="E643" s="14"/>
      <c r="F643" s="14"/>
      <c r="G643" s="15"/>
      <c r="H643" s="8"/>
      <c r="I643" s="8"/>
      <c r="J643" s="89"/>
      <c r="K643" s="8"/>
      <c r="L643" s="8"/>
      <c r="M643" s="8" t="str">
        <f>IF(L643="","",
IF(AX643="PT",VLOOKUP(L643,Foundation_Calc!$V$4:$X$37,VLOOKUP(AX643,Foundation_Calc!$I$10:$J$13,2,FALSE),0),
IF(AX643="K",VLOOKUP(L643,Foundation_Calc!$V$41:$X$74,VLOOKUP(AX643,Foundation_Calc!$I$10:$J$13,2,FALSE),0),"")))</f>
        <v/>
      </c>
      <c r="N643" s="8"/>
      <c r="O643" s="8"/>
      <c r="P643" s="8"/>
      <c r="Q643" s="14"/>
      <c r="R643" s="15"/>
      <c r="S643" s="15"/>
      <c r="T643" s="14"/>
      <c r="U643" s="14"/>
      <c r="V643" s="14"/>
      <c r="W643" s="18"/>
      <c r="X643" s="18"/>
      <c r="Y643" s="18"/>
      <c r="Z643" s="18"/>
      <c r="AA643" s="18"/>
      <c r="AB643" s="18"/>
      <c r="AC643" s="8" t="str">
        <f t="shared" si="37"/>
        <v/>
      </c>
      <c r="AD643" s="8"/>
      <c r="AE643" s="8"/>
      <c r="AF643" s="14"/>
      <c r="AG643" s="13"/>
      <c r="AH643" s="14"/>
      <c r="AI643" s="14"/>
      <c r="AJ643" s="8"/>
      <c r="AK643" s="8"/>
      <c r="AL643" s="8"/>
      <c r="AM643" s="8"/>
      <c r="AN643" s="631"/>
      <c r="AO643" s="18"/>
      <c r="AP643" s="18"/>
      <c r="AQ643" s="18"/>
      <c r="AR643" s="18"/>
      <c r="AS643" s="18"/>
      <c r="AU643" s="448"/>
      <c r="AV643" s="448"/>
      <c r="AW643" s="8" t="str">
        <f>IF(C643&gt;0,VLOOKUP(C643,Foundation_Calc!$A$2:$C$986,3,1),
IF(J643&gt;0,VLOOKUP(J643,Foundation_Calc!$A$2:$C$986,3,1),""))</f>
        <v/>
      </c>
      <c r="AX643" s="8" t="str">
        <f>IF(C643&gt;0,VLOOKUP(C643,Foundation_Calc!$E$2:$G$986,3,1),
IF(J643&gt;0,VLOOKUP(J643,Foundation_Calc!$E$2:$G$986,3,1),""))</f>
        <v/>
      </c>
      <c r="AY643" s="631" t="str">
        <f>IF(L643="","",
IF(AX643="PT",VLOOKUP(L643,Foundation_Calc!$K$4:$R$37,VLOOKUP(AW643,Foundation_Calc!$I$2:$J$8,2,FALSE),0),
IF(AX643="K",VLOOKUP(L643,Foundation_Calc!$K$41:$R$74,VLOOKUP(AW643,Foundation_Calc!$I$2:$J$8,2,FALSE),0),"")))</f>
        <v/>
      </c>
      <c r="AZ643" s="631" t="str">
        <f>IF(K643="","",
IF(AX643="PT",VLOOKUP(K643,Foundation_Calc!$K$4:$R$37,VLOOKUP(AW643,Foundation_Calc!$I$2:$J$8,2,FALSE),0),
IF(AX643="K",VLOOKUP(K643,Foundation_Calc!$K$41:$R$74,VLOOKUP(AW643,Foundation_Calc!$I$2:$J$8,2,FALSE),0),"")))</f>
        <v/>
      </c>
      <c r="BA643" s="632" t="str">
        <f t="shared" si="38"/>
        <v/>
      </c>
      <c r="BB643" s="632" t="str">
        <f t="shared" si="39"/>
        <v/>
      </c>
      <c r="BC643" s="632" t="str">
        <f t="shared" si="40"/>
        <v/>
      </c>
      <c r="BD643" s="633" t="str">
        <f>IF(AND(L643="",H643=""),"",
IF(H643="",Pole_Calc!A671,
IF(H643="MP",Pole_Calc!A672,
IF(H643="AnMP",Pole_Calc!A673,
IF(H643="A",Pole_Calc!A674,
IF(H643="S/A",Pole_Calc!A675,
IF(H643="A/S",Pole_Calc!A676,"Poner a mano")))))))</f>
        <v/>
      </c>
      <c r="BE643" s="448" t="s">
        <v>1726</v>
      </c>
      <c r="BF643" s="635"/>
      <c r="BG643" s="635"/>
      <c r="BH643" s="634"/>
      <c r="BI643" s="635"/>
    </row>
    <row r="644" spans="1:61" ht="16.2" customHeight="1">
      <c r="A644" s="12"/>
      <c r="B644" s="446"/>
      <c r="C644" s="89"/>
      <c r="D644" s="13"/>
      <c r="E644" s="14"/>
      <c r="F644" s="14"/>
      <c r="G644" s="15"/>
      <c r="H644" s="8"/>
      <c r="I644" s="8"/>
      <c r="J644" s="89"/>
      <c r="K644" s="8"/>
      <c r="L644" s="8"/>
      <c r="M644" s="8" t="str">
        <f>IF(L644="","",
IF(AX644="PT",VLOOKUP(L644,Foundation_Calc!$V$4:$X$37,VLOOKUP(AX644,Foundation_Calc!$I$10:$J$13,2,FALSE),0),
IF(AX644="K",VLOOKUP(L644,Foundation_Calc!$V$41:$X$74,VLOOKUP(AX644,Foundation_Calc!$I$10:$J$13,2,FALSE),0),"")))</f>
        <v/>
      </c>
      <c r="N644" s="8"/>
      <c r="O644" s="8"/>
      <c r="P644" s="8"/>
      <c r="Q644" s="14"/>
      <c r="R644" s="15"/>
      <c r="S644" s="15"/>
      <c r="T644" s="14"/>
      <c r="U644" s="14"/>
      <c r="V644" s="14"/>
      <c r="W644" s="18"/>
      <c r="X644" s="18"/>
      <c r="Y644" s="18"/>
      <c r="Z644" s="18"/>
      <c r="AA644" s="18"/>
      <c r="AB644" s="18"/>
      <c r="AC644" s="8" t="str">
        <f t="shared" si="37"/>
        <v/>
      </c>
      <c r="AD644" s="8"/>
      <c r="AE644" s="8"/>
      <c r="AF644" s="14"/>
      <c r="AG644" s="13"/>
      <c r="AH644" s="14"/>
      <c r="AI644" s="14"/>
      <c r="AJ644" s="8"/>
      <c r="AK644" s="8"/>
      <c r="AL644" s="8"/>
      <c r="AM644" s="8"/>
      <c r="AN644" s="631"/>
      <c r="AO644" s="18"/>
      <c r="AP644" s="18"/>
      <c r="AQ644" s="18"/>
      <c r="AR644" s="18"/>
      <c r="AS644" s="18"/>
      <c r="AU644" s="448"/>
      <c r="AV644" s="448"/>
      <c r="AW644" s="8" t="str">
        <f>IF(C644&gt;0,VLOOKUP(C644,Foundation_Calc!$A$2:$C$986,3,1),
IF(J644&gt;0,VLOOKUP(J644,Foundation_Calc!$A$2:$C$986,3,1),""))</f>
        <v/>
      </c>
      <c r="AX644" s="8" t="str">
        <f>IF(C644&gt;0,VLOOKUP(C644,Foundation_Calc!$E$2:$G$986,3,1),
IF(J644&gt;0,VLOOKUP(J644,Foundation_Calc!$E$2:$G$986,3,1),""))</f>
        <v/>
      </c>
      <c r="AY644" s="631" t="str">
        <f>IF(L644="","",
IF(AX644="PT",VLOOKUP(L644,Foundation_Calc!$K$4:$R$37,VLOOKUP(AW644,Foundation_Calc!$I$2:$J$8,2,FALSE),0),
IF(AX644="K",VLOOKUP(L644,Foundation_Calc!$K$41:$R$74,VLOOKUP(AW644,Foundation_Calc!$I$2:$J$8,2,FALSE),0),"")))</f>
        <v/>
      </c>
      <c r="AZ644" s="631" t="str">
        <f>IF(K644="","",
IF(AX644="PT",VLOOKUP(K644,Foundation_Calc!$K$4:$R$37,VLOOKUP(AW644,Foundation_Calc!$I$2:$J$8,2,FALSE),0),
IF(AX644="K",VLOOKUP(K644,Foundation_Calc!$K$41:$R$74,VLOOKUP(AW644,Foundation_Calc!$I$2:$J$8,2,FALSE),0),"")))</f>
        <v/>
      </c>
      <c r="BA644" s="632" t="str">
        <f t="shared" si="38"/>
        <v/>
      </c>
      <c r="BB644" s="632" t="str">
        <f t="shared" si="39"/>
        <v/>
      </c>
      <c r="BC644" s="632" t="str">
        <f t="shared" si="40"/>
        <v/>
      </c>
      <c r="BD644" s="633" t="str">
        <f>IF(AND(L644="",H644=""),"",
IF(H644="",Pole_Calc!A672,
IF(H644="MP",Pole_Calc!A673,
IF(H644="AnMP",Pole_Calc!A674,
IF(H644="A",Pole_Calc!A675,
IF(H644="S/A",Pole_Calc!A676,
IF(H644="A/S",Pole_Calc!A677,"Poner a mano")))))))</f>
        <v/>
      </c>
      <c r="BE644" s="448" t="s">
        <v>1726</v>
      </c>
      <c r="BF644" s="634"/>
      <c r="BG644" s="634"/>
      <c r="BH644" s="634"/>
      <c r="BI644" s="634"/>
    </row>
    <row r="645" spans="1:61" ht="16.2" customHeight="1">
      <c r="A645" s="12"/>
      <c r="B645" s="446"/>
      <c r="C645" s="89"/>
      <c r="D645" s="13"/>
      <c r="E645" s="14"/>
      <c r="F645" s="14"/>
      <c r="G645" s="15"/>
      <c r="H645" s="8"/>
      <c r="I645" s="8"/>
      <c r="J645" s="89"/>
      <c r="K645" s="8"/>
      <c r="L645" s="8"/>
      <c r="M645" s="8" t="str">
        <f>IF(L645="","",
IF(AX645="PT",VLOOKUP(L645,Foundation_Calc!$V$4:$X$37,VLOOKUP(AX645,Foundation_Calc!$I$10:$J$13,2,FALSE),0),
IF(AX645="K",VLOOKUP(L645,Foundation_Calc!$V$41:$X$74,VLOOKUP(AX645,Foundation_Calc!$I$10:$J$13,2,FALSE),0),"")))</f>
        <v/>
      </c>
      <c r="N645" s="8"/>
      <c r="O645" s="8"/>
      <c r="P645" s="8"/>
      <c r="Q645" s="14"/>
      <c r="R645" s="15"/>
      <c r="S645" s="15"/>
      <c r="T645" s="14"/>
      <c r="U645" s="14"/>
      <c r="V645" s="14"/>
      <c r="W645" s="18"/>
      <c r="X645" s="18"/>
      <c r="Y645" s="18"/>
      <c r="Z645" s="18"/>
      <c r="AA645" s="18"/>
      <c r="AB645" s="18"/>
      <c r="AC645" s="8" t="str">
        <f t="shared" si="37"/>
        <v/>
      </c>
      <c r="AD645" s="8"/>
      <c r="AE645" s="8"/>
      <c r="AF645" s="14"/>
      <c r="AG645" s="13"/>
      <c r="AH645" s="14"/>
      <c r="AI645" s="14"/>
      <c r="AJ645" s="8"/>
      <c r="AK645" s="8"/>
      <c r="AL645" s="8"/>
      <c r="AM645" s="8"/>
      <c r="AN645" s="631"/>
      <c r="AO645" s="18"/>
      <c r="AP645" s="18"/>
      <c r="AQ645" s="18"/>
      <c r="AR645" s="18"/>
      <c r="AS645" s="18"/>
      <c r="AU645" s="448"/>
      <c r="AV645" s="448"/>
      <c r="AW645" s="8" t="str">
        <f>IF(C645&gt;0,VLOOKUP(C645,Foundation_Calc!$A$2:$C$986,3,1),
IF(J645&gt;0,VLOOKUP(J645,Foundation_Calc!$A$2:$C$986,3,1),""))</f>
        <v/>
      </c>
      <c r="AX645" s="8" t="str">
        <f>IF(C645&gt;0,VLOOKUP(C645,Foundation_Calc!$E$2:$G$986,3,1),
IF(J645&gt;0,VLOOKUP(J645,Foundation_Calc!$E$2:$G$986,3,1),""))</f>
        <v/>
      </c>
      <c r="AY645" s="631" t="str">
        <f>IF(L645="","",
IF(AX645="PT",VLOOKUP(L645,Foundation_Calc!$K$4:$R$37,VLOOKUP(AW645,Foundation_Calc!$I$2:$J$8,2,FALSE),0),
IF(AX645="K",VLOOKUP(L645,Foundation_Calc!$K$41:$R$74,VLOOKUP(AW645,Foundation_Calc!$I$2:$J$8,2,FALSE),0),"")))</f>
        <v/>
      </c>
      <c r="AZ645" s="631" t="str">
        <f>IF(K645="","",
IF(AX645="PT",VLOOKUP(K645,Foundation_Calc!$K$4:$R$37,VLOOKUP(AW645,Foundation_Calc!$I$2:$J$8,2,FALSE),0),
IF(AX645="K",VLOOKUP(K645,Foundation_Calc!$K$41:$R$74,VLOOKUP(AW645,Foundation_Calc!$I$2:$J$8,2,FALSE),0),"")))</f>
        <v/>
      </c>
      <c r="BA645" s="632" t="str">
        <f t="shared" si="38"/>
        <v/>
      </c>
      <c r="BB645" s="632" t="str">
        <f t="shared" si="39"/>
        <v/>
      </c>
      <c r="BC645" s="632" t="str">
        <f t="shared" si="40"/>
        <v/>
      </c>
      <c r="BD645" s="633" t="str">
        <f>IF(AND(L645="",H645=""),"",
IF(H645="",Pole_Calc!A673,
IF(H645="MP",Pole_Calc!A674,
IF(H645="AnMP",Pole_Calc!A675,
IF(H645="A",Pole_Calc!A676,
IF(H645="S/A",Pole_Calc!A677,
IF(H645="A/S",Pole_Calc!A678,"Poner a mano")))))))</f>
        <v/>
      </c>
      <c r="BE645" s="448" t="s">
        <v>1726</v>
      </c>
      <c r="BF645" s="635"/>
      <c r="BG645" s="635"/>
      <c r="BH645" s="634"/>
      <c r="BI645" s="635"/>
    </row>
    <row r="646" spans="1:61" ht="16.2" customHeight="1">
      <c r="A646" s="12"/>
      <c r="B646" s="446"/>
      <c r="C646" s="89"/>
      <c r="D646" s="13"/>
      <c r="E646" s="14"/>
      <c r="F646" s="14"/>
      <c r="G646" s="15"/>
      <c r="H646" s="8"/>
      <c r="I646" s="8"/>
      <c r="J646" s="89"/>
      <c r="K646" s="8"/>
      <c r="L646" s="8"/>
      <c r="M646" s="8" t="str">
        <f>IF(L646="","",
IF(AX646="PT",VLOOKUP(L646,Foundation_Calc!$V$4:$X$37,VLOOKUP(AX646,Foundation_Calc!$I$10:$J$13,2,FALSE),0),
IF(AX646="K",VLOOKUP(L646,Foundation_Calc!$V$41:$X$74,VLOOKUP(AX646,Foundation_Calc!$I$10:$J$13,2,FALSE),0),"")))</f>
        <v/>
      </c>
      <c r="N646" s="8"/>
      <c r="O646" s="8"/>
      <c r="P646" s="8"/>
      <c r="Q646" s="14"/>
      <c r="R646" s="15"/>
      <c r="S646" s="15"/>
      <c r="T646" s="14"/>
      <c r="U646" s="14"/>
      <c r="V646" s="14"/>
      <c r="W646" s="18"/>
      <c r="X646" s="18"/>
      <c r="Y646" s="18"/>
      <c r="Z646" s="18"/>
      <c r="AA646" s="18"/>
      <c r="AB646" s="18"/>
      <c r="AC646" s="8" t="str">
        <f t="shared" ref="AC646:AC709" si="41">IF(OR(AT646&gt;8,AT646&lt;-8),"PH",
IF(OR(AT646&gt;5,AT646&lt;-5),"PHQ",
IF(OR(AT646&gt;1,AT646&lt;-1),
"PHC","")))</f>
        <v/>
      </c>
      <c r="AD646" s="8"/>
      <c r="AE646" s="8"/>
      <c r="AF646" s="14"/>
      <c r="AG646" s="13"/>
      <c r="AH646" s="14"/>
      <c r="AI646" s="14"/>
      <c r="AJ646" s="8"/>
      <c r="AK646" s="8"/>
      <c r="AL646" s="8"/>
      <c r="AM646" s="8"/>
      <c r="AN646" s="631"/>
      <c r="AO646" s="18"/>
      <c r="AP646" s="18"/>
      <c r="AQ646" s="18"/>
      <c r="AR646" s="18"/>
      <c r="AS646" s="18"/>
      <c r="AU646" s="448"/>
      <c r="AV646" s="448"/>
      <c r="AW646" s="8" t="str">
        <f>IF(C646&gt;0,VLOOKUP(C646,Foundation_Calc!$A$2:$C$986,3,1),
IF(J646&gt;0,VLOOKUP(J646,Foundation_Calc!$A$2:$C$986,3,1),""))</f>
        <v/>
      </c>
      <c r="AX646" s="8" t="str">
        <f>IF(C646&gt;0,VLOOKUP(C646,Foundation_Calc!$E$2:$G$986,3,1),
IF(J646&gt;0,VLOOKUP(J646,Foundation_Calc!$E$2:$G$986,3,1),""))</f>
        <v/>
      </c>
      <c r="AY646" s="631" t="str">
        <f>IF(L646="","",
IF(AX646="PT",VLOOKUP(L646,Foundation_Calc!$K$4:$R$37,VLOOKUP(AW646,Foundation_Calc!$I$2:$J$8,2,FALSE),0),
IF(AX646="K",VLOOKUP(L646,Foundation_Calc!$K$41:$R$74,VLOOKUP(AW646,Foundation_Calc!$I$2:$J$8,2,FALSE),0),"")))</f>
        <v/>
      </c>
      <c r="AZ646" s="631" t="str">
        <f>IF(K646="","",
IF(AX646="PT",VLOOKUP(K646,Foundation_Calc!$K$4:$R$37,VLOOKUP(AW646,Foundation_Calc!$I$2:$J$8,2,FALSE),0),
IF(AX646="K",VLOOKUP(K646,Foundation_Calc!$K$41:$R$74,VLOOKUP(AW646,Foundation_Calc!$I$2:$J$8,2,FALSE),0),"")))</f>
        <v/>
      </c>
      <c r="BA646" s="632" t="str">
        <f t="shared" ref="BA646:BA709" si="42">IF(AY646="","",IF(AY646&gt;0,"ü",""))</f>
        <v/>
      </c>
      <c r="BB646" s="632" t="str">
        <f t="shared" ref="BB646:BB709" si="43">IF(AZ646="","",IF(AZ646&gt;0,"ü",""))</f>
        <v/>
      </c>
      <c r="BC646" s="632" t="str">
        <f t="shared" ref="BC646:BC709" si="44">IF(M646="","",IF(M646="Unique Solution","ü",""))</f>
        <v/>
      </c>
      <c r="BD646" s="633" t="str">
        <f>IF(AND(L646="",H646=""),"",
IF(H646="",Pole_Calc!A674,
IF(H646="MP",Pole_Calc!A675,
IF(H646="AnMP",Pole_Calc!A676,
IF(H646="A",Pole_Calc!A677,
IF(H646="S/A",Pole_Calc!A678,
IF(H646="A/S",Pole_Calc!A679,"Poner a mano")))))))</f>
        <v/>
      </c>
      <c r="BE646" s="448" t="s">
        <v>1726</v>
      </c>
      <c r="BF646" s="634"/>
      <c r="BG646" s="634"/>
      <c r="BH646" s="634"/>
      <c r="BI646" s="634"/>
    </row>
    <row r="647" spans="1:61" ht="16.2" customHeight="1">
      <c r="A647" s="12"/>
      <c r="B647" s="446"/>
      <c r="C647" s="89"/>
      <c r="D647" s="13"/>
      <c r="E647" s="14"/>
      <c r="F647" s="14"/>
      <c r="G647" s="15"/>
      <c r="H647" s="8"/>
      <c r="I647" s="8"/>
      <c r="J647" s="89"/>
      <c r="K647" s="8"/>
      <c r="L647" s="8"/>
      <c r="M647" s="8" t="str">
        <f>IF(L647="","",
IF(AX647="PT",VLOOKUP(L647,Foundation_Calc!$V$4:$X$37,VLOOKUP(AX647,Foundation_Calc!$I$10:$J$13,2,FALSE),0),
IF(AX647="K",VLOOKUP(L647,Foundation_Calc!$V$41:$X$74,VLOOKUP(AX647,Foundation_Calc!$I$10:$J$13,2,FALSE),0),"")))</f>
        <v/>
      </c>
      <c r="N647" s="8"/>
      <c r="O647" s="8"/>
      <c r="P647" s="8"/>
      <c r="Q647" s="14"/>
      <c r="R647" s="15"/>
      <c r="S647" s="15"/>
      <c r="T647" s="14"/>
      <c r="U647" s="14"/>
      <c r="V647" s="14"/>
      <c r="W647" s="18"/>
      <c r="X647" s="18"/>
      <c r="Y647" s="18"/>
      <c r="Z647" s="18"/>
      <c r="AA647" s="18"/>
      <c r="AB647" s="18"/>
      <c r="AC647" s="8" t="str">
        <f t="shared" si="41"/>
        <v/>
      </c>
      <c r="AD647" s="8"/>
      <c r="AE647" s="8"/>
      <c r="AF647" s="14"/>
      <c r="AG647" s="13"/>
      <c r="AH647" s="14"/>
      <c r="AI647" s="14"/>
      <c r="AJ647" s="8"/>
      <c r="AK647" s="8"/>
      <c r="AL647" s="8"/>
      <c r="AM647" s="8"/>
      <c r="AN647" s="631"/>
      <c r="AO647" s="18"/>
      <c r="AP647" s="18"/>
      <c r="AQ647" s="18"/>
      <c r="AR647" s="18"/>
      <c r="AS647" s="18"/>
      <c r="AU647" s="448"/>
      <c r="AV647" s="448"/>
      <c r="AW647" s="8" t="str">
        <f>IF(C647&gt;0,VLOOKUP(C647,Foundation_Calc!$A$2:$C$986,3,1),
IF(J647&gt;0,VLOOKUP(J647,Foundation_Calc!$A$2:$C$986,3,1),""))</f>
        <v/>
      </c>
      <c r="AX647" s="8" t="str">
        <f>IF(C647&gt;0,VLOOKUP(C647,Foundation_Calc!$E$2:$G$986,3,1),
IF(J647&gt;0,VLOOKUP(J647,Foundation_Calc!$E$2:$G$986,3,1),""))</f>
        <v/>
      </c>
      <c r="AY647" s="631" t="str">
        <f>IF(L647="","",
IF(AX647="PT",VLOOKUP(L647,Foundation_Calc!$K$4:$R$37,VLOOKUP(AW647,Foundation_Calc!$I$2:$J$8,2,FALSE),0),
IF(AX647="K",VLOOKUP(L647,Foundation_Calc!$K$41:$R$74,VLOOKUP(AW647,Foundation_Calc!$I$2:$J$8,2,FALSE),0),"")))</f>
        <v/>
      </c>
      <c r="AZ647" s="631" t="str">
        <f>IF(K647="","",
IF(AX647="PT",VLOOKUP(K647,Foundation_Calc!$K$4:$R$37,VLOOKUP(AW647,Foundation_Calc!$I$2:$J$8,2,FALSE),0),
IF(AX647="K",VLOOKUP(K647,Foundation_Calc!$K$41:$R$74,VLOOKUP(AW647,Foundation_Calc!$I$2:$J$8,2,FALSE),0),"")))</f>
        <v/>
      </c>
      <c r="BA647" s="632" t="str">
        <f t="shared" si="42"/>
        <v/>
      </c>
      <c r="BB647" s="632" t="str">
        <f t="shared" si="43"/>
        <v/>
      </c>
      <c r="BC647" s="632" t="str">
        <f t="shared" si="44"/>
        <v/>
      </c>
      <c r="BD647" s="633" t="str">
        <f>IF(AND(L647="",H647=""),"",
IF(H647="",Pole_Calc!A675,
IF(H647="MP",Pole_Calc!A676,
IF(H647="AnMP",Pole_Calc!A677,
IF(H647="A",Pole_Calc!A678,
IF(H647="S/A",Pole_Calc!A679,
IF(H647="A/S",Pole_Calc!A680,"Poner a mano")))))))</f>
        <v/>
      </c>
      <c r="BE647" s="448" t="s">
        <v>1726</v>
      </c>
      <c r="BF647" s="635"/>
      <c r="BG647" s="635"/>
      <c r="BH647" s="634"/>
      <c r="BI647" s="635"/>
    </row>
    <row r="648" spans="1:61" ht="16.2" customHeight="1">
      <c r="A648" s="12"/>
      <c r="B648" s="446"/>
      <c r="C648" s="89"/>
      <c r="D648" s="13"/>
      <c r="E648" s="14"/>
      <c r="F648" s="14"/>
      <c r="G648" s="15"/>
      <c r="H648" s="8"/>
      <c r="I648" s="8"/>
      <c r="J648" s="89"/>
      <c r="K648" s="8"/>
      <c r="L648" s="8"/>
      <c r="M648" s="8" t="str">
        <f>IF(L648="","",
IF(AX648="PT",VLOOKUP(L648,Foundation_Calc!$V$4:$X$37,VLOOKUP(AX648,Foundation_Calc!$I$10:$J$13,2,FALSE),0),
IF(AX648="K",VLOOKUP(L648,Foundation_Calc!$V$41:$X$74,VLOOKUP(AX648,Foundation_Calc!$I$10:$J$13,2,FALSE),0),"")))</f>
        <v/>
      </c>
      <c r="N648" s="8"/>
      <c r="O648" s="8"/>
      <c r="P648" s="8"/>
      <c r="Q648" s="14"/>
      <c r="R648" s="15"/>
      <c r="S648" s="15"/>
      <c r="T648" s="14"/>
      <c r="U648" s="14"/>
      <c r="V648" s="14"/>
      <c r="W648" s="18"/>
      <c r="X648" s="18"/>
      <c r="Y648" s="18"/>
      <c r="Z648" s="18"/>
      <c r="AA648" s="18"/>
      <c r="AB648" s="18"/>
      <c r="AC648" s="8" t="str">
        <f t="shared" si="41"/>
        <v/>
      </c>
      <c r="AD648" s="8"/>
      <c r="AE648" s="8"/>
      <c r="AF648" s="14"/>
      <c r="AG648" s="13"/>
      <c r="AH648" s="14"/>
      <c r="AI648" s="14"/>
      <c r="AJ648" s="8"/>
      <c r="AK648" s="8"/>
      <c r="AL648" s="8"/>
      <c r="AM648" s="8"/>
      <c r="AN648" s="631"/>
      <c r="AO648" s="18"/>
      <c r="AP648" s="18"/>
      <c r="AQ648" s="18"/>
      <c r="AR648" s="18"/>
      <c r="AS648" s="18"/>
      <c r="AU648" s="448"/>
      <c r="AV648" s="448"/>
      <c r="AW648" s="8" t="str">
        <f>IF(C648&gt;0,VLOOKUP(C648,Foundation_Calc!$A$2:$C$986,3,1),
IF(J648&gt;0,VLOOKUP(J648,Foundation_Calc!$A$2:$C$986,3,1),""))</f>
        <v/>
      </c>
      <c r="AX648" s="8" t="str">
        <f>IF(C648&gt;0,VLOOKUP(C648,Foundation_Calc!$E$2:$G$986,3,1),
IF(J648&gt;0,VLOOKUP(J648,Foundation_Calc!$E$2:$G$986,3,1),""))</f>
        <v/>
      </c>
      <c r="AY648" s="631" t="str">
        <f>IF(L648="","",
IF(AX648="PT",VLOOKUP(L648,Foundation_Calc!$K$4:$R$37,VLOOKUP(AW648,Foundation_Calc!$I$2:$J$8,2,FALSE),0),
IF(AX648="K",VLOOKUP(L648,Foundation_Calc!$K$41:$R$74,VLOOKUP(AW648,Foundation_Calc!$I$2:$J$8,2,FALSE),0),"")))</f>
        <v/>
      </c>
      <c r="AZ648" s="631" t="str">
        <f>IF(K648="","",
IF(AX648="PT",VLOOKUP(K648,Foundation_Calc!$K$4:$R$37,VLOOKUP(AW648,Foundation_Calc!$I$2:$J$8,2,FALSE),0),
IF(AX648="K",VLOOKUP(K648,Foundation_Calc!$K$41:$R$74,VLOOKUP(AW648,Foundation_Calc!$I$2:$J$8,2,FALSE),0),"")))</f>
        <v/>
      </c>
      <c r="BA648" s="632" t="str">
        <f t="shared" si="42"/>
        <v/>
      </c>
      <c r="BB648" s="632" t="str">
        <f t="shared" si="43"/>
        <v/>
      </c>
      <c r="BC648" s="632" t="str">
        <f t="shared" si="44"/>
        <v/>
      </c>
      <c r="BD648" s="633" t="str">
        <f>IF(AND(L648="",H648=""),"",
IF(H648="",Pole_Calc!A676,
IF(H648="MP",Pole_Calc!A677,
IF(H648="AnMP",Pole_Calc!A678,
IF(H648="A",Pole_Calc!A679,
IF(H648="S/A",Pole_Calc!A680,
IF(H648="A/S",Pole_Calc!A681,"Poner a mano")))))))</f>
        <v/>
      </c>
      <c r="BE648" s="448" t="s">
        <v>1726</v>
      </c>
      <c r="BF648" s="634"/>
      <c r="BG648" s="634"/>
      <c r="BH648" s="634"/>
      <c r="BI648" s="634"/>
    </row>
    <row r="649" spans="1:61" ht="16.2" customHeight="1">
      <c r="A649" s="12"/>
      <c r="B649" s="446"/>
      <c r="C649" s="89"/>
      <c r="D649" s="13"/>
      <c r="E649" s="14"/>
      <c r="F649" s="14"/>
      <c r="G649" s="15"/>
      <c r="H649" s="8"/>
      <c r="I649" s="8"/>
      <c r="J649" s="89"/>
      <c r="K649" s="8"/>
      <c r="L649" s="8"/>
      <c r="M649" s="8" t="str">
        <f>IF(L649="","",
IF(AX649="PT",VLOOKUP(L649,Foundation_Calc!$V$4:$X$37,VLOOKUP(AX649,Foundation_Calc!$I$10:$J$13,2,FALSE),0),
IF(AX649="K",VLOOKUP(L649,Foundation_Calc!$V$41:$X$74,VLOOKUP(AX649,Foundation_Calc!$I$10:$J$13,2,FALSE),0),"")))</f>
        <v/>
      </c>
      <c r="N649" s="8"/>
      <c r="O649" s="8"/>
      <c r="P649" s="8"/>
      <c r="Q649" s="14"/>
      <c r="R649" s="15"/>
      <c r="S649" s="15"/>
      <c r="T649" s="14"/>
      <c r="U649" s="14"/>
      <c r="V649" s="14"/>
      <c r="W649" s="18"/>
      <c r="X649" s="18"/>
      <c r="Y649" s="18"/>
      <c r="Z649" s="18"/>
      <c r="AA649" s="18"/>
      <c r="AB649" s="18"/>
      <c r="AC649" s="8" t="str">
        <f t="shared" si="41"/>
        <v/>
      </c>
      <c r="AD649" s="8"/>
      <c r="AE649" s="8"/>
      <c r="AF649" s="14"/>
      <c r="AG649" s="13"/>
      <c r="AH649" s="14"/>
      <c r="AI649" s="14"/>
      <c r="AJ649" s="8"/>
      <c r="AK649" s="8"/>
      <c r="AL649" s="8"/>
      <c r="AM649" s="8"/>
      <c r="AN649" s="631"/>
      <c r="AO649" s="18"/>
      <c r="AP649" s="18"/>
      <c r="AQ649" s="18"/>
      <c r="AR649" s="18"/>
      <c r="AS649" s="18"/>
      <c r="AU649" s="448"/>
      <c r="AV649" s="448"/>
      <c r="AW649" s="8" t="str">
        <f>IF(C649&gt;0,VLOOKUP(C649,Foundation_Calc!$A$2:$C$986,3,1),
IF(J649&gt;0,VLOOKUP(J649,Foundation_Calc!$A$2:$C$986,3,1),""))</f>
        <v/>
      </c>
      <c r="AX649" s="8" t="str">
        <f>IF(C649&gt;0,VLOOKUP(C649,Foundation_Calc!$E$2:$G$986,3,1),
IF(J649&gt;0,VLOOKUP(J649,Foundation_Calc!$E$2:$G$986,3,1),""))</f>
        <v/>
      </c>
      <c r="AY649" s="631" t="str">
        <f>IF(L649="","",
IF(AX649="PT",VLOOKUP(L649,Foundation_Calc!$K$4:$R$37,VLOOKUP(AW649,Foundation_Calc!$I$2:$J$8,2,FALSE),0),
IF(AX649="K",VLOOKUP(L649,Foundation_Calc!$K$41:$R$74,VLOOKUP(AW649,Foundation_Calc!$I$2:$J$8,2,FALSE),0),"")))</f>
        <v/>
      </c>
      <c r="AZ649" s="631" t="str">
        <f>IF(K649="","",
IF(AX649="PT",VLOOKUP(K649,Foundation_Calc!$K$4:$R$37,VLOOKUP(AW649,Foundation_Calc!$I$2:$J$8,2,FALSE),0),
IF(AX649="K",VLOOKUP(K649,Foundation_Calc!$K$41:$R$74,VLOOKUP(AW649,Foundation_Calc!$I$2:$J$8,2,FALSE),0),"")))</f>
        <v/>
      </c>
      <c r="BA649" s="632" t="str">
        <f t="shared" si="42"/>
        <v/>
      </c>
      <c r="BB649" s="632" t="str">
        <f t="shared" si="43"/>
        <v/>
      </c>
      <c r="BC649" s="632" t="str">
        <f t="shared" si="44"/>
        <v/>
      </c>
      <c r="BD649" s="633" t="str">
        <f>IF(AND(L649="",H649=""),"",
IF(H649="",Pole_Calc!A677,
IF(H649="MP",Pole_Calc!A678,
IF(H649="AnMP",Pole_Calc!A679,
IF(H649="A",Pole_Calc!A680,
IF(H649="S/A",Pole_Calc!A681,
IF(H649="A/S",Pole_Calc!A682,"Poner a mano")))))))</f>
        <v/>
      </c>
      <c r="BE649" s="448" t="s">
        <v>1726</v>
      </c>
      <c r="BF649" s="635"/>
      <c r="BG649" s="635"/>
      <c r="BH649" s="634"/>
      <c r="BI649" s="635"/>
    </row>
    <row r="650" spans="1:61" ht="16.2" customHeight="1">
      <c r="A650" s="12"/>
      <c r="B650" s="446"/>
      <c r="C650" s="89"/>
      <c r="D650" s="13"/>
      <c r="E650" s="14"/>
      <c r="F650" s="14"/>
      <c r="G650" s="15"/>
      <c r="H650" s="8"/>
      <c r="I650" s="8"/>
      <c r="J650" s="89"/>
      <c r="K650" s="8"/>
      <c r="L650" s="8"/>
      <c r="M650" s="8" t="str">
        <f>IF(L650="","",
IF(AX650="PT",VLOOKUP(L650,Foundation_Calc!$V$4:$X$37,VLOOKUP(AX650,Foundation_Calc!$I$10:$J$13,2,FALSE),0),
IF(AX650="K",VLOOKUP(L650,Foundation_Calc!$V$41:$X$74,VLOOKUP(AX650,Foundation_Calc!$I$10:$J$13,2,FALSE),0),"")))</f>
        <v/>
      </c>
      <c r="N650" s="8"/>
      <c r="O650" s="8"/>
      <c r="P650" s="8"/>
      <c r="Q650" s="14"/>
      <c r="R650" s="15"/>
      <c r="S650" s="15"/>
      <c r="T650" s="14"/>
      <c r="U650" s="14"/>
      <c r="V650" s="14"/>
      <c r="W650" s="18"/>
      <c r="X650" s="18"/>
      <c r="Y650" s="18"/>
      <c r="Z650" s="18"/>
      <c r="AA650" s="18"/>
      <c r="AB650" s="18"/>
      <c r="AC650" s="8" t="str">
        <f t="shared" si="41"/>
        <v/>
      </c>
      <c r="AD650" s="8"/>
      <c r="AE650" s="8"/>
      <c r="AF650" s="14"/>
      <c r="AG650" s="13"/>
      <c r="AH650" s="14"/>
      <c r="AI650" s="14"/>
      <c r="AJ650" s="8"/>
      <c r="AK650" s="8"/>
      <c r="AL650" s="8"/>
      <c r="AM650" s="8"/>
      <c r="AN650" s="631"/>
      <c r="AO650" s="18"/>
      <c r="AP650" s="18"/>
      <c r="AQ650" s="18"/>
      <c r="AR650" s="18"/>
      <c r="AS650" s="18"/>
      <c r="AU650" s="448"/>
      <c r="AV650" s="448"/>
      <c r="AW650" s="8" t="str">
        <f>IF(C650&gt;0,VLOOKUP(C650,Foundation_Calc!$A$2:$C$986,3,1),
IF(J650&gt;0,VLOOKUP(J650,Foundation_Calc!$A$2:$C$986,3,1),""))</f>
        <v/>
      </c>
      <c r="AX650" s="8" t="str">
        <f>IF(C650&gt;0,VLOOKUP(C650,Foundation_Calc!$E$2:$G$986,3,1),
IF(J650&gt;0,VLOOKUP(J650,Foundation_Calc!$E$2:$G$986,3,1),""))</f>
        <v/>
      </c>
      <c r="AY650" s="631" t="str">
        <f>IF(L650="","",
IF(AX650="PT",VLOOKUP(L650,Foundation_Calc!$K$4:$R$37,VLOOKUP(AW650,Foundation_Calc!$I$2:$J$8,2,FALSE),0),
IF(AX650="K",VLOOKUP(L650,Foundation_Calc!$K$41:$R$74,VLOOKUP(AW650,Foundation_Calc!$I$2:$J$8,2,FALSE),0),"")))</f>
        <v/>
      </c>
      <c r="AZ650" s="631" t="str">
        <f>IF(K650="","",
IF(AX650="PT",VLOOKUP(K650,Foundation_Calc!$K$4:$R$37,VLOOKUP(AW650,Foundation_Calc!$I$2:$J$8,2,FALSE),0),
IF(AX650="K",VLOOKUP(K650,Foundation_Calc!$K$41:$R$74,VLOOKUP(AW650,Foundation_Calc!$I$2:$J$8,2,FALSE),0),"")))</f>
        <v/>
      </c>
      <c r="BA650" s="632" t="str">
        <f t="shared" si="42"/>
        <v/>
      </c>
      <c r="BB650" s="632" t="str">
        <f t="shared" si="43"/>
        <v/>
      </c>
      <c r="BC650" s="632" t="str">
        <f t="shared" si="44"/>
        <v/>
      </c>
      <c r="BD650" s="633" t="str">
        <f>IF(AND(L650="",H650=""),"",
IF(H650="",Pole_Calc!A678,
IF(H650="MP",Pole_Calc!A679,
IF(H650="AnMP",Pole_Calc!A680,
IF(H650="A",Pole_Calc!A681,
IF(H650="S/A",Pole_Calc!A682,
IF(H650="A/S",Pole_Calc!A683,"Poner a mano")))))))</f>
        <v/>
      </c>
      <c r="BE650" s="448" t="s">
        <v>1726</v>
      </c>
      <c r="BF650" s="634"/>
      <c r="BG650" s="634"/>
      <c r="BH650" s="634"/>
      <c r="BI650" s="634"/>
    </row>
    <row r="651" spans="1:61" ht="16.2" customHeight="1">
      <c r="A651" s="12"/>
      <c r="B651" s="446"/>
      <c r="C651" s="89"/>
      <c r="D651" s="13"/>
      <c r="E651" s="14"/>
      <c r="F651" s="14"/>
      <c r="G651" s="15"/>
      <c r="H651" s="8"/>
      <c r="I651" s="8"/>
      <c r="J651" s="89"/>
      <c r="K651" s="8"/>
      <c r="L651" s="8"/>
      <c r="M651" s="8" t="str">
        <f>IF(L651="","",
IF(AX651="PT",VLOOKUP(L651,Foundation_Calc!$V$4:$X$37,VLOOKUP(AX651,Foundation_Calc!$I$10:$J$13,2,FALSE),0),
IF(AX651="K",VLOOKUP(L651,Foundation_Calc!$V$41:$X$74,VLOOKUP(AX651,Foundation_Calc!$I$10:$J$13,2,FALSE),0),"")))</f>
        <v/>
      </c>
      <c r="N651" s="8"/>
      <c r="O651" s="8"/>
      <c r="P651" s="8"/>
      <c r="Q651" s="14"/>
      <c r="R651" s="15"/>
      <c r="S651" s="15"/>
      <c r="T651" s="14"/>
      <c r="U651" s="14"/>
      <c r="V651" s="14"/>
      <c r="W651" s="18"/>
      <c r="X651" s="18"/>
      <c r="Y651" s="18"/>
      <c r="Z651" s="18"/>
      <c r="AA651" s="18"/>
      <c r="AB651" s="18"/>
      <c r="AC651" s="8" t="str">
        <f t="shared" si="41"/>
        <v/>
      </c>
      <c r="AD651" s="8"/>
      <c r="AE651" s="8"/>
      <c r="AF651" s="14"/>
      <c r="AG651" s="13"/>
      <c r="AH651" s="14"/>
      <c r="AI651" s="14"/>
      <c r="AJ651" s="8"/>
      <c r="AK651" s="8"/>
      <c r="AL651" s="8"/>
      <c r="AM651" s="8"/>
      <c r="AN651" s="631"/>
      <c r="AO651" s="18"/>
      <c r="AP651" s="18"/>
      <c r="AQ651" s="18"/>
      <c r="AR651" s="18"/>
      <c r="AS651" s="18"/>
      <c r="AU651" s="448"/>
      <c r="AV651" s="448"/>
      <c r="AW651" s="8" t="str">
        <f>IF(C651&gt;0,VLOOKUP(C651,Foundation_Calc!$A$2:$C$986,3,1),
IF(J651&gt;0,VLOOKUP(J651,Foundation_Calc!$A$2:$C$986,3,1),""))</f>
        <v/>
      </c>
      <c r="AX651" s="8" t="str">
        <f>IF(C651&gt;0,VLOOKUP(C651,Foundation_Calc!$E$2:$G$986,3,1),
IF(J651&gt;0,VLOOKUP(J651,Foundation_Calc!$E$2:$G$986,3,1),""))</f>
        <v/>
      </c>
      <c r="AY651" s="631" t="str">
        <f>IF(L651="","",
IF(AX651="PT",VLOOKUP(L651,Foundation_Calc!$K$4:$R$37,VLOOKUP(AW651,Foundation_Calc!$I$2:$J$8,2,FALSE),0),
IF(AX651="K",VLOOKUP(L651,Foundation_Calc!$K$41:$R$74,VLOOKUP(AW651,Foundation_Calc!$I$2:$J$8,2,FALSE),0),"")))</f>
        <v/>
      </c>
      <c r="AZ651" s="631" t="str">
        <f>IF(K651="","",
IF(AX651="PT",VLOOKUP(K651,Foundation_Calc!$K$4:$R$37,VLOOKUP(AW651,Foundation_Calc!$I$2:$J$8,2,FALSE),0),
IF(AX651="K",VLOOKUP(K651,Foundation_Calc!$K$41:$R$74,VLOOKUP(AW651,Foundation_Calc!$I$2:$J$8,2,FALSE),0),"")))</f>
        <v/>
      </c>
      <c r="BA651" s="632" t="str">
        <f t="shared" si="42"/>
        <v/>
      </c>
      <c r="BB651" s="632" t="str">
        <f t="shared" si="43"/>
        <v/>
      </c>
      <c r="BC651" s="632" t="str">
        <f t="shared" si="44"/>
        <v/>
      </c>
      <c r="BD651" s="633" t="str">
        <f>IF(AND(L651="",H651=""),"",
IF(H651="",Pole_Calc!A679,
IF(H651="MP",Pole_Calc!A680,
IF(H651="AnMP",Pole_Calc!A681,
IF(H651="A",Pole_Calc!A682,
IF(H651="S/A",Pole_Calc!A683,
IF(H651="A/S",Pole_Calc!A684,"Poner a mano")))))))</f>
        <v/>
      </c>
      <c r="BE651" s="448" t="s">
        <v>1726</v>
      </c>
      <c r="BF651" s="635"/>
      <c r="BG651" s="635"/>
      <c r="BH651" s="634"/>
      <c r="BI651" s="635"/>
    </row>
    <row r="652" spans="1:61" ht="16.2" customHeight="1">
      <c r="A652" s="12"/>
      <c r="B652" s="446"/>
      <c r="C652" s="89"/>
      <c r="D652" s="13"/>
      <c r="E652" s="14"/>
      <c r="F652" s="14"/>
      <c r="G652" s="15"/>
      <c r="H652" s="8"/>
      <c r="I652" s="8"/>
      <c r="J652" s="89"/>
      <c r="K652" s="8"/>
      <c r="L652" s="8"/>
      <c r="M652" s="8" t="str">
        <f>IF(L652="","",
IF(AX652="PT",VLOOKUP(L652,Foundation_Calc!$V$4:$X$37,VLOOKUP(AX652,Foundation_Calc!$I$10:$J$13,2,FALSE),0),
IF(AX652="K",VLOOKUP(L652,Foundation_Calc!$V$41:$X$74,VLOOKUP(AX652,Foundation_Calc!$I$10:$J$13,2,FALSE),0),"")))</f>
        <v/>
      </c>
      <c r="N652" s="8"/>
      <c r="O652" s="8"/>
      <c r="P652" s="8"/>
      <c r="Q652" s="14"/>
      <c r="R652" s="15"/>
      <c r="S652" s="15"/>
      <c r="T652" s="14"/>
      <c r="U652" s="14"/>
      <c r="V652" s="14"/>
      <c r="W652" s="18"/>
      <c r="X652" s="18"/>
      <c r="Y652" s="18"/>
      <c r="Z652" s="18"/>
      <c r="AA652" s="18"/>
      <c r="AB652" s="18"/>
      <c r="AC652" s="8" t="str">
        <f t="shared" si="41"/>
        <v/>
      </c>
      <c r="AD652" s="8"/>
      <c r="AE652" s="8"/>
      <c r="AF652" s="14"/>
      <c r="AG652" s="13"/>
      <c r="AH652" s="14"/>
      <c r="AI652" s="14"/>
      <c r="AJ652" s="8"/>
      <c r="AK652" s="8"/>
      <c r="AL652" s="8"/>
      <c r="AM652" s="8"/>
      <c r="AN652" s="631"/>
      <c r="AO652" s="18"/>
      <c r="AP652" s="18"/>
      <c r="AQ652" s="18"/>
      <c r="AR652" s="18"/>
      <c r="AS652" s="18"/>
      <c r="AU652" s="448"/>
      <c r="AV652" s="448"/>
      <c r="AW652" s="8" t="str">
        <f>IF(C652&gt;0,VLOOKUP(C652,Foundation_Calc!$A$2:$C$986,3,1),
IF(J652&gt;0,VLOOKUP(J652,Foundation_Calc!$A$2:$C$986,3,1),""))</f>
        <v/>
      </c>
      <c r="AX652" s="8" t="str">
        <f>IF(C652&gt;0,VLOOKUP(C652,Foundation_Calc!$E$2:$G$986,3,1),
IF(J652&gt;0,VLOOKUP(J652,Foundation_Calc!$E$2:$G$986,3,1),""))</f>
        <v/>
      </c>
      <c r="AY652" s="631" t="str">
        <f>IF(L652="","",
IF(AX652="PT",VLOOKUP(L652,Foundation_Calc!$K$4:$R$37,VLOOKUP(AW652,Foundation_Calc!$I$2:$J$8,2,FALSE),0),
IF(AX652="K",VLOOKUP(L652,Foundation_Calc!$K$41:$R$74,VLOOKUP(AW652,Foundation_Calc!$I$2:$J$8,2,FALSE),0),"")))</f>
        <v/>
      </c>
      <c r="AZ652" s="631" t="str">
        <f>IF(K652="","",
IF(AX652="PT",VLOOKUP(K652,Foundation_Calc!$K$4:$R$37,VLOOKUP(AW652,Foundation_Calc!$I$2:$J$8,2,FALSE),0),
IF(AX652="K",VLOOKUP(K652,Foundation_Calc!$K$41:$R$74,VLOOKUP(AW652,Foundation_Calc!$I$2:$J$8,2,FALSE),0),"")))</f>
        <v/>
      </c>
      <c r="BA652" s="632" t="str">
        <f t="shared" si="42"/>
        <v/>
      </c>
      <c r="BB652" s="632" t="str">
        <f t="shared" si="43"/>
        <v/>
      </c>
      <c r="BC652" s="632" t="str">
        <f t="shared" si="44"/>
        <v/>
      </c>
      <c r="BD652" s="633" t="str">
        <f>IF(AND(L652="",H652=""),"",
IF(H652="",Pole_Calc!A680,
IF(H652="MP",Pole_Calc!A681,
IF(H652="AnMP",Pole_Calc!A682,
IF(H652="A",Pole_Calc!A683,
IF(H652="S/A",Pole_Calc!A684,
IF(H652="A/S",Pole_Calc!A685,"Poner a mano")))))))</f>
        <v/>
      </c>
      <c r="BE652" s="448" t="s">
        <v>1726</v>
      </c>
      <c r="BF652" s="634"/>
      <c r="BG652" s="634"/>
      <c r="BH652" s="634"/>
      <c r="BI652" s="634"/>
    </row>
    <row r="653" spans="1:61" ht="16.2" customHeight="1">
      <c r="A653" s="12"/>
      <c r="B653" s="446"/>
      <c r="C653" s="89"/>
      <c r="D653" s="13"/>
      <c r="E653" s="14"/>
      <c r="F653" s="14"/>
      <c r="G653" s="15"/>
      <c r="H653" s="8"/>
      <c r="I653" s="8"/>
      <c r="J653" s="89"/>
      <c r="K653" s="8"/>
      <c r="L653" s="8"/>
      <c r="M653" s="8" t="str">
        <f>IF(L653="","",
IF(AX653="PT",VLOOKUP(L653,Foundation_Calc!$V$4:$X$37,VLOOKUP(AX653,Foundation_Calc!$I$10:$J$13,2,FALSE),0),
IF(AX653="K",VLOOKUP(L653,Foundation_Calc!$V$41:$X$74,VLOOKUP(AX653,Foundation_Calc!$I$10:$J$13,2,FALSE),0),"")))</f>
        <v/>
      </c>
      <c r="N653" s="8"/>
      <c r="O653" s="8"/>
      <c r="P653" s="8"/>
      <c r="Q653" s="14"/>
      <c r="R653" s="15"/>
      <c r="S653" s="15"/>
      <c r="T653" s="14"/>
      <c r="U653" s="14"/>
      <c r="V653" s="14"/>
      <c r="W653" s="18"/>
      <c r="X653" s="18"/>
      <c r="Y653" s="18"/>
      <c r="Z653" s="18"/>
      <c r="AA653" s="18"/>
      <c r="AB653" s="18"/>
      <c r="AC653" s="8" t="str">
        <f t="shared" si="41"/>
        <v/>
      </c>
      <c r="AD653" s="8"/>
      <c r="AE653" s="8"/>
      <c r="AF653" s="14"/>
      <c r="AG653" s="13"/>
      <c r="AH653" s="14"/>
      <c r="AI653" s="14"/>
      <c r="AJ653" s="8"/>
      <c r="AK653" s="8"/>
      <c r="AL653" s="8"/>
      <c r="AM653" s="8"/>
      <c r="AN653" s="631"/>
      <c r="AO653" s="18"/>
      <c r="AP653" s="18"/>
      <c r="AQ653" s="18"/>
      <c r="AR653" s="18"/>
      <c r="AS653" s="18"/>
      <c r="AU653" s="448"/>
      <c r="AV653" s="448"/>
      <c r="AW653" s="8" t="str">
        <f>IF(C653&gt;0,VLOOKUP(C653,Foundation_Calc!$A$2:$C$986,3,1),
IF(J653&gt;0,VLOOKUP(J653,Foundation_Calc!$A$2:$C$986,3,1),""))</f>
        <v/>
      </c>
      <c r="AX653" s="8" t="str">
        <f>IF(C653&gt;0,VLOOKUP(C653,Foundation_Calc!$E$2:$G$986,3,1),
IF(J653&gt;0,VLOOKUP(J653,Foundation_Calc!$E$2:$G$986,3,1),""))</f>
        <v/>
      </c>
      <c r="AY653" s="631" t="str">
        <f>IF(L653="","",
IF(AX653="PT",VLOOKUP(L653,Foundation_Calc!$K$4:$R$37,VLOOKUP(AW653,Foundation_Calc!$I$2:$J$8,2,FALSE),0),
IF(AX653="K",VLOOKUP(L653,Foundation_Calc!$K$41:$R$74,VLOOKUP(AW653,Foundation_Calc!$I$2:$J$8,2,FALSE),0),"")))</f>
        <v/>
      </c>
      <c r="AZ653" s="631" t="str">
        <f>IF(K653="","",
IF(AX653="PT",VLOOKUP(K653,Foundation_Calc!$K$4:$R$37,VLOOKUP(AW653,Foundation_Calc!$I$2:$J$8,2,FALSE),0),
IF(AX653="K",VLOOKUP(K653,Foundation_Calc!$K$41:$R$74,VLOOKUP(AW653,Foundation_Calc!$I$2:$J$8,2,FALSE),0),"")))</f>
        <v/>
      </c>
      <c r="BA653" s="632" t="str">
        <f t="shared" si="42"/>
        <v/>
      </c>
      <c r="BB653" s="632" t="str">
        <f t="shared" si="43"/>
        <v/>
      </c>
      <c r="BC653" s="632" t="str">
        <f t="shared" si="44"/>
        <v/>
      </c>
      <c r="BD653" s="633" t="str">
        <f>IF(AND(L653="",H653=""),"",
IF(H653="",Pole_Calc!A681,
IF(H653="MP",Pole_Calc!A682,
IF(H653="AnMP",Pole_Calc!A683,
IF(H653="A",Pole_Calc!A684,
IF(H653="S/A",Pole_Calc!A685,
IF(H653="A/S",Pole_Calc!A686,"Poner a mano")))))))</f>
        <v/>
      </c>
      <c r="BE653" s="448" t="s">
        <v>1726</v>
      </c>
      <c r="BF653" s="635"/>
      <c r="BG653" s="635"/>
      <c r="BH653" s="634"/>
      <c r="BI653" s="635"/>
    </row>
    <row r="654" spans="1:61" ht="16.2" customHeight="1">
      <c r="A654" s="12"/>
      <c r="B654" s="446"/>
      <c r="C654" s="89"/>
      <c r="D654" s="13"/>
      <c r="E654" s="14"/>
      <c r="F654" s="14"/>
      <c r="G654" s="15"/>
      <c r="H654" s="8"/>
      <c r="I654" s="8"/>
      <c r="J654" s="89"/>
      <c r="K654" s="8"/>
      <c r="L654" s="8"/>
      <c r="M654" s="8" t="str">
        <f>IF(L654="","",
IF(AX654="PT",VLOOKUP(L654,Foundation_Calc!$V$4:$X$37,VLOOKUP(AX654,Foundation_Calc!$I$10:$J$13,2,FALSE),0),
IF(AX654="K",VLOOKUP(L654,Foundation_Calc!$V$41:$X$74,VLOOKUP(AX654,Foundation_Calc!$I$10:$J$13,2,FALSE),0),"")))</f>
        <v/>
      </c>
      <c r="N654" s="8"/>
      <c r="O654" s="8"/>
      <c r="P654" s="8"/>
      <c r="Q654" s="14"/>
      <c r="R654" s="15"/>
      <c r="S654" s="15"/>
      <c r="T654" s="14"/>
      <c r="U654" s="14"/>
      <c r="V654" s="14"/>
      <c r="W654" s="18"/>
      <c r="X654" s="18"/>
      <c r="Y654" s="18"/>
      <c r="Z654" s="18"/>
      <c r="AA654" s="18"/>
      <c r="AB654" s="18"/>
      <c r="AC654" s="8" t="str">
        <f t="shared" si="41"/>
        <v/>
      </c>
      <c r="AD654" s="8"/>
      <c r="AE654" s="8"/>
      <c r="AF654" s="14"/>
      <c r="AG654" s="13"/>
      <c r="AH654" s="14"/>
      <c r="AI654" s="14"/>
      <c r="AJ654" s="8"/>
      <c r="AK654" s="8"/>
      <c r="AL654" s="8"/>
      <c r="AM654" s="8"/>
      <c r="AN654" s="631"/>
      <c r="AO654" s="18"/>
      <c r="AP654" s="18"/>
      <c r="AQ654" s="18"/>
      <c r="AR654" s="18"/>
      <c r="AS654" s="18"/>
      <c r="AU654" s="448"/>
      <c r="AV654" s="448"/>
      <c r="AW654" s="8" t="str">
        <f>IF(C654&gt;0,VLOOKUP(C654,Foundation_Calc!$A$2:$C$986,3,1),
IF(J654&gt;0,VLOOKUP(J654,Foundation_Calc!$A$2:$C$986,3,1),""))</f>
        <v/>
      </c>
      <c r="AX654" s="8" t="str">
        <f>IF(C654&gt;0,VLOOKUP(C654,Foundation_Calc!$E$2:$G$986,3,1),
IF(J654&gt;0,VLOOKUP(J654,Foundation_Calc!$E$2:$G$986,3,1),""))</f>
        <v/>
      </c>
      <c r="AY654" s="631" t="str">
        <f>IF(L654="","",
IF(AX654="PT",VLOOKUP(L654,Foundation_Calc!$K$4:$R$37,VLOOKUP(AW654,Foundation_Calc!$I$2:$J$8,2,FALSE),0),
IF(AX654="K",VLOOKUP(L654,Foundation_Calc!$K$41:$R$74,VLOOKUP(AW654,Foundation_Calc!$I$2:$J$8,2,FALSE),0),"")))</f>
        <v/>
      </c>
      <c r="AZ654" s="631" t="str">
        <f>IF(K654="","",
IF(AX654="PT",VLOOKUP(K654,Foundation_Calc!$K$4:$R$37,VLOOKUP(AW654,Foundation_Calc!$I$2:$J$8,2,FALSE),0),
IF(AX654="K",VLOOKUP(K654,Foundation_Calc!$K$41:$R$74,VLOOKUP(AW654,Foundation_Calc!$I$2:$J$8,2,FALSE),0),"")))</f>
        <v/>
      </c>
      <c r="BA654" s="632" t="str">
        <f t="shared" si="42"/>
        <v/>
      </c>
      <c r="BB654" s="632" t="str">
        <f t="shared" si="43"/>
        <v/>
      </c>
      <c r="BC654" s="632" t="str">
        <f t="shared" si="44"/>
        <v/>
      </c>
      <c r="BD654" s="633" t="str">
        <f>IF(AND(L654="",H654=""),"",
IF(H654="",Pole_Calc!A682,
IF(H654="MP",Pole_Calc!A683,
IF(H654="AnMP",Pole_Calc!A684,
IF(H654="A",Pole_Calc!A685,
IF(H654="S/A",Pole_Calc!A686,
IF(H654="A/S",Pole_Calc!A687,"Poner a mano")))))))</f>
        <v/>
      </c>
      <c r="BE654" s="448" t="s">
        <v>1726</v>
      </c>
      <c r="BF654" s="634"/>
      <c r="BG654" s="634"/>
      <c r="BH654" s="634"/>
      <c r="BI654" s="634"/>
    </row>
    <row r="655" spans="1:61" ht="16.2" customHeight="1">
      <c r="A655" s="12"/>
      <c r="B655" s="446"/>
      <c r="C655" s="89"/>
      <c r="D655" s="13"/>
      <c r="E655" s="14"/>
      <c r="F655" s="14"/>
      <c r="G655" s="15"/>
      <c r="H655" s="8"/>
      <c r="I655" s="8"/>
      <c r="J655" s="89"/>
      <c r="K655" s="8"/>
      <c r="L655" s="8"/>
      <c r="M655" s="8" t="str">
        <f>IF(L655="","",
IF(AX655="PT",VLOOKUP(L655,Foundation_Calc!$V$4:$X$37,VLOOKUP(AX655,Foundation_Calc!$I$10:$J$13,2,FALSE),0),
IF(AX655="K",VLOOKUP(L655,Foundation_Calc!$V$41:$X$74,VLOOKUP(AX655,Foundation_Calc!$I$10:$J$13,2,FALSE),0),"")))</f>
        <v/>
      </c>
      <c r="N655" s="8"/>
      <c r="O655" s="8"/>
      <c r="P655" s="8"/>
      <c r="Q655" s="14"/>
      <c r="R655" s="15"/>
      <c r="S655" s="15"/>
      <c r="T655" s="14"/>
      <c r="U655" s="14"/>
      <c r="V655" s="14"/>
      <c r="W655" s="18"/>
      <c r="X655" s="18"/>
      <c r="Y655" s="18"/>
      <c r="Z655" s="18"/>
      <c r="AA655" s="18"/>
      <c r="AB655" s="18"/>
      <c r="AC655" s="8" t="str">
        <f t="shared" si="41"/>
        <v/>
      </c>
      <c r="AD655" s="8"/>
      <c r="AE655" s="8"/>
      <c r="AF655" s="14"/>
      <c r="AG655" s="13"/>
      <c r="AH655" s="14"/>
      <c r="AI655" s="14"/>
      <c r="AJ655" s="8"/>
      <c r="AK655" s="8"/>
      <c r="AL655" s="8"/>
      <c r="AM655" s="8"/>
      <c r="AN655" s="631"/>
      <c r="AO655" s="18"/>
      <c r="AP655" s="18"/>
      <c r="AQ655" s="18"/>
      <c r="AR655" s="18"/>
      <c r="AS655" s="18"/>
      <c r="AU655" s="448"/>
      <c r="AV655" s="448"/>
      <c r="AW655" s="8" t="str">
        <f>IF(C655&gt;0,VLOOKUP(C655,Foundation_Calc!$A$2:$C$986,3,1),
IF(J655&gt;0,VLOOKUP(J655,Foundation_Calc!$A$2:$C$986,3,1),""))</f>
        <v/>
      </c>
      <c r="AX655" s="8" t="str">
        <f>IF(C655&gt;0,VLOOKUP(C655,Foundation_Calc!$E$2:$G$986,3,1),
IF(J655&gt;0,VLOOKUP(J655,Foundation_Calc!$E$2:$G$986,3,1),""))</f>
        <v/>
      </c>
      <c r="AY655" s="631" t="str">
        <f>IF(L655="","",
IF(AX655="PT",VLOOKUP(L655,Foundation_Calc!$K$4:$R$37,VLOOKUP(AW655,Foundation_Calc!$I$2:$J$8,2,FALSE),0),
IF(AX655="K",VLOOKUP(L655,Foundation_Calc!$K$41:$R$74,VLOOKUP(AW655,Foundation_Calc!$I$2:$J$8,2,FALSE),0),"")))</f>
        <v/>
      </c>
      <c r="AZ655" s="631" t="str">
        <f>IF(K655="","",
IF(AX655="PT",VLOOKUP(K655,Foundation_Calc!$K$4:$R$37,VLOOKUP(AW655,Foundation_Calc!$I$2:$J$8,2,FALSE),0),
IF(AX655="K",VLOOKUP(K655,Foundation_Calc!$K$41:$R$74,VLOOKUP(AW655,Foundation_Calc!$I$2:$J$8,2,FALSE),0),"")))</f>
        <v/>
      </c>
      <c r="BA655" s="632" t="str">
        <f t="shared" si="42"/>
        <v/>
      </c>
      <c r="BB655" s="632" t="str">
        <f t="shared" si="43"/>
        <v/>
      </c>
      <c r="BC655" s="632" t="str">
        <f t="shared" si="44"/>
        <v/>
      </c>
      <c r="BD655" s="633" t="str">
        <f>IF(AND(L655="",H655=""),"",
IF(H655="",Pole_Calc!A683,
IF(H655="MP",Pole_Calc!A684,
IF(H655="AnMP",Pole_Calc!A685,
IF(H655="A",Pole_Calc!A686,
IF(H655="S/A",Pole_Calc!A687,
IF(H655="A/S",Pole_Calc!A688,"Poner a mano")))))))</f>
        <v/>
      </c>
      <c r="BE655" s="448" t="s">
        <v>1726</v>
      </c>
      <c r="BF655" s="635"/>
      <c r="BG655" s="635"/>
      <c r="BH655" s="634"/>
      <c r="BI655" s="635"/>
    </row>
    <row r="656" spans="1:61" ht="16.2" customHeight="1">
      <c r="A656" s="12"/>
      <c r="B656" s="446"/>
      <c r="C656" s="89"/>
      <c r="D656" s="13"/>
      <c r="E656" s="14"/>
      <c r="F656" s="14"/>
      <c r="G656" s="15"/>
      <c r="H656" s="8"/>
      <c r="I656" s="8"/>
      <c r="J656" s="89"/>
      <c r="K656" s="8"/>
      <c r="L656" s="8"/>
      <c r="M656" s="8" t="str">
        <f>IF(L656="","",
IF(AX656="PT",VLOOKUP(L656,Foundation_Calc!$V$4:$X$37,VLOOKUP(AX656,Foundation_Calc!$I$10:$J$13,2,FALSE),0),
IF(AX656="K",VLOOKUP(L656,Foundation_Calc!$V$41:$X$74,VLOOKUP(AX656,Foundation_Calc!$I$10:$J$13,2,FALSE),0),"")))</f>
        <v/>
      </c>
      <c r="N656" s="8"/>
      <c r="O656" s="8"/>
      <c r="P656" s="8"/>
      <c r="Q656" s="14"/>
      <c r="R656" s="15"/>
      <c r="S656" s="15"/>
      <c r="T656" s="14"/>
      <c r="U656" s="14"/>
      <c r="V656" s="14"/>
      <c r="W656" s="18"/>
      <c r="X656" s="18"/>
      <c r="Y656" s="18"/>
      <c r="Z656" s="18"/>
      <c r="AA656" s="18"/>
      <c r="AB656" s="18"/>
      <c r="AC656" s="8" t="str">
        <f t="shared" si="41"/>
        <v/>
      </c>
      <c r="AD656" s="8"/>
      <c r="AE656" s="8"/>
      <c r="AF656" s="14"/>
      <c r="AG656" s="13"/>
      <c r="AH656" s="14"/>
      <c r="AI656" s="14"/>
      <c r="AJ656" s="8"/>
      <c r="AK656" s="8"/>
      <c r="AL656" s="8"/>
      <c r="AM656" s="8"/>
      <c r="AN656" s="631"/>
      <c r="AO656" s="18"/>
      <c r="AP656" s="18"/>
      <c r="AQ656" s="18"/>
      <c r="AR656" s="18"/>
      <c r="AS656" s="18"/>
      <c r="AU656" s="448"/>
      <c r="AV656" s="448"/>
      <c r="AW656" s="8" t="str">
        <f>IF(C656&gt;0,VLOOKUP(C656,Foundation_Calc!$A$2:$C$986,3,1),
IF(J656&gt;0,VLOOKUP(J656,Foundation_Calc!$A$2:$C$986,3,1),""))</f>
        <v/>
      </c>
      <c r="AX656" s="8" t="str">
        <f>IF(C656&gt;0,VLOOKUP(C656,Foundation_Calc!$E$2:$G$986,3,1),
IF(J656&gt;0,VLOOKUP(J656,Foundation_Calc!$E$2:$G$986,3,1),""))</f>
        <v/>
      </c>
      <c r="AY656" s="631" t="str">
        <f>IF(L656="","",
IF(AX656="PT",VLOOKUP(L656,Foundation_Calc!$K$4:$R$37,VLOOKUP(AW656,Foundation_Calc!$I$2:$J$8,2,FALSE),0),
IF(AX656="K",VLOOKUP(L656,Foundation_Calc!$K$41:$R$74,VLOOKUP(AW656,Foundation_Calc!$I$2:$J$8,2,FALSE),0),"")))</f>
        <v/>
      </c>
      <c r="AZ656" s="631" t="str">
        <f>IF(K656="","",
IF(AX656="PT",VLOOKUP(K656,Foundation_Calc!$K$4:$R$37,VLOOKUP(AW656,Foundation_Calc!$I$2:$J$8,2,FALSE),0),
IF(AX656="K",VLOOKUP(K656,Foundation_Calc!$K$41:$R$74,VLOOKUP(AW656,Foundation_Calc!$I$2:$J$8,2,FALSE),0),"")))</f>
        <v/>
      </c>
      <c r="BA656" s="632" t="str">
        <f t="shared" si="42"/>
        <v/>
      </c>
      <c r="BB656" s="632" t="str">
        <f t="shared" si="43"/>
        <v/>
      </c>
      <c r="BC656" s="632" t="str">
        <f t="shared" si="44"/>
        <v/>
      </c>
      <c r="BD656" s="633" t="str">
        <f>IF(AND(L656="",H656=""),"",
IF(H656="",Pole_Calc!A684,
IF(H656="MP",Pole_Calc!A685,
IF(H656="AnMP",Pole_Calc!A686,
IF(H656="A",Pole_Calc!A687,
IF(H656="S/A",Pole_Calc!A688,
IF(H656="A/S",Pole_Calc!A689,"Poner a mano")))))))</f>
        <v/>
      </c>
      <c r="BE656" s="448" t="s">
        <v>1726</v>
      </c>
      <c r="BF656" s="634"/>
      <c r="BG656" s="634"/>
      <c r="BH656" s="634"/>
      <c r="BI656" s="634"/>
    </row>
    <row r="657" spans="1:61" ht="16.2" customHeight="1">
      <c r="A657" s="12"/>
      <c r="B657" s="446"/>
      <c r="C657" s="89"/>
      <c r="D657" s="13"/>
      <c r="E657" s="14"/>
      <c r="F657" s="14"/>
      <c r="G657" s="15"/>
      <c r="H657" s="8"/>
      <c r="I657" s="8"/>
      <c r="J657" s="89"/>
      <c r="K657" s="8"/>
      <c r="L657" s="8"/>
      <c r="M657" s="8" t="str">
        <f>IF(L657="","",
IF(AX657="PT",VLOOKUP(L657,Foundation_Calc!$V$4:$X$37,VLOOKUP(AX657,Foundation_Calc!$I$10:$J$13,2,FALSE),0),
IF(AX657="K",VLOOKUP(L657,Foundation_Calc!$V$41:$X$74,VLOOKUP(AX657,Foundation_Calc!$I$10:$J$13,2,FALSE),0),"")))</f>
        <v/>
      </c>
      <c r="N657" s="8"/>
      <c r="O657" s="8"/>
      <c r="P657" s="8"/>
      <c r="Q657" s="14"/>
      <c r="R657" s="15"/>
      <c r="S657" s="15"/>
      <c r="T657" s="14"/>
      <c r="U657" s="14"/>
      <c r="V657" s="14"/>
      <c r="W657" s="18"/>
      <c r="X657" s="18"/>
      <c r="Y657" s="18"/>
      <c r="Z657" s="18"/>
      <c r="AA657" s="18"/>
      <c r="AB657" s="18"/>
      <c r="AC657" s="8" t="str">
        <f t="shared" si="41"/>
        <v/>
      </c>
      <c r="AD657" s="8"/>
      <c r="AE657" s="8"/>
      <c r="AF657" s="14"/>
      <c r="AG657" s="13"/>
      <c r="AH657" s="14"/>
      <c r="AI657" s="14"/>
      <c r="AJ657" s="8"/>
      <c r="AK657" s="8"/>
      <c r="AL657" s="8"/>
      <c r="AM657" s="8"/>
      <c r="AN657" s="631"/>
      <c r="AO657" s="18"/>
      <c r="AP657" s="18"/>
      <c r="AQ657" s="18"/>
      <c r="AR657" s="18"/>
      <c r="AS657" s="18"/>
      <c r="AU657" s="448"/>
      <c r="AV657" s="448"/>
      <c r="AW657" s="8" t="str">
        <f>IF(C657&gt;0,VLOOKUP(C657,Foundation_Calc!$A$2:$C$986,3,1),
IF(J657&gt;0,VLOOKUP(J657,Foundation_Calc!$A$2:$C$986,3,1),""))</f>
        <v/>
      </c>
      <c r="AX657" s="8" t="str">
        <f>IF(C657&gt;0,VLOOKUP(C657,Foundation_Calc!$E$2:$G$986,3,1),
IF(J657&gt;0,VLOOKUP(J657,Foundation_Calc!$E$2:$G$986,3,1),""))</f>
        <v/>
      </c>
      <c r="AY657" s="631" t="str">
        <f>IF(L657="","",
IF(AX657="PT",VLOOKUP(L657,Foundation_Calc!$K$4:$R$37,VLOOKUP(AW657,Foundation_Calc!$I$2:$J$8,2,FALSE),0),
IF(AX657="K",VLOOKUP(L657,Foundation_Calc!$K$41:$R$74,VLOOKUP(AW657,Foundation_Calc!$I$2:$J$8,2,FALSE),0),"")))</f>
        <v/>
      </c>
      <c r="AZ657" s="631" t="str">
        <f>IF(K657="","",
IF(AX657="PT",VLOOKUP(K657,Foundation_Calc!$K$4:$R$37,VLOOKUP(AW657,Foundation_Calc!$I$2:$J$8,2,FALSE),0),
IF(AX657="K",VLOOKUP(K657,Foundation_Calc!$K$41:$R$74,VLOOKUP(AW657,Foundation_Calc!$I$2:$J$8,2,FALSE),0),"")))</f>
        <v/>
      </c>
      <c r="BA657" s="632" t="str">
        <f t="shared" si="42"/>
        <v/>
      </c>
      <c r="BB657" s="632" t="str">
        <f t="shared" si="43"/>
        <v/>
      </c>
      <c r="BC657" s="632" t="str">
        <f t="shared" si="44"/>
        <v/>
      </c>
      <c r="BD657" s="633" t="str">
        <f>IF(AND(L657="",H657=""),"",
IF(H657="",Pole_Calc!A685,
IF(H657="MP",Pole_Calc!A686,
IF(H657="AnMP",Pole_Calc!A687,
IF(H657="A",Pole_Calc!A688,
IF(H657="S/A",Pole_Calc!A689,
IF(H657="A/S",Pole_Calc!A690,"Poner a mano")))))))</f>
        <v/>
      </c>
      <c r="BE657" s="448" t="s">
        <v>1726</v>
      </c>
      <c r="BF657" s="635"/>
      <c r="BG657" s="635"/>
      <c r="BH657" s="634"/>
      <c r="BI657" s="635"/>
    </row>
    <row r="658" spans="1:61" ht="16.2" customHeight="1">
      <c r="A658" s="12"/>
      <c r="B658" s="446"/>
      <c r="C658" s="89"/>
      <c r="D658" s="13"/>
      <c r="E658" s="14"/>
      <c r="F658" s="14"/>
      <c r="G658" s="15"/>
      <c r="H658" s="8"/>
      <c r="I658" s="8"/>
      <c r="J658" s="89"/>
      <c r="K658" s="8"/>
      <c r="L658" s="8"/>
      <c r="M658" s="8" t="str">
        <f>IF(L658="","",
IF(AX658="PT",VLOOKUP(L658,Foundation_Calc!$V$4:$X$37,VLOOKUP(AX658,Foundation_Calc!$I$10:$J$13,2,FALSE),0),
IF(AX658="K",VLOOKUP(L658,Foundation_Calc!$V$41:$X$74,VLOOKUP(AX658,Foundation_Calc!$I$10:$J$13,2,FALSE),0),"")))</f>
        <v/>
      </c>
      <c r="N658" s="8"/>
      <c r="O658" s="8"/>
      <c r="P658" s="8"/>
      <c r="Q658" s="14"/>
      <c r="R658" s="15"/>
      <c r="S658" s="15"/>
      <c r="T658" s="14"/>
      <c r="U658" s="14"/>
      <c r="V658" s="14"/>
      <c r="W658" s="18"/>
      <c r="X658" s="18"/>
      <c r="Y658" s="18"/>
      <c r="Z658" s="18"/>
      <c r="AA658" s="18"/>
      <c r="AB658" s="18"/>
      <c r="AC658" s="8" t="str">
        <f t="shared" si="41"/>
        <v/>
      </c>
      <c r="AD658" s="8"/>
      <c r="AE658" s="8"/>
      <c r="AF658" s="14"/>
      <c r="AG658" s="13"/>
      <c r="AH658" s="14"/>
      <c r="AI658" s="14"/>
      <c r="AJ658" s="8"/>
      <c r="AK658" s="8"/>
      <c r="AL658" s="8"/>
      <c r="AM658" s="8"/>
      <c r="AN658" s="631"/>
      <c r="AO658" s="18"/>
      <c r="AP658" s="18"/>
      <c r="AQ658" s="18"/>
      <c r="AR658" s="18"/>
      <c r="AS658" s="18"/>
      <c r="AU658" s="448"/>
      <c r="AV658" s="448"/>
      <c r="AW658" s="8" t="str">
        <f>IF(C658&gt;0,VLOOKUP(C658,Foundation_Calc!$A$2:$C$986,3,1),
IF(J658&gt;0,VLOOKUP(J658,Foundation_Calc!$A$2:$C$986,3,1),""))</f>
        <v/>
      </c>
      <c r="AX658" s="8" t="str">
        <f>IF(C658&gt;0,VLOOKUP(C658,Foundation_Calc!$E$2:$G$986,3,1),
IF(J658&gt;0,VLOOKUP(J658,Foundation_Calc!$E$2:$G$986,3,1),""))</f>
        <v/>
      </c>
      <c r="AY658" s="631" t="str">
        <f>IF(L658="","",
IF(AX658="PT",VLOOKUP(L658,Foundation_Calc!$K$4:$R$37,VLOOKUP(AW658,Foundation_Calc!$I$2:$J$8,2,FALSE),0),
IF(AX658="K",VLOOKUP(L658,Foundation_Calc!$K$41:$R$74,VLOOKUP(AW658,Foundation_Calc!$I$2:$J$8,2,FALSE),0),"")))</f>
        <v/>
      </c>
      <c r="AZ658" s="631" t="str">
        <f>IF(K658="","",
IF(AX658="PT",VLOOKUP(K658,Foundation_Calc!$K$4:$R$37,VLOOKUP(AW658,Foundation_Calc!$I$2:$J$8,2,FALSE),0),
IF(AX658="K",VLOOKUP(K658,Foundation_Calc!$K$41:$R$74,VLOOKUP(AW658,Foundation_Calc!$I$2:$J$8,2,FALSE),0),"")))</f>
        <v/>
      </c>
      <c r="BA658" s="632" t="str">
        <f t="shared" si="42"/>
        <v/>
      </c>
      <c r="BB658" s="632" t="str">
        <f t="shared" si="43"/>
        <v/>
      </c>
      <c r="BC658" s="632" t="str">
        <f t="shared" si="44"/>
        <v/>
      </c>
      <c r="BD658" s="633" t="str">
        <f>IF(AND(L658="",H658=""),"",
IF(H658="",Pole_Calc!A686,
IF(H658="MP",Pole_Calc!A687,
IF(H658="AnMP",Pole_Calc!A688,
IF(H658="A",Pole_Calc!A689,
IF(H658="S/A",Pole_Calc!A690,
IF(H658="A/S",Pole_Calc!A691,"Poner a mano")))))))</f>
        <v/>
      </c>
      <c r="BE658" s="448" t="s">
        <v>1726</v>
      </c>
      <c r="BF658" s="634"/>
      <c r="BG658" s="634"/>
      <c r="BH658" s="634"/>
      <c r="BI658" s="634"/>
    </row>
    <row r="659" spans="1:61" ht="16.2" customHeight="1">
      <c r="A659" s="12"/>
      <c r="B659" s="446"/>
      <c r="C659" s="89"/>
      <c r="D659" s="13"/>
      <c r="E659" s="14"/>
      <c r="F659" s="14"/>
      <c r="G659" s="15"/>
      <c r="H659" s="8"/>
      <c r="I659" s="8"/>
      <c r="J659" s="89"/>
      <c r="K659" s="8"/>
      <c r="L659" s="8"/>
      <c r="M659" s="8" t="str">
        <f>IF(L659="","",
IF(AX659="PT",VLOOKUP(L659,Foundation_Calc!$V$4:$X$37,VLOOKUP(AX659,Foundation_Calc!$I$10:$J$13,2,FALSE),0),
IF(AX659="K",VLOOKUP(L659,Foundation_Calc!$V$41:$X$74,VLOOKUP(AX659,Foundation_Calc!$I$10:$J$13,2,FALSE),0),"")))</f>
        <v/>
      </c>
      <c r="N659" s="8"/>
      <c r="O659" s="8"/>
      <c r="P659" s="8"/>
      <c r="Q659" s="14"/>
      <c r="R659" s="15"/>
      <c r="S659" s="15"/>
      <c r="T659" s="14"/>
      <c r="U659" s="14"/>
      <c r="V659" s="14"/>
      <c r="W659" s="18"/>
      <c r="X659" s="18"/>
      <c r="Y659" s="18"/>
      <c r="Z659" s="18"/>
      <c r="AA659" s="18"/>
      <c r="AB659" s="18"/>
      <c r="AC659" s="8" t="str">
        <f t="shared" si="41"/>
        <v/>
      </c>
      <c r="AD659" s="8"/>
      <c r="AE659" s="8"/>
      <c r="AF659" s="14"/>
      <c r="AG659" s="13"/>
      <c r="AH659" s="14"/>
      <c r="AI659" s="14"/>
      <c r="AJ659" s="8"/>
      <c r="AK659" s="8"/>
      <c r="AL659" s="8"/>
      <c r="AM659" s="8"/>
      <c r="AN659" s="631"/>
      <c r="AO659" s="18"/>
      <c r="AP659" s="18"/>
      <c r="AQ659" s="18"/>
      <c r="AR659" s="18"/>
      <c r="AS659" s="18"/>
      <c r="AU659" s="448"/>
      <c r="AV659" s="448"/>
      <c r="AW659" s="8" t="str">
        <f>IF(C659&gt;0,VLOOKUP(C659,Foundation_Calc!$A$2:$C$986,3,1),
IF(J659&gt;0,VLOOKUP(J659,Foundation_Calc!$A$2:$C$986,3,1),""))</f>
        <v/>
      </c>
      <c r="AX659" s="8" t="str">
        <f>IF(C659&gt;0,VLOOKUP(C659,Foundation_Calc!$E$2:$G$986,3,1),
IF(J659&gt;0,VLOOKUP(J659,Foundation_Calc!$E$2:$G$986,3,1),""))</f>
        <v/>
      </c>
      <c r="AY659" s="631" t="str">
        <f>IF(L659="","",
IF(AX659="PT",VLOOKUP(L659,Foundation_Calc!$K$4:$R$37,VLOOKUP(AW659,Foundation_Calc!$I$2:$J$8,2,FALSE),0),
IF(AX659="K",VLOOKUP(L659,Foundation_Calc!$K$41:$R$74,VLOOKUP(AW659,Foundation_Calc!$I$2:$J$8,2,FALSE),0),"")))</f>
        <v/>
      </c>
      <c r="AZ659" s="631" t="str">
        <f>IF(K659="","",
IF(AX659="PT",VLOOKUP(K659,Foundation_Calc!$K$4:$R$37,VLOOKUP(AW659,Foundation_Calc!$I$2:$J$8,2,FALSE),0),
IF(AX659="K",VLOOKUP(K659,Foundation_Calc!$K$41:$R$74,VLOOKUP(AW659,Foundation_Calc!$I$2:$J$8,2,FALSE),0),"")))</f>
        <v/>
      </c>
      <c r="BA659" s="632" t="str">
        <f t="shared" si="42"/>
        <v/>
      </c>
      <c r="BB659" s="632" t="str">
        <f t="shared" si="43"/>
        <v/>
      </c>
      <c r="BC659" s="632" t="str">
        <f t="shared" si="44"/>
        <v/>
      </c>
      <c r="BD659" s="633" t="str">
        <f>IF(AND(L659="",H659=""),"",
IF(H659="",Pole_Calc!A687,
IF(H659="MP",Pole_Calc!A688,
IF(H659="AnMP",Pole_Calc!A689,
IF(H659="A",Pole_Calc!A690,
IF(H659="S/A",Pole_Calc!A691,
IF(H659="A/S",Pole_Calc!A692,"Poner a mano")))))))</f>
        <v/>
      </c>
      <c r="BE659" s="448" t="s">
        <v>1726</v>
      </c>
      <c r="BF659" s="635"/>
      <c r="BG659" s="635"/>
      <c r="BH659" s="634"/>
      <c r="BI659" s="635"/>
    </row>
    <row r="660" spans="1:61" ht="16.2" customHeight="1">
      <c r="A660" s="12"/>
      <c r="B660" s="446"/>
      <c r="C660" s="89"/>
      <c r="D660" s="13"/>
      <c r="E660" s="14"/>
      <c r="F660" s="14"/>
      <c r="G660" s="15"/>
      <c r="H660" s="8"/>
      <c r="I660" s="8"/>
      <c r="J660" s="89"/>
      <c r="K660" s="8"/>
      <c r="L660" s="8"/>
      <c r="M660" s="8" t="str">
        <f>IF(L660="","",
IF(AX660="PT",VLOOKUP(L660,Foundation_Calc!$V$4:$X$37,VLOOKUP(AX660,Foundation_Calc!$I$10:$J$13,2,FALSE),0),
IF(AX660="K",VLOOKUP(L660,Foundation_Calc!$V$41:$X$74,VLOOKUP(AX660,Foundation_Calc!$I$10:$J$13,2,FALSE),0),"")))</f>
        <v/>
      </c>
      <c r="N660" s="8"/>
      <c r="O660" s="8"/>
      <c r="P660" s="8"/>
      <c r="Q660" s="14"/>
      <c r="R660" s="15"/>
      <c r="S660" s="15"/>
      <c r="T660" s="14"/>
      <c r="U660" s="14"/>
      <c r="V660" s="14"/>
      <c r="W660" s="18"/>
      <c r="X660" s="18"/>
      <c r="Y660" s="18"/>
      <c r="Z660" s="18"/>
      <c r="AA660" s="18"/>
      <c r="AB660" s="18"/>
      <c r="AC660" s="8" t="str">
        <f t="shared" si="41"/>
        <v/>
      </c>
      <c r="AD660" s="8"/>
      <c r="AE660" s="8"/>
      <c r="AF660" s="14"/>
      <c r="AG660" s="13"/>
      <c r="AH660" s="14"/>
      <c r="AI660" s="14"/>
      <c r="AJ660" s="8"/>
      <c r="AK660" s="8"/>
      <c r="AL660" s="8"/>
      <c r="AM660" s="8"/>
      <c r="AN660" s="631"/>
      <c r="AO660" s="18"/>
      <c r="AP660" s="18"/>
      <c r="AQ660" s="18"/>
      <c r="AR660" s="18"/>
      <c r="AS660" s="18"/>
      <c r="AU660" s="448"/>
      <c r="AV660" s="448"/>
      <c r="AW660" s="8" t="str">
        <f>IF(C660&gt;0,VLOOKUP(C660,Foundation_Calc!$A$2:$C$986,3,1),
IF(J660&gt;0,VLOOKUP(J660,Foundation_Calc!$A$2:$C$986,3,1),""))</f>
        <v/>
      </c>
      <c r="AX660" s="8" t="str">
        <f>IF(C660&gt;0,VLOOKUP(C660,Foundation_Calc!$E$2:$G$986,3,1),
IF(J660&gt;0,VLOOKUP(J660,Foundation_Calc!$E$2:$G$986,3,1),""))</f>
        <v/>
      </c>
      <c r="AY660" s="631" t="str">
        <f>IF(L660="","",
IF(AX660="PT",VLOOKUP(L660,Foundation_Calc!$K$4:$R$37,VLOOKUP(AW660,Foundation_Calc!$I$2:$J$8,2,FALSE),0),
IF(AX660="K",VLOOKUP(L660,Foundation_Calc!$K$41:$R$74,VLOOKUP(AW660,Foundation_Calc!$I$2:$J$8,2,FALSE),0),"")))</f>
        <v/>
      </c>
      <c r="AZ660" s="631" t="str">
        <f>IF(K660="","",
IF(AX660="PT",VLOOKUP(K660,Foundation_Calc!$K$4:$R$37,VLOOKUP(AW660,Foundation_Calc!$I$2:$J$8,2,FALSE),0),
IF(AX660="K",VLOOKUP(K660,Foundation_Calc!$K$41:$R$74,VLOOKUP(AW660,Foundation_Calc!$I$2:$J$8,2,FALSE),0),"")))</f>
        <v/>
      </c>
      <c r="BA660" s="632" t="str">
        <f t="shared" si="42"/>
        <v/>
      </c>
      <c r="BB660" s="632" t="str">
        <f t="shared" si="43"/>
        <v/>
      </c>
      <c r="BC660" s="632" t="str">
        <f t="shared" si="44"/>
        <v/>
      </c>
      <c r="BD660" s="633" t="str">
        <f>IF(AND(L660="",H660=""),"",
IF(H660="",Pole_Calc!A688,
IF(H660="MP",Pole_Calc!A689,
IF(H660="AnMP",Pole_Calc!A690,
IF(H660="A",Pole_Calc!A691,
IF(H660="S/A",Pole_Calc!A692,
IF(H660="A/S",Pole_Calc!A693,"Poner a mano")))))))</f>
        <v/>
      </c>
      <c r="BE660" s="448" t="s">
        <v>1726</v>
      </c>
      <c r="BF660" s="634"/>
      <c r="BG660" s="634"/>
      <c r="BH660" s="634"/>
      <c r="BI660" s="634"/>
    </row>
    <row r="661" spans="1:61" ht="16.2" customHeight="1">
      <c r="A661" s="12"/>
      <c r="B661" s="446"/>
      <c r="C661" s="89"/>
      <c r="D661" s="13"/>
      <c r="E661" s="14"/>
      <c r="F661" s="14"/>
      <c r="G661" s="15"/>
      <c r="H661" s="8"/>
      <c r="I661" s="8"/>
      <c r="J661" s="89"/>
      <c r="K661" s="8"/>
      <c r="L661" s="8"/>
      <c r="M661" s="8" t="str">
        <f>IF(L661="","",
IF(AX661="PT",VLOOKUP(L661,Foundation_Calc!$V$4:$X$37,VLOOKUP(AX661,Foundation_Calc!$I$10:$J$13,2,FALSE),0),
IF(AX661="K",VLOOKUP(L661,Foundation_Calc!$V$41:$X$74,VLOOKUP(AX661,Foundation_Calc!$I$10:$J$13,2,FALSE),0),"")))</f>
        <v/>
      </c>
      <c r="N661" s="8"/>
      <c r="O661" s="8"/>
      <c r="P661" s="8"/>
      <c r="Q661" s="14"/>
      <c r="R661" s="15"/>
      <c r="S661" s="15"/>
      <c r="T661" s="14"/>
      <c r="U661" s="14"/>
      <c r="V661" s="14"/>
      <c r="W661" s="18"/>
      <c r="X661" s="18"/>
      <c r="Y661" s="18"/>
      <c r="Z661" s="18"/>
      <c r="AA661" s="18"/>
      <c r="AB661" s="18"/>
      <c r="AC661" s="8" t="str">
        <f t="shared" si="41"/>
        <v/>
      </c>
      <c r="AD661" s="8"/>
      <c r="AE661" s="8"/>
      <c r="AF661" s="14"/>
      <c r="AG661" s="13"/>
      <c r="AH661" s="14"/>
      <c r="AI661" s="14"/>
      <c r="AJ661" s="8"/>
      <c r="AK661" s="8"/>
      <c r="AL661" s="8"/>
      <c r="AM661" s="8"/>
      <c r="AN661" s="631"/>
      <c r="AO661" s="18"/>
      <c r="AP661" s="18"/>
      <c r="AQ661" s="18"/>
      <c r="AR661" s="18"/>
      <c r="AS661" s="18"/>
      <c r="AU661" s="448"/>
      <c r="AV661" s="448"/>
      <c r="AW661" s="8" t="str">
        <f>IF(C661&gt;0,VLOOKUP(C661,Foundation_Calc!$A$2:$C$986,3,1),
IF(J661&gt;0,VLOOKUP(J661,Foundation_Calc!$A$2:$C$986,3,1),""))</f>
        <v/>
      </c>
      <c r="AX661" s="8" t="str">
        <f>IF(C661&gt;0,VLOOKUP(C661,Foundation_Calc!$E$2:$G$986,3,1),
IF(J661&gt;0,VLOOKUP(J661,Foundation_Calc!$E$2:$G$986,3,1),""))</f>
        <v/>
      </c>
      <c r="AY661" s="631" t="str">
        <f>IF(L661="","",
IF(AX661="PT",VLOOKUP(L661,Foundation_Calc!$K$4:$R$37,VLOOKUP(AW661,Foundation_Calc!$I$2:$J$8,2,FALSE),0),
IF(AX661="K",VLOOKUP(L661,Foundation_Calc!$K$41:$R$74,VLOOKUP(AW661,Foundation_Calc!$I$2:$J$8,2,FALSE),0),"")))</f>
        <v/>
      </c>
      <c r="AZ661" s="631" t="str">
        <f>IF(K661="","",
IF(AX661="PT",VLOOKUP(K661,Foundation_Calc!$K$4:$R$37,VLOOKUP(AW661,Foundation_Calc!$I$2:$J$8,2,FALSE),0),
IF(AX661="K",VLOOKUP(K661,Foundation_Calc!$K$41:$R$74,VLOOKUP(AW661,Foundation_Calc!$I$2:$J$8,2,FALSE),0),"")))</f>
        <v/>
      </c>
      <c r="BA661" s="632" t="str">
        <f t="shared" si="42"/>
        <v/>
      </c>
      <c r="BB661" s="632" t="str">
        <f t="shared" si="43"/>
        <v/>
      </c>
      <c r="BC661" s="632" t="str">
        <f t="shared" si="44"/>
        <v/>
      </c>
      <c r="BD661" s="633" t="str">
        <f>IF(AND(L661="",H661=""),"",
IF(H661="",Pole_Calc!A689,
IF(H661="MP",Pole_Calc!A690,
IF(H661="AnMP",Pole_Calc!A691,
IF(H661="A",Pole_Calc!A692,
IF(H661="S/A",Pole_Calc!A693,
IF(H661="A/S",Pole_Calc!A694,"Poner a mano")))))))</f>
        <v/>
      </c>
      <c r="BE661" s="448" t="s">
        <v>1726</v>
      </c>
      <c r="BF661" s="635"/>
      <c r="BG661" s="635"/>
      <c r="BH661" s="634"/>
      <c r="BI661" s="635"/>
    </row>
    <row r="662" spans="1:61" ht="16.2" customHeight="1">
      <c r="A662" s="12"/>
      <c r="B662" s="446"/>
      <c r="C662" s="89"/>
      <c r="D662" s="13"/>
      <c r="E662" s="14"/>
      <c r="F662" s="14"/>
      <c r="G662" s="15"/>
      <c r="H662" s="8"/>
      <c r="I662" s="8"/>
      <c r="J662" s="89"/>
      <c r="K662" s="8"/>
      <c r="L662" s="8"/>
      <c r="M662" s="8" t="str">
        <f>IF(L662="","",
IF(AX662="PT",VLOOKUP(L662,Foundation_Calc!$V$4:$X$37,VLOOKUP(AX662,Foundation_Calc!$I$10:$J$13,2,FALSE),0),
IF(AX662="K",VLOOKUP(L662,Foundation_Calc!$V$41:$X$74,VLOOKUP(AX662,Foundation_Calc!$I$10:$J$13,2,FALSE),0),"")))</f>
        <v/>
      </c>
      <c r="N662" s="8"/>
      <c r="O662" s="8"/>
      <c r="P662" s="8"/>
      <c r="Q662" s="14"/>
      <c r="R662" s="15"/>
      <c r="S662" s="15"/>
      <c r="T662" s="14"/>
      <c r="U662" s="14"/>
      <c r="V662" s="14"/>
      <c r="W662" s="18"/>
      <c r="X662" s="18"/>
      <c r="Y662" s="18"/>
      <c r="Z662" s="18"/>
      <c r="AA662" s="18"/>
      <c r="AB662" s="18"/>
      <c r="AC662" s="8" t="str">
        <f t="shared" si="41"/>
        <v/>
      </c>
      <c r="AD662" s="8"/>
      <c r="AE662" s="8"/>
      <c r="AF662" s="14"/>
      <c r="AG662" s="13"/>
      <c r="AH662" s="14"/>
      <c r="AI662" s="14"/>
      <c r="AJ662" s="8"/>
      <c r="AK662" s="8"/>
      <c r="AL662" s="8"/>
      <c r="AM662" s="8"/>
      <c r="AN662" s="631"/>
      <c r="AO662" s="18"/>
      <c r="AP662" s="18"/>
      <c r="AQ662" s="18"/>
      <c r="AR662" s="18"/>
      <c r="AS662" s="18"/>
      <c r="AU662" s="448"/>
      <c r="AV662" s="448"/>
      <c r="AW662" s="8" t="str">
        <f>IF(C662&gt;0,VLOOKUP(C662,Foundation_Calc!$A$2:$C$986,3,1),
IF(J662&gt;0,VLOOKUP(J662,Foundation_Calc!$A$2:$C$986,3,1),""))</f>
        <v/>
      </c>
      <c r="AX662" s="8" t="str">
        <f>IF(C662&gt;0,VLOOKUP(C662,Foundation_Calc!$E$2:$G$986,3,1),
IF(J662&gt;0,VLOOKUP(J662,Foundation_Calc!$E$2:$G$986,3,1),""))</f>
        <v/>
      </c>
      <c r="AY662" s="631" t="str">
        <f>IF(L662="","",
IF(AX662="PT",VLOOKUP(L662,Foundation_Calc!$K$4:$R$37,VLOOKUP(AW662,Foundation_Calc!$I$2:$J$8,2,FALSE),0),
IF(AX662="K",VLOOKUP(L662,Foundation_Calc!$K$41:$R$74,VLOOKUP(AW662,Foundation_Calc!$I$2:$J$8,2,FALSE),0),"")))</f>
        <v/>
      </c>
      <c r="AZ662" s="631" t="str">
        <f>IF(K662="","",
IF(AX662="PT",VLOOKUP(K662,Foundation_Calc!$K$4:$R$37,VLOOKUP(AW662,Foundation_Calc!$I$2:$J$8,2,FALSE),0),
IF(AX662="K",VLOOKUP(K662,Foundation_Calc!$K$41:$R$74,VLOOKUP(AW662,Foundation_Calc!$I$2:$J$8,2,FALSE),0),"")))</f>
        <v/>
      </c>
      <c r="BA662" s="632" t="str">
        <f t="shared" si="42"/>
        <v/>
      </c>
      <c r="BB662" s="632" t="str">
        <f t="shared" si="43"/>
        <v/>
      </c>
      <c r="BC662" s="632" t="str">
        <f t="shared" si="44"/>
        <v/>
      </c>
      <c r="BD662" s="633" t="str">
        <f>IF(AND(L662="",H662=""),"",
IF(H662="",Pole_Calc!A690,
IF(H662="MP",Pole_Calc!A691,
IF(H662="AnMP",Pole_Calc!A692,
IF(H662="A",Pole_Calc!A693,
IF(H662="S/A",Pole_Calc!A694,
IF(H662="A/S",Pole_Calc!A695,"Poner a mano")))))))</f>
        <v/>
      </c>
      <c r="BE662" s="448" t="s">
        <v>1726</v>
      </c>
      <c r="BF662" s="634"/>
      <c r="BG662" s="634"/>
      <c r="BH662" s="634"/>
      <c r="BI662" s="634"/>
    </row>
    <row r="663" spans="1:61" ht="16.2" customHeight="1">
      <c r="A663" s="12"/>
      <c r="B663" s="446"/>
      <c r="C663" s="89"/>
      <c r="D663" s="13"/>
      <c r="E663" s="14"/>
      <c r="F663" s="14"/>
      <c r="G663" s="15"/>
      <c r="H663" s="8"/>
      <c r="I663" s="8"/>
      <c r="J663" s="89"/>
      <c r="K663" s="8"/>
      <c r="L663" s="8"/>
      <c r="M663" s="8" t="str">
        <f>IF(L663="","",
IF(AX663="PT",VLOOKUP(L663,Foundation_Calc!$V$4:$X$37,VLOOKUP(AX663,Foundation_Calc!$I$10:$J$13,2,FALSE),0),
IF(AX663="K",VLOOKUP(L663,Foundation_Calc!$V$41:$X$74,VLOOKUP(AX663,Foundation_Calc!$I$10:$J$13,2,FALSE),0),"")))</f>
        <v/>
      </c>
      <c r="N663" s="8"/>
      <c r="O663" s="8"/>
      <c r="P663" s="8"/>
      <c r="Q663" s="14"/>
      <c r="R663" s="15"/>
      <c r="S663" s="15"/>
      <c r="T663" s="14"/>
      <c r="U663" s="14"/>
      <c r="V663" s="14"/>
      <c r="W663" s="18"/>
      <c r="X663" s="18"/>
      <c r="Y663" s="18"/>
      <c r="Z663" s="18"/>
      <c r="AA663" s="18"/>
      <c r="AB663" s="18"/>
      <c r="AC663" s="8" t="str">
        <f t="shared" si="41"/>
        <v/>
      </c>
      <c r="AD663" s="8"/>
      <c r="AE663" s="8"/>
      <c r="AF663" s="14"/>
      <c r="AG663" s="13"/>
      <c r="AH663" s="14"/>
      <c r="AI663" s="14"/>
      <c r="AJ663" s="8"/>
      <c r="AK663" s="8"/>
      <c r="AL663" s="8"/>
      <c r="AM663" s="8"/>
      <c r="AN663" s="631"/>
      <c r="AO663" s="18"/>
      <c r="AP663" s="18"/>
      <c r="AQ663" s="18"/>
      <c r="AR663" s="18"/>
      <c r="AS663" s="18"/>
      <c r="AU663" s="448"/>
      <c r="AV663" s="448"/>
      <c r="AW663" s="8" t="str">
        <f>IF(C663&gt;0,VLOOKUP(C663,Foundation_Calc!$A$2:$C$986,3,1),
IF(J663&gt;0,VLOOKUP(J663,Foundation_Calc!$A$2:$C$986,3,1),""))</f>
        <v/>
      </c>
      <c r="AX663" s="8" t="str">
        <f>IF(C663&gt;0,VLOOKUP(C663,Foundation_Calc!$E$2:$G$986,3,1),
IF(J663&gt;0,VLOOKUP(J663,Foundation_Calc!$E$2:$G$986,3,1),""))</f>
        <v/>
      </c>
      <c r="AY663" s="631" t="str">
        <f>IF(L663="","",
IF(AX663="PT",VLOOKUP(L663,Foundation_Calc!$K$4:$R$37,VLOOKUP(AW663,Foundation_Calc!$I$2:$J$8,2,FALSE),0),
IF(AX663="K",VLOOKUP(L663,Foundation_Calc!$K$41:$R$74,VLOOKUP(AW663,Foundation_Calc!$I$2:$J$8,2,FALSE),0),"")))</f>
        <v/>
      </c>
      <c r="AZ663" s="631" t="str">
        <f>IF(K663="","",
IF(AX663="PT",VLOOKUP(K663,Foundation_Calc!$K$4:$R$37,VLOOKUP(AW663,Foundation_Calc!$I$2:$J$8,2,FALSE),0),
IF(AX663="K",VLOOKUP(K663,Foundation_Calc!$K$41:$R$74,VLOOKUP(AW663,Foundation_Calc!$I$2:$J$8,2,FALSE),0),"")))</f>
        <v/>
      </c>
      <c r="BA663" s="632" t="str">
        <f t="shared" si="42"/>
        <v/>
      </c>
      <c r="BB663" s="632" t="str">
        <f t="shared" si="43"/>
        <v/>
      </c>
      <c r="BC663" s="632" t="str">
        <f t="shared" si="44"/>
        <v/>
      </c>
      <c r="BD663" s="633" t="str">
        <f>IF(AND(L663="",H663=""),"",
IF(H663="",Pole_Calc!A691,
IF(H663="MP",Pole_Calc!A692,
IF(H663="AnMP",Pole_Calc!A693,
IF(H663="A",Pole_Calc!A694,
IF(H663="S/A",Pole_Calc!A695,
IF(H663="A/S",Pole_Calc!A696,"Poner a mano")))))))</f>
        <v/>
      </c>
      <c r="BE663" s="448" t="s">
        <v>1726</v>
      </c>
      <c r="BF663" s="635"/>
      <c r="BG663" s="635"/>
      <c r="BH663" s="634"/>
      <c r="BI663" s="635"/>
    </row>
    <row r="664" spans="1:61" ht="16.2" customHeight="1">
      <c r="A664" s="12"/>
      <c r="B664" s="446"/>
      <c r="C664" s="89"/>
      <c r="D664" s="13"/>
      <c r="E664" s="14"/>
      <c r="F664" s="14"/>
      <c r="G664" s="15"/>
      <c r="H664" s="8"/>
      <c r="I664" s="8"/>
      <c r="J664" s="89"/>
      <c r="K664" s="8"/>
      <c r="L664" s="8"/>
      <c r="M664" s="8" t="str">
        <f>IF(L664="","",
IF(AX664="PT",VLOOKUP(L664,Foundation_Calc!$V$4:$X$37,VLOOKUP(AX664,Foundation_Calc!$I$10:$J$13,2,FALSE),0),
IF(AX664="K",VLOOKUP(L664,Foundation_Calc!$V$41:$X$74,VLOOKUP(AX664,Foundation_Calc!$I$10:$J$13,2,FALSE),0),"")))</f>
        <v/>
      </c>
      <c r="N664" s="8"/>
      <c r="O664" s="8"/>
      <c r="P664" s="8"/>
      <c r="Q664" s="14"/>
      <c r="R664" s="15"/>
      <c r="S664" s="15"/>
      <c r="T664" s="14"/>
      <c r="U664" s="14"/>
      <c r="V664" s="14"/>
      <c r="W664" s="18"/>
      <c r="X664" s="18"/>
      <c r="Y664" s="18"/>
      <c r="Z664" s="18"/>
      <c r="AA664" s="18"/>
      <c r="AB664" s="18"/>
      <c r="AC664" s="8" t="str">
        <f t="shared" si="41"/>
        <v/>
      </c>
      <c r="AD664" s="8"/>
      <c r="AE664" s="8"/>
      <c r="AF664" s="14"/>
      <c r="AG664" s="13"/>
      <c r="AH664" s="14"/>
      <c r="AI664" s="14"/>
      <c r="AJ664" s="8"/>
      <c r="AK664" s="8"/>
      <c r="AL664" s="8"/>
      <c r="AM664" s="8"/>
      <c r="AN664" s="631"/>
      <c r="AO664" s="18"/>
      <c r="AP664" s="18"/>
      <c r="AQ664" s="18"/>
      <c r="AR664" s="18"/>
      <c r="AS664" s="18"/>
      <c r="AU664" s="448"/>
      <c r="AV664" s="448"/>
      <c r="AW664" s="8" t="str">
        <f>IF(C664&gt;0,VLOOKUP(C664,Foundation_Calc!$A$2:$C$986,3,1),
IF(J664&gt;0,VLOOKUP(J664,Foundation_Calc!$A$2:$C$986,3,1),""))</f>
        <v/>
      </c>
      <c r="AX664" s="8" t="str">
        <f>IF(C664&gt;0,VLOOKUP(C664,Foundation_Calc!$E$2:$G$986,3,1),
IF(J664&gt;0,VLOOKUP(J664,Foundation_Calc!$E$2:$G$986,3,1),""))</f>
        <v/>
      </c>
      <c r="AY664" s="631" t="str">
        <f>IF(L664="","",
IF(AX664="PT",VLOOKUP(L664,Foundation_Calc!$K$4:$R$37,VLOOKUP(AW664,Foundation_Calc!$I$2:$J$8,2,FALSE),0),
IF(AX664="K",VLOOKUP(L664,Foundation_Calc!$K$41:$R$74,VLOOKUP(AW664,Foundation_Calc!$I$2:$J$8,2,FALSE),0),"")))</f>
        <v/>
      </c>
      <c r="AZ664" s="631" t="str">
        <f>IF(K664="","",
IF(AX664="PT",VLOOKUP(K664,Foundation_Calc!$K$4:$R$37,VLOOKUP(AW664,Foundation_Calc!$I$2:$J$8,2,FALSE),0),
IF(AX664="K",VLOOKUP(K664,Foundation_Calc!$K$41:$R$74,VLOOKUP(AW664,Foundation_Calc!$I$2:$J$8,2,FALSE),0),"")))</f>
        <v/>
      </c>
      <c r="BA664" s="632" t="str">
        <f t="shared" si="42"/>
        <v/>
      </c>
      <c r="BB664" s="632" t="str">
        <f t="shared" si="43"/>
        <v/>
      </c>
      <c r="BC664" s="632" t="str">
        <f t="shared" si="44"/>
        <v/>
      </c>
      <c r="BD664" s="633" t="str">
        <f>IF(AND(L664="",H664=""),"",
IF(H664="",Pole_Calc!A692,
IF(H664="MP",Pole_Calc!A693,
IF(H664="AnMP",Pole_Calc!A694,
IF(H664="A",Pole_Calc!A695,
IF(H664="S/A",Pole_Calc!A696,
IF(H664="A/S",Pole_Calc!A697,"Poner a mano")))))))</f>
        <v/>
      </c>
      <c r="BE664" s="448" t="s">
        <v>1726</v>
      </c>
      <c r="BF664" s="634"/>
      <c r="BG664" s="634"/>
      <c r="BH664" s="634"/>
      <c r="BI664" s="634"/>
    </row>
    <row r="665" spans="1:61" ht="16.2" customHeight="1">
      <c r="A665" s="12"/>
      <c r="B665" s="446"/>
      <c r="C665" s="89"/>
      <c r="D665" s="13"/>
      <c r="E665" s="14"/>
      <c r="F665" s="14"/>
      <c r="G665" s="15"/>
      <c r="H665" s="8"/>
      <c r="I665" s="8"/>
      <c r="J665" s="89"/>
      <c r="K665" s="8"/>
      <c r="L665" s="8"/>
      <c r="M665" s="8" t="str">
        <f>IF(L665="","",
IF(AX665="PT",VLOOKUP(L665,Foundation_Calc!$V$4:$X$37,VLOOKUP(AX665,Foundation_Calc!$I$10:$J$13,2,FALSE),0),
IF(AX665="K",VLOOKUP(L665,Foundation_Calc!$V$41:$X$74,VLOOKUP(AX665,Foundation_Calc!$I$10:$J$13,2,FALSE),0),"")))</f>
        <v/>
      </c>
      <c r="N665" s="8"/>
      <c r="O665" s="8"/>
      <c r="P665" s="8"/>
      <c r="Q665" s="14"/>
      <c r="R665" s="15"/>
      <c r="S665" s="15"/>
      <c r="T665" s="14"/>
      <c r="U665" s="14"/>
      <c r="V665" s="14"/>
      <c r="W665" s="18"/>
      <c r="X665" s="18"/>
      <c r="Y665" s="18"/>
      <c r="Z665" s="18"/>
      <c r="AA665" s="18"/>
      <c r="AB665" s="18"/>
      <c r="AC665" s="8" t="str">
        <f t="shared" si="41"/>
        <v/>
      </c>
      <c r="AD665" s="8"/>
      <c r="AE665" s="8"/>
      <c r="AF665" s="14"/>
      <c r="AG665" s="13"/>
      <c r="AH665" s="14"/>
      <c r="AI665" s="14"/>
      <c r="AJ665" s="8"/>
      <c r="AK665" s="8"/>
      <c r="AL665" s="8"/>
      <c r="AM665" s="8"/>
      <c r="AN665" s="631"/>
      <c r="AO665" s="18"/>
      <c r="AP665" s="18"/>
      <c r="AQ665" s="18"/>
      <c r="AR665" s="18"/>
      <c r="AS665" s="18"/>
      <c r="AU665" s="448"/>
      <c r="AV665" s="448"/>
      <c r="AW665" s="8" t="str">
        <f>IF(C665&gt;0,VLOOKUP(C665,Foundation_Calc!$A$2:$C$986,3,1),
IF(J665&gt;0,VLOOKUP(J665,Foundation_Calc!$A$2:$C$986,3,1),""))</f>
        <v/>
      </c>
      <c r="AX665" s="8" t="str">
        <f>IF(C665&gt;0,VLOOKUP(C665,Foundation_Calc!$E$2:$G$986,3,1),
IF(J665&gt;0,VLOOKUP(J665,Foundation_Calc!$E$2:$G$986,3,1),""))</f>
        <v/>
      </c>
      <c r="AY665" s="631" t="str">
        <f>IF(L665="","",
IF(AX665="PT",VLOOKUP(L665,Foundation_Calc!$K$4:$R$37,VLOOKUP(AW665,Foundation_Calc!$I$2:$J$8,2,FALSE),0),
IF(AX665="K",VLOOKUP(L665,Foundation_Calc!$K$41:$R$74,VLOOKUP(AW665,Foundation_Calc!$I$2:$J$8,2,FALSE),0),"")))</f>
        <v/>
      </c>
      <c r="AZ665" s="631" t="str">
        <f>IF(K665="","",
IF(AX665="PT",VLOOKUP(K665,Foundation_Calc!$K$4:$R$37,VLOOKUP(AW665,Foundation_Calc!$I$2:$J$8,2,FALSE),0),
IF(AX665="K",VLOOKUP(K665,Foundation_Calc!$K$41:$R$74,VLOOKUP(AW665,Foundation_Calc!$I$2:$J$8,2,FALSE),0),"")))</f>
        <v/>
      </c>
      <c r="BA665" s="632" t="str">
        <f t="shared" si="42"/>
        <v/>
      </c>
      <c r="BB665" s="632" t="str">
        <f t="shared" si="43"/>
        <v/>
      </c>
      <c r="BC665" s="632" t="str">
        <f t="shared" si="44"/>
        <v/>
      </c>
      <c r="BD665" s="633" t="str">
        <f>IF(AND(L665="",H665=""),"",
IF(H665="",Pole_Calc!A693,
IF(H665="MP",Pole_Calc!A694,
IF(H665="AnMP",Pole_Calc!A695,
IF(H665="A",Pole_Calc!A696,
IF(H665="S/A",Pole_Calc!A697,
IF(H665="A/S",Pole_Calc!A698,"Poner a mano")))))))</f>
        <v/>
      </c>
      <c r="BE665" s="448" t="s">
        <v>1726</v>
      </c>
      <c r="BF665" s="635"/>
      <c r="BG665" s="635"/>
      <c r="BH665" s="634"/>
      <c r="BI665" s="635"/>
    </row>
    <row r="666" spans="1:61" ht="16.2" customHeight="1">
      <c r="A666" s="12"/>
      <c r="B666" s="446"/>
      <c r="C666" s="89"/>
      <c r="D666" s="13"/>
      <c r="E666" s="14"/>
      <c r="F666" s="14"/>
      <c r="G666" s="15"/>
      <c r="H666" s="8"/>
      <c r="I666" s="8"/>
      <c r="J666" s="89"/>
      <c r="K666" s="8"/>
      <c r="L666" s="8"/>
      <c r="M666" s="8" t="str">
        <f>IF(L666="","",
IF(AX666="PT",VLOOKUP(L666,Foundation_Calc!$V$4:$X$37,VLOOKUP(AX666,Foundation_Calc!$I$10:$J$13,2,FALSE),0),
IF(AX666="K",VLOOKUP(L666,Foundation_Calc!$V$41:$X$74,VLOOKUP(AX666,Foundation_Calc!$I$10:$J$13,2,FALSE),0),"")))</f>
        <v/>
      </c>
      <c r="N666" s="8"/>
      <c r="O666" s="8"/>
      <c r="P666" s="8"/>
      <c r="Q666" s="14"/>
      <c r="R666" s="15"/>
      <c r="S666" s="15"/>
      <c r="T666" s="14"/>
      <c r="U666" s="14"/>
      <c r="V666" s="14"/>
      <c r="W666" s="18"/>
      <c r="X666" s="18"/>
      <c r="Y666" s="18"/>
      <c r="Z666" s="18"/>
      <c r="AA666" s="18"/>
      <c r="AB666" s="18"/>
      <c r="AC666" s="8" t="str">
        <f t="shared" si="41"/>
        <v/>
      </c>
      <c r="AD666" s="8"/>
      <c r="AE666" s="8"/>
      <c r="AF666" s="14"/>
      <c r="AG666" s="13"/>
      <c r="AH666" s="14"/>
      <c r="AI666" s="14"/>
      <c r="AJ666" s="8"/>
      <c r="AK666" s="8"/>
      <c r="AL666" s="8"/>
      <c r="AM666" s="8"/>
      <c r="AN666" s="631"/>
      <c r="AO666" s="18"/>
      <c r="AP666" s="18"/>
      <c r="AQ666" s="18"/>
      <c r="AR666" s="18"/>
      <c r="AS666" s="18"/>
      <c r="AU666" s="448"/>
      <c r="AV666" s="448"/>
      <c r="AW666" s="8" t="str">
        <f>IF(C666&gt;0,VLOOKUP(C666,Foundation_Calc!$A$2:$C$986,3,1),
IF(J666&gt;0,VLOOKUP(J666,Foundation_Calc!$A$2:$C$986,3,1),""))</f>
        <v/>
      </c>
      <c r="AX666" s="8" t="str">
        <f>IF(C666&gt;0,VLOOKUP(C666,Foundation_Calc!$E$2:$G$986,3,1),
IF(J666&gt;0,VLOOKUP(J666,Foundation_Calc!$E$2:$G$986,3,1),""))</f>
        <v/>
      </c>
      <c r="AY666" s="631" t="str">
        <f>IF(L666="","",
IF(AX666="PT",VLOOKUP(L666,Foundation_Calc!$K$4:$R$37,VLOOKUP(AW666,Foundation_Calc!$I$2:$J$8,2,FALSE),0),
IF(AX666="K",VLOOKUP(L666,Foundation_Calc!$K$41:$R$74,VLOOKUP(AW666,Foundation_Calc!$I$2:$J$8,2,FALSE),0),"")))</f>
        <v/>
      </c>
      <c r="AZ666" s="631" t="str">
        <f>IF(K666="","",
IF(AX666="PT",VLOOKUP(K666,Foundation_Calc!$K$4:$R$37,VLOOKUP(AW666,Foundation_Calc!$I$2:$J$8,2,FALSE),0),
IF(AX666="K",VLOOKUP(K666,Foundation_Calc!$K$41:$R$74,VLOOKUP(AW666,Foundation_Calc!$I$2:$J$8,2,FALSE),0),"")))</f>
        <v/>
      </c>
      <c r="BA666" s="632" t="str">
        <f t="shared" si="42"/>
        <v/>
      </c>
      <c r="BB666" s="632" t="str">
        <f t="shared" si="43"/>
        <v/>
      </c>
      <c r="BC666" s="632" t="str">
        <f t="shared" si="44"/>
        <v/>
      </c>
      <c r="BD666" s="633" t="str">
        <f>IF(AND(L666="",H666=""),"",
IF(H666="",Pole_Calc!A694,
IF(H666="MP",Pole_Calc!A695,
IF(H666="AnMP",Pole_Calc!A696,
IF(H666="A",Pole_Calc!A697,
IF(H666="S/A",Pole_Calc!A698,
IF(H666="A/S",Pole_Calc!A699,"Poner a mano")))))))</f>
        <v/>
      </c>
      <c r="BE666" s="448" t="s">
        <v>1726</v>
      </c>
      <c r="BF666" s="634"/>
      <c r="BG666" s="634"/>
      <c r="BH666" s="634"/>
      <c r="BI666" s="634"/>
    </row>
    <row r="667" spans="1:61" ht="16.2" customHeight="1">
      <c r="A667" s="12"/>
      <c r="B667" s="446"/>
      <c r="C667" s="89"/>
      <c r="D667" s="13"/>
      <c r="E667" s="14"/>
      <c r="F667" s="14"/>
      <c r="G667" s="15"/>
      <c r="H667" s="8"/>
      <c r="I667" s="8"/>
      <c r="J667" s="89"/>
      <c r="K667" s="8"/>
      <c r="L667" s="8"/>
      <c r="M667" s="8" t="str">
        <f>IF(L667="","",
IF(AX667="PT",VLOOKUP(L667,Foundation_Calc!$V$4:$X$37,VLOOKUP(AX667,Foundation_Calc!$I$10:$J$13,2,FALSE),0),
IF(AX667="K",VLOOKUP(L667,Foundation_Calc!$V$41:$X$74,VLOOKUP(AX667,Foundation_Calc!$I$10:$J$13,2,FALSE),0),"")))</f>
        <v/>
      </c>
      <c r="N667" s="8"/>
      <c r="O667" s="8"/>
      <c r="P667" s="8"/>
      <c r="Q667" s="14"/>
      <c r="R667" s="15"/>
      <c r="S667" s="15"/>
      <c r="T667" s="14"/>
      <c r="U667" s="14"/>
      <c r="V667" s="14"/>
      <c r="W667" s="18"/>
      <c r="X667" s="18"/>
      <c r="Y667" s="18"/>
      <c r="Z667" s="18"/>
      <c r="AA667" s="18"/>
      <c r="AB667" s="18"/>
      <c r="AC667" s="8" t="str">
        <f t="shared" si="41"/>
        <v/>
      </c>
      <c r="AD667" s="8"/>
      <c r="AE667" s="8"/>
      <c r="AF667" s="14"/>
      <c r="AG667" s="13"/>
      <c r="AH667" s="14"/>
      <c r="AI667" s="14"/>
      <c r="AJ667" s="8"/>
      <c r="AK667" s="8"/>
      <c r="AL667" s="8"/>
      <c r="AM667" s="8"/>
      <c r="AN667" s="631"/>
      <c r="AO667" s="18"/>
      <c r="AP667" s="18"/>
      <c r="AQ667" s="18"/>
      <c r="AR667" s="18"/>
      <c r="AS667" s="18"/>
      <c r="AU667" s="448"/>
      <c r="AV667" s="448"/>
      <c r="AW667" s="8" t="str">
        <f>IF(C667&gt;0,VLOOKUP(C667,Foundation_Calc!$A$2:$C$986,3,1),
IF(J667&gt;0,VLOOKUP(J667,Foundation_Calc!$A$2:$C$986,3,1),""))</f>
        <v/>
      </c>
      <c r="AX667" s="8" t="str">
        <f>IF(C667&gt;0,VLOOKUP(C667,Foundation_Calc!$E$2:$G$986,3,1),
IF(J667&gt;0,VLOOKUP(J667,Foundation_Calc!$E$2:$G$986,3,1),""))</f>
        <v/>
      </c>
      <c r="AY667" s="631" t="str">
        <f>IF(L667="","",
IF(AX667="PT",VLOOKUP(L667,Foundation_Calc!$K$4:$R$37,VLOOKUP(AW667,Foundation_Calc!$I$2:$J$8,2,FALSE),0),
IF(AX667="K",VLOOKUP(L667,Foundation_Calc!$K$41:$R$74,VLOOKUP(AW667,Foundation_Calc!$I$2:$J$8,2,FALSE),0),"")))</f>
        <v/>
      </c>
      <c r="AZ667" s="631" t="str">
        <f>IF(K667="","",
IF(AX667="PT",VLOOKUP(K667,Foundation_Calc!$K$4:$R$37,VLOOKUP(AW667,Foundation_Calc!$I$2:$J$8,2,FALSE),0),
IF(AX667="K",VLOOKUP(K667,Foundation_Calc!$K$41:$R$74,VLOOKUP(AW667,Foundation_Calc!$I$2:$J$8,2,FALSE),0),"")))</f>
        <v/>
      </c>
      <c r="BA667" s="632" t="str">
        <f t="shared" si="42"/>
        <v/>
      </c>
      <c r="BB667" s="632" t="str">
        <f t="shared" si="43"/>
        <v/>
      </c>
      <c r="BC667" s="632" t="str">
        <f t="shared" si="44"/>
        <v/>
      </c>
      <c r="BD667" s="633" t="str">
        <f>IF(AND(L667="",H667=""),"",
IF(H667="",Pole_Calc!A695,
IF(H667="MP",Pole_Calc!A696,
IF(H667="AnMP",Pole_Calc!A697,
IF(H667="A",Pole_Calc!A698,
IF(H667="S/A",Pole_Calc!A699,
IF(H667="A/S",Pole_Calc!A700,"Poner a mano")))))))</f>
        <v/>
      </c>
      <c r="BE667" s="448" t="s">
        <v>1726</v>
      </c>
      <c r="BF667" s="635"/>
      <c r="BG667" s="635"/>
      <c r="BH667" s="634"/>
      <c r="BI667" s="635"/>
    </row>
    <row r="668" spans="1:61" ht="16.2" customHeight="1">
      <c r="A668" s="12"/>
      <c r="B668" s="446"/>
      <c r="C668" s="89"/>
      <c r="D668" s="13"/>
      <c r="E668" s="14"/>
      <c r="F668" s="14"/>
      <c r="G668" s="15"/>
      <c r="H668" s="8"/>
      <c r="I668" s="8"/>
      <c r="J668" s="89"/>
      <c r="K668" s="8"/>
      <c r="L668" s="8"/>
      <c r="M668" s="8" t="str">
        <f>IF(L668="","",
IF(AX668="PT",VLOOKUP(L668,Foundation_Calc!$V$4:$X$37,VLOOKUP(AX668,Foundation_Calc!$I$10:$J$13,2,FALSE),0),
IF(AX668="K",VLOOKUP(L668,Foundation_Calc!$V$41:$X$74,VLOOKUP(AX668,Foundation_Calc!$I$10:$J$13,2,FALSE),0),"")))</f>
        <v/>
      </c>
      <c r="N668" s="8"/>
      <c r="O668" s="8"/>
      <c r="P668" s="8"/>
      <c r="Q668" s="14"/>
      <c r="R668" s="15"/>
      <c r="S668" s="15"/>
      <c r="T668" s="14"/>
      <c r="U668" s="14"/>
      <c r="V668" s="14"/>
      <c r="W668" s="18"/>
      <c r="X668" s="18"/>
      <c r="Y668" s="18"/>
      <c r="Z668" s="18"/>
      <c r="AA668" s="18"/>
      <c r="AB668" s="18"/>
      <c r="AC668" s="8" t="str">
        <f t="shared" si="41"/>
        <v/>
      </c>
      <c r="AD668" s="8"/>
      <c r="AE668" s="8"/>
      <c r="AF668" s="14"/>
      <c r="AG668" s="13"/>
      <c r="AH668" s="14"/>
      <c r="AI668" s="14"/>
      <c r="AJ668" s="8"/>
      <c r="AK668" s="8"/>
      <c r="AL668" s="8"/>
      <c r="AM668" s="8"/>
      <c r="AN668" s="631"/>
      <c r="AO668" s="18"/>
      <c r="AP668" s="18"/>
      <c r="AQ668" s="18"/>
      <c r="AR668" s="18"/>
      <c r="AS668" s="18"/>
      <c r="AU668" s="448"/>
      <c r="AV668" s="448"/>
      <c r="AW668" s="8" t="str">
        <f>IF(C668&gt;0,VLOOKUP(C668,Foundation_Calc!$A$2:$C$986,3,1),
IF(J668&gt;0,VLOOKUP(J668,Foundation_Calc!$A$2:$C$986,3,1),""))</f>
        <v/>
      </c>
      <c r="AX668" s="8" t="str">
        <f>IF(C668&gt;0,VLOOKUP(C668,Foundation_Calc!$E$2:$G$986,3,1),
IF(J668&gt;0,VLOOKUP(J668,Foundation_Calc!$E$2:$G$986,3,1),""))</f>
        <v/>
      </c>
      <c r="AY668" s="631" t="str">
        <f>IF(L668="","",
IF(AX668="PT",VLOOKUP(L668,Foundation_Calc!$K$4:$R$37,VLOOKUP(AW668,Foundation_Calc!$I$2:$J$8,2,FALSE),0),
IF(AX668="K",VLOOKUP(L668,Foundation_Calc!$K$41:$R$74,VLOOKUP(AW668,Foundation_Calc!$I$2:$J$8,2,FALSE),0),"")))</f>
        <v/>
      </c>
      <c r="AZ668" s="631" t="str">
        <f>IF(K668="","",
IF(AX668="PT",VLOOKUP(K668,Foundation_Calc!$K$4:$R$37,VLOOKUP(AW668,Foundation_Calc!$I$2:$J$8,2,FALSE),0),
IF(AX668="K",VLOOKUP(K668,Foundation_Calc!$K$41:$R$74,VLOOKUP(AW668,Foundation_Calc!$I$2:$J$8,2,FALSE),0),"")))</f>
        <v/>
      </c>
      <c r="BA668" s="632" t="str">
        <f t="shared" si="42"/>
        <v/>
      </c>
      <c r="BB668" s="632" t="str">
        <f t="shared" si="43"/>
        <v/>
      </c>
      <c r="BC668" s="632" t="str">
        <f t="shared" si="44"/>
        <v/>
      </c>
      <c r="BD668" s="633" t="str">
        <f>IF(AND(L668="",H668=""),"",
IF(H668="",Pole_Calc!A696,
IF(H668="MP",Pole_Calc!A697,
IF(H668="AnMP",Pole_Calc!A698,
IF(H668="A",Pole_Calc!A699,
IF(H668="S/A",Pole_Calc!A700,
IF(H668="A/S",Pole_Calc!A701,"Poner a mano")))))))</f>
        <v/>
      </c>
      <c r="BE668" s="448" t="s">
        <v>1726</v>
      </c>
      <c r="BF668" s="634"/>
      <c r="BG668" s="634"/>
      <c r="BH668" s="634"/>
      <c r="BI668" s="634"/>
    </row>
    <row r="669" spans="1:61" ht="16.2" customHeight="1">
      <c r="A669" s="12"/>
      <c r="B669" s="446"/>
      <c r="C669" s="89"/>
      <c r="D669" s="13"/>
      <c r="E669" s="14"/>
      <c r="F669" s="14"/>
      <c r="G669" s="15"/>
      <c r="H669" s="8"/>
      <c r="I669" s="8"/>
      <c r="J669" s="89"/>
      <c r="K669" s="8"/>
      <c r="L669" s="8"/>
      <c r="M669" s="8" t="str">
        <f>IF(L669="","",
IF(AX669="PT",VLOOKUP(L669,Foundation_Calc!$V$4:$X$37,VLOOKUP(AX669,Foundation_Calc!$I$10:$J$13,2,FALSE),0),
IF(AX669="K",VLOOKUP(L669,Foundation_Calc!$V$41:$X$74,VLOOKUP(AX669,Foundation_Calc!$I$10:$J$13,2,FALSE),0),"")))</f>
        <v/>
      </c>
      <c r="N669" s="8"/>
      <c r="O669" s="8"/>
      <c r="P669" s="8"/>
      <c r="Q669" s="14"/>
      <c r="R669" s="15"/>
      <c r="S669" s="15"/>
      <c r="T669" s="14"/>
      <c r="U669" s="14"/>
      <c r="V669" s="14"/>
      <c r="W669" s="18"/>
      <c r="X669" s="18"/>
      <c r="Y669" s="18"/>
      <c r="Z669" s="18"/>
      <c r="AA669" s="18"/>
      <c r="AB669" s="18"/>
      <c r="AC669" s="8" t="str">
        <f t="shared" si="41"/>
        <v/>
      </c>
      <c r="AD669" s="8"/>
      <c r="AE669" s="8"/>
      <c r="AF669" s="14"/>
      <c r="AG669" s="13"/>
      <c r="AH669" s="14"/>
      <c r="AI669" s="14"/>
      <c r="AJ669" s="8"/>
      <c r="AK669" s="8"/>
      <c r="AL669" s="8"/>
      <c r="AM669" s="8"/>
      <c r="AN669" s="631"/>
      <c r="AO669" s="18"/>
      <c r="AP669" s="18"/>
      <c r="AQ669" s="18"/>
      <c r="AR669" s="18"/>
      <c r="AS669" s="18"/>
      <c r="AU669" s="448"/>
      <c r="AV669" s="448"/>
      <c r="AW669" s="8" t="str">
        <f>IF(C669&gt;0,VLOOKUP(C669,Foundation_Calc!$A$2:$C$986,3,1),
IF(J669&gt;0,VLOOKUP(J669,Foundation_Calc!$A$2:$C$986,3,1),""))</f>
        <v/>
      </c>
      <c r="AX669" s="8" t="str">
        <f>IF(C669&gt;0,VLOOKUP(C669,Foundation_Calc!$E$2:$G$986,3,1),
IF(J669&gt;0,VLOOKUP(J669,Foundation_Calc!$E$2:$G$986,3,1),""))</f>
        <v/>
      </c>
      <c r="AY669" s="631" t="str">
        <f>IF(L669="","",
IF(AX669="PT",VLOOKUP(L669,Foundation_Calc!$K$4:$R$37,VLOOKUP(AW669,Foundation_Calc!$I$2:$J$8,2,FALSE),0),
IF(AX669="K",VLOOKUP(L669,Foundation_Calc!$K$41:$R$74,VLOOKUP(AW669,Foundation_Calc!$I$2:$J$8,2,FALSE),0),"")))</f>
        <v/>
      </c>
      <c r="AZ669" s="631" t="str">
        <f>IF(K669="","",
IF(AX669="PT",VLOOKUP(K669,Foundation_Calc!$K$4:$R$37,VLOOKUP(AW669,Foundation_Calc!$I$2:$J$8,2,FALSE),0),
IF(AX669="K",VLOOKUP(K669,Foundation_Calc!$K$41:$R$74,VLOOKUP(AW669,Foundation_Calc!$I$2:$J$8,2,FALSE),0),"")))</f>
        <v/>
      </c>
      <c r="BA669" s="632" t="str">
        <f t="shared" si="42"/>
        <v/>
      </c>
      <c r="BB669" s="632" t="str">
        <f t="shared" si="43"/>
        <v/>
      </c>
      <c r="BC669" s="632" t="str">
        <f t="shared" si="44"/>
        <v/>
      </c>
      <c r="BD669" s="633" t="str">
        <f>IF(AND(L669="",H669=""),"",
IF(H669="",Pole_Calc!A697,
IF(H669="MP",Pole_Calc!A698,
IF(H669="AnMP",Pole_Calc!A699,
IF(H669="A",Pole_Calc!A700,
IF(H669="S/A",Pole_Calc!A701,
IF(H669="A/S",Pole_Calc!A702,"Poner a mano")))))))</f>
        <v/>
      </c>
      <c r="BE669" s="448" t="s">
        <v>1726</v>
      </c>
      <c r="BF669" s="635"/>
      <c r="BG669" s="635"/>
      <c r="BH669" s="634"/>
      <c r="BI669" s="635"/>
    </row>
    <row r="670" spans="1:61" ht="16.2" customHeight="1">
      <c r="A670" s="12"/>
      <c r="B670" s="446"/>
      <c r="C670" s="89"/>
      <c r="D670" s="13"/>
      <c r="E670" s="14"/>
      <c r="F670" s="14"/>
      <c r="G670" s="15"/>
      <c r="H670" s="8"/>
      <c r="I670" s="8"/>
      <c r="J670" s="89"/>
      <c r="K670" s="8"/>
      <c r="L670" s="8"/>
      <c r="M670" s="8" t="str">
        <f>IF(L670="","",
IF(AX670="PT",VLOOKUP(L670,Foundation_Calc!$V$4:$X$37,VLOOKUP(AX670,Foundation_Calc!$I$10:$J$13,2,FALSE),0),
IF(AX670="K",VLOOKUP(L670,Foundation_Calc!$V$41:$X$74,VLOOKUP(AX670,Foundation_Calc!$I$10:$J$13,2,FALSE),0),"")))</f>
        <v/>
      </c>
      <c r="N670" s="8"/>
      <c r="O670" s="8"/>
      <c r="P670" s="8"/>
      <c r="Q670" s="14"/>
      <c r="R670" s="15"/>
      <c r="S670" s="15"/>
      <c r="T670" s="14"/>
      <c r="U670" s="14"/>
      <c r="V670" s="14"/>
      <c r="W670" s="18"/>
      <c r="X670" s="18"/>
      <c r="Y670" s="18"/>
      <c r="Z670" s="18"/>
      <c r="AA670" s="18"/>
      <c r="AB670" s="18"/>
      <c r="AC670" s="8" t="str">
        <f t="shared" si="41"/>
        <v/>
      </c>
      <c r="AD670" s="8"/>
      <c r="AE670" s="8"/>
      <c r="AF670" s="14"/>
      <c r="AG670" s="13"/>
      <c r="AH670" s="14"/>
      <c r="AI670" s="14"/>
      <c r="AJ670" s="8"/>
      <c r="AK670" s="8"/>
      <c r="AL670" s="8"/>
      <c r="AM670" s="8"/>
      <c r="AN670" s="631"/>
      <c r="AO670" s="18"/>
      <c r="AP670" s="18"/>
      <c r="AQ670" s="18"/>
      <c r="AR670" s="18"/>
      <c r="AS670" s="18"/>
      <c r="AU670" s="448"/>
      <c r="AV670" s="448"/>
      <c r="AW670" s="8" t="str">
        <f>IF(C670&gt;0,VLOOKUP(C670,Foundation_Calc!$A$2:$C$986,3,1),
IF(J670&gt;0,VLOOKUP(J670,Foundation_Calc!$A$2:$C$986,3,1),""))</f>
        <v/>
      </c>
      <c r="AX670" s="8" t="str">
        <f>IF(C670&gt;0,VLOOKUP(C670,Foundation_Calc!$E$2:$G$986,3,1),
IF(J670&gt;0,VLOOKUP(J670,Foundation_Calc!$E$2:$G$986,3,1),""))</f>
        <v/>
      </c>
      <c r="AY670" s="631" t="str">
        <f>IF(L670="","",
IF(AX670="PT",VLOOKUP(L670,Foundation_Calc!$K$4:$R$37,VLOOKUP(AW670,Foundation_Calc!$I$2:$J$8,2,FALSE),0),
IF(AX670="K",VLOOKUP(L670,Foundation_Calc!$K$41:$R$74,VLOOKUP(AW670,Foundation_Calc!$I$2:$J$8,2,FALSE),0),"")))</f>
        <v/>
      </c>
      <c r="AZ670" s="631" t="str">
        <f>IF(K670="","",
IF(AX670="PT",VLOOKUP(K670,Foundation_Calc!$K$4:$R$37,VLOOKUP(AW670,Foundation_Calc!$I$2:$J$8,2,FALSE),0),
IF(AX670="K",VLOOKUP(K670,Foundation_Calc!$K$41:$R$74,VLOOKUP(AW670,Foundation_Calc!$I$2:$J$8,2,FALSE),0),"")))</f>
        <v/>
      </c>
      <c r="BA670" s="632" t="str">
        <f t="shared" si="42"/>
        <v/>
      </c>
      <c r="BB670" s="632" t="str">
        <f t="shared" si="43"/>
        <v/>
      </c>
      <c r="BC670" s="632" t="str">
        <f t="shared" si="44"/>
        <v/>
      </c>
      <c r="BD670" s="633" t="str">
        <f>IF(AND(L670="",H670=""),"",
IF(H670="",Pole_Calc!A698,
IF(H670="MP",Pole_Calc!A699,
IF(H670="AnMP",Pole_Calc!A700,
IF(H670="A",Pole_Calc!A701,
IF(H670="S/A",Pole_Calc!A702,
IF(H670="A/S",Pole_Calc!A703,"Poner a mano")))))))</f>
        <v/>
      </c>
      <c r="BE670" s="448" t="s">
        <v>1726</v>
      </c>
      <c r="BF670" s="634"/>
      <c r="BG670" s="634"/>
      <c r="BH670" s="634"/>
      <c r="BI670" s="634"/>
    </row>
    <row r="671" spans="1:61" ht="16.2" customHeight="1">
      <c r="A671" s="12"/>
      <c r="B671" s="446"/>
      <c r="C671" s="89"/>
      <c r="D671" s="13"/>
      <c r="E671" s="14"/>
      <c r="F671" s="14"/>
      <c r="G671" s="15"/>
      <c r="H671" s="8"/>
      <c r="I671" s="8"/>
      <c r="J671" s="89"/>
      <c r="K671" s="8"/>
      <c r="L671" s="8"/>
      <c r="M671" s="8" t="str">
        <f>IF(L671="","",
IF(AX671="PT",VLOOKUP(L671,Foundation_Calc!$V$4:$X$37,VLOOKUP(AX671,Foundation_Calc!$I$10:$J$13,2,FALSE),0),
IF(AX671="K",VLOOKUP(L671,Foundation_Calc!$V$41:$X$74,VLOOKUP(AX671,Foundation_Calc!$I$10:$J$13,2,FALSE),0),"")))</f>
        <v/>
      </c>
      <c r="N671" s="8"/>
      <c r="O671" s="8"/>
      <c r="P671" s="8"/>
      <c r="Q671" s="14"/>
      <c r="R671" s="15"/>
      <c r="S671" s="15"/>
      <c r="T671" s="14"/>
      <c r="U671" s="14"/>
      <c r="V671" s="14"/>
      <c r="W671" s="18"/>
      <c r="X671" s="18"/>
      <c r="Y671" s="18"/>
      <c r="Z671" s="18"/>
      <c r="AA671" s="18"/>
      <c r="AB671" s="18"/>
      <c r="AC671" s="8" t="str">
        <f t="shared" si="41"/>
        <v/>
      </c>
      <c r="AD671" s="8"/>
      <c r="AE671" s="8"/>
      <c r="AF671" s="14"/>
      <c r="AG671" s="13"/>
      <c r="AH671" s="14"/>
      <c r="AI671" s="14"/>
      <c r="AJ671" s="8"/>
      <c r="AK671" s="8"/>
      <c r="AL671" s="8"/>
      <c r="AM671" s="8"/>
      <c r="AN671" s="631"/>
      <c r="AO671" s="18"/>
      <c r="AP671" s="18"/>
      <c r="AQ671" s="18"/>
      <c r="AR671" s="18"/>
      <c r="AS671" s="18"/>
      <c r="AU671" s="448"/>
      <c r="AV671" s="448"/>
      <c r="AW671" s="8" t="str">
        <f>IF(C671&gt;0,VLOOKUP(C671,Foundation_Calc!$A$2:$C$986,3,1),
IF(J671&gt;0,VLOOKUP(J671,Foundation_Calc!$A$2:$C$986,3,1),""))</f>
        <v/>
      </c>
      <c r="AX671" s="8" t="str">
        <f>IF(C671&gt;0,VLOOKUP(C671,Foundation_Calc!$E$2:$G$986,3,1),
IF(J671&gt;0,VLOOKUP(J671,Foundation_Calc!$E$2:$G$986,3,1),""))</f>
        <v/>
      </c>
      <c r="AY671" s="631" t="str">
        <f>IF(L671="","",
IF(AX671="PT",VLOOKUP(L671,Foundation_Calc!$K$4:$R$37,VLOOKUP(AW671,Foundation_Calc!$I$2:$J$8,2,FALSE),0),
IF(AX671="K",VLOOKUP(L671,Foundation_Calc!$K$41:$R$74,VLOOKUP(AW671,Foundation_Calc!$I$2:$J$8,2,FALSE),0),"")))</f>
        <v/>
      </c>
      <c r="AZ671" s="631" t="str">
        <f>IF(K671="","",
IF(AX671="PT",VLOOKUP(K671,Foundation_Calc!$K$4:$R$37,VLOOKUP(AW671,Foundation_Calc!$I$2:$J$8,2,FALSE),0),
IF(AX671="K",VLOOKUP(K671,Foundation_Calc!$K$41:$R$74,VLOOKUP(AW671,Foundation_Calc!$I$2:$J$8,2,FALSE),0),"")))</f>
        <v/>
      </c>
      <c r="BA671" s="632" t="str">
        <f t="shared" si="42"/>
        <v/>
      </c>
      <c r="BB671" s="632" t="str">
        <f t="shared" si="43"/>
        <v/>
      </c>
      <c r="BC671" s="632" t="str">
        <f t="shared" si="44"/>
        <v/>
      </c>
      <c r="BD671" s="633" t="str">
        <f>IF(AND(L671="",H671=""),"",
IF(H671="",Pole_Calc!A699,
IF(H671="MP",Pole_Calc!A700,
IF(H671="AnMP",Pole_Calc!A701,
IF(H671="A",Pole_Calc!A702,
IF(H671="S/A",Pole_Calc!A703,
IF(H671="A/S",Pole_Calc!A704,"Poner a mano")))))))</f>
        <v/>
      </c>
      <c r="BE671" s="448" t="s">
        <v>1726</v>
      </c>
      <c r="BF671" s="635"/>
      <c r="BG671" s="635"/>
      <c r="BH671" s="634"/>
      <c r="BI671" s="635"/>
    </row>
    <row r="672" spans="1:61" ht="16.2" customHeight="1">
      <c r="A672" s="12"/>
      <c r="B672" s="446"/>
      <c r="C672" s="89"/>
      <c r="D672" s="13"/>
      <c r="E672" s="14"/>
      <c r="F672" s="14"/>
      <c r="G672" s="15"/>
      <c r="H672" s="8"/>
      <c r="I672" s="8"/>
      <c r="J672" s="89"/>
      <c r="K672" s="8"/>
      <c r="L672" s="8"/>
      <c r="M672" s="8" t="str">
        <f>IF(L672="","",
IF(AX672="PT",VLOOKUP(L672,Foundation_Calc!$V$4:$X$37,VLOOKUP(AX672,Foundation_Calc!$I$10:$J$13,2,FALSE),0),
IF(AX672="K",VLOOKUP(L672,Foundation_Calc!$V$41:$X$74,VLOOKUP(AX672,Foundation_Calc!$I$10:$J$13,2,FALSE),0),"")))</f>
        <v/>
      </c>
      <c r="N672" s="8"/>
      <c r="O672" s="8"/>
      <c r="P672" s="8"/>
      <c r="Q672" s="14"/>
      <c r="R672" s="15"/>
      <c r="S672" s="15"/>
      <c r="T672" s="14"/>
      <c r="U672" s="14"/>
      <c r="V672" s="14"/>
      <c r="W672" s="18"/>
      <c r="X672" s="18"/>
      <c r="Y672" s="18"/>
      <c r="Z672" s="18"/>
      <c r="AA672" s="18"/>
      <c r="AB672" s="18"/>
      <c r="AC672" s="8" t="str">
        <f t="shared" si="41"/>
        <v/>
      </c>
      <c r="AD672" s="8"/>
      <c r="AE672" s="8"/>
      <c r="AF672" s="14"/>
      <c r="AG672" s="13"/>
      <c r="AH672" s="14"/>
      <c r="AI672" s="14"/>
      <c r="AJ672" s="8"/>
      <c r="AK672" s="8"/>
      <c r="AL672" s="8"/>
      <c r="AM672" s="8"/>
      <c r="AN672" s="631"/>
      <c r="AO672" s="18"/>
      <c r="AP672" s="18"/>
      <c r="AQ672" s="18"/>
      <c r="AR672" s="18"/>
      <c r="AS672" s="18"/>
      <c r="AU672" s="448"/>
      <c r="AV672" s="448"/>
      <c r="AW672" s="8" t="str">
        <f>IF(C672&gt;0,VLOOKUP(C672,Foundation_Calc!$A$2:$C$986,3,1),
IF(J672&gt;0,VLOOKUP(J672,Foundation_Calc!$A$2:$C$986,3,1),""))</f>
        <v/>
      </c>
      <c r="AX672" s="8" t="str">
        <f>IF(C672&gt;0,VLOOKUP(C672,Foundation_Calc!$E$2:$G$986,3,1),
IF(J672&gt;0,VLOOKUP(J672,Foundation_Calc!$E$2:$G$986,3,1),""))</f>
        <v/>
      </c>
      <c r="AY672" s="631" t="str">
        <f>IF(L672="","",
IF(AX672="PT",VLOOKUP(L672,Foundation_Calc!$K$4:$R$37,VLOOKUP(AW672,Foundation_Calc!$I$2:$J$8,2,FALSE),0),
IF(AX672="K",VLOOKUP(L672,Foundation_Calc!$K$41:$R$74,VLOOKUP(AW672,Foundation_Calc!$I$2:$J$8,2,FALSE),0),"")))</f>
        <v/>
      </c>
      <c r="AZ672" s="631" t="str">
        <f>IF(K672="","",
IF(AX672="PT",VLOOKUP(K672,Foundation_Calc!$K$4:$R$37,VLOOKUP(AW672,Foundation_Calc!$I$2:$J$8,2,FALSE),0),
IF(AX672="K",VLOOKUP(K672,Foundation_Calc!$K$41:$R$74,VLOOKUP(AW672,Foundation_Calc!$I$2:$J$8,2,FALSE),0),"")))</f>
        <v/>
      </c>
      <c r="BA672" s="632" t="str">
        <f t="shared" si="42"/>
        <v/>
      </c>
      <c r="BB672" s="632" t="str">
        <f t="shared" si="43"/>
        <v/>
      </c>
      <c r="BC672" s="632" t="str">
        <f t="shared" si="44"/>
        <v/>
      </c>
      <c r="BD672" s="633" t="str">
        <f>IF(AND(L672="",H672=""),"",
IF(H672="",Pole_Calc!A700,
IF(H672="MP",Pole_Calc!A701,
IF(H672="AnMP",Pole_Calc!A702,
IF(H672="A",Pole_Calc!A703,
IF(H672="S/A",Pole_Calc!A704,
IF(H672="A/S",Pole_Calc!A705,"Poner a mano")))))))</f>
        <v/>
      </c>
      <c r="BE672" s="448" t="s">
        <v>1726</v>
      </c>
      <c r="BF672" s="634"/>
      <c r="BG672" s="634"/>
      <c r="BH672" s="634"/>
      <c r="BI672" s="634"/>
    </row>
    <row r="673" spans="1:61" ht="16.2" customHeight="1">
      <c r="A673" s="12"/>
      <c r="B673" s="446"/>
      <c r="C673" s="89"/>
      <c r="D673" s="13"/>
      <c r="E673" s="14"/>
      <c r="F673" s="14"/>
      <c r="G673" s="15"/>
      <c r="H673" s="8"/>
      <c r="I673" s="8"/>
      <c r="J673" s="89"/>
      <c r="K673" s="8"/>
      <c r="L673" s="8"/>
      <c r="M673" s="8" t="str">
        <f>IF(L673="","",
IF(AX673="PT",VLOOKUP(L673,Foundation_Calc!$V$4:$X$37,VLOOKUP(AX673,Foundation_Calc!$I$10:$J$13,2,FALSE),0),
IF(AX673="K",VLOOKUP(L673,Foundation_Calc!$V$41:$X$74,VLOOKUP(AX673,Foundation_Calc!$I$10:$J$13,2,FALSE),0),"")))</f>
        <v/>
      </c>
      <c r="N673" s="8"/>
      <c r="O673" s="8"/>
      <c r="P673" s="8"/>
      <c r="Q673" s="14"/>
      <c r="R673" s="15"/>
      <c r="S673" s="15"/>
      <c r="T673" s="14"/>
      <c r="U673" s="14"/>
      <c r="V673" s="14"/>
      <c r="W673" s="18"/>
      <c r="X673" s="18"/>
      <c r="Y673" s="18"/>
      <c r="Z673" s="18"/>
      <c r="AA673" s="18"/>
      <c r="AB673" s="18"/>
      <c r="AC673" s="8" t="str">
        <f t="shared" si="41"/>
        <v/>
      </c>
      <c r="AD673" s="8"/>
      <c r="AE673" s="8"/>
      <c r="AF673" s="14"/>
      <c r="AG673" s="13"/>
      <c r="AH673" s="14"/>
      <c r="AI673" s="14"/>
      <c r="AJ673" s="8"/>
      <c r="AK673" s="8"/>
      <c r="AL673" s="8"/>
      <c r="AM673" s="8"/>
      <c r="AN673" s="631"/>
      <c r="AO673" s="18"/>
      <c r="AP673" s="18"/>
      <c r="AQ673" s="18"/>
      <c r="AR673" s="18"/>
      <c r="AS673" s="18"/>
      <c r="AU673" s="448"/>
      <c r="AV673" s="448"/>
      <c r="AW673" s="8" t="str">
        <f>IF(C673&gt;0,VLOOKUP(C673,Foundation_Calc!$A$2:$C$986,3,1),
IF(J673&gt;0,VLOOKUP(J673,Foundation_Calc!$A$2:$C$986,3,1),""))</f>
        <v/>
      </c>
      <c r="AX673" s="8" t="str">
        <f>IF(C673&gt;0,VLOOKUP(C673,Foundation_Calc!$E$2:$G$986,3,1),
IF(J673&gt;0,VLOOKUP(J673,Foundation_Calc!$E$2:$G$986,3,1),""))</f>
        <v/>
      </c>
      <c r="AY673" s="631" t="str">
        <f>IF(L673="","",
IF(AX673="PT",VLOOKUP(L673,Foundation_Calc!$K$4:$R$37,VLOOKUP(AW673,Foundation_Calc!$I$2:$J$8,2,FALSE),0),
IF(AX673="K",VLOOKUP(L673,Foundation_Calc!$K$41:$R$74,VLOOKUP(AW673,Foundation_Calc!$I$2:$J$8,2,FALSE),0),"")))</f>
        <v/>
      </c>
      <c r="AZ673" s="631" t="str">
        <f>IF(K673="","",
IF(AX673="PT",VLOOKUP(K673,Foundation_Calc!$K$4:$R$37,VLOOKUP(AW673,Foundation_Calc!$I$2:$J$8,2,FALSE),0),
IF(AX673="K",VLOOKUP(K673,Foundation_Calc!$K$41:$R$74,VLOOKUP(AW673,Foundation_Calc!$I$2:$J$8,2,FALSE),0),"")))</f>
        <v/>
      </c>
      <c r="BA673" s="632" t="str">
        <f t="shared" si="42"/>
        <v/>
      </c>
      <c r="BB673" s="632" t="str">
        <f t="shared" si="43"/>
        <v/>
      </c>
      <c r="BC673" s="632" t="str">
        <f t="shared" si="44"/>
        <v/>
      </c>
      <c r="BD673" s="633" t="str">
        <f>IF(AND(L673="",H673=""),"",
IF(H673="",Pole_Calc!A701,
IF(H673="MP",Pole_Calc!A702,
IF(H673="AnMP",Pole_Calc!A703,
IF(H673="A",Pole_Calc!A704,
IF(H673="S/A",Pole_Calc!A705,
IF(H673="A/S",Pole_Calc!A706,"Poner a mano")))))))</f>
        <v/>
      </c>
      <c r="BE673" s="448" t="s">
        <v>1726</v>
      </c>
      <c r="BF673" s="635"/>
      <c r="BG673" s="635"/>
      <c r="BH673" s="634"/>
      <c r="BI673" s="635"/>
    </row>
    <row r="674" spans="1:61" ht="16.2" customHeight="1">
      <c r="A674" s="12"/>
      <c r="B674" s="446"/>
      <c r="C674" s="89"/>
      <c r="D674" s="13"/>
      <c r="E674" s="14"/>
      <c r="F674" s="14"/>
      <c r="G674" s="15"/>
      <c r="H674" s="8"/>
      <c r="I674" s="8"/>
      <c r="J674" s="89"/>
      <c r="K674" s="8"/>
      <c r="L674" s="8"/>
      <c r="M674" s="8" t="str">
        <f>IF(L674="","",
IF(AX674="PT",VLOOKUP(L674,Foundation_Calc!$V$4:$X$37,VLOOKUP(AX674,Foundation_Calc!$I$10:$J$13,2,FALSE),0),
IF(AX674="K",VLOOKUP(L674,Foundation_Calc!$V$41:$X$74,VLOOKUP(AX674,Foundation_Calc!$I$10:$J$13,2,FALSE),0),"")))</f>
        <v/>
      </c>
      <c r="N674" s="8"/>
      <c r="O674" s="8"/>
      <c r="P674" s="8"/>
      <c r="Q674" s="14"/>
      <c r="R674" s="15"/>
      <c r="S674" s="15"/>
      <c r="T674" s="14"/>
      <c r="U674" s="14"/>
      <c r="V674" s="14"/>
      <c r="W674" s="18"/>
      <c r="X674" s="18"/>
      <c r="Y674" s="18"/>
      <c r="Z674" s="18"/>
      <c r="AA674" s="18"/>
      <c r="AB674" s="18"/>
      <c r="AC674" s="8" t="str">
        <f t="shared" si="41"/>
        <v/>
      </c>
      <c r="AD674" s="8"/>
      <c r="AE674" s="8"/>
      <c r="AF674" s="14"/>
      <c r="AG674" s="13"/>
      <c r="AH674" s="14"/>
      <c r="AI674" s="14"/>
      <c r="AJ674" s="8"/>
      <c r="AK674" s="8"/>
      <c r="AL674" s="8"/>
      <c r="AM674" s="8"/>
      <c r="AN674" s="631"/>
      <c r="AO674" s="18"/>
      <c r="AP674" s="18"/>
      <c r="AQ674" s="18"/>
      <c r="AR674" s="18"/>
      <c r="AS674" s="18"/>
      <c r="AU674" s="448"/>
      <c r="AV674" s="448"/>
      <c r="AW674" s="8" t="str">
        <f>IF(C674&gt;0,VLOOKUP(C674,Foundation_Calc!$A$2:$C$986,3,1),
IF(J674&gt;0,VLOOKUP(J674,Foundation_Calc!$A$2:$C$986,3,1),""))</f>
        <v/>
      </c>
      <c r="AX674" s="8" t="str">
        <f>IF(C674&gt;0,VLOOKUP(C674,Foundation_Calc!$E$2:$G$986,3,1),
IF(J674&gt;0,VLOOKUP(J674,Foundation_Calc!$E$2:$G$986,3,1),""))</f>
        <v/>
      </c>
      <c r="AY674" s="631" t="str">
        <f>IF(L674="","",
IF(AX674="PT",VLOOKUP(L674,Foundation_Calc!$K$4:$R$37,VLOOKUP(AW674,Foundation_Calc!$I$2:$J$8,2,FALSE),0),
IF(AX674="K",VLOOKUP(L674,Foundation_Calc!$K$41:$R$74,VLOOKUP(AW674,Foundation_Calc!$I$2:$J$8,2,FALSE),0),"")))</f>
        <v/>
      </c>
      <c r="AZ674" s="631" t="str">
        <f>IF(K674="","",
IF(AX674="PT",VLOOKUP(K674,Foundation_Calc!$K$4:$R$37,VLOOKUP(AW674,Foundation_Calc!$I$2:$J$8,2,FALSE),0),
IF(AX674="K",VLOOKUP(K674,Foundation_Calc!$K$41:$R$74,VLOOKUP(AW674,Foundation_Calc!$I$2:$J$8,2,FALSE),0),"")))</f>
        <v/>
      </c>
      <c r="BA674" s="632" t="str">
        <f t="shared" si="42"/>
        <v/>
      </c>
      <c r="BB674" s="632" t="str">
        <f t="shared" si="43"/>
        <v/>
      </c>
      <c r="BC674" s="632" t="str">
        <f t="shared" si="44"/>
        <v/>
      </c>
      <c r="BD674" s="633" t="str">
        <f>IF(AND(L674="",H674=""),"",
IF(H674="",Pole_Calc!A702,
IF(H674="MP",Pole_Calc!A703,
IF(H674="AnMP",Pole_Calc!A704,
IF(H674="A",Pole_Calc!A705,
IF(H674="S/A",Pole_Calc!A706,
IF(H674="A/S",Pole_Calc!A707,"Poner a mano")))))))</f>
        <v/>
      </c>
      <c r="BE674" s="448" t="s">
        <v>1726</v>
      </c>
      <c r="BF674" s="634"/>
      <c r="BG674" s="634"/>
      <c r="BH674" s="634"/>
      <c r="BI674" s="634"/>
    </row>
    <row r="675" spans="1:61" ht="16.2" customHeight="1">
      <c r="A675" s="12"/>
      <c r="B675" s="446"/>
      <c r="C675" s="89"/>
      <c r="D675" s="13"/>
      <c r="E675" s="14"/>
      <c r="F675" s="14"/>
      <c r="G675" s="15"/>
      <c r="H675" s="8"/>
      <c r="I675" s="8"/>
      <c r="J675" s="89"/>
      <c r="K675" s="8"/>
      <c r="L675" s="8"/>
      <c r="M675" s="8" t="str">
        <f>IF(L675="","",
IF(AX675="PT",VLOOKUP(L675,Foundation_Calc!$V$4:$X$37,VLOOKUP(AX675,Foundation_Calc!$I$10:$J$13,2,FALSE),0),
IF(AX675="K",VLOOKUP(L675,Foundation_Calc!$V$41:$X$74,VLOOKUP(AX675,Foundation_Calc!$I$10:$J$13,2,FALSE),0),"")))</f>
        <v/>
      </c>
      <c r="N675" s="8"/>
      <c r="O675" s="8"/>
      <c r="P675" s="8"/>
      <c r="Q675" s="14"/>
      <c r="R675" s="15"/>
      <c r="S675" s="15"/>
      <c r="T675" s="14"/>
      <c r="U675" s="14"/>
      <c r="V675" s="14"/>
      <c r="W675" s="18"/>
      <c r="X675" s="18"/>
      <c r="Y675" s="18"/>
      <c r="Z675" s="18"/>
      <c r="AA675" s="18"/>
      <c r="AB675" s="18"/>
      <c r="AC675" s="8" t="str">
        <f t="shared" si="41"/>
        <v/>
      </c>
      <c r="AD675" s="8"/>
      <c r="AE675" s="8"/>
      <c r="AF675" s="14"/>
      <c r="AG675" s="13"/>
      <c r="AH675" s="14"/>
      <c r="AI675" s="14"/>
      <c r="AJ675" s="8"/>
      <c r="AK675" s="8"/>
      <c r="AL675" s="8"/>
      <c r="AM675" s="8"/>
      <c r="AN675" s="631"/>
      <c r="AO675" s="18"/>
      <c r="AP675" s="18"/>
      <c r="AQ675" s="18"/>
      <c r="AR675" s="18"/>
      <c r="AS675" s="18"/>
      <c r="AU675" s="448"/>
      <c r="AV675" s="448"/>
      <c r="AW675" s="8" t="str">
        <f>IF(C675&gt;0,VLOOKUP(C675,Foundation_Calc!$A$2:$C$986,3,1),
IF(J675&gt;0,VLOOKUP(J675,Foundation_Calc!$A$2:$C$986,3,1),""))</f>
        <v/>
      </c>
      <c r="AX675" s="8" t="str">
        <f>IF(C675&gt;0,VLOOKUP(C675,Foundation_Calc!$E$2:$G$986,3,1),
IF(J675&gt;0,VLOOKUP(J675,Foundation_Calc!$E$2:$G$986,3,1),""))</f>
        <v/>
      </c>
      <c r="AY675" s="631" t="str">
        <f>IF(L675="","",
IF(AX675="PT",VLOOKUP(L675,Foundation_Calc!$K$4:$R$37,VLOOKUP(AW675,Foundation_Calc!$I$2:$J$8,2,FALSE),0),
IF(AX675="K",VLOOKUP(L675,Foundation_Calc!$K$41:$R$74,VLOOKUP(AW675,Foundation_Calc!$I$2:$J$8,2,FALSE),0),"")))</f>
        <v/>
      </c>
      <c r="AZ675" s="631" t="str">
        <f>IF(K675="","",
IF(AX675="PT",VLOOKUP(K675,Foundation_Calc!$K$4:$R$37,VLOOKUP(AW675,Foundation_Calc!$I$2:$J$8,2,FALSE),0),
IF(AX675="K",VLOOKUP(K675,Foundation_Calc!$K$41:$R$74,VLOOKUP(AW675,Foundation_Calc!$I$2:$J$8,2,FALSE),0),"")))</f>
        <v/>
      </c>
      <c r="BA675" s="632" t="str">
        <f t="shared" si="42"/>
        <v/>
      </c>
      <c r="BB675" s="632" t="str">
        <f t="shared" si="43"/>
        <v/>
      </c>
      <c r="BC675" s="632" t="str">
        <f t="shared" si="44"/>
        <v/>
      </c>
      <c r="BD675" s="633" t="str">
        <f>IF(AND(L675="",H675=""),"",
IF(H675="",Pole_Calc!A703,
IF(H675="MP",Pole_Calc!A704,
IF(H675="AnMP",Pole_Calc!A705,
IF(H675="A",Pole_Calc!A706,
IF(H675="S/A",Pole_Calc!A707,
IF(H675="A/S",Pole_Calc!A708,"Poner a mano")))))))</f>
        <v/>
      </c>
      <c r="BE675" s="448" t="s">
        <v>1726</v>
      </c>
      <c r="BF675" s="635"/>
      <c r="BG675" s="635"/>
      <c r="BH675" s="634"/>
      <c r="BI675" s="635"/>
    </row>
    <row r="676" spans="1:61" ht="16.2" customHeight="1">
      <c r="A676" s="12"/>
      <c r="B676" s="446"/>
      <c r="C676" s="89"/>
      <c r="D676" s="13"/>
      <c r="E676" s="14"/>
      <c r="F676" s="14"/>
      <c r="G676" s="15"/>
      <c r="H676" s="8"/>
      <c r="I676" s="8"/>
      <c r="J676" s="89"/>
      <c r="K676" s="8"/>
      <c r="L676" s="8"/>
      <c r="M676" s="8" t="str">
        <f>IF(L676="","",
IF(AX676="PT",VLOOKUP(L676,Foundation_Calc!$V$4:$X$37,VLOOKUP(AX676,Foundation_Calc!$I$10:$J$13,2,FALSE),0),
IF(AX676="K",VLOOKUP(L676,Foundation_Calc!$V$41:$X$74,VLOOKUP(AX676,Foundation_Calc!$I$10:$J$13,2,FALSE),0),"")))</f>
        <v/>
      </c>
      <c r="N676" s="8"/>
      <c r="O676" s="8"/>
      <c r="P676" s="8"/>
      <c r="Q676" s="14"/>
      <c r="R676" s="15"/>
      <c r="S676" s="15"/>
      <c r="T676" s="14"/>
      <c r="U676" s="14"/>
      <c r="V676" s="14"/>
      <c r="W676" s="18"/>
      <c r="X676" s="18"/>
      <c r="Y676" s="18"/>
      <c r="Z676" s="18"/>
      <c r="AA676" s="18"/>
      <c r="AB676" s="18"/>
      <c r="AC676" s="8" t="str">
        <f t="shared" si="41"/>
        <v/>
      </c>
      <c r="AD676" s="8"/>
      <c r="AE676" s="8"/>
      <c r="AF676" s="14"/>
      <c r="AG676" s="13"/>
      <c r="AH676" s="14"/>
      <c r="AI676" s="14"/>
      <c r="AJ676" s="8"/>
      <c r="AK676" s="8"/>
      <c r="AL676" s="8"/>
      <c r="AM676" s="8"/>
      <c r="AN676" s="631"/>
      <c r="AO676" s="18"/>
      <c r="AP676" s="18"/>
      <c r="AQ676" s="18"/>
      <c r="AR676" s="18"/>
      <c r="AS676" s="18"/>
      <c r="AU676" s="448"/>
      <c r="AV676" s="448"/>
      <c r="AW676" s="8" t="str">
        <f>IF(C676&gt;0,VLOOKUP(C676,Foundation_Calc!$A$2:$C$986,3,1),
IF(J676&gt;0,VLOOKUP(J676,Foundation_Calc!$A$2:$C$986,3,1),""))</f>
        <v/>
      </c>
      <c r="AX676" s="8" t="str">
        <f>IF(C676&gt;0,VLOOKUP(C676,Foundation_Calc!$E$2:$G$986,3,1),
IF(J676&gt;0,VLOOKUP(J676,Foundation_Calc!$E$2:$G$986,3,1),""))</f>
        <v/>
      </c>
      <c r="AY676" s="631" t="str">
        <f>IF(L676="","",
IF(AX676="PT",VLOOKUP(L676,Foundation_Calc!$K$4:$R$37,VLOOKUP(AW676,Foundation_Calc!$I$2:$J$8,2,FALSE),0),
IF(AX676="K",VLOOKUP(L676,Foundation_Calc!$K$41:$R$74,VLOOKUP(AW676,Foundation_Calc!$I$2:$J$8,2,FALSE),0),"")))</f>
        <v/>
      </c>
      <c r="AZ676" s="631" t="str">
        <f>IF(K676="","",
IF(AX676="PT",VLOOKUP(K676,Foundation_Calc!$K$4:$R$37,VLOOKUP(AW676,Foundation_Calc!$I$2:$J$8,2,FALSE),0),
IF(AX676="K",VLOOKUP(K676,Foundation_Calc!$K$41:$R$74,VLOOKUP(AW676,Foundation_Calc!$I$2:$J$8,2,FALSE),0),"")))</f>
        <v/>
      </c>
      <c r="BA676" s="632" t="str">
        <f t="shared" si="42"/>
        <v/>
      </c>
      <c r="BB676" s="632" t="str">
        <f t="shared" si="43"/>
        <v/>
      </c>
      <c r="BC676" s="632" t="str">
        <f t="shared" si="44"/>
        <v/>
      </c>
      <c r="BD676" s="633" t="str">
        <f>IF(AND(L676="",H676=""),"",
IF(H676="",Pole_Calc!A704,
IF(H676="MP",Pole_Calc!A705,
IF(H676="AnMP",Pole_Calc!A706,
IF(H676="A",Pole_Calc!A707,
IF(H676="S/A",Pole_Calc!A708,
IF(H676="A/S",Pole_Calc!A709,"Poner a mano")))))))</f>
        <v/>
      </c>
      <c r="BE676" s="448" t="s">
        <v>1726</v>
      </c>
      <c r="BF676" s="634"/>
      <c r="BG676" s="634"/>
      <c r="BH676" s="634"/>
      <c r="BI676" s="634"/>
    </row>
    <row r="677" spans="1:61" ht="16.2" customHeight="1">
      <c r="A677" s="12"/>
      <c r="B677" s="446"/>
      <c r="C677" s="89"/>
      <c r="D677" s="13"/>
      <c r="E677" s="14"/>
      <c r="F677" s="14"/>
      <c r="G677" s="15"/>
      <c r="H677" s="8"/>
      <c r="I677" s="8"/>
      <c r="J677" s="89"/>
      <c r="K677" s="8"/>
      <c r="L677" s="8"/>
      <c r="M677" s="8" t="str">
        <f>IF(L677="","",
IF(AX677="PT",VLOOKUP(L677,Foundation_Calc!$V$4:$X$37,VLOOKUP(AX677,Foundation_Calc!$I$10:$J$13,2,FALSE),0),
IF(AX677="K",VLOOKUP(L677,Foundation_Calc!$V$41:$X$74,VLOOKUP(AX677,Foundation_Calc!$I$10:$J$13,2,FALSE),0),"")))</f>
        <v/>
      </c>
      <c r="N677" s="8"/>
      <c r="O677" s="8"/>
      <c r="P677" s="8"/>
      <c r="Q677" s="14"/>
      <c r="R677" s="15"/>
      <c r="S677" s="15"/>
      <c r="T677" s="14"/>
      <c r="U677" s="14"/>
      <c r="V677" s="14"/>
      <c r="W677" s="18"/>
      <c r="X677" s="18"/>
      <c r="Y677" s="18"/>
      <c r="Z677" s="18"/>
      <c r="AA677" s="18"/>
      <c r="AB677" s="18"/>
      <c r="AC677" s="8" t="str">
        <f t="shared" si="41"/>
        <v/>
      </c>
      <c r="AD677" s="8"/>
      <c r="AE677" s="8"/>
      <c r="AF677" s="14"/>
      <c r="AG677" s="13"/>
      <c r="AH677" s="14"/>
      <c r="AI677" s="14"/>
      <c r="AJ677" s="8"/>
      <c r="AK677" s="8"/>
      <c r="AL677" s="8"/>
      <c r="AM677" s="8"/>
      <c r="AN677" s="631"/>
      <c r="AO677" s="18"/>
      <c r="AP677" s="18"/>
      <c r="AQ677" s="18"/>
      <c r="AR677" s="18"/>
      <c r="AS677" s="18"/>
      <c r="AU677" s="448"/>
      <c r="AV677" s="448"/>
      <c r="AW677" s="8" t="str">
        <f>IF(C677&gt;0,VLOOKUP(C677,Foundation_Calc!$A$2:$C$986,3,1),
IF(J677&gt;0,VLOOKUP(J677,Foundation_Calc!$A$2:$C$986,3,1),""))</f>
        <v/>
      </c>
      <c r="AX677" s="8" t="str">
        <f>IF(C677&gt;0,VLOOKUP(C677,Foundation_Calc!$E$2:$G$986,3,1),
IF(J677&gt;0,VLOOKUP(J677,Foundation_Calc!$E$2:$G$986,3,1),""))</f>
        <v/>
      </c>
      <c r="AY677" s="631" t="str">
        <f>IF(L677="","",
IF(AX677="PT",VLOOKUP(L677,Foundation_Calc!$K$4:$R$37,VLOOKUP(AW677,Foundation_Calc!$I$2:$J$8,2,FALSE),0),
IF(AX677="K",VLOOKUP(L677,Foundation_Calc!$K$41:$R$74,VLOOKUP(AW677,Foundation_Calc!$I$2:$J$8,2,FALSE),0),"")))</f>
        <v/>
      </c>
      <c r="AZ677" s="631" t="str">
        <f>IF(K677="","",
IF(AX677="PT",VLOOKUP(K677,Foundation_Calc!$K$4:$R$37,VLOOKUP(AW677,Foundation_Calc!$I$2:$J$8,2,FALSE),0),
IF(AX677="K",VLOOKUP(K677,Foundation_Calc!$K$41:$R$74,VLOOKUP(AW677,Foundation_Calc!$I$2:$J$8,2,FALSE),0),"")))</f>
        <v/>
      </c>
      <c r="BA677" s="632" t="str">
        <f t="shared" si="42"/>
        <v/>
      </c>
      <c r="BB677" s="632" t="str">
        <f t="shared" si="43"/>
        <v/>
      </c>
      <c r="BC677" s="632" t="str">
        <f t="shared" si="44"/>
        <v/>
      </c>
      <c r="BD677" s="633" t="str">
        <f>IF(AND(L677="",H677=""),"",
IF(H677="",Pole_Calc!A705,
IF(H677="MP",Pole_Calc!A706,
IF(H677="AnMP",Pole_Calc!A707,
IF(H677="A",Pole_Calc!A708,
IF(H677="S/A",Pole_Calc!A709,
IF(H677="A/S",Pole_Calc!A710,"Poner a mano")))))))</f>
        <v/>
      </c>
      <c r="BE677" s="448" t="s">
        <v>1726</v>
      </c>
      <c r="BF677" s="635"/>
      <c r="BG677" s="635"/>
      <c r="BH677" s="634"/>
      <c r="BI677" s="635"/>
    </row>
    <row r="678" spans="1:61" ht="16.2" customHeight="1">
      <c r="A678" s="12"/>
      <c r="B678" s="446"/>
      <c r="C678" s="89"/>
      <c r="D678" s="13"/>
      <c r="E678" s="14"/>
      <c r="F678" s="14"/>
      <c r="G678" s="15"/>
      <c r="H678" s="8"/>
      <c r="I678" s="8"/>
      <c r="J678" s="89"/>
      <c r="K678" s="8"/>
      <c r="L678" s="8"/>
      <c r="M678" s="8" t="str">
        <f>IF(L678="","",
IF(AX678="PT",VLOOKUP(L678,Foundation_Calc!$V$4:$X$37,VLOOKUP(AX678,Foundation_Calc!$I$10:$J$13,2,FALSE),0),
IF(AX678="K",VLOOKUP(L678,Foundation_Calc!$V$41:$X$74,VLOOKUP(AX678,Foundation_Calc!$I$10:$J$13,2,FALSE),0),"")))</f>
        <v/>
      </c>
      <c r="N678" s="8"/>
      <c r="O678" s="8"/>
      <c r="P678" s="8"/>
      <c r="Q678" s="14"/>
      <c r="R678" s="15"/>
      <c r="S678" s="15"/>
      <c r="T678" s="14"/>
      <c r="U678" s="14"/>
      <c r="V678" s="14"/>
      <c r="W678" s="18"/>
      <c r="X678" s="18"/>
      <c r="Y678" s="18"/>
      <c r="Z678" s="18"/>
      <c r="AA678" s="18"/>
      <c r="AB678" s="18"/>
      <c r="AC678" s="8" t="str">
        <f t="shared" si="41"/>
        <v/>
      </c>
      <c r="AD678" s="8"/>
      <c r="AE678" s="8"/>
      <c r="AF678" s="14"/>
      <c r="AG678" s="13"/>
      <c r="AH678" s="14"/>
      <c r="AI678" s="14"/>
      <c r="AJ678" s="8"/>
      <c r="AK678" s="8"/>
      <c r="AL678" s="8"/>
      <c r="AM678" s="8"/>
      <c r="AN678" s="631"/>
      <c r="AO678" s="18"/>
      <c r="AP678" s="18"/>
      <c r="AQ678" s="18"/>
      <c r="AR678" s="18"/>
      <c r="AS678" s="18"/>
      <c r="AU678" s="448"/>
      <c r="AV678" s="448"/>
      <c r="AW678" s="8" t="str">
        <f>IF(C678&gt;0,VLOOKUP(C678,Foundation_Calc!$A$2:$C$986,3,1),
IF(J678&gt;0,VLOOKUP(J678,Foundation_Calc!$A$2:$C$986,3,1),""))</f>
        <v/>
      </c>
      <c r="AX678" s="8" t="str">
        <f>IF(C678&gt;0,VLOOKUP(C678,Foundation_Calc!$E$2:$G$986,3,1),
IF(J678&gt;0,VLOOKUP(J678,Foundation_Calc!$E$2:$G$986,3,1),""))</f>
        <v/>
      </c>
      <c r="AY678" s="631" t="str">
        <f>IF(L678="","",
IF(AX678="PT",VLOOKUP(L678,Foundation_Calc!$K$4:$R$37,VLOOKUP(AW678,Foundation_Calc!$I$2:$J$8,2,FALSE),0),
IF(AX678="K",VLOOKUP(L678,Foundation_Calc!$K$41:$R$74,VLOOKUP(AW678,Foundation_Calc!$I$2:$J$8,2,FALSE),0),"")))</f>
        <v/>
      </c>
      <c r="AZ678" s="631" t="str">
        <f>IF(K678="","",
IF(AX678="PT",VLOOKUP(K678,Foundation_Calc!$K$4:$R$37,VLOOKUP(AW678,Foundation_Calc!$I$2:$J$8,2,FALSE),0),
IF(AX678="K",VLOOKUP(K678,Foundation_Calc!$K$41:$R$74,VLOOKUP(AW678,Foundation_Calc!$I$2:$J$8,2,FALSE),0),"")))</f>
        <v/>
      </c>
      <c r="BA678" s="632" t="str">
        <f t="shared" si="42"/>
        <v/>
      </c>
      <c r="BB678" s="632" t="str">
        <f t="shared" si="43"/>
        <v/>
      </c>
      <c r="BC678" s="632" t="str">
        <f t="shared" si="44"/>
        <v/>
      </c>
      <c r="BD678" s="633" t="str">
        <f>IF(AND(L678="",H678=""),"",
IF(H678="",Pole_Calc!A706,
IF(H678="MP",Pole_Calc!A707,
IF(H678="AnMP",Pole_Calc!A708,
IF(H678="A",Pole_Calc!A709,
IF(H678="S/A",Pole_Calc!A710,
IF(H678="A/S",Pole_Calc!A711,"Poner a mano")))))))</f>
        <v/>
      </c>
      <c r="BE678" s="448" t="s">
        <v>1726</v>
      </c>
      <c r="BF678" s="634"/>
      <c r="BG678" s="634"/>
      <c r="BH678" s="634"/>
      <c r="BI678" s="634"/>
    </row>
    <row r="679" spans="1:61" ht="16.2" customHeight="1">
      <c r="A679" s="12"/>
      <c r="B679" s="446"/>
      <c r="C679" s="89"/>
      <c r="D679" s="13"/>
      <c r="E679" s="14"/>
      <c r="F679" s="14"/>
      <c r="G679" s="15"/>
      <c r="H679" s="8"/>
      <c r="I679" s="8"/>
      <c r="J679" s="89"/>
      <c r="K679" s="8"/>
      <c r="L679" s="8"/>
      <c r="M679" s="8" t="str">
        <f>IF(L679="","",
IF(AX679="PT",VLOOKUP(L679,Foundation_Calc!$V$4:$X$37,VLOOKUP(AX679,Foundation_Calc!$I$10:$J$13,2,FALSE),0),
IF(AX679="K",VLOOKUP(L679,Foundation_Calc!$V$41:$X$74,VLOOKUP(AX679,Foundation_Calc!$I$10:$J$13,2,FALSE),0),"")))</f>
        <v/>
      </c>
      <c r="N679" s="8"/>
      <c r="O679" s="8"/>
      <c r="P679" s="8"/>
      <c r="Q679" s="14"/>
      <c r="R679" s="15"/>
      <c r="S679" s="15"/>
      <c r="T679" s="14"/>
      <c r="U679" s="14"/>
      <c r="V679" s="14"/>
      <c r="W679" s="18"/>
      <c r="X679" s="18"/>
      <c r="Y679" s="18"/>
      <c r="Z679" s="18"/>
      <c r="AA679" s="18"/>
      <c r="AB679" s="18"/>
      <c r="AC679" s="8" t="str">
        <f t="shared" si="41"/>
        <v/>
      </c>
      <c r="AD679" s="8"/>
      <c r="AE679" s="8"/>
      <c r="AF679" s="14"/>
      <c r="AG679" s="13"/>
      <c r="AH679" s="14"/>
      <c r="AI679" s="14"/>
      <c r="AJ679" s="8"/>
      <c r="AK679" s="8"/>
      <c r="AL679" s="8"/>
      <c r="AM679" s="8"/>
      <c r="AN679" s="631"/>
      <c r="AO679" s="18"/>
      <c r="AP679" s="18"/>
      <c r="AQ679" s="18"/>
      <c r="AR679" s="18"/>
      <c r="AS679" s="18"/>
      <c r="AU679" s="448"/>
      <c r="AV679" s="448"/>
      <c r="AW679" s="8" t="str">
        <f>IF(C679&gt;0,VLOOKUP(C679,Foundation_Calc!$A$2:$C$986,3,1),
IF(J679&gt;0,VLOOKUP(J679,Foundation_Calc!$A$2:$C$986,3,1),""))</f>
        <v/>
      </c>
      <c r="AX679" s="8" t="str">
        <f>IF(C679&gt;0,VLOOKUP(C679,Foundation_Calc!$E$2:$G$986,3,1),
IF(J679&gt;0,VLOOKUP(J679,Foundation_Calc!$E$2:$G$986,3,1),""))</f>
        <v/>
      </c>
      <c r="AY679" s="631" t="str">
        <f>IF(L679="","",
IF(AX679="PT",VLOOKUP(L679,Foundation_Calc!$K$4:$R$37,VLOOKUP(AW679,Foundation_Calc!$I$2:$J$8,2,FALSE),0),
IF(AX679="K",VLOOKUP(L679,Foundation_Calc!$K$41:$R$74,VLOOKUP(AW679,Foundation_Calc!$I$2:$J$8,2,FALSE),0),"")))</f>
        <v/>
      </c>
      <c r="AZ679" s="631" t="str">
        <f>IF(K679="","",
IF(AX679="PT",VLOOKUP(K679,Foundation_Calc!$K$4:$R$37,VLOOKUP(AW679,Foundation_Calc!$I$2:$J$8,2,FALSE),0),
IF(AX679="K",VLOOKUP(K679,Foundation_Calc!$K$41:$R$74,VLOOKUP(AW679,Foundation_Calc!$I$2:$J$8,2,FALSE),0),"")))</f>
        <v/>
      </c>
      <c r="BA679" s="632" t="str">
        <f t="shared" si="42"/>
        <v/>
      </c>
      <c r="BB679" s="632" t="str">
        <f t="shared" si="43"/>
        <v/>
      </c>
      <c r="BC679" s="632" t="str">
        <f t="shared" si="44"/>
        <v/>
      </c>
      <c r="BD679" s="633" t="str">
        <f>IF(AND(L679="",H679=""),"",
IF(H679="",Pole_Calc!A707,
IF(H679="MP",Pole_Calc!A708,
IF(H679="AnMP",Pole_Calc!A709,
IF(H679="A",Pole_Calc!A710,
IF(H679="S/A",Pole_Calc!A711,
IF(H679="A/S",Pole_Calc!A712,"Poner a mano")))))))</f>
        <v/>
      </c>
      <c r="BE679" s="448" t="s">
        <v>1726</v>
      </c>
      <c r="BF679" s="635"/>
      <c r="BG679" s="635"/>
      <c r="BH679" s="634"/>
      <c r="BI679" s="635"/>
    </row>
    <row r="680" spans="1:61" ht="16.2" customHeight="1">
      <c r="A680" s="12"/>
      <c r="B680" s="446"/>
      <c r="C680" s="89"/>
      <c r="D680" s="13"/>
      <c r="E680" s="14"/>
      <c r="F680" s="14"/>
      <c r="G680" s="15"/>
      <c r="H680" s="8"/>
      <c r="I680" s="8"/>
      <c r="J680" s="89"/>
      <c r="K680" s="8"/>
      <c r="L680" s="8"/>
      <c r="M680" s="8" t="str">
        <f>IF(L680="","",
IF(AX680="PT",VLOOKUP(L680,Foundation_Calc!$V$4:$X$37,VLOOKUP(AX680,Foundation_Calc!$I$10:$J$13,2,FALSE),0),
IF(AX680="K",VLOOKUP(L680,Foundation_Calc!$V$41:$X$74,VLOOKUP(AX680,Foundation_Calc!$I$10:$J$13,2,FALSE),0),"")))</f>
        <v/>
      </c>
      <c r="N680" s="8"/>
      <c r="O680" s="8"/>
      <c r="P680" s="8"/>
      <c r="Q680" s="14"/>
      <c r="R680" s="15"/>
      <c r="S680" s="15"/>
      <c r="T680" s="14"/>
      <c r="U680" s="14"/>
      <c r="V680" s="14"/>
      <c r="W680" s="18"/>
      <c r="X680" s="18"/>
      <c r="Y680" s="18"/>
      <c r="Z680" s="18"/>
      <c r="AA680" s="18"/>
      <c r="AB680" s="18"/>
      <c r="AC680" s="8" t="str">
        <f t="shared" si="41"/>
        <v/>
      </c>
      <c r="AD680" s="8"/>
      <c r="AE680" s="8"/>
      <c r="AF680" s="14"/>
      <c r="AG680" s="13"/>
      <c r="AH680" s="14"/>
      <c r="AI680" s="14"/>
      <c r="AJ680" s="8"/>
      <c r="AK680" s="8"/>
      <c r="AL680" s="8"/>
      <c r="AM680" s="8"/>
      <c r="AN680" s="631"/>
      <c r="AO680" s="18"/>
      <c r="AP680" s="18"/>
      <c r="AQ680" s="18"/>
      <c r="AR680" s="18"/>
      <c r="AS680" s="18"/>
      <c r="AU680" s="448"/>
      <c r="AV680" s="448"/>
      <c r="AW680" s="8" t="str">
        <f>IF(C680&gt;0,VLOOKUP(C680,Foundation_Calc!$A$2:$C$986,3,1),
IF(J680&gt;0,VLOOKUP(J680,Foundation_Calc!$A$2:$C$986,3,1),""))</f>
        <v/>
      </c>
      <c r="AX680" s="8" t="str">
        <f>IF(C680&gt;0,VLOOKUP(C680,Foundation_Calc!$E$2:$G$986,3,1),
IF(J680&gt;0,VLOOKUP(J680,Foundation_Calc!$E$2:$G$986,3,1),""))</f>
        <v/>
      </c>
      <c r="AY680" s="631" t="str">
        <f>IF(L680="","",
IF(AX680="PT",VLOOKUP(L680,Foundation_Calc!$K$4:$R$37,VLOOKUP(AW680,Foundation_Calc!$I$2:$J$8,2,FALSE),0),
IF(AX680="K",VLOOKUP(L680,Foundation_Calc!$K$41:$R$74,VLOOKUP(AW680,Foundation_Calc!$I$2:$J$8,2,FALSE),0),"")))</f>
        <v/>
      </c>
      <c r="AZ680" s="631" t="str">
        <f>IF(K680="","",
IF(AX680="PT",VLOOKUP(K680,Foundation_Calc!$K$4:$R$37,VLOOKUP(AW680,Foundation_Calc!$I$2:$J$8,2,FALSE),0),
IF(AX680="K",VLOOKUP(K680,Foundation_Calc!$K$41:$R$74,VLOOKUP(AW680,Foundation_Calc!$I$2:$J$8,2,FALSE),0),"")))</f>
        <v/>
      </c>
      <c r="BA680" s="632" t="str">
        <f t="shared" si="42"/>
        <v/>
      </c>
      <c r="BB680" s="632" t="str">
        <f t="shared" si="43"/>
        <v/>
      </c>
      <c r="BC680" s="632" t="str">
        <f t="shared" si="44"/>
        <v/>
      </c>
      <c r="BD680" s="633" t="str">
        <f>IF(AND(L680="",H680=""),"",
IF(H680="",Pole_Calc!A708,
IF(H680="MP",Pole_Calc!A709,
IF(H680="AnMP",Pole_Calc!A710,
IF(H680="A",Pole_Calc!A711,
IF(H680="S/A",Pole_Calc!A712,
IF(H680="A/S",Pole_Calc!A713,"Poner a mano")))))))</f>
        <v/>
      </c>
      <c r="BE680" s="448" t="s">
        <v>1726</v>
      </c>
      <c r="BF680" s="634"/>
      <c r="BG680" s="634"/>
      <c r="BH680" s="634"/>
      <c r="BI680" s="634"/>
    </row>
    <row r="681" spans="1:61" ht="16.2" customHeight="1">
      <c r="A681" s="12"/>
      <c r="B681" s="446"/>
      <c r="C681" s="89"/>
      <c r="D681" s="13"/>
      <c r="E681" s="14"/>
      <c r="F681" s="14"/>
      <c r="G681" s="15"/>
      <c r="H681" s="8"/>
      <c r="I681" s="8"/>
      <c r="J681" s="89"/>
      <c r="K681" s="8"/>
      <c r="L681" s="8"/>
      <c r="M681" s="8" t="str">
        <f>IF(L681="","",
IF(AX681="PT",VLOOKUP(L681,Foundation_Calc!$V$4:$X$37,VLOOKUP(AX681,Foundation_Calc!$I$10:$J$13,2,FALSE),0),
IF(AX681="K",VLOOKUP(L681,Foundation_Calc!$V$41:$X$74,VLOOKUP(AX681,Foundation_Calc!$I$10:$J$13,2,FALSE),0),"")))</f>
        <v/>
      </c>
      <c r="N681" s="8"/>
      <c r="O681" s="8"/>
      <c r="P681" s="8"/>
      <c r="Q681" s="14"/>
      <c r="R681" s="15"/>
      <c r="S681" s="15"/>
      <c r="T681" s="14"/>
      <c r="U681" s="14"/>
      <c r="V681" s="14"/>
      <c r="W681" s="18"/>
      <c r="X681" s="18"/>
      <c r="Y681" s="18"/>
      <c r="Z681" s="18"/>
      <c r="AA681" s="18"/>
      <c r="AB681" s="18"/>
      <c r="AC681" s="8" t="str">
        <f t="shared" si="41"/>
        <v/>
      </c>
      <c r="AD681" s="8"/>
      <c r="AE681" s="8"/>
      <c r="AF681" s="14"/>
      <c r="AG681" s="13"/>
      <c r="AH681" s="14"/>
      <c r="AI681" s="14"/>
      <c r="AJ681" s="8"/>
      <c r="AK681" s="8"/>
      <c r="AL681" s="8"/>
      <c r="AM681" s="8"/>
      <c r="AN681" s="631"/>
      <c r="AO681" s="18"/>
      <c r="AP681" s="18"/>
      <c r="AQ681" s="18"/>
      <c r="AR681" s="18"/>
      <c r="AS681" s="18"/>
      <c r="AU681" s="448"/>
      <c r="AV681" s="448"/>
      <c r="AW681" s="8" t="str">
        <f>IF(C681&gt;0,VLOOKUP(C681,Foundation_Calc!$A$2:$C$986,3,1),
IF(J681&gt;0,VLOOKUP(J681,Foundation_Calc!$A$2:$C$986,3,1),""))</f>
        <v/>
      </c>
      <c r="AX681" s="8" t="str">
        <f>IF(C681&gt;0,VLOOKUP(C681,Foundation_Calc!$E$2:$G$986,3,1),
IF(J681&gt;0,VLOOKUP(J681,Foundation_Calc!$E$2:$G$986,3,1),""))</f>
        <v/>
      </c>
      <c r="AY681" s="631" t="str">
        <f>IF(L681="","",
IF(AX681="PT",VLOOKUP(L681,Foundation_Calc!$K$4:$R$37,VLOOKUP(AW681,Foundation_Calc!$I$2:$J$8,2,FALSE),0),
IF(AX681="K",VLOOKUP(L681,Foundation_Calc!$K$41:$R$74,VLOOKUP(AW681,Foundation_Calc!$I$2:$J$8,2,FALSE),0),"")))</f>
        <v/>
      </c>
      <c r="AZ681" s="631" t="str">
        <f>IF(K681="","",
IF(AX681="PT",VLOOKUP(K681,Foundation_Calc!$K$4:$R$37,VLOOKUP(AW681,Foundation_Calc!$I$2:$J$8,2,FALSE),0),
IF(AX681="K",VLOOKUP(K681,Foundation_Calc!$K$41:$R$74,VLOOKUP(AW681,Foundation_Calc!$I$2:$J$8,2,FALSE),0),"")))</f>
        <v/>
      </c>
      <c r="BA681" s="632" t="str">
        <f t="shared" si="42"/>
        <v/>
      </c>
      <c r="BB681" s="632" t="str">
        <f t="shared" si="43"/>
        <v/>
      </c>
      <c r="BC681" s="632" t="str">
        <f t="shared" si="44"/>
        <v/>
      </c>
      <c r="BD681" s="633" t="str">
        <f>IF(AND(L681="",H681=""),"",
IF(H681="",Pole_Calc!A709,
IF(H681="MP",Pole_Calc!A710,
IF(H681="AnMP",Pole_Calc!A711,
IF(H681="A",Pole_Calc!A712,
IF(H681="S/A",Pole_Calc!A713,
IF(H681="A/S",Pole_Calc!A714,"Poner a mano")))))))</f>
        <v/>
      </c>
      <c r="BE681" s="448" t="s">
        <v>1726</v>
      </c>
      <c r="BF681" s="635"/>
      <c r="BG681" s="635"/>
      <c r="BH681" s="634"/>
      <c r="BI681" s="635"/>
    </row>
    <row r="682" spans="1:61" ht="16.2" customHeight="1">
      <c r="A682" s="12"/>
      <c r="B682" s="446"/>
      <c r="C682" s="89"/>
      <c r="D682" s="13"/>
      <c r="E682" s="14"/>
      <c r="F682" s="14"/>
      <c r="G682" s="15"/>
      <c r="H682" s="8"/>
      <c r="I682" s="8"/>
      <c r="J682" s="89"/>
      <c r="K682" s="8"/>
      <c r="L682" s="8"/>
      <c r="M682" s="8" t="str">
        <f>IF(L682="","",
IF(AX682="PT",VLOOKUP(L682,Foundation_Calc!$V$4:$X$37,VLOOKUP(AX682,Foundation_Calc!$I$10:$J$13,2,FALSE),0),
IF(AX682="K",VLOOKUP(L682,Foundation_Calc!$V$41:$X$74,VLOOKUP(AX682,Foundation_Calc!$I$10:$J$13,2,FALSE),0),"")))</f>
        <v/>
      </c>
      <c r="N682" s="8"/>
      <c r="O682" s="8"/>
      <c r="P682" s="8"/>
      <c r="Q682" s="14"/>
      <c r="R682" s="15"/>
      <c r="S682" s="15"/>
      <c r="T682" s="14"/>
      <c r="U682" s="14"/>
      <c r="V682" s="14"/>
      <c r="W682" s="18"/>
      <c r="X682" s="18"/>
      <c r="Y682" s="18"/>
      <c r="Z682" s="18"/>
      <c r="AA682" s="18"/>
      <c r="AB682" s="18"/>
      <c r="AC682" s="8" t="str">
        <f t="shared" si="41"/>
        <v/>
      </c>
      <c r="AD682" s="8"/>
      <c r="AE682" s="8"/>
      <c r="AF682" s="14"/>
      <c r="AG682" s="13"/>
      <c r="AH682" s="14"/>
      <c r="AI682" s="14"/>
      <c r="AJ682" s="8"/>
      <c r="AK682" s="8"/>
      <c r="AL682" s="8"/>
      <c r="AM682" s="8"/>
      <c r="AN682" s="631"/>
      <c r="AO682" s="18"/>
      <c r="AP682" s="18"/>
      <c r="AQ682" s="18"/>
      <c r="AR682" s="18"/>
      <c r="AS682" s="18"/>
      <c r="AU682" s="448"/>
      <c r="AV682" s="448"/>
      <c r="AW682" s="8" t="str">
        <f>IF(C682&gt;0,VLOOKUP(C682,Foundation_Calc!$A$2:$C$986,3,1),
IF(J682&gt;0,VLOOKUP(J682,Foundation_Calc!$A$2:$C$986,3,1),""))</f>
        <v/>
      </c>
      <c r="AX682" s="8" t="str">
        <f>IF(C682&gt;0,VLOOKUP(C682,Foundation_Calc!$E$2:$G$986,3,1),
IF(J682&gt;0,VLOOKUP(J682,Foundation_Calc!$E$2:$G$986,3,1),""))</f>
        <v/>
      </c>
      <c r="AY682" s="631" t="str">
        <f>IF(L682="","",
IF(AX682="PT",VLOOKUP(L682,Foundation_Calc!$K$4:$R$37,VLOOKUP(AW682,Foundation_Calc!$I$2:$J$8,2,FALSE),0),
IF(AX682="K",VLOOKUP(L682,Foundation_Calc!$K$41:$R$74,VLOOKUP(AW682,Foundation_Calc!$I$2:$J$8,2,FALSE),0),"")))</f>
        <v/>
      </c>
      <c r="AZ682" s="631" t="str">
        <f>IF(K682="","",
IF(AX682="PT",VLOOKUP(K682,Foundation_Calc!$K$4:$R$37,VLOOKUP(AW682,Foundation_Calc!$I$2:$J$8,2,FALSE),0),
IF(AX682="K",VLOOKUP(K682,Foundation_Calc!$K$41:$R$74,VLOOKUP(AW682,Foundation_Calc!$I$2:$J$8,2,FALSE),0),"")))</f>
        <v/>
      </c>
      <c r="BA682" s="632" t="str">
        <f t="shared" si="42"/>
        <v/>
      </c>
      <c r="BB682" s="632" t="str">
        <f t="shared" si="43"/>
        <v/>
      </c>
      <c r="BC682" s="632" t="str">
        <f t="shared" si="44"/>
        <v/>
      </c>
      <c r="BD682" s="633" t="str">
        <f>IF(AND(L682="",H682=""),"",
IF(H682="",Pole_Calc!A710,
IF(H682="MP",Pole_Calc!A711,
IF(H682="AnMP",Pole_Calc!A712,
IF(H682="A",Pole_Calc!A713,
IF(H682="S/A",Pole_Calc!A714,
IF(H682="A/S",Pole_Calc!A715,"Poner a mano")))))))</f>
        <v/>
      </c>
      <c r="BE682" s="448" t="s">
        <v>1726</v>
      </c>
      <c r="BF682" s="634"/>
      <c r="BG682" s="634"/>
      <c r="BH682" s="634"/>
      <c r="BI682" s="634"/>
    </row>
    <row r="683" spans="1:61" ht="16.2" customHeight="1">
      <c r="A683" s="12"/>
      <c r="B683" s="446"/>
      <c r="C683" s="89"/>
      <c r="D683" s="13"/>
      <c r="E683" s="14"/>
      <c r="F683" s="14"/>
      <c r="G683" s="15"/>
      <c r="H683" s="8"/>
      <c r="I683" s="8"/>
      <c r="J683" s="89"/>
      <c r="K683" s="8"/>
      <c r="L683" s="8"/>
      <c r="M683" s="8" t="str">
        <f>IF(L683="","",
IF(AX683="PT",VLOOKUP(L683,Foundation_Calc!$V$4:$X$37,VLOOKUP(AX683,Foundation_Calc!$I$10:$J$13,2,FALSE),0),
IF(AX683="K",VLOOKUP(L683,Foundation_Calc!$V$41:$X$74,VLOOKUP(AX683,Foundation_Calc!$I$10:$J$13,2,FALSE),0),"")))</f>
        <v/>
      </c>
      <c r="N683" s="8"/>
      <c r="O683" s="8"/>
      <c r="P683" s="8"/>
      <c r="Q683" s="14"/>
      <c r="R683" s="15"/>
      <c r="S683" s="15"/>
      <c r="T683" s="14"/>
      <c r="U683" s="14"/>
      <c r="V683" s="14"/>
      <c r="W683" s="18"/>
      <c r="X683" s="18"/>
      <c r="Y683" s="18"/>
      <c r="Z683" s="18"/>
      <c r="AA683" s="18"/>
      <c r="AB683" s="18"/>
      <c r="AC683" s="8" t="str">
        <f t="shared" si="41"/>
        <v/>
      </c>
      <c r="AD683" s="8"/>
      <c r="AE683" s="8"/>
      <c r="AF683" s="14"/>
      <c r="AG683" s="13"/>
      <c r="AH683" s="14"/>
      <c r="AI683" s="14"/>
      <c r="AJ683" s="8"/>
      <c r="AK683" s="8"/>
      <c r="AL683" s="8"/>
      <c r="AM683" s="8"/>
      <c r="AN683" s="631"/>
      <c r="AO683" s="18"/>
      <c r="AP683" s="18"/>
      <c r="AQ683" s="18"/>
      <c r="AR683" s="18"/>
      <c r="AS683" s="18"/>
      <c r="AU683" s="448"/>
      <c r="AV683" s="448"/>
      <c r="AW683" s="8" t="str">
        <f>IF(C683&gt;0,VLOOKUP(C683,Foundation_Calc!$A$2:$C$986,3,1),
IF(J683&gt;0,VLOOKUP(J683,Foundation_Calc!$A$2:$C$986,3,1),""))</f>
        <v/>
      </c>
      <c r="AX683" s="8" t="str">
        <f>IF(C683&gt;0,VLOOKUP(C683,Foundation_Calc!$E$2:$G$986,3,1),
IF(J683&gt;0,VLOOKUP(J683,Foundation_Calc!$E$2:$G$986,3,1),""))</f>
        <v/>
      </c>
      <c r="AY683" s="631" t="str">
        <f>IF(L683="","",
IF(AX683="PT",VLOOKUP(L683,Foundation_Calc!$K$4:$R$37,VLOOKUP(AW683,Foundation_Calc!$I$2:$J$8,2,FALSE),0),
IF(AX683="K",VLOOKUP(L683,Foundation_Calc!$K$41:$R$74,VLOOKUP(AW683,Foundation_Calc!$I$2:$J$8,2,FALSE),0),"")))</f>
        <v/>
      </c>
      <c r="AZ683" s="631" t="str">
        <f>IF(K683="","",
IF(AX683="PT",VLOOKUP(K683,Foundation_Calc!$K$4:$R$37,VLOOKUP(AW683,Foundation_Calc!$I$2:$J$8,2,FALSE),0),
IF(AX683="K",VLOOKUP(K683,Foundation_Calc!$K$41:$R$74,VLOOKUP(AW683,Foundation_Calc!$I$2:$J$8,2,FALSE),0),"")))</f>
        <v/>
      </c>
      <c r="BA683" s="632" t="str">
        <f t="shared" si="42"/>
        <v/>
      </c>
      <c r="BB683" s="632" t="str">
        <f t="shared" si="43"/>
        <v/>
      </c>
      <c r="BC683" s="632" t="str">
        <f t="shared" si="44"/>
        <v/>
      </c>
      <c r="BD683" s="633" t="str">
        <f>IF(AND(L683="",H683=""),"",
IF(H683="",Pole_Calc!A711,
IF(H683="MP",Pole_Calc!A712,
IF(H683="AnMP",Pole_Calc!A713,
IF(H683="A",Pole_Calc!A714,
IF(H683="S/A",Pole_Calc!A715,
IF(H683="A/S",Pole_Calc!A716,"Poner a mano")))))))</f>
        <v/>
      </c>
      <c r="BE683" s="448" t="s">
        <v>1726</v>
      </c>
      <c r="BF683" s="635"/>
      <c r="BG683" s="635"/>
      <c r="BH683" s="634"/>
      <c r="BI683" s="635"/>
    </row>
    <row r="684" spans="1:61" ht="16.2" customHeight="1">
      <c r="A684" s="12"/>
      <c r="B684" s="446"/>
      <c r="C684" s="89"/>
      <c r="D684" s="13"/>
      <c r="E684" s="14"/>
      <c r="F684" s="14"/>
      <c r="G684" s="15"/>
      <c r="H684" s="8"/>
      <c r="I684" s="8"/>
      <c r="J684" s="89"/>
      <c r="K684" s="8"/>
      <c r="L684" s="8"/>
      <c r="M684" s="8" t="str">
        <f>IF(L684="","",
IF(AX684="PT",VLOOKUP(L684,Foundation_Calc!$V$4:$X$37,VLOOKUP(AX684,Foundation_Calc!$I$10:$J$13,2,FALSE),0),
IF(AX684="K",VLOOKUP(L684,Foundation_Calc!$V$41:$X$74,VLOOKUP(AX684,Foundation_Calc!$I$10:$J$13,2,FALSE),0),"")))</f>
        <v/>
      </c>
      <c r="N684" s="8"/>
      <c r="O684" s="8"/>
      <c r="P684" s="8"/>
      <c r="Q684" s="14"/>
      <c r="R684" s="15"/>
      <c r="S684" s="15"/>
      <c r="T684" s="14"/>
      <c r="U684" s="14"/>
      <c r="V684" s="14"/>
      <c r="W684" s="18"/>
      <c r="X684" s="18"/>
      <c r="Y684" s="18"/>
      <c r="Z684" s="18"/>
      <c r="AA684" s="18"/>
      <c r="AB684" s="18"/>
      <c r="AC684" s="8" t="str">
        <f t="shared" si="41"/>
        <v/>
      </c>
      <c r="AD684" s="8"/>
      <c r="AE684" s="8"/>
      <c r="AF684" s="14"/>
      <c r="AG684" s="13"/>
      <c r="AH684" s="14"/>
      <c r="AI684" s="14"/>
      <c r="AJ684" s="8"/>
      <c r="AK684" s="8"/>
      <c r="AL684" s="8"/>
      <c r="AM684" s="8"/>
      <c r="AN684" s="631"/>
      <c r="AO684" s="18"/>
      <c r="AP684" s="18"/>
      <c r="AQ684" s="18"/>
      <c r="AR684" s="18"/>
      <c r="AS684" s="18"/>
      <c r="AU684" s="448"/>
      <c r="AV684" s="448"/>
      <c r="AW684" s="8" t="str">
        <f>IF(C684&gt;0,VLOOKUP(C684,Foundation_Calc!$A$2:$C$986,3,1),
IF(J684&gt;0,VLOOKUP(J684,Foundation_Calc!$A$2:$C$986,3,1),""))</f>
        <v/>
      </c>
      <c r="AX684" s="8" t="str">
        <f>IF(C684&gt;0,VLOOKUP(C684,Foundation_Calc!$E$2:$G$986,3,1),
IF(J684&gt;0,VLOOKUP(J684,Foundation_Calc!$E$2:$G$986,3,1),""))</f>
        <v/>
      </c>
      <c r="AY684" s="631" t="str">
        <f>IF(L684="","",
IF(AX684="PT",VLOOKUP(L684,Foundation_Calc!$K$4:$R$37,VLOOKUP(AW684,Foundation_Calc!$I$2:$J$8,2,FALSE),0),
IF(AX684="K",VLOOKUP(L684,Foundation_Calc!$K$41:$R$74,VLOOKUP(AW684,Foundation_Calc!$I$2:$J$8,2,FALSE),0),"")))</f>
        <v/>
      </c>
      <c r="AZ684" s="631" t="str">
        <f>IF(K684="","",
IF(AX684="PT",VLOOKUP(K684,Foundation_Calc!$K$4:$R$37,VLOOKUP(AW684,Foundation_Calc!$I$2:$J$8,2,FALSE),0),
IF(AX684="K",VLOOKUP(K684,Foundation_Calc!$K$41:$R$74,VLOOKUP(AW684,Foundation_Calc!$I$2:$J$8,2,FALSE),0),"")))</f>
        <v/>
      </c>
      <c r="BA684" s="632" t="str">
        <f t="shared" si="42"/>
        <v/>
      </c>
      <c r="BB684" s="632" t="str">
        <f t="shared" si="43"/>
        <v/>
      </c>
      <c r="BC684" s="632" t="str">
        <f t="shared" si="44"/>
        <v/>
      </c>
      <c r="BD684" s="633" t="str">
        <f>IF(AND(L684="",H684=""),"",
IF(H684="",Pole_Calc!A712,
IF(H684="MP",Pole_Calc!A713,
IF(H684="AnMP",Pole_Calc!A714,
IF(H684="A",Pole_Calc!A715,
IF(H684="S/A",Pole_Calc!A716,
IF(H684="A/S",Pole_Calc!A717,"Poner a mano")))))))</f>
        <v/>
      </c>
      <c r="BE684" s="448" t="s">
        <v>1726</v>
      </c>
      <c r="BF684" s="634"/>
      <c r="BG684" s="634"/>
      <c r="BH684" s="634"/>
      <c r="BI684" s="634"/>
    </row>
    <row r="685" spans="1:61" ht="16.2" customHeight="1">
      <c r="A685" s="12"/>
      <c r="B685" s="446"/>
      <c r="C685" s="89"/>
      <c r="D685" s="13"/>
      <c r="E685" s="14"/>
      <c r="F685" s="14"/>
      <c r="G685" s="15"/>
      <c r="H685" s="8"/>
      <c r="I685" s="8"/>
      <c r="J685" s="89"/>
      <c r="K685" s="8"/>
      <c r="L685" s="8"/>
      <c r="M685" s="8" t="str">
        <f>IF(L685="","",
IF(AX685="PT",VLOOKUP(L685,Foundation_Calc!$V$4:$X$37,VLOOKUP(AX685,Foundation_Calc!$I$10:$J$13,2,FALSE),0),
IF(AX685="K",VLOOKUP(L685,Foundation_Calc!$V$41:$X$74,VLOOKUP(AX685,Foundation_Calc!$I$10:$J$13,2,FALSE),0),"")))</f>
        <v/>
      </c>
      <c r="N685" s="8"/>
      <c r="O685" s="8"/>
      <c r="P685" s="8"/>
      <c r="Q685" s="14"/>
      <c r="R685" s="15"/>
      <c r="S685" s="15"/>
      <c r="T685" s="14"/>
      <c r="U685" s="14"/>
      <c r="V685" s="14"/>
      <c r="W685" s="18"/>
      <c r="X685" s="18"/>
      <c r="Y685" s="18"/>
      <c r="Z685" s="18"/>
      <c r="AA685" s="18"/>
      <c r="AB685" s="18"/>
      <c r="AC685" s="8" t="str">
        <f t="shared" si="41"/>
        <v/>
      </c>
      <c r="AD685" s="8"/>
      <c r="AE685" s="8"/>
      <c r="AF685" s="14"/>
      <c r="AG685" s="13"/>
      <c r="AH685" s="14"/>
      <c r="AI685" s="14"/>
      <c r="AJ685" s="8"/>
      <c r="AK685" s="8"/>
      <c r="AL685" s="8"/>
      <c r="AM685" s="8"/>
      <c r="AN685" s="631"/>
      <c r="AO685" s="18"/>
      <c r="AP685" s="18"/>
      <c r="AQ685" s="18"/>
      <c r="AR685" s="18"/>
      <c r="AS685" s="18"/>
      <c r="AU685" s="448"/>
      <c r="AV685" s="448"/>
      <c r="AW685" s="8" t="str">
        <f>IF(C685&gt;0,VLOOKUP(C685,Foundation_Calc!$A$2:$C$986,3,1),
IF(J685&gt;0,VLOOKUP(J685,Foundation_Calc!$A$2:$C$986,3,1),""))</f>
        <v/>
      </c>
      <c r="AX685" s="8" t="str">
        <f>IF(C685&gt;0,VLOOKUP(C685,Foundation_Calc!$E$2:$G$986,3,1),
IF(J685&gt;0,VLOOKUP(J685,Foundation_Calc!$E$2:$G$986,3,1),""))</f>
        <v/>
      </c>
      <c r="AY685" s="631" t="str">
        <f>IF(L685="","",
IF(AX685="PT",VLOOKUP(L685,Foundation_Calc!$K$4:$R$37,VLOOKUP(AW685,Foundation_Calc!$I$2:$J$8,2,FALSE),0),
IF(AX685="K",VLOOKUP(L685,Foundation_Calc!$K$41:$R$74,VLOOKUP(AW685,Foundation_Calc!$I$2:$J$8,2,FALSE),0),"")))</f>
        <v/>
      </c>
      <c r="AZ685" s="631" t="str">
        <f>IF(K685="","",
IF(AX685="PT",VLOOKUP(K685,Foundation_Calc!$K$4:$R$37,VLOOKUP(AW685,Foundation_Calc!$I$2:$J$8,2,FALSE),0),
IF(AX685="K",VLOOKUP(K685,Foundation_Calc!$K$41:$R$74,VLOOKUP(AW685,Foundation_Calc!$I$2:$J$8,2,FALSE),0),"")))</f>
        <v/>
      </c>
      <c r="BA685" s="632" t="str">
        <f t="shared" si="42"/>
        <v/>
      </c>
      <c r="BB685" s="632" t="str">
        <f t="shared" si="43"/>
        <v/>
      </c>
      <c r="BC685" s="632" t="str">
        <f t="shared" si="44"/>
        <v/>
      </c>
      <c r="BD685" s="633" t="str">
        <f>IF(AND(L685="",H685=""),"",
IF(H685="",Pole_Calc!A713,
IF(H685="MP",Pole_Calc!A714,
IF(H685="AnMP",Pole_Calc!A715,
IF(H685="A",Pole_Calc!A716,
IF(H685="S/A",Pole_Calc!A717,
IF(H685="A/S",Pole_Calc!A718,"Poner a mano")))))))</f>
        <v/>
      </c>
      <c r="BE685" s="448" t="s">
        <v>1726</v>
      </c>
      <c r="BF685" s="635"/>
      <c r="BG685" s="635"/>
      <c r="BH685" s="634"/>
      <c r="BI685" s="635"/>
    </row>
    <row r="686" spans="1:61" ht="16.2" customHeight="1">
      <c r="A686" s="12"/>
      <c r="B686" s="446"/>
      <c r="C686" s="89"/>
      <c r="D686" s="13"/>
      <c r="E686" s="14"/>
      <c r="F686" s="14"/>
      <c r="G686" s="15"/>
      <c r="H686" s="8"/>
      <c r="I686" s="8"/>
      <c r="J686" s="89"/>
      <c r="K686" s="8"/>
      <c r="L686" s="8"/>
      <c r="M686" s="8" t="str">
        <f>IF(L686="","",
IF(AX686="PT",VLOOKUP(L686,Foundation_Calc!$V$4:$X$37,VLOOKUP(AX686,Foundation_Calc!$I$10:$J$13,2,FALSE),0),
IF(AX686="K",VLOOKUP(L686,Foundation_Calc!$V$41:$X$74,VLOOKUP(AX686,Foundation_Calc!$I$10:$J$13,2,FALSE),0),"")))</f>
        <v/>
      </c>
      <c r="N686" s="8"/>
      <c r="O686" s="8"/>
      <c r="P686" s="8"/>
      <c r="Q686" s="14"/>
      <c r="R686" s="15"/>
      <c r="S686" s="15"/>
      <c r="T686" s="14"/>
      <c r="U686" s="14"/>
      <c r="V686" s="14"/>
      <c r="W686" s="18"/>
      <c r="X686" s="18"/>
      <c r="Y686" s="18"/>
      <c r="Z686" s="18"/>
      <c r="AA686" s="18"/>
      <c r="AB686" s="18"/>
      <c r="AC686" s="8" t="str">
        <f t="shared" si="41"/>
        <v/>
      </c>
      <c r="AD686" s="8"/>
      <c r="AE686" s="8"/>
      <c r="AF686" s="14"/>
      <c r="AG686" s="13"/>
      <c r="AH686" s="14"/>
      <c r="AI686" s="14"/>
      <c r="AJ686" s="8"/>
      <c r="AK686" s="8"/>
      <c r="AL686" s="8"/>
      <c r="AM686" s="8"/>
      <c r="AN686" s="631"/>
      <c r="AO686" s="18"/>
      <c r="AP686" s="18"/>
      <c r="AQ686" s="18"/>
      <c r="AR686" s="18"/>
      <c r="AS686" s="18"/>
      <c r="AU686" s="448"/>
      <c r="AV686" s="448"/>
      <c r="AW686" s="8" t="str">
        <f>IF(C686&gt;0,VLOOKUP(C686,Foundation_Calc!$A$2:$C$986,3,1),
IF(J686&gt;0,VLOOKUP(J686,Foundation_Calc!$A$2:$C$986,3,1),""))</f>
        <v/>
      </c>
      <c r="AX686" s="8" t="str">
        <f>IF(C686&gt;0,VLOOKUP(C686,Foundation_Calc!$E$2:$G$986,3,1),
IF(J686&gt;0,VLOOKUP(J686,Foundation_Calc!$E$2:$G$986,3,1),""))</f>
        <v/>
      </c>
      <c r="AY686" s="631" t="str">
        <f>IF(L686="","",
IF(AX686="PT",VLOOKUP(L686,Foundation_Calc!$K$4:$R$37,VLOOKUP(AW686,Foundation_Calc!$I$2:$J$8,2,FALSE),0),
IF(AX686="K",VLOOKUP(L686,Foundation_Calc!$K$41:$R$74,VLOOKUP(AW686,Foundation_Calc!$I$2:$J$8,2,FALSE),0),"")))</f>
        <v/>
      </c>
      <c r="AZ686" s="631" t="str">
        <f>IF(K686="","",
IF(AX686="PT",VLOOKUP(K686,Foundation_Calc!$K$4:$R$37,VLOOKUP(AW686,Foundation_Calc!$I$2:$J$8,2,FALSE),0),
IF(AX686="K",VLOOKUP(K686,Foundation_Calc!$K$41:$R$74,VLOOKUP(AW686,Foundation_Calc!$I$2:$J$8,2,FALSE),0),"")))</f>
        <v/>
      </c>
      <c r="BA686" s="632" t="str">
        <f t="shared" si="42"/>
        <v/>
      </c>
      <c r="BB686" s="632" t="str">
        <f t="shared" si="43"/>
        <v/>
      </c>
      <c r="BC686" s="632" t="str">
        <f t="shared" si="44"/>
        <v/>
      </c>
      <c r="BD686" s="633" t="str">
        <f>IF(AND(L686="",H686=""),"",
IF(H686="",Pole_Calc!A714,
IF(H686="MP",Pole_Calc!A715,
IF(H686="AnMP",Pole_Calc!A716,
IF(H686="A",Pole_Calc!A717,
IF(H686="S/A",Pole_Calc!A718,
IF(H686="A/S",Pole_Calc!A719,"Poner a mano")))))))</f>
        <v/>
      </c>
      <c r="BE686" s="448" t="s">
        <v>1726</v>
      </c>
      <c r="BF686" s="634"/>
      <c r="BG686" s="634"/>
      <c r="BH686" s="634"/>
      <c r="BI686" s="634"/>
    </row>
    <row r="687" spans="1:61" ht="16.2" customHeight="1">
      <c r="A687" s="12"/>
      <c r="B687" s="446"/>
      <c r="C687" s="89"/>
      <c r="D687" s="13"/>
      <c r="E687" s="14"/>
      <c r="F687" s="14"/>
      <c r="G687" s="15"/>
      <c r="H687" s="8"/>
      <c r="I687" s="8"/>
      <c r="J687" s="89"/>
      <c r="K687" s="8"/>
      <c r="L687" s="8"/>
      <c r="M687" s="8" t="str">
        <f>IF(L687="","",
IF(AX687="PT",VLOOKUP(L687,Foundation_Calc!$V$4:$X$37,VLOOKUP(AX687,Foundation_Calc!$I$10:$J$13,2,FALSE),0),
IF(AX687="K",VLOOKUP(L687,Foundation_Calc!$V$41:$X$74,VLOOKUP(AX687,Foundation_Calc!$I$10:$J$13,2,FALSE),0),"")))</f>
        <v/>
      </c>
      <c r="N687" s="8"/>
      <c r="O687" s="8"/>
      <c r="P687" s="8"/>
      <c r="Q687" s="14"/>
      <c r="R687" s="15"/>
      <c r="S687" s="15"/>
      <c r="T687" s="14"/>
      <c r="U687" s="14"/>
      <c r="V687" s="14"/>
      <c r="W687" s="18"/>
      <c r="X687" s="18"/>
      <c r="Y687" s="18"/>
      <c r="Z687" s="18"/>
      <c r="AA687" s="18"/>
      <c r="AB687" s="18"/>
      <c r="AC687" s="8" t="str">
        <f t="shared" si="41"/>
        <v/>
      </c>
      <c r="AD687" s="8"/>
      <c r="AE687" s="8"/>
      <c r="AF687" s="14"/>
      <c r="AG687" s="13"/>
      <c r="AH687" s="14"/>
      <c r="AI687" s="14"/>
      <c r="AJ687" s="8"/>
      <c r="AK687" s="8"/>
      <c r="AL687" s="8"/>
      <c r="AM687" s="8"/>
      <c r="AN687" s="631"/>
      <c r="AO687" s="18"/>
      <c r="AP687" s="18"/>
      <c r="AQ687" s="18"/>
      <c r="AR687" s="18"/>
      <c r="AS687" s="18"/>
      <c r="AU687" s="448"/>
      <c r="AV687" s="448"/>
      <c r="AW687" s="8" t="str">
        <f>IF(C687&gt;0,VLOOKUP(C687,Foundation_Calc!$A$2:$C$986,3,1),
IF(J687&gt;0,VLOOKUP(J687,Foundation_Calc!$A$2:$C$986,3,1),""))</f>
        <v/>
      </c>
      <c r="AX687" s="8" t="str">
        <f>IF(C687&gt;0,VLOOKUP(C687,Foundation_Calc!$E$2:$G$986,3,1),
IF(J687&gt;0,VLOOKUP(J687,Foundation_Calc!$E$2:$G$986,3,1),""))</f>
        <v/>
      </c>
      <c r="AY687" s="631" t="str">
        <f>IF(L687="","",
IF(AX687="PT",VLOOKUP(L687,Foundation_Calc!$K$4:$R$37,VLOOKUP(AW687,Foundation_Calc!$I$2:$J$8,2,FALSE),0),
IF(AX687="K",VLOOKUP(L687,Foundation_Calc!$K$41:$R$74,VLOOKUP(AW687,Foundation_Calc!$I$2:$J$8,2,FALSE),0),"")))</f>
        <v/>
      </c>
      <c r="AZ687" s="631" t="str">
        <f>IF(K687="","",
IF(AX687="PT",VLOOKUP(K687,Foundation_Calc!$K$4:$R$37,VLOOKUP(AW687,Foundation_Calc!$I$2:$J$8,2,FALSE),0),
IF(AX687="K",VLOOKUP(K687,Foundation_Calc!$K$41:$R$74,VLOOKUP(AW687,Foundation_Calc!$I$2:$J$8,2,FALSE),0),"")))</f>
        <v/>
      </c>
      <c r="BA687" s="632" t="str">
        <f t="shared" si="42"/>
        <v/>
      </c>
      <c r="BB687" s="632" t="str">
        <f t="shared" si="43"/>
        <v/>
      </c>
      <c r="BC687" s="632" t="str">
        <f t="shared" si="44"/>
        <v/>
      </c>
      <c r="BD687" s="633" t="str">
        <f>IF(AND(L687="",H687=""),"",
IF(H687="",Pole_Calc!A715,
IF(H687="MP",Pole_Calc!A716,
IF(H687="AnMP",Pole_Calc!A717,
IF(H687="A",Pole_Calc!A718,
IF(H687="S/A",Pole_Calc!A719,
IF(H687="A/S",Pole_Calc!A720,"Poner a mano")))))))</f>
        <v/>
      </c>
      <c r="BE687" s="448" t="s">
        <v>1726</v>
      </c>
      <c r="BF687" s="635"/>
      <c r="BG687" s="635"/>
      <c r="BH687" s="634"/>
      <c r="BI687" s="635"/>
    </row>
    <row r="688" spans="1:61" ht="16.2" customHeight="1">
      <c r="A688" s="12"/>
      <c r="B688" s="446"/>
      <c r="C688" s="89"/>
      <c r="D688" s="13"/>
      <c r="E688" s="14"/>
      <c r="F688" s="14"/>
      <c r="G688" s="15"/>
      <c r="H688" s="8"/>
      <c r="I688" s="8"/>
      <c r="J688" s="89"/>
      <c r="K688" s="8"/>
      <c r="L688" s="8"/>
      <c r="M688" s="8" t="str">
        <f>IF(L688="","",
IF(AX688="PT",VLOOKUP(L688,Foundation_Calc!$V$4:$X$37,VLOOKUP(AX688,Foundation_Calc!$I$10:$J$13,2,FALSE),0),
IF(AX688="K",VLOOKUP(L688,Foundation_Calc!$V$41:$X$74,VLOOKUP(AX688,Foundation_Calc!$I$10:$J$13,2,FALSE),0),"")))</f>
        <v/>
      </c>
      <c r="N688" s="8"/>
      <c r="O688" s="8"/>
      <c r="P688" s="8"/>
      <c r="Q688" s="14"/>
      <c r="R688" s="15"/>
      <c r="S688" s="15"/>
      <c r="T688" s="14"/>
      <c r="U688" s="14"/>
      <c r="V688" s="14"/>
      <c r="W688" s="18"/>
      <c r="X688" s="18"/>
      <c r="Y688" s="18"/>
      <c r="Z688" s="18"/>
      <c r="AA688" s="18"/>
      <c r="AB688" s="18"/>
      <c r="AC688" s="8" t="str">
        <f t="shared" si="41"/>
        <v/>
      </c>
      <c r="AD688" s="8"/>
      <c r="AE688" s="8"/>
      <c r="AF688" s="14"/>
      <c r="AG688" s="13"/>
      <c r="AH688" s="14"/>
      <c r="AI688" s="14"/>
      <c r="AJ688" s="8"/>
      <c r="AK688" s="8"/>
      <c r="AL688" s="8"/>
      <c r="AM688" s="8"/>
      <c r="AN688" s="631"/>
      <c r="AO688" s="18"/>
      <c r="AP688" s="18"/>
      <c r="AQ688" s="18"/>
      <c r="AR688" s="18"/>
      <c r="AS688" s="18"/>
      <c r="AU688" s="448"/>
      <c r="AV688" s="448"/>
      <c r="AW688" s="8" t="str">
        <f>IF(C688&gt;0,VLOOKUP(C688,Foundation_Calc!$A$2:$C$986,3,1),
IF(J688&gt;0,VLOOKUP(J688,Foundation_Calc!$A$2:$C$986,3,1),""))</f>
        <v/>
      </c>
      <c r="AX688" s="8" t="str">
        <f>IF(C688&gt;0,VLOOKUP(C688,Foundation_Calc!$E$2:$G$986,3,1),
IF(J688&gt;0,VLOOKUP(J688,Foundation_Calc!$E$2:$G$986,3,1),""))</f>
        <v/>
      </c>
      <c r="AY688" s="631" t="str">
        <f>IF(L688="","",
IF(AX688="PT",VLOOKUP(L688,Foundation_Calc!$K$4:$R$37,VLOOKUP(AW688,Foundation_Calc!$I$2:$J$8,2,FALSE),0),
IF(AX688="K",VLOOKUP(L688,Foundation_Calc!$K$41:$R$74,VLOOKUP(AW688,Foundation_Calc!$I$2:$J$8,2,FALSE),0),"")))</f>
        <v/>
      </c>
      <c r="AZ688" s="631" t="str">
        <f>IF(K688="","",
IF(AX688="PT",VLOOKUP(K688,Foundation_Calc!$K$4:$R$37,VLOOKUP(AW688,Foundation_Calc!$I$2:$J$8,2,FALSE),0),
IF(AX688="K",VLOOKUP(K688,Foundation_Calc!$K$41:$R$74,VLOOKUP(AW688,Foundation_Calc!$I$2:$J$8,2,FALSE),0),"")))</f>
        <v/>
      </c>
      <c r="BA688" s="632" t="str">
        <f t="shared" si="42"/>
        <v/>
      </c>
      <c r="BB688" s="632" t="str">
        <f t="shared" si="43"/>
        <v/>
      </c>
      <c r="BC688" s="632" t="str">
        <f t="shared" si="44"/>
        <v/>
      </c>
      <c r="BD688" s="633" t="str">
        <f>IF(AND(L688="",H688=""),"",
IF(H688="",Pole_Calc!A716,
IF(H688="MP",Pole_Calc!A717,
IF(H688="AnMP",Pole_Calc!A718,
IF(H688="A",Pole_Calc!A719,
IF(H688="S/A",Pole_Calc!A720,
IF(H688="A/S",Pole_Calc!A721,"Poner a mano")))))))</f>
        <v/>
      </c>
      <c r="BE688" s="448" t="s">
        <v>1726</v>
      </c>
      <c r="BF688" s="634"/>
      <c r="BG688" s="634"/>
      <c r="BH688" s="634"/>
      <c r="BI688" s="634"/>
    </row>
    <row r="689" spans="1:61" ht="16.2" customHeight="1">
      <c r="A689" s="12"/>
      <c r="B689" s="446"/>
      <c r="C689" s="89"/>
      <c r="D689" s="13"/>
      <c r="E689" s="14"/>
      <c r="F689" s="14"/>
      <c r="G689" s="15"/>
      <c r="H689" s="8"/>
      <c r="I689" s="8"/>
      <c r="J689" s="89"/>
      <c r="K689" s="8"/>
      <c r="L689" s="8"/>
      <c r="M689" s="8" t="str">
        <f>IF(L689="","",
IF(AX689="PT",VLOOKUP(L689,Foundation_Calc!$V$4:$X$37,VLOOKUP(AX689,Foundation_Calc!$I$10:$J$13,2,FALSE),0),
IF(AX689="K",VLOOKUP(L689,Foundation_Calc!$V$41:$X$74,VLOOKUP(AX689,Foundation_Calc!$I$10:$J$13,2,FALSE),0),"")))</f>
        <v/>
      </c>
      <c r="N689" s="8"/>
      <c r="O689" s="8"/>
      <c r="P689" s="8"/>
      <c r="Q689" s="14"/>
      <c r="R689" s="15"/>
      <c r="S689" s="15"/>
      <c r="T689" s="14"/>
      <c r="U689" s="14"/>
      <c r="V689" s="14"/>
      <c r="W689" s="18"/>
      <c r="X689" s="18"/>
      <c r="Y689" s="18"/>
      <c r="Z689" s="18"/>
      <c r="AA689" s="18"/>
      <c r="AB689" s="18"/>
      <c r="AC689" s="8" t="str">
        <f t="shared" si="41"/>
        <v/>
      </c>
      <c r="AD689" s="8"/>
      <c r="AE689" s="8"/>
      <c r="AF689" s="14"/>
      <c r="AG689" s="13"/>
      <c r="AH689" s="14"/>
      <c r="AI689" s="14"/>
      <c r="AJ689" s="8"/>
      <c r="AK689" s="8"/>
      <c r="AL689" s="8"/>
      <c r="AM689" s="8"/>
      <c r="AN689" s="631"/>
      <c r="AO689" s="18"/>
      <c r="AP689" s="18"/>
      <c r="AQ689" s="18"/>
      <c r="AR689" s="18"/>
      <c r="AS689" s="18"/>
      <c r="AU689" s="448"/>
      <c r="AV689" s="448"/>
      <c r="AW689" s="8" t="str">
        <f>IF(C689&gt;0,VLOOKUP(C689,Foundation_Calc!$A$2:$C$986,3,1),
IF(J689&gt;0,VLOOKUP(J689,Foundation_Calc!$A$2:$C$986,3,1),""))</f>
        <v/>
      </c>
      <c r="AX689" s="8" t="str">
        <f>IF(C689&gt;0,VLOOKUP(C689,Foundation_Calc!$E$2:$G$986,3,1),
IF(J689&gt;0,VLOOKUP(J689,Foundation_Calc!$E$2:$G$986,3,1),""))</f>
        <v/>
      </c>
      <c r="AY689" s="631" t="str">
        <f>IF(L689="","",
IF(AX689="PT",VLOOKUP(L689,Foundation_Calc!$K$4:$R$37,VLOOKUP(AW689,Foundation_Calc!$I$2:$J$8,2,FALSE),0),
IF(AX689="K",VLOOKUP(L689,Foundation_Calc!$K$41:$R$74,VLOOKUP(AW689,Foundation_Calc!$I$2:$J$8,2,FALSE),0),"")))</f>
        <v/>
      </c>
      <c r="AZ689" s="631" t="str">
        <f>IF(K689="","",
IF(AX689="PT",VLOOKUP(K689,Foundation_Calc!$K$4:$R$37,VLOOKUP(AW689,Foundation_Calc!$I$2:$J$8,2,FALSE),0),
IF(AX689="K",VLOOKUP(K689,Foundation_Calc!$K$41:$R$74,VLOOKUP(AW689,Foundation_Calc!$I$2:$J$8,2,FALSE),0),"")))</f>
        <v/>
      </c>
      <c r="BA689" s="632" t="str">
        <f t="shared" si="42"/>
        <v/>
      </c>
      <c r="BB689" s="632" t="str">
        <f t="shared" si="43"/>
        <v/>
      </c>
      <c r="BC689" s="632" t="str">
        <f t="shared" si="44"/>
        <v/>
      </c>
      <c r="BD689" s="633" t="str">
        <f>IF(AND(L689="",H689=""),"",
IF(H689="",Pole_Calc!A717,
IF(H689="MP",Pole_Calc!A718,
IF(H689="AnMP",Pole_Calc!A719,
IF(H689="A",Pole_Calc!A720,
IF(H689="S/A",Pole_Calc!A721,
IF(H689="A/S",Pole_Calc!A722,"Poner a mano")))))))</f>
        <v/>
      </c>
      <c r="BE689" s="448" t="s">
        <v>1726</v>
      </c>
      <c r="BF689" s="635"/>
      <c r="BG689" s="635"/>
      <c r="BH689" s="634"/>
      <c r="BI689" s="635"/>
    </row>
    <row r="690" spans="1:61" ht="16.2" customHeight="1">
      <c r="A690" s="12"/>
      <c r="B690" s="446"/>
      <c r="C690" s="89"/>
      <c r="D690" s="13"/>
      <c r="E690" s="14"/>
      <c r="F690" s="14"/>
      <c r="G690" s="15"/>
      <c r="H690" s="8"/>
      <c r="I690" s="8"/>
      <c r="J690" s="89"/>
      <c r="K690" s="8"/>
      <c r="L690" s="8"/>
      <c r="M690" s="8" t="str">
        <f>IF(L690="","",
IF(AX690="PT",VLOOKUP(L690,Foundation_Calc!$V$4:$X$37,VLOOKUP(AX690,Foundation_Calc!$I$10:$J$13,2,FALSE),0),
IF(AX690="K",VLOOKUP(L690,Foundation_Calc!$V$41:$X$74,VLOOKUP(AX690,Foundation_Calc!$I$10:$J$13,2,FALSE),0),"")))</f>
        <v/>
      </c>
      <c r="N690" s="8"/>
      <c r="O690" s="8"/>
      <c r="P690" s="8"/>
      <c r="Q690" s="14"/>
      <c r="R690" s="15"/>
      <c r="S690" s="15"/>
      <c r="T690" s="14"/>
      <c r="U690" s="14"/>
      <c r="V690" s="14"/>
      <c r="W690" s="18"/>
      <c r="X690" s="18"/>
      <c r="Y690" s="18"/>
      <c r="Z690" s="18"/>
      <c r="AA690" s="18"/>
      <c r="AB690" s="18"/>
      <c r="AC690" s="8" t="str">
        <f t="shared" si="41"/>
        <v/>
      </c>
      <c r="AD690" s="8"/>
      <c r="AE690" s="8"/>
      <c r="AF690" s="14"/>
      <c r="AG690" s="13"/>
      <c r="AH690" s="14"/>
      <c r="AI690" s="14"/>
      <c r="AJ690" s="8"/>
      <c r="AK690" s="8"/>
      <c r="AL690" s="8"/>
      <c r="AM690" s="8"/>
      <c r="AN690" s="631"/>
      <c r="AO690" s="18"/>
      <c r="AP690" s="18"/>
      <c r="AQ690" s="18"/>
      <c r="AR690" s="18"/>
      <c r="AS690" s="18"/>
      <c r="AU690" s="448"/>
      <c r="AV690" s="448"/>
      <c r="AW690" s="8" t="str">
        <f>IF(C690&gt;0,VLOOKUP(C690,Foundation_Calc!$A$2:$C$986,3,1),
IF(J690&gt;0,VLOOKUP(J690,Foundation_Calc!$A$2:$C$986,3,1),""))</f>
        <v/>
      </c>
      <c r="AX690" s="8" t="str">
        <f>IF(C690&gt;0,VLOOKUP(C690,Foundation_Calc!$E$2:$G$986,3,1),
IF(J690&gt;0,VLOOKUP(J690,Foundation_Calc!$E$2:$G$986,3,1),""))</f>
        <v/>
      </c>
      <c r="AY690" s="631" t="str">
        <f>IF(L690="","",
IF(AX690="PT",VLOOKUP(L690,Foundation_Calc!$K$4:$R$37,VLOOKUP(AW690,Foundation_Calc!$I$2:$J$8,2,FALSE),0),
IF(AX690="K",VLOOKUP(L690,Foundation_Calc!$K$41:$R$74,VLOOKUP(AW690,Foundation_Calc!$I$2:$J$8,2,FALSE),0),"")))</f>
        <v/>
      </c>
      <c r="AZ690" s="631" t="str">
        <f>IF(K690="","",
IF(AX690="PT",VLOOKUP(K690,Foundation_Calc!$K$4:$R$37,VLOOKUP(AW690,Foundation_Calc!$I$2:$J$8,2,FALSE),0),
IF(AX690="K",VLOOKUP(K690,Foundation_Calc!$K$41:$R$74,VLOOKUP(AW690,Foundation_Calc!$I$2:$J$8,2,FALSE),0),"")))</f>
        <v/>
      </c>
      <c r="BA690" s="632" t="str">
        <f t="shared" si="42"/>
        <v/>
      </c>
      <c r="BB690" s="632" t="str">
        <f t="shared" si="43"/>
        <v/>
      </c>
      <c r="BC690" s="632" t="str">
        <f t="shared" si="44"/>
        <v/>
      </c>
      <c r="BD690" s="633" t="str">
        <f>IF(AND(L690="",H690=""),"",
IF(H690="",Pole_Calc!A718,
IF(H690="MP",Pole_Calc!A719,
IF(H690="AnMP",Pole_Calc!A720,
IF(H690="A",Pole_Calc!A721,
IF(H690="S/A",Pole_Calc!A722,
IF(H690="A/S",Pole_Calc!A723,"Poner a mano")))))))</f>
        <v/>
      </c>
      <c r="BE690" s="448" t="s">
        <v>1726</v>
      </c>
      <c r="BF690" s="634"/>
      <c r="BG690" s="634"/>
      <c r="BH690" s="634"/>
      <c r="BI690" s="634"/>
    </row>
    <row r="691" spans="1:61" ht="16.2" customHeight="1">
      <c r="A691" s="12"/>
      <c r="B691" s="446"/>
      <c r="C691" s="89"/>
      <c r="D691" s="13"/>
      <c r="E691" s="14"/>
      <c r="F691" s="14"/>
      <c r="G691" s="15"/>
      <c r="H691" s="8"/>
      <c r="I691" s="8"/>
      <c r="J691" s="89"/>
      <c r="K691" s="8"/>
      <c r="L691" s="8"/>
      <c r="M691" s="8" t="str">
        <f>IF(L691="","",
IF(AX691="PT",VLOOKUP(L691,Foundation_Calc!$V$4:$X$37,VLOOKUP(AX691,Foundation_Calc!$I$10:$J$13,2,FALSE),0),
IF(AX691="K",VLOOKUP(L691,Foundation_Calc!$V$41:$X$74,VLOOKUP(AX691,Foundation_Calc!$I$10:$J$13,2,FALSE),0),"")))</f>
        <v/>
      </c>
      <c r="N691" s="8"/>
      <c r="O691" s="8"/>
      <c r="P691" s="8"/>
      <c r="Q691" s="14"/>
      <c r="R691" s="15"/>
      <c r="S691" s="15"/>
      <c r="T691" s="14"/>
      <c r="U691" s="14"/>
      <c r="V691" s="14"/>
      <c r="W691" s="18"/>
      <c r="X691" s="18"/>
      <c r="Y691" s="18"/>
      <c r="Z691" s="18"/>
      <c r="AA691" s="18"/>
      <c r="AB691" s="18"/>
      <c r="AC691" s="8" t="str">
        <f t="shared" si="41"/>
        <v/>
      </c>
      <c r="AD691" s="8"/>
      <c r="AE691" s="8"/>
      <c r="AF691" s="14"/>
      <c r="AG691" s="13"/>
      <c r="AH691" s="14"/>
      <c r="AI691" s="14"/>
      <c r="AJ691" s="8"/>
      <c r="AK691" s="8"/>
      <c r="AL691" s="8"/>
      <c r="AM691" s="8"/>
      <c r="AN691" s="631"/>
      <c r="AO691" s="18"/>
      <c r="AP691" s="18"/>
      <c r="AQ691" s="18"/>
      <c r="AR691" s="18"/>
      <c r="AS691" s="18"/>
      <c r="AU691" s="448"/>
      <c r="AV691" s="448"/>
      <c r="AW691" s="8" t="str">
        <f>IF(C691&gt;0,VLOOKUP(C691,Foundation_Calc!$A$2:$C$986,3,1),
IF(J691&gt;0,VLOOKUP(J691,Foundation_Calc!$A$2:$C$986,3,1),""))</f>
        <v/>
      </c>
      <c r="AX691" s="8" t="str">
        <f>IF(C691&gt;0,VLOOKUP(C691,Foundation_Calc!$E$2:$G$986,3,1),
IF(J691&gt;0,VLOOKUP(J691,Foundation_Calc!$E$2:$G$986,3,1),""))</f>
        <v/>
      </c>
      <c r="AY691" s="631" t="str">
        <f>IF(L691="","",
IF(AX691="PT",VLOOKUP(L691,Foundation_Calc!$K$4:$R$37,VLOOKUP(AW691,Foundation_Calc!$I$2:$J$8,2,FALSE),0),
IF(AX691="K",VLOOKUP(L691,Foundation_Calc!$K$41:$R$74,VLOOKUP(AW691,Foundation_Calc!$I$2:$J$8,2,FALSE),0),"")))</f>
        <v/>
      </c>
      <c r="AZ691" s="631" t="str">
        <f>IF(K691="","",
IF(AX691="PT",VLOOKUP(K691,Foundation_Calc!$K$4:$R$37,VLOOKUP(AW691,Foundation_Calc!$I$2:$J$8,2,FALSE),0),
IF(AX691="K",VLOOKUP(K691,Foundation_Calc!$K$41:$R$74,VLOOKUP(AW691,Foundation_Calc!$I$2:$J$8,2,FALSE),0),"")))</f>
        <v/>
      </c>
      <c r="BA691" s="632" t="str">
        <f t="shared" si="42"/>
        <v/>
      </c>
      <c r="BB691" s="632" t="str">
        <f t="shared" si="43"/>
        <v/>
      </c>
      <c r="BC691" s="632" t="str">
        <f t="shared" si="44"/>
        <v/>
      </c>
      <c r="BD691" s="633" t="str">
        <f>IF(AND(L691="",H691=""),"",
IF(H691="",Pole_Calc!A719,
IF(H691="MP",Pole_Calc!A720,
IF(H691="AnMP",Pole_Calc!A721,
IF(H691="A",Pole_Calc!A722,
IF(H691="S/A",Pole_Calc!A723,
IF(H691="A/S",Pole_Calc!A724,"Poner a mano")))))))</f>
        <v/>
      </c>
      <c r="BE691" s="448" t="s">
        <v>1726</v>
      </c>
      <c r="BF691" s="635"/>
      <c r="BG691" s="635"/>
      <c r="BH691" s="634"/>
      <c r="BI691" s="635"/>
    </row>
    <row r="692" spans="1:61" ht="16.2" customHeight="1">
      <c r="A692" s="12"/>
      <c r="B692" s="446"/>
      <c r="C692" s="89"/>
      <c r="D692" s="13"/>
      <c r="E692" s="14"/>
      <c r="F692" s="14"/>
      <c r="G692" s="15"/>
      <c r="H692" s="8"/>
      <c r="I692" s="8"/>
      <c r="J692" s="89"/>
      <c r="K692" s="8"/>
      <c r="L692" s="8"/>
      <c r="M692" s="8" t="str">
        <f>IF(L692="","",
IF(AX692="PT",VLOOKUP(L692,Foundation_Calc!$V$4:$X$37,VLOOKUP(AX692,Foundation_Calc!$I$10:$J$13,2,FALSE),0),
IF(AX692="K",VLOOKUP(L692,Foundation_Calc!$V$41:$X$74,VLOOKUP(AX692,Foundation_Calc!$I$10:$J$13,2,FALSE),0),"")))</f>
        <v/>
      </c>
      <c r="N692" s="8"/>
      <c r="O692" s="8"/>
      <c r="P692" s="8"/>
      <c r="Q692" s="14"/>
      <c r="R692" s="15"/>
      <c r="S692" s="15"/>
      <c r="T692" s="14"/>
      <c r="U692" s="14"/>
      <c r="V692" s="14"/>
      <c r="W692" s="18"/>
      <c r="X692" s="18"/>
      <c r="Y692" s="18"/>
      <c r="Z692" s="18"/>
      <c r="AA692" s="18"/>
      <c r="AB692" s="18"/>
      <c r="AC692" s="8" t="str">
        <f t="shared" si="41"/>
        <v/>
      </c>
      <c r="AD692" s="8"/>
      <c r="AE692" s="8"/>
      <c r="AF692" s="14"/>
      <c r="AG692" s="13"/>
      <c r="AH692" s="14"/>
      <c r="AI692" s="14"/>
      <c r="AJ692" s="8"/>
      <c r="AK692" s="8"/>
      <c r="AL692" s="8"/>
      <c r="AM692" s="8"/>
      <c r="AN692" s="631"/>
      <c r="AO692" s="18"/>
      <c r="AP692" s="18"/>
      <c r="AQ692" s="18"/>
      <c r="AR692" s="18"/>
      <c r="AS692" s="18"/>
      <c r="AU692" s="448"/>
      <c r="AV692" s="448"/>
      <c r="AW692" s="8" t="str">
        <f>IF(C692&gt;0,VLOOKUP(C692,Foundation_Calc!$A$2:$C$986,3,1),
IF(J692&gt;0,VLOOKUP(J692,Foundation_Calc!$A$2:$C$986,3,1),""))</f>
        <v/>
      </c>
      <c r="AX692" s="8" t="str">
        <f>IF(C692&gt;0,VLOOKUP(C692,Foundation_Calc!$E$2:$G$986,3,1),
IF(J692&gt;0,VLOOKUP(J692,Foundation_Calc!$E$2:$G$986,3,1),""))</f>
        <v/>
      </c>
      <c r="AY692" s="631" t="str">
        <f>IF(L692="","",
IF(AX692="PT",VLOOKUP(L692,Foundation_Calc!$K$4:$R$37,VLOOKUP(AW692,Foundation_Calc!$I$2:$J$8,2,FALSE),0),
IF(AX692="K",VLOOKUP(L692,Foundation_Calc!$K$41:$R$74,VLOOKUP(AW692,Foundation_Calc!$I$2:$J$8,2,FALSE),0),"")))</f>
        <v/>
      </c>
      <c r="AZ692" s="631" t="str">
        <f>IF(K692="","",
IF(AX692="PT",VLOOKUP(K692,Foundation_Calc!$K$4:$R$37,VLOOKUP(AW692,Foundation_Calc!$I$2:$J$8,2,FALSE),0),
IF(AX692="K",VLOOKUP(K692,Foundation_Calc!$K$41:$R$74,VLOOKUP(AW692,Foundation_Calc!$I$2:$J$8,2,FALSE),0),"")))</f>
        <v/>
      </c>
      <c r="BA692" s="632" t="str">
        <f t="shared" si="42"/>
        <v/>
      </c>
      <c r="BB692" s="632" t="str">
        <f t="shared" si="43"/>
        <v/>
      </c>
      <c r="BC692" s="632" t="str">
        <f t="shared" si="44"/>
        <v/>
      </c>
      <c r="BD692" s="633" t="str">
        <f>IF(AND(L692="",H692=""),"",
IF(H692="",Pole_Calc!A720,
IF(H692="MP",Pole_Calc!A721,
IF(H692="AnMP",Pole_Calc!A722,
IF(H692="A",Pole_Calc!A723,
IF(H692="S/A",Pole_Calc!A724,
IF(H692="A/S",Pole_Calc!A725,"Poner a mano")))))))</f>
        <v/>
      </c>
      <c r="BE692" s="448" t="s">
        <v>1726</v>
      </c>
      <c r="BF692" s="634"/>
      <c r="BG692" s="634"/>
      <c r="BH692" s="634"/>
      <c r="BI692" s="634"/>
    </row>
    <row r="693" spans="1:61" ht="16.2" customHeight="1">
      <c r="A693" s="12"/>
      <c r="B693" s="446"/>
      <c r="C693" s="89"/>
      <c r="D693" s="13"/>
      <c r="E693" s="14"/>
      <c r="F693" s="14"/>
      <c r="G693" s="15"/>
      <c r="H693" s="8"/>
      <c r="I693" s="8"/>
      <c r="J693" s="89"/>
      <c r="K693" s="8"/>
      <c r="L693" s="8"/>
      <c r="M693" s="8" t="str">
        <f>IF(L693="","",
IF(AX693="PT",VLOOKUP(L693,Foundation_Calc!$V$4:$X$37,VLOOKUP(AX693,Foundation_Calc!$I$10:$J$13,2,FALSE),0),
IF(AX693="K",VLOOKUP(L693,Foundation_Calc!$V$41:$X$74,VLOOKUP(AX693,Foundation_Calc!$I$10:$J$13,2,FALSE),0),"")))</f>
        <v/>
      </c>
      <c r="N693" s="8"/>
      <c r="O693" s="8"/>
      <c r="P693" s="8"/>
      <c r="Q693" s="14"/>
      <c r="R693" s="15"/>
      <c r="S693" s="15"/>
      <c r="T693" s="14"/>
      <c r="U693" s="14"/>
      <c r="V693" s="14"/>
      <c r="W693" s="18"/>
      <c r="X693" s="18"/>
      <c r="Y693" s="18"/>
      <c r="Z693" s="18"/>
      <c r="AA693" s="18"/>
      <c r="AB693" s="18"/>
      <c r="AC693" s="8" t="str">
        <f t="shared" si="41"/>
        <v/>
      </c>
      <c r="AD693" s="8"/>
      <c r="AE693" s="8"/>
      <c r="AF693" s="14"/>
      <c r="AG693" s="13"/>
      <c r="AH693" s="14"/>
      <c r="AI693" s="14"/>
      <c r="AJ693" s="8"/>
      <c r="AK693" s="8"/>
      <c r="AL693" s="8"/>
      <c r="AM693" s="8"/>
      <c r="AN693" s="631"/>
      <c r="AO693" s="18"/>
      <c r="AP693" s="18"/>
      <c r="AQ693" s="18"/>
      <c r="AR693" s="18"/>
      <c r="AS693" s="18"/>
      <c r="AU693" s="448"/>
      <c r="AV693" s="448"/>
      <c r="AW693" s="8" t="str">
        <f>IF(C693&gt;0,VLOOKUP(C693,Foundation_Calc!$A$2:$C$986,3,1),
IF(J693&gt;0,VLOOKUP(J693,Foundation_Calc!$A$2:$C$986,3,1),""))</f>
        <v/>
      </c>
      <c r="AX693" s="8" t="str">
        <f>IF(C693&gt;0,VLOOKUP(C693,Foundation_Calc!$E$2:$G$986,3,1),
IF(J693&gt;0,VLOOKUP(J693,Foundation_Calc!$E$2:$G$986,3,1),""))</f>
        <v/>
      </c>
      <c r="AY693" s="631" t="str">
        <f>IF(L693="","",
IF(AX693="PT",VLOOKUP(L693,Foundation_Calc!$K$4:$R$37,VLOOKUP(AW693,Foundation_Calc!$I$2:$J$8,2,FALSE),0),
IF(AX693="K",VLOOKUP(L693,Foundation_Calc!$K$41:$R$74,VLOOKUP(AW693,Foundation_Calc!$I$2:$J$8,2,FALSE),0),"")))</f>
        <v/>
      </c>
      <c r="AZ693" s="631" t="str">
        <f>IF(K693="","",
IF(AX693="PT",VLOOKUP(K693,Foundation_Calc!$K$4:$R$37,VLOOKUP(AW693,Foundation_Calc!$I$2:$J$8,2,FALSE),0),
IF(AX693="K",VLOOKUP(K693,Foundation_Calc!$K$41:$R$74,VLOOKUP(AW693,Foundation_Calc!$I$2:$J$8,2,FALSE),0),"")))</f>
        <v/>
      </c>
      <c r="BA693" s="632" t="str">
        <f t="shared" si="42"/>
        <v/>
      </c>
      <c r="BB693" s="632" t="str">
        <f t="shared" si="43"/>
        <v/>
      </c>
      <c r="BC693" s="632" t="str">
        <f t="shared" si="44"/>
        <v/>
      </c>
      <c r="BD693" s="633" t="str">
        <f>IF(AND(L693="",H693=""),"",
IF(H693="",Pole_Calc!A721,
IF(H693="MP",Pole_Calc!A722,
IF(H693="AnMP",Pole_Calc!A723,
IF(H693="A",Pole_Calc!A724,
IF(H693="S/A",Pole_Calc!A725,
IF(H693="A/S",Pole_Calc!A726,"Poner a mano")))))))</f>
        <v/>
      </c>
      <c r="BE693" s="448" t="s">
        <v>1726</v>
      </c>
      <c r="BF693" s="635"/>
      <c r="BG693" s="635"/>
      <c r="BH693" s="634"/>
      <c r="BI693" s="635"/>
    </row>
    <row r="694" spans="1:61" ht="16.2" customHeight="1">
      <c r="A694" s="12"/>
      <c r="B694" s="446"/>
      <c r="C694" s="89"/>
      <c r="D694" s="13"/>
      <c r="E694" s="14"/>
      <c r="F694" s="14"/>
      <c r="G694" s="15"/>
      <c r="H694" s="8"/>
      <c r="I694" s="8"/>
      <c r="J694" s="89"/>
      <c r="K694" s="8"/>
      <c r="L694" s="8"/>
      <c r="M694" s="8" t="str">
        <f>IF(L694="","",
IF(AX694="PT",VLOOKUP(L694,Foundation_Calc!$V$4:$X$37,VLOOKUP(AX694,Foundation_Calc!$I$10:$J$13,2,FALSE),0),
IF(AX694="K",VLOOKUP(L694,Foundation_Calc!$V$41:$X$74,VLOOKUP(AX694,Foundation_Calc!$I$10:$J$13,2,FALSE),0),"")))</f>
        <v/>
      </c>
      <c r="N694" s="8"/>
      <c r="O694" s="8"/>
      <c r="P694" s="8"/>
      <c r="Q694" s="14"/>
      <c r="R694" s="15"/>
      <c r="S694" s="15"/>
      <c r="T694" s="14"/>
      <c r="U694" s="14"/>
      <c r="V694" s="14"/>
      <c r="W694" s="18"/>
      <c r="X694" s="18"/>
      <c r="Y694" s="18"/>
      <c r="Z694" s="18"/>
      <c r="AA694" s="18"/>
      <c r="AB694" s="18"/>
      <c r="AC694" s="8" t="str">
        <f t="shared" si="41"/>
        <v/>
      </c>
      <c r="AD694" s="8"/>
      <c r="AE694" s="8"/>
      <c r="AF694" s="14"/>
      <c r="AG694" s="13"/>
      <c r="AH694" s="14"/>
      <c r="AI694" s="14"/>
      <c r="AJ694" s="8"/>
      <c r="AK694" s="8"/>
      <c r="AL694" s="8"/>
      <c r="AM694" s="8"/>
      <c r="AN694" s="631"/>
      <c r="AO694" s="18"/>
      <c r="AP694" s="18"/>
      <c r="AQ694" s="18"/>
      <c r="AR694" s="18"/>
      <c r="AS694" s="18"/>
      <c r="AU694" s="448"/>
      <c r="AV694" s="448"/>
      <c r="AW694" s="8" t="str">
        <f>IF(C694&gt;0,VLOOKUP(C694,Foundation_Calc!$A$2:$C$986,3,1),
IF(J694&gt;0,VLOOKUP(J694,Foundation_Calc!$A$2:$C$986,3,1),""))</f>
        <v/>
      </c>
      <c r="AX694" s="8" t="str">
        <f>IF(C694&gt;0,VLOOKUP(C694,Foundation_Calc!$E$2:$G$986,3,1),
IF(J694&gt;0,VLOOKUP(J694,Foundation_Calc!$E$2:$G$986,3,1),""))</f>
        <v/>
      </c>
      <c r="AY694" s="631" t="str">
        <f>IF(L694="","",
IF(AX694="PT",VLOOKUP(L694,Foundation_Calc!$K$4:$R$37,VLOOKUP(AW694,Foundation_Calc!$I$2:$J$8,2,FALSE),0),
IF(AX694="K",VLOOKUP(L694,Foundation_Calc!$K$41:$R$74,VLOOKUP(AW694,Foundation_Calc!$I$2:$J$8,2,FALSE),0),"")))</f>
        <v/>
      </c>
      <c r="AZ694" s="631" t="str">
        <f>IF(K694="","",
IF(AX694="PT",VLOOKUP(K694,Foundation_Calc!$K$4:$R$37,VLOOKUP(AW694,Foundation_Calc!$I$2:$J$8,2,FALSE),0),
IF(AX694="K",VLOOKUP(K694,Foundation_Calc!$K$41:$R$74,VLOOKUP(AW694,Foundation_Calc!$I$2:$J$8,2,FALSE),0),"")))</f>
        <v/>
      </c>
      <c r="BA694" s="632" t="str">
        <f t="shared" si="42"/>
        <v/>
      </c>
      <c r="BB694" s="632" t="str">
        <f t="shared" si="43"/>
        <v/>
      </c>
      <c r="BC694" s="632" t="str">
        <f t="shared" si="44"/>
        <v/>
      </c>
      <c r="BD694" s="633" t="str">
        <f>IF(AND(L694="",H694=""),"",
IF(H694="",Pole_Calc!A722,
IF(H694="MP",Pole_Calc!A723,
IF(H694="AnMP",Pole_Calc!A724,
IF(H694="A",Pole_Calc!A725,
IF(H694="S/A",Pole_Calc!A726,
IF(H694="A/S",Pole_Calc!A727,"Poner a mano")))))))</f>
        <v/>
      </c>
      <c r="BE694" s="448" t="s">
        <v>1726</v>
      </c>
      <c r="BF694" s="634"/>
      <c r="BG694" s="634"/>
      <c r="BH694" s="634"/>
      <c r="BI694" s="634"/>
    </row>
    <row r="695" spans="1:61" ht="16.2" customHeight="1">
      <c r="A695" s="12"/>
      <c r="B695" s="446"/>
      <c r="C695" s="89"/>
      <c r="D695" s="13"/>
      <c r="E695" s="14"/>
      <c r="F695" s="14"/>
      <c r="G695" s="15"/>
      <c r="H695" s="8"/>
      <c r="I695" s="8"/>
      <c r="J695" s="89"/>
      <c r="K695" s="8"/>
      <c r="L695" s="8"/>
      <c r="M695" s="8" t="str">
        <f>IF(L695="","",
IF(AX695="PT",VLOOKUP(L695,Foundation_Calc!$V$4:$X$37,VLOOKUP(AX695,Foundation_Calc!$I$10:$J$13,2,FALSE),0),
IF(AX695="K",VLOOKUP(L695,Foundation_Calc!$V$41:$X$74,VLOOKUP(AX695,Foundation_Calc!$I$10:$J$13,2,FALSE),0),"")))</f>
        <v/>
      </c>
      <c r="N695" s="8"/>
      <c r="O695" s="8"/>
      <c r="P695" s="8"/>
      <c r="Q695" s="14"/>
      <c r="R695" s="15"/>
      <c r="S695" s="15"/>
      <c r="T695" s="14"/>
      <c r="U695" s="14"/>
      <c r="V695" s="14"/>
      <c r="W695" s="18"/>
      <c r="X695" s="18"/>
      <c r="Y695" s="18"/>
      <c r="Z695" s="18"/>
      <c r="AA695" s="18"/>
      <c r="AB695" s="18"/>
      <c r="AC695" s="8" t="str">
        <f t="shared" si="41"/>
        <v/>
      </c>
      <c r="AD695" s="8"/>
      <c r="AE695" s="8"/>
      <c r="AF695" s="14"/>
      <c r="AG695" s="13"/>
      <c r="AH695" s="14"/>
      <c r="AI695" s="14"/>
      <c r="AJ695" s="8"/>
      <c r="AK695" s="8"/>
      <c r="AL695" s="8"/>
      <c r="AM695" s="8"/>
      <c r="AN695" s="631"/>
      <c r="AO695" s="18"/>
      <c r="AP695" s="18"/>
      <c r="AQ695" s="18"/>
      <c r="AR695" s="18"/>
      <c r="AS695" s="18"/>
      <c r="AU695" s="448"/>
      <c r="AV695" s="448"/>
      <c r="AW695" s="8" t="str">
        <f>IF(C695&gt;0,VLOOKUP(C695,Foundation_Calc!$A$2:$C$986,3,1),
IF(J695&gt;0,VLOOKUP(J695,Foundation_Calc!$A$2:$C$986,3,1),""))</f>
        <v/>
      </c>
      <c r="AX695" s="8" t="str">
        <f>IF(C695&gt;0,VLOOKUP(C695,Foundation_Calc!$E$2:$G$986,3,1),
IF(J695&gt;0,VLOOKUP(J695,Foundation_Calc!$E$2:$G$986,3,1),""))</f>
        <v/>
      </c>
      <c r="AY695" s="631" t="str">
        <f>IF(L695="","",
IF(AX695="PT",VLOOKUP(L695,Foundation_Calc!$K$4:$R$37,VLOOKUP(AW695,Foundation_Calc!$I$2:$J$8,2,FALSE),0),
IF(AX695="K",VLOOKUP(L695,Foundation_Calc!$K$41:$R$74,VLOOKUP(AW695,Foundation_Calc!$I$2:$J$8,2,FALSE),0),"")))</f>
        <v/>
      </c>
      <c r="AZ695" s="631" t="str">
        <f>IF(K695="","",
IF(AX695="PT",VLOOKUP(K695,Foundation_Calc!$K$4:$R$37,VLOOKUP(AW695,Foundation_Calc!$I$2:$J$8,2,FALSE),0),
IF(AX695="K",VLOOKUP(K695,Foundation_Calc!$K$41:$R$74,VLOOKUP(AW695,Foundation_Calc!$I$2:$J$8,2,FALSE),0),"")))</f>
        <v/>
      </c>
      <c r="BA695" s="632" t="str">
        <f t="shared" si="42"/>
        <v/>
      </c>
      <c r="BB695" s="632" t="str">
        <f t="shared" si="43"/>
        <v/>
      </c>
      <c r="BC695" s="632" t="str">
        <f t="shared" si="44"/>
        <v/>
      </c>
      <c r="BD695" s="633" t="str">
        <f>IF(AND(L695="",H695=""),"",
IF(H695="",Pole_Calc!A723,
IF(H695="MP",Pole_Calc!A724,
IF(H695="AnMP",Pole_Calc!A725,
IF(H695="A",Pole_Calc!A726,
IF(H695="S/A",Pole_Calc!A727,
IF(H695="A/S",Pole_Calc!A728,"Poner a mano")))))))</f>
        <v/>
      </c>
      <c r="BE695" s="448" t="s">
        <v>1726</v>
      </c>
      <c r="BF695" s="635"/>
      <c r="BG695" s="635"/>
      <c r="BH695" s="634"/>
      <c r="BI695" s="635"/>
    </row>
    <row r="696" spans="1:61" ht="16.2" customHeight="1">
      <c r="A696" s="12"/>
      <c r="B696" s="446"/>
      <c r="C696" s="89"/>
      <c r="D696" s="13"/>
      <c r="E696" s="14"/>
      <c r="F696" s="14"/>
      <c r="G696" s="15"/>
      <c r="H696" s="8"/>
      <c r="I696" s="8"/>
      <c r="J696" s="89"/>
      <c r="K696" s="8"/>
      <c r="L696" s="8"/>
      <c r="M696" s="8" t="str">
        <f>IF(L696="","",
IF(AX696="PT",VLOOKUP(L696,Foundation_Calc!$V$4:$X$37,VLOOKUP(AX696,Foundation_Calc!$I$10:$J$13,2,FALSE),0),
IF(AX696="K",VLOOKUP(L696,Foundation_Calc!$V$41:$X$74,VLOOKUP(AX696,Foundation_Calc!$I$10:$J$13,2,FALSE),0),"")))</f>
        <v/>
      </c>
      <c r="N696" s="8"/>
      <c r="O696" s="8"/>
      <c r="P696" s="8"/>
      <c r="Q696" s="14"/>
      <c r="R696" s="15"/>
      <c r="S696" s="15"/>
      <c r="T696" s="14"/>
      <c r="U696" s="14"/>
      <c r="V696" s="14"/>
      <c r="W696" s="18"/>
      <c r="X696" s="18"/>
      <c r="Y696" s="18"/>
      <c r="Z696" s="18"/>
      <c r="AA696" s="18"/>
      <c r="AB696" s="18"/>
      <c r="AC696" s="8" t="str">
        <f t="shared" si="41"/>
        <v/>
      </c>
      <c r="AD696" s="8"/>
      <c r="AE696" s="8"/>
      <c r="AF696" s="14"/>
      <c r="AG696" s="13"/>
      <c r="AH696" s="14"/>
      <c r="AI696" s="14"/>
      <c r="AJ696" s="8"/>
      <c r="AK696" s="8"/>
      <c r="AL696" s="8"/>
      <c r="AM696" s="8"/>
      <c r="AN696" s="631"/>
      <c r="AO696" s="18"/>
      <c r="AP696" s="18"/>
      <c r="AQ696" s="18"/>
      <c r="AR696" s="18"/>
      <c r="AS696" s="18"/>
      <c r="AU696" s="448"/>
      <c r="AV696" s="448"/>
      <c r="AW696" s="8" t="str">
        <f>IF(C696&gt;0,VLOOKUP(C696,Foundation_Calc!$A$2:$C$986,3,1),
IF(J696&gt;0,VLOOKUP(J696,Foundation_Calc!$A$2:$C$986,3,1),""))</f>
        <v/>
      </c>
      <c r="AX696" s="8" t="str">
        <f>IF(C696&gt;0,VLOOKUP(C696,Foundation_Calc!$E$2:$G$986,3,1),
IF(J696&gt;0,VLOOKUP(J696,Foundation_Calc!$E$2:$G$986,3,1),""))</f>
        <v/>
      </c>
      <c r="AY696" s="631" t="str">
        <f>IF(L696="","",
IF(AX696="PT",VLOOKUP(L696,Foundation_Calc!$K$4:$R$37,VLOOKUP(AW696,Foundation_Calc!$I$2:$J$8,2,FALSE),0),
IF(AX696="K",VLOOKUP(L696,Foundation_Calc!$K$41:$R$74,VLOOKUP(AW696,Foundation_Calc!$I$2:$J$8,2,FALSE),0),"")))</f>
        <v/>
      </c>
      <c r="AZ696" s="631" t="str">
        <f>IF(K696="","",
IF(AX696="PT",VLOOKUP(K696,Foundation_Calc!$K$4:$R$37,VLOOKUP(AW696,Foundation_Calc!$I$2:$J$8,2,FALSE),0),
IF(AX696="K",VLOOKUP(K696,Foundation_Calc!$K$41:$R$74,VLOOKUP(AW696,Foundation_Calc!$I$2:$J$8,2,FALSE),0),"")))</f>
        <v/>
      </c>
      <c r="BA696" s="632" t="str">
        <f t="shared" si="42"/>
        <v/>
      </c>
      <c r="BB696" s="632" t="str">
        <f t="shared" si="43"/>
        <v/>
      </c>
      <c r="BC696" s="632" t="str">
        <f t="shared" si="44"/>
        <v/>
      </c>
      <c r="BD696" s="633" t="str">
        <f>IF(AND(L696="",H696=""),"",
IF(H696="",Pole_Calc!A724,
IF(H696="MP",Pole_Calc!A725,
IF(H696="AnMP",Pole_Calc!A726,
IF(H696="A",Pole_Calc!A727,
IF(H696="S/A",Pole_Calc!A728,
IF(H696="A/S",Pole_Calc!A729,"Poner a mano")))))))</f>
        <v/>
      </c>
      <c r="BE696" s="448" t="s">
        <v>1726</v>
      </c>
      <c r="BF696" s="634"/>
      <c r="BG696" s="634"/>
      <c r="BH696" s="634"/>
      <c r="BI696" s="634"/>
    </row>
    <row r="697" spans="1:61" ht="16.2" customHeight="1">
      <c r="A697" s="12"/>
      <c r="B697" s="446"/>
      <c r="C697" s="89"/>
      <c r="D697" s="13"/>
      <c r="E697" s="14"/>
      <c r="F697" s="14"/>
      <c r="G697" s="15"/>
      <c r="H697" s="8"/>
      <c r="I697" s="8"/>
      <c r="J697" s="89"/>
      <c r="K697" s="8"/>
      <c r="L697" s="8"/>
      <c r="M697" s="8" t="str">
        <f>IF(L697="","",
IF(AX697="PT",VLOOKUP(L697,Foundation_Calc!$V$4:$X$37,VLOOKUP(AX697,Foundation_Calc!$I$10:$J$13,2,FALSE),0),
IF(AX697="K",VLOOKUP(L697,Foundation_Calc!$V$41:$X$74,VLOOKUP(AX697,Foundation_Calc!$I$10:$J$13,2,FALSE),0),"")))</f>
        <v/>
      </c>
      <c r="N697" s="8"/>
      <c r="O697" s="8"/>
      <c r="P697" s="8"/>
      <c r="Q697" s="14"/>
      <c r="R697" s="15"/>
      <c r="S697" s="15"/>
      <c r="T697" s="14"/>
      <c r="U697" s="14"/>
      <c r="V697" s="14"/>
      <c r="W697" s="18"/>
      <c r="X697" s="18"/>
      <c r="Y697" s="18"/>
      <c r="Z697" s="18"/>
      <c r="AA697" s="18"/>
      <c r="AB697" s="18"/>
      <c r="AC697" s="8" t="str">
        <f t="shared" si="41"/>
        <v/>
      </c>
      <c r="AD697" s="8"/>
      <c r="AE697" s="8"/>
      <c r="AF697" s="14"/>
      <c r="AG697" s="13"/>
      <c r="AH697" s="14"/>
      <c r="AI697" s="14"/>
      <c r="AJ697" s="8"/>
      <c r="AK697" s="8"/>
      <c r="AL697" s="8"/>
      <c r="AM697" s="8"/>
      <c r="AN697" s="631"/>
      <c r="AO697" s="18"/>
      <c r="AP697" s="18"/>
      <c r="AQ697" s="18"/>
      <c r="AR697" s="18"/>
      <c r="AS697" s="18"/>
      <c r="AU697" s="448"/>
      <c r="AV697" s="448"/>
      <c r="AW697" s="8" t="str">
        <f>IF(C697&gt;0,VLOOKUP(C697,Foundation_Calc!$A$2:$C$986,3,1),
IF(J697&gt;0,VLOOKUP(J697,Foundation_Calc!$A$2:$C$986,3,1),""))</f>
        <v/>
      </c>
      <c r="AX697" s="8" t="str">
        <f>IF(C697&gt;0,VLOOKUP(C697,Foundation_Calc!$E$2:$G$986,3,1),
IF(J697&gt;0,VLOOKUP(J697,Foundation_Calc!$E$2:$G$986,3,1),""))</f>
        <v/>
      </c>
      <c r="AY697" s="631" t="str">
        <f>IF(L697="","",
IF(AX697="PT",VLOOKUP(L697,Foundation_Calc!$K$4:$R$37,VLOOKUP(AW697,Foundation_Calc!$I$2:$J$8,2,FALSE),0),
IF(AX697="K",VLOOKUP(L697,Foundation_Calc!$K$41:$R$74,VLOOKUP(AW697,Foundation_Calc!$I$2:$J$8,2,FALSE),0),"")))</f>
        <v/>
      </c>
      <c r="AZ697" s="631" t="str">
        <f>IF(K697="","",
IF(AX697="PT",VLOOKUP(K697,Foundation_Calc!$K$4:$R$37,VLOOKUP(AW697,Foundation_Calc!$I$2:$J$8,2,FALSE),0),
IF(AX697="K",VLOOKUP(K697,Foundation_Calc!$K$41:$R$74,VLOOKUP(AW697,Foundation_Calc!$I$2:$J$8,2,FALSE),0),"")))</f>
        <v/>
      </c>
      <c r="BA697" s="632" t="str">
        <f t="shared" si="42"/>
        <v/>
      </c>
      <c r="BB697" s="632" t="str">
        <f t="shared" si="43"/>
        <v/>
      </c>
      <c r="BC697" s="632" t="str">
        <f t="shared" si="44"/>
        <v/>
      </c>
      <c r="BD697" s="633" t="str">
        <f>IF(AND(L697="",H697=""),"",
IF(H697="",Pole_Calc!A725,
IF(H697="MP",Pole_Calc!A726,
IF(H697="AnMP",Pole_Calc!A727,
IF(H697="A",Pole_Calc!A728,
IF(H697="S/A",Pole_Calc!A729,
IF(H697="A/S",Pole_Calc!A730,"Poner a mano")))))))</f>
        <v/>
      </c>
      <c r="BE697" s="448" t="s">
        <v>1726</v>
      </c>
      <c r="BF697" s="635"/>
      <c r="BG697" s="635"/>
      <c r="BH697" s="634"/>
      <c r="BI697" s="635"/>
    </row>
    <row r="698" spans="1:61" ht="16.2" customHeight="1">
      <c r="A698" s="12"/>
      <c r="B698" s="446"/>
      <c r="C698" s="89"/>
      <c r="D698" s="13"/>
      <c r="E698" s="14"/>
      <c r="F698" s="14"/>
      <c r="G698" s="15"/>
      <c r="H698" s="8"/>
      <c r="I698" s="8"/>
      <c r="J698" s="89"/>
      <c r="K698" s="8"/>
      <c r="L698" s="8"/>
      <c r="M698" s="8" t="str">
        <f>IF(L698="","",
IF(AX698="PT",VLOOKUP(L698,Foundation_Calc!$V$4:$X$37,VLOOKUP(AX698,Foundation_Calc!$I$10:$J$13,2,FALSE),0),
IF(AX698="K",VLOOKUP(L698,Foundation_Calc!$V$41:$X$74,VLOOKUP(AX698,Foundation_Calc!$I$10:$J$13,2,FALSE),0),"")))</f>
        <v/>
      </c>
      <c r="N698" s="8"/>
      <c r="O698" s="8"/>
      <c r="P698" s="8"/>
      <c r="Q698" s="14"/>
      <c r="R698" s="15"/>
      <c r="S698" s="15"/>
      <c r="T698" s="14"/>
      <c r="U698" s="14"/>
      <c r="V698" s="14"/>
      <c r="W698" s="18"/>
      <c r="X698" s="18"/>
      <c r="Y698" s="18"/>
      <c r="Z698" s="18"/>
      <c r="AA698" s="18"/>
      <c r="AB698" s="18"/>
      <c r="AC698" s="8" t="str">
        <f t="shared" si="41"/>
        <v/>
      </c>
      <c r="AD698" s="8"/>
      <c r="AE698" s="8"/>
      <c r="AF698" s="14"/>
      <c r="AG698" s="13"/>
      <c r="AH698" s="14"/>
      <c r="AI698" s="14"/>
      <c r="AJ698" s="8"/>
      <c r="AK698" s="8"/>
      <c r="AL698" s="8"/>
      <c r="AM698" s="8"/>
      <c r="AN698" s="631"/>
      <c r="AO698" s="18"/>
      <c r="AP698" s="18"/>
      <c r="AQ698" s="18"/>
      <c r="AR698" s="18"/>
      <c r="AS698" s="18"/>
      <c r="AU698" s="448"/>
      <c r="AV698" s="448"/>
      <c r="AW698" s="8" t="str">
        <f>IF(C698&gt;0,VLOOKUP(C698,Foundation_Calc!$A$2:$C$986,3,1),
IF(J698&gt;0,VLOOKUP(J698,Foundation_Calc!$A$2:$C$986,3,1),""))</f>
        <v/>
      </c>
      <c r="AX698" s="8" t="str">
        <f>IF(C698&gt;0,VLOOKUP(C698,Foundation_Calc!$E$2:$G$986,3,1),
IF(J698&gt;0,VLOOKUP(J698,Foundation_Calc!$E$2:$G$986,3,1),""))</f>
        <v/>
      </c>
      <c r="AY698" s="631" t="str">
        <f>IF(L698="","",
IF(AX698="PT",VLOOKUP(L698,Foundation_Calc!$K$4:$R$37,VLOOKUP(AW698,Foundation_Calc!$I$2:$J$8,2,FALSE),0),
IF(AX698="K",VLOOKUP(L698,Foundation_Calc!$K$41:$R$74,VLOOKUP(AW698,Foundation_Calc!$I$2:$J$8,2,FALSE),0),"")))</f>
        <v/>
      </c>
      <c r="AZ698" s="631" t="str">
        <f>IF(K698="","",
IF(AX698="PT",VLOOKUP(K698,Foundation_Calc!$K$4:$R$37,VLOOKUP(AW698,Foundation_Calc!$I$2:$J$8,2,FALSE),0),
IF(AX698="K",VLOOKUP(K698,Foundation_Calc!$K$41:$R$74,VLOOKUP(AW698,Foundation_Calc!$I$2:$J$8,2,FALSE),0),"")))</f>
        <v/>
      </c>
      <c r="BA698" s="632" t="str">
        <f t="shared" si="42"/>
        <v/>
      </c>
      <c r="BB698" s="632" t="str">
        <f t="shared" si="43"/>
        <v/>
      </c>
      <c r="BC698" s="632" t="str">
        <f t="shared" si="44"/>
        <v/>
      </c>
      <c r="BD698" s="633" t="str">
        <f>IF(AND(L698="",H698=""),"",
IF(H698="",Pole_Calc!A726,
IF(H698="MP",Pole_Calc!A727,
IF(H698="AnMP",Pole_Calc!A728,
IF(H698="A",Pole_Calc!A729,
IF(H698="S/A",Pole_Calc!A730,
IF(H698="A/S",Pole_Calc!A731,"Poner a mano")))))))</f>
        <v/>
      </c>
      <c r="BE698" s="448" t="s">
        <v>1726</v>
      </c>
      <c r="BF698" s="634"/>
      <c r="BG698" s="634"/>
      <c r="BH698" s="634"/>
      <c r="BI698" s="634"/>
    </row>
    <row r="699" spans="1:61" ht="16.2" customHeight="1">
      <c r="A699" s="12"/>
      <c r="B699" s="446"/>
      <c r="C699" s="89"/>
      <c r="D699" s="13"/>
      <c r="E699" s="14"/>
      <c r="F699" s="14"/>
      <c r="G699" s="15"/>
      <c r="H699" s="8"/>
      <c r="I699" s="8"/>
      <c r="J699" s="89"/>
      <c r="K699" s="8"/>
      <c r="L699" s="8"/>
      <c r="M699" s="8" t="str">
        <f>IF(L699="","",
IF(AX699="PT",VLOOKUP(L699,Foundation_Calc!$V$4:$X$37,VLOOKUP(AX699,Foundation_Calc!$I$10:$J$13,2,FALSE),0),
IF(AX699="K",VLOOKUP(L699,Foundation_Calc!$V$41:$X$74,VLOOKUP(AX699,Foundation_Calc!$I$10:$J$13,2,FALSE),0),"")))</f>
        <v/>
      </c>
      <c r="N699" s="8"/>
      <c r="O699" s="8"/>
      <c r="P699" s="8"/>
      <c r="Q699" s="14"/>
      <c r="R699" s="15"/>
      <c r="S699" s="15"/>
      <c r="T699" s="14"/>
      <c r="U699" s="14"/>
      <c r="V699" s="14"/>
      <c r="W699" s="18"/>
      <c r="X699" s="18"/>
      <c r="Y699" s="18"/>
      <c r="Z699" s="18"/>
      <c r="AA699" s="18"/>
      <c r="AB699" s="18"/>
      <c r="AC699" s="8" t="str">
        <f t="shared" si="41"/>
        <v/>
      </c>
      <c r="AD699" s="8"/>
      <c r="AE699" s="8"/>
      <c r="AF699" s="14"/>
      <c r="AG699" s="13"/>
      <c r="AH699" s="14"/>
      <c r="AI699" s="14"/>
      <c r="AJ699" s="8"/>
      <c r="AK699" s="8"/>
      <c r="AL699" s="8"/>
      <c r="AM699" s="8"/>
      <c r="AN699" s="631"/>
      <c r="AO699" s="18"/>
      <c r="AP699" s="18"/>
      <c r="AQ699" s="18"/>
      <c r="AR699" s="18"/>
      <c r="AS699" s="18"/>
      <c r="AU699" s="448"/>
      <c r="AV699" s="448"/>
      <c r="AW699" s="8" t="str">
        <f>IF(C699&gt;0,VLOOKUP(C699,Foundation_Calc!$A$2:$C$986,3,1),
IF(J699&gt;0,VLOOKUP(J699,Foundation_Calc!$A$2:$C$986,3,1),""))</f>
        <v/>
      </c>
      <c r="AX699" s="8" t="str">
        <f>IF(C699&gt;0,VLOOKUP(C699,Foundation_Calc!$E$2:$G$986,3,1),
IF(J699&gt;0,VLOOKUP(J699,Foundation_Calc!$E$2:$G$986,3,1),""))</f>
        <v/>
      </c>
      <c r="AY699" s="631" t="str">
        <f>IF(L699="","",
IF(AX699="PT",VLOOKUP(L699,Foundation_Calc!$K$4:$R$37,VLOOKUP(AW699,Foundation_Calc!$I$2:$J$8,2,FALSE),0),
IF(AX699="K",VLOOKUP(L699,Foundation_Calc!$K$41:$R$74,VLOOKUP(AW699,Foundation_Calc!$I$2:$J$8,2,FALSE),0),"")))</f>
        <v/>
      </c>
      <c r="AZ699" s="631" t="str">
        <f>IF(K699="","",
IF(AX699="PT",VLOOKUP(K699,Foundation_Calc!$K$4:$R$37,VLOOKUP(AW699,Foundation_Calc!$I$2:$J$8,2,FALSE),0),
IF(AX699="K",VLOOKUP(K699,Foundation_Calc!$K$41:$R$74,VLOOKUP(AW699,Foundation_Calc!$I$2:$J$8,2,FALSE),0),"")))</f>
        <v/>
      </c>
      <c r="BA699" s="632" t="str">
        <f t="shared" si="42"/>
        <v/>
      </c>
      <c r="BB699" s="632" t="str">
        <f t="shared" si="43"/>
        <v/>
      </c>
      <c r="BC699" s="632" t="str">
        <f t="shared" si="44"/>
        <v/>
      </c>
      <c r="BD699" s="633" t="str">
        <f>IF(AND(L699="",H699=""),"",
IF(H699="",Pole_Calc!A727,
IF(H699="MP",Pole_Calc!A728,
IF(H699="AnMP",Pole_Calc!A729,
IF(H699="A",Pole_Calc!A730,
IF(H699="S/A",Pole_Calc!A731,
IF(H699="A/S",Pole_Calc!A732,"Poner a mano")))))))</f>
        <v/>
      </c>
      <c r="BE699" s="448" t="s">
        <v>1726</v>
      </c>
      <c r="BF699" s="635"/>
      <c r="BG699" s="635"/>
      <c r="BH699" s="634"/>
      <c r="BI699" s="635"/>
    </row>
    <row r="700" spans="1:61" ht="16.2" customHeight="1">
      <c r="A700" s="12"/>
      <c r="B700" s="446"/>
      <c r="C700" s="89"/>
      <c r="D700" s="13"/>
      <c r="E700" s="14"/>
      <c r="F700" s="14"/>
      <c r="G700" s="15"/>
      <c r="H700" s="8"/>
      <c r="I700" s="8"/>
      <c r="J700" s="89"/>
      <c r="K700" s="8"/>
      <c r="L700" s="8"/>
      <c r="M700" s="8" t="str">
        <f>IF(L700="","",
IF(AX700="PT",VLOOKUP(L700,Foundation_Calc!$V$4:$X$37,VLOOKUP(AX700,Foundation_Calc!$I$10:$J$13,2,FALSE),0),
IF(AX700="K",VLOOKUP(L700,Foundation_Calc!$V$41:$X$74,VLOOKUP(AX700,Foundation_Calc!$I$10:$J$13,2,FALSE),0),"")))</f>
        <v/>
      </c>
      <c r="N700" s="8"/>
      <c r="O700" s="8"/>
      <c r="P700" s="8"/>
      <c r="Q700" s="14"/>
      <c r="R700" s="15"/>
      <c r="S700" s="15"/>
      <c r="T700" s="14"/>
      <c r="U700" s="14"/>
      <c r="V700" s="14"/>
      <c r="W700" s="18"/>
      <c r="X700" s="18"/>
      <c r="Y700" s="18"/>
      <c r="Z700" s="18"/>
      <c r="AA700" s="18"/>
      <c r="AB700" s="18"/>
      <c r="AC700" s="8" t="str">
        <f t="shared" si="41"/>
        <v/>
      </c>
      <c r="AD700" s="8"/>
      <c r="AE700" s="8"/>
      <c r="AF700" s="14"/>
      <c r="AG700" s="13"/>
      <c r="AH700" s="14"/>
      <c r="AI700" s="14"/>
      <c r="AJ700" s="8"/>
      <c r="AK700" s="8"/>
      <c r="AL700" s="8"/>
      <c r="AM700" s="8"/>
      <c r="AN700" s="631"/>
      <c r="AO700" s="18"/>
      <c r="AP700" s="18"/>
      <c r="AQ700" s="18"/>
      <c r="AR700" s="18"/>
      <c r="AS700" s="18"/>
      <c r="AU700" s="448"/>
      <c r="AV700" s="448"/>
      <c r="AW700" s="8" t="str">
        <f>IF(C700&gt;0,VLOOKUP(C700,Foundation_Calc!$A$2:$C$986,3,1),
IF(J700&gt;0,VLOOKUP(J700,Foundation_Calc!$A$2:$C$986,3,1),""))</f>
        <v/>
      </c>
      <c r="AX700" s="8" t="str">
        <f>IF(C700&gt;0,VLOOKUP(C700,Foundation_Calc!$E$2:$G$986,3,1),
IF(J700&gt;0,VLOOKUP(J700,Foundation_Calc!$E$2:$G$986,3,1),""))</f>
        <v/>
      </c>
      <c r="AY700" s="631" t="str">
        <f>IF(L700="","",
IF(AX700="PT",VLOOKUP(L700,Foundation_Calc!$K$4:$R$37,VLOOKUP(AW700,Foundation_Calc!$I$2:$J$8,2,FALSE),0),
IF(AX700="K",VLOOKUP(L700,Foundation_Calc!$K$41:$R$74,VLOOKUP(AW700,Foundation_Calc!$I$2:$J$8,2,FALSE),0),"")))</f>
        <v/>
      </c>
      <c r="AZ700" s="631" t="str">
        <f>IF(K700="","",
IF(AX700="PT",VLOOKUP(K700,Foundation_Calc!$K$4:$R$37,VLOOKUP(AW700,Foundation_Calc!$I$2:$J$8,2,FALSE),0),
IF(AX700="K",VLOOKUP(K700,Foundation_Calc!$K$41:$R$74,VLOOKUP(AW700,Foundation_Calc!$I$2:$J$8,2,FALSE),0),"")))</f>
        <v/>
      </c>
      <c r="BA700" s="632" t="str">
        <f t="shared" si="42"/>
        <v/>
      </c>
      <c r="BB700" s="632" t="str">
        <f t="shared" si="43"/>
        <v/>
      </c>
      <c r="BC700" s="632" t="str">
        <f t="shared" si="44"/>
        <v/>
      </c>
      <c r="BD700" s="633" t="str">
        <f>IF(AND(L700="",H700=""),"",
IF(H700="",Pole_Calc!A728,
IF(H700="MP",Pole_Calc!A729,
IF(H700="AnMP",Pole_Calc!A730,
IF(H700="A",Pole_Calc!A731,
IF(H700="S/A",Pole_Calc!A732,
IF(H700="A/S",Pole_Calc!A733,"Poner a mano")))))))</f>
        <v/>
      </c>
      <c r="BE700" s="448" t="s">
        <v>1726</v>
      </c>
      <c r="BF700" s="634"/>
      <c r="BG700" s="634"/>
      <c r="BH700" s="634"/>
      <c r="BI700" s="634"/>
    </row>
    <row r="701" spans="1:61" ht="16.2" customHeight="1">
      <c r="A701" s="12"/>
      <c r="B701" s="446"/>
      <c r="C701" s="89"/>
      <c r="D701" s="13"/>
      <c r="E701" s="14"/>
      <c r="F701" s="14"/>
      <c r="G701" s="15"/>
      <c r="H701" s="8"/>
      <c r="I701" s="8"/>
      <c r="J701" s="89"/>
      <c r="K701" s="8"/>
      <c r="L701" s="8"/>
      <c r="M701" s="8" t="str">
        <f>IF(L701="","",
IF(AX701="PT",VLOOKUP(L701,Foundation_Calc!$V$4:$X$37,VLOOKUP(AX701,Foundation_Calc!$I$10:$J$13,2,FALSE),0),
IF(AX701="K",VLOOKUP(L701,Foundation_Calc!$V$41:$X$74,VLOOKUP(AX701,Foundation_Calc!$I$10:$J$13,2,FALSE),0),"")))</f>
        <v/>
      </c>
      <c r="N701" s="8"/>
      <c r="O701" s="8"/>
      <c r="P701" s="8"/>
      <c r="Q701" s="14"/>
      <c r="R701" s="15"/>
      <c r="S701" s="15"/>
      <c r="T701" s="14"/>
      <c r="U701" s="14"/>
      <c r="V701" s="14"/>
      <c r="W701" s="18"/>
      <c r="X701" s="18"/>
      <c r="Y701" s="18"/>
      <c r="Z701" s="18"/>
      <c r="AA701" s="18"/>
      <c r="AB701" s="18"/>
      <c r="AC701" s="8" t="str">
        <f t="shared" si="41"/>
        <v/>
      </c>
      <c r="AD701" s="8"/>
      <c r="AE701" s="8"/>
      <c r="AF701" s="14"/>
      <c r="AG701" s="13"/>
      <c r="AH701" s="14"/>
      <c r="AI701" s="14"/>
      <c r="AJ701" s="8"/>
      <c r="AK701" s="8"/>
      <c r="AL701" s="8"/>
      <c r="AM701" s="8"/>
      <c r="AN701" s="631"/>
      <c r="AO701" s="18"/>
      <c r="AP701" s="18"/>
      <c r="AQ701" s="18"/>
      <c r="AR701" s="18"/>
      <c r="AS701" s="18"/>
      <c r="AU701" s="448"/>
      <c r="AV701" s="448"/>
      <c r="AW701" s="8" t="str">
        <f>IF(C701&gt;0,VLOOKUP(C701,Foundation_Calc!$A$2:$C$986,3,1),
IF(J701&gt;0,VLOOKUP(J701,Foundation_Calc!$A$2:$C$986,3,1),""))</f>
        <v/>
      </c>
      <c r="AX701" s="8" t="str">
        <f>IF(C701&gt;0,VLOOKUP(C701,Foundation_Calc!$E$2:$G$986,3,1),
IF(J701&gt;0,VLOOKUP(J701,Foundation_Calc!$E$2:$G$986,3,1),""))</f>
        <v/>
      </c>
      <c r="AY701" s="631" t="str">
        <f>IF(L701="","",
IF(AX701="PT",VLOOKUP(L701,Foundation_Calc!$K$4:$R$37,VLOOKUP(AW701,Foundation_Calc!$I$2:$J$8,2,FALSE),0),
IF(AX701="K",VLOOKUP(L701,Foundation_Calc!$K$41:$R$74,VLOOKUP(AW701,Foundation_Calc!$I$2:$J$8,2,FALSE),0),"")))</f>
        <v/>
      </c>
      <c r="AZ701" s="631" t="str">
        <f>IF(K701="","",
IF(AX701="PT",VLOOKUP(K701,Foundation_Calc!$K$4:$R$37,VLOOKUP(AW701,Foundation_Calc!$I$2:$J$8,2,FALSE),0),
IF(AX701="K",VLOOKUP(K701,Foundation_Calc!$K$41:$R$74,VLOOKUP(AW701,Foundation_Calc!$I$2:$J$8,2,FALSE),0),"")))</f>
        <v/>
      </c>
      <c r="BA701" s="632" t="str">
        <f t="shared" si="42"/>
        <v/>
      </c>
      <c r="BB701" s="632" t="str">
        <f t="shared" si="43"/>
        <v/>
      </c>
      <c r="BC701" s="632" t="str">
        <f t="shared" si="44"/>
        <v/>
      </c>
      <c r="BD701" s="633" t="str">
        <f>IF(AND(L701="",H701=""),"",
IF(H701="",Pole_Calc!A729,
IF(H701="MP",Pole_Calc!A730,
IF(H701="AnMP",Pole_Calc!A731,
IF(H701="A",Pole_Calc!A732,
IF(H701="S/A",Pole_Calc!A733,
IF(H701="A/S",Pole_Calc!A734,"Poner a mano")))))))</f>
        <v/>
      </c>
      <c r="BE701" s="448" t="s">
        <v>1726</v>
      </c>
      <c r="BF701" s="635"/>
      <c r="BG701" s="635"/>
      <c r="BH701" s="634"/>
      <c r="BI701" s="635"/>
    </row>
    <row r="702" spans="1:61" ht="16.2" customHeight="1">
      <c r="A702" s="12"/>
      <c r="B702" s="446"/>
      <c r="C702" s="89"/>
      <c r="D702" s="13"/>
      <c r="E702" s="14"/>
      <c r="F702" s="14"/>
      <c r="G702" s="15"/>
      <c r="H702" s="8"/>
      <c r="I702" s="8"/>
      <c r="J702" s="89"/>
      <c r="K702" s="8"/>
      <c r="L702" s="8"/>
      <c r="M702" s="8" t="str">
        <f>IF(L702="","",
IF(AX702="PT",VLOOKUP(L702,Foundation_Calc!$V$4:$X$37,VLOOKUP(AX702,Foundation_Calc!$I$10:$J$13,2,FALSE),0),
IF(AX702="K",VLOOKUP(L702,Foundation_Calc!$V$41:$X$74,VLOOKUP(AX702,Foundation_Calc!$I$10:$J$13,2,FALSE),0),"")))</f>
        <v/>
      </c>
      <c r="N702" s="8"/>
      <c r="O702" s="8"/>
      <c r="P702" s="8"/>
      <c r="Q702" s="14"/>
      <c r="R702" s="15"/>
      <c r="S702" s="15"/>
      <c r="T702" s="14"/>
      <c r="U702" s="14"/>
      <c r="V702" s="14"/>
      <c r="W702" s="18"/>
      <c r="X702" s="18"/>
      <c r="Y702" s="18"/>
      <c r="Z702" s="18"/>
      <c r="AA702" s="18"/>
      <c r="AB702" s="18"/>
      <c r="AC702" s="8" t="str">
        <f t="shared" si="41"/>
        <v/>
      </c>
      <c r="AD702" s="8"/>
      <c r="AE702" s="8"/>
      <c r="AF702" s="14"/>
      <c r="AG702" s="13"/>
      <c r="AH702" s="14"/>
      <c r="AI702" s="14"/>
      <c r="AJ702" s="8"/>
      <c r="AK702" s="8"/>
      <c r="AL702" s="8"/>
      <c r="AM702" s="8"/>
      <c r="AN702" s="631"/>
      <c r="AO702" s="18"/>
      <c r="AP702" s="18"/>
      <c r="AQ702" s="18"/>
      <c r="AR702" s="18"/>
      <c r="AS702" s="18"/>
      <c r="AU702" s="448"/>
      <c r="AV702" s="448"/>
      <c r="AW702" s="8" t="str">
        <f>IF(C702&gt;0,VLOOKUP(C702,Foundation_Calc!$A$2:$C$986,3,1),
IF(J702&gt;0,VLOOKUP(J702,Foundation_Calc!$A$2:$C$986,3,1),""))</f>
        <v/>
      </c>
      <c r="AX702" s="8" t="str">
        <f>IF(C702&gt;0,VLOOKUP(C702,Foundation_Calc!$E$2:$G$986,3,1),
IF(J702&gt;0,VLOOKUP(J702,Foundation_Calc!$E$2:$G$986,3,1),""))</f>
        <v/>
      </c>
      <c r="AY702" s="631" t="str">
        <f>IF(L702="","",
IF(AX702="PT",VLOOKUP(L702,Foundation_Calc!$K$4:$R$37,VLOOKUP(AW702,Foundation_Calc!$I$2:$J$8,2,FALSE),0),
IF(AX702="K",VLOOKUP(L702,Foundation_Calc!$K$41:$R$74,VLOOKUP(AW702,Foundation_Calc!$I$2:$J$8,2,FALSE),0),"")))</f>
        <v/>
      </c>
      <c r="AZ702" s="631" t="str">
        <f>IF(K702="","",
IF(AX702="PT",VLOOKUP(K702,Foundation_Calc!$K$4:$R$37,VLOOKUP(AW702,Foundation_Calc!$I$2:$J$8,2,FALSE),0),
IF(AX702="K",VLOOKUP(K702,Foundation_Calc!$K$41:$R$74,VLOOKUP(AW702,Foundation_Calc!$I$2:$J$8,2,FALSE),0),"")))</f>
        <v/>
      </c>
      <c r="BA702" s="632" t="str">
        <f t="shared" si="42"/>
        <v/>
      </c>
      <c r="BB702" s="632" t="str">
        <f t="shared" si="43"/>
        <v/>
      </c>
      <c r="BC702" s="632" t="str">
        <f t="shared" si="44"/>
        <v/>
      </c>
      <c r="BD702" s="633" t="str">
        <f>IF(AND(L702="",H702=""),"",
IF(H702="",Pole_Calc!A730,
IF(H702="MP",Pole_Calc!A731,
IF(H702="AnMP",Pole_Calc!A732,
IF(H702="A",Pole_Calc!A733,
IF(H702="S/A",Pole_Calc!A734,
IF(H702="A/S",Pole_Calc!A735,"Poner a mano")))))))</f>
        <v/>
      </c>
      <c r="BE702" s="448" t="s">
        <v>1726</v>
      </c>
      <c r="BF702" s="634"/>
      <c r="BG702" s="634"/>
      <c r="BH702" s="634"/>
      <c r="BI702" s="634"/>
    </row>
    <row r="703" spans="1:61" ht="16.2" customHeight="1">
      <c r="A703" s="12"/>
      <c r="B703" s="446"/>
      <c r="C703" s="89"/>
      <c r="D703" s="13"/>
      <c r="E703" s="14"/>
      <c r="F703" s="14"/>
      <c r="G703" s="15"/>
      <c r="H703" s="8"/>
      <c r="I703" s="8"/>
      <c r="J703" s="89"/>
      <c r="K703" s="8"/>
      <c r="L703" s="8"/>
      <c r="M703" s="8" t="str">
        <f>IF(L703="","",
IF(AX703="PT",VLOOKUP(L703,Foundation_Calc!$V$4:$X$37,VLOOKUP(AX703,Foundation_Calc!$I$10:$J$13,2,FALSE),0),
IF(AX703="K",VLOOKUP(L703,Foundation_Calc!$V$41:$X$74,VLOOKUP(AX703,Foundation_Calc!$I$10:$J$13,2,FALSE),0),"")))</f>
        <v/>
      </c>
      <c r="N703" s="8"/>
      <c r="O703" s="8"/>
      <c r="P703" s="8"/>
      <c r="Q703" s="14"/>
      <c r="R703" s="15"/>
      <c r="S703" s="15"/>
      <c r="T703" s="14"/>
      <c r="U703" s="14"/>
      <c r="V703" s="14"/>
      <c r="W703" s="18"/>
      <c r="X703" s="18"/>
      <c r="Y703" s="18"/>
      <c r="Z703" s="18"/>
      <c r="AA703" s="18"/>
      <c r="AB703" s="18"/>
      <c r="AC703" s="8" t="str">
        <f t="shared" si="41"/>
        <v/>
      </c>
      <c r="AD703" s="8"/>
      <c r="AE703" s="8"/>
      <c r="AF703" s="14"/>
      <c r="AG703" s="13"/>
      <c r="AH703" s="14"/>
      <c r="AI703" s="14"/>
      <c r="AJ703" s="8"/>
      <c r="AK703" s="8"/>
      <c r="AL703" s="8"/>
      <c r="AM703" s="8"/>
      <c r="AN703" s="631"/>
      <c r="AO703" s="18"/>
      <c r="AP703" s="18"/>
      <c r="AQ703" s="18"/>
      <c r="AR703" s="18"/>
      <c r="AS703" s="18"/>
      <c r="AU703" s="448"/>
      <c r="AV703" s="448"/>
      <c r="AW703" s="8" t="str">
        <f>IF(C703&gt;0,VLOOKUP(C703,Foundation_Calc!$A$2:$C$986,3,1),
IF(J703&gt;0,VLOOKUP(J703,Foundation_Calc!$A$2:$C$986,3,1),""))</f>
        <v/>
      </c>
      <c r="AX703" s="8" t="str">
        <f>IF(C703&gt;0,VLOOKUP(C703,Foundation_Calc!$E$2:$G$986,3,1),
IF(J703&gt;0,VLOOKUP(J703,Foundation_Calc!$E$2:$G$986,3,1),""))</f>
        <v/>
      </c>
      <c r="AY703" s="631" t="str">
        <f>IF(L703="","",
IF(AX703="PT",VLOOKUP(L703,Foundation_Calc!$K$4:$R$37,VLOOKUP(AW703,Foundation_Calc!$I$2:$J$8,2,FALSE),0),
IF(AX703="K",VLOOKUP(L703,Foundation_Calc!$K$41:$R$74,VLOOKUP(AW703,Foundation_Calc!$I$2:$J$8,2,FALSE),0),"")))</f>
        <v/>
      </c>
      <c r="AZ703" s="631" t="str">
        <f>IF(K703="","",
IF(AX703="PT",VLOOKUP(K703,Foundation_Calc!$K$4:$R$37,VLOOKUP(AW703,Foundation_Calc!$I$2:$J$8,2,FALSE),0),
IF(AX703="K",VLOOKUP(K703,Foundation_Calc!$K$41:$R$74,VLOOKUP(AW703,Foundation_Calc!$I$2:$J$8,2,FALSE),0),"")))</f>
        <v/>
      </c>
      <c r="BA703" s="632" t="str">
        <f t="shared" si="42"/>
        <v/>
      </c>
      <c r="BB703" s="632" t="str">
        <f t="shared" si="43"/>
        <v/>
      </c>
      <c r="BC703" s="632" t="str">
        <f t="shared" si="44"/>
        <v/>
      </c>
      <c r="BD703" s="633" t="str">
        <f>IF(AND(L703="",H703=""),"",
IF(H703="",Pole_Calc!A731,
IF(H703="MP",Pole_Calc!A732,
IF(H703="AnMP",Pole_Calc!A733,
IF(H703="A",Pole_Calc!A734,
IF(H703="S/A",Pole_Calc!A735,
IF(H703="A/S",Pole_Calc!A736,"Poner a mano")))))))</f>
        <v/>
      </c>
      <c r="BE703" s="448" t="s">
        <v>1726</v>
      </c>
      <c r="BF703" s="635"/>
      <c r="BG703" s="635"/>
      <c r="BH703" s="634"/>
      <c r="BI703" s="635"/>
    </row>
    <row r="704" spans="1:61" ht="16.2" customHeight="1">
      <c r="A704" s="12"/>
      <c r="B704" s="446"/>
      <c r="C704" s="89"/>
      <c r="D704" s="13"/>
      <c r="E704" s="14"/>
      <c r="F704" s="14"/>
      <c r="G704" s="15"/>
      <c r="H704" s="8"/>
      <c r="I704" s="8"/>
      <c r="J704" s="89"/>
      <c r="K704" s="8"/>
      <c r="L704" s="8"/>
      <c r="M704" s="8" t="str">
        <f>IF(L704="","",
IF(AX704="PT",VLOOKUP(L704,Foundation_Calc!$V$4:$X$37,VLOOKUP(AX704,Foundation_Calc!$I$10:$J$13,2,FALSE),0),
IF(AX704="K",VLOOKUP(L704,Foundation_Calc!$V$41:$X$74,VLOOKUP(AX704,Foundation_Calc!$I$10:$J$13,2,FALSE),0),"")))</f>
        <v/>
      </c>
      <c r="N704" s="8"/>
      <c r="O704" s="8"/>
      <c r="P704" s="8"/>
      <c r="Q704" s="14"/>
      <c r="R704" s="15"/>
      <c r="S704" s="15"/>
      <c r="T704" s="14"/>
      <c r="U704" s="14"/>
      <c r="V704" s="14"/>
      <c r="W704" s="18"/>
      <c r="X704" s="18"/>
      <c r="Y704" s="18"/>
      <c r="Z704" s="18"/>
      <c r="AA704" s="18"/>
      <c r="AB704" s="18"/>
      <c r="AC704" s="8" t="str">
        <f t="shared" si="41"/>
        <v/>
      </c>
      <c r="AD704" s="8"/>
      <c r="AE704" s="8"/>
      <c r="AF704" s="14"/>
      <c r="AG704" s="13"/>
      <c r="AH704" s="14"/>
      <c r="AI704" s="14"/>
      <c r="AJ704" s="8"/>
      <c r="AK704" s="8"/>
      <c r="AL704" s="8"/>
      <c r="AM704" s="8"/>
      <c r="AN704" s="631"/>
      <c r="AO704" s="18"/>
      <c r="AP704" s="18"/>
      <c r="AQ704" s="18"/>
      <c r="AR704" s="18"/>
      <c r="AS704" s="18"/>
      <c r="AU704" s="448"/>
      <c r="AV704" s="448"/>
      <c r="AW704" s="8" t="str">
        <f>IF(C704&gt;0,VLOOKUP(C704,Foundation_Calc!$A$2:$C$986,3,1),
IF(J704&gt;0,VLOOKUP(J704,Foundation_Calc!$A$2:$C$986,3,1),""))</f>
        <v/>
      </c>
      <c r="AX704" s="8" t="str">
        <f>IF(C704&gt;0,VLOOKUP(C704,Foundation_Calc!$E$2:$G$986,3,1),
IF(J704&gt;0,VLOOKUP(J704,Foundation_Calc!$E$2:$G$986,3,1),""))</f>
        <v/>
      </c>
      <c r="AY704" s="631" t="str">
        <f>IF(L704="","",
IF(AX704="PT",VLOOKUP(L704,Foundation_Calc!$K$4:$R$37,VLOOKUP(AW704,Foundation_Calc!$I$2:$J$8,2,FALSE),0),
IF(AX704="K",VLOOKUP(L704,Foundation_Calc!$K$41:$R$74,VLOOKUP(AW704,Foundation_Calc!$I$2:$J$8,2,FALSE),0),"")))</f>
        <v/>
      </c>
      <c r="AZ704" s="631" t="str">
        <f>IF(K704="","",
IF(AX704="PT",VLOOKUP(K704,Foundation_Calc!$K$4:$R$37,VLOOKUP(AW704,Foundation_Calc!$I$2:$J$8,2,FALSE),0),
IF(AX704="K",VLOOKUP(K704,Foundation_Calc!$K$41:$R$74,VLOOKUP(AW704,Foundation_Calc!$I$2:$J$8,2,FALSE),0),"")))</f>
        <v/>
      </c>
      <c r="BA704" s="632" t="str">
        <f t="shared" si="42"/>
        <v/>
      </c>
      <c r="BB704" s="632" t="str">
        <f t="shared" si="43"/>
        <v/>
      </c>
      <c r="BC704" s="632" t="str">
        <f t="shared" si="44"/>
        <v/>
      </c>
      <c r="BD704" s="633" t="str">
        <f>IF(AND(L704="",H704=""),"",
IF(H704="",Pole_Calc!A732,
IF(H704="MP",Pole_Calc!A733,
IF(H704="AnMP",Pole_Calc!A734,
IF(H704="A",Pole_Calc!A735,
IF(H704="S/A",Pole_Calc!A736,
IF(H704="A/S",Pole_Calc!A737,"Poner a mano")))))))</f>
        <v/>
      </c>
      <c r="BE704" s="448" t="s">
        <v>1726</v>
      </c>
      <c r="BF704" s="634"/>
      <c r="BG704" s="634"/>
      <c r="BH704" s="634"/>
      <c r="BI704" s="634"/>
    </row>
    <row r="705" spans="1:61" ht="16.2" customHeight="1">
      <c r="A705" s="12"/>
      <c r="B705" s="446"/>
      <c r="C705" s="89"/>
      <c r="D705" s="13"/>
      <c r="E705" s="14"/>
      <c r="F705" s="14"/>
      <c r="G705" s="15"/>
      <c r="H705" s="8"/>
      <c r="I705" s="8"/>
      <c r="J705" s="89"/>
      <c r="K705" s="8"/>
      <c r="L705" s="8"/>
      <c r="M705" s="8" t="str">
        <f>IF(L705="","",
IF(AX705="PT",VLOOKUP(L705,Foundation_Calc!$V$4:$X$37,VLOOKUP(AX705,Foundation_Calc!$I$10:$J$13,2,FALSE),0),
IF(AX705="K",VLOOKUP(L705,Foundation_Calc!$V$41:$X$74,VLOOKUP(AX705,Foundation_Calc!$I$10:$J$13,2,FALSE),0),"")))</f>
        <v/>
      </c>
      <c r="N705" s="8"/>
      <c r="O705" s="8"/>
      <c r="P705" s="8"/>
      <c r="Q705" s="14"/>
      <c r="R705" s="15"/>
      <c r="S705" s="15"/>
      <c r="T705" s="14"/>
      <c r="U705" s="14"/>
      <c r="V705" s="14"/>
      <c r="W705" s="18"/>
      <c r="X705" s="18"/>
      <c r="Y705" s="18"/>
      <c r="Z705" s="18"/>
      <c r="AA705" s="18"/>
      <c r="AB705" s="18"/>
      <c r="AC705" s="8" t="str">
        <f t="shared" si="41"/>
        <v/>
      </c>
      <c r="AD705" s="8"/>
      <c r="AE705" s="8"/>
      <c r="AF705" s="14"/>
      <c r="AG705" s="13"/>
      <c r="AH705" s="14"/>
      <c r="AI705" s="14"/>
      <c r="AJ705" s="8"/>
      <c r="AK705" s="8"/>
      <c r="AL705" s="8"/>
      <c r="AM705" s="8"/>
      <c r="AN705" s="631"/>
      <c r="AO705" s="18"/>
      <c r="AP705" s="18"/>
      <c r="AQ705" s="18"/>
      <c r="AR705" s="18"/>
      <c r="AS705" s="18"/>
      <c r="AU705" s="448"/>
      <c r="AV705" s="448"/>
      <c r="AW705" s="8" t="str">
        <f>IF(C705&gt;0,VLOOKUP(C705,Foundation_Calc!$A$2:$C$986,3,1),
IF(J705&gt;0,VLOOKUP(J705,Foundation_Calc!$A$2:$C$986,3,1),""))</f>
        <v/>
      </c>
      <c r="AX705" s="8" t="str">
        <f>IF(C705&gt;0,VLOOKUP(C705,Foundation_Calc!$E$2:$G$986,3,1),
IF(J705&gt;0,VLOOKUP(J705,Foundation_Calc!$E$2:$G$986,3,1),""))</f>
        <v/>
      </c>
      <c r="AY705" s="631" t="str">
        <f>IF(L705="","",
IF(AX705="PT",VLOOKUP(L705,Foundation_Calc!$K$4:$R$37,VLOOKUP(AW705,Foundation_Calc!$I$2:$J$8,2,FALSE),0),
IF(AX705="K",VLOOKUP(L705,Foundation_Calc!$K$41:$R$74,VLOOKUP(AW705,Foundation_Calc!$I$2:$J$8,2,FALSE),0),"")))</f>
        <v/>
      </c>
      <c r="AZ705" s="631" t="str">
        <f>IF(K705="","",
IF(AX705="PT",VLOOKUP(K705,Foundation_Calc!$K$4:$R$37,VLOOKUP(AW705,Foundation_Calc!$I$2:$J$8,2,FALSE),0),
IF(AX705="K",VLOOKUP(K705,Foundation_Calc!$K$41:$R$74,VLOOKUP(AW705,Foundation_Calc!$I$2:$J$8,2,FALSE),0),"")))</f>
        <v/>
      </c>
      <c r="BA705" s="632" t="str">
        <f t="shared" si="42"/>
        <v/>
      </c>
      <c r="BB705" s="632" t="str">
        <f t="shared" si="43"/>
        <v/>
      </c>
      <c r="BC705" s="632" t="str">
        <f t="shared" si="44"/>
        <v/>
      </c>
      <c r="BD705" s="633" t="str">
        <f>IF(AND(L705="",H705=""),"",
IF(H705="",Pole_Calc!A733,
IF(H705="MP",Pole_Calc!A734,
IF(H705="AnMP",Pole_Calc!A735,
IF(H705="A",Pole_Calc!A736,
IF(H705="S/A",Pole_Calc!A737,
IF(H705="A/S",Pole_Calc!A738,"Poner a mano")))))))</f>
        <v/>
      </c>
      <c r="BE705" s="448" t="s">
        <v>1726</v>
      </c>
      <c r="BF705" s="635"/>
      <c r="BG705" s="635"/>
      <c r="BH705" s="634"/>
      <c r="BI705" s="635"/>
    </row>
    <row r="706" spans="1:61" ht="16.2" customHeight="1">
      <c r="A706" s="12"/>
      <c r="B706" s="446"/>
      <c r="C706" s="89"/>
      <c r="D706" s="13"/>
      <c r="E706" s="14"/>
      <c r="F706" s="14"/>
      <c r="G706" s="15"/>
      <c r="H706" s="8"/>
      <c r="I706" s="8"/>
      <c r="J706" s="89"/>
      <c r="K706" s="8"/>
      <c r="L706" s="8"/>
      <c r="M706" s="8" t="str">
        <f>IF(L706="","",
IF(AX706="PT",VLOOKUP(L706,Foundation_Calc!$V$4:$X$37,VLOOKUP(AX706,Foundation_Calc!$I$10:$J$13,2,FALSE),0),
IF(AX706="K",VLOOKUP(L706,Foundation_Calc!$V$41:$X$74,VLOOKUP(AX706,Foundation_Calc!$I$10:$J$13,2,FALSE),0),"")))</f>
        <v/>
      </c>
      <c r="N706" s="8"/>
      <c r="O706" s="8"/>
      <c r="P706" s="8"/>
      <c r="Q706" s="14"/>
      <c r="R706" s="15"/>
      <c r="S706" s="15"/>
      <c r="T706" s="14"/>
      <c r="U706" s="14"/>
      <c r="V706" s="14"/>
      <c r="W706" s="18"/>
      <c r="X706" s="18"/>
      <c r="Y706" s="18"/>
      <c r="Z706" s="18"/>
      <c r="AA706" s="18"/>
      <c r="AB706" s="18"/>
      <c r="AC706" s="8" t="str">
        <f t="shared" si="41"/>
        <v/>
      </c>
      <c r="AD706" s="8"/>
      <c r="AE706" s="8"/>
      <c r="AF706" s="14"/>
      <c r="AG706" s="13"/>
      <c r="AH706" s="14"/>
      <c r="AI706" s="14"/>
      <c r="AJ706" s="8"/>
      <c r="AK706" s="8"/>
      <c r="AL706" s="8"/>
      <c r="AM706" s="8"/>
      <c r="AN706" s="631"/>
      <c r="AO706" s="18"/>
      <c r="AP706" s="18"/>
      <c r="AQ706" s="18"/>
      <c r="AR706" s="18"/>
      <c r="AS706" s="18"/>
      <c r="AU706" s="448"/>
      <c r="AV706" s="448"/>
      <c r="AW706" s="8" t="str">
        <f>IF(C706&gt;0,VLOOKUP(C706,Foundation_Calc!$A$2:$C$986,3,1),
IF(J706&gt;0,VLOOKUP(J706,Foundation_Calc!$A$2:$C$986,3,1),""))</f>
        <v/>
      </c>
      <c r="AX706" s="8" t="str">
        <f>IF(C706&gt;0,VLOOKUP(C706,Foundation_Calc!$E$2:$G$986,3,1),
IF(J706&gt;0,VLOOKUP(J706,Foundation_Calc!$E$2:$G$986,3,1),""))</f>
        <v/>
      </c>
      <c r="AY706" s="631" t="str">
        <f>IF(L706="","",
IF(AX706="PT",VLOOKUP(L706,Foundation_Calc!$K$4:$R$37,VLOOKUP(AW706,Foundation_Calc!$I$2:$J$8,2,FALSE),0),
IF(AX706="K",VLOOKUP(L706,Foundation_Calc!$K$41:$R$74,VLOOKUP(AW706,Foundation_Calc!$I$2:$J$8,2,FALSE),0),"")))</f>
        <v/>
      </c>
      <c r="AZ706" s="631" t="str">
        <f>IF(K706="","",
IF(AX706="PT",VLOOKUP(K706,Foundation_Calc!$K$4:$R$37,VLOOKUP(AW706,Foundation_Calc!$I$2:$J$8,2,FALSE),0),
IF(AX706="K",VLOOKUP(K706,Foundation_Calc!$K$41:$R$74,VLOOKUP(AW706,Foundation_Calc!$I$2:$J$8,2,FALSE),0),"")))</f>
        <v/>
      </c>
      <c r="BA706" s="632" t="str">
        <f t="shared" si="42"/>
        <v/>
      </c>
      <c r="BB706" s="632" t="str">
        <f t="shared" si="43"/>
        <v/>
      </c>
      <c r="BC706" s="632" t="str">
        <f t="shared" si="44"/>
        <v/>
      </c>
      <c r="BD706" s="633" t="str">
        <f>IF(AND(L706="",H706=""),"",
IF(H706="",Pole_Calc!A734,
IF(H706="MP",Pole_Calc!A735,
IF(H706="AnMP",Pole_Calc!A736,
IF(H706="A",Pole_Calc!A737,
IF(H706="S/A",Pole_Calc!A738,
IF(H706="A/S",Pole_Calc!A739,"Poner a mano")))))))</f>
        <v/>
      </c>
      <c r="BE706" s="448" t="s">
        <v>1726</v>
      </c>
      <c r="BF706" s="634"/>
      <c r="BG706" s="634"/>
      <c r="BH706" s="634"/>
      <c r="BI706" s="634"/>
    </row>
    <row r="707" spans="1:61" ht="16.2" customHeight="1">
      <c r="A707" s="12"/>
      <c r="B707" s="446"/>
      <c r="C707" s="89"/>
      <c r="D707" s="13"/>
      <c r="E707" s="14"/>
      <c r="F707" s="14"/>
      <c r="G707" s="15"/>
      <c r="H707" s="8"/>
      <c r="I707" s="8"/>
      <c r="J707" s="89"/>
      <c r="K707" s="8"/>
      <c r="L707" s="8"/>
      <c r="M707" s="8" t="str">
        <f>IF(L707="","",
IF(AX707="PT",VLOOKUP(L707,Foundation_Calc!$V$4:$X$37,VLOOKUP(AX707,Foundation_Calc!$I$10:$J$13,2,FALSE),0),
IF(AX707="K",VLOOKUP(L707,Foundation_Calc!$V$41:$X$74,VLOOKUP(AX707,Foundation_Calc!$I$10:$J$13,2,FALSE),0),"")))</f>
        <v/>
      </c>
      <c r="N707" s="8"/>
      <c r="O707" s="8"/>
      <c r="P707" s="8"/>
      <c r="Q707" s="14"/>
      <c r="R707" s="15"/>
      <c r="S707" s="15"/>
      <c r="T707" s="14"/>
      <c r="U707" s="14"/>
      <c r="V707" s="14"/>
      <c r="W707" s="18"/>
      <c r="X707" s="18"/>
      <c r="Y707" s="18"/>
      <c r="Z707" s="18"/>
      <c r="AA707" s="18"/>
      <c r="AB707" s="18"/>
      <c r="AC707" s="8" t="str">
        <f t="shared" si="41"/>
        <v/>
      </c>
      <c r="AD707" s="8"/>
      <c r="AE707" s="8"/>
      <c r="AF707" s="14"/>
      <c r="AG707" s="13"/>
      <c r="AH707" s="14"/>
      <c r="AI707" s="14"/>
      <c r="AJ707" s="8"/>
      <c r="AK707" s="8"/>
      <c r="AL707" s="8"/>
      <c r="AM707" s="8"/>
      <c r="AN707" s="631"/>
      <c r="AO707" s="18"/>
      <c r="AP707" s="18"/>
      <c r="AQ707" s="18"/>
      <c r="AR707" s="18"/>
      <c r="AS707" s="18"/>
      <c r="AU707" s="448"/>
      <c r="AV707" s="448"/>
      <c r="AW707" s="8" t="str">
        <f>IF(C707&gt;0,VLOOKUP(C707,Foundation_Calc!$A$2:$C$986,3,1),
IF(J707&gt;0,VLOOKUP(J707,Foundation_Calc!$A$2:$C$986,3,1),""))</f>
        <v/>
      </c>
      <c r="AX707" s="8" t="str">
        <f>IF(C707&gt;0,VLOOKUP(C707,Foundation_Calc!$E$2:$G$986,3,1),
IF(J707&gt;0,VLOOKUP(J707,Foundation_Calc!$E$2:$G$986,3,1),""))</f>
        <v/>
      </c>
      <c r="AY707" s="631" t="str">
        <f>IF(L707="","",
IF(AX707="PT",VLOOKUP(L707,Foundation_Calc!$K$4:$R$37,VLOOKUP(AW707,Foundation_Calc!$I$2:$J$8,2,FALSE),0),
IF(AX707="K",VLOOKUP(L707,Foundation_Calc!$K$41:$R$74,VLOOKUP(AW707,Foundation_Calc!$I$2:$J$8,2,FALSE),0),"")))</f>
        <v/>
      </c>
      <c r="AZ707" s="631" t="str">
        <f>IF(K707="","",
IF(AX707="PT",VLOOKUP(K707,Foundation_Calc!$K$4:$R$37,VLOOKUP(AW707,Foundation_Calc!$I$2:$J$8,2,FALSE),0),
IF(AX707="K",VLOOKUP(K707,Foundation_Calc!$K$41:$R$74,VLOOKUP(AW707,Foundation_Calc!$I$2:$J$8,2,FALSE),0),"")))</f>
        <v/>
      </c>
      <c r="BA707" s="632" t="str">
        <f t="shared" si="42"/>
        <v/>
      </c>
      <c r="BB707" s="632" t="str">
        <f t="shared" si="43"/>
        <v/>
      </c>
      <c r="BC707" s="632" t="str">
        <f t="shared" si="44"/>
        <v/>
      </c>
      <c r="BD707" s="633" t="str">
        <f>IF(AND(L707="",H707=""),"",
IF(H707="",Pole_Calc!A735,
IF(H707="MP",Pole_Calc!A736,
IF(H707="AnMP",Pole_Calc!A737,
IF(H707="A",Pole_Calc!A738,
IF(H707="S/A",Pole_Calc!A739,
IF(H707="A/S",Pole_Calc!A740,"Poner a mano")))))))</f>
        <v/>
      </c>
      <c r="BE707" s="448" t="s">
        <v>1726</v>
      </c>
      <c r="BF707" s="635"/>
      <c r="BG707" s="635"/>
      <c r="BH707" s="634"/>
      <c r="BI707" s="635"/>
    </row>
    <row r="708" spans="1:61" ht="16.2" customHeight="1">
      <c r="A708" s="12"/>
      <c r="B708" s="446"/>
      <c r="C708" s="89"/>
      <c r="D708" s="13"/>
      <c r="E708" s="14"/>
      <c r="F708" s="14"/>
      <c r="G708" s="15"/>
      <c r="H708" s="8"/>
      <c r="I708" s="8"/>
      <c r="J708" s="89"/>
      <c r="K708" s="8"/>
      <c r="L708" s="8"/>
      <c r="M708" s="8" t="str">
        <f>IF(L708="","",
IF(AX708="PT",VLOOKUP(L708,Foundation_Calc!$V$4:$X$37,VLOOKUP(AX708,Foundation_Calc!$I$10:$J$13,2,FALSE),0),
IF(AX708="K",VLOOKUP(L708,Foundation_Calc!$V$41:$X$74,VLOOKUP(AX708,Foundation_Calc!$I$10:$J$13,2,FALSE),0),"")))</f>
        <v/>
      </c>
      <c r="N708" s="8"/>
      <c r="O708" s="8"/>
      <c r="P708" s="8"/>
      <c r="Q708" s="14"/>
      <c r="R708" s="15"/>
      <c r="S708" s="15"/>
      <c r="T708" s="14"/>
      <c r="U708" s="14"/>
      <c r="V708" s="14"/>
      <c r="W708" s="18"/>
      <c r="X708" s="18"/>
      <c r="Y708" s="18"/>
      <c r="Z708" s="18"/>
      <c r="AA708" s="18"/>
      <c r="AB708" s="18"/>
      <c r="AC708" s="8" t="str">
        <f t="shared" si="41"/>
        <v/>
      </c>
      <c r="AD708" s="8"/>
      <c r="AE708" s="8"/>
      <c r="AF708" s="14"/>
      <c r="AG708" s="13"/>
      <c r="AH708" s="14"/>
      <c r="AI708" s="14"/>
      <c r="AJ708" s="8"/>
      <c r="AK708" s="8"/>
      <c r="AL708" s="8"/>
      <c r="AM708" s="8"/>
      <c r="AN708" s="631"/>
      <c r="AO708" s="18"/>
      <c r="AP708" s="18"/>
      <c r="AQ708" s="18"/>
      <c r="AR708" s="18"/>
      <c r="AS708" s="18"/>
      <c r="AU708" s="448"/>
      <c r="AV708" s="448"/>
      <c r="AW708" s="8" t="str">
        <f>IF(C708&gt;0,VLOOKUP(C708,Foundation_Calc!$A$2:$C$986,3,1),
IF(J708&gt;0,VLOOKUP(J708,Foundation_Calc!$A$2:$C$986,3,1),""))</f>
        <v/>
      </c>
      <c r="AX708" s="8" t="str">
        <f>IF(C708&gt;0,VLOOKUP(C708,Foundation_Calc!$E$2:$G$986,3,1),
IF(J708&gt;0,VLOOKUP(J708,Foundation_Calc!$E$2:$G$986,3,1),""))</f>
        <v/>
      </c>
      <c r="AY708" s="631" t="str">
        <f>IF(L708="","",
IF(AX708="PT",VLOOKUP(L708,Foundation_Calc!$K$4:$R$37,VLOOKUP(AW708,Foundation_Calc!$I$2:$J$8,2,FALSE),0),
IF(AX708="K",VLOOKUP(L708,Foundation_Calc!$K$41:$R$74,VLOOKUP(AW708,Foundation_Calc!$I$2:$J$8,2,FALSE),0),"")))</f>
        <v/>
      </c>
      <c r="AZ708" s="631" t="str">
        <f>IF(K708="","",
IF(AX708="PT",VLOOKUP(K708,Foundation_Calc!$K$4:$R$37,VLOOKUP(AW708,Foundation_Calc!$I$2:$J$8,2,FALSE),0),
IF(AX708="K",VLOOKUP(K708,Foundation_Calc!$K$41:$R$74,VLOOKUP(AW708,Foundation_Calc!$I$2:$J$8,2,FALSE),0),"")))</f>
        <v/>
      </c>
      <c r="BA708" s="632" t="str">
        <f t="shared" si="42"/>
        <v/>
      </c>
      <c r="BB708" s="632" t="str">
        <f t="shared" si="43"/>
        <v/>
      </c>
      <c r="BC708" s="632" t="str">
        <f t="shared" si="44"/>
        <v/>
      </c>
      <c r="BD708" s="633" t="str">
        <f>IF(AND(L708="",H708=""),"",
IF(H708="",Pole_Calc!A736,
IF(H708="MP",Pole_Calc!A737,
IF(H708="AnMP",Pole_Calc!A738,
IF(H708="A",Pole_Calc!A739,
IF(H708="S/A",Pole_Calc!A740,
IF(H708="A/S",Pole_Calc!A741,"Poner a mano")))))))</f>
        <v/>
      </c>
      <c r="BE708" s="448" t="s">
        <v>1726</v>
      </c>
      <c r="BF708" s="634"/>
      <c r="BG708" s="634"/>
      <c r="BH708" s="634"/>
      <c r="BI708" s="634"/>
    </row>
    <row r="709" spans="1:61" ht="16.2" customHeight="1">
      <c r="A709" s="12"/>
      <c r="B709" s="446"/>
      <c r="C709" s="89"/>
      <c r="D709" s="13"/>
      <c r="E709" s="14"/>
      <c r="F709" s="14"/>
      <c r="G709" s="15"/>
      <c r="H709" s="8"/>
      <c r="I709" s="8"/>
      <c r="J709" s="89"/>
      <c r="K709" s="8"/>
      <c r="L709" s="8"/>
      <c r="M709" s="8" t="str">
        <f>IF(L709="","",
IF(AX709="PT",VLOOKUP(L709,Foundation_Calc!$V$4:$X$37,VLOOKUP(AX709,Foundation_Calc!$I$10:$J$13,2,FALSE),0),
IF(AX709="K",VLOOKUP(L709,Foundation_Calc!$V$41:$X$74,VLOOKUP(AX709,Foundation_Calc!$I$10:$J$13,2,FALSE),0),"")))</f>
        <v/>
      </c>
      <c r="N709" s="8"/>
      <c r="O709" s="8"/>
      <c r="P709" s="8"/>
      <c r="Q709" s="14"/>
      <c r="R709" s="15"/>
      <c r="S709" s="15"/>
      <c r="T709" s="14"/>
      <c r="U709" s="14"/>
      <c r="V709" s="14"/>
      <c r="W709" s="18"/>
      <c r="X709" s="18"/>
      <c r="Y709" s="18"/>
      <c r="Z709" s="18"/>
      <c r="AA709" s="18"/>
      <c r="AB709" s="18"/>
      <c r="AC709" s="8" t="str">
        <f t="shared" si="41"/>
        <v/>
      </c>
      <c r="AD709" s="8"/>
      <c r="AE709" s="8"/>
      <c r="AF709" s="14"/>
      <c r="AG709" s="13"/>
      <c r="AH709" s="14"/>
      <c r="AI709" s="14"/>
      <c r="AJ709" s="8"/>
      <c r="AK709" s="8"/>
      <c r="AL709" s="8"/>
      <c r="AM709" s="8"/>
      <c r="AN709" s="631"/>
      <c r="AO709" s="18"/>
      <c r="AP709" s="18"/>
      <c r="AQ709" s="18"/>
      <c r="AR709" s="18"/>
      <c r="AS709" s="18"/>
      <c r="AU709" s="448"/>
      <c r="AV709" s="448"/>
      <c r="AW709" s="8" t="str">
        <f>IF(C709&gt;0,VLOOKUP(C709,Foundation_Calc!$A$2:$C$986,3,1),
IF(J709&gt;0,VLOOKUP(J709,Foundation_Calc!$A$2:$C$986,3,1),""))</f>
        <v/>
      </c>
      <c r="AX709" s="8" t="str">
        <f>IF(C709&gt;0,VLOOKUP(C709,Foundation_Calc!$E$2:$G$986,3,1),
IF(J709&gt;0,VLOOKUP(J709,Foundation_Calc!$E$2:$G$986,3,1),""))</f>
        <v/>
      </c>
      <c r="AY709" s="631" t="str">
        <f>IF(L709="","",
IF(AX709="PT",VLOOKUP(L709,Foundation_Calc!$K$4:$R$37,VLOOKUP(AW709,Foundation_Calc!$I$2:$J$8,2,FALSE),0),
IF(AX709="K",VLOOKUP(L709,Foundation_Calc!$K$41:$R$74,VLOOKUP(AW709,Foundation_Calc!$I$2:$J$8,2,FALSE),0),"")))</f>
        <v/>
      </c>
      <c r="AZ709" s="631" t="str">
        <f>IF(K709="","",
IF(AX709="PT",VLOOKUP(K709,Foundation_Calc!$K$4:$R$37,VLOOKUP(AW709,Foundation_Calc!$I$2:$J$8,2,FALSE),0),
IF(AX709="K",VLOOKUP(K709,Foundation_Calc!$K$41:$R$74,VLOOKUP(AW709,Foundation_Calc!$I$2:$J$8,2,FALSE),0),"")))</f>
        <v/>
      </c>
      <c r="BA709" s="632" t="str">
        <f t="shared" si="42"/>
        <v/>
      </c>
      <c r="BB709" s="632" t="str">
        <f t="shared" si="43"/>
        <v/>
      </c>
      <c r="BC709" s="632" t="str">
        <f t="shared" si="44"/>
        <v/>
      </c>
      <c r="BD709" s="633" t="str">
        <f>IF(AND(L709="",H709=""),"",
IF(H709="",Pole_Calc!A737,
IF(H709="MP",Pole_Calc!A738,
IF(H709="AnMP",Pole_Calc!A739,
IF(H709="A",Pole_Calc!A740,
IF(H709="S/A",Pole_Calc!A741,
IF(H709="A/S",Pole_Calc!A742,"Poner a mano")))))))</f>
        <v/>
      </c>
      <c r="BE709" s="448" t="s">
        <v>1726</v>
      </c>
      <c r="BF709" s="635"/>
      <c r="BG709" s="635"/>
      <c r="BH709" s="634"/>
      <c r="BI709" s="635"/>
    </row>
    <row r="710" spans="1:61" ht="16.2" customHeight="1">
      <c r="A710" s="12"/>
      <c r="B710" s="446"/>
      <c r="C710" s="89"/>
      <c r="D710" s="13"/>
      <c r="E710" s="14"/>
      <c r="F710" s="14"/>
      <c r="G710" s="15"/>
      <c r="H710" s="8"/>
      <c r="I710" s="8"/>
      <c r="J710" s="89"/>
      <c r="K710" s="8"/>
      <c r="L710" s="8"/>
      <c r="M710" s="8" t="str">
        <f>IF(L710="","",
IF(AX710="PT",VLOOKUP(L710,Foundation_Calc!$V$4:$X$37,VLOOKUP(AX710,Foundation_Calc!$I$10:$J$13,2,FALSE),0),
IF(AX710="K",VLOOKUP(L710,Foundation_Calc!$V$41:$X$74,VLOOKUP(AX710,Foundation_Calc!$I$10:$J$13,2,FALSE),0),"")))</f>
        <v/>
      </c>
      <c r="N710" s="8"/>
      <c r="O710" s="8"/>
      <c r="P710" s="8"/>
      <c r="Q710" s="14"/>
      <c r="R710" s="15"/>
      <c r="S710" s="15"/>
      <c r="T710" s="14"/>
      <c r="U710" s="14"/>
      <c r="V710" s="14"/>
      <c r="W710" s="18"/>
      <c r="X710" s="18"/>
      <c r="Y710" s="18"/>
      <c r="Z710" s="18"/>
      <c r="AA710" s="18"/>
      <c r="AB710" s="18"/>
      <c r="AC710" s="8" t="str">
        <f t="shared" ref="AC710:AC773" si="45">IF(OR(AT710&gt;8,AT710&lt;-8),"PH",
IF(OR(AT710&gt;5,AT710&lt;-5),"PHQ",
IF(OR(AT710&gt;1,AT710&lt;-1),
"PHC","")))</f>
        <v/>
      </c>
      <c r="AD710" s="8"/>
      <c r="AE710" s="8"/>
      <c r="AF710" s="14"/>
      <c r="AG710" s="13"/>
      <c r="AH710" s="14"/>
      <c r="AI710" s="14"/>
      <c r="AJ710" s="8"/>
      <c r="AK710" s="8"/>
      <c r="AL710" s="8"/>
      <c r="AM710" s="8"/>
      <c r="AN710" s="631"/>
      <c r="AO710" s="18"/>
      <c r="AP710" s="18"/>
      <c r="AQ710" s="18"/>
      <c r="AR710" s="18"/>
      <c r="AS710" s="18"/>
      <c r="AU710" s="448"/>
      <c r="AV710" s="448"/>
      <c r="AW710" s="8" t="str">
        <f>IF(C710&gt;0,VLOOKUP(C710,Foundation_Calc!$A$2:$C$986,3,1),
IF(J710&gt;0,VLOOKUP(J710,Foundation_Calc!$A$2:$C$986,3,1),""))</f>
        <v/>
      </c>
      <c r="AX710" s="8" t="str">
        <f>IF(C710&gt;0,VLOOKUP(C710,Foundation_Calc!$E$2:$G$986,3,1),
IF(J710&gt;0,VLOOKUP(J710,Foundation_Calc!$E$2:$G$986,3,1),""))</f>
        <v/>
      </c>
      <c r="AY710" s="631" t="str">
        <f>IF(L710="","",
IF(AX710="PT",VLOOKUP(L710,Foundation_Calc!$K$4:$R$37,VLOOKUP(AW710,Foundation_Calc!$I$2:$J$8,2,FALSE),0),
IF(AX710="K",VLOOKUP(L710,Foundation_Calc!$K$41:$R$74,VLOOKUP(AW710,Foundation_Calc!$I$2:$J$8,2,FALSE),0),"")))</f>
        <v/>
      </c>
      <c r="AZ710" s="631" t="str">
        <f>IF(K710="","",
IF(AX710="PT",VLOOKUP(K710,Foundation_Calc!$K$4:$R$37,VLOOKUP(AW710,Foundation_Calc!$I$2:$J$8,2,FALSE),0),
IF(AX710="K",VLOOKUP(K710,Foundation_Calc!$K$41:$R$74,VLOOKUP(AW710,Foundation_Calc!$I$2:$J$8,2,FALSE),0),"")))</f>
        <v/>
      </c>
      <c r="BA710" s="632" t="str">
        <f t="shared" ref="BA710:BA773" si="46">IF(AY710="","",IF(AY710&gt;0,"ü",""))</f>
        <v/>
      </c>
      <c r="BB710" s="632" t="str">
        <f t="shared" ref="BB710:BB773" si="47">IF(AZ710="","",IF(AZ710&gt;0,"ü",""))</f>
        <v/>
      </c>
      <c r="BC710" s="632" t="str">
        <f t="shared" ref="BC710:BC773" si="48">IF(M710="","",IF(M710="Unique Solution","ü",""))</f>
        <v/>
      </c>
      <c r="BD710" s="633" t="str">
        <f>IF(AND(L710="",H710=""),"",
IF(H710="",Pole_Calc!A738,
IF(H710="MP",Pole_Calc!A739,
IF(H710="AnMP",Pole_Calc!A740,
IF(H710="A",Pole_Calc!A741,
IF(H710="S/A",Pole_Calc!A742,
IF(H710="A/S",Pole_Calc!A743,"Poner a mano")))))))</f>
        <v/>
      </c>
      <c r="BE710" s="448" t="s">
        <v>1726</v>
      </c>
      <c r="BF710" s="634"/>
      <c r="BG710" s="634"/>
      <c r="BH710" s="634"/>
      <c r="BI710" s="634"/>
    </row>
    <row r="711" spans="1:61" ht="16.2" customHeight="1">
      <c r="A711" s="12"/>
      <c r="B711" s="446"/>
      <c r="C711" s="89"/>
      <c r="D711" s="13"/>
      <c r="E711" s="14"/>
      <c r="F711" s="14"/>
      <c r="G711" s="15"/>
      <c r="H711" s="8"/>
      <c r="I711" s="8"/>
      <c r="J711" s="89"/>
      <c r="K711" s="8"/>
      <c r="L711" s="8"/>
      <c r="M711" s="8" t="str">
        <f>IF(L711="","",
IF(AX711="PT",VLOOKUP(L711,Foundation_Calc!$V$4:$X$37,VLOOKUP(AX711,Foundation_Calc!$I$10:$J$13,2,FALSE),0),
IF(AX711="K",VLOOKUP(L711,Foundation_Calc!$V$41:$X$74,VLOOKUP(AX711,Foundation_Calc!$I$10:$J$13,2,FALSE),0),"")))</f>
        <v/>
      </c>
      <c r="N711" s="8"/>
      <c r="O711" s="8"/>
      <c r="P711" s="8"/>
      <c r="Q711" s="14"/>
      <c r="R711" s="15"/>
      <c r="S711" s="15"/>
      <c r="T711" s="14"/>
      <c r="U711" s="14"/>
      <c r="V711" s="14"/>
      <c r="W711" s="18"/>
      <c r="X711" s="18"/>
      <c r="Y711" s="18"/>
      <c r="Z711" s="18"/>
      <c r="AA711" s="18"/>
      <c r="AB711" s="18"/>
      <c r="AC711" s="8" t="str">
        <f t="shared" si="45"/>
        <v/>
      </c>
      <c r="AD711" s="8"/>
      <c r="AE711" s="8"/>
      <c r="AF711" s="14"/>
      <c r="AG711" s="13"/>
      <c r="AH711" s="14"/>
      <c r="AI711" s="14"/>
      <c r="AJ711" s="8"/>
      <c r="AK711" s="8"/>
      <c r="AL711" s="8"/>
      <c r="AM711" s="8"/>
      <c r="AN711" s="631"/>
      <c r="AO711" s="18"/>
      <c r="AP711" s="18"/>
      <c r="AQ711" s="18"/>
      <c r="AR711" s="18"/>
      <c r="AS711" s="18"/>
      <c r="AU711" s="448"/>
      <c r="AV711" s="448"/>
      <c r="AW711" s="8" t="str">
        <f>IF(C711&gt;0,VLOOKUP(C711,Foundation_Calc!$A$2:$C$986,3,1),
IF(J711&gt;0,VLOOKUP(J711,Foundation_Calc!$A$2:$C$986,3,1),""))</f>
        <v/>
      </c>
      <c r="AX711" s="8" t="str">
        <f>IF(C711&gt;0,VLOOKUP(C711,Foundation_Calc!$E$2:$G$986,3,1),
IF(J711&gt;0,VLOOKUP(J711,Foundation_Calc!$E$2:$G$986,3,1),""))</f>
        <v/>
      </c>
      <c r="AY711" s="631" t="str">
        <f>IF(L711="","",
IF(AX711="PT",VLOOKUP(L711,Foundation_Calc!$K$4:$R$37,VLOOKUP(AW711,Foundation_Calc!$I$2:$J$8,2,FALSE),0),
IF(AX711="K",VLOOKUP(L711,Foundation_Calc!$K$41:$R$74,VLOOKUP(AW711,Foundation_Calc!$I$2:$J$8,2,FALSE),0),"")))</f>
        <v/>
      </c>
      <c r="AZ711" s="631" t="str">
        <f>IF(K711="","",
IF(AX711="PT",VLOOKUP(K711,Foundation_Calc!$K$4:$R$37,VLOOKUP(AW711,Foundation_Calc!$I$2:$J$8,2,FALSE),0),
IF(AX711="K",VLOOKUP(K711,Foundation_Calc!$K$41:$R$74,VLOOKUP(AW711,Foundation_Calc!$I$2:$J$8,2,FALSE),0),"")))</f>
        <v/>
      </c>
      <c r="BA711" s="632" t="str">
        <f t="shared" si="46"/>
        <v/>
      </c>
      <c r="BB711" s="632" t="str">
        <f t="shared" si="47"/>
        <v/>
      </c>
      <c r="BC711" s="632" t="str">
        <f t="shared" si="48"/>
        <v/>
      </c>
      <c r="BD711" s="633" t="str">
        <f>IF(AND(L711="",H711=""),"",
IF(H711="",Pole_Calc!A739,
IF(H711="MP",Pole_Calc!A740,
IF(H711="AnMP",Pole_Calc!A741,
IF(H711="A",Pole_Calc!A742,
IF(H711="S/A",Pole_Calc!A743,
IF(H711="A/S",Pole_Calc!A744,"Poner a mano")))))))</f>
        <v/>
      </c>
      <c r="BE711" s="448" t="s">
        <v>1726</v>
      </c>
      <c r="BF711" s="635"/>
      <c r="BG711" s="635"/>
      <c r="BH711" s="634"/>
      <c r="BI711" s="635"/>
    </row>
    <row r="712" spans="1:61" ht="16.2" customHeight="1">
      <c r="A712" s="12"/>
      <c r="B712" s="446"/>
      <c r="C712" s="89"/>
      <c r="D712" s="13"/>
      <c r="E712" s="14"/>
      <c r="F712" s="14"/>
      <c r="G712" s="15"/>
      <c r="H712" s="8"/>
      <c r="I712" s="8"/>
      <c r="J712" s="89"/>
      <c r="K712" s="8"/>
      <c r="L712" s="8"/>
      <c r="M712" s="8" t="str">
        <f>IF(L712="","",
IF(AX712="PT",VLOOKUP(L712,Foundation_Calc!$V$4:$X$37,VLOOKUP(AX712,Foundation_Calc!$I$10:$J$13,2,FALSE),0),
IF(AX712="K",VLOOKUP(L712,Foundation_Calc!$V$41:$X$74,VLOOKUP(AX712,Foundation_Calc!$I$10:$J$13,2,FALSE),0),"")))</f>
        <v/>
      </c>
      <c r="N712" s="8"/>
      <c r="O712" s="8"/>
      <c r="P712" s="8"/>
      <c r="Q712" s="14"/>
      <c r="R712" s="15"/>
      <c r="S712" s="15"/>
      <c r="T712" s="14"/>
      <c r="U712" s="14"/>
      <c r="V712" s="14"/>
      <c r="W712" s="18"/>
      <c r="X712" s="18"/>
      <c r="Y712" s="18"/>
      <c r="Z712" s="18"/>
      <c r="AA712" s="18"/>
      <c r="AB712" s="18"/>
      <c r="AC712" s="8" t="str">
        <f t="shared" si="45"/>
        <v/>
      </c>
      <c r="AD712" s="8"/>
      <c r="AE712" s="8"/>
      <c r="AF712" s="14"/>
      <c r="AG712" s="13"/>
      <c r="AH712" s="14"/>
      <c r="AI712" s="14"/>
      <c r="AJ712" s="8"/>
      <c r="AK712" s="8"/>
      <c r="AL712" s="8"/>
      <c r="AM712" s="8"/>
      <c r="AN712" s="631"/>
      <c r="AO712" s="18"/>
      <c r="AP712" s="18"/>
      <c r="AQ712" s="18"/>
      <c r="AR712" s="18"/>
      <c r="AS712" s="18"/>
      <c r="AU712" s="448"/>
      <c r="AV712" s="448"/>
      <c r="AW712" s="8" t="str">
        <f>IF(C712&gt;0,VLOOKUP(C712,Foundation_Calc!$A$2:$C$986,3,1),
IF(J712&gt;0,VLOOKUP(J712,Foundation_Calc!$A$2:$C$986,3,1),""))</f>
        <v/>
      </c>
      <c r="AX712" s="8" t="str">
        <f>IF(C712&gt;0,VLOOKUP(C712,Foundation_Calc!$E$2:$G$986,3,1),
IF(J712&gt;0,VLOOKUP(J712,Foundation_Calc!$E$2:$G$986,3,1),""))</f>
        <v/>
      </c>
      <c r="AY712" s="631" t="str">
        <f>IF(L712="","",
IF(AX712="PT",VLOOKUP(L712,Foundation_Calc!$K$4:$R$37,VLOOKUP(AW712,Foundation_Calc!$I$2:$J$8,2,FALSE),0),
IF(AX712="K",VLOOKUP(L712,Foundation_Calc!$K$41:$R$74,VLOOKUP(AW712,Foundation_Calc!$I$2:$J$8,2,FALSE),0),"")))</f>
        <v/>
      </c>
      <c r="AZ712" s="631" t="str">
        <f>IF(K712="","",
IF(AX712="PT",VLOOKUP(K712,Foundation_Calc!$K$4:$R$37,VLOOKUP(AW712,Foundation_Calc!$I$2:$J$8,2,FALSE),0),
IF(AX712="K",VLOOKUP(K712,Foundation_Calc!$K$41:$R$74,VLOOKUP(AW712,Foundation_Calc!$I$2:$J$8,2,FALSE),0),"")))</f>
        <v/>
      </c>
      <c r="BA712" s="632" t="str">
        <f t="shared" si="46"/>
        <v/>
      </c>
      <c r="BB712" s="632" t="str">
        <f t="shared" si="47"/>
        <v/>
      </c>
      <c r="BC712" s="632" t="str">
        <f t="shared" si="48"/>
        <v/>
      </c>
      <c r="BD712" s="633" t="str">
        <f>IF(AND(L712="",H712=""),"",
IF(H712="",Pole_Calc!A740,
IF(H712="MP",Pole_Calc!A741,
IF(H712="AnMP",Pole_Calc!A742,
IF(H712="A",Pole_Calc!A743,
IF(H712="S/A",Pole_Calc!A744,
IF(H712="A/S",Pole_Calc!A745,"Poner a mano")))))))</f>
        <v/>
      </c>
      <c r="BE712" s="448" t="s">
        <v>1726</v>
      </c>
      <c r="BF712" s="634"/>
      <c r="BG712" s="634"/>
      <c r="BH712" s="634"/>
      <c r="BI712" s="634"/>
    </row>
    <row r="713" spans="1:61" ht="16.2" customHeight="1">
      <c r="A713" s="12"/>
      <c r="B713" s="446"/>
      <c r="C713" s="89"/>
      <c r="D713" s="13"/>
      <c r="E713" s="14"/>
      <c r="F713" s="14"/>
      <c r="G713" s="15"/>
      <c r="H713" s="8"/>
      <c r="I713" s="8"/>
      <c r="J713" s="89"/>
      <c r="K713" s="8"/>
      <c r="L713" s="8"/>
      <c r="M713" s="8" t="str">
        <f>IF(L713="","",
IF(AX713="PT",VLOOKUP(L713,Foundation_Calc!$V$4:$X$37,VLOOKUP(AX713,Foundation_Calc!$I$10:$J$13,2,FALSE),0),
IF(AX713="K",VLOOKUP(L713,Foundation_Calc!$V$41:$X$74,VLOOKUP(AX713,Foundation_Calc!$I$10:$J$13,2,FALSE),0),"")))</f>
        <v/>
      </c>
      <c r="N713" s="8"/>
      <c r="O713" s="8"/>
      <c r="P713" s="8"/>
      <c r="Q713" s="14"/>
      <c r="R713" s="15"/>
      <c r="S713" s="15"/>
      <c r="T713" s="14"/>
      <c r="U713" s="14"/>
      <c r="V713" s="14"/>
      <c r="W713" s="18"/>
      <c r="X713" s="18"/>
      <c r="Y713" s="18"/>
      <c r="Z713" s="18"/>
      <c r="AA713" s="18"/>
      <c r="AB713" s="18"/>
      <c r="AC713" s="8" t="str">
        <f t="shared" si="45"/>
        <v/>
      </c>
      <c r="AD713" s="8"/>
      <c r="AE713" s="8"/>
      <c r="AF713" s="14"/>
      <c r="AG713" s="13"/>
      <c r="AH713" s="14"/>
      <c r="AI713" s="14"/>
      <c r="AJ713" s="8"/>
      <c r="AK713" s="8"/>
      <c r="AL713" s="8"/>
      <c r="AM713" s="8"/>
      <c r="AN713" s="631"/>
      <c r="AO713" s="18"/>
      <c r="AP713" s="18"/>
      <c r="AQ713" s="18"/>
      <c r="AR713" s="18"/>
      <c r="AS713" s="18"/>
      <c r="AU713" s="448"/>
      <c r="AV713" s="448"/>
      <c r="AW713" s="8" t="str">
        <f>IF(C713&gt;0,VLOOKUP(C713,Foundation_Calc!$A$2:$C$986,3,1),
IF(J713&gt;0,VLOOKUP(J713,Foundation_Calc!$A$2:$C$986,3,1),""))</f>
        <v/>
      </c>
      <c r="AX713" s="8" t="str">
        <f>IF(C713&gt;0,VLOOKUP(C713,Foundation_Calc!$E$2:$G$986,3,1),
IF(J713&gt;0,VLOOKUP(J713,Foundation_Calc!$E$2:$G$986,3,1),""))</f>
        <v/>
      </c>
      <c r="AY713" s="631" t="str">
        <f>IF(L713="","",
IF(AX713="PT",VLOOKUP(L713,Foundation_Calc!$K$4:$R$37,VLOOKUP(AW713,Foundation_Calc!$I$2:$J$8,2,FALSE),0),
IF(AX713="K",VLOOKUP(L713,Foundation_Calc!$K$41:$R$74,VLOOKUP(AW713,Foundation_Calc!$I$2:$J$8,2,FALSE),0),"")))</f>
        <v/>
      </c>
      <c r="AZ713" s="631" t="str">
        <f>IF(K713="","",
IF(AX713="PT",VLOOKUP(K713,Foundation_Calc!$K$4:$R$37,VLOOKUP(AW713,Foundation_Calc!$I$2:$J$8,2,FALSE),0),
IF(AX713="K",VLOOKUP(K713,Foundation_Calc!$K$41:$R$74,VLOOKUP(AW713,Foundation_Calc!$I$2:$J$8,2,FALSE),0),"")))</f>
        <v/>
      </c>
      <c r="BA713" s="632" t="str">
        <f t="shared" si="46"/>
        <v/>
      </c>
      <c r="BB713" s="632" t="str">
        <f t="shared" si="47"/>
        <v/>
      </c>
      <c r="BC713" s="632" t="str">
        <f t="shared" si="48"/>
        <v/>
      </c>
      <c r="BD713" s="633" t="str">
        <f>IF(AND(L713="",H713=""),"",
IF(H713="",Pole_Calc!A741,
IF(H713="MP",Pole_Calc!A742,
IF(H713="AnMP",Pole_Calc!A743,
IF(H713="A",Pole_Calc!A744,
IF(H713="S/A",Pole_Calc!A745,
IF(H713="A/S",Pole_Calc!A746,"Poner a mano")))))))</f>
        <v/>
      </c>
      <c r="BE713" s="448" t="s">
        <v>1726</v>
      </c>
      <c r="BF713" s="635"/>
      <c r="BG713" s="635"/>
      <c r="BH713" s="634"/>
      <c r="BI713" s="635"/>
    </row>
    <row r="714" spans="1:61" ht="16.2" customHeight="1">
      <c r="A714" s="12"/>
      <c r="B714" s="446"/>
      <c r="C714" s="89"/>
      <c r="D714" s="13"/>
      <c r="E714" s="14"/>
      <c r="F714" s="14"/>
      <c r="G714" s="15"/>
      <c r="H714" s="8"/>
      <c r="I714" s="8"/>
      <c r="J714" s="89"/>
      <c r="K714" s="8"/>
      <c r="L714" s="8"/>
      <c r="M714" s="8" t="str">
        <f>IF(L714="","",
IF(AX714="PT",VLOOKUP(L714,Foundation_Calc!$V$4:$X$37,VLOOKUP(AX714,Foundation_Calc!$I$10:$J$13,2,FALSE),0),
IF(AX714="K",VLOOKUP(L714,Foundation_Calc!$V$41:$X$74,VLOOKUP(AX714,Foundation_Calc!$I$10:$J$13,2,FALSE),0),"")))</f>
        <v/>
      </c>
      <c r="N714" s="8"/>
      <c r="O714" s="8"/>
      <c r="P714" s="8"/>
      <c r="Q714" s="14"/>
      <c r="R714" s="15"/>
      <c r="S714" s="15"/>
      <c r="T714" s="14"/>
      <c r="U714" s="14"/>
      <c r="V714" s="14"/>
      <c r="W714" s="18"/>
      <c r="X714" s="18"/>
      <c r="Y714" s="18"/>
      <c r="Z714" s="18"/>
      <c r="AA714" s="18"/>
      <c r="AB714" s="18"/>
      <c r="AC714" s="8" t="str">
        <f t="shared" si="45"/>
        <v/>
      </c>
      <c r="AD714" s="8"/>
      <c r="AE714" s="8"/>
      <c r="AF714" s="14"/>
      <c r="AG714" s="13"/>
      <c r="AH714" s="14"/>
      <c r="AI714" s="14"/>
      <c r="AJ714" s="8"/>
      <c r="AK714" s="8"/>
      <c r="AL714" s="8"/>
      <c r="AM714" s="8"/>
      <c r="AN714" s="631"/>
      <c r="AO714" s="18"/>
      <c r="AP714" s="18"/>
      <c r="AQ714" s="18"/>
      <c r="AR714" s="18"/>
      <c r="AS714" s="18"/>
      <c r="AU714" s="448"/>
      <c r="AV714" s="448"/>
      <c r="AW714" s="8" t="str">
        <f>IF(C714&gt;0,VLOOKUP(C714,Foundation_Calc!$A$2:$C$986,3,1),
IF(J714&gt;0,VLOOKUP(J714,Foundation_Calc!$A$2:$C$986,3,1),""))</f>
        <v/>
      </c>
      <c r="AX714" s="8" t="str">
        <f>IF(C714&gt;0,VLOOKUP(C714,Foundation_Calc!$E$2:$G$986,3,1),
IF(J714&gt;0,VLOOKUP(J714,Foundation_Calc!$E$2:$G$986,3,1),""))</f>
        <v/>
      </c>
      <c r="AY714" s="631" t="str">
        <f>IF(L714="","",
IF(AX714="PT",VLOOKUP(L714,Foundation_Calc!$K$4:$R$37,VLOOKUP(AW714,Foundation_Calc!$I$2:$J$8,2,FALSE),0),
IF(AX714="K",VLOOKUP(L714,Foundation_Calc!$K$41:$R$74,VLOOKUP(AW714,Foundation_Calc!$I$2:$J$8,2,FALSE),0),"")))</f>
        <v/>
      </c>
      <c r="AZ714" s="631" t="str">
        <f>IF(K714="","",
IF(AX714="PT",VLOOKUP(K714,Foundation_Calc!$K$4:$R$37,VLOOKUP(AW714,Foundation_Calc!$I$2:$J$8,2,FALSE),0),
IF(AX714="K",VLOOKUP(K714,Foundation_Calc!$K$41:$R$74,VLOOKUP(AW714,Foundation_Calc!$I$2:$J$8,2,FALSE),0),"")))</f>
        <v/>
      </c>
      <c r="BA714" s="632" t="str">
        <f t="shared" si="46"/>
        <v/>
      </c>
      <c r="BB714" s="632" t="str">
        <f t="shared" si="47"/>
        <v/>
      </c>
      <c r="BC714" s="632" t="str">
        <f t="shared" si="48"/>
        <v/>
      </c>
      <c r="BD714" s="633" t="str">
        <f>IF(AND(L714="",H714=""),"",
IF(H714="",Pole_Calc!A742,
IF(H714="MP",Pole_Calc!A743,
IF(H714="AnMP",Pole_Calc!A744,
IF(H714="A",Pole_Calc!A745,
IF(H714="S/A",Pole_Calc!A746,
IF(H714="A/S",Pole_Calc!A747,"Poner a mano")))))))</f>
        <v/>
      </c>
      <c r="BE714" s="448" t="s">
        <v>1726</v>
      </c>
      <c r="BF714" s="634"/>
      <c r="BG714" s="634"/>
      <c r="BH714" s="634"/>
      <c r="BI714" s="634"/>
    </row>
    <row r="715" spans="1:61" ht="16.2" customHeight="1">
      <c r="A715" s="12"/>
      <c r="B715" s="446"/>
      <c r="C715" s="89"/>
      <c r="D715" s="13"/>
      <c r="E715" s="14"/>
      <c r="F715" s="14"/>
      <c r="G715" s="15"/>
      <c r="H715" s="8"/>
      <c r="I715" s="8"/>
      <c r="J715" s="89"/>
      <c r="K715" s="8"/>
      <c r="L715" s="8"/>
      <c r="M715" s="8" t="str">
        <f>IF(L715="","",
IF(AX715="PT",VLOOKUP(L715,Foundation_Calc!$V$4:$X$37,VLOOKUP(AX715,Foundation_Calc!$I$10:$J$13,2,FALSE),0),
IF(AX715="K",VLOOKUP(L715,Foundation_Calc!$V$41:$X$74,VLOOKUP(AX715,Foundation_Calc!$I$10:$J$13,2,FALSE),0),"")))</f>
        <v/>
      </c>
      <c r="N715" s="8"/>
      <c r="O715" s="8"/>
      <c r="P715" s="8"/>
      <c r="Q715" s="14"/>
      <c r="R715" s="15"/>
      <c r="S715" s="15"/>
      <c r="T715" s="14"/>
      <c r="U715" s="14"/>
      <c r="V715" s="14"/>
      <c r="W715" s="18"/>
      <c r="X715" s="18"/>
      <c r="Y715" s="18"/>
      <c r="Z715" s="18"/>
      <c r="AA715" s="18"/>
      <c r="AB715" s="18"/>
      <c r="AC715" s="8" t="str">
        <f t="shared" si="45"/>
        <v/>
      </c>
      <c r="AD715" s="8"/>
      <c r="AE715" s="8"/>
      <c r="AF715" s="14"/>
      <c r="AG715" s="13"/>
      <c r="AH715" s="14"/>
      <c r="AI715" s="14"/>
      <c r="AJ715" s="8"/>
      <c r="AK715" s="8"/>
      <c r="AL715" s="8"/>
      <c r="AM715" s="8"/>
      <c r="AN715" s="631"/>
      <c r="AO715" s="18"/>
      <c r="AP715" s="18"/>
      <c r="AQ715" s="18"/>
      <c r="AR715" s="18"/>
      <c r="AS715" s="18"/>
      <c r="AU715" s="448"/>
      <c r="AV715" s="448"/>
      <c r="AW715" s="8" t="str">
        <f>IF(C715&gt;0,VLOOKUP(C715,Foundation_Calc!$A$2:$C$986,3,1),
IF(J715&gt;0,VLOOKUP(J715,Foundation_Calc!$A$2:$C$986,3,1),""))</f>
        <v/>
      </c>
      <c r="AX715" s="8" t="str">
        <f>IF(C715&gt;0,VLOOKUP(C715,Foundation_Calc!$E$2:$G$986,3,1),
IF(J715&gt;0,VLOOKUP(J715,Foundation_Calc!$E$2:$G$986,3,1),""))</f>
        <v/>
      </c>
      <c r="AY715" s="631" t="str">
        <f>IF(L715="","",
IF(AX715="PT",VLOOKUP(L715,Foundation_Calc!$K$4:$R$37,VLOOKUP(AW715,Foundation_Calc!$I$2:$J$8,2,FALSE),0),
IF(AX715="K",VLOOKUP(L715,Foundation_Calc!$K$41:$R$74,VLOOKUP(AW715,Foundation_Calc!$I$2:$J$8,2,FALSE),0),"")))</f>
        <v/>
      </c>
      <c r="AZ715" s="631" t="str">
        <f>IF(K715="","",
IF(AX715="PT",VLOOKUP(K715,Foundation_Calc!$K$4:$R$37,VLOOKUP(AW715,Foundation_Calc!$I$2:$J$8,2,FALSE),0),
IF(AX715="K",VLOOKUP(K715,Foundation_Calc!$K$41:$R$74,VLOOKUP(AW715,Foundation_Calc!$I$2:$J$8,2,FALSE),0),"")))</f>
        <v/>
      </c>
      <c r="BA715" s="632" t="str">
        <f t="shared" si="46"/>
        <v/>
      </c>
      <c r="BB715" s="632" t="str">
        <f t="shared" si="47"/>
        <v/>
      </c>
      <c r="BC715" s="632" t="str">
        <f t="shared" si="48"/>
        <v/>
      </c>
      <c r="BD715" s="633" t="str">
        <f>IF(AND(L715="",H715=""),"",
IF(H715="",Pole_Calc!A743,
IF(H715="MP",Pole_Calc!A744,
IF(H715="AnMP",Pole_Calc!A745,
IF(H715="A",Pole_Calc!A746,
IF(H715="S/A",Pole_Calc!A747,
IF(H715="A/S",Pole_Calc!A748,"Poner a mano")))))))</f>
        <v/>
      </c>
      <c r="BE715" s="448" t="s">
        <v>1726</v>
      </c>
      <c r="BF715" s="635"/>
      <c r="BG715" s="635"/>
      <c r="BH715" s="634"/>
      <c r="BI715" s="635"/>
    </row>
    <row r="716" spans="1:61" ht="16.2" customHeight="1">
      <c r="A716" s="12"/>
      <c r="B716" s="446"/>
      <c r="C716" s="89"/>
      <c r="D716" s="13"/>
      <c r="E716" s="14"/>
      <c r="F716" s="14"/>
      <c r="G716" s="15"/>
      <c r="H716" s="8"/>
      <c r="I716" s="8"/>
      <c r="J716" s="89"/>
      <c r="K716" s="8"/>
      <c r="L716" s="8"/>
      <c r="M716" s="8" t="str">
        <f>IF(L716="","",
IF(AX716="PT",VLOOKUP(L716,Foundation_Calc!$V$4:$X$37,VLOOKUP(AX716,Foundation_Calc!$I$10:$J$13,2,FALSE),0),
IF(AX716="K",VLOOKUP(L716,Foundation_Calc!$V$41:$X$74,VLOOKUP(AX716,Foundation_Calc!$I$10:$J$13,2,FALSE),0),"")))</f>
        <v/>
      </c>
      <c r="N716" s="8"/>
      <c r="O716" s="8"/>
      <c r="P716" s="8"/>
      <c r="Q716" s="14"/>
      <c r="R716" s="15"/>
      <c r="S716" s="15"/>
      <c r="T716" s="14"/>
      <c r="U716" s="14"/>
      <c r="V716" s="14"/>
      <c r="W716" s="18"/>
      <c r="X716" s="18"/>
      <c r="Y716" s="18"/>
      <c r="Z716" s="18"/>
      <c r="AA716" s="18"/>
      <c r="AB716" s="18"/>
      <c r="AC716" s="8" t="str">
        <f t="shared" si="45"/>
        <v/>
      </c>
      <c r="AD716" s="8"/>
      <c r="AE716" s="8"/>
      <c r="AF716" s="14"/>
      <c r="AG716" s="13"/>
      <c r="AH716" s="14"/>
      <c r="AI716" s="14"/>
      <c r="AJ716" s="8"/>
      <c r="AK716" s="8"/>
      <c r="AL716" s="8"/>
      <c r="AM716" s="8"/>
      <c r="AN716" s="631"/>
      <c r="AO716" s="18"/>
      <c r="AP716" s="18"/>
      <c r="AQ716" s="18"/>
      <c r="AR716" s="18"/>
      <c r="AS716" s="18"/>
      <c r="AU716" s="448"/>
      <c r="AV716" s="448"/>
      <c r="AW716" s="8" t="str">
        <f>IF(C716&gt;0,VLOOKUP(C716,Foundation_Calc!$A$2:$C$986,3,1),
IF(J716&gt;0,VLOOKUP(J716,Foundation_Calc!$A$2:$C$986,3,1),""))</f>
        <v/>
      </c>
      <c r="AX716" s="8" t="str">
        <f>IF(C716&gt;0,VLOOKUP(C716,Foundation_Calc!$E$2:$G$986,3,1),
IF(J716&gt;0,VLOOKUP(J716,Foundation_Calc!$E$2:$G$986,3,1),""))</f>
        <v/>
      </c>
      <c r="AY716" s="631" t="str">
        <f>IF(L716="","",
IF(AX716="PT",VLOOKUP(L716,Foundation_Calc!$K$4:$R$37,VLOOKUP(AW716,Foundation_Calc!$I$2:$J$8,2,FALSE),0),
IF(AX716="K",VLOOKUP(L716,Foundation_Calc!$K$41:$R$74,VLOOKUP(AW716,Foundation_Calc!$I$2:$J$8,2,FALSE),0),"")))</f>
        <v/>
      </c>
      <c r="AZ716" s="631" t="str">
        <f>IF(K716="","",
IF(AX716="PT",VLOOKUP(K716,Foundation_Calc!$K$4:$R$37,VLOOKUP(AW716,Foundation_Calc!$I$2:$J$8,2,FALSE),0),
IF(AX716="K",VLOOKUP(K716,Foundation_Calc!$K$41:$R$74,VLOOKUP(AW716,Foundation_Calc!$I$2:$J$8,2,FALSE),0),"")))</f>
        <v/>
      </c>
      <c r="BA716" s="632" t="str">
        <f t="shared" si="46"/>
        <v/>
      </c>
      <c r="BB716" s="632" t="str">
        <f t="shared" si="47"/>
        <v/>
      </c>
      <c r="BC716" s="632" t="str">
        <f t="shared" si="48"/>
        <v/>
      </c>
      <c r="BD716" s="633" t="str">
        <f>IF(AND(L716="",H716=""),"",
IF(H716="",Pole_Calc!A744,
IF(H716="MP",Pole_Calc!A745,
IF(H716="AnMP",Pole_Calc!A746,
IF(H716="A",Pole_Calc!A747,
IF(H716="S/A",Pole_Calc!A748,
IF(H716="A/S",Pole_Calc!A749,"Poner a mano")))))))</f>
        <v/>
      </c>
      <c r="BE716" s="448" t="s">
        <v>1726</v>
      </c>
      <c r="BF716" s="634"/>
      <c r="BG716" s="634"/>
      <c r="BH716" s="634"/>
      <c r="BI716" s="634"/>
    </row>
    <row r="717" spans="1:61" ht="16.2" customHeight="1">
      <c r="A717" s="12"/>
      <c r="B717" s="446"/>
      <c r="C717" s="89"/>
      <c r="D717" s="13"/>
      <c r="E717" s="14"/>
      <c r="F717" s="14"/>
      <c r="G717" s="15"/>
      <c r="H717" s="8"/>
      <c r="I717" s="8"/>
      <c r="J717" s="89"/>
      <c r="K717" s="8"/>
      <c r="L717" s="8"/>
      <c r="M717" s="8" t="str">
        <f>IF(L717="","",
IF(AX717="PT",VLOOKUP(L717,Foundation_Calc!$V$4:$X$37,VLOOKUP(AX717,Foundation_Calc!$I$10:$J$13,2,FALSE),0),
IF(AX717="K",VLOOKUP(L717,Foundation_Calc!$V$41:$X$74,VLOOKUP(AX717,Foundation_Calc!$I$10:$J$13,2,FALSE),0),"")))</f>
        <v/>
      </c>
      <c r="N717" s="8"/>
      <c r="O717" s="8"/>
      <c r="P717" s="8"/>
      <c r="Q717" s="14"/>
      <c r="R717" s="15"/>
      <c r="S717" s="15"/>
      <c r="T717" s="14"/>
      <c r="U717" s="14"/>
      <c r="V717" s="14"/>
      <c r="W717" s="18"/>
      <c r="X717" s="18"/>
      <c r="Y717" s="18"/>
      <c r="Z717" s="18"/>
      <c r="AA717" s="18"/>
      <c r="AB717" s="18"/>
      <c r="AC717" s="8" t="str">
        <f t="shared" si="45"/>
        <v/>
      </c>
      <c r="AD717" s="8"/>
      <c r="AE717" s="8"/>
      <c r="AF717" s="14"/>
      <c r="AG717" s="13"/>
      <c r="AH717" s="14"/>
      <c r="AI717" s="14"/>
      <c r="AJ717" s="8"/>
      <c r="AK717" s="8"/>
      <c r="AL717" s="8"/>
      <c r="AM717" s="8"/>
      <c r="AN717" s="631"/>
      <c r="AO717" s="18"/>
      <c r="AP717" s="18"/>
      <c r="AQ717" s="18"/>
      <c r="AR717" s="18"/>
      <c r="AS717" s="18"/>
      <c r="AU717" s="448"/>
      <c r="AV717" s="448"/>
      <c r="AW717" s="8" t="str">
        <f>IF(C717&gt;0,VLOOKUP(C717,Foundation_Calc!$A$2:$C$986,3,1),
IF(J717&gt;0,VLOOKUP(J717,Foundation_Calc!$A$2:$C$986,3,1),""))</f>
        <v/>
      </c>
      <c r="AX717" s="8" t="str">
        <f>IF(C717&gt;0,VLOOKUP(C717,Foundation_Calc!$E$2:$G$986,3,1),
IF(J717&gt;0,VLOOKUP(J717,Foundation_Calc!$E$2:$G$986,3,1),""))</f>
        <v/>
      </c>
      <c r="AY717" s="631" t="str">
        <f>IF(L717="","",
IF(AX717="PT",VLOOKUP(L717,Foundation_Calc!$K$4:$R$37,VLOOKUP(AW717,Foundation_Calc!$I$2:$J$8,2,FALSE),0),
IF(AX717="K",VLOOKUP(L717,Foundation_Calc!$K$41:$R$74,VLOOKUP(AW717,Foundation_Calc!$I$2:$J$8,2,FALSE),0),"")))</f>
        <v/>
      </c>
      <c r="AZ717" s="631" t="str">
        <f>IF(K717="","",
IF(AX717="PT",VLOOKUP(K717,Foundation_Calc!$K$4:$R$37,VLOOKUP(AW717,Foundation_Calc!$I$2:$J$8,2,FALSE),0),
IF(AX717="K",VLOOKUP(K717,Foundation_Calc!$K$41:$R$74,VLOOKUP(AW717,Foundation_Calc!$I$2:$J$8,2,FALSE),0),"")))</f>
        <v/>
      </c>
      <c r="BA717" s="632" t="str">
        <f t="shared" si="46"/>
        <v/>
      </c>
      <c r="BB717" s="632" t="str">
        <f t="shared" si="47"/>
        <v/>
      </c>
      <c r="BC717" s="632" t="str">
        <f t="shared" si="48"/>
        <v/>
      </c>
      <c r="BD717" s="633" t="str">
        <f>IF(AND(L717="",H717=""),"",
IF(H717="",Pole_Calc!A745,
IF(H717="MP",Pole_Calc!A746,
IF(H717="AnMP",Pole_Calc!A747,
IF(H717="A",Pole_Calc!A748,
IF(H717="S/A",Pole_Calc!A749,
IF(H717="A/S",Pole_Calc!A750,"Poner a mano")))))))</f>
        <v/>
      </c>
      <c r="BE717" s="448" t="s">
        <v>1726</v>
      </c>
      <c r="BF717" s="635"/>
      <c r="BG717" s="635"/>
      <c r="BH717" s="634"/>
      <c r="BI717" s="635"/>
    </row>
    <row r="718" spans="1:61" ht="16.2" customHeight="1">
      <c r="A718" s="12"/>
      <c r="B718" s="446"/>
      <c r="C718" s="89"/>
      <c r="D718" s="13"/>
      <c r="E718" s="14"/>
      <c r="F718" s="14"/>
      <c r="G718" s="15"/>
      <c r="H718" s="8"/>
      <c r="I718" s="8"/>
      <c r="J718" s="89"/>
      <c r="K718" s="8"/>
      <c r="L718" s="8"/>
      <c r="M718" s="8" t="str">
        <f>IF(L718="","",
IF(AX718="PT",VLOOKUP(L718,Foundation_Calc!$V$4:$X$37,VLOOKUP(AX718,Foundation_Calc!$I$10:$J$13,2,FALSE),0),
IF(AX718="K",VLOOKUP(L718,Foundation_Calc!$V$41:$X$74,VLOOKUP(AX718,Foundation_Calc!$I$10:$J$13,2,FALSE),0),"")))</f>
        <v/>
      </c>
      <c r="N718" s="8"/>
      <c r="O718" s="8"/>
      <c r="P718" s="8"/>
      <c r="Q718" s="14"/>
      <c r="R718" s="15"/>
      <c r="S718" s="15"/>
      <c r="T718" s="14"/>
      <c r="U718" s="14"/>
      <c r="V718" s="14"/>
      <c r="W718" s="18"/>
      <c r="X718" s="18"/>
      <c r="Y718" s="18"/>
      <c r="Z718" s="18"/>
      <c r="AA718" s="18"/>
      <c r="AB718" s="18"/>
      <c r="AC718" s="8" t="str">
        <f t="shared" si="45"/>
        <v/>
      </c>
      <c r="AD718" s="8"/>
      <c r="AE718" s="8"/>
      <c r="AF718" s="14"/>
      <c r="AG718" s="13"/>
      <c r="AH718" s="14"/>
      <c r="AI718" s="14"/>
      <c r="AJ718" s="8"/>
      <c r="AK718" s="8"/>
      <c r="AL718" s="8"/>
      <c r="AM718" s="8"/>
      <c r="AN718" s="631"/>
      <c r="AO718" s="18"/>
      <c r="AP718" s="18"/>
      <c r="AQ718" s="18"/>
      <c r="AR718" s="18"/>
      <c r="AS718" s="18"/>
      <c r="AU718" s="448"/>
      <c r="AV718" s="448"/>
      <c r="AW718" s="8" t="str">
        <f>IF(C718&gt;0,VLOOKUP(C718,Foundation_Calc!$A$2:$C$986,3,1),
IF(J718&gt;0,VLOOKUP(J718,Foundation_Calc!$A$2:$C$986,3,1),""))</f>
        <v/>
      </c>
      <c r="AX718" s="8" t="str">
        <f>IF(C718&gt;0,VLOOKUP(C718,Foundation_Calc!$E$2:$G$986,3,1),
IF(J718&gt;0,VLOOKUP(J718,Foundation_Calc!$E$2:$G$986,3,1),""))</f>
        <v/>
      </c>
      <c r="AY718" s="631" t="str">
        <f>IF(L718="","",
IF(AX718="PT",VLOOKUP(L718,Foundation_Calc!$K$4:$R$37,VLOOKUP(AW718,Foundation_Calc!$I$2:$J$8,2,FALSE),0),
IF(AX718="K",VLOOKUP(L718,Foundation_Calc!$K$41:$R$74,VLOOKUP(AW718,Foundation_Calc!$I$2:$J$8,2,FALSE),0),"")))</f>
        <v/>
      </c>
      <c r="AZ718" s="631" t="str">
        <f>IF(K718="","",
IF(AX718="PT",VLOOKUP(K718,Foundation_Calc!$K$4:$R$37,VLOOKUP(AW718,Foundation_Calc!$I$2:$J$8,2,FALSE),0),
IF(AX718="K",VLOOKUP(K718,Foundation_Calc!$K$41:$R$74,VLOOKUP(AW718,Foundation_Calc!$I$2:$J$8,2,FALSE),0),"")))</f>
        <v/>
      </c>
      <c r="BA718" s="632" t="str">
        <f t="shared" si="46"/>
        <v/>
      </c>
      <c r="BB718" s="632" t="str">
        <f t="shared" si="47"/>
        <v/>
      </c>
      <c r="BC718" s="632" t="str">
        <f t="shared" si="48"/>
        <v/>
      </c>
      <c r="BD718" s="633" t="str">
        <f>IF(AND(L718="",H718=""),"",
IF(H718="",Pole_Calc!A746,
IF(H718="MP",Pole_Calc!A747,
IF(H718="AnMP",Pole_Calc!A748,
IF(H718="A",Pole_Calc!A749,
IF(H718="S/A",Pole_Calc!A750,
IF(H718="A/S",Pole_Calc!A751,"Poner a mano")))))))</f>
        <v/>
      </c>
      <c r="BE718" s="448" t="s">
        <v>1726</v>
      </c>
      <c r="BF718" s="634"/>
      <c r="BG718" s="634"/>
      <c r="BH718" s="634"/>
      <c r="BI718" s="634"/>
    </row>
    <row r="719" spans="1:61" ht="16.2" customHeight="1">
      <c r="A719" s="12"/>
      <c r="B719" s="446"/>
      <c r="C719" s="89"/>
      <c r="D719" s="13"/>
      <c r="E719" s="14"/>
      <c r="F719" s="14"/>
      <c r="G719" s="15"/>
      <c r="H719" s="8"/>
      <c r="I719" s="8"/>
      <c r="J719" s="89"/>
      <c r="K719" s="8"/>
      <c r="L719" s="8"/>
      <c r="M719" s="8" t="str">
        <f>IF(L719="","",
IF(AX719="PT",VLOOKUP(L719,Foundation_Calc!$V$4:$X$37,VLOOKUP(AX719,Foundation_Calc!$I$10:$J$13,2,FALSE),0),
IF(AX719="K",VLOOKUP(L719,Foundation_Calc!$V$41:$X$74,VLOOKUP(AX719,Foundation_Calc!$I$10:$J$13,2,FALSE),0),"")))</f>
        <v/>
      </c>
      <c r="N719" s="8"/>
      <c r="O719" s="8"/>
      <c r="P719" s="8"/>
      <c r="Q719" s="14"/>
      <c r="R719" s="15"/>
      <c r="S719" s="15"/>
      <c r="T719" s="14"/>
      <c r="U719" s="14"/>
      <c r="V719" s="14"/>
      <c r="W719" s="18"/>
      <c r="X719" s="18"/>
      <c r="Y719" s="18"/>
      <c r="Z719" s="18"/>
      <c r="AA719" s="18"/>
      <c r="AB719" s="18"/>
      <c r="AC719" s="8" t="str">
        <f t="shared" si="45"/>
        <v/>
      </c>
      <c r="AD719" s="8"/>
      <c r="AE719" s="8"/>
      <c r="AF719" s="14"/>
      <c r="AG719" s="13"/>
      <c r="AH719" s="14"/>
      <c r="AI719" s="14"/>
      <c r="AJ719" s="8"/>
      <c r="AK719" s="8"/>
      <c r="AL719" s="8"/>
      <c r="AM719" s="8"/>
      <c r="AN719" s="631"/>
      <c r="AO719" s="18"/>
      <c r="AP719" s="18"/>
      <c r="AQ719" s="18"/>
      <c r="AR719" s="18"/>
      <c r="AS719" s="18"/>
      <c r="AU719" s="448"/>
      <c r="AV719" s="448"/>
      <c r="AW719" s="8" t="str">
        <f>IF(C719&gt;0,VLOOKUP(C719,Foundation_Calc!$A$2:$C$986,3,1),
IF(J719&gt;0,VLOOKUP(J719,Foundation_Calc!$A$2:$C$986,3,1),""))</f>
        <v/>
      </c>
      <c r="AX719" s="8" t="str">
        <f>IF(C719&gt;0,VLOOKUP(C719,Foundation_Calc!$E$2:$G$986,3,1),
IF(J719&gt;0,VLOOKUP(J719,Foundation_Calc!$E$2:$G$986,3,1),""))</f>
        <v/>
      </c>
      <c r="AY719" s="631" t="str">
        <f>IF(L719="","",
IF(AX719="PT",VLOOKUP(L719,Foundation_Calc!$K$4:$R$37,VLOOKUP(AW719,Foundation_Calc!$I$2:$J$8,2,FALSE),0),
IF(AX719="K",VLOOKUP(L719,Foundation_Calc!$K$41:$R$74,VLOOKUP(AW719,Foundation_Calc!$I$2:$J$8,2,FALSE),0),"")))</f>
        <v/>
      </c>
      <c r="AZ719" s="631" t="str">
        <f>IF(K719="","",
IF(AX719="PT",VLOOKUP(K719,Foundation_Calc!$K$4:$R$37,VLOOKUP(AW719,Foundation_Calc!$I$2:$J$8,2,FALSE),0),
IF(AX719="K",VLOOKUP(K719,Foundation_Calc!$K$41:$R$74,VLOOKUP(AW719,Foundation_Calc!$I$2:$J$8,2,FALSE),0),"")))</f>
        <v/>
      </c>
      <c r="BA719" s="632" t="str">
        <f t="shared" si="46"/>
        <v/>
      </c>
      <c r="BB719" s="632" t="str">
        <f t="shared" si="47"/>
        <v/>
      </c>
      <c r="BC719" s="632" t="str">
        <f t="shared" si="48"/>
        <v/>
      </c>
      <c r="BD719" s="633" t="str">
        <f>IF(AND(L719="",H719=""),"",
IF(H719="",Pole_Calc!A747,
IF(H719="MP",Pole_Calc!A748,
IF(H719="AnMP",Pole_Calc!A749,
IF(H719="A",Pole_Calc!A750,
IF(H719="S/A",Pole_Calc!A751,
IF(H719="A/S",Pole_Calc!A752,"Poner a mano")))))))</f>
        <v/>
      </c>
      <c r="BE719" s="448" t="s">
        <v>1726</v>
      </c>
      <c r="BF719" s="635"/>
      <c r="BG719" s="635"/>
      <c r="BH719" s="634"/>
      <c r="BI719" s="635"/>
    </row>
    <row r="720" spans="1:61" ht="16.2" customHeight="1">
      <c r="A720" s="12"/>
      <c r="B720" s="446"/>
      <c r="C720" s="89"/>
      <c r="D720" s="13"/>
      <c r="E720" s="14"/>
      <c r="F720" s="14"/>
      <c r="G720" s="15"/>
      <c r="H720" s="8"/>
      <c r="I720" s="8"/>
      <c r="J720" s="89"/>
      <c r="K720" s="8"/>
      <c r="L720" s="8"/>
      <c r="M720" s="8" t="str">
        <f>IF(L720="","",
IF(AX720="PT",VLOOKUP(L720,Foundation_Calc!$V$4:$X$37,VLOOKUP(AX720,Foundation_Calc!$I$10:$J$13,2,FALSE),0),
IF(AX720="K",VLOOKUP(L720,Foundation_Calc!$V$41:$X$74,VLOOKUP(AX720,Foundation_Calc!$I$10:$J$13,2,FALSE),0),"")))</f>
        <v/>
      </c>
      <c r="N720" s="8"/>
      <c r="O720" s="8"/>
      <c r="P720" s="8"/>
      <c r="Q720" s="14"/>
      <c r="R720" s="15"/>
      <c r="S720" s="15"/>
      <c r="T720" s="14"/>
      <c r="U720" s="14"/>
      <c r="V720" s="14"/>
      <c r="W720" s="18"/>
      <c r="X720" s="18"/>
      <c r="Y720" s="18"/>
      <c r="Z720" s="18"/>
      <c r="AA720" s="18"/>
      <c r="AB720" s="18"/>
      <c r="AC720" s="8" t="str">
        <f t="shared" si="45"/>
        <v/>
      </c>
      <c r="AD720" s="8"/>
      <c r="AE720" s="8"/>
      <c r="AF720" s="14"/>
      <c r="AG720" s="13"/>
      <c r="AH720" s="14"/>
      <c r="AI720" s="14"/>
      <c r="AJ720" s="8"/>
      <c r="AK720" s="8"/>
      <c r="AL720" s="8"/>
      <c r="AM720" s="8"/>
      <c r="AN720" s="631"/>
      <c r="AO720" s="18"/>
      <c r="AP720" s="18"/>
      <c r="AQ720" s="18"/>
      <c r="AR720" s="18"/>
      <c r="AS720" s="18"/>
      <c r="AU720" s="448"/>
      <c r="AV720" s="448"/>
      <c r="AW720" s="8" t="str">
        <f>IF(C720&gt;0,VLOOKUP(C720,Foundation_Calc!$A$2:$C$986,3,1),
IF(J720&gt;0,VLOOKUP(J720,Foundation_Calc!$A$2:$C$986,3,1),""))</f>
        <v/>
      </c>
      <c r="AX720" s="8" t="str">
        <f>IF(C720&gt;0,VLOOKUP(C720,Foundation_Calc!$E$2:$G$986,3,1),
IF(J720&gt;0,VLOOKUP(J720,Foundation_Calc!$E$2:$G$986,3,1),""))</f>
        <v/>
      </c>
      <c r="AY720" s="631" t="str">
        <f>IF(L720="","",
IF(AX720="PT",VLOOKUP(L720,Foundation_Calc!$K$4:$R$37,VLOOKUP(AW720,Foundation_Calc!$I$2:$J$8,2,FALSE),0),
IF(AX720="K",VLOOKUP(L720,Foundation_Calc!$K$41:$R$74,VLOOKUP(AW720,Foundation_Calc!$I$2:$J$8,2,FALSE),0),"")))</f>
        <v/>
      </c>
      <c r="AZ720" s="631" t="str">
        <f>IF(K720="","",
IF(AX720="PT",VLOOKUP(K720,Foundation_Calc!$K$4:$R$37,VLOOKUP(AW720,Foundation_Calc!$I$2:$J$8,2,FALSE),0),
IF(AX720="K",VLOOKUP(K720,Foundation_Calc!$K$41:$R$74,VLOOKUP(AW720,Foundation_Calc!$I$2:$J$8,2,FALSE),0),"")))</f>
        <v/>
      </c>
      <c r="BA720" s="632" t="str">
        <f t="shared" si="46"/>
        <v/>
      </c>
      <c r="BB720" s="632" t="str">
        <f t="shared" si="47"/>
        <v/>
      </c>
      <c r="BC720" s="632" t="str">
        <f t="shared" si="48"/>
        <v/>
      </c>
      <c r="BD720" s="633" t="str">
        <f>IF(AND(L720="",H720=""),"",
IF(H720="",Pole_Calc!A748,
IF(H720="MP",Pole_Calc!A749,
IF(H720="AnMP",Pole_Calc!A750,
IF(H720="A",Pole_Calc!A751,
IF(H720="S/A",Pole_Calc!A752,
IF(H720="A/S",Pole_Calc!A753,"Poner a mano")))))))</f>
        <v/>
      </c>
      <c r="BE720" s="448" t="s">
        <v>1726</v>
      </c>
      <c r="BF720" s="634"/>
      <c r="BG720" s="634"/>
      <c r="BH720" s="634"/>
      <c r="BI720" s="634"/>
    </row>
    <row r="721" spans="1:61" ht="16.2" customHeight="1">
      <c r="A721" s="12"/>
      <c r="B721" s="446"/>
      <c r="C721" s="89"/>
      <c r="D721" s="13"/>
      <c r="E721" s="14"/>
      <c r="F721" s="14"/>
      <c r="G721" s="15"/>
      <c r="H721" s="8"/>
      <c r="I721" s="8"/>
      <c r="J721" s="89"/>
      <c r="K721" s="8"/>
      <c r="L721" s="8"/>
      <c r="M721" s="8" t="str">
        <f>IF(L721="","",
IF(AX721="PT",VLOOKUP(L721,Foundation_Calc!$V$4:$X$37,VLOOKUP(AX721,Foundation_Calc!$I$10:$J$13,2,FALSE),0),
IF(AX721="K",VLOOKUP(L721,Foundation_Calc!$V$41:$X$74,VLOOKUP(AX721,Foundation_Calc!$I$10:$J$13,2,FALSE),0),"")))</f>
        <v/>
      </c>
      <c r="N721" s="8"/>
      <c r="O721" s="8"/>
      <c r="P721" s="8"/>
      <c r="Q721" s="14"/>
      <c r="R721" s="15"/>
      <c r="S721" s="15"/>
      <c r="T721" s="14"/>
      <c r="U721" s="14"/>
      <c r="V721" s="14"/>
      <c r="W721" s="18"/>
      <c r="X721" s="18"/>
      <c r="Y721" s="18"/>
      <c r="Z721" s="18"/>
      <c r="AA721" s="18"/>
      <c r="AB721" s="18"/>
      <c r="AC721" s="8" t="str">
        <f t="shared" si="45"/>
        <v/>
      </c>
      <c r="AD721" s="8"/>
      <c r="AE721" s="8"/>
      <c r="AF721" s="14"/>
      <c r="AG721" s="13"/>
      <c r="AH721" s="14"/>
      <c r="AI721" s="14"/>
      <c r="AJ721" s="8"/>
      <c r="AK721" s="8"/>
      <c r="AL721" s="8"/>
      <c r="AM721" s="8"/>
      <c r="AN721" s="631"/>
      <c r="AO721" s="18"/>
      <c r="AP721" s="18"/>
      <c r="AQ721" s="18"/>
      <c r="AR721" s="18"/>
      <c r="AS721" s="18"/>
      <c r="AU721" s="448"/>
      <c r="AV721" s="448"/>
      <c r="AW721" s="8" t="str">
        <f>IF(C721&gt;0,VLOOKUP(C721,Foundation_Calc!$A$2:$C$986,3,1),
IF(J721&gt;0,VLOOKUP(J721,Foundation_Calc!$A$2:$C$986,3,1),""))</f>
        <v/>
      </c>
      <c r="AX721" s="8" t="str">
        <f>IF(C721&gt;0,VLOOKUP(C721,Foundation_Calc!$E$2:$G$986,3,1),
IF(J721&gt;0,VLOOKUP(J721,Foundation_Calc!$E$2:$G$986,3,1),""))</f>
        <v/>
      </c>
      <c r="AY721" s="631" t="str">
        <f>IF(L721="","",
IF(AX721="PT",VLOOKUP(L721,Foundation_Calc!$K$4:$R$37,VLOOKUP(AW721,Foundation_Calc!$I$2:$J$8,2,FALSE),0),
IF(AX721="K",VLOOKUP(L721,Foundation_Calc!$K$41:$R$74,VLOOKUP(AW721,Foundation_Calc!$I$2:$J$8,2,FALSE),0),"")))</f>
        <v/>
      </c>
      <c r="AZ721" s="631" t="str">
        <f>IF(K721="","",
IF(AX721="PT",VLOOKUP(K721,Foundation_Calc!$K$4:$R$37,VLOOKUP(AW721,Foundation_Calc!$I$2:$J$8,2,FALSE),0),
IF(AX721="K",VLOOKUP(K721,Foundation_Calc!$K$41:$R$74,VLOOKUP(AW721,Foundation_Calc!$I$2:$J$8,2,FALSE),0),"")))</f>
        <v/>
      </c>
      <c r="BA721" s="632" t="str">
        <f t="shared" si="46"/>
        <v/>
      </c>
      <c r="BB721" s="632" t="str">
        <f t="shared" si="47"/>
        <v/>
      </c>
      <c r="BC721" s="632" t="str">
        <f t="shared" si="48"/>
        <v/>
      </c>
      <c r="BD721" s="633" t="str">
        <f>IF(AND(L721="",H721=""),"",
IF(H721="",Pole_Calc!A749,
IF(H721="MP",Pole_Calc!A750,
IF(H721="AnMP",Pole_Calc!A751,
IF(H721="A",Pole_Calc!A752,
IF(H721="S/A",Pole_Calc!A753,
IF(H721="A/S",Pole_Calc!A754,"Poner a mano")))))))</f>
        <v/>
      </c>
      <c r="BE721" s="448" t="s">
        <v>1726</v>
      </c>
      <c r="BF721" s="635"/>
      <c r="BG721" s="635"/>
      <c r="BH721" s="634"/>
      <c r="BI721" s="635"/>
    </row>
    <row r="722" spans="1:61" ht="16.2" customHeight="1">
      <c r="A722" s="12"/>
      <c r="B722" s="446"/>
      <c r="C722" s="89"/>
      <c r="D722" s="13"/>
      <c r="E722" s="14"/>
      <c r="F722" s="14"/>
      <c r="G722" s="15"/>
      <c r="H722" s="8"/>
      <c r="I722" s="8"/>
      <c r="J722" s="89"/>
      <c r="K722" s="8"/>
      <c r="L722" s="8"/>
      <c r="M722" s="8" t="str">
        <f>IF(L722="","",
IF(AX722="PT",VLOOKUP(L722,Foundation_Calc!$V$4:$X$37,VLOOKUP(AX722,Foundation_Calc!$I$10:$J$13,2,FALSE),0),
IF(AX722="K",VLOOKUP(L722,Foundation_Calc!$V$41:$X$74,VLOOKUP(AX722,Foundation_Calc!$I$10:$J$13,2,FALSE),0),"")))</f>
        <v/>
      </c>
      <c r="N722" s="8"/>
      <c r="O722" s="8"/>
      <c r="P722" s="8"/>
      <c r="Q722" s="14"/>
      <c r="R722" s="15"/>
      <c r="S722" s="15"/>
      <c r="T722" s="14"/>
      <c r="U722" s="14"/>
      <c r="V722" s="14"/>
      <c r="W722" s="18"/>
      <c r="X722" s="18"/>
      <c r="Y722" s="18"/>
      <c r="Z722" s="18"/>
      <c r="AA722" s="18"/>
      <c r="AB722" s="18"/>
      <c r="AC722" s="8" t="str">
        <f t="shared" si="45"/>
        <v/>
      </c>
      <c r="AD722" s="8"/>
      <c r="AE722" s="8"/>
      <c r="AF722" s="14"/>
      <c r="AG722" s="13"/>
      <c r="AH722" s="14"/>
      <c r="AI722" s="14"/>
      <c r="AJ722" s="8"/>
      <c r="AK722" s="8"/>
      <c r="AL722" s="8"/>
      <c r="AM722" s="8"/>
      <c r="AN722" s="631"/>
      <c r="AO722" s="18"/>
      <c r="AP722" s="18"/>
      <c r="AQ722" s="18"/>
      <c r="AR722" s="18"/>
      <c r="AS722" s="18"/>
      <c r="AU722" s="448"/>
      <c r="AV722" s="448"/>
      <c r="AW722" s="8" t="str">
        <f>IF(C722&gt;0,VLOOKUP(C722,Foundation_Calc!$A$2:$C$986,3,1),
IF(J722&gt;0,VLOOKUP(J722,Foundation_Calc!$A$2:$C$986,3,1),""))</f>
        <v/>
      </c>
      <c r="AX722" s="8" t="str">
        <f>IF(C722&gt;0,VLOOKUP(C722,Foundation_Calc!$E$2:$G$986,3,1),
IF(J722&gt;0,VLOOKUP(J722,Foundation_Calc!$E$2:$G$986,3,1),""))</f>
        <v/>
      </c>
      <c r="AY722" s="631" t="str">
        <f>IF(L722="","",
IF(AX722="PT",VLOOKUP(L722,Foundation_Calc!$K$4:$R$37,VLOOKUP(AW722,Foundation_Calc!$I$2:$J$8,2,FALSE),0),
IF(AX722="K",VLOOKUP(L722,Foundation_Calc!$K$41:$R$74,VLOOKUP(AW722,Foundation_Calc!$I$2:$J$8,2,FALSE),0),"")))</f>
        <v/>
      </c>
      <c r="AZ722" s="631" t="str">
        <f>IF(K722="","",
IF(AX722="PT",VLOOKUP(K722,Foundation_Calc!$K$4:$R$37,VLOOKUP(AW722,Foundation_Calc!$I$2:$J$8,2,FALSE),0),
IF(AX722="K",VLOOKUP(K722,Foundation_Calc!$K$41:$R$74,VLOOKUP(AW722,Foundation_Calc!$I$2:$J$8,2,FALSE),0),"")))</f>
        <v/>
      </c>
      <c r="BA722" s="632" t="str">
        <f t="shared" si="46"/>
        <v/>
      </c>
      <c r="BB722" s="632" t="str">
        <f t="shared" si="47"/>
        <v/>
      </c>
      <c r="BC722" s="632" t="str">
        <f t="shared" si="48"/>
        <v/>
      </c>
      <c r="BD722" s="633" t="str">
        <f>IF(AND(L722="",H722=""),"",
IF(H722="",Pole_Calc!A750,
IF(H722="MP",Pole_Calc!A751,
IF(H722="AnMP",Pole_Calc!A752,
IF(H722="A",Pole_Calc!A753,
IF(H722="S/A",Pole_Calc!A754,
IF(H722="A/S",Pole_Calc!A755,"Poner a mano")))))))</f>
        <v/>
      </c>
      <c r="BE722" s="448" t="s">
        <v>1726</v>
      </c>
      <c r="BF722" s="634"/>
      <c r="BG722" s="634"/>
      <c r="BH722" s="634"/>
      <c r="BI722" s="634"/>
    </row>
    <row r="723" spans="1:61" ht="16.2" customHeight="1">
      <c r="A723" s="12"/>
      <c r="B723" s="446"/>
      <c r="C723" s="89"/>
      <c r="D723" s="13"/>
      <c r="E723" s="14"/>
      <c r="F723" s="14"/>
      <c r="G723" s="15"/>
      <c r="H723" s="8"/>
      <c r="I723" s="8"/>
      <c r="J723" s="89"/>
      <c r="K723" s="8"/>
      <c r="L723" s="8"/>
      <c r="M723" s="8" t="str">
        <f>IF(L723="","",
IF(AX723="PT",VLOOKUP(L723,Foundation_Calc!$V$4:$X$37,VLOOKUP(AX723,Foundation_Calc!$I$10:$J$13,2,FALSE),0),
IF(AX723="K",VLOOKUP(L723,Foundation_Calc!$V$41:$X$74,VLOOKUP(AX723,Foundation_Calc!$I$10:$J$13,2,FALSE),0),"")))</f>
        <v/>
      </c>
      <c r="N723" s="8"/>
      <c r="O723" s="8"/>
      <c r="P723" s="8"/>
      <c r="Q723" s="14"/>
      <c r="R723" s="15"/>
      <c r="S723" s="15"/>
      <c r="T723" s="14"/>
      <c r="U723" s="14"/>
      <c r="V723" s="14"/>
      <c r="W723" s="18"/>
      <c r="X723" s="18"/>
      <c r="Y723" s="18"/>
      <c r="Z723" s="18"/>
      <c r="AA723" s="18"/>
      <c r="AB723" s="18"/>
      <c r="AC723" s="8" t="str">
        <f t="shared" si="45"/>
        <v/>
      </c>
      <c r="AD723" s="8"/>
      <c r="AE723" s="8"/>
      <c r="AF723" s="14"/>
      <c r="AG723" s="13"/>
      <c r="AH723" s="14"/>
      <c r="AI723" s="14"/>
      <c r="AJ723" s="8"/>
      <c r="AK723" s="8"/>
      <c r="AL723" s="8"/>
      <c r="AM723" s="8"/>
      <c r="AN723" s="631"/>
      <c r="AO723" s="18"/>
      <c r="AP723" s="18"/>
      <c r="AQ723" s="18"/>
      <c r="AR723" s="18"/>
      <c r="AS723" s="18"/>
      <c r="AU723" s="448"/>
      <c r="AV723" s="448"/>
      <c r="AW723" s="8" t="str">
        <f>IF(C723&gt;0,VLOOKUP(C723,Foundation_Calc!$A$2:$C$986,3,1),
IF(J723&gt;0,VLOOKUP(J723,Foundation_Calc!$A$2:$C$986,3,1),""))</f>
        <v/>
      </c>
      <c r="AX723" s="8" t="str">
        <f>IF(C723&gt;0,VLOOKUP(C723,Foundation_Calc!$E$2:$G$986,3,1),
IF(J723&gt;0,VLOOKUP(J723,Foundation_Calc!$E$2:$G$986,3,1),""))</f>
        <v/>
      </c>
      <c r="AY723" s="631" t="str">
        <f>IF(L723="","",
IF(AX723="PT",VLOOKUP(L723,Foundation_Calc!$K$4:$R$37,VLOOKUP(AW723,Foundation_Calc!$I$2:$J$8,2,FALSE),0),
IF(AX723="K",VLOOKUP(L723,Foundation_Calc!$K$41:$R$74,VLOOKUP(AW723,Foundation_Calc!$I$2:$J$8,2,FALSE),0),"")))</f>
        <v/>
      </c>
      <c r="AZ723" s="631" t="str">
        <f>IF(K723="","",
IF(AX723="PT",VLOOKUP(K723,Foundation_Calc!$K$4:$R$37,VLOOKUP(AW723,Foundation_Calc!$I$2:$J$8,2,FALSE),0),
IF(AX723="K",VLOOKUP(K723,Foundation_Calc!$K$41:$R$74,VLOOKUP(AW723,Foundation_Calc!$I$2:$J$8,2,FALSE),0),"")))</f>
        <v/>
      </c>
      <c r="BA723" s="632" t="str">
        <f t="shared" si="46"/>
        <v/>
      </c>
      <c r="BB723" s="632" t="str">
        <f t="shared" si="47"/>
        <v/>
      </c>
      <c r="BC723" s="632" t="str">
        <f t="shared" si="48"/>
        <v/>
      </c>
      <c r="BD723" s="633" t="str">
        <f>IF(AND(L723="",H723=""),"",
IF(H723="",Pole_Calc!A751,
IF(H723="MP",Pole_Calc!A752,
IF(H723="AnMP",Pole_Calc!A753,
IF(H723="A",Pole_Calc!A754,
IF(H723="S/A",Pole_Calc!A755,
IF(H723="A/S",Pole_Calc!A756,"Poner a mano")))))))</f>
        <v/>
      </c>
      <c r="BE723" s="448" t="s">
        <v>1726</v>
      </c>
      <c r="BF723" s="635"/>
      <c r="BG723" s="635"/>
      <c r="BH723" s="634"/>
      <c r="BI723" s="635"/>
    </row>
    <row r="724" spans="1:61" ht="16.2" customHeight="1">
      <c r="A724" s="12"/>
      <c r="B724" s="446"/>
      <c r="C724" s="89"/>
      <c r="D724" s="13"/>
      <c r="E724" s="14"/>
      <c r="F724" s="14"/>
      <c r="G724" s="15"/>
      <c r="H724" s="8"/>
      <c r="I724" s="8"/>
      <c r="J724" s="89"/>
      <c r="K724" s="8"/>
      <c r="L724" s="8"/>
      <c r="M724" s="8" t="str">
        <f>IF(L724="","",
IF(AX724="PT",VLOOKUP(L724,Foundation_Calc!$V$4:$X$37,VLOOKUP(AX724,Foundation_Calc!$I$10:$J$13,2,FALSE),0),
IF(AX724="K",VLOOKUP(L724,Foundation_Calc!$V$41:$X$74,VLOOKUP(AX724,Foundation_Calc!$I$10:$J$13,2,FALSE),0),"")))</f>
        <v/>
      </c>
      <c r="N724" s="8"/>
      <c r="O724" s="8"/>
      <c r="P724" s="8"/>
      <c r="Q724" s="14"/>
      <c r="R724" s="15"/>
      <c r="S724" s="15"/>
      <c r="T724" s="14"/>
      <c r="U724" s="14"/>
      <c r="V724" s="14"/>
      <c r="W724" s="18"/>
      <c r="X724" s="18"/>
      <c r="Y724" s="18"/>
      <c r="Z724" s="18"/>
      <c r="AA724" s="18"/>
      <c r="AB724" s="18"/>
      <c r="AC724" s="8" t="str">
        <f t="shared" si="45"/>
        <v/>
      </c>
      <c r="AD724" s="8"/>
      <c r="AE724" s="8"/>
      <c r="AF724" s="14"/>
      <c r="AG724" s="13"/>
      <c r="AH724" s="14"/>
      <c r="AI724" s="14"/>
      <c r="AJ724" s="8"/>
      <c r="AK724" s="8"/>
      <c r="AL724" s="8"/>
      <c r="AM724" s="8"/>
      <c r="AN724" s="631"/>
      <c r="AO724" s="18"/>
      <c r="AP724" s="18"/>
      <c r="AQ724" s="18"/>
      <c r="AR724" s="18"/>
      <c r="AS724" s="18"/>
      <c r="AU724" s="448"/>
      <c r="AV724" s="448"/>
      <c r="AW724" s="8" t="str">
        <f>IF(C724&gt;0,VLOOKUP(C724,Foundation_Calc!$A$2:$C$986,3,1),
IF(J724&gt;0,VLOOKUP(J724,Foundation_Calc!$A$2:$C$986,3,1),""))</f>
        <v/>
      </c>
      <c r="AX724" s="8" t="str">
        <f>IF(C724&gt;0,VLOOKUP(C724,Foundation_Calc!$E$2:$G$986,3,1),
IF(J724&gt;0,VLOOKUP(J724,Foundation_Calc!$E$2:$G$986,3,1),""))</f>
        <v/>
      </c>
      <c r="AY724" s="631" t="str">
        <f>IF(L724="","",
IF(AX724="PT",VLOOKUP(L724,Foundation_Calc!$K$4:$R$37,VLOOKUP(AW724,Foundation_Calc!$I$2:$J$8,2,FALSE),0),
IF(AX724="K",VLOOKUP(L724,Foundation_Calc!$K$41:$R$74,VLOOKUP(AW724,Foundation_Calc!$I$2:$J$8,2,FALSE),0),"")))</f>
        <v/>
      </c>
      <c r="AZ724" s="631" t="str">
        <f>IF(K724="","",
IF(AX724="PT",VLOOKUP(K724,Foundation_Calc!$K$4:$R$37,VLOOKUP(AW724,Foundation_Calc!$I$2:$J$8,2,FALSE),0),
IF(AX724="K",VLOOKUP(K724,Foundation_Calc!$K$41:$R$74,VLOOKUP(AW724,Foundation_Calc!$I$2:$J$8,2,FALSE),0),"")))</f>
        <v/>
      </c>
      <c r="BA724" s="632" t="str">
        <f t="shared" si="46"/>
        <v/>
      </c>
      <c r="BB724" s="632" t="str">
        <f t="shared" si="47"/>
        <v/>
      </c>
      <c r="BC724" s="632" t="str">
        <f t="shared" si="48"/>
        <v/>
      </c>
      <c r="BD724" s="633" t="str">
        <f>IF(AND(L724="",H724=""),"",
IF(H724="",Pole_Calc!A752,
IF(H724="MP",Pole_Calc!A753,
IF(H724="AnMP",Pole_Calc!A754,
IF(H724="A",Pole_Calc!A755,
IF(H724="S/A",Pole_Calc!A756,
IF(H724="A/S",Pole_Calc!A757,"Poner a mano")))))))</f>
        <v/>
      </c>
      <c r="BE724" s="448" t="s">
        <v>1726</v>
      </c>
      <c r="BF724" s="634"/>
      <c r="BG724" s="634"/>
      <c r="BH724" s="634"/>
      <c r="BI724" s="634"/>
    </row>
    <row r="725" spans="1:61" ht="16.2" customHeight="1">
      <c r="A725" s="12"/>
      <c r="B725" s="446"/>
      <c r="C725" s="89"/>
      <c r="D725" s="13"/>
      <c r="E725" s="14"/>
      <c r="F725" s="14"/>
      <c r="G725" s="15"/>
      <c r="H725" s="8"/>
      <c r="I725" s="8"/>
      <c r="J725" s="89"/>
      <c r="K725" s="8"/>
      <c r="L725" s="8"/>
      <c r="M725" s="8" t="str">
        <f>IF(L725="","",
IF(AX725="PT",VLOOKUP(L725,Foundation_Calc!$V$4:$X$37,VLOOKUP(AX725,Foundation_Calc!$I$10:$J$13,2,FALSE),0),
IF(AX725="K",VLOOKUP(L725,Foundation_Calc!$V$41:$X$74,VLOOKUP(AX725,Foundation_Calc!$I$10:$J$13,2,FALSE),0),"")))</f>
        <v/>
      </c>
      <c r="N725" s="8"/>
      <c r="O725" s="8"/>
      <c r="P725" s="8"/>
      <c r="Q725" s="14"/>
      <c r="R725" s="15"/>
      <c r="S725" s="15"/>
      <c r="T725" s="14"/>
      <c r="U725" s="14"/>
      <c r="V725" s="14"/>
      <c r="W725" s="18"/>
      <c r="X725" s="18"/>
      <c r="Y725" s="18"/>
      <c r="Z725" s="18"/>
      <c r="AA725" s="18"/>
      <c r="AB725" s="18"/>
      <c r="AC725" s="8" t="str">
        <f t="shared" si="45"/>
        <v/>
      </c>
      <c r="AD725" s="8"/>
      <c r="AE725" s="8"/>
      <c r="AF725" s="14"/>
      <c r="AG725" s="13"/>
      <c r="AH725" s="14"/>
      <c r="AI725" s="14"/>
      <c r="AJ725" s="8"/>
      <c r="AK725" s="8"/>
      <c r="AL725" s="8"/>
      <c r="AM725" s="8"/>
      <c r="AN725" s="631"/>
      <c r="AO725" s="18"/>
      <c r="AP725" s="18"/>
      <c r="AQ725" s="18"/>
      <c r="AR725" s="18"/>
      <c r="AS725" s="18"/>
      <c r="AU725" s="448"/>
      <c r="AV725" s="448"/>
      <c r="AW725" s="8" t="str">
        <f>IF(C725&gt;0,VLOOKUP(C725,Foundation_Calc!$A$2:$C$986,3,1),
IF(J725&gt;0,VLOOKUP(J725,Foundation_Calc!$A$2:$C$986,3,1),""))</f>
        <v/>
      </c>
      <c r="AX725" s="8" t="str">
        <f>IF(C725&gt;0,VLOOKUP(C725,Foundation_Calc!$E$2:$G$986,3,1),
IF(J725&gt;0,VLOOKUP(J725,Foundation_Calc!$E$2:$G$986,3,1),""))</f>
        <v/>
      </c>
      <c r="AY725" s="631" t="str">
        <f>IF(L725="","",
IF(AX725="PT",VLOOKUP(L725,Foundation_Calc!$K$4:$R$37,VLOOKUP(AW725,Foundation_Calc!$I$2:$J$8,2,FALSE),0),
IF(AX725="K",VLOOKUP(L725,Foundation_Calc!$K$41:$R$74,VLOOKUP(AW725,Foundation_Calc!$I$2:$J$8,2,FALSE),0),"")))</f>
        <v/>
      </c>
      <c r="AZ725" s="631" t="str">
        <f>IF(K725="","",
IF(AX725="PT",VLOOKUP(K725,Foundation_Calc!$K$4:$R$37,VLOOKUP(AW725,Foundation_Calc!$I$2:$J$8,2,FALSE),0),
IF(AX725="K",VLOOKUP(K725,Foundation_Calc!$K$41:$R$74,VLOOKUP(AW725,Foundation_Calc!$I$2:$J$8,2,FALSE),0),"")))</f>
        <v/>
      </c>
      <c r="BA725" s="632" t="str">
        <f t="shared" si="46"/>
        <v/>
      </c>
      <c r="BB725" s="632" t="str">
        <f t="shared" si="47"/>
        <v/>
      </c>
      <c r="BC725" s="632" t="str">
        <f t="shared" si="48"/>
        <v/>
      </c>
      <c r="BD725" s="633" t="str">
        <f>IF(AND(L725="",H725=""),"",
IF(H725="",Pole_Calc!A753,
IF(H725="MP",Pole_Calc!A754,
IF(H725="AnMP",Pole_Calc!A755,
IF(H725="A",Pole_Calc!A756,
IF(H725="S/A",Pole_Calc!A757,
IF(H725="A/S",Pole_Calc!A758,"Poner a mano")))))))</f>
        <v/>
      </c>
      <c r="BE725" s="448" t="s">
        <v>1726</v>
      </c>
      <c r="BF725" s="635"/>
      <c r="BG725" s="635"/>
      <c r="BH725" s="634"/>
      <c r="BI725" s="635"/>
    </row>
    <row r="726" spans="1:61" ht="16.2" customHeight="1">
      <c r="A726" s="12"/>
      <c r="B726" s="446"/>
      <c r="C726" s="89"/>
      <c r="D726" s="13"/>
      <c r="E726" s="14"/>
      <c r="F726" s="14"/>
      <c r="G726" s="15"/>
      <c r="H726" s="8"/>
      <c r="I726" s="8"/>
      <c r="J726" s="89"/>
      <c r="K726" s="8"/>
      <c r="L726" s="8"/>
      <c r="M726" s="8" t="str">
        <f>IF(L726="","",
IF(AX726="PT",VLOOKUP(L726,Foundation_Calc!$V$4:$X$37,VLOOKUP(AX726,Foundation_Calc!$I$10:$J$13,2,FALSE),0),
IF(AX726="K",VLOOKUP(L726,Foundation_Calc!$V$41:$X$74,VLOOKUP(AX726,Foundation_Calc!$I$10:$J$13,2,FALSE),0),"")))</f>
        <v/>
      </c>
      <c r="N726" s="8"/>
      <c r="O726" s="8"/>
      <c r="P726" s="8"/>
      <c r="Q726" s="14"/>
      <c r="R726" s="15"/>
      <c r="S726" s="15"/>
      <c r="T726" s="14"/>
      <c r="U726" s="14"/>
      <c r="V726" s="14"/>
      <c r="W726" s="18"/>
      <c r="X726" s="18"/>
      <c r="Y726" s="18"/>
      <c r="Z726" s="18"/>
      <c r="AA726" s="18"/>
      <c r="AB726" s="18"/>
      <c r="AC726" s="8" t="str">
        <f t="shared" si="45"/>
        <v/>
      </c>
      <c r="AD726" s="8"/>
      <c r="AE726" s="8"/>
      <c r="AF726" s="14"/>
      <c r="AG726" s="13"/>
      <c r="AH726" s="14"/>
      <c r="AI726" s="14"/>
      <c r="AJ726" s="8"/>
      <c r="AK726" s="8"/>
      <c r="AL726" s="8"/>
      <c r="AM726" s="8"/>
      <c r="AN726" s="631"/>
      <c r="AO726" s="18"/>
      <c r="AP726" s="18"/>
      <c r="AQ726" s="18"/>
      <c r="AR726" s="18"/>
      <c r="AS726" s="18"/>
      <c r="AU726" s="448"/>
      <c r="AV726" s="448"/>
      <c r="AW726" s="8" t="str">
        <f>IF(C726&gt;0,VLOOKUP(C726,Foundation_Calc!$A$2:$C$986,3,1),
IF(J726&gt;0,VLOOKUP(J726,Foundation_Calc!$A$2:$C$986,3,1),""))</f>
        <v/>
      </c>
      <c r="AX726" s="8" t="str">
        <f>IF(C726&gt;0,VLOOKUP(C726,Foundation_Calc!$E$2:$G$986,3,1),
IF(J726&gt;0,VLOOKUP(J726,Foundation_Calc!$E$2:$G$986,3,1),""))</f>
        <v/>
      </c>
      <c r="AY726" s="631" t="str">
        <f>IF(L726="","",
IF(AX726="PT",VLOOKUP(L726,Foundation_Calc!$K$4:$R$37,VLOOKUP(AW726,Foundation_Calc!$I$2:$J$8,2,FALSE),0),
IF(AX726="K",VLOOKUP(L726,Foundation_Calc!$K$41:$R$74,VLOOKUP(AW726,Foundation_Calc!$I$2:$J$8,2,FALSE),0),"")))</f>
        <v/>
      </c>
      <c r="AZ726" s="631" t="str">
        <f>IF(K726="","",
IF(AX726="PT",VLOOKUP(K726,Foundation_Calc!$K$4:$R$37,VLOOKUP(AW726,Foundation_Calc!$I$2:$J$8,2,FALSE),0),
IF(AX726="K",VLOOKUP(K726,Foundation_Calc!$K$41:$R$74,VLOOKUP(AW726,Foundation_Calc!$I$2:$J$8,2,FALSE),0),"")))</f>
        <v/>
      </c>
      <c r="BA726" s="632" t="str">
        <f t="shared" si="46"/>
        <v/>
      </c>
      <c r="BB726" s="632" t="str">
        <f t="shared" si="47"/>
        <v/>
      </c>
      <c r="BC726" s="632" t="str">
        <f t="shared" si="48"/>
        <v/>
      </c>
      <c r="BD726" s="633" t="str">
        <f>IF(AND(L726="",H726=""),"",
IF(H726="",Pole_Calc!A754,
IF(H726="MP",Pole_Calc!A755,
IF(H726="AnMP",Pole_Calc!A756,
IF(H726="A",Pole_Calc!A757,
IF(H726="S/A",Pole_Calc!A758,
IF(H726="A/S",Pole_Calc!A759,"Poner a mano")))))))</f>
        <v/>
      </c>
      <c r="BE726" s="448" t="s">
        <v>1726</v>
      </c>
      <c r="BF726" s="634"/>
      <c r="BG726" s="634"/>
      <c r="BH726" s="634"/>
      <c r="BI726" s="634"/>
    </row>
    <row r="727" spans="1:61" ht="16.2" customHeight="1">
      <c r="A727" s="12"/>
      <c r="B727" s="446"/>
      <c r="C727" s="89"/>
      <c r="D727" s="13"/>
      <c r="E727" s="14"/>
      <c r="F727" s="14"/>
      <c r="G727" s="15"/>
      <c r="H727" s="8"/>
      <c r="I727" s="8"/>
      <c r="J727" s="89"/>
      <c r="K727" s="8"/>
      <c r="L727" s="8"/>
      <c r="M727" s="8" t="str">
        <f>IF(L727="","",
IF(AX727="PT",VLOOKUP(L727,Foundation_Calc!$V$4:$X$37,VLOOKUP(AX727,Foundation_Calc!$I$10:$J$13,2,FALSE),0),
IF(AX727="K",VLOOKUP(L727,Foundation_Calc!$V$41:$X$74,VLOOKUP(AX727,Foundation_Calc!$I$10:$J$13,2,FALSE),0),"")))</f>
        <v/>
      </c>
      <c r="N727" s="8"/>
      <c r="O727" s="8"/>
      <c r="P727" s="8"/>
      <c r="Q727" s="14"/>
      <c r="R727" s="15"/>
      <c r="S727" s="15"/>
      <c r="T727" s="14"/>
      <c r="U727" s="14"/>
      <c r="V727" s="14"/>
      <c r="W727" s="18"/>
      <c r="X727" s="18"/>
      <c r="Y727" s="18"/>
      <c r="Z727" s="18"/>
      <c r="AA727" s="18"/>
      <c r="AB727" s="18"/>
      <c r="AC727" s="8" t="str">
        <f t="shared" si="45"/>
        <v/>
      </c>
      <c r="AD727" s="8"/>
      <c r="AE727" s="8"/>
      <c r="AF727" s="14"/>
      <c r="AG727" s="13"/>
      <c r="AH727" s="14"/>
      <c r="AI727" s="14"/>
      <c r="AJ727" s="8"/>
      <c r="AK727" s="8"/>
      <c r="AL727" s="8"/>
      <c r="AM727" s="8"/>
      <c r="AN727" s="631"/>
      <c r="AO727" s="18"/>
      <c r="AP727" s="18"/>
      <c r="AQ727" s="18"/>
      <c r="AR727" s="18"/>
      <c r="AS727" s="18"/>
      <c r="AU727" s="448"/>
      <c r="AV727" s="448"/>
      <c r="AW727" s="8" t="str">
        <f>IF(C727&gt;0,VLOOKUP(C727,Foundation_Calc!$A$2:$C$986,3,1),
IF(J727&gt;0,VLOOKUP(J727,Foundation_Calc!$A$2:$C$986,3,1),""))</f>
        <v/>
      </c>
      <c r="AX727" s="8" t="str">
        <f>IF(C727&gt;0,VLOOKUP(C727,Foundation_Calc!$E$2:$G$986,3,1),
IF(J727&gt;0,VLOOKUP(J727,Foundation_Calc!$E$2:$G$986,3,1),""))</f>
        <v/>
      </c>
      <c r="AY727" s="631" t="str">
        <f>IF(L727="","",
IF(AX727="PT",VLOOKUP(L727,Foundation_Calc!$K$4:$R$37,VLOOKUP(AW727,Foundation_Calc!$I$2:$J$8,2,FALSE),0),
IF(AX727="K",VLOOKUP(L727,Foundation_Calc!$K$41:$R$74,VLOOKUP(AW727,Foundation_Calc!$I$2:$J$8,2,FALSE),0),"")))</f>
        <v/>
      </c>
      <c r="AZ727" s="631" t="str">
        <f>IF(K727="","",
IF(AX727="PT",VLOOKUP(K727,Foundation_Calc!$K$4:$R$37,VLOOKUP(AW727,Foundation_Calc!$I$2:$J$8,2,FALSE),0),
IF(AX727="K",VLOOKUP(K727,Foundation_Calc!$K$41:$R$74,VLOOKUP(AW727,Foundation_Calc!$I$2:$J$8,2,FALSE),0),"")))</f>
        <v/>
      </c>
      <c r="BA727" s="632" t="str">
        <f t="shared" si="46"/>
        <v/>
      </c>
      <c r="BB727" s="632" t="str">
        <f t="shared" si="47"/>
        <v/>
      </c>
      <c r="BC727" s="632" t="str">
        <f t="shared" si="48"/>
        <v/>
      </c>
      <c r="BD727" s="633" t="str">
        <f>IF(AND(L727="",H727=""),"",
IF(H727="",Pole_Calc!A755,
IF(H727="MP",Pole_Calc!A756,
IF(H727="AnMP",Pole_Calc!A757,
IF(H727="A",Pole_Calc!A758,
IF(H727="S/A",Pole_Calc!A759,
IF(H727="A/S",Pole_Calc!A760,"Poner a mano")))))))</f>
        <v/>
      </c>
      <c r="BE727" s="448" t="s">
        <v>1726</v>
      </c>
      <c r="BF727" s="635"/>
      <c r="BG727" s="635"/>
      <c r="BH727" s="634"/>
      <c r="BI727" s="635"/>
    </row>
    <row r="728" spans="1:61" ht="16.2" customHeight="1">
      <c r="A728" s="12"/>
      <c r="B728" s="446"/>
      <c r="C728" s="89"/>
      <c r="D728" s="13"/>
      <c r="E728" s="14"/>
      <c r="F728" s="14"/>
      <c r="G728" s="15"/>
      <c r="H728" s="8"/>
      <c r="I728" s="8"/>
      <c r="J728" s="89"/>
      <c r="K728" s="8"/>
      <c r="L728" s="8"/>
      <c r="M728" s="8" t="str">
        <f>IF(L728="","",
IF(AX728="PT",VLOOKUP(L728,Foundation_Calc!$V$4:$X$37,VLOOKUP(AX728,Foundation_Calc!$I$10:$J$13,2,FALSE),0),
IF(AX728="K",VLOOKUP(L728,Foundation_Calc!$V$41:$X$74,VLOOKUP(AX728,Foundation_Calc!$I$10:$J$13,2,FALSE),0),"")))</f>
        <v/>
      </c>
      <c r="N728" s="8"/>
      <c r="O728" s="8"/>
      <c r="P728" s="8"/>
      <c r="Q728" s="14"/>
      <c r="R728" s="15"/>
      <c r="S728" s="15"/>
      <c r="T728" s="14"/>
      <c r="U728" s="14"/>
      <c r="V728" s="14"/>
      <c r="W728" s="18"/>
      <c r="X728" s="18"/>
      <c r="Y728" s="18"/>
      <c r="Z728" s="18"/>
      <c r="AA728" s="18"/>
      <c r="AB728" s="18"/>
      <c r="AC728" s="8" t="str">
        <f t="shared" si="45"/>
        <v/>
      </c>
      <c r="AD728" s="8"/>
      <c r="AE728" s="8"/>
      <c r="AF728" s="14"/>
      <c r="AG728" s="13"/>
      <c r="AH728" s="14"/>
      <c r="AI728" s="14"/>
      <c r="AJ728" s="8"/>
      <c r="AK728" s="8"/>
      <c r="AL728" s="8"/>
      <c r="AM728" s="8"/>
      <c r="AN728" s="631"/>
      <c r="AO728" s="18"/>
      <c r="AP728" s="18"/>
      <c r="AQ728" s="18"/>
      <c r="AR728" s="18"/>
      <c r="AS728" s="18"/>
      <c r="AU728" s="448"/>
      <c r="AV728" s="448"/>
      <c r="AW728" s="8" t="str">
        <f>IF(C728&gt;0,VLOOKUP(C728,Foundation_Calc!$A$2:$C$986,3,1),
IF(J728&gt;0,VLOOKUP(J728,Foundation_Calc!$A$2:$C$986,3,1),""))</f>
        <v/>
      </c>
      <c r="AX728" s="8" t="str">
        <f>IF(C728&gt;0,VLOOKUP(C728,Foundation_Calc!$E$2:$G$986,3,1),
IF(J728&gt;0,VLOOKUP(J728,Foundation_Calc!$E$2:$G$986,3,1),""))</f>
        <v/>
      </c>
      <c r="AY728" s="631" t="str">
        <f>IF(L728="","",
IF(AX728="PT",VLOOKUP(L728,Foundation_Calc!$K$4:$R$37,VLOOKUP(AW728,Foundation_Calc!$I$2:$J$8,2,FALSE),0),
IF(AX728="K",VLOOKUP(L728,Foundation_Calc!$K$41:$R$74,VLOOKUP(AW728,Foundation_Calc!$I$2:$J$8,2,FALSE),0),"")))</f>
        <v/>
      </c>
      <c r="AZ728" s="631" t="str">
        <f>IF(K728="","",
IF(AX728="PT",VLOOKUP(K728,Foundation_Calc!$K$4:$R$37,VLOOKUP(AW728,Foundation_Calc!$I$2:$J$8,2,FALSE),0),
IF(AX728="K",VLOOKUP(K728,Foundation_Calc!$K$41:$R$74,VLOOKUP(AW728,Foundation_Calc!$I$2:$J$8,2,FALSE),0),"")))</f>
        <v/>
      </c>
      <c r="BA728" s="632" t="str">
        <f t="shared" si="46"/>
        <v/>
      </c>
      <c r="BB728" s="632" t="str">
        <f t="shared" si="47"/>
        <v/>
      </c>
      <c r="BC728" s="632" t="str">
        <f t="shared" si="48"/>
        <v/>
      </c>
      <c r="BD728" s="633" t="str">
        <f>IF(AND(L728="",H728=""),"",
IF(H728="",Pole_Calc!A756,
IF(H728="MP",Pole_Calc!A757,
IF(H728="AnMP",Pole_Calc!A758,
IF(H728="A",Pole_Calc!A759,
IF(H728="S/A",Pole_Calc!A760,
IF(H728="A/S",Pole_Calc!A761,"Poner a mano")))))))</f>
        <v/>
      </c>
      <c r="BE728" s="448" t="s">
        <v>1726</v>
      </c>
      <c r="BF728" s="634"/>
      <c r="BG728" s="634"/>
      <c r="BH728" s="634"/>
      <c r="BI728" s="634"/>
    </row>
    <row r="729" spans="1:61" ht="16.2" customHeight="1">
      <c r="A729" s="12"/>
      <c r="B729" s="446"/>
      <c r="C729" s="89"/>
      <c r="D729" s="13"/>
      <c r="E729" s="14"/>
      <c r="F729" s="14"/>
      <c r="G729" s="15"/>
      <c r="H729" s="8"/>
      <c r="I729" s="8"/>
      <c r="J729" s="89"/>
      <c r="K729" s="8"/>
      <c r="L729" s="8"/>
      <c r="M729" s="8" t="str">
        <f>IF(L729="","",
IF(AX729="PT",VLOOKUP(L729,Foundation_Calc!$V$4:$X$37,VLOOKUP(AX729,Foundation_Calc!$I$10:$J$13,2,FALSE),0),
IF(AX729="K",VLOOKUP(L729,Foundation_Calc!$V$41:$X$74,VLOOKUP(AX729,Foundation_Calc!$I$10:$J$13,2,FALSE),0),"")))</f>
        <v/>
      </c>
      <c r="N729" s="8"/>
      <c r="O729" s="8"/>
      <c r="P729" s="8"/>
      <c r="Q729" s="14"/>
      <c r="R729" s="15"/>
      <c r="S729" s="15"/>
      <c r="T729" s="14"/>
      <c r="U729" s="14"/>
      <c r="V729" s="14"/>
      <c r="W729" s="18"/>
      <c r="X729" s="18"/>
      <c r="Y729" s="18"/>
      <c r="Z729" s="18"/>
      <c r="AA729" s="18"/>
      <c r="AB729" s="18"/>
      <c r="AC729" s="8" t="str">
        <f t="shared" si="45"/>
        <v/>
      </c>
      <c r="AD729" s="8"/>
      <c r="AE729" s="8"/>
      <c r="AF729" s="14"/>
      <c r="AG729" s="13"/>
      <c r="AH729" s="14"/>
      <c r="AI729" s="14"/>
      <c r="AJ729" s="8"/>
      <c r="AK729" s="8"/>
      <c r="AL729" s="8"/>
      <c r="AM729" s="8"/>
      <c r="AN729" s="631"/>
      <c r="AO729" s="18"/>
      <c r="AP729" s="18"/>
      <c r="AQ729" s="18"/>
      <c r="AR729" s="18"/>
      <c r="AS729" s="18"/>
      <c r="AU729" s="448"/>
      <c r="AV729" s="448"/>
      <c r="AW729" s="8" t="str">
        <f>IF(C729&gt;0,VLOOKUP(C729,Foundation_Calc!$A$2:$C$986,3,1),
IF(J729&gt;0,VLOOKUP(J729,Foundation_Calc!$A$2:$C$986,3,1),""))</f>
        <v/>
      </c>
      <c r="AX729" s="8" t="str">
        <f>IF(C729&gt;0,VLOOKUP(C729,Foundation_Calc!$E$2:$G$986,3,1),
IF(J729&gt;0,VLOOKUP(J729,Foundation_Calc!$E$2:$G$986,3,1),""))</f>
        <v/>
      </c>
      <c r="AY729" s="631" t="str">
        <f>IF(L729="","",
IF(AX729="PT",VLOOKUP(L729,Foundation_Calc!$K$4:$R$37,VLOOKUP(AW729,Foundation_Calc!$I$2:$J$8,2,FALSE),0),
IF(AX729="K",VLOOKUP(L729,Foundation_Calc!$K$41:$R$74,VLOOKUP(AW729,Foundation_Calc!$I$2:$J$8,2,FALSE),0),"")))</f>
        <v/>
      </c>
      <c r="AZ729" s="631" t="str">
        <f>IF(K729="","",
IF(AX729="PT",VLOOKUP(K729,Foundation_Calc!$K$4:$R$37,VLOOKUP(AW729,Foundation_Calc!$I$2:$J$8,2,FALSE),0),
IF(AX729="K",VLOOKUP(K729,Foundation_Calc!$K$41:$R$74,VLOOKUP(AW729,Foundation_Calc!$I$2:$J$8,2,FALSE),0),"")))</f>
        <v/>
      </c>
      <c r="BA729" s="632" t="str">
        <f t="shared" si="46"/>
        <v/>
      </c>
      <c r="BB729" s="632" t="str">
        <f t="shared" si="47"/>
        <v/>
      </c>
      <c r="BC729" s="632" t="str">
        <f t="shared" si="48"/>
        <v/>
      </c>
      <c r="BD729" s="633" t="str">
        <f>IF(AND(L729="",H729=""),"",
IF(H729="",Pole_Calc!A757,
IF(H729="MP",Pole_Calc!A758,
IF(H729="AnMP",Pole_Calc!A759,
IF(H729="A",Pole_Calc!A760,
IF(H729="S/A",Pole_Calc!A761,
IF(H729="A/S",Pole_Calc!A762,"Poner a mano")))))))</f>
        <v/>
      </c>
      <c r="BE729" s="448" t="s">
        <v>1726</v>
      </c>
      <c r="BF729" s="635"/>
      <c r="BG729" s="635"/>
      <c r="BH729" s="634"/>
      <c r="BI729" s="635"/>
    </row>
    <row r="730" spans="1:61" ht="16.2" customHeight="1">
      <c r="A730" s="12"/>
      <c r="B730" s="446"/>
      <c r="C730" s="89"/>
      <c r="D730" s="13"/>
      <c r="E730" s="14"/>
      <c r="F730" s="14"/>
      <c r="G730" s="15"/>
      <c r="H730" s="8"/>
      <c r="I730" s="8"/>
      <c r="J730" s="89"/>
      <c r="K730" s="8"/>
      <c r="L730" s="8"/>
      <c r="M730" s="8" t="str">
        <f>IF(L730="","",
IF(AX730="PT",VLOOKUP(L730,Foundation_Calc!$V$4:$X$37,VLOOKUP(AX730,Foundation_Calc!$I$10:$J$13,2,FALSE),0),
IF(AX730="K",VLOOKUP(L730,Foundation_Calc!$V$41:$X$74,VLOOKUP(AX730,Foundation_Calc!$I$10:$J$13,2,FALSE),0),"")))</f>
        <v/>
      </c>
      <c r="N730" s="8"/>
      <c r="O730" s="8"/>
      <c r="P730" s="8"/>
      <c r="Q730" s="14"/>
      <c r="R730" s="15"/>
      <c r="S730" s="15"/>
      <c r="T730" s="14"/>
      <c r="U730" s="14"/>
      <c r="V730" s="14"/>
      <c r="W730" s="18"/>
      <c r="X730" s="18"/>
      <c r="Y730" s="18"/>
      <c r="Z730" s="18"/>
      <c r="AA730" s="18"/>
      <c r="AB730" s="18"/>
      <c r="AC730" s="8" t="str">
        <f t="shared" si="45"/>
        <v/>
      </c>
      <c r="AD730" s="8"/>
      <c r="AE730" s="8"/>
      <c r="AF730" s="14"/>
      <c r="AG730" s="13"/>
      <c r="AH730" s="14"/>
      <c r="AI730" s="14"/>
      <c r="AJ730" s="8"/>
      <c r="AK730" s="8"/>
      <c r="AL730" s="8"/>
      <c r="AM730" s="8"/>
      <c r="AN730" s="631"/>
      <c r="AO730" s="18"/>
      <c r="AP730" s="18"/>
      <c r="AQ730" s="18"/>
      <c r="AR730" s="18"/>
      <c r="AS730" s="18"/>
      <c r="AU730" s="448"/>
      <c r="AV730" s="448"/>
      <c r="AW730" s="8" t="str">
        <f>IF(C730&gt;0,VLOOKUP(C730,Foundation_Calc!$A$2:$C$986,3,1),
IF(J730&gt;0,VLOOKUP(J730,Foundation_Calc!$A$2:$C$986,3,1),""))</f>
        <v/>
      </c>
      <c r="AX730" s="8" t="str">
        <f>IF(C730&gt;0,VLOOKUP(C730,Foundation_Calc!$E$2:$G$986,3,1),
IF(J730&gt;0,VLOOKUP(J730,Foundation_Calc!$E$2:$G$986,3,1),""))</f>
        <v/>
      </c>
      <c r="AY730" s="631" t="str">
        <f>IF(L730="","",
IF(AX730="PT",VLOOKUP(L730,Foundation_Calc!$K$4:$R$37,VLOOKUP(AW730,Foundation_Calc!$I$2:$J$8,2,FALSE),0),
IF(AX730="K",VLOOKUP(L730,Foundation_Calc!$K$41:$R$74,VLOOKUP(AW730,Foundation_Calc!$I$2:$J$8,2,FALSE),0),"")))</f>
        <v/>
      </c>
      <c r="AZ730" s="631" t="str">
        <f>IF(K730="","",
IF(AX730="PT",VLOOKUP(K730,Foundation_Calc!$K$4:$R$37,VLOOKUP(AW730,Foundation_Calc!$I$2:$J$8,2,FALSE),0),
IF(AX730="K",VLOOKUP(K730,Foundation_Calc!$K$41:$R$74,VLOOKUP(AW730,Foundation_Calc!$I$2:$J$8,2,FALSE),0),"")))</f>
        <v/>
      </c>
      <c r="BA730" s="632" t="str">
        <f t="shared" si="46"/>
        <v/>
      </c>
      <c r="BB730" s="632" t="str">
        <f t="shared" si="47"/>
        <v/>
      </c>
      <c r="BC730" s="632" t="str">
        <f t="shared" si="48"/>
        <v/>
      </c>
      <c r="BD730" s="633" t="str">
        <f>IF(AND(L730="",H730=""),"",
IF(H730="",Pole_Calc!A758,
IF(H730="MP",Pole_Calc!A759,
IF(H730="AnMP",Pole_Calc!A760,
IF(H730="A",Pole_Calc!A761,
IF(H730="S/A",Pole_Calc!A762,
IF(H730="A/S",Pole_Calc!A763,"Poner a mano")))))))</f>
        <v/>
      </c>
      <c r="BE730" s="448" t="s">
        <v>1726</v>
      </c>
      <c r="BF730" s="634"/>
      <c r="BG730" s="634"/>
      <c r="BH730" s="634"/>
      <c r="BI730" s="634"/>
    </row>
    <row r="731" spans="1:61" ht="16.2" customHeight="1">
      <c r="A731" s="12"/>
      <c r="B731" s="446"/>
      <c r="C731" s="89"/>
      <c r="D731" s="13"/>
      <c r="E731" s="14"/>
      <c r="F731" s="14"/>
      <c r="G731" s="15"/>
      <c r="H731" s="8"/>
      <c r="I731" s="8"/>
      <c r="J731" s="89"/>
      <c r="K731" s="8"/>
      <c r="L731" s="8"/>
      <c r="M731" s="8" t="str">
        <f>IF(L731="","",
IF(AX731="PT",VLOOKUP(L731,Foundation_Calc!$V$4:$X$37,VLOOKUP(AX731,Foundation_Calc!$I$10:$J$13,2,FALSE),0),
IF(AX731="K",VLOOKUP(L731,Foundation_Calc!$V$41:$X$74,VLOOKUP(AX731,Foundation_Calc!$I$10:$J$13,2,FALSE),0),"")))</f>
        <v/>
      </c>
      <c r="N731" s="8"/>
      <c r="O731" s="8"/>
      <c r="P731" s="8"/>
      <c r="Q731" s="14"/>
      <c r="R731" s="15"/>
      <c r="S731" s="15"/>
      <c r="T731" s="14"/>
      <c r="U731" s="14"/>
      <c r="V731" s="14"/>
      <c r="W731" s="18"/>
      <c r="X731" s="18"/>
      <c r="Y731" s="18"/>
      <c r="Z731" s="18"/>
      <c r="AA731" s="18"/>
      <c r="AB731" s="18"/>
      <c r="AC731" s="8" t="str">
        <f t="shared" si="45"/>
        <v/>
      </c>
      <c r="AD731" s="8"/>
      <c r="AE731" s="8"/>
      <c r="AF731" s="14"/>
      <c r="AG731" s="13"/>
      <c r="AH731" s="14"/>
      <c r="AI731" s="14"/>
      <c r="AJ731" s="8"/>
      <c r="AK731" s="8"/>
      <c r="AL731" s="8"/>
      <c r="AM731" s="8"/>
      <c r="AN731" s="631"/>
      <c r="AO731" s="18"/>
      <c r="AP731" s="18"/>
      <c r="AQ731" s="18"/>
      <c r="AR731" s="18"/>
      <c r="AS731" s="18"/>
      <c r="AU731" s="448"/>
      <c r="AV731" s="448"/>
      <c r="AW731" s="8" t="str">
        <f>IF(C731&gt;0,VLOOKUP(C731,Foundation_Calc!$A$2:$C$986,3,1),
IF(J731&gt;0,VLOOKUP(J731,Foundation_Calc!$A$2:$C$986,3,1),""))</f>
        <v/>
      </c>
      <c r="AX731" s="8" t="str">
        <f>IF(C731&gt;0,VLOOKUP(C731,Foundation_Calc!$E$2:$G$986,3,1),
IF(J731&gt;0,VLOOKUP(J731,Foundation_Calc!$E$2:$G$986,3,1),""))</f>
        <v/>
      </c>
      <c r="AY731" s="631" t="str">
        <f>IF(L731="","",
IF(AX731="PT",VLOOKUP(L731,Foundation_Calc!$K$4:$R$37,VLOOKUP(AW731,Foundation_Calc!$I$2:$J$8,2,FALSE),0),
IF(AX731="K",VLOOKUP(L731,Foundation_Calc!$K$41:$R$74,VLOOKUP(AW731,Foundation_Calc!$I$2:$J$8,2,FALSE),0),"")))</f>
        <v/>
      </c>
      <c r="AZ731" s="631" t="str">
        <f>IF(K731="","",
IF(AX731="PT",VLOOKUP(K731,Foundation_Calc!$K$4:$R$37,VLOOKUP(AW731,Foundation_Calc!$I$2:$J$8,2,FALSE),0),
IF(AX731="K",VLOOKUP(K731,Foundation_Calc!$K$41:$R$74,VLOOKUP(AW731,Foundation_Calc!$I$2:$J$8,2,FALSE),0),"")))</f>
        <v/>
      </c>
      <c r="BA731" s="632" t="str">
        <f t="shared" si="46"/>
        <v/>
      </c>
      <c r="BB731" s="632" t="str">
        <f t="shared" si="47"/>
        <v/>
      </c>
      <c r="BC731" s="632" t="str">
        <f t="shared" si="48"/>
        <v/>
      </c>
      <c r="BD731" s="633" t="str">
        <f>IF(AND(L731="",H731=""),"",
IF(H731="",Pole_Calc!A759,
IF(H731="MP",Pole_Calc!A760,
IF(H731="AnMP",Pole_Calc!A761,
IF(H731="A",Pole_Calc!A762,
IF(H731="S/A",Pole_Calc!A763,
IF(H731="A/S",Pole_Calc!A764,"Poner a mano")))))))</f>
        <v/>
      </c>
      <c r="BE731" s="448" t="s">
        <v>1726</v>
      </c>
      <c r="BF731" s="635"/>
      <c r="BG731" s="635"/>
      <c r="BH731" s="634"/>
      <c r="BI731" s="635"/>
    </row>
    <row r="732" spans="1:61" ht="16.2" customHeight="1">
      <c r="A732" s="12"/>
      <c r="B732" s="446"/>
      <c r="C732" s="89"/>
      <c r="D732" s="13"/>
      <c r="E732" s="14"/>
      <c r="F732" s="14"/>
      <c r="G732" s="15"/>
      <c r="H732" s="8"/>
      <c r="I732" s="8"/>
      <c r="J732" s="89"/>
      <c r="K732" s="8"/>
      <c r="L732" s="8"/>
      <c r="M732" s="8" t="str">
        <f>IF(L732="","",
IF(AX732="PT",VLOOKUP(L732,Foundation_Calc!$V$4:$X$37,VLOOKUP(AX732,Foundation_Calc!$I$10:$J$13,2,FALSE),0),
IF(AX732="K",VLOOKUP(L732,Foundation_Calc!$V$41:$X$74,VLOOKUP(AX732,Foundation_Calc!$I$10:$J$13,2,FALSE),0),"")))</f>
        <v/>
      </c>
      <c r="N732" s="8"/>
      <c r="O732" s="8"/>
      <c r="P732" s="8"/>
      <c r="Q732" s="14"/>
      <c r="R732" s="15"/>
      <c r="S732" s="15"/>
      <c r="T732" s="14"/>
      <c r="U732" s="14"/>
      <c r="V732" s="14"/>
      <c r="W732" s="18"/>
      <c r="X732" s="18"/>
      <c r="Y732" s="18"/>
      <c r="Z732" s="18"/>
      <c r="AA732" s="18"/>
      <c r="AB732" s="18"/>
      <c r="AC732" s="8" t="str">
        <f t="shared" si="45"/>
        <v/>
      </c>
      <c r="AD732" s="8"/>
      <c r="AE732" s="8"/>
      <c r="AF732" s="14"/>
      <c r="AG732" s="13"/>
      <c r="AH732" s="14"/>
      <c r="AI732" s="14"/>
      <c r="AJ732" s="8"/>
      <c r="AK732" s="8"/>
      <c r="AL732" s="8"/>
      <c r="AM732" s="8"/>
      <c r="AN732" s="631"/>
      <c r="AO732" s="18"/>
      <c r="AP732" s="18"/>
      <c r="AQ732" s="18"/>
      <c r="AR732" s="18"/>
      <c r="AS732" s="18"/>
      <c r="AU732" s="448"/>
      <c r="AV732" s="448"/>
      <c r="AW732" s="8" t="str">
        <f>IF(C732&gt;0,VLOOKUP(C732,Foundation_Calc!$A$2:$C$986,3,1),
IF(J732&gt;0,VLOOKUP(J732,Foundation_Calc!$A$2:$C$986,3,1),""))</f>
        <v/>
      </c>
      <c r="AX732" s="8" t="str">
        <f>IF(C732&gt;0,VLOOKUP(C732,Foundation_Calc!$E$2:$G$986,3,1),
IF(J732&gt;0,VLOOKUP(J732,Foundation_Calc!$E$2:$G$986,3,1),""))</f>
        <v/>
      </c>
      <c r="AY732" s="631" t="str">
        <f>IF(L732="","",
IF(AX732="PT",VLOOKUP(L732,Foundation_Calc!$K$4:$R$37,VLOOKUP(AW732,Foundation_Calc!$I$2:$J$8,2,FALSE),0),
IF(AX732="K",VLOOKUP(L732,Foundation_Calc!$K$41:$R$74,VLOOKUP(AW732,Foundation_Calc!$I$2:$J$8,2,FALSE),0),"")))</f>
        <v/>
      </c>
      <c r="AZ732" s="631" t="str">
        <f>IF(K732="","",
IF(AX732="PT",VLOOKUP(K732,Foundation_Calc!$K$4:$R$37,VLOOKUP(AW732,Foundation_Calc!$I$2:$J$8,2,FALSE),0),
IF(AX732="K",VLOOKUP(K732,Foundation_Calc!$K$41:$R$74,VLOOKUP(AW732,Foundation_Calc!$I$2:$J$8,2,FALSE),0),"")))</f>
        <v/>
      </c>
      <c r="BA732" s="632" t="str">
        <f t="shared" si="46"/>
        <v/>
      </c>
      <c r="BB732" s="632" t="str">
        <f t="shared" si="47"/>
        <v/>
      </c>
      <c r="BC732" s="632" t="str">
        <f t="shared" si="48"/>
        <v/>
      </c>
      <c r="BD732" s="633" t="str">
        <f>IF(AND(L732="",H732=""),"",
IF(H732="",Pole_Calc!A760,
IF(H732="MP",Pole_Calc!A761,
IF(H732="AnMP",Pole_Calc!A762,
IF(H732="A",Pole_Calc!A763,
IF(H732="S/A",Pole_Calc!A764,
IF(H732="A/S",Pole_Calc!A765,"Poner a mano")))))))</f>
        <v/>
      </c>
      <c r="BE732" s="448" t="s">
        <v>1726</v>
      </c>
      <c r="BF732" s="634"/>
      <c r="BG732" s="634"/>
      <c r="BH732" s="634"/>
      <c r="BI732" s="634"/>
    </row>
    <row r="733" spans="1:61" ht="16.2" customHeight="1">
      <c r="A733" s="12"/>
      <c r="B733" s="446"/>
      <c r="C733" s="89"/>
      <c r="D733" s="13"/>
      <c r="E733" s="14"/>
      <c r="F733" s="14"/>
      <c r="G733" s="15"/>
      <c r="H733" s="8"/>
      <c r="I733" s="8"/>
      <c r="J733" s="89"/>
      <c r="K733" s="8"/>
      <c r="L733" s="8"/>
      <c r="M733" s="8" t="str">
        <f>IF(L733="","",
IF(AX733="PT",VLOOKUP(L733,Foundation_Calc!$V$4:$X$37,VLOOKUP(AX733,Foundation_Calc!$I$10:$J$13,2,FALSE),0),
IF(AX733="K",VLOOKUP(L733,Foundation_Calc!$V$41:$X$74,VLOOKUP(AX733,Foundation_Calc!$I$10:$J$13,2,FALSE),0),"")))</f>
        <v/>
      </c>
      <c r="N733" s="8"/>
      <c r="O733" s="8"/>
      <c r="P733" s="8"/>
      <c r="Q733" s="14"/>
      <c r="R733" s="15"/>
      <c r="S733" s="15"/>
      <c r="T733" s="14"/>
      <c r="U733" s="14"/>
      <c r="V733" s="14"/>
      <c r="W733" s="18"/>
      <c r="X733" s="18"/>
      <c r="Y733" s="18"/>
      <c r="Z733" s="18"/>
      <c r="AA733" s="18"/>
      <c r="AB733" s="18"/>
      <c r="AC733" s="8" t="str">
        <f t="shared" si="45"/>
        <v/>
      </c>
      <c r="AD733" s="8"/>
      <c r="AE733" s="8"/>
      <c r="AF733" s="14"/>
      <c r="AG733" s="13"/>
      <c r="AH733" s="14"/>
      <c r="AI733" s="14"/>
      <c r="AJ733" s="8"/>
      <c r="AK733" s="8"/>
      <c r="AL733" s="8"/>
      <c r="AM733" s="8"/>
      <c r="AN733" s="631"/>
      <c r="AO733" s="18"/>
      <c r="AP733" s="18"/>
      <c r="AQ733" s="18"/>
      <c r="AR733" s="18"/>
      <c r="AS733" s="18"/>
      <c r="AU733" s="448"/>
      <c r="AV733" s="448"/>
      <c r="AW733" s="8" t="str">
        <f>IF(C733&gt;0,VLOOKUP(C733,Foundation_Calc!$A$2:$C$986,3,1),
IF(J733&gt;0,VLOOKUP(J733,Foundation_Calc!$A$2:$C$986,3,1),""))</f>
        <v/>
      </c>
      <c r="AX733" s="8" t="str">
        <f>IF(C733&gt;0,VLOOKUP(C733,Foundation_Calc!$E$2:$G$986,3,1),
IF(J733&gt;0,VLOOKUP(J733,Foundation_Calc!$E$2:$G$986,3,1),""))</f>
        <v/>
      </c>
      <c r="AY733" s="631" t="str">
        <f>IF(L733="","",
IF(AX733="PT",VLOOKUP(L733,Foundation_Calc!$K$4:$R$37,VLOOKUP(AW733,Foundation_Calc!$I$2:$J$8,2,FALSE),0),
IF(AX733="K",VLOOKUP(L733,Foundation_Calc!$K$41:$R$74,VLOOKUP(AW733,Foundation_Calc!$I$2:$J$8,2,FALSE),0),"")))</f>
        <v/>
      </c>
      <c r="AZ733" s="631" t="str">
        <f>IF(K733="","",
IF(AX733="PT",VLOOKUP(K733,Foundation_Calc!$K$4:$R$37,VLOOKUP(AW733,Foundation_Calc!$I$2:$J$8,2,FALSE),0),
IF(AX733="K",VLOOKUP(K733,Foundation_Calc!$K$41:$R$74,VLOOKUP(AW733,Foundation_Calc!$I$2:$J$8,2,FALSE),0),"")))</f>
        <v/>
      </c>
      <c r="BA733" s="632" t="str">
        <f t="shared" si="46"/>
        <v/>
      </c>
      <c r="BB733" s="632" t="str">
        <f t="shared" si="47"/>
        <v/>
      </c>
      <c r="BC733" s="632" t="str">
        <f t="shared" si="48"/>
        <v/>
      </c>
      <c r="BD733" s="633" t="str">
        <f>IF(AND(L733="",H733=""),"",
IF(H733="",Pole_Calc!A761,
IF(H733="MP",Pole_Calc!A762,
IF(H733="AnMP",Pole_Calc!A763,
IF(H733="A",Pole_Calc!A764,
IF(H733="S/A",Pole_Calc!A765,
IF(H733="A/S",Pole_Calc!A766,"Poner a mano")))))))</f>
        <v/>
      </c>
      <c r="BE733" s="448" t="s">
        <v>1726</v>
      </c>
      <c r="BF733" s="635"/>
      <c r="BG733" s="635"/>
      <c r="BH733" s="634"/>
      <c r="BI733" s="635"/>
    </row>
    <row r="734" spans="1:61" ht="16.2" customHeight="1">
      <c r="A734" s="12"/>
      <c r="B734" s="446"/>
      <c r="C734" s="89"/>
      <c r="D734" s="13"/>
      <c r="E734" s="14"/>
      <c r="F734" s="14"/>
      <c r="G734" s="15"/>
      <c r="H734" s="8"/>
      <c r="I734" s="8"/>
      <c r="J734" s="89"/>
      <c r="K734" s="8"/>
      <c r="L734" s="8"/>
      <c r="M734" s="8" t="str">
        <f>IF(L734="","",
IF(AX734="PT",VLOOKUP(L734,Foundation_Calc!$V$4:$X$37,VLOOKUP(AX734,Foundation_Calc!$I$10:$J$13,2,FALSE),0),
IF(AX734="K",VLOOKUP(L734,Foundation_Calc!$V$41:$X$74,VLOOKUP(AX734,Foundation_Calc!$I$10:$J$13,2,FALSE),0),"")))</f>
        <v/>
      </c>
      <c r="N734" s="8"/>
      <c r="O734" s="8"/>
      <c r="P734" s="8"/>
      <c r="Q734" s="14"/>
      <c r="R734" s="15"/>
      <c r="S734" s="15"/>
      <c r="T734" s="14"/>
      <c r="U734" s="14"/>
      <c r="V734" s="14"/>
      <c r="W734" s="18"/>
      <c r="X734" s="18"/>
      <c r="Y734" s="18"/>
      <c r="Z734" s="18"/>
      <c r="AA734" s="18"/>
      <c r="AB734" s="18"/>
      <c r="AC734" s="8" t="str">
        <f t="shared" si="45"/>
        <v/>
      </c>
      <c r="AD734" s="8"/>
      <c r="AE734" s="8"/>
      <c r="AF734" s="14"/>
      <c r="AG734" s="13"/>
      <c r="AH734" s="14"/>
      <c r="AI734" s="14"/>
      <c r="AJ734" s="8"/>
      <c r="AK734" s="8"/>
      <c r="AL734" s="8"/>
      <c r="AM734" s="8"/>
      <c r="AN734" s="631"/>
      <c r="AO734" s="18"/>
      <c r="AP734" s="18"/>
      <c r="AQ734" s="18"/>
      <c r="AR734" s="18"/>
      <c r="AS734" s="18"/>
      <c r="AU734" s="448"/>
      <c r="AV734" s="448"/>
      <c r="AW734" s="8" t="str">
        <f>IF(C734&gt;0,VLOOKUP(C734,Foundation_Calc!$A$2:$C$986,3,1),
IF(J734&gt;0,VLOOKUP(J734,Foundation_Calc!$A$2:$C$986,3,1),""))</f>
        <v/>
      </c>
      <c r="AX734" s="8" t="str">
        <f>IF(C734&gt;0,VLOOKUP(C734,Foundation_Calc!$E$2:$G$986,3,1),
IF(J734&gt;0,VLOOKUP(J734,Foundation_Calc!$E$2:$G$986,3,1),""))</f>
        <v/>
      </c>
      <c r="AY734" s="631" t="str">
        <f>IF(L734="","",
IF(AX734="PT",VLOOKUP(L734,Foundation_Calc!$K$4:$R$37,VLOOKUP(AW734,Foundation_Calc!$I$2:$J$8,2,FALSE),0),
IF(AX734="K",VLOOKUP(L734,Foundation_Calc!$K$41:$R$74,VLOOKUP(AW734,Foundation_Calc!$I$2:$J$8,2,FALSE),0),"")))</f>
        <v/>
      </c>
      <c r="AZ734" s="631" t="str">
        <f>IF(K734="","",
IF(AX734="PT",VLOOKUP(K734,Foundation_Calc!$K$4:$R$37,VLOOKUP(AW734,Foundation_Calc!$I$2:$J$8,2,FALSE),0),
IF(AX734="K",VLOOKUP(K734,Foundation_Calc!$K$41:$R$74,VLOOKUP(AW734,Foundation_Calc!$I$2:$J$8,2,FALSE),0),"")))</f>
        <v/>
      </c>
      <c r="BA734" s="632" t="str">
        <f t="shared" si="46"/>
        <v/>
      </c>
      <c r="BB734" s="632" t="str">
        <f t="shared" si="47"/>
        <v/>
      </c>
      <c r="BC734" s="632" t="str">
        <f t="shared" si="48"/>
        <v/>
      </c>
      <c r="BD734" s="633" t="str">
        <f>IF(AND(L734="",H734=""),"",
IF(H734="",Pole_Calc!A762,
IF(H734="MP",Pole_Calc!A763,
IF(H734="AnMP",Pole_Calc!A764,
IF(H734="A",Pole_Calc!A765,
IF(H734="S/A",Pole_Calc!A766,
IF(H734="A/S",Pole_Calc!A767,"Poner a mano")))))))</f>
        <v/>
      </c>
      <c r="BE734" s="448" t="s">
        <v>1726</v>
      </c>
      <c r="BF734" s="634"/>
      <c r="BG734" s="634"/>
      <c r="BH734" s="634"/>
      <c r="BI734" s="634"/>
    </row>
    <row r="735" spans="1:61" ht="16.2" customHeight="1">
      <c r="A735" s="12"/>
      <c r="B735" s="446"/>
      <c r="C735" s="89"/>
      <c r="D735" s="13"/>
      <c r="E735" s="14"/>
      <c r="F735" s="14"/>
      <c r="G735" s="15"/>
      <c r="H735" s="8"/>
      <c r="I735" s="8"/>
      <c r="J735" s="89"/>
      <c r="K735" s="8"/>
      <c r="L735" s="8"/>
      <c r="M735" s="8" t="str">
        <f>IF(L735="","",
IF(AX735="PT",VLOOKUP(L735,Foundation_Calc!$V$4:$X$37,VLOOKUP(AX735,Foundation_Calc!$I$10:$J$13,2,FALSE),0),
IF(AX735="K",VLOOKUP(L735,Foundation_Calc!$V$41:$X$74,VLOOKUP(AX735,Foundation_Calc!$I$10:$J$13,2,FALSE),0),"")))</f>
        <v/>
      </c>
      <c r="N735" s="8"/>
      <c r="O735" s="8"/>
      <c r="P735" s="8"/>
      <c r="Q735" s="14"/>
      <c r="R735" s="15"/>
      <c r="S735" s="15"/>
      <c r="T735" s="14"/>
      <c r="U735" s="14"/>
      <c r="V735" s="14"/>
      <c r="W735" s="18"/>
      <c r="X735" s="18"/>
      <c r="Y735" s="18"/>
      <c r="Z735" s="18"/>
      <c r="AA735" s="18"/>
      <c r="AB735" s="18"/>
      <c r="AC735" s="8" t="str">
        <f t="shared" si="45"/>
        <v/>
      </c>
      <c r="AD735" s="8"/>
      <c r="AE735" s="8"/>
      <c r="AF735" s="14"/>
      <c r="AG735" s="13"/>
      <c r="AH735" s="14"/>
      <c r="AI735" s="14"/>
      <c r="AJ735" s="8"/>
      <c r="AK735" s="8"/>
      <c r="AL735" s="8"/>
      <c r="AM735" s="8"/>
      <c r="AN735" s="631"/>
      <c r="AO735" s="18"/>
      <c r="AP735" s="18"/>
      <c r="AQ735" s="18"/>
      <c r="AR735" s="18"/>
      <c r="AS735" s="18"/>
      <c r="AU735" s="448"/>
      <c r="AV735" s="448"/>
      <c r="AW735" s="8" t="str">
        <f>IF(C735&gt;0,VLOOKUP(C735,Foundation_Calc!$A$2:$C$986,3,1),
IF(J735&gt;0,VLOOKUP(J735,Foundation_Calc!$A$2:$C$986,3,1),""))</f>
        <v/>
      </c>
      <c r="AX735" s="8" t="str">
        <f>IF(C735&gt;0,VLOOKUP(C735,Foundation_Calc!$E$2:$G$986,3,1),
IF(J735&gt;0,VLOOKUP(J735,Foundation_Calc!$E$2:$G$986,3,1),""))</f>
        <v/>
      </c>
      <c r="AY735" s="631" t="str">
        <f>IF(L735="","",
IF(AX735="PT",VLOOKUP(L735,Foundation_Calc!$K$4:$R$37,VLOOKUP(AW735,Foundation_Calc!$I$2:$J$8,2,FALSE),0),
IF(AX735="K",VLOOKUP(L735,Foundation_Calc!$K$41:$R$74,VLOOKUP(AW735,Foundation_Calc!$I$2:$J$8,2,FALSE),0),"")))</f>
        <v/>
      </c>
      <c r="AZ735" s="631" t="str">
        <f>IF(K735="","",
IF(AX735="PT",VLOOKUP(K735,Foundation_Calc!$K$4:$R$37,VLOOKUP(AW735,Foundation_Calc!$I$2:$J$8,2,FALSE),0),
IF(AX735="K",VLOOKUP(K735,Foundation_Calc!$K$41:$R$74,VLOOKUP(AW735,Foundation_Calc!$I$2:$J$8,2,FALSE),0),"")))</f>
        <v/>
      </c>
      <c r="BA735" s="632" t="str">
        <f t="shared" si="46"/>
        <v/>
      </c>
      <c r="BB735" s="632" t="str">
        <f t="shared" si="47"/>
        <v/>
      </c>
      <c r="BC735" s="632" t="str">
        <f t="shared" si="48"/>
        <v/>
      </c>
      <c r="BD735" s="633" t="str">
        <f>IF(AND(L735="",H735=""),"",
IF(H735="",Pole_Calc!A763,
IF(H735="MP",Pole_Calc!A764,
IF(H735="AnMP",Pole_Calc!A765,
IF(H735="A",Pole_Calc!A766,
IF(H735="S/A",Pole_Calc!A767,
IF(H735="A/S",Pole_Calc!A768,"Poner a mano")))))))</f>
        <v/>
      </c>
      <c r="BE735" s="448" t="s">
        <v>1726</v>
      </c>
      <c r="BF735" s="635"/>
      <c r="BG735" s="635"/>
      <c r="BH735" s="634"/>
      <c r="BI735" s="635"/>
    </row>
    <row r="736" spans="1:61" ht="16.2" customHeight="1">
      <c r="A736" s="12"/>
      <c r="B736" s="446"/>
      <c r="C736" s="89"/>
      <c r="D736" s="13"/>
      <c r="E736" s="14"/>
      <c r="F736" s="14"/>
      <c r="G736" s="15"/>
      <c r="H736" s="8"/>
      <c r="I736" s="8"/>
      <c r="J736" s="89"/>
      <c r="K736" s="8"/>
      <c r="L736" s="8"/>
      <c r="M736" s="8" t="str">
        <f>IF(L736="","",
IF(AX736="PT",VLOOKUP(L736,Foundation_Calc!$V$4:$X$37,VLOOKUP(AX736,Foundation_Calc!$I$10:$J$13,2,FALSE),0),
IF(AX736="K",VLOOKUP(L736,Foundation_Calc!$V$41:$X$74,VLOOKUP(AX736,Foundation_Calc!$I$10:$J$13,2,FALSE),0),"")))</f>
        <v/>
      </c>
      <c r="N736" s="8"/>
      <c r="O736" s="8"/>
      <c r="P736" s="8"/>
      <c r="Q736" s="14"/>
      <c r="R736" s="15"/>
      <c r="S736" s="15"/>
      <c r="T736" s="14"/>
      <c r="U736" s="14"/>
      <c r="V736" s="14"/>
      <c r="W736" s="18"/>
      <c r="X736" s="18"/>
      <c r="Y736" s="18"/>
      <c r="Z736" s="18"/>
      <c r="AA736" s="18"/>
      <c r="AB736" s="18"/>
      <c r="AC736" s="8" t="str">
        <f t="shared" si="45"/>
        <v/>
      </c>
      <c r="AD736" s="8"/>
      <c r="AE736" s="8"/>
      <c r="AF736" s="14"/>
      <c r="AG736" s="13"/>
      <c r="AH736" s="14"/>
      <c r="AI736" s="14"/>
      <c r="AJ736" s="8"/>
      <c r="AK736" s="8"/>
      <c r="AL736" s="8"/>
      <c r="AM736" s="8"/>
      <c r="AN736" s="631"/>
      <c r="AO736" s="18"/>
      <c r="AP736" s="18"/>
      <c r="AQ736" s="18"/>
      <c r="AR736" s="18"/>
      <c r="AS736" s="18"/>
      <c r="AU736" s="448"/>
      <c r="AV736" s="448"/>
      <c r="AW736" s="8" t="str">
        <f>IF(C736&gt;0,VLOOKUP(C736,Foundation_Calc!$A$2:$C$986,3,1),
IF(J736&gt;0,VLOOKUP(J736,Foundation_Calc!$A$2:$C$986,3,1),""))</f>
        <v/>
      </c>
      <c r="AX736" s="8" t="str">
        <f>IF(C736&gt;0,VLOOKUP(C736,Foundation_Calc!$E$2:$G$986,3,1),
IF(J736&gt;0,VLOOKUP(J736,Foundation_Calc!$E$2:$G$986,3,1),""))</f>
        <v/>
      </c>
      <c r="AY736" s="631" t="str">
        <f>IF(L736="","",
IF(AX736="PT",VLOOKUP(L736,Foundation_Calc!$K$4:$R$37,VLOOKUP(AW736,Foundation_Calc!$I$2:$J$8,2,FALSE),0),
IF(AX736="K",VLOOKUP(L736,Foundation_Calc!$K$41:$R$74,VLOOKUP(AW736,Foundation_Calc!$I$2:$J$8,2,FALSE),0),"")))</f>
        <v/>
      </c>
      <c r="AZ736" s="631" t="str">
        <f>IF(K736="","",
IF(AX736="PT",VLOOKUP(K736,Foundation_Calc!$K$4:$R$37,VLOOKUP(AW736,Foundation_Calc!$I$2:$J$8,2,FALSE),0),
IF(AX736="K",VLOOKUP(K736,Foundation_Calc!$K$41:$R$74,VLOOKUP(AW736,Foundation_Calc!$I$2:$J$8,2,FALSE),0),"")))</f>
        <v/>
      </c>
      <c r="BA736" s="632" t="str">
        <f t="shared" si="46"/>
        <v/>
      </c>
      <c r="BB736" s="632" t="str">
        <f t="shared" si="47"/>
        <v/>
      </c>
      <c r="BC736" s="632" t="str">
        <f t="shared" si="48"/>
        <v/>
      </c>
      <c r="BD736" s="633" t="str">
        <f>IF(AND(L736="",H736=""),"",
IF(H736="",Pole_Calc!A764,
IF(H736="MP",Pole_Calc!A765,
IF(H736="AnMP",Pole_Calc!A766,
IF(H736="A",Pole_Calc!A767,
IF(H736="S/A",Pole_Calc!A768,
IF(H736="A/S",Pole_Calc!A769,"Poner a mano")))))))</f>
        <v/>
      </c>
      <c r="BE736" s="448" t="s">
        <v>1726</v>
      </c>
      <c r="BF736" s="634"/>
      <c r="BG736" s="634"/>
      <c r="BH736" s="634"/>
      <c r="BI736" s="634"/>
    </row>
    <row r="737" spans="1:61" ht="16.2" customHeight="1">
      <c r="A737" s="12"/>
      <c r="B737" s="446"/>
      <c r="C737" s="89"/>
      <c r="D737" s="13"/>
      <c r="E737" s="14"/>
      <c r="F737" s="14"/>
      <c r="G737" s="15"/>
      <c r="H737" s="8"/>
      <c r="I737" s="8"/>
      <c r="J737" s="89"/>
      <c r="K737" s="8"/>
      <c r="L737" s="8"/>
      <c r="M737" s="8" t="str">
        <f>IF(L737="","",
IF(AX737="PT",VLOOKUP(L737,Foundation_Calc!$V$4:$X$37,VLOOKUP(AX737,Foundation_Calc!$I$10:$J$13,2,FALSE),0),
IF(AX737="K",VLOOKUP(L737,Foundation_Calc!$V$41:$X$74,VLOOKUP(AX737,Foundation_Calc!$I$10:$J$13,2,FALSE),0),"")))</f>
        <v/>
      </c>
      <c r="N737" s="8"/>
      <c r="O737" s="8"/>
      <c r="P737" s="8"/>
      <c r="Q737" s="14"/>
      <c r="R737" s="15"/>
      <c r="S737" s="15"/>
      <c r="T737" s="14"/>
      <c r="U737" s="14"/>
      <c r="V737" s="14"/>
      <c r="W737" s="18"/>
      <c r="X737" s="18"/>
      <c r="Y737" s="18"/>
      <c r="Z737" s="18"/>
      <c r="AA737" s="18"/>
      <c r="AB737" s="18"/>
      <c r="AC737" s="8" t="str">
        <f t="shared" si="45"/>
        <v/>
      </c>
      <c r="AD737" s="8"/>
      <c r="AE737" s="8"/>
      <c r="AF737" s="14"/>
      <c r="AG737" s="13"/>
      <c r="AH737" s="14"/>
      <c r="AI737" s="14"/>
      <c r="AJ737" s="8"/>
      <c r="AK737" s="8"/>
      <c r="AL737" s="8"/>
      <c r="AM737" s="8"/>
      <c r="AN737" s="631"/>
      <c r="AO737" s="18"/>
      <c r="AP737" s="18"/>
      <c r="AQ737" s="18"/>
      <c r="AR737" s="18"/>
      <c r="AS737" s="18"/>
      <c r="AU737" s="448"/>
      <c r="AV737" s="448"/>
      <c r="AW737" s="8" t="str">
        <f>IF(C737&gt;0,VLOOKUP(C737,Foundation_Calc!$A$2:$C$986,3,1),
IF(J737&gt;0,VLOOKUP(J737,Foundation_Calc!$A$2:$C$986,3,1),""))</f>
        <v/>
      </c>
      <c r="AX737" s="8" t="str">
        <f>IF(C737&gt;0,VLOOKUP(C737,Foundation_Calc!$E$2:$G$986,3,1),
IF(J737&gt;0,VLOOKUP(J737,Foundation_Calc!$E$2:$G$986,3,1),""))</f>
        <v/>
      </c>
      <c r="AY737" s="631" t="str">
        <f>IF(L737="","",
IF(AX737="PT",VLOOKUP(L737,Foundation_Calc!$K$4:$R$37,VLOOKUP(AW737,Foundation_Calc!$I$2:$J$8,2,FALSE),0),
IF(AX737="K",VLOOKUP(L737,Foundation_Calc!$K$41:$R$74,VLOOKUP(AW737,Foundation_Calc!$I$2:$J$8,2,FALSE),0),"")))</f>
        <v/>
      </c>
      <c r="AZ737" s="631" t="str">
        <f>IF(K737="","",
IF(AX737="PT",VLOOKUP(K737,Foundation_Calc!$K$4:$R$37,VLOOKUP(AW737,Foundation_Calc!$I$2:$J$8,2,FALSE),0),
IF(AX737="K",VLOOKUP(K737,Foundation_Calc!$K$41:$R$74,VLOOKUP(AW737,Foundation_Calc!$I$2:$J$8,2,FALSE),0),"")))</f>
        <v/>
      </c>
      <c r="BA737" s="632" t="str">
        <f t="shared" si="46"/>
        <v/>
      </c>
      <c r="BB737" s="632" t="str">
        <f t="shared" si="47"/>
        <v/>
      </c>
      <c r="BC737" s="632" t="str">
        <f t="shared" si="48"/>
        <v/>
      </c>
      <c r="BD737" s="633" t="str">
        <f>IF(AND(L737="",H737=""),"",
IF(H737="",Pole_Calc!A765,
IF(H737="MP",Pole_Calc!A766,
IF(H737="AnMP",Pole_Calc!A767,
IF(H737="A",Pole_Calc!A768,
IF(H737="S/A",Pole_Calc!A769,
IF(H737="A/S",Pole_Calc!A770,"Poner a mano")))))))</f>
        <v/>
      </c>
      <c r="BE737" s="448" t="s">
        <v>1726</v>
      </c>
      <c r="BF737" s="635"/>
      <c r="BG737" s="635"/>
      <c r="BH737" s="634"/>
      <c r="BI737" s="635"/>
    </row>
    <row r="738" spans="1:61" ht="16.2" customHeight="1">
      <c r="A738" s="12"/>
      <c r="B738" s="446"/>
      <c r="C738" s="89"/>
      <c r="D738" s="13"/>
      <c r="E738" s="14"/>
      <c r="F738" s="14"/>
      <c r="G738" s="15"/>
      <c r="H738" s="8"/>
      <c r="I738" s="8"/>
      <c r="J738" s="89"/>
      <c r="K738" s="8"/>
      <c r="L738" s="8"/>
      <c r="M738" s="8" t="str">
        <f>IF(L738="","",
IF(AX738="PT",VLOOKUP(L738,Foundation_Calc!$V$4:$X$37,VLOOKUP(AX738,Foundation_Calc!$I$10:$J$13,2,FALSE),0),
IF(AX738="K",VLOOKUP(L738,Foundation_Calc!$V$41:$X$74,VLOOKUP(AX738,Foundation_Calc!$I$10:$J$13,2,FALSE),0),"")))</f>
        <v/>
      </c>
      <c r="N738" s="8"/>
      <c r="O738" s="8"/>
      <c r="P738" s="8"/>
      <c r="Q738" s="14"/>
      <c r="R738" s="15"/>
      <c r="S738" s="15"/>
      <c r="T738" s="14"/>
      <c r="U738" s="14"/>
      <c r="V738" s="14"/>
      <c r="W738" s="18"/>
      <c r="X738" s="18"/>
      <c r="Y738" s="18"/>
      <c r="Z738" s="18"/>
      <c r="AA738" s="18"/>
      <c r="AB738" s="18"/>
      <c r="AC738" s="8" t="str">
        <f t="shared" si="45"/>
        <v/>
      </c>
      <c r="AD738" s="8"/>
      <c r="AE738" s="8"/>
      <c r="AF738" s="14"/>
      <c r="AG738" s="13"/>
      <c r="AH738" s="14"/>
      <c r="AI738" s="14"/>
      <c r="AJ738" s="8"/>
      <c r="AK738" s="8"/>
      <c r="AL738" s="8"/>
      <c r="AM738" s="8"/>
      <c r="AN738" s="631"/>
      <c r="AO738" s="18"/>
      <c r="AP738" s="18"/>
      <c r="AQ738" s="18"/>
      <c r="AR738" s="18"/>
      <c r="AS738" s="18"/>
      <c r="AU738" s="448"/>
      <c r="AV738" s="448"/>
      <c r="AW738" s="8" t="str">
        <f>IF(C738&gt;0,VLOOKUP(C738,Foundation_Calc!$A$2:$C$986,3,1),
IF(J738&gt;0,VLOOKUP(J738,Foundation_Calc!$A$2:$C$986,3,1),""))</f>
        <v/>
      </c>
      <c r="AX738" s="8" t="str">
        <f>IF(C738&gt;0,VLOOKUP(C738,Foundation_Calc!$E$2:$G$986,3,1),
IF(J738&gt;0,VLOOKUP(J738,Foundation_Calc!$E$2:$G$986,3,1),""))</f>
        <v/>
      </c>
      <c r="AY738" s="631" t="str">
        <f>IF(L738="","",
IF(AX738="PT",VLOOKUP(L738,Foundation_Calc!$K$4:$R$37,VLOOKUP(AW738,Foundation_Calc!$I$2:$J$8,2,FALSE),0),
IF(AX738="K",VLOOKUP(L738,Foundation_Calc!$K$41:$R$74,VLOOKUP(AW738,Foundation_Calc!$I$2:$J$8,2,FALSE),0),"")))</f>
        <v/>
      </c>
      <c r="AZ738" s="631" t="str">
        <f>IF(K738="","",
IF(AX738="PT",VLOOKUP(K738,Foundation_Calc!$K$4:$R$37,VLOOKUP(AW738,Foundation_Calc!$I$2:$J$8,2,FALSE),0),
IF(AX738="K",VLOOKUP(K738,Foundation_Calc!$K$41:$R$74,VLOOKUP(AW738,Foundation_Calc!$I$2:$J$8,2,FALSE),0),"")))</f>
        <v/>
      </c>
      <c r="BA738" s="632" t="str">
        <f t="shared" si="46"/>
        <v/>
      </c>
      <c r="BB738" s="632" t="str">
        <f t="shared" si="47"/>
        <v/>
      </c>
      <c r="BC738" s="632" t="str">
        <f t="shared" si="48"/>
        <v/>
      </c>
      <c r="BD738" s="633" t="str">
        <f>IF(AND(L738="",H738=""),"",
IF(H738="",Pole_Calc!A766,
IF(H738="MP",Pole_Calc!A767,
IF(H738="AnMP",Pole_Calc!A768,
IF(H738="A",Pole_Calc!A769,
IF(H738="S/A",Pole_Calc!A770,
IF(H738="A/S",Pole_Calc!A771,"Poner a mano")))))))</f>
        <v/>
      </c>
      <c r="BE738" s="448" t="s">
        <v>1726</v>
      </c>
      <c r="BF738" s="634"/>
      <c r="BG738" s="634"/>
      <c r="BH738" s="634"/>
      <c r="BI738" s="634"/>
    </row>
    <row r="739" spans="1:61" ht="16.2" customHeight="1">
      <c r="A739" s="12"/>
      <c r="B739" s="446"/>
      <c r="C739" s="89"/>
      <c r="D739" s="13"/>
      <c r="E739" s="14"/>
      <c r="F739" s="14"/>
      <c r="G739" s="15"/>
      <c r="H739" s="8"/>
      <c r="I739" s="8"/>
      <c r="J739" s="89"/>
      <c r="K739" s="8"/>
      <c r="L739" s="8"/>
      <c r="M739" s="8" t="str">
        <f>IF(L739="","",
IF(AX739="PT",VLOOKUP(L739,Foundation_Calc!$V$4:$X$37,VLOOKUP(AX739,Foundation_Calc!$I$10:$J$13,2,FALSE),0),
IF(AX739="K",VLOOKUP(L739,Foundation_Calc!$V$41:$X$74,VLOOKUP(AX739,Foundation_Calc!$I$10:$J$13,2,FALSE),0),"")))</f>
        <v/>
      </c>
      <c r="N739" s="8"/>
      <c r="O739" s="8"/>
      <c r="P739" s="8"/>
      <c r="Q739" s="14"/>
      <c r="R739" s="15"/>
      <c r="S739" s="15"/>
      <c r="T739" s="14"/>
      <c r="U739" s="14"/>
      <c r="V739" s="14"/>
      <c r="W739" s="18"/>
      <c r="X739" s="18"/>
      <c r="Y739" s="18"/>
      <c r="Z739" s="18"/>
      <c r="AA739" s="18"/>
      <c r="AB739" s="18"/>
      <c r="AC739" s="8" t="str">
        <f t="shared" si="45"/>
        <v/>
      </c>
      <c r="AD739" s="8"/>
      <c r="AE739" s="8"/>
      <c r="AF739" s="14"/>
      <c r="AG739" s="13"/>
      <c r="AH739" s="14"/>
      <c r="AI739" s="14"/>
      <c r="AJ739" s="8"/>
      <c r="AK739" s="8"/>
      <c r="AL739" s="8"/>
      <c r="AM739" s="8"/>
      <c r="AN739" s="631"/>
      <c r="AO739" s="18"/>
      <c r="AP739" s="18"/>
      <c r="AQ739" s="18"/>
      <c r="AR739" s="18"/>
      <c r="AS739" s="18"/>
      <c r="AU739" s="448"/>
      <c r="AV739" s="448"/>
      <c r="AW739" s="8" t="str">
        <f>IF(C739&gt;0,VLOOKUP(C739,Foundation_Calc!$A$2:$C$986,3,1),
IF(J739&gt;0,VLOOKUP(J739,Foundation_Calc!$A$2:$C$986,3,1),""))</f>
        <v/>
      </c>
      <c r="AX739" s="8" t="str">
        <f>IF(C739&gt;0,VLOOKUP(C739,Foundation_Calc!$E$2:$G$986,3,1),
IF(J739&gt;0,VLOOKUP(J739,Foundation_Calc!$E$2:$G$986,3,1),""))</f>
        <v/>
      </c>
      <c r="AY739" s="631" t="str">
        <f>IF(L739="","",
IF(AX739="PT",VLOOKUP(L739,Foundation_Calc!$K$4:$R$37,VLOOKUP(AW739,Foundation_Calc!$I$2:$J$8,2,FALSE),0),
IF(AX739="K",VLOOKUP(L739,Foundation_Calc!$K$41:$R$74,VLOOKUP(AW739,Foundation_Calc!$I$2:$J$8,2,FALSE),0),"")))</f>
        <v/>
      </c>
      <c r="AZ739" s="631" t="str">
        <f>IF(K739="","",
IF(AX739="PT",VLOOKUP(K739,Foundation_Calc!$K$4:$R$37,VLOOKUP(AW739,Foundation_Calc!$I$2:$J$8,2,FALSE),0),
IF(AX739="K",VLOOKUP(K739,Foundation_Calc!$K$41:$R$74,VLOOKUP(AW739,Foundation_Calc!$I$2:$J$8,2,FALSE),0),"")))</f>
        <v/>
      </c>
      <c r="BA739" s="632" t="str">
        <f t="shared" si="46"/>
        <v/>
      </c>
      <c r="BB739" s="632" t="str">
        <f t="shared" si="47"/>
        <v/>
      </c>
      <c r="BC739" s="632" t="str">
        <f t="shared" si="48"/>
        <v/>
      </c>
      <c r="BD739" s="633" t="str">
        <f>IF(AND(L739="",H739=""),"",
IF(H739="",Pole_Calc!A767,
IF(H739="MP",Pole_Calc!A768,
IF(H739="AnMP",Pole_Calc!A769,
IF(H739="A",Pole_Calc!A770,
IF(H739="S/A",Pole_Calc!A771,
IF(H739="A/S",Pole_Calc!A772,"Poner a mano")))))))</f>
        <v/>
      </c>
      <c r="BE739" s="448" t="s">
        <v>1726</v>
      </c>
      <c r="BF739" s="635"/>
      <c r="BG739" s="635"/>
      <c r="BH739" s="634"/>
      <c r="BI739" s="635"/>
    </row>
    <row r="740" spans="1:61" ht="16.2" customHeight="1">
      <c r="A740" s="12"/>
      <c r="B740" s="446"/>
      <c r="C740" s="89"/>
      <c r="D740" s="13"/>
      <c r="E740" s="14"/>
      <c r="F740" s="14"/>
      <c r="G740" s="15"/>
      <c r="H740" s="8"/>
      <c r="I740" s="8"/>
      <c r="J740" s="89"/>
      <c r="K740" s="8"/>
      <c r="L740" s="8"/>
      <c r="M740" s="8" t="str">
        <f>IF(L740="","",
IF(AX740="PT",VLOOKUP(L740,Foundation_Calc!$V$4:$X$37,VLOOKUP(AX740,Foundation_Calc!$I$10:$J$13,2,FALSE),0),
IF(AX740="K",VLOOKUP(L740,Foundation_Calc!$V$41:$X$74,VLOOKUP(AX740,Foundation_Calc!$I$10:$J$13,2,FALSE),0),"")))</f>
        <v/>
      </c>
      <c r="N740" s="8"/>
      <c r="O740" s="8"/>
      <c r="P740" s="8"/>
      <c r="Q740" s="14"/>
      <c r="R740" s="15"/>
      <c r="S740" s="15"/>
      <c r="T740" s="14"/>
      <c r="U740" s="14"/>
      <c r="V740" s="14"/>
      <c r="W740" s="18"/>
      <c r="X740" s="18"/>
      <c r="Y740" s="18"/>
      <c r="Z740" s="18"/>
      <c r="AA740" s="18"/>
      <c r="AB740" s="18"/>
      <c r="AC740" s="8" t="str">
        <f t="shared" si="45"/>
        <v/>
      </c>
      <c r="AD740" s="8"/>
      <c r="AE740" s="8"/>
      <c r="AF740" s="14"/>
      <c r="AG740" s="13"/>
      <c r="AH740" s="14"/>
      <c r="AI740" s="14"/>
      <c r="AJ740" s="8"/>
      <c r="AK740" s="8"/>
      <c r="AL740" s="8"/>
      <c r="AM740" s="8"/>
      <c r="AN740" s="631"/>
      <c r="AO740" s="18"/>
      <c r="AP740" s="18"/>
      <c r="AQ740" s="18"/>
      <c r="AR740" s="18"/>
      <c r="AS740" s="18"/>
      <c r="AU740" s="448"/>
      <c r="AV740" s="448"/>
      <c r="AW740" s="8" t="str">
        <f>IF(C740&gt;0,VLOOKUP(C740,Foundation_Calc!$A$2:$C$986,3,1),
IF(J740&gt;0,VLOOKUP(J740,Foundation_Calc!$A$2:$C$986,3,1),""))</f>
        <v/>
      </c>
      <c r="AX740" s="8" t="str">
        <f>IF(C740&gt;0,VLOOKUP(C740,Foundation_Calc!$E$2:$G$986,3,1),
IF(J740&gt;0,VLOOKUP(J740,Foundation_Calc!$E$2:$G$986,3,1),""))</f>
        <v/>
      </c>
      <c r="AY740" s="631" t="str">
        <f>IF(L740="","",
IF(AX740="PT",VLOOKUP(L740,Foundation_Calc!$K$4:$R$37,VLOOKUP(AW740,Foundation_Calc!$I$2:$J$8,2,FALSE),0),
IF(AX740="K",VLOOKUP(L740,Foundation_Calc!$K$41:$R$74,VLOOKUP(AW740,Foundation_Calc!$I$2:$J$8,2,FALSE),0),"")))</f>
        <v/>
      </c>
      <c r="AZ740" s="631" t="str">
        <f>IF(K740="","",
IF(AX740="PT",VLOOKUP(K740,Foundation_Calc!$K$4:$R$37,VLOOKUP(AW740,Foundation_Calc!$I$2:$J$8,2,FALSE),0),
IF(AX740="K",VLOOKUP(K740,Foundation_Calc!$K$41:$R$74,VLOOKUP(AW740,Foundation_Calc!$I$2:$J$8,2,FALSE),0),"")))</f>
        <v/>
      </c>
      <c r="BA740" s="632" t="str">
        <f t="shared" si="46"/>
        <v/>
      </c>
      <c r="BB740" s="632" t="str">
        <f t="shared" si="47"/>
        <v/>
      </c>
      <c r="BC740" s="632" t="str">
        <f t="shared" si="48"/>
        <v/>
      </c>
      <c r="BD740" s="633" t="str">
        <f>IF(AND(L740="",H740=""),"",
IF(H740="",Pole_Calc!A768,
IF(H740="MP",Pole_Calc!A769,
IF(H740="AnMP",Pole_Calc!A770,
IF(H740="A",Pole_Calc!A771,
IF(H740="S/A",Pole_Calc!A772,
IF(H740="A/S",Pole_Calc!A773,"Poner a mano")))))))</f>
        <v/>
      </c>
      <c r="BE740" s="448" t="s">
        <v>1726</v>
      </c>
      <c r="BF740" s="634"/>
      <c r="BG740" s="634"/>
      <c r="BH740" s="634"/>
      <c r="BI740" s="634"/>
    </row>
    <row r="741" spans="1:61" ht="16.2" customHeight="1">
      <c r="A741" s="12"/>
      <c r="B741" s="446"/>
      <c r="C741" s="89"/>
      <c r="D741" s="13"/>
      <c r="E741" s="14"/>
      <c r="F741" s="14"/>
      <c r="G741" s="15"/>
      <c r="H741" s="8"/>
      <c r="I741" s="8"/>
      <c r="J741" s="89"/>
      <c r="K741" s="8"/>
      <c r="L741" s="8"/>
      <c r="M741" s="8" t="str">
        <f>IF(L741="","",
IF(AX741="PT",VLOOKUP(L741,Foundation_Calc!$V$4:$X$37,VLOOKUP(AX741,Foundation_Calc!$I$10:$J$13,2,FALSE),0),
IF(AX741="K",VLOOKUP(L741,Foundation_Calc!$V$41:$X$74,VLOOKUP(AX741,Foundation_Calc!$I$10:$J$13,2,FALSE),0),"")))</f>
        <v/>
      </c>
      <c r="N741" s="8"/>
      <c r="O741" s="8"/>
      <c r="P741" s="8"/>
      <c r="Q741" s="14"/>
      <c r="R741" s="15"/>
      <c r="S741" s="15"/>
      <c r="T741" s="14"/>
      <c r="U741" s="14"/>
      <c r="V741" s="14"/>
      <c r="W741" s="18"/>
      <c r="X741" s="18"/>
      <c r="Y741" s="18"/>
      <c r="Z741" s="18"/>
      <c r="AA741" s="18"/>
      <c r="AB741" s="18"/>
      <c r="AC741" s="8" t="str">
        <f t="shared" si="45"/>
        <v/>
      </c>
      <c r="AD741" s="8"/>
      <c r="AE741" s="8"/>
      <c r="AF741" s="14"/>
      <c r="AG741" s="13"/>
      <c r="AH741" s="14"/>
      <c r="AI741" s="14"/>
      <c r="AJ741" s="8"/>
      <c r="AK741" s="8"/>
      <c r="AL741" s="8"/>
      <c r="AM741" s="8"/>
      <c r="AN741" s="631"/>
      <c r="AO741" s="18"/>
      <c r="AP741" s="18"/>
      <c r="AQ741" s="18"/>
      <c r="AR741" s="18"/>
      <c r="AS741" s="18"/>
      <c r="AU741" s="448"/>
      <c r="AV741" s="448"/>
      <c r="AW741" s="8" t="str">
        <f>IF(C741&gt;0,VLOOKUP(C741,Foundation_Calc!$A$2:$C$986,3,1),
IF(J741&gt;0,VLOOKUP(J741,Foundation_Calc!$A$2:$C$986,3,1),""))</f>
        <v/>
      </c>
      <c r="AX741" s="8" t="str">
        <f>IF(C741&gt;0,VLOOKUP(C741,Foundation_Calc!$E$2:$G$986,3,1),
IF(J741&gt;0,VLOOKUP(J741,Foundation_Calc!$E$2:$G$986,3,1),""))</f>
        <v/>
      </c>
      <c r="AY741" s="631" t="str">
        <f>IF(L741="","",
IF(AX741="PT",VLOOKUP(L741,Foundation_Calc!$K$4:$R$37,VLOOKUP(AW741,Foundation_Calc!$I$2:$J$8,2,FALSE),0),
IF(AX741="K",VLOOKUP(L741,Foundation_Calc!$K$41:$R$74,VLOOKUP(AW741,Foundation_Calc!$I$2:$J$8,2,FALSE),0),"")))</f>
        <v/>
      </c>
      <c r="AZ741" s="631" t="str">
        <f>IF(K741="","",
IF(AX741="PT",VLOOKUP(K741,Foundation_Calc!$K$4:$R$37,VLOOKUP(AW741,Foundation_Calc!$I$2:$J$8,2,FALSE),0),
IF(AX741="K",VLOOKUP(K741,Foundation_Calc!$K$41:$R$74,VLOOKUP(AW741,Foundation_Calc!$I$2:$J$8,2,FALSE),0),"")))</f>
        <v/>
      </c>
      <c r="BA741" s="632" t="str">
        <f t="shared" si="46"/>
        <v/>
      </c>
      <c r="BB741" s="632" t="str">
        <f t="shared" si="47"/>
        <v/>
      </c>
      <c r="BC741" s="632" t="str">
        <f t="shared" si="48"/>
        <v/>
      </c>
      <c r="BD741" s="633" t="str">
        <f>IF(AND(L741="",H741=""),"",
IF(H741="",Pole_Calc!A769,
IF(H741="MP",Pole_Calc!A770,
IF(H741="AnMP",Pole_Calc!A771,
IF(H741="A",Pole_Calc!A772,
IF(H741="S/A",Pole_Calc!A773,
IF(H741="A/S",Pole_Calc!A774,"Poner a mano")))))))</f>
        <v/>
      </c>
      <c r="BE741" s="448" t="s">
        <v>1726</v>
      </c>
      <c r="BF741" s="635"/>
      <c r="BG741" s="635"/>
      <c r="BH741" s="634"/>
      <c r="BI741" s="635"/>
    </row>
    <row r="742" spans="1:61" ht="16.2" customHeight="1">
      <c r="A742" s="12"/>
      <c r="B742" s="446"/>
      <c r="C742" s="89"/>
      <c r="D742" s="13"/>
      <c r="E742" s="14"/>
      <c r="F742" s="14"/>
      <c r="G742" s="15"/>
      <c r="H742" s="8"/>
      <c r="I742" s="8"/>
      <c r="J742" s="89"/>
      <c r="K742" s="8"/>
      <c r="L742" s="8"/>
      <c r="M742" s="8" t="str">
        <f>IF(L742="","",
IF(AX742="PT",VLOOKUP(L742,Foundation_Calc!$V$4:$X$37,VLOOKUP(AX742,Foundation_Calc!$I$10:$J$13,2,FALSE),0),
IF(AX742="K",VLOOKUP(L742,Foundation_Calc!$V$41:$X$74,VLOOKUP(AX742,Foundation_Calc!$I$10:$J$13,2,FALSE),0),"")))</f>
        <v/>
      </c>
      <c r="N742" s="8"/>
      <c r="O742" s="8"/>
      <c r="P742" s="8"/>
      <c r="Q742" s="14"/>
      <c r="R742" s="15"/>
      <c r="S742" s="15"/>
      <c r="T742" s="14"/>
      <c r="U742" s="14"/>
      <c r="V742" s="14"/>
      <c r="W742" s="18"/>
      <c r="X742" s="18"/>
      <c r="Y742" s="18"/>
      <c r="Z742" s="18"/>
      <c r="AA742" s="18"/>
      <c r="AB742" s="18"/>
      <c r="AC742" s="8" t="str">
        <f t="shared" si="45"/>
        <v/>
      </c>
      <c r="AD742" s="8"/>
      <c r="AE742" s="8"/>
      <c r="AF742" s="14"/>
      <c r="AG742" s="13"/>
      <c r="AH742" s="14"/>
      <c r="AI742" s="14"/>
      <c r="AJ742" s="8"/>
      <c r="AK742" s="8"/>
      <c r="AL742" s="8"/>
      <c r="AM742" s="8"/>
      <c r="AN742" s="631"/>
      <c r="AO742" s="18"/>
      <c r="AP742" s="18"/>
      <c r="AQ742" s="18"/>
      <c r="AR742" s="18"/>
      <c r="AS742" s="18"/>
      <c r="AU742" s="448"/>
      <c r="AV742" s="448"/>
      <c r="AW742" s="8" t="str">
        <f>IF(C742&gt;0,VLOOKUP(C742,Foundation_Calc!$A$2:$C$986,3,1),
IF(J742&gt;0,VLOOKUP(J742,Foundation_Calc!$A$2:$C$986,3,1),""))</f>
        <v/>
      </c>
      <c r="AX742" s="8" t="str">
        <f>IF(C742&gt;0,VLOOKUP(C742,Foundation_Calc!$E$2:$G$986,3,1),
IF(J742&gt;0,VLOOKUP(J742,Foundation_Calc!$E$2:$G$986,3,1),""))</f>
        <v/>
      </c>
      <c r="AY742" s="631" t="str">
        <f>IF(L742="","",
IF(AX742="PT",VLOOKUP(L742,Foundation_Calc!$K$4:$R$37,VLOOKUP(AW742,Foundation_Calc!$I$2:$J$8,2,FALSE),0),
IF(AX742="K",VLOOKUP(L742,Foundation_Calc!$K$41:$R$74,VLOOKUP(AW742,Foundation_Calc!$I$2:$J$8,2,FALSE),0),"")))</f>
        <v/>
      </c>
      <c r="AZ742" s="631" t="str">
        <f>IF(K742="","",
IF(AX742="PT",VLOOKUP(K742,Foundation_Calc!$K$4:$R$37,VLOOKUP(AW742,Foundation_Calc!$I$2:$J$8,2,FALSE),0),
IF(AX742="K",VLOOKUP(K742,Foundation_Calc!$K$41:$R$74,VLOOKUP(AW742,Foundation_Calc!$I$2:$J$8,2,FALSE),0),"")))</f>
        <v/>
      </c>
      <c r="BA742" s="632" t="str">
        <f t="shared" si="46"/>
        <v/>
      </c>
      <c r="BB742" s="632" t="str">
        <f t="shared" si="47"/>
        <v/>
      </c>
      <c r="BC742" s="632" t="str">
        <f t="shared" si="48"/>
        <v/>
      </c>
      <c r="BD742" s="633" t="str">
        <f>IF(AND(L742="",H742=""),"",
IF(H742="",Pole_Calc!A770,
IF(H742="MP",Pole_Calc!A771,
IF(H742="AnMP",Pole_Calc!A772,
IF(H742="A",Pole_Calc!A773,
IF(H742="S/A",Pole_Calc!A774,
IF(H742="A/S",Pole_Calc!A775,"Poner a mano")))))))</f>
        <v/>
      </c>
      <c r="BE742" s="448" t="s">
        <v>1726</v>
      </c>
      <c r="BF742" s="634"/>
      <c r="BG742" s="634"/>
      <c r="BH742" s="634"/>
      <c r="BI742" s="634"/>
    </row>
    <row r="743" spans="1:61" ht="16.2" customHeight="1">
      <c r="A743" s="12"/>
      <c r="B743" s="446"/>
      <c r="C743" s="89"/>
      <c r="D743" s="13"/>
      <c r="E743" s="14"/>
      <c r="F743" s="14"/>
      <c r="G743" s="15"/>
      <c r="H743" s="8"/>
      <c r="I743" s="8"/>
      <c r="J743" s="89"/>
      <c r="K743" s="8"/>
      <c r="L743" s="8"/>
      <c r="M743" s="8" t="str">
        <f>IF(L743="","",
IF(AX743="PT",VLOOKUP(L743,Foundation_Calc!$V$4:$X$37,VLOOKUP(AX743,Foundation_Calc!$I$10:$J$13,2,FALSE),0),
IF(AX743="K",VLOOKUP(L743,Foundation_Calc!$V$41:$X$74,VLOOKUP(AX743,Foundation_Calc!$I$10:$J$13,2,FALSE),0),"")))</f>
        <v/>
      </c>
      <c r="N743" s="8"/>
      <c r="O743" s="8"/>
      <c r="P743" s="8"/>
      <c r="Q743" s="14"/>
      <c r="R743" s="15"/>
      <c r="S743" s="15"/>
      <c r="T743" s="14"/>
      <c r="U743" s="14"/>
      <c r="V743" s="14"/>
      <c r="W743" s="18"/>
      <c r="X743" s="18"/>
      <c r="Y743" s="18"/>
      <c r="Z743" s="18"/>
      <c r="AA743" s="18"/>
      <c r="AB743" s="18"/>
      <c r="AC743" s="8" t="str">
        <f t="shared" si="45"/>
        <v/>
      </c>
      <c r="AD743" s="8"/>
      <c r="AE743" s="8"/>
      <c r="AF743" s="14"/>
      <c r="AG743" s="13"/>
      <c r="AH743" s="14"/>
      <c r="AI743" s="14"/>
      <c r="AJ743" s="8"/>
      <c r="AK743" s="8"/>
      <c r="AL743" s="8"/>
      <c r="AM743" s="8"/>
      <c r="AN743" s="631"/>
      <c r="AO743" s="18"/>
      <c r="AP743" s="18"/>
      <c r="AQ743" s="18"/>
      <c r="AR743" s="18"/>
      <c r="AS743" s="18"/>
      <c r="AU743" s="448"/>
      <c r="AV743" s="448"/>
      <c r="AW743" s="8" t="str">
        <f>IF(C743&gt;0,VLOOKUP(C743,Foundation_Calc!$A$2:$C$986,3,1),
IF(J743&gt;0,VLOOKUP(J743,Foundation_Calc!$A$2:$C$986,3,1),""))</f>
        <v/>
      </c>
      <c r="AX743" s="8" t="str">
        <f>IF(C743&gt;0,VLOOKUP(C743,Foundation_Calc!$E$2:$G$986,3,1),
IF(J743&gt;0,VLOOKUP(J743,Foundation_Calc!$E$2:$G$986,3,1),""))</f>
        <v/>
      </c>
      <c r="AY743" s="631" t="str">
        <f>IF(L743="","",
IF(AX743="PT",VLOOKUP(L743,Foundation_Calc!$K$4:$R$37,VLOOKUP(AW743,Foundation_Calc!$I$2:$J$8,2,FALSE),0),
IF(AX743="K",VLOOKUP(L743,Foundation_Calc!$K$41:$R$74,VLOOKUP(AW743,Foundation_Calc!$I$2:$J$8,2,FALSE),0),"")))</f>
        <v/>
      </c>
      <c r="AZ743" s="631" t="str">
        <f>IF(K743="","",
IF(AX743="PT",VLOOKUP(K743,Foundation_Calc!$K$4:$R$37,VLOOKUP(AW743,Foundation_Calc!$I$2:$J$8,2,FALSE),0),
IF(AX743="K",VLOOKUP(K743,Foundation_Calc!$K$41:$R$74,VLOOKUP(AW743,Foundation_Calc!$I$2:$J$8,2,FALSE),0),"")))</f>
        <v/>
      </c>
      <c r="BA743" s="632" t="str">
        <f t="shared" si="46"/>
        <v/>
      </c>
      <c r="BB743" s="632" t="str">
        <f t="shared" si="47"/>
        <v/>
      </c>
      <c r="BC743" s="632" t="str">
        <f t="shared" si="48"/>
        <v/>
      </c>
      <c r="BD743" s="633" t="str">
        <f>IF(AND(L743="",H743=""),"",
IF(H743="",Pole_Calc!A771,
IF(H743="MP",Pole_Calc!A772,
IF(H743="AnMP",Pole_Calc!A773,
IF(H743="A",Pole_Calc!A774,
IF(H743="S/A",Pole_Calc!A775,
IF(H743="A/S",Pole_Calc!A776,"Poner a mano")))))))</f>
        <v/>
      </c>
      <c r="BE743" s="448" t="s">
        <v>1726</v>
      </c>
      <c r="BF743" s="635"/>
      <c r="BG743" s="635"/>
      <c r="BH743" s="634"/>
      <c r="BI743" s="635"/>
    </row>
    <row r="744" spans="1:61" ht="16.2" customHeight="1">
      <c r="A744" s="12"/>
      <c r="B744" s="446"/>
      <c r="C744" s="89"/>
      <c r="D744" s="13"/>
      <c r="E744" s="14"/>
      <c r="F744" s="14"/>
      <c r="G744" s="15"/>
      <c r="H744" s="8"/>
      <c r="I744" s="8"/>
      <c r="J744" s="89"/>
      <c r="K744" s="8"/>
      <c r="L744" s="8"/>
      <c r="M744" s="8" t="str">
        <f>IF(L744="","",
IF(AX744="PT",VLOOKUP(L744,Foundation_Calc!$V$4:$X$37,VLOOKUP(AX744,Foundation_Calc!$I$10:$J$13,2,FALSE),0),
IF(AX744="K",VLOOKUP(L744,Foundation_Calc!$V$41:$X$74,VLOOKUP(AX744,Foundation_Calc!$I$10:$J$13,2,FALSE),0),"")))</f>
        <v/>
      </c>
      <c r="N744" s="8"/>
      <c r="O744" s="8"/>
      <c r="P744" s="8"/>
      <c r="Q744" s="14"/>
      <c r="R744" s="15"/>
      <c r="S744" s="15"/>
      <c r="T744" s="14"/>
      <c r="U744" s="14"/>
      <c r="V744" s="14"/>
      <c r="W744" s="18"/>
      <c r="X744" s="18"/>
      <c r="Y744" s="18"/>
      <c r="Z744" s="18"/>
      <c r="AA744" s="18"/>
      <c r="AB744" s="18"/>
      <c r="AC744" s="8" t="str">
        <f t="shared" si="45"/>
        <v/>
      </c>
      <c r="AD744" s="8"/>
      <c r="AE744" s="8"/>
      <c r="AF744" s="14"/>
      <c r="AG744" s="13"/>
      <c r="AH744" s="14"/>
      <c r="AI744" s="14"/>
      <c r="AJ744" s="8"/>
      <c r="AK744" s="8"/>
      <c r="AL744" s="8"/>
      <c r="AM744" s="8"/>
      <c r="AN744" s="631"/>
      <c r="AO744" s="18"/>
      <c r="AP744" s="18"/>
      <c r="AQ744" s="18"/>
      <c r="AR744" s="18"/>
      <c r="AS744" s="18"/>
      <c r="AU744" s="448"/>
      <c r="AV744" s="448"/>
      <c r="AW744" s="8" t="str">
        <f>IF(C744&gt;0,VLOOKUP(C744,Foundation_Calc!$A$2:$C$986,3,1),
IF(J744&gt;0,VLOOKUP(J744,Foundation_Calc!$A$2:$C$986,3,1),""))</f>
        <v/>
      </c>
      <c r="AX744" s="8" t="str">
        <f>IF(C744&gt;0,VLOOKUP(C744,Foundation_Calc!$E$2:$G$986,3,1),
IF(J744&gt;0,VLOOKUP(J744,Foundation_Calc!$E$2:$G$986,3,1),""))</f>
        <v/>
      </c>
      <c r="AY744" s="631" t="str">
        <f>IF(L744="","",
IF(AX744="PT",VLOOKUP(L744,Foundation_Calc!$K$4:$R$37,VLOOKUP(AW744,Foundation_Calc!$I$2:$J$8,2,FALSE),0),
IF(AX744="K",VLOOKUP(L744,Foundation_Calc!$K$41:$R$74,VLOOKUP(AW744,Foundation_Calc!$I$2:$J$8,2,FALSE),0),"")))</f>
        <v/>
      </c>
      <c r="AZ744" s="631" t="str">
        <f>IF(K744="","",
IF(AX744="PT",VLOOKUP(K744,Foundation_Calc!$K$4:$R$37,VLOOKUP(AW744,Foundation_Calc!$I$2:$J$8,2,FALSE),0),
IF(AX744="K",VLOOKUP(K744,Foundation_Calc!$K$41:$R$74,VLOOKUP(AW744,Foundation_Calc!$I$2:$J$8,2,FALSE),0),"")))</f>
        <v/>
      </c>
      <c r="BA744" s="632" t="str">
        <f t="shared" si="46"/>
        <v/>
      </c>
      <c r="BB744" s="632" t="str">
        <f t="shared" si="47"/>
        <v/>
      </c>
      <c r="BC744" s="632" t="str">
        <f t="shared" si="48"/>
        <v/>
      </c>
      <c r="BD744" s="633" t="str">
        <f>IF(AND(L744="",H744=""),"",
IF(H744="",Pole_Calc!A772,
IF(H744="MP",Pole_Calc!A773,
IF(H744="AnMP",Pole_Calc!A774,
IF(H744="A",Pole_Calc!A775,
IF(H744="S/A",Pole_Calc!A776,
IF(H744="A/S",Pole_Calc!A777,"Poner a mano")))))))</f>
        <v/>
      </c>
      <c r="BE744" s="448" t="s">
        <v>1726</v>
      </c>
      <c r="BF744" s="634"/>
      <c r="BG744" s="634"/>
      <c r="BH744" s="634"/>
      <c r="BI744" s="634"/>
    </row>
    <row r="745" spans="1:61" ht="16.2" customHeight="1">
      <c r="A745" s="12"/>
      <c r="B745" s="446"/>
      <c r="C745" s="89"/>
      <c r="D745" s="13"/>
      <c r="E745" s="14"/>
      <c r="F745" s="14"/>
      <c r="G745" s="15"/>
      <c r="H745" s="8"/>
      <c r="I745" s="8"/>
      <c r="J745" s="89"/>
      <c r="K745" s="8"/>
      <c r="L745" s="8"/>
      <c r="M745" s="8" t="str">
        <f>IF(L745="","",
IF(AX745="PT",VLOOKUP(L745,Foundation_Calc!$V$4:$X$37,VLOOKUP(AX745,Foundation_Calc!$I$10:$J$13,2,FALSE),0),
IF(AX745="K",VLOOKUP(L745,Foundation_Calc!$V$41:$X$74,VLOOKUP(AX745,Foundation_Calc!$I$10:$J$13,2,FALSE),0),"")))</f>
        <v/>
      </c>
      <c r="N745" s="8"/>
      <c r="O745" s="8"/>
      <c r="P745" s="8"/>
      <c r="Q745" s="14"/>
      <c r="R745" s="15"/>
      <c r="S745" s="15"/>
      <c r="T745" s="14"/>
      <c r="U745" s="14"/>
      <c r="V745" s="14"/>
      <c r="W745" s="18"/>
      <c r="X745" s="18"/>
      <c r="Y745" s="18"/>
      <c r="Z745" s="18"/>
      <c r="AA745" s="18"/>
      <c r="AB745" s="18"/>
      <c r="AC745" s="8" t="str">
        <f t="shared" si="45"/>
        <v/>
      </c>
      <c r="AD745" s="8"/>
      <c r="AE745" s="8"/>
      <c r="AF745" s="14"/>
      <c r="AG745" s="13"/>
      <c r="AH745" s="14"/>
      <c r="AI745" s="14"/>
      <c r="AJ745" s="8"/>
      <c r="AK745" s="8"/>
      <c r="AL745" s="8"/>
      <c r="AM745" s="8"/>
      <c r="AN745" s="631"/>
      <c r="AO745" s="18"/>
      <c r="AP745" s="18"/>
      <c r="AQ745" s="18"/>
      <c r="AR745" s="18"/>
      <c r="AS745" s="18"/>
      <c r="AU745" s="448"/>
      <c r="AV745" s="448"/>
      <c r="AW745" s="8" t="str">
        <f>IF(C745&gt;0,VLOOKUP(C745,Foundation_Calc!$A$2:$C$986,3,1),
IF(J745&gt;0,VLOOKUP(J745,Foundation_Calc!$A$2:$C$986,3,1),""))</f>
        <v/>
      </c>
      <c r="AX745" s="8" t="str">
        <f>IF(C745&gt;0,VLOOKUP(C745,Foundation_Calc!$E$2:$G$986,3,1),
IF(J745&gt;0,VLOOKUP(J745,Foundation_Calc!$E$2:$G$986,3,1),""))</f>
        <v/>
      </c>
      <c r="AY745" s="631" t="str">
        <f>IF(L745="","",
IF(AX745="PT",VLOOKUP(L745,Foundation_Calc!$K$4:$R$37,VLOOKUP(AW745,Foundation_Calc!$I$2:$J$8,2,FALSE),0),
IF(AX745="K",VLOOKUP(L745,Foundation_Calc!$K$41:$R$74,VLOOKUP(AW745,Foundation_Calc!$I$2:$J$8,2,FALSE),0),"")))</f>
        <v/>
      </c>
      <c r="AZ745" s="631" t="str">
        <f>IF(K745="","",
IF(AX745="PT",VLOOKUP(K745,Foundation_Calc!$K$4:$R$37,VLOOKUP(AW745,Foundation_Calc!$I$2:$J$8,2,FALSE),0),
IF(AX745="K",VLOOKUP(K745,Foundation_Calc!$K$41:$R$74,VLOOKUP(AW745,Foundation_Calc!$I$2:$J$8,2,FALSE),0),"")))</f>
        <v/>
      </c>
      <c r="BA745" s="632" t="str">
        <f t="shared" si="46"/>
        <v/>
      </c>
      <c r="BB745" s="632" t="str">
        <f t="shared" si="47"/>
        <v/>
      </c>
      <c r="BC745" s="632" t="str">
        <f t="shared" si="48"/>
        <v/>
      </c>
      <c r="BD745" s="633" t="str">
        <f>IF(AND(L745="",H745=""),"",
IF(H745="",Pole_Calc!A773,
IF(H745="MP",Pole_Calc!A774,
IF(H745="AnMP",Pole_Calc!A775,
IF(H745="A",Pole_Calc!A776,
IF(H745="S/A",Pole_Calc!A777,
IF(H745="A/S",Pole_Calc!A778,"Poner a mano")))))))</f>
        <v/>
      </c>
      <c r="BE745" s="448" t="s">
        <v>1726</v>
      </c>
      <c r="BF745" s="635"/>
      <c r="BG745" s="635"/>
      <c r="BH745" s="634"/>
      <c r="BI745" s="635"/>
    </row>
    <row r="746" spans="1:61" ht="16.2" customHeight="1">
      <c r="A746" s="12"/>
      <c r="B746" s="446"/>
      <c r="C746" s="89"/>
      <c r="D746" s="13"/>
      <c r="E746" s="14"/>
      <c r="F746" s="14"/>
      <c r="G746" s="15"/>
      <c r="H746" s="8"/>
      <c r="I746" s="8"/>
      <c r="J746" s="89"/>
      <c r="K746" s="8"/>
      <c r="L746" s="8"/>
      <c r="M746" s="8" t="str">
        <f>IF(L746="","",
IF(AX746="PT",VLOOKUP(L746,Foundation_Calc!$V$4:$X$37,VLOOKUP(AX746,Foundation_Calc!$I$10:$J$13,2,FALSE),0),
IF(AX746="K",VLOOKUP(L746,Foundation_Calc!$V$41:$X$74,VLOOKUP(AX746,Foundation_Calc!$I$10:$J$13,2,FALSE),0),"")))</f>
        <v/>
      </c>
      <c r="N746" s="8"/>
      <c r="O746" s="8"/>
      <c r="P746" s="8"/>
      <c r="Q746" s="14"/>
      <c r="R746" s="15"/>
      <c r="S746" s="15"/>
      <c r="T746" s="14"/>
      <c r="U746" s="14"/>
      <c r="V746" s="14"/>
      <c r="W746" s="18"/>
      <c r="X746" s="18"/>
      <c r="Y746" s="18"/>
      <c r="Z746" s="18"/>
      <c r="AA746" s="18"/>
      <c r="AB746" s="18"/>
      <c r="AC746" s="8" t="str">
        <f t="shared" si="45"/>
        <v/>
      </c>
      <c r="AD746" s="8"/>
      <c r="AE746" s="8"/>
      <c r="AF746" s="14"/>
      <c r="AG746" s="13"/>
      <c r="AH746" s="14"/>
      <c r="AI746" s="14"/>
      <c r="AJ746" s="8"/>
      <c r="AK746" s="8"/>
      <c r="AL746" s="8"/>
      <c r="AM746" s="8"/>
      <c r="AN746" s="631"/>
      <c r="AO746" s="18"/>
      <c r="AP746" s="18"/>
      <c r="AQ746" s="18"/>
      <c r="AR746" s="18"/>
      <c r="AS746" s="18"/>
      <c r="AU746" s="448"/>
      <c r="AV746" s="448"/>
      <c r="AW746" s="8" t="str">
        <f>IF(C746&gt;0,VLOOKUP(C746,Foundation_Calc!$A$2:$C$986,3,1),
IF(J746&gt;0,VLOOKUP(J746,Foundation_Calc!$A$2:$C$986,3,1),""))</f>
        <v/>
      </c>
      <c r="AX746" s="8" t="str">
        <f>IF(C746&gt;0,VLOOKUP(C746,Foundation_Calc!$E$2:$G$986,3,1),
IF(J746&gt;0,VLOOKUP(J746,Foundation_Calc!$E$2:$G$986,3,1),""))</f>
        <v/>
      </c>
      <c r="AY746" s="631" t="str">
        <f>IF(L746="","",
IF(AX746="PT",VLOOKUP(L746,Foundation_Calc!$K$4:$R$37,VLOOKUP(AW746,Foundation_Calc!$I$2:$J$8,2,FALSE),0),
IF(AX746="K",VLOOKUP(L746,Foundation_Calc!$K$41:$R$74,VLOOKUP(AW746,Foundation_Calc!$I$2:$J$8,2,FALSE),0),"")))</f>
        <v/>
      </c>
      <c r="AZ746" s="631" t="str">
        <f>IF(K746="","",
IF(AX746="PT",VLOOKUP(K746,Foundation_Calc!$K$4:$R$37,VLOOKUP(AW746,Foundation_Calc!$I$2:$J$8,2,FALSE),0),
IF(AX746="K",VLOOKUP(K746,Foundation_Calc!$K$41:$R$74,VLOOKUP(AW746,Foundation_Calc!$I$2:$J$8,2,FALSE),0),"")))</f>
        <v/>
      </c>
      <c r="BA746" s="632" t="str">
        <f t="shared" si="46"/>
        <v/>
      </c>
      <c r="BB746" s="632" t="str">
        <f t="shared" si="47"/>
        <v/>
      </c>
      <c r="BC746" s="632" t="str">
        <f t="shared" si="48"/>
        <v/>
      </c>
      <c r="BD746" s="633" t="str">
        <f>IF(AND(L746="",H746=""),"",
IF(H746="",Pole_Calc!A774,
IF(H746="MP",Pole_Calc!A775,
IF(H746="AnMP",Pole_Calc!A776,
IF(H746="A",Pole_Calc!A777,
IF(H746="S/A",Pole_Calc!A778,
IF(H746="A/S",Pole_Calc!A779,"Poner a mano")))))))</f>
        <v/>
      </c>
      <c r="BE746" s="448" t="s">
        <v>1726</v>
      </c>
      <c r="BF746" s="634"/>
      <c r="BG746" s="634"/>
      <c r="BH746" s="634"/>
      <c r="BI746" s="634"/>
    </row>
    <row r="747" spans="1:61" ht="16.2" customHeight="1">
      <c r="A747" s="12"/>
      <c r="B747" s="446"/>
      <c r="C747" s="89"/>
      <c r="D747" s="13"/>
      <c r="E747" s="14"/>
      <c r="F747" s="14"/>
      <c r="G747" s="15"/>
      <c r="H747" s="8"/>
      <c r="I747" s="8"/>
      <c r="J747" s="89"/>
      <c r="K747" s="8"/>
      <c r="L747" s="8"/>
      <c r="M747" s="8" t="str">
        <f>IF(L747="","",
IF(AX747="PT",VLOOKUP(L747,Foundation_Calc!$V$4:$X$37,VLOOKUP(AX747,Foundation_Calc!$I$10:$J$13,2,FALSE),0),
IF(AX747="K",VLOOKUP(L747,Foundation_Calc!$V$41:$X$74,VLOOKUP(AX747,Foundation_Calc!$I$10:$J$13,2,FALSE),0),"")))</f>
        <v/>
      </c>
      <c r="N747" s="8"/>
      <c r="O747" s="8"/>
      <c r="P747" s="8"/>
      <c r="Q747" s="14"/>
      <c r="R747" s="15"/>
      <c r="S747" s="15"/>
      <c r="T747" s="14"/>
      <c r="U747" s="14"/>
      <c r="V747" s="14"/>
      <c r="W747" s="18"/>
      <c r="X747" s="18"/>
      <c r="Y747" s="18"/>
      <c r="Z747" s="18"/>
      <c r="AA747" s="18"/>
      <c r="AB747" s="18"/>
      <c r="AC747" s="8" t="str">
        <f t="shared" si="45"/>
        <v/>
      </c>
      <c r="AD747" s="8"/>
      <c r="AE747" s="8"/>
      <c r="AF747" s="14"/>
      <c r="AG747" s="13"/>
      <c r="AH747" s="14"/>
      <c r="AI747" s="14"/>
      <c r="AJ747" s="8"/>
      <c r="AK747" s="8"/>
      <c r="AL747" s="8"/>
      <c r="AM747" s="8"/>
      <c r="AN747" s="631"/>
      <c r="AO747" s="18"/>
      <c r="AP747" s="18"/>
      <c r="AQ747" s="18"/>
      <c r="AR747" s="18"/>
      <c r="AS747" s="18"/>
      <c r="AU747" s="448"/>
      <c r="AV747" s="448"/>
      <c r="AW747" s="8" t="str">
        <f>IF(C747&gt;0,VLOOKUP(C747,Foundation_Calc!$A$2:$C$986,3,1),
IF(J747&gt;0,VLOOKUP(J747,Foundation_Calc!$A$2:$C$986,3,1),""))</f>
        <v/>
      </c>
      <c r="AX747" s="8" t="str">
        <f>IF(C747&gt;0,VLOOKUP(C747,Foundation_Calc!$E$2:$G$986,3,1),
IF(J747&gt;0,VLOOKUP(J747,Foundation_Calc!$E$2:$G$986,3,1),""))</f>
        <v/>
      </c>
      <c r="AY747" s="631" t="str">
        <f>IF(L747="","",
IF(AX747="PT",VLOOKUP(L747,Foundation_Calc!$K$4:$R$37,VLOOKUP(AW747,Foundation_Calc!$I$2:$J$8,2,FALSE),0),
IF(AX747="K",VLOOKUP(L747,Foundation_Calc!$K$41:$R$74,VLOOKUP(AW747,Foundation_Calc!$I$2:$J$8,2,FALSE),0),"")))</f>
        <v/>
      </c>
      <c r="AZ747" s="631" t="str">
        <f>IF(K747="","",
IF(AX747="PT",VLOOKUP(K747,Foundation_Calc!$K$4:$R$37,VLOOKUP(AW747,Foundation_Calc!$I$2:$J$8,2,FALSE),0),
IF(AX747="K",VLOOKUP(K747,Foundation_Calc!$K$41:$R$74,VLOOKUP(AW747,Foundation_Calc!$I$2:$J$8,2,FALSE),0),"")))</f>
        <v/>
      </c>
      <c r="BA747" s="632" t="str">
        <f t="shared" si="46"/>
        <v/>
      </c>
      <c r="BB747" s="632" t="str">
        <f t="shared" si="47"/>
        <v/>
      </c>
      <c r="BC747" s="632" t="str">
        <f t="shared" si="48"/>
        <v/>
      </c>
      <c r="BD747" s="633" t="str">
        <f>IF(AND(L747="",H747=""),"",
IF(H747="",Pole_Calc!A775,
IF(H747="MP",Pole_Calc!A776,
IF(H747="AnMP",Pole_Calc!A777,
IF(H747="A",Pole_Calc!A778,
IF(H747="S/A",Pole_Calc!A779,
IF(H747="A/S",Pole_Calc!A780,"Poner a mano")))))))</f>
        <v/>
      </c>
      <c r="BE747" s="448" t="s">
        <v>1726</v>
      </c>
      <c r="BF747" s="635"/>
      <c r="BG747" s="635"/>
      <c r="BH747" s="634"/>
      <c r="BI747" s="635"/>
    </row>
    <row r="748" spans="1:61" ht="16.2" customHeight="1">
      <c r="A748" s="12"/>
      <c r="B748" s="446"/>
      <c r="C748" s="89"/>
      <c r="D748" s="13"/>
      <c r="E748" s="14"/>
      <c r="F748" s="14"/>
      <c r="G748" s="15"/>
      <c r="H748" s="8"/>
      <c r="I748" s="8"/>
      <c r="J748" s="89"/>
      <c r="K748" s="8"/>
      <c r="L748" s="8"/>
      <c r="M748" s="8" t="str">
        <f>IF(L748="","",
IF(AX748="PT",VLOOKUP(L748,Foundation_Calc!$V$4:$X$37,VLOOKUP(AX748,Foundation_Calc!$I$10:$J$13,2,FALSE),0),
IF(AX748="K",VLOOKUP(L748,Foundation_Calc!$V$41:$X$74,VLOOKUP(AX748,Foundation_Calc!$I$10:$J$13,2,FALSE),0),"")))</f>
        <v/>
      </c>
      <c r="N748" s="8"/>
      <c r="O748" s="8"/>
      <c r="P748" s="8"/>
      <c r="Q748" s="14"/>
      <c r="R748" s="15"/>
      <c r="S748" s="15"/>
      <c r="T748" s="14"/>
      <c r="U748" s="14"/>
      <c r="V748" s="14"/>
      <c r="W748" s="18"/>
      <c r="X748" s="18"/>
      <c r="Y748" s="18"/>
      <c r="Z748" s="18"/>
      <c r="AA748" s="18"/>
      <c r="AB748" s="18"/>
      <c r="AC748" s="8" t="str">
        <f t="shared" si="45"/>
        <v/>
      </c>
      <c r="AD748" s="8"/>
      <c r="AE748" s="8"/>
      <c r="AF748" s="14"/>
      <c r="AG748" s="13"/>
      <c r="AH748" s="14"/>
      <c r="AI748" s="14"/>
      <c r="AJ748" s="8"/>
      <c r="AK748" s="8"/>
      <c r="AL748" s="8"/>
      <c r="AM748" s="8"/>
      <c r="AN748" s="631"/>
      <c r="AO748" s="18"/>
      <c r="AP748" s="18"/>
      <c r="AQ748" s="18"/>
      <c r="AR748" s="18"/>
      <c r="AS748" s="18"/>
      <c r="AU748" s="448"/>
      <c r="AV748" s="448"/>
      <c r="AW748" s="8" t="str">
        <f>IF(C748&gt;0,VLOOKUP(C748,Foundation_Calc!$A$2:$C$986,3,1),
IF(J748&gt;0,VLOOKUP(J748,Foundation_Calc!$A$2:$C$986,3,1),""))</f>
        <v/>
      </c>
      <c r="AX748" s="8" t="str">
        <f>IF(C748&gt;0,VLOOKUP(C748,Foundation_Calc!$E$2:$G$986,3,1),
IF(J748&gt;0,VLOOKUP(J748,Foundation_Calc!$E$2:$G$986,3,1),""))</f>
        <v/>
      </c>
      <c r="AY748" s="631" t="str">
        <f>IF(L748="","",
IF(AX748="PT",VLOOKUP(L748,Foundation_Calc!$K$4:$R$37,VLOOKUP(AW748,Foundation_Calc!$I$2:$J$8,2,FALSE),0),
IF(AX748="K",VLOOKUP(L748,Foundation_Calc!$K$41:$R$74,VLOOKUP(AW748,Foundation_Calc!$I$2:$J$8,2,FALSE),0),"")))</f>
        <v/>
      </c>
      <c r="AZ748" s="631" t="str">
        <f>IF(K748="","",
IF(AX748="PT",VLOOKUP(K748,Foundation_Calc!$K$4:$R$37,VLOOKUP(AW748,Foundation_Calc!$I$2:$J$8,2,FALSE),0),
IF(AX748="K",VLOOKUP(K748,Foundation_Calc!$K$41:$R$74,VLOOKUP(AW748,Foundation_Calc!$I$2:$J$8,2,FALSE),0),"")))</f>
        <v/>
      </c>
      <c r="BA748" s="632" t="str">
        <f t="shared" si="46"/>
        <v/>
      </c>
      <c r="BB748" s="632" t="str">
        <f t="shared" si="47"/>
        <v/>
      </c>
      <c r="BC748" s="632" t="str">
        <f t="shared" si="48"/>
        <v/>
      </c>
      <c r="BD748" s="633" t="str">
        <f>IF(AND(L748="",H748=""),"",
IF(H748="",Pole_Calc!A776,
IF(H748="MP",Pole_Calc!A777,
IF(H748="AnMP",Pole_Calc!A778,
IF(H748="A",Pole_Calc!A779,
IF(H748="S/A",Pole_Calc!A780,
IF(H748="A/S",Pole_Calc!A781,"Poner a mano")))))))</f>
        <v/>
      </c>
      <c r="BE748" s="448" t="s">
        <v>1726</v>
      </c>
      <c r="BF748" s="634"/>
      <c r="BG748" s="634"/>
      <c r="BH748" s="634"/>
      <c r="BI748" s="634"/>
    </row>
    <row r="749" spans="1:61" ht="16.2" customHeight="1">
      <c r="A749" s="12"/>
      <c r="B749" s="446"/>
      <c r="C749" s="89"/>
      <c r="D749" s="13"/>
      <c r="E749" s="14"/>
      <c r="F749" s="14"/>
      <c r="G749" s="15"/>
      <c r="H749" s="8"/>
      <c r="I749" s="8"/>
      <c r="J749" s="89"/>
      <c r="K749" s="8"/>
      <c r="L749" s="8"/>
      <c r="M749" s="8" t="str">
        <f>IF(L749="","",
IF(AX749="PT",VLOOKUP(L749,Foundation_Calc!$V$4:$X$37,VLOOKUP(AX749,Foundation_Calc!$I$10:$J$13,2,FALSE),0),
IF(AX749="K",VLOOKUP(L749,Foundation_Calc!$V$41:$X$74,VLOOKUP(AX749,Foundation_Calc!$I$10:$J$13,2,FALSE),0),"")))</f>
        <v/>
      </c>
      <c r="N749" s="8"/>
      <c r="O749" s="8"/>
      <c r="P749" s="8"/>
      <c r="Q749" s="14"/>
      <c r="R749" s="15"/>
      <c r="S749" s="15"/>
      <c r="T749" s="14"/>
      <c r="U749" s="14"/>
      <c r="V749" s="14"/>
      <c r="W749" s="18"/>
      <c r="X749" s="18"/>
      <c r="Y749" s="18"/>
      <c r="Z749" s="18"/>
      <c r="AA749" s="18"/>
      <c r="AB749" s="18"/>
      <c r="AC749" s="8" t="str">
        <f t="shared" si="45"/>
        <v/>
      </c>
      <c r="AD749" s="8"/>
      <c r="AE749" s="8"/>
      <c r="AF749" s="14"/>
      <c r="AG749" s="13"/>
      <c r="AH749" s="14"/>
      <c r="AI749" s="14"/>
      <c r="AJ749" s="8"/>
      <c r="AK749" s="8"/>
      <c r="AL749" s="8"/>
      <c r="AM749" s="8"/>
      <c r="AN749" s="631"/>
      <c r="AO749" s="18"/>
      <c r="AP749" s="18"/>
      <c r="AQ749" s="18"/>
      <c r="AR749" s="18"/>
      <c r="AS749" s="18"/>
      <c r="AU749" s="448"/>
      <c r="AV749" s="448"/>
      <c r="AW749" s="8" t="str">
        <f>IF(C749&gt;0,VLOOKUP(C749,Foundation_Calc!$A$2:$C$986,3,1),
IF(J749&gt;0,VLOOKUP(J749,Foundation_Calc!$A$2:$C$986,3,1),""))</f>
        <v/>
      </c>
      <c r="AX749" s="8" t="str">
        <f>IF(C749&gt;0,VLOOKUP(C749,Foundation_Calc!$E$2:$G$986,3,1),
IF(J749&gt;0,VLOOKUP(J749,Foundation_Calc!$E$2:$G$986,3,1),""))</f>
        <v/>
      </c>
      <c r="AY749" s="631" t="str">
        <f>IF(L749="","",
IF(AX749="PT",VLOOKUP(L749,Foundation_Calc!$K$4:$R$37,VLOOKUP(AW749,Foundation_Calc!$I$2:$J$8,2,FALSE),0),
IF(AX749="K",VLOOKUP(L749,Foundation_Calc!$K$41:$R$74,VLOOKUP(AW749,Foundation_Calc!$I$2:$J$8,2,FALSE),0),"")))</f>
        <v/>
      </c>
      <c r="AZ749" s="631" t="str">
        <f>IF(K749="","",
IF(AX749="PT",VLOOKUP(K749,Foundation_Calc!$K$4:$R$37,VLOOKUP(AW749,Foundation_Calc!$I$2:$J$8,2,FALSE),0),
IF(AX749="K",VLOOKUP(K749,Foundation_Calc!$K$41:$R$74,VLOOKUP(AW749,Foundation_Calc!$I$2:$J$8,2,FALSE),0),"")))</f>
        <v/>
      </c>
      <c r="BA749" s="632" t="str">
        <f t="shared" si="46"/>
        <v/>
      </c>
      <c r="BB749" s="632" t="str">
        <f t="shared" si="47"/>
        <v/>
      </c>
      <c r="BC749" s="632" t="str">
        <f t="shared" si="48"/>
        <v/>
      </c>
      <c r="BD749" s="633" t="str">
        <f>IF(AND(L749="",H749=""),"",
IF(H749="",Pole_Calc!A777,
IF(H749="MP",Pole_Calc!A778,
IF(H749="AnMP",Pole_Calc!A779,
IF(H749="A",Pole_Calc!A780,
IF(H749="S/A",Pole_Calc!A781,
IF(H749="A/S",Pole_Calc!A782,"Poner a mano")))))))</f>
        <v/>
      </c>
      <c r="BE749" s="448" t="s">
        <v>1726</v>
      </c>
      <c r="BF749" s="635"/>
      <c r="BG749" s="635"/>
      <c r="BH749" s="634"/>
      <c r="BI749" s="635"/>
    </row>
    <row r="750" spans="1:61" ht="16.2" customHeight="1">
      <c r="A750" s="12"/>
      <c r="B750" s="446"/>
      <c r="C750" s="89"/>
      <c r="D750" s="13"/>
      <c r="E750" s="14"/>
      <c r="F750" s="14"/>
      <c r="G750" s="15"/>
      <c r="H750" s="8"/>
      <c r="I750" s="8"/>
      <c r="J750" s="89"/>
      <c r="K750" s="8"/>
      <c r="L750" s="8"/>
      <c r="M750" s="8" t="str">
        <f>IF(L750="","",
IF(AX750="PT",VLOOKUP(L750,Foundation_Calc!$V$4:$X$37,VLOOKUP(AX750,Foundation_Calc!$I$10:$J$13,2,FALSE),0),
IF(AX750="K",VLOOKUP(L750,Foundation_Calc!$V$41:$X$74,VLOOKUP(AX750,Foundation_Calc!$I$10:$J$13,2,FALSE),0),"")))</f>
        <v/>
      </c>
      <c r="N750" s="8"/>
      <c r="O750" s="8"/>
      <c r="P750" s="8"/>
      <c r="Q750" s="14"/>
      <c r="R750" s="15"/>
      <c r="S750" s="15"/>
      <c r="T750" s="14"/>
      <c r="U750" s="14"/>
      <c r="V750" s="14"/>
      <c r="W750" s="18"/>
      <c r="X750" s="18"/>
      <c r="Y750" s="18"/>
      <c r="Z750" s="18"/>
      <c r="AA750" s="18"/>
      <c r="AB750" s="18"/>
      <c r="AC750" s="8" t="str">
        <f t="shared" si="45"/>
        <v/>
      </c>
      <c r="AD750" s="8"/>
      <c r="AE750" s="8"/>
      <c r="AF750" s="14"/>
      <c r="AG750" s="13"/>
      <c r="AH750" s="14"/>
      <c r="AI750" s="14"/>
      <c r="AJ750" s="8"/>
      <c r="AK750" s="8"/>
      <c r="AL750" s="8"/>
      <c r="AM750" s="8"/>
      <c r="AN750" s="631"/>
      <c r="AO750" s="18"/>
      <c r="AP750" s="18"/>
      <c r="AQ750" s="18"/>
      <c r="AR750" s="18"/>
      <c r="AS750" s="18"/>
      <c r="AU750" s="448"/>
      <c r="AV750" s="448"/>
      <c r="AW750" s="8" t="str">
        <f>IF(C750&gt;0,VLOOKUP(C750,Foundation_Calc!$A$2:$C$986,3,1),
IF(J750&gt;0,VLOOKUP(J750,Foundation_Calc!$A$2:$C$986,3,1),""))</f>
        <v/>
      </c>
      <c r="AX750" s="8" t="str">
        <f>IF(C750&gt;0,VLOOKUP(C750,Foundation_Calc!$E$2:$G$986,3,1),
IF(J750&gt;0,VLOOKUP(J750,Foundation_Calc!$E$2:$G$986,3,1),""))</f>
        <v/>
      </c>
      <c r="AY750" s="631" t="str">
        <f>IF(L750="","",
IF(AX750="PT",VLOOKUP(L750,Foundation_Calc!$K$4:$R$37,VLOOKUP(AW750,Foundation_Calc!$I$2:$J$8,2,FALSE),0),
IF(AX750="K",VLOOKUP(L750,Foundation_Calc!$K$41:$R$74,VLOOKUP(AW750,Foundation_Calc!$I$2:$J$8,2,FALSE),0),"")))</f>
        <v/>
      </c>
      <c r="AZ750" s="631" t="str">
        <f>IF(K750="","",
IF(AX750="PT",VLOOKUP(K750,Foundation_Calc!$K$4:$R$37,VLOOKUP(AW750,Foundation_Calc!$I$2:$J$8,2,FALSE),0),
IF(AX750="K",VLOOKUP(K750,Foundation_Calc!$K$41:$R$74,VLOOKUP(AW750,Foundation_Calc!$I$2:$J$8,2,FALSE),0),"")))</f>
        <v/>
      </c>
      <c r="BA750" s="632" t="str">
        <f t="shared" si="46"/>
        <v/>
      </c>
      <c r="BB750" s="632" t="str">
        <f t="shared" si="47"/>
        <v/>
      </c>
      <c r="BC750" s="632" t="str">
        <f t="shared" si="48"/>
        <v/>
      </c>
      <c r="BD750" s="633" t="str">
        <f>IF(AND(L750="",H750=""),"",
IF(H750="",Pole_Calc!A778,
IF(H750="MP",Pole_Calc!A779,
IF(H750="AnMP",Pole_Calc!A780,
IF(H750="A",Pole_Calc!A781,
IF(H750="S/A",Pole_Calc!A782,
IF(H750="A/S",Pole_Calc!A783,"Poner a mano")))))))</f>
        <v/>
      </c>
      <c r="BE750" s="448" t="s">
        <v>1726</v>
      </c>
      <c r="BF750" s="634"/>
      <c r="BG750" s="634"/>
      <c r="BH750" s="634"/>
      <c r="BI750" s="634"/>
    </row>
    <row r="751" spans="1:61" ht="16.2" customHeight="1">
      <c r="A751" s="12"/>
      <c r="B751" s="446"/>
      <c r="C751" s="89"/>
      <c r="D751" s="13"/>
      <c r="E751" s="14"/>
      <c r="F751" s="14"/>
      <c r="G751" s="15"/>
      <c r="H751" s="8"/>
      <c r="I751" s="8"/>
      <c r="J751" s="89"/>
      <c r="K751" s="8"/>
      <c r="L751" s="8"/>
      <c r="M751" s="8" t="str">
        <f>IF(L751="","",
IF(AX751="PT",VLOOKUP(L751,Foundation_Calc!$V$4:$X$37,VLOOKUP(AX751,Foundation_Calc!$I$10:$J$13,2,FALSE),0),
IF(AX751="K",VLOOKUP(L751,Foundation_Calc!$V$41:$X$74,VLOOKUP(AX751,Foundation_Calc!$I$10:$J$13,2,FALSE),0),"")))</f>
        <v/>
      </c>
      <c r="N751" s="8"/>
      <c r="O751" s="8"/>
      <c r="P751" s="8"/>
      <c r="Q751" s="14"/>
      <c r="R751" s="15"/>
      <c r="S751" s="15"/>
      <c r="T751" s="14"/>
      <c r="U751" s="14"/>
      <c r="V751" s="14"/>
      <c r="W751" s="18"/>
      <c r="X751" s="18"/>
      <c r="Y751" s="18"/>
      <c r="Z751" s="18"/>
      <c r="AA751" s="18"/>
      <c r="AB751" s="18"/>
      <c r="AC751" s="8" t="str">
        <f t="shared" si="45"/>
        <v/>
      </c>
      <c r="AD751" s="8"/>
      <c r="AE751" s="8"/>
      <c r="AF751" s="14"/>
      <c r="AG751" s="13"/>
      <c r="AH751" s="14"/>
      <c r="AI751" s="14"/>
      <c r="AJ751" s="8"/>
      <c r="AK751" s="8"/>
      <c r="AL751" s="8"/>
      <c r="AM751" s="8"/>
      <c r="AN751" s="631"/>
      <c r="AO751" s="18"/>
      <c r="AP751" s="18"/>
      <c r="AQ751" s="18"/>
      <c r="AR751" s="18"/>
      <c r="AS751" s="18"/>
      <c r="AU751" s="448"/>
      <c r="AV751" s="448"/>
      <c r="AW751" s="8" t="str">
        <f>IF(C751&gt;0,VLOOKUP(C751,Foundation_Calc!$A$2:$C$986,3,1),
IF(J751&gt;0,VLOOKUP(J751,Foundation_Calc!$A$2:$C$986,3,1),""))</f>
        <v/>
      </c>
      <c r="AX751" s="8" t="str">
        <f>IF(C751&gt;0,VLOOKUP(C751,Foundation_Calc!$E$2:$G$986,3,1),
IF(J751&gt;0,VLOOKUP(J751,Foundation_Calc!$E$2:$G$986,3,1),""))</f>
        <v/>
      </c>
      <c r="AY751" s="631" t="str">
        <f>IF(L751="","",
IF(AX751="PT",VLOOKUP(L751,Foundation_Calc!$K$4:$R$37,VLOOKUP(AW751,Foundation_Calc!$I$2:$J$8,2,FALSE),0),
IF(AX751="K",VLOOKUP(L751,Foundation_Calc!$K$41:$R$74,VLOOKUP(AW751,Foundation_Calc!$I$2:$J$8,2,FALSE),0),"")))</f>
        <v/>
      </c>
      <c r="AZ751" s="631" t="str">
        <f>IF(K751="","",
IF(AX751="PT",VLOOKUP(K751,Foundation_Calc!$K$4:$R$37,VLOOKUP(AW751,Foundation_Calc!$I$2:$J$8,2,FALSE),0),
IF(AX751="K",VLOOKUP(K751,Foundation_Calc!$K$41:$R$74,VLOOKUP(AW751,Foundation_Calc!$I$2:$J$8,2,FALSE),0),"")))</f>
        <v/>
      </c>
      <c r="BA751" s="632" t="str">
        <f t="shared" si="46"/>
        <v/>
      </c>
      <c r="BB751" s="632" t="str">
        <f t="shared" si="47"/>
        <v/>
      </c>
      <c r="BC751" s="632" t="str">
        <f t="shared" si="48"/>
        <v/>
      </c>
      <c r="BD751" s="633" t="str">
        <f>IF(AND(L751="",H751=""),"",
IF(H751="",Pole_Calc!A779,
IF(H751="MP",Pole_Calc!A780,
IF(H751="AnMP",Pole_Calc!A781,
IF(H751="A",Pole_Calc!A782,
IF(H751="S/A",Pole_Calc!A783,
IF(H751="A/S",Pole_Calc!A784,"Poner a mano")))))))</f>
        <v/>
      </c>
      <c r="BE751" s="448" t="s">
        <v>1726</v>
      </c>
      <c r="BF751" s="635"/>
      <c r="BG751" s="635"/>
      <c r="BH751" s="634"/>
      <c r="BI751" s="635"/>
    </row>
    <row r="752" spans="1:61" ht="16.2" customHeight="1">
      <c r="A752" s="12"/>
      <c r="B752" s="446"/>
      <c r="C752" s="89"/>
      <c r="D752" s="13"/>
      <c r="E752" s="14"/>
      <c r="F752" s="14"/>
      <c r="G752" s="15"/>
      <c r="H752" s="8"/>
      <c r="I752" s="8"/>
      <c r="J752" s="89"/>
      <c r="K752" s="8"/>
      <c r="L752" s="8"/>
      <c r="M752" s="8" t="str">
        <f>IF(L752="","",
IF(AX752="PT",VLOOKUP(L752,Foundation_Calc!$V$4:$X$37,VLOOKUP(AX752,Foundation_Calc!$I$10:$J$13,2,FALSE),0),
IF(AX752="K",VLOOKUP(L752,Foundation_Calc!$V$41:$X$74,VLOOKUP(AX752,Foundation_Calc!$I$10:$J$13,2,FALSE),0),"")))</f>
        <v/>
      </c>
      <c r="N752" s="8"/>
      <c r="O752" s="8"/>
      <c r="P752" s="8"/>
      <c r="Q752" s="14"/>
      <c r="R752" s="15"/>
      <c r="S752" s="15"/>
      <c r="T752" s="14"/>
      <c r="U752" s="14"/>
      <c r="V752" s="14"/>
      <c r="W752" s="18"/>
      <c r="X752" s="18"/>
      <c r="Y752" s="18"/>
      <c r="Z752" s="18"/>
      <c r="AA752" s="18"/>
      <c r="AB752" s="18"/>
      <c r="AC752" s="8" t="str">
        <f t="shared" si="45"/>
        <v/>
      </c>
      <c r="AD752" s="8"/>
      <c r="AE752" s="8"/>
      <c r="AF752" s="14"/>
      <c r="AG752" s="13"/>
      <c r="AH752" s="14"/>
      <c r="AI752" s="14"/>
      <c r="AJ752" s="8"/>
      <c r="AK752" s="8"/>
      <c r="AL752" s="8"/>
      <c r="AM752" s="8"/>
      <c r="AN752" s="631"/>
      <c r="AO752" s="18"/>
      <c r="AP752" s="18"/>
      <c r="AQ752" s="18"/>
      <c r="AR752" s="18"/>
      <c r="AS752" s="18"/>
      <c r="AU752" s="448"/>
      <c r="AV752" s="448"/>
      <c r="AW752" s="8" t="str">
        <f>IF(C752&gt;0,VLOOKUP(C752,Foundation_Calc!$A$2:$C$986,3,1),
IF(J752&gt;0,VLOOKUP(J752,Foundation_Calc!$A$2:$C$986,3,1),""))</f>
        <v/>
      </c>
      <c r="AX752" s="8" t="str">
        <f>IF(C752&gt;0,VLOOKUP(C752,Foundation_Calc!$E$2:$G$986,3,1),
IF(J752&gt;0,VLOOKUP(J752,Foundation_Calc!$E$2:$G$986,3,1),""))</f>
        <v/>
      </c>
      <c r="AY752" s="631" t="str">
        <f>IF(L752="","",
IF(AX752="PT",VLOOKUP(L752,Foundation_Calc!$K$4:$R$37,VLOOKUP(AW752,Foundation_Calc!$I$2:$J$8,2,FALSE),0),
IF(AX752="K",VLOOKUP(L752,Foundation_Calc!$K$41:$R$74,VLOOKUP(AW752,Foundation_Calc!$I$2:$J$8,2,FALSE),0),"")))</f>
        <v/>
      </c>
      <c r="AZ752" s="631" t="str">
        <f>IF(K752="","",
IF(AX752="PT",VLOOKUP(K752,Foundation_Calc!$K$4:$R$37,VLOOKUP(AW752,Foundation_Calc!$I$2:$J$8,2,FALSE),0),
IF(AX752="K",VLOOKUP(K752,Foundation_Calc!$K$41:$R$74,VLOOKUP(AW752,Foundation_Calc!$I$2:$J$8,2,FALSE),0),"")))</f>
        <v/>
      </c>
      <c r="BA752" s="632" t="str">
        <f t="shared" si="46"/>
        <v/>
      </c>
      <c r="BB752" s="632" t="str">
        <f t="shared" si="47"/>
        <v/>
      </c>
      <c r="BC752" s="632" t="str">
        <f t="shared" si="48"/>
        <v/>
      </c>
      <c r="BD752" s="633" t="str">
        <f>IF(AND(L752="",H752=""),"",
IF(H752="",Pole_Calc!A780,
IF(H752="MP",Pole_Calc!A781,
IF(H752="AnMP",Pole_Calc!A782,
IF(H752="A",Pole_Calc!A783,
IF(H752="S/A",Pole_Calc!A784,
IF(H752="A/S",Pole_Calc!A785,"Poner a mano")))))))</f>
        <v/>
      </c>
      <c r="BE752" s="448" t="s">
        <v>1726</v>
      </c>
      <c r="BF752" s="634"/>
      <c r="BG752" s="634"/>
      <c r="BH752" s="634"/>
      <c r="BI752" s="634"/>
    </row>
    <row r="753" spans="1:61" ht="16.2" customHeight="1">
      <c r="A753" s="12"/>
      <c r="B753" s="446"/>
      <c r="C753" s="89"/>
      <c r="D753" s="13"/>
      <c r="E753" s="14"/>
      <c r="F753" s="14"/>
      <c r="G753" s="15"/>
      <c r="H753" s="8"/>
      <c r="I753" s="8"/>
      <c r="J753" s="89"/>
      <c r="K753" s="8"/>
      <c r="L753" s="8"/>
      <c r="M753" s="8" t="str">
        <f>IF(L753="","",
IF(AX753="PT",VLOOKUP(L753,Foundation_Calc!$V$4:$X$37,VLOOKUP(AX753,Foundation_Calc!$I$10:$J$13,2,FALSE),0),
IF(AX753="K",VLOOKUP(L753,Foundation_Calc!$V$41:$X$74,VLOOKUP(AX753,Foundation_Calc!$I$10:$J$13,2,FALSE),0),"")))</f>
        <v/>
      </c>
      <c r="N753" s="8"/>
      <c r="O753" s="8"/>
      <c r="P753" s="8"/>
      <c r="Q753" s="14"/>
      <c r="R753" s="15"/>
      <c r="S753" s="15"/>
      <c r="T753" s="14"/>
      <c r="U753" s="14"/>
      <c r="V753" s="14"/>
      <c r="W753" s="18"/>
      <c r="X753" s="18"/>
      <c r="Y753" s="18"/>
      <c r="Z753" s="18"/>
      <c r="AA753" s="18"/>
      <c r="AB753" s="18"/>
      <c r="AC753" s="8" t="str">
        <f t="shared" si="45"/>
        <v/>
      </c>
      <c r="AD753" s="8"/>
      <c r="AE753" s="8"/>
      <c r="AF753" s="14"/>
      <c r="AG753" s="13"/>
      <c r="AH753" s="14"/>
      <c r="AI753" s="14"/>
      <c r="AJ753" s="8"/>
      <c r="AK753" s="8"/>
      <c r="AL753" s="8"/>
      <c r="AM753" s="8"/>
      <c r="AN753" s="631"/>
      <c r="AO753" s="18"/>
      <c r="AP753" s="18"/>
      <c r="AQ753" s="18"/>
      <c r="AR753" s="18"/>
      <c r="AS753" s="18"/>
      <c r="AU753" s="448"/>
      <c r="AV753" s="448"/>
      <c r="AW753" s="8" t="str">
        <f>IF(C753&gt;0,VLOOKUP(C753,Foundation_Calc!$A$2:$C$986,3,1),
IF(J753&gt;0,VLOOKUP(J753,Foundation_Calc!$A$2:$C$986,3,1),""))</f>
        <v/>
      </c>
      <c r="AX753" s="8" t="str">
        <f>IF(C753&gt;0,VLOOKUP(C753,Foundation_Calc!$E$2:$G$986,3,1),
IF(J753&gt;0,VLOOKUP(J753,Foundation_Calc!$E$2:$G$986,3,1),""))</f>
        <v/>
      </c>
      <c r="AY753" s="631" t="str">
        <f>IF(L753="","",
IF(AX753="PT",VLOOKUP(L753,Foundation_Calc!$K$4:$R$37,VLOOKUP(AW753,Foundation_Calc!$I$2:$J$8,2,FALSE),0),
IF(AX753="K",VLOOKUP(L753,Foundation_Calc!$K$41:$R$74,VLOOKUP(AW753,Foundation_Calc!$I$2:$J$8,2,FALSE),0),"")))</f>
        <v/>
      </c>
      <c r="AZ753" s="631" t="str">
        <f>IF(K753="","",
IF(AX753="PT",VLOOKUP(K753,Foundation_Calc!$K$4:$R$37,VLOOKUP(AW753,Foundation_Calc!$I$2:$J$8,2,FALSE),0),
IF(AX753="K",VLOOKUP(K753,Foundation_Calc!$K$41:$R$74,VLOOKUP(AW753,Foundation_Calc!$I$2:$J$8,2,FALSE),0),"")))</f>
        <v/>
      </c>
      <c r="BA753" s="632" t="str">
        <f t="shared" si="46"/>
        <v/>
      </c>
      <c r="BB753" s="632" t="str">
        <f t="shared" si="47"/>
        <v/>
      </c>
      <c r="BC753" s="632" t="str">
        <f t="shared" si="48"/>
        <v/>
      </c>
      <c r="BD753" s="633" t="str">
        <f>IF(AND(L753="",H753=""),"",
IF(H753="",Pole_Calc!A781,
IF(H753="MP",Pole_Calc!A782,
IF(H753="AnMP",Pole_Calc!A783,
IF(H753="A",Pole_Calc!A784,
IF(H753="S/A",Pole_Calc!A785,
IF(H753="A/S",Pole_Calc!A786,"Poner a mano")))))))</f>
        <v/>
      </c>
      <c r="BE753" s="448" t="s">
        <v>1726</v>
      </c>
      <c r="BF753" s="635"/>
      <c r="BG753" s="635"/>
      <c r="BH753" s="634"/>
      <c r="BI753" s="635"/>
    </row>
    <row r="754" spans="1:61" ht="16.2" customHeight="1">
      <c r="A754" s="12"/>
      <c r="B754" s="446"/>
      <c r="C754" s="89"/>
      <c r="D754" s="13"/>
      <c r="E754" s="14"/>
      <c r="F754" s="14"/>
      <c r="G754" s="15"/>
      <c r="H754" s="8"/>
      <c r="I754" s="8"/>
      <c r="J754" s="89"/>
      <c r="K754" s="8"/>
      <c r="L754" s="8"/>
      <c r="M754" s="8" t="str">
        <f>IF(L754="","",
IF(AX754="PT",VLOOKUP(L754,Foundation_Calc!$V$4:$X$37,VLOOKUP(AX754,Foundation_Calc!$I$10:$J$13,2,FALSE),0),
IF(AX754="K",VLOOKUP(L754,Foundation_Calc!$V$41:$X$74,VLOOKUP(AX754,Foundation_Calc!$I$10:$J$13,2,FALSE),0),"")))</f>
        <v/>
      </c>
      <c r="N754" s="8"/>
      <c r="O754" s="8"/>
      <c r="P754" s="8"/>
      <c r="Q754" s="14"/>
      <c r="R754" s="15"/>
      <c r="S754" s="15"/>
      <c r="T754" s="14"/>
      <c r="U754" s="14"/>
      <c r="V754" s="14"/>
      <c r="W754" s="18"/>
      <c r="X754" s="18"/>
      <c r="Y754" s="18"/>
      <c r="Z754" s="18"/>
      <c r="AA754" s="18"/>
      <c r="AB754" s="18"/>
      <c r="AC754" s="8" t="str">
        <f t="shared" si="45"/>
        <v/>
      </c>
      <c r="AD754" s="8"/>
      <c r="AE754" s="8"/>
      <c r="AF754" s="14"/>
      <c r="AG754" s="13"/>
      <c r="AH754" s="14"/>
      <c r="AI754" s="14"/>
      <c r="AJ754" s="8"/>
      <c r="AK754" s="8"/>
      <c r="AL754" s="8"/>
      <c r="AM754" s="8"/>
      <c r="AN754" s="631"/>
      <c r="AO754" s="18"/>
      <c r="AP754" s="18"/>
      <c r="AQ754" s="18"/>
      <c r="AR754" s="18"/>
      <c r="AS754" s="18"/>
      <c r="AU754" s="448"/>
      <c r="AV754" s="448"/>
      <c r="AW754" s="8" t="str">
        <f>IF(C754&gt;0,VLOOKUP(C754,Foundation_Calc!$A$2:$C$986,3,1),
IF(J754&gt;0,VLOOKUP(J754,Foundation_Calc!$A$2:$C$986,3,1),""))</f>
        <v/>
      </c>
      <c r="AX754" s="8" t="str">
        <f>IF(C754&gt;0,VLOOKUP(C754,Foundation_Calc!$E$2:$G$986,3,1),
IF(J754&gt;0,VLOOKUP(J754,Foundation_Calc!$E$2:$G$986,3,1),""))</f>
        <v/>
      </c>
      <c r="AY754" s="631" t="str">
        <f>IF(L754="","",
IF(AX754="PT",VLOOKUP(L754,Foundation_Calc!$K$4:$R$37,VLOOKUP(AW754,Foundation_Calc!$I$2:$J$8,2,FALSE),0),
IF(AX754="K",VLOOKUP(L754,Foundation_Calc!$K$41:$R$74,VLOOKUP(AW754,Foundation_Calc!$I$2:$J$8,2,FALSE),0),"")))</f>
        <v/>
      </c>
      <c r="AZ754" s="631" t="str">
        <f>IF(K754="","",
IF(AX754="PT",VLOOKUP(K754,Foundation_Calc!$K$4:$R$37,VLOOKUP(AW754,Foundation_Calc!$I$2:$J$8,2,FALSE),0),
IF(AX754="K",VLOOKUP(K754,Foundation_Calc!$K$41:$R$74,VLOOKUP(AW754,Foundation_Calc!$I$2:$J$8,2,FALSE),0),"")))</f>
        <v/>
      </c>
      <c r="BA754" s="632" t="str">
        <f t="shared" si="46"/>
        <v/>
      </c>
      <c r="BB754" s="632" t="str">
        <f t="shared" si="47"/>
        <v/>
      </c>
      <c r="BC754" s="632" t="str">
        <f t="shared" si="48"/>
        <v/>
      </c>
      <c r="BD754" s="633" t="str">
        <f>IF(AND(L754="",H754=""),"",
IF(H754="",Pole_Calc!A782,
IF(H754="MP",Pole_Calc!A783,
IF(H754="AnMP",Pole_Calc!A784,
IF(H754="A",Pole_Calc!A785,
IF(H754="S/A",Pole_Calc!A786,
IF(H754="A/S",Pole_Calc!A787,"Poner a mano")))))))</f>
        <v/>
      </c>
      <c r="BE754" s="448" t="s">
        <v>1726</v>
      </c>
      <c r="BF754" s="634"/>
      <c r="BG754" s="634"/>
      <c r="BH754" s="634"/>
      <c r="BI754" s="634"/>
    </row>
    <row r="755" spans="1:61" ht="16.2" customHeight="1">
      <c r="A755" s="12"/>
      <c r="B755" s="446"/>
      <c r="C755" s="89"/>
      <c r="D755" s="13"/>
      <c r="E755" s="14"/>
      <c r="F755" s="14"/>
      <c r="G755" s="15"/>
      <c r="H755" s="8"/>
      <c r="I755" s="8"/>
      <c r="J755" s="89"/>
      <c r="K755" s="8"/>
      <c r="L755" s="8"/>
      <c r="M755" s="8" t="str">
        <f>IF(L755="","",
IF(AX755="PT",VLOOKUP(L755,Foundation_Calc!$V$4:$X$37,VLOOKUP(AX755,Foundation_Calc!$I$10:$J$13,2,FALSE),0),
IF(AX755="K",VLOOKUP(L755,Foundation_Calc!$V$41:$X$74,VLOOKUP(AX755,Foundation_Calc!$I$10:$J$13,2,FALSE),0),"")))</f>
        <v/>
      </c>
      <c r="N755" s="8"/>
      <c r="O755" s="8"/>
      <c r="P755" s="8"/>
      <c r="Q755" s="14"/>
      <c r="R755" s="15"/>
      <c r="S755" s="15"/>
      <c r="T755" s="14"/>
      <c r="U755" s="14"/>
      <c r="V755" s="14"/>
      <c r="W755" s="18"/>
      <c r="X755" s="18"/>
      <c r="Y755" s="18"/>
      <c r="Z755" s="18"/>
      <c r="AA755" s="18"/>
      <c r="AB755" s="18"/>
      <c r="AC755" s="8" t="str">
        <f t="shared" si="45"/>
        <v/>
      </c>
      <c r="AD755" s="8"/>
      <c r="AE755" s="8"/>
      <c r="AF755" s="14"/>
      <c r="AG755" s="13"/>
      <c r="AH755" s="14"/>
      <c r="AI755" s="14"/>
      <c r="AJ755" s="8"/>
      <c r="AK755" s="8"/>
      <c r="AL755" s="8"/>
      <c r="AM755" s="8"/>
      <c r="AN755" s="631"/>
      <c r="AO755" s="18"/>
      <c r="AP755" s="18"/>
      <c r="AQ755" s="18"/>
      <c r="AR755" s="18"/>
      <c r="AS755" s="18"/>
      <c r="AU755" s="448"/>
      <c r="AV755" s="448"/>
      <c r="AW755" s="8" t="str">
        <f>IF(C755&gt;0,VLOOKUP(C755,Foundation_Calc!$A$2:$C$986,3,1),
IF(J755&gt;0,VLOOKUP(J755,Foundation_Calc!$A$2:$C$986,3,1),""))</f>
        <v/>
      </c>
      <c r="AX755" s="8" t="str">
        <f>IF(C755&gt;0,VLOOKUP(C755,Foundation_Calc!$E$2:$G$986,3,1),
IF(J755&gt;0,VLOOKUP(J755,Foundation_Calc!$E$2:$G$986,3,1),""))</f>
        <v/>
      </c>
      <c r="AY755" s="631" t="str">
        <f>IF(L755="","",
IF(AX755="PT",VLOOKUP(L755,Foundation_Calc!$K$4:$R$37,VLOOKUP(AW755,Foundation_Calc!$I$2:$J$8,2,FALSE),0),
IF(AX755="K",VLOOKUP(L755,Foundation_Calc!$K$41:$R$74,VLOOKUP(AW755,Foundation_Calc!$I$2:$J$8,2,FALSE),0),"")))</f>
        <v/>
      </c>
      <c r="AZ755" s="631" t="str">
        <f>IF(K755="","",
IF(AX755="PT",VLOOKUP(K755,Foundation_Calc!$K$4:$R$37,VLOOKUP(AW755,Foundation_Calc!$I$2:$J$8,2,FALSE),0),
IF(AX755="K",VLOOKUP(K755,Foundation_Calc!$K$41:$R$74,VLOOKUP(AW755,Foundation_Calc!$I$2:$J$8,2,FALSE),0),"")))</f>
        <v/>
      </c>
      <c r="BA755" s="632" t="str">
        <f t="shared" si="46"/>
        <v/>
      </c>
      <c r="BB755" s="632" t="str">
        <f t="shared" si="47"/>
        <v/>
      </c>
      <c r="BC755" s="632" t="str">
        <f t="shared" si="48"/>
        <v/>
      </c>
      <c r="BD755" s="633" t="str">
        <f>IF(AND(L755="",H755=""),"",
IF(H755="",Pole_Calc!A783,
IF(H755="MP",Pole_Calc!A784,
IF(H755="AnMP",Pole_Calc!A785,
IF(H755="A",Pole_Calc!A786,
IF(H755="S/A",Pole_Calc!A787,
IF(H755="A/S",Pole_Calc!A788,"Poner a mano")))))))</f>
        <v/>
      </c>
      <c r="BE755" s="448" t="s">
        <v>1726</v>
      </c>
      <c r="BF755" s="635"/>
      <c r="BG755" s="635"/>
      <c r="BH755" s="634"/>
      <c r="BI755" s="635"/>
    </row>
    <row r="756" spans="1:61" ht="16.2" customHeight="1">
      <c r="A756" s="12"/>
      <c r="B756" s="446"/>
      <c r="C756" s="89"/>
      <c r="D756" s="13"/>
      <c r="E756" s="14"/>
      <c r="F756" s="14"/>
      <c r="G756" s="15"/>
      <c r="H756" s="8"/>
      <c r="I756" s="8"/>
      <c r="J756" s="89"/>
      <c r="K756" s="8"/>
      <c r="L756" s="8"/>
      <c r="M756" s="8" t="str">
        <f>IF(L756="","",
IF(AX756="PT",VLOOKUP(L756,Foundation_Calc!$V$4:$X$37,VLOOKUP(AX756,Foundation_Calc!$I$10:$J$13,2,FALSE),0),
IF(AX756="K",VLOOKUP(L756,Foundation_Calc!$V$41:$X$74,VLOOKUP(AX756,Foundation_Calc!$I$10:$J$13,2,FALSE),0),"")))</f>
        <v/>
      </c>
      <c r="N756" s="8"/>
      <c r="O756" s="8"/>
      <c r="P756" s="8"/>
      <c r="Q756" s="14"/>
      <c r="R756" s="15"/>
      <c r="S756" s="15"/>
      <c r="T756" s="14"/>
      <c r="U756" s="14"/>
      <c r="V756" s="14"/>
      <c r="W756" s="18"/>
      <c r="X756" s="18"/>
      <c r="Y756" s="18"/>
      <c r="Z756" s="18"/>
      <c r="AA756" s="18"/>
      <c r="AB756" s="18"/>
      <c r="AC756" s="8" t="str">
        <f t="shared" si="45"/>
        <v/>
      </c>
      <c r="AD756" s="8"/>
      <c r="AE756" s="8"/>
      <c r="AF756" s="14"/>
      <c r="AG756" s="13"/>
      <c r="AH756" s="14"/>
      <c r="AI756" s="14"/>
      <c r="AJ756" s="8"/>
      <c r="AK756" s="8"/>
      <c r="AL756" s="8"/>
      <c r="AM756" s="8"/>
      <c r="AN756" s="631"/>
      <c r="AO756" s="18"/>
      <c r="AP756" s="18"/>
      <c r="AQ756" s="18"/>
      <c r="AR756" s="18"/>
      <c r="AS756" s="18"/>
      <c r="AU756" s="448"/>
      <c r="AV756" s="448"/>
      <c r="AW756" s="8" t="str">
        <f>IF(C756&gt;0,VLOOKUP(C756,Foundation_Calc!$A$2:$C$986,3,1),
IF(J756&gt;0,VLOOKUP(J756,Foundation_Calc!$A$2:$C$986,3,1),""))</f>
        <v/>
      </c>
      <c r="AX756" s="8" t="str">
        <f>IF(C756&gt;0,VLOOKUP(C756,Foundation_Calc!$E$2:$G$986,3,1),
IF(J756&gt;0,VLOOKUP(J756,Foundation_Calc!$E$2:$G$986,3,1),""))</f>
        <v/>
      </c>
      <c r="AY756" s="631" t="str">
        <f>IF(L756="","",
IF(AX756="PT",VLOOKUP(L756,Foundation_Calc!$K$4:$R$37,VLOOKUP(AW756,Foundation_Calc!$I$2:$J$8,2,FALSE),0),
IF(AX756="K",VLOOKUP(L756,Foundation_Calc!$K$41:$R$74,VLOOKUP(AW756,Foundation_Calc!$I$2:$J$8,2,FALSE),0),"")))</f>
        <v/>
      </c>
      <c r="AZ756" s="631" t="str">
        <f>IF(K756="","",
IF(AX756="PT",VLOOKUP(K756,Foundation_Calc!$K$4:$R$37,VLOOKUP(AW756,Foundation_Calc!$I$2:$J$8,2,FALSE),0),
IF(AX756="K",VLOOKUP(K756,Foundation_Calc!$K$41:$R$74,VLOOKUP(AW756,Foundation_Calc!$I$2:$J$8,2,FALSE),0),"")))</f>
        <v/>
      </c>
      <c r="BA756" s="632" t="str">
        <f t="shared" si="46"/>
        <v/>
      </c>
      <c r="BB756" s="632" t="str">
        <f t="shared" si="47"/>
        <v/>
      </c>
      <c r="BC756" s="632" t="str">
        <f t="shared" si="48"/>
        <v/>
      </c>
      <c r="BD756" s="633" t="str">
        <f>IF(AND(L756="",H756=""),"",
IF(H756="",Pole_Calc!A784,
IF(H756="MP",Pole_Calc!A785,
IF(H756="AnMP",Pole_Calc!A786,
IF(H756="A",Pole_Calc!A787,
IF(H756="S/A",Pole_Calc!A788,
IF(H756="A/S",Pole_Calc!A789,"Poner a mano")))))))</f>
        <v/>
      </c>
      <c r="BE756" s="448" t="s">
        <v>1726</v>
      </c>
      <c r="BF756" s="634"/>
      <c r="BG756" s="634"/>
      <c r="BH756" s="634"/>
      <c r="BI756" s="634"/>
    </row>
    <row r="757" spans="1:61" ht="16.2" customHeight="1">
      <c r="A757" s="12"/>
      <c r="B757" s="446"/>
      <c r="C757" s="89"/>
      <c r="D757" s="13"/>
      <c r="E757" s="14"/>
      <c r="F757" s="14"/>
      <c r="G757" s="15"/>
      <c r="H757" s="8"/>
      <c r="I757" s="8"/>
      <c r="J757" s="89"/>
      <c r="K757" s="8"/>
      <c r="L757" s="8"/>
      <c r="M757" s="8" t="str">
        <f>IF(L757="","",
IF(AX757="PT",VLOOKUP(L757,Foundation_Calc!$V$4:$X$37,VLOOKUP(AX757,Foundation_Calc!$I$10:$J$13,2,FALSE),0),
IF(AX757="K",VLOOKUP(L757,Foundation_Calc!$V$41:$X$74,VLOOKUP(AX757,Foundation_Calc!$I$10:$J$13,2,FALSE),0),"")))</f>
        <v/>
      </c>
      <c r="N757" s="8"/>
      <c r="O757" s="8"/>
      <c r="P757" s="8"/>
      <c r="Q757" s="14"/>
      <c r="R757" s="15"/>
      <c r="S757" s="15"/>
      <c r="T757" s="14"/>
      <c r="U757" s="14"/>
      <c r="V757" s="14"/>
      <c r="W757" s="18"/>
      <c r="X757" s="18"/>
      <c r="Y757" s="18"/>
      <c r="Z757" s="18"/>
      <c r="AA757" s="18"/>
      <c r="AB757" s="18"/>
      <c r="AC757" s="8" t="str">
        <f t="shared" si="45"/>
        <v/>
      </c>
      <c r="AD757" s="8"/>
      <c r="AE757" s="8"/>
      <c r="AF757" s="14"/>
      <c r="AG757" s="13"/>
      <c r="AH757" s="14"/>
      <c r="AI757" s="14"/>
      <c r="AJ757" s="8"/>
      <c r="AK757" s="8"/>
      <c r="AL757" s="8"/>
      <c r="AM757" s="8"/>
      <c r="AN757" s="631"/>
      <c r="AO757" s="18"/>
      <c r="AP757" s="18"/>
      <c r="AQ757" s="18"/>
      <c r="AR757" s="18"/>
      <c r="AS757" s="18"/>
      <c r="AU757" s="448"/>
      <c r="AV757" s="448"/>
      <c r="AW757" s="8" t="str">
        <f>IF(C757&gt;0,VLOOKUP(C757,Foundation_Calc!$A$2:$C$986,3,1),
IF(J757&gt;0,VLOOKUP(J757,Foundation_Calc!$A$2:$C$986,3,1),""))</f>
        <v/>
      </c>
      <c r="AX757" s="8" t="str">
        <f>IF(C757&gt;0,VLOOKUP(C757,Foundation_Calc!$E$2:$G$986,3,1),
IF(J757&gt;0,VLOOKUP(J757,Foundation_Calc!$E$2:$G$986,3,1),""))</f>
        <v/>
      </c>
      <c r="AY757" s="631" t="str">
        <f>IF(L757="","",
IF(AX757="PT",VLOOKUP(L757,Foundation_Calc!$K$4:$R$37,VLOOKUP(AW757,Foundation_Calc!$I$2:$J$8,2,FALSE),0),
IF(AX757="K",VLOOKUP(L757,Foundation_Calc!$K$41:$R$74,VLOOKUP(AW757,Foundation_Calc!$I$2:$J$8,2,FALSE),0),"")))</f>
        <v/>
      </c>
      <c r="AZ757" s="631" t="str">
        <f>IF(K757="","",
IF(AX757="PT",VLOOKUP(K757,Foundation_Calc!$K$4:$R$37,VLOOKUP(AW757,Foundation_Calc!$I$2:$J$8,2,FALSE),0),
IF(AX757="K",VLOOKUP(K757,Foundation_Calc!$K$41:$R$74,VLOOKUP(AW757,Foundation_Calc!$I$2:$J$8,2,FALSE),0),"")))</f>
        <v/>
      </c>
      <c r="BA757" s="632" t="str">
        <f t="shared" si="46"/>
        <v/>
      </c>
      <c r="BB757" s="632" t="str">
        <f t="shared" si="47"/>
        <v/>
      </c>
      <c r="BC757" s="632" t="str">
        <f t="shared" si="48"/>
        <v/>
      </c>
      <c r="BD757" s="633" t="str">
        <f>IF(AND(L757="",H757=""),"",
IF(H757="",Pole_Calc!A785,
IF(H757="MP",Pole_Calc!A786,
IF(H757="AnMP",Pole_Calc!A787,
IF(H757="A",Pole_Calc!A788,
IF(H757="S/A",Pole_Calc!A789,
IF(H757="A/S",Pole_Calc!A790,"Poner a mano")))))))</f>
        <v/>
      </c>
      <c r="BE757" s="448" t="s">
        <v>1726</v>
      </c>
      <c r="BF757" s="635"/>
      <c r="BG757" s="635"/>
      <c r="BH757" s="634"/>
      <c r="BI757" s="635"/>
    </row>
    <row r="758" spans="1:61" ht="16.2" customHeight="1">
      <c r="A758" s="12"/>
      <c r="B758" s="446"/>
      <c r="C758" s="89"/>
      <c r="D758" s="13"/>
      <c r="E758" s="14"/>
      <c r="F758" s="14"/>
      <c r="G758" s="15"/>
      <c r="H758" s="8"/>
      <c r="I758" s="8"/>
      <c r="J758" s="89"/>
      <c r="K758" s="8"/>
      <c r="L758" s="8"/>
      <c r="M758" s="8" t="str">
        <f>IF(L758="","",
IF(AX758="PT",VLOOKUP(L758,Foundation_Calc!$V$4:$X$37,VLOOKUP(AX758,Foundation_Calc!$I$10:$J$13,2,FALSE),0),
IF(AX758="K",VLOOKUP(L758,Foundation_Calc!$V$41:$X$74,VLOOKUP(AX758,Foundation_Calc!$I$10:$J$13,2,FALSE),0),"")))</f>
        <v/>
      </c>
      <c r="N758" s="8"/>
      <c r="O758" s="8"/>
      <c r="P758" s="8"/>
      <c r="Q758" s="14"/>
      <c r="R758" s="15"/>
      <c r="S758" s="15"/>
      <c r="T758" s="14"/>
      <c r="U758" s="14"/>
      <c r="V758" s="14"/>
      <c r="W758" s="18"/>
      <c r="X758" s="18"/>
      <c r="Y758" s="18"/>
      <c r="Z758" s="18"/>
      <c r="AA758" s="18"/>
      <c r="AB758" s="18"/>
      <c r="AC758" s="8" t="str">
        <f t="shared" si="45"/>
        <v/>
      </c>
      <c r="AD758" s="8"/>
      <c r="AE758" s="8"/>
      <c r="AF758" s="14"/>
      <c r="AG758" s="13"/>
      <c r="AH758" s="14"/>
      <c r="AI758" s="14"/>
      <c r="AJ758" s="8"/>
      <c r="AK758" s="8"/>
      <c r="AL758" s="8"/>
      <c r="AM758" s="8"/>
      <c r="AN758" s="631"/>
      <c r="AO758" s="18"/>
      <c r="AP758" s="18"/>
      <c r="AQ758" s="18"/>
      <c r="AR758" s="18"/>
      <c r="AS758" s="18"/>
      <c r="AU758" s="448"/>
      <c r="AV758" s="448"/>
      <c r="AW758" s="8" t="str">
        <f>IF(C758&gt;0,VLOOKUP(C758,Foundation_Calc!$A$2:$C$986,3,1),
IF(J758&gt;0,VLOOKUP(J758,Foundation_Calc!$A$2:$C$986,3,1),""))</f>
        <v/>
      </c>
      <c r="AX758" s="8" t="str">
        <f>IF(C758&gt;0,VLOOKUP(C758,Foundation_Calc!$E$2:$G$986,3,1),
IF(J758&gt;0,VLOOKUP(J758,Foundation_Calc!$E$2:$G$986,3,1),""))</f>
        <v/>
      </c>
      <c r="AY758" s="631" t="str">
        <f>IF(L758="","",
IF(AX758="PT",VLOOKUP(L758,Foundation_Calc!$K$4:$R$37,VLOOKUP(AW758,Foundation_Calc!$I$2:$J$8,2,FALSE),0),
IF(AX758="K",VLOOKUP(L758,Foundation_Calc!$K$41:$R$74,VLOOKUP(AW758,Foundation_Calc!$I$2:$J$8,2,FALSE),0),"")))</f>
        <v/>
      </c>
      <c r="AZ758" s="631" t="str">
        <f>IF(K758="","",
IF(AX758="PT",VLOOKUP(K758,Foundation_Calc!$K$4:$R$37,VLOOKUP(AW758,Foundation_Calc!$I$2:$J$8,2,FALSE),0),
IF(AX758="K",VLOOKUP(K758,Foundation_Calc!$K$41:$R$74,VLOOKUP(AW758,Foundation_Calc!$I$2:$J$8,2,FALSE),0),"")))</f>
        <v/>
      </c>
      <c r="BA758" s="632" t="str">
        <f t="shared" si="46"/>
        <v/>
      </c>
      <c r="BB758" s="632" t="str">
        <f t="shared" si="47"/>
        <v/>
      </c>
      <c r="BC758" s="632" t="str">
        <f t="shared" si="48"/>
        <v/>
      </c>
      <c r="BD758" s="633" t="str">
        <f>IF(AND(L758="",H758=""),"",
IF(H758="",Pole_Calc!A786,
IF(H758="MP",Pole_Calc!A787,
IF(H758="AnMP",Pole_Calc!A788,
IF(H758="A",Pole_Calc!A789,
IF(H758="S/A",Pole_Calc!A790,
IF(H758="A/S",Pole_Calc!A791,"Poner a mano")))))))</f>
        <v/>
      </c>
      <c r="BE758" s="448" t="s">
        <v>1726</v>
      </c>
      <c r="BF758" s="634"/>
      <c r="BG758" s="634"/>
      <c r="BH758" s="634"/>
      <c r="BI758" s="634"/>
    </row>
    <row r="759" spans="1:61" ht="16.2" customHeight="1">
      <c r="A759" s="12"/>
      <c r="B759" s="446"/>
      <c r="C759" s="89"/>
      <c r="D759" s="13"/>
      <c r="E759" s="14"/>
      <c r="F759" s="14"/>
      <c r="G759" s="15"/>
      <c r="H759" s="8"/>
      <c r="I759" s="8"/>
      <c r="J759" s="89"/>
      <c r="K759" s="8"/>
      <c r="L759" s="8"/>
      <c r="M759" s="8" t="str">
        <f>IF(L759="","",
IF(AX759="PT",VLOOKUP(L759,Foundation_Calc!$V$4:$X$37,VLOOKUP(AX759,Foundation_Calc!$I$10:$J$13,2,FALSE),0),
IF(AX759="K",VLOOKUP(L759,Foundation_Calc!$V$41:$X$74,VLOOKUP(AX759,Foundation_Calc!$I$10:$J$13,2,FALSE),0),"")))</f>
        <v/>
      </c>
      <c r="N759" s="8"/>
      <c r="O759" s="8"/>
      <c r="P759" s="8"/>
      <c r="Q759" s="14"/>
      <c r="R759" s="15"/>
      <c r="S759" s="15"/>
      <c r="T759" s="14"/>
      <c r="U759" s="14"/>
      <c r="V759" s="14"/>
      <c r="W759" s="18"/>
      <c r="X759" s="18"/>
      <c r="Y759" s="18"/>
      <c r="Z759" s="18"/>
      <c r="AA759" s="18"/>
      <c r="AB759" s="18"/>
      <c r="AC759" s="8" t="str">
        <f t="shared" si="45"/>
        <v/>
      </c>
      <c r="AD759" s="8"/>
      <c r="AE759" s="8"/>
      <c r="AF759" s="14"/>
      <c r="AG759" s="13"/>
      <c r="AH759" s="14"/>
      <c r="AI759" s="14"/>
      <c r="AJ759" s="8"/>
      <c r="AK759" s="8"/>
      <c r="AL759" s="8"/>
      <c r="AM759" s="8"/>
      <c r="AN759" s="631"/>
      <c r="AO759" s="18"/>
      <c r="AP759" s="18"/>
      <c r="AQ759" s="18"/>
      <c r="AR759" s="18"/>
      <c r="AS759" s="18"/>
      <c r="AU759" s="448"/>
      <c r="AV759" s="448"/>
      <c r="AW759" s="8" t="str">
        <f>IF(C759&gt;0,VLOOKUP(C759,Foundation_Calc!$A$2:$C$986,3,1),
IF(J759&gt;0,VLOOKUP(J759,Foundation_Calc!$A$2:$C$986,3,1),""))</f>
        <v/>
      </c>
      <c r="AX759" s="8" t="str">
        <f>IF(C759&gt;0,VLOOKUP(C759,Foundation_Calc!$E$2:$G$986,3,1),
IF(J759&gt;0,VLOOKUP(J759,Foundation_Calc!$E$2:$G$986,3,1),""))</f>
        <v/>
      </c>
      <c r="AY759" s="631" t="str">
        <f>IF(L759="","",
IF(AX759="PT",VLOOKUP(L759,Foundation_Calc!$K$4:$R$37,VLOOKUP(AW759,Foundation_Calc!$I$2:$J$8,2,FALSE),0),
IF(AX759="K",VLOOKUP(L759,Foundation_Calc!$K$41:$R$74,VLOOKUP(AW759,Foundation_Calc!$I$2:$J$8,2,FALSE),0),"")))</f>
        <v/>
      </c>
      <c r="AZ759" s="631" t="str">
        <f>IF(K759="","",
IF(AX759="PT",VLOOKUP(K759,Foundation_Calc!$K$4:$R$37,VLOOKUP(AW759,Foundation_Calc!$I$2:$J$8,2,FALSE),0),
IF(AX759="K",VLOOKUP(K759,Foundation_Calc!$K$41:$R$74,VLOOKUP(AW759,Foundation_Calc!$I$2:$J$8,2,FALSE),0),"")))</f>
        <v/>
      </c>
      <c r="BA759" s="632" t="str">
        <f t="shared" si="46"/>
        <v/>
      </c>
      <c r="BB759" s="632" t="str">
        <f t="shared" si="47"/>
        <v/>
      </c>
      <c r="BC759" s="632" t="str">
        <f t="shared" si="48"/>
        <v/>
      </c>
      <c r="BD759" s="633" t="str">
        <f>IF(AND(L759="",H759=""),"",
IF(H759="",Pole_Calc!A787,
IF(H759="MP",Pole_Calc!A788,
IF(H759="AnMP",Pole_Calc!A789,
IF(H759="A",Pole_Calc!A790,
IF(H759="S/A",Pole_Calc!A791,
IF(H759="A/S",Pole_Calc!A792,"Poner a mano")))))))</f>
        <v/>
      </c>
      <c r="BE759" s="448" t="s">
        <v>1726</v>
      </c>
      <c r="BF759" s="635"/>
      <c r="BG759" s="635"/>
      <c r="BH759" s="634"/>
      <c r="BI759" s="635"/>
    </row>
    <row r="760" spans="1:61" ht="16.2" customHeight="1">
      <c r="A760" s="12"/>
      <c r="B760" s="446"/>
      <c r="C760" s="89"/>
      <c r="D760" s="13"/>
      <c r="E760" s="14"/>
      <c r="F760" s="14"/>
      <c r="G760" s="15"/>
      <c r="H760" s="8"/>
      <c r="I760" s="8"/>
      <c r="J760" s="89"/>
      <c r="K760" s="8"/>
      <c r="L760" s="8"/>
      <c r="M760" s="8" t="str">
        <f>IF(L760="","",
IF(AX760="PT",VLOOKUP(L760,Foundation_Calc!$V$4:$X$37,VLOOKUP(AX760,Foundation_Calc!$I$10:$J$13,2,FALSE),0),
IF(AX760="K",VLOOKUP(L760,Foundation_Calc!$V$41:$X$74,VLOOKUP(AX760,Foundation_Calc!$I$10:$J$13,2,FALSE),0),"")))</f>
        <v/>
      </c>
      <c r="N760" s="8"/>
      <c r="O760" s="8"/>
      <c r="P760" s="8"/>
      <c r="Q760" s="14"/>
      <c r="R760" s="15"/>
      <c r="S760" s="15"/>
      <c r="T760" s="14"/>
      <c r="U760" s="14"/>
      <c r="V760" s="14"/>
      <c r="W760" s="18"/>
      <c r="X760" s="18"/>
      <c r="Y760" s="18"/>
      <c r="Z760" s="18"/>
      <c r="AA760" s="18"/>
      <c r="AB760" s="18"/>
      <c r="AC760" s="8" t="str">
        <f t="shared" si="45"/>
        <v/>
      </c>
      <c r="AD760" s="8"/>
      <c r="AE760" s="8"/>
      <c r="AF760" s="14"/>
      <c r="AG760" s="13"/>
      <c r="AH760" s="14"/>
      <c r="AI760" s="14"/>
      <c r="AJ760" s="8"/>
      <c r="AK760" s="8"/>
      <c r="AL760" s="8"/>
      <c r="AM760" s="8"/>
      <c r="AN760" s="631"/>
      <c r="AO760" s="18"/>
      <c r="AP760" s="18"/>
      <c r="AQ760" s="18"/>
      <c r="AR760" s="18"/>
      <c r="AS760" s="18"/>
      <c r="AU760" s="448"/>
      <c r="AV760" s="448"/>
      <c r="AW760" s="8" t="str">
        <f>IF(C760&gt;0,VLOOKUP(C760,Foundation_Calc!$A$2:$C$986,3,1),
IF(J760&gt;0,VLOOKUP(J760,Foundation_Calc!$A$2:$C$986,3,1),""))</f>
        <v/>
      </c>
      <c r="AX760" s="8" t="str">
        <f>IF(C760&gt;0,VLOOKUP(C760,Foundation_Calc!$E$2:$G$986,3,1),
IF(J760&gt;0,VLOOKUP(J760,Foundation_Calc!$E$2:$G$986,3,1),""))</f>
        <v/>
      </c>
      <c r="AY760" s="631" t="str">
        <f>IF(L760="","",
IF(AX760="PT",VLOOKUP(L760,Foundation_Calc!$K$4:$R$37,VLOOKUP(AW760,Foundation_Calc!$I$2:$J$8,2,FALSE),0),
IF(AX760="K",VLOOKUP(L760,Foundation_Calc!$K$41:$R$74,VLOOKUP(AW760,Foundation_Calc!$I$2:$J$8,2,FALSE),0),"")))</f>
        <v/>
      </c>
      <c r="AZ760" s="631" t="str">
        <f>IF(K760="","",
IF(AX760="PT",VLOOKUP(K760,Foundation_Calc!$K$4:$R$37,VLOOKUP(AW760,Foundation_Calc!$I$2:$J$8,2,FALSE),0),
IF(AX760="K",VLOOKUP(K760,Foundation_Calc!$K$41:$R$74,VLOOKUP(AW760,Foundation_Calc!$I$2:$J$8,2,FALSE),0),"")))</f>
        <v/>
      </c>
      <c r="BA760" s="632" t="str">
        <f t="shared" si="46"/>
        <v/>
      </c>
      <c r="BB760" s="632" t="str">
        <f t="shared" si="47"/>
        <v/>
      </c>
      <c r="BC760" s="632" t="str">
        <f t="shared" si="48"/>
        <v/>
      </c>
      <c r="BD760" s="633" t="str">
        <f>IF(AND(L760="",H760=""),"",
IF(H760="",Pole_Calc!A788,
IF(H760="MP",Pole_Calc!A789,
IF(H760="AnMP",Pole_Calc!A790,
IF(H760="A",Pole_Calc!A791,
IF(H760="S/A",Pole_Calc!A792,
IF(H760="A/S",Pole_Calc!A793,"Poner a mano")))))))</f>
        <v/>
      </c>
      <c r="BE760" s="448" t="s">
        <v>1726</v>
      </c>
      <c r="BF760" s="634"/>
      <c r="BG760" s="634"/>
      <c r="BH760" s="634"/>
      <c r="BI760" s="634"/>
    </row>
    <row r="761" spans="1:61" ht="16.2" customHeight="1">
      <c r="A761" s="12"/>
      <c r="B761" s="446"/>
      <c r="C761" s="89"/>
      <c r="D761" s="13"/>
      <c r="E761" s="14"/>
      <c r="F761" s="14"/>
      <c r="G761" s="15"/>
      <c r="H761" s="8"/>
      <c r="I761" s="8"/>
      <c r="J761" s="89"/>
      <c r="K761" s="8"/>
      <c r="L761" s="8"/>
      <c r="M761" s="8" t="str">
        <f>IF(L761="","",
IF(AX761="PT",VLOOKUP(L761,Foundation_Calc!$V$4:$X$37,VLOOKUP(AX761,Foundation_Calc!$I$10:$J$13,2,FALSE),0),
IF(AX761="K",VLOOKUP(L761,Foundation_Calc!$V$41:$X$74,VLOOKUP(AX761,Foundation_Calc!$I$10:$J$13,2,FALSE),0),"")))</f>
        <v/>
      </c>
      <c r="N761" s="8"/>
      <c r="O761" s="8"/>
      <c r="P761" s="8"/>
      <c r="Q761" s="14"/>
      <c r="R761" s="15"/>
      <c r="S761" s="15"/>
      <c r="T761" s="14"/>
      <c r="U761" s="14"/>
      <c r="V761" s="14"/>
      <c r="W761" s="18"/>
      <c r="X761" s="18"/>
      <c r="Y761" s="18"/>
      <c r="Z761" s="18"/>
      <c r="AA761" s="18"/>
      <c r="AB761" s="18"/>
      <c r="AC761" s="8" t="str">
        <f t="shared" si="45"/>
        <v/>
      </c>
      <c r="AD761" s="8"/>
      <c r="AE761" s="8"/>
      <c r="AF761" s="14"/>
      <c r="AG761" s="13"/>
      <c r="AH761" s="14"/>
      <c r="AI761" s="14"/>
      <c r="AJ761" s="8"/>
      <c r="AK761" s="8"/>
      <c r="AL761" s="8"/>
      <c r="AM761" s="8"/>
      <c r="AN761" s="631"/>
      <c r="AO761" s="18"/>
      <c r="AP761" s="18"/>
      <c r="AQ761" s="18"/>
      <c r="AR761" s="18"/>
      <c r="AS761" s="18"/>
      <c r="AU761" s="448"/>
      <c r="AV761" s="448"/>
      <c r="AW761" s="8" t="str">
        <f>IF(C761&gt;0,VLOOKUP(C761,Foundation_Calc!$A$2:$C$986,3,1),
IF(J761&gt;0,VLOOKUP(J761,Foundation_Calc!$A$2:$C$986,3,1),""))</f>
        <v/>
      </c>
      <c r="AX761" s="8" t="str">
        <f>IF(C761&gt;0,VLOOKUP(C761,Foundation_Calc!$E$2:$G$986,3,1),
IF(J761&gt;0,VLOOKUP(J761,Foundation_Calc!$E$2:$G$986,3,1),""))</f>
        <v/>
      </c>
      <c r="AY761" s="631" t="str">
        <f>IF(L761="","",
IF(AX761="PT",VLOOKUP(L761,Foundation_Calc!$K$4:$R$37,VLOOKUP(AW761,Foundation_Calc!$I$2:$J$8,2,FALSE),0),
IF(AX761="K",VLOOKUP(L761,Foundation_Calc!$K$41:$R$74,VLOOKUP(AW761,Foundation_Calc!$I$2:$J$8,2,FALSE),0),"")))</f>
        <v/>
      </c>
      <c r="AZ761" s="631" t="str">
        <f>IF(K761="","",
IF(AX761="PT",VLOOKUP(K761,Foundation_Calc!$K$4:$R$37,VLOOKUP(AW761,Foundation_Calc!$I$2:$J$8,2,FALSE),0),
IF(AX761="K",VLOOKUP(K761,Foundation_Calc!$K$41:$R$74,VLOOKUP(AW761,Foundation_Calc!$I$2:$J$8,2,FALSE),0),"")))</f>
        <v/>
      </c>
      <c r="BA761" s="632" t="str">
        <f t="shared" si="46"/>
        <v/>
      </c>
      <c r="BB761" s="632" t="str">
        <f t="shared" si="47"/>
        <v/>
      </c>
      <c r="BC761" s="632" t="str">
        <f t="shared" si="48"/>
        <v/>
      </c>
      <c r="BD761" s="633" t="str">
        <f>IF(AND(L761="",H761=""),"",
IF(H761="",Pole_Calc!A789,
IF(H761="MP",Pole_Calc!A790,
IF(H761="AnMP",Pole_Calc!A791,
IF(H761="A",Pole_Calc!A792,
IF(H761="S/A",Pole_Calc!A793,
IF(H761="A/S",Pole_Calc!A794,"Poner a mano")))))))</f>
        <v/>
      </c>
      <c r="BE761" s="448" t="s">
        <v>1726</v>
      </c>
      <c r="BF761" s="635"/>
      <c r="BG761" s="635"/>
      <c r="BH761" s="634"/>
      <c r="BI761" s="635"/>
    </row>
    <row r="762" spans="1:61" ht="16.2" customHeight="1">
      <c r="A762" s="12"/>
      <c r="B762" s="446"/>
      <c r="C762" s="89"/>
      <c r="D762" s="13"/>
      <c r="E762" s="14"/>
      <c r="F762" s="14"/>
      <c r="G762" s="15"/>
      <c r="H762" s="8"/>
      <c r="I762" s="8"/>
      <c r="J762" s="89"/>
      <c r="K762" s="8"/>
      <c r="L762" s="8"/>
      <c r="M762" s="8" t="str">
        <f>IF(L762="","",
IF(AX762="PT",VLOOKUP(L762,Foundation_Calc!$V$4:$X$37,VLOOKUP(AX762,Foundation_Calc!$I$10:$J$13,2,FALSE),0),
IF(AX762="K",VLOOKUP(L762,Foundation_Calc!$V$41:$X$74,VLOOKUP(AX762,Foundation_Calc!$I$10:$J$13,2,FALSE),0),"")))</f>
        <v/>
      </c>
      <c r="N762" s="8"/>
      <c r="O762" s="8"/>
      <c r="P762" s="8"/>
      <c r="Q762" s="14"/>
      <c r="R762" s="15"/>
      <c r="S762" s="15"/>
      <c r="T762" s="14"/>
      <c r="U762" s="14"/>
      <c r="V762" s="14"/>
      <c r="W762" s="18"/>
      <c r="X762" s="18"/>
      <c r="Y762" s="18"/>
      <c r="Z762" s="18"/>
      <c r="AA762" s="18"/>
      <c r="AB762" s="18"/>
      <c r="AC762" s="8" t="str">
        <f t="shared" si="45"/>
        <v/>
      </c>
      <c r="AD762" s="8"/>
      <c r="AE762" s="8"/>
      <c r="AF762" s="14"/>
      <c r="AG762" s="13"/>
      <c r="AH762" s="14"/>
      <c r="AI762" s="14"/>
      <c r="AJ762" s="8"/>
      <c r="AK762" s="8"/>
      <c r="AL762" s="8"/>
      <c r="AM762" s="8"/>
      <c r="AN762" s="631"/>
      <c r="AO762" s="18"/>
      <c r="AP762" s="18"/>
      <c r="AQ762" s="18"/>
      <c r="AR762" s="18"/>
      <c r="AS762" s="18"/>
      <c r="AU762" s="448"/>
      <c r="AV762" s="448"/>
      <c r="AW762" s="8" t="str">
        <f>IF(C762&gt;0,VLOOKUP(C762,Foundation_Calc!$A$2:$C$986,3,1),
IF(J762&gt;0,VLOOKUP(J762,Foundation_Calc!$A$2:$C$986,3,1),""))</f>
        <v/>
      </c>
      <c r="AX762" s="8" t="str">
        <f>IF(C762&gt;0,VLOOKUP(C762,Foundation_Calc!$E$2:$G$986,3,1),
IF(J762&gt;0,VLOOKUP(J762,Foundation_Calc!$E$2:$G$986,3,1),""))</f>
        <v/>
      </c>
      <c r="AY762" s="631" t="str">
        <f>IF(L762="","",
IF(AX762="PT",VLOOKUP(L762,Foundation_Calc!$K$4:$R$37,VLOOKUP(AW762,Foundation_Calc!$I$2:$J$8,2,FALSE),0),
IF(AX762="K",VLOOKUP(L762,Foundation_Calc!$K$41:$R$74,VLOOKUP(AW762,Foundation_Calc!$I$2:$J$8,2,FALSE),0),"")))</f>
        <v/>
      </c>
      <c r="AZ762" s="631" t="str">
        <f>IF(K762="","",
IF(AX762="PT",VLOOKUP(K762,Foundation_Calc!$K$4:$R$37,VLOOKUP(AW762,Foundation_Calc!$I$2:$J$8,2,FALSE),0),
IF(AX762="K",VLOOKUP(K762,Foundation_Calc!$K$41:$R$74,VLOOKUP(AW762,Foundation_Calc!$I$2:$J$8,2,FALSE),0),"")))</f>
        <v/>
      </c>
      <c r="BA762" s="632" t="str">
        <f t="shared" si="46"/>
        <v/>
      </c>
      <c r="BB762" s="632" t="str">
        <f t="shared" si="47"/>
        <v/>
      </c>
      <c r="BC762" s="632" t="str">
        <f t="shared" si="48"/>
        <v/>
      </c>
      <c r="BD762" s="633" t="str">
        <f>IF(AND(L762="",H762=""),"",
IF(H762="",Pole_Calc!A790,
IF(H762="MP",Pole_Calc!A791,
IF(H762="AnMP",Pole_Calc!A792,
IF(H762="A",Pole_Calc!A793,
IF(H762="S/A",Pole_Calc!A794,
IF(H762="A/S",Pole_Calc!A795,"Poner a mano")))))))</f>
        <v/>
      </c>
      <c r="BE762" s="448" t="s">
        <v>1726</v>
      </c>
      <c r="BF762" s="634"/>
      <c r="BG762" s="634"/>
      <c r="BH762" s="634"/>
      <c r="BI762" s="634"/>
    </row>
    <row r="763" spans="1:61" ht="16.2" customHeight="1">
      <c r="A763" s="12"/>
      <c r="B763" s="446"/>
      <c r="C763" s="89"/>
      <c r="D763" s="13"/>
      <c r="E763" s="14"/>
      <c r="F763" s="14"/>
      <c r="G763" s="15"/>
      <c r="H763" s="8"/>
      <c r="I763" s="8"/>
      <c r="J763" s="89"/>
      <c r="K763" s="8"/>
      <c r="L763" s="8"/>
      <c r="M763" s="8" t="str">
        <f>IF(L763="","",
IF(AX763="PT",VLOOKUP(L763,Foundation_Calc!$V$4:$X$37,VLOOKUP(AX763,Foundation_Calc!$I$10:$J$13,2,FALSE),0),
IF(AX763="K",VLOOKUP(L763,Foundation_Calc!$V$41:$X$74,VLOOKUP(AX763,Foundation_Calc!$I$10:$J$13,2,FALSE),0),"")))</f>
        <v/>
      </c>
      <c r="N763" s="8"/>
      <c r="O763" s="8"/>
      <c r="P763" s="8"/>
      <c r="Q763" s="14"/>
      <c r="R763" s="15"/>
      <c r="S763" s="15"/>
      <c r="T763" s="14"/>
      <c r="U763" s="14"/>
      <c r="V763" s="14"/>
      <c r="W763" s="18"/>
      <c r="X763" s="18"/>
      <c r="Y763" s="18"/>
      <c r="Z763" s="18"/>
      <c r="AA763" s="18"/>
      <c r="AB763" s="18"/>
      <c r="AC763" s="8" t="str">
        <f t="shared" si="45"/>
        <v/>
      </c>
      <c r="AD763" s="8"/>
      <c r="AE763" s="8"/>
      <c r="AF763" s="14"/>
      <c r="AG763" s="13"/>
      <c r="AH763" s="14"/>
      <c r="AI763" s="14"/>
      <c r="AJ763" s="8"/>
      <c r="AK763" s="8"/>
      <c r="AL763" s="8"/>
      <c r="AM763" s="8"/>
      <c r="AN763" s="631"/>
      <c r="AO763" s="18"/>
      <c r="AP763" s="18"/>
      <c r="AQ763" s="18"/>
      <c r="AR763" s="18"/>
      <c r="AS763" s="18"/>
      <c r="AU763" s="448"/>
      <c r="AV763" s="448"/>
      <c r="AW763" s="8" t="str">
        <f>IF(C763&gt;0,VLOOKUP(C763,Foundation_Calc!$A$2:$C$986,3,1),
IF(J763&gt;0,VLOOKUP(J763,Foundation_Calc!$A$2:$C$986,3,1),""))</f>
        <v/>
      </c>
      <c r="AX763" s="8" t="str">
        <f>IF(C763&gt;0,VLOOKUP(C763,Foundation_Calc!$E$2:$G$986,3,1),
IF(J763&gt;0,VLOOKUP(J763,Foundation_Calc!$E$2:$G$986,3,1),""))</f>
        <v/>
      </c>
      <c r="AY763" s="631" t="str">
        <f>IF(L763="","",
IF(AX763="PT",VLOOKUP(L763,Foundation_Calc!$K$4:$R$37,VLOOKUP(AW763,Foundation_Calc!$I$2:$J$8,2,FALSE),0),
IF(AX763="K",VLOOKUP(L763,Foundation_Calc!$K$41:$R$74,VLOOKUP(AW763,Foundation_Calc!$I$2:$J$8,2,FALSE),0),"")))</f>
        <v/>
      </c>
      <c r="AZ763" s="631" t="str">
        <f>IF(K763="","",
IF(AX763="PT",VLOOKUP(K763,Foundation_Calc!$K$4:$R$37,VLOOKUP(AW763,Foundation_Calc!$I$2:$J$8,2,FALSE),0),
IF(AX763="K",VLOOKUP(K763,Foundation_Calc!$K$41:$R$74,VLOOKUP(AW763,Foundation_Calc!$I$2:$J$8,2,FALSE),0),"")))</f>
        <v/>
      </c>
      <c r="BA763" s="632" t="str">
        <f t="shared" si="46"/>
        <v/>
      </c>
      <c r="BB763" s="632" t="str">
        <f t="shared" si="47"/>
        <v/>
      </c>
      <c r="BC763" s="632" t="str">
        <f t="shared" si="48"/>
        <v/>
      </c>
      <c r="BD763" s="633" t="str">
        <f>IF(AND(L763="",H763=""),"",
IF(H763="",Pole_Calc!A791,
IF(H763="MP",Pole_Calc!A792,
IF(H763="AnMP",Pole_Calc!A793,
IF(H763="A",Pole_Calc!A794,
IF(H763="S/A",Pole_Calc!A795,
IF(H763="A/S",Pole_Calc!A796,"Poner a mano")))))))</f>
        <v/>
      </c>
      <c r="BE763" s="448" t="s">
        <v>1726</v>
      </c>
      <c r="BF763" s="635"/>
      <c r="BG763" s="635"/>
      <c r="BH763" s="634"/>
      <c r="BI763" s="635"/>
    </row>
    <row r="764" spans="1:61" ht="16.2" customHeight="1">
      <c r="A764" s="12"/>
      <c r="B764" s="446"/>
      <c r="C764" s="89"/>
      <c r="D764" s="13"/>
      <c r="E764" s="14"/>
      <c r="F764" s="14"/>
      <c r="G764" s="15"/>
      <c r="H764" s="8"/>
      <c r="I764" s="8"/>
      <c r="J764" s="89"/>
      <c r="K764" s="8"/>
      <c r="L764" s="8"/>
      <c r="M764" s="8" t="str">
        <f>IF(L764="","",
IF(AX764="PT",VLOOKUP(L764,Foundation_Calc!$V$4:$X$37,VLOOKUP(AX764,Foundation_Calc!$I$10:$J$13,2,FALSE),0),
IF(AX764="K",VLOOKUP(L764,Foundation_Calc!$V$41:$X$74,VLOOKUP(AX764,Foundation_Calc!$I$10:$J$13,2,FALSE),0),"")))</f>
        <v/>
      </c>
      <c r="N764" s="8"/>
      <c r="O764" s="8"/>
      <c r="P764" s="8"/>
      <c r="Q764" s="14"/>
      <c r="R764" s="15"/>
      <c r="S764" s="15"/>
      <c r="T764" s="14"/>
      <c r="U764" s="14"/>
      <c r="V764" s="14"/>
      <c r="W764" s="18"/>
      <c r="X764" s="18"/>
      <c r="Y764" s="18"/>
      <c r="Z764" s="18"/>
      <c r="AA764" s="18"/>
      <c r="AB764" s="18"/>
      <c r="AC764" s="8" t="str">
        <f t="shared" si="45"/>
        <v/>
      </c>
      <c r="AD764" s="8"/>
      <c r="AE764" s="8"/>
      <c r="AF764" s="14"/>
      <c r="AG764" s="13"/>
      <c r="AH764" s="14"/>
      <c r="AI764" s="14"/>
      <c r="AJ764" s="8"/>
      <c r="AK764" s="8"/>
      <c r="AL764" s="8"/>
      <c r="AM764" s="8"/>
      <c r="AN764" s="631"/>
      <c r="AO764" s="18"/>
      <c r="AP764" s="18"/>
      <c r="AQ764" s="18"/>
      <c r="AR764" s="18"/>
      <c r="AS764" s="18"/>
      <c r="AU764" s="448"/>
      <c r="AV764" s="448"/>
      <c r="AW764" s="8" t="str">
        <f>IF(C764&gt;0,VLOOKUP(C764,Foundation_Calc!$A$2:$C$986,3,1),
IF(J764&gt;0,VLOOKUP(J764,Foundation_Calc!$A$2:$C$986,3,1),""))</f>
        <v/>
      </c>
      <c r="AX764" s="8" t="str">
        <f>IF(C764&gt;0,VLOOKUP(C764,Foundation_Calc!$E$2:$G$986,3,1),
IF(J764&gt;0,VLOOKUP(J764,Foundation_Calc!$E$2:$G$986,3,1),""))</f>
        <v/>
      </c>
      <c r="AY764" s="631" t="str">
        <f>IF(L764="","",
IF(AX764="PT",VLOOKUP(L764,Foundation_Calc!$K$4:$R$37,VLOOKUP(AW764,Foundation_Calc!$I$2:$J$8,2,FALSE),0),
IF(AX764="K",VLOOKUP(L764,Foundation_Calc!$K$41:$R$74,VLOOKUP(AW764,Foundation_Calc!$I$2:$J$8,2,FALSE),0),"")))</f>
        <v/>
      </c>
      <c r="AZ764" s="631" t="str">
        <f>IF(K764="","",
IF(AX764="PT",VLOOKUP(K764,Foundation_Calc!$K$4:$R$37,VLOOKUP(AW764,Foundation_Calc!$I$2:$J$8,2,FALSE),0),
IF(AX764="K",VLOOKUP(K764,Foundation_Calc!$K$41:$R$74,VLOOKUP(AW764,Foundation_Calc!$I$2:$J$8,2,FALSE),0),"")))</f>
        <v/>
      </c>
      <c r="BA764" s="632" t="str">
        <f t="shared" si="46"/>
        <v/>
      </c>
      <c r="BB764" s="632" t="str">
        <f t="shared" si="47"/>
        <v/>
      </c>
      <c r="BC764" s="632" t="str">
        <f t="shared" si="48"/>
        <v/>
      </c>
      <c r="BD764" s="633" t="str">
        <f>IF(AND(L764="",H764=""),"",
IF(H764="",Pole_Calc!A792,
IF(H764="MP",Pole_Calc!A793,
IF(H764="AnMP",Pole_Calc!A794,
IF(H764="A",Pole_Calc!A795,
IF(H764="S/A",Pole_Calc!A796,
IF(H764="A/S",Pole_Calc!A797,"Poner a mano")))))))</f>
        <v/>
      </c>
      <c r="BE764" s="448" t="s">
        <v>1726</v>
      </c>
      <c r="BF764" s="634"/>
      <c r="BG764" s="634"/>
      <c r="BH764" s="634"/>
      <c r="BI764" s="634"/>
    </row>
    <row r="765" spans="1:61" ht="16.2" customHeight="1">
      <c r="A765" s="12"/>
      <c r="B765" s="446"/>
      <c r="C765" s="89"/>
      <c r="D765" s="13"/>
      <c r="E765" s="14"/>
      <c r="F765" s="14"/>
      <c r="G765" s="15"/>
      <c r="H765" s="8"/>
      <c r="I765" s="8"/>
      <c r="J765" s="89"/>
      <c r="K765" s="8"/>
      <c r="L765" s="8"/>
      <c r="M765" s="8" t="str">
        <f>IF(L765="","",
IF(AX765="PT",VLOOKUP(L765,Foundation_Calc!$V$4:$X$37,VLOOKUP(AX765,Foundation_Calc!$I$10:$J$13,2,FALSE),0),
IF(AX765="K",VLOOKUP(L765,Foundation_Calc!$V$41:$X$74,VLOOKUP(AX765,Foundation_Calc!$I$10:$J$13,2,FALSE),0),"")))</f>
        <v/>
      </c>
      <c r="N765" s="8"/>
      <c r="O765" s="8"/>
      <c r="P765" s="8"/>
      <c r="Q765" s="14"/>
      <c r="R765" s="15"/>
      <c r="S765" s="15"/>
      <c r="T765" s="14"/>
      <c r="U765" s="14"/>
      <c r="V765" s="14"/>
      <c r="W765" s="18"/>
      <c r="X765" s="18"/>
      <c r="Y765" s="18"/>
      <c r="Z765" s="18"/>
      <c r="AA765" s="18"/>
      <c r="AB765" s="18"/>
      <c r="AC765" s="8" t="str">
        <f t="shared" si="45"/>
        <v/>
      </c>
      <c r="AD765" s="8"/>
      <c r="AE765" s="8"/>
      <c r="AF765" s="14"/>
      <c r="AG765" s="13"/>
      <c r="AH765" s="14"/>
      <c r="AI765" s="14"/>
      <c r="AJ765" s="8"/>
      <c r="AK765" s="8"/>
      <c r="AL765" s="8"/>
      <c r="AM765" s="8"/>
      <c r="AN765" s="631"/>
      <c r="AO765" s="18"/>
      <c r="AP765" s="18"/>
      <c r="AQ765" s="18"/>
      <c r="AR765" s="18"/>
      <c r="AS765" s="18"/>
      <c r="AU765" s="448"/>
      <c r="AV765" s="448"/>
      <c r="AW765" s="8" t="str">
        <f>IF(C765&gt;0,VLOOKUP(C765,Foundation_Calc!$A$2:$C$986,3,1),
IF(J765&gt;0,VLOOKUP(J765,Foundation_Calc!$A$2:$C$986,3,1),""))</f>
        <v/>
      </c>
      <c r="AX765" s="8" t="str">
        <f>IF(C765&gt;0,VLOOKUP(C765,Foundation_Calc!$E$2:$G$986,3,1),
IF(J765&gt;0,VLOOKUP(J765,Foundation_Calc!$E$2:$G$986,3,1),""))</f>
        <v/>
      </c>
      <c r="AY765" s="631" t="str">
        <f>IF(L765="","",
IF(AX765="PT",VLOOKUP(L765,Foundation_Calc!$K$4:$R$37,VLOOKUP(AW765,Foundation_Calc!$I$2:$J$8,2,FALSE),0),
IF(AX765="K",VLOOKUP(L765,Foundation_Calc!$K$41:$R$74,VLOOKUP(AW765,Foundation_Calc!$I$2:$J$8,2,FALSE),0),"")))</f>
        <v/>
      </c>
      <c r="AZ765" s="631" t="str">
        <f>IF(K765="","",
IF(AX765="PT",VLOOKUP(K765,Foundation_Calc!$K$4:$R$37,VLOOKUP(AW765,Foundation_Calc!$I$2:$J$8,2,FALSE),0),
IF(AX765="K",VLOOKUP(K765,Foundation_Calc!$K$41:$R$74,VLOOKUP(AW765,Foundation_Calc!$I$2:$J$8,2,FALSE),0),"")))</f>
        <v/>
      </c>
      <c r="BA765" s="632" t="str">
        <f t="shared" si="46"/>
        <v/>
      </c>
      <c r="BB765" s="632" t="str">
        <f t="shared" si="47"/>
        <v/>
      </c>
      <c r="BC765" s="632" t="str">
        <f t="shared" si="48"/>
        <v/>
      </c>
      <c r="BD765" s="633" t="str">
        <f>IF(AND(L765="",H765=""),"",
IF(H765="",Pole_Calc!A793,
IF(H765="MP",Pole_Calc!A794,
IF(H765="AnMP",Pole_Calc!A795,
IF(H765="A",Pole_Calc!A796,
IF(H765="S/A",Pole_Calc!A797,
IF(H765="A/S",Pole_Calc!A798,"Poner a mano")))))))</f>
        <v/>
      </c>
      <c r="BE765" s="448" t="s">
        <v>1726</v>
      </c>
      <c r="BF765" s="635"/>
      <c r="BG765" s="635"/>
      <c r="BH765" s="634"/>
      <c r="BI765" s="635"/>
    </row>
    <row r="766" spans="1:61" ht="16.2" customHeight="1">
      <c r="A766" s="12"/>
      <c r="B766" s="446"/>
      <c r="C766" s="89"/>
      <c r="D766" s="13"/>
      <c r="E766" s="14"/>
      <c r="F766" s="14"/>
      <c r="G766" s="15"/>
      <c r="H766" s="8"/>
      <c r="I766" s="8"/>
      <c r="J766" s="89"/>
      <c r="K766" s="8"/>
      <c r="L766" s="8"/>
      <c r="M766" s="8" t="str">
        <f>IF(L766="","",
IF(AX766="PT",VLOOKUP(L766,Foundation_Calc!$V$4:$X$37,VLOOKUP(AX766,Foundation_Calc!$I$10:$J$13,2,FALSE),0),
IF(AX766="K",VLOOKUP(L766,Foundation_Calc!$V$41:$X$74,VLOOKUP(AX766,Foundation_Calc!$I$10:$J$13,2,FALSE),0),"")))</f>
        <v/>
      </c>
      <c r="N766" s="8"/>
      <c r="O766" s="8"/>
      <c r="P766" s="8"/>
      <c r="Q766" s="14"/>
      <c r="R766" s="15"/>
      <c r="S766" s="15"/>
      <c r="T766" s="14"/>
      <c r="U766" s="14"/>
      <c r="V766" s="14"/>
      <c r="W766" s="18"/>
      <c r="X766" s="18"/>
      <c r="Y766" s="18"/>
      <c r="Z766" s="18"/>
      <c r="AA766" s="18"/>
      <c r="AB766" s="18"/>
      <c r="AC766" s="8" t="str">
        <f t="shared" si="45"/>
        <v/>
      </c>
      <c r="AD766" s="8"/>
      <c r="AE766" s="8"/>
      <c r="AF766" s="14"/>
      <c r="AG766" s="13"/>
      <c r="AH766" s="14"/>
      <c r="AI766" s="14"/>
      <c r="AJ766" s="8"/>
      <c r="AK766" s="8"/>
      <c r="AL766" s="8"/>
      <c r="AM766" s="8"/>
      <c r="AN766" s="631"/>
      <c r="AO766" s="18"/>
      <c r="AP766" s="18"/>
      <c r="AQ766" s="18"/>
      <c r="AR766" s="18"/>
      <c r="AS766" s="18"/>
      <c r="AU766" s="448"/>
      <c r="AV766" s="448"/>
      <c r="AW766" s="8" t="str">
        <f>IF(C766&gt;0,VLOOKUP(C766,Foundation_Calc!$A$2:$C$986,3,1),
IF(J766&gt;0,VLOOKUP(J766,Foundation_Calc!$A$2:$C$986,3,1),""))</f>
        <v/>
      </c>
      <c r="AX766" s="8" t="str">
        <f>IF(C766&gt;0,VLOOKUP(C766,Foundation_Calc!$E$2:$G$986,3,1),
IF(J766&gt;0,VLOOKUP(J766,Foundation_Calc!$E$2:$G$986,3,1),""))</f>
        <v/>
      </c>
      <c r="AY766" s="631" t="str">
        <f>IF(L766="","",
IF(AX766="PT",VLOOKUP(L766,Foundation_Calc!$K$4:$R$37,VLOOKUP(AW766,Foundation_Calc!$I$2:$J$8,2,FALSE),0),
IF(AX766="K",VLOOKUP(L766,Foundation_Calc!$K$41:$R$74,VLOOKUP(AW766,Foundation_Calc!$I$2:$J$8,2,FALSE),0),"")))</f>
        <v/>
      </c>
      <c r="AZ766" s="631" t="str">
        <f>IF(K766="","",
IF(AX766="PT",VLOOKUP(K766,Foundation_Calc!$K$4:$R$37,VLOOKUP(AW766,Foundation_Calc!$I$2:$J$8,2,FALSE),0),
IF(AX766="K",VLOOKUP(K766,Foundation_Calc!$K$41:$R$74,VLOOKUP(AW766,Foundation_Calc!$I$2:$J$8,2,FALSE),0),"")))</f>
        <v/>
      </c>
      <c r="BA766" s="632" t="str">
        <f t="shared" si="46"/>
        <v/>
      </c>
      <c r="BB766" s="632" t="str">
        <f t="shared" si="47"/>
        <v/>
      </c>
      <c r="BC766" s="632" t="str">
        <f t="shared" si="48"/>
        <v/>
      </c>
      <c r="BD766" s="633" t="str">
        <f>IF(AND(L766="",H766=""),"",
IF(H766="",Pole_Calc!A794,
IF(H766="MP",Pole_Calc!A795,
IF(H766="AnMP",Pole_Calc!A796,
IF(H766="A",Pole_Calc!A797,
IF(H766="S/A",Pole_Calc!A798,
IF(H766="A/S",Pole_Calc!A799,"Poner a mano")))))))</f>
        <v/>
      </c>
      <c r="BE766" s="448" t="s">
        <v>1726</v>
      </c>
      <c r="BF766" s="634"/>
      <c r="BG766" s="634"/>
      <c r="BH766" s="634"/>
      <c r="BI766" s="634"/>
    </row>
    <row r="767" spans="1:61" ht="16.2" customHeight="1">
      <c r="A767" s="12"/>
      <c r="B767" s="446"/>
      <c r="C767" s="89"/>
      <c r="D767" s="13"/>
      <c r="E767" s="14"/>
      <c r="F767" s="14"/>
      <c r="G767" s="15"/>
      <c r="H767" s="8"/>
      <c r="I767" s="8"/>
      <c r="J767" s="89"/>
      <c r="K767" s="8"/>
      <c r="L767" s="8"/>
      <c r="M767" s="8" t="str">
        <f>IF(L767="","",
IF(AX767="PT",VLOOKUP(L767,Foundation_Calc!$V$4:$X$37,VLOOKUP(AX767,Foundation_Calc!$I$10:$J$13,2,FALSE),0),
IF(AX767="K",VLOOKUP(L767,Foundation_Calc!$V$41:$X$74,VLOOKUP(AX767,Foundation_Calc!$I$10:$J$13,2,FALSE),0),"")))</f>
        <v/>
      </c>
      <c r="N767" s="8"/>
      <c r="O767" s="8"/>
      <c r="P767" s="8"/>
      <c r="Q767" s="14"/>
      <c r="R767" s="15"/>
      <c r="S767" s="15"/>
      <c r="T767" s="14"/>
      <c r="U767" s="14"/>
      <c r="V767" s="14"/>
      <c r="W767" s="18"/>
      <c r="X767" s="18"/>
      <c r="Y767" s="18"/>
      <c r="Z767" s="18"/>
      <c r="AA767" s="18"/>
      <c r="AB767" s="18"/>
      <c r="AC767" s="8" t="str">
        <f t="shared" si="45"/>
        <v/>
      </c>
      <c r="AD767" s="8"/>
      <c r="AE767" s="8"/>
      <c r="AF767" s="14"/>
      <c r="AG767" s="13"/>
      <c r="AH767" s="14"/>
      <c r="AI767" s="14"/>
      <c r="AJ767" s="8"/>
      <c r="AK767" s="8"/>
      <c r="AL767" s="8"/>
      <c r="AM767" s="8"/>
      <c r="AN767" s="631"/>
      <c r="AO767" s="18"/>
      <c r="AP767" s="18"/>
      <c r="AQ767" s="18"/>
      <c r="AR767" s="18"/>
      <c r="AS767" s="18"/>
      <c r="AU767" s="448"/>
      <c r="AV767" s="448"/>
      <c r="AW767" s="8" t="str">
        <f>IF(C767&gt;0,VLOOKUP(C767,Foundation_Calc!$A$2:$C$986,3,1),
IF(J767&gt;0,VLOOKUP(J767,Foundation_Calc!$A$2:$C$986,3,1),""))</f>
        <v/>
      </c>
      <c r="AX767" s="8" t="str">
        <f>IF(C767&gt;0,VLOOKUP(C767,Foundation_Calc!$E$2:$G$986,3,1),
IF(J767&gt;0,VLOOKUP(J767,Foundation_Calc!$E$2:$G$986,3,1),""))</f>
        <v/>
      </c>
      <c r="AY767" s="631" t="str">
        <f>IF(L767="","",
IF(AX767="PT",VLOOKUP(L767,Foundation_Calc!$K$4:$R$37,VLOOKUP(AW767,Foundation_Calc!$I$2:$J$8,2,FALSE),0),
IF(AX767="K",VLOOKUP(L767,Foundation_Calc!$K$41:$R$74,VLOOKUP(AW767,Foundation_Calc!$I$2:$J$8,2,FALSE),0),"")))</f>
        <v/>
      </c>
      <c r="AZ767" s="631" t="str">
        <f>IF(K767="","",
IF(AX767="PT",VLOOKUP(K767,Foundation_Calc!$K$4:$R$37,VLOOKUP(AW767,Foundation_Calc!$I$2:$J$8,2,FALSE),0),
IF(AX767="K",VLOOKUP(K767,Foundation_Calc!$K$41:$R$74,VLOOKUP(AW767,Foundation_Calc!$I$2:$J$8,2,FALSE),0),"")))</f>
        <v/>
      </c>
      <c r="BA767" s="632" t="str">
        <f t="shared" si="46"/>
        <v/>
      </c>
      <c r="BB767" s="632" t="str">
        <f t="shared" si="47"/>
        <v/>
      </c>
      <c r="BC767" s="632" t="str">
        <f t="shared" si="48"/>
        <v/>
      </c>
      <c r="BD767" s="633" t="str">
        <f>IF(AND(L767="",H767=""),"",
IF(H767="",Pole_Calc!A795,
IF(H767="MP",Pole_Calc!A796,
IF(H767="AnMP",Pole_Calc!A797,
IF(H767="A",Pole_Calc!A798,
IF(H767="S/A",Pole_Calc!A799,
IF(H767="A/S",Pole_Calc!A800,"Poner a mano")))))))</f>
        <v/>
      </c>
      <c r="BE767" s="448" t="s">
        <v>1726</v>
      </c>
      <c r="BF767" s="635"/>
      <c r="BG767" s="635"/>
      <c r="BH767" s="634"/>
      <c r="BI767" s="635"/>
    </row>
    <row r="768" spans="1:61" ht="16.2" customHeight="1">
      <c r="A768" s="12"/>
      <c r="B768" s="446"/>
      <c r="C768" s="89"/>
      <c r="D768" s="13"/>
      <c r="E768" s="14"/>
      <c r="F768" s="14"/>
      <c r="G768" s="15"/>
      <c r="H768" s="8"/>
      <c r="I768" s="8"/>
      <c r="J768" s="89"/>
      <c r="K768" s="8"/>
      <c r="L768" s="8"/>
      <c r="M768" s="8" t="str">
        <f>IF(L768="","",
IF(AX768="PT",VLOOKUP(L768,Foundation_Calc!$V$4:$X$37,VLOOKUP(AX768,Foundation_Calc!$I$10:$J$13,2,FALSE),0),
IF(AX768="K",VLOOKUP(L768,Foundation_Calc!$V$41:$X$74,VLOOKUP(AX768,Foundation_Calc!$I$10:$J$13,2,FALSE),0),"")))</f>
        <v/>
      </c>
      <c r="N768" s="8"/>
      <c r="O768" s="8"/>
      <c r="P768" s="8"/>
      <c r="Q768" s="14"/>
      <c r="R768" s="15"/>
      <c r="S768" s="15"/>
      <c r="T768" s="14"/>
      <c r="U768" s="14"/>
      <c r="V768" s="14"/>
      <c r="W768" s="18"/>
      <c r="X768" s="18"/>
      <c r="Y768" s="18"/>
      <c r="Z768" s="18"/>
      <c r="AA768" s="18"/>
      <c r="AB768" s="18"/>
      <c r="AC768" s="8" t="str">
        <f t="shared" si="45"/>
        <v/>
      </c>
      <c r="AD768" s="8"/>
      <c r="AE768" s="8"/>
      <c r="AF768" s="14"/>
      <c r="AG768" s="13"/>
      <c r="AH768" s="14"/>
      <c r="AI768" s="14"/>
      <c r="AJ768" s="8"/>
      <c r="AK768" s="8"/>
      <c r="AL768" s="8"/>
      <c r="AM768" s="8"/>
      <c r="AN768" s="631"/>
      <c r="AO768" s="18"/>
      <c r="AP768" s="18"/>
      <c r="AQ768" s="18"/>
      <c r="AR768" s="18"/>
      <c r="AS768" s="18"/>
      <c r="AU768" s="448"/>
      <c r="AV768" s="448"/>
      <c r="AW768" s="8" t="str">
        <f>IF(C768&gt;0,VLOOKUP(C768,Foundation_Calc!$A$2:$C$986,3,1),
IF(J768&gt;0,VLOOKUP(J768,Foundation_Calc!$A$2:$C$986,3,1),""))</f>
        <v/>
      </c>
      <c r="AX768" s="8" t="str">
        <f>IF(C768&gt;0,VLOOKUP(C768,Foundation_Calc!$E$2:$G$986,3,1),
IF(J768&gt;0,VLOOKUP(J768,Foundation_Calc!$E$2:$G$986,3,1),""))</f>
        <v/>
      </c>
      <c r="AY768" s="631" t="str">
        <f>IF(L768="","",
IF(AX768="PT",VLOOKUP(L768,Foundation_Calc!$K$4:$R$37,VLOOKUP(AW768,Foundation_Calc!$I$2:$J$8,2,FALSE),0),
IF(AX768="K",VLOOKUP(L768,Foundation_Calc!$K$41:$R$74,VLOOKUP(AW768,Foundation_Calc!$I$2:$J$8,2,FALSE),0),"")))</f>
        <v/>
      </c>
      <c r="AZ768" s="631" t="str">
        <f>IF(K768="","",
IF(AX768="PT",VLOOKUP(K768,Foundation_Calc!$K$4:$R$37,VLOOKUP(AW768,Foundation_Calc!$I$2:$J$8,2,FALSE),0),
IF(AX768="K",VLOOKUP(K768,Foundation_Calc!$K$41:$R$74,VLOOKUP(AW768,Foundation_Calc!$I$2:$J$8,2,FALSE),0),"")))</f>
        <v/>
      </c>
      <c r="BA768" s="632" t="str">
        <f t="shared" si="46"/>
        <v/>
      </c>
      <c r="BB768" s="632" t="str">
        <f t="shared" si="47"/>
        <v/>
      </c>
      <c r="BC768" s="632" t="str">
        <f t="shared" si="48"/>
        <v/>
      </c>
      <c r="BD768" s="633" t="str">
        <f>IF(AND(L768="",H768=""),"",
IF(H768="",Pole_Calc!A796,
IF(H768="MP",Pole_Calc!A797,
IF(H768="AnMP",Pole_Calc!A798,
IF(H768="A",Pole_Calc!A799,
IF(H768="S/A",Pole_Calc!A800,
IF(H768="A/S",Pole_Calc!A801,"Poner a mano")))))))</f>
        <v/>
      </c>
      <c r="BE768" s="448" t="s">
        <v>1726</v>
      </c>
      <c r="BF768" s="634"/>
      <c r="BG768" s="634"/>
      <c r="BH768" s="634"/>
      <c r="BI768" s="634"/>
    </row>
    <row r="769" spans="1:61" ht="16.2" customHeight="1">
      <c r="A769" s="12"/>
      <c r="B769" s="446"/>
      <c r="C769" s="89"/>
      <c r="D769" s="13"/>
      <c r="E769" s="14"/>
      <c r="F769" s="14"/>
      <c r="G769" s="15"/>
      <c r="H769" s="8"/>
      <c r="I769" s="8"/>
      <c r="J769" s="89"/>
      <c r="K769" s="8"/>
      <c r="L769" s="8"/>
      <c r="M769" s="8" t="str">
        <f>IF(L769="","",
IF(AX769="PT",VLOOKUP(L769,Foundation_Calc!$V$4:$X$37,VLOOKUP(AX769,Foundation_Calc!$I$10:$J$13,2,FALSE),0),
IF(AX769="K",VLOOKUP(L769,Foundation_Calc!$V$41:$X$74,VLOOKUP(AX769,Foundation_Calc!$I$10:$J$13,2,FALSE),0),"")))</f>
        <v/>
      </c>
      <c r="N769" s="8"/>
      <c r="O769" s="8"/>
      <c r="P769" s="8"/>
      <c r="Q769" s="14"/>
      <c r="R769" s="15"/>
      <c r="S769" s="15"/>
      <c r="T769" s="14"/>
      <c r="U769" s="14"/>
      <c r="V769" s="14"/>
      <c r="W769" s="18"/>
      <c r="X769" s="18"/>
      <c r="Y769" s="18"/>
      <c r="Z769" s="18"/>
      <c r="AA769" s="18"/>
      <c r="AB769" s="18"/>
      <c r="AC769" s="8" t="str">
        <f t="shared" si="45"/>
        <v/>
      </c>
      <c r="AD769" s="8"/>
      <c r="AE769" s="8"/>
      <c r="AF769" s="14"/>
      <c r="AG769" s="13"/>
      <c r="AH769" s="14"/>
      <c r="AI769" s="14"/>
      <c r="AJ769" s="8"/>
      <c r="AK769" s="8"/>
      <c r="AL769" s="8"/>
      <c r="AM769" s="8"/>
      <c r="AN769" s="631"/>
      <c r="AO769" s="18"/>
      <c r="AP769" s="18"/>
      <c r="AQ769" s="18"/>
      <c r="AR769" s="18"/>
      <c r="AS769" s="18"/>
      <c r="AU769" s="448"/>
      <c r="AV769" s="448"/>
      <c r="AW769" s="8" t="str">
        <f>IF(C769&gt;0,VLOOKUP(C769,Foundation_Calc!$A$2:$C$986,3,1),
IF(J769&gt;0,VLOOKUP(J769,Foundation_Calc!$A$2:$C$986,3,1),""))</f>
        <v/>
      </c>
      <c r="AX769" s="8" t="str">
        <f>IF(C769&gt;0,VLOOKUP(C769,Foundation_Calc!$E$2:$G$986,3,1),
IF(J769&gt;0,VLOOKUP(J769,Foundation_Calc!$E$2:$G$986,3,1),""))</f>
        <v/>
      </c>
      <c r="AY769" s="631" t="str">
        <f>IF(L769="","",
IF(AX769="PT",VLOOKUP(L769,Foundation_Calc!$K$4:$R$37,VLOOKUP(AW769,Foundation_Calc!$I$2:$J$8,2,FALSE),0),
IF(AX769="K",VLOOKUP(L769,Foundation_Calc!$K$41:$R$74,VLOOKUP(AW769,Foundation_Calc!$I$2:$J$8,2,FALSE),0),"")))</f>
        <v/>
      </c>
      <c r="AZ769" s="631" t="str">
        <f>IF(K769="","",
IF(AX769="PT",VLOOKUP(K769,Foundation_Calc!$K$4:$R$37,VLOOKUP(AW769,Foundation_Calc!$I$2:$J$8,2,FALSE),0),
IF(AX769="K",VLOOKUP(K769,Foundation_Calc!$K$41:$R$74,VLOOKUP(AW769,Foundation_Calc!$I$2:$J$8,2,FALSE),0),"")))</f>
        <v/>
      </c>
      <c r="BA769" s="632" t="str">
        <f t="shared" si="46"/>
        <v/>
      </c>
      <c r="BB769" s="632" t="str">
        <f t="shared" si="47"/>
        <v/>
      </c>
      <c r="BC769" s="632" t="str">
        <f t="shared" si="48"/>
        <v/>
      </c>
      <c r="BD769" s="633" t="str">
        <f>IF(AND(L769="",H769=""),"",
IF(H769="",Pole_Calc!A797,
IF(H769="MP",Pole_Calc!A798,
IF(H769="AnMP",Pole_Calc!A799,
IF(H769="A",Pole_Calc!A800,
IF(H769="S/A",Pole_Calc!A801,
IF(H769="A/S",Pole_Calc!A802,"Poner a mano")))))))</f>
        <v/>
      </c>
      <c r="BE769" s="448" t="s">
        <v>1726</v>
      </c>
      <c r="BF769" s="635"/>
      <c r="BG769" s="635"/>
      <c r="BH769" s="634"/>
      <c r="BI769" s="635"/>
    </row>
    <row r="770" spans="1:61" ht="16.2" customHeight="1">
      <c r="A770" s="12"/>
      <c r="B770" s="446"/>
      <c r="C770" s="89"/>
      <c r="D770" s="13"/>
      <c r="E770" s="14"/>
      <c r="F770" s="14"/>
      <c r="G770" s="15"/>
      <c r="H770" s="8"/>
      <c r="I770" s="8"/>
      <c r="J770" s="89"/>
      <c r="K770" s="8"/>
      <c r="L770" s="8"/>
      <c r="M770" s="8" t="str">
        <f>IF(L770="","",
IF(AX770="PT",VLOOKUP(L770,Foundation_Calc!$V$4:$X$37,VLOOKUP(AX770,Foundation_Calc!$I$10:$J$13,2,FALSE),0),
IF(AX770="K",VLOOKUP(L770,Foundation_Calc!$V$41:$X$74,VLOOKUP(AX770,Foundation_Calc!$I$10:$J$13,2,FALSE),0),"")))</f>
        <v/>
      </c>
      <c r="N770" s="8"/>
      <c r="O770" s="8"/>
      <c r="P770" s="8"/>
      <c r="Q770" s="14"/>
      <c r="R770" s="15"/>
      <c r="S770" s="15"/>
      <c r="T770" s="14"/>
      <c r="U770" s="14"/>
      <c r="V770" s="14"/>
      <c r="W770" s="18"/>
      <c r="X770" s="18"/>
      <c r="Y770" s="18"/>
      <c r="Z770" s="18"/>
      <c r="AA770" s="18"/>
      <c r="AB770" s="18"/>
      <c r="AC770" s="8" t="str">
        <f t="shared" si="45"/>
        <v/>
      </c>
      <c r="AD770" s="8"/>
      <c r="AE770" s="8"/>
      <c r="AF770" s="14"/>
      <c r="AG770" s="13"/>
      <c r="AH770" s="14"/>
      <c r="AI770" s="14"/>
      <c r="AJ770" s="8"/>
      <c r="AK770" s="8"/>
      <c r="AL770" s="8"/>
      <c r="AM770" s="8"/>
      <c r="AN770" s="631"/>
      <c r="AO770" s="18"/>
      <c r="AP770" s="18"/>
      <c r="AQ770" s="18"/>
      <c r="AR770" s="18"/>
      <c r="AS770" s="18"/>
      <c r="AU770" s="448"/>
      <c r="AV770" s="448"/>
      <c r="AW770" s="8" t="str">
        <f>IF(C770&gt;0,VLOOKUP(C770,Foundation_Calc!$A$2:$C$986,3,1),
IF(J770&gt;0,VLOOKUP(J770,Foundation_Calc!$A$2:$C$986,3,1),""))</f>
        <v/>
      </c>
      <c r="AX770" s="8" t="str">
        <f>IF(C770&gt;0,VLOOKUP(C770,Foundation_Calc!$E$2:$G$986,3,1),
IF(J770&gt;0,VLOOKUP(J770,Foundation_Calc!$E$2:$G$986,3,1),""))</f>
        <v/>
      </c>
      <c r="AY770" s="631" t="str">
        <f>IF(L770="","",
IF(AX770="PT",VLOOKUP(L770,Foundation_Calc!$K$4:$R$37,VLOOKUP(AW770,Foundation_Calc!$I$2:$J$8,2,FALSE),0),
IF(AX770="K",VLOOKUP(L770,Foundation_Calc!$K$41:$R$74,VLOOKUP(AW770,Foundation_Calc!$I$2:$J$8,2,FALSE),0),"")))</f>
        <v/>
      </c>
      <c r="AZ770" s="631" t="str">
        <f>IF(K770="","",
IF(AX770="PT",VLOOKUP(K770,Foundation_Calc!$K$4:$R$37,VLOOKUP(AW770,Foundation_Calc!$I$2:$J$8,2,FALSE),0),
IF(AX770="K",VLOOKUP(K770,Foundation_Calc!$K$41:$R$74,VLOOKUP(AW770,Foundation_Calc!$I$2:$J$8,2,FALSE),0),"")))</f>
        <v/>
      </c>
      <c r="BA770" s="632" t="str">
        <f t="shared" si="46"/>
        <v/>
      </c>
      <c r="BB770" s="632" t="str">
        <f t="shared" si="47"/>
        <v/>
      </c>
      <c r="BC770" s="632" t="str">
        <f t="shared" si="48"/>
        <v/>
      </c>
      <c r="BD770" s="633" t="str">
        <f>IF(AND(L770="",H770=""),"",
IF(H770="",Pole_Calc!A798,
IF(H770="MP",Pole_Calc!A799,
IF(H770="AnMP",Pole_Calc!A800,
IF(H770="A",Pole_Calc!A801,
IF(H770="S/A",Pole_Calc!A802,
IF(H770="A/S",Pole_Calc!A803,"Poner a mano")))))))</f>
        <v/>
      </c>
      <c r="BE770" s="448" t="s">
        <v>1726</v>
      </c>
      <c r="BF770" s="634"/>
      <c r="BG770" s="634"/>
      <c r="BH770" s="634"/>
      <c r="BI770" s="634"/>
    </row>
    <row r="771" spans="1:61" ht="16.2" customHeight="1">
      <c r="A771" s="12"/>
      <c r="B771" s="446"/>
      <c r="C771" s="89"/>
      <c r="D771" s="13"/>
      <c r="E771" s="14"/>
      <c r="F771" s="14"/>
      <c r="G771" s="15"/>
      <c r="H771" s="8"/>
      <c r="I771" s="8"/>
      <c r="J771" s="89"/>
      <c r="K771" s="8"/>
      <c r="L771" s="8"/>
      <c r="M771" s="8" t="str">
        <f>IF(L771="","",
IF(AX771="PT",VLOOKUP(L771,Foundation_Calc!$V$4:$X$37,VLOOKUP(AX771,Foundation_Calc!$I$10:$J$13,2,FALSE),0),
IF(AX771="K",VLOOKUP(L771,Foundation_Calc!$V$41:$X$74,VLOOKUP(AX771,Foundation_Calc!$I$10:$J$13,2,FALSE),0),"")))</f>
        <v/>
      </c>
      <c r="N771" s="8"/>
      <c r="O771" s="8"/>
      <c r="P771" s="8"/>
      <c r="Q771" s="14"/>
      <c r="R771" s="15"/>
      <c r="S771" s="15"/>
      <c r="T771" s="14"/>
      <c r="U771" s="14"/>
      <c r="V771" s="14"/>
      <c r="W771" s="18"/>
      <c r="X771" s="18"/>
      <c r="Y771" s="18"/>
      <c r="Z771" s="18"/>
      <c r="AA771" s="18"/>
      <c r="AB771" s="18"/>
      <c r="AC771" s="8" t="str">
        <f t="shared" si="45"/>
        <v/>
      </c>
      <c r="AD771" s="8"/>
      <c r="AE771" s="8"/>
      <c r="AF771" s="14"/>
      <c r="AG771" s="13"/>
      <c r="AH771" s="14"/>
      <c r="AI771" s="14"/>
      <c r="AJ771" s="8"/>
      <c r="AK771" s="8"/>
      <c r="AL771" s="8"/>
      <c r="AM771" s="8"/>
      <c r="AN771" s="631"/>
      <c r="AO771" s="18"/>
      <c r="AP771" s="18"/>
      <c r="AQ771" s="18"/>
      <c r="AR771" s="18"/>
      <c r="AS771" s="18"/>
      <c r="AU771" s="448"/>
      <c r="AV771" s="448"/>
      <c r="AW771" s="8" t="str">
        <f>IF(C771&gt;0,VLOOKUP(C771,Foundation_Calc!$A$2:$C$986,3,1),
IF(J771&gt;0,VLOOKUP(J771,Foundation_Calc!$A$2:$C$986,3,1),""))</f>
        <v/>
      </c>
      <c r="AX771" s="8" t="str">
        <f>IF(C771&gt;0,VLOOKUP(C771,Foundation_Calc!$E$2:$G$986,3,1),
IF(J771&gt;0,VLOOKUP(J771,Foundation_Calc!$E$2:$G$986,3,1),""))</f>
        <v/>
      </c>
      <c r="AY771" s="631" t="str">
        <f>IF(L771="","",
IF(AX771="PT",VLOOKUP(L771,Foundation_Calc!$K$4:$R$37,VLOOKUP(AW771,Foundation_Calc!$I$2:$J$8,2,FALSE),0),
IF(AX771="K",VLOOKUP(L771,Foundation_Calc!$K$41:$R$74,VLOOKUP(AW771,Foundation_Calc!$I$2:$J$8,2,FALSE),0),"")))</f>
        <v/>
      </c>
      <c r="AZ771" s="631" t="str">
        <f>IF(K771="","",
IF(AX771="PT",VLOOKUP(K771,Foundation_Calc!$K$4:$R$37,VLOOKUP(AW771,Foundation_Calc!$I$2:$J$8,2,FALSE),0),
IF(AX771="K",VLOOKUP(K771,Foundation_Calc!$K$41:$R$74,VLOOKUP(AW771,Foundation_Calc!$I$2:$J$8,2,FALSE),0),"")))</f>
        <v/>
      </c>
      <c r="BA771" s="632" t="str">
        <f t="shared" si="46"/>
        <v/>
      </c>
      <c r="BB771" s="632" t="str">
        <f t="shared" si="47"/>
        <v/>
      </c>
      <c r="BC771" s="632" t="str">
        <f t="shared" si="48"/>
        <v/>
      </c>
      <c r="BD771" s="633" t="str">
        <f>IF(AND(L771="",H771=""),"",
IF(H771="",Pole_Calc!A799,
IF(H771="MP",Pole_Calc!A800,
IF(H771="AnMP",Pole_Calc!A801,
IF(H771="A",Pole_Calc!A802,
IF(H771="S/A",Pole_Calc!A803,
IF(H771="A/S",Pole_Calc!A804,"Poner a mano")))))))</f>
        <v/>
      </c>
      <c r="BE771" s="448" t="s">
        <v>1726</v>
      </c>
      <c r="BF771" s="635"/>
      <c r="BG771" s="635"/>
      <c r="BH771" s="634"/>
      <c r="BI771" s="635"/>
    </row>
    <row r="772" spans="1:61" ht="16.2" customHeight="1">
      <c r="A772" s="12"/>
      <c r="B772" s="446"/>
      <c r="C772" s="89"/>
      <c r="D772" s="13"/>
      <c r="E772" s="14"/>
      <c r="F772" s="14"/>
      <c r="G772" s="15"/>
      <c r="H772" s="8"/>
      <c r="I772" s="8"/>
      <c r="J772" s="89"/>
      <c r="K772" s="8"/>
      <c r="L772" s="8"/>
      <c r="M772" s="8" t="str">
        <f>IF(L772="","",
IF(AX772="PT",VLOOKUP(L772,Foundation_Calc!$V$4:$X$37,VLOOKUP(AX772,Foundation_Calc!$I$10:$J$13,2,FALSE),0),
IF(AX772="K",VLOOKUP(L772,Foundation_Calc!$V$41:$X$74,VLOOKUP(AX772,Foundation_Calc!$I$10:$J$13,2,FALSE),0),"")))</f>
        <v/>
      </c>
      <c r="N772" s="8"/>
      <c r="O772" s="8"/>
      <c r="P772" s="8"/>
      <c r="Q772" s="14"/>
      <c r="R772" s="15"/>
      <c r="S772" s="15"/>
      <c r="T772" s="14"/>
      <c r="U772" s="14"/>
      <c r="V772" s="14"/>
      <c r="W772" s="18"/>
      <c r="X772" s="18"/>
      <c r="Y772" s="18"/>
      <c r="Z772" s="18"/>
      <c r="AA772" s="18"/>
      <c r="AB772" s="18"/>
      <c r="AC772" s="8" t="str">
        <f t="shared" si="45"/>
        <v/>
      </c>
      <c r="AD772" s="8"/>
      <c r="AE772" s="8"/>
      <c r="AF772" s="14"/>
      <c r="AG772" s="13"/>
      <c r="AH772" s="14"/>
      <c r="AI772" s="14"/>
      <c r="AJ772" s="8"/>
      <c r="AK772" s="8"/>
      <c r="AL772" s="8"/>
      <c r="AM772" s="8"/>
      <c r="AN772" s="631"/>
      <c r="AO772" s="18"/>
      <c r="AP772" s="18"/>
      <c r="AQ772" s="18"/>
      <c r="AR772" s="18"/>
      <c r="AS772" s="18"/>
      <c r="AU772" s="448"/>
      <c r="AV772" s="448"/>
      <c r="AW772" s="8" t="str">
        <f>IF(C772&gt;0,VLOOKUP(C772,Foundation_Calc!$A$2:$C$986,3,1),
IF(J772&gt;0,VLOOKUP(J772,Foundation_Calc!$A$2:$C$986,3,1),""))</f>
        <v/>
      </c>
      <c r="AX772" s="8" t="str">
        <f>IF(C772&gt;0,VLOOKUP(C772,Foundation_Calc!$E$2:$G$986,3,1),
IF(J772&gt;0,VLOOKUP(J772,Foundation_Calc!$E$2:$G$986,3,1),""))</f>
        <v/>
      </c>
      <c r="AY772" s="631" t="str">
        <f>IF(L772="","",
IF(AX772="PT",VLOOKUP(L772,Foundation_Calc!$K$4:$R$37,VLOOKUP(AW772,Foundation_Calc!$I$2:$J$8,2,FALSE),0),
IF(AX772="K",VLOOKUP(L772,Foundation_Calc!$K$41:$R$74,VLOOKUP(AW772,Foundation_Calc!$I$2:$J$8,2,FALSE),0),"")))</f>
        <v/>
      </c>
      <c r="AZ772" s="631" t="str">
        <f>IF(K772="","",
IF(AX772="PT",VLOOKUP(K772,Foundation_Calc!$K$4:$R$37,VLOOKUP(AW772,Foundation_Calc!$I$2:$J$8,2,FALSE),0),
IF(AX772="K",VLOOKUP(K772,Foundation_Calc!$K$41:$R$74,VLOOKUP(AW772,Foundation_Calc!$I$2:$J$8,2,FALSE),0),"")))</f>
        <v/>
      </c>
      <c r="BA772" s="632" t="str">
        <f t="shared" si="46"/>
        <v/>
      </c>
      <c r="BB772" s="632" t="str">
        <f t="shared" si="47"/>
        <v/>
      </c>
      <c r="BC772" s="632" t="str">
        <f t="shared" si="48"/>
        <v/>
      </c>
      <c r="BD772" s="633" t="str">
        <f>IF(AND(L772="",H772=""),"",
IF(H772="",Pole_Calc!A800,
IF(H772="MP",Pole_Calc!A801,
IF(H772="AnMP",Pole_Calc!A802,
IF(H772="A",Pole_Calc!A803,
IF(H772="S/A",Pole_Calc!A804,
IF(H772="A/S",Pole_Calc!A805,"Poner a mano")))))))</f>
        <v/>
      </c>
      <c r="BE772" s="448" t="s">
        <v>1726</v>
      </c>
      <c r="BF772" s="634"/>
      <c r="BG772" s="634"/>
      <c r="BH772" s="634"/>
      <c r="BI772" s="634"/>
    </row>
    <row r="773" spans="1:61" ht="16.2" customHeight="1">
      <c r="A773" s="12"/>
      <c r="B773" s="446"/>
      <c r="C773" s="89"/>
      <c r="D773" s="13"/>
      <c r="E773" s="14"/>
      <c r="F773" s="14"/>
      <c r="G773" s="15"/>
      <c r="H773" s="8"/>
      <c r="I773" s="8"/>
      <c r="J773" s="89"/>
      <c r="K773" s="8"/>
      <c r="L773" s="8"/>
      <c r="M773" s="8" t="str">
        <f>IF(L773="","",
IF(AX773="PT",VLOOKUP(L773,Foundation_Calc!$V$4:$X$37,VLOOKUP(AX773,Foundation_Calc!$I$10:$J$13,2,FALSE),0),
IF(AX773="K",VLOOKUP(L773,Foundation_Calc!$V$41:$X$74,VLOOKUP(AX773,Foundation_Calc!$I$10:$J$13,2,FALSE),0),"")))</f>
        <v/>
      </c>
      <c r="N773" s="8"/>
      <c r="O773" s="8"/>
      <c r="P773" s="8"/>
      <c r="Q773" s="14"/>
      <c r="R773" s="15"/>
      <c r="S773" s="15"/>
      <c r="T773" s="14"/>
      <c r="U773" s="14"/>
      <c r="V773" s="14"/>
      <c r="W773" s="18"/>
      <c r="X773" s="18"/>
      <c r="Y773" s="18"/>
      <c r="Z773" s="18"/>
      <c r="AA773" s="18"/>
      <c r="AB773" s="18"/>
      <c r="AC773" s="8" t="str">
        <f t="shared" si="45"/>
        <v/>
      </c>
      <c r="AD773" s="8"/>
      <c r="AE773" s="8"/>
      <c r="AF773" s="14"/>
      <c r="AG773" s="13"/>
      <c r="AH773" s="14"/>
      <c r="AI773" s="14"/>
      <c r="AJ773" s="8"/>
      <c r="AK773" s="8"/>
      <c r="AL773" s="8"/>
      <c r="AM773" s="8"/>
      <c r="AN773" s="631"/>
      <c r="AO773" s="18"/>
      <c r="AP773" s="18"/>
      <c r="AQ773" s="18"/>
      <c r="AR773" s="18"/>
      <c r="AS773" s="18"/>
      <c r="AU773" s="448"/>
      <c r="AV773" s="448"/>
      <c r="AW773" s="8" t="str">
        <f>IF(C773&gt;0,VLOOKUP(C773,Foundation_Calc!$A$2:$C$986,3,1),
IF(J773&gt;0,VLOOKUP(J773,Foundation_Calc!$A$2:$C$986,3,1),""))</f>
        <v/>
      </c>
      <c r="AX773" s="8" t="str">
        <f>IF(C773&gt;0,VLOOKUP(C773,Foundation_Calc!$E$2:$G$986,3,1),
IF(J773&gt;0,VLOOKUP(J773,Foundation_Calc!$E$2:$G$986,3,1),""))</f>
        <v/>
      </c>
      <c r="AY773" s="631" t="str">
        <f>IF(L773="","",
IF(AX773="PT",VLOOKUP(L773,Foundation_Calc!$K$4:$R$37,VLOOKUP(AW773,Foundation_Calc!$I$2:$J$8,2,FALSE),0),
IF(AX773="K",VLOOKUP(L773,Foundation_Calc!$K$41:$R$74,VLOOKUP(AW773,Foundation_Calc!$I$2:$J$8,2,FALSE),0),"")))</f>
        <v/>
      </c>
      <c r="AZ773" s="631" t="str">
        <f>IF(K773="","",
IF(AX773="PT",VLOOKUP(K773,Foundation_Calc!$K$4:$R$37,VLOOKUP(AW773,Foundation_Calc!$I$2:$J$8,2,FALSE),0),
IF(AX773="K",VLOOKUP(K773,Foundation_Calc!$K$41:$R$74,VLOOKUP(AW773,Foundation_Calc!$I$2:$J$8,2,FALSE),0),"")))</f>
        <v/>
      </c>
      <c r="BA773" s="632" t="str">
        <f t="shared" si="46"/>
        <v/>
      </c>
      <c r="BB773" s="632" t="str">
        <f t="shared" si="47"/>
        <v/>
      </c>
      <c r="BC773" s="632" t="str">
        <f t="shared" si="48"/>
        <v/>
      </c>
      <c r="BD773" s="633" t="str">
        <f>IF(AND(L773="",H773=""),"",
IF(H773="",Pole_Calc!A801,
IF(H773="MP",Pole_Calc!A802,
IF(H773="AnMP",Pole_Calc!A803,
IF(H773="A",Pole_Calc!A804,
IF(H773="S/A",Pole_Calc!A805,
IF(H773="A/S",Pole_Calc!A806,"Poner a mano")))))))</f>
        <v/>
      </c>
      <c r="BE773" s="448" t="s">
        <v>1726</v>
      </c>
      <c r="BF773" s="635"/>
      <c r="BG773" s="635"/>
      <c r="BH773" s="634"/>
      <c r="BI773" s="635"/>
    </row>
    <row r="774" spans="1:61" ht="16.2" customHeight="1">
      <c r="A774" s="12"/>
      <c r="B774" s="446"/>
      <c r="C774" s="89"/>
      <c r="D774" s="13"/>
      <c r="E774" s="14"/>
      <c r="F774" s="14"/>
      <c r="G774" s="15"/>
      <c r="H774" s="8"/>
      <c r="I774" s="8"/>
      <c r="J774" s="89"/>
      <c r="K774" s="8"/>
      <c r="L774" s="8"/>
      <c r="M774" s="8" t="str">
        <f>IF(L774="","",
IF(AX774="PT",VLOOKUP(L774,Foundation_Calc!$V$4:$X$37,VLOOKUP(AX774,Foundation_Calc!$I$10:$J$13,2,FALSE),0),
IF(AX774="K",VLOOKUP(L774,Foundation_Calc!$V$41:$X$74,VLOOKUP(AX774,Foundation_Calc!$I$10:$J$13,2,FALSE),0),"")))</f>
        <v/>
      </c>
      <c r="N774" s="8"/>
      <c r="O774" s="8"/>
      <c r="P774" s="8"/>
      <c r="Q774" s="14"/>
      <c r="R774" s="15"/>
      <c r="S774" s="15"/>
      <c r="T774" s="14"/>
      <c r="U774" s="14"/>
      <c r="V774" s="14"/>
      <c r="W774" s="18"/>
      <c r="X774" s="18"/>
      <c r="Y774" s="18"/>
      <c r="Z774" s="18"/>
      <c r="AA774" s="18"/>
      <c r="AB774" s="18"/>
      <c r="AC774" s="8" t="str">
        <f t="shared" ref="AC774:AC800" si="49">IF(OR(AT774&gt;8,AT774&lt;-8),"PH",
IF(OR(AT774&gt;5,AT774&lt;-5),"PHQ",
IF(OR(AT774&gt;1,AT774&lt;-1),
"PHC","")))</f>
        <v/>
      </c>
      <c r="AD774" s="8"/>
      <c r="AE774" s="8"/>
      <c r="AF774" s="14"/>
      <c r="AG774" s="13"/>
      <c r="AH774" s="14"/>
      <c r="AI774" s="14"/>
      <c r="AJ774" s="8"/>
      <c r="AK774" s="8"/>
      <c r="AL774" s="8"/>
      <c r="AM774" s="8"/>
      <c r="AN774" s="631"/>
      <c r="AO774" s="18"/>
      <c r="AP774" s="18"/>
      <c r="AQ774" s="18"/>
      <c r="AR774" s="18"/>
      <c r="AS774" s="18"/>
      <c r="AU774" s="448"/>
      <c r="AV774" s="448"/>
      <c r="AW774" s="8" t="str">
        <f>IF(C774&gt;0,VLOOKUP(C774,Foundation_Calc!$A$2:$C$986,3,1),
IF(J774&gt;0,VLOOKUP(J774,Foundation_Calc!$A$2:$C$986,3,1),""))</f>
        <v/>
      </c>
      <c r="AX774" s="8" t="str">
        <f>IF(C774&gt;0,VLOOKUP(C774,Foundation_Calc!$E$2:$G$986,3,1),
IF(J774&gt;0,VLOOKUP(J774,Foundation_Calc!$E$2:$G$986,3,1),""))</f>
        <v/>
      </c>
      <c r="AY774" s="631" t="str">
        <f>IF(L774="","",
IF(AX774="PT",VLOOKUP(L774,Foundation_Calc!$K$4:$R$37,VLOOKUP(AW774,Foundation_Calc!$I$2:$J$8,2,FALSE),0),
IF(AX774="K",VLOOKUP(L774,Foundation_Calc!$K$41:$R$74,VLOOKUP(AW774,Foundation_Calc!$I$2:$J$8,2,FALSE),0),"")))</f>
        <v/>
      </c>
      <c r="AZ774" s="631" t="str">
        <f>IF(K774="","",
IF(AX774="PT",VLOOKUP(K774,Foundation_Calc!$K$4:$R$37,VLOOKUP(AW774,Foundation_Calc!$I$2:$J$8,2,FALSE),0),
IF(AX774="K",VLOOKUP(K774,Foundation_Calc!$K$41:$R$74,VLOOKUP(AW774,Foundation_Calc!$I$2:$J$8,2,FALSE),0),"")))</f>
        <v/>
      </c>
      <c r="BA774" s="632" t="str">
        <f t="shared" ref="BA774:BA800" si="50">IF(AY774="","",IF(AY774&gt;0,"ü",""))</f>
        <v/>
      </c>
      <c r="BB774" s="632" t="str">
        <f t="shared" ref="BB774:BB800" si="51">IF(AZ774="","",IF(AZ774&gt;0,"ü",""))</f>
        <v/>
      </c>
      <c r="BC774" s="632" t="str">
        <f t="shared" ref="BC774:BC800" si="52">IF(M774="","",IF(M774="Unique Solution","ü",""))</f>
        <v/>
      </c>
      <c r="BD774" s="633" t="str">
        <f>IF(AND(L774="",H774=""),"",
IF(H774="",Pole_Calc!A802,
IF(H774="MP",Pole_Calc!A803,
IF(H774="AnMP",Pole_Calc!A804,
IF(H774="A",Pole_Calc!A805,
IF(H774="S/A",Pole_Calc!A806,
IF(H774="A/S",Pole_Calc!A807,"Poner a mano")))))))</f>
        <v/>
      </c>
      <c r="BE774" s="448" t="s">
        <v>1726</v>
      </c>
      <c r="BF774" s="634"/>
      <c r="BG774" s="634"/>
      <c r="BH774" s="634"/>
      <c r="BI774" s="634"/>
    </row>
    <row r="775" spans="1:61" ht="16.2" customHeight="1">
      <c r="A775" s="12"/>
      <c r="B775" s="446"/>
      <c r="C775" s="89"/>
      <c r="D775" s="13"/>
      <c r="E775" s="14"/>
      <c r="F775" s="14"/>
      <c r="G775" s="15"/>
      <c r="H775" s="8"/>
      <c r="I775" s="8"/>
      <c r="J775" s="89"/>
      <c r="K775" s="8"/>
      <c r="L775" s="8"/>
      <c r="M775" s="8" t="str">
        <f>IF(L775="","",
IF(AX775="PT",VLOOKUP(L775,Foundation_Calc!$V$4:$X$37,VLOOKUP(AX775,Foundation_Calc!$I$10:$J$13,2,FALSE),0),
IF(AX775="K",VLOOKUP(L775,Foundation_Calc!$V$41:$X$74,VLOOKUP(AX775,Foundation_Calc!$I$10:$J$13,2,FALSE),0),"")))</f>
        <v/>
      </c>
      <c r="N775" s="8"/>
      <c r="O775" s="8"/>
      <c r="P775" s="8"/>
      <c r="Q775" s="14"/>
      <c r="R775" s="15"/>
      <c r="S775" s="15"/>
      <c r="T775" s="14"/>
      <c r="U775" s="14"/>
      <c r="V775" s="14"/>
      <c r="W775" s="18"/>
      <c r="X775" s="18"/>
      <c r="Y775" s="18"/>
      <c r="Z775" s="18"/>
      <c r="AA775" s="18"/>
      <c r="AB775" s="18"/>
      <c r="AC775" s="8" t="str">
        <f t="shared" si="49"/>
        <v/>
      </c>
      <c r="AD775" s="8"/>
      <c r="AE775" s="8"/>
      <c r="AF775" s="14"/>
      <c r="AG775" s="13"/>
      <c r="AH775" s="14"/>
      <c r="AI775" s="14"/>
      <c r="AJ775" s="8"/>
      <c r="AK775" s="8"/>
      <c r="AL775" s="8"/>
      <c r="AM775" s="8"/>
      <c r="AN775" s="631"/>
      <c r="AO775" s="18"/>
      <c r="AP775" s="18"/>
      <c r="AQ775" s="18"/>
      <c r="AR775" s="18"/>
      <c r="AS775" s="18"/>
      <c r="AU775" s="448"/>
      <c r="AV775" s="448"/>
      <c r="AW775" s="8" t="str">
        <f>IF(C775&gt;0,VLOOKUP(C775,Foundation_Calc!$A$2:$C$986,3,1),
IF(J775&gt;0,VLOOKUP(J775,Foundation_Calc!$A$2:$C$986,3,1),""))</f>
        <v/>
      </c>
      <c r="AX775" s="8" t="str">
        <f>IF(C775&gt;0,VLOOKUP(C775,Foundation_Calc!$E$2:$G$986,3,1),
IF(J775&gt;0,VLOOKUP(J775,Foundation_Calc!$E$2:$G$986,3,1),""))</f>
        <v/>
      </c>
      <c r="AY775" s="631" t="str">
        <f>IF(L775="","",
IF(AX775="PT",VLOOKUP(L775,Foundation_Calc!$K$4:$R$37,VLOOKUP(AW775,Foundation_Calc!$I$2:$J$8,2,FALSE),0),
IF(AX775="K",VLOOKUP(L775,Foundation_Calc!$K$41:$R$74,VLOOKUP(AW775,Foundation_Calc!$I$2:$J$8,2,FALSE),0),"")))</f>
        <v/>
      </c>
      <c r="AZ775" s="631" t="str">
        <f>IF(K775="","",
IF(AX775="PT",VLOOKUP(K775,Foundation_Calc!$K$4:$R$37,VLOOKUP(AW775,Foundation_Calc!$I$2:$J$8,2,FALSE),0),
IF(AX775="K",VLOOKUP(K775,Foundation_Calc!$K$41:$R$74,VLOOKUP(AW775,Foundation_Calc!$I$2:$J$8,2,FALSE),0),"")))</f>
        <v/>
      </c>
      <c r="BA775" s="632" t="str">
        <f t="shared" si="50"/>
        <v/>
      </c>
      <c r="BB775" s="632" t="str">
        <f t="shared" si="51"/>
        <v/>
      </c>
      <c r="BC775" s="632" t="str">
        <f t="shared" si="52"/>
        <v/>
      </c>
      <c r="BD775" s="633" t="str">
        <f>IF(AND(L775="",H775=""),"",
IF(H775="",Pole_Calc!A803,
IF(H775="MP",Pole_Calc!A804,
IF(H775="AnMP",Pole_Calc!A805,
IF(H775="A",Pole_Calc!A806,
IF(H775="S/A",Pole_Calc!A807,
IF(H775="A/S",Pole_Calc!A808,"Poner a mano")))))))</f>
        <v/>
      </c>
      <c r="BE775" s="448" t="s">
        <v>1726</v>
      </c>
      <c r="BF775" s="635"/>
      <c r="BG775" s="635"/>
      <c r="BH775" s="634"/>
      <c r="BI775" s="635"/>
    </row>
    <row r="776" spans="1:61" ht="16.2" customHeight="1">
      <c r="A776" s="12"/>
      <c r="B776" s="446"/>
      <c r="C776" s="89"/>
      <c r="D776" s="13"/>
      <c r="E776" s="14"/>
      <c r="F776" s="14"/>
      <c r="G776" s="15"/>
      <c r="H776" s="8"/>
      <c r="I776" s="8"/>
      <c r="J776" s="89"/>
      <c r="K776" s="8"/>
      <c r="L776" s="8"/>
      <c r="M776" s="8" t="str">
        <f>IF(L776="","",
IF(AX776="PT",VLOOKUP(L776,Foundation_Calc!$V$4:$X$37,VLOOKUP(AX776,Foundation_Calc!$I$10:$J$13,2,FALSE),0),
IF(AX776="K",VLOOKUP(L776,Foundation_Calc!$V$41:$X$74,VLOOKUP(AX776,Foundation_Calc!$I$10:$J$13,2,FALSE),0),"")))</f>
        <v/>
      </c>
      <c r="N776" s="8"/>
      <c r="O776" s="8"/>
      <c r="P776" s="8"/>
      <c r="Q776" s="14"/>
      <c r="R776" s="15"/>
      <c r="S776" s="15"/>
      <c r="T776" s="14"/>
      <c r="U776" s="14"/>
      <c r="V776" s="14"/>
      <c r="W776" s="18"/>
      <c r="X776" s="18"/>
      <c r="Y776" s="18"/>
      <c r="Z776" s="18"/>
      <c r="AA776" s="18"/>
      <c r="AB776" s="18"/>
      <c r="AC776" s="8" t="str">
        <f t="shared" si="49"/>
        <v/>
      </c>
      <c r="AD776" s="8"/>
      <c r="AE776" s="8"/>
      <c r="AF776" s="14"/>
      <c r="AG776" s="13"/>
      <c r="AH776" s="14"/>
      <c r="AI776" s="14"/>
      <c r="AJ776" s="8"/>
      <c r="AK776" s="8"/>
      <c r="AL776" s="8"/>
      <c r="AM776" s="8"/>
      <c r="AN776" s="631"/>
      <c r="AO776" s="18"/>
      <c r="AP776" s="18"/>
      <c r="AQ776" s="18"/>
      <c r="AR776" s="18"/>
      <c r="AS776" s="18"/>
      <c r="AU776" s="448"/>
      <c r="AV776" s="448"/>
      <c r="AW776" s="8" t="str">
        <f>IF(C776&gt;0,VLOOKUP(C776,Foundation_Calc!$A$2:$C$986,3,1),
IF(J776&gt;0,VLOOKUP(J776,Foundation_Calc!$A$2:$C$986,3,1),""))</f>
        <v/>
      </c>
      <c r="AX776" s="8" t="str">
        <f>IF(C776&gt;0,VLOOKUP(C776,Foundation_Calc!$E$2:$G$986,3,1),
IF(J776&gt;0,VLOOKUP(J776,Foundation_Calc!$E$2:$G$986,3,1),""))</f>
        <v/>
      </c>
      <c r="AY776" s="631" t="str">
        <f>IF(L776="","",
IF(AX776="PT",VLOOKUP(L776,Foundation_Calc!$K$4:$R$37,VLOOKUP(AW776,Foundation_Calc!$I$2:$J$8,2,FALSE),0),
IF(AX776="K",VLOOKUP(L776,Foundation_Calc!$K$41:$R$74,VLOOKUP(AW776,Foundation_Calc!$I$2:$J$8,2,FALSE),0),"")))</f>
        <v/>
      </c>
      <c r="AZ776" s="631" t="str">
        <f>IF(K776="","",
IF(AX776="PT",VLOOKUP(K776,Foundation_Calc!$K$4:$R$37,VLOOKUP(AW776,Foundation_Calc!$I$2:$J$8,2,FALSE),0),
IF(AX776="K",VLOOKUP(K776,Foundation_Calc!$K$41:$R$74,VLOOKUP(AW776,Foundation_Calc!$I$2:$J$8,2,FALSE),0),"")))</f>
        <v/>
      </c>
      <c r="BA776" s="632" t="str">
        <f t="shared" si="50"/>
        <v/>
      </c>
      <c r="BB776" s="632" t="str">
        <f t="shared" si="51"/>
        <v/>
      </c>
      <c r="BC776" s="632" t="str">
        <f t="shared" si="52"/>
        <v/>
      </c>
      <c r="BD776" s="633" t="str">
        <f>IF(AND(L776="",H776=""),"",
IF(H776="",Pole_Calc!A804,
IF(H776="MP",Pole_Calc!A805,
IF(H776="AnMP",Pole_Calc!A806,
IF(H776="A",Pole_Calc!A807,
IF(H776="S/A",Pole_Calc!A808,
IF(H776="A/S",Pole_Calc!A809,"Poner a mano")))))))</f>
        <v/>
      </c>
      <c r="BE776" s="448" t="s">
        <v>1726</v>
      </c>
      <c r="BF776" s="634"/>
      <c r="BG776" s="634"/>
      <c r="BH776" s="634"/>
      <c r="BI776" s="634"/>
    </row>
    <row r="777" spans="1:61" ht="16.2" customHeight="1">
      <c r="A777" s="12"/>
      <c r="B777" s="446"/>
      <c r="C777" s="89"/>
      <c r="D777" s="13"/>
      <c r="E777" s="14"/>
      <c r="F777" s="14"/>
      <c r="G777" s="15"/>
      <c r="H777" s="8"/>
      <c r="I777" s="8"/>
      <c r="J777" s="89"/>
      <c r="K777" s="8"/>
      <c r="L777" s="8"/>
      <c r="M777" s="8" t="str">
        <f>IF(L777="","",
IF(AX777="PT",VLOOKUP(L777,Foundation_Calc!$V$4:$X$37,VLOOKUP(AX777,Foundation_Calc!$I$10:$J$13,2,FALSE),0),
IF(AX777="K",VLOOKUP(L777,Foundation_Calc!$V$41:$X$74,VLOOKUP(AX777,Foundation_Calc!$I$10:$J$13,2,FALSE),0),"")))</f>
        <v/>
      </c>
      <c r="N777" s="8"/>
      <c r="O777" s="8"/>
      <c r="P777" s="8"/>
      <c r="Q777" s="14"/>
      <c r="R777" s="15"/>
      <c r="S777" s="15"/>
      <c r="T777" s="14"/>
      <c r="U777" s="14"/>
      <c r="V777" s="14"/>
      <c r="W777" s="18"/>
      <c r="X777" s="18"/>
      <c r="Y777" s="18"/>
      <c r="Z777" s="18"/>
      <c r="AA777" s="18"/>
      <c r="AB777" s="18"/>
      <c r="AC777" s="8" t="str">
        <f t="shared" si="49"/>
        <v/>
      </c>
      <c r="AD777" s="8"/>
      <c r="AE777" s="8"/>
      <c r="AF777" s="14"/>
      <c r="AG777" s="13"/>
      <c r="AH777" s="14"/>
      <c r="AI777" s="14"/>
      <c r="AJ777" s="8"/>
      <c r="AK777" s="8"/>
      <c r="AL777" s="8"/>
      <c r="AM777" s="8"/>
      <c r="AN777" s="631"/>
      <c r="AO777" s="18"/>
      <c r="AP777" s="18"/>
      <c r="AQ777" s="18"/>
      <c r="AR777" s="18"/>
      <c r="AS777" s="18"/>
      <c r="AU777" s="448"/>
      <c r="AV777" s="448"/>
      <c r="AW777" s="8" t="str">
        <f>IF(C777&gt;0,VLOOKUP(C777,Foundation_Calc!$A$2:$C$986,3,1),
IF(J777&gt;0,VLOOKUP(J777,Foundation_Calc!$A$2:$C$986,3,1),""))</f>
        <v/>
      </c>
      <c r="AX777" s="8" t="str">
        <f>IF(C777&gt;0,VLOOKUP(C777,Foundation_Calc!$E$2:$G$986,3,1),
IF(J777&gt;0,VLOOKUP(J777,Foundation_Calc!$E$2:$G$986,3,1),""))</f>
        <v/>
      </c>
      <c r="AY777" s="631" t="str">
        <f>IF(L777="","",
IF(AX777="PT",VLOOKUP(L777,Foundation_Calc!$K$4:$R$37,VLOOKUP(AW777,Foundation_Calc!$I$2:$J$8,2,FALSE),0),
IF(AX777="K",VLOOKUP(L777,Foundation_Calc!$K$41:$R$74,VLOOKUP(AW777,Foundation_Calc!$I$2:$J$8,2,FALSE),0),"")))</f>
        <v/>
      </c>
      <c r="AZ777" s="631" t="str">
        <f>IF(K777="","",
IF(AX777="PT",VLOOKUP(K777,Foundation_Calc!$K$4:$R$37,VLOOKUP(AW777,Foundation_Calc!$I$2:$J$8,2,FALSE),0),
IF(AX777="K",VLOOKUP(K777,Foundation_Calc!$K$41:$R$74,VLOOKUP(AW777,Foundation_Calc!$I$2:$J$8,2,FALSE),0),"")))</f>
        <v/>
      </c>
      <c r="BA777" s="632" t="str">
        <f t="shared" si="50"/>
        <v/>
      </c>
      <c r="BB777" s="632" t="str">
        <f t="shared" si="51"/>
        <v/>
      </c>
      <c r="BC777" s="632" t="str">
        <f t="shared" si="52"/>
        <v/>
      </c>
      <c r="BD777" s="633" t="str">
        <f>IF(AND(L777="",H777=""),"",
IF(H777="",Pole_Calc!A805,
IF(H777="MP",Pole_Calc!A806,
IF(H777="AnMP",Pole_Calc!A807,
IF(H777="A",Pole_Calc!A808,
IF(H777="S/A",Pole_Calc!A809,
IF(H777="A/S",Pole_Calc!A810,"Poner a mano")))))))</f>
        <v/>
      </c>
      <c r="BE777" s="448" t="s">
        <v>1726</v>
      </c>
      <c r="BF777" s="635"/>
      <c r="BG777" s="635"/>
      <c r="BH777" s="634"/>
      <c r="BI777" s="635"/>
    </row>
    <row r="778" spans="1:61" ht="16.2" customHeight="1">
      <c r="A778" s="12"/>
      <c r="B778" s="446"/>
      <c r="C778" s="89"/>
      <c r="D778" s="13"/>
      <c r="E778" s="14"/>
      <c r="F778" s="14"/>
      <c r="G778" s="15"/>
      <c r="H778" s="8"/>
      <c r="I778" s="8"/>
      <c r="J778" s="89"/>
      <c r="K778" s="8"/>
      <c r="L778" s="8"/>
      <c r="M778" s="8" t="str">
        <f>IF(L778="","",
IF(AX778="PT",VLOOKUP(L778,Foundation_Calc!$V$4:$X$37,VLOOKUP(AX778,Foundation_Calc!$I$10:$J$13,2,FALSE),0),
IF(AX778="K",VLOOKUP(L778,Foundation_Calc!$V$41:$X$74,VLOOKUP(AX778,Foundation_Calc!$I$10:$J$13,2,FALSE),0),"")))</f>
        <v/>
      </c>
      <c r="N778" s="8"/>
      <c r="O778" s="8"/>
      <c r="P778" s="8"/>
      <c r="Q778" s="14"/>
      <c r="R778" s="15"/>
      <c r="S778" s="15"/>
      <c r="T778" s="14"/>
      <c r="U778" s="14"/>
      <c r="V778" s="14"/>
      <c r="W778" s="18"/>
      <c r="X778" s="18"/>
      <c r="Y778" s="18"/>
      <c r="Z778" s="18"/>
      <c r="AA778" s="18"/>
      <c r="AB778" s="18"/>
      <c r="AC778" s="8" t="str">
        <f t="shared" si="49"/>
        <v/>
      </c>
      <c r="AD778" s="8"/>
      <c r="AE778" s="8"/>
      <c r="AF778" s="14"/>
      <c r="AG778" s="13"/>
      <c r="AH778" s="14"/>
      <c r="AI778" s="14"/>
      <c r="AJ778" s="8"/>
      <c r="AK778" s="8"/>
      <c r="AL778" s="8"/>
      <c r="AM778" s="8"/>
      <c r="AN778" s="631"/>
      <c r="AO778" s="18"/>
      <c r="AP778" s="18"/>
      <c r="AQ778" s="18"/>
      <c r="AR778" s="18"/>
      <c r="AS778" s="18"/>
      <c r="AU778" s="448"/>
      <c r="AV778" s="448"/>
      <c r="AW778" s="8" t="str">
        <f>IF(C778&gt;0,VLOOKUP(C778,Foundation_Calc!$A$2:$C$986,3,1),
IF(J778&gt;0,VLOOKUP(J778,Foundation_Calc!$A$2:$C$986,3,1),""))</f>
        <v/>
      </c>
      <c r="AX778" s="8" t="str">
        <f>IF(C778&gt;0,VLOOKUP(C778,Foundation_Calc!$E$2:$G$986,3,1),
IF(J778&gt;0,VLOOKUP(J778,Foundation_Calc!$E$2:$G$986,3,1),""))</f>
        <v/>
      </c>
      <c r="AY778" s="631" t="str">
        <f>IF(L778="","",
IF(AX778="PT",VLOOKUP(L778,Foundation_Calc!$K$4:$R$37,VLOOKUP(AW778,Foundation_Calc!$I$2:$J$8,2,FALSE),0),
IF(AX778="K",VLOOKUP(L778,Foundation_Calc!$K$41:$R$74,VLOOKUP(AW778,Foundation_Calc!$I$2:$J$8,2,FALSE),0),"")))</f>
        <v/>
      </c>
      <c r="AZ778" s="631" t="str">
        <f>IF(K778="","",
IF(AX778="PT",VLOOKUP(K778,Foundation_Calc!$K$4:$R$37,VLOOKUP(AW778,Foundation_Calc!$I$2:$J$8,2,FALSE),0),
IF(AX778="K",VLOOKUP(K778,Foundation_Calc!$K$41:$R$74,VLOOKUP(AW778,Foundation_Calc!$I$2:$J$8,2,FALSE),0),"")))</f>
        <v/>
      </c>
      <c r="BA778" s="632" t="str">
        <f t="shared" si="50"/>
        <v/>
      </c>
      <c r="BB778" s="632" t="str">
        <f t="shared" si="51"/>
        <v/>
      </c>
      <c r="BC778" s="632" t="str">
        <f t="shared" si="52"/>
        <v/>
      </c>
      <c r="BD778" s="633" t="str">
        <f>IF(AND(L778="",H778=""),"",
IF(H778="",Pole_Calc!A806,
IF(H778="MP",Pole_Calc!A807,
IF(H778="AnMP",Pole_Calc!A808,
IF(H778="A",Pole_Calc!A809,
IF(H778="S/A",Pole_Calc!A810,
IF(H778="A/S",Pole_Calc!A811,"Poner a mano")))))))</f>
        <v/>
      </c>
      <c r="BE778" s="448" t="s">
        <v>1726</v>
      </c>
      <c r="BF778" s="634"/>
      <c r="BG778" s="634"/>
      <c r="BH778" s="634"/>
      <c r="BI778" s="634"/>
    </row>
    <row r="779" spans="1:61" ht="16.2" customHeight="1">
      <c r="A779" s="12"/>
      <c r="B779" s="446"/>
      <c r="C779" s="89"/>
      <c r="D779" s="13"/>
      <c r="E779" s="14"/>
      <c r="F779" s="14"/>
      <c r="G779" s="15"/>
      <c r="H779" s="8"/>
      <c r="I779" s="8"/>
      <c r="J779" s="89"/>
      <c r="K779" s="8"/>
      <c r="L779" s="8"/>
      <c r="M779" s="8" t="str">
        <f>IF(L779="","",
IF(AX779="PT",VLOOKUP(L779,Foundation_Calc!$V$4:$X$37,VLOOKUP(AX779,Foundation_Calc!$I$10:$J$13,2,FALSE),0),
IF(AX779="K",VLOOKUP(L779,Foundation_Calc!$V$41:$X$74,VLOOKUP(AX779,Foundation_Calc!$I$10:$J$13,2,FALSE),0),"")))</f>
        <v/>
      </c>
      <c r="N779" s="8"/>
      <c r="O779" s="8"/>
      <c r="P779" s="8"/>
      <c r="Q779" s="14"/>
      <c r="R779" s="15"/>
      <c r="S779" s="15"/>
      <c r="T779" s="14"/>
      <c r="U779" s="14"/>
      <c r="V779" s="14"/>
      <c r="W779" s="18"/>
      <c r="X779" s="18"/>
      <c r="Y779" s="18"/>
      <c r="Z779" s="18"/>
      <c r="AA779" s="18"/>
      <c r="AB779" s="18"/>
      <c r="AC779" s="8" t="str">
        <f t="shared" si="49"/>
        <v/>
      </c>
      <c r="AD779" s="8"/>
      <c r="AE779" s="8"/>
      <c r="AF779" s="14"/>
      <c r="AG779" s="13"/>
      <c r="AH779" s="14"/>
      <c r="AI779" s="14"/>
      <c r="AJ779" s="8"/>
      <c r="AK779" s="8"/>
      <c r="AL779" s="8"/>
      <c r="AM779" s="8"/>
      <c r="AN779" s="631"/>
      <c r="AO779" s="18"/>
      <c r="AP779" s="18"/>
      <c r="AQ779" s="18"/>
      <c r="AR779" s="18"/>
      <c r="AS779" s="18"/>
      <c r="AU779" s="448"/>
      <c r="AV779" s="448"/>
      <c r="AW779" s="8" t="str">
        <f>IF(C779&gt;0,VLOOKUP(C779,Foundation_Calc!$A$2:$C$986,3,1),
IF(J779&gt;0,VLOOKUP(J779,Foundation_Calc!$A$2:$C$986,3,1),""))</f>
        <v/>
      </c>
      <c r="AX779" s="8" t="str">
        <f>IF(C779&gt;0,VLOOKUP(C779,Foundation_Calc!$E$2:$G$986,3,1),
IF(J779&gt;0,VLOOKUP(J779,Foundation_Calc!$E$2:$G$986,3,1),""))</f>
        <v/>
      </c>
      <c r="AY779" s="631" t="str">
        <f>IF(L779="","",
IF(AX779="PT",VLOOKUP(L779,Foundation_Calc!$K$4:$R$37,VLOOKUP(AW779,Foundation_Calc!$I$2:$J$8,2,FALSE),0),
IF(AX779="K",VLOOKUP(L779,Foundation_Calc!$K$41:$R$74,VLOOKUP(AW779,Foundation_Calc!$I$2:$J$8,2,FALSE),0),"")))</f>
        <v/>
      </c>
      <c r="AZ779" s="631" t="str">
        <f>IF(K779="","",
IF(AX779="PT",VLOOKUP(K779,Foundation_Calc!$K$4:$R$37,VLOOKUP(AW779,Foundation_Calc!$I$2:$J$8,2,FALSE),0),
IF(AX779="K",VLOOKUP(K779,Foundation_Calc!$K$41:$R$74,VLOOKUP(AW779,Foundation_Calc!$I$2:$J$8,2,FALSE),0),"")))</f>
        <v/>
      </c>
      <c r="BA779" s="632" t="str">
        <f t="shared" si="50"/>
        <v/>
      </c>
      <c r="BB779" s="632" t="str">
        <f t="shared" si="51"/>
        <v/>
      </c>
      <c r="BC779" s="632" t="str">
        <f t="shared" si="52"/>
        <v/>
      </c>
      <c r="BD779" s="633" t="str">
        <f>IF(AND(L779="",H779=""),"",
IF(H779="",Pole_Calc!A807,
IF(H779="MP",Pole_Calc!A808,
IF(H779="AnMP",Pole_Calc!A809,
IF(H779="A",Pole_Calc!A810,
IF(H779="S/A",Pole_Calc!A811,
IF(H779="A/S",Pole_Calc!A812,"Poner a mano")))))))</f>
        <v/>
      </c>
      <c r="BE779" s="448" t="s">
        <v>1726</v>
      </c>
      <c r="BF779" s="635"/>
      <c r="BG779" s="635"/>
      <c r="BH779" s="634"/>
      <c r="BI779" s="635"/>
    </row>
    <row r="780" spans="1:61" ht="16.2" customHeight="1">
      <c r="A780" s="12"/>
      <c r="B780" s="446"/>
      <c r="C780" s="89"/>
      <c r="D780" s="13"/>
      <c r="E780" s="14"/>
      <c r="F780" s="14"/>
      <c r="G780" s="15"/>
      <c r="H780" s="8"/>
      <c r="I780" s="8"/>
      <c r="J780" s="89"/>
      <c r="K780" s="8"/>
      <c r="L780" s="8"/>
      <c r="M780" s="8" t="str">
        <f>IF(L780="","",
IF(AX780="PT",VLOOKUP(L780,Foundation_Calc!$V$4:$X$37,VLOOKUP(AX780,Foundation_Calc!$I$10:$J$13,2,FALSE),0),
IF(AX780="K",VLOOKUP(L780,Foundation_Calc!$V$41:$X$74,VLOOKUP(AX780,Foundation_Calc!$I$10:$J$13,2,FALSE),0),"")))</f>
        <v/>
      </c>
      <c r="N780" s="8"/>
      <c r="O780" s="8"/>
      <c r="P780" s="8"/>
      <c r="Q780" s="14"/>
      <c r="R780" s="15"/>
      <c r="S780" s="15"/>
      <c r="T780" s="14"/>
      <c r="U780" s="14"/>
      <c r="V780" s="14"/>
      <c r="W780" s="18"/>
      <c r="X780" s="18"/>
      <c r="Y780" s="18"/>
      <c r="Z780" s="18"/>
      <c r="AA780" s="18"/>
      <c r="AB780" s="18"/>
      <c r="AC780" s="8" t="str">
        <f t="shared" si="49"/>
        <v/>
      </c>
      <c r="AD780" s="8"/>
      <c r="AE780" s="8"/>
      <c r="AF780" s="14"/>
      <c r="AG780" s="13"/>
      <c r="AH780" s="14"/>
      <c r="AI780" s="14"/>
      <c r="AJ780" s="8"/>
      <c r="AK780" s="8"/>
      <c r="AL780" s="8"/>
      <c r="AM780" s="8"/>
      <c r="AN780" s="631"/>
      <c r="AO780" s="18"/>
      <c r="AP780" s="18"/>
      <c r="AQ780" s="18"/>
      <c r="AR780" s="18"/>
      <c r="AS780" s="18"/>
      <c r="AU780" s="448"/>
      <c r="AV780" s="448"/>
      <c r="AW780" s="8" t="str">
        <f>IF(C780&gt;0,VLOOKUP(C780,Foundation_Calc!$A$2:$C$986,3,1),
IF(J780&gt;0,VLOOKUP(J780,Foundation_Calc!$A$2:$C$986,3,1),""))</f>
        <v/>
      </c>
      <c r="AX780" s="8" t="str">
        <f>IF(C780&gt;0,VLOOKUP(C780,Foundation_Calc!$E$2:$G$986,3,1),
IF(J780&gt;0,VLOOKUP(J780,Foundation_Calc!$E$2:$G$986,3,1),""))</f>
        <v/>
      </c>
      <c r="AY780" s="631" t="str">
        <f>IF(L780="","",
IF(AX780="PT",VLOOKUP(L780,Foundation_Calc!$K$4:$R$37,VLOOKUP(AW780,Foundation_Calc!$I$2:$J$8,2,FALSE),0),
IF(AX780="K",VLOOKUP(L780,Foundation_Calc!$K$41:$R$74,VLOOKUP(AW780,Foundation_Calc!$I$2:$J$8,2,FALSE),0),"")))</f>
        <v/>
      </c>
      <c r="AZ780" s="631" t="str">
        <f>IF(K780="","",
IF(AX780="PT",VLOOKUP(K780,Foundation_Calc!$K$4:$R$37,VLOOKUP(AW780,Foundation_Calc!$I$2:$J$8,2,FALSE),0),
IF(AX780="K",VLOOKUP(K780,Foundation_Calc!$K$41:$R$74,VLOOKUP(AW780,Foundation_Calc!$I$2:$J$8,2,FALSE),0),"")))</f>
        <v/>
      </c>
      <c r="BA780" s="632" t="str">
        <f t="shared" si="50"/>
        <v/>
      </c>
      <c r="BB780" s="632" t="str">
        <f t="shared" si="51"/>
        <v/>
      </c>
      <c r="BC780" s="632" t="str">
        <f t="shared" si="52"/>
        <v/>
      </c>
      <c r="BD780" s="633" t="str">
        <f>IF(AND(L780="",H780=""),"",
IF(H780="",Pole_Calc!A808,
IF(H780="MP",Pole_Calc!A809,
IF(H780="AnMP",Pole_Calc!A810,
IF(H780="A",Pole_Calc!A811,
IF(H780="S/A",Pole_Calc!A812,
IF(H780="A/S",Pole_Calc!A813,"Poner a mano")))))))</f>
        <v/>
      </c>
      <c r="BE780" s="448" t="s">
        <v>1726</v>
      </c>
      <c r="BF780" s="634"/>
      <c r="BG780" s="634"/>
      <c r="BH780" s="634"/>
      <c r="BI780" s="634"/>
    </row>
    <row r="781" spans="1:61" ht="16.2" customHeight="1">
      <c r="A781" s="12"/>
      <c r="B781" s="446"/>
      <c r="C781" s="89"/>
      <c r="D781" s="13"/>
      <c r="E781" s="14"/>
      <c r="F781" s="14"/>
      <c r="G781" s="15"/>
      <c r="H781" s="8"/>
      <c r="I781" s="8"/>
      <c r="J781" s="89"/>
      <c r="K781" s="8"/>
      <c r="L781" s="8"/>
      <c r="M781" s="8" t="str">
        <f>IF(L781="","",
IF(AX781="PT",VLOOKUP(L781,Foundation_Calc!$V$4:$X$37,VLOOKUP(AX781,Foundation_Calc!$I$10:$J$13,2,FALSE),0),
IF(AX781="K",VLOOKUP(L781,Foundation_Calc!$V$41:$X$74,VLOOKUP(AX781,Foundation_Calc!$I$10:$J$13,2,FALSE),0),"")))</f>
        <v/>
      </c>
      <c r="N781" s="8"/>
      <c r="O781" s="8"/>
      <c r="P781" s="8"/>
      <c r="Q781" s="14"/>
      <c r="R781" s="15"/>
      <c r="S781" s="15"/>
      <c r="T781" s="14"/>
      <c r="U781" s="14"/>
      <c r="V781" s="14"/>
      <c r="W781" s="18"/>
      <c r="X781" s="18"/>
      <c r="Y781" s="18"/>
      <c r="Z781" s="18"/>
      <c r="AA781" s="18"/>
      <c r="AB781" s="18"/>
      <c r="AC781" s="8" t="str">
        <f t="shared" si="49"/>
        <v/>
      </c>
      <c r="AD781" s="8"/>
      <c r="AE781" s="8"/>
      <c r="AF781" s="14"/>
      <c r="AG781" s="13"/>
      <c r="AH781" s="14"/>
      <c r="AI781" s="14"/>
      <c r="AJ781" s="8"/>
      <c r="AK781" s="8"/>
      <c r="AL781" s="8"/>
      <c r="AM781" s="8"/>
      <c r="AN781" s="631"/>
      <c r="AO781" s="18"/>
      <c r="AP781" s="18"/>
      <c r="AQ781" s="18"/>
      <c r="AR781" s="18"/>
      <c r="AS781" s="18"/>
      <c r="AU781" s="448"/>
      <c r="AV781" s="448"/>
      <c r="AW781" s="8" t="str">
        <f>IF(C781&gt;0,VLOOKUP(C781,Foundation_Calc!$A$2:$C$986,3,1),
IF(J781&gt;0,VLOOKUP(J781,Foundation_Calc!$A$2:$C$986,3,1),""))</f>
        <v/>
      </c>
      <c r="AX781" s="8" t="str">
        <f>IF(C781&gt;0,VLOOKUP(C781,Foundation_Calc!$E$2:$G$986,3,1),
IF(J781&gt;0,VLOOKUP(J781,Foundation_Calc!$E$2:$G$986,3,1),""))</f>
        <v/>
      </c>
      <c r="AY781" s="631" t="str">
        <f>IF(L781="","",
IF(AX781="PT",VLOOKUP(L781,Foundation_Calc!$K$4:$R$37,VLOOKUP(AW781,Foundation_Calc!$I$2:$J$8,2,FALSE),0),
IF(AX781="K",VLOOKUP(L781,Foundation_Calc!$K$41:$R$74,VLOOKUP(AW781,Foundation_Calc!$I$2:$J$8,2,FALSE),0),"")))</f>
        <v/>
      </c>
      <c r="AZ781" s="631" t="str">
        <f>IF(K781="","",
IF(AX781="PT",VLOOKUP(K781,Foundation_Calc!$K$4:$R$37,VLOOKUP(AW781,Foundation_Calc!$I$2:$J$8,2,FALSE),0),
IF(AX781="K",VLOOKUP(K781,Foundation_Calc!$K$41:$R$74,VLOOKUP(AW781,Foundation_Calc!$I$2:$J$8,2,FALSE),0),"")))</f>
        <v/>
      </c>
      <c r="BA781" s="632" t="str">
        <f t="shared" si="50"/>
        <v/>
      </c>
      <c r="BB781" s="632" t="str">
        <f t="shared" si="51"/>
        <v/>
      </c>
      <c r="BC781" s="632" t="str">
        <f t="shared" si="52"/>
        <v/>
      </c>
      <c r="BD781" s="633" t="str">
        <f>IF(AND(L781="",H781=""),"",
IF(H781="",Pole_Calc!A809,
IF(H781="MP",Pole_Calc!A810,
IF(H781="AnMP",Pole_Calc!A811,
IF(H781="A",Pole_Calc!A812,
IF(H781="S/A",Pole_Calc!A813,
IF(H781="A/S",Pole_Calc!A814,"Poner a mano")))))))</f>
        <v/>
      </c>
      <c r="BE781" s="448" t="s">
        <v>1726</v>
      </c>
      <c r="BF781" s="635"/>
      <c r="BG781" s="635"/>
      <c r="BH781" s="634"/>
      <c r="BI781" s="635"/>
    </row>
    <row r="782" spans="1:61" ht="16.2" customHeight="1">
      <c r="A782" s="12"/>
      <c r="B782" s="446"/>
      <c r="C782" s="89"/>
      <c r="D782" s="13"/>
      <c r="E782" s="14"/>
      <c r="F782" s="14"/>
      <c r="G782" s="15"/>
      <c r="H782" s="8"/>
      <c r="I782" s="8"/>
      <c r="J782" s="89"/>
      <c r="K782" s="8"/>
      <c r="L782" s="8"/>
      <c r="M782" s="8" t="str">
        <f>IF(L782="","",
IF(AX782="PT",VLOOKUP(L782,Foundation_Calc!$V$4:$X$37,VLOOKUP(AX782,Foundation_Calc!$I$10:$J$13,2,FALSE),0),
IF(AX782="K",VLOOKUP(L782,Foundation_Calc!$V$41:$X$74,VLOOKUP(AX782,Foundation_Calc!$I$10:$J$13,2,FALSE),0),"")))</f>
        <v/>
      </c>
      <c r="N782" s="8"/>
      <c r="O782" s="8"/>
      <c r="P782" s="8"/>
      <c r="Q782" s="14"/>
      <c r="R782" s="15"/>
      <c r="S782" s="15"/>
      <c r="T782" s="14"/>
      <c r="U782" s="14"/>
      <c r="V782" s="14"/>
      <c r="W782" s="18"/>
      <c r="X782" s="18"/>
      <c r="Y782" s="18"/>
      <c r="Z782" s="18"/>
      <c r="AA782" s="18"/>
      <c r="AB782" s="18"/>
      <c r="AC782" s="8" t="str">
        <f t="shared" si="49"/>
        <v/>
      </c>
      <c r="AD782" s="8"/>
      <c r="AE782" s="8"/>
      <c r="AF782" s="14"/>
      <c r="AG782" s="13"/>
      <c r="AH782" s="14"/>
      <c r="AI782" s="14"/>
      <c r="AJ782" s="8"/>
      <c r="AK782" s="8"/>
      <c r="AL782" s="8"/>
      <c r="AM782" s="8"/>
      <c r="AN782" s="631"/>
      <c r="AO782" s="18"/>
      <c r="AP782" s="18"/>
      <c r="AQ782" s="18"/>
      <c r="AR782" s="18"/>
      <c r="AS782" s="18"/>
      <c r="AU782" s="448"/>
      <c r="AV782" s="448"/>
      <c r="AW782" s="8" t="str">
        <f>IF(C782&gt;0,VLOOKUP(C782,Foundation_Calc!$A$2:$C$986,3,1),
IF(J782&gt;0,VLOOKUP(J782,Foundation_Calc!$A$2:$C$986,3,1),""))</f>
        <v/>
      </c>
      <c r="AX782" s="8" t="str">
        <f>IF(C782&gt;0,VLOOKUP(C782,Foundation_Calc!$E$2:$G$986,3,1),
IF(J782&gt;0,VLOOKUP(J782,Foundation_Calc!$E$2:$G$986,3,1),""))</f>
        <v/>
      </c>
      <c r="AY782" s="631" t="str">
        <f>IF(L782="","",
IF(AX782="PT",VLOOKUP(L782,Foundation_Calc!$K$4:$R$37,VLOOKUP(AW782,Foundation_Calc!$I$2:$J$8,2,FALSE),0),
IF(AX782="K",VLOOKUP(L782,Foundation_Calc!$K$41:$R$74,VLOOKUP(AW782,Foundation_Calc!$I$2:$J$8,2,FALSE),0),"")))</f>
        <v/>
      </c>
      <c r="AZ782" s="631" t="str">
        <f>IF(K782="","",
IF(AX782="PT",VLOOKUP(K782,Foundation_Calc!$K$4:$R$37,VLOOKUP(AW782,Foundation_Calc!$I$2:$J$8,2,FALSE),0),
IF(AX782="K",VLOOKUP(K782,Foundation_Calc!$K$41:$R$74,VLOOKUP(AW782,Foundation_Calc!$I$2:$J$8,2,FALSE),0),"")))</f>
        <v/>
      </c>
      <c r="BA782" s="632" t="str">
        <f t="shared" si="50"/>
        <v/>
      </c>
      <c r="BB782" s="632" t="str">
        <f t="shared" si="51"/>
        <v/>
      </c>
      <c r="BC782" s="632" t="str">
        <f t="shared" si="52"/>
        <v/>
      </c>
      <c r="BD782" s="633" t="str">
        <f>IF(AND(L782="",H782=""),"",
IF(H782="",Pole_Calc!A810,
IF(H782="MP",Pole_Calc!A811,
IF(H782="AnMP",Pole_Calc!A812,
IF(H782="A",Pole_Calc!A813,
IF(H782="S/A",Pole_Calc!A814,
IF(H782="A/S",Pole_Calc!A815,"Poner a mano")))))))</f>
        <v/>
      </c>
      <c r="BE782" s="448" t="s">
        <v>1726</v>
      </c>
      <c r="BF782" s="634"/>
      <c r="BG782" s="634"/>
      <c r="BH782" s="634"/>
      <c r="BI782" s="634"/>
    </row>
    <row r="783" spans="1:61" ht="16.2" customHeight="1">
      <c r="A783" s="12"/>
      <c r="B783" s="446"/>
      <c r="C783" s="89"/>
      <c r="D783" s="13"/>
      <c r="E783" s="14"/>
      <c r="F783" s="14"/>
      <c r="G783" s="15"/>
      <c r="H783" s="8"/>
      <c r="I783" s="8"/>
      <c r="J783" s="89"/>
      <c r="K783" s="8"/>
      <c r="L783" s="8"/>
      <c r="M783" s="8" t="str">
        <f>IF(L783="","",
IF(AX783="PT",VLOOKUP(L783,Foundation_Calc!$V$4:$X$37,VLOOKUP(AX783,Foundation_Calc!$I$10:$J$13,2,FALSE),0),
IF(AX783="K",VLOOKUP(L783,Foundation_Calc!$V$41:$X$74,VLOOKUP(AX783,Foundation_Calc!$I$10:$J$13,2,FALSE),0),"")))</f>
        <v/>
      </c>
      <c r="N783" s="8"/>
      <c r="O783" s="8"/>
      <c r="P783" s="8"/>
      <c r="Q783" s="14"/>
      <c r="R783" s="15"/>
      <c r="S783" s="15"/>
      <c r="T783" s="14"/>
      <c r="U783" s="14"/>
      <c r="V783" s="14"/>
      <c r="W783" s="18"/>
      <c r="X783" s="18"/>
      <c r="Y783" s="18"/>
      <c r="Z783" s="18"/>
      <c r="AA783" s="18"/>
      <c r="AB783" s="18"/>
      <c r="AC783" s="8" t="str">
        <f t="shared" si="49"/>
        <v/>
      </c>
      <c r="AD783" s="8"/>
      <c r="AE783" s="8"/>
      <c r="AF783" s="14"/>
      <c r="AG783" s="13"/>
      <c r="AH783" s="14"/>
      <c r="AI783" s="14"/>
      <c r="AJ783" s="8"/>
      <c r="AK783" s="8"/>
      <c r="AL783" s="8"/>
      <c r="AM783" s="8"/>
      <c r="AN783" s="631"/>
      <c r="AO783" s="18"/>
      <c r="AP783" s="18"/>
      <c r="AQ783" s="18"/>
      <c r="AR783" s="18"/>
      <c r="AS783" s="18"/>
      <c r="AU783" s="448"/>
      <c r="AV783" s="448"/>
      <c r="AW783" s="8" t="str">
        <f>IF(C783&gt;0,VLOOKUP(C783,Foundation_Calc!$A$2:$C$986,3,1),
IF(J783&gt;0,VLOOKUP(J783,Foundation_Calc!$A$2:$C$986,3,1),""))</f>
        <v/>
      </c>
      <c r="AX783" s="8" t="str">
        <f>IF(C783&gt;0,VLOOKUP(C783,Foundation_Calc!$E$2:$G$986,3,1),
IF(J783&gt;0,VLOOKUP(J783,Foundation_Calc!$E$2:$G$986,3,1),""))</f>
        <v/>
      </c>
      <c r="AY783" s="631" t="str">
        <f>IF(L783="","",
IF(AX783="PT",VLOOKUP(L783,Foundation_Calc!$K$4:$R$37,VLOOKUP(AW783,Foundation_Calc!$I$2:$J$8,2,FALSE),0),
IF(AX783="K",VLOOKUP(L783,Foundation_Calc!$K$41:$R$74,VLOOKUP(AW783,Foundation_Calc!$I$2:$J$8,2,FALSE),0),"")))</f>
        <v/>
      </c>
      <c r="AZ783" s="631" t="str">
        <f>IF(K783="","",
IF(AX783="PT",VLOOKUP(K783,Foundation_Calc!$K$4:$R$37,VLOOKUP(AW783,Foundation_Calc!$I$2:$J$8,2,FALSE),0),
IF(AX783="K",VLOOKUP(K783,Foundation_Calc!$K$41:$R$74,VLOOKUP(AW783,Foundation_Calc!$I$2:$J$8,2,FALSE),0),"")))</f>
        <v/>
      </c>
      <c r="BA783" s="632" t="str">
        <f t="shared" si="50"/>
        <v/>
      </c>
      <c r="BB783" s="632" t="str">
        <f t="shared" si="51"/>
        <v/>
      </c>
      <c r="BC783" s="632" t="str">
        <f t="shared" si="52"/>
        <v/>
      </c>
      <c r="BD783" s="633" t="str">
        <f>IF(AND(L783="",H783=""),"",
IF(H783="",Pole_Calc!A811,
IF(H783="MP",Pole_Calc!A812,
IF(H783="AnMP",Pole_Calc!A813,
IF(H783="A",Pole_Calc!A814,
IF(H783="S/A",Pole_Calc!A815,
IF(H783="A/S",Pole_Calc!A816,"Poner a mano")))))))</f>
        <v/>
      </c>
      <c r="BE783" s="448" t="s">
        <v>1726</v>
      </c>
      <c r="BF783" s="635"/>
      <c r="BG783" s="635"/>
      <c r="BH783" s="634"/>
      <c r="BI783" s="635"/>
    </row>
    <row r="784" spans="1:61" ht="16.2" customHeight="1">
      <c r="A784" s="12"/>
      <c r="B784" s="446"/>
      <c r="C784" s="89"/>
      <c r="D784" s="13"/>
      <c r="E784" s="14"/>
      <c r="F784" s="14"/>
      <c r="G784" s="15"/>
      <c r="H784" s="8"/>
      <c r="I784" s="8"/>
      <c r="J784" s="89"/>
      <c r="K784" s="8"/>
      <c r="L784" s="8"/>
      <c r="M784" s="8" t="str">
        <f>IF(L784="","",
IF(AX784="PT",VLOOKUP(L784,Foundation_Calc!$V$4:$X$37,VLOOKUP(AX784,Foundation_Calc!$I$10:$J$13,2,FALSE),0),
IF(AX784="K",VLOOKUP(L784,Foundation_Calc!$V$41:$X$74,VLOOKUP(AX784,Foundation_Calc!$I$10:$J$13,2,FALSE),0),"")))</f>
        <v/>
      </c>
      <c r="N784" s="8"/>
      <c r="O784" s="8"/>
      <c r="P784" s="8"/>
      <c r="Q784" s="14"/>
      <c r="R784" s="15"/>
      <c r="S784" s="15"/>
      <c r="T784" s="14"/>
      <c r="U784" s="14"/>
      <c r="V784" s="14"/>
      <c r="W784" s="18"/>
      <c r="X784" s="18"/>
      <c r="Y784" s="18"/>
      <c r="Z784" s="18"/>
      <c r="AA784" s="18"/>
      <c r="AB784" s="18"/>
      <c r="AC784" s="8" t="str">
        <f t="shared" si="49"/>
        <v/>
      </c>
      <c r="AD784" s="8"/>
      <c r="AE784" s="8"/>
      <c r="AF784" s="14"/>
      <c r="AG784" s="13"/>
      <c r="AH784" s="14"/>
      <c r="AI784" s="14"/>
      <c r="AJ784" s="8"/>
      <c r="AK784" s="8"/>
      <c r="AL784" s="8"/>
      <c r="AM784" s="8"/>
      <c r="AN784" s="631"/>
      <c r="AO784" s="18"/>
      <c r="AP784" s="18"/>
      <c r="AQ784" s="18"/>
      <c r="AR784" s="18"/>
      <c r="AS784" s="18"/>
      <c r="AU784" s="448"/>
      <c r="AV784" s="448"/>
      <c r="AW784" s="8" t="str">
        <f>IF(C784&gt;0,VLOOKUP(C784,Foundation_Calc!$A$2:$C$986,3,1),
IF(J784&gt;0,VLOOKUP(J784,Foundation_Calc!$A$2:$C$986,3,1),""))</f>
        <v/>
      </c>
      <c r="AX784" s="8" t="str">
        <f>IF(C784&gt;0,VLOOKUP(C784,Foundation_Calc!$E$2:$G$986,3,1),
IF(J784&gt;0,VLOOKUP(J784,Foundation_Calc!$E$2:$G$986,3,1),""))</f>
        <v/>
      </c>
      <c r="AY784" s="631" t="str">
        <f>IF(L784="","",
IF(AX784="PT",VLOOKUP(L784,Foundation_Calc!$K$4:$R$37,VLOOKUP(AW784,Foundation_Calc!$I$2:$J$8,2,FALSE),0),
IF(AX784="K",VLOOKUP(L784,Foundation_Calc!$K$41:$R$74,VLOOKUP(AW784,Foundation_Calc!$I$2:$J$8,2,FALSE),0),"")))</f>
        <v/>
      </c>
      <c r="AZ784" s="631" t="str">
        <f>IF(K784="","",
IF(AX784="PT",VLOOKUP(K784,Foundation_Calc!$K$4:$R$37,VLOOKUP(AW784,Foundation_Calc!$I$2:$J$8,2,FALSE),0),
IF(AX784="K",VLOOKUP(K784,Foundation_Calc!$K$41:$R$74,VLOOKUP(AW784,Foundation_Calc!$I$2:$J$8,2,FALSE),0),"")))</f>
        <v/>
      </c>
      <c r="BA784" s="632" t="str">
        <f t="shared" si="50"/>
        <v/>
      </c>
      <c r="BB784" s="632" t="str">
        <f t="shared" si="51"/>
        <v/>
      </c>
      <c r="BC784" s="632" t="str">
        <f t="shared" si="52"/>
        <v/>
      </c>
      <c r="BD784" s="633" t="str">
        <f>IF(AND(L784="",H784=""),"",
IF(H784="",Pole_Calc!A812,
IF(H784="MP",Pole_Calc!A813,
IF(H784="AnMP",Pole_Calc!A814,
IF(H784="A",Pole_Calc!A815,
IF(H784="S/A",Pole_Calc!A816,
IF(H784="A/S",Pole_Calc!A817,"Poner a mano")))))))</f>
        <v/>
      </c>
      <c r="BE784" s="448" t="s">
        <v>1726</v>
      </c>
      <c r="BF784" s="634"/>
      <c r="BG784" s="634"/>
      <c r="BH784" s="634"/>
      <c r="BI784" s="634"/>
    </row>
    <row r="785" spans="1:61" ht="16.2" customHeight="1">
      <c r="A785" s="12"/>
      <c r="B785" s="446"/>
      <c r="C785" s="89"/>
      <c r="D785" s="13"/>
      <c r="E785" s="14"/>
      <c r="F785" s="14"/>
      <c r="G785" s="15"/>
      <c r="H785" s="8"/>
      <c r="I785" s="8"/>
      <c r="J785" s="89"/>
      <c r="K785" s="8"/>
      <c r="L785" s="8"/>
      <c r="M785" s="8" t="str">
        <f>IF(L785="","",
IF(AX785="PT",VLOOKUP(L785,Foundation_Calc!$V$4:$X$37,VLOOKUP(AX785,Foundation_Calc!$I$10:$J$13,2,FALSE),0),
IF(AX785="K",VLOOKUP(L785,Foundation_Calc!$V$41:$X$74,VLOOKUP(AX785,Foundation_Calc!$I$10:$J$13,2,FALSE),0),"")))</f>
        <v/>
      </c>
      <c r="N785" s="8"/>
      <c r="O785" s="8"/>
      <c r="P785" s="8"/>
      <c r="Q785" s="14"/>
      <c r="R785" s="15"/>
      <c r="S785" s="15"/>
      <c r="T785" s="14"/>
      <c r="U785" s="14"/>
      <c r="V785" s="14"/>
      <c r="W785" s="18"/>
      <c r="X785" s="18"/>
      <c r="Y785" s="18"/>
      <c r="Z785" s="18"/>
      <c r="AA785" s="18"/>
      <c r="AB785" s="18"/>
      <c r="AC785" s="8" t="str">
        <f t="shared" si="49"/>
        <v/>
      </c>
      <c r="AD785" s="8"/>
      <c r="AE785" s="8"/>
      <c r="AF785" s="14"/>
      <c r="AG785" s="13"/>
      <c r="AH785" s="14"/>
      <c r="AI785" s="14"/>
      <c r="AJ785" s="8"/>
      <c r="AK785" s="8"/>
      <c r="AL785" s="8"/>
      <c r="AM785" s="8"/>
      <c r="AN785" s="631"/>
      <c r="AO785" s="18"/>
      <c r="AP785" s="18"/>
      <c r="AQ785" s="18"/>
      <c r="AR785" s="18"/>
      <c r="AS785" s="18"/>
      <c r="AU785" s="448"/>
      <c r="AV785" s="448"/>
      <c r="AW785" s="8" t="str">
        <f>IF(C785&gt;0,VLOOKUP(C785,Foundation_Calc!$A$2:$C$986,3,1),
IF(J785&gt;0,VLOOKUP(J785,Foundation_Calc!$A$2:$C$986,3,1),""))</f>
        <v/>
      </c>
      <c r="AX785" s="8" t="str">
        <f>IF(C785&gt;0,VLOOKUP(C785,Foundation_Calc!$E$2:$G$986,3,1),
IF(J785&gt;0,VLOOKUP(J785,Foundation_Calc!$E$2:$G$986,3,1),""))</f>
        <v/>
      </c>
      <c r="AY785" s="631" t="str">
        <f>IF(L785="","",
IF(AX785="PT",VLOOKUP(L785,Foundation_Calc!$K$4:$R$37,VLOOKUP(AW785,Foundation_Calc!$I$2:$J$8,2,FALSE),0),
IF(AX785="K",VLOOKUP(L785,Foundation_Calc!$K$41:$R$74,VLOOKUP(AW785,Foundation_Calc!$I$2:$J$8,2,FALSE),0),"")))</f>
        <v/>
      </c>
      <c r="AZ785" s="631" t="str">
        <f>IF(K785="","",
IF(AX785="PT",VLOOKUP(K785,Foundation_Calc!$K$4:$R$37,VLOOKUP(AW785,Foundation_Calc!$I$2:$J$8,2,FALSE),0),
IF(AX785="K",VLOOKUP(K785,Foundation_Calc!$K$41:$R$74,VLOOKUP(AW785,Foundation_Calc!$I$2:$J$8,2,FALSE),0),"")))</f>
        <v/>
      </c>
      <c r="BA785" s="632" t="str">
        <f t="shared" si="50"/>
        <v/>
      </c>
      <c r="BB785" s="632" t="str">
        <f t="shared" si="51"/>
        <v/>
      </c>
      <c r="BC785" s="632" t="str">
        <f t="shared" si="52"/>
        <v/>
      </c>
      <c r="BD785" s="633" t="str">
        <f>IF(AND(L785="",H785=""),"",
IF(H785="",Pole_Calc!A813,
IF(H785="MP",Pole_Calc!A814,
IF(H785="AnMP",Pole_Calc!A815,
IF(H785="A",Pole_Calc!A816,
IF(H785="S/A",Pole_Calc!A817,
IF(H785="A/S",Pole_Calc!A818,"Poner a mano")))))))</f>
        <v/>
      </c>
      <c r="BE785" s="448" t="s">
        <v>1726</v>
      </c>
      <c r="BF785" s="635"/>
      <c r="BG785" s="635"/>
      <c r="BH785" s="634"/>
      <c r="BI785" s="635"/>
    </row>
    <row r="786" spans="1:61" ht="16.2" customHeight="1">
      <c r="A786" s="12"/>
      <c r="B786" s="446"/>
      <c r="C786" s="89"/>
      <c r="D786" s="13"/>
      <c r="E786" s="14"/>
      <c r="F786" s="14"/>
      <c r="G786" s="15"/>
      <c r="H786" s="8"/>
      <c r="I786" s="8"/>
      <c r="J786" s="89"/>
      <c r="K786" s="8"/>
      <c r="L786" s="8"/>
      <c r="M786" s="8" t="str">
        <f>IF(L786="","",
IF(AX786="PT",VLOOKUP(L786,Foundation_Calc!$V$4:$X$37,VLOOKUP(AX786,Foundation_Calc!$I$10:$J$13,2,FALSE),0),
IF(AX786="K",VLOOKUP(L786,Foundation_Calc!$V$41:$X$74,VLOOKUP(AX786,Foundation_Calc!$I$10:$J$13,2,FALSE),0),"")))</f>
        <v/>
      </c>
      <c r="N786" s="8"/>
      <c r="O786" s="8"/>
      <c r="P786" s="8"/>
      <c r="Q786" s="14"/>
      <c r="R786" s="15"/>
      <c r="S786" s="15"/>
      <c r="T786" s="14"/>
      <c r="U786" s="14"/>
      <c r="V786" s="14"/>
      <c r="W786" s="18"/>
      <c r="X786" s="18"/>
      <c r="Y786" s="18"/>
      <c r="Z786" s="18"/>
      <c r="AA786" s="18"/>
      <c r="AB786" s="18"/>
      <c r="AC786" s="8" t="str">
        <f t="shared" si="49"/>
        <v/>
      </c>
      <c r="AD786" s="8"/>
      <c r="AE786" s="8"/>
      <c r="AF786" s="14"/>
      <c r="AG786" s="13"/>
      <c r="AH786" s="14"/>
      <c r="AI786" s="14"/>
      <c r="AJ786" s="8"/>
      <c r="AK786" s="8"/>
      <c r="AL786" s="8"/>
      <c r="AM786" s="8"/>
      <c r="AN786" s="631"/>
      <c r="AO786" s="18"/>
      <c r="AP786" s="18"/>
      <c r="AQ786" s="18"/>
      <c r="AR786" s="18"/>
      <c r="AS786" s="18"/>
      <c r="AU786" s="448"/>
      <c r="AV786" s="448"/>
      <c r="AW786" s="8" t="str">
        <f>IF(C786&gt;0,VLOOKUP(C786,Foundation_Calc!$A$2:$C$986,3,1),
IF(J786&gt;0,VLOOKUP(J786,Foundation_Calc!$A$2:$C$986,3,1),""))</f>
        <v/>
      </c>
      <c r="AX786" s="8" t="str">
        <f>IF(C786&gt;0,VLOOKUP(C786,Foundation_Calc!$E$2:$G$986,3,1),
IF(J786&gt;0,VLOOKUP(J786,Foundation_Calc!$E$2:$G$986,3,1),""))</f>
        <v/>
      </c>
      <c r="AY786" s="631" t="str">
        <f>IF(L786="","",
IF(AX786="PT",VLOOKUP(L786,Foundation_Calc!$K$4:$R$37,VLOOKUP(AW786,Foundation_Calc!$I$2:$J$8,2,FALSE),0),
IF(AX786="K",VLOOKUP(L786,Foundation_Calc!$K$41:$R$74,VLOOKUP(AW786,Foundation_Calc!$I$2:$J$8,2,FALSE),0),"")))</f>
        <v/>
      </c>
      <c r="AZ786" s="631" t="str">
        <f>IF(K786="","",
IF(AX786="PT",VLOOKUP(K786,Foundation_Calc!$K$4:$R$37,VLOOKUP(AW786,Foundation_Calc!$I$2:$J$8,2,FALSE),0),
IF(AX786="K",VLOOKUP(K786,Foundation_Calc!$K$41:$R$74,VLOOKUP(AW786,Foundation_Calc!$I$2:$J$8,2,FALSE),0),"")))</f>
        <v/>
      </c>
      <c r="BA786" s="632" t="str">
        <f t="shared" si="50"/>
        <v/>
      </c>
      <c r="BB786" s="632" t="str">
        <f t="shared" si="51"/>
        <v/>
      </c>
      <c r="BC786" s="632" t="str">
        <f t="shared" si="52"/>
        <v/>
      </c>
      <c r="BD786" s="633" t="str">
        <f>IF(AND(L786="",H786=""),"",
IF(H786="",Pole_Calc!A814,
IF(H786="MP",Pole_Calc!A815,
IF(H786="AnMP",Pole_Calc!A816,
IF(H786="A",Pole_Calc!A817,
IF(H786="S/A",Pole_Calc!A818,
IF(H786="A/S",Pole_Calc!A819,"Poner a mano")))))))</f>
        <v/>
      </c>
      <c r="BE786" s="448" t="s">
        <v>1726</v>
      </c>
      <c r="BF786" s="634"/>
      <c r="BG786" s="634"/>
      <c r="BH786" s="634"/>
      <c r="BI786" s="634"/>
    </row>
    <row r="787" spans="1:61" ht="16.2" customHeight="1">
      <c r="A787" s="12"/>
      <c r="B787" s="446"/>
      <c r="C787" s="89"/>
      <c r="D787" s="13"/>
      <c r="E787" s="14"/>
      <c r="F787" s="14"/>
      <c r="G787" s="15"/>
      <c r="H787" s="8"/>
      <c r="I787" s="8"/>
      <c r="J787" s="89"/>
      <c r="K787" s="8"/>
      <c r="L787" s="8"/>
      <c r="M787" s="8" t="str">
        <f>IF(L787="","",
IF(AX787="PT",VLOOKUP(L787,Foundation_Calc!$V$4:$X$37,VLOOKUP(AX787,Foundation_Calc!$I$10:$J$13,2,FALSE),0),
IF(AX787="K",VLOOKUP(L787,Foundation_Calc!$V$41:$X$74,VLOOKUP(AX787,Foundation_Calc!$I$10:$J$13,2,FALSE),0),"")))</f>
        <v/>
      </c>
      <c r="N787" s="8"/>
      <c r="O787" s="8"/>
      <c r="P787" s="8"/>
      <c r="Q787" s="14"/>
      <c r="R787" s="15"/>
      <c r="S787" s="15"/>
      <c r="T787" s="14"/>
      <c r="U787" s="14"/>
      <c r="V787" s="14"/>
      <c r="W787" s="18"/>
      <c r="X787" s="18"/>
      <c r="Y787" s="18"/>
      <c r="Z787" s="18"/>
      <c r="AA787" s="18"/>
      <c r="AB787" s="18"/>
      <c r="AC787" s="8" t="str">
        <f t="shared" si="49"/>
        <v/>
      </c>
      <c r="AD787" s="8"/>
      <c r="AE787" s="8"/>
      <c r="AF787" s="14"/>
      <c r="AG787" s="13"/>
      <c r="AH787" s="14"/>
      <c r="AI787" s="14"/>
      <c r="AJ787" s="8"/>
      <c r="AK787" s="8"/>
      <c r="AL787" s="8"/>
      <c r="AM787" s="8"/>
      <c r="AN787" s="631"/>
      <c r="AO787" s="18"/>
      <c r="AP787" s="18"/>
      <c r="AQ787" s="18"/>
      <c r="AR787" s="18"/>
      <c r="AS787" s="18"/>
      <c r="AU787" s="448"/>
      <c r="AV787" s="448"/>
      <c r="AW787" s="8" t="str">
        <f>IF(C787&gt;0,VLOOKUP(C787,Foundation_Calc!$A$2:$C$986,3,1),
IF(J787&gt;0,VLOOKUP(J787,Foundation_Calc!$A$2:$C$986,3,1),""))</f>
        <v/>
      </c>
      <c r="AX787" s="8" t="str">
        <f>IF(C787&gt;0,VLOOKUP(C787,Foundation_Calc!$E$2:$G$986,3,1),
IF(J787&gt;0,VLOOKUP(J787,Foundation_Calc!$E$2:$G$986,3,1),""))</f>
        <v/>
      </c>
      <c r="AY787" s="631" t="str">
        <f>IF(L787="","",
IF(AX787="PT",VLOOKUP(L787,Foundation_Calc!$K$4:$R$37,VLOOKUP(AW787,Foundation_Calc!$I$2:$J$8,2,FALSE),0),
IF(AX787="K",VLOOKUP(L787,Foundation_Calc!$K$41:$R$74,VLOOKUP(AW787,Foundation_Calc!$I$2:$J$8,2,FALSE),0),"")))</f>
        <v/>
      </c>
      <c r="AZ787" s="631" t="str">
        <f>IF(K787="","",
IF(AX787="PT",VLOOKUP(K787,Foundation_Calc!$K$4:$R$37,VLOOKUP(AW787,Foundation_Calc!$I$2:$J$8,2,FALSE),0),
IF(AX787="K",VLOOKUP(K787,Foundation_Calc!$K$41:$R$74,VLOOKUP(AW787,Foundation_Calc!$I$2:$J$8,2,FALSE),0),"")))</f>
        <v/>
      </c>
      <c r="BA787" s="632" t="str">
        <f t="shared" si="50"/>
        <v/>
      </c>
      <c r="BB787" s="632" t="str">
        <f t="shared" si="51"/>
        <v/>
      </c>
      <c r="BC787" s="632" t="str">
        <f t="shared" si="52"/>
        <v/>
      </c>
      <c r="BD787" s="633" t="str">
        <f>IF(AND(L787="",H787=""),"",
IF(H787="",Pole_Calc!A815,
IF(H787="MP",Pole_Calc!A816,
IF(H787="AnMP",Pole_Calc!A817,
IF(H787="A",Pole_Calc!A818,
IF(H787="S/A",Pole_Calc!A819,
IF(H787="A/S",Pole_Calc!A820,"Poner a mano")))))))</f>
        <v/>
      </c>
      <c r="BE787" s="448" t="s">
        <v>1726</v>
      </c>
      <c r="BF787" s="635"/>
      <c r="BG787" s="635"/>
      <c r="BH787" s="634"/>
      <c r="BI787" s="635"/>
    </row>
    <row r="788" spans="1:61" ht="16.2" customHeight="1">
      <c r="A788" s="12"/>
      <c r="B788" s="446"/>
      <c r="C788" s="89"/>
      <c r="D788" s="13"/>
      <c r="E788" s="14"/>
      <c r="F788" s="14"/>
      <c r="G788" s="15"/>
      <c r="H788" s="8"/>
      <c r="I788" s="8"/>
      <c r="J788" s="89"/>
      <c r="K788" s="8"/>
      <c r="L788" s="8"/>
      <c r="M788" s="8" t="str">
        <f>IF(L788="","",
IF(AX788="PT",VLOOKUP(L788,Foundation_Calc!$V$4:$X$37,VLOOKUP(AX788,Foundation_Calc!$I$10:$J$13,2,FALSE),0),
IF(AX788="K",VLOOKUP(L788,Foundation_Calc!$V$41:$X$74,VLOOKUP(AX788,Foundation_Calc!$I$10:$J$13,2,FALSE),0),"")))</f>
        <v/>
      </c>
      <c r="N788" s="8"/>
      <c r="O788" s="8"/>
      <c r="P788" s="8"/>
      <c r="Q788" s="14"/>
      <c r="R788" s="15"/>
      <c r="S788" s="15"/>
      <c r="T788" s="14"/>
      <c r="U788" s="14"/>
      <c r="V788" s="14"/>
      <c r="W788" s="18"/>
      <c r="X788" s="18"/>
      <c r="Y788" s="18"/>
      <c r="Z788" s="18"/>
      <c r="AA788" s="18"/>
      <c r="AB788" s="18"/>
      <c r="AC788" s="8" t="str">
        <f t="shared" si="49"/>
        <v/>
      </c>
      <c r="AD788" s="8"/>
      <c r="AE788" s="8"/>
      <c r="AF788" s="14"/>
      <c r="AG788" s="13"/>
      <c r="AH788" s="14"/>
      <c r="AI788" s="14"/>
      <c r="AJ788" s="8"/>
      <c r="AK788" s="8"/>
      <c r="AL788" s="8"/>
      <c r="AM788" s="8"/>
      <c r="AN788" s="631"/>
      <c r="AO788" s="18"/>
      <c r="AP788" s="18"/>
      <c r="AQ788" s="18"/>
      <c r="AR788" s="18"/>
      <c r="AS788" s="18"/>
      <c r="AU788" s="448"/>
      <c r="AV788" s="448"/>
      <c r="AW788" s="8" t="str">
        <f>IF(C788&gt;0,VLOOKUP(C788,Foundation_Calc!$A$2:$C$986,3,1),
IF(J788&gt;0,VLOOKUP(J788,Foundation_Calc!$A$2:$C$986,3,1),""))</f>
        <v/>
      </c>
      <c r="AX788" s="8" t="str">
        <f>IF(C788&gt;0,VLOOKUP(C788,Foundation_Calc!$E$2:$G$986,3,1),
IF(J788&gt;0,VLOOKUP(J788,Foundation_Calc!$E$2:$G$986,3,1),""))</f>
        <v/>
      </c>
      <c r="AY788" s="631" t="str">
        <f>IF(L788="","",
IF(AX788="PT",VLOOKUP(L788,Foundation_Calc!$K$4:$R$37,VLOOKUP(AW788,Foundation_Calc!$I$2:$J$8,2,FALSE),0),
IF(AX788="K",VLOOKUP(L788,Foundation_Calc!$K$41:$R$74,VLOOKUP(AW788,Foundation_Calc!$I$2:$J$8,2,FALSE),0),"")))</f>
        <v/>
      </c>
      <c r="AZ788" s="631" t="str">
        <f>IF(K788="","",
IF(AX788="PT",VLOOKUP(K788,Foundation_Calc!$K$4:$R$37,VLOOKUP(AW788,Foundation_Calc!$I$2:$J$8,2,FALSE),0),
IF(AX788="K",VLOOKUP(K788,Foundation_Calc!$K$41:$R$74,VLOOKUP(AW788,Foundation_Calc!$I$2:$J$8,2,FALSE),0),"")))</f>
        <v/>
      </c>
      <c r="BA788" s="632" t="str">
        <f t="shared" si="50"/>
        <v/>
      </c>
      <c r="BB788" s="632" t="str">
        <f t="shared" si="51"/>
        <v/>
      </c>
      <c r="BC788" s="632" t="str">
        <f t="shared" si="52"/>
        <v/>
      </c>
      <c r="BD788" s="633" t="str">
        <f>IF(AND(L788="",H788=""),"",
IF(H788="",Pole_Calc!A816,
IF(H788="MP",Pole_Calc!A817,
IF(H788="AnMP",Pole_Calc!A818,
IF(H788="A",Pole_Calc!A819,
IF(H788="S/A",Pole_Calc!A820,
IF(H788="A/S",Pole_Calc!A821,"Poner a mano")))))))</f>
        <v/>
      </c>
      <c r="BE788" s="448" t="s">
        <v>1726</v>
      </c>
      <c r="BF788" s="634"/>
      <c r="BG788" s="634"/>
      <c r="BH788" s="634"/>
      <c r="BI788" s="634"/>
    </row>
    <row r="789" spans="1:61" ht="16.2" customHeight="1">
      <c r="A789" s="12"/>
      <c r="B789" s="446"/>
      <c r="C789" s="89"/>
      <c r="D789" s="13"/>
      <c r="E789" s="14"/>
      <c r="F789" s="14"/>
      <c r="G789" s="15"/>
      <c r="H789" s="8"/>
      <c r="I789" s="8"/>
      <c r="J789" s="89"/>
      <c r="K789" s="8"/>
      <c r="L789" s="8"/>
      <c r="M789" s="8" t="str">
        <f>IF(L789="","",
IF(AX789="PT",VLOOKUP(L789,Foundation_Calc!$V$4:$X$37,VLOOKUP(AX789,Foundation_Calc!$I$10:$J$13,2,FALSE),0),
IF(AX789="K",VLOOKUP(L789,Foundation_Calc!$V$41:$X$74,VLOOKUP(AX789,Foundation_Calc!$I$10:$J$13,2,FALSE),0),"")))</f>
        <v/>
      </c>
      <c r="N789" s="8"/>
      <c r="O789" s="8"/>
      <c r="P789" s="8"/>
      <c r="Q789" s="14"/>
      <c r="R789" s="15"/>
      <c r="S789" s="15"/>
      <c r="T789" s="14"/>
      <c r="U789" s="14"/>
      <c r="V789" s="14"/>
      <c r="W789" s="18"/>
      <c r="X789" s="18"/>
      <c r="Y789" s="18"/>
      <c r="Z789" s="18"/>
      <c r="AA789" s="18"/>
      <c r="AB789" s="18"/>
      <c r="AC789" s="8" t="str">
        <f t="shared" si="49"/>
        <v/>
      </c>
      <c r="AD789" s="8"/>
      <c r="AE789" s="8"/>
      <c r="AF789" s="14"/>
      <c r="AG789" s="13"/>
      <c r="AH789" s="14"/>
      <c r="AI789" s="14"/>
      <c r="AJ789" s="8"/>
      <c r="AK789" s="8"/>
      <c r="AL789" s="8"/>
      <c r="AM789" s="8"/>
      <c r="AN789" s="631"/>
      <c r="AO789" s="18"/>
      <c r="AP789" s="18"/>
      <c r="AQ789" s="18"/>
      <c r="AR789" s="18"/>
      <c r="AS789" s="18"/>
      <c r="AU789" s="448"/>
      <c r="AV789" s="448"/>
      <c r="AW789" s="8" t="str">
        <f>IF(C789&gt;0,VLOOKUP(C789,Foundation_Calc!$A$2:$C$986,3,1),
IF(J789&gt;0,VLOOKUP(J789,Foundation_Calc!$A$2:$C$986,3,1),""))</f>
        <v/>
      </c>
      <c r="AX789" s="8" t="str">
        <f>IF(C789&gt;0,VLOOKUP(C789,Foundation_Calc!$E$2:$G$986,3,1),
IF(J789&gt;0,VLOOKUP(J789,Foundation_Calc!$E$2:$G$986,3,1),""))</f>
        <v/>
      </c>
      <c r="AY789" s="631" t="str">
        <f>IF(L789="","",
IF(AX789="PT",VLOOKUP(L789,Foundation_Calc!$K$4:$R$37,VLOOKUP(AW789,Foundation_Calc!$I$2:$J$8,2,FALSE),0),
IF(AX789="K",VLOOKUP(L789,Foundation_Calc!$K$41:$R$74,VLOOKUP(AW789,Foundation_Calc!$I$2:$J$8,2,FALSE),0),"")))</f>
        <v/>
      </c>
      <c r="AZ789" s="631" t="str">
        <f>IF(K789="","",
IF(AX789="PT",VLOOKUP(K789,Foundation_Calc!$K$4:$R$37,VLOOKUP(AW789,Foundation_Calc!$I$2:$J$8,2,FALSE),0),
IF(AX789="K",VLOOKUP(K789,Foundation_Calc!$K$41:$R$74,VLOOKUP(AW789,Foundation_Calc!$I$2:$J$8,2,FALSE),0),"")))</f>
        <v/>
      </c>
      <c r="BA789" s="632" t="str">
        <f t="shared" si="50"/>
        <v/>
      </c>
      <c r="BB789" s="632" t="str">
        <f t="shared" si="51"/>
        <v/>
      </c>
      <c r="BC789" s="632" t="str">
        <f t="shared" si="52"/>
        <v/>
      </c>
      <c r="BD789" s="633" t="str">
        <f>IF(AND(L789="",H789=""),"",
IF(H789="",Pole_Calc!A817,
IF(H789="MP",Pole_Calc!A818,
IF(H789="AnMP",Pole_Calc!A819,
IF(H789="A",Pole_Calc!A820,
IF(H789="S/A",Pole_Calc!A821,
IF(H789="A/S",Pole_Calc!A822,"Poner a mano")))))))</f>
        <v/>
      </c>
      <c r="BE789" s="448" t="s">
        <v>1726</v>
      </c>
      <c r="BF789" s="635"/>
      <c r="BG789" s="635"/>
      <c r="BH789" s="634"/>
      <c r="BI789" s="635"/>
    </row>
    <row r="790" spans="1:61" ht="16.2" customHeight="1">
      <c r="A790" s="12"/>
      <c r="B790" s="446"/>
      <c r="C790" s="89"/>
      <c r="D790" s="13"/>
      <c r="E790" s="14"/>
      <c r="F790" s="14"/>
      <c r="G790" s="15"/>
      <c r="H790" s="8"/>
      <c r="I790" s="8"/>
      <c r="J790" s="89"/>
      <c r="K790" s="8"/>
      <c r="L790" s="8"/>
      <c r="M790" s="8" t="str">
        <f>IF(L790="","",
IF(AX790="PT",VLOOKUP(L790,Foundation_Calc!$V$4:$X$37,VLOOKUP(AX790,Foundation_Calc!$I$10:$J$13,2,FALSE),0),
IF(AX790="K",VLOOKUP(L790,Foundation_Calc!$V$41:$X$74,VLOOKUP(AX790,Foundation_Calc!$I$10:$J$13,2,FALSE),0),"")))</f>
        <v/>
      </c>
      <c r="N790" s="8"/>
      <c r="O790" s="8"/>
      <c r="P790" s="8"/>
      <c r="Q790" s="14"/>
      <c r="R790" s="15"/>
      <c r="S790" s="15"/>
      <c r="T790" s="14"/>
      <c r="U790" s="14"/>
      <c r="V790" s="14"/>
      <c r="W790" s="18"/>
      <c r="X790" s="18"/>
      <c r="Y790" s="18"/>
      <c r="Z790" s="18"/>
      <c r="AA790" s="18"/>
      <c r="AB790" s="18"/>
      <c r="AC790" s="8" t="str">
        <f t="shared" si="49"/>
        <v/>
      </c>
      <c r="AD790" s="8"/>
      <c r="AE790" s="8"/>
      <c r="AF790" s="14"/>
      <c r="AG790" s="13"/>
      <c r="AH790" s="14"/>
      <c r="AI790" s="14"/>
      <c r="AJ790" s="8"/>
      <c r="AK790" s="8"/>
      <c r="AL790" s="8"/>
      <c r="AM790" s="8"/>
      <c r="AN790" s="631"/>
      <c r="AO790" s="18"/>
      <c r="AP790" s="18"/>
      <c r="AQ790" s="18"/>
      <c r="AR790" s="18"/>
      <c r="AS790" s="18"/>
      <c r="AU790" s="448"/>
      <c r="AV790" s="448"/>
      <c r="AW790" s="8" t="str">
        <f>IF(C790&gt;0,VLOOKUP(C790,Foundation_Calc!$A$2:$C$986,3,1),
IF(J790&gt;0,VLOOKUP(J790,Foundation_Calc!$A$2:$C$986,3,1),""))</f>
        <v/>
      </c>
      <c r="AX790" s="8" t="str">
        <f>IF(C790&gt;0,VLOOKUP(C790,Foundation_Calc!$E$2:$G$986,3,1),
IF(J790&gt;0,VLOOKUP(J790,Foundation_Calc!$E$2:$G$986,3,1),""))</f>
        <v/>
      </c>
      <c r="AY790" s="631" t="str">
        <f>IF(L790="","",
IF(AX790="PT",VLOOKUP(L790,Foundation_Calc!$K$4:$R$37,VLOOKUP(AW790,Foundation_Calc!$I$2:$J$8,2,FALSE),0),
IF(AX790="K",VLOOKUP(L790,Foundation_Calc!$K$41:$R$74,VLOOKUP(AW790,Foundation_Calc!$I$2:$J$8,2,FALSE),0),"")))</f>
        <v/>
      </c>
      <c r="AZ790" s="631" t="str">
        <f>IF(K790="","",
IF(AX790="PT",VLOOKUP(K790,Foundation_Calc!$K$4:$R$37,VLOOKUP(AW790,Foundation_Calc!$I$2:$J$8,2,FALSE),0),
IF(AX790="K",VLOOKUP(K790,Foundation_Calc!$K$41:$R$74,VLOOKUP(AW790,Foundation_Calc!$I$2:$J$8,2,FALSE),0),"")))</f>
        <v/>
      </c>
      <c r="BA790" s="632" t="str">
        <f t="shared" si="50"/>
        <v/>
      </c>
      <c r="BB790" s="632" t="str">
        <f t="shared" si="51"/>
        <v/>
      </c>
      <c r="BC790" s="632" t="str">
        <f t="shared" si="52"/>
        <v/>
      </c>
      <c r="BD790" s="633" t="str">
        <f>IF(AND(L790="",H790=""),"",
IF(H790="",Pole_Calc!A818,
IF(H790="MP",Pole_Calc!A819,
IF(H790="AnMP",Pole_Calc!A820,
IF(H790="A",Pole_Calc!A821,
IF(H790="S/A",Pole_Calc!A822,
IF(H790="A/S",Pole_Calc!A823,"Poner a mano")))))))</f>
        <v/>
      </c>
      <c r="BE790" s="448" t="s">
        <v>1726</v>
      </c>
      <c r="BF790" s="634"/>
      <c r="BG790" s="634"/>
      <c r="BH790" s="634"/>
      <c r="BI790" s="634"/>
    </row>
    <row r="791" spans="1:61" ht="16.2" customHeight="1">
      <c r="A791" s="12"/>
      <c r="B791" s="446"/>
      <c r="C791" s="89"/>
      <c r="D791" s="13"/>
      <c r="E791" s="14"/>
      <c r="F791" s="14"/>
      <c r="G791" s="15"/>
      <c r="H791" s="8"/>
      <c r="I791" s="8"/>
      <c r="J791" s="89"/>
      <c r="K791" s="8"/>
      <c r="L791" s="8"/>
      <c r="M791" s="8" t="str">
        <f>IF(L791="","",
IF(AX791="PT",VLOOKUP(L791,Foundation_Calc!$V$4:$X$37,VLOOKUP(AX791,Foundation_Calc!$I$10:$J$13,2,FALSE),0),
IF(AX791="K",VLOOKUP(L791,Foundation_Calc!$V$41:$X$74,VLOOKUP(AX791,Foundation_Calc!$I$10:$J$13,2,FALSE),0),"")))</f>
        <v/>
      </c>
      <c r="N791" s="8"/>
      <c r="O791" s="8"/>
      <c r="P791" s="8"/>
      <c r="Q791" s="14"/>
      <c r="R791" s="15"/>
      <c r="S791" s="15"/>
      <c r="T791" s="14"/>
      <c r="U791" s="14"/>
      <c r="V791" s="14"/>
      <c r="W791" s="18"/>
      <c r="X791" s="18"/>
      <c r="Y791" s="18"/>
      <c r="Z791" s="18"/>
      <c r="AA791" s="18"/>
      <c r="AB791" s="18"/>
      <c r="AC791" s="8" t="str">
        <f t="shared" si="49"/>
        <v/>
      </c>
      <c r="AD791" s="8"/>
      <c r="AE791" s="8"/>
      <c r="AF791" s="14"/>
      <c r="AG791" s="13"/>
      <c r="AH791" s="14"/>
      <c r="AI791" s="14"/>
      <c r="AJ791" s="8"/>
      <c r="AK791" s="8"/>
      <c r="AL791" s="8"/>
      <c r="AM791" s="8"/>
      <c r="AN791" s="631"/>
      <c r="AO791" s="18"/>
      <c r="AP791" s="18"/>
      <c r="AQ791" s="18"/>
      <c r="AR791" s="18"/>
      <c r="AS791" s="18"/>
      <c r="AU791" s="448"/>
      <c r="AV791" s="448"/>
      <c r="AW791" s="8" t="str">
        <f>IF(C791&gt;0,VLOOKUP(C791,Foundation_Calc!$A$2:$C$986,3,1),
IF(J791&gt;0,VLOOKUP(J791,Foundation_Calc!$A$2:$C$986,3,1),""))</f>
        <v/>
      </c>
      <c r="AX791" s="8" t="str">
        <f>IF(C791&gt;0,VLOOKUP(C791,Foundation_Calc!$E$2:$G$986,3,1),
IF(J791&gt;0,VLOOKUP(J791,Foundation_Calc!$E$2:$G$986,3,1),""))</f>
        <v/>
      </c>
      <c r="AY791" s="631" t="str">
        <f>IF(L791="","",
IF(AX791="PT",VLOOKUP(L791,Foundation_Calc!$K$4:$R$37,VLOOKUP(AW791,Foundation_Calc!$I$2:$J$8,2,FALSE),0),
IF(AX791="K",VLOOKUP(L791,Foundation_Calc!$K$41:$R$74,VLOOKUP(AW791,Foundation_Calc!$I$2:$J$8,2,FALSE),0),"")))</f>
        <v/>
      </c>
      <c r="AZ791" s="631" t="str">
        <f>IF(K791="","",
IF(AX791="PT",VLOOKUP(K791,Foundation_Calc!$K$4:$R$37,VLOOKUP(AW791,Foundation_Calc!$I$2:$J$8,2,FALSE),0),
IF(AX791="K",VLOOKUP(K791,Foundation_Calc!$K$41:$R$74,VLOOKUP(AW791,Foundation_Calc!$I$2:$J$8,2,FALSE),0),"")))</f>
        <v/>
      </c>
      <c r="BA791" s="632" t="str">
        <f t="shared" si="50"/>
        <v/>
      </c>
      <c r="BB791" s="632" t="str">
        <f t="shared" si="51"/>
        <v/>
      </c>
      <c r="BC791" s="632" t="str">
        <f t="shared" si="52"/>
        <v/>
      </c>
      <c r="BD791" s="633" t="str">
        <f>IF(AND(L791="",H791=""),"",
IF(H791="",Pole_Calc!A819,
IF(H791="MP",Pole_Calc!A820,
IF(H791="AnMP",Pole_Calc!A821,
IF(H791="A",Pole_Calc!A822,
IF(H791="S/A",Pole_Calc!A823,
IF(H791="A/S",Pole_Calc!A824,"Poner a mano")))))))</f>
        <v/>
      </c>
      <c r="BE791" s="448" t="s">
        <v>1726</v>
      </c>
      <c r="BF791" s="635"/>
      <c r="BG791" s="635"/>
      <c r="BH791" s="634"/>
      <c r="BI791" s="635"/>
    </row>
    <row r="792" spans="1:61" ht="16.2" customHeight="1">
      <c r="A792" s="12"/>
      <c r="B792" s="446"/>
      <c r="C792" s="89"/>
      <c r="D792" s="13"/>
      <c r="E792" s="14"/>
      <c r="F792" s="14"/>
      <c r="G792" s="15"/>
      <c r="H792" s="8"/>
      <c r="I792" s="8"/>
      <c r="J792" s="89"/>
      <c r="K792" s="8"/>
      <c r="L792" s="8"/>
      <c r="M792" s="8" t="str">
        <f>IF(L792="","",
IF(AX792="PT",VLOOKUP(L792,Foundation_Calc!$V$4:$X$37,VLOOKUP(AX792,Foundation_Calc!$I$10:$J$13,2,FALSE),0),
IF(AX792="K",VLOOKUP(L792,Foundation_Calc!$V$41:$X$74,VLOOKUP(AX792,Foundation_Calc!$I$10:$J$13,2,FALSE),0),"")))</f>
        <v/>
      </c>
      <c r="N792" s="8"/>
      <c r="O792" s="8"/>
      <c r="P792" s="8"/>
      <c r="Q792" s="14"/>
      <c r="R792" s="15"/>
      <c r="S792" s="15"/>
      <c r="T792" s="14"/>
      <c r="U792" s="14"/>
      <c r="V792" s="14"/>
      <c r="W792" s="18"/>
      <c r="X792" s="18"/>
      <c r="Y792" s="18"/>
      <c r="Z792" s="18"/>
      <c r="AA792" s="18"/>
      <c r="AB792" s="18"/>
      <c r="AC792" s="8" t="str">
        <f t="shared" si="49"/>
        <v/>
      </c>
      <c r="AD792" s="8"/>
      <c r="AE792" s="8"/>
      <c r="AF792" s="14"/>
      <c r="AG792" s="13"/>
      <c r="AH792" s="14"/>
      <c r="AI792" s="14"/>
      <c r="AJ792" s="8"/>
      <c r="AK792" s="8"/>
      <c r="AL792" s="8"/>
      <c r="AM792" s="8"/>
      <c r="AN792" s="631"/>
      <c r="AO792" s="18"/>
      <c r="AP792" s="18"/>
      <c r="AQ792" s="18"/>
      <c r="AR792" s="18"/>
      <c r="AS792" s="18"/>
      <c r="AU792" s="448"/>
      <c r="AV792" s="448"/>
      <c r="AW792" s="8" t="str">
        <f>IF(C792&gt;0,VLOOKUP(C792,Foundation_Calc!$A$2:$C$986,3,1),
IF(J792&gt;0,VLOOKUP(J792,Foundation_Calc!$A$2:$C$986,3,1),""))</f>
        <v/>
      </c>
      <c r="AX792" s="8" t="str">
        <f>IF(C792&gt;0,VLOOKUP(C792,Foundation_Calc!$E$2:$G$986,3,1),
IF(J792&gt;0,VLOOKUP(J792,Foundation_Calc!$E$2:$G$986,3,1),""))</f>
        <v/>
      </c>
      <c r="AY792" s="631" t="str">
        <f>IF(L792="","",
IF(AX792="PT",VLOOKUP(L792,Foundation_Calc!$K$4:$R$37,VLOOKUP(AW792,Foundation_Calc!$I$2:$J$8,2,FALSE),0),
IF(AX792="K",VLOOKUP(L792,Foundation_Calc!$K$41:$R$74,VLOOKUP(AW792,Foundation_Calc!$I$2:$J$8,2,FALSE),0),"")))</f>
        <v/>
      </c>
      <c r="AZ792" s="631" t="str">
        <f>IF(K792="","",
IF(AX792="PT",VLOOKUP(K792,Foundation_Calc!$K$4:$R$37,VLOOKUP(AW792,Foundation_Calc!$I$2:$J$8,2,FALSE),0),
IF(AX792="K",VLOOKUP(K792,Foundation_Calc!$K$41:$R$74,VLOOKUP(AW792,Foundation_Calc!$I$2:$J$8,2,FALSE),0),"")))</f>
        <v/>
      </c>
      <c r="BA792" s="632" t="str">
        <f t="shared" si="50"/>
        <v/>
      </c>
      <c r="BB792" s="632" t="str">
        <f t="shared" si="51"/>
        <v/>
      </c>
      <c r="BC792" s="632" t="str">
        <f t="shared" si="52"/>
        <v/>
      </c>
      <c r="BD792" s="633" t="str">
        <f>IF(AND(L792="",H792=""),"",
IF(H792="",Pole_Calc!A820,
IF(H792="MP",Pole_Calc!A821,
IF(H792="AnMP",Pole_Calc!A822,
IF(H792="A",Pole_Calc!A823,
IF(H792="S/A",Pole_Calc!A824,
IF(H792="A/S",Pole_Calc!A825,"Poner a mano")))))))</f>
        <v/>
      </c>
      <c r="BE792" s="448" t="s">
        <v>1726</v>
      </c>
      <c r="BF792" s="634"/>
      <c r="BG792" s="634"/>
      <c r="BH792" s="634"/>
      <c r="BI792" s="634"/>
    </row>
    <row r="793" spans="1:61" ht="16.2" customHeight="1">
      <c r="A793" s="12"/>
      <c r="B793" s="446"/>
      <c r="C793" s="89"/>
      <c r="D793" s="13"/>
      <c r="E793" s="14"/>
      <c r="F793" s="14"/>
      <c r="G793" s="15"/>
      <c r="H793" s="8"/>
      <c r="I793" s="8"/>
      <c r="J793" s="89"/>
      <c r="K793" s="8"/>
      <c r="L793" s="8"/>
      <c r="M793" s="8" t="str">
        <f>IF(L793="","",
IF(AX793="PT",VLOOKUP(L793,Foundation_Calc!$V$4:$X$37,VLOOKUP(AX793,Foundation_Calc!$I$10:$J$13,2,FALSE),0),
IF(AX793="K",VLOOKUP(L793,Foundation_Calc!$V$41:$X$74,VLOOKUP(AX793,Foundation_Calc!$I$10:$J$13,2,FALSE),0),"")))</f>
        <v/>
      </c>
      <c r="N793" s="8"/>
      <c r="O793" s="8"/>
      <c r="P793" s="8"/>
      <c r="Q793" s="14"/>
      <c r="R793" s="15"/>
      <c r="S793" s="15"/>
      <c r="T793" s="14"/>
      <c r="U793" s="14"/>
      <c r="V793" s="14"/>
      <c r="W793" s="18"/>
      <c r="X793" s="18"/>
      <c r="Y793" s="18"/>
      <c r="Z793" s="18"/>
      <c r="AA793" s="18"/>
      <c r="AB793" s="18"/>
      <c r="AC793" s="8" t="str">
        <f t="shared" si="49"/>
        <v/>
      </c>
      <c r="AD793" s="8"/>
      <c r="AE793" s="8"/>
      <c r="AF793" s="14"/>
      <c r="AG793" s="13"/>
      <c r="AH793" s="14"/>
      <c r="AI793" s="14"/>
      <c r="AJ793" s="8"/>
      <c r="AK793" s="8"/>
      <c r="AL793" s="8"/>
      <c r="AM793" s="8"/>
      <c r="AN793" s="631"/>
      <c r="AO793" s="18"/>
      <c r="AP793" s="18"/>
      <c r="AQ793" s="18"/>
      <c r="AR793" s="18"/>
      <c r="AS793" s="18"/>
      <c r="AU793" s="448"/>
      <c r="AV793" s="448"/>
      <c r="AW793" s="8" t="str">
        <f>IF(C793&gt;0,VLOOKUP(C793,Foundation_Calc!$A$2:$C$986,3,1),
IF(J793&gt;0,VLOOKUP(J793,Foundation_Calc!$A$2:$C$986,3,1),""))</f>
        <v/>
      </c>
      <c r="AX793" s="8" t="str">
        <f>IF(C793&gt;0,VLOOKUP(C793,Foundation_Calc!$E$2:$G$986,3,1),
IF(J793&gt;0,VLOOKUP(J793,Foundation_Calc!$E$2:$G$986,3,1),""))</f>
        <v/>
      </c>
      <c r="AY793" s="631" t="str">
        <f>IF(L793="","",
IF(AX793="PT",VLOOKUP(L793,Foundation_Calc!$K$4:$R$37,VLOOKUP(AW793,Foundation_Calc!$I$2:$J$8,2,FALSE),0),
IF(AX793="K",VLOOKUP(L793,Foundation_Calc!$K$41:$R$74,VLOOKUP(AW793,Foundation_Calc!$I$2:$J$8,2,FALSE),0),"")))</f>
        <v/>
      </c>
      <c r="AZ793" s="631" t="str">
        <f>IF(K793="","",
IF(AX793="PT",VLOOKUP(K793,Foundation_Calc!$K$4:$R$37,VLOOKUP(AW793,Foundation_Calc!$I$2:$J$8,2,FALSE),0),
IF(AX793="K",VLOOKUP(K793,Foundation_Calc!$K$41:$R$74,VLOOKUP(AW793,Foundation_Calc!$I$2:$J$8,2,FALSE),0),"")))</f>
        <v/>
      </c>
      <c r="BA793" s="632" t="str">
        <f t="shared" si="50"/>
        <v/>
      </c>
      <c r="BB793" s="632" t="str">
        <f t="shared" si="51"/>
        <v/>
      </c>
      <c r="BC793" s="632" t="str">
        <f t="shared" si="52"/>
        <v/>
      </c>
      <c r="BD793" s="633" t="str">
        <f>IF(AND(L793="",H793=""),"",
IF(H793="",Pole_Calc!A821,
IF(H793="MP",Pole_Calc!A822,
IF(H793="AnMP",Pole_Calc!A823,
IF(H793="A",Pole_Calc!A824,
IF(H793="S/A",Pole_Calc!A825,
IF(H793="A/S",Pole_Calc!A826,"Poner a mano")))))))</f>
        <v/>
      </c>
      <c r="BE793" s="448" t="s">
        <v>1726</v>
      </c>
      <c r="BF793" s="635"/>
      <c r="BG793" s="635"/>
      <c r="BH793" s="634"/>
      <c r="BI793" s="635"/>
    </row>
    <row r="794" spans="1:61" ht="16.2" customHeight="1">
      <c r="A794" s="12"/>
      <c r="B794" s="446"/>
      <c r="C794" s="89"/>
      <c r="D794" s="13"/>
      <c r="E794" s="14"/>
      <c r="F794" s="14"/>
      <c r="G794" s="15"/>
      <c r="H794" s="8"/>
      <c r="I794" s="8"/>
      <c r="J794" s="89"/>
      <c r="K794" s="8"/>
      <c r="L794" s="8"/>
      <c r="M794" s="8" t="str">
        <f>IF(L794="","",
IF(AX794="PT",VLOOKUP(L794,Foundation_Calc!$V$4:$X$37,VLOOKUP(AX794,Foundation_Calc!$I$10:$J$13,2,FALSE),0),
IF(AX794="K",VLOOKUP(L794,Foundation_Calc!$V$41:$X$74,VLOOKUP(AX794,Foundation_Calc!$I$10:$J$13,2,FALSE),0),"")))</f>
        <v/>
      </c>
      <c r="N794" s="8"/>
      <c r="O794" s="8"/>
      <c r="P794" s="8"/>
      <c r="Q794" s="14"/>
      <c r="R794" s="15"/>
      <c r="S794" s="15"/>
      <c r="T794" s="14"/>
      <c r="U794" s="14"/>
      <c r="V794" s="14"/>
      <c r="W794" s="18"/>
      <c r="X794" s="18"/>
      <c r="Y794" s="18"/>
      <c r="Z794" s="18"/>
      <c r="AA794" s="18"/>
      <c r="AB794" s="18"/>
      <c r="AC794" s="8" t="str">
        <f t="shared" si="49"/>
        <v/>
      </c>
      <c r="AD794" s="8"/>
      <c r="AE794" s="8"/>
      <c r="AF794" s="14"/>
      <c r="AG794" s="13"/>
      <c r="AH794" s="14"/>
      <c r="AI794" s="14"/>
      <c r="AJ794" s="8"/>
      <c r="AK794" s="8"/>
      <c r="AL794" s="8"/>
      <c r="AM794" s="8"/>
      <c r="AN794" s="631"/>
      <c r="AO794" s="18"/>
      <c r="AP794" s="18"/>
      <c r="AQ794" s="18"/>
      <c r="AR794" s="18"/>
      <c r="AS794" s="18"/>
      <c r="AU794" s="448"/>
      <c r="AV794" s="448"/>
      <c r="AW794" s="8" t="str">
        <f>IF(C794&gt;0,VLOOKUP(C794,Foundation_Calc!$A$2:$C$986,3,1),
IF(J794&gt;0,VLOOKUP(J794,Foundation_Calc!$A$2:$C$986,3,1),""))</f>
        <v/>
      </c>
      <c r="AX794" s="8" t="str">
        <f>IF(C794&gt;0,VLOOKUP(C794,Foundation_Calc!$E$2:$G$986,3,1),
IF(J794&gt;0,VLOOKUP(J794,Foundation_Calc!$E$2:$G$986,3,1),""))</f>
        <v/>
      </c>
      <c r="AY794" s="631" t="str">
        <f>IF(L794="","",
IF(AX794="PT",VLOOKUP(L794,Foundation_Calc!$K$4:$R$37,VLOOKUP(AW794,Foundation_Calc!$I$2:$J$8,2,FALSE),0),
IF(AX794="K",VLOOKUP(L794,Foundation_Calc!$K$41:$R$74,VLOOKUP(AW794,Foundation_Calc!$I$2:$J$8,2,FALSE),0),"")))</f>
        <v/>
      </c>
      <c r="AZ794" s="631" t="str">
        <f>IF(K794="","",
IF(AX794="PT",VLOOKUP(K794,Foundation_Calc!$K$4:$R$37,VLOOKUP(AW794,Foundation_Calc!$I$2:$J$8,2,FALSE),0),
IF(AX794="K",VLOOKUP(K794,Foundation_Calc!$K$41:$R$74,VLOOKUP(AW794,Foundation_Calc!$I$2:$J$8,2,FALSE),0),"")))</f>
        <v/>
      </c>
      <c r="BA794" s="632" t="str">
        <f t="shared" si="50"/>
        <v/>
      </c>
      <c r="BB794" s="632" t="str">
        <f t="shared" si="51"/>
        <v/>
      </c>
      <c r="BC794" s="632" t="str">
        <f t="shared" si="52"/>
        <v/>
      </c>
      <c r="BD794" s="633" t="str">
        <f>IF(AND(L794="",H794=""),"",
IF(H794="",Pole_Calc!A822,
IF(H794="MP",Pole_Calc!A823,
IF(H794="AnMP",Pole_Calc!A824,
IF(H794="A",Pole_Calc!A825,
IF(H794="S/A",Pole_Calc!A826,
IF(H794="A/S",Pole_Calc!A827,"Poner a mano")))))))</f>
        <v/>
      </c>
      <c r="BE794" s="448" t="s">
        <v>1726</v>
      </c>
      <c r="BF794" s="634"/>
      <c r="BG794" s="634"/>
      <c r="BH794" s="634"/>
      <c r="BI794" s="634"/>
    </row>
    <row r="795" spans="1:61" ht="16.2" customHeight="1">
      <c r="A795" s="12"/>
      <c r="B795" s="446"/>
      <c r="C795" s="89"/>
      <c r="D795" s="13"/>
      <c r="E795" s="14"/>
      <c r="F795" s="14"/>
      <c r="G795" s="15"/>
      <c r="H795" s="8"/>
      <c r="I795" s="8"/>
      <c r="J795" s="89"/>
      <c r="K795" s="8"/>
      <c r="L795" s="8"/>
      <c r="M795" s="8" t="str">
        <f>IF(L795="","",
IF(AX795="PT",VLOOKUP(L795,Foundation_Calc!$V$4:$X$37,VLOOKUP(AX795,Foundation_Calc!$I$10:$J$13,2,FALSE),0),
IF(AX795="K",VLOOKUP(L795,Foundation_Calc!$V$41:$X$74,VLOOKUP(AX795,Foundation_Calc!$I$10:$J$13,2,FALSE),0),"")))</f>
        <v/>
      </c>
      <c r="N795" s="8"/>
      <c r="O795" s="8"/>
      <c r="P795" s="8"/>
      <c r="Q795" s="14"/>
      <c r="R795" s="15"/>
      <c r="S795" s="15"/>
      <c r="T795" s="14"/>
      <c r="U795" s="14"/>
      <c r="V795" s="14"/>
      <c r="W795" s="18"/>
      <c r="X795" s="18"/>
      <c r="Y795" s="18"/>
      <c r="Z795" s="18"/>
      <c r="AA795" s="18"/>
      <c r="AB795" s="18"/>
      <c r="AC795" s="8" t="str">
        <f t="shared" si="49"/>
        <v/>
      </c>
      <c r="AD795" s="8"/>
      <c r="AE795" s="8"/>
      <c r="AF795" s="14"/>
      <c r="AG795" s="13"/>
      <c r="AH795" s="14"/>
      <c r="AI795" s="14"/>
      <c r="AJ795" s="8"/>
      <c r="AK795" s="8"/>
      <c r="AL795" s="8"/>
      <c r="AM795" s="8"/>
      <c r="AN795" s="631"/>
      <c r="AO795" s="18"/>
      <c r="AP795" s="18"/>
      <c r="AQ795" s="18"/>
      <c r="AR795" s="18"/>
      <c r="AS795" s="18"/>
      <c r="AU795" s="448"/>
      <c r="AV795" s="448"/>
      <c r="AW795" s="8" t="str">
        <f>IF(C795&gt;0,VLOOKUP(C795,Foundation_Calc!$A$2:$C$986,3,1),
IF(J795&gt;0,VLOOKUP(J795,Foundation_Calc!$A$2:$C$986,3,1),""))</f>
        <v/>
      </c>
      <c r="AX795" s="8" t="str">
        <f>IF(C795&gt;0,VLOOKUP(C795,Foundation_Calc!$E$2:$G$986,3,1),
IF(J795&gt;0,VLOOKUP(J795,Foundation_Calc!$E$2:$G$986,3,1),""))</f>
        <v/>
      </c>
      <c r="AY795" s="631" t="str">
        <f>IF(L795="","",
IF(AX795="PT",VLOOKUP(L795,Foundation_Calc!$K$4:$R$37,VLOOKUP(AW795,Foundation_Calc!$I$2:$J$8,2,FALSE),0),
IF(AX795="K",VLOOKUP(L795,Foundation_Calc!$K$41:$R$74,VLOOKUP(AW795,Foundation_Calc!$I$2:$J$8,2,FALSE),0),"")))</f>
        <v/>
      </c>
      <c r="AZ795" s="631" t="str">
        <f>IF(K795="","",
IF(AX795="PT",VLOOKUP(K795,Foundation_Calc!$K$4:$R$37,VLOOKUP(AW795,Foundation_Calc!$I$2:$J$8,2,FALSE),0),
IF(AX795="K",VLOOKUP(K795,Foundation_Calc!$K$41:$R$74,VLOOKUP(AW795,Foundation_Calc!$I$2:$J$8,2,FALSE),0),"")))</f>
        <v/>
      </c>
      <c r="BA795" s="632" t="str">
        <f t="shared" si="50"/>
        <v/>
      </c>
      <c r="BB795" s="632" t="str">
        <f t="shared" si="51"/>
        <v/>
      </c>
      <c r="BC795" s="632" t="str">
        <f t="shared" si="52"/>
        <v/>
      </c>
      <c r="BD795" s="633" t="str">
        <f>IF(AND(L795="",H795=""),"",
IF(H795="",Pole_Calc!A823,
IF(H795="MP",Pole_Calc!A824,
IF(H795="AnMP",Pole_Calc!A825,
IF(H795="A",Pole_Calc!A826,
IF(H795="S/A",Pole_Calc!A827,
IF(H795="A/S",Pole_Calc!A828,"Poner a mano")))))))</f>
        <v/>
      </c>
      <c r="BE795" s="448" t="s">
        <v>1726</v>
      </c>
      <c r="BF795" s="635"/>
      <c r="BG795" s="635"/>
      <c r="BH795" s="634"/>
      <c r="BI795" s="635"/>
    </row>
    <row r="796" spans="1:61" ht="16.2" customHeight="1">
      <c r="A796" s="12"/>
      <c r="B796" s="446"/>
      <c r="C796" s="89"/>
      <c r="D796" s="13"/>
      <c r="E796" s="14"/>
      <c r="F796" s="14"/>
      <c r="G796" s="15"/>
      <c r="H796" s="8"/>
      <c r="I796" s="8"/>
      <c r="J796" s="89"/>
      <c r="K796" s="8"/>
      <c r="L796" s="8"/>
      <c r="M796" s="8" t="str">
        <f>IF(L796="","",
IF(AX796="PT",VLOOKUP(L796,Foundation_Calc!$V$4:$X$37,VLOOKUP(AX796,Foundation_Calc!$I$10:$J$13,2,FALSE),0),
IF(AX796="K",VLOOKUP(L796,Foundation_Calc!$V$41:$X$74,VLOOKUP(AX796,Foundation_Calc!$I$10:$J$13,2,FALSE),0),"")))</f>
        <v/>
      </c>
      <c r="N796" s="8"/>
      <c r="O796" s="8"/>
      <c r="P796" s="8"/>
      <c r="Q796" s="14"/>
      <c r="R796" s="15"/>
      <c r="S796" s="15"/>
      <c r="T796" s="14"/>
      <c r="U796" s="14"/>
      <c r="V796" s="14"/>
      <c r="W796" s="18"/>
      <c r="X796" s="18"/>
      <c r="Y796" s="18"/>
      <c r="Z796" s="18"/>
      <c r="AA796" s="18"/>
      <c r="AB796" s="18"/>
      <c r="AC796" s="8" t="str">
        <f t="shared" si="49"/>
        <v/>
      </c>
      <c r="AD796" s="8"/>
      <c r="AE796" s="8"/>
      <c r="AF796" s="14"/>
      <c r="AG796" s="13"/>
      <c r="AH796" s="14"/>
      <c r="AI796" s="14"/>
      <c r="AJ796" s="8"/>
      <c r="AK796" s="8"/>
      <c r="AL796" s="8"/>
      <c r="AM796" s="8"/>
      <c r="AN796" s="631"/>
      <c r="AO796" s="18"/>
      <c r="AP796" s="18"/>
      <c r="AQ796" s="18"/>
      <c r="AR796" s="18"/>
      <c r="AS796" s="18"/>
      <c r="AU796" s="448"/>
      <c r="AV796" s="448"/>
      <c r="AW796" s="8" t="str">
        <f>IF(C796&gt;0,VLOOKUP(C796,Foundation_Calc!$A$2:$C$986,3,1),
IF(J796&gt;0,VLOOKUP(J796,Foundation_Calc!$A$2:$C$986,3,1),""))</f>
        <v/>
      </c>
      <c r="AX796" s="8" t="str">
        <f>IF(C796&gt;0,VLOOKUP(C796,Foundation_Calc!$E$2:$G$986,3,1),
IF(J796&gt;0,VLOOKUP(J796,Foundation_Calc!$E$2:$G$986,3,1),""))</f>
        <v/>
      </c>
      <c r="AY796" s="631" t="str">
        <f>IF(L796="","",
IF(AX796="PT",VLOOKUP(L796,Foundation_Calc!$K$4:$R$37,VLOOKUP(AW796,Foundation_Calc!$I$2:$J$8,2,FALSE),0),
IF(AX796="K",VLOOKUP(L796,Foundation_Calc!$K$41:$R$74,VLOOKUP(AW796,Foundation_Calc!$I$2:$J$8,2,FALSE),0),"")))</f>
        <v/>
      </c>
      <c r="AZ796" s="631" t="str">
        <f>IF(K796="","",
IF(AX796="PT",VLOOKUP(K796,Foundation_Calc!$K$4:$R$37,VLOOKUP(AW796,Foundation_Calc!$I$2:$J$8,2,FALSE),0),
IF(AX796="K",VLOOKUP(K796,Foundation_Calc!$K$41:$R$74,VLOOKUP(AW796,Foundation_Calc!$I$2:$J$8,2,FALSE),0),"")))</f>
        <v/>
      </c>
      <c r="BA796" s="632" t="str">
        <f t="shared" si="50"/>
        <v/>
      </c>
      <c r="BB796" s="632" t="str">
        <f t="shared" si="51"/>
        <v/>
      </c>
      <c r="BC796" s="632" t="str">
        <f t="shared" si="52"/>
        <v/>
      </c>
      <c r="BD796" s="633" t="str">
        <f>IF(AND(L796="",H796=""),"",
IF(H796="",Pole_Calc!A824,
IF(H796="MP",Pole_Calc!A825,
IF(H796="AnMP",Pole_Calc!A826,
IF(H796="A",Pole_Calc!A827,
IF(H796="S/A",Pole_Calc!A828,
IF(H796="A/S",Pole_Calc!A829,"Poner a mano")))))))</f>
        <v/>
      </c>
      <c r="BE796" s="448" t="s">
        <v>1726</v>
      </c>
      <c r="BF796" s="634"/>
      <c r="BG796" s="634"/>
      <c r="BH796" s="634"/>
      <c r="BI796" s="634"/>
    </row>
    <row r="797" spans="1:61" ht="16.2" customHeight="1">
      <c r="A797" s="12"/>
      <c r="B797" s="446"/>
      <c r="C797" s="89"/>
      <c r="D797" s="13"/>
      <c r="E797" s="14"/>
      <c r="F797" s="14"/>
      <c r="G797" s="15"/>
      <c r="H797" s="8"/>
      <c r="I797" s="8"/>
      <c r="J797" s="89"/>
      <c r="K797" s="8"/>
      <c r="L797" s="8"/>
      <c r="M797" s="8" t="str">
        <f>IF(L797="","",
IF(AX797="PT",VLOOKUP(L797,Foundation_Calc!$V$4:$X$37,VLOOKUP(AX797,Foundation_Calc!$I$10:$J$13,2,FALSE),0),
IF(AX797="K",VLOOKUP(L797,Foundation_Calc!$V$41:$X$74,VLOOKUP(AX797,Foundation_Calc!$I$10:$J$13,2,FALSE),0),"")))</f>
        <v/>
      </c>
      <c r="N797" s="8"/>
      <c r="O797" s="8"/>
      <c r="P797" s="8"/>
      <c r="Q797" s="14"/>
      <c r="R797" s="15"/>
      <c r="S797" s="15"/>
      <c r="T797" s="14"/>
      <c r="U797" s="14"/>
      <c r="V797" s="14"/>
      <c r="W797" s="18"/>
      <c r="X797" s="18"/>
      <c r="Y797" s="18"/>
      <c r="Z797" s="18"/>
      <c r="AA797" s="18"/>
      <c r="AB797" s="18"/>
      <c r="AC797" s="8" t="str">
        <f t="shared" si="49"/>
        <v/>
      </c>
      <c r="AD797" s="8"/>
      <c r="AE797" s="8"/>
      <c r="AF797" s="14"/>
      <c r="AG797" s="13"/>
      <c r="AH797" s="14"/>
      <c r="AI797" s="14"/>
      <c r="AJ797" s="8"/>
      <c r="AK797" s="8"/>
      <c r="AL797" s="8"/>
      <c r="AM797" s="8"/>
      <c r="AN797" s="631"/>
      <c r="AO797" s="18"/>
      <c r="AP797" s="18"/>
      <c r="AQ797" s="18"/>
      <c r="AR797" s="18"/>
      <c r="AS797" s="18"/>
      <c r="AU797" s="448"/>
      <c r="AV797" s="448"/>
      <c r="AW797" s="8" t="str">
        <f>IF(C797&gt;0,VLOOKUP(C797,Foundation_Calc!$A$2:$C$986,3,1),
IF(J797&gt;0,VLOOKUP(J797,Foundation_Calc!$A$2:$C$986,3,1),""))</f>
        <v/>
      </c>
      <c r="AX797" s="8" t="str">
        <f>IF(C797&gt;0,VLOOKUP(C797,Foundation_Calc!$E$2:$G$986,3,1),
IF(J797&gt;0,VLOOKUP(J797,Foundation_Calc!$E$2:$G$986,3,1),""))</f>
        <v/>
      </c>
      <c r="AY797" s="631" t="str">
        <f>IF(L797="","",
IF(AX797="PT",VLOOKUP(L797,Foundation_Calc!$K$4:$R$37,VLOOKUP(AW797,Foundation_Calc!$I$2:$J$8,2,FALSE),0),
IF(AX797="K",VLOOKUP(L797,Foundation_Calc!$K$41:$R$74,VLOOKUP(AW797,Foundation_Calc!$I$2:$J$8,2,FALSE),0),"")))</f>
        <v/>
      </c>
      <c r="AZ797" s="631" t="str">
        <f>IF(K797="","",
IF(AX797="PT",VLOOKUP(K797,Foundation_Calc!$K$4:$R$37,VLOOKUP(AW797,Foundation_Calc!$I$2:$J$8,2,FALSE),0),
IF(AX797="K",VLOOKUP(K797,Foundation_Calc!$K$41:$R$74,VLOOKUP(AW797,Foundation_Calc!$I$2:$J$8,2,FALSE),0),"")))</f>
        <v/>
      </c>
      <c r="BA797" s="632" t="str">
        <f t="shared" si="50"/>
        <v/>
      </c>
      <c r="BB797" s="632" t="str">
        <f t="shared" si="51"/>
        <v/>
      </c>
      <c r="BC797" s="632" t="str">
        <f t="shared" si="52"/>
        <v/>
      </c>
      <c r="BD797" s="633" t="str">
        <f>IF(AND(L797="",H797=""),"",
IF(H797="",Pole_Calc!A825,
IF(H797="MP",Pole_Calc!A826,
IF(H797="AnMP",Pole_Calc!A827,
IF(H797="A",Pole_Calc!A828,
IF(H797="S/A",Pole_Calc!A829,
IF(H797="A/S",Pole_Calc!A830,"Poner a mano")))))))</f>
        <v/>
      </c>
      <c r="BE797" s="448" t="s">
        <v>1726</v>
      </c>
      <c r="BF797" s="635"/>
      <c r="BG797" s="635"/>
      <c r="BH797" s="634"/>
      <c r="BI797" s="635"/>
    </row>
    <row r="798" spans="1:61" ht="16.2" customHeight="1">
      <c r="A798" s="12"/>
      <c r="B798" s="446"/>
      <c r="C798" s="89"/>
      <c r="D798" s="13"/>
      <c r="E798" s="14"/>
      <c r="F798" s="14"/>
      <c r="G798" s="15"/>
      <c r="H798" s="8"/>
      <c r="I798" s="8"/>
      <c r="J798" s="89"/>
      <c r="K798" s="8"/>
      <c r="L798" s="8"/>
      <c r="M798" s="8" t="str">
        <f>IF(L798="","",
IF(AX798="PT",VLOOKUP(L798,Foundation_Calc!$V$4:$X$37,VLOOKUP(AX798,Foundation_Calc!$I$10:$J$13,2,FALSE),0),
IF(AX798="K",VLOOKUP(L798,Foundation_Calc!$V$41:$X$74,VLOOKUP(AX798,Foundation_Calc!$I$10:$J$13,2,FALSE),0),"")))</f>
        <v/>
      </c>
      <c r="N798" s="8"/>
      <c r="O798" s="8"/>
      <c r="P798" s="8"/>
      <c r="Q798" s="14"/>
      <c r="R798" s="15"/>
      <c r="S798" s="15"/>
      <c r="T798" s="14"/>
      <c r="U798" s="14"/>
      <c r="V798" s="14"/>
      <c r="W798" s="18"/>
      <c r="X798" s="18"/>
      <c r="Y798" s="18"/>
      <c r="Z798" s="18"/>
      <c r="AA798" s="18"/>
      <c r="AB798" s="18"/>
      <c r="AC798" s="8" t="str">
        <f t="shared" si="49"/>
        <v/>
      </c>
      <c r="AD798" s="8"/>
      <c r="AE798" s="8"/>
      <c r="AF798" s="14"/>
      <c r="AG798" s="13"/>
      <c r="AH798" s="14"/>
      <c r="AI798" s="14"/>
      <c r="AJ798" s="8"/>
      <c r="AK798" s="8"/>
      <c r="AL798" s="8"/>
      <c r="AM798" s="8"/>
      <c r="AN798" s="631"/>
      <c r="AO798" s="18"/>
      <c r="AP798" s="18"/>
      <c r="AQ798" s="18"/>
      <c r="AR798" s="18"/>
      <c r="AS798" s="18"/>
      <c r="AU798" s="448"/>
      <c r="AV798" s="448"/>
      <c r="AW798" s="8" t="str">
        <f>IF(C798&gt;0,VLOOKUP(C798,Foundation_Calc!$A$2:$C$986,3,1),
IF(J798&gt;0,VLOOKUP(J798,Foundation_Calc!$A$2:$C$986,3,1),""))</f>
        <v/>
      </c>
      <c r="AX798" s="8" t="str">
        <f>IF(C798&gt;0,VLOOKUP(C798,Foundation_Calc!$E$2:$G$986,3,1),
IF(J798&gt;0,VLOOKUP(J798,Foundation_Calc!$E$2:$G$986,3,1),""))</f>
        <v/>
      </c>
      <c r="AY798" s="631" t="str">
        <f>IF(L798="","",
IF(AX798="PT",VLOOKUP(L798,Foundation_Calc!$K$4:$R$37,VLOOKUP(AW798,Foundation_Calc!$I$2:$J$8,2,FALSE),0),
IF(AX798="K",VLOOKUP(L798,Foundation_Calc!$K$41:$R$74,VLOOKUP(AW798,Foundation_Calc!$I$2:$J$8,2,FALSE),0),"")))</f>
        <v/>
      </c>
      <c r="AZ798" s="631" t="str">
        <f>IF(K798="","",
IF(AX798="PT",VLOOKUP(K798,Foundation_Calc!$K$4:$R$37,VLOOKUP(AW798,Foundation_Calc!$I$2:$J$8,2,FALSE),0),
IF(AX798="K",VLOOKUP(K798,Foundation_Calc!$K$41:$R$74,VLOOKUP(AW798,Foundation_Calc!$I$2:$J$8,2,FALSE),0),"")))</f>
        <v/>
      </c>
      <c r="BA798" s="632" t="str">
        <f t="shared" si="50"/>
        <v/>
      </c>
      <c r="BB798" s="632" t="str">
        <f t="shared" si="51"/>
        <v/>
      </c>
      <c r="BC798" s="632" t="str">
        <f t="shared" si="52"/>
        <v/>
      </c>
      <c r="BD798" s="633" t="str">
        <f>IF(AND(L798="",H798=""),"",
IF(H798="",Pole_Calc!A826,
IF(H798="MP",Pole_Calc!A827,
IF(H798="AnMP",Pole_Calc!A828,
IF(H798="A",Pole_Calc!A829,
IF(H798="S/A",Pole_Calc!A830,
IF(H798="A/S",Pole_Calc!A831,"Poner a mano")))))))</f>
        <v/>
      </c>
      <c r="BE798" s="448" t="s">
        <v>1726</v>
      </c>
      <c r="BF798" s="634"/>
      <c r="BG798" s="634"/>
      <c r="BH798" s="634"/>
      <c r="BI798" s="634"/>
    </row>
    <row r="799" spans="1:61" ht="16.2" customHeight="1">
      <c r="A799" s="12"/>
      <c r="B799" s="446"/>
      <c r="C799" s="89"/>
      <c r="D799" s="13"/>
      <c r="E799" s="14"/>
      <c r="F799" s="14"/>
      <c r="G799" s="15"/>
      <c r="H799" s="8"/>
      <c r="I799" s="8"/>
      <c r="J799" s="89"/>
      <c r="K799" s="8"/>
      <c r="L799" s="8"/>
      <c r="M799" s="8" t="str">
        <f>IF(L799="","",
IF(AX799="PT",VLOOKUP(L799,Foundation_Calc!$V$4:$X$37,VLOOKUP(AX799,Foundation_Calc!$I$10:$J$13,2,FALSE),0),
IF(AX799="K",VLOOKUP(L799,Foundation_Calc!$V$41:$X$74,VLOOKUP(AX799,Foundation_Calc!$I$10:$J$13,2,FALSE),0),"")))</f>
        <v/>
      </c>
      <c r="N799" s="8"/>
      <c r="O799" s="8"/>
      <c r="P799" s="8"/>
      <c r="Q799" s="14"/>
      <c r="R799" s="15"/>
      <c r="S799" s="15"/>
      <c r="T799" s="14"/>
      <c r="U799" s="14"/>
      <c r="V799" s="14"/>
      <c r="W799" s="18"/>
      <c r="X799" s="18"/>
      <c r="Y799" s="18"/>
      <c r="Z799" s="18"/>
      <c r="AA799" s="18"/>
      <c r="AB799" s="18"/>
      <c r="AC799" s="8" t="str">
        <f t="shared" si="49"/>
        <v/>
      </c>
      <c r="AD799" s="8"/>
      <c r="AE799" s="8"/>
      <c r="AF799" s="14"/>
      <c r="AG799" s="13"/>
      <c r="AH799" s="14"/>
      <c r="AI799" s="14"/>
      <c r="AJ799" s="8"/>
      <c r="AK799" s="8"/>
      <c r="AL799" s="8"/>
      <c r="AM799" s="8"/>
      <c r="AN799" s="631"/>
      <c r="AO799" s="18"/>
      <c r="AP799" s="18"/>
      <c r="AQ799" s="18"/>
      <c r="AR799" s="18"/>
      <c r="AS799" s="18"/>
      <c r="AU799" s="448"/>
      <c r="AV799" s="448"/>
      <c r="AW799" s="8" t="str">
        <f>IF(C799&gt;0,VLOOKUP(C799,Foundation_Calc!$A$2:$C$986,3,1),
IF(J799&gt;0,VLOOKUP(J799,Foundation_Calc!$A$2:$C$986,3,1),""))</f>
        <v/>
      </c>
      <c r="AX799" s="8" t="str">
        <f>IF(C799&gt;0,VLOOKUP(C799,Foundation_Calc!$E$2:$G$986,3,1),
IF(J799&gt;0,VLOOKUP(J799,Foundation_Calc!$E$2:$G$986,3,1),""))</f>
        <v/>
      </c>
      <c r="AY799" s="631" t="str">
        <f>IF(L799="","",
IF(AX799="PT",VLOOKUP(L799,Foundation_Calc!$K$4:$R$37,VLOOKUP(AW799,Foundation_Calc!$I$2:$J$8,2,FALSE),0),
IF(AX799="K",VLOOKUP(L799,Foundation_Calc!$K$41:$R$74,VLOOKUP(AW799,Foundation_Calc!$I$2:$J$8,2,FALSE),0),"")))</f>
        <v/>
      </c>
      <c r="AZ799" s="631" t="str">
        <f>IF(K799="","",
IF(AX799="PT",VLOOKUP(K799,Foundation_Calc!$K$4:$R$37,VLOOKUP(AW799,Foundation_Calc!$I$2:$J$8,2,FALSE),0),
IF(AX799="K",VLOOKUP(K799,Foundation_Calc!$K$41:$R$74,VLOOKUP(AW799,Foundation_Calc!$I$2:$J$8,2,FALSE),0),"")))</f>
        <v/>
      </c>
      <c r="BA799" s="632" t="str">
        <f t="shared" si="50"/>
        <v/>
      </c>
      <c r="BB799" s="632" t="str">
        <f t="shared" si="51"/>
        <v/>
      </c>
      <c r="BC799" s="632" t="str">
        <f t="shared" si="52"/>
        <v/>
      </c>
      <c r="BD799" s="633" t="str">
        <f>IF(AND(L799="",H799=""),"",
IF(H799="",Pole_Calc!A827,
IF(H799="MP",Pole_Calc!A828,
IF(H799="AnMP",Pole_Calc!A829,
IF(H799="A",Pole_Calc!A830,
IF(H799="S/A",Pole_Calc!A831,
IF(H799="A/S",Pole_Calc!A832,"Poner a mano")))))))</f>
        <v/>
      </c>
      <c r="BE799" s="448" t="s">
        <v>1726</v>
      </c>
      <c r="BF799" s="635"/>
      <c r="BG799" s="635"/>
      <c r="BH799" s="634"/>
      <c r="BI799" s="635"/>
    </row>
    <row r="800" spans="1:61" ht="16.2" customHeight="1">
      <c r="A800" s="12"/>
      <c r="B800" s="446"/>
      <c r="C800" s="89"/>
      <c r="D800" s="13"/>
      <c r="E800" s="14"/>
      <c r="F800" s="14"/>
      <c r="G800" s="15"/>
      <c r="H800" s="8"/>
      <c r="I800" s="8"/>
      <c r="J800" s="89"/>
      <c r="K800" s="8"/>
      <c r="L800" s="8"/>
      <c r="M800" s="8" t="str">
        <f>IF(L800="","",
IF(AX800="PT",VLOOKUP(L800,Foundation_Calc!$V$4:$X$37,VLOOKUP(AX800,Foundation_Calc!$I$10:$J$13,2,FALSE),0),
IF(AX800="K",VLOOKUP(L800,Foundation_Calc!$V$41:$X$74,VLOOKUP(AX800,Foundation_Calc!$I$10:$J$13,2,FALSE),0),"")))</f>
        <v/>
      </c>
      <c r="N800" s="8"/>
      <c r="O800" s="8"/>
      <c r="P800" s="8"/>
      <c r="Q800" s="14"/>
      <c r="R800" s="15"/>
      <c r="S800" s="15"/>
      <c r="T800" s="14"/>
      <c r="U800" s="14"/>
      <c r="V800" s="14"/>
      <c r="W800" s="18"/>
      <c r="X800" s="18"/>
      <c r="Y800" s="18"/>
      <c r="Z800" s="18"/>
      <c r="AA800" s="18"/>
      <c r="AB800" s="18"/>
      <c r="AC800" s="8" t="str">
        <f t="shared" si="49"/>
        <v/>
      </c>
      <c r="AD800" s="8"/>
      <c r="AE800" s="8"/>
      <c r="AF800" s="14"/>
      <c r="AG800" s="13"/>
      <c r="AH800" s="14"/>
      <c r="AI800" s="14"/>
      <c r="AJ800" s="8"/>
      <c r="AK800" s="8"/>
      <c r="AL800" s="8"/>
      <c r="AM800" s="8"/>
      <c r="AN800" s="631"/>
      <c r="AO800" s="18"/>
      <c r="AP800" s="18"/>
      <c r="AQ800" s="18"/>
      <c r="AR800" s="18"/>
      <c r="AS800" s="18"/>
      <c r="AU800" s="448"/>
      <c r="AV800" s="448"/>
      <c r="AW800" s="8" t="str">
        <f>IF(C800&gt;0,VLOOKUP(C800,Foundation_Calc!$A$2:$C$986,3,1),
IF(J800&gt;0,VLOOKUP(J800,Foundation_Calc!$A$2:$C$986,3,1),""))</f>
        <v/>
      </c>
      <c r="AX800" s="8" t="str">
        <f>IF(C800&gt;0,VLOOKUP(C800,Foundation_Calc!$E$2:$G$986,3,1),
IF(J800&gt;0,VLOOKUP(J800,Foundation_Calc!$E$2:$G$986,3,1),""))</f>
        <v/>
      </c>
      <c r="AY800" s="631" t="str">
        <f>IF(L800="","",
IF(AX800="PT",VLOOKUP(L800,Foundation_Calc!$K$4:$R$37,VLOOKUP(AW800,Foundation_Calc!$I$2:$J$8,2,FALSE),0),
IF(AX800="K",VLOOKUP(L800,Foundation_Calc!$K$41:$R$74,VLOOKUP(AW800,Foundation_Calc!$I$2:$J$8,2,FALSE),0),"")))</f>
        <v/>
      </c>
      <c r="AZ800" s="631" t="str">
        <f>IF(K800="","",
IF(AX800="PT",VLOOKUP(K800,Foundation_Calc!$K$4:$R$37,VLOOKUP(AW800,Foundation_Calc!$I$2:$J$8,2,FALSE),0),
IF(AX800="K",VLOOKUP(K800,Foundation_Calc!$K$41:$R$74,VLOOKUP(AW800,Foundation_Calc!$I$2:$J$8,2,FALSE),0),"")))</f>
        <v/>
      </c>
      <c r="BA800" s="632" t="str">
        <f t="shared" si="50"/>
        <v/>
      </c>
      <c r="BB800" s="632" t="str">
        <f t="shared" si="51"/>
        <v/>
      </c>
      <c r="BC800" s="632" t="str">
        <f t="shared" si="52"/>
        <v/>
      </c>
      <c r="BD800" s="633" t="str">
        <f>IF(AND(L800="",H800=""),"",
IF(H800="",Pole_Calc!A828,
IF(H800="MP",Pole_Calc!A829,
IF(H800="AnMP",Pole_Calc!A830,
IF(H800="A",Pole_Calc!A831,
IF(H800="S/A",Pole_Calc!A832,
IF(H800="A/S",Pole_Calc!A833,"Poner a mano")))))))</f>
        <v/>
      </c>
      <c r="BE800" s="448" t="s">
        <v>1726</v>
      </c>
      <c r="BF800" s="634"/>
      <c r="BG800" s="634"/>
      <c r="BH800" s="634"/>
      <c r="BI800" s="634"/>
    </row>
  </sheetData>
  <autoFilter ref="A2:BD800" xr:uid="{00000000-0009-0000-0000-000004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F1:BI1"/>
    <mergeCell ref="A1:BD1"/>
    <mergeCell ref="W2:Y2"/>
    <mergeCell ref="Z2:AB2"/>
    <mergeCell ref="N2:P2"/>
    <mergeCell ref="AT2:AV2"/>
    <mergeCell ref="T2:V2"/>
    <mergeCell ref="AC2:AE2"/>
    <mergeCell ref="AN2:AP2"/>
    <mergeCell ref="AQ2:AS2"/>
    <mergeCell ref="BA2:BC2"/>
  </mergeCells>
  <phoneticPr fontId="0" type="noConversion"/>
  <conditionalFormatting sqref="BF5:BG5 BI5 BF7:BG7 BF9:BG9 BF11:BG11 BF13:BG13 BF15:BG15 BF17:BG17 BF19:BG19 BF21:BG21 BF23:BG23 BF25:BG25 BF27:BG27 BF29:BG29 BF31:BG31 BF33:BG33 BF35:BG35 BF37:BG37 BF39:BG39 BF41:BG41 BF43:BG43 BF45:BG45 BF47:BG47 BF49:BG49 BF51:BG51 BF53:BG53 BF55:BG55 BF57:BG57 BF59:BG59 BF61:BG61 BF63:BG63 BF65:BG65 BF67:BG67 BF69:BG69 BF71:BG71 BF73:BG73 BF75:BG75 BF77:BG77 BF79:BG79 BF81:BG81 BF83:BG83 BF85:BG85 BF87:BG87 BF89:BG89 BF91:BG91 BF93:BG93 BF95:BG95 BF97:BG97 BF99:BG99 BF101:BG101 BF103:BG103 BF105:BG105 BF107:BG107 BF109:BG109 BF111:BG111 BF113:BG113 BF115:BG115 BF117:BG117 BF119:BG119 BF121:BG121 BF123:BG123 BF125:BG125 BF127:BG127 BF129:BG129 BF131:BG131 BF133:BG133 BF135:BG135 BF137:BG137 BF139:BG139 BF141:BG141 BF143:BG143 BF145:BG145 BF147:BG147 BF149:BG149 BF151:BG151 BF153:BG153 BF155:BG155 BF157:BG157 BF159:BG159 BF161:BG161 BF163:BG163 BF165:BG165 BF167:BG167 BF169:BG169 BF171:BG171 BF173:BG173 BF175:BG175 BF177:BG177 BF179:BG179 BF181:BG181 BF183:BG183 BF185:BG185 BF187:BG187 BF189:BG189 BF191:BG191 BF193:BG193 BF195:BG195 BF197:BG197 BF199:BG199 BF201:BG201 BF203:BG203 BF205:BG205 BF207:BG207 BF209:BG209 BF211:BG211 BF213:BG213 BF215:BG215 BF217:BG217 BF219:BG219 BF221:BG221 BF223:BG223 BF225:BG225 BF227:BG227 BF229:BG229 BF231:BG231 BF233:BG233 BF235:BG235 BF237:BG237 BF239:BG239 BF241:BG241 BF243:BG243 BF245:BG245 BF247:BG247 BF249:BG249 BF251:BG251 BF253:BG253 BF255:BG255 BF257:BG257 BF259:BG259 BF261:BG261 BF263:BG263 BF265:BG265 BF267:BG267 BF269:BG269 BF271:BG271 BF273:BG273 BF275:BG275 BF277:BG277 BF279:BG279 BF281:BG281 BF283:BG283 BF285:BG285 BF287:BG287 BF289:BG289 BF291:BG291 BF293:BG293 BF295:BG295 BF297:BG297 BF299:BG299 BF301:BG301 BF303:BG303 BF305:BG305 BF307:BG307 BF309:BG309 BF311:BG311 BF313:BG313 BF315:BG315 BF317:BG317 BF319:BG319 BF321:BG321 BF323:BG323 BF325:BG325 BF327:BG327 BF329:BG329 BF331:BG331 BF333:BG333 BF335:BG335 BF337:BG337 BF339:BG339 BF341:BG341 BF343:BG343 BF345:BG345 BF347:BG347 BF349:BG349 BF351:BG351 BF353:BG353 BF355:BG355 BF357:BG357 BF359:BG359 BF361:BG361 BF363:BG363 BF365:BG365 BF367:BG367 BF369:BG369 BF371:BG371 BF373:BG373 BF375:BG375 BF377:BG377 BF379:BG379 BF381:BG381 BF383:BG383 BF385:BG385 BF387:BG387 BF389:BG389 BF391:BG391 BF393:BG393 BF395:BG395 BF397:BG397 BF399:BG399 BF401:BG401 BF403:BG403 BF405:BG405 BF407:BG407 BF409:BG409 BF411:BG411 BF413:BG413 BF415:BG415 BF417:BG417 BF419:BG419 BF421:BG421 BF423:BG423 BF425:BG425 BF427:BG427 BF429:BG429 BF431:BG431 BF433:BG433 BF435:BG435 BF437:BG437 BF439:BG439 BF441:BG441 BF443:BG443 BF445:BG445 BF447:BG447 BF449:BG449 BF451:BG451 BF453:BG453 BF455:BG455 BF457:BG457 BF459:BG459 BF461:BG461 BF463:BG463 BF465:BG465 BF467:BG467 BF469:BG469 BF471:BG471 BF473:BG473 BF475:BG475 BF477:BG477 BF479:BG479 BF481:BG481 BF483:BG483 BF485:BG485 BF487:BG487 BF489:BG489 BF491:BG491 BF493:BG493 BF495:BG495 BF497:BG497 BF499:BG499 BF501:BG501 BF503:BG503 BF505:BG505 BF507:BG507 BF509:BG509 BF511:BG511 BF513:BG513 BF515:BG515 BF517:BG517 BF519:BG519 BF521:BG521 BF523:BG523 BF525:BG525 BF527:BG527 BF529:BG529 BF531:BG531 BF533:BG533 BF535:BG535 BF537:BG537 BF539:BG539 BF541:BG541 BF543:BG543 BF545:BG545 BF547:BG547 BF549:BG549 BF551:BG551 BF553:BG553 BF555:BG555 BF557:BG557 BF559:BG559 BF561:BG561 BF563:BG563 BF565:BG565 BF567:BG567 BF569:BG569 BF571:BG571 BF573:BG573 BF575:BG575 BF577:BG577 BF579:BG579 BF581:BG581 BF583:BG583 BF585:BG585 BF587:BG587 BF589:BG589 BF591:BG591 BF593:BG593 BF595:BG595 BF597:BG597 BF599:BG599 BF601:BG601 BF603:BG603 BF605:BG605 BF607:BG607 BF609:BG609 BF611:BG611 BF613:BG613 BF615:BG615 BF617:BG617 BF619:BG619 BF621:BG621 BF623:BG623 BF625:BG625 BF627:BG627 BF629:BG629 BF631:BG631 BF633:BG633 BF635:BG635 BF637:BG637 BF639:BG639 BF641:BG641 BF643:BG643 BF645:BG645 BF647:BG647 BF649:BG649 BF651:BG651 BF653:BG653 BF655:BG655 BF657:BG657 BF659:BG659 BF661:BG661 BF663:BG663 BF665:BG665 BF667:BG667 BF669:BG669 BF671:BG671 BF673:BG673 BF675:BG675 BF677:BG677 BF679:BG679 BF681:BG681 BF683:BG683 BF685:BG685 BF687:BG687 BF689:BG689 BF691:BG691 BF693:BG693 BF695:BG695 BF697:BG697 BF699:BG699 BF701:BG701 BF703:BG703 BF705:BG705 BF707:BG707 BF709:BG709 BF711:BG711 BF713:BG713 BF715:BG715 BF717:BG717 BF719:BG719 BF721:BG721 BF723:BG723 BF725:BG725 BF727:BG727 BF729:BG729 BF731:BG731 BF733:BG733 BF735:BG735 BF737:BG737 BF739:BG739 BF741:BG741 BF743:BG743 BF745:BG745 BF747:BG747 BF749:BG749 BF751:BG751 BF753:BG753 BF755:BG755 BF757:BG757 BF759:BG759 BF761:BG761 BF763:BG763 BF765:BG765 BF767:BG767 BF769:BG769 BF771:BG771 BF773:BG773 BF775:BG775 BF777:BG777 BF779:BG779 BF781:BG781 BF783:BG783 BF785:BG785 BF787:BG787 BF789:BG789 BF791:BG791 BF793:BG793 BF795:BG795 BF797:BG797 BF799:BG799 BI7 BI9 BI11 BI13 BI15 BI17 BI19 BI21 BI23 BI25 BI27 BI29 BI31 BI33 BI35 BI37 BI39 BI41 BI43 BI45 BI47 BI49 BI51 BI53 BI55 BI57 BI59 BI61 BI63 BI65 BI67 BI69 BI71 BI73 BI75 BI77 BI79 BI81 BI83 BI85 BI87 BI89 BI91 BI93 BI95 BI97 BI99 BI101 BI103 BI105 BI107 BI109 BI111 BI113 BI115 BI117 BI119 BI121 BI123 BI125 BI127 BI129 BI131 BI133 BI135 BI137 BI139 BI141 BI143 BI145 BI147 BI149 BI151 BI153 BI155 BI157 BI159 BI161 BI163 BI165 BI167 BI169 BI171 BI173 BI175 BI177 BI179 BI181 BI183 BI185 BI187 BI189 BI191 BI193 BI195 BI197 BI199 BI201 BI203 BI205 BI207 BI209 BI211 BI213 BI215 BI217 BI219 BI221 BI223 BI225 BI227 BI229 BI231 BI233 BI235 BI237 BI239 BI241 BI243 BI245 BI247 BI249 BI251 BI253 BI255 BI257 BI259 BI261 BI263 BI265 BI267 BI269 BI271 BI273 BI275 BI277 BI279 BI281 BI283 BI285 BI287 BI289 BI291 BI293 BI295 BI297 BI299 BI301 BI303 BI305 BI307 BI309 BI311 BI313 BI315 BI317 BI319 BI321 BI323 BI325 BI327 BI329 BI331 BI333 BI335 BI337 BI339 BI341 BI343 BI345 BI347 BI349 BI351 BI353 BI355 BI357 BI359 BI361 BI363 BI365 BI367 BI369 BI371 BI373 BI375 BI377 BI379 BI381 BI383 BI385 BI387 BI389 BI391 BI393 BI395 BI397 BI399 BI401 BI403 BI405 BI407 BI409 BI411 BI413 BI415 BI417 BI419 BI421 BI423 BI425 BI427 BI429 BI431 BI433 BI435 BI437 BI439 BI441 BI443 BI445 BI447 BI449 BI451 BI453 BI455 BI457 BI459 BI461 BI463 BI465 BI467 BI469 BI471 BI473 BI475 BI477 BI479 BI481 BI483 BI485 BI487 BI489 BI491 BI493 BI495 BI497 BI499 BI501 BI503 BI505 BI507 BI509 BI511 BI513 BI515 BI517 BI519 BI521 BI523 BI525 BI527 BI529 BI531 BI533 BI535 BI537 BI539 BI541 BI543 BI545 BI547 BI549 BI551 BI553 BI555 BI557 BI559 BI561 BI563 BI565 BI567 BI569 BI571 BI573 BI575 BI577 BI579 BI581 BI583 BI585 BI587 BI589 BI591 BI593 BI595 BI597 BI599 BI601 BI603 BI605 BI607 BI609 BI611 BI613 BI615 BI617 BI619 BI621 BI623 BI625 BI627 BI629 BI631 BI633 BI635 BI637 BI639 BI641 BI643 BI645 BI647 BI649 BI651 BI653 BI655 BI657 BI659 BI661 BI663 BI665 BI667 BI669 BI671 BI673 BI675 BI677 BI679 BI681 BI683 BI685 BI687 BI689 BI691 BI693 BI695 BI697 BI699 BI701 BI703 BI705 BI707 BI709 BI711 BI713 BI715 BI717 BI719 BI721 BI723 BI725 BI727 BI729 BI731 BI733 BI735 BI737 BI739 BI741 BI743 BI745 BI747 BI749 BI751 BI753 BI755 BI757 BI759 BI761 BI763 BI765 BI767 BI769 BI771 BI773 BI775 BI777 BI779 BI781 BI783 BI785 BI787 BI789 BI791 BI793 BI795 BI797 BI799">
    <cfRule type="containsBlanks" dxfId="6803" priority="2692">
      <formula>LEN(TRIM(BF5))=0</formula>
    </cfRule>
  </conditionalFormatting>
  <conditionalFormatting sqref="BE4">
    <cfRule type="expression" dxfId="6802" priority="2690">
      <formula>$M4="NON DEFINED"</formula>
    </cfRule>
    <cfRule type="expression" dxfId="6801" priority="2691">
      <formula>$AY4="N.D."</formula>
    </cfRule>
  </conditionalFormatting>
  <conditionalFormatting sqref="BE4">
    <cfRule type="cellIs" dxfId="6800" priority="2689" operator="equal">
      <formula>0</formula>
    </cfRule>
  </conditionalFormatting>
  <conditionalFormatting sqref="AG5 AZ5 B5:E5 J5 AN5:AS5 G5:H5">
    <cfRule type="expression" dxfId="6799" priority="2686">
      <formula>$M5="NON DEFINED"</formula>
    </cfRule>
    <cfRule type="expression" dxfId="6798" priority="2687">
      <formula>$AZ5="N.D."</formula>
    </cfRule>
    <cfRule type="expression" dxfId="6797" priority="2688">
      <formula>$AY5="N.D."</formula>
    </cfRule>
  </conditionalFormatting>
  <conditionalFormatting sqref="AY5">
    <cfRule type="expression" dxfId="6796" priority="2669">
      <formula>$M5="NON DEFINED"</formula>
    </cfRule>
    <cfRule type="expression" dxfId="6795" priority="2670">
      <formula>$AZ5="N.D."</formula>
    </cfRule>
    <cfRule type="expression" dxfId="6794" priority="2671">
      <formula>$AY5="N.D."</formula>
    </cfRule>
  </conditionalFormatting>
  <conditionalFormatting sqref="A5:E5 J5 AG5 AN5:AS5 G5:H5 AY5:AZ5">
    <cfRule type="expression" dxfId="6793" priority="2654">
      <formula>$A5="Overhead Cable"</formula>
    </cfRule>
    <cfRule type="expression" dxfId="6792" priority="2655">
      <formula>$A5="Level Crossing"</formula>
    </cfRule>
    <cfRule type="expression" dxfId="6791" priority="2656">
      <formula>$A5="Neutral Section"</formula>
    </cfRule>
    <cfRule type="expression" dxfId="6790" priority="2657">
      <formula>$A5="Tunnel"</formula>
    </cfRule>
    <cfRule type="expression" dxfId="6789" priority="2658">
      <formula>$A5="Bridge"</formula>
    </cfRule>
    <cfRule type="expression" dxfId="6788" priority="2659">
      <formula>$A5="Drainage Works"</formula>
    </cfRule>
    <cfRule type="expression" dxfId="6787" priority="2660">
      <formula>$A5="Underpass"</formula>
    </cfRule>
    <cfRule type="expression" dxfId="6786" priority="2661">
      <formula>$A5="Overcrossing"</formula>
    </cfRule>
    <cfRule type="expression" dxfId="6785" priority="2662">
      <formula>$A5="Overpass"</formula>
    </cfRule>
    <cfRule type="expression" dxfId="6784" priority="2663">
      <formula>$A5="Station"</formula>
    </cfRule>
    <cfRule type="expression" dxfId="6783" priority="2664">
      <formula>$A5="Overlap between sections"</formula>
    </cfRule>
  </conditionalFormatting>
  <conditionalFormatting sqref="BA4:BC4">
    <cfRule type="expression" dxfId="6782" priority="2653">
      <formula>$BE4="R"</formula>
    </cfRule>
  </conditionalFormatting>
  <conditionalFormatting sqref="B4:E4 J4 AG4 AN4:AS4 AY4:BC4 G4:H4">
    <cfRule type="expression" dxfId="6781" priority="2651">
      <formula>$M4="NON DEFINED"</formula>
    </cfRule>
    <cfRule type="expression" dxfId="6780" priority="2652">
      <formula>$AY4="N.D."</formula>
    </cfRule>
  </conditionalFormatting>
  <conditionalFormatting sqref="B4:E4 J4 AG4 AN4:AS4 AY4:BD4 G4:H4">
    <cfRule type="cellIs" dxfId="6779" priority="2650" operator="equal">
      <formula>0</formula>
    </cfRule>
  </conditionalFormatting>
  <conditionalFormatting sqref="AN5:AP5">
    <cfRule type="cellIs" dxfId="6778" priority="2649" operator="notEqual">
      <formula>5.5</formula>
    </cfRule>
  </conditionalFormatting>
  <conditionalFormatting sqref="B5">
    <cfRule type="expression" dxfId="6777" priority="2648">
      <formula>AND($AH5&gt;2499,$AH5&lt;2901)</formula>
    </cfRule>
  </conditionalFormatting>
  <conditionalFormatting sqref="A4">
    <cfRule type="cellIs" dxfId="6776" priority="2647" operator="equal">
      <formula>0</formula>
    </cfRule>
  </conditionalFormatting>
  <conditionalFormatting sqref="I5">
    <cfRule type="expression" dxfId="6775" priority="2644">
      <formula>$M5="NON DEFINED"</formula>
    </cfRule>
    <cfRule type="expression" dxfId="6774" priority="2645">
      <formula>$AZ5="N.D."</formula>
    </cfRule>
    <cfRule type="expression" dxfId="6773" priority="2646">
      <formula>$AY5="N.D."</formula>
    </cfRule>
  </conditionalFormatting>
  <conditionalFormatting sqref="I5">
    <cfRule type="expression" dxfId="6772" priority="2633">
      <formula>$A5="Overhead Cable"</formula>
    </cfRule>
    <cfRule type="expression" dxfId="6771" priority="2634">
      <formula>$A5="Level Crossing"</formula>
    </cfRule>
    <cfRule type="expression" dxfId="6770" priority="2635">
      <formula>$A5="Neutral Section"</formula>
    </cfRule>
    <cfRule type="expression" dxfId="6769" priority="2636">
      <formula>$A5="Tunnel"</formula>
    </cfRule>
    <cfRule type="expression" dxfId="6768" priority="2637">
      <formula>$A5="Bridge"</formula>
    </cfRule>
    <cfRule type="expression" dxfId="6767" priority="2638">
      <formula>$A5="Drainage Works"</formula>
    </cfRule>
    <cfRule type="expression" dxfId="6766" priority="2639">
      <formula>$A5="Underpass"</formula>
    </cfRule>
    <cfRule type="expression" dxfId="6765" priority="2640">
      <formula>$A5="Overcrossing"</formula>
    </cfRule>
    <cfRule type="expression" dxfId="6764" priority="2641">
      <formula>$A5="Overpass"</formula>
    </cfRule>
    <cfRule type="expression" dxfId="6763" priority="2642">
      <formula>$A5="Station"</formula>
    </cfRule>
    <cfRule type="expression" dxfId="6762" priority="2643">
      <formula>$A5="Overlap between sections"</formula>
    </cfRule>
  </conditionalFormatting>
  <conditionalFormatting sqref="I4">
    <cfRule type="expression" dxfId="6761" priority="2631">
      <formula>$M4="NON DEFINED"</formula>
    </cfRule>
    <cfRule type="expression" dxfId="6760" priority="2632">
      <formula>$AY4="N.D."</formula>
    </cfRule>
  </conditionalFormatting>
  <conditionalFormatting sqref="I4">
    <cfRule type="cellIs" dxfId="6759" priority="2630" operator="equal">
      <formula>0</formula>
    </cfRule>
  </conditionalFormatting>
  <conditionalFormatting sqref="K5">
    <cfRule type="expression" dxfId="6758" priority="2627">
      <formula>$M5="NON DEFINED"</formula>
    </cfRule>
    <cfRule type="expression" dxfId="6757" priority="2628">
      <formula>$AZ5="N.D."</formula>
    </cfRule>
    <cfRule type="expression" dxfId="6756" priority="2629">
      <formula>$AY5="N.D."</formula>
    </cfRule>
  </conditionalFormatting>
  <conditionalFormatting sqref="K5">
    <cfRule type="expression" dxfId="6755" priority="2616">
      <formula>$A5="Overhead Cable"</formula>
    </cfRule>
    <cfRule type="expression" dxfId="6754" priority="2617">
      <formula>$A5="Level Crossing"</formula>
    </cfRule>
    <cfRule type="expression" dxfId="6753" priority="2618">
      <formula>$A5="Neutral Section"</formula>
    </cfRule>
    <cfRule type="expression" dxfId="6752" priority="2619">
      <formula>$A5="Tunnel"</formula>
    </cfRule>
    <cfRule type="expression" dxfId="6751" priority="2620">
      <formula>$A5="Bridge"</formula>
    </cfRule>
    <cfRule type="expression" dxfId="6750" priority="2621">
      <formula>$A5="Drainage Works"</formula>
    </cfRule>
    <cfRule type="expression" dxfId="6749" priority="2622">
      <formula>$A5="Underpass"</formula>
    </cfRule>
    <cfRule type="expression" dxfId="6748" priority="2623">
      <formula>$A5="Overcrossing"</formula>
    </cfRule>
    <cfRule type="expression" dxfId="6747" priority="2624">
      <formula>$A5="Overpass"</formula>
    </cfRule>
    <cfRule type="expression" dxfId="6746" priority="2625">
      <formula>$A5="Station"</formula>
    </cfRule>
    <cfRule type="expression" dxfId="6745" priority="2626">
      <formula>$A5="Overlap between sections"</formula>
    </cfRule>
  </conditionalFormatting>
  <conditionalFormatting sqref="K4">
    <cfRule type="expression" dxfId="6744" priority="2614">
      <formula>$M4="NON DEFINED"</formula>
    </cfRule>
    <cfRule type="expression" dxfId="6743" priority="2615">
      <formula>$AY4="N.D."</formula>
    </cfRule>
  </conditionalFormatting>
  <conditionalFormatting sqref="K4">
    <cfRule type="cellIs" dxfId="6742" priority="2613" operator="equal">
      <formula>0</formula>
    </cfRule>
  </conditionalFormatting>
  <conditionalFormatting sqref="L5">
    <cfRule type="expression" dxfId="6741" priority="2610">
      <formula>$M5="NON DEFINED"</formula>
    </cfRule>
    <cfRule type="expression" dxfId="6740" priority="2611">
      <formula>$AZ5="N.D."</formula>
    </cfRule>
    <cfRule type="expression" dxfId="6739" priority="2612">
      <formula>$AY5="N.D."</formula>
    </cfRule>
  </conditionalFormatting>
  <conditionalFormatting sqref="L5">
    <cfRule type="expression" dxfId="6738" priority="2599">
      <formula>$A5="Overhead Cable"</formula>
    </cfRule>
    <cfRule type="expression" dxfId="6737" priority="2600">
      <formula>$A5="Level Crossing"</formula>
    </cfRule>
    <cfRule type="expression" dxfId="6736" priority="2601">
      <formula>$A5="Neutral Section"</formula>
    </cfRule>
    <cfRule type="expression" dxfId="6735" priority="2602">
      <formula>$A5="Tunnel"</formula>
    </cfRule>
    <cfRule type="expression" dxfId="6734" priority="2603">
      <formula>$A5="Bridge"</formula>
    </cfRule>
    <cfRule type="expression" dxfId="6733" priority="2604">
      <formula>$A5="Drainage Works"</formula>
    </cfRule>
    <cfRule type="expression" dxfId="6732" priority="2605">
      <formula>$A5="Underpass"</formula>
    </cfRule>
    <cfRule type="expression" dxfId="6731" priority="2606">
      <formula>$A5="Overcrossing"</formula>
    </cfRule>
    <cfRule type="expression" dxfId="6730" priority="2607">
      <formula>$A5="Overpass"</formula>
    </cfRule>
    <cfRule type="expression" dxfId="6729" priority="2608">
      <formula>$A5="Station"</formula>
    </cfRule>
    <cfRule type="expression" dxfId="6728" priority="2609">
      <formula>$A5="Overlap between sections"</formula>
    </cfRule>
  </conditionalFormatting>
  <conditionalFormatting sqref="L4">
    <cfRule type="expression" dxfId="6727" priority="2597">
      <formula>$M4="NON DEFINED"</formula>
    </cfRule>
    <cfRule type="expression" dxfId="6726" priority="2598">
      <formula>$AY4="N.D."</formula>
    </cfRule>
  </conditionalFormatting>
  <conditionalFormatting sqref="L4">
    <cfRule type="cellIs" dxfId="6725" priority="2596" operator="equal">
      <formula>0</formula>
    </cfRule>
  </conditionalFormatting>
  <conditionalFormatting sqref="M5">
    <cfRule type="expression" dxfId="6724" priority="2593">
      <formula>$M5="NON DEFINED"</formula>
    </cfRule>
    <cfRule type="expression" dxfId="6723" priority="2594">
      <formula>$AZ5="N.D."</formula>
    </cfRule>
    <cfRule type="expression" dxfId="6722" priority="2595">
      <formula>$AY5="N.D."</formula>
    </cfRule>
  </conditionalFormatting>
  <conditionalFormatting sqref="M5">
    <cfRule type="expression" dxfId="6721" priority="2582">
      <formula>$A5="Overhead Cable"</formula>
    </cfRule>
    <cfRule type="expression" dxfId="6720" priority="2583">
      <formula>$A5="Level Crossing"</formula>
    </cfRule>
    <cfRule type="expression" dxfId="6719" priority="2584">
      <formula>$A5="Neutral Section"</formula>
    </cfRule>
    <cfRule type="expression" dxfId="6718" priority="2585">
      <formula>$A5="Tunnel"</formula>
    </cfRule>
    <cfRule type="expression" dxfId="6717" priority="2586">
      <formula>$A5="Bridge"</formula>
    </cfRule>
    <cfRule type="expression" dxfId="6716" priority="2587">
      <formula>$A5="Drainage Works"</formula>
    </cfRule>
    <cfRule type="expression" dxfId="6715" priority="2588">
      <formula>$A5="Underpass"</formula>
    </cfRule>
    <cfRule type="expression" dxfId="6714" priority="2589">
      <formula>$A5="Overcrossing"</formula>
    </cfRule>
    <cfRule type="expression" dxfId="6713" priority="2590">
      <formula>$A5="Overpass"</formula>
    </cfRule>
    <cfRule type="expression" dxfId="6712" priority="2591">
      <formula>$A5="Station"</formula>
    </cfRule>
    <cfRule type="expression" dxfId="6711" priority="2592">
      <formula>$A5="Overlap between sections"</formula>
    </cfRule>
  </conditionalFormatting>
  <conditionalFormatting sqref="M4">
    <cfRule type="expression" dxfId="6710" priority="2580">
      <formula>$M4="NON DEFINED"</formula>
    </cfRule>
    <cfRule type="expression" dxfId="6709" priority="2581">
      <formula>$AY4="N.D."</formula>
    </cfRule>
  </conditionalFormatting>
  <conditionalFormatting sqref="M4">
    <cfRule type="cellIs" dxfId="6708" priority="2579" operator="equal">
      <formula>0</formula>
    </cfRule>
  </conditionalFormatting>
  <conditionalFormatting sqref="N5">
    <cfRule type="expression" dxfId="6707" priority="2573">
      <formula>$M5="NON DEFINED"</formula>
    </cfRule>
    <cfRule type="expression" dxfId="6706" priority="2574">
      <formula>$AZ5="N.D."</formula>
    </cfRule>
    <cfRule type="expression" dxfId="6705" priority="2575">
      <formula>$AY5="N.D."</formula>
    </cfRule>
  </conditionalFormatting>
  <conditionalFormatting sqref="N5">
    <cfRule type="expression" dxfId="6704" priority="2562">
      <formula>$A5="Overhead Cable"</formula>
    </cfRule>
    <cfRule type="expression" dxfId="6703" priority="2563">
      <formula>$A5="Level Crossing"</formula>
    </cfRule>
    <cfRule type="expression" dxfId="6702" priority="2564">
      <formula>$A5="Neutral Section"</formula>
    </cfRule>
    <cfRule type="expression" dxfId="6701" priority="2565">
      <formula>$A5="Tunnel"</formula>
    </cfRule>
    <cfRule type="expression" dxfId="6700" priority="2566">
      <formula>$A5="Bridge"</formula>
    </cfRule>
    <cfRule type="expression" dxfId="6699" priority="2567">
      <formula>$A5="Drainage Works"</formula>
    </cfRule>
    <cfRule type="expression" dxfId="6698" priority="2568">
      <formula>$A5="Underpass"</formula>
    </cfRule>
    <cfRule type="expression" dxfId="6697" priority="2569">
      <formula>$A5="Overcrossing"</formula>
    </cfRule>
    <cfRule type="expression" dxfId="6696" priority="2570">
      <formula>$A5="Overpass"</formula>
    </cfRule>
    <cfRule type="expression" dxfId="6695" priority="2571">
      <formula>$A5="Station"</formula>
    </cfRule>
    <cfRule type="expression" dxfId="6694" priority="2572">
      <formula>$A5="Overlap between sections"</formula>
    </cfRule>
  </conditionalFormatting>
  <conditionalFormatting sqref="N4">
    <cfRule type="expression" dxfId="6693" priority="2560">
      <formula>$M4="NON DEFINED"</formula>
    </cfRule>
    <cfRule type="expression" dxfId="6692" priority="2561">
      <formula>$AY4="N.D."</formula>
    </cfRule>
  </conditionalFormatting>
  <conditionalFormatting sqref="N4">
    <cfRule type="cellIs" dxfId="6691" priority="2559" operator="equal">
      <formula>0</formula>
    </cfRule>
  </conditionalFormatting>
  <conditionalFormatting sqref="O5">
    <cfRule type="expression" dxfId="6690" priority="2556">
      <formula>$M5="NON DEFINED"</formula>
    </cfRule>
    <cfRule type="expression" dxfId="6689" priority="2557">
      <formula>$AZ5="N.D."</formula>
    </cfRule>
    <cfRule type="expression" dxfId="6688" priority="2558">
      <formula>$AY5="N.D."</formula>
    </cfRule>
  </conditionalFormatting>
  <conditionalFormatting sqref="O5">
    <cfRule type="expression" dxfId="6687" priority="2545">
      <formula>$A5="Overhead Cable"</formula>
    </cfRule>
    <cfRule type="expression" dxfId="6686" priority="2546">
      <formula>$A5="Level Crossing"</formula>
    </cfRule>
    <cfRule type="expression" dxfId="6685" priority="2547">
      <formula>$A5="Neutral Section"</formula>
    </cfRule>
    <cfRule type="expression" dxfId="6684" priority="2548">
      <formula>$A5="Tunnel"</formula>
    </cfRule>
    <cfRule type="expression" dxfId="6683" priority="2549">
      <formula>$A5="Bridge"</formula>
    </cfRule>
    <cfRule type="expression" dxfId="6682" priority="2550">
      <formula>$A5="Drainage Works"</formula>
    </cfRule>
    <cfRule type="expression" dxfId="6681" priority="2551">
      <formula>$A5="Underpass"</formula>
    </cfRule>
    <cfRule type="expression" dxfId="6680" priority="2552">
      <formula>$A5="Overcrossing"</formula>
    </cfRule>
    <cfRule type="expression" dxfId="6679" priority="2553">
      <formula>$A5="Overpass"</formula>
    </cfRule>
    <cfRule type="expression" dxfId="6678" priority="2554">
      <formula>$A5="Station"</formula>
    </cfRule>
    <cfRule type="expression" dxfId="6677" priority="2555">
      <formula>$A5="Overlap between sections"</formula>
    </cfRule>
  </conditionalFormatting>
  <conditionalFormatting sqref="O4">
    <cfRule type="expression" dxfId="6676" priority="2543">
      <formula>$M4="NON DEFINED"</formula>
    </cfRule>
    <cfRule type="expression" dxfId="6675" priority="2544">
      <formula>$AY4="N.D."</formula>
    </cfRule>
  </conditionalFormatting>
  <conditionalFormatting sqref="O4">
    <cfRule type="cellIs" dxfId="6674" priority="2542" operator="equal">
      <formula>0</formula>
    </cfRule>
  </conditionalFormatting>
  <conditionalFormatting sqref="P5">
    <cfRule type="expression" dxfId="6673" priority="2539">
      <formula>$M5="NON DEFINED"</formula>
    </cfRule>
    <cfRule type="expression" dxfId="6672" priority="2540">
      <formula>$AZ5="N.D."</formula>
    </cfRule>
    <cfRule type="expression" dxfId="6671" priority="2541">
      <formula>$AY5="N.D."</formula>
    </cfRule>
  </conditionalFormatting>
  <conditionalFormatting sqref="P5">
    <cfRule type="expression" dxfId="6670" priority="2528">
      <formula>$A5="Overhead Cable"</formula>
    </cfRule>
    <cfRule type="expression" dxfId="6669" priority="2529">
      <formula>$A5="Level Crossing"</formula>
    </cfRule>
    <cfRule type="expression" dxfId="6668" priority="2530">
      <formula>$A5="Neutral Section"</formula>
    </cfRule>
    <cfRule type="expression" dxfId="6667" priority="2531">
      <formula>$A5="Tunnel"</formula>
    </cfRule>
    <cfRule type="expression" dxfId="6666" priority="2532">
      <formula>$A5="Bridge"</formula>
    </cfRule>
    <cfRule type="expression" dxfId="6665" priority="2533">
      <formula>$A5="Drainage Works"</formula>
    </cfRule>
    <cfRule type="expression" dxfId="6664" priority="2534">
      <formula>$A5="Underpass"</formula>
    </cfRule>
    <cfRule type="expression" dxfId="6663" priority="2535">
      <formula>$A5="Overcrossing"</formula>
    </cfRule>
    <cfRule type="expression" dxfId="6662" priority="2536">
      <formula>$A5="Overpass"</formula>
    </cfRule>
    <cfRule type="expression" dxfId="6661" priority="2537">
      <formula>$A5="Station"</formula>
    </cfRule>
    <cfRule type="expression" dxfId="6660" priority="2538">
      <formula>$A5="Overlap between sections"</formula>
    </cfRule>
  </conditionalFormatting>
  <conditionalFormatting sqref="P4">
    <cfRule type="expression" dxfId="6659" priority="2526">
      <formula>$M4="NON DEFINED"</formula>
    </cfRule>
    <cfRule type="expression" dxfId="6658" priority="2527">
      <formula>$AY4="N.D."</formula>
    </cfRule>
  </conditionalFormatting>
  <conditionalFormatting sqref="P4">
    <cfRule type="cellIs" dxfId="6657" priority="2525" operator="equal">
      <formula>0</formula>
    </cfRule>
  </conditionalFormatting>
  <conditionalFormatting sqref="AC5">
    <cfRule type="expression" dxfId="6656" priority="2505">
      <formula>$M5="NON DEFINED"</formula>
    </cfRule>
    <cfRule type="expression" dxfId="6655" priority="2506">
      <formula>$AZ5="N.D."</formula>
    </cfRule>
    <cfRule type="expression" dxfId="6654" priority="2507">
      <formula>$AY5="N.D."</formula>
    </cfRule>
  </conditionalFormatting>
  <conditionalFormatting sqref="AC5">
    <cfRule type="expression" dxfId="6653" priority="2494">
      <formula>$A5="Overhead Cable"</formula>
    </cfRule>
    <cfRule type="expression" dxfId="6652" priority="2495">
      <formula>$A5="Level Crossing"</formula>
    </cfRule>
    <cfRule type="expression" dxfId="6651" priority="2496">
      <formula>$A5="Neutral Section"</formula>
    </cfRule>
    <cfRule type="expression" dxfId="6650" priority="2497">
      <formula>$A5="Tunnel"</formula>
    </cfRule>
    <cfRule type="expression" dxfId="6649" priority="2498">
      <formula>$A5="Bridge"</formula>
    </cfRule>
    <cfRule type="expression" dxfId="6648" priority="2499">
      <formula>$A5="Drainage Works"</formula>
    </cfRule>
    <cfRule type="expression" dxfId="6647" priority="2500">
      <formula>$A5="Underpass"</formula>
    </cfRule>
    <cfRule type="expression" dxfId="6646" priority="2501">
      <formula>$A5="Overcrossing"</formula>
    </cfRule>
    <cfRule type="expression" dxfId="6645" priority="2502">
      <formula>$A5="Overpass"</formula>
    </cfRule>
    <cfRule type="expression" dxfId="6644" priority="2503">
      <formula>$A5="Station"</formula>
    </cfRule>
    <cfRule type="expression" dxfId="6643" priority="2504">
      <formula>$A5="Overlap between sections"</formula>
    </cfRule>
  </conditionalFormatting>
  <conditionalFormatting sqref="AC4">
    <cfRule type="expression" dxfId="6642" priority="2492">
      <formula>$M4="NON DEFINED"</formula>
    </cfRule>
    <cfRule type="expression" dxfId="6641" priority="2493">
      <formula>$AY4="N.D."</formula>
    </cfRule>
  </conditionalFormatting>
  <conditionalFormatting sqref="AC4">
    <cfRule type="cellIs" dxfId="6640" priority="2491" operator="equal">
      <formula>0</formula>
    </cfRule>
  </conditionalFormatting>
  <conditionalFormatting sqref="AD5">
    <cfRule type="expression" dxfId="6639" priority="2488">
      <formula>$M5="NON DEFINED"</formula>
    </cfRule>
    <cfRule type="expression" dxfId="6638" priority="2489">
      <formula>$AZ5="N.D."</formula>
    </cfRule>
    <cfRule type="expression" dxfId="6637" priority="2490">
      <formula>$AY5="N.D."</formula>
    </cfRule>
  </conditionalFormatting>
  <conditionalFormatting sqref="AD5">
    <cfRule type="expression" dxfId="6636" priority="2477">
      <formula>$A5="Overhead Cable"</formula>
    </cfRule>
    <cfRule type="expression" dxfId="6635" priority="2478">
      <formula>$A5="Level Crossing"</formula>
    </cfRule>
    <cfRule type="expression" dxfId="6634" priority="2479">
      <formula>$A5="Neutral Section"</formula>
    </cfRule>
    <cfRule type="expression" dxfId="6633" priority="2480">
      <formula>$A5="Tunnel"</formula>
    </cfRule>
    <cfRule type="expression" dxfId="6632" priority="2481">
      <formula>$A5="Bridge"</formula>
    </cfRule>
    <cfRule type="expression" dxfId="6631" priority="2482">
      <formula>$A5="Drainage Works"</formula>
    </cfRule>
    <cfRule type="expression" dxfId="6630" priority="2483">
      <formula>$A5="Underpass"</formula>
    </cfRule>
    <cfRule type="expression" dxfId="6629" priority="2484">
      <formula>$A5="Overcrossing"</formula>
    </cfRule>
    <cfRule type="expression" dxfId="6628" priority="2485">
      <formula>$A5="Overpass"</formula>
    </cfRule>
    <cfRule type="expression" dxfId="6627" priority="2486">
      <formula>$A5="Station"</formula>
    </cfRule>
    <cfRule type="expression" dxfId="6626" priority="2487">
      <formula>$A5="Overlap between sections"</formula>
    </cfRule>
  </conditionalFormatting>
  <conditionalFormatting sqref="AD4">
    <cfRule type="expression" dxfId="6625" priority="2475">
      <formula>$M4="NON DEFINED"</formula>
    </cfRule>
    <cfRule type="expression" dxfId="6624" priority="2476">
      <formula>$AY4="N.D."</formula>
    </cfRule>
  </conditionalFormatting>
  <conditionalFormatting sqref="AD4">
    <cfRule type="cellIs" dxfId="6623" priority="2474" operator="equal">
      <formula>0</formula>
    </cfRule>
  </conditionalFormatting>
  <conditionalFormatting sqref="AE5">
    <cfRule type="expression" dxfId="6622" priority="2471">
      <formula>$M5="NON DEFINED"</formula>
    </cfRule>
    <cfRule type="expression" dxfId="6621" priority="2472">
      <formula>$AZ5="N.D."</formula>
    </cfRule>
    <cfRule type="expression" dxfId="6620" priority="2473">
      <formula>$AY5="N.D."</formula>
    </cfRule>
  </conditionalFormatting>
  <conditionalFormatting sqref="AE5">
    <cfRule type="expression" dxfId="6619" priority="2460">
      <formula>$A5="Overhead Cable"</formula>
    </cfRule>
    <cfRule type="expression" dxfId="6618" priority="2461">
      <formula>$A5="Level Crossing"</formula>
    </cfRule>
    <cfRule type="expression" dxfId="6617" priority="2462">
      <formula>$A5="Neutral Section"</formula>
    </cfRule>
    <cfRule type="expression" dxfId="6616" priority="2463">
      <formula>$A5="Tunnel"</formula>
    </cfRule>
    <cfRule type="expression" dxfId="6615" priority="2464">
      <formula>$A5="Bridge"</formula>
    </cfRule>
    <cfRule type="expression" dxfId="6614" priority="2465">
      <formula>$A5="Drainage Works"</formula>
    </cfRule>
    <cfRule type="expression" dxfId="6613" priority="2466">
      <formula>$A5="Underpass"</formula>
    </cfRule>
    <cfRule type="expression" dxfId="6612" priority="2467">
      <formula>$A5="Overcrossing"</formula>
    </cfRule>
    <cfRule type="expression" dxfId="6611" priority="2468">
      <formula>$A5="Overpass"</formula>
    </cfRule>
    <cfRule type="expression" dxfId="6610" priority="2469">
      <formula>$A5="Station"</formula>
    </cfRule>
    <cfRule type="expression" dxfId="6609" priority="2470">
      <formula>$A5="Overlap between sections"</formula>
    </cfRule>
  </conditionalFormatting>
  <conditionalFormatting sqref="AE4">
    <cfRule type="expression" dxfId="6608" priority="2458">
      <formula>$M4="NON DEFINED"</formula>
    </cfRule>
    <cfRule type="expression" dxfId="6607" priority="2459">
      <formula>$AY4="N.D."</formula>
    </cfRule>
  </conditionalFormatting>
  <conditionalFormatting sqref="AE4">
    <cfRule type="cellIs" dxfId="6606" priority="2457" operator="equal">
      <formula>0</formula>
    </cfRule>
  </conditionalFormatting>
  <conditionalFormatting sqref="AJ5">
    <cfRule type="expression" dxfId="6605" priority="2454">
      <formula>$M5="NON DEFINED"</formula>
    </cfRule>
    <cfRule type="expression" dxfId="6604" priority="2455">
      <formula>$AZ5="N.D."</formula>
    </cfRule>
    <cfRule type="expression" dxfId="6603" priority="2456">
      <formula>$AY5="N.D."</formula>
    </cfRule>
  </conditionalFormatting>
  <conditionalFormatting sqref="AJ5">
    <cfRule type="expression" dxfId="6602" priority="2443">
      <formula>$A5="Overhead Cable"</formula>
    </cfRule>
    <cfRule type="expression" dxfId="6601" priority="2444">
      <formula>$A5="Level Crossing"</formula>
    </cfRule>
    <cfRule type="expression" dxfId="6600" priority="2445">
      <formula>$A5="Neutral Section"</formula>
    </cfRule>
    <cfRule type="expression" dxfId="6599" priority="2446">
      <formula>$A5="Tunnel"</formula>
    </cfRule>
    <cfRule type="expression" dxfId="6598" priority="2447">
      <formula>$A5="Bridge"</formula>
    </cfRule>
    <cfRule type="expression" dxfId="6597" priority="2448">
      <formula>$A5="Drainage Works"</formula>
    </cfRule>
    <cfRule type="expression" dxfId="6596" priority="2449">
      <formula>$A5="Underpass"</formula>
    </cfRule>
    <cfRule type="expression" dxfId="6595" priority="2450">
      <formula>$A5="Overcrossing"</formula>
    </cfRule>
    <cfRule type="expression" dxfId="6594" priority="2451">
      <formula>$A5="Overpass"</formula>
    </cfRule>
    <cfRule type="expression" dxfId="6593" priority="2452">
      <formula>$A5="Station"</formula>
    </cfRule>
    <cfRule type="expression" dxfId="6592" priority="2453">
      <formula>$A5="Overlap between sections"</formula>
    </cfRule>
  </conditionalFormatting>
  <conditionalFormatting sqref="AJ4">
    <cfRule type="expression" dxfId="6591" priority="2441">
      <formula>$M4="NON DEFINED"</formula>
    </cfRule>
    <cfRule type="expression" dxfId="6590" priority="2442">
      <formula>$AY4="N.D."</formula>
    </cfRule>
  </conditionalFormatting>
  <conditionalFormatting sqref="AJ4">
    <cfRule type="cellIs" dxfId="6589" priority="2440" operator="equal">
      <formula>0</formula>
    </cfRule>
  </conditionalFormatting>
  <conditionalFormatting sqref="AK5">
    <cfRule type="expression" dxfId="6588" priority="2437">
      <formula>$M5="NON DEFINED"</formula>
    </cfRule>
    <cfRule type="expression" dxfId="6587" priority="2438">
      <formula>$AZ5="N.D."</formula>
    </cfRule>
    <cfRule type="expression" dxfId="6586" priority="2439">
      <formula>$AY5="N.D."</formula>
    </cfRule>
  </conditionalFormatting>
  <conditionalFormatting sqref="AK5">
    <cfRule type="expression" dxfId="6585" priority="2426">
      <formula>$A5="Overhead Cable"</formula>
    </cfRule>
    <cfRule type="expression" dxfId="6584" priority="2427">
      <formula>$A5="Level Crossing"</formula>
    </cfRule>
    <cfRule type="expression" dxfId="6583" priority="2428">
      <formula>$A5="Neutral Section"</formula>
    </cfRule>
    <cfRule type="expression" dxfId="6582" priority="2429">
      <formula>$A5="Tunnel"</formula>
    </cfRule>
    <cfRule type="expression" dxfId="6581" priority="2430">
      <formula>$A5="Bridge"</formula>
    </cfRule>
    <cfRule type="expression" dxfId="6580" priority="2431">
      <formula>$A5="Drainage Works"</formula>
    </cfRule>
    <cfRule type="expression" dxfId="6579" priority="2432">
      <formula>$A5="Underpass"</formula>
    </cfRule>
    <cfRule type="expression" dxfId="6578" priority="2433">
      <formula>$A5="Overcrossing"</formula>
    </cfRule>
    <cfRule type="expression" dxfId="6577" priority="2434">
      <formula>$A5="Overpass"</formula>
    </cfRule>
    <cfRule type="expression" dxfId="6576" priority="2435">
      <formula>$A5="Station"</formula>
    </cfRule>
    <cfRule type="expression" dxfId="6575" priority="2436">
      <formula>$A5="Overlap between sections"</formula>
    </cfRule>
  </conditionalFormatting>
  <conditionalFormatting sqref="AK4">
    <cfRule type="expression" dxfId="6574" priority="2424">
      <formula>$M4="NON DEFINED"</formula>
    </cfRule>
    <cfRule type="expression" dxfId="6573" priority="2425">
      <formula>$AY4="N.D."</formula>
    </cfRule>
  </conditionalFormatting>
  <conditionalFormatting sqref="AK4">
    <cfRule type="cellIs" dxfId="6572" priority="2423" operator="equal">
      <formula>0</formula>
    </cfRule>
  </conditionalFormatting>
  <conditionalFormatting sqref="AL5">
    <cfRule type="expression" dxfId="6571" priority="2420">
      <formula>$M5="NON DEFINED"</formula>
    </cfRule>
    <cfRule type="expression" dxfId="6570" priority="2421">
      <formula>$AZ5="N.D."</formula>
    </cfRule>
    <cfRule type="expression" dxfId="6569" priority="2422">
      <formula>$AY5="N.D."</formula>
    </cfRule>
  </conditionalFormatting>
  <conditionalFormatting sqref="AL5">
    <cfRule type="expression" dxfId="6568" priority="2409">
      <formula>$A5="Overhead Cable"</formula>
    </cfRule>
    <cfRule type="expression" dxfId="6567" priority="2410">
      <formula>$A5="Level Crossing"</formula>
    </cfRule>
    <cfRule type="expression" dxfId="6566" priority="2411">
      <formula>$A5="Neutral Section"</formula>
    </cfRule>
    <cfRule type="expression" dxfId="6565" priority="2412">
      <formula>$A5="Tunnel"</formula>
    </cfRule>
    <cfRule type="expression" dxfId="6564" priority="2413">
      <formula>$A5="Bridge"</formula>
    </cfRule>
    <cfRule type="expression" dxfId="6563" priority="2414">
      <formula>$A5="Drainage Works"</formula>
    </cfRule>
    <cfRule type="expression" dxfId="6562" priority="2415">
      <formula>$A5="Underpass"</formula>
    </cfRule>
    <cfRule type="expression" dxfId="6561" priority="2416">
      <formula>$A5="Overcrossing"</formula>
    </cfRule>
    <cfRule type="expression" dxfId="6560" priority="2417">
      <formula>$A5="Overpass"</formula>
    </cfRule>
    <cfRule type="expression" dxfId="6559" priority="2418">
      <formula>$A5="Station"</formula>
    </cfRule>
    <cfRule type="expression" dxfId="6558" priority="2419">
      <formula>$A5="Overlap between sections"</formula>
    </cfRule>
  </conditionalFormatting>
  <conditionalFormatting sqref="AL4">
    <cfRule type="expression" dxfId="6557" priority="2407">
      <formula>$M4="NON DEFINED"</formula>
    </cfRule>
    <cfRule type="expression" dxfId="6556" priority="2408">
      <formula>$AY4="N.D."</formula>
    </cfRule>
  </conditionalFormatting>
  <conditionalFormatting sqref="AL4">
    <cfRule type="cellIs" dxfId="6555" priority="2406" operator="equal">
      <formula>0</formula>
    </cfRule>
  </conditionalFormatting>
  <conditionalFormatting sqref="AM5">
    <cfRule type="expression" dxfId="6554" priority="2403">
      <formula>$M5="NON DEFINED"</formula>
    </cfRule>
    <cfRule type="expression" dxfId="6553" priority="2404">
      <formula>$AZ5="N.D."</formula>
    </cfRule>
    <cfRule type="expression" dxfId="6552" priority="2405">
      <formula>$AY5="N.D."</formula>
    </cfRule>
  </conditionalFormatting>
  <conditionalFormatting sqref="AM5">
    <cfRule type="expression" dxfId="6551" priority="2392">
      <formula>$A5="Overhead Cable"</formula>
    </cfRule>
    <cfRule type="expression" dxfId="6550" priority="2393">
      <formula>$A5="Level Crossing"</formula>
    </cfRule>
    <cfRule type="expression" dxfId="6549" priority="2394">
      <formula>$A5="Neutral Section"</formula>
    </cfRule>
    <cfRule type="expression" dxfId="6548" priority="2395">
      <formula>$A5="Tunnel"</formula>
    </cfRule>
    <cfRule type="expression" dxfId="6547" priority="2396">
      <formula>$A5="Bridge"</formula>
    </cfRule>
    <cfRule type="expression" dxfId="6546" priority="2397">
      <formula>$A5="Drainage Works"</formula>
    </cfRule>
    <cfRule type="expression" dxfId="6545" priority="2398">
      <formula>$A5="Underpass"</formula>
    </cfRule>
    <cfRule type="expression" dxfId="6544" priority="2399">
      <formula>$A5="Overcrossing"</formula>
    </cfRule>
    <cfRule type="expression" dxfId="6543" priority="2400">
      <formula>$A5="Overpass"</formula>
    </cfRule>
    <cfRule type="expression" dxfId="6542" priority="2401">
      <formula>$A5="Station"</formula>
    </cfRule>
    <cfRule type="expression" dxfId="6541" priority="2402">
      <formula>$A5="Overlap between sections"</formula>
    </cfRule>
  </conditionalFormatting>
  <conditionalFormatting sqref="AM4">
    <cfRule type="expression" dxfId="6540" priority="2390">
      <formula>$M4="NON DEFINED"</formula>
    </cfRule>
    <cfRule type="expression" dxfId="6539" priority="2391">
      <formula>$AY4="N.D."</formula>
    </cfRule>
  </conditionalFormatting>
  <conditionalFormatting sqref="AM4">
    <cfRule type="cellIs" dxfId="6538" priority="2389" operator="equal">
      <formula>0</formula>
    </cfRule>
  </conditionalFormatting>
  <conditionalFormatting sqref="AT5">
    <cfRule type="expression" dxfId="6537" priority="2386">
      <formula>$M5="NON DEFINED"</formula>
    </cfRule>
    <cfRule type="expression" dxfId="6536" priority="2387">
      <formula>$AZ5="N.D."</formula>
    </cfRule>
    <cfRule type="expression" dxfId="6535" priority="2388">
      <formula>$AY5="N.D."</formula>
    </cfRule>
  </conditionalFormatting>
  <conditionalFormatting sqref="AT5">
    <cfRule type="expression" dxfId="6534" priority="2375">
      <formula>$A5="Overhead Cable"</formula>
    </cfRule>
    <cfRule type="expression" dxfId="6533" priority="2376">
      <formula>$A5="Level Crossing"</formula>
    </cfRule>
    <cfRule type="expression" dxfId="6532" priority="2377">
      <formula>$A5="Neutral Section"</formula>
    </cfRule>
    <cfRule type="expression" dxfId="6531" priority="2378">
      <formula>$A5="Tunnel"</formula>
    </cfRule>
    <cfRule type="expression" dxfId="6530" priority="2379">
      <formula>$A5="Bridge"</formula>
    </cfRule>
    <cfRule type="expression" dxfId="6529" priority="2380">
      <formula>$A5="Drainage Works"</formula>
    </cfRule>
    <cfRule type="expression" dxfId="6528" priority="2381">
      <formula>$A5="Underpass"</formula>
    </cfRule>
    <cfRule type="expression" dxfId="6527" priority="2382">
      <formula>$A5="Overcrossing"</formula>
    </cfRule>
    <cfRule type="expression" dxfId="6526" priority="2383">
      <formula>$A5="Overpass"</formula>
    </cfRule>
    <cfRule type="expression" dxfId="6525" priority="2384">
      <formula>$A5="Station"</formula>
    </cfRule>
    <cfRule type="expression" dxfId="6524" priority="2385">
      <formula>$A5="Overlap between sections"</formula>
    </cfRule>
  </conditionalFormatting>
  <conditionalFormatting sqref="AT4">
    <cfRule type="expression" dxfId="6523" priority="2373">
      <formula>$M4="NON DEFINED"</formula>
    </cfRule>
    <cfRule type="expression" dxfId="6522" priority="2374">
      <formula>$AY4="N.D."</formula>
    </cfRule>
  </conditionalFormatting>
  <conditionalFormatting sqref="AT4">
    <cfRule type="cellIs" dxfId="6521" priority="2372" operator="equal">
      <formula>0</formula>
    </cfRule>
  </conditionalFormatting>
  <conditionalFormatting sqref="AU5">
    <cfRule type="expression" dxfId="6520" priority="2369">
      <formula>$M5="NON DEFINED"</formula>
    </cfRule>
    <cfRule type="expression" dxfId="6519" priority="2370">
      <formula>$AZ5="N.D."</formula>
    </cfRule>
    <cfRule type="expression" dxfId="6518" priority="2371">
      <formula>$AY5="N.D."</formula>
    </cfRule>
  </conditionalFormatting>
  <conditionalFormatting sqref="AU5">
    <cfRule type="expression" dxfId="6517" priority="2358">
      <formula>$A5="Overhead Cable"</formula>
    </cfRule>
    <cfRule type="expression" dxfId="6516" priority="2359">
      <formula>$A5="Level Crossing"</formula>
    </cfRule>
    <cfRule type="expression" dxfId="6515" priority="2360">
      <formula>$A5="Neutral Section"</formula>
    </cfRule>
    <cfRule type="expression" dxfId="6514" priority="2361">
      <formula>$A5="Tunnel"</formula>
    </cfRule>
    <cfRule type="expression" dxfId="6513" priority="2362">
      <formula>$A5="Bridge"</formula>
    </cfRule>
    <cfRule type="expression" dxfId="6512" priority="2363">
      <formula>$A5="Drainage Works"</formula>
    </cfRule>
    <cfRule type="expression" dxfId="6511" priority="2364">
      <formula>$A5="Underpass"</formula>
    </cfRule>
    <cfRule type="expression" dxfId="6510" priority="2365">
      <formula>$A5="Overcrossing"</formula>
    </cfRule>
    <cfRule type="expression" dxfId="6509" priority="2366">
      <formula>$A5="Overpass"</formula>
    </cfRule>
    <cfRule type="expression" dxfId="6508" priority="2367">
      <formula>$A5="Station"</formula>
    </cfRule>
    <cfRule type="expression" dxfId="6507" priority="2368">
      <formula>$A5="Overlap between sections"</formula>
    </cfRule>
  </conditionalFormatting>
  <conditionalFormatting sqref="AU4">
    <cfRule type="expression" dxfId="6506" priority="2356">
      <formula>$M4="NON DEFINED"</formula>
    </cfRule>
    <cfRule type="expression" dxfId="6505" priority="2357">
      <formula>$AY4="N.D."</formula>
    </cfRule>
  </conditionalFormatting>
  <conditionalFormatting sqref="AU4">
    <cfRule type="cellIs" dxfId="6504" priority="2355" operator="equal">
      <formula>0</formula>
    </cfRule>
  </conditionalFormatting>
  <conditionalFormatting sqref="AV5">
    <cfRule type="expression" dxfId="6503" priority="2352">
      <formula>$M5="NON DEFINED"</formula>
    </cfRule>
    <cfRule type="expression" dxfId="6502" priority="2353">
      <formula>$AZ5="N.D."</formula>
    </cfRule>
    <cfRule type="expression" dxfId="6501" priority="2354">
      <formula>$AY5="N.D."</formula>
    </cfRule>
  </conditionalFormatting>
  <conditionalFormatting sqref="AV5">
    <cfRule type="expression" dxfId="6500" priority="2341">
      <formula>$A5="Overhead Cable"</formula>
    </cfRule>
    <cfRule type="expression" dxfId="6499" priority="2342">
      <formula>$A5="Level Crossing"</formula>
    </cfRule>
    <cfRule type="expression" dxfId="6498" priority="2343">
      <formula>$A5="Neutral Section"</formula>
    </cfRule>
    <cfRule type="expression" dxfId="6497" priority="2344">
      <formula>$A5="Tunnel"</formula>
    </cfRule>
    <cfRule type="expression" dxfId="6496" priority="2345">
      <formula>$A5="Bridge"</formula>
    </cfRule>
    <cfRule type="expression" dxfId="6495" priority="2346">
      <formula>$A5="Drainage Works"</formula>
    </cfRule>
    <cfRule type="expression" dxfId="6494" priority="2347">
      <formula>$A5="Underpass"</formula>
    </cfRule>
    <cfRule type="expression" dxfId="6493" priority="2348">
      <formula>$A5="Overcrossing"</formula>
    </cfRule>
    <cfRule type="expression" dxfId="6492" priority="2349">
      <formula>$A5="Overpass"</formula>
    </cfRule>
    <cfRule type="expression" dxfId="6491" priority="2350">
      <formula>$A5="Station"</formula>
    </cfRule>
    <cfRule type="expression" dxfId="6490" priority="2351">
      <formula>$A5="Overlap between sections"</formula>
    </cfRule>
  </conditionalFormatting>
  <conditionalFormatting sqref="AV4">
    <cfRule type="expression" dxfId="6489" priority="2339">
      <formula>$M4="NON DEFINED"</formula>
    </cfRule>
    <cfRule type="expression" dxfId="6488" priority="2340">
      <formula>$AY4="N.D."</formula>
    </cfRule>
  </conditionalFormatting>
  <conditionalFormatting sqref="AV4">
    <cfRule type="cellIs" dxfId="6487" priority="2338" operator="equal">
      <formula>0</formula>
    </cfRule>
  </conditionalFormatting>
  <conditionalFormatting sqref="AW5">
    <cfRule type="expression" dxfId="6486" priority="2335">
      <formula>$M5="NON DEFINED"</formula>
    </cfRule>
    <cfRule type="expression" dxfId="6485" priority="2336">
      <formula>$AZ5="N.D."</formula>
    </cfRule>
    <cfRule type="expression" dxfId="6484" priority="2337">
      <formula>$AY5="N.D."</formula>
    </cfRule>
  </conditionalFormatting>
  <conditionalFormatting sqref="AW5">
    <cfRule type="expression" dxfId="6483" priority="2324">
      <formula>$A5="Overhead Cable"</formula>
    </cfRule>
    <cfRule type="expression" dxfId="6482" priority="2325">
      <formula>$A5="Level Crossing"</formula>
    </cfRule>
    <cfRule type="expression" dxfId="6481" priority="2326">
      <formula>$A5="Neutral Section"</formula>
    </cfRule>
    <cfRule type="expression" dxfId="6480" priority="2327">
      <formula>$A5="Tunnel"</formula>
    </cfRule>
    <cfRule type="expression" dxfId="6479" priority="2328">
      <formula>$A5="Bridge"</formula>
    </cfRule>
    <cfRule type="expression" dxfId="6478" priority="2329">
      <formula>$A5="Drainage Works"</formula>
    </cfRule>
    <cfRule type="expression" dxfId="6477" priority="2330">
      <formula>$A5="Underpass"</formula>
    </cfRule>
    <cfRule type="expression" dxfId="6476" priority="2331">
      <formula>$A5="Overcrossing"</formula>
    </cfRule>
    <cfRule type="expression" dxfId="6475" priority="2332">
      <formula>$A5="Overpass"</formula>
    </cfRule>
    <cfRule type="expression" dxfId="6474" priority="2333">
      <formula>$A5="Station"</formula>
    </cfRule>
    <cfRule type="expression" dxfId="6473" priority="2334">
      <formula>$A5="Overlap between sections"</formula>
    </cfRule>
  </conditionalFormatting>
  <conditionalFormatting sqref="AW4">
    <cfRule type="expression" dxfId="6472" priority="2322">
      <formula>$M4="NON DEFINED"</formula>
    </cfRule>
    <cfRule type="expression" dxfId="6471" priority="2323">
      <formula>$AY4="N.D."</formula>
    </cfRule>
  </conditionalFormatting>
  <conditionalFormatting sqref="AW4">
    <cfRule type="cellIs" dxfId="6470" priority="2321" operator="equal">
      <formula>0</formula>
    </cfRule>
  </conditionalFormatting>
  <conditionalFormatting sqref="AX5">
    <cfRule type="expression" dxfId="6469" priority="2318">
      <formula>$M5="NON DEFINED"</formula>
    </cfRule>
    <cfRule type="expression" dxfId="6468" priority="2319">
      <formula>$AZ5="N.D."</formula>
    </cfRule>
    <cfRule type="expression" dxfId="6467" priority="2320">
      <formula>$AY5="N.D."</formula>
    </cfRule>
  </conditionalFormatting>
  <conditionalFormatting sqref="AX5">
    <cfRule type="expression" dxfId="6466" priority="2307">
      <formula>$A5="Overhead Cable"</formula>
    </cfRule>
    <cfRule type="expression" dxfId="6465" priority="2308">
      <formula>$A5="Level Crossing"</formula>
    </cfRule>
    <cfRule type="expression" dxfId="6464" priority="2309">
      <formula>$A5="Neutral Section"</formula>
    </cfRule>
    <cfRule type="expression" dxfId="6463" priority="2310">
      <formula>$A5="Tunnel"</formula>
    </cfRule>
    <cfRule type="expression" dxfId="6462" priority="2311">
      <formula>$A5="Bridge"</formula>
    </cfRule>
    <cfRule type="expression" dxfId="6461" priority="2312">
      <formula>$A5="Drainage Works"</formula>
    </cfRule>
    <cfRule type="expression" dxfId="6460" priority="2313">
      <formula>$A5="Underpass"</formula>
    </cfRule>
    <cfRule type="expression" dxfId="6459" priority="2314">
      <formula>$A5="Overcrossing"</formula>
    </cfRule>
    <cfRule type="expression" dxfId="6458" priority="2315">
      <formula>$A5="Overpass"</formula>
    </cfRule>
    <cfRule type="expression" dxfId="6457" priority="2316">
      <formula>$A5="Station"</formula>
    </cfRule>
    <cfRule type="expression" dxfId="6456" priority="2317">
      <formula>$A5="Overlap between sections"</formula>
    </cfRule>
  </conditionalFormatting>
  <conditionalFormatting sqref="AX4">
    <cfRule type="expression" dxfId="6455" priority="2305">
      <formula>$M4="NON DEFINED"</formula>
    </cfRule>
    <cfRule type="expression" dxfId="6454" priority="2306">
      <formula>$AY4="N.D."</formula>
    </cfRule>
  </conditionalFormatting>
  <conditionalFormatting sqref="AX4">
    <cfRule type="cellIs" dxfId="6453" priority="2304" operator="equal">
      <formula>0</formula>
    </cfRule>
  </conditionalFormatting>
  <conditionalFormatting sqref="F5">
    <cfRule type="expression" dxfId="6452" priority="2301">
      <formula>$M5="NON DEFINED"</formula>
    </cfRule>
    <cfRule type="expression" dxfId="6451" priority="2302">
      <formula>$AZ5="N.D."</formula>
    </cfRule>
    <cfRule type="expression" dxfId="6450" priority="2303">
      <formula>$AY5="N.D."</formula>
    </cfRule>
  </conditionalFormatting>
  <conditionalFormatting sqref="F5">
    <cfRule type="expression" dxfId="6449" priority="2290">
      <formula>$A5="Overhead Cable"</formula>
    </cfRule>
    <cfRule type="expression" dxfId="6448" priority="2291">
      <formula>$A5="Level Crossing"</formula>
    </cfRule>
    <cfRule type="expression" dxfId="6447" priority="2292">
      <formula>$A5="Neutral Section"</formula>
    </cfRule>
    <cfRule type="expression" dxfId="6446" priority="2293">
      <formula>$A5="Tunnel"</formula>
    </cfRule>
    <cfRule type="expression" dxfId="6445" priority="2294">
      <formula>$A5="Bridge"</formula>
    </cfRule>
    <cfRule type="expression" dxfId="6444" priority="2295">
      <formula>$A5="Drainage Works"</formula>
    </cfRule>
    <cfRule type="expression" dxfId="6443" priority="2296">
      <formula>$A5="Underpass"</formula>
    </cfRule>
    <cfRule type="expression" dxfId="6442" priority="2297">
      <formula>$A5="Overcrossing"</formula>
    </cfRule>
    <cfRule type="expression" dxfId="6441" priority="2298">
      <formula>$A5="Overpass"</formula>
    </cfRule>
    <cfRule type="expression" dxfId="6440" priority="2299">
      <formula>$A5="Station"</formula>
    </cfRule>
    <cfRule type="expression" dxfId="6439" priority="2300">
      <formula>$A5="Overlap between sections"</formula>
    </cfRule>
  </conditionalFormatting>
  <conditionalFormatting sqref="F4">
    <cfRule type="expression" dxfId="6438" priority="2288">
      <formula>$M4="NON DEFINED"</formula>
    </cfRule>
    <cfRule type="expression" dxfId="6437" priority="2289">
      <formula>$AY4="N.D."</formula>
    </cfRule>
  </conditionalFormatting>
  <conditionalFormatting sqref="F4">
    <cfRule type="cellIs" dxfId="6436" priority="2287" operator="equal">
      <formula>0</formula>
    </cfRule>
  </conditionalFormatting>
  <conditionalFormatting sqref="Q5">
    <cfRule type="expression" dxfId="6435" priority="2284">
      <formula>$M5="NON DEFINED"</formula>
    </cfRule>
    <cfRule type="expression" dxfId="6434" priority="2285">
      <formula>$AZ5="N.D."</formula>
    </cfRule>
    <cfRule type="expression" dxfId="6433" priority="2286">
      <formula>$AY5="N.D."</formula>
    </cfRule>
  </conditionalFormatting>
  <conditionalFormatting sqref="Q5">
    <cfRule type="expression" dxfId="6432" priority="2273">
      <formula>$A5="Overhead Cable"</formula>
    </cfRule>
    <cfRule type="expression" dxfId="6431" priority="2274">
      <formula>$A5="Level Crossing"</formula>
    </cfRule>
    <cfRule type="expression" dxfId="6430" priority="2275">
      <formula>$A5="Neutral Section"</formula>
    </cfRule>
    <cfRule type="expression" dxfId="6429" priority="2276">
      <formula>$A5="Tunnel"</formula>
    </cfRule>
    <cfRule type="expression" dxfId="6428" priority="2277">
      <formula>$A5="Bridge"</formula>
    </cfRule>
    <cfRule type="expression" dxfId="6427" priority="2278">
      <formula>$A5="Drainage Works"</formula>
    </cfRule>
    <cfRule type="expression" dxfId="6426" priority="2279">
      <formula>$A5="Underpass"</formula>
    </cfRule>
    <cfRule type="expression" dxfId="6425" priority="2280">
      <formula>$A5="Overcrossing"</formula>
    </cfRule>
    <cfRule type="expression" dxfId="6424" priority="2281">
      <formula>$A5="Overpass"</formula>
    </cfRule>
    <cfRule type="expression" dxfId="6423" priority="2282">
      <formula>$A5="Station"</formula>
    </cfRule>
    <cfRule type="expression" dxfId="6422" priority="2283">
      <formula>$A5="Overlap between sections"</formula>
    </cfRule>
  </conditionalFormatting>
  <conditionalFormatting sqref="Q4">
    <cfRule type="expression" dxfId="6421" priority="2271">
      <formula>$M4="NON DEFINED"</formula>
    </cfRule>
    <cfRule type="expression" dxfId="6420" priority="2272">
      <formula>$AY4="N.D."</formula>
    </cfRule>
  </conditionalFormatting>
  <conditionalFormatting sqref="Q4">
    <cfRule type="cellIs" dxfId="6419" priority="2270" operator="equal">
      <formula>0</formula>
    </cfRule>
  </conditionalFormatting>
  <conditionalFormatting sqref="T5">
    <cfRule type="expression" dxfId="6418" priority="2267">
      <formula>$M5="NON DEFINED"</formula>
    </cfRule>
    <cfRule type="expression" dxfId="6417" priority="2268">
      <formula>$AZ5="N.D."</formula>
    </cfRule>
    <cfRule type="expression" dxfId="6416" priority="2269">
      <formula>$AY5="N.D."</formula>
    </cfRule>
  </conditionalFormatting>
  <conditionalFormatting sqref="T5">
    <cfRule type="expression" dxfId="6415" priority="2256">
      <formula>$A5="Overhead Cable"</formula>
    </cfRule>
    <cfRule type="expression" dxfId="6414" priority="2257">
      <formula>$A5="Level Crossing"</formula>
    </cfRule>
    <cfRule type="expression" dxfId="6413" priority="2258">
      <formula>$A5="Neutral Section"</formula>
    </cfRule>
    <cfRule type="expression" dxfId="6412" priority="2259">
      <formula>$A5="Tunnel"</formula>
    </cfRule>
    <cfRule type="expression" dxfId="6411" priority="2260">
      <formula>$A5="Bridge"</formula>
    </cfRule>
    <cfRule type="expression" dxfId="6410" priority="2261">
      <formula>$A5="Drainage Works"</formula>
    </cfRule>
    <cfRule type="expression" dxfId="6409" priority="2262">
      <formula>$A5="Underpass"</formula>
    </cfRule>
    <cfRule type="expression" dxfId="6408" priority="2263">
      <formula>$A5="Overcrossing"</formula>
    </cfRule>
    <cfRule type="expression" dxfId="6407" priority="2264">
      <formula>$A5="Overpass"</formula>
    </cfRule>
    <cfRule type="expression" dxfId="6406" priority="2265">
      <formula>$A5="Station"</formula>
    </cfRule>
    <cfRule type="expression" dxfId="6405" priority="2266">
      <formula>$A5="Overlap between sections"</formula>
    </cfRule>
  </conditionalFormatting>
  <conditionalFormatting sqref="T4">
    <cfRule type="expression" dxfId="6404" priority="2254">
      <formula>$M4="NON DEFINED"</formula>
    </cfRule>
    <cfRule type="expression" dxfId="6403" priority="2255">
      <formula>$AY4="N.D."</formula>
    </cfRule>
  </conditionalFormatting>
  <conditionalFormatting sqref="T4">
    <cfRule type="cellIs" dxfId="6402" priority="2253" operator="equal">
      <formula>0</formula>
    </cfRule>
  </conditionalFormatting>
  <conditionalFormatting sqref="U5">
    <cfRule type="expression" dxfId="6401" priority="2250">
      <formula>$M5="NON DEFINED"</formula>
    </cfRule>
    <cfRule type="expression" dxfId="6400" priority="2251">
      <formula>$AZ5="N.D."</formula>
    </cfRule>
    <cfRule type="expression" dxfId="6399" priority="2252">
      <formula>$AY5="N.D."</formula>
    </cfRule>
  </conditionalFormatting>
  <conditionalFormatting sqref="U5">
    <cfRule type="expression" dxfId="6398" priority="2239">
      <formula>$A5="Overhead Cable"</formula>
    </cfRule>
    <cfRule type="expression" dxfId="6397" priority="2240">
      <formula>$A5="Level Crossing"</formula>
    </cfRule>
    <cfRule type="expression" dxfId="6396" priority="2241">
      <formula>$A5="Neutral Section"</formula>
    </cfRule>
    <cfRule type="expression" dxfId="6395" priority="2242">
      <formula>$A5="Tunnel"</formula>
    </cfRule>
    <cfRule type="expression" dxfId="6394" priority="2243">
      <formula>$A5="Bridge"</formula>
    </cfRule>
    <cfRule type="expression" dxfId="6393" priority="2244">
      <formula>$A5="Drainage Works"</formula>
    </cfRule>
    <cfRule type="expression" dxfId="6392" priority="2245">
      <formula>$A5="Underpass"</formula>
    </cfRule>
    <cfRule type="expression" dxfId="6391" priority="2246">
      <formula>$A5="Overcrossing"</formula>
    </cfRule>
    <cfRule type="expression" dxfId="6390" priority="2247">
      <formula>$A5="Overpass"</formula>
    </cfRule>
    <cfRule type="expression" dxfId="6389" priority="2248">
      <formula>$A5="Station"</formula>
    </cfRule>
    <cfRule type="expression" dxfId="6388" priority="2249">
      <formula>$A5="Overlap between sections"</formula>
    </cfRule>
  </conditionalFormatting>
  <conditionalFormatting sqref="U4">
    <cfRule type="expression" dxfId="6387" priority="2237">
      <formula>$M4="NON DEFINED"</formula>
    </cfRule>
    <cfRule type="expression" dxfId="6386" priority="2238">
      <formula>$AY4="N.D."</formula>
    </cfRule>
  </conditionalFormatting>
  <conditionalFormatting sqref="U4">
    <cfRule type="cellIs" dxfId="6385" priority="2236" operator="equal">
      <formula>0</formula>
    </cfRule>
  </conditionalFormatting>
  <conditionalFormatting sqref="V5">
    <cfRule type="expression" dxfId="6384" priority="2233">
      <formula>$M5="NON DEFINED"</formula>
    </cfRule>
    <cfRule type="expression" dxfId="6383" priority="2234">
      <formula>$AZ5="N.D."</formula>
    </cfRule>
    <cfRule type="expression" dxfId="6382" priority="2235">
      <formula>$AY5="N.D."</formula>
    </cfRule>
  </conditionalFormatting>
  <conditionalFormatting sqref="V5">
    <cfRule type="expression" dxfId="6381" priority="2222">
      <formula>$A5="Overhead Cable"</formula>
    </cfRule>
    <cfRule type="expression" dxfId="6380" priority="2223">
      <formula>$A5="Level Crossing"</formula>
    </cfRule>
    <cfRule type="expression" dxfId="6379" priority="2224">
      <formula>$A5="Neutral Section"</formula>
    </cfRule>
    <cfRule type="expression" dxfId="6378" priority="2225">
      <formula>$A5="Tunnel"</formula>
    </cfRule>
    <cfRule type="expression" dxfId="6377" priority="2226">
      <formula>$A5="Bridge"</formula>
    </cfRule>
    <cfRule type="expression" dxfId="6376" priority="2227">
      <formula>$A5="Drainage Works"</formula>
    </cfRule>
    <cfRule type="expression" dxfId="6375" priority="2228">
      <formula>$A5="Underpass"</formula>
    </cfRule>
    <cfRule type="expression" dxfId="6374" priority="2229">
      <formula>$A5="Overcrossing"</formula>
    </cfRule>
    <cfRule type="expression" dxfId="6373" priority="2230">
      <formula>$A5="Overpass"</formula>
    </cfRule>
    <cfRule type="expression" dxfId="6372" priority="2231">
      <formula>$A5="Station"</formula>
    </cfRule>
    <cfRule type="expression" dxfId="6371" priority="2232">
      <formula>$A5="Overlap between sections"</formula>
    </cfRule>
  </conditionalFormatting>
  <conditionalFormatting sqref="V4">
    <cfRule type="expression" dxfId="6370" priority="2220">
      <formula>$M4="NON DEFINED"</formula>
    </cfRule>
    <cfRule type="expression" dxfId="6369" priority="2221">
      <formula>$AY4="N.D."</formula>
    </cfRule>
  </conditionalFormatting>
  <conditionalFormatting sqref="V4">
    <cfRule type="cellIs" dxfId="6368" priority="2219" operator="equal">
      <formula>0</formula>
    </cfRule>
  </conditionalFormatting>
  <conditionalFormatting sqref="AF5">
    <cfRule type="expression" dxfId="6367" priority="2216">
      <formula>$M5="NON DEFINED"</formula>
    </cfRule>
    <cfRule type="expression" dxfId="6366" priority="2217">
      <formula>$AZ5="N.D."</formula>
    </cfRule>
    <cfRule type="expression" dxfId="6365" priority="2218">
      <formula>$AY5="N.D."</formula>
    </cfRule>
  </conditionalFormatting>
  <conditionalFormatting sqref="AF5">
    <cfRule type="expression" dxfId="6364" priority="2205">
      <formula>$A5="Overhead Cable"</formula>
    </cfRule>
    <cfRule type="expression" dxfId="6363" priority="2206">
      <formula>$A5="Level Crossing"</formula>
    </cfRule>
    <cfRule type="expression" dxfId="6362" priority="2207">
      <formula>$A5="Neutral Section"</formula>
    </cfRule>
    <cfRule type="expression" dxfId="6361" priority="2208">
      <formula>$A5="Tunnel"</formula>
    </cfRule>
    <cfRule type="expression" dxfId="6360" priority="2209">
      <formula>$A5="Bridge"</formula>
    </cfRule>
    <cfRule type="expression" dxfId="6359" priority="2210">
      <formula>$A5="Drainage Works"</formula>
    </cfRule>
    <cfRule type="expression" dxfId="6358" priority="2211">
      <formula>$A5="Underpass"</formula>
    </cfRule>
    <cfRule type="expression" dxfId="6357" priority="2212">
      <formula>$A5="Overcrossing"</formula>
    </cfRule>
    <cfRule type="expression" dxfId="6356" priority="2213">
      <formula>$A5="Overpass"</formula>
    </cfRule>
    <cfRule type="expression" dxfId="6355" priority="2214">
      <formula>$A5="Station"</formula>
    </cfRule>
    <cfRule type="expression" dxfId="6354" priority="2215">
      <formula>$A5="Overlap between sections"</formula>
    </cfRule>
  </conditionalFormatting>
  <conditionalFormatting sqref="AF4">
    <cfRule type="expression" dxfId="6353" priority="2203">
      <formula>$M4="NON DEFINED"</formula>
    </cfRule>
    <cfRule type="expression" dxfId="6352" priority="2204">
      <formula>$AY4="N.D."</formula>
    </cfRule>
  </conditionalFormatting>
  <conditionalFormatting sqref="AF4">
    <cfRule type="cellIs" dxfId="6351" priority="2202" operator="equal">
      <formula>0</formula>
    </cfRule>
  </conditionalFormatting>
  <conditionalFormatting sqref="AH5">
    <cfRule type="expression" dxfId="6350" priority="2199">
      <formula>$M5="NON DEFINED"</formula>
    </cfRule>
    <cfRule type="expression" dxfId="6349" priority="2200">
      <formula>$AZ5="N.D."</formula>
    </cfRule>
    <cfRule type="expression" dxfId="6348" priority="2201">
      <formula>$AY5="N.D."</formula>
    </cfRule>
  </conditionalFormatting>
  <conditionalFormatting sqref="AH5">
    <cfRule type="expression" dxfId="6347" priority="2188">
      <formula>$A5="Overhead Cable"</formula>
    </cfRule>
    <cfRule type="expression" dxfId="6346" priority="2189">
      <formula>$A5="Level Crossing"</formula>
    </cfRule>
    <cfRule type="expression" dxfId="6345" priority="2190">
      <formula>$A5="Neutral Section"</formula>
    </cfRule>
    <cfRule type="expression" dxfId="6344" priority="2191">
      <formula>$A5="Tunnel"</formula>
    </cfRule>
    <cfRule type="expression" dxfId="6343" priority="2192">
      <formula>$A5="Bridge"</formula>
    </cfRule>
    <cfRule type="expression" dxfId="6342" priority="2193">
      <formula>$A5="Drainage Works"</formula>
    </cfRule>
    <cfRule type="expression" dxfId="6341" priority="2194">
      <formula>$A5="Underpass"</formula>
    </cfRule>
    <cfRule type="expression" dxfId="6340" priority="2195">
      <formula>$A5="Overcrossing"</formula>
    </cfRule>
    <cfRule type="expression" dxfId="6339" priority="2196">
      <formula>$A5="Overpass"</formula>
    </cfRule>
    <cfRule type="expression" dxfId="6338" priority="2197">
      <formula>$A5="Station"</formula>
    </cfRule>
    <cfRule type="expression" dxfId="6337" priority="2198">
      <formula>$A5="Overlap between sections"</formula>
    </cfRule>
  </conditionalFormatting>
  <conditionalFormatting sqref="AH4">
    <cfRule type="expression" dxfId="6336" priority="2186">
      <formula>$M4="NON DEFINED"</formula>
    </cfRule>
    <cfRule type="expression" dxfId="6335" priority="2187">
      <formula>$AY4="N.D."</formula>
    </cfRule>
  </conditionalFormatting>
  <conditionalFormatting sqref="AH4">
    <cfRule type="cellIs" dxfId="6334" priority="2185" operator="equal">
      <formula>0</formula>
    </cfRule>
  </conditionalFormatting>
  <conditionalFormatting sqref="AI5">
    <cfRule type="expression" dxfId="6333" priority="2182">
      <formula>$M5="NON DEFINED"</formula>
    </cfRule>
    <cfRule type="expression" dxfId="6332" priority="2183">
      <formula>$AZ5="N.D."</formula>
    </cfRule>
    <cfRule type="expression" dxfId="6331" priority="2184">
      <formula>$AY5="N.D."</formula>
    </cfRule>
  </conditionalFormatting>
  <conditionalFormatting sqref="AI5">
    <cfRule type="expression" dxfId="6330" priority="2171">
      <formula>$A5="Overhead Cable"</formula>
    </cfRule>
    <cfRule type="expression" dxfId="6329" priority="2172">
      <formula>$A5="Level Crossing"</formula>
    </cfRule>
    <cfRule type="expression" dxfId="6328" priority="2173">
      <formula>$A5="Neutral Section"</formula>
    </cfRule>
    <cfRule type="expression" dxfId="6327" priority="2174">
      <formula>$A5="Tunnel"</formula>
    </cfRule>
    <cfRule type="expression" dxfId="6326" priority="2175">
      <formula>$A5="Bridge"</formula>
    </cfRule>
    <cfRule type="expression" dxfId="6325" priority="2176">
      <formula>$A5="Drainage Works"</formula>
    </cfRule>
    <cfRule type="expression" dxfId="6324" priority="2177">
      <formula>$A5="Underpass"</formula>
    </cfRule>
    <cfRule type="expression" dxfId="6323" priority="2178">
      <formula>$A5="Overcrossing"</formula>
    </cfRule>
    <cfRule type="expression" dxfId="6322" priority="2179">
      <formula>$A5="Overpass"</formula>
    </cfRule>
    <cfRule type="expression" dxfId="6321" priority="2180">
      <formula>$A5="Station"</formula>
    </cfRule>
    <cfRule type="expression" dxfId="6320" priority="2181">
      <formula>$A5="Overlap between sections"</formula>
    </cfRule>
  </conditionalFormatting>
  <conditionalFormatting sqref="AI4">
    <cfRule type="expression" dxfId="6319" priority="2169">
      <formula>$M4="NON DEFINED"</formula>
    </cfRule>
    <cfRule type="expression" dxfId="6318" priority="2170">
      <formula>$AY4="N.D."</formula>
    </cfRule>
  </conditionalFormatting>
  <conditionalFormatting sqref="AI4">
    <cfRule type="cellIs" dxfId="6317" priority="2168" operator="equal">
      <formula>0</formula>
    </cfRule>
  </conditionalFormatting>
  <conditionalFormatting sqref="R5">
    <cfRule type="expression" dxfId="6316" priority="2165">
      <formula>$M5="NON DEFINED"</formula>
    </cfRule>
    <cfRule type="expression" dxfId="6315" priority="2166">
      <formula>$AZ5="N.D."</formula>
    </cfRule>
    <cfRule type="expression" dxfId="6314" priority="2167">
      <formula>$AY5="N.D."</formula>
    </cfRule>
  </conditionalFormatting>
  <conditionalFormatting sqref="R5">
    <cfRule type="expression" dxfId="6313" priority="2154">
      <formula>$A5="Overhead Cable"</formula>
    </cfRule>
    <cfRule type="expression" dxfId="6312" priority="2155">
      <formula>$A5="Level Crossing"</formula>
    </cfRule>
    <cfRule type="expression" dxfId="6311" priority="2156">
      <formula>$A5="Neutral Section"</formula>
    </cfRule>
    <cfRule type="expression" dxfId="6310" priority="2157">
      <formula>$A5="Tunnel"</formula>
    </cfRule>
    <cfRule type="expression" dxfId="6309" priority="2158">
      <formula>$A5="Bridge"</formula>
    </cfRule>
    <cfRule type="expression" dxfId="6308" priority="2159">
      <formula>$A5="Drainage Works"</formula>
    </cfRule>
    <cfRule type="expression" dxfId="6307" priority="2160">
      <formula>$A5="Underpass"</formula>
    </cfRule>
    <cfRule type="expression" dxfId="6306" priority="2161">
      <formula>$A5="Overcrossing"</formula>
    </cfRule>
    <cfRule type="expression" dxfId="6305" priority="2162">
      <formula>$A5="Overpass"</formula>
    </cfRule>
    <cfRule type="expression" dxfId="6304" priority="2163">
      <formula>$A5="Station"</formula>
    </cfRule>
    <cfRule type="expression" dxfId="6303" priority="2164">
      <formula>$A5="Overlap between sections"</formula>
    </cfRule>
  </conditionalFormatting>
  <conditionalFormatting sqref="R4">
    <cfRule type="expression" dxfId="6302" priority="2152">
      <formula>$M4="NON DEFINED"</formula>
    </cfRule>
    <cfRule type="expression" dxfId="6301" priority="2153">
      <formula>$AY4="N.D."</formula>
    </cfRule>
  </conditionalFormatting>
  <conditionalFormatting sqref="R4">
    <cfRule type="cellIs" dxfId="6300" priority="2151" operator="equal">
      <formula>0</formula>
    </cfRule>
  </conditionalFormatting>
  <conditionalFormatting sqref="S5">
    <cfRule type="expression" dxfId="6299" priority="2148">
      <formula>$M5="NON DEFINED"</formula>
    </cfRule>
    <cfRule type="expression" dxfId="6298" priority="2149">
      <formula>$AZ5="N.D."</formula>
    </cfRule>
    <cfRule type="expression" dxfId="6297" priority="2150">
      <formula>$AY5="N.D."</formula>
    </cfRule>
  </conditionalFormatting>
  <conditionalFormatting sqref="S5">
    <cfRule type="expression" dxfId="6296" priority="2137">
      <formula>$A5="Overhead Cable"</formula>
    </cfRule>
    <cfRule type="expression" dxfId="6295" priority="2138">
      <formula>$A5="Level Crossing"</formula>
    </cfRule>
    <cfRule type="expression" dxfId="6294" priority="2139">
      <formula>$A5="Neutral Section"</formula>
    </cfRule>
    <cfRule type="expression" dxfId="6293" priority="2140">
      <formula>$A5="Tunnel"</formula>
    </cfRule>
    <cfRule type="expression" dxfId="6292" priority="2141">
      <formula>$A5="Bridge"</formula>
    </cfRule>
    <cfRule type="expression" dxfId="6291" priority="2142">
      <formula>$A5="Drainage Works"</formula>
    </cfRule>
    <cfRule type="expression" dxfId="6290" priority="2143">
      <formula>$A5="Underpass"</formula>
    </cfRule>
    <cfRule type="expression" dxfId="6289" priority="2144">
      <formula>$A5="Overcrossing"</formula>
    </cfRule>
    <cfRule type="expression" dxfId="6288" priority="2145">
      <formula>$A5="Overpass"</formula>
    </cfRule>
    <cfRule type="expression" dxfId="6287" priority="2146">
      <formula>$A5="Station"</formula>
    </cfRule>
    <cfRule type="expression" dxfId="6286" priority="2147">
      <formula>$A5="Overlap between sections"</formula>
    </cfRule>
  </conditionalFormatting>
  <conditionalFormatting sqref="S4">
    <cfRule type="expression" dxfId="6285" priority="2135">
      <formula>$M4="NON DEFINED"</formula>
    </cfRule>
    <cfRule type="expression" dxfId="6284" priority="2136">
      <formula>$AY4="N.D."</formula>
    </cfRule>
  </conditionalFormatting>
  <conditionalFormatting sqref="S4">
    <cfRule type="cellIs" dxfId="6283" priority="2134" operator="equal">
      <formula>0</formula>
    </cfRule>
  </conditionalFormatting>
  <conditionalFormatting sqref="W5">
    <cfRule type="expression" dxfId="6282" priority="2131">
      <formula>$M5="NON DEFINED"</formula>
    </cfRule>
    <cfRule type="expression" dxfId="6281" priority="2132">
      <formula>$AZ5="N.D."</formula>
    </cfRule>
    <cfRule type="expression" dxfId="6280" priority="2133">
      <formula>$AY5="N.D."</formula>
    </cfRule>
  </conditionalFormatting>
  <conditionalFormatting sqref="W5">
    <cfRule type="expression" dxfId="6279" priority="2120">
      <formula>$A5="Overhead Cable"</formula>
    </cfRule>
    <cfRule type="expression" dxfId="6278" priority="2121">
      <formula>$A5="Level Crossing"</formula>
    </cfRule>
    <cfRule type="expression" dxfId="6277" priority="2122">
      <formula>$A5="Neutral Section"</formula>
    </cfRule>
    <cfRule type="expression" dxfId="6276" priority="2123">
      <formula>$A5="Tunnel"</formula>
    </cfRule>
    <cfRule type="expression" dxfId="6275" priority="2124">
      <formula>$A5="Bridge"</formula>
    </cfRule>
    <cfRule type="expression" dxfId="6274" priority="2125">
      <formula>$A5="Drainage Works"</formula>
    </cfRule>
    <cfRule type="expression" dxfId="6273" priority="2126">
      <formula>$A5="Underpass"</formula>
    </cfRule>
    <cfRule type="expression" dxfId="6272" priority="2127">
      <formula>$A5="Overcrossing"</formula>
    </cfRule>
    <cfRule type="expression" dxfId="6271" priority="2128">
      <formula>$A5="Overpass"</formula>
    </cfRule>
    <cfRule type="expression" dxfId="6270" priority="2129">
      <formula>$A5="Station"</formula>
    </cfRule>
    <cfRule type="expression" dxfId="6269" priority="2130">
      <formula>$A5="Overlap between sections"</formula>
    </cfRule>
  </conditionalFormatting>
  <conditionalFormatting sqref="W4">
    <cfRule type="expression" dxfId="6268" priority="2118">
      <formula>$M4="NON DEFINED"</formula>
    </cfRule>
    <cfRule type="expression" dxfId="6267" priority="2119">
      <formula>$AY4="N.D."</formula>
    </cfRule>
  </conditionalFormatting>
  <conditionalFormatting sqref="W4">
    <cfRule type="cellIs" dxfId="6266" priority="2117" operator="equal">
      <formula>0</formula>
    </cfRule>
  </conditionalFormatting>
  <conditionalFormatting sqref="X5">
    <cfRule type="expression" dxfId="6265" priority="2097">
      <formula>$M5="NON DEFINED"</formula>
    </cfRule>
    <cfRule type="expression" dxfId="6264" priority="2098">
      <formula>$AZ5="N.D."</formula>
    </cfRule>
    <cfRule type="expression" dxfId="6263" priority="2099">
      <formula>$AY5="N.D."</formula>
    </cfRule>
  </conditionalFormatting>
  <conditionalFormatting sqref="X5">
    <cfRule type="expression" dxfId="6262" priority="2086">
      <formula>$A5="Overhead Cable"</formula>
    </cfRule>
    <cfRule type="expression" dxfId="6261" priority="2087">
      <formula>$A5="Level Crossing"</formula>
    </cfRule>
    <cfRule type="expression" dxfId="6260" priority="2088">
      <formula>$A5="Neutral Section"</formula>
    </cfRule>
    <cfRule type="expression" dxfId="6259" priority="2089">
      <formula>$A5="Tunnel"</formula>
    </cfRule>
    <cfRule type="expression" dxfId="6258" priority="2090">
      <formula>$A5="Bridge"</formula>
    </cfRule>
    <cfRule type="expression" dxfId="6257" priority="2091">
      <formula>$A5="Drainage Works"</formula>
    </cfRule>
    <cfRule type="expression" dxfId="6256" priority="2092">
      <formula>$A5="Underpass"</formula>
    </cfRule>
    <cfRule type="expression" dxfId="6255" priority="2093">
      <formula>$A5="Overcrossing"</formula>
    </cfRule>
    <cfRule type="expression" dxfId="6254" priority="2094">
      <formula>$A5="Overpass"</formula>
    </cfRule>
    <cfRule type="expression" dxfId="6253" priority="2095">
      <formula>$A5="Station"</formula>
    </cfRule>
    <cfRule type="expression" dxfId="6252" priority="2096">
      <formula>$A5="Overlap between sections"</formula>
    </cfRule>
  </conditionalFormatting>
  <conditionalFormatting sqref="X4">
    <cfRule type="expression" dxfId="6251" priority="2084">
      <formula>$M4="NON DEFINED"</formula>
    </cfRule>
    <cfRule type="expression" dxfId="6250" priority="2085">
      <formula>$AY4="N.D."</formula>
    </cfRule>
  </conditionalFormatting>
  <conditionalFormatting sqref="X4">
    <cfRule type="cellIs" dxfId="6249" priority="2083" operator="equal">
      <formula>0</formula>
    </cfRule>
  </conditionalFormatting>
  <conditionalFormatting sqref="Y5">
    <cfRule type="expression" dxfId="6248" priority="2080">
      <formula>$M5="NON DEFINED"</formula>
    </cfRule>
    <cfRule type="expression" dxfId="6247" priority="2081">
      <formula>$AZ5="N.D."</formula>
    </cfRule>
    <cfRule type="expression" dxfId="6246" priority="2082">
      <formula>$AY5="N.D."</formula>
    </cfRule>
  </conditionalFormatting>
  <conditionalFormatting sqref="Y5">
    <cfRule type="expression" dxfId="6245" priority="2069">
      <formula>$A5="Overhead Cable"</formula>
    </cfRule>
    <cfRule type="expression" dxfId="6244" priority="2070">
      <formula>$A5="Level Crossing"</formula>
    </cfRule>
    <cfRule type="expression" dxfId="6243" priority="2071">
      <formula>$A5="Neutral Section"</formula>
    </cfRule>
    <cfRule type="expression" dxfId="6242" priority="2072">
      <formula>$A5="Tunnel"</formula>
    </cfRule>
    <cfRule type="expression" dxfId="6241" priority="2073">
      <formula>$A5="Bridge"</formula>
    </cfRule>
    <cfRule type="expression" dxfId="6240" priority="2074">
      <formula>$A5="Drainage Works"</formula>
    </cfRule>
    <cfRule type="expression" dxfId="6239" priority="2075">
      <formula>$A5="Underpass"</formula>
    </cfRule>
    <cfRule type="expression" dxfId="6238" priority="2076">
      <formula>$A5="Overcrossing"</formula>
    </cfRule>
    <cfRule type="expression" dxfId="6237" priority="2077">
      <formula>$A5="Overpass"</formula>
    </cfRule>
    <cfRule type="expression" dxfId="6236" priority="2078">
      <formula>$A5="Station"</formula>
    </cfRule>
    <cfRule type="expression" dxfId="6235" priority="2079">
      <formula>$A5="Overlap between sections"</formula>
    </cfRule>
  </conditionalFormatting>
  <conditionalFormatting sqref="Y4">
    <cfRule type="expression" dxfId="6234" priority="2067">
      <formula>$M4="NON DEFINED"</formula>
    </cfRule>
    <cfRule type="expression" dxfId="6233" priority="2068">
      <formula>$AY4="N.D."</formula>
    </cfRule>
  </conditionalFormatting>
  <conditionalFormatting sqref="Y4">
    <cfRule type="cellIs" dxfId="6232" priority="2066" operator="equal">
      <formula>0</formula>
    </cfRule>
  </conditionalFormatting>
  <conditionalFormatting sqref="Z5">
    <cfRule type="expression" dxfId="6231" priority="2063">
      <formula>$M5="NON DEFINED"</formula>
    </cfRule>
    <cfRule type="expression" dxfId="6230" priority="2064">
      <formula>$AZ5="N.D."</formula>
    </cfRule>
    <cfRule type="expression" dxfId="6229" priority="2065">
      <formula>$AY5="N.D."</formula>
    </cfRule>
  </conditionalFormatting>
  <conditionalFormatting sqref="Z5">
    <cfRule type="expression" dxfId="6228" priority="2052">
      <formula>$A5="Overhead Cable"</formula>
    </cfRule>
    <cfRule type="expression" dxfId="6227" priority="2053">
      <formula>$A5="Level Crossing"</formula>
    </cfRule>
    <cfRule type="expression" dxfId="6226" priority="2054">
      <formula>$A5="Neutral Section"</formula>
    </cfRule>
    <cfRule type="expression" dxfId="6225" priority="2055">
      <formula>$A5="Tunnel"</formula>
    </cfRule>
    <cfRule type="expression" dxfId="6224" priority="2056">
      <formula>$A5="Bridge"</formula>
    </cfRule>
    <cfRule type="expression" dxfId="6223" priority="2057">
      <formula>$A5="Drainage Works"</formula>
    </cfRule>
    <cfRule type="expression" dxfId="6222" priority="2058">
      <formula>$A5="Underpass"</formula>
    </cfRule>
    <cfRule type="expression" dxfId="6221" priority="2059">
      <formula>$A5="Overcrossing"</formula>
    </cfRule>
    <cfRule type="expression" dxfId="6220" priority="2060">
      <formula>$A5="Overpass"</formula>
    </cfRule>
    <cfRule type="expression" dxfId="6219" priority="2061">
      <formula>$A5="Station"</formula>
    </cfRule>
    <cfRule type="expression" dxfId="6218" priority="2062">
      <formula>$A5="Overlap between sections"</formula>
    </cfRule>
  </conditionalFormatting>
  <conditionalFormatting sqref="Z4">
    <cfRule type="expression" dxfId="6217" priority="2050">
      <formula>$M4="NON DEFINED"</formula>
    </cfRule>
    <cfRule type="expression" dxfId="6216" priority="2051">
      <formula>$AY4="N.D."</formula>
    </cfRule>
  </conditionalFormatting>
  <conditionalFormatting sqref="Z4">
    <cfRule type="cellIs" dxfId="6215" priority="2049" operator="equal">
      <formula>0</formula>
    </cfRule>
  </conditionalFormatting>
  <conditionalFormatting sqref="AA5">
    <cfRule type="expression" dxfId="6214" priority="2046">
      <formula>$M5="NON DEFINED"</formula>
    </cfRule>
    <cfRule type="expression" dxfId="6213" priority="2047">
      <formula>$AZ5="N.D."</formula>
    </cfRule>
    <cfRule type="expression" dxfId="6212" priority="2048">
      <formula>$AY5="N.D."</formula>
    </cfRule>
  </conditionalFormatting>
  <conditionalFormatting sqref="AA5">
    <cfRule type="expression" dxfId="6211" priority="2035">
      <formula>$A5="Overhead Cable"</formula>
    </cfRule>
    <cfRule type="expression" dxfId="6210" priority="2036">
      <formula>$A5="Level Crossing"</formula>
    </cfRule>
    <cfRule type="expression" dxfId="6209" priority="2037">
      <formula>$A5="Neutral Section"</formula>
    </cfRule>
    <cfRule type="expression" dxfId="6208" priority="2038">
      <formula>$A5="Tunnel"</formula>
    </cfRule>
    <cfRule type="expression" dxfId="6207" priority="2039">
      <formula>$A5="Bridge"</formula>
    </cfRule>
    <cfRule type="expression" dxfId="6206" priority="2040">
      <formula>$A5="Drainage Works"</formula>
    </cfRule>
    <cfRule type="expression" dxfId="6205" priority="2041">
      <formula>$A5="Underpass"</formula>
    </cfRule>
    <cfRule type="expression" dxfId="6204" priority="2042">
      <formula>$A5="Overcrossing"</formula>
    </cfRule>
    <cfRule type="expression" dxfId="6203" priority="2043">
      <formula>$A5="Overpass"</formula>
    </cfRule>
    <cfRule type="expression" dxfId="6202" priority="2044">
      <formula>$A5="Station"</formula>
    </cfRule>
    <cfRule type="expression" dxfId="6201" priority="2045">
      <formula>$A5="Overlap between sections"</formula>
    </cfRule>
  </conditionalFormatting>
  <conditionalFormatting sqref="AA4">
    <cfRule type="expression" dxfId="6200" priority="2033">
      <formula>$M4="NON DEFINED"</formula>
    </cfRule>
    <cfRule type="expression" dxfId="6199" priority="2034">
      <formula>$AY4="N.D."</formula>
    </cfRule>
  </conditionalFormatting>
  <conditionalFormatting sqref="AA4">
    <cfRule type="cellIs" dxfId="6198" priority="2032" operator="equal">
      <formula>0</formula>
    </cfRule>
  </conditionalFormatting>
  <conditionalFormatting sqref="AB5">
    <cfRule type="expression" dxfId="6197" priority="2029">
      <formula>$M5="NON DEFINED"</formula>
    </cfRule>
    <cfRule type="expression" dxfId="6196" priority="2030">
      <formula>$AZ5="N.D."</formula>
    </cfRule>
    <cfRule type="expression" dxfId="6195" priority="2031">
      <formula>$AY5="N.D."</formula>
    </cfRule>
  </conditionalFormatting>
  <conditionalFormatting sqref="AB5">
    <cfRule type="expression" dxfId="6194" priority="2018">
      <formula>$A5="Overhead Cable"</formula>
    </cfRule>
    <cfRule type="expression" dxfId="6193" priority="2019">
      <formula>$A5="Level Crossing"</formula>
    </cfRule>
    <cfRule type="expression" dxfId="6192" priority="2020">
      <formula>$A5="Neutral Section"</formula>
    </cfRule>
    <cfRule type="expression" dxfId="6191" priority="2021">
      <formula>$A5="Tunnel"</formula>
    </cfRule>
    <cfRule type="expression" dxfId="6190" priority="2022">
      <formula>$A5="Bridge"</formula>
    </cfRule>
    <cfRule type="expression" dxfId="6189" priority="2023">
      <formula>$A5="Drainage Works"</formula>
    </cfRule>
    <cfRule type="expression" dxfId="6188" priority="2024">
      <formula>$A5="Underpass"</formula>
    </cfRule>
    <cfRule type="expression" dxfId="6187" priority="2025">
      <formula>$A5="Overcrossing"</formula>
    </cfRule>
    <cfRule type="expression" dxfId="6186" priority="2026">
      <formula>$A5="Overpass"</formula>
    </cfRule>
    <cfRule type="expression" dxfId="6185" priority="2027">
      <formula>$A5="Station"</formula>
    </cfRule>
    <cfRule type="expression" dxfId="6184" priority="2028">
      <formula>$A5="Overlap between sections"</formula>
    </cfRule>
  </conditionalFormatting>
  <conditionalFormatting sqref="AB4">
    <cfRule type="expression" dxfId="6183" priority="2016">
      <formula>$M4="NON DEFINED"</formula>
    </cfRule>
    <cfRule type="expression" dxfId="6182" priority="2017">
      <formula>$AY4="N.D."</formula>
    </cfRule>
  </conditionalFormatting>
  <conditionalFormatting sqref="AB4">
    <cfRule type="cellIs" dxfId="6181" priority="2015" operator="equal">
      <formula>0</formula>
    </cfRule>
  </conditionalFormatting>
  <conditionalFormatting sqref="AG6:AG800 AZ6:AZ800 J6:J20 AN6:AS800 B6:E800 G6:H800 J22:J800">
    <cfRule type="expression" dxfId="6180" priority="1497">
      <formula>$M6="NON DEFINED"</formula>
    </cfRule>
    <cfRule type="expression" dxfId="6179" priority="1498">
      <formula>$AZ6="N.D."</formula>
    </cfRule>
    <cfRule type="expression" dxfId="6178" priority="1499">
      <formula>$AY6="N.D."</formula>
    </cfRule>
  </conditionalFormatting>
  <conditionalFormatting sqref="BA65:BC800">
    <cfRule type="expression" dxfId="6177" priority="1495">
      <formula>$BE65="A"</formula>
    </cfRule>
    <cfRule type="expression" dxfId="6176" priority="1496">
      <formula>$BE65="R"</formula>
    </cfRule>
  </conditionalFormatting>
  <conditionalFormatting sqref="AY6:AY800">
    <cfRule type="expression" dxfId="6175" priority="1492">
      <formula>$M6="NON DEFINED"</formula>
    </cfRule>
    <cfRule type="expression" dxfId="6174" priority="1493">
      <formula>$AZ6="N.D."</formula>
    </cfRule>
    <cfRule type="expression" dxfId="6173" priority="1494">
      <formula>$AY6="N.D."</formula>
    </cfRule>
  </conditionalFormatting>
  <conditionalFormatting sqref="BA65:BC800">
    <cfRule type="expression" dxfId="6172" priority="1488">
      <formula>$M65="NON DEFINED"</formula>
    </cfRule>
    <cfRule type="expression" dxfId="6171" priority="1489">
      <formula>$AZ65="N.D."</formula>
    </cfRule>
    <cfRule type="expression" dxfId="6170" priority="1490">
      <formula>$AY65="N.D."</formula>
    </cfRule>
  </conditionalFormatting>
  <conditionalFormatting sqref="J6:J20 AG6:AG800 AN6:AS800 AY65:BC800 A6:E800 AY6:AZ64 G6:H800 J22:J800">
    <cfRule type="expression" dxfId="6169" priority="1477">
      <formula>$A6="Overhead Cable"</formula>
    </cfRule>
    <cfRule type="expression" dxfId="6168" priority="1478">
      <formula>$A6="Level Crossing"</formula>
    </cfRule>
    <cfRule type="expression" dxfId="6167" priority="1479">
      <formula>$A6="Neutral Section"</formula>
    </cfRule>
    <cfRule type="expression" dxfId="6166" priority="1480">
      <formula>$A6="Tunnel"</formula>
    </cfRule>
    <cfRule type="expression" dxfId="6165" priority="1481">
      <formula>$A6="Bridge"</formula>
    </cfRule>
    <cfRule type="expression" dxfId="6164" priority="1482">
      <formula>$A6="Drainage Works"</formula>
    </cfRule>
    <cfRule type="expression" dxfId="6163" priority="1483">
      <formula>$A6="Underpass"</formula>
    </cfRule>
    <cfRule type="expression" dxfId="6162" priority="1484">
      <formula>$A6="Overcrossing"</formula>
    </cfRule>
    <cfRule type="expression" dxfId="6161" priority="1485">
      <formula>$A6="Overpass"</formula>
    </cfRule>
    <cfRule type="expression" dxfId="6160" priority="1486">
      <formula>$A6="Station"</formula>
    </cfRule>
    <cfRule type="expression" dxfId="6159" priority="1487">
      <formula>$A6="Overlap between sections"</formula>
    </cfRule>
  </conditionalFormatting>
  <conditionalFormatting sqref="AN6:AP800">
    <cfRule type="cellIs" dxfId="6158" priority="1476" operator="notEqual">
      <formula>5.5</formula>
    </cfRule>
  </conditionalFormatting>
  <conditionalFormatting sqref="B6:B800">
    <cfRule type="expression" dxfId="6157" priority="1475">
      <formula>AND($AH6&gt;2499,$AH6&lt;2901)</formula>
    </cfRule>
  </conditionalFormatting>
  <conditionalFormatting sqref="I6:I800">
    <cfRule type="expression" dxfId="6156" priority="1472">
      <formula>$M6="NON DEFINED"</formula>
    </cfRule>
    <cfRule type="expression" dxfId="6155" priority="1473">
      <formula>$AZ6="N.D."</formula>
    </cfRule>
    <cfRule type="expression" dxfId="6154" priority="1474">
      <formula>$AY6="N.D."</formula>
    </cfRule>
  </conditionalFormatting>
  <conditionalFormatting sqref="I6:I800">
    <cfRule type="expression" dxfId="6153" priority="1461">
      <formula>$A6="Overhead Cable"</formula>
    </cfRule>
    <cfRule type="expression" dxfId="6152" priority="1462">
      <formula>$A6="Level Crossing"</formula>
    </cfRule>
    <cfRule type="expression" dxfId="6151" priority="1463">
      <formula>$A6="Neutral Section"</formula>
    </cfRule>
    <cfRule type="expression" dxfId="6150" priority="1464">
      <formula>$A6="Tunnel"</formula>
    </cfRule>
    <cfRule type="expression" dxfId="6149" priority="1465">
      <formula>$A6="Bridge"</formula>
    </cfRule>
    <cfRule type="expression" dxfId="6148" priority="1466">
      <formula>$A6="Drainage Works"</formula>
    </cfRule>
    <cfRule type="expression" dxfId="6147" priority="1467">
      <formula>$A6="Underpass"</formula>
    </cfRule>
    <cfRule type="expression" dxfId="6146" priority="1468">
      <formula>$A6="Overcrossing"</formula>
    </cfRule>
    <cfRule type="expression" dxfId="6145" priority="1469">
      <formula>$A6="Overpass"</formula>
    </cfRule>
    <cfRule type="expression" dxfId="6144" priority="1470">
      <formula>$A6="Station"</formula>
    </cfRule>
    <cfRule type="expression" dxfId="6143" priority="1471">
      <formula>$A6="Overlap between sections"</formula>
    </cfRule>
  </conditionalFormatting>
  <conditionalFormatting sqref="K6:K20 K22:K32 K34:K800">
    <cfRule type="expression" dxfId="6142" priority="1458">
      <formula>$M6="NON DEFINED"</formula>
    </cfRule>
    <cfRule type="expression" dxfId="6141" priority="1459">
      <formula>$AZ6="N.D."</formula>
    </cfRule>
    <cfRule type="expression" dxfId="6140" priority="1460">
      <formula>$AY6="N.D."</formula>
    </cfRule>
  </conditionalFormatting>
  <conditionalFormatting sqref="K6:K20 K22:K32 K34:K800">
    <cfRule type="expression" dxfId="6139" priority="1447">
      <formula>$A6="Overhead Cable"</formula>
    </cfRule>
    <cfRule type="expression" dxfId="6138" priority="1448">
      <formula>$A6="Level Crossing"</formula>
    </cfRule>
    <cfRule type="expression" dxfId="6137" priority="1449">
      <formula>$A6="Neutral Section"</formula>
    </cfRule>
    <cfRule type="expression" dxfId="6136" priority="1450">
      <formula>$A6="Tunnel"</formula>
    </cfRule>
    <cfRule type="expression" dxfId="6135" priority="1451">
      <formula>$A6="Bridge"</formula>
    </cfRule>
    <cfRule type="expression" dxfId="6134" priority="1452">
      <formula>$A6="Drainage Works"</formula>
    </cfRule>
    <cfRule type="expression" dxfId="6133" priority="1453">
      <formula>$A6="Underpass"</formula>
    </cfRule>
    <cfRule type="expression" dxfId="6132" priority="1454">
      <formula>$A6="Overcrossing"</formula>
    </cfRule>
    <cfRule type="expression" dxfId="6131" priority="1455">
      <formula>$A6="Overpass"</formula>
    </cfRule>
    <cfRule type="expression" dxfId="6130" priority="1456">
      <formula>$A6="Station"</formula>
    </cfRule>
    <cfRule type="expression" dxfId="6129" priority="1457">
      <formula>$A6="Overlap between sections"</formula>
    </cfRule>
  </conditionalFormatting>
  <conditionalFormatting sqref="L6:L800">
    <cfRule type="expression" dxfId="6128" priority="1444">
      <formula>$M6="NON DEFINED"</formula>
    </cfRule>
    <cfRule type="expression" dxfId="6127" priority="1445">
      <formula>$AZ6="N.D."</formula>
    </cfRule>
    <cfRule type="expression" dxfId="6126" priority="1446">
      <formula>$AY6="N.D."</formula>
    </cfRule>
  </conditionalFormatting>
  <conditionalFormatting sqref="L6:L800">
    <cfRule type="expression" dxfId="6125" priority="1433">
      <formula>$A6="Overhead Cable"</formula>
    </cfRule>
    <cfRule type="expression" dxfId="6124" priority="1434">
      <formula>$A6="Level Crossing"</formula>
    </cfRule>
    <cfRule type="expression" dxfId="6123" priority="1435">
      <formula>$A6="Neutral Section"</formula>
    </cfRule>
    <cfRule type="expression" dxfId="6122" priority="1436">
      <formula>$A6="Tunnel"</formula>
    </cfRule>
    <cfRule type="expression" dxfId="6121" priority="1437">
      <formula>$A6="Bridge"</formula>
    </cfRule>
    <cfRule type="expression" dxfId="6120" priority="1438">
      <formula>$A6="Drainage Works"</formula>
    </cfRule>
    <cfRule type="expression" dxfId="6119" priority="1439">
      <formula>$A6="Underpass"</formula>
    </cfRule>
    <cfRule type="expression" dxfId="6118" priority="1440">
      <formula>$A6="Overcrossing"</formula>
    </cfRule>
    <cfRule type="expression" dxfId="6117" priority="1441">
      <formula>$A6="Overpass"</formula>
    </cfRule>
    <cfRule type="expression" dxfId="6116" priority="1442">
      <formula>$A6="Station"</formula>
    </cfRule>
    <cfRule type="expression" dxfId="6115" priority="1443">
      <formula>$A6="Overlap between sections"</formula>
    </cfRule>
  </conditionalFormatting>
  <conditionalFormatting sqref="M6:M800">
    <cfRule type="expression" dxfId="6114" priority="1430">
      <formula>$M6="NON DEFINED"</formula>
    </cfRule>
    <cfRule type="expression" dxfId="6113" priority="1431">
      <formula>$AZ6="N.D."</formula>
    </cfRule>
    <cfRule type="expression" dxfId="6112" priority="1432">
      <formula>$AY6="N.D."</formula>
    </cfRule>
  </conditionalFormatting>
  <conditionalFormatting sqref="M6:M800">
    <cfRule type="expression" dxfId="6111" priority="1419">
      <formula>$A6="Overhead Cable"</formula>
    </cfRule>
    <cfRule type="expression" dxfId="6110" priority="1420">
      <formula>$A6="Level Crossing"</formula>
    </cfRule>
    <cfRule type="expression" dxfId="6109" priority="1421">
      <formula>$A6="Neutral Section"</formula>
    </cfRule>
    <cfRule type="expression" dxfId="6108" priority="1422">
      <formula>$A6="Tunnel"</formula>
    </cfRule>
    <cfRule type="expression" dxfId="6107" priority="1423">
      <formula>$A6="Bridge"</formula>
    </cfRule>
    <cfRule type="expression" dxfId="6106" priority="1424">
      <formula>$A6="Drainage Works"</formula>
    </cfRule>
    <cfRule type="expression" dxfId="6105" priority="1425">
      <formula>$A6="Underpass"</formula>
    </cfRule>
    <cfRule type="expression" dxfId="6104" priority="1426">
      <formula>$A6="Overcrossing"</formula>
    </cfRule>
    <cfRule type="expression" dxfId="6103" priority="1427">
      <formula>$A6="Overpass"</formula>
    </cfRule>
    <cfRule type="expression" dxfId="6102" priority="1428">
      <formula>$A6="Station"</formula>
    </cfRule>
    <cfRule type="expression" dxfId="6101" priority="1429">
      <formula>$A6="Overlap between sections"</formula>
    </cfRule>
  </conditionalFormatting>
  <conditionalFormatting sqref="N6:N13 N15:N21 N27 N29 N31 N43 N45:N800 N23 N25 N33:N41">
    <cfRule type="expression" dxfId="6100" priority="1416">
      <formula>$M6="NON DEFINED"</formula>
    </cfRule>
    <cfRule type="expression" dxfId="6099" priority="1417">
      <formula>$AZ6="N.D."</formula>
    </cfRule>
    <cfRule type="expression" dxfId="6098" priority="1418">
      <formula>$AY6="N.D."</formula>
    </cfRule>
  </conditionalFormatting>
  <conditionalFormatting sqref="N6:N13 N15:N21 N27 N29 N31 N43 N45:N800 N23 N25 N33:N41">
    <cfRule type="expression" dxfId="6097" priority="1405">
      <formula>$A6="Overhead Cable"</formula>
    </cfRule>
    <cfRule type="expression" dxfId="6096" priority="1406">
      <formula>$A6="Level Crossing"</formula>
    </cfRule>
    <cfRule type="expression" dxfId="6095" priority="1407">
      <formula>$A6="Neutral Section"</formula>
    </cfRule>
    <cfRule type="expression" dxfId="6094" priority="1408">
      <formula>$A6="Tunnel"</formula>
    </cfRule>
    <cfRule type="expression" dxfId="6093" priority="1409">
      <formula>$A6="Bridge"</formula>
    </cfRule>
    <cfRule type="expression" dxfId="6092" priority="1410">
      <formula>$A6="Drainage Works"</formula>
    </cfRule>
    <cfRule type="expression" dxfId="6091" priority="1411">
      <formula>$A6="Underpass"</formula>
    </cfRule>
    <cfRule type="expression" dxfId="6090" priority="1412">
      <formula>$A6="Overcrossing"</formula>
    </cfRule>
    <cfRule type="expression" dxfId="6089" priority="1413">
      <formula>$A6="Overpass"</formula>
    </cfRule>
    <cfRule type="expression" dxfId="6088" priority="1414">
      <formula>$A6="Station"</formula>
    </cfRule>
    <cfRule type="expression" dxfId="6087" priority="1415">
      <formula>$A6="Overlap between sections"</formula>
    </cfRule>
  </conditionalFormatting>
  <conditionalFormatting sqref="O6:O13 O15:O25 O27 O29 O31:O41 O43 O45:O800">
    <cfRule type="expression" dxfId="6086" priority="1402">
      <formula>$M6="NON DEFINED"</formula>
    </cfRule>
    <cfRule type="expression" dxfId="6085" priority="1403">
      <formula>$AZ6="N.D."</formula>
    </cfRule>
    <cfRule type="expression" dxfId="6084" priority="1404">
      <formula>$AY6="N.D."</formula>
    </cfRule>
  </conditionalFormatting>
  <conditionalFormatting sqref="O6:O13 O15:O25 O27 O29 O31:O41 O43 O45:O800">
    <cfRule type="expression" dxfId="6083" priority="1391">
      <formula>$A6="Overhead Cable"</formula>
    </cfRule>
    <cfRule type="expression" dxfId="6082" priority="1392">
      <formula>$A6="Level Crossing"</formula>
    </cfRule>
    <cfRule type="expression" dxfId="6081" priority="1393">
      <formula>$A6="Neutral Section"</formula>
    </cfRule>
    <cfRule type="expression" dxfId="6080" priority="1394">
      <formula>$A6="Tunnel"</formula>
    </cfRule>
    <cfRule type="expression" dxfId="6079" priority="1395">
      <formula>$A6="Bridge"</formula>
    </cfRule>
    <cfRule type="expression" dxfId="6078" priority="1396">
      <formula>$A6="Drainage Works"</formula>
    </cfRule>
    <cfRule type="expression" dxfId="6077" priority="1397">
      <formula>$A6="Underpass"</formula>
    </cfRule>
    <cfRule type="expression" dxfId="6076" priority="1398">
      <formula>$A6="Overcrossing"</formula>
    </cfRule>
    <cfRule type="expression" dxfId="6075" priority="1399">
      <formula>$A6="Overpass"</formula>
    </cfRule>
    <cfRule type="expression" dxfId="6074" priority="1400">
      <formula>$A6="Station"</formula>
    </cfRule>
    <cfRule type="expression" dxfId="6073" priority="1401">
      <formula>$A6="Overlap between sections"</formula>
    </cfRule>
  </conditionalFormatting>
  <conditionalFormatting sqref="P6:P25 P27 P29 P31:P800">
    <cfRule type="expression" dxfId="6072" priority="1388">
      <formula>$M6="NON DEFINED"</formula>
    </cfRule>
    <cfRule type="expression" dxfId="6071" priority="1389">
      <formula>$AZ6="N.D."</formula>
    </cfRule>
    <cfRule type="expression" dxfId="6070" priority="1390">
      <formula>$AY6="N.D."</formula>
    </cfRule>
  </conditionalFormatting>
  <conditionalFormatting sqref="P6:P25 P27 P29 P31:P800">
    <cfRule type="expression" dxfId="6069" priority="1377">
      <formula>$A6="Overhead Cable"</formula>
    </cfRule>
    <cfRule type="expression" dxfId="6068" priority="1378">
      <formula>$A6="Level Crossing"</formula>
    </cfRule>
    <cfRule type="expression" dxfId="6067" priority="1379">
      <formula>$A6="Neutral Section"</formula>
    </cfRule>
    <cfRule type="expression" dxfId="6066" priority="1380">
      <formula>$A6="Tunnel"</formula>
    </cfRule>
    <cfRule type="expression" dxfId="6065" priority="1381">
      <formula>$A6="Bridge"</formula>
    </cfRule>
    <cfRule type="expression" dxfId="6064" priority="1382">
      <formula>$A6="Drainage Works"</formula>
    </cfRule>
    <cfRule type="expression" dxfId="6063" priority="1383">
      <formula>$A6="Underpass"</formula>
    </cfRule>
    <cfRule type="expression" dxfId="6062" priority="1384">
      <formula>$A6="Overcrossing"</formula>
    </cfRule>
    <cfRule type="expression" dxfId="6061" priority="1385">
      <formula>$A6="Overpass"</formula>
    </cfRule>
    <cfRule type="expression" dxfId="6060" priority="1386">
      <formula>$A6="Station"</formula>
    </cfRule>
    <cfRule type="expression" dxfId="6059" priority="1387">
      <formula>$A6="Overlap between sections"</formula>
    </cfRule>
  </conditionalFormatting>
  <conditionalFormatting sqref="AC48:AC800 AC6:AC45">
    <cfRule type="expression" dxfId="6058" priority="1374">
      <formula>$M6="NON DEFINED"</formula>
    </cfRule>
    <cfRule type="expression" dxfId="6057" priority="1375">
      <formula>$AZ6="N.D."</formula>
    </cfRule>
    <cfRule type="expression" dxfId="6056" priority="1376">
      <formula>$AY6="N.D."</formula>
    </cfRule>
  </conditionalFormatting>
  <conditionalFormatting sqref="AC48:AC800 AC6:AC45">
    <cfRule type="expression" dxfId="6055" priority="1363">
      <formula>$A6="Overhead Cable"</formula>
    </cfRule>
    <cfRule type="expression" dxfId="6054" priority="1364">
      <formula>$A6="Level Crossing"</formula>
    </cfRule>
    <cfRule type="expression" dxfId="6053" priority="1365">
      <formula>$A6="Neutral Section"</formula>
    </cfRule>
    <cfRule type="expression" dxfId="6052" priority="1366">
      <formula>$A6="Tunnel"</formula>
    </cfRule>
    <cfRule type="expression" dxfId="6051" priority="1367">
      <formula>$A6="Bridge"</formula>
    </cfRule>
    <cfRule type="expression" dxfId="6050" priority="1368">
      <formula>$A6="Drainage Works"</formula>
    </cfRule>
    <cfRule type="expression" dxfId="6049" priority="1369">
      <formula>$A6="Underpass"</formula>
    </cfRule>
    <cfRule type="expression" dxfId="6048" priority="1370">
      <formula>$A6="Overcrossing"</formula>
    </cfRule>
    <cfRule type="expression" dxfId="6047" priority="1371">
      <formula>$A6="Overpass"</formula>
    </cfRule>
    <cfRule type="expression" dxfId="6046" priority="1372">
      <formula>$A6="Station"</formula>
    </cfRule>
    <cfRule type="expression" dxfId="6045" priority="1373">
      <formula>$A6="Overlap between sections"</formula>
    </cfRule>
  </conditionalFormatting>
  <conditionalFormatting sqref="AD6:AD39 AD43 AD45:AD800 AD41">
    <cfRule type="expression" dxfId="6044" priority="1360">
      <formula>$M6="NON DEFINED"</formula>
    </cfRule>
    <cfRule type="expression" dxfId="6043" priority="1361">
      <formula>$AZ6="N.D."</formula>
    </cfRule>
    <cfRule type="expression" dxfId="6042" priority="1362">
      <formula>$AY6="N.D."</formula>
    </cfRule>
  </conditionalFormatting>
  <conditionalFormatting sqref="AD6:AD39 AD43 AD45:AD800 AD41">
    <cfRule type="expression" dxfId="6041" priority="1349">
      <formula>$A6="Overhead Cable"</formula>
    </cfRule>
    <cfRule type="expression" dxfId="6040" priority="1350">
      <formula>$A6="Level Crossing"</formula>
    </cfRule>
    <cfRule type="expression" dxfId="6039" priority="1351">
      <formula>$A6="Neutral Section"</formula>
    </cfRule>
    <cfRule type="expression" dxfId="6038" priority="1352">
      <formula>$A6="Tunnel"</formula>
    </cfRule>
    <cfRule type="expression" dxfId="6037" priority="1353">
      <formula>$A6="Bridge"</formula>
    </cfRule>
    <cfRule type="expression" dxfId="6036" priority="1354">
      <formula>$A6="Drainage Works"</formula>
    </cfRule>
    <cfRule type="expression" dxfId="6035" priority="1355">
      <formula>$A6="Underpass"</formula>
    </cfRule>
    <cfRule type="expression" dxfId="6034" priority="1356">
      <formula>$A6="Overcrossing"</formula>
    </cfRule>
    <cfRule type="expression" dxfId="6033" priority="1357">
      <formula>$A6="Overpass"</formula>
    </cfRule>
    <cfRule type="expression" dxfId="6032" priority="1358">
      <formula>$A6="Station"</formula>
    </cfRule>
    <cfRule type="expression" dxfId="6031" priority="1359">
      <formula>$A6="Overlap between sections"</formula>
    </cfRule>
  </conditionalFormatting>
  <conditionalFormatting sqref="AE6:AE800">
    <cfRule type="expression" dxfId="6030" priority="1346">
      <formula>$M6="NON DEFINED"</formula>
    </cfRule>
    <cfRule type="expression" dxfId="6029" priority="1347">
      <formula>$AZ6="N.D."</formula>
    </cfRule>
    <cfRule type="expression" dxfId="6028" priority="1348">
      <formula>$AY6="N.D."</formula>
    </cfRule>
  </conditionalFormatting>
  <conditionalFormatting sqref="AE6:AE800">
    <cfRule type="expression" dxfId="6027" priority="1335">
      <formula>$A6="Overhead Cable"</formula>
    </cfRule>
    <cfRule type="expression" dxfId="6026" priority="1336">
      <formula>$A6="Level Crossing"</formula>
    </cfRule>
    <cfRule type="expression" dxfId="6025" priority="1337">
      <formula>$A6="Neutral Section"</formula>
    </cfRule>
    <cfRule type="expression" dxfId="6024" priority="1338">
      <formula>$A6="Tunnel"</formula>
    </cfRule>
    <cfRule type="expression" dxfId="6023" priority="1339">
      <formula>$A6="Bridge"</formula>
    </cfRule>
    <cfRule type="expression" dxfId="6022" priority="1340">
      <formula>$A6="Drainage Works"</formula>
    </cfRule>
    <cfRule type="expression" dxfId="6021" priority="1341">
      <formula>$A6="Underpass"</formula>
    </cfRule>
    <cfRule type="expression" dxfId="6020" priority="1342">
      <formula>$A6="Overcrossing"</formula>
    </cfRule>
    <cfRule type="expression" dxfId="6019" priority="1343">
      <formula>$A6="Overpass"</formula>
    </cfRule>
    <cfRule type="expression" dxfId="6018" priority="1344">
      <formula>$A6="Station"</formula>
    </cfRule>
    <cfRule type="expression" dxfId="6017" priority="1345">
      <formula>$A6="Overlap between sections"</formula>
    </cfRule>
  </conditionalFormatting>
  <conditionalFormatting sqref="AJ6:AJ800">
    <cfRule type="expression" dxfId="6016" priority="1332">
      <formula>$M6="NON DEFINED"</formula>
    </cfRule>
    <cfRule type="expression" dxfId="6015" priority="1333">
      <formula>$AZ6="N.D."</formula>
    </cfRule>
    <cfRule type="expression" dxfId="6014" priority="1334">
      <formula>$AY6="N.D."</formula>
    </cfRule>
  </conditionalFormatting>
  <conditionalFormatting sqref="AJ6:AJ800">
    <cfRule type="expression" dxfId="6013" priority="1321">
      <formula>$A6="Overhead Cable"</formula>
    </cfRule>
    <cfRule type="expression" dxfId="6012" priority="1322">
      <formula>$A6="Level Crossing"</formula>
    </cfRule>
    <cfRule type="expression" dxfId="6011" priority="1323">
      <formula>$A6="Neutral Section"</formula>
    </cfRule>
    <cfRule type="expression" dxfId="6010" priority="1324">
      <formula>$A6="Tunnel"</formula>
    </cfRule>
    <cfRule type="expression" dxfId="6009" priority="1325">
      <formula>$A6="Bridge"</formula>
    </cfRule>
    <cfRule type="expression" dxfId="6008" priority="1326">
      <formula>$A6="Drainage Works"</formula>
    </cfRule>
    <cfRule type="expression" dxfId="6007" priority="1327">
      <formula>$A6="Underpass"</formula>
    </cfRule>
    <cfRule type="expression" dxfId="6006" priority="1328">
      <formula>$A6="Overcrossing"</formula>
    </cfRule>
    <cfRule type="expression" dxfId="6005" priority="1329">
      <formula>$A6="Overpass"</formula>
    </cfRule>
    <cfRule type="expression" dxfId="6004" priority="1330">
      <formula>$A6="Station"</formula>
    </cfRule>
    <cfRule type="expression" dxfId="6003" priority="1331">
      <formula>$A6="Overlap between sections"</formula>
    </cfRule>
  </conditionalFormatting>
  <conditionalFormatting sqref="AK6:AK800">
    <cfRule type="expression" dxfId="6002" priority="1318">
      <formula>$M6="NON DEFINED"</formula>
    </cfRule>
    <cfRule type="expression" dxfId="6001" priority="1319">
      <formula>$AZ6="N.D."</formula>
    </cfRule>
    <cfRule type="expression" dxfId="6000" priority="1320">
      <formula>$AY6="N.D."</formula>
    </cfRule>
  </conditionalFormatting>
  <conditionalFormatting sqref="AK6:AK800">
    <cfRule type="expression" dxfId="5999" priority="1307">
      <formula>$A6="Overhead Cable"</formula>
    </cfRule>
    <cfRule type="expression" dxfId="5998" priority="1308">
      <formula>$A6="Level Crossing"</formula>
    </cfRule>
    <cfRule type="expression" dxfId="5997" priority="1309">
      <formula>$A6="Neutral Section"</formula>
    </cfRule>
    <cfRule type="expression" dxfId="5996" priority="1310">
      <formula>$A6="Tunnel"</formula>
    </cfRule>
    <cfRule type="expression" dxfId="5995" priority="1311">
      <formula>$A6="Bridge"</formula>
    </cfRule>
    <cfRule type="expression" dxfId="5994" priority="1312">
      <formula>$A6="Drainage Works"</formula>
    </cfRule>
    <cfRule type="expression" dxfId="5993" priority="1313">
      <formula>$A6="Underpass"</formula>
    </cfRule>
    <cfRule type="expression" dxfId="5992" priority="1314">
      <formula>$A6="Overcrossing"</formula>
    </cfRule>
    <cfRule type="expression" dxfId="5991" priority="1315">
      <formula>$A6="Overpass"</formula>
    </cfRule>
    <cfRule type="expression" dxfId="5990" priority="1316">
      <formula>$A6="Station"</formula>
    </cfRule>
    <cfRule type="expression" dxfId="5989" priority="1317">
      <formula>$A6="Overlap between sections"</formula>
    </cfRule>
  </conditionalFormatting>
  <conditionalFormatting sqref="AL6:AL800">
    <cfRule type="expression" dxfId="5988" priority="1304">
      <formula>$M6="NON DEFINED"</formula>
    </cfRule>
    <cfRule type="expression" dxfId="5987" priority="1305">
      <formula>$AZ6="N.D."</formula>
    </cfRule>
    <cfRule type="expression" dxfId="5986" priority="1306">
      <formula>$AY6="N.D."</formula>
    </cfRule>
  </conditionalFormatting>
  <conditionalFormatting sqref="AL6:AL800">
    <cfRule type="expression" dxfId="5985" priority="1293">
      <formula>$A6="Overhead Cable"</formula>
    </cfRule>
    <cfRule type="expression" dxfId="5984" priority="1294">
      <formula>$A6="Level Crossing"</formula>
    </cfRule>
    <cfRule type="expression" dxfId="5983" priority="1295">
      <formula>$A6="Neutral Section"</formula>
    </cfRule>
    <cfRule type="expression" dxfId="5982" priority="1296">
      <formula>$A6="Tunnel"</formula>
    </cfRule>
    <cfRule type="expression" dxfId="5981" priority="1297">
      <formula>$A6="Bridge"</formula>
    </cfRule>
    <cfRule type="expression" dxfId="5980" priority="1298">
      <formula>$A6="Drainage Works"</formula>
    </cfRule>
    <cfRule type="expression" dxfId="5979" priority="1299">
      <formula>$A6="Underpass"</formula>
    </cfRule>
    <cfRule type="expression" dxfId="5978" priority="1300">
      <formula>$A6="Overcrossing"</formula>
    </cfRule>
    <cfRule type="expression" dxfId="5977" priority="1301">
      <formula>$A6="Overpass"</formula>
    </cfRule>
    <cfRule type="expression" dxfId="5976" priority="1302">
      <formula>$A6="Station"</formula>
    </cfRule>
    <cfRule type="expression" dxfId="5975" priority="1303">
      <formula>$A6="Overlap between sections"</formula>
    </cfRule>
  </conditionalFormatting>
  <conditionalFormatting sqref="AM6:AM800">
    <cfRule type="expression" dxfId="5974" priority="1290">
      <formula>$M6="NON DEFINED"</formula>
    </cfRule>
    <cfRule type="expression" dxfId="5973" priority="1291">
      <formula>$AZ6="N.D."</formula>
    </cfRule>
    <cfRule type="expression" dxfId="5972" priority="1292">
      <formula>$AY6="N.D."</formula>
    </cfRule>
  </conditionalFormatting>
  <conditionalFormatting sqref="AM6:AM800">
    <cfRule type="expression" dxfId="5971" priority="1279">
      <formula>$A6="Overhead Cable"</formula>
    </cfRule>
    <cfRule type="expression" dxfId="5970" priority="1280">
      <formula>$A6="Level Crossing"</formula>
    </cfRule>
    <cfRule type="expression" dxfId="5969" priority="1281">
      <formula>$A6="Neutral Section"</formula>
    </cfRule>
    <cfRule type="expression" dxfId="5968" priority="1282">
      <formula>$A6="Tunnel"</formula>
    </cfRule>
    <cfRule type="expression" dxfId="5967" priority="1283">
      <formula>$A6="Bridge"</formula>
    </cfRule>
    <cfRule type="expression" dxfId="5966" priority="1284">
      <formula>$A6="Drainage Works"</formula>
    </cfRule>
    <cfRule type="expression" dxfId="5965" priority="1285">
      <formula>$A6="Underpass"</formula>
    </cfRule>
    <cfRule type="expression" dxfId="5964" priority="1286">
      <formula>$A6="Overcrossing"</formula>
    </cfRule>
    <cfRule type="expression" dxfId="5963" priority="1287">
      <formula>$A6="Overpass"</formula>
    </cfRule>
    <cfRule type="expression" dxfId="5962" priority="1288">
      <formula>$A6="Station"</formula>
    </cfRule>
    <cfRule type="expression" dxfId="5961" priority="1289">
      <formula>$A6="Overlap between sections"</formula>
    </cfRule>
  </conditionalFormatting>
  <conditionalFormatting sqref="AT6:AT800">
    <cfRule type="expression" dxfId="5960" priority="1276">
      <formula>$M6="NON DEFINED"</formula>
    </cfRule>
    <cfRule type="expression" dxfId="5959" priority="1277">
      <formula>$AZ6="N.D."</formula>
    </cfRule>
    <cfRule type="expression" dxfId="5958" priority="1278">
      <formula>$AY6="N.D."</formula>
    </cfRule>
  </conditionalFormatting>
  <conditionalFormatting sqref="AT6:AT800">
    <cfRule type="expression" dxfId="5957" priority="1265">
      <formula>$A6="Overhead Cable"</formula>
    </cfRule>
    <cfRule type="expression" dxfId="5956" priority="1266">
      <formula>$A6="Level Crossing"</formula>
    </cfRule>
    <cfRule type="expression" dxfId="5955" priority="1267">
      <formula>$A6="Neutral Section"</formula>
    </cfRule>
    <cfRule type="expression" dxfId="5954" priority="1268">
      <formula>$A6="Tunnel"</formula>
    </cfRule>
    <cfRule type="expression" dxfId="5953" priority="1269">
      <formula>$A6="Bridge"</formula>
    </cfRule>
    <cfRule type="expression" dxfId="5952" priority="1270">
      <formula>$A6="Drainage Works"</formula>
    </cfRule>
    <cfRule type="expression" dxfId="5951" priority="1271">
      <formula>$A6="Underpass"</formula>
    </cfRule>
    <cfRule type="expression" dxfId="5950" priority="1272">
      <formula>$A6="Overcrossing"</formula>
    </cfRule>
    <cfRule type="expression" dxfId="5949" priority="1273">
      <formula>$A6="Overpass"</formula>
    </cfRule>
    <cfRule type="expression" dxfId="5948" priority="1274">
      <formula>$A6="Station"</formula>
    </cfRule>
    <cfRule type="expression" dxfId="5947" priority="1275">
      <formula>$A6="Overlap between sections"</formula>
    </cfRule>
  </conditionalFormatting>
  <conditionalFormatting sqref="AU6:AU800">
    <cfRule type="expression" dxfId="5946" priority="1262">
      <formula>$M6="NON DEFINED"</formula>
    </cfRule>
    <cfRule type="expression" dxfId="5945" priority="1263">
      <formula>$AZ6="N.D."</formula>
    </cfRule>
    <cfRule type="expression" dxfId="5944" priority="1264">
      <formula>$AY6="N.D."</formula>
    </cfRule>
  </conditionalFormatting>
  <conditionalFormatting sqref="AU6:AU800">
    <cfRule type="expression" dxfId="5943" priority="1251">
      <formula>$A6="Overhead Cable"</formula>
    </cfRule>
    <cfRule type="expression" dxfId="5942" priority="1252">
      <formula>$A6="Level Crossing"</formula>
    </cfRule>
    <cfRule type="expression" dxfId="5941" priority="1253">
      <formula>$A6="Neutral Section"</formula>
    </cfRule>
    <cfRule type="expression" dxfId="5940" priority="1254">
      <formula>$A6="Tunnel"</formula>
    </cfRule>
    <cfRule type="expression" dxfId="5939" priority="1255">
      <formula>$A6="Bridge"</formula>
    </cfRule>
    <cfRule type="expression" dxfId="5938" priority="1256">
      <formula>$A6="Drainage Works"</formula>
    </cfRule>
    <cfRule type="expression" dxfId="5937" priority="1257">
      <formula>$A6="Underpass"</formula>
    </cfRule>
    <cfRule type="expression" dxfId="5936" priority="1258">
      <formula>$A6="Overcrossing"</formula>
    </cfRule>
    <cfRule type="expression" dxfId="5935" priority="1259">
      <formula>$A6="Overpass"</formula>
    </cfRule>
    <cfRule type="expression" dxfId="5934" priority="1260">
      <formula>$A6="Station"</formula>
    </cfRule>
    <cfRule type="expression" dxfId="5933" priority="1261">
      <formula>$A6="Overlap between sections"</formula>
    </cfRule>
  </conditionalFormatting>
  <conditionalFormatting sqref="AV6:AV800">
    <cfRule type="expression" dxfId="5932" priority="1248">
      <formula>$M6="NON DEFINED"</formula>
    </cfRule>
    <cfRule type="expression" dxfId="5931" priority="1249">
      <formula>$AZ6="N.D."</formula>
    </cfRule>
    <cfRule type="expression" dxfId="5930" priority="1250">
      <formula>$AY6="N.D."</formula>
    </cfRule>
  </conditionalFormatting>
  <conditionalFormatting sqref="AV6:AV800">
    <cfRule type="expression" dxfId="5929" priority="1237">
      <formula>$A6="Overhead Cable"</formula>
    </cfRule>
    <cfRule type="expression" dxfId="5928" priority="1238">
      <formula>$A6="Level Crossing"</formula>
    </cfRule>
    <cfRule type="expression" dxfId="5927" priority="1239">
      <formula>$A6="Neutral Section"</formula>
    </cfRule>
    <cfRule type="expression" dxfId="5926" priority="1240">
      <formula>$A6="Tunnel"</formula>
    </cfRule>
    <cfRule type="expression" dxfId="5925" priority="1241">
      <formula>$A6="Bridge"</formula>
    </cfRule>
    <cfRule type="expression" dxfId="5924" priority="1242">
      <formula>$A6="Drainage Works"</formula>
    </cfRule>
    <cfRule type="expression" dxfId="5923" priority="1243">
      <formula>$A6="Underpass"</formula>
    </cfRule>
    <cfRule type="expression" dxfId="5922" priority="1244">
      <formula>$A6="Overcrossing"</formula>
    </cfRule>
    <cfRule type="expression" dxfId="5921" priority="1245">
      <formula>$A6="Overpass"</formula>
    </cfRule>
    <cfRule type="expression" dxfId="5920" priority="1246">
      <formula>$A6="Station"</formula>
    </cfRule>
    <cfRule type="expression" dxfId="5919" priority="1247">
      <formula>$A6="Overlap between sections"</formula>
    </cfRule>
  </conditionalFormatting>
  <conditionalFormatting sqref="AW6:AW800">
    <cfRule type="expression" dxfId="5918" priority="1234">
      <formula>$M6="NON DEFINED"</formula>
    </cfRule>
    <cfRule type="expression" dxfId="5917" priority="1235">
      <formula>$AZ6="N.D."</formula>
    </cfRule>
    <cfRule type="expression" dxfId="5916" priority="1236">
      <formula>$AY6="N.D."</formula>
    </cfRule>
  </conditionalFormatting>
  <conditionalFormatting sqref="AW6:AW800">
    <cfRule type="expression" dxfId="5915" priority="1223">
      <formula>$A6="Overhead Cable"</formula>
    </cfRule>
    <cfRule type="expression" dxfId="5914" priority="1224">
      <formula>$A6="Level Crossing"</formula>
    </cfRule>
    <cfRule type="expression" dxfId="5913" priority="1225">
      <formula>$A6="Neutral Section"</formula>
    </cfRule>
    <cfRule type="expression" dxfId="5912" priority="1226">
      <formula>$A6="Tunnel"</formula>
    </cfRule>
    <cfRule type="expression" dxfId="5911" priority="1227">
      <formula>$A6="Bridge"</formula>
    </cfRule>
    <cfRule type="expression" dxfId="5910" priority="1228">
      <formula>$A6="Drainage Works"</formula>
    </cfRule>
    <cfRule type="expression" dxfId="5909" priority="1229">
      <formula>$A6="Underpass"</formula>
    </cfRule>
    <cfRule type="expression" dxfId="5908" priority="1230">
      <formula>$A6="Overcrossing"</formula>
    </cfRule>
    <cfRule type="expression" dxfId="5907" priority="1231">
      <formula>$A6="Overpass"</formula>
    </cfRule>
    <cfRule type="expression" dxfId="5906" priority="1232">
      <formula>$A6="Station"</formula>
    </cfRule>
    <cfRule type="expression" dxfId="5905" priority="1233">
      <formula>$A6="Overlap between sections"</formula>
    </cfRule>
  </conditionalFormatting>
  <conditionalFormatting sqref="AX6:AX800">
    <cfRule type="expression" dxfId="5904" priority="1220">
      <formula>$M6="NON DEFINED"</formula>
    </cfRule>
    <cfRule type="expression" dxfId="5903" priority="1221">
      <formula>$AZ6="N.D."</formula>
    </cfRule>
    <cfRule type="expression" dxfId="5902" priority="1222">
      <formula>$AY6="N.D."</formula>
    </cfRule>
  </conditionalFormatting>
  <conditionalFormatting sqref="AX6:AX800">
    <cfRule type="expression" dxfId="5901" priority="1209">
      <formula>$A6="Overhead Cable"</formula>
    </cfRule>
    <cfRule type="expression" dxfId="5900" priority="1210">
      <formula>$A6="Level Crossing"</formula>
    </cfRule>
    <cfRule type="expression" dxfId="5899" priority="1211">
      <formula>$A6="Neutral Section"</formula>
    </cfRule>
    <cfRule type="expression" dxfId="5898" priority="1212">
      <formula>$A6="Tunnel"</formula>
    </cfRule>
    <cfRule type="expression" dxfId="5897" priority="1213">
      <formula>$A6="Bridge"</formula>
    </cfRule>
    <cfRule type="expression" dxfId="5896" priority="1214">
      <formula>$A6="Drainage Works"</formula>
    </cfRule>
    <cfRule type="expression" dxfId="5895" priority="1215">
      <formula>$A6="Underpass"</formula>
    </cfRule>
    <cfRule type="expression" dxfId="5894" priority="1216">
      <formula>$A6="Overcrossing"</formula>
    </cfRule>
    <cfRule type="expression" dxfId="5893" priority="1217">
      <formula>$A6="Overpass"</formula>
    </cfRule>
    <cfRule type="expression" dxfId="5892" priority="1218">
      <formula>$A6="Station"</formula>
    </cfRule>
    <cfRule type="expression" dxfId="5891" priority="1219">
      <formula>$A6="Overlap between sections"</formula>
    </cfRule>
  </conditionalFormatting>
  <conditionalFormatting sqref="F6:F800">
    <cfRule type="expression" dxfId="5890" priority="1206">
      <formula>$M6="NON DEFINED"</formula>
    </cfRule>
    <cfRule type="expression" dxfId="5889" priority="1207">
      <formula>$AZ6="N.D."</formula>
    </cfRule>
    <cfRule type="expression" dxfId="5888" priority="1208">
      <formula>$AY6="N.D."</formula>
    </cfRule>
  </conditionalFormatting>
  <conditionalFormatting sqref="F6:F800">
    <cfRule type="expression" dxfId="5887" priority="1195">
      <formula>$A6="Overhead Cable"</formula>
    </cfRule>
    <cfRule type="expression" dxfId="5886" priority="1196">
      <formula>$A6="Level Crossing"</formula>
    </cfRule>
    <cfRule type="expression" dxfId="5885" priority="1197">
      <formula>$A6="Neutral Section"</formula>
    </cfRule>
    <cfRule type="expression" dxfId="5884" priority="1198">
      <formula>$A6="Tunnel"</formula>
    </cfRule>
    <cfRule type="expression" dxfId="5883" priority="1199">
      <formula>$A6="Bridge"</formula>
    </cfRule>
    <cfRule type="expression" dxfId="5882" priority="1200">
      <formula>$A6="Drainage Works"</formula>
    </cfRule>
    <cfRule type="expression" dxfId="5881" priority="1201">
      <formula>$A6="Underpass"</formula>
    </cfRule>
    <cfRule type="expression" dxfId="5880" priority="1202">
      <formula>$A6="Overcrossing"</formula>
    </cfRule>
    <cfRule type="expression" dxfId="5879" priority="1203">
      <formula>$A6="Overpass"</formula>
    </cfRule>
    <cfRule type="expression" dxfId="5878" priority="1204">
      <formula>$A6="Station"</formula>
    </cfRule>
    <cfRule type="expression" dxfId="5877" priority="1205">
      <formula>$A6="Overlap between sections"</formula>
    </cfRule>
  </conditionalFormatting>
  <conditionalFormatting sqref="Q6:Q25 Q27 Q29 Q31:Q800">
    <cfRule type="expression" dxfId="5876" priority="1192">
      <formula>$M6="NON DEFINED"</formula>
    </cfRule>
    <cfRule type="expression" dxfId="5875" priority="1193">
      <formula>$AZ6="N.D."</formula>
    </cfRule>
    <cfRule type="expression" dxfId="5874" priority="1194">
      <formula>$AY6="N.D."</formula>
    </cfRule>
  </conditionalFormatting>
  <conditionalFormatting sqref="Q6:Q25 Q27 Q29 Q31:Q800">
    <cfRule type="expression" dxfId="5873" priority="1181">
      <formula>$A6="Overhead Cable"</formula>
    </cfRule>
    <cfRule type="expression" dxfId="5872" priority="1182">
      <formula>$A6="Level Crossing"</formula>
    </cfRule>
    <cfRule type="expression" dxfId="5871" priority="1183">
      <formula>$A6="Neutral Section"</formula>
    </cfRule>
    <cfRule type="expression" dxfId="5870" priority="1184">
      <formula>$A6="Tunnel"</formula>
    </cfRule>
    <cfRule type="expression" dxfId="5869" priority="1185">
      <formula>$A6="Bridge"</formula>
    </cfRule>
    <cfRule type="expression" dxfId="5868" priority="1186">
      <formula>$A6="Drainage Works"</formula>
    </cfRule>
    <cfRule type="expression" dxfId="5867" priority="1187">
      <formula>$A6="Underpass"</formula>
    </cfRule>
    <cfRule type="expression" dxfId="5866" priority="1188">
      <formula>$A6="Overcrossing"</formula>
    </cfRule>
    <cfRule type="expression" dxfId="5865" priority="1189">
      <formula>$A6="Overpass"</formula>
    </cfRule>
    <cfRule type="expression" dxfId="5864" priority="1190">
      <formula>$A6="Station"</formula>
    </cfRule>
    <cfRule type="expression" dxfId="5863" priority="1191">
      <formula>$A6="Overlap between sections"</formula>
    </cfRule>
  </conditionalFormatting>
  <conditionalFormatting sqref="T6:T13 T15:T21 T27 T29 T31:T41 T43 T45:T800 T23 T25">
    <cfRule type="expression" dxfId="5862" priority="1178">
      <formula>$M6="NON DEFINED"</formula>
    </cfRule>
    <cfRule type="expression" dxfId="5861" priority="1179">
      <formula>$AZ6="N.D."</formula>
    </cfRule>
    <cfRule type="expression" dxfId="5860" priority="1180">
      <formula>$AY6="N.D."</formula>
    </cfRule>
  </conditionalFormatting>
  <conditionalFormatting sqref="T6:T13 T15:T21 T27 T29 T31:T41 T43 T45:T800 T23 T25">
    <cfRule type="expression" dxfId="5859" priority="1167">
      <formula>$A6="Overhead Cable"</formula>
    </cfRule>
    <cfRule type="expression" dxfId="5858" priority="1168">
      <formula>$A6="Level Crossing"</formula>
    </cfRule>
    <cfRule type="expression" dxfId="5857" priority="1169">
      <formula>$A6="Neutral Section"</formula>
    </cfRule>
    <cfRule type="expression" dxfId="5856" priority="1170">
      <formula>$A6="Tunnel"</formula>
    </cfRule>
    <cfRule type="expression" dxfId="5855" priority="1171">
      <formula>$A6="Bridge"</formula>
    </cfRule>
    <cfRule type="expression" dxfId="5854" priority="1172">
      <formula>$A6="Drainage Works"</formula>
    </cfRule>
    <cfRule type="expression" dxfId="5853" priority="1173">
      <formula>$A6="Underpass"</formula>
    </cfRule>
    <cfRule type="expression" dxfId="5852" priority="1174">
      <formula>$A6="Overcrossing"</formula>
    </cfRule>
    <cfRule type="expression" dxfId="5851" priority="1175">
      <formula>$A6="Overpass"</formula>
    </cfRule>
    <cfRule type="expression" dxfId="5850" priority="1176">
      <formula>$A6="Station"</formula>
    </cfRule>
    <cfRule type="expression" dxfId="5849" priority="1177">
      <formula>$A6="Overlap between sections"</formula>
    </cfRule>
  </conditionalFormatting>
  <conditionalFormatting sqref="U6:U13 U15:U25 U27 U29 U31:U41 U43 U45:U800">
    <cfRule type="expression" dxfId="5848" priority="1164">
      <formula>$M6="NON DEFINED"</formula>
    </cfRule>
    <cfRule type="expression" dxfId="5847" priority="1165">
      <formula>$AZ6="N.D."</formula>
    </cfRule>
    <cfRule type="expression" dxfId="5846" priority="1166">
      <formula>$AY6="N.D."</formula>
    </cfRule>
  </conditionalFormatting>
  <conditionalFormatting sqref="U6:U13 U15:U25 U27 U29 U31:U41 U43 U45:U800">
    <cfRule type="expression" dxfId="5845" priority="1153">
      <formula>$A6="Overhead Cable"</formula>
    </cfRule>
    <cfRule type="expression" dxfId="5844" priority="1154">
      <formula>$A6="Level Crossing"</formula>
    </cfRule>
    <cfRule type="expression" dxfId="5843" priority="1155">
      <formula>$A6="Neutral Section"</formula>
    </cfRule>
    <cfRule type="expression" dxfId="5842" priority="1156">
      <formula>$A6="Tunnel"</formula>
    </cfRule>
    <cfRule type="expression" dxfId="5841" priority="1157">
      <formula>$A6="Bridge"</formula>
    </cfRule>
    <cfRule type="expression" dxfId="5840" priority="1158">
      <formula>$A6="Drainage Works"</formula>
    </cfRule>
    <cfRule type="expression" dxfId="5839" priority="1159">
      <formula>$A6="Underpass"</formula>
    </cfRule>
    <cfRule type="expression" dxfId="5838" priority="1160">
      <formula>$A6="Overcrossing"</formula>
    </cfRule>
    <cfRule type="expression" dxfId="5837" priority="1161">
      <formula>$A6="Overpass"</formula>
    </cfRule>
    <cfRule type="expression" dxfId="5836" priority="1162">
      <formula>$A6="Station"</formula>
    </cfRule>
    <cfRule type="expression" dxfId="5835" priority="1163">
      <formula>$A6="Overlap between sections"</formula>
    </cfRule>
  </conditionalFormatting>
  <conditionalFormatting sqref="V6:V25 V27 V29 V31:V800">
    <cfRule type="expression" dxfId="5834" priority="1150">
      <formula>$M6="NON DEFINED"</formula>
    </cfRule>
    <cfRule type="expression" dxfId="5833" priority="1151">
      <formula>$AZ6="N.D."</formula>
    </cfRule>
    <cfRule type="expression" dxfId="5832" priority="1152">
      <formula>$AY6="N.D."</formula>
    </cfRule>
  </conditionalFormatting>
  <conditionalFormatting sqref="V6:V25 V27 V29 V31:V800">
    <cfRule type="expression" dxfId="5831" priority="1139">
      <formula>$A6="Overhead Cable"</formula>
    </cfRule>
    <cfRule type="expression" dxfId="5830" priority="1140">
      <formula>$A6="Level Crossing"</formula>
    </cfRule>
    <cfRule type="expression" dxfId="5829" priority="1141">
      <formula>$A6="Neutral Section"</formula>
    </cfRule>
    <cfRule type="expression" dxfId="5828" priority="1142">
      <formula>$A6="Tunnel"</formula>
    </cfRule>
    <cfRule type="expression" dxfId="5827" priority="1143">
      <formula>$A6="Bridge"</formula>
    </cfRule>
    <cfRule type="expression" dxfId="5826" priority="1144">
      <formula>$A6="Drainage Works"</formula>
    </cfRule>
    <cfRule type="expression" dxfId="5825" priority="1145">
      <formula>$A6="Underpass"</formula>
    </cfRule>
    <cfRule type="expression" dxfId="5824" priority="1146">
      <formula>$A6="Overcrossing"</formula>
    </cfRule>
    <cfRule type="expression" dxfId="5823" priority="1147">
      <formula>$A6="Overpass"</formula>
    </cfRule>
    <cfRule type="expression" dxfId="5822" priority="1148">
      <formula>$A6="Station"</formula>
    </cfRule>
    <cfRule type="expression" dxfId="5821" priority="1149">
      <formula>$A6="Overlap between sections"</formula>
    </cfRule>
  </conditionalFormatting>
  <conditionalFormatting sqref="AF6:AF800">
    <cfRule type="expression" dxfId="5820" priority="1136">
      <formula>$M6="NON DEFINED"</formula>
    </cfRule>
    <cfRule type="expression" dxfId="5819" priority="1137">
      <formula>$AZ6="N.D."</formula>
    </cfRule>
    <cfRule type="expression" dxfId="5818" priority="1138">
      <formula>$AY6="N.D."</formula>
    </cfRule>
  </conditionalFormatting>
  <conditionalFormatting sqref="AF6:AF800">
    <cfRule type="expression" dxfId="5817" priority="1125">
      <formula>$A6="Overhead Cable"</formula>
    </cfRule>
    <cfRule type="expression" dxfId="5816" priority="1126">
      <formula>$A6="Level Crossing"</formula>
    </cfRule>
    <cfRule type="expression" dxfId="5815" priority="1127">
      <formula>$A6="Neutral Section"</formula>
    </cfRule>
    <cfRule type="expression" dxfId="5814" priority="1128">
      <formula>$A6="Tunnel"</formula>
    </cfRule>
    <cfRule type="expression" dxfId="5813" priority="1129">
      <formula>$A6="Bridge"</formula>
    </cfRule>
    <cfRule type="expression" dxfId="5812" priority="1130">
      <formula>$A6="Drainage Works"</formula>
    </cfRule>
    <cfRule type="expression" dxfId="5811" priority="1131">
      <formula>$A6="Underpass"</formula>
    </cfRule>
    <cfRule type="expression" dxfId="5810" priority="1132">
      <formula>$A6="Overcrossing"</formula>
    </cfRule>
    <cfRule type="expression" dxfId="5809" priority="1133">
      <formula>$A6="Overpass"</formula>
    </cfRule>
    <cfRule type="expression" dxfId="5808" priority="1134">
      <formula>$A6="Station"</formula>
    </cfRule>
    <cfRule type="expression" dxfId="5807" priority="1135">
      <formula>$A6="Overlap between sections"</formula>
    </cfRule>
  </conditionalFormatting>
  <conditionalFormatting sqref="AH6:AH800">
    <cfRule type="expression" dxfId="5806" priority="1122">
      <formula>$M6="NON DEFINED"</formula>
    </cfRule>
    <cfRule type="expression" dxfId="5805" priority="1123">
      <formula>$AZ6="N.D."</formula>
    </cfRule>
    <cfRule type="expression" dxfId="5804" priority="1124">
      <formula>$AY6="N.D."</formula>
    </cfRule>
  </conditionalFormatting>
  <conditionalFormatting sqref="AH6:AH800">
    <cfRule type="expression" dxfId="5803" priority="1111">
      <formula>$A6="Overhead Cable"</formula>
    </cfRule>
    <cfRule type="expression" dxfId="5802" priority="1112">
      <formula>$A6="Level Crossing"</formula>
    </cfRule>
    <cfRule type="expression" dxfId="5801" priority="1113">
      <formula>$A6="Neutral Section"</formula>
    </cfRule>
    <cfRule type="expression" dxfId="5800" priority="1114">
      <formula>$A6="Tunnel"</formula>
    </cfRule>
    <cfRule type="expression" dxfId="5799" priority="1115">
      <formula>$A6="Bridge"</formula>
    </cfRule>
    <cfRule type="expression" dxfId="5798" priority="1116">
      <formula>$A6="Drainage Works"</formula>
    </cfRule>
    <cfRule type="expression" dxfId="5797" priority="1117">
      <formula>$A6="Underpass"</formula>
    </cfRule>
    <cfRule type="expression" dxfId="5796" priority="1118">
      <formula>$A6="Overcrossing"</formula>
    </cfRule>
    <cfRule type="expression" dxfId="5795" priority="1119">
      <formula>$A6="Overpass"</formula>
    </cfRule>
    <cfRule type="expression" dxfId="5794" priority="1120">
      <formula>$A6="Station"</formula>
    </cfRule>
    <cfRule type="expression" dxfId="5793" priority="1121">
      <formula>$A6="Overlap between sections"</formula>
    </cfRule>
  </conditionalFormatting>
  <conditionalFormatting sqref="AI6:AI800">
    <cfRule type="expression" dxfId="5792" priority="1108">
      <formula>$M6="NON DEFINED"</formula>
    </cfRule>
    <cfRule type="expression" dxfId="5791" priority="1109">
      <formula>$AZ6="N.D."</formula>
    </cfRule>
    <cfRule type="expression" dxfId="5790" priority="1110">
      <formula>$AY6="N.D."</formula>
    </cfRule>
  </conditionalFormatting>
  <conditionalFormatting sqref="AI6:AI800">
    <cfRule type="expression" dxfId="5789" priority="1097">
      <formula>$A6="Overhead Cable"</formula>
    </cfRule>
    <cfRule type="expression" dxfId="5788" priority="1098">
      <formula>$A6="Level Crossing"</formula>
    </cfRule>
    <cfRule type="expression" dxfId="5787" priority="1099">
      <formula>$A6="Neutral Section"</formula>
    </cfRule>
    <cfRule type="expression" dxfId="5786" priority="1100">
      <formula>$A6="Tunnel"</formula>
    </cfRule>
    <cfRule type="expression" dxfId="5785" priority="1101">
      <formula>$A6="Bridge"</formula>
    </cfRule>
    <cfRule type="expression" dxfId="5784" priority="1102">
      <formula>$A6="Drainage Works"</formula>
    </cfRule>
    <cfRule type="expression" dxfId="5783" priority="1103">
      <formula>$A6="Underpass"</formula>
    </cfRule>
    <cfRule type="expression" dxfId="5782" priority="1104">
      <formula>$A6="Overcrossing"</formula>
    </cfRule>
    <cfRule type="expression" dxfId="5781" priority="1105">
      <formula>$A6="Overpass"</formula>
    </cfRule>
    <cfRule type="expression" dxfId="5780" priority="1106">
      <formula>$A6="Station"</formula>
    </cfRule>
    <cfRule type="expression" dxfId="5779" priority="1107">
      <formula>$A6="Overlap between sections"</formula>
    </cfRule>
  </conditionalFormatting>
  <conditionalFormatting sqref="R6:R25 R27 R29 R31:R800">
    <cfRule type="expression" dxfId="5778" priority="1094">
      <formula>$M6="NON DEFINED"</formula>
    </cfRule>
    <cfRule type="expression" dxfId="5777" priority="1095">
      <formula>$AZ6="N.D."</formula>
    </cfRule>
    <cfRule type="expression" dxfId="5776" priority="1096">
      <formula>$AY6="N.D."</formula>
    </cfRule>
  </conditionalFormatting>
  <conditionalFormatting sqref="R6:R25 R27 R29 R31:R800">
    <cfRule type="expression" dxfId="5775" priority="1083">
      <formula>$A6="Overhead Cable"</formula>
    </cfRule>
    <cfRule type="expression" dxfId="5774" priority="1084">
      <formula>$A6="Level Crossing"</formula>
    </cfRule>
    <cfRule type="expression" dxfId="5773" priority="1085">
      <formula>$A6="Neutral Section"</formula>
    </cfRule>
    <cfRule type="expression" dxfId="5772" priority="1086">
      <formula>$A6="Tunnel"</formula>
    </cfRule>
    <cfRule type="expression" dxfId="5771" priority="1087">
      <formula>$A6="Bridge"</formula>
    </cfRule>
    <cfRule type="expression" dxfId="5770" priority="1088">
      <formula>$A6="Drainage Works"</formula>
    </cfRule>
    <cfRule type="expression" dxfId="5769" priority="1089">
      <formula>$A6="Underpass"</formula>
    </cfRule>
    <cfRule type="expression" dxfId="5768" priority="1090">
      <formula>$A6="Overcrossing"</formula>
    </cfRule>
    <cfRule type="expression" dxfId="5767" priority="1091">
      <formula>$A6="Overpass"</formula>
    </cfRule>
    <cfRule type="expression" dxfId="5766" priority="1092">
      <formula>$A6="Station"</formula>
    </cfRule>
    <cfRule type="expression" dxfId="5765" priority="1093">
      <formula>$A6="Overlap between sections"</formula>
    </cfRule>
  </conditionalFormatting>
  <conditionalFormatting sqref="S6:S25 S27 S29 S31:S800">
    <cfRule type="expression" dxfId="5764" priority="1080">
      <formula>$M6="NON DEFINED"</formula>
    </cfRule>
    <cfRule type="expression" dxfId="5763" priority="1081">
      <formula>$AZ6="N.D."</formula>
    </cfRule>
    <cfRule type="expression" dxfId="5762" priority="1082">
      <formula>$AY6="N.D."</formula>
    </cfRule>
  </conditionalFormatting>
  <conditionalFormatting sqref="S6:S25 S27 S29 S31:S800">
    <cfRule type="expression" dxfId="5761" priority="1069">
      <formula>$A6="Overhead Cable"</formula>
    </cfRule>
    <cfRule type="expression" dxfId="5760" priority="1070">
      <formula>$A6="Level Crossing"</formula>
    </cfRule>
    <cfRule type="expression" dxfId="5759" priority="1071">
      <formula>$A6="Neutral Section"</formula>
    </cfRule>
    <cfRule type="expression" dxfId="5758" priority="1072">
      <formula>$A6="Tunnel"</formula>
    </cfRule>
    <cfRule type="expression" dxfId="5757" priority="1073">
      <formula>$A6="Bridge"</formula>
    </cfRule>
    <cfRule type="expression" dxfId="5756" priority="1074">
      <formula>$A6="Drainage Works"</formula>
    </cfRule>
    <cfRule type="expression" dxfId="5755" priority="1075">
      <formula>$A6="Underpass"</formula>
    </cfRule>
    <cfRule type="expression" dxfId="5754" priority="1076">
      <formula>$A6="Overcrossing"</formula>
    </cfRule>
    <cfRule type="expression" dxfId="5753" priority="1077">
      <formula>$A6="Overpass"</formula>
    </cfRule>
    <cfRule type="expression" dxfId="5752" priority="1078">
      <formula>$A6="Station"</formula>
    </cfRule>
    <cfRule type="expression" dxfId="5751" priority="1079">
      <formula>$A6="Overlap between sections"</formula>
    </cfRule>
  </conditionalFormatting>
  <conditionalFormatting sqref="W6:W13 W15:W21 W27 W29 W31:W41 W43 W45:W800 W23:W25">
    <cfRule type="expression" dxfId="5750" priority="1066">
      <formula>$M6="NON DEFINED"</formula>
    </cfRule>
    <cfRule type="expression" dxfId="5749" priority="1067">
      <formula>$AZ6="N.D."</formula>
    </cfRule>
    <cfRule type="expression" dxfId="5748" priority="1068">
      <formula>$AY6="N.D."</formula>
    </cfRule>
  </conditionalFormatting>
  <conditionalFormatting sqref="W6:W13 W15:W21 W27 W29 W31:W41 W43 W45:W800 W23:W25">
    <cfRule type="expression" dxfId="5747" priority="1055">
      <formula>$A6="Overhead Cable"</formula>
    </cfRule>
    <cfRule type="expression" dxfId="5746" priority="1056">
      <formula>$A6="Level Crossing"</formula>
    </cfRule>
    <cfRule type="expression" dxfId="5745" priority="1057">
      <formula>$A6="Neutral Section"</formula>
    </cfRule>
    <cfRule type="expression" dxfId="5744" priority="1058">
      <formula>$A6="Tunnel"</formula>
    </cfRule>
    <cfRule type="expression" dxfId="5743" priority="1059">
      <formula>$A6="Bridge"</formula>
    </cfRule>
    <cfRule type="expression" dxfId="5742" priority="1060">
      <formula>$A6="Drainage Works"</formula>
    </cfRule>
    <cfRule type="expression" dxfId="5741" priority="1061">
      <formula>$A6="Underpass"</formula>
    </cfRule>
    <cfRule type="expression" dxfId="5740" priority="1062">
      <formula>$A6="Overcrossing"</formula>
    </cfRule>
    <cfRule type="expression" dxfId="5739" priority="1063">
      <formula>$A6="Overpass"</formula>
    </cfRule>
    <cfRule type="expression" dxfId="5738" priority="1064">
      <formula>$A6="Station"</formula>
    </cfRule>
    <cfRule type="expression" dxfId="5737" priority="1065">
      <formula>$A6="Overlap between sections"</formula>
    </cfRule>
  </conditionalFormatting>
  <conditionalFormatting sqref="X6:X13 X15:X41 X43 X45:X800">
    <cfRule type="expression" dxfId="5736" priority="1052">
      <formula>$M6="NON DEFINED"</formula>
    </cfRule>
    <cfRule type="expression" dxfId="5735" priority="1053">
      <formula>$AZ6="N.D."</formula>
    </cfRule>
    <cfRule type="expression" dxfId="5734" priority="1054">
      <formula>$AY6="N.D."</formula>
    </cfRule>
  </conditionalFormatting>
  <conditionalFormatting sqref="X6:X13 X15:X41 X43 X45:X800">
    <cfRule type="expression" dxfId="5733" priority="1041">
      <formula>$A6="Overhead Cable"</formula>
    </cfRule>
    <cfRule type="expression" dxfId="5732" priority="1042">
      <formula>$A6="Level Crossing"</formula>
    </cfRule>
    <cfRule type="expression" dxfId="5731" priority="1043">
      <formula>$A6="Neutral Section"</formula>
    </cfRule>
    <cfRule type="expression" dxfId="5730" priority="1044">
      <formula>$A6="Tunnel"</formula>
    </cfRule>
    <cfRule type="expression" dxfId="5729" priority="1045">
      <formula>$A6="Bridge"</formula>
    </cfRule>
    <cfRule type="expression" dxfId="5728" priority="1046">
      <formula>$A6="Drainage Works"</formula>
    </cfRule>
    <cfRule type="expression" dxfId="5727" priority="1047">
      <formula>$A6="Underpass"</formula>
    </cfRule>
    <cfRule type="expression" dxfId="5726" priority="1048">
      <formula>$A6="Overcrossing"</formula>
    </cfRule>
    <cfRule type="expression" dxfId="5725" priority="1049">
      <formula>$A6="Overpass"</formula>
    </cfRule>
    <cfRule type="expression" dxfId="5724" priority="1050">
      <formula>$A6="Station"</formula>
    </cfRule>
    <cfRule type="expression" dxfId="5723" priority="1051">
      <formula>$A6="Overlap between sections"</formula>
    </cfRule>
  </conditionalFormatting>
  <conditionalFormatting sqref="Y6:Y800">
    <cfRule type="expression" dxfId="5722" priority="1038">
      <formula>$M6="NON DEFINED"</formula>
    </cfRule>
    <cfRule type="expression" dxfId="5721" priority="1039">
      <formula>$AZ6="N.D."</formula>
    </cfRule>
    <cfRule type="expression" dxfId="5720" priority="1040">
      <formula>$AY6="N.D."</formula>
    </cfRule>
  </conditionalFormatting>
  <conditionalFormatting sqref="Y6:Y800">
    <cfRule type="expression" dxfId="5719" priority="1027">
      <formula>$A6="Overhead Cable"</formula>
    </cfRule>
    <cfRule type="expression" dxfId="5718" priority="1028">
      <formula>$A6="Level Crossing"</formula>
    </cfRule>
    <cfRule type="expression" dxfId="5717" priority="1029">
      <formula>$A6="Neutral Section"</formula>
    </cfRule>
    <cfRule type="expression" dxfId="5716" priority="1030">
      <formula>$A6="Tunnel"</formula>
    </cfRule>
    <cfRule type="expression" dxfId="5715" priority="1031">
      <formula>$A6="Bridge"</formula>
    </cfRule>
    <cfRule type="expression" dxfId="5714" priority="1032">
      <formula>$A6="Drainage Works"</formula>
    </cfRule>
    <cfRule type="expression" dxfId="5713" priority="1033">
      <formula>$A6="Underpass"</formula>
    </cfRule>
    <cfRule type="expression" dxfId="5712" priority="1034">
      <formula>$A6="Overcrossing"</formula>
    </cfRule>
    <cfRule type="expression" dxfId="5711" priority="1035">
      <formula>$A6="Overpass"</formula>
    </cfRule>
    <cfRule type="expression" dxfId="5710" priority="1036">
      <formula>$A6="Station"</formula>
    </cfRule>
    <cfRule type="expression" dxfId="5709" priority="1037">
      <formula>$A6="Overlap between sections"</formula>
    </cfRule>
  </conditionalFormatting>
  <conditionalFormatting sqref="Z6:Z800">
    <cfRule type="expression" dxfId="5708" priority="1024">
      <formula>$M6="NON DEFINED"</formula>
    </cfRule>
    <cfRule type="expression" dxfId="5707" priority="1025">
      <formula>$AZ6="N.D."</formula>
    </cfRule>
    <cfRule type="expression" dxfId="5706" priority="1026">
      <formula>$AY6="N.D."</formula>
    </cfRule>
  </conditionalFormatting>
  <conditionalFormatting sqref="Z6:Z800">
    <cfRule type="expression" dxfId="5705" priority="1013">
      <formula>$A6="Overhead Cable"</formula>
    </cfRule>
    <cfRule type="expression" dxfId="5704" priority="1014">
      <formula>$A6="Level Crossing"</formula>
    </cfRule>
    <cfRule type="expression" dxfId="5703" priority="1015">
      <formula>$A6="Neutral Section"</formula>
    </cfRule>
    <cfRule type="expression" dxfId="5702" priority="1016">
      <formula>$A6="Tunnel"</formula>
    </cfRule>
    <cfRule type="expression" dxfId="5701" priority="1017">
      <formula>$A6="Bridge"</formula>
    </cfRule>
    <cfRule type="expression" dxfId="5700" priority="1018">
      <formula>$A6="Drainage Works"</formula>
    </cfRule>
    <cfRule type="expression" dxfId="5699" priority="1019">
      <formula>$A6="Underpass"</formula>
    </cfRule>
    <cfRule type="expression" dxfId="5698" priority="1020">
      <formula>$A6="Overcrossing"</formula>
    </cfRule>
    <cfRule type="expression" dxfId="5697" priority="1021">
      <formula>$A6="Overpass"</formula>
    </cfRule>
    <cfRule type="expression" dxfId="5696" priority="1022">
      <formula>$A6="Station"</formula>
    </cfRule>
    <cfRule type="expression" dxfId="5695" priority="1023">
      <formula>$A6="Overlap between sections"</formula>
    </cfRule>
  </conditionalFormatting>
  <conditionalFormatting sqref="AA6:AA800">
    <cfRule type="expression" dxfId="5694" priority="1010">
      <formula>$M6="NON DEFINED"</formula>
    </cfRule>
    <cfRule type="expression" dxfId="5693" priority="1011">
      <formula>$AZ6="N.D."</formula>
    </cfRule>
    <cfRule type="expression" dxfId="5692" priority="1012">
      <formula>$AY6="N.D."</formula>
    </cfRule>
  </conditionalFormatting>
  <conditionalFormatting sqref="AA6:AA800">
    <cfRule type="expression" dxfId="5691" priority="999">
      <formula>$A6="Overhead Cable"</formula>
    </cfRule>
    <cfRule type="expression" dxfId="5690" priority="1000">
      <formula>$A6="Level Crossing"</formula>
    </cfRule>
    <cfRule type="expression" dxfId="5689" priority="1001">
      <formula>$A6="Neutral Section"</formula>
    </cfRule>
    <cfRule type="expression" dxfId="5688" priority="1002">
      <formula>$A6="Tunnel"</formula>
    </cfRule>
    <cfRule type="expression" dxfId="5687" priority="1003">
      <formula>$A6="Bridge"</formula>
    </cfRule>
    <cfRule type="expression" dxfId="5686" priority="1004">
      <formula>$A6="Drainage Works"</formula>
    </cfRule>
    <cfRule type="expression" dxfId="5685" priority="1005">
      <formula>$A6="Underpass"</formula>
    </cfRule>
    <cfRule type="expression" dxfId="5684" priority="1006">
      <formula>$A6="Overcrossing"</formula>
    </cfRule>
    <cfRule type="expression" dxfId="5683" priority="1007">
      <formula>$A6="Overpass"</formula>
    </cfRule>
    <cfRule type="expression" dxfId="5682" priority="1008">
      <formula>$A6="Station"</formula>
    </cfRule>
    <cfRule type="expression" dxfId="5681" priority="1009">
      <formula>$A6="Overlap between sections"</formula>
    </cfRule>
  </conditionalFormatting>
  <conditionalFormatting sqref="AB6:AB800">
    <cfRule type="expression" dxfId="5680" priority="996">
      <formula>$M6="NON DEFINED"</formula>
    </cfRule>
    <cfRule type="expression" dxfId="5679" priority="997">
      <formula>$AZ6="N.D."</formula>
    </cfRule>
    <cfRule type="expression" dxfId="5678" priority="998">
      <formula>$AY6="N.D."</formula>
    </cfRule>
  </conditionalFormatting>
  <conditionalFormatting sqref="AB6:AB800">
    <cfRule type="expression" dxfId="5677" priority="985">
      <formula>$A6="Overhead Cable"</formula>
    </cfRule>
    <cfRule type="expression" dxfId="5676" priority="986">
      <formula>$A6="Level Crossing"</formula>
    </cfRule>
    <cfRule type="expression" dxfId="5675" priority="987">
      <formula>$A6="Neutral Section"</formula>
    </cfRule>
    <cfRule type="expression" dxfId="5674" priority="988">
      <formula>$A6="Tunnel"</formula>
    </cfRule>
    <cfRule type="expression" dxfId="5673" priority="989">
      <formula>$A6="Bridge"</formula>
    </cfRule>
    <cfRule type="expression" dxfId="5672" priority="990">
      <formula>$A6="Drainage Works"</formula>
    </cfRule>
    <cfRule type="expression" dxfId="5671" priority="991">
      <formula>$A6="Underpass"</formula>
    </cfRule>
    <cfRule type="expression" dxfId="5670" priority="992">
      <formula>$A6="Overcrossing"</formula>
    </cfRule>
    <cfRule type="expression" dxfId="5669" priority="993">
      <formula>$A6="Overpass"</formula>
    </cfRule>
    <cfRule type="expression" dxfId="5668" priority="994">
      <formula>$A6="Station"</formula>
    </cfRule>
    <cfRule type="expression" dxfId="5667" priority="995">
      <formula>$A6="Overlap between sections"</formula>
    </cfRule>
  </conditionalFormatting>
  <conditionalFormatting sqref="BD65:BD800">
    <cfRule type="containsText" dxfId="5666" priority="972" operator="containsText" text="Poner a mano">
      <formula>NOT(ISERROR(SEARCH("Poner a mano",BD65)))</formula>
    </cfRule>
  </conditionalFormatting>
  <conditionalFormatting sqref="BD65:BD800">
    <cfRule type="expression" dxfId="5665" priority="961">
      <formula>$A65="Overhead Cable"</formula>
    </cfRule>
    <cfRule type="expression" dxfId="5664" priority="962">
      <formula>$A65="Level Crossing"</formula>
    </cfRule>
    <cfRule type="expression" dxfId="5663" priority="963">
      <formula>$A65="Neutral Section"</formula>
    </cfRule>
    <cfRule type="expression" dxfId="5662" priority="964">
      <formula>$A65="Tunnel"</formula>
    </cfRule>
    <cfRule type="expression" dxfId="5661" priority="965">
      <formula>$A65="Bridge"</formula>
    </cfRule>
    <cfRule type="expression" dxfId="5660" priority="966">
      <formula>$A65="Drainage Works"</formula>
    </cfRule>
    <cfRule type="expression" dxfId="5659" priority="967">
      <formula>$A65="Underpass"</formula>
    </cfRule>
    <cfRule type="expression" dxfId="5658" priority="968">
      <formula>$A65="Overcrossing"</formula>
    </cfRule>
    <cfRule type="expression" dxfId="5657" priority="969">
      <formula>$A65="Overpass"</formula>
    </cfRule>
    <cfRule type="expression" dxfId="5656" priority="970">
      <formula>$A65="Station"</formula>
    </cfRule>
    <cfRule type="expression" dxfId="5655" priority="971">
      <formula>$A65="Overlap between sections"</formula>
    </cfRule>
  </conditionalFormatting>
  <conditionalFormatting sqref="BE5:BE800">
    <cfRule type="containsText" dxfId="5654" priority="959" operator="containsText" text="a">
      <formula>NOT(ISERROR(SEARCH("a",BE5)))</formula>
    </cfRule>
    <cfRule type="containsText" dxfId="5653" priority="960" operator="containsText" text="R">
      <formula>NOT(ISERROR(SEARCH("R",BE5)))</formula>
    </cfRule>
  </conditionalFormatting>
  <conditionalFormatting sqref="BA5:BC64">
    <cfRule type="expression" dxfId="5652" priority="957">
      <formula>$BE5="A"</formula>
    </cfRule>
    <cfRule type="expression" dxfId="5651" priority="958">
      <formula>$BE5="R"</formula>
    </cfRule>
  </conditionalFormatting>
  <conditionalFormatting sqref="BD5:BD64">
    <cfRule type="containsText" dxfId="5650" priority="956" operator="containsText" text="Poner a mano">
      <formula>NOT(ISERROR(SEARCH("Poner a mano",BD5)))</formula>
    </cfRule>
  </conditionalFormatting>
  <conditionalFormatting sqref="BC5:BC64">
    <cfRule type="expression" dxfId="5649" priority="955">
      <formula>$M5="U.S. N.D."</formula>
    </cfRule>
  </conditionalFormatting>
  <conditionalFormatting sqref="BB5:BB64">
    <cfRule type="expression" dxfId="5648" priority="953">
      <formula>$AZ5="N.D."</formula>
    </cfRule>
  </conditionalFormatting>
  <conditionalFormatting sqref="BA5:BA64">
    <cfRule type="expression" dxfId="5647" priority="954">
      <formula>$AY5="N.D."</formula>
    </cfRule>
  </conditionalFormatting>
  <conditionalFormatting sqref="N14">
    <cfRule type="expression" dxfId="5646" priority="950">
      <formula>$M14="NON DEFINED"</formula>
    </cfRule>
    <cfRule type="expression" dxfId="5645" priority="951">
      <formula>$AZ14="N.D."</formula>
    </cfRule>
    <cfRule type="expression" dxfId="5644" priority="952">
      <formula>$AY14="N.D."</formula>
    </cfRule>
  </conditionalFormatting>
  <conditionalFormatting sqref="N14">
    <cfRule type="expression" dxfId="5643" priority="939">
      <formula>$A14="Overhead Cable"</formula>
    </cfRule>
    <cfRule type="expression" dxfId="5642" priority="940">
      <formula>$A14="Level Crossing"</formula>
    </cfRule>
    <cfRule type="expression" dxfId="5641" priority="941">
      <formula>$A14="Neutral Section"</formula>
    </cfRule>
    <cfRule type="expression" dxfId="5640" priority="942">
      <formula>$A14="Tunnel"</formula>
    </cfRule>
    <cfRule type="expression" dxfId="5639" priority="943">
      <formula>$A14="Bridge"</formula>
    </cfRule>
    <cfRule type="expression" dxfId="5638" priority="944">
      <formula>$A14="Drainage Works"</formula>
    </cfRule>
    <cfRule type="expression" dxfId="5637" priority="945">
      <formula>$A14="Underpass"</formula>
    </cfRule>
    <cfRule type="expression" dxfId="5636" priority="946">
      <formula>$A14="Overcrossing"</formula>
    </cfRule>
    <cfRule type="expression" dxfId="5635" priority="947">
      <formula>$A14="Overpass"</formula>
    </cfRule>
    <cfRule type="expression" dxfId="5634" priority="948">
      <formula>$A14="Station"</formula>
    </cfRule>
    <cfRule type="expression" dxfId="5633" priority="949">
      <formula>$A14="Overlap between sections"</formula>
    </cfRule>
  </conditionalFormatting>
  <conditionalFormatting sqref="O14">
    <cfRule type="expression" dxfId="5632" priority="936">
      <formula>$M14="NON DEFINED"</formula>
    </cfRule>
    <cfRule type="expression" dxfId="5631" priority="937">
      <formula>$AZ14="N.D."</formula>
    </cfRule>
    <cfRule type="expression" dxfId="5630" priority="938">
      <formula>$AY14="N.D."</formula>
    </cfRule>
  </conditionalFormatting>
  <conditionalFormatting sqref="O14">
    <cfRule type="expression" dxfId="5629" priority="925">
      <formula>$A14="Overhead Cable"</formula>
    </cfRule>
    <cfRule type="expression" dxfId="5628" priority="926">
      <formula>$A14="Level Crossing"</formula>
    </cfRule>
    <cfRule type="expression" dxfId="5627" priority="927">
      <formula>$A14="Neutral Section"</formula>
    </cfRule>
    <cfRule type="expression" dxfId="5626" priority="928">
      <formula>$A14="Tunnel"</formula>
    </cfRule>
    <cfRule type="expression" dxfId="5625" priority="929">
      <formula>$A14="Bridge"</formula>
    </cfRule>
    <cfRule type="expression" dxfId="5624" priority="930">
      <formula>$A14="Drainage Works"</formula>
    </cfRule>
    <cfRule type="expression" dxfId="5623" priority="931">
      <formula>$A14="Underpass"</formula>
    </cfRule>
    <cfRule type="expression" dxfId="5622" priority="932">
      <formula>$A14="Overcrossing"</formula>
    </cfRule>
    <cfRule type="expression" dxfId="5621" priority="933">
      <formula>$A14="Overpass"</formula>
    </cfRule>
    <cfRule type="expression" dxfId="5620" priority="934">
      <formula>$A14="Station"</formula>
    </cfRule>
    <cfRule type="expression" dxfId="5619" priority="935">
      <formula>$A14="Overlap between sections"</formula>
    </cfRule>
  </conditionalFormatting>
  <conditionalFormatting sqref="T14">
    <cfRule type="expression" dxfId="5618" priority="922">
      <formula>$M14="NON DEFINED"</formula>
    </cfRule>
    <cfRule type="expression" dxfId="5617" priority="923">
      <formula>$AZ14="N.D."</formula>
    </cfRule>
    <cfRule type="expression" dxfId="5616" priority="924">
      <formula>$AY14="N.D."</formula>
    </cfRule>
  </conditionalFormatting>
  <conditionalFormatting sqref="T14">
    <cfRule type="expression" dxfId="5615" priority="911">
      <formula>$A14="Overhead Cable"</formula>
    </cfRule>
    <cfRule type="expression" dxfId="5614" priority="912">
      <formula>$A14="Level Crossing"</formula>
    </cfRule>
    <cfRule type="expression" dxfId="5613" priority="913">
      <formula>$A14="Neutral Section"</formula>
    </cfRule>
    <cfRule type="expression" dxfId="5612" priority="914">
      <formula>$A14="Tunnel"</formula>
    </cfRule>
    <cfRule type="expression" dxfId="5611" priority="915">
      <formula>$A14="Bridge"</formula>
    </cfRule>
    <cfRule type="expression" dxfId="5610" priority="916">
      <formula>$A14="Drainage Works"</formula>
    </cfRule>
    <cfRule type="expression" dxfId="5609" priority="917">
      <formula>$A14="Underpass"</formula>
    </cfRule>
    <cfRule type="expression" dxfId="5608" priority="918">
      <formula>$A14="Overcrossing"</formula>
    </cfRule>
    <cfRule type="expression" dxfId="5607" priority="919">
      <formula>$A14="Overpass"</formula>
    </cfRule>
    <cfRule type="expression" dxfId="5606" priority="920">
      <formula>$A14="Station"</formula>
    </cfRule>
    <cfRule type="expression" dxfId="5605" priority="921">
      <formula>$A14="Overlap between sections"</formula>
    </cfRule>
  </conditionalFormatting>
  <conditionalFormatting sqref="U14">
    <cfRule type="expression" dxfId="5604" priority="908">
      <formula>$M14="NON DEFINED"</formula>
    </cfRule>
    <cfRule type="expression" dxfId="5603" priority="909">
      <formula>$AZ14="N.D."</formula>
    </cfRule>
    <cfRule type="expression" dxfId="5602" priority="910">
      <formula>$AY14="N.D."</formula>
    </cfRule>
  </conditionalFormatting>
  <conditionalFormatting sqref="U14">
    <cfRule type="expression" dxfId="5601" priority="897">
      <formula>$A14="Overhead Cable"</formula>
    </cfRule>
    <cfRule type="expression" dxfId="5600" priority="898">
      <formula>$A14="Level Crossing"</formula>
    </cfRule>
    <cfRule type="expression" dxfId="5599" priority="899">
      <formula>$A14="Neutral Section"</formula>
    </cfRule>
    <cfRule type="expression" dxfId="5598" priority="900">
      <formula>$A14="Tunnel"</formula>
    </cfRule>
    <cfRule type="expression" dxfId="5597" priority="901">
      <formula>$A14="Bridge"</formula>
    </cfRule>
    <cfRule type="expression" dxfId="5596" priority="902">
      <formula>$A14="Drainage Works"</formula>
    </cfRule>
    <cfRule type="expression" dxfId="5595" priority="903">
      <formula>$A14="Underpass"</formula>
    </cfRule>
    <cfRule type="expression" dxfId="5594" priority="904">
      <formula>$A14="Overcrossing"</formula>
    </cfRule>
    <cfRule type="expression" dxfId="5593" priority="905">
      <formula>$A14="Overpass"</formula>
    </cfRule>
    <cfRule type="expression" dxfId="5592" priority="906">
      <formula>$A14="Station"</formula>
    </cfRule>
    <cfRule type="expression" dxfId="5591" priority="907">
      <formula>$A14="Overlap between sections"</formula>
    </cfRule>
  </conditionalFormatting>
  <conditionalFormatting sqref="W14">
    <cfRule type="expression" dxfId="5590" priority="894">
      <formula>$M14="NON DEFINED"</formula>
    </cfRule>
    <cfRule type="expression" dxfId="5589" priority="895">
      <formula>$AZ14="N.D."</formula>
    </cfRule>
    <cfRule type="expression" dxfId="5588" priority="896">
      <formula>$AY14="N.D."</formula>
    </cfRule>
  </conditionalFormatting>
  <conditionalFormatting sqref="W14">
    <cfRule type="expression" dxfId="5587" priority="883">
      <formula>$A14="Overhead Cable"</formula>
    </cfRule>
    <cfRule type="expression" dxfId="5586" priority="884">
      <formula>$A14="Level Crossing"</formula>
    </cfRule>
    <cfRule type="expression" dxfId="5585" priority="885">
      <formula>$A14="Neutral Section"</formula>
    </cfRule>
    <cfRule type="expression" dxfId="5584" priority="886">
      <formula>$A14="Tunnel"</formula>
    </cfRule>
    <cfRule type="expression" dxfId="5583" priority="887">
      <formula>$A14="Bridge"</formula>
    </cfRule>
    <cfRule type="expression" dxfId="5582" priority="888">
      <formula>$A14="Drainage Works"</formula>
    </cfRule>
    <cfRule type="expression" dxfId="5581" priority="889">
      <formula>$A14="Underpass"</formula>
    </cfRule>
    <cfRule type="expression" dxfId="5580" priority="890">
      <formula>$A14="Overcrossing"</formula>
    </cfRule>
    <cfRule type="expression" dxfId="5579" priority="891">
      <formula>$A14="Overpass"</formula>
    </cfRule>
    <cfRule type="expression" dxfId="5578" priority="892">
      <formula>$A14="Station"</formula>
    </cfRule>
    <cfRule type="expression" dxfId="5577" priority="893">
      <formula>$A14="Overlap between sections"</formula>
    </cfRule>
  </conditionalFormatting>
  <conditionalFormatting sqref="X14">
    <cfRule type="expression" dxfId="5576" priority="880">
      <formula>$M14="NON DEFINED"</formula>
    </cfRule>
    <cfRule type="expression" dxfId="5575" priority="881">
      <formula>$AZ14="N.D."</formula>
    </cfRule>
    <cfRule type="expression" dxfId="5574" priority="882">
      <formula>$AY14="N.D."</formula>
    </cfRule>
  </conditionalFormatting>
  <conditionalFormatting sqref="X14">
    <cfRule type="expression" dxfId="5573" priority="869">
      <formula>$A14="Overhead Cable"</formula>
    </cfRule>
    <cfRule type="expression" dxfId="5572" priority="870">
      <formula>$A14="Level Crossing"</formula>
    </cfRule>
    <cfRule type="expression" dxfId="5571" priority="871">
      <formula>$A14="Neutral Section"</formula>
    </cfRule>
    <cfRule type="expression" dxfId="5570" priority="872">
      <formula>$A14="Tunnel"</formula>
    </cfRule>
    <cfRule type="expression" dxfId="5569" priority="873">
      <formula>$A14="Bridge"</formula>
    </cfRule>
    <cfRule type="expression" dxfId="5568" priority="874">
      <formula>$A14="Drainage Works"</formula>
    </cfRule>
    <cfRule type="expression" dxfId="5567" priority="875">
      <formula>$A14="Underpass"</formula>
    </cfRule>
    <cfRule type="expression" dxfId="5566" priority="876">
      <formula>$A14="Overcrossing"</formula>
    </cfRule>
    <cfRule type="expression" dxfId="5565" priority="877">
      <formula>$A14="Overpass"</formula>
    </cfRule>
    <cfRule type="expression" dxfId="5564" priority="878">
      <formula>$A14="Station"</formula>
    </cfRule>
    <cfRule type="expression" dxfId="5563" priority="879">
      <formula>$A14="Overlap between sections"</formula>
    </cfRule>
  </conditionalFormatting>
  <conditionalFormatting sqref="O26">
    <cfRule type="expression" dxfId="5562" priority="852">
      <formula>$M26="NON DEFINED"</formula>
    </cfRule>
    <cfRule type="expression" dxfId="5561" priority="853">
      <formula>$AZ26="N.D."</formula>
    </cfRule>
    <cfRule type="expression" dxfId="5560" priority="854">
      <formula>$AY26="N.D."</formula>
    </cfRule>
  </conditionalFormatting>
  <conditionalFormatting sqref="O26">
    <cfRule type="expression" dxfId="5559" priority="841">
      <formula>$A26="Overhead Cable"</formula>
    </cfRule>
    <cfRule type="expression" dxfId="5558" priority="842">
      <formula>$A26="Level Crossing"</formula>
    </cfRule>
    <cfRule type="expression" dxfId="5557" priority="843">
      <formula>$A26="Neutral Section"</formula>
    </cfRule>
    <cfRule type="expression" dxfId="5556" priority="844">
      <formula>$A26="Tunnel"</formula>
    </cfRule>
    <cfRule type="expression" dxfId="5555" priority="845">
      <formula>$A26="Bridge"</formula>
    </cfRule>
    <cfRule type="expression" dxfId="5554" priority="846">
      <formula>$A26="Drainage Works"</formula>
    </cfRule>
    <cfRule type="expression" dxfId="5553" priority="847">
      <formula>$A26="Underpass"</formula>
    </cfRule>
    <cfRule type="expression" dxfId="5552" priority="848">
      <formula>$A26="Overcrossing"</formula>
    </cfRule>
    <cfRule type="expression" dxfId="5551" priority="849">
      <formula>$A26="Overpass"</formula>
    </cfRule>
    <cfRule type="expression" dxfId="5550" priority="850">
      <formula>$A26="Station"</formula>
    </cfRule>
    <cfRule type="expression" dxfId="5549" priority="851">
      <formula>$A26="Overlap between sections"</formula>
    </cfRule>
  </conditionalFormatting>
  <conditionalFormatting sqref="P26">
    <cfRule type="expression" dxfId="5548" priority="838">
      <formula>$M26="NON DEFINED"</formula>
    </cfRule>
    <cfRule type="expression" dxfId="5547" priority="839">
      <formula>$AZ26="N.D."</formula>
    </cfRule>
    <cfRule type="expression" dxfId="5546" priority="840">
      <formula>$AY26="N.D."</formula>
    </cfRule>
  </conditionalFormatting>
  <conditionalFormatting sqref="P26">
    <cfRule type="expression" dxfId="5545" priority="827">
      <formula>$A26="Overhead Cable"</formula>
    </cfRule>
    <cfRule type="expression" dxfId="5544" priority="828">
      <formula>$A26="Level Crossing"</formula>
    </cfRule>
    <cfRule type="expression" dxfId="5543" priority="829">
      <formula>$A26="Neutral Section"</formula>
    </cfRule>
    <cfRule type="expression" dxfId="5542" priority="830">
      <formula>$A26="Tunnel"</formula>
    </cfRule>
    <cfRule type="expression" dxfId="5541" priority="831">
      <formula>$A26="Bridge"</formula>
    </cfRule>
    <cfRule type="expression" dxfId="5540" priority="832">
      <formula>$A26="Drainage Works"</formula>
    </cfRule>
    <cfRule type="expression" dxfId="5539" priority="833">
      <formula>$A26="Underpass"</formula>
    </cfRule>
    <cfRule type="expression" dxfId="5538" priority="834">
      <formula>$A26="Overcrossing"</formula>
    </cfRule>
    <cfRule type="expression" dxfId="5537" priority="835">
      <formula>$A26="Overpass"</formula>
    </cfRule>
    <cfRule type="expression" dxfId="5536" priority="836">
      <formula>$A26="Station"</formula>
    </cfRule>
    <cfRule type="expression" dxfId="5535" priority="837">
      <formula>$A26="Overlap between sections"</formula>
    </cfRule>
  </conditionalFormatting>
  <conditionalFormatting sqref="Q26">
    <cfRule type="expression" dxfId="5534" priority="824">
      <formula>$M26="NON DEFINED"</formula>
    </cfRule>
    <cfRule type="expression" dxfId="5533" priority="825">
      <formula>$AZ26="N.D."</formula>
    </cfRule>
    <cfRule type="expression" dxfId="5532" priority="826">
      <formula>$AY26="N.D."</formula>
    </cfRule>
  </conditionalFormatting>
  <conditionalFormatting sqref="Q26">
    <cfRule type="expression" dxfId="5531" priority="813">
      <formula>$A26="Overhead Cable"</formula>
    </cfRule>
    <cfRule type="expression" dxfId="5530" priority="814">
      <formula>$A26="Level Crossing"</formula>
    </cfRule>
    <cfRule type="expression" dxfId="5529" priority="815">
      <formula>$A26="Neutral Section"</formula>
    </cfRule>
    <cfRule type="expression" dxfId="5528" priority="816">
      <formula>$A26="Tunnel"</formula>
    </cfRule>
    <cfRule type="expression" dxfId="5527" priority="817">
      <formula>$A26="Bridge"</formula>
    </cfRule>
    <cfRule type="expression" dxfId="5526" priority="818">
      <formula>$A26="Drainage Works"</formula>
    </cfRule>
    <cfRule type="expression" dxfId="5525" priority="819">
      <formula>$A26="Underpass"</formula>
    </cfRule>
    <cfRule type="expression" dxfId="5524" priority="820">
      <formula>$A26="Overcrossing"</formula>
    </cfRule>
    <cfRule type="expression" dxfId="5523" priority="821">
      <formula>$A26="Overpass"</formula>
    </cfRule>
    <cfRule type="expression" dxfId="5522" priority="822">
      <formula>$A26="Station"</formula>
    </cfRule>
    <cfRule type="expression" dxfId="5521" priority="823">
      <formula>$A26="Overlap between sections"</formula>
    </cfRule>
  </conditionalFormatting>
  <conditionalFormatting sqref="T26">
    <cfRule type="expression" dxfId="5520" priority="810">
      <formula>$M26="NON DEFINED"</formula>
    </cfRule>
    <cfRule type="expression" dxfId="5519" priority="811">
      <formula>$AZ26="N.D."</formula>
    </cfRule>
    <cfRule type="expression" dxfId="5518" priority="812">
      <formula>$AY26="N.D."</formula>
    </cfRule>
  </conditionalFormatting>
  <conditionalFormatting sqref="T26">
    <cfRule type="expression" dxfId="5517" priority="799">
      <formula>$A26="Overhead Cable"</formula>
    </cfRule>
    <cfRule type="expression" dxfId="5516" priority="800">
      <formula>$A26="Level Crossing"</formula>
    </cfRule>
    <cfRule type="expression" dxfId="5515" priority="801">
      <formula>$A26="Neutral Section"</formula>
    </cfRule>
    <cfRule type="expression" dxfId="5514" priority="802">
      <formula>$A26="Tunnel"</formula>
    </cfRule>
    <cfRule type="expression" dxfId="5513" priority="803">
      <formula>$A26="Bridge"</formula>
    </cfRule>
    <cfRule type="expression" dxfId="5512" priority="804">
      <formula>$A26="Drainage Works"</formula>
    </cfRule>
    <cfRule type="expression" dxfId="5511" priority="805">
      <formula>$A26="Underpass"</formula>
    </cfRule>
    <cfRule type="expression" dxfId="5510" priority="806">
      <formula>$A26="Overcrossing"</formula>
    </cfRule>
    <cfRule type="expression" dxfId="5509" priority="807">
      <formula>$A26="Overpass"</formula>
    </cfRule>
    <cfRule type="expression" dxfId="5508" priority="808">
      <formula>$A26="Station"</formula>
    </cfRule>
    <cfRule type="expression" dxfId="5507" priority="809">
      <formula>$A26="Overlap between sections"</formula>
    </cfRule>
  </conditionalFormatting>
  <conditionalFormatting sqref="U26">
    <cfRule type="expression" dxfId="5506" priority="796">
      <formula>$M26="NON DEFINED"</formula>
    </cfRule>
    <cfRule type="expression" dxfId="5505" priority="797">
      <formula>$AZ26="N.D."</formula>
    </cfRule>
    <cfRule type="expression" dxfId="5504" priority="798">
      <formula>$AY26="N.D."</formula>
    </cfRule>
  </conditionalFormatting>
  <conditionalFormatting sqref="U26">
    <cfRule type="expression" dxfId="5503" priority="785">
      <formula>$A26="Overhead Cable"</formula>
    </cfRule>
    <cfRule type="expression" dxfId="5502" priority="786">
      <formula>$A26="Level Crossing"</formula>
    </cfRule>
    <cfRule type="expression" dxfId="5501" priority="787">
      <formula>$A26="Neutral Section"</formula>
    </cfRule>
    <cfRule type="expression" dxfId="5500" priority="788">
      <formula>$A26="Tunnel"</formula>
    </cfRule>
    <cfRule type="expression" dxfId="5499" priority="789">
      <formula>$A26="Bridge"</formula>
    </cfRule>
    <cfRule type="expression" dxfId="5498" priority="790">
      <formula>$A26="Drainage Works"</formula>
    </cfRule>
    <cfRule type="expression" dxfId="5497" priority="791">
      <formula>$A26="Underpass"</formula>
    </cfRule>
    <cfRule type="expression" dxfId="5496" priority="792">
      <formula>$A26="Overcrossing"</formula>
    </cfRule>
    <cfRule type="expression" dxfId="5495" priority="793">
      <formula>$A26="Overpass"</formula>
    </cfRule>
    <cfRule type="expression" dxfId="5494" priority="794">
      <formula>$A26="Station"</formula>
    </cfRule>
    <cfRule type="expression" dxfId="5493" priority="795">
      <formula>$A26="Overlap between sections"</formula>
    </cfRule>
  </conditionalFormatting>
  <conditionalFormatting sqref="V26">
    <cfRule type="expression" dxfId="5492" priority="782">
      <formula>$M26="NON DEFINED"</formula>
    </cfRule>
    <cfRule type="expression" dxfId="5491" priority="783">
      <formula>$AZ26="N.D."</formula>
    </cfRule>
    <cfRule type="expression" dxfId="5490" priority="784">
      <formula>$AY26="N.D."</formula>
    </cfRule>
  </conditionalFormatting>
  <conditionalFormatting sqref="V26">
    <cfRule type="expression" dxfId="5489" priority="771">
      <formula>$A26="Overhead Cable"</formula>
    </cfRule>
    <cfRule type="expression" dxfId="5488" priority="772">
      <formula>$A26="Level Crossing"</formula>
    </cfRule>
    <cfRule type="expression" dxfId="5487" priority="773">
      <formula>$A26="Neutral Section"</formula>
    </cfRule>
    <cfRule type="expression" dxfId="5486" priority="774">
      <formula>$A26="Tunnel"</formula>
    </cfRule>
    <cfRule type="expression" dxfId="5485" priority="775">
      <formula>$A26="Bridge"</formula>
    </cfRule>
    <cfRule type="expression" dxfId="5484" priority="776">
      <formula>$A26="Drainage Works"</formula>
    </cfRule>
    <cfRule type="expression" dxfId="5483" priority="777">
      <formula>$A26="Underpass"</formula>
    </cfRule>
    <cfRule type="expression" dxfId="5482" priority="778">
      <formula>$A26="Overcrossing"</formula>
    </cfRule>
    <cfRule type="expression" dxfId="5481" priority="779">
      <formula>$A26="Overpass"</formula>
    </cfRule>
    <cfRule type="expression" dxfId="5480" priority="780">
      <formula>$A26="Station"</formula>
    </cfRule>
    <cfRule type="expression" dxfId="5479" priority="781">
      <formula>$A26="Overlap between sections"</formula>
    </cfRule>
  </conditionalFormatting>
  <conditionalFormatting sqref="R26">
    <cfRule type="expression" dxfId="5478" priority="768">
      <formula>$M26="NON DEFINED"</formula>
    </cfRule>
    <cfRule type="expression" dxfId="5477" priority="769">
      <formula>$AZ26="N.D."</formula>
    </cfRule>
    <cfRule type="expression" dxfId="5476" priority="770">
      <formula>$AY26="N.D."</formula>
    </cfRule>
  </conditionalFormatting>
  <conditionalFormatting sqref="R26">
    <cfRule type="expression" dxfId="5475" priority="757">
      <formula>$A26="Overhead Cable"</formula>
    </cfRule>
    <cfRule type="expression" dxfId="5474" priority="758">
      <formula>$A26="Level Crossing"</formula>
    </cfRule>
    <cfRule type="expression" dxfId="5473" priority="759">
      <formula>$A26="Neutral Section"</formula>
    </cfRule>
    <cfRule type="expression" dxfId="5472" priority="760">
      <formula>$A26="Tunnel"</formula>
    </cfRule>
    <cfRule type="expression" dxfId="5471" priority="761">
      <formula>$A26="Bridge"</formula>
    </cfRule>
    <cfRule type="expression" dxfId="5470" priority="762">
      <formula>$A26="Drainage Works"</formula>
    </cfRule>
    <cfRule type="expression" dxfId="5469" priority="763">
      <formula>$A26="Underpass"</formula>
    </cfRule>
    <cfRule type="expression" dxfId="5468" priority="764">
      <formula>$A26="Overcrossing"</formula>
    </cfRule>
    <cfRule type="expression" dxfId="5467" priority="765">
      <formula>$A26="Overpass"</formula>
    </cfRule>
    <cfRule type="expression" dxfId="5466" priority="766">
      <formula>$A26="Station"</formula>
    </cfRule>
    <cfRule type="expression" dxfId="5465" priority="767">
      <formula>$A26="Overlap between sections"</formula>
    </cfRule>
  </conditionalFormatting>
  <conditionalFormatting sqref="S26">
    <cfRule type="expression" dxfId="5464" priority="754">
      <formula>$M26="NON DEFINED"</formula>
    </cfRule>
    <cfRule type="expression" dxfId="5463" priority="755">
      <formula>$AZ26="N.D."</formula>
    </cfRule>
    <cfRule type="expression" dxfId="5462" priority="756">
      <formula>$AY26="N.D."</formula>
    </cfRule>
  </conditionalFormatting>
  <conditionalFormatting sqref="S26">
    <cfRule type="expression" dxfId="5461" priority="743">
      <formula>$A26="Overhead Cable"</formula>
    </cfRule>
    <cfRule type="expression" dxfId="5460" priority="744">
      <formula>$A26="Level Crossing"</formula>
    </cfRule>
    <cfRule type="expression" dxfId="5459" priority="745">
      <formula>$A26="Neutral Section"</formula>
    </cfRule>
    <cfRule type="expression" dxfId="5458" priority="746">
      <formula>$A26="Tunnel"</formula>
    </cfRule>
    <cfRule type="expression" dxfId="5457" priority="747">
      <formula>$A26="Bridge"</formula>
    </cfRule>
    <cfRule type="expression" dxfId="5456" priority="748">
      <formula>$A26="Drainage Works"</formula>
    </cfRule>
    <cfRule type="expression" dxfId="5455" priority="749">
      <formula>$A26="Underpass"</formula>
    </cfRule>
    <cfRule type="expression" dxfId="5454" priority="750">
      <formula>$A26="Overcrossing"</formula>
    </cfRule>
    <cfRule type="expression" dxfId="5453" priority="751">
      <formula>$A26="Overpass"</formula>
    </cfRule>
    <cfRule type="expression" dxfId="5452" priority="752">
      <formula>$A26="Station"</formula>
    </cfRule>
    <cfRule type="expression" dxfId="5451" priority="753">
      <formula>$A26="Overlap between sections"</formula>
    </cfRule>
  </conditionalFormatting>
  <conditionalFormatting sqref="W26">
    <cfRule type="expression" dxfId="5450" priority="740">
      <formula>$M26="NON DEFINED"</formula>
    </cfRule>
    <cfRule type="expression" dxfId="5449" priority="741">
      <formula>$AZ26="N.D."</formula>
    </cfRule>
    <cfRule type="expression" dxfId="5448" priority="742">
      <formula>$AY26="N.D."</formula>
    </cfRule>
  </conditionalFormatting>
  <conditionalFormatting sqref="W26">
    <cfRule type="expression" dxfId="5447" priority="729">
      <formula>$A26="Overhead Cable"</formula>
    </cfRule>
    <cfRule type="expression" dxfId="5446" priority="730">
      <formula>$A26="Level Crossing"</formula>
    </cfRule>
    <cfRule type="expression" dxfId="5445" priority="731">
      <formula>$A26="Neutral Section"</formula>
    </cfRule>
    <cfRule type="expression" dxfId="5444" priority="732">
      <formula>$A26="Tunnel"</formula>
    </cfRule>
    <cfRule type="expression" dxfId="5443" priority="733">
      <formula>$A26="Bridge"</formula>
    </cfRule>
    <cfRule type="expression" dxfId="5442" priority="734">
      <formula>$A26="Drainage Works"</formula>
    </cfRule>
    <cfRule type="expression" dxfId="5441" priority="735">
      <formula>$A26="Underpass"</formula>
    </cfRule>
    <cfRule type="expression" dxfId="5440" priority="736">
      <formula>$A26="Overcrossing"</formula>
    </cfRule>
    <cfRule type="expression" dxfId="5439" priority="737">
      <formula>$A26="Overpass"</formula>
    </cfRule>
    <cfRule type="expression" dxfId="5438" priority="738">
      <formula>$A26="Station"</formula>
    </cfRule>
    <cfRule type="expression" dxfId="5437" priority="739">
      <formula>$A26="Overlap between sections"</formula>
    </cfRule>
  </conditionalFormatting>
  <conditionalFormatting sqref="O28">
    <cfRule type="expression" dxfId="5436" priority="712">
      <formula>$M28="NON DEFINED"</formula>
    </cfRule>
    <cfRule type="expression" dxfId="5435" priority="713">
      <formula>$AZ28="N.D."</formula>
    </cfRule>
    <cfRule type="expression" dxfId="5434" priority="714">
      <formula>$AY28="N.D."</formula>
    </cfRule>
  </conditionalFormatting>
  <conditionalFormatting sqref="O28">
    <cfRule type="expression" dxfId="5433" priority="701">
      <formula>$A28="Overhead Cable"</formula>
    </cfRule>
    <cfRule type="expression" dxfId="5432" priority="702">
      <formula>$A28="Level Crossing"</formula>
    </cfRule>
    <cfRule type="expression" dxfId="5431" priority="703">
      <formula>$A28="Neutral Section"</formula>
    </cfRule>
    <cfRule type="expression" dxfId="5430" priority="704">
      <formula>$A28="Tunnel"</formula>
    </cfRule>
    <cfRule type="expression" dxfId="5429" priority="705">
      <formula>$A28="Bridge"</formula>
    </cfRule>
    <cfRule type="expression" dxfId="5428" priority="706">
      <formula>$A28="Drainage Works"</formula>
    </cfRule>
    <cfRule type="expression" dxfId="5427" priority="707">
      <formula>$A28="Underpass"</formula>
    </cfRule>
    <cfRule type="expression" dxfId="5426" priority="708">
      <formula>$A28="Overcrossing"</formula>
    </cfRule>
    <cfRule type="expression" dxfId="5425" priority="709">
      <formula>$A28="Overpass"</formula>
    </cfRule>
    <cfRule type="expression" dxfId="5424" priority="710">
      <formula>$A28="Station"</formula>
    </cfRule>
    <cfRule type="expression" dxfId="5423" priority="711">
      <formula>$A28="Overlap between sections"</formula>
    </cfRule>
  </conditionalFormatting>
  <conditionalFormatting sqref="P28">
    <cfRule type="expression" dxfId="5422" priority="698">
      <formula>$M28="NON DEFINED"</formula>
    </cfRule>
    <cfRule type="expression" dxfId="5421" priority="699">
      <formula>$AZ28="N.D."</formula>
    </cfRule>
    <cfRule type="expression" dxfId="5420" priority="700">
      <formula>$AY28="N.D."</formula>
    </cfRule>
  </conditionalFormatting>
  <conditionalFormatting sqref="P28">
    <cfRule type="expression" dxfId="5419" priority="687">
      <formula>$A28="Overhead Cable"</formula>
    </cfRule>
    <cfRule type="expression" dxfId="5418" priority="688">
      <formula>$A28="Level Crossing"</formula>
    </cfRule>
    <cfRule type="expression" dxfId="5417" priority="689">
      <formula>$A28="Neutral Section"</formula>
    </cfRule>
    <cfRule type="expression" dxfId="5416" priority="690">
      <formula>$A28="Tunnel"</formula>
    </cfRule>
    <cfRule type="expression" dxfId="5415" priority="691">
      <formula>$A28="Bridge"</formula>
    </cfRule>
    <cfRule type="expression" dxfId="5414" priority="692">
      <formula>$A28="Drainage Works"</formula>
    </cfRule>
    <cfRule type="expression" dxfId="5413" priority="693">
      <formula>$A28="Underpass"</formula>
    </cfRule>
    <cfRule type="expression" dxfId="5412" priority="694">
      <formula>$A28="Overcrossing"</formula>
    </cfRule>
    <cfRule type="expression" dxfId="5411" priority="695">
      <formula>$A28="Overpass"</formula>
    </cfRule>
    <cfRule type="expression" dxfId="5410" priority="696">
      <formula>$A28="Station"</formula>
    </cfRule>
    <cfRule type="expression" dxfId="5409" priority="697">
      <formula>$A28="Overlap between sections"</formula>
    </cfRule>
  </conditionalFormatting>
  <conditionalFormatting sqref="Q28">
    <cfRule type="expression" dxfId="5408" priority="684">
      <formula>$M28="NON DEFINED"</formula>
    </cfRule>
    <cfRule type="expression" dxfId="5407" priority="685">
      <formula>$AZ28="N.D."</formula>
    </cfRule>
    <cfRule type="expression" dxfId="5406" priority="686">
      <formula>$AY28="N.D."</formula>
    </cfRule>
  </conditionalFormatting>
  <conditionalFormatting sqref="Q28">
    <cfRule type="expression" dxfId="5405" priority="673">
      <formula>$A28="Overhead Cable"</formula>
    </cfRule>
    <cfRule type="expression" dxfId="5404" priority="674">
      <formula>$A28="Level Crossing"</formula>
    </cfRule>
    <cfRule type="expression" dxfId="5403" priority="675">
      <formula>$A28="Neutral Section"</formula>
    </cfRule>
    <cfRule type="expression" dxfId="5402" priority="676">
      <formula>$A28="Tunnel"</formula>
    </cfRule>
    <cfRule type="expression" dxfId="5401" priority="677">
      <formula>$A28="Bridge"</formula>
    </cfRule>
    <cfRule type="expression" dxfId="5400" priority="678">
      <formula>$A28="Drainage Works"</formula>
    </cfRule>
    <cfRule type="expression" dxfId="5399" priority="679">
      <formula>$A28="Underpass"</formula>
    </cfRule>
    <cfRule type="expression" dxfId="5398" priority="680">
      <formula>$A28="Overcrossing"</formula>
    </cfRule>
    <cfRule type="expression" dxfId="5397" priority="681">
      <formula>$A28="Overpass"</formula>
    </cfRule>
    <cfRule type="expression" dxfId="5396" priority="682">
      <formula>$A28="Station"</formula>
    </cfRule>
    <cfRule type="expression" dxfId="5395" priority="683">
      <formula>$A28="Overlap between sections"</formula>
    </cfRule>
  </conditionalFormatting>
  <conditionalFormatting sqref="U28">
    <cfRule type="expression" dxfId="5394" priority="656">
      <formula>$M28="NON DEFINED"</formula>
    </cfRule>
    <cfRule type="expression" dxfId="5393" priority="657">
      <formula>$AZ28="N.D."</formula>
    </cfRule>
    <cfRule type="expression" dxfId="5392" priority="658">
      <formula>$AY28="N.D."</formula>
    </cfRule>
  </conditionalFormatting>
  <conditionalFormatting sqref="U28">
    <cfRule type="expression" dxfId="5391" priority="645">
      <formula>$A28="Overhead Cable"</formula>
    </cfRule>
    <cfRule type="expression" dxfId="5390" priority="646">
      <formula>$A28="Level Crossing"</formula>
    </cfRule>
    <cfRule type="expression" dxfId="5389" priority="647">
      <formula>$A28="Neutral Section"</formula>
    </cfRule>
    <cfRule type="expression" dxfId="5388" priority="648">
      <formula>$A28="Tunnel"</formula>
    </cfRule>
    <cfRule type="expression" dxfId="5387" priority="649">
      <formula>$A28="Bridge"</formula>
    </cfRule>
    <cfRule type="expression" dxfId="5386" priority="650">
      <formula>$A28="Drainage Works"</formula>
    </cfRule>
    <cfRule type="expression" dxfId="5385" priority="651">
      <formula>$A28="Underpass"</formula>
    </cfRule>
    <cfRule type="expression" dxfId="5384" priority="652">
      <formula>$A28="Overcrossing"</formula>
    </cfRule>
    <cfRule type="expression" dxfId="5383" priority="653">
      <formula>$A28="Overpass"</formula>
    </cfRule>
    <cfRule type="expression" dxfId="5382" priority="654">
      <formula>$A28="Station"</formula>
    </cfRule>
    <cfRule type="expression" dxfId="5381" priority="655">
      <formula>$A28="Overlap between sections"</formula>
    </cfRule>
  </conditionalFormatting>
  <conditionalFormatting sqref="V28">
    <cfRule type="expression" dxfId="5380" priority="642">
      <formula>$M28="NON DEFINED"</formula>
    </cfRule>
    <cfRule type="expression" dxfId="5379" priority="643">
      <formula>$AZ28="N.D."</formula>
    </cfRule>
    <cfRule type="expression" dxfId="5378" priority="644">
      <formula>$AY28="N.D."</formula>
    </cfRule>
  </conditionalFormatting>
  <conditionalFormatting sqref="V28">
    <cfRule type="expression" dxfId="5377" priority="631">
      <formula>$A28="Overhead Cable"</formula>
    </cfRule>
    <cfRule type="expression" dxfId="5376" priority="632">
      <formula>$A28="Level Crossing"</formula>
    </cfRule>
    <cfRule type="expression" dxfId="5375" priority="633">
      <formula>$A28="Neutral Section"</formula>
    </cfRule>
    <cfRule type="expression" dxfId="5374" priority="634">
      <formula>$A28="Tunnel"</formula>
    </cfRule>
    <cfRule type="expression" dxfId="5373" priority="635">
      <formula>$A28="Bridge"</formula>
    </cfRule>
    <cfRule type="expression" dxfId="5372" priority="636">
      <formula>$A28="Drainage Works"</formula>
    </cfRule>
    <cfRule type="expression" dxfId="5371" priority="637">
      <formula>$A28="Underpass"</formula>
    </cfRule>
    <cfRule type="expression" dxfId="5370" priority="638">
      <formula>$A28="Overcrossing"</formula>
    </cfRule>
    <cfRule type="expression" dxfId="5369" priority="639">
      <formula>$A28="Overpass"</formula>
    </cfRule>
    <cfRule type="expression" dxfId="5368" priority="640">
      <formula>$A28="Station"</formula>
    </cfRule>
    <cfRule type="expression" dxfId="5367" priority="641">
      <formula>$A28="Overlap between sections"</formula>
    </cfRule>
  </conditionalFormatting>
  <conditionalFormatting sqref="R28">
    <cfRule type="expression" dxfId="5366" priority="628">
      <formula>$M28="NON DEFINED"</formula>
    </cfRule>
    <cfRule type="expression" dxfId="5365" priority="629">
      <formula>$AZ28="N.D."</formula>
    </cfRule>
    <cfRule type="expression" dxfId="5364" priority="630">
      <formula>$AY28="N.D."</formula>
    </cfRule>
  </conditionalFormatting>
  <conditionalFormatting sqref="R28">
    <cfRule type="expression" dxfId="5363" priority="617">
      <formula>$A28="Overhead Cable"</formula>
    </cfRule>
    <cfRule type="expression" dxfId="5362" priority="618">
      <formula>$A28="Level Crossing"</formula>
    </cfRule>
    <cfRule type="expression" dxfId="5361" priority="619">
      <formula>$A28="Neutral Section"</formula>
    </cfRule>
    <cfRule type="expression" dxfId="5360" priority="620">
      <formula>$A28="Tunnel"</formula>
    </cfRule>
    <cfRule type="expression" dxfId="5359" priority="621">
      <formula>$A28="Bridge"</formula>
    </cfRule>
    <cfRule type="expression" dxfId="5358" priority="622">
      <formula>$A28="Drainage Works"</formula>
    </cfRule>
    <cfRule type="expression" dxfId="5357" priority="623">
      <formula>$A28="Underpass"</formula>
    </cfRule>
    <cfRule type="expression" dxfId="5356" priority="624">
      <formula>$A28="Overcrossing"</formula>
    </cfRule>
    <cfRule type="expression" dxfId="5355" priority="625">
      <formula>$A28="Overpass"</formula>
    </cfRule>
    <cfRule type="expression" dxfId="5354" priority="626">
      <formula>$A28="Station"</formula>
    </cfRule>
    <cfRule type="expression" dxfId="5353" priority="627">
      <formula>$A28="Overlap between sections"</formula>
    </cfRule>
  </conditionalFormatting>
  <conditionalFormatting sqref="S28">
    <cfRule type="expression" dxfId="5352" priority="614">
      <formula>$M28="NON DEFINED"</formula>
    </cfRule>
    <cfRule type="expression" dxfId="5351" priority="615">
      <formula>$AZ28="N.D."</formula>
    </cfRule>
    <cfRule type="expression" dxfId="5350" priority="616">
      <formula>$AY28="N.D."</formula>
    </cfRule>
  </conditionalFormatting>
  <conditionalFormatting sqref="S28">
    <cfRule type="expression" dxfId="5349" priority="603">
      <formula>$A28="Overhead Cable"</formula>
    </cfRule>
    <cfRule type="expression" dxfId="5348" priority="604">
      <formula>$A28="Level Crossing"</formula>
    </cfRule>
    <cfRule type="expression" dxfId="5347" priority="605">
      <formula>$A28="Neutral Section"</formula>
    </cfRule>
    <cfRule type="expression" dxfId="5346" priority="606">
      <formula>$A28="Tunnel"</formula>
    </cfRule>
    <cfRule type="expression" dxfId="5345" priority="607">
      <formula>$A28="Bridge"</formula>
    </cfRule>
    <cfRule type="expression" dxfId="5344" priority="608">
      <formula>$A28="Drainage Works"</formula>
    </cfRule>
    <cfRule type="expression" dxfId="5343" priority="609">
      <formula>$A28="Underpass"</formula>
    </cfRule>
    <cfRule type="expression" dxfId="5342" priority="610">
      <formula>$A28="Overcrossing"</formula>
    </cfRule>
    <cfRule type="expression" dxfId="5341" priority="611">
      <formula>$A28="Overpass"</formula>
    </cfRule>
    <cfRule type="expression" dxfId="5340" priority="612">
      <formula>$A28="Station"</formula>
    </cfRule>
    <cfRule type="expression" dxfId="5339" priority="613">
      <formula>$A28="Overlap between sections"</formula>
    </cfRule>
  </conditionalFormatting>
  <conditionalFormatting sqref="W28">
    <cfRule type="expression" dxfId="5338" priority="600">
      <formula>$M28="NON DEFINED"</formula>
    </cfRule>
    <cfRule type="expression" dxfId="5337" priority="601">
      <formula>$AZ28="N.D."</formula>
    </cfRule>
    <cfRule type="expression" dxfId="5336" priority="602">
      <formula>$AY28="N.D."</formula>
    </cfRule>
  </conditionalFormatting>
  <conditionalFormatting sqref="W28">
    <cfRule type="expression" dxfId="5335" priority="589">
      <formula>$A28="Overhead Cable"</formula>
    </cfRule>
    <cfRule type="expression" dxfId="5334" priority="590">
      <formula>$A28="Level Crossing"</formula>
    </cfRule>
    <cfRule type="expression" dxfId="5333" priority="591">
      <formula>$A28="Neutral Section"</formula>
    </cfRule>
    <cfRule type="expression" dxfId="5332" priority="592">
      <formula>$A28="Tunnel"</formula>
    </cfRule>
    <cfRule type="expression" dxfId="5331" priority="593">
      <formula>$A28="Bridge"</formula>
    </cfRule>
    <cfRule type="expression" dxfId="5330" priority="594">
      <formula>$A28="Drainage Works"</formula>
    </cfRule>
    <cfRule type="expression" dxfId="5329" priority="595">
      <formula>$A28="Underpass"</formula>
    </cfRule>
    <cfRule type="expression" dxfId="5328" priority="596">
      <formula>$A28="Overcrossing"</formula>
    </cfRule>
    <cfRule type="expression" dxfId="5327" priority="597">
      <formula>$A28="Overpass"</formula>
    </cfRule>
    <cfRule type="expression" dxfId="5326" priority="598">
      <formula>$A28="Station"</formula>
    </cfRule>
    <cfRule type="expression" dxfId="5325" priority="599">
      <formula>$A28="Overlap between sections"</formula>
    </cfRule>
  </conditionalFormatting>
  <conditionalFormatting sqref="O30">
    <cfRule type="expression" dxfId="5324" priority="572">
      <formula>$M30="NON DEFINED"</formula>
    </cfRule>
    <cfRule type="expression" dxfId="5323" priority="573">
      <formula>$AZ30="N.D."</formula>
    </cfRule>
    <cfRule type="expression" dxfId="5322" priority="574">
      <formula>$AY30="N.D."</formula>
    </cfRule>
  </conditionalFormatting>
  <conditionalFormatting sqref="O30">
    <cfRule type="expression" dxfId="5321" priority="561">
      <formula>$A30="Overhead Cable"</formula>
    </cfRule>
    <cfRule type="expression" dxfId="5320" priority="562">
      <formula>$A30="Level Crossing"</formula>
    </cfRule>
    <cfRule type="expression" dxfId="5319" priority="563">
      <formula>$A30="Neutral Section"</formula>
    </cfRule>
    <cfRule type="expression" dxfId="5318" priority="564">
      <formula>$A30="Tunnel"</formula>
    </cfRule>
    <cfRule type="expression" dxfId="5317" priority="565">
      <formula>$A30="Bridge"</formula>
    </cfRule>
    <cfRule type="expression" dxfId="5316" priority="566">
      <formula>$A30="Drainage Works"</formula>
    </cfRule>
    <cfRule type="expression" dxfId="5315" priority="567">
      <formula>$A30="Underpass"</formula>
    </cfRule>
    <cfRule type="expression" dxfId="5314" priority="568">
      <formula>$A30="Overcrossing"</formula>
    </cfRule>
    <cfRule type="expression" dxfId="5313" priority="569">
      <formula>$A30="Overpass"</formula>
    </cfRule>
    <cfRule type="expression" dxfId="5312" priority="570">
      <formula>$A30="Station"</formula>
    </cfRule>
    <cfRule type="expression" dxfId="5311" priority="571">
      <formula>$A30="Overlap between sections"</formula>
    </cfRule>
  </conditionalFormatting>
  <conditionalFormatting sqref="P30">
    <cfRule type="expression" dxfId="5310" priority="558">
      <formula>$M30="NON DEFINED"</formula>
    </cfRule>
    <cfRule type="expression" dxfId="5309" priority="559">
      <formula>$AZ30="N.D."</formula>
    </cfRule>
    <cfRule type="expression" dxfId="5308" priority="560">
      <formula>$AY30="N.D."</formula>
    </cfRule>
  </conditionalFormatting>
  <conditionalFormatting sqref="P30">
    <cfRule type="expression" dxfId="5307" priority="547">
      <formula>$A30="Overhead Cable"</formula>
    </cfRule>
    <cfRule type="expression" dxfId="5306" priority="548">
      <formula>$A30="Level Crossing"</formula>
    </cfRule>
    <cfRule type="expression" dxfId="5305" priority="549">
      <formula>$A30="Neutral Section"</formula>
    </cfRule>
    <cfRule type="expression" dxfId="5304" priority="550">
      <formula>$A30="Tunnel"</formula>
    </cfRule>
    <cfRule type="expression" dxfId="5303" priority="551">
      <formula>$A30="Bridge"</formula>
    </cfRule>
    <cfRule type="expression" dxfId="5302" priority="552">
      <formula>$A30="Drainage Works"</formula>
    </cfRule>
    <cfRule type="expression" dxfId="5301" priority="553">
      <formula>$A30="Underpass"</formula>
    </cfRule>
    <cfRule type="expression" dxfId="5300" priority="554">
      <formula>$A30="Overcrossing"</formula>
    </cfRule>
    <cfRule type="expression" dxfId="5299" priority="555">
      <formula>$A30="Overpass"</formula>
    </cfRule>
    <cfRule type="expression" dxfId="5298" priority="556">
      <formula>$A30="Station"</formula>
    </cfRule>
    <cfRule type="expression" dxfId="5297" priority="557">
      <formula>$A30="Overlap between sections"</formula>
    </cfRule>
  </conditionalFormatting>
  <conditionalFormatting sqref="Q30">
    <cfRule type="expression" dxfId="5296" priority="544">
      <formula>$M30="NON DEFINED"</formula>
    </cfRule>
    <cfRule type="expression" dxfId="5295" priority="545">
      <formula>$AZ30="N.D."</formula>
    </cfRule>
    <cfRule type="expression" dxfId="5294" priority="546">
      <formula>$AY30="N.D."</formula>
    </cfRule>
  </conditionalFormatting>
  <conditionalFormatting sqref="Q30">
    <cfRule type="expression" dxfId="5293" priority="533">
      <formula>$A30="Overhead Cable"</formula>
    </cfRule>
    <cfRule type="expression" dxfId="5292" priority="534">
      <formula>$A30="Level Crossing"</formula>
    </cfRule>
    <cfRule type="expression" dxfId="5291" priority="535">
      <formula>$A30="Neutral Section"</formula>
    </cfRule>
    <cfRule type="expression" dxfId="5290" priority="536">
      <formula>$A30="Tunnel"</formula>
    </cfRule>
    <cfRule type="expression" dxfId="5289" priority="537">
      <formula>$A30="Bridge"</formula>
    </cfRule>
    <cfRule type="expression" dxfId="5288" priority="538">
      <formula>$A30="Drainage Works"</formula>
    </cfRule>
    <cfRule type="expression" dxfId="5287" priority="539">
      <formula>$A30="Underpass"</formula>
    </cfRule>
    <cfRule type="expression" dxfId="5286" priority="540">
      <formula>$A30="Overcrossing"</formula>
    </cfRule>
    <cfRule type="expression" dxfId="5285" priority="541">
      <formula>$A30="Overpass"</formula>
    </cfRule>
    <cfRule type="expression" dxfId="5284" priority="542">
      <formula>$A30="Station"</formula>
    </cfRule>
    <cfRule type="expression" dxfId="5283" priority="543">
      <formula>$A30="Overlap between sections"</formula>
    </cfRule>
  </conditionalFormatting>
  <conditionalFormatting sqref="U30">
    <cfRule type="expression" dxfId="5282" priority="516">
      <formula>$M30="NON DEFINED"</formula>
    </cfRule>
    <cfRule type="expression" dxfId="5281" priority="517">
      <formula>$AZ30="N.D."</formula>
    </cfRule>
    <cfRule type="expression" dxfId="5280" priority="518">
      <formula>$AY30="N.D."</formula>
    </cfRule>
  </conditionalFormatting>
  <conditionalFormatting sqref="U30">
    <cfRule type="expression" dxfId="5279" priority="505">
      <formula>$A30="Overhead Cable"</formula>
    </cfRule>
    <cfRule type="expression" dxfId="5278" priority="506">
      <formula>$A30="Level Crossing"</formula>
    </cfRule>
    <cfRule type="expression" dxfId="5277" priority="507">
      <formula>$A30="Neutral Section"</formula>
    </cfRule>
    <cfRule type="expression" dxfId="5276" priority="508">
      <formula>$A30="Tunnel"</formula>
    </cfRule>
    <cfRule type="expression" dxfId="5275" priority="509">
      <formula>$A30="Bridge"</formula>
    </cfRule>
    <cfRule type="expression" dxfId="5274" priority="510">
      <formula>$A30="Drainage Works"</formula>
    </cfRule>
    <cfRule type="expression" dxfId="5273" priority="511">
      <formula>$A30="Underpass"</formula>
    </cfRule>
    <cfRule type="expression" dxfId="5272" priority="512">
      <formula>$A30="Overcrossing"</formula>
    </cfRule>
    <cfRule type="expression" dxfId="5271" priority="513">
      <formula>$A30="Overpass"</formula>
    </cfRule>
    <cfRule type="expression" dxfId="5270" priority="514">
      <formula>$A30="Station"</formula>
    </cfRule>
    <cfRule type="expression" dxfId="5269" priority="515">
      <formula>$A30="Overlap between sections"</formula>
    </cfRule>
  </conditionalFormatting>
  <conditionalFormatting sqref="V30">
    <cfRule type="expression" dxfId="5268" priority="502">
      <formula>$M30="NON DEFINED"</formula>
    </cfRule>
    <cfRule type="expression" dxfId="5267" priority="503">
      <formula>$AZ30="N.D."</formula>
    </cfRule>
    <cfRule type="expression" dxfId="5266" priority="504">
      <formula>$AY30="N.D."</formula>
    </cfRule>
  </conditionalFormatting>
  <conditionalFormatting sqref="V30">
    <cfRule type="expression" dxfId="5265" priority="491">
      <formula>$A30="Overhead Cable"</formula>
    </cfRule>
    <cfRule type="expression" dxfId="5264" priority="492">
      <formula>$A30="Level Crossing"</formula>
    </cfRule>
    <cfRule type="expression" dxfId="5263" priority="493">
      <formula>$A30="Neutral Section"</formula>
    </cfRule>
    <cfRule type="expression" dxfId="5262" priority="494">
      <formula>$A30="Tunnel"</formula>
    </cfRule>
    <cfRule type="expression" dxfId="5261" priority="495">
      <formula>$A30="Bridge"</formula>
    </cfRule>
    <cfRule type="expression" dxfId="5260" priority="496">
      <formula>$A30="Drainage Works"</formula>
    </cfRule>
    <cfRule type="expression" dxfId="5259" priority="497">
      <formula>$A30="Underpass"</formula>
    </cfRule>
    <cfRule type="expression" dxfId="5258" priority="498">
      <formula>$A30="Overcrossing"</formula>
    </cfRule>
    <cfRule type="expression" dxfId="5257" priority="499">
      <formula>$A30="Overpass"</formula>
    </cfRule>
    <cfRule type="expression" dxfId="5256" priority="500">
      <formula>$A30="Station"</formula>
    </cfRule>
    <cfRule type="expression" dxfId="5255" priority="501">
      <formula>$A30="Overlap between sections"</formula>
    </cfRule>
  </conditionalFormatting>
  <conditionalFormatting sqref="R30">
    <cfRule type="expression" dxfId="5254" priority="488">
      <formula>$M30="NON DEFINED"</formula>
    </cfRule>
    <cfRule type="expression" dxfId="5253" priority="489">
      <formula>$AZ30="N.D."</formula>
    </cfRule>
    <cfRule type="expression" dxfId="5252" priority="490">
      <formula>$AY30="N.D."</formula>
    </cfRule>
  </conditionalFormatting>
  <conditionalFormatting sqref="R30">
    <cfRule type="expression" dxfId="5251" priority="477">
      <formula>$A30="Overhead Cable"</formula>
    </cfRule>
    <cfRule type="expression" dxfId="5250" priority="478">
      <formula>$A30="Level Crossing"</formula>
    </cfRule>
    <cfRule type="expression" dxfId="5249" priority="479">
      <formula>$A30="Neutral Section"</formula>
    </cfRule>
    <cfRule type="expression" dxfId="5248" priority="480">
      <formula>$A30="Tunnel"</formula>
    </cfRule>
    <cfRule type="expression" dxfId="5247" priority="481">
      <formula>$A30="Bridge"</formula>
    </cfRule>
    <cfRule type="expression" dxfId="5246" priority="482">
      <formula>$A30="Drainage Works"</formula>
    </cfRule>
    <cfRule type="expression" dxfId="5245" priority="483">
      <formula>$A30="Underpass"</formula>
    </cfRule>
    <cfRule type="expression" dxfId="5244" priority="484">
      <formula>$A30="Overcrossing"</formula>
    </cfRule>
    <cfRule type="expression" dxfId="5243" priority="485">
      <formula>$A30="Overpass"</formula>
    </cfRule>
    <cfRule type="expression" dxfId="5242" priority="486">
      <formula>$A30="Station"</formula>
    </cfRule>
    <cfRule type="expression" dxfId="5241" priority="487">
      <formula>$A30="Overlap between sections"</formula>
    </cfRule>
  </conditionalFormatting>
  <conditionalFormatting sqref="S30">
    <cfRule type="expression" dxfId="5240" priority="474">
      <formula>$M30="NON DEFINED"</formula>
    </cfRule>
    <cfRule type="expression" dxfId="5239" priority="475">
      <formula>$AZ30="N.D."</formula>
    </cfRule>
    <cfRule type="expression" dxfId="5238" priority="476">
      <formula>$AY30="N.D."</formula>
    </cfRule>
  </conditionalFormatting>
  <conditionalFormatting sqref="S30">
    <cfRule type="expression" dxfId="5237" priority="463">
      <formula>$A30="Overhead Cable"</formula>
    </cfRule>
    <cfRule type="expression" dxfId="5236" priority="464">
      <formula>$A30="Level Crossing"</formula>
    </cfRule>
    <cfRule type="expression" dxfId="5235" priority="465">
      <formula>$A30="Neutral Section"</formula>
    </cfRule>
    <cfRule type="expression" dxfId="5234" priority="466">
      <formula>$A30="Tunnel"</formula>
    </cfRule>
    <cfRule type="expression" dxfId="5233" priority="467">
      <formula>$A30="Bridge"</formula>
    </cfRule>
    <cfRule type="expression" dxfId="5232" priority="468">
      <formula>$A30="Drainage Works"</formula>
    </cfRule>
    <cfRule type="expression" dxfId="5231" priority="469">
      <formula>$A30="Underpass"</formula>
    </cfRule>
    <cfRule type="expression" dxfId="5230" priority="470">
      <formula>$A30="Overcrossing"</formula>
    </cfRule>
    <cfRule type="expression" dxfId="5229" priority="471">
      <formula>$A30="Overpass"</formula>
    </cfRule>
    <cfRule type="expression" dxfId="5228" priority="472">
      <formula>$A30="Station"</formula>
    </cfRule>
    <cfRule type="expression" dxfId="5227" priority="473">
      <formula>$A30="Overlap between sections"</formula>
    </cfRule>
  </conditionalFormatting>
  <conditionalFormatting sqref="W30">
    <cfRule type="expression" dxfId="5226" priority="460">
      <formula>$M30="NON DEFINED"</formula>
    </cfRule>
    <cfRule type="expression" dxfId="5225" priority="461">
      <formula>$AZ30="N.D."</formula>
    </cfRule>
    <cfRule type="expression" dxfId="5224" priority="462">
      <formula>$AY30="N.D."</formula>
    </cfRule>
  </conditionalFormatting>
  <conditionalFormatting sqref="W30">
    <cfRule type="expression" dxfId="5223" priority="449">
      <formula>$A30="Overhead Cable"</formula>
    </cfRule>
    <cfRule type="expression" dxfId="5222" priority="450">
      <formula>$A30="Level Crossing"</formula>
    </cfRule>
    <cfRule type="expression" dxfId="5221" priority="451">
      <formula>$A30="Neutral Section"</formula>
    </cfRule>
    <cfRule type="expression" dxfId="5220" priority="452">
      <formula>$A30="Tunnel"</formula>
    </cfRule>
    <cfRule type="expression" dxfId="5219" priority="453">
      <formula>$A30="Bridge"</formula>
    </cfRule>
    <cfRule type="expression" dxfId="5218" priority="454">
      <formula>$A30="Drainage Works"</formula>
    </cfRule>
    <cfRule type="expression" dxfId="5217" priority="455">
      <formula>$A30="Underpass"</formula>
    </cfRule>
    <cfRule type="expression" dxfId="5216" priority="456">
      <formula>$A30="Overcrossing"</formula>
    </cfRule>
    <cfRule type="expression" dxfId="5215" priority="457">
      <formula>$A30="Overpass"</formula>
    </cfRule>
    <cfRule type="expression" dxfId="5214" priority="458">
      <formula>$A30="Station"</formula>
    </cfRule>
    <cfRule type="expression" dxfId="5213" priority="459">
      <formula>$A30="Overlap between sections"</formula>
    </cfRule>
  </conditionalFormatting>
  <conditionalFormatting sqref="T42">
    <cfRule type="expression" dxfId="5212" priority="446">
      <formula>$M42="NON DEFINED"</formula>
    </cfRule>
    <cfRule type="expression" dxfId="5211" priority="447">
      <formula>$AZ42="N.D."</formula>
    </cfRule>
    <cfRule type="expression" dxfId="5210" priority="448">
      <formula>$AY42="N.D."</formula>
    </cfRule>
  </conditionalFormatting>
  <conditionalFormatting sqref="T42">
    <cfRule type="expression" dxfId="5209" priority="435">
      <formula>$A42="Overhead Cable"</formula>
    </cfRule>
    <cfRule type="expression" dxfId="5208" priority="436">
      <formula>$A42="Level Crossing"</formula>
    </cfRule>
    <cfRule type="expression" dxfId="5207" priority="437">
      <formula>$A42="Neutral Section"</formula>
    </cfRule>
    <cfRule type="expression" dxfId="5206" priority="438">
      <formula>$A42="Tunnel"</formula>
    </cfRule>
    <cfRule type="expression" dxfId="5205" priority="439">
      <formula>$A42="Bridge"</formula>
    </cfRule>
    <cfRule type="expression" dxfId="5204" priority="440">
      <formula>$A42="Drainage Works"</formula>
    </cfRule>
    <cfRule type="expression" dxfId="5203" priority="441">
      <formula>$A42="Underpass"</formula>
    </cfRule>
    <cfRule type="expression" dxfId="5202" priority="442">
      <formula>$A42="Overcrossing"</formula>
    </cfRule>
    <cfRule type="expression" dxfId="5201" priority="443">
      <formula>$A42="Overpass"</formula>
    </cfRule>
    <cfRule type="expression" dxfId="5200" priority="444">
      <formula>$A42="Station"</formula>
    </cfRule>
    <cfRule type="expression" dxfId="5199" priority="445">
      <formula>$A42="Overlap between sections"</formula>
    </cfRule>
  </conditionalFormatting>
  <conditionalFormatting sqref="U42">
    <cfRule type="expression" dxfId="5198" priority="432">
      <formula>$M42="NON DEFINED"</formula>
    </cfRule>
    <cfRule type="expression" dxfId="5197" priority="433">
      <formula>$AZ42="N.D."</formula>
    </cfRule>
    <cfRule type="expression" dxfId="5196" priority="434">
      <formula>$AY42="N.D."</formula>
    </cfRule>
  </conditionalFormatting>
  <conditionalFormatting sqref="U42">
    <cfRule type="expression" dxfId="5195" priority="421">
      <formula>$A42="Overhead Cable"</formula>
    </cfRule>
    <cfRule type="expression" dxfId="5194" priority="422">
      <formula>$A42="Level Crossing"</formula>
    </cfRule>
    <cfRule type="expression" dxfId="5193" priority="423">
      <formula>$A42="Neutral Section"</formula>
    </cfRule>
    <cfRule type="expression" dxfId="5192" priority="424">
      <formula>$A42="Tunnel"</formula>
    </cfRule>
    <cfRule type="expression" dxfId="5191" priority="425">
      <formula>$A42="Bridge"</formula>
    </cfRule>
    <cfRule type="expression" dxfId="5190" priority="426">
      <formula>$A42="Drainage Works"</formula>
    </cfRule>
    <cfRule type="expression" dxfId="5189" priority="427">
      <formula>$A42="Underpass"</formula>
    </cfRule>
    <cfRule type="expression" dxfId="5188" priority="428">
      <formula>$A42="Overcrossing"</formula>
    </cfRule>
    <cfRule type="expression" dxfId="5187" priority="429">
      <formula>$A42="Overpass"</formula>
    </cfRule>
    <cfRule type="expression" dxfId="5186" priority="430">
      <formula>$A42="Station"</formula>
    </cfRule>
    <cfRule type="expression" dxfId="5185" priority="431">
      <formula>$A42="Overlap between sections"</formula>
    </cfRule>
  </conditionalFormatting>
  <conditionalFormatting sqref="T44">
    <cfRule type="expression" dxfId="5184" priority="418">
      <formula>$M44="NON DEFINED"</formula>
    </cfRule>
    <cfRule type="expression" dxfId="5183" priority="419">
      <formula>$AZ44="N.D."</formula>
    </cfRule>
    <cfRule type="expression" dxfId="5182" priority="420">
      <formula>$AY44="N.D."</formula>
    </cfRule>
  </conditionalFormatting>
  <conditionalFormatting sqref="T44">
    <cfRule type="expression" dxfId="5181" priority="407">
      <formula>$A44="Overhead Cable"</formula>
    </cfRule>
    <cfRule type="expression" dxfId="5180" priority="408">
      <formula>$A44="Level Crossing"</formula>
    </cfRule>
    <cfRule type="expression" dxfId="5179" priority="409">
      <formula>$A44="Neutral Section"</formula>
    </cfRule>
    <cfRule type="expression" dxfId="5178" priority="410">
      <formula>$A44="Tunnel"</formula>
    </cfRule>
    <cfRule type="expression" dxfId="5177" priority="411">
      <formula>$A44="Bridge"</formula>
    </cfRule>
    <cfRule type="expression" dxfId="5176" priority="412">
      <formula>$A44="Drainage Works"</formula>
    </cfRule>
    <cfRule type="expression" dxfId="5175" priority="413">
      <formula>$A44="Underpass"</formula>
    </cfRule>
    <cfRule type="expression" dxfId="5174" priority="414">
      <formula>$A44="Overcrossing"</formula>
    </cfRule>
    <cfRule type="expression" dxfId="5173" priority="415">
      <formula>$A44="Overpass"</formula>
    </cfRule>
    <cfRule type="expression" dxfId="5172" priority="416">
      <formula>$A44="Station"</formula>
    </cfRule>
    <cfRule type="expression" dxfId="5171" priority="417">
      <formula>$A44="Overlap between sections"</formula>
    </cfRule>
  </conditionalFormatting>
  <conditionalFormatting sqref="U44">
    <cfRule type="expression" dxfId="5170" priority="404">
      <formula>$M44="NON DEFINED"</formula>
    </cfRule>
    <cfRule type="expression" dxfId="5169" priority="405">
      <formula>$AZ44="N.D."</formula>
    </cfRule>
    <cfRule type="expression" dxfId="5168" priority="406">
      <formula>$AY44="N.D."</formula>
    </cfRule>
  </conditionalFormatting>
  <conditionalFormatting sqref="U44">
    <cfRule type="expression" dxfId="5167" priority="393">
      <formula>$A44="Overhead Cable"</formula>
    </cfRule>
    <cfRule type="expression" dxfId="5166" priority="394">
      <formula>$A44="Level Crossing"</formula>
    </cfRule>
    <cfRule type="expression" dxfId="5165" priority="395">
      <formula>$A44="Neutral Section"</formula>
    </cfRule>
    <cfRule type="expression" dxfId="5164" priority="396">
      <formula>$A44="Tunnel"</formula>
    </cfRule>
    <cfRule type="expression" dxfId="5163" priority="397">
      <formula>$A44="Bridge"</formula>
    </cfRule>
    <cfRule type="expression" dxfId="5162" priority="398">
      <formula>$A44="Drainage Works"</formula>
    </cfRule>
    <cfRule type="expression" dxfId="5161" priority="399">
      <formula>$A44="Underpass"</formula>
    </cfRule>
    <cfRule type="expression" dxfId="5160" priority="400">
      <formula>$A44="Overcrossing"</formula>
    </cfRule>
    <cfRule type="expression" dxfId="5159" priority="401">
      <formula>$A44="Overpass"</formula>
    </cfRule>
    <cfRule type="expression" dxfId="5158" priority="402">
      <formula>$A44="Station"</formula>
    </cfRule>
    <cfRule type="expression" dxfId="5157" priority="403">
      <formula>$A44="Overlap between sections"</formula>
    </cfRule>
  </conditionalFormatting>
  <conditionalFormatting sqref="N42">
    <cfRule type="expression" dxfId="5156" priority="390">
      <formula>$M42="NON DEFINED"</formula>
    </cfRule>
    <cfRule type="expression" dxfId="5155" priority="391">
      <formula>$AZ42="N.D."</formula>
    </cfRule>
    <cfRule type="expression" dxfId="5154" priority="392">
      <formula>$AY42="N.D."</formula>
    </cfRule>
  </conditionalFormatting>
  <conditionalFormatting sqref="N42">
    <cfRule type="expression" dxfId="5153" priority="379">
      <formula>$A42="Overhead Cable"</formula>
    </cfRule>
    <cfRule type="expression" dxfId="5152" priority="380">
      <formula>$A42="Level Crossing"</formula>
    </cfRule>
    <cfRule type="expression" dxfId="5151" priority="381">
      <formula>$A42="Neutral Section"</formula>
    </cfRule>
    <cfRule type="expression" dxfId="5150" priority="382">
      <formula>$A42="Tunnel"</formula>
    </cfRule>
    <cfRule type="expression" dxfId="5149" priority="383">
      <formula>$A42="Bridge"</formula>
    </cfRule>
    <cfRule type="expression" dxfId="5148" priority="384">
      <formula>$A42="Drainage Works"</formula>
    </cfRule>
    <cfRule type="expression" dxfId="5147" priority="385">
      <formula>$A42="Underpass"</formula>
    </cfRule>
    <cfRule type="expression" dxfId="5146" priority="386">
      <formula>$A42="Overcrossing"</formula>
    </cfRule>
    <cfRule type="expression" dxfId="5145" priority="387">
      <formula>$A42="Overpass"</formula>
    </cfRule>
    <cfRule type="expression" dxfId="5144" priority="388">
      <formula>$A42="Station"</formula>
    </cfRule>
    <cfRule type="expression" dxfId="5143" priority="389">
      <formula>$A42="Overlap between sections"</formula>
    </cfRule>
  </conditionalFormatting>
  <conditionalFormatting sqref="O42">
    <cfRule type="expression" dxfId="5142" priority="376">
      <formula>$M42="NON DEFINED"</formula>
    </cfRule>
    <cfRule type="expression" dxfId="5141" priority="377">
      <formula>$AZ42="N.D."</formula>
    </cfRule>
    <cfRule type="expression" dxfId="5140" priority="378">
      <formula>$AY42="N.D."</formula>
    </cfRule>
  </conditionalFormatting>
  <conditionalFormatting sqref="O42">
    <cfRule type="expression" dxfId="5139" priority="365">
      <formula>$A42="Overhead Cable"</formula>
    </cfRule>
    <cfRule type="expression" dxfId="5138" priority="366">
      <formula>$A42="Level Crossing"</formula>
    </cfRule>
    <cfRule type="expression" dxfId="5137" priority="367">
      <formula>$A42="Neutral Section"</formula>
    </cfRule>
    <cfRule type="expression" dxfId="5136" priority="368">
      <formula>$A42="Tunnel"</formula>
    </cfRule>
    <cfRule type="expression" dxfId="5135" priority="369">
      <formula>$A42="Bridge"</formula>
    </cfRule>
    <cfRule type="expression" dxfId="5134" priority="370">
      <formula>$A42="Drainage Works"</formula>
    </cfRule>
    <cfRule type="expression" dxfId="5133" priority="371">
      <formula>$A42="Underpass"</formula>
    </cfRule>
    <cfRule type="expression" dxfId="5132" priority="372">
      <formula>$A42="Overcrossing"</formula>
    </cfRule>
    <cfRule type="expression" dxfId="5131" priority="373">
      <formula>$A42="Overpass"</formula>
    </cfRule>
    <cfRule type="expression" dxfId="5130" priority="374">
      <formula>$A42="Station"</formula>
    </cfRule>
    <cfRule type="expression" dxfId="5129" priority="375">
      <formula>$A42="Overlap between sections"</formula>
    </cfRule>
  </conditionalFormatting>
  <conditionalFormatting sqref="N44">
    <cfRule type="expression" dxfId="5128" priority="362">
      <formula>$M44="NON DEFINED"</formula>
    </cfRule>
    <cfRule type="expression" dxfId="5127" priority="363">
      <formula>$AZ44="N.D."</formula>
    </cfRule>
    <cfRule type="expression" dxfId="5126" priority="364">
      <formula>$AY44="N.D."</formula>
    </cfRule>
  </conditionalFormatting>
  <conditionalFormatting sqref="N44">
    <cfRule type="expression" dxfId="5125" priority="351">
      <formula>$A44="Overhead Cable"</formula>
    </cfRule>
    <cfRule type="expression" dxfId="5124" priority="352">
      <formula>$A44="Level Crossing"</formula>
    </cfRule>
    <cfRule type="expression" dxfId="5123" priority="353">
      <formula>$A44="Neutral Section"</formula>
    </cfRule>
    <cfRule type="expression" dxfId="5122" priority="354">
      <formula>$A44="Tunnel"</formula>
    </cfRule>
    <cfRule type="expression" dxfId="5121" priority="355">
      <formula>$A44="Bridge"</formula>
    </cfRule>
    <cfRule type="expression" dxfId="5120" priority="356">
      <formula>$A44="Drainage Works"</formula>
    </cfRule>
    <cfRule type="expression" dxfId="5119" priority="357">
      <formula>$A44="Underpass"</formula>
    </cfRule>
    <cfRule type="expression" dxfId="5118" priority="358">
      <formula>$A44="Overcrossing"</formula>
    </cfRule>
    <cfRule type="expression" dxfId="5117" priority="359">
      <formula>$A44="Overpass"</formula>
    </cfRule>
    <cfRule type="expression" dxfId="5116" priority="360">
      <formula>$A44="Station"</formula>
    </cfRule>
    <cfRule type="expression" dxfId="5115" priority="361">
      <formula>$A44="Overlap between sections"</formula>
    </cfRule>
  </conditionalFormatting>
  <conditionalFormatting sqref="O44">
    <cfRule type="expression" dxfId="5114" priority="348">
      <formula>$M44="NON DEFINED"</formula>
    </cfRule>
    <cfRule type="expression" dxfId="5113" priority="349">
      <formula>$AZ44="N.D."</formula>
    </cfRule>
    <cfRule type="expression" dxfId="5112" priority="350">
      <formula>$AY44="N.D."</formula>
    </cfRule>
  </conditionalFormatting>
  <conditionalFormatting sqref="O44">
    <cfRule type="expression" dxfId="5111" priority="337">
      <formula>$A44="Overhead Cable"</formula>
    </cfRule>
    <cfRule type="expression" dxfId="5110" priority="338">
      <formula>$A44="Level Crossing"</formula>
    </cfRule>
    <cfRule type="expression" dxfId="5109" priority="339">
      <formula>$A44="Neutral Section"</formula>
    </cfRule>
    <cfRule type="expression" dxfId="5108" priority="340">
      <formula>$A44="Tunnel"</formula>
    </cfRule>
    <cfRule type="expression" dxfId="5107" priority="341">
      <formula>$A44="Bridge"</formula>
    </cfRule>
    <cfRule type="expression" dxfId="5106" priority="342">
      <formula>$A44="Drainage Works"</formula>
    </cfRule>
    <cfRule type="expression" dxfId="5105" priority="343">
      <formula>$A44="Underpass"</formula>
    </cfRule>
    <cfRule type="expression" dxfId="5104" priority="344">
      <formula>$A44="Overcrossing"</formula>
    </cfRule>
    <cfRule type="expression" dxfId="5103" priority="345">
      <formula>$A44="Overpass"</formula>
    </cfRule>
    <cfRule type="expression" dxfId="5102" priority="346">
      <formula>$A44="Station"</formula>
    </cfRule>
    <cfRule type="expression" dxfId="5101" priority="347">
      <formula>$A44="Overlap between sections"</formula>
    </cfRule>
  </conditionalFormatting>
  <conditionalFormatting sqref="W42">
    <cfRule type="expression" dxfId="5100" priority="334">
      <formula>$M42="NON DEFINED"</formula>
    </cfRule>
    <cfRule type="expression" dxfId="5099" priority="335">
      <formula>$AZ42="N.D."</formula>
    </cfRule>
    <cfRule type="expression" dxfId="5098" priority="336">
      <formula>$AY42="N.D."</formula>
    </cfRule>
  </conditionalFormatting>
  <conditionalFormatting sqref="W42">
    <cfRule type="expression" dxfId="5097" priority="323">
      <formula>$A42="Overhead Cable"</formula>
    </cfRule>
    <cfRule type="expression" dxfId="5096" priority="324">
      <formula>$A42="Level Crossing"</formula>
    </cfRule>
    <cfRule type="expression" dxfId="5095" priority="325">
      <formula>$A42="Neutral Section"</formula>
    </cfRule>
    <cfRule type="expression" dxfId="5094" priority="326">
      <formula>$A42="Tunnel"</formula>
    </cfRule>
    <cfRule type="expression" dxfId="5093" priority="327">
      <formula>$A42="Bridge"</formula>
    </cfRule>
    <cfRule type="expression" dxfId="5092" priority="328">
      <formula>$A42="Drainage Works"</formula>
    </cfRule>
    <cfRule type="expression" dxfId="5091" priority="329">
      <formula>$A42="Underpass"</formula>
    </cfRule>
    <cfRule type="expression" dxfId="5090" priority="330">
      <formula>$A42="Overcrossing"</formula>
    </cfRule>
    <cfRule type="expression" dxfId="5089" priority="331">
      <formula>$A42="Overpass"</formula>
    </cfRule>
    <cfRule type="expression" dxfId="5088" priority="332">
      <formula>$A42="Station"</formula>
    </cfRule>
    <cfRule type="expression" dxfId="5087" priority="333">
      <formula>$A42="Overlap between sections"</formula>
    </cfRule>
  </conditionalFormatting>
  <conditionalFormatting sqref="X42">
    <cfRule type="expression" dxfId="5086" priority="320">
      <formula>$M42="NON DEFINED"</formula>
    </cfRule>
    <cfRule type="expression" dxfId="5085" priority="321">
      <formula>$AZ42="N.D."</formula>
    </cfRule>
    <cfRule type="expression" dxfId="5084" priority="322">
      <formula>$AY42="N.D."</formula>
    </cfRule>
  </conditionalFormatting>
  <conditionalFormatting sqref="X42">
    <cfRule type="expression" dxfId="5083" priority="309">
      <formula>$A42="Overhead Cable"</formula>
    </cfRule>
    <cfRule type="expression" dxfId="5082" priority="310">
      <formula>$A42="Level Crossing"</formula>
    </cfRule>
    <cfRule type="expression" dxfId="5081" priority="311">
      <formula>$A42="Neutral Section"</formula>
    </cfRule>
    <cfRule type="expression" dxfId="5080" priority="312">
      <formula>$A42="Tunnel"</formula>
    </cfRule>
    <cfRule type="expression" dxfId="5079" priority="313">
      <formula>$A42="Bridge"</formula>
    </cfRule>
    <cfRule type="expression" dxfId="5078" priority="314">
      <formula>$A42="Drainage Works"</formula>
    </cfRule>
    <cfRule type="expression" dxfId="5077" priority="315">
      <formula>$A42="Underpass"</formula>
    </cfRule>
    <cfRule type="expression" dxfId="5076" priority="316">
      <formula>$A42="Overcrossing"</formula>
    </cfRule>
    <cfRule type="expression" dxfId="5075" priority="317">
      <formula>$A42="Overpass"</formula>
    </cfRule>
    <cfRule type="expression" dxfId="5074" priority="318">
      <formula>$A42="Station"</formula>
    </cfRule>
    <cfRule type="expression" dxfId="5073" priority="319">
      <formula>$A42="Overlap between sections"</formula>
    </cfRule>
  </conditionalFormatting>
  <conditionalFormatting sqref="W44">
    <cfRule type="expression" dxfId="5072" priority="306">
      <formula>$M44="NON DEFINED"</formula>
    </cfRule>
    <cfRule type="expression" dxfId="5071" priority="307">
      <formula>$AZ44="N.D."</formula>
    </cfRule>
    <cfRule type="expression" dxfId="5070" priority="308">
      <formula>$AY44="N.D."</formula>
    </cfRule>
  </conditionalFormatting>
  <conditionalFormatting sqref="W44">
    <cfRule type="expression" dxfId="5069" priority="295">
      <formula>$A44="Overhead Cable"</formula>
    </cfRule>
    <cfRule type="expression" dxfId="5068" priority="296">
      <formula>$A44="Level Crossing"</formula>
    </cfRule>
    <cfRule type="expression" dxfId="5067" priority="297">
      <formula>$A44="Neutral Section"</formula>
    </cfRule>
    <cfRule type="expression" dxfId="5066" priority="298">
      <formula>$A44="Tunnel"</formula>
    </cfRule>
    <cfRule type="expression" dxfId="5065" priority="299">
      <formula>$A44="Bridge"</formula>
    </cfRule>
    <cfRule type="expression" dxfId="5064" priority="300">
      <formula>$A44="Drainage Works"</formula>
    </cfRule>
    <cfRule type="expression" dxfId="5063" priority="301">
      <formula>$A44="Underpass"</formula>
    </cfRule>
    <cfRule type="expression" dxfId="5062" priority="302">
      <formula>$A44="Overcrossing"</formula>
    </cfRule>
    <cfRule type="expression" dxfId="5061" priority="303">
      <formula>$A44="Overpass"</formula>
    </cfRule>
    <cfRule type="expression" dxfId="5060" priority="304">
      <formula>$A44="Station"</formula>
    </cfRule>
    <cfRule type="expression" dxfId="5059" priority="305">
      <formula>$A44="Overlap between sections"</formula>
    </cfRule>
  </conditionalFormatting>
  <conditionalFormatting sqref="X44">
    <cfRule type="expression" dxfId="5058" priority="292">
      <formula>$M44="NON DEFINED"</formula>
    </cfRule>
    <cfRule type="expression" dxfId="5057" priority="293">
      <formula>$AZ44="N.D."</formula>
    </cfRule>
    <cfRule type="expression" dxfId="5056" priority="294">
      <formula>$AY44="N.D."</formula>
    </cfRule>
  </conditionalFormatting>
  <conditionalFormatting sqref="X44">
    <cfRule type="expression" dxfId="5055" priority="281">
      <formula>$A44="Overhead Cable"</formula>
    </cfRule>
    <cfRule type="expression" dxfId="5054" priority="282">
      <formula>$A44="Level Crossing"</formula>
    </cfRule>
    <cfRule type="expression" dxfId="5053" priority="283">
      <formula>$A44="Neutral Section"</formula>
    </cfRule>
    <cfRule type="expression" dxfId="5052" priority="284">
      <formula>$A44="Tunnel"</formula>
    </cfRule>
    <cfRule type="expression" dxfId="5051" priority="285">
      <formula>$A44="Bridge"</formula>
    </cfRule>
    <cfRule type="expression" dxfId="5050" priority="286">
      <formula>$A44="Drainage Works"</formula>
    </cfRule>
    <cfRule type="expression" dxfId="5049" priority="287">
      <formula>$A44="Underpass"</formula>
    </cfRule>
    <cfRule type="expression" dxfId="5048" priority="288">
      <formula>$A44="Overcrossing"</formula>
    </cfRule>
    <cfRule type="expression" dxfId="5047" priority="289">
      <formula>$A44="Overpass"</formula>
    </cfRule>
    <cfRule type="expression" dxfId="5046" priority="290">
      <formula>$A44="Station"</formula>
    </cfRule>
    <cfRule type="expression" dxfId="5045" priority="291">
      <formula>$A44="Overlap between sections"</formula>
    </cfRule>
  </conditionalFormatting>
  <conditionalFormatting sqref="AD42">
    <cfRule type="expression" dxfId="5044" priority="278">
      <formula>$M42="NON DEFINED"</formula>
    </cfRule>
    <cfRule type="expression" dxfId="5043" priority="279">
      <formula>$AZ42="N.D."</formula>
    </cfRule>
    <cfRule type="expression" dxfId="5042" priority="280">
      <formula>$AY42="N.D."</formula>
    </cfRule>
  </conditionalFormatting>
  <conditionalFormatting sqref="AD42">
    <cfRule type="expression" dxfId="5041" priority="267">
      <formula>$A42="Overhead Cable"</formula>
    </cfRule>
    <cfRule type="expression" dxfId="5040" priority="268">
      <formula>$A42="Level Crossing"</formula>
    </cfRule>
    <cfRule type="expression" dxfId="5039" priority="269">
      <formula>$A42="Neutral Section"</formula>
    </cfRule>
    <cfRule type="expression" dxfId="5038" priority="270">
      <formula>$A42="Tunnel"</formula>
    </cfRule>
    <cfRule type="expression" dxfId="5037" priority="271">
      <formula>$A42="Bridge"</formula>
    </cfRule>
    <cfRule type="expression" dxfId="5036" priority="272">
      <formula>$A42="Drainage Works"</formula>
    </cfRule>
    <cfRule type="expression" dxfId="5035" priority="273">
      <formula>$A42="Underpass"</formula>
    </cfRule>
    <cfRule type="expression" dxfId="5034" priority="274">
      <formula>$A42="Overcrossing"</formula>
    </cfRule>
    <cfRule type="expression" dxfId="5033" priority="275">
      <formula>$A42="Overpass"</formula>
    </cfRule>
    <cfRule type="expression" dxfId="5032" priority="276">
      <formula>$A42="Station"</formula>
    </cfRule>
    <cfRule type="expression" dxfId="5031" priority="277">
      <formula>$A42="Overlap between sections"</formula>
    </cfRule>
  </conditionalFormatting>
  <conditionalFormatting sqref="AD44">
    <cfRule type="expression" dxfId="5030" priority="264">
      <formula>$M44="NON DEFINED"</formula>
    </cfRule>
    <cfRule type="expression" dxfId="5029" priority="265">
      <formula>$AZ44="N.D."</formula>
    </cfRule>
    <cfRule type="expression" dxfId="5028" priority="266">
      <formula>$AY44="N.D."</formula>
    </cfRule>
  </conditionalFormatting>
  <conditionalFormatting sqref="AD44">
    <cfRule type="expression" dxfId="5027" priority="253">
      <formula>$A44="Overhead Cable"</formula>
    </cfRule>
    <cfRule type="expression" dxfId="5026" priority="254">
      <formula>$A44="Level Crossing"</formula>
    </cfRule>
    <cfRule type="expression" dxfId="5025" priority="255">
      <formula>$A44="Neutral Section"</formula>
    </cfRule>
    <cfRule type="expression" dxfId="5024" priority="256">
      <formula>$A44="Tunnel"</formula>
    </cfRule>
    <cfRule type="expression" dxfId="5023" priority="257">
      <formula>$A44="Bridge"</formula>
    </cfRule>
    <cfRule type="expression" dxfId="5022" priority="258">
      <formula>$A44="Drainage Works"</formula>
    </cfRule>
    <cfRule type="expression" dxfId="5021" priority="259">
      <formula>$A44="Underpass"</formula>
    </cfRule>
    <cfRule type="expression" dxfId="5020" priority="260">
      <formula>$A44="Overcrossing"</formula>
    </cfRule>
    <cfRule type="expression" dxfId="5019" priority="261">
      <formula>$A44="Overpass"</formula>
    </cfRule>
    <cfRule type="expression" dxfId="5018" priority="262">
      <formula>$A44="Station"</formula>
    </cfRule>
    <cfRule type="expression" dxfId="5017" priority="263">
      <formula>$A44="Overlap between sections"</formula>
    </cfRule>
  </conditionalFormatting>
  <conditionalFormatting sqref="AD40">
    <cfRule type="expression" dxfId="5016" priority="250">
      <formula>$M40="NON DEFINED"</formula>
    </cfRule>
    <cfRule type="expression" dxfId="5015" priority="251">
      <formula>$AZ40="N.D."</formula>
    </cfRule>
    <cfRule type="expression" dxfId="5014" priority="252">
      <formula>$AY40="N.D."</formula>
    </cfRule>
  </conditionalFormatting>
  <conditionalFormatting sqref="AD40">
    <cfRule type="expression" dxfId="5013" priority="239">
      <formula>$A40="Overhead Cable"</formula>
    </cfRule>
    <cfRule type="expression" dxfId="5012" priority="240">
      <formula>$A40="Level Crossing"</formula>
    </cfRule>
    <cfRule type="expression" dxfId="5011" priority="241">
      <formula>$A40="Neutral Section"</formula>
    </cfRule>
    <cfRule type="expression" dxfId="5010" priority="242">
      <formula>$A40="Tunnel"</formula>
    </cfRule>
    <cfRule type="expression" dxfId="5009" priority="243">
      <formula>$A40="Bridge"</formula>
    </cfRule>
    <cfRule type="expression" dxfId="5008" priority="244">
      <formula>$A40="Drainage Works"</formula>
    </cfRule>
    <cfRule type="expression" dxfId="5007" priority="245">
      <formula>$A40="Underpass"</formula>
    </cfRule>
    <cfRule type="expression" dxfId="5006" priority="246">
      <formula>$A40="Overcrossing"</formula>
    </cfRule>
    <cfRule type="expression" dxfId="5005" priority="247">
      <formula>$A40="Overpass"</formula>
    </cfRule>
    <cfRule type="expression" dxfId="5004" priority="248">
      <formula>$A40="Station"</formula>
    </cfRule>
    <cfRule type="expression" dxfId="5003" priority="249">
      <formula>$A40="Overlap between sections"</formula>
    </cfRule>
  </conditionalFormatting>
  <conditionalFormatting sqref="AC47">
    <cfRule type="expression" dxfId="5002" priority="236">
      <formula>$M47="NON DEFINED"</formula>
    </cfRule>
    <cfRule type="expression" dxfId="5001" priority="237">
      <formula>$AZ47="N.D."</formula>
    </cfRule>
    <cfRule type="expression" dxfId="5000" priority="238">
      <formula>$AY47="N.D."</formula>
    </cfRule>
  </conditionalFormatting>
  <conditionalFormatting sqref="AC47">
    <cfRule type="expression" dxfId="4999" priority="225">
      <formula>$A47="Overhead Cable"</formula>
    </cfRule>
    <cfRule type="expression" dxfId="4998" priority="226">
      <formula>$A47="Level Crossing"</formula>
    </cfRule>
    <cfRule type="expression" dxfId="4997" priority="227">
      <formula>$A47="Neutral Section"</formula>
    </cfRule>
    <cfRule type="expression" dxfId="4996" priority="228">
      <formula>$A47="Tunnel"</formula>
    </cfRule>
    <cfRule type="expression" dxfId="4995" priority="229">
      <formula>$A47="Bridge"</formula>
    </cfRule>
    <cfRule type="expression" dxfId="4994" priority="230">
      <formula>$A47="Drainage Works"</formula>
    </cfRule>
    <cfRule type="expression" dxfId="4993" priority="231">
      <formula>$A47="Underpass"</formula>
    </cfRule>
    <cfRule type="expression" dxfId="4992" priority="232">
      <formula>$A47="Overcrossing"</formula>
    </cfRule>
    <cfRule type="expression" dxfId="4991" priority="233">
      <formula>$A47="Overpass"</formula>
    </cfRule>
    <cfRule type="expression" dxfId="4990" priority="234">
      <formula>$A47="Station"</formula>
    </cfRule>
    <cfRule type="expression" dxfId="4989" priority="235">
      <formula>$A47="Overlap between sections"</formula>
    </cfRule>
  </conditionalFormatting>
  <conditionalFormatting sqref="AC46">
    <cfRule type="expression" dxfId="4988" priority="222">
      <formula>$M46="NON DEFINED"</formula>
    </cfRule>
    <cfRule type="expression" dxfId="4987" priority="223">
      <formula>$AZ46="N.D."</formula>
    </cfRule>
    <cfRule type="expression" dxfId="4986" priority="224">
      <formula>$AY46="N.D."</formula>
    </cfRule>
  </conditionalFormatting>
  <conditionalFormatting sqref="AC46">
    <cfRule type="expression" dxfId="4985" priority="211">
      <formula>$A46="Overhead Cable"</formula>
    </cfRule>
    <cfRule type="expression" dxfId="4984" priority="212">
      <formula>$A46="Level Crossing"</formula>
    </cfRule>
    <cfRule type="expression" dxfId="4983" priority="213">
      <formula>$A46="Neutral Section"</formula>
    </cfRule>
    <cfRule type="expression" dxfId="4982" priority="214">
      <formula>$A46="Tunnel"</formula>
    </cfRule>
    <cfRule type="expression" dxfId="4981" priority="215">
      <formula>$A46="Bridge"</formula>
    </cfRule>
    <cfRule type="expression" dxfId="4980" priority="216">
      <formula>$A46="Drainage Works"</formula>
    </cfRule>
    <cfRule type="expression" dxfId="4979" priority="217">
      <formula>$A46="Underpass"</formula>
    </cfRule>
    <cfRule type="expression" dxfId="4978" priority="218">
      <formula>$A46="Overcrossing"</formula>
    </cfRule>
    <cfRule type="expression" dxfId="4977" priority="219">
      <formula>$A46="Overpass"</formula>
    </cfRule>
    <cfRule type="expression" dxfId="4976" priority="220">
      <formula>$A46="Station"</formula>
    </cfRule>
    <cfRule type="expression" dxfId="4975" priority="221">
      <formula>$A46="Overlap between sections"</formula>
    </cfRule>
  </conditionalFormatting>
  <conditionalFormatting sqref="N22">
    <cfRule type="expression" dxfId="4974" priority="208">
      <formula>$M22="NON DEFINED"</formula>
    </cfRule>
    <cfRule type="expression" dxfId="4973" priority="209">
      <formula>$AZ22="N.D."</formula>
    </cfRule>
    <cfRule type="expression" dxfId="4972" priority="210">
      <formula>$AY22="N.D."</formula>
    </cfRule>
  </conditionalFormatting>
  <conditionalFormatting sqref="N22">
    <cfRule type="expression" dxfId="4971" priority="197">
      <formula>$A22="Overhead Cable"</formula>
    </cfRule>
    <cfRule type="expression" dxfId="4970" priority="198">
      <formula>$A22="Level Crossing"</formula>
    </cfRule>
    <cfRule type="expression" dxfId="4969" priority="199">
      <formula>$A22="Neutral Section"</formula>
    </cfRule>
    <cfRule type="expression" dxfId="4968" priority="200">
      <formula>$A22="Tunnel"</formula>
    </cfRule>
    <cfRule type="expression" dxfId="4967" priority="201">
      <formula>$A22="Bridge"</formula>
    </cfRule>
    <cfRule type="expression" dxfId="4966" priority="202">
      <formula>$A22="Drainage Works"</formula>
    </cfRule>
    <cfRule type="expression" dxfId="4965" priority="203">
      <formula>$A22="Underpass"</formula>
    </cfRule>
    <cfRule type="expression" dxfId="4964" priority="204">
      <formula>$A22="Overcrossing"</formula>
    </cfRule>
    <cfRule type="expression" dxfId="4963" priority="205">
      <formula>$A22="Overpass"</formula>
    </cfRule>
    <cfRule type="expression" dxfId="4962" priority="206">
      <formula>$A22="Station"</formula>
    </cfRule>
    <cfRule type="expression" dxfId="4961" priority="207">
      <formula>$A22="Overlap between sections"</formula>
    </cfRule>
  </conditionalFormatting>
  <conditionalFormatting sqref="W22">
    <cfRule type="expression" dxfId="4960" priority="180">
      <formula>$M22="NON DEFINED"</formula>
    </cfRule>
    <cfRule type="expression" dxfId="4959" priority="181">
      <formula>$AZ22="N.D."</formula>
    </cfRule>
    <cfRule type="expression" dxfId="4958" priority="182">
      <formula>$AY22="N.D."</formula>
    </cfRule>
  </conditionalFormatting>
  <conditionalFormatting sqref="W22">
    <cfRule type="expression" dxfId="4957" priority="169">
      <formula>$A22="Overhead Cable"</formula>
    </cfRule>
    <cfRule type="expression" dxfId="4956" priority="170">
      <formula>$A22="Level Crossing"</formula>
    </cfRule>
    <cfRule type="expression" dxfId="4955" priority="171">
      <formula>$A22="Neutral Section"</formula>
    </cfRule>
    <cfRule type="expression" dxfId="4954" priority="172">
      <formula>$A22="Tunnel"</formula>
    </cfRule>
    <cfRule type="expression" dxfId="4953" priority="173">
      <formula>$A22="Bridge"</formula>
    </cfRule>
    <cfRule type="expression" dxfId="4952" priority="174">
      <formula>$A22="Drainage Works"</formula>
    </cfRule>
    <cfRule type="expression" dxfId="4951" priority="175">
      <formula>$A22="Underpass"</formula>
    </cfRule>
    <cfRule type="expression" dxfId="4950" priority="176">
      <formula>$A22="Overcrossing"</formula>
    </cfRule>
    <cfRule type="expression" dxfId="4949" priority="177">
      <formula>$A22="Overpass"</formula>
    </cfRule>
    <cfRule type="expression" dxfId="4948" priority="178">
      <formula>$A22="Station"</formula>
    </cfRule>
    <cfRule type="expression" dxfId="4947" priority="179">
      <formula>$A22="Overlap between sections"</formula>
    </cfRule>
  </conditionalFormatting>
  <conditionalFormatting sqref="J21">
    <cfRule type="expression" dxfId="4946" priority="166">
      <formula>$M21="NON DEFINED"</formula>
    </cfRule>
    <cfRule type="expression" dxfId="4945" priority="167">
      <formula>$AZ21="N.D."</formula>
    </cfRule>
    <cfRule type="expression" dxfId="4944" priority="168">
      <formula>$AY21="N.D."</formula>
    </cfRule>
  </conditionalFormatting>
  <conditionalFormatting sqref="J21">
    <cfRule type="expression" dxfId="4943" priority="155">
      <formula>$A21="Overhead Cable"</formula>
    </cfRule>
    <cfRule type="expression" dxfId="4942" priority="156">
      <formula>$A21="Level Crossing"</formula>
    </cfRule>
    <cfRule type="expression" dxfId="4941" priority="157">
      <formula>$A21="Neutral Section"</formula>
    </cfRule>
    <cfRule type="expression" dxfId="4940" priority="158">
      <formula>$A21="Tunnel"</formula>
    </cfRule>
    <cfRule type="expression" dxfId="4939" priority="159">
      <formula>$A21="Bridge"</formula>
    </cfRule>
    <cfRule type="expression" dxfId="4938" priority="160">
      <formula>$A21="Drainage Works"</formula>
    </cfRule>
    <cfRule type="expression" dxfId="4937" priority="161">
      <formula>$A21="Underpass"</formula>
    </cfRule>
    <cfRule type="expression" dxfId="4936" priority="162">
      <formula>$A21="Overcrossing"</formula>
    </cfRule>
    <cfRule type="expression" dxfId="4935" priority="163">
      <formula>$A21="Overpass"</formula>
    </cfRule>
    <cfRule type="expression" dxfId="4934" priority="164">
      <formula>$A21="Station"</formula>
    </cfRule>
    <cfRule type="expression" dxfId="4933" priority="165">
      <formula>$A21="Overlap between sections"</formula>
    </cfRule>
  </conditionalFormatting>
  <conditionalFormatting sqref="K21">
    <cfRule type="expression" dxfId="4932" priority="152">
      <formula>$M21="NON DEFINED"</formula>
    </cfRule>
    <cfRule type="expression" dxfId="4931" priority="153">
      <formula>$AZ21="N.D."</formula>
    </cfRule>
    <cfRule type="expression" dxfId="4930" priority="154">
      <formula>$AY21="N.D."</formula>
    </cfRule>
  </conditionalFormatting>
  <conditionalFormatting sqref="K21">
    <cfRule type="expression" dxfId="4929" priority="141">
      <formula>$A21="Overhead Cable"</formula>
    </cfRule>
    <cfRule type="expression" dxfId="4928" priority="142">
      <formula>$A21="Level Crossing"</formula>
    </cfRule>
    <cfRule type="expression" dxfId="4927" priority="143">
      <formula>$A21="Neutral Section"</formula>
    </cfRule>
    <cfRule type="expression" dxfId="4926" priority="144">
      <formula>$A21="Tunnel"</formula>
    </cfRule>
    <cfRule type="expression" dxfId="4925" priority="145">
      <formula>$A21="Bridge"</formula>
    </cfRule>
    <cfRule type="expression" dxfId="4924" priority="146">
      <formula>$A21="Drainage Works"</formula>
    </cfRule>
    <cfRule type="expression" dxfId="4923" priority="147">
      <formula>$A21="Underpass"</formula>
    </cfRule>
    <cfRule type="expression" dxfId="4922" priority="148">
      <formula>$A21="Overcrossing"</formula>
    </cfRule>
    <cfRule type="expression" dxfId="4921" priority="149">
      <formula>$A21="Overpass"</formula>
    </cfRule>
    <cfRule type="expression" dxfId="4920" priority="150">
      <formula>$A21="Station"</formula>
    </cfRule>
    <cfRule type="expression" dxfId="4919" priority="151">
      <formula>$A21="Overlap between sections"</formula>
    </cfRule>
  </conditionalFormatting>
  <conditionalFormatting sqref="N24">
    <cfRule type="expression" dxfId="4918" priority="138">
      <formula>$M24="NON DEFINED"</formula>
    </cfRule>
    <cfRule type="expression" dxfId="4917" priority="139">
      <formula>$AZ24="N.D."</formula>
    </cfRule>
    <cfRule type="expression" dxfId="4916" priority="140">
      <formula>$AY24="N.D."</formula>
    </cfRule>
  </conditionalFormatting>
  <conditionalFormatting sqref="N24">
    <cfRule type="expression" dxfId="4915" priority="127">
      <formula>$A24="Overhead Cable"</formula>
    </cfRule>
    <cfRule type="expression" dxfId="4914" priority="128">
      <formula>$A24="Level Crossing"</formula>
    </cfRule>
    <cfRule type="expression" dxfId="4913" priority="129">
      <formula>$A24="Neutral Section"</formula>
    </cfRule>
    <cfRule type="expression" dxfId="4912" priority="130">
      <formula>$A24="Tunnel"</formula>
    </cfRule>
    <cfRule type="expression" dxfId="4911" priority="131">
      <formula>$A24="Bridge"</formula>
    </cfRule>
    <cfRule type="expression" dxfId="4910" priority="132">
      <formula>$A24="Drainage Works"</formula>
    </cfRule>
    <cfRule type="expression" dxfId="4909" priority="133">
      <formula>$A24="Underpass"</formula>
    </cfRule>
    <cfRule type="expression" dxfId="4908" priority="134">
      <formula>$A24="Overcrossing"</formula>
    </cfRule>
    <cfRule type="expression" dxfId="4907" priority="135">
      <formula>$A24="Overpass"</formula>
    </cfRule>
    <cfRule type="expression" dxfId="4906" priority="136">
      <formula>$A24="Station"</formula>
    </cfRule>
    <cfRule type="expression" dxfId="4905" priority="137">
      <formula>$A24="Overlap between sections"</formula>
    </cfRule>
  </conditionalFormatting>
  <conditionalFormatting sqref="T22">
    <cfRule type="expression" dxfId="4904" priority="124">
      <formula>$M22="NON DEFINED"</formula>
    </cfRule>
    <cfRule type="expression" dxfId="4903" priority="125">
      <formula>$AZ22="N.D."</formula>
    </cfRule>
    <cfRule type="expression" dxfId="4902" priority="126">
      <formula>$AY22="N.D."</formula>
    </cfRule>
  </conditionalFormatting>
  <conditionalFormatting sqref="T22">
    <cfRule type="expression" dxfId="4901" priority="113">
      <formula>$A22="Overhead Cable"</formula>
    </cfRule>
    <cfRule type="expression" dxfId="4900" priority="114">
      <formula>$A22="Level Crossing"</formula>
    </cfRule>
    <cfRule type="expression" dxfId="4899" priority="115">
      <formula>$A22="Neutral Section"</formula>
    </cfRule>
    <cfRule type="expression" dxfId="4898" priority="116">
      <formula>$A22="Tunnel"</formula>
    </cfRule>
    <cfRule type="expression" dxfId="4897" priority="117">
      <formula>$A22="Bridge"</formula>
    </cfRule>
    <cfRule type="expression" dxfId="4896" priority="118">
      <formula>$A22="Drainage Works"</formula>
    </cfRule>
    <cfRule type="expression" dxfId="4895" priority="119">
      <formula>$A22="Underpass"</formula>
    </cfRule>
    <cfRule type="expression" dxfId="4894" priority="120">
      <formula>$A22="Overcrossing"</formula>
    </cfRule>
    <cfRule type="expression" dxfId="4893" priority="121">
      <formula>$A22="Overpass"</formula>
    </cfRule>
    <cfRule type="expression" dxfId="4892" priority="122">
      <formula>$A22="Station"</formula>
    </cfRule>
    <cfRule type="expression" dxfId="4891" priority="123">
      <formula>$A22="Overlap between sections"</formula>
    </cfRule>
  </conditionalFormatting>
  <conditionalFormatting sqref="T24">
    <cfRule type="expression" dxfId="4890" priority="110">
      <formula>$M24="NON DEFINED"</formula>
    </cfRule>
    <cfRule type="expression" dxfId="4889" priority="111">
      <formula>$AZ24="N.D."</formula>
    </cfRule>
    <cfRule type="expression" dxfId="4888" priority="112">
      <formula>$AY24="N.D."</formula>
    </cfRule>
  </conditionalFormatting>
  <conditionalFormatting sqref="T24">
    <cfRule type="expression" dxfId="4887" priority="99">
      <formula>$A24="Overhead Cable"</formula>
    </cfRule>
    <cfRule type="expression" dxfId="4886" priority="100">
      <formula>$A24="Level Crossing"</formula>
    </cfRule>
    <cfRule type="expression" dxfId="4885" priority="101">
      <formula>$A24="Neutral Section"</formula>
    </cfRule>
    <cfRule type="expression" dxfId="4884" priority="102">
      <formula>$A24="Tunnel"</formula>
    </cfRule>
    <cfRule type="expression" dxfId="4883" priority="103">
      <formula>$A24="Bridge"</formula>
    </cfRule>
    <cfRule type="expression" dxfId="4882" priority="104">
      <formula>$A24="Drainage Works"</formula>
    </cfRule>
    <cfRule type="expression" dxfId="4881" priority="105">
      <formula>$A24="Underpass"</formula>
    </cfRule>
    <cfRule type="expression" dxfId="4880" priority="106">
      <formula>$A24="Overcrossing"</formula>
    </cfRule>
    <cfRule type="expression" dxfId="4879" priority="107">
      <formula>$A24="Overpass"</formula>
    </cfRule>
    <cfRule type="expression" dxfId="4878" priority="108">
      <formula>$A24="Station"</formula>
    </cfRule>
    <cfRule type="expression" dxfId="4877" priority="109">
      <formula>$A24="Overlap between sections"</formula>
    </cfRule>
  </conditionalFormatting>
  <conditionalFormatting sqref="N26">
    <cfRule type="expression" dxfId="4876" priority="96">
      <formula>$M26="NON DEFINED"</formula>
    </cfRule>
    <cfRule type="expression" dxfId="4875" priority="97">
      <formula>$AZ26="N.D."</formula>
    </cfRule>
    <cfRule type="expression" dxfId="4874" priority="98">
      <formula>$AY26="N.D."</formula>
    </cfRule>
  </conditionalFormatting>
  <conditionalFormatting sqref="N26">
    <cfRule type="expression" dxfId="4873" priority="85">
      <formula>$A26="Overhead Cable"</formula>
    </cfRule>
    <cfRule type="expression" dxfId="4872" priority="86">
      <formula>$A26="Level Crossing"</formula>
    </cfRule>
    <cfRule type="expression" dxfId="4871" priority="87">
      <formula>$A26="Neutral Section"</formula>
    </cfRule>
    <cfRule type="expression" dxfId="4870" priority="88">
      <formula>$A26="Tunnel"</formula>
    </cfRule>
    <cfRule type="expression" dxfId="4869" priority="89">
      <formula>$A26="Bridge"</formula>
    </cfRule>
    <cfRule type="expression" dxfId="4868" priority="90">
      <formula>$A26="Drainage Works"</formula>
    </cfRule>
    <cfRule type="expression" dxfId="4867" priority="91">
      <formula>$A26="Underpass"</formula>
    </cfRule>
    <cfRule type="expression" dxfId="4866" priority="92">
      <formula>$A26="Overcrossing"</formula>
    </cfRule>
    <cfRule type="expression" dxfId="4865" priority="93">
      <formula>$A26="Overpass"</formula>
    </cfRule>
    <cfRule type="expression" dxfId="4864" priority="94">
      <formula>$A26="Station"</formula>
    </cfRule>
    <cfRule type="expression" dxfId="4863" priority="95">
      <formula>$A26="Overlap between sections"</formula>
    </cfRule>
  </conditionalFormatting>
  <conditionalFormatting sqref="N28">
    <cfRule type="expression" dxfId="4862" priority="82">
      <formula>$M28="NON DEFINED"</formula>
    </cfRule>
    <cfRule type="expression" dxfId="4861" priority="83">
      <formula>$AZ28="N.D."</formula>
    </cfRule>
    <cfRule type="expression" dxfId="4860" priority="84">
      <formula>$AY28="N.D."</formula>
    </cfRule>
  </conditionalFormatting>
  <conditionalFormatting sqref="N28">
    <cfRule type="expression" dxfId="4859" priority="71">
      <formula>$A28="Overhead Cable"</formula>
    </cfRule>
    <cfRule type="expression" dxfId="4858" priority="72">
      <formula>$A28="Level Crossing"</formula>
    </cfRule>
    <cfRule type="expression" dxfId="4857" priority="73">
      <formula>$A28="Neutral Section"</formula>
    </cfRule>
    <cfRule type="expression" dxfId="4856" priority="74">
      <formula>$A28="Tunnel"</formula>
    </cfRule>
    <cfRule type="expression" dxfId="4855" priority="75">
      <formula>$A28="Bridge"</formula>
    </cfRule>
    <cfRule type="expression" dxfId="4854" priority="76">
      <formula>$A28="Drainage Works"</formula>
    </cfRule>
    <cfRule type="expression" dxfId="4853" priority="77">
      <formula>$A28="Underpass"</formula>
    </cfRule>
    <cfRule type="expression" dxfId="4852" priority="78">
      <formula>$A28="Overcrossing"</formula>
    </cfRule>
    <cfRule type="expression" dxfId="4851" priority="79">
      <formula>$A28="Overpass"</formula>
    </cfRule>
    <cfRule type="expression" dxfId="4850" priority="80">
      <formula>$A28="Station"</formula>
    </cfRule>
    <cfRule type="expression" dxfId="4849" priority="81">
      <formula>$A28="Overlap between sections"</formula>
    </cfRule>
  </conditionalFormatting>
  <conditionalFormatting sqref="T28">
    <cfRule type="expression" dxfId="4848" priority="68">
      <formula>$M28="NON DEFINED"</formula>
    </cfRule>
    <cfRule type="expression" dxfId="4847" priority="69">
      <formula>$AZ28="N.D."</formula>
    </cfRule>
    <cfRule type="expression" dxfId="4846" priority="70">
      <formula>$AY28="N.D."</formula>
    </cfRule>
  </conditionalFormatting>
  <conditionalFormatting sqref="T28">
    <cfRule type="expression" dxfId="4845" priority="57">
      <formula>$A28="Overhead Cable"</formula>
    </cfRule>
    <cfRule type="expression" dxfId="4844" priority="58">
      <formula>$A28="Level Crossing"</formula>
    </cfRule>
    <cfRule type="expression" dxfId="4843" priority="59">
      <formula>$A28="Neutral Section"</formula>
    </cfRule>
    <cfRule type="expression" dxfId="4842" priority="60">
      <formula>$A28="Tunnel"</formula>
    </cfRule>
    <cfRule type="expression" dxfId="4841" priority="61">
      <formula>$A28="Bridge"</formula>
    </cfRule>
    <cfRule type="expression" dxfId="4840" priority="62">
      <formula>$A28="Drainage Works"</formula>
    </cfRule>
    <cfRule type="expression" dxfId="4839" priority="63">
      <formula>$A28="Underpass"</formula>
    </cfRule>
    <cfRule type="expression" dxfId="4838" priority="64">
      <formula>$A28="Overcrossing"</formula>
    </cfRule>
    <cfRule type="expression" dxfId="4837" priority="65">
      <formula>$A28="Overpass"</formula>
    </cfRule>
    <cfRule type="expression" dxfId="4836" priority="66">
      <formula>$A28="Station"</formula>
    </cfRule>
    <cfRule type="expression" dxfId="4835" priority="67">
      <formula>$A28="Overlap between sections"</formula>
    </cfRule>
  </conditionalFormatting>
  <conditionalFormatting sqref="N30">
    <cfRule type="expression" dxfId="4834" priority="54">
      <formula>$M30="NON DEFINED"</formula>
    </cfRule>
    <cfRule type="expression" dxfId="4833" priority="55">
      <formula>$AZ30="N.D."</formula>
    </cfRule>
    <cfRule type="expression" dxfId="4832" priority="56">
      <formula>$AY30="N.D."</formula>
    </cfRule>
  </conditionalFormatting>
  <conditionalFormatting sqref="N30">
    <cfRule type="expression" dxfId="4831" priority="43">
      <formula>$A30="Overhead Cable"</formula>
    </cfRule>
    <cfRule type="expression" dxfId="4830" priority="44">
      <formula>$A30="Level Crossing"</formula>
    </cfRule>
    <cfRule type="expression" dxfId="4829" priority="45">
      <formula>$A30="Neutral Section"</formula>
    </cfRule>
    <cfRule type="expression" dxfId="4828" priority="46">
      <formula>$A30="Tunnel"</formula>
    </cfRule>
    <cfRule type="expression" dxfId="4827" priority="47">
      <formula>$A30="Bridge"</formula>
    </cfRule>
    <cfRule type="expression" dxfId="4826" priority="48">
      <formula>$A30="Drainage Works"</formula>
    </cfRule>
    <cfRule type="expression" dxfId="4825" priority="49">
      <formula>$A30="Underpass"</formula>
    </cfRule>
    <cfRule type="expression" dxfId="4824" priority="50">
      <formula>$A30="Overcrossing"</formula>
    </cfRule>
    <cfRule type="expression" dxfId="4823" priority="51">
      <formula>$A30="Overpass"</formula>
    </cfRule>
    <cfRule type="expression" dxfId="4822" priority="52">
      <formula>$A30="Station"</formula>
    </cfRule>
    <cfRule type="expression" dxfId="4821" priority="53">
      <formula>$A30="Overlap between sections"</formula>
    </cfRule>
  </conditionalFormatting>
  <conditionalFormatting sqref="T30">
    <cfRule type="expression" dxfId="4820" priority="40">
      <formula>$M30="NON DEFINED"</formula>
    </cfRule>
    <cfRule type="expression" dxfId="4819" priority="41">
      <formula>$AZ30="N.D."</formula>
    </cfRule>
    <cfRule type="expression" dxfId="4818" priority="42">
      <formula>$AY30="N.D."</formula>
    </cfRule>
  </conditionalFormatting>
  <conditionalFormatting sqref="T30">
    <cfRule type="expression" dxfId="4817" priority="29">
      <formula>$A30="Overhead Cable"</formula>
    </cfRule>
    <cfRule type="expression" dxfId="4816" priority="30">
      <formula>$A30="Level Crossing"</formula>
    </cfRule>
    <cfRule type="expression" dxfId="4815" priority="31">
      <formula>$A30="Neutral Section"</formula>
    </cfRule>
    <cfRule type="expression" dxfId="4814" priority="32">
      <formula>$A30="Tunnel"</formula>
    </cfRule>
    <cfRule type="expression" dxfId="4813" priority="33">
      <formula>$A30="Bridge"</formula>
    </cfRule>
    <cfRule type="expression" dxfId="4812" priority="34">
      <formula>$A30="Drainage Works"</formula>
    </cfRule>
    <cfRule type="expression" dxfId="4811" priority="35">
      <formula>$A30="Underpass"</formula>
    </cfRule>
    <cfRule type="expression" dxfId="4810" priority="36">
      <formula>$A30="Overcrossing"</formula>
    </cfRule>
    <cfRule type="expression" dxfId="4809" priority="37">
      <formula>$A30="Overpass"</formula>
    </cfRule>
    <cfRule type="expression" dxfId="4808" priority="38">
      <formula>$A30="Station"</formula>
    </cfRule>
    <cfRule type="expression" dxfId="4807" priority="39">
      <formula>$A30="Overlap between sections"</formula>
    </cfRule>
  </conditionalFormatting>
  <conditionalFormatting sqref="N32">
    <cfRule type="expression" dxfId="4806" priority="26">
      <formula>$M32="NON DEFINED"</formula>
    </cfRule>
    <cfRule type="expression" dxfId="4805" priority="27">
      <formula>$AZ32="N.D."</formula>
    </cfRule>
    <cfRule type="expression" dxfId="4804" priority="28">
      <formula>$AY32="N.D."</formula>
    </cfRule>
  </conditionalFormatting>
  <conditionalFormatting sqref="N32">
    <cfRule type="expression" dxfId="4803" priority="15">
      <formula>$A32="Overhead Cable"</formula>
    </cfRule>
    <cfRule type="expression" dxfId="4802" priority="16">
      <formula>$A32="Level Crossing"</formula>
    </cfRule>
    <cfRule type="expression" dxfId="4801" priority="17">
      <formula>$A32="Neutral Section"</formula>
    </cfRule>
    <cfRule type="expression" dxfId="4800" priority="18">
      <formula>$A32="Tunnel"</formula>
    </cfRule>
    <cfRule type="expression" dxfId="4799" priority="19">
      <formula>$A32="Bridge"</formula>
    </cfRule>
    <cfRule type="expression" dxfId="4798" priority="20">
      <formula>$A32="Drainage Works"</formula>
    </cfRule>
    <cfRule type="expression" dxfId="4797" priority="21">
      <formula>$A32="Underpass"</formula>
    </cfRule>
    <cfRule type="expression" dxfId="4796" priority="22">
      <formula>$A32="Overcrossing"</formula>
    </cfRule>
    <cfRule type="expression" dxfId="4795" priority="23">
      <formula>$A32="Overpass"</formula>
    </cfRule>
    <cfRule type="expression" dxfId="4794" priority="24">
      <formula>$A32="Station"</formula>
    </cfRule>
    <cfRule type="expression" dxfId="4793" priority="25">
      <formula>$A32="Overlap between sections"</formula>
    </cfRule>
  </conditionalFormatting>
  <conditionalFormatting sqref="K33">
    <cfRule type="expression" dxfId="4792" priority="12">
      <formula>$M33="NON DEFINED"</formula>
    </cfRule>
    <cfRule type="expression" dxfId="4791" priority="13">
      <formula>$AZ33="N.D."</formula>
    </cfRule>
    <cfRule type="expression" dxfId="4790" priority="14">
      <formula>$AY33="N.D."</formula>
    </cfRule>
  </conditionalFormatting>
  <conditionalFormatting sqref="K33">
    <cfRule type="expression" dxfId="4789" priority="1">
      <formula>$A33="Overhead Cable"</formula>
    </cfRule>
    <cfRule type="expression" dxfId="4788" priority="2">
      <formula>$A33="Level Crossing"</formula>
    </cfRule>
    <cfRule type="expression" dxfId="4787" priority="3">
      <formula>$A33="Neutral Section"</formula>
    </cfRule>
    <cfRule type="expression" dxfId="4786" priority="4">
      <formula>$A33="Tunnel"</formula>
    </cfRule>
    <cfRule type="expression" dxfId="4785" priority="5">
      <formula>$A33="Bridge"</formula>
    </cfRule>
    <cfRule type="expression" dxfId="4784" priority="6">
      <formula>$A33="Drainage Works"</formula>
    </cfRule>
    <cfRule type="expression" dxfId="4783" priority="7">
      <formula>$A33="Underpass"</formula>
    </cfRule>
    <cfRule type="expression" dxfId="4782" priority="8">
      <formula>$A33="Overcrossing"</formula>
    </cfRule>
    <cfRule type="expression" dxfId="4781" priority="9">
      <formula>$A33="Overpass"</formula>
    </cfRule>
    <cfRule type="expression" dxfId="4780" priority="10">
      <formula>$A33="Station"</formula>
    </cfRule>
    <cfRule type="expression" dxfId="4779" priority="11">
      <formula>$A33="Overlap between sections"</formula>
    </cfRule>
  </conditionalFormatting>
  <printOptions horizontalCentered="1" gridLines="1"/>
  <pageMargins left="0.39370078740157483" right="0.39370078740157483" top="0.78740157480314965" bottom="0.78740157480314965" header="0.31496062992125984" footer="0.31496062992125984"/>
  <pageSetup paperSize="9" scale="52" fitToHeight="0" orientation="landscape" r:id="rId1"/>
  <headerFooter alignWithMargins="0">
    <oddHeader>&amp;L&amp;G&amp;C
LAYOUT AND EQUIPMENT
EP 11A TRACK 4 MOM
KP 00+000 to 00+763&amp;R&amp;G</oddHeader>
    <oddFooter>&amp;L&amp;G
&amp;F&amp;C&amp;D&amp;RPag &amp;P of &amp;N</oddFooter>
  </headerFooter>
  <legacyDrawing r:id="rId2"/>
  <legacyDrawingHF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9">
    <tabColor theme="3" tint="0.59999389629810485"/>
    <pageSetUpPr fitToPage="1"/>
  </sheetPr>
  <dimension ref="A1:BK800"/>
  <sheetViews>
    <sheetView showGridLines="0" zoomScale="80" zoomScaleNormal="80" zoomScaleSheetLayoutView="80" workbookViewId="0">
      <pane xSplit="3" ySplit="3" topLeftCell="F28" activePane="bottomRight" state="frozen"/>
      <selection activeCell="C42" sqref="C42"/>
      <selection pane="topRight" activeCell="C42" sqref="C42"/>
      <selection pane="bottomLeft" activeCell="C42" sqref="C42"/>
      <selection pane="bottomRight" activeCell="C42" sqref="C42"/>
    </sheetView>
  </sheetViews>
  <sheetFormatPr baseColWidth="10" defaultColWidth="11.44140625" defaultRowHeight="15.75" customHeight="1"/>
  <cols>
    <col min="1" max="1" width="20.6640625" style="16" customWidth="1"/>
    <col min="2" max="2" width="12.6640625" style="16" customWidth="1"/>
    <col min="3" max="3" width="12.6640625" style="20" customWidth="1"/>
    <col min="4" max="5" width="12.6640625" style="16" hidden="1" customWidth="1"/>
    <col min="6" max="7" width="12.6640625" style="16" customWidth="1"/>
    <col min="8" max="8" width="18.6640625" style="16" customWidth="1"/>
    <col min="9" max="9" width="12.6640625" style="16" customWidth="1"/>
    <col min="10" max="10" width="12.6640625" style="20" customWidth="1"/>
    <col min="11" max="11" width="12.6640625" style="16" customWidth="1"/>
    <col min="12" max="13" width="14.6640625" style="16" customWidth="1"/>
    <col min="14" max="16" width="8.6640625" style="16" hidden="1" customWidth="1"/>
    <col min="17" max="19" width="12.6640625" style="16" hidden="1" customWidth="1"/>
    <col min="20" max="28" width="8.6640625" style="16" hidden="1" customWidth="1"/>
    <col min="29" max="31" width="10.6640625" style="16" hidden="1" customWidth="1"/>
    <col min="32" max="36" width="12.6640625" style="16" hidden="1" customWidth="1"/>
    <col min="37" max="38" width="12.6640625" style="16" customWidth="1"/>
    <col min="39" max="39" width="12.6640625" style="16" hidden="1" customWidth="1"/>
    <col min="40" max="45" width="8.6640625" style="8" hidden="1" customWidth="1"/>
    <col min="46" max="46" width="8.6640625" style="18" hidden="1" customWidth="1"/>
    <col min="47" max="48" width="8.6640625" style="8" hidden="1" customWidth="1"/>
    <col min="49" max="52" width="12.6640625" style="8" customWidth="1"/>
    <col min="53" max="55" width="4.6640625" style="8" customWidth="1"/>
    <col min="56" max="56" width="21.6640625" style="16" customWidth="1"/>
    <col min="57" max="57" width="16.33203125" style="8" customWidth="1"/>
    <col min="58" max="61" width="14" style="8" customWidth="1"/>
    <col min="62" max="16384" width="11.44140625" style="16"/>
  </cols>
  <sheetData>
    <row r="1" spans="1:63" s="454" customFormat="1" ht="36.75" customHeight="1" thickBot="1">
      <c r="A1" s="732" t="s">
        <v>2390</v>
      </c>
      <c r="B1" s="733"/>
      <c r="C1" s="733"/>
      <c r="D1" s="733"/>
      <c r="E1" s="733"/>
      <c r="F1" s="733"/>
      <c r="G1" s="733"/>
      <c r="H1" s="733"/>
      <c r="I1" s="733"/>
      <c r="J1" s="733"/>
      <c r="K1" s="733"/>
      <c r="L1" s="733"/>
      <c r="M1" s="733"/>
      <c r="N1" s="733"/>
      <c r="O1" s="733"/>
      <c r="P1" s="733"/>
      <c r="Q1" s="733"/>
      <c r="R1" s="733"/>
      <c r="S1" s="733"/>
      <c r="T1" s="733"/>
      <c r="U1" s="733"/>
      <c r="V1" s="733"/>
      <c r="W1" s="733"/>
      <c r="X1" s="733"/>
      <c r="Y1" s="733"/>
      <c r="Z1" s="733"/>
      <c r="AA1" s="733"/>
      <c r="AB1" s="733"/>
      <c r="AC1" s="733"/>
      <c r="AD1" s="733"/>
      <c r="AE1" s="733"/>
      <c r="AF1" s="733"/>
      <c r="AG1" s="733"/>
      <c r="AH1" s="733"/>
      <c r="AI1" s="733"/>
      <c r="AJ1" s="733"/>
      <c r="AK1" s="733"/>
      <c r="AL1" s="733"/>
      <c r="AM1" s="733"/>
      <c r="AN1" s="733"/>
      <c r="AO1" s="733"/>
      <c r="AP1" s="733"/>
      <c r="AQ1" s="733"/>
      <c r="AR1" s="733"/>
      <c r="AS1" s="733"/>
      <c r="AT1" s="733"/>
      <c r="AU1" s="733"/>
      <c r="AV1" s="733"/>
      <c r="AW1" s="733"/>
      <c r="AX1" s="733"/>
      <c r="AY1" s="733"/>
      <c r="AZ1" s="733"/>
      <c r="BA1" s="733"/>
      <c r="BB1" s="733"/>
      <c r="BC1" s="733"/>
      <c r="BD1" s="734"/>
      <c r="BE1" s="449" t="s">
        <v>1596</v>
      </c>
      <c r="BF1" s="695" t="s">
        <v>1598</v>
      </c>
      <c r="BG1" s="695"/>
      <c r="BH1" s="695"/>
      <c r="BI1" s="695"/>
    </row>
    <row r="2" spans="1:63" s="454" customFormat="1" ht="42" customHeight="1" thickBot="1">
      <c r="A2" s="480" t="s">
        <v>1321</v>
      </c>
      <c r="B2" s="480" t="s">
        <v>1322</v>
      </c>
      <c r="C2" s="480" t="s">
        <v>1325</v>
      </c>
      <c r="D2" s="480" t="s">
        <v>1323</v>
      </c>
      <c r="E2" s="480" t="s">
        <v>1327</v>
      </c>
      <c r="F2" s="480" t="s">
        <v>1328</v>
      </c>
      <c r="G2" s="480" t="s">
        <v>1326</v>
      </c>
      <c r="H2" s="480" t="s">
        <v>46</v>
      </c>
      <c r="I2" s="480" t="s">
        <v>45</v>
      </c>
      <c r="J2" s="480" t="s">
        <v>1493</v>
      </c>
      <c r="K2" s="480" t="s">
        <v>185</v>
      </c>
      <c r="L2" s="480" t="s">
        <v>47</v>
      </c>
      <c r="M2" s="480" t="s">
        <v>44</v>
      </c>
      <c r="N2" s="735" t="s">
        <v>48</v>
      </c>
      <c r="O2" s="736"/>
      <c r="P2" s="737"/>
      <c r="Q2" s="480" t="s">
        <v>1329</v>
      </c>
      <c r="R2" s="480" t="s">
        <v>1330</v>
      </c>
      <c r="S2" s="480" t="s">
        <v>1331</v>
      </c>
      <c r="T2" s="735" t="s">
        <v>1332</v>
      </c>
      <c r="U2" s="736"/>
      <c r="V2" s="737"/>
      <c r="W2" s="735" t="s">
        <v>1333</v>
      </c>
      <c r="X2" s="736"/>
      <c r="Y2" s="737"/>
      <c r="Z2" s="735" t="s">
        <v>1334</v>
      </c>
      <c r="AA2" s="736"/>
      <c r="AB2" s="737"/>
      <c r="AC2" s="735" t="s">
        <v>186</v>
      </c>
      <c r="AD2" s="736"/>
      <c r="AE2" s="737"/>
      <c r="AF2" s="480" t="s">
        <v>1494</v>
      </c>
      <c r="AG2" s="480" t="s">
        <v>1324</v>
      </c>
      <c r="AH2" s="480" t="s">
        <v>1335</v>
      </c>
      <c r="AI2" s="480" t="s">
        <v>1336</v>
      </c>
      <c r="AJ2" s="480" t="s">
        <v>187</v>
      </c>
      <c r="AK2" s="480" t="s">
        <v>49</v>
      </c>
      <c r="AL2" s="603" t="s">
        <v>50</v>
      </c>
      <c r="AM2" s="603" t="s">
        <v>872</v>
      </c>
      <c r="AN2" s="735" t="s">
        <v>1337</v>
      </c>
      <c r="AO2" s="736"/>
      <c r="AP2" s="737"/>
      <c r="AQ2" s="735" t="s">
        <v>52</v>
      </c>
      <c r="AR2" s="736"/>
      <c r="AS2" s="737"/>
      <c r="AT2" s="735" t="s">
        <v>188</v>
      </c>
      <c r="AU2" s="736"/>
      <c r="AV2" s="737"/>
      <c r="AW2" s="603" t="s">
        <v>875</v>
      </c>
      <c r="AX2" s="603" t="s">
        <v>1495</v>
      </c>
      <c r="AY2" s="603" t="s">
        <v>1338</v>
      </c>
      <c r="AZ2" s="603" t="s">
        <v>1339</v>
      </c>
      <c r="BA2" s="735" t="s">
        <v>753</v>
      </c>
      <c r="BB2" s="736"/>
      <c r="BC2" s="737"/>
      <c r="BD2" s="480" t="s">
        <v>873</v>
      </c>
      <c r="BE2" s="449" t="s">
        <v>1597</v>
      </c>
      <c r="BF2" s="450" t="s">
        <v>44</v>
      </c>
      <c r="BG2" s="450" t="s">
        <v>1599</v>
      </c>
      <c r="BH2" s="450" t="s">
        <v>1600</v>
      </c>
      <c r="BI2" s="450" t="s">
        <v>48</v>
      </c>
    </row>
    <row r="3" spans="1:63" s="454" customFormat="1" ht="15.75" customHeight="1" thickBot="1">
      <c r="A3" s="455"/>
      <c r="B3" s="476"/>
      <c r="C3" s="456"/>
      <c r="D3" s="456"/>
      <c r="E3" s="456"/>
      <c r="F3" s="456"/>
      <c r="G3" s="456"/>
      <c r="H3" s="476"/>
      <c r="I3" s="476"/>
      <c r="J3" s="456"/>
      <c r="K3" s="476"/>
      <c r="L3" s="476"/>
      <c r="M3" s="476"/>
      <c r="N3" s="481" t="s">
        <v>11</v>
      </c>
      <c r="O3" s="481" t="s">
        <v>12</v>
      </c>
      <c r="P3" s="481" t="s">
        <v>13</v>
      </c>
      <c r="Q3" s="456"/>
      <c r="R3" s="456"/>
      <c r="S3" s="456"/>
      <c r="T3" s="459" t="s">
        <v>14</v>
      </c>
      <c r="U3" s="460" t="s">
        <v>15</v>
      </c>
      <c r="V3" s="459" t="s">
        <v>16</v>
      </c>
      <c r="W3" s="459" t="s">
        <v>17</v>
      </c>
      <c r="X3" s="460" t="s">
        <v>18</v>
      </c>
      <c r="Y3" s="459" t="s">
        <v>19</v>
      </c>
      <c r="Z3" s="459" t="s">
        <v>20</v>
      </c>
      <c r="AA3" s="460" t="s">
        <v>21</v>
      </c>
      <c r="AB3" s="459" t="s">
        <v>22</v>
      </c>
      <c r="AC3" s="481" t="s">
        <v>23</v>
      </c>
      <c r="AD3" s="482" t="s">
        <v>24</v>
      </c>
      <c r="AE3" s="481" t="s">
        <v>25</v>
      </c>
      <c r="AF3" s="456"/>
      <c r="AG3" s="456"/>
      <c r="AH3" s="456"/>
      <c r="AI3" s="456"/>
      <c r="AJ3" s="476"/>
      <c r="AK3" s="476"/>
      <c r="AL3" s="476"/>
      <c r="AM3" s="476"/>
      <c r="AN3" s="459" t="s">
        <v>17</v>
      </c>
      <c r="AO3" s="459" t="s">
        <v>18</v>
      </c>
      <c r="AP3" s="459" t="s">
        <v>19</v>
      </c>
      <c r="AQ3" s="459" t="s">
        <v>173</v>
      </c>
      <c r="AR3" s="459" t="s">
        <v>174</v>
      </c>
      <c r="AS3" s="459" t="s">
        <v>175</v>
      </c>
      <c r="AT3" s="654" t="s">
        <v>176</v>
      </c>
      <c r="AU3" s="459" t="s">
        <v>177</v>
      </c>
      <c r="AV3" s="459" t="s">
        <v>178</v>
      </c>
      <c r="AW3" s="476"/>
      <c r="AX3" s="476"/>
      <c r="AY3" s="456"/>
      <c r="AZ3" s="456"/>
      <c r="BA3" s="481" t="s">
        <v>1624</v>
      </c>
      <c r="BB3" s="481" t="s">
        <v>180</v>
      </c>
      <c r="BC3" s="481" t="s">
        <v>1625</v>
      </c>
      <c r="BD3" s="479"/>
      <c r="BE3" s="448"/>
      <c r="BF3" s="453"/>
      <c r="BG3" s="453"/>
      <c r="BH3" s="453"/>
      <c r="BI3" s="453"/>
    </row>
    <row r="4" spans="1:63" ht="16.2" customHeight="1" thickTop="1">
      <c r="A4" s="561"/>
      <c r="B4" s="562"/>
      <c r="C4" s="563"/>
      <c r="D4" s="564"/>
      <c r="E4" s="565"/>
      <c r="F4" s="565"/>
      <c r="G4" s="566"/>
      <c r="H4" s="567"/>
      <c r="I4" s="567"/>
      <c r="J4" s="568"/>
      <c r="K4" s="567"/>
      <c r="L4" s="567"/>
      <c r="M4" s="567"/>
      <c r="N4" s="567"/>
      <c r="O4" s="567"/>
      <c r="P4" s="567"/>
      <c r="Q4" s="565"/>
      <c r="R4" s="566"/>
      <c r="S4" s="566"/>
      <c r="T4" s="565"/>
      <c r="U4" s="565"/>
      <c r="V4" s="565"/>
      <c r="W4" s="569"/>
      <c r="X4" s="569"/>
      <c r="Y4" s="569"/>
      <c r="Z4" s="569"/>
      <c r="AA4" s="569"/>
      <c r="AB4" s="569"/>
      <c r="AC4" s="567"/>
      <c r="AD4" s="567"/>
      <c r="AE4" s="567"/>
      <c r="AF4" s="565"/>
      <c r="AG4" s="564"/>
      <c r="AH4" s="565"/>
      <c r="AI4" s="565"/>
      <c r="AJ4" s="567"/>
      <c r="AK4" s="567"/>
      <c r="AL4" s="567"/>
      <c r="AM4" s="567"/>
      <c r="AN4" s="569"/>
      <c r="AO4" s="567"/>
      <c r="AP4" s="567"/>
      <c r="AQ4" s="569"/>
      <c r="AR4" s="569"/>
      <c r="AS4" s="569"/>
      <c r="AT4" s="569"/>
      <c r="AU4" s="570"/>
      <c r="AV4" s="570"/>
      <c r="AW4" s="567"/>
      <c r="AX4" s="567"/>
      <c r="AY4" s="569"/>
      <c r="AZ4" s="569"/>
      <c r="BA4" s="517"/>
      <c r="BB4" s="517"/>
      <c r="BC4" s="517"/>
      <c r="BD4" s="571"/>
      <c r="BE4" s="557"/>
      <c r="BF4" s="308"/>
      <c r="BG4" s="308"/>
      <c r="BH4" s="308"/>
      <c r="BI4" s="308"/>
      <c r="BK4" s="309"/>
    </row>
    <row r="5" spans="1:63" ht="16.2" customHeight="1">
      <c r="A5" s="561"/>
      <c r="B5" s="562"/>
      <c r="C5" s="563"/>
      <c r="D5" s="564"/>
      <c r="E5" s="565"/>
      <c r="F5" s="565"/>
      <c r="G5" s="566"/>
      <c r="H5" s="567"/>
      <c r="I5" s="567"/>
      <c r="J5" s="568">
        <f>C6-7.5</f>
        <v>20895.5</v>
      </c>
      <c r="K5" s="567" t="s">
        <v>1095</v>
      </c>
      <c r="L5" s="567"/>
      <c r="M5" s="567" t="str">
        <f>IF(L5="","",
IF(AX5="PT",VLOOKUP(L5,Foundation_Calc!$V$4:$X$37,VLOOKUP(AX5,Foundation_Calc!$I$10:$J$13,2,FALSE),0),
IF(AX5="K",VLOOKUP(L5,Foundation_Calc!$V$41:$X$74,VLOOKUP(AX5,Foundation_Calc!$I$10:$J$13,2,FALSE),0),"")))</f>
        <v/>
      </c>
      <c r="N5" s="567"/>
      <c r="O5" s="567"/>
      <c r="P5" s="567"/>
      <c r="Q5" s="565"/>
      <c r="R5" s="566"/>
      <c r="S5" s="566"/>
      <c r="T5" s="565"/>
      <c r="U5" s="565"/>
      <c r="V5" s="565"/>
      <c r="W5" s="569"/>
      <c r="X5" s="569"/>
      <c r="Y5" s="569"/>
      <c r="Z5" s="569"/>
      <c r="AA5" s="569"/>
      <c r="AB5" s="569"/>
      <c r="AC5" s="567" t="str">
        <f t="shared" ref="AC5" si="0">IF(OR(AT5&gt;8,AT5&lt;-8),"PH",
IF(OR(AT5&gt;5,AT5&lt;-5),"PHQ",
IF(OR(AT5&gt;1,AT5&lt;-1),
"PHC","")))</f>
        <v/>
      </c>
      <c r="AD5" s="567"/>
      <c r="AE5" s="567"/>
      <c r="AF5" s="565"/>
      <c r="AG5" s="564"/>
      <c r="AH5" s="565"/>
      <c r="AI5" s="565"/>
      <c r="AJ5" s="567"/>
      <c r="AK5" s="567"/>
      <c r="AL5" s="567"/>
      <c r="AM5" s="567"/>
      <c r="AN5" s="569"/>
      <c r="AO5" s="567"/>
      <c r="AP5" s="567"/>
      <c r="AQ5" s="569"/>
      <c r="AR5" s="569"/>
      <c r="AS5" s="569"/>
      <c r="AT5" s="569"/>
      <c r="AU5" s="570"/>
      <c r="AV5" s="570"/>
      <c r="AW5" s="567"/>
      <c r="AX5" s="567"/>
      <c r="AY5" s="569"/>
      <c r="AZ5" s="569"/>
      <c r="BA5" s="517" t="str">
        <f>IF(AY5="","",IF(AY5&gt;0,"ü",""))</f>
        <v/>
      </c>
      <c r="BB5" s="517" t="str">
        <f>IF(AZ5="","",IF(AZ5&gt;0,"ü",""))</f>
        <v/>
      </c>
      <c r="BC5" s="517" t="str">
        <f>IF(M5="","",IF(M5="Unique Solution","ü",""))</f>
        <v/>
      </c>
      <c r="BD5" s="571"/>
      <c r="BE5" s="448" t="s">
        <v>1726</v>
      </c>
      <c r="BF5" s="305"/>
      <c r="BG5" s="305"/>
      <c r="BH5" s="306"/>
      <c r="BI5" s="305"/>
    </row>
    <row r="6" spans="1:63" ht="16.2" customHeight="1">
      <c r="A6" s="561"/>
      <c r="B6" s="562" t="s">
        <v>2198</v>
      </c>
      <c r="C6" s="563">
        <v>20903</v>
      </c>
      <c r="D6" s="564"/>
      <c r="E6" s="565"/>
      <c r="F6" s="565">
        <v>0</v>
      </c>
      <c r="G6" s="566"/>
      <c r="H6" s="567" t="s">
        <v>1745</v>
      </c>
      <c r="I6" s="567" t="s">
        <v>182</v>
      </c>
      <c r="J6" s="568"/>
      <c r="K6" s="567"/>
      <c r="L6" s="567" t="s">
        <v>325</v>
      </c>
      <c r="M6" s="567" t="s">
        <v>677</v>
      </c>
      <c r="N6" s="567"/>
      <c r="O6" s="567"/>
      <c r="P6" s="567"/>
      <c r="Q6" s="565"/>
      <c r="R6" s="566"/>
      <c r="S6" s="566"/>
      <c r="T6" s="565"/>
      <c r="U6" s="565"/>
      <c r="V6" s="565"/>
      <c r="W6" s="569"/>
      <c r="X6" s="569"/>
      <c r="Y6" s="569"/>
      <c r="Z6" s="569"/>
      <c r="AA6" s="569"/>
      <c r="AB6" s="569"/>
      <c r="AC6" s="567" t="str">
        <f t="shared" ref="AC6:AC69" si="1">IF(OR(AT6&gt;8,AT6&lt;-8),"PH",
IF(OR(AT6&gt;5,AT6&lt;-5),"PHQ",
IF(OR(AT6&gt;1,AT6&lt;-1),
"PHC","")))</f>
        <v/>
      </c>
      <c r="AD6" s="567"/>
      <c r="AE6" s="567"/>
      <c r="AF6" s="565"/>
      <c r="AG6" s="564"/>
      <c r="AH6" s="565"/>
      <c r="AI6" s="565"/>
      <c r="AJ6" s="567"/>
      <c r="AK6" s="567"/>
      <c r="AL6" s="567" t="s">
        <v>1113</v>
      </c>
      <c r="AM6" s="567" t="s">
        <v>487</v>
      </c>
      <c r="AN6" s="569">
        <v>5.5</v>
      </c>
      <c r="AO6" s="567"/>
      <c r="AP6" s="567"/>
      <c r="AQ6" s="569"/>
      <c r="AR6" s="569"/>
      <c r="AS6" s="569"/>
      <c r="AT6" s="569"/>
      <c r="AU6" s="570"/>
      <c r="AV6" s="570"/>
      <c r="AW6" s="567"/>
      <c r="AX6" s="567"/>
      <c r="AY6" s="569"/>
      <c r="AZ6" s="569"/>
      <c r="BA6" s="517" t="str">
        <f t="shared" ref="BA6:BB69" si="2">IF(AY6="","",IF(AY6&gt;0,"ü",""))</f>
        <v/>
      </c>
      <c r="BB6" s="517" t="str">
        <f t="shared" ref="BB6:BB15" si="3">IF(AZ6="","",IF(AZ6&gt;0,"ü",""))</f>
        <v/>
      </c>
      <c r="BC6" s="517" t="str">
        <f t="shared" ref="BC6:BC15" si="4">IF(M6="","",IF(M6="Unique Solution","ü",""))</f>
        <v/>
      </c>
      <c r="BD6" s="571"/>
      <c r="BE6" s="448" t="s">
        <v>1726</v>
      </c>
      <c r="BF6" s="306"/>
      <c r="BG6" s="306"/>
      <c r="BH6" s="306"/>
      <c r="BI6" s="306"/>
    </row>
    <row r="7" spans="1:63" ht="16.2" customHeight="1">
      <c r="A7" s="561"/>
      <c r="B7" s="562"/>
      <c r="C7" s="563"/>
      <c r="D7" s="564"/>
      <c r="E7" s="565"/>
      <c r="F7" s="565"/>
      <c r="G7" s="566">
        <v>42</v>
      </c>
      <c r="H7" s="567"/>
      <c r="I7" s="567"/>
      <c r="J7" s="568"/>
      <c r="K7" s="567"/>
      <c r="L7" s="567"/>
      <c r="M7" s="567" t="str">
        <f>IF(L7="","",
IF(AX7="PT",VLOOKUP(L7,Foundation_Calc!$V$4:$X$37,VLOOKUP(AX7,Foundation_Calc!$I$10:$J$13,2,FALSE),0),
IF(AX7="K",VLOOKUP(L7,Foundation_Calc!$V$41:$X$74,VLOOKUP(AX7,Foundation_Calc!$I$10:$J$13,2,FALSE),0),"")))</f>
        <v/>
      </c>
      <c r="N7" s="567"/>
      <c r="O7" s="567"/>
      <c r="P7" s="567"/>
      <c r="Q7" s="565"/>
      <c r="R7" s="566"/>
      <c r="S7" s="566"/>
      <c r="T7" s="565"/>
      <c r="U7" s="565"/>
      <c r="V7" s="565"/>
      <c r="W7" s="569"/>
      <c r="X7" s="569"/>
      <c r="Y7" s="569"/>
      <c r="Z7" s="569"/>
      <c r="AA7" s="569"/>
      <c r="AB7" s="569"/>
      <c r="AC7" s="567" t="str">
        <f t="shared" si="1"/>
        <v/>
      </c>
      <c r="AD7" s="567"/>
      <c r="AE7" s="567"/>
      <c r="AF7" s="565"/>
      <c r="AG7" s="564"/>
      <c r="AH7" s="565"/>
      <c r="AI7" s="565"/>
      <c r="AJ7" s="567"/>
      <c r="AK7" s="567"/>
      <c r="AL7" s="567"/>
      <c r="AM7" s="567"/>
      <c r="AN7" s="569"/>
      <c r="AO7" s="567"/>
      <c r="AP7" s="567"/>
      <c r="AQ7" s="569"/>
      <c r="AR7" s="569"/>
      <c r="AS7" s="569"/>
      <c r="AT7" s="569"/>
      <c r="AU7" s="570"/>
      <c r="AV7" s="570"/>
      <c r="AW7" s="567"/>
      <c r="AX7" s="567"/>
      <c r="AY7" s="569"/>
      <c r="AZ7" s="569"/>
      <c r="BA7" s="517" t="str">
        <f t="shared" si="2"/>
        <v/>
      </c>
      <c r="BB7" s="517" t="str">
        <f t="shared" si="3"/>
        <v/>
      </c>
      <c r="BC7" s="517" t="str">
        <f t="shared" si="4"/>
        <v/>
      </c>
      <c r="BD7" s="571"/>
      <c r="BE7" s="448" t="s">
        <v>1726</v>
      </c>
      <c r="BF7" s="305"/>
      <c r="BG7" s="305"/>
      <c r="BH7" s="306"/>
      <c r="BI7" s="305"/>
    </row>
    <row r="8" spans="1:63" ht="16.2" customHeight="1">
      <c r="A8" s="561" t="s">
        <v>2392</v>
      </c>
      <c r="B8" s="562" t="s">
        <v>2199</v>
      </c>
      <c r="C8" s="563">
        <v>20861</v>
      </c>
      <c r="D8" s="564"/>
      <c r="E8" s="565"/>
      <c r="F8" s="565">
        <v>3000</v>
      </c>
      <c r="G8" s="566"/>
      <c r="H8" s="567" t="s">
        <v>2203</v>
      </c>
      <c r="I8" s="567" t="s">
        <v>653</v>
      </c>
      <c r="J8" s="568"/>
      <c r="K8" s="567"/>
      <c r="L8" s="567" t="s">
        <v>448</v>
      </c>
      <c r="M8" s="567" t="s">
        <v>2393</v>
      </c>
      <c r="N8" s="567" t="s">
        <v>28</v>
      </c>
      <c r="O8" s="567" t="s">
        <v>32</v>
      </c>
      <c r="P8" s="567" t="s">
        <v>28</v>
      </c>
      <c r="Q8" s="565"/>
      <c r="R8" s="566"/>
      <c r="S8" s="566"/>
      <c r="T8" s="565">
        <v>25</v>
      </c>
      <c r="U8" s="565">
        <v>-35</v>
      </c>
      <c r="V8" s="565">
        <v>-15</v>
      </c>
      <c r="W8" s="569">
        <v>1.4</v>
      </c>
      <c r="X8" s="569">
        <v>2.5</v>
      </c>
      <c r="Y8" s="569">
        <v>2</v>
      </c>
      <c r="Z8" s="569">
        <v>0.5</v>
      </c>
      <c r="AA8" s="569"/>
      <c r="AB8" s="569">
        <v>0.45</v>
      </c>
      <c r="AC8" s="567" t="str">
        <f t="shared" si="1"/>
        <v/>
      </c>
      <c r="AD8" s="567"/>
      <c r="AE8" s="567"/>
      <c r="AF8" s="565"/>
      <c r="AG8" s="564"/>
      <c r="AH8" s="565"/>
      <c r="AI8" s="565"/>
      <c r="AJ8" s="567" t="s">
        <v>1162</v>
      </c>
      <c r="AK8" s="567"/>
      <c r="AL8" s="567"/>
      <c r="AM8" s="567" t="s">
        <v>487</v>
      </c>
      <c r="AN8" s="569">
        <v>5.5</v>
      </c>
      <c r="AO8" s="567"/>
      <c r="AP8" s="567"/>
      <c r="AQ8" s="569"/>
      <c r="AR8" s="569"/>
      <c r="AS8" s="569"/>
      <c r="AT8" s="569"/>
      <c r="AU8" s="570"/>
      <c r="AV8" s="570"/>
      <c r="AW8" s="567"/>
      <c r="AX8" s="567"/>
      <c r="AY8" s="569"/>
      <c r="AZ8" s="569"/>
      <c r="BA8" s="517" t="str">
        <f t="shared" si="2"/>
        <v/>
      </c>
      <c r="BB8" s="517" t="str">
        <f t="shared" si="3"/>
        <v/>
      </c>
      <c r="BC8" s="517" t="str">
        <f t="shared" si="4"/>
        <v/>
      </c>
      <c r="BD8" s="571"/>
      <c r="BE8" s="448" t="s">
        <v>1726</v>
      </c>
      <c r="BF8" s="306"/>
      <c r="BG8" s="306"/>
      <c r="BH8" s="306"/>
      <c r="BI8" s="306"/>
    </row>
    <row r="9" spans="1:63" ht="16.2" customHeight="1">
      <c r="A9" s="561"/>
      <c r="B9" s="562"/>
      <c r="C9" s="563"/>
      <c r="D9" s="564"/>
      <c r="E9" s="565"/>
      <c r="F9" s="565"/>
      <c r="G9" s="566">
        <v>50</v>
      </c>
      <c r="H9" s="567"/>
      <c r="I9" s="567" t="s">
        <v>2204</v>
      </c>
      <c r="J9" s="568">
        <f>C8+7.5</f>
        <v>20868.5</v>
      </c>
      <c r="K9" s="567" t="s">
        <v>1096</v>
      </c>
      <c r="L9" s="567"/>
      <c r="M9" s="567" t="str">
        <f>IF(L9="","",
IF(AX9="PT",VLOOKUP(L9,Foundation_Calc!$V$4:$X$37,VLOOKUP(AX9,Foundation_Calc!$I$10:$J$13,2,FALSE),0),
IF(AX9="K",VLOOKUP(L9,Foundation_Calc!$V$41:$X$74,VLOOKUP(AX9,Foundation_Calc!$I$10:$J$13,2,FALSE),0),"")))</f>
        <v/>
      </c>
      <c r="N9" s="567"/>
      <c r="O9" s="567"/>
      <c r="P9" s="567"/>
      <c r="Q9" s="565"/>
      <c r="R9" s="566"/>
      <c r="S9" s="566"/>
      <c r="T9" s="565"/>
      <c r="U9" s="565"/>
      <c r="V9" s="565"/>
      <c r="W9" s="569"/>
      <c r="X9" s="569"/>
      <c r="Y9" s="569"/>
      <c r="Z9" s="569"/>
      <c r="AA9" s="569"/>
      <c r="AB9" s="569"/>
      <c r="AC9" s="567" t="str">
        <f t="shared" si="1"/>
        <v/>
      </c>
      <c r="AD9" s="567"/>
      <c r="AE9" s="567"/>
      <c r="AF9" s="565"/>
      <c r="AG9" s="564"/>
      <c r="AH9" s="565"/>
      <c r="AI9" s="565"/>
      <c r="AJ9" s="567" t="s">
        <v>730</v>
      </c>
      <c r="AK9" s="567"/>
      <c r="AL9" s="567"/>
      <c r="AM9" s="567"/>
      <c r="AN9" s="569"/>
      <c r="AO9" s="567"/>
      <c r="AP9" s="567"/>
      <c r="AQ9" s="569"/>
      <c r="AR9" s="569"/>
      <c r="AS9" s="569"/>
      <c r="AT9" s="569"/>
      <c r="AU9" s="570"/>
      <c r="AV9" s="570"/>
      <c r="AW9" s="567"/>
      <c r="AX9" s="567"/>
      <c r="AY9" s="569"/>
      <c r="AZ9" s="569"/>
      <c r="BA9" s="517" t="str">
        <f t="shared" si="2"/>
        <v/>
      </c>
      <c r="BB9" s="517" t="str">
        <f t="shared" si="3"/>
        <v/>
      </c>
      <c r="BC9" s="517" t="str">
        <f t="shared" si="4"/>
        <v/>
      </c>
      <c r="BD9" s="571"/>
      <c r="BE9" s="448" t="s">
        <v>1726</v>
      </c>
      <c r="BF9" s="305"/>
      <c r="BG9" s="305"/>
      <c r="BH9" s="306"/>
      <c r="BI9" s="305"/>
    </row>
    <row r="10" spans="1:63" ht="16.2" customHeight="1">
      <c r="A10" s="561"/>
      <c r="B10" s="562" t="s">
        <v>2200</v>
      </c>
      <c r="C10" s="563">
        <v>20821</v>
      </c>
      <c r="D10" s="564"/>
      <c r="E10" s="565"/>
      <c r="F10" s="565">
        <v>3000</v>
      </c>
      <c r="G10" s="566"/>
      <c r="H10" s="567" t="s">
        <v>388</v>
      </c>
      <c r="I10" s="567" t="s">
        <v>183</v>
      </c>
      <c r="J10" s="568"/>
      <c r="K10" s="567"/>
      <c r="L10" s="567" t="s">
        <v>452</v>
      </c>
      <c r="M10" s="567" t="s">
        <v>674</v>
      </c>
      <c r="N10" s="567"/>
      <c r="O10" s="567"/>
      <c r="P10" s="567"/>
      <c r="Q10" s="565"/>
      <c r="R10" s="566"/>
      <c r="S10" s="566"/>
      <c r="T10" s="565"/>
      <c r="U10" s="565"/>
      <c r="V10" s="565"/>
      <c r="W10" s="569"/>
      <c r="X10" s="569"/>
      <c r="Y10" s="569"/>
      <c r="Z10" s="569"/>
      <c r="AA10" s="569"/>
      <c r="AB10" s="569"/>
      <c r="AC10" s="567" t="str">
        <f t="shared" si="1"/>
        <v/>
      </c>
      <c r="AD10" s="567"/>
      <c r="AE10" s="567"/>
      <c r="AF10" s="565"/>
      <c r="AG10" s="564"/>
      <c r="AH10" s="565"/>
      <c r="AI10" s="565"/>
      <c r="AJ10" s="567"/>
      <c r="AK10" s="567"/>
      <c r="AL10" s="567"/>
      <c r="AM10" s="567" t="s">
        <v>487</v>
      </c>
      <c r="AN10" s="569"/>
      <c r="AO10" s="567"/>
      <c r="AP10" s="567"/>
      <c r="AQ10" s="569"/>
      <c r="AR10" s="569"/>
      <c r="AS10" s="569"/>
      <c r="AT10" s="569"/>
      <c r="AU10" s="570"/>
      <c r="AV10" s="570"/>
      <c r="AW10" s="567"/>
      <c r="AX10" s="567"/>
      <c r="AY10" s="569"/>
      <c r="AZ10" s="569"/>
      <c r="BA10" s="517" t="str">
        <f t="shared" si="2"/>
        <v/>
      </c>
      <c r="BB10" s="517" t="str">
        <f t="shared" si="3"/>
        <v/>
      </c>
      <c r="BC10" s="517" t="str">
        <f t="shared" si="4"/>
        <v/>
      </c>
      <c r="BD10" s="571"/>
      <c r="BE10" s="448" t="s">
        <v>1726</v>
      </c>
      <c r="BF10" s="306"/>
      <c r="BG10" s="306"/>
      <c r="BH10" s="306"/>
      <c r="BI10" s="306"/>
    </row>
    <row r="11" spans="1:63" ht="16.2" customHeight="1">
      <c r="A11" s="561"/>
      <c r="B11" s="562"/>
      <c r="C11" s="563"/>
      <c r="D11" s="564"/>
      <c r="E11" s="565"/>
      <c r="F11" s="565"/>
      <c r="G11" s="566">
        <v>10</v>
      </c>
      <c r="H11" s="567"/>
      <c r="I11" s="567"/>
      <c r="J11" s="568">
        <f>C10+7.5</f>
        <v>20828.5</v>
      </c>
      <c r="K11" s="567" t="s">
        <v>1095</v>
      </c>
      <c r="L11" s="567"/>
      <c r="M11" s="567" t="str">
        <f>IF(L11="","",
IF(AX11="PT",VLOOKUP(L11,Foundation_Calc!$V$4:$X$37,VLOOKUP(AX11,Foundation_Calc!$I$10:$J$13,2,FALSE),0),
IF(AX11="K",VLOOKUP(L11,Foundation_Calc!$V$41:$X$74,VLOOKUP(AX11,Foundation_Calc!$I$10:$J$13,2,FALSE),0),"")))</f>
        <v/>
      </c>
      <c r="N11" s="567"/>
      <c r="O11" s="567"/>
      <c r="P11" s="567"/>
      <c r="Q11" s="565"/>
      <c r="R11" s="566"/>
      <c r="S11" s="566"/>
      <c r="T11" s="565"/>
      <c r="U11" s="565"/>
      <c r="V11" s="565"/>
      <c r="W11" s="569"/>
      <c r="X11" s="569"/>
      <c r="Y11" s="569"/>
      <c r="Z11" s="569"/>
      <c r="AA11" s="569"/>
      <c r="AB11" s="569"/>
      <c r="AC11" s="567" t="str">
        <f t="shared" si="1"/>
        <v/>
      </c>
      <c r="AD11" s="567"/>
      <c r="AE11" s="567"/>
      <c r="AF11" s="565"/>
      <c r="AG11" s="564"/>
      <c r="AH11" s="565"/>
      <c r="AI11" s="565"/>
      <c r="AJ11" s="567"/>
      <c r="AK11" s="567"/>
      <c r="AL11" s="567"/>
      <c r="AM11" s="567"/>
      <c r="AN11" s="569"/>
      <c r="AO11" s="567"/>
      <c r="AP11" s="567"/>
      <c r="AQ11" s="569"/>
      <c r="AR11" s="569"/>
      <c r="AS11" s="569"/>
      <c r="AT11" s="569"/>
      <c r="AU11" s="570"/>
      <c r="AV11" s="570"/>
      <c r="AW11" s="567"/>
      <c r="AX11" s="567"/>
      <c r="AY11" s="569"/>
      <c r="AZ11" s="569"/>
      <c r="BA11" s="517" t="str">
        <f t="shared" si="2"/>
        <v/>
      </c>
      <c r="BB11" s="517" t="str">
        <f t="shared" si="3"/>
        <v/>
      </c>
      <c r="BC11" s="517" t="str">
        <f t="shared" si="4"/>
        <v/>
      </c>
      <c r="BD11" s="571"/>
      <c r="BE11" s="448" t="s">
        <v>1726</v>
      </c>
      <c r="BF11" s="305"/>
      <c r="BG11" s="305"/>
      <c r="BH11" s="306"/>
      <c r="BI11" s="305"/>
    </row>
    <row r="12" spans="1:63" ht="16.2" customHeight="1">
      <c r="A12" s="561"/>
      <c r="B12" s="562" t="s">
        <v>2201</v>
      </c>
      <c r="C12" s="563">
        <v>20811</v>
      </c>
      <c r="D12" s="564"/>
      <c r="E12" s="565"/>
      <c r="F12" s="565">
        <v>3000</v>
      </c>
      <c r="G12" s="566"/>
      <c r="H12" s="567" t="s">
        <v>179</v>
      </c>
      <c r="I12" s="567"/>
      <c r="J12" s="568"/>
      <c r="K12" s="567"/>
      <c r="L12" s="567" t="s">
        <v>448</v>
      </c>
      <c r="M12" s="567" t="s">
        <v>2393</v>
      </c>
      <c r="N12" s="567" t="s">
        <v>32</v>
      </c>
      <c r="O12" s="567" t="s">
        <v>28</v>
      </c>
      <c r="P12" s="567"/>
      <c r="Q12" s="565"/>
      <c r="R12" s="566"/>
      <c r="S12" s="566"/>
      <c r="T12" s="565">
        <v>10</v>
      </c>
      <c r="U12" s="565">
        <v>-35</v>
      </c>
      <c r="V12" s="565"/>
      <c r="W12" s="569">
        <v>1.4</v>
      </c>
      <c r="X12" s="569">
        <v>2.2999999999999998</v>
      </c>
      <c r="Y12" s="569"/>
      <c r="Z12" s="569"/>
      <c r="AA12" s="569">
        <v>0.6</v>
      </c>
      <c r="AB12" s="569"/>
      <c r="AC12" s="567" t="str">
        <f t="shared" si="1"/>
        <v/>
      </c>
      <c r="AD12" s="567"/>
      <c r="AE12" s="567"/>
      <c r="AF12" s="565"/>
      <c r="AG12" s="564"/>
      <c r="AH12" s="565"/>
      <c r="AI12" s="565"/>
      <c r="AJ12" s="567"/>
      <c r="AK12" s="567"/>
      <c r="AL12" s="567"/>
      <c r="AM12" s="567" t="s">
        <v>487</v>
      </c>
      <c r="AN12" s="569">
        <v>5.5</v>
      </c>
      <c r="AO12" s="567"/>
      <c r="AP12" s="567"/>
      <c r="AQ12" s="569"/>
      <c r="AR12" s="569"/>
      <c r="AS12" s="569"/>
      <c r="AT12" s="569"/>
      <c r="AU12" s="570"/>
      <c r="AV12" s="570"/>
      <c r="AW12" s="567"/>
      <c r="AX12" s="567"/>
      <c r="AY12" s="569"/>
      <c r="AZ12" s="569"/>
      <c r="BA12" s="517" t="str">
        <f t="shared" si="2"/>
        <v/>
      </c>
      <c r="BB12" s="517" t="str">
        <f t="shared" si="3"/>
        <v/>
      </c>
      <c r="BC12" s="517" t="str">
        <f t="shared" si="4"/>
        <v/>
      </c>
      <c r="BD12" s="571"/>
      <c r="BE12" s="448" t="s">
        <v>1726</v>
      </c>
      <c r="BF12" s="306"/>
      <c r="BG12" s="306"/>
      <c r="BH12" s="306"/>
      <c r="BI12" s="306"/>
    </row>
    <row r="13" spans="1:63" ht="16.2" customHeight="1">
      <c r="A13" s="561"/>
      <c r="B13" s="562"/>
      <c r="C13" s="563"/>
      <c r="D13" s="564"/>
      <c r="E13" s="565"/>
      <c r="F13" s="565"/>
      <c r="G13" s="566">
        <v>41.9</v>
      </c>
      <c r="H13" s="567"/>
      <c r="I13" s="567"/>
      <c r="J13" s="568"/>
      <c r="K13" s="567"/>
      <c r="L13" s="567"/>
      <c r="M13" s="567" t="str">
        <f>IF(L13="","",
IF(AX13="PT",VLOOKUP(L13,Foundation_Calc!$V$4:$X$37,VLOOKUP(AX13,Foundation_Calc!$I$10:$J$13,2,FALSE),0),
IF(AX13="K",VLOOKUP(L13,Foundation_Calc!$V$41:$X$74,VLOOKUP(AX13,Foundation_Calc!$I$10:$J$13,2,FALSE),0),"")))</f>
        <v/>
      </c>
      <c r="N13" s="567"/>
      <c r="O13" s="567"/>
      <c r="P13" s="567"/>
      <c r="Q13" s="565"/>
      <c r="R13" s="566"/>
      <c r="S13" s="566"/>
      <c r="T13" s="565"/>
      <c r="U13" s="565"/>
      <c r="V13" s="565"/>
      <c r="W13" s="569"/>
      <c r="X13" s="569"/>
      <c r="Y13" s="569"/>
      <c r="Z13" s="569"/>
      <c r="AA13" s="569"/>
      <c r="AB13" s="569"/>
      <c r="AC13" s="567" t="str">
        <f t="shared" si="1"/>
        <v/>
      </c>
      <c r="AD13" s="567"/>
      <c r="AE13" s="567"/>
      <c r="AF13" s="565"/>
      <c r="AG13" s="564"/>
      <c r="AH13" s="565"/>
      <c r="AI13" s="565"/>
      <c r="AJ13" s="567"/>
      <c r="AK13" s="567"/>
      <c r="AL13" s="567"/>
      <c r="AM13" s="567"/>
      <c r="AN13" s="569"/>
      <c r="AO13" s="567"/>
      <c r="AP13" s="567"/>
      <c r="AQ13" s="569"/>
      <c r="AR13" s="569"/>
      <c r="AS13" s="569"/>
      <c r="AT13" s="569"/>
      <c r="AU13" s="570"/>
      <c r="AV13" s="570"/>
      <c r="AW13" s="567"/>
      <c r="AX13" s="567"/>
      <c r="AY13" s="569"/>
      <c r="AZ13" s="569"/>
      <c r="BA13" s="517" t="str">
        <f t="shared" si="2"/>
        <v/>
      </c>
      <c r="BB13" s="517" t="str">
        <f t="shared" si="3"/>
        <v/>
      </c>
      <c r="BC13" s="517" t="str">
        <f t="shared" si="4"/>
        <v/>
      </c>
      <c r="BD13" s="571"/>
      <c r="BE13" s="448" t="s">
        <v>1726</v>
      </c>
      <c r="BF13" s="305"/>
      <c r="BG13" s="305"/>
      <c r="BH13" s="306"/>
      <c r="BI13" s="305"/>
    </row>
    <row r="14" spans="1:63" ht="16.2" customHeight="1">
      <c r="A14" s="561"/>
      <c r="B14" s="562" t="s">
        <v>2202</v>
      </c>
      <c r="C14" s="563">
        <v>20769</v>
      </c>
      <c r="D14" s="564"/>
      <c r="E14" s="565"/>
      <c r="F14" s="565">
        <v>3000</v>
      </c>
      <c r="G14" s="566"/>
      <c r="H14" s="567" t="s">
        <v>26</v>
      </c>
      <c r="I14" s="567" t="s">
        <v>183</v>
      </c>
      <c r="J14" s="568"/>
      <c r="K14" s="567"/>
      <c r="L14" s="567" t="s">
        <v>2394</v>
      </c>
      <c r="M14" s="567" t="s">
        <v>678</v>
      </c>
      <c r="N14" s="567" t="s">
        <v>32</v>
      </c>
      <c r="O14" s="567"/>
      <c r="P14" s="567"/>
      <c r="Q14" s="565"/>
      <c r="R14" s="566"/>
      <c r="S14" s="566"/>
      <c r="T14" s="565">
        <v>-25</v>
      </c>
      <c r="U14" s="565"/>
      <c r="V14" s="565"/>
      <c r="W14" s="569">
        <v>1.4</v>
      </c>
      <c r="X14" s="569"/>
      <c r="Y14" s="569"/>
      <c r="Z14" s="569"/>
      <c r="AA14" s="569"/>
      <c r="AB14" s="569"/>
      <c r="AC14" s="567" t="str">
        <f t="shared" si="1"/>
        <v/>
      </c>
      <c r="AD14" s="567"/>
      <c r="AE14" s="567"/>
      <c r="AF14" s="565"/>
      <c r="AG14" s="564"/>
      <c r="AH14" s="565"/>
      <c r="AI14" s="565"/>
      <c r="AJ14" s="567"/>
      <c r="AK14" s="567"/>
      <c r="AL14" s="567"/>
      <c r="AM14" s="567" t="s">
        <v>487</v>
      </c>
      <c r="AN14" s="569">
        <v>5.5</v>
      </c>
      <c r="AO14" s="567"/>
      <c r="AP14" s="567"/>
      <c r="AQ14" s="569"/>
      <c r="AR14" s="569"/>
      <c r="AS14" s="569"/>
      <c r="AT14" s="569"/>
      <c r="AU14" s="570"/>
      <c r="AV14" s="570"/>
      <c r="AW14" s="567"/>
      <c r="AX14" s="567"/>
      <c r="AY14" s="569"/>
      <c r="AZ14" s="569"/>
      <c r="BA14" s="517" t="str">
        <f t="shared" si="2"/>
        <v/>
      </c>
      <c r="BB14" s="517" t="str">
        <f t="shared" si="3"/>
        <v/>
      </c>
      <c r="BC14" s="517" t="str">
        <f t="shared" si="4"/>
        <v/>
      </c>
      <c r="BD14" s="571"/>
      <c r="BE14" s="448" t="s">
        <v>1726</v>
      </c>
      <c r="BF14" s="306"/>
      <c r="BG14" s="306"/>
      <c r="BH14" s="306"/>
      <c r="BI14" s="306"/>
    </row>
    <row r="15" spans="1:63" ht="16.2" customHeight="1">
      <c r="A15" s="573"/>
      <c r="B15" s="469"/>
      <c r="C15" s="3"/>
      <c r="D15" s="88"/>
      <c r="E15" s="4"/>
      <c r="F15" s="4"/>
      <c r="G15" s="6">
        <v>48.9</v>
      </c>
      <c r="H15" s="567"/>
      <c r="I15" s="567"/>
      <c r="J15" s="568">
        <f>C14+7.5</f>
        <v>20776.5</v>
      </c>
      <c r="K15" s="567" t="s">
        <v>1095</v>
      </c>
      <c r="L15" s="567"/>
      <c r="M15" s="567" t="str">
        <f>IF(L15="","",
IF(AX15="PT",VLOOKUP(L15,Foundation_Calc!$V$4:$X$37,VLOOKUP(AX15,Foundation_Calc!$I$10:$J$13,2,FALSE),0),
IF(AX15="K",VLOOKUP(L15,Foundation_Calc!$V$41:$X$74,VLOOKUP(AX15,Foundation_Calc!$I$10:$J$13,2,FALSE),0),"")))</f>
        <v/>
      </c>
      <c r="N15" s="567"/>
      <c r="O15" s="567"/>
      <c r="P15" s="567"/>
      <c r="Q15" s="565"/>
      <c r="R15" s="566"/>
      <c r="S15" s="566"/>
      <c r="T15" s="565"/>
      <c r="U15" s="565"/>
      <c r="V15" s="565"/>
      <c r="W15" s="569"/>
      <c r="X15" s="569"/>
      <c r="Y15" s="569"/>
      <c r="Z15" s="569"/>
      <c r="AA15" s="569"/>
      <c r="AB15" s="569"/>
      <c r="AC15" s="567" t="str">
        <f t="shared" si="1"/>
        <v/>
      </c>
      <c r="AD15" s="567"/>
      <c r="AE15" s="567"/>
      <c r="AF15" s="565"/>
      <c r="AG15" s="564"/>
      <c r="AH15" s="565"/>
      <c r="AI15" s="565"/>
      <c r="AJ15" s="567"/>
      <c r="AK15" s="567"/>
      <c r="AL15" s="567"/>
      <c r="AM15" s="567"/>
      <c r="AN15" s="569"/>
      <c r="AO15" s="567"/>
      <c r="AP15" s="567"/>
      <c r="AQ15" s="569">
        <f>+FL_2($T$16,$T$14,$G$15,1200,9.28,-1*$F$16)</f>
        <v>-0.25274956151152467</v>
      </c>
      <c r="AR15" s="569"/>
      <c r="AS15" s="569"/>
      <c r="AT15" s="569"/>
      <c r="AU15" s="570"/>
      <c r="AV15" s="570"/>
      <c r="AW15" s="567"/>
      <c r="AX15" s="567"/>
      <c r="AY15" s="569"/>
      <c r="AZ15" s="569"/>
      <c r="BA15" s="517" t="str">
        <f t="shared" si="2"/>
        <v/>
      </c>
      <c r="BB15" s="517" t="str">
        <f t="shared" si="3"/>
        <v/>
      </c>
      <c r="BC15" s="517" t="str">
        <f t="shared" si="4"/>
        <v/>
      </c>
      <c r="BD15" s="571" t="str">
        <f>IF(AND(L15="",H15=""),"",
IF(H15="",Pole_Calc!A19,
IF(H15="MP",Pole_Calc!A20,
IF(H15="AnMP",Pole_Calc!A21,
IF(H15="A",Pole_Calc!A22,
IF(H15="S/A",Pole_Calc!A23,
IF(H15="A/S",Pole_Calc!A24,"Poner a mano")))))))</f>
        <v/>
      </c>
      <c r="BE15" s="448" t="s">
        <v>1726</v>
      </c>
      <c r="BF15" s="305"/>
      <c r="BG15" s="305"/>
      <c r="BH15" s="306"/>
      <c r="BI15" s="305"/>
    </row>
    <row r="16" spans="1:63" ht="16.2" customHeight="1">
      <c r="A16" s="573"/>
      <c r="B16" s="469" t="s">
        <v>2226</v>
      </c>
      <c r="C16" s="3">
        <v>2890.18</v>
      </c>
      <c r="D16" s="88"/>
      <c r="E16" s="4"/>
      <c r="F16" s="4">
        <v>3000</v>
      </c>
      <c r="G16" s="6"/>
      <c r="H16" s="468"/>
      <c r="I16" s="468"/>
      <c r="J16" s="3"/>
      <c r="K16" s="468"/>
      <c r="L16" s="468" t="s">
        <v>37</v>
      </c>
      <c r="M16" s="468" t="str">
        <f>IF(L16="","",
IF(AX16="PT",VLOOKUP(L16,Foundation_Calc!$V$79:$X$112,VLOOKUP(AX16,Foundation_Calc!$I$10:$J$13,2,FALSE),0),
IF(AX16="K",VLOOKUP(L16,Foundation_Calc!$V$116:$X$149,VLOOKUP(AX16,Foundation_Calc!$I$10:$J$13,2,FALSE),0),"")))</f>
        <v>C3R</v>
      </c>
      <c r="N16" s="468" t="s">
        <v>33</v>
      </c>
      <c r="O16" s="468"/>
      <c r="P16" s="468"/>
      <c r="Q16" s="4"/>
      <c r="R16" s="6"/>
      <c r="S16" s="6"/>
      <c r="T16" s="4">
        <v>20</v>
      </c>
      <c r="U16" s="4"/>
      <c r="V16" s="4"/>
      <c r="W16" s="9">
        <v>1.4</v>
      </c>
      <c r="X16" s="9"/>
      <c r="Y16" s="9"/>
      <c r="Z16" s="9"/>
      <c r="AA16" s="9"/>
      <c r="AB16" s="9"/>
      <c r="AC16" s="468" t="str">
        <f t="shared" si="1"/>
        <v>PH</v>
      </c>
      <c r="AD16" s="468"/>
      <c r="AE16" s="468"/>
      <c r="AF16" s="4"/>
      <c r="AG16" s="88"/>
      <c r="AH16" s="4"/>
      <c r="AI16" s="4"/>
      <c r="AJ16" s="468"/>
      <c r="AK16" s="468"/>
      <c r="AL16" s="468"/>
      <c r="AM16" s="468" t="s">
        <v>487</v>
      </c>
      <c r="AN16" s="10">
        <v>5.5</v>
      </c>
      <c r="AO16" s="9"/>
      <c r="AP16" s="9"/>
      <c r="AQ16" s="9"/>
      <c r="AR16" s="9"/>
      <c r="AS16" s="9"/>
      <c r="AT16" s="9">
        <f>+ab($T$16,$T$14,$T$18,$G$15,$G$17,-1*$F$16,1200)</f>
        <v>42.003776000002539</v>
      </c>
      <c r="AU16" s="447"/>
      <c r="AV16" s="447"/>
      <c r="AW16" s="468" t="str">
        <f>IF(C16&gt;0,VLOOKUP(C16,Foundation_Calc!$A$20:$C$25,3,1),
IF(J16&gt;0,VLOOKUP(J16,Foundation_Calc!$A$20:$C$25,3,1),""))</f>
        <v>MultiSoil</v>
      </c>
      <c r="AX16" s="468" t="str">
        <f>IF(C16&gt;0,VLOOKUP(C16,Foundation_Calc!$E$20:$G$25,3,1),
IF(J16&gt;0,VLOOKUP(J16,Foundation_Calc!$E$20:$G$25,3,1),""))</f>
        <v>PT</v>
      </c>
      <c r="AY16" s="10">
        <f>IF(L16="","",
IF(AX16="PT",VLOOKUP(L16,Foundation_Calc!$K$79:$R$112,VLOOKUP(AW16,Foundation_Calc!$I$2:$J$8,2,FALSE),0),
IF(AX16="K",VLOOKUP(L16,Foundation_Calc!$K$116:$R$149,VLOOKUP(AW16,Foundation_Calc!$I$2:$J$8,2,FALSE),0),"")))</f>
        <v>3.5</v>
      </c>
      <c r="AZ16" s="10" t="str">
        <f>IF(K16="","",
IF(AX16="PT",VLOOKUP(K16,Foundation_Calc!$K$79:$R$112,VLOOKUP(AW16,Foundation_Calc!$I$2:$J$8,2,FALSE),0),
IF(AX16="K",VLOOKUP(K16,Foundation_Calc!$K$116:$R$149,VLOOKUP(AW16,Foundation_Calc!$I$2:$J$8,2,FALSE),0),"")))</f>
        <v/>
      </c>
      <c r="BA16" s="553" t="str">
        <f t="shared" si="2"/>
        <v>ü</v>
      </c>
      <c r="BB16" s="553" t="str">
        <f t="shared" si="2"/>
        <v/>
      </c>
      <c r="BC16" s="553" t="str">
        <f t="shared" ref="BC16:BC79" si="5">IF(M16="","",IF(M16="U.S.","ü",IF(M16="U.S. N.D.","ü","")))</f>
        <v/>
      </c>
      <c r="BD16" s="572" t="str">
        <f>IF(AND(L16="",H16=""),"",
IF(H16="",Pole_Calc!A$9,
IF(H16="MP",Pole_Calc!A$10,
IF(H16="AnMP",Pole_Calc!A$11,
IF(H16="A",Pole_Calc!A$12,
IF(H16="S/A",Pole_Calc!A$13,
IF(H16="A/S",Pole_Calc!A$14,"Poner a mano")))))))</f>
        <v>App.7-V11H-P9.5.1.1</v>
      </c>
      <c r="BE16" s="448" t="s">
        <v>1726</v>
      </c>
      <c r="BF16" s="306"/>
      <c r="BG16" s="306"/>
      <c r="BH16" s="306"/>
      <c r="BI16" s="306"/>
    </row>
    <row r="17" spans="1:61" ht="16.2" customHeight="1">
      <c r="A17" s="573"/>
      <c r="B17" s="469"/>
      <c r="C17" s="3"/>
      <c r="D17" s="88"/>
      <c r="E17" s="4"/>
      <c r="F17" s="4"/>
      <c r="G17" s="6">
        <v>50</v>
      </c>
      <c r="H17" s="468"/>
      <c r="I17" s="468"/>
      <c r="J17" s="3"/>
      <c r="K17" s="468"/>
      <c r="L17" s="468"/>
      <c r="M17" s="468" t="str">
        <f>IF(L17="","",
IF(AX17="PT",VLOOKUP(L17,Foundation_Calc!$V$79:$X$112,VLOOKUP(AX17,Foundation_Calc!$I$10:$J$13,2,FALSE),0),
IF(AX17="K",VLOOKUP(L17,Foundation_Calc!$V$116:$X$149,VLOOKUP(AX17,Foundation_Calc!$I$10:$J$13,2,FALSE),0),"")))</f>
        <v/>
      </c>
      <c r="N17" s="468"/>
      <c r="O17" s="468"/>
      <c r="P17" s="468"/>
      <c r="Q17" s="4"/>
      <c r="R17" s="6"/>
      <c r="S17" s="6"/>
      <c r="T17" s="4"/>
      <c r="U17" s="4"/>
      <c r="V17" s="4"/>
      <c r="W17" s="9"/>
      <c r="X17" s="9"/>
      <c r="Y17" s="9"/>
      <c r="Z17" s="9"/>
      <c r="AA17" s="9"/>
      <c r="AB17" s="9"/>
      <c r="AC17" s="468" t="str">
        <f t="shared" si="1"/>
        <v/>
      </c>
      <c r="AD17" s="468"/>
      <c r="AE17" s="468"/>
      <c r="AF17" s="4"/>
      <c r="AG17" s="88"/>
      <c r="AH17" s="4"/>
      <c r="AI17" s="4"/>
      <c r="AJ17" s="468"/>
      <c r="AK17" s="468"/>
      <c r="AL17" s="468"/>
      <c r="AM17" s="468"/>
      <c r="AN17" s="10"/>
      <c r="AO17" s="9"/>
      <c r="AP17" s="9"/>
      <c r="AQ17" s="9">
        <f>+FL_1($T$18,$T$16,$G$17,1200,9.28,-1*$F$18)</f>
        <v>0.24489941866666667</v>
      </c>
      <c r="AR17" s="9"/>
      <c r="AS17" s="9"/>
      <c r="AT17" s="9"/>
      <c r="AU17" s="447"/>
      <c r="AV17" s="447"/>
      <c r="AW17" s="468" t="str">
        <f>IF(C17&gt;0,VLOOKUP(C17,Foundation_Calc!$A$20:$C$25,3,1),
IF(J17&gt;0,VLOOKUP(J17,Foundation_Calc!$A$20:$C$25,3,1),""))</f>
        <v/>
      </c>
      <c r="AX17" s="468" t="str">
        <f>IF(C17&gt;0,VLOOKUP(C17,Foundation_Calc!$E$20:$G$25,3,1),
IF(J17&gt;0,VLOOKUP(J17,Foundation_Calc!$E$20:$G$25,3,1),""))</f>
        <v/>
      </c>
      <c r="AY17" s="10" t="str">
        <f>IF(L17="","",
IF(AX17="PT",VLOOKUP(L17,Foundation_Calc!$K$79:$R$112,VLOOKUP(AW17,Foundation_Calc!$I$2:$J$8,2,FALSE),0),
IF(AX17="K",VLOOKUP(L17,Foundation_Calc!$K$116:$R$149,VLOOKUP(AW17,Foundation_Calc!$I$2:$J$8,2,FALSE),0),"")))</f>
        <v/>
      </c>
      <c r="AZ17" s="10" t="str">
        <f>IF(K17="","",
IF(AX17="PT",VLOOKUP(K17,Foundation_Calc!$K$79:$R$112,VLOOKUP(AW17,Foundation_Calc!$I$2:$J$8,2,FALSE),0),
IF(AX17="K",VLOOKUP(K17,Foundation_Calc!$K$116:$R$149,VLOOKUP(AW17,Foundation_Calc!$I$2:$J$8,2,FALSE),0),"")))</f>
        <v/>
      </c>
      <c r="BA17" s="553" t="str">
        <f t="shared" si="2"/>
        <v/>
      </c>
      <c r="BB17" s="553" t="str">
        <f t="shared" si="2"/>
        <v/>
      </c>
      <c r="BC17" s="553" t="str">
        <f t="shared" si="5"/>
        <v/>
      </c>
      <c r="BD17" s="572" t="str">
        <f>IF(AND(L17="",H17=""),"",
IF(H17="",Pole_Calc!A$9,
IF(H17="MP",Pole_Calc!A$10,
IF(H17="AnMP",Pole_Calc!A$11,
IF(H17="A",Pole_Calc!A$12,
IF(H17="S/A",Pole_Calc!A$13,
IF(H17="A/S",Pole_Calc!A$14,"Poner a mano")))))))</f>
        <v/>
      </c>
      <c r="BE17" s="448" t="s">
        <v>1726</v>
      </c>
      <c r="BF17" s="305"/>
      <c r="BG17" s="305"/>
      <c r="BH17" s="306"/>
      <c r="BI17" s="305"/>
    </row>
    <row r="18" spans="1:61" ht="16.2" customHeight="1">
      <c r="A18" s="573"/>
      <c r="B18" s="469" t="s">
        <v>2225</v>
      </c>
      <c r="C18" s="3">
        <f>C16-G17</f>
        <v>2840.18</v>
      </c>
      <c r="D18" s="88"/>
      <c r="E18" s="4"/>
      <c r="F18" s="4">
        <v>0</v>
      </c>
      <c r="G18" s="6"/>
      <c r="H18" s="468"/>
      <c r="I18" s="468"/>
      <c r="J18" s="3"/>
      <c r="K18" s="468"/>
      <c r="L18" s="468" t="s">
        <v>37</v>
      </c>
      <c r="M18" s="468" t="str">
        <f>IF(L18="","",
IF(AX18="PT",VLOOKUP(L18,Foundation_Calc!$V$79:$X$112,VLOOKUP(AX18,Foundation_Calc!$I$10:$J$13,2,FALSE),0),
IF(AX18="K",VLOOKUP(L18,Foundation_Calc!$V$116:$X$149,VLOOKUP(AX18,Foundation_Calc!$I$10:$J$13,2,FALSE),0),"")))</f>
        <v>C3R</v>
      </c>
      <c r="N18" s="468" t="s">
        <v>32</v>
      </c>
      <c r="O18" s="468"/>
      <c r="P18" s="468"/>
      <c r="Q18" s="4"/>
      <c r="R18" s="6"/>
      <c r="S18" s="6"/>
      <c r="T18" s="4">
        <v>-35</v>
      </c>
      <c r="U18" s="4"/>
      <c r="V18" s="4"/>
      <c r="W18" s="9">
        <v>1.4</v>
      </c>
      <c r="X18" s="9"/>
      <c r="Y18" s="9"/>
      <c r="Z18" s="9"/>
      <c r="AA18" s="9"/>
      <c r="AB18" s="9"/>
      <c r="AC18" s="468" t="str">
        <f t="shared" si="1"/>
        <v>PH</v>
      </c>
      <c r="AD18" s="468"/>
      <c r="AE18" s="468"/>
      <c r="AF18" s="4"/>
      <c r="AG18" s="88"/>
      <c r="AH18" s="4"/>
      <c r="AI18" s="4"/>
      <c r="AJ18" s="468"/>
      <c r="AK18" s="468"/>
      <c r="AL18" s="468"/>
      <c r="AM18" s="468" t="s">
        <v>487</v>
      </c>
      <c r="AN18" s="10">
        <v>5.5</v>
      </c>
      <c r="AO18" s="9"/>
      <c r="AP18" s="9"/>
      <c r="AQ18" s="9"/>
      <c r="AR18" s="9"/>
      <c r="AS18" s="9"/>
      <c r="AT18" s="9">
        <f>+ab($T$18,$T$16,$T$20,$G$17,$G$19,-1*$F$18,1200)</f>
        <v>-8.0343695245401481</v>
      </c>
      <c r="AU18" s="447"/>
      <c r="AV18" s="447"/>
      <c r="AW18" s="468" t="str">
        <f>IF(C18&gt;0,VLOOKUP(C18,Foundation_Calc!$A$20:$C$25,3,1),
IF(J18&gt;0,VLOOKUP(J18,Foundation_Calc!$A$20:$C$25,3,1),""))</f>
        <v>MultiSoil</v>
      </c>
      <c r="AX18" s="468" t="str">
        <f>IF(C18&gt;0,VLOOKUP(C18,Foundation_Calc!$E$20:$G$25,3,1),
IF(J18&gt;0,VLOOKUP(J18,Foundation_Calc!$E$20:$G$25,3,1),""))</f>
        <v>PT</v>
      </c>
      <c r="AY18" s="10">
        <f>IF(L18="","",
IF(AX18="PT",VLOOKUP(L18,Foundation_Calc!$K$79:$R$112,VLOOKUP(AW18,Foundation_Calc!$I$2:$J$8,2,FALSE),0),
IF(AX18="K",VLOOKUP(L18,Foundation_Calc!$K$116:$R$149,VLOOKUP(AW18,Foundation_Calc!$I$2:$J$8,2,FALSE),0),"")))</f>
        <v>3.5</v>
      </c>
      <c r="AZ18" s="10" t="str">
        <f>IF(K18="","",
IF(AX18="PT",VLOOKUP(K18,Foundation_Calc!$K$79:$R$112,VLOOKUP(AW18,Foundation_Calc!$I$2:$J$8,2,FALSE),0),
IF(AX18="K",VLOOKUP(K18,Foundation_Calc!$K$116:$R$149,VLOOKUP(AW18,Foundation_Calc!$I$2:$J$8,2,FALSE),0),"")))</f>
        <v/>
      </c>
      <c r="BA18" s="553" t="str">
        <f t="shared" si="2"/>
        <v>ü</v>
      </c>
      <c r="BB18" s="553" t="str">
        <f t="shared" si="2"/>
        <v/>
      </c>
      <c r="BC18" s="553" t="str">
        <f t="shared" si="5"/>
        <v/>
      </c>
      <c r="BD18" s="572" t="str">
        <f>IF(AND(L18="",H18=""),"",
IF(H18="",Pole_Calc!A$9,
IF(H18="MP",Pole_Calc!A$10,
IF(H18="AnMP",Pole_Calc!A$11,
IF(H18="A",Pole_Calc!A$12,
IF(H18="S/A",Pole_Calc!A$13,
IF(H18="A/S",Pole_Calc!A$14,"Poner a mano")))))))</f>
        <v>App.7-V11H-P9.5.1.1</v>
      </c>
      <c r="BE18" s="448" t="s">
        <v>1726</v>
      </c>
      <c r="BF18" s="306"/>
      <c r="BG18" s="306"/>
      <c r="BH18" s="306"/>
      <c r="BI18" s="306"/>
    </row>
    <row r="19" spans="1:61" ht="16.2" customHeight="1">
      <c r="A19" s="573"/>
      <c r="B19" s="469"/>
      <c r="C19" s="3"/>
      <c r="D19" s="88"/>
      <c r="E19" s="4"/>
      <c r="F19" s="4"/>
      <c r="G19" s="6">
        <v>55</v>
      </c>
      <c r="H19" s="468"/>
      <c r="I19" s="468"/>
      <c r="J19" s="3"/>
      <c r="K19" s="468"/>
      <c r="L19" s="468"/>
      <c r="M19" s="468" t="str">
        <f>IF(L19="","",
IF(AX19="PT",VLOOKUP(L19,Foundation_Calc!$V$79:$X$112,VLOOKUP(AX19,Foundation_Calc!$I$10:$J$13,2,FALSE),0),
IF(AX19="K",VLOOKUP(L19,Foundation_Calc!$V$116:$X$149,VLOOKUP(AX19,Foundation_Calc!$I$10:$J$13,2,FALSE),0),"")))</f>
        <v/>
      </c>
      <c r="N19" s="468"/>
      <c r="O19" s="468"/>
      <c r="P19" s="468"/>
      <c r="Q19" s="4"/>
      <c r="R19" s="6"/>
      <c r="S19" s="6"/>
      <c r="T19" s="4"/>
      <c r="U19" s="4"/>
      <c r="V19" s="4"/>
      <c r="W19" s="9"/>
      <c r="X19" s="9"/>
      <c r="Y19" s="9"/>
      <c r="Z19" s="9"/>
      <c r="AA19" s="9"/>
      <c r="AB19" s="9"/>
      <c r="AC19" s="468" t="str">
        <f t="shared" si="1"/>
        <v/>
      </c>
      <c r="AD19" s="468"/>
      <c r="AE19" s="468"/>
      <c r="AF19" s="4"/>
      <c r="AG19" s="88"/>
      <c r="AH19" s="4"/>
      <c r="AI19" s="4"/>
      <c r="AJ19" s="468"/>
      <c r="AK19" s="468"/>
      <c r="AL19" s="468"/>
      <c r="AM19" s="468"/>
      <c r="AN19" s="10"/>
      <c r="AO19" s="9"/>
      <c r="AP19" s="9"/>
      <c r="AQ19" s="9">
        <f>+FL_1($T$20,$T$18,$G$19,1200,9.28,-1*$F$20)</f>
        <v>0.39714735709090909</v>
      </c>
      <c r="AR19" s="9"/>
      <c r="AS19" s="9"/>
      <c r="AT19" s="9"/>
      <c r="AU19" s="447"/>
      <c r="AV19" s="447"/>
      <c r="AW19" s="468" t="str">
        <f>IF(C19&gt;0,VLOOKUP(C19,Foundation_Calc!$A$20:$C$25,3,1),
IF(J19&gt;0,VLOOKUP(J19,Foundation_Calc!$A$20:$C$25,3,1),""))</f>
        <v/>
      </c>
      <c r="AX19" s="468" t="str">
        <f>IF(C19&gt;0,VLOOKUP(C19,Foundation_Calc!$E$20:$G$25,3,1),
IF(J19&gt;0,VLOOKUP(J19,Foundation_Calc!$E$20:$G$25,3,1),""))</f>
        <v/>
      </c>
      <c r="AY19" s="10" t="str">
        <f>IF(L19="","",
IF(AX19="PT",VLOOKUP(L19,Foundation_Calc!$K$79:$R$112,VLOOKUP(AW19,Foundation_Calc!$I$2:$J$8,2,FALSE),0),
IF(AX19="K",VLOOKUP(L19,Foundation_Calc!$K$116:$R$149,VLOOKUP(AW19,Foundation_Calc!$I$2:$J$8,2,FALSE),0),"")))</f>
        <v/>
      </c>
      <c r="AZ19" s="10" t="str">
        <f>IF(K19="","",
IF(AX19="PT",VLOOKUP(K19,Foundation_Calc!$K$79:$R$112,VLOOKUP(AW19,Foundation_Calc!$I$2:$J$8,2,FALSE),0),
IF(AX19="K",VLOOKUP(K19,Foundation_Calc!$K$116:$R$149,VLOOKUP(AW19,Foundation_Calc!$I$2:$J$8,2,FALSE),0),"")))</f>
        <v/>
      </c>
      <c r="BA19" s="553" t="str">
        <f t="shared" si="2"/>
        <v/>
      </c>
      <c r="BB19" s="553" t="str">
        <f t="shared" si="2"/>
        <v/>
      </c>
      <c r="BC19" s="553" t="str">
        <f t="shared" si="5"/>
        <v/>
      </c>
      <c r="BD19" s="572" t="str">
        <f>IF(AND(L19="",H19=""),"",
IF(H19="",Pole_Calc!A$9,
IF(H19="MP",Pole_Calc!A$10,
IF(H19="AnMP",Pole_Calc!A$11,
IF(H19="A",Pole_Calc!A$12,
IF(H19="S/A",Pole_Calc!A$13,
IF(H19="A/S",Pole_Calc!A$14,"Poner a mano")))))))</f>
        <v/>
      </c>
      <c r="BE19" s="448" t="s">
        <v>1726</v>
      </c>
      <c r="BF19" s="305"/>
      <c r="BG19" s="305"/>
      <c r="BH19" s="306"/>
      <c r="BI19" s="305"/>
    </row>
    <row r="20" spans="1:61" ht="16.2" customHeight="1">
      <c r="A20" s="573"/>
      <c r="B20" s="469" t="s">
        <v>2224</v>
      </c>
      <c r="C20" s="3">
        <f t="shared" ref="C20" si="6">C18-G19</f>
        <v>2785.18</v>
      </c>
      <c r="D20" s="88"/>
      <c r="E20" s="4"/>
      <c r="F20" s="4">
        <v>0</v>
      </c>
      <c r="G20" s="6"/>
      <c r="H20" s="468"/>
      <c r="I20" s="468"/>
      <c r="J20" s="3"/>
      <c r="K20" s="468"/>
      <c r="L20" s="468" t="s">
        <v>37</v>
      </c>
      <c r="M20" s="468" t="str">
        <f>IF(L20="","",
IF(AX20="PT",VLOOKUP(L20,Foundation_Calc!$V$79:$X$112,VLOOKUP(AX20,Foundation_Calc!$I$10:$J$13,2,FALSE),0),
IF(AX20="K",VLOOKUP(L20,Foundation_Calc!$V$116:$X$149,VLOOKUP(AX20,Foundation_Calc!$I$10:$J$13,2,FALSE),0),"")))</f>
        <v>C3R</v>
      </c>
      <c r="N20" s="468" t="s">
        <v>33</v>
      </c>
      <c r="O20" s="468"/>
      <c r="P20" s="468"/>
      <c r="Q20" s="4"/>
      <c r="R20" s="6"/>
      <c r="S20" s="6"/>
      <c r="T20" s="4">
        <v>35</v>
      </c>
      <c r="U20" s="4"/>
      <c r="V20" s="4"/>
      <c r="W20" s="9">
        <v>1.4</v>
      </c>
      <c r="X20" s="9"/>
      <c r="Y20" s="9"/>
      <c r="Z20" s="9"/>
      <c r="AA20" s="9"/>
      <c r="AB20" s="9"/>
      <c r="AC20" s="468" t="str">
        <f t="shared" si="1"/>
        <v>PHQ</v>
      </c>
      <c r="AD20" s="468"/>
      <c r="AE20" s="468"/>
      <c r="AF20" s="4"/>
      <c r="AG20" s="88"/>
      <c r="AH20" s="4"/>
      <c r="AI20" s="4"/>
      <c r="AJ20" s="468"/>
      <c r="AK20" s="468"/>
      <c r="AL20" s="468"/>
      <c r="AM20" s="468" t="s">
        <v>487</v>
      </c>
      <c r="AN20" s="10">
        <v>5.5</v>
      </c>
      <c r="AO20" s="9"/>
      <c r="AP20" s="9"/>
      <c r="AQ20" s="9"/>
      <c r="AR20" s="9"/>
      <c r="AS20" s="9"/>
      <c r="AT20" s="9">
        <f>+ab($T$20,$T$18,$T$22,$G$19,$G$21,-1*$F$20,1200)</f>
        <v>7.5623175042336799</v>
      </c>
      <c r="AU20" s="447"/>
      <c r="AV20" s="447"/>
      <c r="AW20" s="468" t="str">
        <f>IF(C20&gt;0,VLOOKUP(C20,Foundation_Calc!$A$20:$C$25,3,1),
IF(J20&gt;0,VLOOKUP(J20,Foundation_Calc!$A$20:$C$25,3,1),""))</f>
        <v>MultiSoil</v>
      </c>
      <c r="AX20" s="468" t="str">
        <f>IF(C20&gt;0,VLOOKUP(C20,Foundation_Calc!$E$20:$G$25,3,1),
IF(J20&gt;0,VLOOKUP(J20,Foundation_Calc!$E$20:$G$25,3,1),""))</f>
        <v>PT</v>
      </c>
      <c r="AY20" s="10">
        <f>IF(L20="","",
IF(AX20="PT",VLOOKUP(L20,Foundation_Calc!$K$79:$R$112,VLOOKUP(AW20,Foundation_Calc!$I$2:$J$8,2,FALSE),0),
IF(AX20="K",VLOOKUP(L20,Foundation_Calc!$K$116:$R$149,VLOOKUP(AW20,Foundation_Calc!$I$2:$J$8,2,FALSE),0),"")))</f>
        <v>3.5</v>
      </c>
      <c r="AZ20" s="10" t="str">
        <f>IF(K20="","",
IF(AX20="PT",VLOOKUP(K20,Foundation_Calc!$K$79:$R$112,VLOOKUP(AW20,Foundation_Calc!$I$2:$J$8,2,FALSE),0),
IF(AX20="K",VLOOKUP(K20,Foundation_Calc!$K$116:$R$149,VLOOKUP(AW20,Foundation_Calc!$I$2:$J$8,2,FALSE),0),"")))</f>
        <v/>
      </c>
      <c r="BA20" s="553" t="str">
        <f t="shared" si="2"/>
        <v>ü</v>
      </c>
      <c r="BB20" s="553" t="str">
        <f t="shared" si="2"/>
        <v/>
      </c>
      <c r="BC20" s="553" t="str">
        <f t="shared" si="5"/>
        <v/>
      </c>
      <c r="BD20" s="572" t="str">
        <f>IF(AND(L20="",H20=""),"",
IF(H20="",Pole_Calc!A$9,
IF(H20="MP",Pole_Calc!A$10,
IF(H20="AnMP",Pole_Calc!A$11,
IF(H20="A",Pole_Calc!A$12,
IF(H20="S/A",Pole_Calc!A$13,
IF(H20="A/S",Pole_Calc!A$14,"Poner a mano")))))))</f>
        <v>App.7-V11H-P9.5.1.1</v>
      </c>
      <c r="BE20" s="448" t="s">
        <v>1726</v>
      </c>
      <c r="BF20" s="306"/>
      <c r="BG20" s="306"/>
      <c r="BH20" s="306"/>
      <c r="BI20" s="306"/>
    </row>
    <row r="21" spans="1:61" ht="16.2" customHeight="1">
      <c r="A21" s="573"/>
      <c r="B21" s="469"/>
      <c r="C21" s="3"/>
      <c r="D21" s="88"/>
      <c r="E21" s="4"/>
      <c r="F21" s="4"/>
      <c r="G21" s="6">
        <v>56</v>
      </c>
      <c r="H21" s="468"/>
      <c r="I21" s="468"/>
      <c r="J21" s="3"/>
      <c r="K21" s="468"/>
      <c r="L21" s="468"/>
      <c r="M21" s="468" t="str">
        <f>IF(L21="","",
IF(AX21="PT",VLOOKUP(L21,Foundation_Calc!$V$79:$X$112,VLOOKUP(AX21,Foundation_Calc!$I$10:$J$13,2,FALSE),0),
IF(AX21="K",VLOOKUP(L21,Foundation_Calc!$V$116:$X$149,VLOOKUP(AX21,Foundation_Calc!$I$10:$J$13,2,FALSE),0),"")))</f>
        <v/>
      </c>
      <c r="N21" s="468"/>
      <c r="O21" s="468"/>
      <c r="P21" s="468"/>
      <c r="Q21" s="4"/>
      <c r="R21" s="6"/>
      <c r="S21" s="6"/>
      <c r="T21" s="4"/>
      <c r="U21" s="4"/>
      <c r="V21" s="4"/>
      <c r="W21" s="9"/>
      <c r="X21" s="9"/>
      <c r="Y21" s="9"/>
      <c r="Z21" s="9"/>
      <c r="AA21" s="9"/>
      <c r="AB21" s="9"/>
      <c r="AC21" s="468" t="str">
        <f t="shared" si="1"/>
        <v/>
      </c>
      <c r="AD21" s="468"/>
      <c r="AE21" s="468"/>
      <c r="AF21" s="4"/>
      <c r="AG21" s="88"/>
      <c r="AH21" s="4"/>
      <c r="AI21" s="4"/>
      <c r="AJ21" s="468"/>
      <c r="AK21" s="468"/>
      <c r="AL21" s="468"/>
      <c r="AM21" s="468"/>
      <c r="AN21" s="10"/>
      <c r="AO21" s="9"/>
      <c r="AP21" s="9"/>
      <c r="AQ21" s="9">
        <f>+FL_1($T$22,$T$20,$G$21,1200,9.28,-1*$F$22)</f>
        <v>0.40417036800000006</v>
      </c>
      <c r="AR21" s="9"/>
      <c r="AS21" s="9"/>
      <c r="AT21" s="9"/>
      <c r="AU21" s="447"/>
      <c r="AV21" s="447"/>
      <c r="AW21" s="468" t="str">
        <f>IF(C21&gt;0,VLOOKUP(C21,Foundation_Calc!$A$20:$C$25,3,1),
IF(J21&gt;0,VLOOKUP(J21,Foundation_Calc!$A$20:$C$25,3,1),""))</f>
        <v/>
      </c>
      <c r="AX21" s="468" t="str">
        <f>IF(C21&gt;0,VLOOKUP(C21,Foundation_Calc!$E$20:$G$25,3,1),
IF(J21&gt;0,VLOOKUP(J21,Foundation_Calc!$E$20:$G$25,3,1),""))</f>
        <v/>
      </c>
      <c r="AY21" s="10" t="str">
        <f>IF(L21="","",
IF(AX21="PT",VLOOKUP(L21,Foundation_Calc!$K$79:$R$112,VLOOKUP(AW21,Foundation_Calc!$I$2:$J$8,2,FALSE),0),
IF(AX21="K",VLOOKUP(L21,Foundation_Calc!$K$116:$R$149,VLOOKUP(AW21,Foundation_Calc!$I$2:$J$8,2,FALSE),0),"")))</f>
        <v/>
      </c>
      <c r="AZ21" s="10" t="str">
        <f>IF(K21="","",
IF(AX21="PT",VLOOKUP(K21,Foundation_Calc!$K$79:$R$112,VLOOKUP(AW21,Foundation_Calc!$I$2:$J$8,2,FALSE),0),
IF(AX21="K",VLOOKUP(K21,Foundation_Calc!$K$116:$R$149,VLOOKUP(AW21,Foundation_Calc!$I$2:$J$8,2,FALSE),0),"")))</f>
        <v/>
      </c>
      <c r="BA21" s="553" t="str">
        <f t="shared" si="2"/>
        <v/>
      </c>
      <c r="BB21" s="553" t="str">
        <f t="shared" si="2"/>
        <v/>
      </c>
      <c r="BC21" s="553" t="str">
        <f t="shared" si="5"/>
        <v/>
      </c>
      <c r="BD21" s="572" t="str">
        <f>IF(AND(L21="",H21=""),"",
IF(H21="",Pole_Calc!A$9,
IF(H21="MP",Pole_Calc!A$10,
IF(H21="AnMP",Pole_Calc!A$11,
IF(H21="A",Pole_Calc!A$12,
IF(H21="S/A",Pole_Calc!A$13,
IF(H21="A/S",Pole_Calc!A$14,"Poner a mano")))))))</f>
        <v/>
      </c>
      <c r="BE21" s="448" t="s">
        <v>1726</v>
      </c>
      <c r="BF21" s="305"/>
      <c r="BG21" s="305"/>
      <c r="BH21" s="306"/>
      <c r="BI21" s="305"/>
    </row>
    <row r="22" spans="1:61" ht="16.2" customHeight="1">
      <c r="A22" s="573"/>
      <c r="B22" s="469" t="s">
        <v>2223</v>
      </c>
      <c r="C22" s="3">
        <f t="shared" ref="C22" si="7">C20-G21</f>
        <v>2729.18</v>
      </c>
      <c r="D22" s="88"/>
      <c r="E22" s="4"/>
      <c r="F22" s="4">
        <v>0</v>
      </c>
      <c r="G22" s="6"/>
      <c r="H22" s="468"/>
      <c r="I22" s="468"/>
      <c r="J22" s="3"/>
      <c r="K22" s="468"/>
      <c r="L22" s="468" t="s">
        <v>37</v>
      </c>
      <c r="M22" s="468" t="str">
        <f>IF(L22="","",
IF(AX22="PT",VLOOKUP(L22,Foundation_Calc!$V$79:$X$112,VLOOKUP(AX22,Foundation_Calc!$I$10:$J$13,2,FALSE),0),
IF(AX22="K",VLOOKUP(L22,Foundation_Calc!$V$116:$X$149,VLOOKUP(AX22,Foundation_Calc!$I$10:$J$13,2,FALSE),0),"")))</f>
        <v>C3R</v>
      </c>
      <c r="N22" s="468" t="s">
        <v>32</v>
      </c>
      <c r="O22" s="468"/>
      <c r="P22" s="468"/>
      <c r="Q22" s="4"/>
      <c r="R22" s="6"/>
      <c r="S22" s="6"/>
      <c r="T22" s="4">
        <v>-35</v>
      </c>
      <c r="U22" s="4"/>
      <c r="V22" s="4"/>
      <c r="W22" s="9">
        <v>1.4</v>
      </c>
      <c r="X22" s="9"/>
      <c r="Y22" s="9"/>
      <c r="Z22" s="9"/>
      <c r="AA22" s="9"/>
      <c r="AB22" s="9"/>
      <c r="AC22" s="468" t="str">
        <f t="shared" si="1"/>
        <v>PHQ</v>
      </c>
      <c r="AD22" s="468"/>
      <c r="AE22" s="468"/>
      <c r="AF22" s="4"/>
      <c r="AG22" s="88"/>
      <c r="AH22" s="4"/>
      <c r="AI22" s="4"/>
      <c r="AJ22" s="468"/>
      <c r="AK22" s="468"/>
      <c r="AL22" s="468"/>
      <c r="AM22" s="468" t="s">
        <v>487</v>
      </c>
      <c r="AN22" s="10">
        <f>AN20-0.08</f>
        <v>5.42</v>
      </c>
      <c r="AO22" s="9"/>
      <c r="AP22" s="9"/>
      <c r="AQ22" s="9"/>
      <c r="AR22" s="9"/>
      <c r="AS22" s="9"/>
      <c r="AT22" s="9">
        <f>+ab($T$22,$T$20,$T$24,$G$21,$G$23,-1*$F$22,1200)</f>
        <v>-7.6970119667141104</v>
      </c>
      <c r="AU22" s="447"/>
      <c r="AV22" s="447"/>
      <c r="AW22" s="468" t="str">
        <f>IF(C22&gt;0,VLOOKUP(C22,Foundation_Calc!$A$20:$C$25,3,1),
IF(J22&gt;0,VLOOKUP(J22,Foundation_Calc!$A$20:$C$25,3,1),""))</f>
        <v>MultiSoil</v>
      </c>
      <c r="AX22" s="468" t="str">
        <f>IF(C22&gt;0,VLOOKUP(C22,Foundation_Calc!$E$20:$G$25,3,1),
IF(J22&gt;0,VLOOKUP(J22,Foundation_Calc!$E$20:$G$25,3,1),""))</f>
        <v>PT</v>
      </c>
      <c r="AY22" s="10">
        <f>IF(L22="","",
IF(AX22="PT",VLOOKUP(L22,Foundation_Calc!$K$79:$R$112,VLOOKUP(AW22,Foundation_Calc!$I$2:$J$8,2,FALSE),0),
IF(AX22="K",VLOOKUP(L22,Foundation_Calc!$K$116:$R$149,VLOOKUP(AW22,Foundation_Calc!$I$2:$J$8,2,FALSE),0),"")))</f>
        <v>3.5</v>
      </c>
      <c r="AZ22" s="10" t="str">
        <f>IF(K22="","",
IF(AX22="PT",VLOOKUP(K22,Foundation_Calc!$K$79:$R$112,VLOOKUP(AW22,Foundation_Calc!$I$2:$J$8,2,FALSE),0),
IF(AX22="K",VLOOKUP(K22,Foundation_Calc!$K$116:$R$149,VLOOKUP(AW22,Foundation_Calc!$I$2:$J$8,2,FALSE),0),"")))</f>
        <v/>
      </c>
      <c r="BA22" s="553" t="str">
        <f t="shared" si="2"/>
        <v>ü</v>
      </c>
      <c r="BB22" s="553" t="str">
        <f t="shared" si="2"/>
        <v/>
      </c>
      <c r="BC22" s="553" t="str">
        <f t="shared" si="5"/>
        <v/>
      </c>
      <c r="BD22" s="572" t="str">
        <f>IF(AND(L22="",H22=""),"",
IF(H22="",Pole_Calc!A$9,
IF(H22="MP",Pole_Calc!A$10,
IF(H22="AnMP",Pole_Calc!A$11,
IF(H22="A",Pole_Calc!A$12,
IF(H22="S/A",Pole_Calc!A$13,
IF(H22="A/S",Pole_Calc!A$14,"Poner a mano")))))))</f>
        <v>App.7-V11H-P9.5.1.1</v>
      </c>
      <c r="BE22" s="448" t="s">
        <v>1726</v>
      </c>
      <c r="BF22" s="306"/>
      <c r="BG22" s="306"/>
      <c r="BH22" s="306"/>
      <c r="BI22" s="306"/>
    </row>
    <row r="23" spans="1:61" ht="16.2" customHeight="1">
      <c r="A23" s="573"/>
      <c r="B23" s="469"/>
      <c r="C23" s="3"/>
      <c r="D23" s="88"/>
      <c r="E23" s="4"/>
      <c r="F23" s="4"/>
      <c r="G23" s="6">
        <v>57</v>
      </c>
      <c r="H23" s="468"/>
      <c r="I23" s="468"/>
      <c r="J23" s="3"/>
      <c r="K23" s="468"/>
      <c r="L23" s="468"/>
      <c r="M23" s="468" t="str">
        <f>IF(L23="","",
IF(AX23="PT",VLOOKUP(L23,Foundation_Calc!$V$79:$X$112,VLOOKUP(AX23,Foundation_Calc!$I$10:$J$13,2,FALSE),0),
IF(AX23="K",VLOOKUP(L23,Foundation_Calc!$V$116:$X$149,VLOOKUP(AX23,Foundation_Calc!$I$10:$J$13,2,FALSE),0),"")))</f>
        <v/>
      </c>
      <c r="N23" s="468"/>
      <c r="O23" s="468"/>
      <c r="P23" s="468"/>
      <c r="Q23" s="4"/>
      <c r="R23" s="6"/>
      <c r="S23" s="6"/>
      <c r="T23" s="4"/>
      <c r="U23" s="4"/>
      <c r="V23" s="4"/>
      <c r="W23" s="9"/>
      <c r="X23" s="9"/>
      <c r="Y23" s="9"/>
      <c r="Z23" s="9"/>
      <c r="AA23" s="9"/>
      <c r="AB23" s="9"/>
      <c r="AC23" s="468" t="str">
        <f t="shared" si="1"/>
        <v/>
      </c>
      <c r="AD23" s="468"/>
      <c r="AE23" s="468"/>
      <c r="AF23" s="4"/>
      <c r="AG23" s="88"/>
      <c r="AH23" s="4"/>
      <c r="AI23" s="4"/>
      <c r="AJ23" s="468"/>
      <c r="AK23" s="468"/>
      <c r="AL23" s="468"/>
      <c r="AM23" s="468"/>
      <c r="AN23" s="10"/>
      <c r="AO23" s="9"/>
      <c r="AP23" s="9"/>
      <c r="AQ23" s="9">
        <f>+FL_2($T$24,$T$22,$G$23,1200,9.28,-1*$F$24)</f>
        <v>-0.41158010919298232</v>
      </c>
      <c r="AR23" s="9"/>
      <c r="AS23" s="9"/>
      <c r="AT23" s="9"/>
      <c r="AU23" s="447"/>
      <c r="AV23" s="447"/>
      <c r="AW23" s="468" t="str">
        <f>IF(C23&gt;0,VLOOKUP(C23,Foundation_Calc!$A$20:$C$25,3,1),
IF(J23&gt;0,VLOOKUP(J23,Foundation_Calc!$A$20:$C$25,3,1),""))</f>
        <v/>
      </c>
      <c r="AX23" s="468" t="str">
        <f>IF(C23&gt;0,VLOOKUP(C23,Foundation_Calc!$E$20:$G$25,3,1),
IF(J23&gt;0,VLOOKUP(J23,Foundation_Calc!$E$20:$G$25,3,1),""))</f>
        <v/>
      </c>
      <c r="AY23" s="10" t="str">
        <f>IF(L23="","",
IF(AX23="PT",VLOOKUP(L23,Foundation_Calc!$K$79:$R$112,VLOOKUP(AW23,Foundation_Calc!$I$2:$J$8,2,FALSE),0),
IF(AX23="K",VLOOKUP(L23,Foundation_Calc!$K$116:$R$149,VLOOKUP(AW23,Foundation_Calc!$I$2:$J$8,2,FALSE),0),"")))</f>
        <v/>
      </c>
      <c r="AZ23" s="10" t="str">
        <f>IF(K23="","",
IF(AX23="PT",VLOOKUP(K23,Foundation_Calc!$K$79:$R$112,VLOOKUP(AW23,Foundation_Calc!$I$2:$J$8,2,FALSE),0),
IF(AX23="K",VLOOKUP(K23,Foundation_Calc!$K$116:$R$149,VLOOKUP(AW23,Foundation_Calc!$I$2:$J$8,2,FALSE),0),"")))</f>
        <v/>
      </c>
      <c r="BA23" s="553" t="str">
        <f t="shared" si="2"/>
        <v/>
      </c>
      <c r="BB23" s="553" t="str">
        <f t="shared" si="2"/>
        <v/>
      </c>
      <c r="BC23" s="553" t="str">
        <f t="shared" si="5"/>
        <v/>
      </c>
      <c r="BD23" s="572" t="str">
        <f>IF(AND(L23="",H23=""),"",
IF(H23="",Pole_Calc!A$9,
IF(H23="MP",Pole_Calc!A$10,
IF(H23="AnMP",Pole_Calc!A$11,
IF(H23="A",Pole_Calc!A$12,
IF(H23="S/A",Pole_Calc!A$13,
IF(H23="A/S",Pole_Calc!A$14,"Poner a mano")))))))</f>
        <v/>
      </c>
      <c r="BE23" s="448" t="s">
        <v>1726</v>
      </c>
      <c r="BF23" s="305"/>
      <c r="BG23" s="305"/>
      <c r="BH23" s="306"/>
      <c r="BI23" s="305"/>
    </row>
    <row r="24" spans="1:61" ht="16.2" customHeight="1">
      <c r="A24" s="573"/>
      <c r="B24" s="469" t="s">
        <v>2222</v>
      </c>
      <c r="C24" s="3">
        <f t="shared" ref="C24" si="8">C22-G23</f>
        <v>2672.18</v>
      </c>
      <c r="D24" s="88"/>
      <c r="E24" s="4"/>
      <c r="F24" s="4">
        <v>0</v>
      </c>
      <c r="G24" s="6"/>
      <c r="H24" s="468"/>
      <c r="I24" s="468"/>
      <c r="J24" s="3"/>
      <c r="K24" s="468"/>
      <c r="L24" s="468" t="s">
        <v>37</v>
      </c>
      <c r="M24" s="468" t="str">
        <f>IF(L24="","",
IF(AX24="PT",VLOOKUP(L24,Foundation_Calc!$V$79:$X$112,VLOOKUP(AX24,Foundation_Calc!$I$10:$J$13,2,FALSE),0),
IF(AX24="K",VLOOKUP(L24,Foundation_Calc!$V$116:$X$149,VLOOKUP(AX24,Foundation_Calc!$I$10:$J$13,2,FALSE),0),"")))</f>
        <v>C3R</v>
      </c>
      <c r="N24" s="468" t="s">
        <v>33</v>
      </c>
      <c r="O24" s="468"/>
      <c r="P24" s="468"/>
      <c r="Q24" s="4"/>
      <c r="R24" s="6"/>
      <c r="S24" s="6"/>
      <c r="T24" s="4">
        <v>35</v>
      </c>
      <c r="U24" s="4"/>
      <c r="V24" s="4"/>
      <c r="W24" s="9">
        <v>1.4</v>
      </c>
      <c r="X24" s="9"/>
      <c r="Y24" s="9"/>
      <c r="Z24" s="9"/>
      <c r="AA24" s="9"/>
      <c r="AB24" s="9"/>
      <c r="AC24" s="468" t="str">
        <f t="shared" si="1"/>
        <v>PHQ</v>
      </c>
      <c r="AD24" s="468"/>
      <c r="AE24" s="468"/>
      <c r="AF24" s="4"/>
      <c r="AG24" s="88"/>
      <c r="AH24" s="4"/>
      <c r="AI24" s="4"/>
      <c r="AJ24" s="468"/>
      <c r="AK24" s="468"/>
      <c r="AL24" s="468"/>
      <c r="AM24" s="468" t="s">
        <v>487</v>
      </c>
      <c r="AN24" s="10">
        <f>AN22-0.08</f>
        <v>5.34</v>
      </c>
      <c r="AO24" s="9"/>
      <c r="AP24" s="9"/>
      <c r="AQ24" s="9"/>
      <c r="AR24" s="9"/>
      <c r="AS24" s="9"/>
      <c r="AT24" s="9">
        <f>+ab($T$24,$T$22,$T$26,$G$23,$G$25,-1*$F$24,1200)</f>
        <v>7.0260989183121998</v>
      </c>
      <c r="AU24" s="447"/>
      <c r="AV24" s="447"/>
      <c r="AW24" s="468" t="str">
        <f>IF(C24&gt;0,VLOOKUP(C24,Foundation_Calc!$A$20:$C$25,3,1),
IF(J24&gt;0,VLOOKUP(J24,Foundation_Calc!$A$20:$C$25,3,1),""))</f>
        <v>MultiSoil</v>
      </c>
      <c r="AX24" s="468" t="str">
        <f>IF(C24&gt;0,VLOOKUP(C24,Foundation_Calc!$E$20:$G$25,3,1),
IF(J24&gt;0,VLOOKUP(J24,Foundation_Calc!$E$20:$G$25,3,1),""))</f>
        <v>PT</v>
      </c>
      <c r="AY24" s="10">
        <f>IF(L24="","",
IF(AX24="PT",VLOOKUP(L24,Foundation_Calc!$K$79:$R$112,VLOOKUP(AW24,Foundation_Calc!$I$2:$J$8,2,FALSE),0),
IF(AX24="K",VLOOKUP(L24,Foundation_Calc!$K$116:$R$149,VLOOKUP(AW24,Foundation_Calc!$I$2:$J$8,2,FALSE),0),"")))</f>
        <v>3.5</v>
      </c>
      <c r="AZ24" s="10" t="str">
        <f>IF(K24="","",
IF(AX24="PT",VLOOKUP(K24,Foundation_Calc!$K$79:$R$112,VLOOKUP(AW24,Foundation_Calc!$I$2:$J$8,2,FALSE),0),
IF(AX24="K",VLOOKUP(K24,Foundation_Calc!$K$116:$R$149,VLOOKUP(AW24,Foundation_Calc!$I$2:$J$8,2,FALSE),0),"")))</f>
        <v/>
      </c>
      <c r="BA24" s="553" t="str">
        <f t="shared" si="2"/>
        <v>ü</v>
      </c>
      <c r="BB24" s="553" t="str">
        <f t="shared" si="2"/>
        <v/>
      </c>
      <c r="BC24" s="553" t="str">
        <f t="shared" si="5"/>
        <v/>
      </c>
      <c r="BD24" s="572" t="str">
        <f>IF(AND(L24="",H24=""),"",
IF(H24="",Pole_Calc!A$9,
IF(H24="MP",Pole_Calc!A$10,
IF(H24="AnMP",Pole_Calc!A$11,
IF(H24="A",Pole_Calc!A$12,
IF(H24="S/A",Pole_Calc!A$13,
IF(H24="A/S",Pole_Calc!A$14,"Poner a mano")))))))</f>
        <v>App.7-V11H-P9.5.1.1</v>
      </c>
      <c r="BE24" s="448" t="s">
        <v>1726</v>
      </c>
      <c r="BF24" s="306"/>
      <c r="BG24" s="306"/>
      <c r="BH24" s="306"/>
      <c r="BI24" s="306"/>
    </row>
    <row r="25" spans="1:61" ht="16.2" customHeight="1">
      <c r="A25" s="573"/>
      <c r="B25" s="469"/>
      <c r="C25" s="3"/>
      <c r="D25" s="88"/>
      <c r="E25" s="4"/>
      <c r="F25" s="4"/>
      <c r="G25" s="6">
        <v>47</v>
      </c>
      <c r="H25" s="468"/>
      <c r="I25" s="468"/>
      <c r="J25" s="3"/>
      <c r="K25" s="468"/>
      <c r="L25" s="468"/>
      <c r="M25" s="468" t="str">
        <f>IF(L25="","",
IF(AX25="PT",VLOOKUP(L25,Foundation_Calc!$V$79:$X$112,VLOOKUP(AX25,Foundation_Calc!$I$10:$J$13,2,FALSE),0),
IF(AX25="K",VLOOKUP(L25,Foundation_Calc!$V$116:$X$149,VLOOKUP(AX25,Foundation_Calc!$I$10:$J$13,2,FALSE),0),"")))</f>
        <v/>
      </c>
      <c r="N25" s="468"/>
      <c r="O25" s="468"/>
      <c r="P25" s="468"/>
      <c r="Q25" s="4"/>
      <c r="R25" s="6"/>
      <c r="S25" s="6"/>
      <c r="T25" s="4"/>
      <c r="U25" s="4"/>
      <c r="V25" s="4"/>
      <c r="W25" s="9"/>
      <c r="X25" s="9"/>
      <c r="Y25" s="9"/>
      <c r="Z25" s="9"/>
      <c r="AA25" s="9"/>
      <c r="AB25" s="9"/>
      <c r="AC25" s="468" t="str">
        <f t="shared" si="1"/>
        <v/>
      </c>
      <c r="AD25" s="468"/>
      <c r="AE25" s="468"/>
      <c r="AF25" s="4"/>
      <c r="AG25" s="88"/>
      <c r="AH25" s="4"/>
      <c r="AI25" s="4"/>
      <c r="AJ25" s="468"/>
      <c r="AK25" s="468"/>
      <c r="AL25" s="468"/>
      <c r="AM25" s="468"/>
      <c r="AN25" s="10"/>
      <c r="AO25" s="9"/>
      <c r="AP25" s="9"/>
      <c r="AQ25" s="9">
        <f>+FL_2($T$26,$T$24,$G$25,1200,9.28,-1*$F$26)</f>
        <v>-0.35695465849645386</v>
      </c>
      <c r="AR25" s="9"/>
      <c r="AS25" s="9"/>
      <c r="AT25" s="9"/>
      <c r="AU25" s="447"/>
      <c r="AV25" s="447"/>
      <c r="AW25" s="468" t="str">
        <f>IF(C25&gt;0,VLOOKUP(C25,Foundation_Calc!$A$20:$C$25,3,1),
IF(J25&gt;0,VLOOKUP(J25,Foundation_Calc!$A$20:$C$25,3,1),""))</f>
        <v/>
      </c>
      <c r="AX25" s="468" t="str">
        <f>IF(C25&gt;0,VLOOKUP(C25,Foundation_Calc!$E$20:$G$25,3,1),
IF(J25&gt;0,VLOOKUP(J25,Foundation_Calc!$E$20:$G$25,3,1),""))</f>
        <v/>
      </c>
      <c r="AY25" s="10" t="str">
        <f>IF(L25="","",
IF(AX25="PT",VLOOKUP(L25,Foundation_Calc!$K$79:$R$112,VLOOKUP(AW25,Foundation_Calc!$I$2:$J$8,2,FALSE),0),
IF(AX25="K",VLOOKUP(L25,Foundation_Calc!$K$116:$R$149,VLOOKUP(AW25,Foundation_Calc!$I$2:$J$8,2,FALSE),0),"")))</f>
        <v/>
      </c>
      <c r="AZ25" s="10" t="str">
        <f>IF(K25="","",
IF(AX25="PT",VLOOKUP(K25,Foundation_Calc!$K$79:$R$112,VLOOKUP(AW25,Foundation_Calc!$I$2:$J$8,2,FALSE),0),
IF(AX25="K",VLOOKUP(K25,Foundation_Calc!$K$116:$R$149,VLOOKUP(AW25,Foundation_Calc!$I$2:$J$8,2,FALSE),0),"")))</f>
        <v/>
      </c>
      <c r="BA25" s="553" t="str">
        <f t="shared" si="2"/>
        <v/>
      </c>
      <c r="BB25" s="553" t="str">
        <f t="shared" si="2"/>
        <v/>
      </c>
      <c r="BC25" s="553" t="str">
        <f t="shared" si="5"/>
        <v/>
      </c>
      <c r="BD25" s="572" t="str">
        <f>IF(AND(L25="",H25=""),"",
IF(H25="",Pole_Calc!A$9,
IF(H25="MP",Pole_Calc!A$10,
IF(H25="AnMP",Pole_Calc!A$11,
IF(H25="A",Pole_Calc!A$12,
IF(H25="S/A",Pole_Calc!A$13,
IF(H25="A/S",Pole_Calc!A$14,"Poner a mano")))))))</f>
        <v/>
      </c>
      <c r="BE25" s="448" t="s">
        <v>1726</v>
      </c>
      <c r="BF25" s="305"/>
      <c r="BG25" s="305"/>
      <c r="BH25" s="306"/>
      <c r="BI25" s="305"/>
    </row>
    <row r="26" spans="1:61" ht="16.2" customHeight="1">
      <c r="A26" s="573"/>
      <c r="B26" s="469" t="s">
        <v>2221</v>
      </c>
      <c r="C26" s="3">
        <f t="shared" ref="C26" si="9">C24-G25</f>
        <v>2625.18</v>
      </c>
      <c r="D26" s="88"/>
      <c r="E26" s="4"/>
      <c r="F26" s="4">
        <v>0</v>
      </c>
      <c r="G26" s="6"/>
      <c r="H26" s="468"/>
      <c r="I26" s="468"/>
      <c r="J26" s="3"/>
      <c r="K26" s="468"/>
      <c r="L26" s="468" t="s">
        <v>37</v>
      </c>
      <c r="M26" s="468" t="str">
        <f>IF(L26="","",
IF(AX26="PT",VLOOKUP(L26,Foundation_Calc!$V$79:$X$112,VLOOKUP(AX26,Foundation_Calc!$I$10:$J$13,2,FALSE),0),
IF(AX26="K",VLOOKUP(L26,Foundation_Calc!$V$116:$X$149,VLOOKUP(AX26,Foundation_Calc!$I$10:$J$13,2,FALSE),0),"")))</f>
        <v>C3R</v>
      </c>
      <c r="N26" s="468" t="s">
        <v>32</v>
      </c>
      <c r="O26" s="468"/>
      <c r="P26" s="468"/>
      <c r="Q26" s="4"/>
      <c r="R26" s="6"/>
      <c r="S26" s="6"/>
      <c r="T26" s="4">
        <v>-35</v>
      </c>
      <c r="U26" s="4"/>
      <c r="V26" s="4"/>
      <c r="W26" s="9">
        <v>1.4</v>
      </c>
      <c r="X26" s="9"/>
      <c r="Y26" s="9"/>
      <c r="Z26" s="9"/>
      <c r="AA26" s="9"/>
      <c r="AB26" s="9"/>
      <c r="AC26" s="468" t="str">
        <f t="shared" si="1"/>
        <v>PHQ</v>
      </c>
      <c r="AD26" s="468"/>
      <c r="AE26" s="468"/>
      <c r="AF26" s="4"/>
      <c r="AG26" s="88"/>
      <c r="AH26" s="4"/>
      <c r="AI26" s="4"/>
      <c r="AJ26" s="468"/>
      <c r="AK26" s="468"/>
      <c r="AL26" s="468"/>
      <c r="AM26" s="468" t="s">
        <v>487</v>
      </c>
      <c r="AN26" s="10">
        <f>AN28+0.07</f>
        <v>5.2600000000000007</v>
      </c>
      <c r="AO26" s="9"/>
      <c r="AP26" s="9"/>
      <c r="AQ26" s="9"/>
      <c r="AR26" s="9"/>
      <c r="AS26" s="9"/>
      <c r="AT26" s="9">
        <f>+ab($T$26,$T$24,$T$28,$G$25,$G$27,-1*$F$26,1200)</f>
        <v>-6.1379605650843176</v>
      </c>
      <c r="AU26" s="447"/>
      <c r="AV26" s="447"/>
      <c r="AW26" s="468" t="str">
        <f>IF(C26&gt;0,VLOOKUP(C26,Foundation_Calc!$A$20:$C$25,3,1),
IF(J26&gt;0,VLOOKUP(J26,Foundation_Calc!$A$20:$C$25,3,1),""))</f>
        <v>MultiSoil</v>
      </c>
      <c r="AX26" s="468" t="str">
        <f>IF(C26&gt;0,VLOOKUP(C26,Foundation_Calc!$E$20:$G$25,3,1),
IF(J26&gt;0,VLOOKUP(J26,Foundation_Calc!$E$20:$G$25,3,1),""))</f>
        <v>PT</v>
      </c>
      <c r="AY26" s="10">
        <f>IF(L26="","",
IF(AX26="PT",VLOOKUP(L26,Foundation_Calc!$K$79:$R$112,VLOOKUP(AW26,Foundation_Calc!$I$2:$J$8,2,FALSE),0),
IF(AX26="K",VLOOKUP(L26,Foundation_Calc!$K$116:$R$149,VLOOKUP(AW26,Foundation_Calc!$I$2:$J$8,2,FALSE),0),"")))</f>
        <v>3.5</v>
      </c>
      <c r="AZ26" s="10" t="str">
        <f>IF(K26="","",
IF(AX26="PT",VLOOKUP(K26,Foundation_Calc!$K$79:$R$112,VLOOKUP(AW26,Foundation_Calc!$I$2:$J$8,2,FALSE),0),
IF(AX26="K",VLOOKUP(K26,Foundation_Calc!$K$116:$R$149,VLOOKUP(AW26,Foundation_Calc!$I$2:$J$8,2,FALSE),0),"")))</f>
        <v/>
      </c>
      <c r="BA26" s="553" t="str">
        <f t="shared" si="2"/>
        <v>ü</v>
      </c>
      <c r="BB26" s="553" t="str">
        <f t="shared" si="2"/>
        <v/>
      </c>
      <c r="BC26" s="553" t="str">
        <f t="shared" si="5"/>
        <v/>
      </c>
      <c r="BD26" s="572" t="str">
        <f>IF(AND(L26="",H26=""),"",
IF(H26="",Pole_Calc!A$9,
IF(H26="MP",Pole_Calc!A$10,
IF(H26="AnMP",Pole_Calc!A$11,
IF(H26="A",Pole_Calc!A$12,
IF(H26="S/A",Pole_Calc!A$13,
IF(H26="A/S",Pole_Calc!A$14,"Poner a mano")))))))</f>
        <v>App.7-V11H-P9.5.1.1</v>
      </c>
      <c r="BE26" s="448" t="s">
        <v>1726</v>
      </c>
      <c r="BF26" s="306"/>
      <c r="BG26" s="306"/>
      <c r="BH26" s="306"/>
      <c r="BI26" s="306"/>
    </row>
    <row r="27" spans="1:61" ht="16.2" customHeight="1">
      <c r="A27" s="573"/>
      <c r="B27" s="469"/>
      <c r="C27" s="3"/>
      <c r="D27" s="88"/>
      <c r="E27" s="4"/>
      <c r="F27" s="4"/>
      <c r="G27" s="6">
        <v>40</v>
      </c>
      <c r="H27" s="468"/>
      <c r="I27" s="468"/>
      <c r="J27" s="3"/>
      <c r="K27" s="468"/>
      <c r="L27" s="468"/>
      <c r="M27" s="468" t="str">
        <f>IF(L27="","",
IF(AX27="PT",VLOOKUP(L27,Foundation_Calc!$V$79:$X$112,VLOOKUP(AX27,Foundation_Calc!$I$10:$J$13,2,FALSE),0),
IF(AX27="K",VLOOKUP(L27,Foundation_Calc!$V$116:$X$149,VLOOKUP(AX27,Foundation_Calc!$I$10:$J$13,2,FALSE),0),"")))</f>
        <v/>
      </c>
      <c r="N27" s="468"/>
      <c r="O27" s="468"/>
      <c r="P27" s="468"/>
      <c r="Q27" s="4"/>
      <c r="R27" s="6"/>
      <c r="S27" s="6"/>
      <c r="T27" s="4"/>
      <c r="U27" s="4"/>
      <c r="V27" s="4"/>
      <c r="W27" s="9"/>
      <c r="X27" s="9"/>
      <c r="Y27" s="9"/>
      <c r="Z27" s="9"/>
      <c r="AA27" s="9"/>
      <c r="AB27" s="9"/>
      <c r="AC27" s="468" t="str">
        <f t="shared" si="1"/>
        <v/>
      </c>
      <c r="AD27" s="468"/>
      <c r="AE27" s="468"/>
      <c r="AF27" s="4"/>
      <c r="AG27" s="88"/>
      <c r="AH27" s="4"/>
      <c r="AI27" s="4"/>
      <c r="AJ27" s="468"/>
      <c r="AK27" s="468"/>
      <c r="AL27" s="468"/>
      <c r="AM27" s="468"/>
      <c r="AN27" s="10"/>
      <c r="AO27" s="9"/>
      <c r="AP27" s="9"/>
      <c r="AQ27" s="9">
        <f>+FL_1($T$28,$T$26,$G$27,1200,9.28,-1*$F$28)</f>
        <v>0.32462021055494544</v>
      </c>
      <c r="AR27" s="9"/>
      <c r="AS27" s="9"/>
      <c r="AT27" s="9"/>
      <c r="AU27" s="447"/>
      <c r="AV27" s="447"/>
      <c r="AW27" s="468" t="str">
        <f>IF(C27&gt;0,VLOOKUP(C27,Foundation_Calc!$A$20:$C$25,3,1),
IF(J27&gt;0,VLOOKUP(J27,Foundation_Calc!$A$20:$C$25,3,1),""))</f>
        <v/>
      </c>
      <c r="AX27" s="468" t="str">
        <f>IF(C27&gt;0,VLOOKUP(C27,Foundation_Calc!$E$20:$G$25,3,1),
IF(J27&gt;0,VLOOKUP(J27,Foundation_Calc!$E$20:$G$25,3,1),""))</f>
        <v/>
      </c>
      <c r="AY27" s="10" t="str">
        <f>IF(L27="","",
IF(AX27="PT",VLOOKUP(L27,Foundation_Calc!$K$79:$R$112,VLOOKUP(AW27,Foundation_Calc!$I$2:$J$8,2,FALSE),0),
IF(AX27="K",VLOOKUP(L27,Foundation_Calc!$K$116:$R$149,VLOOKUP(AW27,Foundation_Calc!$I$2:$J$8,2,FALSE),0),"")))</f>
        <v/>
      </c>
      <c r="AZ27" s="10" t="str">
        <f>IF(K27="","",
IF(AX27="PT",VLOOKUP(K27,Foundation_Calc!$K$79:$R$112,VLOOKUP(AW27,Foundation_Calc!$I$2:$J$8,2,FALSE),0),
IF(AX27="K",VLOOKUP(K27,Foundation_Calc!$K$116:$R$149,VLOOKUP(AW27,Foundation_Calc!$I$2:$J$8,2,FALSE),0),"")))</f>
        <v/>
      </c>
      <c r="BA27" s="553" t="str">
        <f t="shared" si="2"/>
        <v/>
      </c>
      <c r="BB27" s="553" t="str">
        <f t="shared" si="2"/>
        <v/>
      </c>
      <c r="BC27" s="553" t="str">
        <f t="shared" si="5"/>
        <v/>
      </c>
      <c r="BD27" s="572" t="str">
        <f>IF(AND(L27="",H27=""),"",
IF(H27="",Pole_Calc!A$9,
IF(H27="MP",Pole_Calc!A$10,
IF(H27="AnMP",Pole_Calc!A$11,
IF(H27="A",Pole_Calc!A$12,
IF(H27="S/A",Pole_Calc!A$13,
IF(H27="A/S",Pole_Calc!A$14,"Poner a mano")))))))</f>
        <v/>
      </c>
      <c r="BE27" s="448" t="s">
        <v>1726</v>
      </c>
      <c r="BF27" s="305"/>
      <c r="BG27" s="305"/>
      <c r="BH27" s="306"/>
      <c r="BI27" s="305"/>
    </row>
    <row r="28" spans="1:61" ht="16.2" customHeight="1">
      <c r="A28" s="573"/>
      <c r="B28" s="469" t="s">
        <v>2220</v>
      </c>
      <c r="C28" s="3">
        <f t="shared" ref="C28" si="10">C26-G27</f>
        <v>2585.1799999999998</v>
      </c>
      <c r="D28" s="88"/>
      <c r="E28" s="4"/>
      <c r="F28" s="4">
        <f>-(192^2)/(C28-2600.77)</f>
        <v>2364.5926876202475</v>
      </c>
      <c r="G28" s="6"/>
      <c r="H28" s="468" t="s">
        <v>365</v>
      </c>
      <c r="I28" s="468"/>
      <c r="J28" s="3">
        <f>C28+7.5</f>
        <v>2592.6799999999998</v>
      </c>
      <c r="K28" s="468" t="s">
        <v>1096</v>
      </c>
      <c r="L28" s="468" t="s">
        <v>38</v>
      </c>
      <c r="M28" s="468" t="str">
        <f>IF(L28="","",
IF(AX28="PT",VLOOKUP(L28,Foundation_Calc!$V$79:$X$112,VLOOKUP(AX28,Foundation_Calc!$I$10:$J$13,2,FALSE),0),
IF(AX28="K",VLOOKUP(L28,Foundation_Calc!$V$116:$X$149,VLOOKUP(AX28,Foundation_Calc!$I$10:$J$13,2,FALSE),0),"")))</f>
        <v>C4R</v>
      </c>
      <c r="N28" s="468" t="s">
        <v>33</v>
      </c>
      <c r="O28" s="468"/>
      <c r="P28" s="468"/>
      <c r="Q28" s="4"/>
      <c r="R28" s="6"/>
      <c r="S28" s="6"/>
      <c r="T28" s="4">
        <v>30</v>
      </c>
      <c r="U28" s="4"/>
      <c r="V28" s="4"/>
      <c r="W28" s="9">
        <v>1.2</v>
      </c>
      <c r="X28" s="9"/>
      <c r="Y28" s="9"/>
      <c r="Z28" s="9"/>
      <c r="AA28" s="9"/>
      <c r="AB28" s="9"/>
      <c r="AC28" s="468" t="str">
        <f t="shared" si="1"/>
        <v>PH</v>
      </c>
      <c r="AD28" s="468"/>
      <c r="AE28" s="468"/>
      <c r="AF28" s="4"/>
      <c r="AG28" s="88"/>
      <c r="AH28" s="4"/>
      <c r="AI28" s="4"/>
      <c r="AJ28" s="468"/>
      <c r="AK28" s="468"/>
      <c r="AL28" s="468"/>
      <c r="AM28" s="468" t="s">
        <v>486</v>
      </c>
      <c r="AN28" s="10">
        <f>AN30+0.04</f>
        <v>5.19</v>
      </c>
      <c r="AO28" s="9"/>
      <c r="AP28" s="9"/>
      <c r="AQ28" s="9"/>
      <c r="AR28" s="9"/>
      <c r="AS28" s="9"/>
      <c r="AT28" s="9">
        <f>+ab($T$28,$T$26,$T$30,$G$27,$G$29,-1*$F$28,1200)</f>
        <v>83.340387850635736</v>
      </c>
      <c r="AU28" s="447"/>
      <c r="AV28" s="447"/>
      <c r="AW28" s="468" t="str">
        <f>IF(C28&gt;0,VLOOKUP(C28,Foundation_Calc!$A$20:$C$25,3,1),
IF(J28&gt;0,VLOOKUP(J28,Foundation_Calc!$A$20:$C$25,3,1),""))</f>
        <v>MultiSoil</v>
      </c>
      <c r="AX28" s="468" t="str">
        <f>IF(C28&gt;0,VLOOKUP(C28,Foundation_Calc!$E$20:$G$25,3,1),
IF(J28&gt;0,VLOOKUP(J28,Foundation_Calc!$E$20:$G$25,3,1),""))</f>
        <v>PT</v>
      </c>
      <c r="AY28" s="10">
        <f>IF(L28="","",
IF(AX28="PT",VLOOKUP(L28,Foundation_Calc!$K$79:$R$112,VLOOKUP(AW28,Foundation_Calc!$I$2:$J$8,2,FALSE),0),
IF(AX28="K",VLOOKUP(L28,Foundation_Calc!$K$116:$R$149,VLOOKUP(AW28,Foundation_Calc!$I$2:$J$8,2,FALSE),0),"")))</f>
        <v>3.5</v>
      </c>
      <c r="AZ28" s="10">
        <f>IF(K28="","",
IF(AX28="PT",VLOOKUP(K28,Foundation_Calc!$K$79:$R$112,VLOOKUP(AW28,Foundation_Calc!$I$2:$J$8,2,FALSE),0),
IF(AX28="K",VLOOKUP(K28,Foundation_Calc!$K$116:$R$149,VLOOKUP(AW28,Foundation_Calc!$I$2:$J$8,2,FALSE),0),"")))</f>
        <v>2.8</v>
      </c>
      <c r="BA28" s="553" t="str">
        <f t="shared" si="2"/>
        <v>ü</v>
      </c>
      <c r="BB28" s="553" t="str">
        <f t="shared" si="2"/>
        <v>ü</v>
      </c>
      <c r="BC28" s="553" t="str">
        <f t="shared" si="5"/>
        <v/>
      </c>
      <c r="BD28" s="572" t="str">
        <f>IF(AND(L28="",H28=""),"",
IF(H28="",Pole_Calc!A$9,
IF(H28="MP",Pole_Calc!A$10,
IF(H28="AnMP",Pole_Calc!A$11,
IF(H28="A",Pole_Calc!A$12,
IF(H28="S/A",Pole_Calc!A$13,
IF(H28="A/S",Pole_Calc!A$14,"Poner a mano")))))))</f>
        <v>App.7-V11H-P9.5.1.3</v>
      </c>
      <c r="BE28" s="448" t="s">
        <v>1726</v>
      </c>
      <c r="BF28" s="306"/>
      <c r="BG28" s="306"/>
      <c r="BH28" s="306"/>
      <c r="BI28" s="306"/>
    </row>
    <row r="29" spans="1:61" ht="16.2" customHeight="1">
      <c r="A29" s="573"/>
      <c r="B29" s="469"/>
      <c r="C29" s="3"/>
      <c r="D29" s="88"/>
      <c r="E29" s="4"/>
      <c r="F29" s="4"/>
      <c r="G29" s="6">
        <v>35</v>
      </c>
      <c r="H29" s="468"/>
      <c r="I29" s="4">
        <f>SUM(G7:G29)-G11</f>
        <v>522.79999999999995</v>
      </c>
      <c r="J29" s="3"/>
      <c r="K29" s="468"/>
      <c r="L29" s="468"/>
      <c r="M29" s="468" t="str">
        <f>IF(L29="","",
IF(AX29="PT",VLOOKUP(L29,Foundation_Calc!$V$79:$X$112,VLOOKUP(AX29,Foundation_Calc!$I$10:$J$13,2,FALSE),0),
IF(AX29="K",VLOOKUP(L29,Foundation_Calc!$V$116:$X$149,VLOOKUP(AX29,Foundation_Calc!$I$10:$J$13,2,FALSE),0),"")))</f>
        <v/>
      </c>
      <c r="N29" s="468"/>
      <c r="O29" s="468"/>
      <c r="P29" s="468"/>
      <c r="Q29" s="4"/>
      <c r="R29" s="6"/>
      <c r="S29" s="6"/>
      <c r="T29" s="4"/>
      <c r="U29" s="4"/>
      <c r="V29" s="4"/>
      <c r="W29" s="9"/>
      <c r="X29" s="9"/>
      <c r="Y29" s="9"/>
      <c r="Z29" s="9"/>
      <c r="AA29" s="9"/>
      <c r="AB29" s="9"/>
      <c r="AC29" s="468" t="str">
        <f t="shared" si="1"/>
        <v/>
      </c>
      <c r="AD29" s="468"/>
      <c r="AE29" s="468"/>
      <c r="AF29" s="4"/>
      <c r="AG29" s="88"/>
      <c r="AH29" s="4"/>
      <c r="AI29" s="4"/>
      <c r="AJ29" s="468"/>
      <c r="AK29" s="468"/>
      <c r="AL29" s="468"/>
      <c r="AM29" s="468"/>
      <c r="AN29" s="10"/>
      <c r="AO29" s="9"/>
      <c r="AP29" s="9"/>
      <c r="AQ29" s="9">
        <f>+FL_2($T$30,$T$28,$G$29,1200,9.28,-1*$F$30)</f>
        <v>0.3</v>
      </c>
      <c r="AR29" s="9"/>
      <c r="AS29" s="9"/>
      <c r="AT29" s="9"/>
      <c r="AU29" s="447"/>
      <c r="AV29" s="447"/>
      <c r="AW29" s="468" t="str">
        <f>IF(C29&gt;0,VLOOKUP(C29,Foundation_Calc!$A$20:$C$25,3,1),
IF(J29&gt;0,VLOOKUP(J29,Foundation_Calc!$A$20:$C$25,3,1),""))</f>
        <v/>
      </c>
      <c r="AX29" s="468" t="str">
        <f>IF(C29&gt;0,VLOOKUP(C29,Foundation_Calc!$E$20:$G$25,3,1),
IF(J29&gt;0,VLOOKUP(J29,Foundation_Calc!$E$20:$G$25,3,1),""))</f>
        <v/>
      </c>
      <c r="AY29" s="10" t="str">
        <f>IF(L29="","",
IF(AX29="PT",VLOOKUP(L29,Foundation_Calc!$K$79:$R$112,VLOOKUP(AW29,Foundation_Calc!$I$2:$J$8,2,FALSE),0),
IF(AX29="K",VLOOKUP(L29,Foundation_Calc!$K$116:$R$149,VLOOKUP(AW29,Foundation_Calc!$I$2:$J$8,2,FALSE),0),"")))</f>
        <v/>
      </c>
      <c r="AZ29" s="10" t="str">
        <f>IF(K29="","",
IF(AX29="PT",VLOOKUP(K29,Foundation_Calc!$K$79:$R$112,VLOOKUP(AW29,Foundation_Calc!$I$2:$J$8,2,FALSE),0),
IF(AX29="K",VLOOKUP(K29,Foundation_Calc!$K$116:$R$149,VLOOKUP(AW29,Foundation_Calc!$I$2:$J$8,2,FALSE),0),"")))</f>
        <v/>
      </c>
      <c r="BA29" s="553" t="str">
        <f t="shared" si="2"/>
        <v/>
      </c>
      <c r="BB29" s="553" t="str">
        <f t="shared" si="2"/>
        <v/>
      </c>
      <c r="BC29" s="553" t="str">
        <f t="shared" si="5"/>
        <v/>
      </c>
      <c r="BD29" s="572" t="str">
        <f>IF(AND(L29="",H29=""),"",
IF(H29="",Pole_Calc!A$9,
IF(H29="MP",Pole_Calc!A$10,
IF(H29="AnMP",Pole_Calc!A$11,
IF(H29="A",Pole_Calc!A$12,
IF(H29="S/A",Pole_Calc!A$13,
IF(H29="A/S",Pole_Calc!A$14,"Poner a mano")))))))</f>
        <v/>
      </c>
      <c r="BE29" s="448" t="s">
        <v>1726</v>
      </c>
      <c r="BF29" s="305"/>
      <c r="BG29" s="305"/>
      <c r="BH29" s="306"/>
      <c r="BI29" s="305"/>
    </row>
    <row r="30" spans="1:61" ht="16.2" customHeight="1">
      <c r="A30" s="573"/>
      <c r="B30" s="469" t="s">
        <v>2219</v>
      </c>
      <c r="C30" s="3">
        <f t="shared" ref="C30" si="11">C28-G29</f>
        <v>2550.1799999999998</v>
      </c>
      <c r="D30" s="88"/>
      <c r="E30" s="4"/>
      <c r="F30" s="4">
        <f>-(192^2)/(C30-2600.77)</f>
        <v>728.68155762008098</v>
      </c>
      <c r="G30" s="6"/>
      <c r="H30" s="468" t="s">
        <v>366</v>
      </c>
      <c r="I30" s="4" t="s">
        <v>482</v>
      </c>
      <c r="J30" s="3"/>
      <c r="K30" s="468" t="s">
        <v>451</v>
      </c>
      <c r="L30" s="468" t="s">
        <v>38</v>
      </c>
      <c r="M30" s="468" t="str">
        <f>IF(L30="","",
IF(AX30="PT",VLOOKUP(L30,Foundation_Calc!$V$79:$X$112,VLOOKUP(AX30,Foundation_Calc!$I$10:$J$13,2,FALSE),0),
IF(AX30="K",VLOOKUP(L30,Foundation_Calc!$V$116:$X$149,VLOOKUP(AX30,Foundation_Calc!$I$10:$J$13,2,FALSE),0),"")))</f>
        <v>C4R</v>
      </c>
      <c r="N30" s="468" t="s">
        <v>33</v>
      </c>
      <c r="O30" s="468"/>
      <c r="P30" s="468"/>
      <c r="Q30" s="4"/>
      <c r="R30" s="6"/>
      <c r="S30" s="6"/>
      <c r="T30" s="4">
        <v>30</v>
      </c>
      <c r="U30" s="4"/>
      <c r="V30" s="4"/>
      <c r="W30" s="9">
        <v>1</v>
      </c>
      <c r="X30" s="9"/>
      <c r="Y30" s="9"/>
      <c r="Z30" s="9"/>
      <c r="AA30" s="9"/>
      <c r="AB30" s="9"/>
      <c r="AC30" s="468" t="str">
        <f t="shared" si="1"/>
        <v>PHQ</v>
      </c>
      <c r="AD30" s="468"/>
      <c r="AE30" s="468"/>
      <c r="AF30" s="4"/>
      <c r="AG30" s="88"/>
      <c r="AH30" s="4"/>
      <c r="AI30" s="4"/>
      <c r="AJ30" s="468"/>
      <c r="AK30" s="468"/>
      <c r="AL30" s="468"/>
      <c r="AM30" s="468" t="s">
        <v>486</v>
      </c>
      <c r="AN30" s="10">
        <v>5.15</v>
      </c>
      <c r="AO30" s="9"/>
      <c r="AP30" s="9"/>
      <c r="AQ30" s="9"/>
      <c r="AR30" s="9"/>
      <c r="AS30" s="9"/>
      <c r="AT30" s="9">
        <f>+ab($T$30,$T$28,$T$32,$G$29,$G$31,-1*$F$30,1200)</f>
        <v>-6.1881365322848048</v>
      </c>
      <c r="AU30" s="447"/>
      <c r="AV30" s="447"/>
      <c r="AW30" s="468" t="str">
        <f>IF(C30&gt;0,VLOOKUP(C30,Foundation_Calc!$A$20:$C$25,3,1),
IF(J30&gt;0,VLOOKUP(J30,Foundation_Calc!$A$20:$C$25,3,1),""))</f>
        <v>MultiSoil</v>
      </c>
      <c r="AX30" s="468" t="str">
        <f>IF(C30&gt;0,VLOOKUP(C30,Foundation_Calc!$E$20:$G$25,3,1),
IF(J30&gt;0,VLOOKUP(J30,Foundation_Calc!$E$20:$G$25,3,1),""))</f>
        <v>PT</v>
      </c>
      <c r="AY30" s="10">
        <f>IF(L30="","",
IF(AX30="PT",VLOOKUP(L30,Foundation_Calc!$K$79:$R$112,VLOOKUP(AW30,Foundation_Calc!$I$2:$J$8,2,FALSE),0),
IF(AX30="K",VLOOKUP(L30,Foundation_Calc!$K$116:$R$149,VLOOKUP(AW30,Foundation_Calc!$I$2:$J$8,2,FALSE),0),"")))</f>
        <v>3.5</v>
      </c>
      <c r="AZ30" s="10"/>
      <c r="BA30" s="553" t="str">
        <f t="shared" si="2"/>
        <v>ü</v>
      </c>
      <c r="BB30" s="553" t="str">
        <f t="shared" si="2"/>
        <v/>
      </c>
      <c r="BC30" s="553" t="str">
        <f t="shared" si="5"/>
        <v/>
      </c>
      <c r="BD30" s="572" t="str">
        <f>IF(AND(L30="",H30=""),"",
IF(H30="",Pole_Calc!A$9,
IF(H30="MP",Pole_Calc!A$10,
IF(H30="AnMP",Pole_Calc!A$11,
IF(H30="A",Pole_Calc!A$12,
IF(H30="S/A",Pole_Calc!A$13,
IF(H30="A/S",Pole_Calc!A$14,"Poner a mano")))))))</f>
        <v>App.7-V11H-P9.5.1.2</v>
      </c>
      <c r="BE30" s="448" t="s">
        <v>1726</v>
      </c>
      <c r="BF30" s="306"/>
      <c r="BG30" s="306"/>
      <c r="BH30" s="306"/>
      <c r="BI30" s="306"/>
    </row>
    <row r="31" spans="1:61" ht="16.2" customHeight="1">
      <c r="A31" s="573" t="s">
        <v>383</v>
      </c>
      <c r="B31" s="469"/>
      <c r="C31" s="3"/>
      <c r="D31" s="88"/>
      <c r="E31" s="4"/>
      <c r="F31" s="4"/>
      <c r="G31" s="6">
        <v>35</v>
      </c>
      <c r="H31" s="468"/>
      <c r="I31" s="4">
        <f>SUM(G31:G51)</f>
        <v>391</v>
      </c>
      <c r="J31" s="3"/>
      <c r="K31" s="468"/>
      <c r="L31" s="468"/>
      <c r="M31" s="468" t="str">
        <f>IF(L31="","",
IF(AX31="PT",VLOOKUP(L31,Foundation_Calc!$V$4:$X$37,VLOOKUP(AX31,Foundation_Calc!$I$10:$J$13,2,FALSE),0),
IF(AX31="K",VLOOKUP(L31,Foundation_Calc!$V$41:$X$74,VLOOKUP(AX31,Foundation_Calc!$I$10:$J$13,2,FALSE),0),"")))</f>
        <v/>
      </c>
      <c r="N31" s="468"/>
      <c r="O31" s="468"/>
      <c r="P31" s="468"/>
      <c r="Q31" s="4"/>
      <c r="R31" s="6"/>
      <c r="S31" s="6"/>
      <c r="T31" s="4"/>
      <c r="U31" s="4"/>
      <c r="V31" s="4"/>
      <c r="W31" s="9"/>
      <c r="X31" s="9"/>
      <c r="Y31" s="9"/>
      <c r="Z31" s="9"/>
      <c r="AA31" s="9"/>
      <c r="AB31" s="9"/>
      <c r="AC31" s="468" t="str">
        <f t="shared" si="1"/>
        <v/>
      </c>
      <c r="AD31" s="468"/>
      <c r="AE31" s="468"/>
      <c r="AF31" s="4"/>
      <c r="AG31" s="88"/>
      <c r="AH31" s="4"/>
      <c r="AI31" s="4"/>
      <c r="AJ31" s="468"/>
      <c r="AK31" s="468"/>
      <c r="AL31" s="468"/>
      <c r="AM31" s="468" t="s">
        <v>2451</v>
      </c>
      <c r="AN31" s="10"/>
      <c r="AO31" s="9"/>
      <c r="AP31" s="9"/>
      <c r="AQ31" s="9">
        <f>+FL_2($T$32,$T$30,$G$31,1200,9.28,-1*$F$32)</f>
        <v>-0.3</v>
      </c>
      <c r="AR31" s="9"/>
      <c r="AS31" s="9"/>
      <c r="AT31" s="9"/>
      <c r="AU31" s="447"/>
      <c r="AV31" s="447"/>
      <c r="AW31" s="468" t="str">
        <f>IF(C31&gt;0,VLOOKUP(C31,Foundation_Calc!$A$20:$C$25,3,1),
IF(J31&gt;0,VLOOKUP(J31,Foundation_Calc!$A$20:$C$25,3,1),""))</f>
        <v/>
      </c>
      <c r="AX31" s="468" t="str">
        <f>IF(C31&gt;0,VLOOKUP(C31,Foundation_Calc!$E$20:$G$25,3,1),
IF(J31&gt;0,VLOOKUP(J31,Foundation_Calc!$E$20:$G$25,3,1),""))</f>
        <v/>
      </c>
      <c r="AY31" s="10" t="str">
        <f>IF(L31="","",
IF(AX31="PT",VLOOKUP(L31,Foundation_Calc!$K$79:$R$112,VLOOKUP(AW31,Foundation_Calc!$I$2:$J$8,2,FALSE),0),
IF(AX31="K",VLOOKUP(L31,Foundation_Calc!$K$116:$R$149,VLOOKUP(AW31,Foundation_Calc!$I$2:$J$8,2,FALSE),0),"")))</f>
        <v/>
      </c>
      <c r="AZ31" s="10" t="str">
        <f>IF(K31="","",
IF(AX31="PT",VLOOKUP(K31,Foundation_Calc!$K$79:$R$112,VLOOKUP(AW31,Foundation_Calc!$I$2:$J$8,2,FALSE),0),
IF(AX31="K",VLOOKUP(K31,Foundation_Calc!$K$116:$R$149,VLOOKUP(AW31,Foundation_Calc!$I$2:$J$8,2,FALSE),0),"")))</f>
        <v/>
      </c>
      <c r="BA31" s="553" t="str">
        <f t="shared" si="2"/>
        <v/>
      </c>
      <c r="BB31" s="553" t="str">
        <f t="shared" si="2"/>
        <v/>
      </c>
      <c r="BC31" s="553" t="str">
        <f t="shared" si="5"/>
        <v/>
      </c>
      <c r="BD31" s="572" t="str">
        <f>IF(AND(L31="",H31=""),"",
IF(H31="",Pole_Calc!A$9,
IF(H31="MP",Pole_Calc!A$10,
IF(H31="AnMP",Pole_Calc!A$11,
IF(H31="A",Pole_Calc!A$12,
IF(H31="S/A",Pole_Calc!A$13,
IF(H31="A/S",Pole_Calc!A$14,"Poner a mano")))))))</f>
        <v/>
      </c>
      <c r="BE31" s="448" t="s">
        <v>1726</v>
      </c>
      <c r="BF31" s="305"/>
      <c r="BG31" s="305"/>
      <c r="BH31" s="306"/>
      <c r="BI31" s="305"/>
    </row>
    <row r="32" spans="1:61" ht="16.2" customHeight="1">
      <c r="A32" s="624" t="s">
        <v>383</v>
      </c>
      <c r="B32" s="469" t="s">
        <v>2218</v>
      </c>
      <c r="C32" s="3">
        <f t="shared" ref="C32" si="12">C30-G31</f>
        <v>2515.1799999999998</v>
      </c>
      <c r="D32" s="88"/>
      <c r="E32" s="4"/>
      <c r="F32" s="4">
        <f>-(192^2)/(C32-2600.77)</f>
        <v>430.70452155625583</v>
      </c>
      <c r="G32" s="6"/>
      <c r="H32" s="468" t="s">
        <v>450</v>
      </c>
      <c r="I32" s="468"/>
      <c r="J32" s="3">
        <f>C32+1</f>
        <v>2516.1799999999998</v>
      </c>
      <c r="K32" s="468" t="s">
        <v>451</v>
      </c>
      <c r="L32" s="468" t="s">
        <v>199</v>
      </c>
      <c r="M32" s="468" t="str">
        <f>IF(L32="","",
IF(AX32="PT",VLOOKUP(L32,Foundation_Calc!$V$4:$X$37,VLOOKUP(AX32,Foundation_Calc!$I$10:$J$13,2,FALSE),0),
IF(AX32="K",VLOOKUP(L32,Foundation_Calc!$V$41:$X$74,VLOOKUP(AX32,Foundation_Calc!$I$10:$J$13,2,FALSE),0),"")))</f>
        <v/>
      </c>
      <c r="N32" s="468" t="s">
        <v>191</v>
      </c>
      <c r="O32" s="468"/>
      <c r="P32" s="468"/>
      <c r="Q32" s="4"/>
      <c r="R32" s="6"/>
      <c r="S32" s="6"/>
      <c r="T32" s="4">
        <v>-30</v>
      </c>
      <c r="U32" s="4"/>
      <c r="V32" s="4"/>
      <c r="W32" s="9">
        <v>1</v>
      </c>
      <c r="X32" s="9"/>
      <c r="Y32" s="9"/>
      <c r="Z32" s="9"/>
      <c r="AA32" s="9"/>
      <c r="AB32" s="9"/>
      <c r="AC32" s="468" t="s">
        <v>1341</v>
      </c>
      <c r="AD32" s="468"/>
      <c r="AE32" s="468"/>
      <c r="AF32" s="4"/>
      <c r="AG32" s="88"/>
      <c r="AH32" s="4"/>
      <c r="AI32" s="4"/>
      <c r="AJ32" s="468"/>
      <c r="AK32" s="468" t="s">
        <v>763</v>
      </c>
      <c r="AL32" s="468"/>
      <c r="AM32" s="468" t="s">
        <v>2476</v>
      </c>
      <c r="AN32" s="10">
        <v>5.15</v>
      </c>
      <c r="AO32" s="9"/>
      <c r="AP32" s="9"/>
      <c r="AQ32" s="9"/>
      <c r="AR32" s="9"/>
      <c r="AS32" s="9"/>
      <c r="AT32" s="9"/>
      <c r="AU32" s="447"/>
      <c r="AV32" s="447"/>
      <c r="AW32" s="468" t="s">
        <v>2568</v>
      </c>
      <c r="AX32" s="468" t="s">
        <v>199</v>
      </c>
      <c r="AY32" s="10"/>
      <c r="AZ32" s="10"/>
      <c r="BA32" s="553" t="str">
        <f t="shared" si="2"/>
        <v/>
      </c>
      <c r="BB32" s="553" t="str">
        <f t="shared" si="2"/>
        <v/>
      </c>
      <c r="BC32" s="553" t="str">
        <f t="shared" si="5"/>
        <v/>
      </c>
      <c r="BD32" s="572"/>
      <c r="BE32" s="448" t="s">
        <v>1726</v>
      </c>
      <c r="BF32" s="306"/>
      <c r="BG32" s="306"/>
      <c r="BH32" s="306"/>
      <c r="BI32" s="306"/>
    </row>
    <row r="33" spans="1:61" ht="16.2" customHeight="1">
      <c r="A33" s="624" t="s">
        <v>383</v>
      </c>
      <c r="B33" s="469"/>
      <c r="C33" s="3"/>
      <c r="D33" s="88"/>
      <c r="E33" s="4"/>
      <c r="F33" s="4"/>
      <c r="G33" s="6">
        <v>30</v>
      </c>
      <c r="H33" s="468"/>
      <c r="I33" s="468"/>
      <c r="J33" s="3"/>
      <c r="K33" s="468"/>
      <c r="L33" s="468"/>
      <c r="M33" s="468" t="str">
        <f>IF(L33="","",
IF(AX33="PT",VLOOKUP(L33,Foundation_Calc!$V$4:$X$37,VLOOKUP(AX33,Foundation_Calc!$I$10:$J$13,2,FALSE),0),
IF(AX33="K",VLOOKUP(L33,Foundation_Calc!$V$41:$X$74,VLOOKUP(AX33,Foundation_Calc!$I$10:$J$13,2,FALSE),0),"")))</f>
        <v/>
      </c>
      <c r="N33" s="468"/>
      <c r="O33" s="468"/>
      <c r="P33" s="468"/>
      <c r="Q33" s="4"/>
      <c r="R33" s="6"/>
      <c r="S33" s="6"/>
      <c r="T33" s="4"/>
      <c r="U33" s="4"/>
      <c r="V33" s="4"/>
      <c r="W33" s="9"/>
      <c r="X33" s="9"/>
      <c r="Y33" s="9"/>
      <c r="Z33" s="9"/>
      <c r="AA33" s="9"/>
      <c r="AB33" s="9"/>
      <c r="AC33" s="468" t="s">
        <v>195</v>
      </c>
      <c r="AD33" s="468"/>
      <c r="AE33" s="468"/>
      <c r="AF33" s="4"/>
      <c r="AG33" s="88"/>
      <c r="AH33" s="4"/>
      <c r="AI33" s="4"/>
      <c r="AJ33" s="468"/>
      <c r="AK33" s="468"/>
      <c r="AL33" s="468"/>
      <c r="AM33" s="468"/>
      <c r="AN33" s="10"/>
      <c r="AO33" s="9"/>
      <c r="AP33" s="9"/>
      <c r="AQ33" s="9"/>
      <c r="AR33" s="9"/>
      <c r="AS33" s="9"/>
      <c r="AT33" s="9"/>
      <c r="AU33" s="447"/>
      <c r="AV33" s="447"/>
      <c r="AW33" s="468"/>
      <c r="AX33" s="468"/>
      <c r="AY33" s="10"/>
      <c r="AZ33" s="10"/>
      <c r="BA33" s="553" t="str">
        <f t="shared" si="2"/>
        <v/>
      </c>
      <c r="BB33" s="553" t="str">
        <f t="shared" si="2"/>
        <v/>
      </c>
      <c r="BC33" s="553" t="str">
        <f t="shared" si="5"/>
        <v/>
      </c>
      <c r="BD33" s="572" t="str">
        <f>IF(AND(L33="",H33=""),"",
IF(H33="",Pole_Calc!A$9,
IF(H33="MP",Pole_Calc!A$10,
IF(H33="AnMP",Pole_Calc!A$11,
IF(H33="A",Pole_Calc!A$12,
IF(H33="S/A",Pole_Calc!A$13,
IF(H33="A/S",Pole_Calc!A$14,"Poner a mano")))))))</f>
        <v/>
      </c>
      <c r="BE33" s="448" t="s">
        <v>1726</v>
      </c>
      <c r="BF33" s="305"/>
      <c r="BG33" s="305"/>
      <c r="BH33" s="306"/>
      <c r="BI33" s="305"/>
    </row>
    <row r="34" spans="1:61" ht="16.2" customHeight="1">
      <c r="A34" s="624" t="s">
        <v>383</v>
      </c>
      <c r="B34" s="469" t="s">
        <v>2217</v>
      </c>
      <c r="C34" s="3">
        <f t="shared" ref="C34" si="13">C32-G33</f>
        <v>2485.1799999999998</v>
      </c>
      <c r="D34" s="88"/>
      <c r="E34" s="4"/>
      <c r="F34" s="4">
        <v>400</v>
      </c>
      <c r="G34" s="6"/>
      <c r="H34" s="468"/>
      <c r="I34" s="468"/>
      <c r="J34" s="3"/>
      <c r="K34" s="468"/>
      <c r="L34" s="468" t="s">
        <v>199</v>
      </c>
      <c r="M34" s="468" t="str">
        <f>IF(L34="","",
IF(AX34="PT",VLOOKUP(L34,Foundation_Calc!$V$4:$X$37,VLOOKUP(AX34,Foundation_Calc!$I$10:$J$13,2,FALSE),0),
IF(AX34="K",VLOOKUP(L34,Foundation_Calc!$V$41:$X$74,VLOOKUP(AX34,Foundation_Calc!$I$10:$J$13,2,FALSE),0),"")))</f>
        <v/>
      </c>
      <c r="N34" s="468" t="s">
        <v>191</v>
      </c>
      <c r="O34" s="468"/>
      <c r="P34" s="468"/>
      <c r="Q34" s="4"/>
      <c r="R34" s="6"/>
      <c r="S34" s="6"/>
      <c r="T34" s="4">
        <v>-30</v>
      </c>
      <c r="U34" s="4"/>
      <c r="V34" s="4"/>
      <c r="W34" s="9">
        <v>1</v>
      </c>
      <c r="X34" s="9"/>
      <c r="Y34" s="9"/>
      <c r="Z34" s="9"/>
      <c r="AA34" s="9"/>
      <c r="AB34" s="9"/>
      <c r="AC34" s="468" t="s">
        <v>1341</v>
      </c>
      <c r="AD34" s="468"/>
      <c r="AE34" s="468"/>
      <c r="AF34" s="4"/>
      <c r="AG34" s="88"/>
      <c r="AH34" s="4"/>
      <c r="AI34" s="4"/>
      <c r="AJ34" s="468"/>
      <c r="AK34" s="468" t="s">
        <v>763</v>
      </c>
      <c r="AL34" s="468"/>
      <c r="AM34" s="468" t="s">
        <v>2458</v>
      </c>
      <c r="AN34" s="10">
        <v>5.15</v>
      </c>
      <c r="AO34" s="9"/>
      <c r="AP34" s="9"/>
      <c r="AQ34" s="9"/>
      <c r="AR34" s="9"/>
      <c r="AS34" s="9"/>
      <c r="AT34" s="9"/>
      <c r="AU34" s="447"/>
      <c r="AV34" s="447"/>
      <c r="AW34" s="468" t="s">
        <v>2568</v>
      </c>
      <c r="AX34" s="468" t="s">
        <v>199</v>
      </c>
      <c r="AY34" s="10"/>
      <c r="AZ34" s="10"/>
      <c r="BA34" s="553" t="str">
        <f t="shared" si="2"/>
        <v/>
      </c>
      <c r="BB34" s="553" t="str">
        <f t="shared" si="2"/>
        <v/>
      </c>
      <c r="BC34" s="553" t="str">
        <f t="shared" si="5"/>
        <v/>
      </c>
      <c r="BD34" s="572"/>
      <c r="BE34" s="448" t="s">
        <v>1726</v>
      </c>
      <c r="BF34" s="306"/>
      <c r="BG34" s="306"/>
      <c r="BH34" s="306"/>
      <c r="BI34" s="306"/>
    </row>
    <row r="35" spans="1:61" ht="16.2" customHeight="1">
      <c r="A35" s="624" t="s">
        <v>383</v>
      </c>
      <c r="B35" s="469"/>
      <c r="C35" s="3"/>
      <c r="D35" s="88"/>
      <c r="E35" s="4"/>
      <c r="F35" s="4"/>
      <c r="G35" s="6">
        <v>30</v>
      </c>
      <c r="H35" s="468"/>
      <c r="I35" s="468"/>
      <c r="J35" s="3"/>
      <c r="K35" s="468"/>
      <c r="L35" s="468"/>
      <c r="M35" s="468" t="str">
        <f>IF(L35="","",
IF(AX35="PT",VLOOKUP(L35,Foundation_Calc!$V$4:$X$37,VLOOKUP(AX35,Foundation_Calc!$I$10:$J$13,2,FALSE),0),
IF(AX35="K",VLOOKUP(L35,Foundation_Calc!$V$41:$X$74,VLOOKUP(AX35,Foundation_Calc!$I$10:$J$13,2,FALSE),0),"")))</f>
        <v/>
      </c>
      <c r="N35" s="468"/>
      <c r="O35" s="468"/>
      <c r="P35" s="468"/>
      <c r="Q35" s="4"/>
      <c r="R35" s="6"/>
      <c r="S35" s="6"/>
      <c r="T35" s="4"/>
      <c r="U35" s="4"/>
      <c r="V35" s="4"/>
      <c r="W35" s="9"/>
      <c r="X35" s="9"/>
      <c r="Y35" s="9"/>
      <c r="Z35" s="9"/>
      <c r="AA35" s="9"/>
      <c r="AB35" s="9"/>
      <c r="AC35" s="468" t="s">
        <v>195</v>
      </c>
      <c r="AD35" s="468"/>
      <c r="AE35" s="468"/>
      <c r="AF35" s="4"/>
      <c r="AG35" s="88"/>
      <c r="AH35" s="4"/>
      <c r="AI35" s="4"/>
      <c r="AJ35" s="468"/>
      <c r="AK35" s="468"/>
      <c r="AL35" s="468"/>
      <c r="AM35" s="468"/>
      <c r="AN35" s="10"/>
      <c r="AO35" s="9"/>
      <c r="AP35" s="9"/>
      <c r="AQ35" s="9"/>
      <c r="AR35" s="9"/>
      <c r="AS35" s="9"/>
      <c r="AT35" s="9"/>
      <c r="AU35" s="447"/>
      <c r="AV35" s="447"/>
      <c r="AW35" s="468"/>
      <c r="AX35" s="468"/>
      <c r="AY35" s="10"/>
      <c r="AZ35" s="10"/>
      <c r="BA35" s="553" t="str">
        <f t="shared" si="2"/>
        <v/>
      </c>
      <c r="BB35" s="553" t="str">
        <f t="shared" si="2"/>
        <v/>
      </c>
      <c r="BC35" s="553" t="str">
        <f t="shared" si="5"/>
        <v/>
      </c>
      <c r="BD35" s="572"/>
      <c r="BE35" s="448" t="s">
        <v>1726</v>
      </c>
      <c r="BF35" s="305"/>
      <c r="BG35" s="305"/>
      <c r="BH35" s="306"/>
      <c r="BI35" s="305"/>
    </row>
    <row r="36" spans="1:61" ht="16.2" customHeight="1">
      <c r="A36" s="624" t="s">
        <v>383</v>
      </c>
      <c r="B36" s="469" t="s">
        <v>2216</v>
      </c>
      <c r="C36" s="3">
        <f t="shared" ref="C36" si="14">C34-G35</f>
        <v>2455.1799999999998</v>
      </c>
      <c r="D36" s="88"/>
      <c r="E36" s="4"/>
      <c r="F36" s="4">
        <v>400</v>
      </c>
      <c r="G36" s="6"/>
      <c r="H36" s="468"/>
      <c r="I36" s="468"/>
      <c r="J36" s="3"/>
      <c r="K36" s="468"/>
      <c r="L36" s="468" t="s">
        <v>199</v>
      </c>
      <c r="M36" s="468" t="str">
        <f>IF(L36="","",
IF(AX36="PT",VLOOKUP(L36,Foundation_Calc!$V$4:$X$37,VLOOKUP(AX36,Foundation_Calc!$I$10:$J$13,2,FALSE),0),
IF(AX36="K",VLOOKUP(L36,Foundation_Calc!$V$41:$X$74,VLOOKUP(AX36,Foundation_Calc!$I$10:$J$13,2,FALSE),0),"")))</f>
        <v/>
      </c>
      <c r="N36" s="468" t="s">
        <v>191</v>
      </c>
      <c r="O36" s="468"/>
      <c r="P36" s="468"/>
      <c r="Q36" s="4"/>
      <c r="R36" s="6"/>
      <c r="S36" s="6"/>
      <c r="T36" s="4">
        <v>-30</v>
      </c>
      <c r="U36" s="4"/>
      <c r="V36" s="4"/>
      <c r="W36" s="9">
        <v>1</v>
      </c>
      <c r="X36" s="9"/>
      <c r="Y36" s="9"/>
      <c r="Z36" s="9"/>
      <c r="AA36" s="9"/>
      <c r="AB36" s="9"/>
      <c r="AC36" s="468" t="s">
        <v>1341</v>
      </c>
      <c r="AD36" s="468"/>
      <c r="AE36" s="468"/>
      <c r="AF36" s="4"/>
      <c r="AG36" s="88"/>
      <c r="AH36" s="4"/>
      <c r="AI36" s="4"/>
      <c r="AJ36" s="468"/>
      <c r="AK36" s="468" t="s">
        <v>763</v>
      </c>
      <c r="AL36" s="468"/>
      <c r="AM36" s="468" t="s">
        <v>2458</v>
      </c>
      <c r="AN36" s="10">
        <v>5.15</v>
      </c>
      <c r="AO36" s="9"/>
      <c r="AP36" s="9"/>
      <c r="AQ36" s="9"/>
      <c r="AR36" s="9"/>
      <c r="AS36" s="9"/>
      <c r="AT36" s="9"/>
      <c r="AU36" s="447"/>
      <c r="AV36" s="447"/>
      <c r="AW36" s="468" t="s">
        <v>2568</v>
      </c>
      <c r="AX36" s="468" t="s">
        <v>199</v>
      </c>
      <c r="AY36" s="10"/>
      <c r="AZ36" s="10"/>
      <c r="BA36" s="553" t="str">
        <f t="shared" si="2"/>
        <v/>
      </c>
      <c r="BB36" s="553" t="str">
        <f t="shared" si="2"/>
        <v/>
      </c>
      <c r="BC36" s="553" t="str">
        <f t="shared" si="5"/>
        <v/>
      </c>
      <c r="BD36" s="572"/>
      <c r="BE36" s="448" t="s">
        <v>1726</v>
      </c>
      <c r="BF36" s="306"/>
      <c r="BG36" s="306"/>
      <c r="BH36" s="306"/>
      <c r="BI36" s="306"/>
    </row>
    <row r="37" spans="1:61" ht="16.2" customHeight="1">
      <c r="A37" s="624" t="s">
        <v>383</v>
      </c>
      <c r="B37" s="469"/>
      <c r="C37" s="3"/>
      <c r="D37" s="88"/>
      <c r="E37" s="4"/>
      <c r="F37" s="4"/>
      <c r="G37" s="6">
        <v>30</v>
      </c>
      <c r="H37" s="468"/>
      <c r="I37" s="468"/>
      <c r="J37" s="3"/>
      <c r="K37" s="468"/>
      <c r="L37" s="468"/>
      <c r="M37" s="468" t="str">
        <f>IF(L37="","",
IF(AX37="PT",VLOOKUP(L37,Foundation_Calc!$V$4:$X$37,VLOOKUP(AX37,Foundation_Calc!$I$10:$J$13,2,FALSE),0),
IF(AX37="K",VLOOKUP(L37,Foundation_Calc!$V$41:$X$74,VLOOKUP(AX37,Foundation_Calc!$I$10:$J$13,2,FALSE),0),"")))</f>
        <v/>
      </c>
      <c r="N37" s="468"/>
      <c r="O37" s="468"/>
      <c r="P37" s="468"/>
      <c r="Q37" s="4"/>
      <c r="R37" s="6"/>
      <c r="S37" s="6"/>
      <c r="T37" s="4"/>
      <c r="U37" s="4"/>
      <c r="V37" s="4"/>
      <c r="W37" s="9"/>
      <c r="X37" s="9"/>
      <c r="Y37" s="9"/>
      <c r="Z37" s="9"/>
      <c r="AA37" s="9"/>
      <c r="AB37" s="9"/>
      <c r="AC37" s="468" t="s">
        <v>195</v>
      </c>
      <c r="AD37" s="468"/>
      <c r="AE37" s="468"/>
      <c r="AF37" s="4"/>
      <c r="AG37" s="88"/>
      <c r="AH37" s="4"/>
      <c r="AI37" s="4"/>
      <c r="AJ37" s="468"/>
      <c r="AK37" s="468"/>
      <c r="AL37" s="468"/>
      <c r="AM37" s="468"/>
      <c r="AN37" s="10"/>
      <c r="AO37" s="9"/>
      <c r="AP37" s="9"/>
      <c r="AQ37" s="9"/>
      <c r="AR37" s="9"/>
      <c r="AS37" s="9"/>
      <c r="AT37" s="9"/>
      <c r="AU37" s="447"/>
      <c r="AV37" s="447"/>
      <c r="AW37" s="468"/>
      <c r="AX37" s="468"/>
      <c r="AY37" s="10"/>
      <c r="AZ37" s="10"/>
      <c r="BA37" s="553" t="str">
        <f t="shared" si="2"/>
        <v/>
      </c>
      <c r="BB37" s="553" t="str">
        <f t="shared" si="2"/>
        <v/>
      </c>
      <c r="BC37" s="553" t="str">
        <f t="shared" si="5"/>
        <v/>
      </c>
      <c r="BD37" s="572"/>
      <c r="BE37" s="448" t="s">
        <v>1726</v>
      </c>
      <c r="BF37" s="305"/>
      <c r="BG37" s="305"/>
      <c r="BH37" s="306"/>
      <c r="BI37" s="305"/>
    </row>
    <row r="38" spans="1:61" ht="16.2" customHeight="1">
      <c r="A38" s="624" t="s">
        <v>383</v>
      </c>
      <c r="B38" s="469" t="s">
        <v>2215</v>
      </c>
      <c r="C38" s="3">
        <f t="shared" ref="C38" si="15">C36-G37</f>
        <v>2425.1799999999998</v>
      </c>
      <c r="D38" s="88"/>
      <c r="E38" s="4"/>
      <c r="F38" s="4">
        <v>400</v>
      </c>
      <c r="G38" s="6"/>
      <c r="H38" s="468"/>
      <c r="I38" s="468"/>
      <c r="J38" s="3"/>
      <c r="K38" s="468"/>
      <c r="L38" s="468" t="s">
        <v>199</v>
      </c>
      <c r="M38" s="468" t="str">
        <f>IF(L38="","",
IF(AX38="PT",VLOOKUP(L38,Foundation_Calc!$V$4:$X$37,VLOOKUP(AX38,Foundation_Calc!$I$10:$J$13,2,FALSE),0),
IF(AX38="K",VLOOKUP(L38,Foundation_Calc!$V$41:$X$74,VLOOKUP(AX38,Foundation_Calc!$I$10:$J$13,2,FALSE),0),"")))</f>
        <v/>
      </c>
      <c r="N38" s="468" t="s">
        <v>191</v>
      </c>
      <c r="O38" s="468"/>
      <c r="P38" s="468"/>
      <c r="Q38" s="4"/>
      <c r="R38" s="6"/>
      <c r="S38" s="6"/>
      <c r="T38" s="4">
        <v>-30</v>
      </c>
      <c r="U38" s="4"/>
      <c r="V38" s="4"/>
      <c r="W38" s="9">
        <v>1</v>
      </c>
      <c r="X38" s="9"/>
      <c r="Y38" s="9"/>
      <c r="Z38" s="9"/>
      <c r="AA38" s="9"/>
      <c r="AB38" s="9"/>
      <c r="AC38" s="468" t="s">
        <v>1341</v>
      </c>
      <c r="AD38" s="468"/>
      <c r="AE38" s="468"/>
      <c r="AF38" s="4"/>
      <c r="AG38" s="88"/>
      <c r="AH38" s="4"/>
      <c r="AI38" s="4"/>
      <c r="AJ38" s="468"/>
      <c r="AK38" s="468" t="s">
        <v>763</v>
      </c>
      <c r="AL38" s="468"/>
      <c r="AM38" s="468" t="s">
        <v>2458</v>
      </c>
      <c r="AN38" s="10">
        <v>5.15</v>
      </c>
      <c r="AO38" s="9"/>
      <c r="AP38" s="9"/>
      <c r="AQ38" s="9"/>
      <c r="AR38" s="9"/>
      <c r="AS38" s="9"/>
      <c r="AT38" s="9"/>
      <c r="AU38" s="447"/>
      <c r="AV38" s="447"/>
      <c r="AW38" s="468" t="s">
        <v>2568</v>
      </c>
      <c r="AX38" s="468" t="s">
        <v>199</v>
      </c>
      <c r="AY38" s="10"/>
      <c r="AZ38" s="10"/>
      <c r="BA38" s="553" t="str">
        <f t="shared" si="2"/>
        <v/>
      </c>
      <c r="BB38" s="553" t="str">
        <f t="shared" si="2"/>
        <v/>
      </c>
      <c r="BC38" s="553" t="str">
        <f t="shared" si="5"/>
        <v/>
      </c>
      <c r="BD38" s="572"/>
      <c r="BE38" s="448" t="s">
        <v>1726</v>
      </c>
      <c r="BF38" s="306"/>
      <c r="BG38" s="306"/>
      <c r="BH38" s="306"/>
      <c r="BI38" s="306"/>
    </row>
    <row r="39" spans="1:61" ht="16.2" customHeight="1">
      <c r="A39" s="624" t="s">
        <v>383</v>
      </c>
      <c r="B39" s="469"/>
      <c r="C39" s="3"/>
      <c r="D39" s="88"/>
      <c r="E39" s="4"/>
      <c r="F39" s="4"/>
      <c r="G39" s="6">
        <v>30</v>
      </c>
      <c r="H39" s="468"/>
      <c r="I39" s="468"/>
      <c r="J39" s="3"/>
      <c r="K39" s="468"/>
      <c r="L39" s="468"/>
      <c r="M39" s="468" t="str">
        <f>IF(L39="","",
IF(AX39="PT",VLOOKUP(L39,Foundation_Calc!$V$4:$X$37,VLOOKUP(AX39,Foundation_Calc!$I$10:$J$13,2,FALSE),0),
IF(AX39="K",VLOOKUP(L39,Foundation_Calc!$V$41:$X$74,VLOOKUP(AX39,Foundation_Calc!$I$10:$J$13,2,FALSE),0),"")))</f>
        <v/>
      </c>
      <c r="N39" s="468"/>
      <c r="O39" s="468"/>
      <c r="P39" s="468"/>
      <c r="Q39" s="4"/>
      <c r="R39" s="6"/>
      <c r="S39" s="6"/>
      <c r="T39" s="4"/>
      <c r="U39" s="4"/>
      <c r="V39" s="4"/>
      <c r="W39" s="9"/>
      <c r="X39" s="9"/>
      <c r="Y39" s="9"/>
      <c r="Z39" s="9"/>
      <c r="AA39" s="9"/>
      <c r="AB39" s="9"/>
      <c r="AC39" s="468" t="s">
        <v>195</v>
      </c>
      <c r="AD39" s="468"/>
      <c r="AE39" s="468"/>
      <c r="AF39" s="4"/>
      <c r="AG39" s="88"/>
      <c r="AH39" s="4"/>
      <c r="AI39" s="4"/>
      <c r="AJ39" s="468"/>
      <c r="AK39" s="468"/>
      <c r="AL39" s="468"/>
      <c r="AM39" s="468"/>
      <c r="AN39" s="10"/>
      <c r="AO39" s="9"/>
      <c r="AP39" s="9"/>
      <c r="AQ39" s="9"/>
      <c r="AR39" s="9"/>
      <c r="AS39" s="9"/>
      <c r="AT39" s="9"/>
      <c r="AU39" s="447"/>
      <c r="AV39" s="447"/>
      <c r="AW39" s="468"/>
      <c r="AX39" s="468"/>
      <c r="AY39" s="10"/>
      <c r="AZ39" s="10"/>
      <c r="BA39" s="553" t="str">
        <f t="shared" si="2"/>
        <v/>
      </c>
      <c r="BB39" s="553" t="str">
        <f t="shared" si="2"/>
        <v/>
      </c>
      <c r="BC39" s="553" t="str">
        <f t="shared" si="5"/>
        <v/>
      </c>
      <c r="BD39" s="572"/>
      <c r="BE39" s="448" t="s">
        <v>1726</v>
      </c>
      <c r="BF39" s="305"/>
      <c r="BG39" s="305"/>
      <c r="BH39" s="306"/>
      <c r="BI39" s="305"/>
    </row>
    <row r="40" spans="1:61" ht="16.2" customHeight="1">
      <c r="A40" s="624" t="s">
        <v>383</v>
      </c>
      <c r="B40" s="469" t="s">
        <v>2214</v>
      </c>
      <c r="C40" s="3">
        <f t="shared" ref="C40" si="16">C38-G39</f>
        <v>2395.1799999999998</v>
      </c>
      <c r="D40" s="88"/>
      <c r="E40" s="4"/>
      <c r="F40" s="4">
        <v>400</v>
      </c>
      <c r="G40" s="6"/>
      <c r="H40" s="468"/>
      <c r="I40" s="468"/>
      <c r="J40" s="3"/>
      <c r="K40" s="468"/>
      <c r="L40" s="468" t="s">
        <v>199</v>
      </c>
      <c r="M40" s="468" t="str">
        <f>IF(L40="","",
IF(AX40="PT",VLOOKUP(L40,Foundation_Calc!$V$4:$X$37,VLOOKUP(AX40,Foundation_Calc!$I$10:$J$13,2,FALSE),0),
IF(AX40="K",VLOOKUP(L40,Foundation_Calc!$V$41:$X$74,VLOOKUP(AX40,Foundation_Calc!$I$10:$J$13,2,FALSE),0),"")))</f>
        <v/>
      </c>
      <c r="N40" s="468" t="s">
        <v>191</v>
      </c>
      <c r="O40" s="468"/>
      <c r="P40" s="468"/>
      <c r="Q40" s="4"/>
      <c r="R40" s="6"/>
      <c r="S40" s="6"/>
      <c r="T40" s="4">
        <v>-30</v>
      </c>
      <c r="U40" s="4"/>
      <c r="V40" s="4"/>
      <c r="W40" s="9">
        <v>1</v>
      </c>
      <c r="X40" s="9"/>
      <c r="Y40" s="9"/>
      <c r="Z40" s="9"/>
      <c r="AA40" s="9"/>
      <c r="AB40" s="9"/>
      <c r="AC40" s="468" t="s">
        <v>1341</v>
      </c>
      <c r="AD40" s="468"/>
      <c r="AE40" s="468"/>
      <c r="AF40" s="4"/>
      <c r="AG40" s="88"/>
      <c r="AH40" s="4"/>
      <c r="AI40" s="4"/>
      <c r="AJ40" s="468"/>
      <c r="AK40" s="468" t="s">
        <v>763</v>
      </c>
      <c r="AL40" s="468"/>
      <c r="AM40" s="468" t="s">
        <v>2458</v>
      </c>
      <c r="AN40" s="10">
        <v>5.15</v>
      </c>
      <c r="AO40" s="9"/>
      <c r="AP40" s="9"/>
      <c r="AQ40" s="9"/>
      <c r="AR40" s="9"/>
      <c r="AS40" s="9"/>
      <c r="AT40" s="9"/>
      <c r="AU40" s="447"/>
      <c r="AV40" s="447"/>
      <c r="AW40" s="468" t="s">
        <v>2568</v>
      </c>
      <c r="AX40" s="468" t="s">
        <v>199</v>
      </c>
      <c r="AY40" s="10"/>
      <c r="AZ40" s="10"/>
      <c r="BA40" s="553" t="str">
        <f t="shared" si="2"/>
        <v/>
      </c>
      <c r="BB40" s="553" t="str">
        <f t="shared" si="2"/>
        <v/>
      </c>
      <c r="BC40" s="553" t="str">
        <f t="shared" si="5"/>
        <v/>
      </c>
      <c r="BD40" s="572"/>
      <c r="BE40" s="448" t="s">
        <v>1726</v>
      </c>
      <c r="BF40" s="306"/>
      <c r="BG40" s="306"/>
      <c r="BH40" s="306"/>
      <c r="BI40" s="306"/>
    </row>
    <row r="41" spans="1:61" ht="16.2" customHeight="1">
      <c r="A41" s="624" t="s">
        <v>383</v>
      </c>
      <c r="B41" s="469"/>
      <c r="C41" s="3"/>
      <c r="D41" s="88"/>
      <c r="E41" s="4"/>
      <c r="F41" s="4"/>
      <c r="G41" s="6">
        <v>30</v>
      </c>
      <c r="H41" s="468"/>
      <c r="I41" s="468"/>
      <c r="J41" s="3"/>
      <c r="K41" s="468"/>
      <c r="L41" s="468"/>
      <c r="M41" s="468" t="str">
        <f>IF(L41="","",
IF(AX41="PT",VLOOKUP(L41,Foundation_Calc!$V$4:$X$37,VLOOKUP(AX41,Foundation_Calc!$I$10:$J$13,2,FALSE),0),
IF(AX41="K",VLOOKUP(L41,Foundation_Calc!$V$41:$X$74,VLOOKUP(AX41,Foundation_Calc!$I$10:$J$13,2,FALSE),0),"")))</f>
        <v/>
      </c>
      <c r="N41" s="468"/>
      <c r="O41" s="468"/>
      <c r="P41" s="468"/>
      <c r="Q41" s="4"/>
      <c r="R41" s="6"/>
      <c r="S41" s="6"/>
      <c r="T41" s="4"/>
      <c r="U41" s="4"/>
      <c r="V41" s="4"/>
      <c r="W41" s="9"/>
      <c r="X41" s="9"/>
      <c r="Y41" s="9"/>
      <c r="Z41" s="9"/>
      <c r="AA41" s="9"/>
      <c r="AB41" s="9"/>
      <c r="AC41" s="468" t="s">
        <v>195</v>
      </c>
      <c r="AD41" s="468"/>
      <c r="AE41" s="468"/>
      <c r="AF41" s="4"/>
      <c r="AG41" s="88"/>
      <c r="AH41" s="4"/>
      <c r="AI41" s="4"/>
      <c r="AJ41" s="468"/>
      <c r="AK41" s="468"/>
      <c r="AL41" s="468"/>
      <c r="AM41" s="468"/>
      <c r="AN41" s="10"/>
      <c r="AO41" s="9"/>
      <c r="AP41" s="9"/>
      <c r="AQ41" s="9"/>
      <c r="AR41" s="9"/>
      <c r="AS41" s="9"/>
      <c r="AT41" s="9"/>
      <c r="AU41" s="447"/>
      <c r="AV41" s="447"/>
      <c r="AW41" s="468"/>
      <c r="AX41" s="468"/>
      <c r="AY41" s="10"/>
      <c r="AZ41" s="10"/>
      <c r="BA41" s="553" t="str">
        <f t="shared" si="2"/>
        <v/>
      </c>
      <c r="BB41" s="553" t="str">
        <f t="shared" si="2"/>
        <v/>
      </c>
      <c r="BC41" s="553" t="str">
        <f t="shared" si="5"/>
        <v/>
      </c>
      <c r="BD41" s="572"/>
      <c r="BE41" s="448" t="s">
        <v>1726</v>
      </c>
      <c r="BF41" s="305"/>
      <c r="BG41" s="305"/>
      <c r="BH41" s="306"/>
      <c r="BI41" s="305"/>
    </row>
    <row r="42" spans="1:61" ht="16.2" customHeight="1">
      <c r="A42" s="624" t="s">
        <v>383</v>
      </c>
      <c r="B42" s="469" t="s">
        <v>2213</v>
      </c>
      <c r="C42" s="3">
        <f t="shared" ref="C42" si="17">C40-G41</f>
        <v>2365.1799999999998</v>
      </c>
      <c r="D42" s="88"/>
      <c r="E42" s="4"/>
      <c r="F42" s="4">
        <f>(195^2)/(C42-2292.35)</f>
        <v>522.10627488672299</v>
      </c>
      <c r="G42" s="6"/>
      <c r="H42" s="468"/>
      <c r="I42" s="468"/>
      <c r="J42" s="3"/>
      <c r="K42" s="468"/>
      <c r="L42" s="468" t="s">
        <v>199</v>
      </c>
      <c r="M42" s="468" t="str">
        <f>IF(L42="","",
IF(AX42="PT",VLOOKUP(L42,Foundation_Calc!$V$4:$X$37,VLOOKUP(AX42,Foundation_Calc!$I$10:$J$13,2,FALSE),0),
IF(AX42="K",VLOOKUP(L42,Foundation_Calc!$V$41:$X$74,VLOOKUP(AX42,Foundation_Calc!$I$10:$J$13,2,FALSE),0),"")))</f>
        <v/>
      </c>
      <c r="N42" s="468" t="s">
        <v>191</v>
      </c>
      <c r="O42" s="468"/>
      <c r="P42" s="468"/>
      <c r="Q42" s="4"/>
      <c r="R42" s="6"/>
      <c r="S42" s="6"/>
      <c r="T42" s="4">
        <v>-30</v>
      </c>
      <c r="U42" s="4"/>
      <c r="V42" s="4"/>
      <c r="W42" s="9">
        <v>1</v>
      </c>
      <c r="X42" s="9"/>
      <c r="Y42" s="9"/>
      <c r="Z42" s="9"/>
      <c r="AA42" s="9"/>
      <c r="AB42" s="9"/>
      <c r="AC42" s="468" t="s">
        <v>1341</v>
      </c>
      <c r="AD42" s="468"/>
      <c r="AE42" s="468"/>
      <c r="AF42" s="4"/>
      <c r="AG42" s="88"/>
      <c r="AH42" s="4"/>
      <c r="AI42" s="4"/>
      <c r="AJ42" s="468"/>
      <c r="AK42" s="468" t="s">
        <v>763</v>
      </c>
      <c r="AL42" s="468"/>
      <c r="AM42" s="468" t="s">
        <v>2458</v>
      </c>
      <c r="AN42" s="10">
        <v>5.15</v>
      </c>
      <c r="AO42" s="9"/>
      <c r="AP42" s="9"/>
      <c r="AQ42" s="9"/>
      <c r="AR42" s="9"/>
      <c r="AS42" s="9"/>
      <c r="AT42" s="9"/>
      <c r="AU42" s="447"/>
      <c r="AV42" s="447"/>
      <c r="AW42" s="468" t="s">
        <v>2568</v>
      </c>
      <c r="AX42" s="468" t="s">
        <v>199</v>
      </c>
      <c r="AY42" s="10"/>
      <c r="AZ42" s="10"/>
      <c r="BA42" s="553" t="str">
        <f t="shared" si="2"/>
        <v/>
      </c>
      <c r="BB42" s="553" t="str">
        <f t="shared" si="2"/>
        <v/>
      </c>
      <c r="BC42" s="553" t="str">
        <f t="shared" si="5"/>
        <v/>
      </c>
      <c r="BD42" s="572"/>
      <c r="BE42" s="448" t="s">
        <v>1726</v>
      </c>
      <c r="BF42" s="306"/>
      <c r="BG42" s="306"/>
      <c r="BH42" s="306"/>
      <c r="BI42" s="306"/>
    </row>
    <row r="43" spans="1:61" ht="16.2" customHeight="1">
      <c r="A43" s="624" t="s">
        <v>383</v>
      </c>
      <c r="B43" s="469"/>
      <c r="C43" s="3"/>
      <c r="D43" s="88"/>
      <c r="E43" s="4"/>
      <c r="F43" s="4"/>
      <c r="G43" s="6">
        <v>35</v>
      </c>
      <c r="H43" s="468"/>
      <c r="I43" s="468"/>
      <c r="J43" s="3"/>
      <c r="K43" s="468"/>
      <c r="L43" s="468"/>
      <c r="M43" s="468" t="str">
        <f>IF(L43="","",
IF(AX43="PT",VLOOKUP(L43,Foundation_Calc!$V$4:$X$37,VLOOKUP(AX43,Foundation_Calc!$I$10:$J$13,2,FALSE),0),
IF(AX43="K",VLOOKUP(L43,Foundation_Calc!$V$41:$X$74,VLOOKUP(AX43,Foundation_Calc!$I$10:$J$13,2,FALSE),0),"")))</f>
        <v/>
      </c>
      <c r="N43" s="468"/>
      <c r="O43" s="468"/>
      <c r="P43" s="468"/>
      <c r="Q43" s="4"/>
      <c r="R43" s="6"/>
      <c r="S43" s="6"/>
      <c r="T43" s="4"/>
      <c r="U43" s="4"/>
      <c r="V43" s="4"/>
      <c r="W43" s="9"/>
      <c r="X43" s="9"/>
      <c r="Y43" s="9"/>
      <c r="Z43" s="9"/>
      <c r="AA43" s="9"/>
      <c r="AB43" s="9"/>
      <c r="AC43" s="468" t="s">
        <v>195</v>
      </c>
      <c r="AD43" s="468"/>
      <c r="AE43" s="468"/>
      <c r="AF43" s="4"/>
      <c r="AG43" s="88"/>
      <c r="AH43" s="4"/>
      <c r="AI43" s="4"/>
      <c r="AJ43" s="468"/>
      <c r="AK43" s="468"/>
      <c r="AL43" s="468"/>
      <c r="AM43" s="468"/>
      <c r="AN43" s="10"/>
      <c r="AO43" s="9"/>
      <c r="AP43" s="9"/>
      <c r="AQ43" s="9"/>
      <c r="AR43" s="9"/>
      <c r="AS43" s="9"/>
      <c r="AT43" s="9"/>
      <c r="AU43" s="447"/>
      <c r="AV43" s="447"/>
      <c r="AW43" s="468"/>
      <c r="AX43" s="468"/>
      <c r="AY43" s="10"/>
      <c r="AZ43" s="10"/>
      <c r="BA43" s="553" t="str">
        <f t="shared" si="2"/>
        <v/>
      </c>
      <c r="BB43" s="553" t="str">
        <f t="shared" si="2"/>
        <v/>
      </c>
      <c r="BC43" s="553" t="str">
        <f t="shared" si="5"/>
        <v/>
      </c>
      <c r="BD43" s="572"/>
      <c r="BE43" s="448" t="s">
        <v>1726</v>
      </c>
      <c r="BF43" s="305"/>
      <c r="BG43" s="305"/>
      <c r="BH43" s="306"/>
      <c r="BI43" s="305"/>
    </row>
    <row r="44" spans="1:61" ht="16.2" customHeight="1">
      <c r="A44" s="624" t="s">
        <v>383</v>
      </c>
      <c r="B44" s="469" t="s">
        <v>2212</v>
      </c>
      <c r="C44" s="3">
        <f t="shared" ref="C44" si="18">C42-G43</f>
        <v>2330.1799999999998</v>
      </c>
      <c r="D44" s="88"/>
      <c r="E44" s="4"/>
      <c r="F44" s="4">
        <f>(195^2)/(C44-2292.35)</f>
        <v>1005.1546391752597</v>
      </c>
      <c r="G44" s="6"/>
      <c r="H44" s="468"/>
      <c r="I44" s="468"/>
      <c r="J44" s="3"/>
      <c r="K44" s="468"/>
      <c r="L44" s="468" t="s">
        <v>199</v>
      </c>
      <c r="M44" s="468" t="str">
        <f>IF(L44="","",
IF(AX44="PT",VLOOKUP(L44,Foundation_Calc!$V$4:$X$37,VLOOKUP(AX44,Foundation_Calc!$I$10:$J$13,2,FALSE),0),
IF(AX44="K",VLOOKUP(L44,Foundation_Calc!$V$41:$X$74,VLOOKUP(AX44,Foundation_Calc!$I$10:$J$13,2,FALSE),0),"")))</f>
        <v/>
      </c>
      <c r="N44" s="468" t="s">
        <v>191</v>
      </c>
      <c r="O44" s="468"/>
      <c r="P44" s="468"/>
      <c r="Q44" s="4"/>
      <c r="R44" s="6"/>
      <c r="S44" s="6"/>
      <c r="T44" s="4">
        <v>-30</v>
      </c>
      <c r="U44" s="4"/>
      <c r="V44" s="4"/>
      <c r="W44" s="9">
        <v>1</v>
      </c>
      <c r="X44" s="9"/>
      <c r="Y44" s="9"/>
      <c r="Z44" s="9"/>
      <c r="AA44" s="9"/>
      <c r="AB44" s="9"/>
      <c r="AC44" s="468" t="s">
        <v>1341</v>
      </c>
      <c r="AD44" s="468"/>
      <c r="AE44" s="468"/>
      <c r="AF44" s="4"/>
      <c r="AG44" s="88"/>
      <c r="AH44" s="4"/>
      <c r="AI44" s="4"/>
      <c r="AJ44" s="468"/>
      <c r="AK44" s="468" t="s">
        <v>2567</v>
      </c>
      <c r="AL44" s="468"/>
      <c r="AM44" s="468" t="s">
        <v>2458</v>
      </c>
      <c r="AN44" s="10">
        <v>5.15</v>
      </c>
      <c r="AO44" s="9"/>
      <c r="AP44" s="9"/>
      <c r="AQ44" s="9"/>
      <c r="AR44" s="9"/>
      <c r="AS44" s="9"/>
      <c r="AT44" s="9"/>
      <c r="AU44" s="447"/>
      <c r="AV44" s="447"/>
      <c r="AW44" s="468" t="s">
        <v>2568</v>
      </c>
      <c r="AX44" s="468" t="s">
        <v>199</v>
      </c>
      <c r="AY44" s="10"/>
      <c r="AZ44" s="10"/>
      <c r="BA44" s="553" t="str">
        <f t="shared" si="2"/>
        <v/>
      </c>
      <c r="BB44" s="553" t="str">
        <f t="shared" si="2"/>
        <v/>
      </c>
      <c r="BC44" s="553" t="str">
        <f t="shared" si="5"/>
        <v/>
      </c>
      <c r="BD44" s="572"/>
      <c r="BE44" s="448" t="s">
        <v>1726</v>
      </c>
      <c r="BF44" s="306"/>
      <c r="BG44" s="306"/>
      <c r="BH44" s="306"/>
      <c r="BI44" s="306"/>
    </row>
    <row r="45" spans="1:61" ht="16.2" customHeight="1">
      <c r="A45" s="573" t="s">
        <v>383</v>
      </c>
      <c r="B45" s="469"/>
      <c r="C45" s="3"/>
      <c r="D45" s="88"/>
      <c r="E45" s="4"/>
      <c r="F45" s="4"/>
      <c r="G45" s="6">
        <v>40</v>
      </c>
      <c r="H45" s="468"/>
      <c r="I45" s="468"/>
      <c r="J45" s="3">
        <f>C46+7.5</f>
        <v>2297.6799999999998</v>
      </c>
      <c r="K45" s="468" t="s">
        <v>1095</v>
      </c>
      <c r="L45" s="468"/>
      <c r="M45" s="468" t="str">
        <f>IF(L45="","",
IF(AX45="PT",VLOOKUP(L45,Foundation_Calc!$V$4:$X$37,VLOOKUP(AX45,Foundation_Calc!$I$10:$J$13,2,FALSE),0),
IF(AX45="K",VLOOKUP(L45,Foundation_Calc!$V$41:$X$74,VLOOKUP(AX45,Foundation_Calc!$I$10:$J$13,2,FALSE),0),"")))</f>
        <v/>
      </c>
      <c r="N45" s="468"/>
      <c r="O45" s="468"/>
      <c r="P45" s="468"/>
      <c r="Q45" s="4"/>
      <c r="R45" s="6"/>
      <c r="S45" s="6"/>
      <c r="T45" s="4"/>
      <c r="U45" s="4"/>
      <c r="V45" s="4"/>
      <c r="W45" s="9"/>
      <c r="X45" s="9"/>
      <c r="Y45" s="9"/>
      <c r="Z45" s="9"/>
      <c r="AA45" s="9"/>
      <c r="AB45" s="9"/>
      <c r="AC45" s="468" t="str">
        <f t="shared" si="1"/>
        <v/>
      </c>
      <c r="AD45" s="468"/>
      <c r="AE45" s="468"/>
      <c r="AF45" s="4"/>
      <c r="AG45" s="88"/>
      <c r="AH45" s="4"/>
      <c r="AI45" s="4"/>
      <c r="AJ45" s="468"/>
      <c r="AK45" s="468"/>
      <c r="AL45" s="468"/>
      <c r="AM45" s="468" t="s">
        <v>2451</v>
      </c>
      <c r="AN45" s="10"/>
      <c r="AO45" s="9"/>
      <c r="AP45" s="9"/>
      <c r="AQ45" s="9">
        <f>+FL_1($T$46,$T$44,$G$45,1200,9.28,-1*$F$46)</f>
        <v>0.35</v>
      </c>
      <c r="AR45" s="9"/>
      <c r="AS45" s="9"/>
      <c r="AT45" s="9"/>
      <c r="AU45" s="447"/>
      <c r="AV45" s="447"/>
      <c r="AW45" s="468" t="str">
        <f>IF(C45&gt;0,VLOOKUP(C45,Foundation_Calc!$A$20:$C$25,3,1),
IF(J45&gt;0,VLOOKUP(J45,Foundation_Calc!$A$20:$C$25,3,1),""))</f>
        <v>MultiSoil</v>
      </c>
      <c r="AX45" s="468" t="str">
        <f>IF(C45&gt;0,VLOOKUP(C45,Foundation_Calc!$E$20:$G$25,3,1),
IF(J45&gt;0,VLOOKUP(J45,Foundation_Calc!$E$20:$G$25,3,1),""))</f>
        <v>PT</v>
      </c>
      <c r="AY45" s="10" t="str">
        <f>IF(L45="","",
IF(AX45="PT",VLOOKUP(L45,Foundation_Calc!$K$79:$R$112,VLOOKUP(AW45,Foundation_Calc!$I$2:$J$8,2,FALSE),0),
IF(AX45="K",VLOOKUP(L45,Foundation_Calc!$K$116:$R$149,VLOOKUP(AW45,Foundation_Calc!$I$2:$J$8,2,FALSE),0),"")))</f>
        <v/>
      </c>
      <c r="AZ45" s="10">
        <f>IF(K45="","",
IF(AX45="PT",VLOOKUP(K45,Foundation_Calc!$K$79:$R$112,VLOOKUP(AW45,Foundation_Calc!$I$2:$J$8,2,FALSE),0),
IF(AX45="K",VLOOKUP(K45,Foundation_Calc!$K$116:$R$149,VLOOKUP(AW45,Foundation_Calc!$I$2:$J$8,2,FALSE),0),"")))</f>
        <v>3.9</v>
      </c>
      <c r="BA45" s="553" t="str">
        <f t="shared" si="2"/>
        <v/>
      </c>
      <c r="BB45" s="553" t="str">
        <f t="shared" si="2"/>
        <v>ü</v>
      </c>
      <c r="BC45" s="553" t="str">
        <f t="shared" si="5"/>
        <v/>
      </c>
      <c r="BD45" s="572" t="str">
        <f>IF(AND(L45="",H45=""),"",
IF(H45="",Pole_Calc!A$9,
IF(H45="MP",Pole_Calc!A$10,
IF(H45="AnMP",Pole_Calc!A$11,
IF(H45="A",Pole_Calc!A$12,
IF(H45="S/A",Pole_Calc!A$13,
IF(H45="A/S",Pole_Calc!A$14,"Poner a mano")))))))</f>
        <v/>
      </c>
      <c r="BE45" s="448" t="s">
        <v>1726</v>
      </c>
      <c r="BF45" s="305"/>
      <c r="BG45" s="305"/>
      <c r="BH45" s="306"/>
      <c r="BI45" s="305"/>
    </row>
    <row r="46" spans="1:61" ht="16.2" customHeight="1">
      <c r="A46" s="573"/>
      <c r="B46" s="469" t="s">
        <v>2211</v>
      </c>
      <c r="C46" s="3">
        <f t="shared" ref="C46" si="19">C44-G45</f>
        <v>2290.1799999999998</v>
      </c>
      <c r="D46" s="88"/>
      <c r="E46" s="4"/>
      <c r="F46" s="4">
        <v>0</v>
      </c>
      <c r="G46" s="6"/>
      <c r="H46" s="468" t="s">
        <v>26</v>
      </c>
      <c r="I46" s="468" t="s">
        <v>1159</v>
      </c>
      <c r="J46" s="3"/>
      <c r="K46" s="468"/>
      <c r="L46" s="468" t="s">
        <v>452</v>
      </c>
      <c r="M46" s="468" t="str">
        <f>IF(L46="","",
IF(AX46="PT",VLOOKUP(L46,Foundation_Calc!$V$79:$X$112,VLOOKUP(AX46,Foundation_Calc!$I$10:$J$13,2,FALSE),0),
IF(AX46="K",VLOOKUP(L46,Foundation_Calc!$V$116:$X$149,VLOOKUP(AX46,Foundation_Calc!$I$10:$J$13,2,FALSE),0),"")))</f>
        <v>C4R</v>
      </c>
      <c r="N46" s="468" t="s">
        <v>33</v>
      </c>
      <c r="O46" s="468"/>
      <c r="P46" s="468"/>
      <c r="Q46" s="4"/>
      <c r="R46" s="6"/>
      <c r="S46" s="6"/>
      <c r="T46" s="4">
        <v>35</v>
      </c>
      <c r="U46" s="4"/>
      <c r="V46" s="4"/>
      <c r="W46" s="9">
        <v>1</v>
      </c>
      <c r="X46" s="9"/>
      <c r="Y46" s="9"/>
      <c r="Z46" s="9"/>
      <c r="AA46" s="9"/>
      <c r="AB46" s="9"/>
      <c r="AC46" s="468" t="str">
        <f t="shared" si="1"/>
        <v>PHQ</v>
      </c>
      <c r="AD46" s="468"/>
      <c r="AE46" s="468"/>
      <c r="AF46" s="4"/>
      <c r="AG46" s="88"/>
      <c r="AH46" s="4"/>
      <c r="AI46" s="4"/>
      <c r="AJ46" s="468"/>
      <c r="AK46" s="468"/>
      <c r="AL46" s="468"/>
      <c r="AM46" s="468"/>
      <c r="AN46" s="10">
        <v>5.15</v>
      </c>
      <c r="AO46" s="9"/>
      <c r="AP46" s="9"/>
      <c r="AQ46" s="9"/>
      <c r="AR46" s="9"/>
      <c r="AS46" s="9"/>
      <c r="AT46" s="9">
        <f>+ab($T$46,$T$44,$U$48,$G$45,$G$47,-1*$F$46,1200)</f>
        <v>5.7392556568968693</v>
      </c>
      <c r="AU46" s="447"/>
      <c r="AV46" s="447"/>
      <c r="AW46" s="468" t="str">
        <f>IF(C46&gt;0,VLOOKUP(C46,Foundation_Calc!$A$20:$C$25,3,1),
IF(J46&gt;0,VLOOKUP(J46,Foundation_Calc!$A$20:$C$25,3,1),""))</f>
        <v>MultiSoil</v>
      </c>
      <c r="AX46" s="468" t="str">
        <f>IF(C46&gt;0,VLOOKUP(C46,Foundation_Calc!$E$20:$G$25,3,1),
IF(J46&gt;0,VLOOKUP(J46,Foundation_Calc!$E$20:$G$25,3,1),""))</f>
        <v>PT</v>
      </c>
      <c r="AY46" s="10">
        <f>IF(L46="","",
IF(AX46="PT",VLOOKUP(L46,Foundation_Calc!$K$79:$R$112,VLOOKUP(AW46,Foundation_Calc!$I$2:$J$8,2,FALSE),0),
IF(AX46="K",VLOOKUP(L46,Foundation_Calc!$K$116:$R$149,VLOOKUP(AW46,Foundation_Calc!$I$2:$J$8,2,FALSE),0),"")))</f>
        <v>3.5</v>
      </c>
      <c r="AZ46" s="10" t="str">
        <f>IF(K46="","",
IF(AX46="PT",VLOOKUP(K46,Foundation_Calc!$K$79:$R$112,VLOOKUP(AW46,Foundation_Calc!$I$2:$J$8,2,FALSE),0),
IF(AX46="K",VLOOKUP(K46,Foundation_Calc!$K$116:$R$149,VLOOKUP(AW46,Foundation_Calc!$I$2:$J$8,2,FALSE),0),"")))</f>
        <v/>
      </c>
      <c r="BA46" s="553" t="str">
        <f t="shared" si="2"/>
        <v>ü</v>
      </c>
      <c r="BB46" s="553" t="str">
        <f t="shared" si="2"/>
        <v/>
      </c>
      <c r="BC46" s="553" t="str">
        <f t="shared" si="5"/>
        <v/>
      </c>
      <c r="BD46" s="572" t="str">
        <f>IF(AND(L46="",H46=""),"",
IF(H46="",Pole_Calc!A$9,
IF(H46="MP",Pole_Calc!A$10,
IF(H46="AnMP",Pole_Calc!A$11,
IF(H46="A",Pole_Calc!A$12,
IF(H46="S/A",Pole_Calc!A$13,
IF(H46="A/S",Pole_Calc!A$14,"Poner a mano")))))))</f>
        <v>App.7-V11H-P9.5.1.6</v>
      </c>
      <c r="BE46" s="448" t="s">
        <v>1726</v>
      </c>
      <c r="BF46" s="306"/>
      <c r="BG46" s="306"/>
      <c r="BH46" s="306"/>
      <c r="BI46" s="306"/>
    </row>
    <row r="47" spans="1:61" ht="16.2" customHeight="1">
      <c r="A47" s="573"/>
      <c r="B47" s="469"/>
      <c r="C47" s="3"/>
      <c r="D47" s="88"/>
      <c r="E47" s="4"/>
      <c r="F47" s="4"/>
      <c r="G47" s="6">
        <v>41</v>
      </c>
      <c r="H47" s="468"/>
      <c r="I47" s="468"/>
      <c r="J47" s="3"/>
      <c r="K47" s="468"/>
      <c r="L47" s="468"/>
      <c r="M47" s="468" t="str">
        <f>IF(L47="","",
IF(AX47="PT",VLOOKUP(L47,Foundation_Calc!$V$79:$X$112,VLOOKUP(AX47,Foundation_Calc!$I$10:$J$13,2,FALSE),0),
IF(AX47="K",VLOOKUP(L47,Foundation_Calc!$V$116:$X$149,VLOOKUP(AX47,Foundation_Calc!$I$10:$J$13,2,FALSE),0),"")))</f>
        <v/>
      </c>
      <c r="N47" s="468"/>
      <c r="O47" s="468"/>
      <c r="P47" s="468"/>
      <c r="Q47" s="4"/>
      <c r="R47" s="6"/>
      <c r="S47" s="6"/>
      <c r="T47" s="4"/>
      <c r="U47" s="4"/>
      <c r="V47" s="4"/>
      <c r="W47" s="9"/>
      <c r="X47" s="9"/>
      <c r="Y47" s="9"/>
      <c r="Z47" s="9"/>
      <c r="AA47" s="9"/>
      <c r="AB47" s="9"/>
      <c r="AC47" s="468" t="str">
        <f t="shared" si="1"/>
        <v/>
      </c>
      <c r="AD47" s="468"/>
      <c r="AE47" s="468"/>
      <c r="AF47" s="4"/>
      <c r="AG47" s="88"/>
      <c r="AH47" s="4"/>
      <c r="AI47" s="4"/>
      <c r="AJ47" s="468"/>
      <c r="AK47" s="468"/>
      <c r="AL47" s="468"/>
      <c r="AM47" s="468"/>
      <c r="AN47" s="10"/>
      <c r="AO47" s="9"/>
      <c r="AP47" s="9"/>
      <c r="AQ47" s="9">
        <f>+FL_1($U$48,$T$46,$G$47,1200,9.28,-1*$F$48)</f>
        <v>0.35000000000000048</v>
      </c>
      <c r="AR47" s="9"/>
      <c r="AS47" s="9"/>
      <c r="AT47" s="9"/>
      <c r="AU47" s="447"/>
      <c r="AV47" s="447"/>
      <c r="AW47" s="468" t="str">
        <f>IF(C47&gt;0,VLOOKUP(C47,Foundation_Calc!$A$20:$C$25,3,1),
IF(J47&gt;0,VLOOKUP(J47,Foundation_Calc!$A$20:$C$25,3,1),""))</f>
        <v/>
      </c>
      <c r="AX47" s="468" t="str">
        <f>IF(C47&gt;0,VLOOKUP(C47,Foundation_Calc!$E$20:$G$25,3,1),
IF(J47&gt;0,VLOOKUP(J47,Foundation_Calc!$E$20:$G$25,3,1),""))</f>
        <v/>
      </c>
      <c r="AY47" s="10" t="str">
        <f>IF(L47="","",
IF(AX47="PT",VLOOKUP(L47,Foundation_Calc!$K$79:$R$112,VLOOKUP(AW47,Foundation_Calc!$I$2:$J$8,2,FALSE),0),
IF(AX47="K",VLOOKUP(L47,Foundation_Calc!$K$116:$R$149,VLOOKUP(AW47,Foundation_Calc!$I$2:$J$8,2,FALSE),0),"")))</f>
        <v/>
      </c>
      <c r="AZ47" s="10" t="str">
        <f>IF(K47="","",
IF(AX47="PT",VLOOKUP(K47,Foundation_Calc!$K$79:$R$112,VLOOKUP(AW47,Foundation_Calc!$I$2:$J$8,2,FALSE),0),
IF(AX47="K",VLOOKUP(K47,Foundation_Calc!$K$116:$R$149,VLOOKUP(AW47,Foundation_Calc!$I$2:$J$8,2,FALSE),0),"")))</f>
        <v/>
      </c>
      <c r="BA47" s="553" t="str">
        <f t="shared" si="2"/>
        <v/>
      </c>
      <c r="BB47" s="553" t="str">
        <f t="shared" si="2"/>
        <v/>
      </c>
      <c r="BC47" s="553" t="str">
        <f t="shared" si="5"/>
        <v/>
      </c>
      <c r="BD47" s="572" t="str">
        <f>IF(AND(L47="",H47=""),"",
IF(H47="",Pole_Calc!A$9,
IF(H47="MP",Pole_Calc!A$10,
IF(H47="AnMP",Pole_Calc!A$11,
IF(H47="A",Pole_Calc!A$12,
IF(H47="S/A",Pole_Calc!A$13,
IF(H47="A/S",Pole_Calc!A$14,"Poner a mano")))))))</f>
        <v/>
      </c>
      <c r="BE47" s="448" t="s">
        <v>1726</v>
      </c>
      <c r="BF47" s="305"/>
      <c r="BG47" s="305"/>
      <c r="BH47" s="306"/>
      <c r="BI47" s="305"/>
    </row>
    <row r="48" spans="1:61" ht="16.2" customHeight="1">
      <c r="A48" s="573"/>
      <c r="B48" s="469" t="s">
        <v>2210</v>
      </c>
      <c r="C48" s="3">
        <f t="shared" ref="C48" si="20">C46-G47</f>
        <v>2249.1799999999998</v>
      </c>
      <c r="D48" s="88"/>
      <c r="E48" s="4"/>
      <c r="F48" s="4">
        <v>0</v>
      </c>
      <c r="G48" s="6"/>
      <c r="H48" s="468" t="s">
        <v>179</v>
      </c>
      <c r="I48" s="468"/>
      <c r="J48" s="3"/>
      <c r="K48" s="468"/>
      <c r="L48" s="468" t="s">
        <v>448</v>
      </c>
      <c r="M48" s="468" t="str">
        <f>IF(L48="","",
IF(AX48="PT",VLOOKUP(L48,Foundation_Calc!$V$79:$X$112,VLOOKUP(AX48,Foundation_Calc!$I$10:$J$13,2,FALSE),0),
IF(AX48="K",VLOOKUP(L48,Foundation_Calc!$V$116:$X$149,VLOOKUP(AX48,Foundation_Calc!$I$10:$J$13,2,FALSE),0),"")))</f>
        <v>2C3R</v>
      </c>
      <c r="N48" s="468" t="s">
        <v>28</v>
      </c>
      <c r="O48" s="468" t="s">
        <v>32</v>
      </c>
      <c r="P48" s="468"/>
      <c r="Q48" s="4"/>
      <c r="R48" s="6"/>
      <c r="S48" s="6"/>
      <c r="T48" s="4">
        <v>-15</v>
      </c>
      <c r="U48" s="4">
        <v>-35</v>
      </c>
      <c r="V48" s="4"/>
      <c r="W48" s="9">
        <v>1.4</v>
      </c>
      <c r="X48" s="9">
        <v>2</v>
      </c>
      <c r="Y48" s="9"/>
      <c r="Z48" s="9">
        <v>0.45</v>
      </c>
      <c r="AA48" s="9"/>
      <c r="AB48" s="9"/>
      <c r="AC48" s="468" t="str">
        <f t="shared" si="1"/>
        <v>PHQ</v>
      </c>
      <c r="AD48" s="468"/>
      <c r="AE48" s="468"/>
      <c r="AF48" s="4"/>
      <c r="AG48" s="88"/>
      <c r="AH48" s="4"/>
      <c r="AI48" s="4"/>
      <c r="AJ48" s="468"/>
      <c r="AK48" s="468"/>
      <c r="AL48" s="468"/>
      <c r="AM48" s="468"/>
      <c r="AN48" s="10">
        <v>5.15</v>
      </c>
      <c r="AO48" s="9"/>
      <c r="AP48" s="9"/>
      <c r="AQ48" s="9"/>
      <c r="AR48" s="9"/>
      <c r="AS48" s="9"/>
      <c r="AT48" s="9">
        <f>+ab($U$48,$T$46,$U$50,$G$47,$G$49,-1*$F$48,1200)</f>
        <v>-7.0521103821240452</v>
      </c>
      <c r="AU48" s="447"/>
      <c r="AV48" s="447"/>
      <c r="AW48" s="468" t="str">
        <f>IF(C48&gt;0,VLOOKUP(C48,Foundation_Calc!$A$20:$C$25,3,1),
IF(J48&gt;0,VLOOKUP(J48,Foundation_Calc!$A$20:$C$25,3,1),""))</f>
        <v>MultiSoil</v>
      </c>
      <c r="AX48" s="468" t="str">
        <f>IF(C48&gt;0,VLOOKUP(C48,Foundation_Calc!$E$20:$G$25,3,1),
IF(J48&gt;0,VLOOKUP(J48,Foundation_Calc!$E$20:$G$25,3,1),""))</f>
        <v>PT</v>
      </c>
      <c r="AY48" s="10">
        <f>IF(L48="","",
IF(AX48="PT",VLOOKUP(L48,Foundation_Calc!$K$79:$R$112,VLOOKUP(AW48,Foundation_Calc!$I$2:$J$8,2,FALSE),0),
IF(AX48="K",VLOOKUP(L48,Foundation_Calc!$K$116:$R$149,VLOOKUP(AW48,Foundation_Calc!$I$2:$J$8,2,FALSE),0),"")))</f>
        <v>3.7</v>
      </c>
      <c r="AZ48" s="10" t="str">
        <f>IF(K48="","",
IF(AX48="PT",VLOOKUP(K48,Foundation_Calc!$K$79:$R$112,VLOOKUP(AW48,Foundation_Calc!$I$2:$J$8,2,FALSE),0),
IF(AX48="K",VLOOKUP(K48,Foundation_Calc!$K$116:$R$149,VLOOKUP(AW48,Foundation_Calc!$I$2:$J$8,2,FALSE),0),"")))</f>
        <v/>
      </c>
      <c r="BA48" s="553" t="str">
        <f t="shared" si="2"/>
        <v>ü</v>
      </c>
      <c r="BB48" s="553" t="str">
        <f t="shared" si="2"/>
        <v/>
      </c>
      <c r="BC48" s="553" t="str">
        <f t="shared" si="5"/>
        <v/>
      </c>
      <c r="BD48" s="572" t="str">
        <f>IF(AND(L48="",H48=""),"",
IF(H48="",Pole_Calc!A$9,
IF(H48="MP",Pole_Calc!A$10,
IF(H48="AnMP",Pole_Calc!A$11,
IF(H48="A",Pole_Calc!A$12,
IF(H48="S/A",Pole_Calc!A$13,
IF(H48="A/S",Pole_Calc!A$14,"Poner a mano")))))))</f>
        <v>App.7-V11H-P9.5.1.5</v>
      </c>
      <c r="BE48" s="448" t="s">
        <v>1726</v>
      </c>
      <c r="BF48" s="306"/>
      <c r="BG48" s="306"/>
      <c r="BH48" s="306"/>
      <c r="BI48" s="306"/>
    </row>
    <row r="49" spans="1:61" ht="16.2" customHeight="1">
      <c r="A49" s="573"/>
      <c r="B49" s="469"/>
      <c r="C49" s="3"/>
      <c r="D49" s="88"/>
      <c r="E49" s="4"/>
      <c r="F49" s="4"/>
      <c r="G49" s="6">
        <v>50</v>
      </c>
      <c r="H49" s="468"/>
      <c r="I49" s="468"/>
      <c r="J49" s="3"/>
      <c r="K49" s="468"/>
      <c r="L49" s="468"/>
      <c r="M49" s="468" t="str">
        <f>IF(L49="","",
IF(AX49="PT",VLOOKUP(L49,Foundation_Calc!$V$79:$X$112,VLOOKUP(AX49,Foundation_Calc!$I$10:$J$13,2,FALSE),0),
IF(AX49="K",VLOOKUP(L49,Foundation_Calc!$V$116:$X$149,VLOOKUP(AX49,Foundation_Calc!$I$10:$J$13,2,FALSE),0),"")))</f>
        <v/>
      </c>
      <c r="N49" s="468"/>
      <c r="O49" s="468"/>
      <c r="P49" s="468"/>
      <c r="Q49" s="4"/>
      <c r="R49" s="6"/>
      <c r="S49" s="6"/>
      <c r="T49" s="4"/>
      <c r="U49" s="4"/>
      <c r="V49" s="4"/>
      <c r="W49" s="9"/>
      <c r="X49" s="9"/>
      <c r="Y49" s="9"/>
      <c r="Z49" s="9"/>
      <c r="AA49" s="9"/>
      <c r="AB49" s="9"/>
      <c r="AC49" s="468" t="str">
        <f t="shared" si="1"/>
        <v/>
      </c>
      <c r="AD49" s="468"/>
      <c r="AE49" s="468"/>
      <c r="AF49" s="4"/>
      <c r="AG49" s="88"/>
      <c r="AH49" s="4"/>
      <c r="AI49" s="4"/>
      <c r="AJ49" s="468"/>
      <c r="AK49" s="468"/>
      <c r="AL49" s="468"/>
      <c r="AM49" s="468"/>
      <c r="AN49" s="10"/>
      <c r="AO49" s="9"/>
      <c r="AP49" s="9"/>
      <c r="AQ49" s="9">
        <f>+FL_1($T$50,$U$48,$G$49,1200,9.28,-1*$F$50)</f>
        <v>0.36839079999999996</v>
      </c>
      <c r="AR49" s="9"/>
      <c r="AS49" s="9"/>
      <c r="AT49" s="9"/>
      <c r="AU49" s="447"/>
      <c r="AV49" s="447"/>
      <c r="AW49" s="468" t="str">
        <f>IF(C49&gt;0,VLOOKUP(C49,Foundation_Calc!$A$20:$C$25,3,1),
IF(J49&gt;0,VLOOKUP(J49,Foundation_Calc!$A$20:$C$25,3,1),""))</f>
        <v/>
      </c>
      <c r="AX49" s="468" t="str">
        <f>IF(C49&gt;0,VLOOKUP(C49,Foundation_Calc!$E$20:$G$25,3,1),
IF(J49&gt;0,VLOOKUP(J49,Foundation_Calc!$E$20:$G$25,3,1),""))</f>
        <v/>
      </c>
      <c r="AY49" s="10" t="str">
        <f>IF(L49="","",
IF(AX49="PT",VLOOKUP(L49,Foundation_Calc!$K$79:$R$112,VLOOKUP(AW49,Foundation_Calc!$I$2:$J$8,2,FALSE),0),
IF(AX49="K",VLOOKUP(L49,Foundation_Calc!$K$116:$R$149,VLOOKUP(AW49,Foundation_Calc!$I$2:$J$8,2,FALSE),0),"")))</f>
        <v/>
      </c>
      <c r="AZ49" s="10" t="str">
        <f>IF(K49="","",
IF(AX49="PT",VLOOKUP(K49,Foundation_Calc!$K$79:$R$112,VLOOKUP(AW49,Foundation_Calc!$I$2:$J$8,2,FALSE),0),
IF(AX49="K",VLOOKUP(K49,Foundation_Calc!$K$116:$R$149,VLOOKUP(AW49,Foundation_Calc!$I$2:$J$8,2,FALSE),0),"")))</f>
        <v/>
      </c>
      <c r="BA49" s="553" t="str">
        <f t="shared" si="2"/>
        <v/>
      </c>
      <c r="BB49" s="553" t="str">
        <f t="shared" si="2"/>
        <v/>
      </c>
      <c r="BC49" s="553" t="str">
        <f t="shared" si="5"/>
        <v/>
      </c>
      <c r="BD49" s="572" t="str">
        <f>IF(AND(L49="",H49=""),"",
IF(H49="",Pole_Calc!A$9,
IF(H49="MP",Pole_Calc!A$10,
IF(H49="AnMP",Pole_Calc!A$11,
IF(H49="A",Pole_Calc!A$12,
IF(H49="S/A",Pole_Calc!A$13,
IF(H49="A/S",Pole_Calc!A$14,"Poner a mano")))))))</f>
        <v/>
      </c>
      <c r="BE49" s="448" t="s">
        <v>1726</v>
      </c>
      <c r="BF49" s="305"/>
      <c r="BG49" s="305"/>
      <c r="BH49" s="306"/>
      <c r="BI49" s="305"/>
    </row>
    <row r="50" spans="1:61" ht="16.2" customHeight="1">
      <c r="A50" s="573"/>
      <c r="B50" s="469" t="s">
        <v>2209</v>
      </c>
      <c r="C50" s="3">
        <f t="shared" ref="C50" si="21">C48-G49</f>
        <v>2199.1799999999998</v>
      </c>
      <c r="D50" s="88"/>
      <c r="E50" s="4"/>
      <c r="F50" s="4">
        <v>0</v>
      </c>
      <c r="G50" s="6"/>
      <c r="H50" s="468" t="s">
        <v>179</v>
      </c>
      <c r="I50" s="468"/>
      <c r="J50" s="3"/>
      <c r="K50" s="468"/>
      <c r="L50" s="468" t="s">
        <v>448</v>
      </c>
      <c r="M50" s="468" t="str">
        <f>IF(L50="","",
IF(AX50="PT",VLOOKUP(L50,Foundation_Calc!$V$79:$X$112,VLOOKUP(AX50,Foundation_Calc!$I$10:$J$13,2,FALSE),0),
IF(AX50="K",VLOOKUP(L50,Foundation_Calc!$V$116:$X$149,VLOOKUP(AX50,Foundation_Calc!$I$10:$J$13,2,FALSE),0),"")))</f>
        <v>2C3R</v>
      </c>
      <c r="N50" s="468" t="s">
        <v>33</v>
      </c>
      <c r="O50" s="468" t="s">
        <v>28</v>
      </c>
      <c r="P50" s="468"/>
      <c r="Q50" s="4"/>
      <c r="R50" s="6"/>
      <c r="S50" s="6"/>
      <c r="T50" s="4">
        <v>35</v>
      </c>
      <c r="U50" s="4">
        <v>15</v>
      </c>
      <c r="V50" s="4"/>
      <c r="W50" s="9">
        <v>1.4</v>
      </c>
      <c r="X50" s="9">
        <v>2</v>
      </c>
      <c r="Y50" s="9"/>
      <c r="Z50" s="9"/>
      <c r="AA50" s="9">
        <v>0.45</v>
      </c>
      <c r="AB50" s="9"/>
      <c r="AC50" s="468" t="str">
        <f t="shared" si="1"/>
        <v>PHQ</v>
      </c>
      <c r="AD50" s="468"/>
      <c r="AE50" s="468"/>
      <c r="AF50" s="4"/>
      <c r="AG50" s="88"/>
      <c r="AH50" s="4"/>
      <c r="AI50" s="4"/>
      <c r="AJ50" s="468"/>
      <c r="AK50" s="468"/>
      <c r="AL50" s="468"/>
      <c r="AM50" s="468"/>
      <c r="AN50" s="10">
        <v>5.15</v>
      </c>
      <c r="AO50" s="9"/>
      <c r="AP50" s="9"/>
      <c r="AQ50" s="9"/>
      <c r="AR50" s="9"/>
      <c r="AS50" s="9"/>
      <c r="AT50" s="9">
        <f>+ab($T$50,$T$48,$T$52,$G$49,$G$51,-1*$F$50,1200)</f>
        <v>6.9437082085902153</v>
      </c>
      <c r="AU50" s="447"/>
      <c r="AV50" s="447"/>
      <c r="AW50" s="468" t="str">
        <f>IF(C50&gt;0,VLOOKUP(C50,Foundation_Calc!$A$20:$C$25,3,1),
IF(J50&gt;0,VLOOKUP(J50,Foundation_Calc!$A$20:$C$25,3,1),""))</f>
        <v>MultiSoil</v>
      </c>
      <c r="AX50" s="468" t="str">
        <f>IF(C50&gt;0,VLOOKUP(C50,Foundation_Calc!$E$20:$G$25,3,1),
IF(J50&gt;0,VLOOKUP(J50,Foundation_Calc!$E$20:$G$25,3,1),""))</f>
        <v>PT</v>
      </c>
      <c r="AY50" s="10">
        <f>IF(L50="","",
IF(AX50="PT",VLOOKUP(L50,Foundation_Calc!$K$79:$R$112,VLOOKUP(AW50,Foundation_Calc!$I$2:$J$8,2,FALSE),0),
IF(AX50="K",VLOOKUP(L50,Foundation_Calc!$K$116:$R$149,VLOOKUP(AW50,Foundation_Calc!$I$2:$J$8,2,FALSE),0),"")))</f>
        <v>3.7</v>
      </c>
      <c r="AZ50" s="10" t="str">
        <f>IF(K50="","",
IF(AX50="PT",VLOOKUP(K50,Foundation_Calc!$K$79:$R$112,VLOOKUP(AW50,Foundation_Calc!$I$2:$J$8,2,FALSE),0),
IF(AX50="K",VLOOKUP(K50,Foundation_Calc!$K$116:$R$149,VLOOKUP(AW50,Foundation_Calc!$I$2:$J$8,2,FALSE),0),"")))</f>
        <v/>
      </c>
      <c r="BA50" s="553" t="str">
        <f t="shared" si="2"/>
        <v>ü</v>
      </c>
      <c r="BB50" s="553" t="str">
        <f t="shared" si="2"/>
        <v/>
      </c>
      <c r="BC50" s="553" t="str">
        <f t="shared" si="5"/>
        <v/>
      </c>
      <c r="BD50" s="572" t="str">
        <f>IF(AND(L50="",H50=""),"",
IF(H50="",Pole_Calc!A$9,
IF(H50="MP",Pole_Calc!A$10,
IF(H50="AnMP",Pole_Calc!A$11,
IF(H50="A",Pole_Calc!A$12,
IF(H50="S/A",Pole_Calc!A$13,
IF(H50="A/S",Pole_Calc!A$14,"Poner a mano")))))))</f>
        <v>App.7-V11H-P9.5.1.5</v>
      </c>
      <c r="BE50" s="448" t="s">
        <v>1726</v>
      </c>
      <c r="BF50" s="306"/>
      <c r="BG50" s="306"/>
      <c r="BH50" s="306"/>
      <c r="BI50" s="306"/>
    </row>
    <row r="51" spans="1:61" ht="16.2" customHeight="1">
      <c r="A51" s="573"/>
      <c r="B51" s="469"/>
      <c r="C51" s="3"/>
      <c r="D51" s="88"/>
      <c r="E51" s="4"/>
      <c r="F51" s="4"/>
      <c r="G51" s="6">
        <v>40</v>
      </c>
      <c r="H51" s="468"/>
      <c r="I51" s="468"/>
      <c r="J51" s="3"/>
      <c r="K51" s="468"/>
      <c r="L51" s="468"/>
      <c r="M51" s="468" t="str">
        <f>IF(L51="","",
IF(AX51="PT",VLOOKUP(L51,Foundation_Calc!$V$79:$X$112,VLOOKUP(AX51,Foundation_Calc!$I$10:$J$13,2,FALSE),0),
IF(AX51="K",VLOOKUP(L51,Foundation_Calc!$V$116:$X$149,VLOOKUP(AX51,Foundation_Calc!$I$10:$J$13,2,FALSE),0),"")))</f>
        <v/>
      </c>
      <c r="N51" s="468"/>
      <c r="O51" s="468"/>
      <c r="P51" s="468"/>
      <c r="Q51" s="4"/>
      <c r="R51" s="6"/>
      <c r="S51" s="6"/>
      <c r="T51" s="4"/>
      <c r="U51" s="4"/>
      <c r="V51" s="4"/>
      <c r="W51" s="9"/>
      <c r="X51" s="9"/>
      <c r="Y51" s="9"/>
      <c r="Z51" s="9"/>
      <c r="AA51" s="9"/>
      <c r="AB51" s="9"/>
      <c r="AC51" s="468" t="str">
        <f t="shared" si="1"/>
        <v/>
      </c>
      <c r="AD51" s="468"/>
      <c r="AE51" s="468"/>
      <c r="AF51" s="4"/>
      <c r="AG51" s="88"/>
      <c r="AH51" s="4"/>
      <c r="AI51" s="4"/>
      <c r="AJ51" s="468"/>
      <c r="AK51" s="468"/>
      <c r="AL51" s="468"/>
      <c r="AM51" s="468"/>
      <c r="AN51" s="10"/>
      <c r="AO51" s="9"/>
      <c r="AP51" s="9"/>
      <c r="AQ51" s="9">
        <f>+FL_1($T$52,$T$50,$G$51,1200,9.28,-1*$F$52)</f>
        <v>0.35000000000000125</v>
      </c>
      <c r="AR51" s="9"/>
      <c r="AS51" s="9"/>
      <c r="AT51" s="9"/>
      <c r="AU51" s="447"/>
      <c r="AV51" s="447"/>
      <c r="AW51" s="468" t="str">
        <f>IF(C51&gt;0,VLOOKUP(C51,Foundation_Calc!$A$20:$C$25,3,1),
IF(J51&gt;0,VLOOKUP(J51,Foundation_Calc!$A$20:$C$25,3,1),""))</f>
        <v/>
      </c>
      <c r="AX51" s="468" t="str">
        <f>IF(C51&gt;0,VLOOKUP(C51,Foundation_Calc!$E$20:$G$25,3,1),
IF(J51&gt;0,VLOOKUP(J51,Foundation_Calc!$E$20:$G$25,3,1),""))</f>
        <v/>
      </c>
      <c r="AY51" s="10" t="str">
        <f>IF(L51="","",
IF(AX51="PT",VLOOKUP(L51,Foundation_Calc!$K$79:$R$112,VLOOKUP(AW51,Foundation_Calc!$I$2:$J$8,2,FALSE),0),
IF(AX51="K",VLOOKUP(L51,Foundation_Calc!$K$116:$R$149,VLOOKUP(AW51,Foundation_Calc!$I$2:$J$8,2,FALSE),0),"")))</f>
        <v/>
      </c>
      <c r="AZ51" s="10" t="str">
        <f>IF(K51="","",
IF(AX51="PT",VLOOKUP(K51,Foundation_Calc!$K$79:$R$112,VLOOKUP(AW51,Foundation_Calc!$I$2:$J$8,2,FALSE),0),
IF(AX51="K",VLOOKUP(K51,Foundation_Calc!$K$116:$R$149,VLOOKUP(AW51,Foundation_Calc!$I$2:$J$8,2,FALSE),0),"")))</f>
        <v/>
      </c>
      <c r="BA51" s="553" t="str">
        <f t="shared" si="2"/>
        <v/>
      </c>
      <c r="BB51" s="553" t="str">
        <f t="shared" si="2"/>
        <v/>
      </c>
      <c r="BC51" s="553" t="str">
        <f t="shared" si="5"/>
        <v/>
      </c>
      <c r="BD51" s="572" t="str">
        <f>IF(AND(L51="",H51=""),"",
IF(H51="",Pole_Calc!A$9,
IF(H51="MP",Pole_Calc!A$10,
IF(H51="AnMP",Pole_Calc!A$11,
IF(H51="A",Pole_Calc!A$12,
IF(H51="S/A",Pole_Calc!A$13,
IF(H51="A/S",Pole_Calc!A$14,"Poner a mano")))))))</f>
        <v/>
      </c>
      <c r="BE51" s="448" t="s">
        <v>1726</v>
      </c>
      <c r="BF51" s="305"/>
      <c r="BG51" s="305"/>
      <c r="BH51" s="306"/>
      <c r="BI51" s="305"/>
    </row>
    <row r="52" spans="1:61" ht="16.2" customHeight="1">
      <c r="A52" s="573"/>
      <c r="B52" s="469" t="s">
        <v>2208</v>
      </c>
      <c r="C52" s="3">
        <f t="shared" ref="C52" si="22">C50-G51</f>
        <v>2159.1799999999998</v>
      </c>
      <c r="D52" s="88"/>
      <c r="E52" s="4"/>
      <c r="F52" s="4">
        <v>0</v>
      </c>
      <c r="G52" s="6"/>
      <c r="H52" s="468" t="s">
        <v>26</v>
      </c>
      <c r="I52" s="468" t="s">
        <v>182</v>
      </c>
      <c r="J52" s="3"/>
      <c r="K52" s="468"/>
      <c r="L52" s="468" t="s">
        <v>452</v>
      </c>
      <c r="M52" s="468" t="str">
        <f>IF(L52="","",
IF(AX52="PT",VLOOKUP(L52,Foundation_Calc!$V$79:$X$112,VLOOKUP(AX52,Foundation_Calc!$I$10:$J$13,2,FALSE),0),
IF(AX52="K",VLOOKUP(L52,Foundation_Calc!$V$116:$X$149,VLOOKUP(AX52,Foundation_Calc!$I$10:$J$13,2,FALSE),0),"")))</f>
        <v>C4R</v>
      </c>
      <c r="N52" s="468" t="s">
        <v>32</v>
      </c>
      <c r="O52" s="468"/>
      <c r="P52" s="468"/>
      <c r="Q52" s="4"/>
      <c r="R52" s="6"/>
      <c r="S52" s="6"/>
      <c r="T52" s="4">
        <v>-35</v>
      </c>
      <c r="U52" s="4"/>
      <c r="V52" s="4"/>
      <c r="W52" s="9">
        <v>1.4</v>
      </c>
      <c r="X52" s="9"/>
      <c r="Y52" s="9"/>
      <c r="Z52" s="9"/>
      <c r="AA52" s="9"/>
      <c r="AB52" s="9"/>
      <c r="AC52" s="468" t="str">
        <f t="shared" si="1"/>
        <v>PHQ</v>
      </c>
      <c r="AD52" s="468"/>
      <c r="AE52" s="468"/>
      <c r="AF52" s="4"/>
      <c r="AG52" s="88"/>
      <c r="AH52" s="4"/>
      <c r="AI52" s="4"/>
      <c r="AJ52" s="468"/>
      <c r="AK52" s="468"/>
      <c r="AL52" s="468"/>
      <c r="AM52" s="468"/>
      <c r="AN52" s="10">
        <v>5.15</v>
      </c>
      <c r="AO52" s="9"/>
      <c r="AP52" s="9"/>
      <c r="AQ52" s="9"/>
      <c r="AR52" s="9"/>
      <c r="AS52" s="9"/>
      <c r="AT52" s="9">
        <f>+ab($T$52,$T$50,$T$54,$G$51,$G$53,-1*$F$52,1200)</f>
        <v>-5.785420654835403</v>
      </c>
      <c r="AU52" s="447"/>
      <c r="AV52" s="447"/>
      <c r="AW52" s="468" t="str">
        <f>IF(C52&gt;0,VLOOKUP(C52,Foundation_Calc!$A$20:$C$25,3,1),
IF(J52&gt;0,VLOOKUP(J52,Foundation_Calc!$A$20:$C$25,3,1),""))</f>
        <v>MultiSoil</v>
      </c>
      <c r="AX52" s="468" t="str">
        <f>IF(C52&gt;0,VLOOKUP(C52,Foundation_Calc!$E$20:$G$25,3,1),
IF(J52&gt;0,VLOOKUP(J52,Foundation_Calc!$E$20:$G$25,3,1),""))</f>
        <v>PT</v>
      </c>
      <c r="AY52" s="10">
        <f>IF(L52="","",
IF(AX52="PT",VLOOKUP(L52,Foundation_Calc!$K$79:$R$112,VLOOKUP(AW52,Foundation_Calc!$I$2:$J$8,2,FALSE),0),
IF(AX52="K",VLOOKUP(L52,Foundation_Calc!$K$116:$R$149,VLOOKUP(AW52,Foundation_Calc!$I$2:$J$8,2,FALSE),0),"")))</f>
        <v>3.5</v>
      </c>
      <c r="AZ52" s="10" t="str">
        <f>IF(K52="","",
IF(AX52="PT",VLOOKUP(K52,Foundation_Calc!$K$79:$R$112,VLOOKUP(AW52,Foundation_Calc!$I$2:$J$8,2,FALSE),0),
IF(AX52="K",VLOOKUP(K52,Foundation_Calc!$K$116:$R$149,VLOOKUP(AW52,Foundation_Calc!$I$2:$J$8,2,FALSE),0),"")))</f>
        <v/>
      </c>
      <c r="BA52" s="553" t="str">
        <f t="shared" si="2"/>
        <v>ü</v>
      </c>
      <c r="BB52" s="553" t="str">
        <f t="shared" si="2"/>
        <v/>
      </c>
      <c r="BC52" s="553" t="str">
        <f t="shared" si="5"/>
        <v/>
      </c>
      <c r="BD52" s="572" t="str">
        <f>IF(AND(L52="",H52=""),"",
IF(H52="",Pole_Calc!A$9,
IF(H52="MP",Pole_Calc!A$10,
IF(H52="AnMP",Pole_Calc!A$11,
IF(H52="A",Pole_Calc!A$12,
IF(H52="S/A",Pole_Calc!A$13,
IF(H52="A/S",Pole_Calc!A$14,"Poner a mano")))))))</f>
        <v>App.7-V11H-P9.5.1.6</v>
      </c>
      <c r="BE52" s="448" t="s">
        <v>1726</v>
      </c>
      <c r="BF52" s="306"/>
      <c r="BG52" s="306"/>
      <c r="BH52" s="306"/>
      <c r="BI52" s="306"/>
    </row>
    <row r="53" spans="1:61" ht="16.2" customHeight="1">
      <c r="A53" s="573"/>
      <c r="B53" s="469"/>
      <c r="C53" s="3"/>
      <c r="D53" s="88"/>
      <c r="E53" s="4"/>
      <c r="F53" s="4"/>
      <c r="G53" s="6">
        <v>45</v>
      </c>
      <c r="H53" s="468"/>
      <c r="I53" s="468"/>
      <c r="J53" s="3">
        <f>C52-7.5</f>
        <v>2151.6799999999998</v>
      </c>
      <c r="K53" s="468" t="s">
        <v>1095</v>
      </c>
      <c r="L53" s="468"/>
      <c r="M53" s="468" t="str">
        <f>IF(L53="","",
IF(AX53="PT",VLOOKUP(L53,Foundation_Calc!$V$79:$X$112,VLOOKUP(AX53,Foundation_Calc!$I$10:$J$13,2,FALSE),0),
IF(AX53="K",VLOOKUP(L53,Foundation_Calc!$V$116:$X$149,VLOOKUP(AX53,Foundation_Calc!$I$10:$J$13,2,FALSE),0),"")))</f>
        <v/>
      </c>
      <c r="N53" s="468"/>
      <c r="O53" s="468"/>
      <c r="P53" s="468"/>
      <c r="Q53" s="4"/>
      <c r="R53" s="6"/>
      <c r="S53" s="6"/>
      <c r="T53" s="4"/>
      <c r="U53" s="4"/>
      <c r="V53" s="4"/>
      <c r="W53" s="9"/>
      <c r="X53" s="9"/>
      <c r="Y53" s="9"/>
      <c r="Z53" s="9"/>
      <c r="AA53" s="9"/>
      <c r="AB53" s="9"/>
      <c r="AC53" s="468" t="str">
        <f t="shared" si="1"/>
        <v/>
      </c>
      <c r="AD53" s="468"/>
      <c r="AE53" s="468"/>
      <c r="AF53" s="4"/>
      <c r="AG53" s="88"/>
      <c r="AH53" s="4"/>
      <c r="AI53" s="4"/>
      <c r="AJ53" s="468"/>
      <c r="AK53" s="468"/>
      <c r="AL53" s="468"/>
      <c r="AM53" s="468"/>
      <c r="AN53" s="10"/>
      <c r="AO53" s="9"/>
      <c r="AP53" s="9"/>
      <c r="AQ53" s="9">
        <f>+FL_1($T$54,$T$52,$G$53,1200,9.28,-1*$F$54)</f>
        <v>0.35219954355555555</v>
      </c>
      <c r="AR53" s="9"/>
      <c r="AS53" s="9"/>
      <c r="AT53" s="9"/>
      <c r="AU53" s="447"/>
      <c r="AV53" s="447"/>
      <c r="AW53" s="468" t="str">
        <f>IF(C53&gt;0,VLOOKUP(C53,Foundation_Calc!$A$20:$C$25,3,1),
IF(J53&gt;0,VLOOKUP(J53,Foundation_Calc!$A$20:$C$25,3,1),""))</f>
        <v>MultiSoil</v>
      </c>
      <c r="AX53" s="468" t="str">
        <f>IF(C53&gt;0,VLOOKUP(C53,Foundation_Calc!$E$20:$G$25,3,1),
IF(J53&gt;0,VLOOKUP(J53,Foundation_Calc!$E$20:$G$25,3,1),""))</f>
        <v>PT</v>
      </c>
      <c r="AY53" s="10" t="str">
        <f>IF(L53="","",
IF(AX53="PT",VLOOKUP(L53,Foundation_Calc!$K$79:$R$112,VLOOKUP(AW53,Foundation_Calc!$I$2:$J$8,2,FALSE),0),
IF(AX53="K",VLOOKUP(L53,Foundation_Calc!$K$116:$R$149,VLOOKUP(AW53,Foundation_Calc!$I$2:$J$8,2,FALSE),0),"")))</f>
        <v/>
      </c>
      <c r="AZ53" s="10">
        <f>IF(K53="","",
IF(AX53="PT",VLOOKUP(K53,Foundation_Calc!$K$79:$R$112,VLOOKUP(AW53,Foundation_Calc!$I$2:$J$8,2,FALSE),0),
IF(AX53="K",VLOOKUP(K53,Foundation_Calc!$K$116:$R$149,VLOOKUP(AW53,Foundation_Calc!$I$2:$J$8,2,FALSE),0),"")))</f>
        <v>3.9</v>
      </c>
      <c r="BA53" s="553" t="str">
        <f t="shared" si="2"/>
        <v/>
      </c>
      <c r="BB53" s="553" t="str">
        <f t="shared" si="2"/>
        <v>ü</v>
      </c>
      <c r="BC53" s="553" t="str">
        <f t="shared" si="5"/>
        <v/>
      </c>
      <c r="BD53" s="572" t="str">
        <f>IF(AND(L53="",H53=""),"",
IF(H53="",Pole_Calc!A$9,
IF(H53="MP",Pole_Calc!A$10,
IF(H53="AnMP",Pole_Calc!A$11,
IF(H53="A",Pole_Calc!A$12,
IF(H53="S/A",Pole_Calc!A$13,
IF(H53="A/S",Pole_Calc!A$14,"Poner a mano")))))))</f>
        <v/>
      </c>
      <c r="BE53" s="448" t="s">
        <v>1726</v>
      </c>
      <c r="BF53" s="305"/>
      <c r="BG53" s="305"/>
      <c r="BH53" s="306"/>
      <c r="BI53" s="305"/>
    </row>
    <row r="54" spans="1:61" ht="16.2" customHeight="1">
      <c r="A54" s="573"/>
      <c r="B54" s="469" t="s">
        <v>2207</v>
      </c>
      <c r="C54" s="3">
        <f t="shared" ref="C54" si="23">C52-G53</f>
        <v>2114.1799999999998</v>
      </c>
      <c r="D54" s="88"/>
      <c r="E54" s="4"/>
      <c r="F54" s="4">
        <v>0</v>
      </c>
      <c r="G54" s="6"/>
      <c r="H54" s="468"/>
      <c r="I54" s="468"/>
      <c r="J54" s="3"/>
      <c r="K54" s="468"/>
      <c r="L54" s="468" t="s">
        <v>37</v>
      </c>
      <c r="M54" s="468" t="str">
        <f>IF(L54="","",
IF(AX54="PT",VLOOKUP(L54,Foundation_Calc!$V$79:$X$112,VLOOKUP(AX54,Foundation_Calc!$I$10:$J$13,2,FALSE),0),
IF(AX54="K",VLOOKUP(L54,Foundation_Calc!$V$116:$X$149,VLOOKUP(AX54,Foundation_Calc!$I$10:$J$13,2,FALSE),0),"")))</f>
        <v>C3R</v>
      </c>
      <c r="N54" s="468" t="s">
        <v>33</v>
      </c>
      <c r="O54" s="468"/>
      <c r="P54" s="468"/>
      <c r="Q54" s="4"/>
      <c r="R54" s="6"/>
      <c r="S54" s="6"/>
      <c r="T54" s="4">
        <v>35</v>
      </c>
      <c r="U54" s="4"/>
      <c r="V54" s="4"/>
      <c r="W54" s="9">
        <v>1.4</v>
      </c>
      <c r="X54" s="9"/>
      <c r="Y54" s="9"/>
      <c r="Z54" s="9"/>
      <c r="AA54" s="9"/>
      <c r="AB54" s="9"/>
      <c r="AC54" s="468" t="str">
        <f t="shared" si="1"/>
        <v>PHQ</v>
      </c>
      <c r="AD54" s="468"/>
      <c r="AE54" s="468"/>
      <c r="AF54" s="4"/>
      <c r="AG54" s="88"/>
      <c r="AH54" s="4"/>
      <c r="AI54" s="4"/>
      <c r="AJ54" s="468"/>
      <c r="AK54" s="468"/>
      <c r="AL54" s="468"/>
      <c r="AM54" s="468"/>
      <c r="AN54" s="10">
        <f>AN52+0.06</f>
        <v>5.21</v>
      </c>
      <c r="AO54" s="9"/>
      <c r="AP54" s="9"/>
      <c r="AQ54" s="9"/>
      <c r="AR54" s="9"/>
      <c r="AS54" s="9"/>
      <c r="AT54" s="9">
        <f>+ab($T$54,$T$52,$T$56,$G$53,$G$55,-1*$F$54,1200)</f>
        <v>6.8749391175994878</v>
      </c>
      <c r="AU54" s="447"/>
      <c r="AV54" s="447"/>
      <c r="AW54" s="468" t="str">
        <f>IF(C54&gt;0,VLOOKUP(C54,Foundation_Calc!$A$20:$C$25,3,1),
IF(J54&gt;0,VLOOKUP(J54,Foundation_Calc!$A$20:$C$25,3,1),""))</f>
        <v>MultiSoil</v>
      </c>
      <c r="AX54" s="468" t="str">
        <f>IF(C54&gt;0,VLOOKUP(C54,Foundation_Calc!$E$20:$G$25,3,1),
IF(J54&gt;0,VLOOKUP(J54,Foundation_Calc!$E$20:$G$25,3,1),""))</f>
        <v>PT</v>
      </c>
      <c r="AY54" s="10">
        <f>IF(L54="","",
IF(AX54="PT",VLOOKUP(L54,Foundation_Calc!$K$79:$R$112,VLOOKUP(AW54,Foundation_Calc!$I$2:$J$8,2,FALSE),0),
IF(AX54="K",VLOOKUP(L54,Foundation_Calc!$K$116:$R$149,VLOOKUP(AW54,Foundation_Calc!$I$2:$J$8,2,FALSE),0),"")))</f>
        <v>3.5</v>
      </c>
      <c r="AZ54" s="10" t="str">
        <f>IF(K54="","",
IF(AX54="PT",VLOOKUP(K54,Foundation_Calc!$K$79:$R$112,VLOOKUP(AW54,Foundation_Calc!$I$2:$J$8,2,FALSE),0),
IF(AX54="K",VLOOKUP(K54,Foundation_Calc!$K$116:$R$149,VLOOKUP(AW54,Foundation_Calc!$I$2:$J$8,2,FALSE),0),"")))</f>
        <v/>
      </c>
      <c r="BA54" s="553" t="str">
        <f t="shared" si="2"/>
        <v>ü</v>
      </c>
      <c r="BB54" s="553" t="str">
        <f t="shared" si="2"/>
        <v/>
      </c>
      <c r="BC54" s="553" t="str">
        <f t="shared" si="5"/>
        <v/>
      </c>
      <c r="BD54" s="572" t="str">
        <f>IF(AND(L54="",H54=""),"",
IF(H54="",Pole_Calc!A$9,
IF(H54="MP",Pole_Calc!A$10,
IF(H54="AnMP",Pole_Calc!A$11,
IF(H54="A",Pole_Calc!A$12,
IF(H54="S/A",Pole_Calc!A$13,
IF(H54="A/S",Pole_Calc!A$14,"Poner a mano")))))))</f>
        <v>App.7-V11H-P9.5.1.1</v>
      </c>
      <c r="BE54" s="448" t="s">
        <v>1726</v>
      </c>
      <c r="BF54" s="306"/>
      <c r="BG54" s="306"/>
      <c r="BH54" s="306"/>
      <c r="BI54" s="306"/>
    </row>
    <row r="55" spans="1:61" ht="16.2" customHeight="1">
      <c r="A55" s="573"/>
      <c r="B55" s="469"/>
      <c r="C55" s="3"/>
      <c r="D55" s="88"/>
      <c r="E55" s="4"/>
      <c r="F55" s="4"/>
      <c r="G55" s="6">
        <v>45</v>
      </c>
      <c r="H55" s="468"/>
      <c r="I55" s="468"/>
      <c r="J55" s="3"/>
      <c r="K55" s="468"/>
      <c r="L55" s="468"/>
      <c r="M55" s="468" t="str">
        <f>IF(L55="","",
IF(AX55="PT",VLOOKUP(L55,Foundation_Calc!$V$79:$X$112,VLOOKUP(AX55,Foundation_Calc!$I$10:$J$13,2,FALSE),0),
IF(AX55="K",VLOOKUP(L55,Foundation_Calc!$V$116:$X$149,VLOOKUP(AX55,Foundation_Calc!$I$10:$J$13,2,FALSE),0),"")))</f>
        <v/>
      </c>
      <c r="N55" s="468"/>
      <c r="O55" s="468"/>
      <c r="P55" s="468"/>
      <c r="Q55" s="4"/>
      <c r="R55" s="6"/>
      <c r="S55" s="6"/>
      <c r="T55" s="4"/>
      <c r="U55" s="4"/>
      <c r="V55" s="4"/>
      <c r="W55" s="9"/>
      <c r="X55" s="9"/>
      <c r="Y55" s="9"/>
      <c r="Z55" s="9"/>
      <c r="AA55" s="9"/>
      <c r="AB55" s="9"/>
      <c r="AC55" s="468" t="str">
        <f t="shared" si="1"/>
        <v/>
      </c>
      <c r="AD55" s="468"/>
      <c r="AE55" s="468"/>
      <c r="AF55" s="4"/>
      <c r="AG55" s="88"/>
      <c r="AH55" s="4"/>
      <c r="AI55" s="4"/>
      <c r="AJ55" s="468"/>
      <c r="AK55" s="468"/>
      <c r="AL55" s="468"/>
      <c r="AM55" s="468"/>
      <c r="AN55" s="10"/>
      <c r="AO55" s="9"/>
      <c r="AP55" s="9"/>
      <c r="AQ55" s="9">
        <f>+FL_1($T$56,$T$54,$G$55,1200,9.28,-1*$F$56)</f>
        <v>0.41031108721867487</v>
      </c>
      <c r="AR55" s="9"/>
      <c r="AS55" s="9"/>
      <c r="AT55" s="9"/>
      <c r="AU55" s="447"/>
      <c r="AV55" s="447"/>
      <c r="AW55" s="468" t="str">
        <f>IF(C55&gt;0,VLOOKUP(C55,Foundation_Calc!$A$20:$C$25,3,1),
IF(J55&gt;0,VLOOKUP(J55,Foundation_Calc!$A$20:$C$25,3,1),""))</f>
        <v/>
      </c>
      <c r="AX55" s="468" t="str">
        <f>IF(C55&gt;0,VLOOKUP(C55,Foundation_Calc!$E$20:$G$25,3,1),
IF(J55&gt;0,VLOOKUP(J55,Foundation_Calc!$E$20:$G$25,3,1),""))</f>
        <v/>
      </c>
      <c r="AY55" s="10" t="str">
        <f>IF(L55="","",
IF(AX55="PT",VLOOKUP(L55,Foundation_Calc!$K$79:$R$112,VLOOKUP(AW55,Foundation_Calc!$I$2:$J$8,2,FALSE),0),
IF(AX55="K",VLOOKUP(L55,Foundation_Calc!$K$116:$R$149,VLOOKUP(AW55,Foundation_Calc!$I$2:$J$8,2,FALSE),0),"")))</f>
        <v/>
      </c>
      <c r="AZ55" s="10" t="str">
        <f>IF(K55="","",
IF(AX55="PT",VLOOKUP(K55,Foundation_Calc!$K$79:$R$112,VLOOKUP(AW55,Foundation_Calc!$I$2:$J$8,2,FALSE),0),
IF(AX55="K",VLOOKUP(K55,Foundation_Calc!$K$116:$R$149,VLOOKUP(AW55,Foundation_Calc!$I$2:$J$8,2,FALSE),0),"")))</f>
        <v/>
      </c>
      <c r="BA55" s="553" t="str">
        <f t="shared" si="2"/>
        <v/>
      </c>
      <c r="BB55" s="553" t="str">
        <f t="shared" si="2"/>
        <v/>
      </c>
      <c r="BC55" s="553" t="str">
        <f t="shared" si="5"/>
        <v/>
      </c>
      <c r="BD55" s="572" t="str">
        <f>IF(AND(L55="",H55=""),"",
IF(H55="",Pole_Calc!A$9,
IF(H55="MP",Pole_Calc!A$10,
IF(H55="AnMP",Pole_Calc!A$11,
IF(H55="A",Pole_Calc!A$12,
IF(H55="S/A",Pole_Calc!A$13,
IF(H55="A/S",Pole_Calc!A$14,"Poner a mano")))))))</f>
        <v/>
      </c>
      <c r="BE55" s="448" t="s">
        <v>1726</v>
      </c>
      <c r="BF55" s="305"/>
      <c r="BG55" s="305"/>
      <c r="BH55" s="306"/>
      <c r="BI55" s="305"/>
    </row>
    <row r="56" spans="1:61" ht="16.2" customHeight="1">
      <c r="A56" s="573"/>
      <c r="B56" s="469" t="s">
        <v>2206</v>
      </c>
      <c r="C56" s="3">
        <f t="shared" ref="C56" si="24">C54-G55</f>
        <v>2069.1799999999998</v>
      </c>
      <c r="D56" s="88"/>
      <c r="E56" s="4"/>
      <c r="F56" s="4">
        <f>-(195^2)/(C56-2079.37)</f>
        <v>3731.5996074582727</v>
      </c>
      <c r="G56" s="6"/>
      <c r="H56" s="468"/>
      <c r="I56" s="468"/>
      <c r="J56" s="3"/>
      <c r="K56" s="468"/>
      <c r="L56" s="468" t="s">
        <v>37</v>
      </c>
      <c r="M56" s="468" t="str">
        <f>IF(L56="","",
IF(AX56="PT",VLOOKUP(L56,Foundation_Calc!$V$79:$X$112,VLOOKUP(AX56,Foundation_Calc!$I$10:$J$13,2,FALSE),0),
IF(AX56="K",VLOOKUP(L56,Foundation_Calc!$V$116:$X$149,VLOOKUP(AX56,Foundation_Calc!$I$10:$J$13,2,FALSE),0),"")))</f>
        <v>C3R</v>
      </c>
      <c r="N56" s="468" t="s">
        <v>32</v>
      </c>
      <c r="O56" s="468"/>
      <c r="P56" s="468"/>
      <c r="Q56" s="4"/>
      <c r="R56" s="6"/>
      <c r="S56" s="6"/>
      <c r="T56" s="4">
        <v>-20</v>
      </c>
      <c r="U56" s="4"/>
      <c r="V56" s="4"/>
      <c r="W56" s="9">
        <v>1.4</v>
      </c>
      <c r="X56" s="9"/>
      <c r="Y56" s="9"/>
      <c r="Z56" s="9"/>
      <c r="AA56" s="9"/>
      <c r="AB56" s="9"/>
      <c r="AC56" s="468" t="str">
        <f t="shared" si="1"/>
        <v>PH</v>
      </c>
      <c r="AD56" s="468"/>
      <c r="AE56" s="468"/>
      <c r="AF56" s="4"/>
      <c r="AG56" s="88"/>
      <c r="AH56" s="4"/>
      <c r="AI56" s="4"/>
      <c r="AJ56" s="468"/>
      <c r="AK56" s="468"/>
      <c r="AL56" s="468"/>
      <c r="AM56" s="468"/>
      <c r="AN56" s="10">
        <f>AN54+0.09</f>
        <v>5.3</v>
      </c>
      <c r="AO56" s="9"/>
      <c r="AP56" s="9"/>
      <c r="AQ56" s="9"/>
      <c r="AR56" s="9"/>
      <c r="AS56" s="9"/>
      <c r="AT56" s="9">
        <f>+ab($T$56,$T$54,$T$58,$G$55,$G$57,-1*$F$56,1200)</f>
        <v>-9.0143891953060482</v>
      </c>
      <c r="AU56" s="447"/>
      <c r="AV56" s="447"/>
      <c r="AW56" s="468" t="str">
        <f>IF(C56&gt;0,VLOOKUP(C56,Foundation_Calc!$A$20:$C$25,3,1),
IF(J56&gt;0,VLOOKUP(J56,Foundation_Calc!$A$20:$C$25,3,1),""))</f>
        <v>MultiSoil</v>
      </c>
      <c r="AX56" s="468" t="str">
        <f>IF(C56&gt;0,VLOOKUP(C56,Foundation_Calc!$E$20:$G$25,3,1),
IF(J56&gt;0,VLOOKUP(J56,Foundation_Calc!$E$20:$G$25,3,1),""))</f>
        <v>PT</v>
      </c>
      <c r="AY56" s="10">
        <f>IF(L56="","",
IF(AX56="PT",VLOOKUP(L56,Foundation_Calc!$K$79:$R$112,VLOOKUP(AW56,Foundation_Calc!$I$2:$J$8,2,FALSE),0),
IF(AX56="K",VLOOKUP(L56,Foundation_Calc!$K$116:$R$149,VLOOKUP(AW56,Foundation_Calc!$I$2:$J$8,2,FALSE),0),"")))</f>
        <v>3.5</v>
      </c>
      <c r="AZ56" s="10" t="str">
        <f>IF(K56="","",
IF(AX56="PT",VLOOKUP(K56,Foundation_Calc!$K$79:$R$112,VLOOKUP(AW56,Foundation_Calc!$I$2:$J$8,2,FALSE),0),
IF(AX56="K",VLOOKUP(K56,Foundation_Calc!$K$116:$R$149,VLOOKUP(AW56,Foundation_Calc!$I$2:$J$8,2,FALSE),0),"")))</f>
        <v/>
      </c>
      <c r="BA56" s="553" t="str">
        <f t="shared" si="2"/>
        <v>ü</v>
      </c>
      <c r="BB56" s="553" t="str">
        <f t="shared" si="2"/>
        <v/>
      </c>
      <c r="BC56" s="553" t="str">
        <f t="shared" si="5"/>
        <v/>
      </c>
      <c r="BD56" s="572" t="str">
        <f>IF(AND(L56="",H56=""),"",
IF(H56="",Pole_Calc!A$9,
IF(H56="MP",Pole_Calc!A$10,
IF(H56="AnMP",Pole_Calc!A$11,
IF(H56="A",Pole_Calc!A$12,
IF(H56="S/A",Pole_Calc!A$13,
IF(H56="A/S",Pole_Calc!A$14,"Poner a mano")))))))</f>
        <v>App.7-V11H-P9.5.1.1</v>
      </c>
      <c r="BE56" s="448" t="s">
        <v>1726</v>
      </c>
      <c r="BF56" s="306"/>
      <c r="BG56" s="306"/>
      <c r="BH56" s="306"/>
      <c r="BI56" s="306"/>
    </row>
    <row r="57" spans="1:61" ht="16.2" customHeight="1">
      <c r="A57" s="573"/>
      <c r="B57" s="469"/>
      <c r="C57" s="3"/>
      <c r="D57" s="88"/>
      <c r="E57" s="4"/>
      <c r="F57" s="4"/>
      <c r="G57" s="6">
        <v>40</v>
      </c>
      <c r="H57" s="468"/>
      <c r="I57" s="468"/>
      <c r="J57" s="3">
        <f>C58+7.5</f>
        <v>2036.6799999999998</v>
      </c>
      <c r="K57" s="468" t="s">
        <v>1096</v>
      </c>
      <c r="L57" s="468"/>
      <c r="M57" s="468" t="str">
        <f>IF(L57="","",
IF(AX57="PT",VLOOKUP(L57,Foundation_Calc!$V$79:$X$112,VLOOKUP(AX57,Foundation_Calc!$I$10:$J$13,2,FALSE),0),
IF(AX57="K",VLOOKUP(L57,Foundation_Calc!$V$116:$X$149,VLOOKUP(AX57,Foundation_Calc!$I$10:$J$13,2,FALSE),0),"")))</f>
        <v/>
      </c>
      <c r="N57" s="468"/>
      <c r="O57" s="468"/>
      <c r="P57" s="468"/>
      <c r="Q57" s="4"/>
      <c r="R57" s="6"/>
      <c r="S57" s="6"/>
      <c r="T57" s="4"/>
      <c r="U57" s="4"/>
      <c r="V57" s="4"/>
      <c r="W57" s="9"/>
      <c r="X57" s="9"/>
      <c r="Y57" s="9"/>
      <c r="Z57" s="9"/>
      <c r="AA57" s="9"/>
      <c r="AB57" s="9"/>
      <c r="AC57" s="468" t="str">
        <f t="shared" si="1"/>
        <v/>
      </c>
      <c r="AD57" s="468"/>
      <c r="AE57" s="468"/>
      <c r="AF57" s="4"/>
      <c r="AG57" s="88"/>
      <c r="AH57" s="4"/>
      <c r="AI57" s="4"/>
      <c r="AJ57" s="468"/>
      <c r="AK57" s="468"/>
      <c r="AL57" s="468"/>
      <c r="AM57" s="468"/>
      <c r="AN57" s="10"/>
      <c r="AO57" s="9"/>
      <c r="AP57" s="9"/>
      <c r="AQ57" s="9">
        <f>+FL_2($T$58,$T$56,$G$57,1200,9.28,-1*$F$58)</f>
        <v>-0.3</v>
      </c>
      <c r="AR57" s="9"/>
      <c r="AS57" s="9"/>
      <c r="AT57" s="9"/>
      <c r="AU57" s="447"/>
      <c r="AV57" s="447"/>
      <c r="AW57" s="468" t="str">
        <f>IF(C57&gt;0,VLOOKUP(C57,Foundation_Calc!$A$20:$C$25,3,1),
IF(J57&gt;0,VLOOKUP(J57,Foundation_Calc!$A$20:$C$25,3,1),""))</f>
        <v>MultiSoil</v>
      </c>
      <c r="AX57" s="468" t="str">
        <f>IF(C57&gt;0,VLOOKUP(C57,Foundation_Calc!$E$20:$G$25,3,1),
IF(J57&gt;0,VLOOKUP(J57,Foundation_Calc!$E$20:$G$25,3,1),""))</f>
        <v>PT</v>
      </c>
      <c r="AY57" s="10" t="str">
        <f>IF(L57="","",
IF(AX57="PT",VLOOKUP(L57,Foundation_Calc!$K$79:$R$112,VLOOKUP(AW57,Foundation_Calc!$I$2:$J$8,2,FALSE),0),
IF(AX57="K",VLOOKUP(L57,Foundation_Calc!$K$116:$R$149,VLOOKUP(AW57,Foundation_Calc!$I$2:$J$8,2,FALSE),0),"")))</f>
        <v/>
      </c>
      <c r="AZ57" s="10">
        <f>IF(K57="","",
IF(AX57="PT",VLOOKUP(K57,Foundation_Calc!$K$79:$R$112,VLOOKUP(AW57,Foundation_Calc!$I$2:$J$8,2,FALSE),0),
IF(AX57="K",VLOOKUP(K57,Foundation_Calc!$K$116:$R$149,VLOOKUP(AW57,Foundation_Calc!$I$2:$J$8,2,FALSE),0),"")))</f>
        <v>2.8</v>
      </c>
      <c r="BA57" s="553" t="str">
        <f t="shared" si="2"/>
        <v/>
      </c>
      <c r="BB57" s="553" t="str">
        <f t="shared" si="2"/>
        <v>ü</v>
      </c>
      <c r="BC57" s="553" t="str">
        <f t="shared" si="5"/>
        <v/>
      </c>
      <c r="BD57" s="572" t="str">
        <f>IF(AND(L57="",H57=""),"",
IF(H57="",Pole_Calc!A$9,
IF(H57="MP",Pole_Calc!A$10,
IF(H57="AnMP",Pole_Calc!A$11,
IF(H57="A",Pole_Calc!A$12,
IF(H57="S/A",Pole_Calc!A$13,
IF(H57="A/S",Pole_Calc!A$14,"Poner a mano")))))))</f>
        <v/>
      </c>
      <c r="BE57" s="448" t="s">
        <v>1726</v>
      </c>
      <c r="BF57" s="305"/>
      <c r="BG57" s="305"/>
      <c r="BH57" s="306"/>
      <c r="BI57" s="305"/>
    </row>
    <row r="58" spans="1:61" ht="16.2" customHeight="1">
      <c r="A58" s="573"/>
      <c r="B58" s="469" t="s">
        <v>2205</v>
      </c>
      <c r="C58" s="3">
        <f t="shared" ref="C58" si="25">C56-G57</f>
        <v>2029.1799999999998</v>
      </c>
      <c r="D58" s="88"/>
      <c r="E58" s="4"/>
      <c r="F58" s="4">
        <f>-(195^2)/(C58-2079.37)</f>
        <v>757.62104004781747</v>
      </c>
      <c r="G58" s="6"/>
      <c r="H58" s="468" t="s">
        <v>365</v>
      </c>
      <c r="I58" s="468"/>
      <c r="J58" s="3"/>
      <c r="K58" s="468"/>
      <c r="L58" s="468" t="s">
        <v>40</v>
      </c>
      <c r="M58" s="468" t="str">
        <f>IF(L58="","",
IF(AX58="PT",VLOOKUP(L58,Foundation_Calc!$V$79:$X$112,VLOOKUP(AX58,Foundation_Calc!$I$10:$J$13,2,FALSE),0),
IF(AX58="K",VLOOKUP(L58,Foundation_Calc!$V$116:$X$149,VLOOKUP(AX58,Foundation_Calc!$I$10:$J$13,2,FALSE),0),"")))</f>
        <v>C5R</v>
      </c>
      <c r="N58" s="468" t="s">
        <v>32</v>
      </c>
      <c r="O58" s="468"/>
      <c r="P58" s="468"/>
      <c r="Q58" s="4"/>
      <c r="R58" s="6"/>
      <c r="S58" s="6"/>
      <c r="T58" s="4">
        <v>-30</v>
      </c>
      <c r="U58" s="4"/>
      <c r="V58" s="4"/>
      <c r="W58" s="9">
        <v>1.4</v>
      </c>
      <c r="X58" s="9"/>
      <c r="Y58" s="9"/>
      <c r="Z58" s="9"/>
      <c r="AA58" s="9"/>
      <c r="AB58" s="9"/>
      <c r="AC58" s="468" t="str">
        <f t="shared" si="1"/>
        <v>PHC</v>
      </c>
      <c r="AD58" s="468"/>
      <c r="AE58" s="468"/>
      <c r="AF58" s="4"/>
      <c r="AG58" s="88"/>
      <c r="AH58" s="4"/>
      <c r="AI58" s="4"/>
      <c r="AJ58" s="468"/>
      <c r="AK58" s="468"/>
      <c r="AL58" s="468"/>
      <c r="AM58" s="468"/>
      <c r="AN58" s="10">
        <f>AN60-0.07</f>
        <v>5.39</v>
      </c>
      <c r="AO58" s="9"/>
      <c r="AP58" s="9"/>
      <c r="AQ58" s="9"/>
      <c r="AR58" s="9"/>
      <c r="AS58" s="9"/>
      <c r="AT58" s="9">
        <f>+ab($T$58,$T$56,$T$60,$G$57,$G$59,-1*$F$58,1200)</f>
        <v>-3.8308180727114882</v>
      </c>
      <c r="AU58" s="447"/>
      <c r="AV58" s="447"/>
      <c r="AW58" s="468" t="str">
        <f>IF(C58&gt;0,VLOOKUP(C58,Foundation_Calc!$A$20:$C$25,3,1),
IF(J58&gt;0,VLOOKUP(J58,Foundation_Calc!$A$20:$C$25,3,1),""))</f>
        <v>MultiSoil</v>
      </c>
      <c r="AX58" s="468" t="str">
        <f>IF(C58&gt;0,VLOOKUP(C58,Foundation_Calc!$E$20:$G$25,3,1),
IF(J58&gt;0,VLOOKUP(J58,Foundation_Calc!$E$20:$G$25,3,1),""))</f>
        <v>PT</v>
      </c>
      <c r="AY58" s="10">
        <f>IF(L58="","",
IF(AX58="PT",VLOOKUP(L58,Foundation_Calc!$K$79:$R$112,VLOOKUP(AW58,Foundation_Calc!$I$2:$J$8,2,FALSE),0),
IF(AX58="K",VLOOKUP(L58,Foundation_Calc!$K$116:$R$149,VLOOKUP(AW58,Foundation_Calc!$I$2:$J$8,2,FALSE),0),"")))</f>
        <v>3.5</v>
      </c>
      <c r="AZ58" s="10" t="str">
        <f>IF(K58="","",
IF(AX58="PT",VLOOKUP(K58,Foundation_Calc!$K$79:$R$112,VLOOKUP(AW58,Foundation_Calc!$I$2:$J$8,2,FALSE),0),
IF(AX58="K",VLOOKUP(K58,Foundation_Calc!$K$116:$R$149,VLOOKUP(AW58,Foundation_Calc!$I$2:$J$8,2,FALSE),0),"")))</f>
        <v/>
      </c>
      <c r="BA58" s="553" t="str">
        <f t="shared" si="2"/>
        <v>ü</v>
      </c>
      <c r="BB58" s="553" t="str">
        <f t="shared" si="2"/>
        <v/>
      </c>
      <c r="BC58" s="553" t="str">
        <f t="shared" si="5"/>
        <v/>
      </c>
      <c r="BD58" s="572" t="str">
        <f>IF(AND(L58="",H58=""),"",
IF(H58="",Pole_Calc!A$9,
IF(H58="MP",Pole_Calc!A$10,
IF(H58="AnMP",Pole_Calc!A$11,
IF(H58="A",Pole_Calc!A$12,
IF(H58="S/A",Pole_Calc!A$13,
IF(H58="A/S",Pole_Calc!A$14,"Poner a mano")))))))</f>
        <v>App.7-V11H-P9.5.1.3</v>
      </c>
      <c r="BE58" s="448" t="s">
        <v>1726</v>
      </c>
      <c r="BF58" s="306"/>
      <c r="BG58" s="306"/>
      <c r="BH58" s="306"/>
      <c r="BI58" s="306"/>
    </row>
    <row r="59" spans="1:61" ht="16.2" customHeight="1">
      <c r="A59" s="573"/>
      <c r="B59" s="469"/>
      <c r="C59" s="3"/>
      <c r="D59" s="88"/>
      <c r="E59" s="4"/>
      <c r="F59" s="4"/>
      <c r="G59" s="6">
        <v>32</v>
      </c>
      <c r="H59" s="468"/>
      <c r="I59" s="4">
        <f>SUM(G47:G59)</f>
        <v>293</v>
      </c>
      <c r="J59" s="3"/>
      <c r="K59" s="468"/>
      <c r="L59" s="468"/>
      <c r="M59" s="468" t="str">
        <f>IF(L59="","",
IF(AX59="PT",VLOOKUP(L59,Foundation_Calc!$V$79:$X$112,VLOOKUP(AX59,Foundation_Calc!$I$10:$J$13,2,FALSE),0),
IF(AX59="K",VLOOKUP(L59,Foundation_Calc!$V$116:$X$149,VLOOKUP(AX59,Foundation_Calc!$I$10:$J$13,2,FALSE),0),"")))</f>
        <v/>
      </c>
      <c r="N59" s="468"/>
      <c r="O59" s="468"/>
      <c r="P59" s="468"/>
      <c r="Q59" s="4"/>
      <c r="R59" s="6"/>
      <c r="S59" s="6"/>
      <c r="T59" s="4"/>
      <c r="U59" s="4"/>
      <c r="V59" s="4"/>
      <c r="W59" s="9"/>
      <c r="X59" s="9"/>
      <c r="Y59" s="9"/>
      <c r="Z59" s="9"/>
      <c r="AA59" s="9"/>
      <c r="AB59" s="9"/>
      <c r="AC59" s="468" t="str">
        <f t="shared" si="1"/>
        <v/>
      </c>
      <c r="AD59" s="468"/>
      <c r="AE59" s="468"/>
      <c r="AF59" s="4"/>
      <c r="AG59" s="88"/>
      <c r="AH59" s="4"/>
      <c r="AI59" s="4"/>
      <c r="AJ59" s="468"/>
      <c r="AK59" s="468"/>
      <c r="AL59" s="468"/>
      <c r="AM59" s="468"/>
      <c r="AN59" s="10"/>
      <c r="AO59" s="9"/>
      <c r="AP59" s="9"/>
      <c r="AQ59" s="9">
        <f>+FL_2($T$60,$T$58,$G$59,1200,9.28,-1*$F$60)</f>
        <v>-0.30000000000002958</v>
      </c>
      <c r="AR59" s="9"/>
      <c r="AS59" s="9"/>
      <c r="AT59" s="9"/>
      <c r="AU59" s="447"/>
      <c r="AV59" s="447"/>
      <c r="AW59" s="468" t="str">
        <f>IF(C59&gt;0,VLOOKUP(C59,Foundation_Calc!$A$20:$C$25,3,1),
IF(J59&gt;0,VLOOKUP(J59,Foundation_Calc!$A$20:$C$25,3,1),""))</f>
        <v/>
      </c>
      <c r="AX59" s="468" t="str">
        <f>IF(C59&gt;0,VLOOKUP(C59,Foundation_Calc!$E$20:$G$25,3,1),
IF(J59&gt;0,VLOOKUP(J59,Foundation_Calc!$E$20:$G$25,3,1),""))</f>
        <v/>
      </c>
      <c r="AY59" s="10" t="str">
        <f>IF(L59="","",
IF(AX59="PT",VLOOKUP(L59,Foundation_Calc!$K$79:$R$112,VLOOKUP(AW59,Foundation_Calc!$I$2:$J$8,2,FALSE),0),
IF(AX59="K",VLOOKUP(L59,Foundation_Calc!$K$116:$R$149,VLOOKUP(AW59,Foundation_Calc!$I$2:$J$8,2,FALSE),0),"")))</f>
        <v/>
      </c>
      <c r="AZ59" s="10" t="str">
        <f>IF(K59="","",
IF(AX59="PT",VLOOKUP(K59,Foundation_Calc!$K$79:$R$112,VLOOKUP(AW59,Foundation_Calc!$I$2:$J$8,2,FALSE),0),
IF(AX59="K",VLOOKUP(K59,Foundation_Calc!$K$116:$R$149,VLOOKUP(AW59,Foundation_Calc!$I$2:$J$8,2,FALSE),0),"")))</f>
        <v/>
      </c>
      <c r="BA59" s="553" t="str">
        <f t="shared" si="2"/>
        <v/>
      </c>
      <c r="BB59" s="553" t="str">
        <f t="shared" si="2"/>
        <v/>
      </c>
      <c r="BC59" s="553" t="str">
        <f t="shared" si="5"/>
        <v/>
      </c>
      <c r="BD59" s="572" t="str">
        <f>IF(AND(L59="",H59=""),"",
IF(H59="",Pole_Calc!A$9,
IF(H59="MP",Pole_Calc!A$10,
IF(H59="AnMP",Pole_Calc!A$11,
IF(H59="A",Pole_Calc!A$12,
IF(H59="S/A",Pole_Calc!A$13,
IF(H59="A/S",Pole_Calc!A$14,"Poner a mano")))))))</f>
        <v/>
      </c>
      <c r="BE59" s="448" t="s">
        <v>1726</v>
      </c>
      <c r="BF59" s="305"/>
      <c r="BG59" s="305"/>
      <c r="BH59" s="306"/>
      <c r="BI59" s="305"/>
    </row>
    <row r="60" spans="1:61" ht="16.2" customHeight="1">
      <c r="A60" s="573"/>
      <c r="B60" s="469" t="s">
        <v>2229</v>
      </c>
      <c r="C60" s="3">
        <f t="shared" ref="C60" si="26">C58-G59</f>
        <v>1997.1799999999998</v>
      </c>
      <c r="D60" s="88"/>
      <c r="E60" s="4"/>
      <c r="F60" s="4">
        <f>-(195^2)/(C60-2079.37)</f>
        <v>462.64752402968702</v>
      </c>
      <c r="G60" s="6"/>
      <c r="H60" s="468" t="s">
        <v>366</v>
      </c>
      <c r="I60" s="468"/>
      <c r="J60" s="3"/>
      <c r="K60" s="468"/>
      <c r="L60" s="468" t="s">
        <v>40</v>
      </c>
      <c r="M60" s="468" t="str">
        <f>IF(L60="","",
IF(AX60="PT",VLOOKUP(L60,Foundation_Calc!$V$79:$X$112,VLOOKUP(AX60,Foundation_Calc!$I$10:$J$13,2,FALSE),0),
IF(AX60="K",VLOOKUP(L60,Foundation_Calc!$V$116:$X$149,VLOOKUP(AX60,Foundation_Calc!$I$10:$J$13,2,FALSE),0),"")))</f>
        <v>C5R</v>
      </c>
      <c r="N60" s="468" t="s">
        <v>32</v>
      </c>
      <c r="O60" s="468"/>
      <c r="P60" s="468"/>
      <c r="Q60" s="4"/>
      <c r="R60" s="6"/>
      <c r="S60" s="6"/>
      <c r="T60" s="4">
        <v>-30</v>
      </c>
      <c r="U60" s="4"/>
      <c r="V60" s="4"/>
      <c r="W60" s="9">
        <v>1.4</v>
      </c>
      <c r="X60" s="9"/>
      <c r="Y60" s="9"/>
      <c r="Z60" s="9"/>
      <c r="AA60" s="9"/>
      <c r="AB60" s="9"/>
      <c r="AC60" s="468" t="str">
        <f t="shared" si="1"/>
        <v>PHC</v>
      </c>
      <c r="AD60" s="468"/>
      <c r="AE60" s="468"/>
      <c r="AF60" s="4"/>
      <c r="AG60" s="88"/>
      <c r="AH60" s="4"/>
      <c r="AI60" s="4"/>
      <c r="AJ60" s="468"/>
      <c r="AK60" s="468"/>
      <c r="AL60" s="468"/>
      <c r="AM60" s="468"/>
      <c r="AN60" s="10">
        <f>AN62-0.04</f>
        <v>5.46</v>
      </c>
      <c r="AO60" s="9"/>
      <c r="AP60" s="9"/>
      <c r="AQ60" s="9"/>
      <c r="AR60" s="9"/>
      <c r="AS60" s="9"/>
      <c r="AT60" s="9">
        <f>+ab($T$60,$T$58,$T$62,$G$59,$G$61,-1*$F$60,1200)</f>
        <v>-2.772168124689971</v>
      </c>
      <c r="AU60" s="447"/>
      <c r="AV60" s="447"/>
      <c r="AW60" s="468" t="str">
        <f>IF(C60&gt;0,VLOOKUP(C60,Foundation_Calc!$A$20:$C$25,3,1),
IF(J60&gt;0,VLOOKUP(J60,Foundation_Calc!$A$20:$C$25,3,1),""))</f>
        <v>MultiSoil</v>
      </c>
      <c r="AX60" s="468" t="str">
        <f>IF(C60&gt;0,VLOOKUP(C60,Foundation_Calc!$E$20:$G$25,3,1),
IF(J60&gt;0,VLOOKUP(J60,Foundation_Calc!$E$20:$G$25,3,1),""))</f>
        <v>PT</v>
      </c>
      <c r="AY60" s="10">
        <f>IF(L60="","",
IF(AX60="PT",VLOOKUP(L60,Foundation_Calc!$K$79:$R$112,VLOOKUP(AW60,Foundation_Calc!$I$2:$J$8,2,FALSE),0),
IF(AX60="K",VLOOKUP(L60,Foundation_Calc!$K$116:$R$149,VLOOKUP(AW60,Foundation_Calc!$I$2:$J$8,2,FALSE),0),"")))</f>
        <v>3.5</v>
      </c>
      <c r="AZ60" s="10" t="str">
        <f>IF(K60="","",
IF(AX60="PT",VLOOKUP(K60,Foundation_Calc!$K$79:$R$112,VLOOKUP(AW60,Foundation_Calc!$I$2:$J$8,2,FALSE),0),
IF(AX60="K",VLOOKUP(K60,Foundation_Calc!$K$116:$R$149,VLOOKUP(AW60,Foundation_Calc!$I$2:$J$8,2,FALSE),0),"")))</f>
        <v/>
      </c>
      <c r="BA60" s="553" t="str">
        <f t="shared" si="2"/>
        <v>ü</v>
      </c>
      <c r="BB60" s="553" t="str">
        <f t="shared" si="2"/>
        <v/>
      </c>
      <c r="BC60" s="553" t="str">
        <f t="shared" si="5"/>
        <v/>
      </c>
      <c r="BD60" s="572" t="str">
        <f>IF(AND(L60="",H60=""),"",
IF(H60="",Pole_Calc!A$9,
IF(H60="MP",Pole_Calc!A$10,
IF(H60="AnMP",Pole_Calc!A$11,
IF(H60="A",Pole_Calc!A$12,
IF(H60="S/A",Pole_Calc!A$13,
IF(H60="A/S",Pole_Calc!A$14,"Poner a mano")))))))</f>
        <v>App.7-V11H-P9.5.1.2</v>
      </c>
      <c r="BE60" s="448" t="s">
        <v>1726</v>
      </c>
      <c r="BF60" s="306"/>
      <c r="BG60" s="306"/>
      <c r="BH60" s="306"/>
      <c r="BI60" s="306"/>
    </row>
    <row r="61" spans="1:61" ht="16.2" customHeight="1">
      <c r="A61" s="573"/>
      <c r="B61" s="469"/>
      <c r="C61" s="3"/>
      <c r="D61" s="88"/>
      <c r="E61" s="4"/>
      <c r="F61" s="4"/>
      <c r="G61" s="6">
        <v>32</v>
      </c>
      <c r="H61" s="468"/>
      <c r="I61" s="4">
        <f>SUM(G61:G77)</f>
        <v>287.5</v>
      </c>
      <c r="J61" s="3"/>
      <c r="K61" s="468"/>
      <c r="L61" s="468"/>
      <c r="M61" s="468" t="str">
        <f>IF(L61="","",
IF(AX61="PT",VLOOKUP(L61,Foundation_Calc!$V$79:$X$112,VLOOKUP(AX61,Foundation_Calc!$I$10:$J$13,2,FALSE),0),
IF(AX61="K",VLOOKUP(L61,Foundation_Calc!$V$116:$X$149,VLOOKUP(AX61,Foundation_Calc!$I$10:$J$13,2,FALSE),0),"")))</f>
        <v/>
      </c>
      <c r="N61" s="468"/>
      <c r="O61" s="468"/>
      <c r="P61" s="468"/>
      <c r="Q61" s="4"/>
      <c r="R61" s="6"/>
      <c r="S61" s="6"/>
      <c r="T61" s="4"/>
      <c r="U61" s="4"/>
      <c r="V61" s="4"/>
      <c r="W61" s="9"/>
      <c r="X61" s="9"/>
      <c r="Y61" s="9"/>
      <c r="Z61" s="9"/>
      <c r="AA61" s="9"/>
      <c r="AB61" s="9"/>
      <c r="AC61" s="468" t="str">
        <f t="shared" si="1"/>
        <v/>
      </c>
      <c r="AD61" s="468"/>
      <c r="AE61" s="468"/>
      <c r="AF61" s="4"/>
      <c r="AG61" s="88"/>
      <c r="AH61" s="4"/>
      <c r="AI61" s="4"/>
      <c r="AJ61" s="468"/>
      <c r="AK61" s="468"/>
      <c r="AL61" s="468"/>
      <c r="AM61" s="468"/>
      <c r="AN61" s="10"/>
      <c r="AO61" s="9"/>
      <c r="AP61" s="9"/>
      <c r="AQ61" s="9">
        <f>+FL_2($T$62,$T$60,$G$61,1200,9.28,-1*$F$62)</f>
        <v>-0.30000000000002958</v>
      </c>
      <c r="AR61" s="9"/>
      <c r="AS61" s="9"/>
      <c r="AT61" s="9"/>
      <c r="AU61" s="447"/>
      <c r="AV61" s="447"/>
      <c r="AW61" s="468" t="str">
        <f>IF(C61&gt;0,VLOOKUP(C61,Foundation_Calc!$A$20:$C$25,3,1),
IF(J61&gt;0,VLOOKUP(J61,Foundation_Calc!$A$20:$C$25,3,1),""))</f>
        <v/>
      </c>
      <c r="AX61" s="468" t="str">
        <f>IF(C61&gt;0,VLOOKUP(C61,Foundation_Calc!$E$20:$G$25,3,1),
IF(J61&gt;0,VLOOKUP(J61,Foundation_Calc!$E$20:$G$25,3,1),""))</f>
        <v/>
      </c>
      <c r="AY61" s="10" t="str">
        <f>IF(L61="","",
IF(AX61="PT",VLOOKUP(L61,Foundation_Calc!$K$79:$R$112,VLOOKUP(AW61,Foundation_Calc!$I$2:$J$8,2,FALSE),0),
IF(AX61="K",VLOOKUP(L61,Foundation_Calc!$K$116:$R$149,VLOOKUP(AW61,Foundation_Calc!$I$2:$J$8,2,FALSE),0),"")))</f>
        <v/>
      </c>
      <c r="AZ61" s="10" t="str">
        <f>IF(K61="","",
IF(AX61="PT",VLOOKUP(K61,Foundation_Calc!$K$79:$R$112,VLOOKUP(AW61,Foundation_Calc!$I$2:$J$8,2,FALSE),0),
IF(AX61="K",VLOOKUP(K61,Foundation_Calc!$K$116:$R$149,VLOOKUP(AW61,Foundation_Calc!$I$2:$J$8,2,FALSE),0),"")))</f>
        <v/>
      </c>
      <c r="BA61" s="553" t="str">
        <f t="shared" si="2"/>
        <v/>
      </c>
      <c r="BB61" s="553" t="str">
        <f t="shared" si="2"/>
        <v/>
      </c>
      <c r="BC61" s="553" t="str">
        <f t="shared" si="5"/>
        <v/>
      </c>
      <c r="BD61" s="572" t="str">
        <f>IF(AND(L61="",H61=""),"",
IF(H61="",Pole_Calc!A$9,
IF(H61="MP",Pole_Calc!A$10,
IF(H61="AnMP",Pole_Calc!A$11,
IF(H61="A",Pole_Calc!A$12,
IF(H61="S/A",Pole_Calc!A$13,
IF(H61="A/S",Pole_Calc!A$14,"Poner a mano")))))))</f>
        <v/>
      </c>
      <c r="BE61" s="448" t="s">
        <v>1726</v>
      </c>
      <c r="BF61" s="305"/>
      <c r="BG61" s="305"/>
      <c r="BH61" s="306"/>
      <c r="BI61" s="305"/>
    </row>
    <row r="62" spans="1:61" ht="16.2" customHeight="1">
      <c r="A62" s="573"/>
      <c r="B62" s="469" t="s">
        <v>2230</v>
      </c>
      <c r="C62" s="3">
        <f t="shared" ref="C62" si="27">C60-G61</f>
        <v>1965.1799999999998</v>
      </c>
      <c r="D62" s="88"/>
      <c r="E62" s="4"/>
      <c r="F62" s="4">
        <v>400</v>
      </c>
      <c r="G62" s="6"/>
      <c r="H62" s="468" t="s">
        <v>365</v>
      </c>
      <c r="I62" s="468"/>
      <c r="J62" s="3"/>
      <c r="K62" s="468"/>
      <c r="L62" s="468" t="s">
        <v>40</v>
      </c>
      <c r="M62" s="468" t="str">
        <f>IF(L62="","",
IF(AX62="PT",VLOOKUP(L62,Foundation_Calc!$V$79:$X$112,VLOOKUP(AX62,Foundation_Calc!$I$10:$J$13,2,FALSE),0),
IF(AX62="K",VLOOKUP(L62,Foundation_Calc!$V$116:$X$149,VLOOKUP(AX62,Foundation_Calc!$I$10:$J$13,2,FALSE),0),"")))</f>
        <v>C5R</v>
      </c>
      <c r="N62" s="468" t="s">
        <v>32</v>
      </c>
      <c r="O62" s="468"/>
      <c r="P62" s="468"/>
      <c r="Q62" s="4"/>
      <c r="R62" s="6"/>
      <c r="S62" s="6"/>
      <c r="T62" s="4">
        <v>-30</v>
      </c>
      <c r="U62" s="4"/>
      <c r="V62" s="4"/>
      <c r="W62" s="9">
        <v>1.4</v>
      </c>
      <c r="X62" s="9"/>
      <c r="Y62" s="9"/>
      <c r="Z62" s="9"/>
      <c r="AA62" s="9"/>
      <c r="AB62" s="9"/>
      <c r="AC62" s="468" t="str">
        <f t="shared" si="1"/>
        <v>PHC</v>
      </c>
      <c r="AD62" s="468"/>
      <c r="AE62" s="468"/>
      <c r="AF62" s="4"/>
      <c r="AG62" s="88"/>
      <c r="AH62" s="4"/>
      <c r="AI62" s="4"/>
      <c r="AJ62" s="468"/>
      <c r="AK62" s="468"/>
      <c r="AL62" s="468"/>
      <c r="AM62" s="468"/>
      <c r="AN62" s="10">
        <v>5.5</v>
      </c>
      <c r="AO62" s="9"/>
      <c r="AP62" s="9"/>
      <c r="AQ62" s="9"/>
      <c r="AR62" s="9"/>
      <c r="AS62" s="9"/>
      <c r="AT62" s="9">
        <f>+ab($T$62,$T$60,$T$64,$G$61,$G$63,-1*$F$62,1200)</f>
        <v>-2.474494761718895</v>
      </c>
      <c r="AU62" s="447"/>
      <c r="AV62" s="447"/>
      <c r="AW62" s="468" t="str">
        <f>IF(C62&gt;0,VLOOKUP(C62,Foundation_Calc!$A$20:$C$25,3,1),
IF(J62&gt;0,VLOOKUP(J62,Foundation_Calc!$A$20:$C$25,3,1),""))</f>
        <v>MultiSoil</v>
      </c>
      <c r="AX62" s="468" t="str">
        <f>IF(C62&gt;0,VLOOKUP(C62,Foundation_Calc!$E$20:$G$25,3,1),
IF(J62&gt;0,VLOOKUP(J62,Foundation_Calc!$E$20:$G$25,3,1),""))</f>
        <v>PT</v>
      </c>
      <c r="AY62" s="10">
        <f>IF(L62="","",
IF(AX62="PT",VLOOKUP(L62,Foundation_Calc!$K$79:$R$112,VLOOKUP(AW62,Foundation_Calc!$I$2:$J$8,2,FALSE),0),
IF(AX62="K",VLOOKUP(L62,Foundation_Calc!$K$116:$R$149,VLOOKUP(AW62,Foundation_Calc!$I$2:$J$8,2,FALSE),0),"")))</f>
        <v>3.5</v>
      </c>
      <c r="AZ62" s="10" t="str">
        <f>IF(K62="","",
IF(AX62="PT",VLOOKUP(K62,Foundation_Calc!$K$79:$R$112,VLOOKUP(AW62,Foundation_Calc!$I$2:$J$8,2,FALSE),0),
IF(AX62="K",VLOOKUP(K62,Foundation_Calc!$K$116:$R$149,VLOOKUP(AW62,Foundation_Calc!$I$2:$J$8,2,FALSE),0),"")))</f>
        <v/>
      </c>
      <c r="BA62" s="553" t="str">
        <f t="shared" si="2"/>
        <v>ü</v>
      </c>
      <c r="BB62" s="553" t="str">
        <f t="shared" si="2"/>
        <v/>
      </c>
      <c r="BC62" s="553" t="str">
        <f t="shared" si="5"/>
        <v/>
      </c>
      <c r="BD62" s="572" t="str">
        <f>IF(AND(L62="",H62=""),"",
IF(H62="",Pole_Calc!A$9,
IF(H62="MP",Pole_Calc!A$10,
IF(H62="AnMP",Pole_Calc!A$11,
IF(H62="A",Pole_Calc!A$12,
IF(H62="S/A",Pole_Calc!A$13,
IF(H62="A/S",Pole_Calc!A$14,"Poner a mano")))))))</f>
        <v>App.7-V11H-P9.5.1.3</v>
      </c>
      <c r="BE62" s="448" t="s">
        <v>1726</v>
      </c>
      <c r="BF62" s="306"/>
      <c r="BG62" s="306"/>
      <c r="BH62" s="306"/>
      <c r="BI62" s="306"/>
    </row>
    <row r="63" spans="1:61" ht="16.2" customHeight="1">
      <c r="A63" s="573"/>
      <c r="B63" s="469"/>
      <c r="C63" s="3"/>
      <c r="D63" s="88"/>
      <c r="E63" s="4"/>
      <c r="F63" s="4"/>
      <c r="G63" s="6">
        <v>30</v>
      </c>
      <c r="H63" s="468"/>
      <c r="I63" s="468"/>
      <c r="J63" s="3">
        <f>C62-7.5</f>
        <v>1957.6799999999998</v>
      </c>
      <c r="K63" s="468" t="s">
        <v>1096</v>
      </c>
      <c r="L63" s="468"/>
      <c r="M63" s="468" t="str">
        <f>IF(L63="","",
IF(AX63="PT",VLOOKUP(L63,Foundation_Calc!$V$79:$X$112,VLOOKUP(AX63,Foundation_Calc!$I$10:$J$13,2,FALSE),0),
IF(AX63="K",VLOOKUP(L63,Foundation_Calc!$V$116:$X$149,VLOOKUP(AX63,Foundation_Calc!$I$10:$J$13,2,FALSE),0),"")))</f>
        <v/>
      </c>
      <c r="N63" s="468"/>
      <c r="O63" s="468"/>
      <c r="P63" s="468"/>
      <c r="Q63" s="4"/>
      <c r="R63" s="6"/>
      <c r="S63" s="6"/>
      <c r="T63" s="4"/>
      <c r="U63" s="4"/>
      <c r="V63" s="4"/>
      <c r="W63" s="9"/>
      <c r="X63" s="9"/>
      <c r="Y63" s="9"/>
      <c r="Z63" s="9"/>
      <c r="AA63" s="9"/>
      <c r="AB63" s="9"/>
      <c r="AC63" s="468" t="str">
        <f t="shared" si="1"/>
        <v/>
      </c>
      <c r="AD63" s="468"/>
      <c r="AE63" s="468"/>
      <c r="AF63" s="4"/>
      <c r="AG63" s="88"/>
      <c r="AH63" s="4"/>
      <c r="AI63" s="4"/>
      <c r="AJ63" s="468"/>
      <c r="AK63" s="468"/>
      <c r="AL63" s="468"/>
      <c r="AM63" s="468"/>
      <c r="AN63" s="10"/>
      <c r="AO63" s="9"/>
      <c r="AP63" s="9"/>
      <c r="AQ63" s="9">
        <f>+FL_2($T$64,$T$62,$G$63,1200,9.28,-1*$F$64)</f>
        <v>-0.30000000000003496</v>
      </c>
      <c r="AR63" s="9"/>
      <c r="AS63" s="9"/>
      <c r="AT63" s="9"/>
      <c r="AU63" s="447"/>
      <c r="AV63" s="447"/>
      <c r="AW63" s="468" t="str">
        <f>IF(C63&gt;0,VLOOKUP(C63,Foundation_Calc!$A$20:$C$25,3,1),
IF(J63&gt;0,VLOOKUP(J63,Foundation_Calc!$A$20:$C$25,3,1),""))</f>
        <v>MultiSoil</v>
      </c>
      <c r="AX63" s="468" t="str">
        <f>IF(C63&gt;0,VLOOKUP(C63,Foundation_Calc!$E$20:$G$25,3,1),
IF(J63&gt;0,VLOOKUP(J63,Foundation_Calc!$E$20:$G$25,3,1),""))</f>
        <v>PT</v>
      </c>
      <c r="AY63" s="10" t="str">
        <f>IF(L63="","",
IF(AX63="PT",VLOOKUP(L63,Foundation_Calc!$K$79:$R$112,VLOOKUP(AW63,Foundation_Calc!$I$2:$J$8,2,FALSE),0),
IF(AX63="K",VLOOKUP(L63,Foundation_Calc!$K$116:$R$149,VLOOKUP(AW63,Foundation_Calc!$I$2:$J$8,2,FALSE),0),"")))</f>
        <v/>
      </c>
      <c r="AZ63" s="10">
        <f>IF(K63="","",
IF(AX63="PT",VLOOKUP(K63,Foundation_Calc!$K$79:$R$112,VLOOKUP(AW63,Foundation_Calc!$I$2:$J$8,2,FALSE),0),
IF(AX63="K",VLOOKUP(K63,Foundation_Calc!$K$116:$R$149,VLOOKUP(AW63,Foundation_Calc!$I$2:$J$8,2,FALSE),0),"")))</f>
        <v>2.8</v>
      </c>
      <c r="BA63" s="553" t="str">
        <f t="shared" si="2"/>
        <v/>
      </c>
      <c r="BB63" s="553" t="str">
        <f t="shared" si="2"/>
        <v>ü</v>
      </c>
      <c r="BC63" s="553" t="str">
        <f t="shared" si="5"/>
        <v/>
      </c>
      <c r="BD63" s="572" t="str">
        <f>IF(AND(L63="",H63=""),"",
IF(H63="",Pole_Calc!A$9,
IF(H63="MP",Pole_Calc!A$10,
IF(H63="AnMP",Pole_Calc!A$11,
IF(H63="A",Pole_Calc!A$12,
IF(H63="S/A",Pole_Calc!A$13,
IF(H63="A/S",Pole_Calc!A$14,"Poner a mano")))))))</f>
        <v/>
      </c>
      <c r="BE63" s="448" t="s">
        <v>1726</v>
      </c>
      <c r="BF63" s="305"/>
      <c r="BG63" s="305"/>
      <c r="BH63" s="306"/>
      <c r="BI63" s="305"/>
    </row>
    <row r="64" spans="1:61" ht="16.2" customHeight="1">
      <c r="A64" s="573"/>
      <c r="B64" s="469" t="s">
        <v>2231</v>
      </c>
      <c r="C64" s="3">
        <f t="shared" ref="C64" si="28">C62-G63</f>
        <v>1935.1799999999998</v>
      </c>
      <c r="D64" s="88"/>
      <c r="E64" s="4"/>
      <c r="F64" s="4">
        <v>400</v>
      </c>
      <c r="G64" s="6"/>
      <c r="H64" s="468"/>
      <c r="I64" s="468"/>
      <c r="J64" s="3"/>
      <c r="K64" s="468"/>
      <c r="L64" s="468" t="s">
        <v>38</v>
      </c>
      <c r="M64" s="468" t="str">
        <f>IF(L64="","",
IF(AX64="PT",VLOOKUP(L64,Foundation_Calc!$V$79:$X$112,VLOOKUP(AX64,Foundation_Calc!$I$10:$J$13,2,FALSE),0),
IF(AX64="K",VLOOKUP(L64,Foundation_Calc!$V$116:$X$149,VLOOKUP(AX64,Foundation_Calc!$I$10:$J$13,2,FALSE),0),"")))</f>
        <v>C4R</v>
      </c>
      <c r="N64" s="468" t="s">
        <v>32</v>
      </c>
      <c r="O64" s="468"/>
      <c r="P64" s="468"/>
      <c r="Q64" s="4"/>
      <c r="R64" s="6"/>
      <c r="S64" s="6"/>
      <c r="T64" s="4">
        <v>-30</v>
      </c>
      <c r="U64" s="4"/>
      <c r="V64" s="4"/>
      <c r="W64" s="9">
        <v>1.4</v>
      </c>
      <c r="X64" s="9"/>
      <c r="Y64" s="9"/>
      <c r="Z64" s="9"/>
      <c r="AA64" s="9"/>
      <c r="AB64" s="9"/>
      <c r="AC64" s="468" t="str">
        <f t="shared" si="1"/>
        <v>PHC</v>
      </c>
      <c r="AD64" s="468"/>
      <c r="AE64" s="468"/>
      <c r="AF64" s="4"/>
      <c r="AG64" s="88"/>
      <c r="AH64" s="4"/>
      <c r="AI64" s="4"/>
      <c r="AJ64" s="468"/>
      <c r="AK64" s="468"/>
      <c r="AL64" s="468"/>
      <c r="AM64" s="468"/>
      <c r="AN64" s="10">
        <v>5.5</v>
      </c>
      <c r="AO64" s="9"/>
      <c r="AP64" s="9"/>
      <c r="AQ64" s="9"/>
      <c r="AR64" s="9"/>
      <c r="AS64" s="9"/>
      <c r="AT64" s="9">
        <f>+ab($T$64,$T$62,$T$66,$G$63,$G$65,-1*$F$64,1200)</f>
        <v>-2.474494761718895</v>
      </c>
      <c r="AU64" s="447"/>
      <c r="AV64" s="447"/>
      <c r="AW64" s="468" t="str">
        <f>IF(C64&gt;0,VLOOKUP(C64,Foundation_Calc!$A$20:$C$25,3,1),
IF(J64&gt;0,VLOOKUP(J64,Foundation_Calc!$A$20:$C$25,3,1),""))</f>
        <v>MultiSoil</v>
      </c>
      <c r="AX64" s="468" t="str">
        <f>IF(C64&gt;0,VLOOKUP(C64,Foundation_Calc!$E$20:$G$25,3,1),
IF(J64&gt;0,VLOOKUP(J64,Foundation_Calc!$E$20:$G$25,3,1),""))</f>
        <v>PT</v>
      </c>
      <c r="AY64" s="10">
        <f>IF(L64="","",
IF(AX64="PT",VLOOKUP(L64,Foundation_Calc!$K$79:$R$112,VLOOKUP(AW64,Foundation_Calc!$I$2:$J$8,2,FALSE),0),
IF(AX64="K",VLOOKUP(L64,Foundation_Calc!$K$116:$R$149,VLOOKUP(AW64,Foundation_Calc!$I$2:$J$8,2,FALSE),0),"")))</f>
        <v>3.5</v>
      </c>
      <c r="AZ64" s="10" t="str">
        <f>IF(K64="","",
IF(AX64="PT",VLOOKUP(K64,Foundation_Calc!$K$79:$R$112,VLOOKUP(AW64,Foundation_Calc!$I$2:$J$8,2,FALSE),0),
IF(AX64="K",VLOOKUP(K64,Foundation_Calc!$K$116:$R$149,VLOOKUP(AW64,Foundation_Calc!$I$2:$J$8,2,FALSE),0),"")))</f>
        <v/>
      </c>
      <c r="BA64" s="553" t="str">
        <f t="shared" si="2"/>
        <v>ü</v>
      </c>
      <c r="BB64" s="553" t="str">
        <f t="shared" si="2"/>
        <v/>
      </c>
      <c r="BC64" s="553" t="str">
        <f t="shared" si="5"/>
        <v/>
      </c>
      <c r="BD64" s="572" t="str">
        <f>IF(AND(L64="",H64=""),"",
IF(H64="",Pole_Calc!A$9,
IF(H64="MP",Pole_Calc!A$10,
IF(H64="AnMP",Pole_Calc!A$11,
IF(H64="A",Pole_Calc!A$12,
IF(H64="S/A",Pole_Calc!A$13,
IF(H64="A/S",Pole_Calc!A$14,"Poner a mano")))))))</f>
        <v>App.7-V11H-P9.5.1.1</v>
      </c>
      <c r="BE64" s="448" t="s">
        <v>1726</v>
      </c>
      <c r="BF64" s="306"/>
      <c r="BG64" s="306"/>
      <c r="BH64" s="306"/>
      <c r="BI64" s="306"/>
    </row>
    <row r="65" spans="1:61" ht="16.2" customHeight="1">
      <c r="A65" s="573" t="s">
        <v>1497</v>
      </c>
      <c r="B65" s="469"/>
      <c r="C65" s="3"/>
      <c r="D65" s="88"/>
      <c r="E65" s="4"/>
      <c r="F65" s="4"/>
      <c r="G65" s="6">
        <v>32</v>
      </c>
      <c r="H65" s="468"/>
      <c r="I65" s="468"/>
      <c r="J65" s="3"/>
      <c r="K65" s="468"/>
      <c r="L65" s="468"/>
      <c r="M65" s="468" t="str">
        <f>IF(L65="","",
IF(AX65="PT",VLOOKUP(L65,Foundation_Calc!$V$4:$X$37,VLOOKUP(AX65,Foundation_Calc!$I$10:$J$13,2,FALSE),0),
IF(AX65="K",VLOOKUP(L65,Foundation_Calc!$V$41:$X$74,VLOOKUP(AX65,Foundation_Calc!$I$10:$J$13,2,FALSE),0),"")))</f>
        <v/>
      </c>
      <c r="N65" s="468"/>
      <c r="O65" s="468"/>
      <c r="P65" s="468"/>
      <c r="Q65" s="4"/>
      <c r="R65" s="6"/>
      <c r="S65" s="6"/>
      <c r="T65" s="4"/>
      <c r="U65" s="4"/>
      <c r="V65" s="4"/>
      <c r="W65" s="9"/>
      <c r="X65" s="9"/>
      <c r="Y65" s="9"/>
      <c r="Z65" s="9"/>
      <c r="AA65" s="9"/>
      <c r="AB65" s="9"/>
      <c r="AC65" s="468" t="str">
        <f t="shared" si="1"/>
        <v/>
      </c>
      <c r="AD65" s="468"/>
      <c r="AE65" s="468"/>
      <c r="AF65" s="4"/>
      <c r="AG65" s="88"/>
      <c r="AH65" s="4"/>
      <c r="AI65" s="4"/>
      <c r="AJ65" s="468"/>
      <c r="AK65" s="468"/>
      <c r="AL65" s="468"/>
      <c r="AM65" s="468"/>
      <c r="AN65" s="10"/>
      <c r="AO65" s="9"/>
      <c r="AP65" s="9"/>
      <c r="AQ65" s="9">
        <f>+FL_2($T$66,$T$64,$G$65,1200,9.28,-1*$F$66)</f>
        <v>-0.30000000000002958</v>
      </c>
      <c r="AR65" s="9"/>
      <c r="AS65" s="9"/>
      <c r="AT65" s="9"/>
      <c r="AU65" s="447"/>
      <c r="AV65" s="447"/>
      <c r="AW65" s="468" t="str">
        <f>IF(C65&gt;0,VLOOKUP(C65,Foundation_Calc!$A$20:$C$25,3,1),
IF(J65&gt;0,VLOOKUP(J65,Foundation_Calc!$A$20:$C$25,3,1),""))</f>
        <v/>
      </c>
      <c r="AX65" s="468" t="str">
        <f>IF(C65&gt;0,VLOOKUP(C65,Foundation_Calc!$E$20:$G$25,3,1),
IF(J65&gt;0,VLOOKUP(J65,Foundation_Calc!$E$20:$G$25,3,1),""))</f>
        <v/>
      </c>
      <c r="AY65" s="10" t="str">
        <f>IF(L65="","",
IF(AX65="PT",VLOOKUP(L65,Foundation_Calc!$K$79:$R$112,VLOOKUP(AW65,Foundation_Calc!$I$2:$J$8,2,FALSE),0),
IF(AX65="K",VLOOKUP(L65,Foundation_Calc!$K$116:$R$149,VLOOKUP(AW65,Foundation_Calc!$I$2:$J$8,2,FALSE),0),"")))</f>
        <v/>
      </c>
      <c r="AZ65" s="10" t="str">
        <f>IF(K65="","",
IF(AX65="PT",VLOOKUP(K65,Foundation_Calc!$K$79:$R$112,VLOOKUP(AW65,Foundation_Calc!$I$2:$J$8,2,FALSE),0),
IF(AX65="K",VLOOKUP(K65,Foundation_Calc!$K$116:$R$149,VLOOKUP(AW65,Foundation_Calc!$I$2:$J$8,2,FALSE),0),"")))</f>
        <v/>
      </c>
      <c r="BA65" s="553" t="str">
        <f t="shared" si="2"/>
        <v/>
      </c>
      <c r="BB65" s="553" t="str">
        <f t="shared" si="2"/>
        <v/>
      </c>
      <c r="BC65" s="553" t="str">
        <f t="shared" si="5"/>
        <v/>
      </c>
      <c r="BD65" s="572" t="str">
        <f>IF(AND(L65="",H65=""),"",
IF(H65="",Pole_Calc!A$9,
IF(H65="MP",Pole_Calc!A$10,
IF(H65="AnMP",Pole_Calc!A$11,
IF(H65="A",Pole_Calc!A$12,
IF(H65="S/A",Pole_Calc!A$13,
IF(H65="A/S",Pole_Calc!A$14,"Poner a mano")))))))</f>
        <v/>
      </c>
      <c r="BE65" s="448" t="s">
        <v>1726</v>
      </c>
      <c r="BF65" s="305"/>
      <c r="BG65" s="305"/>
      <c r="BH65" s="306"/>
      <c r="BI65" s="305"/>
    </row>
    <row r="66" spans="1:61" ht="16.2" customHeight="1">
      <c r="A66" s="574" t="s">
        <v>1497</v>
      </c>
      <c r="B66" s="469" t="s">
        <v>2232</v>
      </c>
      <c r="C66" s="3">
        <f t="shared" ref="C66" si="29">C64-G65</f>
        <v>1903.1799999999998</v>
      </c>
      <c r="D66" s="88"/>
      <c r="E66" s="4"/>
      <c r="F66" s="4">
        <v>400</v>
      </c>
      <c r="G66" s="6"/>
      <c r="H66" s="468"/>
      <c r="I66" s="468"/>
      <c r="J66" s="3"/>
      <c r="K66" s="468"/>
      <c r="L66" s="468" t="s">
        <v>38</v>
      </c>
      <c r="M66" s="468" t="s">
        <v>1625</v>
      </c>
      <c r="N66" s="468" t="s">
        <v>32</v>
      </c>
      <c r="O66" s="468"/>
      <c r="P66" s="468"/>
      <c r="Q66" s="4"/>
      <c r="R66" s="6"/>
      <c r="S66" s="6"/>
      <c r="T66" s="4">
        <v>-30</v>
      </c>
      <c r="U66" s="4"/>
      <c r="V66" s="4"/>
      <c r="W66" s="9">
        <v>1.4</v>
      </c>
      <c r="X66" s="9"/>
      <c r="Y66" s="9"/>
      <c r="Z66" s="9"/>
      <c r="AA66" s="9"/>
      <c r="AB66" s="9"/>
      <c r="AC66" s="468" t="str">
        <f t="shared" si="1"/>
        <v>PHC</v>
      </c>
      <c r="AD66" s="468"/>
      <c r="AE66" s="468"/>
      <c r="AF66" s="4"/>
      <c r="AG66" s="88"/>
      <c r="AH66" s="4"/>
      <c r="AI66" s="4"/>
      <c r="AJ66" s="468"/>
      <c r="AK66" s="468"/>
      <c r="AL66" s="468"/>
      <c r="AM66" s="468"/>
      <c r="AN66" s="10">
        <v>5.5</v>
      </c>
      <c r="AO66" s="9"/>
      <c r="AP66" s="9"/>
      <c r="AQ66" s="9"/>
      <c r="AR66" s="9"/>
      <c r="AS66" s="9"/>
      <c r="AT66" s="9">
        <f>+ab($T$66,$T$64,$T$68,$G$65,$G$67,-1*$F$66,1200)</f>
        <v>-2.4905427418952182</v>
      </c>
      <c r="AU66" s="447"/>
      <c r="AV66" s="447"/>
      <c r="AW66" s="468" t="s">
        <v>199</v>
      </c>
      <c r="AX66" s="468" t="s">
        <v>199</v>
      </c>
      <c r="AY66" s="10"/>
      <c r="AZ66" s="10"/>
      <c r="BA66" s="553" t="str">
        <f t="shared" si="2"/>
        <v/>
      </c>
      <c r="BB66" s="553" t="str">
        <f>IF(K66="","",IF(K66="U.S.","ü",IF(K66="U.S. N.D.","ü","")))</f>
        <v/>
      </c>
      <c r="BC66" s="553" t="str">
        <f t="shared" si="5"/>
        <v>ü</v>
      </c>
      <c r="BD66" s="572" t="str">
        <f>IF(AND(L66="",H66=""),"",
IF(H66="",Pole_Calc!A$9,
IF(H66="MP",Pole_Calc!A$10,
IF(H66="AnMP",Pole_Calc!A$11,
IF(H66="A",Pole_Calc!A$12,
IF(H66="S/A",Pole_Calc!A$13,
IF(H66="A/S",Pole_Calc!A$14,"Poner a mano")))))))</f>
        <v>App.7-V11H-P9.5.1.1</v>
      </c>
      <c r="BE66" s="448" t="s">
        <v>1726</v>
      </c>
      <c r="BF66" s="306"/>
      <c r="BG66" s="306"/>
      <c r="BH66" s="306"/>
      <c r="BI66" s="306"/>
    </row>
    <row r="67" spans="1:61" ht="16.2" customHeight="1">
      <c r="A67" s="574" t="s">
        <v>1497</v>
      </c>
      <c r="B67" s="469"/>
      <c r="C67" s="3"/>
      <c r="D67" s="88"/>
      <c r="E67" s="4"/>
      <c r="F67" s="4"/>
      <c r="G67" s="6">
        <v>29.6</v>
      </c>
      <c r="H67" s="468"/>
      <c r="I67" s="468"/>
      <c r="J67" s="3">
        <f>C68+7.5</f>
        <v>1881.08</v>
      </c>
      <c r="K67" s="468" t="s">
        <v>1625</v>
      </c>
      <c r="L67" s="468"/>
      <c r="M67" s="468" t="str">
        <f>IF(L67="","",
IF(AX67="PT",VLOOKUP(L67,Foundation_Calc!$V$4:$X$37,VLOOKUP(AX67,Foundation_Calc!$I$10:$J$13,2,FALSE),0),
IF(AX67="K",VLOOKUP(L67,Foundation_Calc!$V$41:$X$74,VLOOKUP(AX67,Foundation_Calc!$I$10:$J$13,2,FALSE),0),"")))</f>
        <v/>
      </c>
      <c r="N67" s="468"/>
      <c r="O67" s="468"/>
      <c r="P67" s="468"/>
      <c r="Q67" s="4"/>
      <c r="R67" s="6"/>
      <c r="S67" s="6"/>
      <c r="T67" s="4"/>
      <c r="U67" s="4"/>
      <c r="V67" s="4"/>
      <c r="W67" s="9"/>
      <c r="X67" s="9"/>
      <c r="Y67" s="9"/>
      <c r="Z67" s="9"/>
      <c r="AA67" s="9"/>
      <c r="AB67" s="9"/>
      <c r="AC67" s="468" t="str">
        <f t="shared" si="1"/>
        <v/>
      </c>
      <c r="AD67" s="468"/>
      <c r="AE67" s="468"/>
      <c r="AF67" s="4"/>
      <c r="AG67" s="88"/>
      <c r="AH67" s="4"/>
      <c r="AI67" s="4"/>
      <c r="AJ67" s="468"/>
      <c r="AK67" s="468"/>
      <c r="AL67" s="468"/>
      <c r="AM67" s="468"/>
      <c r="AN67" s="10"/>
      <c r="AO67" s="9"/>
      <c r="AP67" s="9"/>
      <c r="AQ67" s="9">
        <f>+FL_2($T$68,$T$66,$G$67,1200,9.28,-1*$F$68)</f>
        <v>-0.3000000000000359</v>
      </c>
      <c r="AR67" s="9"/>
      <c r="AS67" s="9"/>
      <c r="AT67" s="9"/>
      <c r="AU67" s="447"/>
      <c r="AV67" s="447"/>
      <c r="AW67" s="468"/>
      <c r="AX67" s="468"/>
      <c r="AY67" s="10"/>
      <c r="AZ67" s="10"/>
      <c r="BA67" s="553" t="str">
        <f t="shared" si="2"/>
        <v/>
      </c>
      <c r="BB67" s="553" t="str">
        <f t="shared" ref="BB67:BB104" si="30">IF(K67="","",IF(K67="U.S.","ü",IF(K67="U.S. N.D.","ü","")))</f>
        <v>ü</v>
      </c>
      <c r="BC67" s="553" t="str">
        <f t="shared" si="5"/>
        <v/>
      </c>
      <c r="BD67" s="572" t="str">
        <f>IF(AND(L67="",H67=""),"",
IF(H67="",Pole_Calc!A$9,
IF(H67="MP",Pole_Calc!A$10,
IF(H67="AnMP",Pole_Calc!A$11,
IF(H67="A",Pole_Calc!A$12,
IF(H67="S/A",Pole_Calc!A$13,
IF(H67="A/S",Pole_Calc!A$14,"Poner a mano")))))))</f>
        <v/>
      </c>
      <c r="BE67" s="448" t="s">
        <v>1726</v>
      </c>
      <c r="BF67" s="305"/>
      <c r="BG67" s="305"/>
      <c r="BH67" s="306"/>
      <c r="BI67" s="305"/>
    </row>
    <row r="68" spans="1:61" ht="16.2" customHeight="1">
      <c r="A68" s="574" t="s">
        <v>1497</v>
      </c>
      <c r="B68" s="469" t="s">
        <v>2233</v>
      </c>
      <c r="C68" s="3">
        <f t="shared" ref="C68" si="31">C66-G67</f>
        <v>1873.58</v>
      </c>
      <c r="D68" s="88"/>
      <c r="E68" s="4"/>
      <c r="F68" s="4">
        <v>400</v>
      </c>
      <c r="G68" s="6"/>
      <c r="H68" s="468" t="s">
        <v>26</v>
      </c>
      <c r="I68" s="468" t="s">
        <v>1159</v>
      </c>
      <c r="J68" s="3"/>
      <c r="K68" s="468"/>
      <c r="L68" s="468" t="s">
        <v>454</v>
      </c>
      <c r="M68" s="468" t="s">
        <v>1625</v>
      </c>
      <c r="N68" s="468" t="s">
        <v>32</v>
      </c>
      <c r="O68" s="468"/>
      <c r="P68" s="468"/>
      <c r="Q68" s="4"/>
      <c r="R68" s="6"/>
      <c r="S68" s="6"/>
      <c r="T68" s="4">
        <v>-30</v>
      </c>
      <c r="U68" s="4"/>
      <c r="V68" s="4"/>
      <c r="W68" s="9">
        <v>1.4</v>
      </c>
      <c r="X68" s="9"/>
      <c r="Y68" s="9"/>
      <c r="Z68" s="9"/>
      <c r="AA68" s="9"/>
      <c r="AB68" s="9"/>
      <c r="AC68" s="468" t="str">
        <f t="shared" si="1"/>
        <v>PHC</v>
      </c>
      <c r="AD68" s="468"/>
      <c r="AE68" s="468"/>
      <c r="AF68" s="4"/>
      <c r="AG68" s="88"/>
      <c r="AH68" s="4"/>
      <c r="AI68" s="4"/>
      <c r="AJ68" s="468"/>
      <c r="AK68" s="468"/>
      <c r="AL68" s="468"/>
      <c r="AM68" s="468"/>
      <c r="AN68" s="10">
        <v>5.5</v>
      </c>
      <c r="AO68" s="9"/>
      <c r="AP68" s="9"/>
      <c r="AQ68" s="9"/>
      <c r="AR68" s="9"/>
      <c r="AS68" s="9"/>
      <c r="AT68" s="9">
        <f>+ab($T$68,$T$66,$U$70,$G$67,$G$69,-1*$F$68,1200)</f>
        <v>-2.4237369929400052</v>
      </c>
      <c r="AU68" s="447"/>
      <c r="AV68" s="447"/>
      <c r="AW68" s="468" t="s">
        <v>199</v>
      </c>
      <c r="AX68" s="468" t="s">
        <v>199</v>
      </c>
      <c r="AY68" s="10"/>
      <c r="AZ68" s="10"/>
      <c r="BA68" s="553" t="str">
        <f t="shared" si="2"/>
        <v/>
      </c>
      <c r="BB68" s="553" t="str">
        <f t="shared" si="30"/>
        <v/>
      </c>
      <c r="BC68" s="553" t="str">
        <f t="shared" si="5"/>
        <v>ü</v>
      </c>
      <c r="BD68" s="572" t="str">
        <f>IF(AND(L68="",H68=""),"",
IF(H68="",Pole_Calc!A$9,
IF(H68="MP",Pole_Calc!A$10,
IF(H68="AnMP",Pole_Calc!A$11,
IF(H68="A",Pole_Calc!A$12,
IF(H68="S/A",Pole_Calc!A$13,
IF(H68="A/S",Pole_Calc!A$14,"Poner a mano")))))))</f>
        <v>App.7-V11H-P9.5.1.6</v>
      </c>
      <c r="BE68" s="448" t="s">
        <v>1726</v>
      </c>
      <c r="BF68" s="306"/>
      <c r="BG68" s="306"/>
      <c r="BH68" s="306"/>
      <c r="BI68" s="306"/>
    </row>
    <row r="69" spans="1:61" ht="16.2" customHeight="1">
      <c r="A69" s="574" t="s">
        <v>1497</v>
      </c>
      <c r="B69" s="469"/>
      <c r="C69" s="3"/>
      <c r="D69" s="88"/>
      <c r="E69" s="4"/>
      <c r="F69" s="4"/>
      <c r="G69" s="6">
        <v>33.700000000000003</v>
      </c>
      <c r="H69" s="468"/>
      <c r="I69" s="468"/>
      <c r="J69" s="3"/>
      <c r="K69" s="468"/>
      <c r="L69" s="468"/>
      <c r="M69" s="468"/>
      <c r="N69" s="468"/>
      <c r="O69" s="468"/>
      <c r="P69" s="468"/>
      <c r="Q69" s="4"/>
      <c r="R69" s="6"/>
      <c r="S69" s="6"/>
      <c r="T69" s="4"/>
      <c r="U69" s="4"/>
      <c r="V69" s="4"/>
      <c r="W69" s="9"/>
      <c r="X69" s="9"/>
      <c r="Y69" s="9"/>
      <c r="Z69" s="9"/>
      <c r="AA69" s="9"/>
      <c r="AB69" s="9"/>
      <c r="AC69" s="468" t="str">
        <f t="shared" si="1"/>
        <v/>
      </c>
      <c r="AD69" s="468"/>
      <c r="AE69" s="468"/>
      <c r="AF69" s="4"/>
      <c r="AG69" s="88"/>
      <c r="AH69" s="4"/>
      <c r="AI69" s="4"/>
      <c r="AJ69" s="468"/>
      <c r="AK69" s="468"/>
      <c r="AL69" s="468"/>
      <c r="AM69" s="468"/>
      <c r="AN69" s="10"/>
      <c r="AO69" s="9"/>
      <c r="AP69" s="9"/>
      <c r="AQ69" s="9">
        <f>+FL_2($U$70,$T$68,$G$69,1200,9.28,-1*$F$70)</f>
        <v>-0.30000000000003257</v>
      </c>
      <c r="AR69" s="9"/>
      <c r="AS69" s="9"/>
      <c r="AT69" s="9"/>
      <c r="AU69" s="447"/>
      <c r="AV69" s="447"/>
      <c r="AW69" s="468"/>
      <c r="AX69" s="468"/>
      <c r="AY69" s="10"/>
      <c r="AZ69" s="10"/>
      <c r="BA69" s="553" t="str">
        <f t="shared" si="2"/>
        <v/>
      </c>
      <c r="BB69" s="553" t="str">
        <f t="shared" si="30"/>
        <v/>
      </c>
      <c r="BC69" s="553" t="str">
        <f t="shared" si="5"/>
        <v/>
      </c>
      <c r="BD69" s="572" t="str">
        <f>IF(AND(L69="",H69=""),"",
IF(H69="",Pole_Calc!A$9,
IF(H69="MP",Pole_Calc!A$10,
IF(H69="AnMP",Pole_Calc!A$11,
IF(H69="A",Pole_Calc!A$12,
IF(H69="S/A",Pole_Calc!A$13,
IF(H69="A/S",Pole_Calc!A$14,"Poner a mano")))))))</f>
        <v/>
      </c>
      <c r="BE69" s="448" t="s">
        <v>1726</v>
      </c>
      <c r="BF69" s="305"/>
      <c r="BG69" s="305"/>
      <c r="BH69" s="306"/>
      <c r="BI69" s="305"/>
    </row>
    <row r="70" spans="1:61" ht="16.2" customHeight="1">
      <c r="A70" s="574" t="s">
        <v>1497</v>
      </c>
      <c r="B70" s="469" t="s">
        <v>2234</v>
      </c>
      <c r="C70" s="3">
        <f t="shared" ref="C70" si="32">C68-G69</f>
        <v>1839.8799999999999</v>
      </c>
      <c r="D70" s="88"/>
      <c r="E70" s="4"/>
      <c r="F70" s="4">
        <v>400</v>
      </c>
      <c r="G70" s="6"/>
      <c r="H70" s="468" t="s">
        <v>179</v>
      </c>
      <c r="I70" s="468"/>
      <c r="J70" s="3"/>
      <c r="K70" s="468"/>
      <c r="L70" s="468" t="s">
        <v>448</v>
      </c>
      <c r="M70" s="468" t="s">
        <v>1625</v>
      </c>
      <c r="N70" s="468" t="s">
        <v>28</v>
      </c>
      <c r="O70" s="468" t="s">
        <v>32</v>
      </c>
      <c r="P70" s="468"/>
      <c r="Q70" s="4"/>
      <c r="R70" s="6"/>
      <c r="S70" s="6"/>
      <c r="T70" s="4">
        <v>-10</v>
      </c>
      <c r="U70" s="4">
        <v>-30</v>
      </c>
      <c r="V70" s="4"/>
      <c r="W70" s="9">
        <v>1.4</v>
      </c>
      <c r="X70" s="9">
        <v>1.8</v>
      </c>
      <c r="Y70" s="9"/>
      <c r="Z70" s="9">
        <v>0.4</v>
      </c>
      <c r="AA70" s="9"/>
      <c r="AB70" s="9"/>
      <c r="AC70" s="468"/>
      <c r="AD70" s="468" t="s">
        <v>1078</v>
      </c>
      <c r="AE70" s="468"/>
      <c r="AF70" s="4"/>
      <c r="AG70" s="88"/>
      <c r="AH70" s="4"/>
      <c r="AI70" s="4"/>
      <c r="AJ70" s="468"/>
      <c r="AK70" s="468"/>
      <c r="AL70" s="468"/>
      <c r="AM70" s="468"/>
      <c r="AN70" s="10">
        <v>5.5</v>
      </c>
      <c r="AO70" s="9"/>
      <c r="AP70" s="9"/>
      <c r="AQ70" s="9"/>
      <c r="AR70" s="9"/>
      <c r="AS70" s="9"/>
      <c r="AT70" s="9">
        <f>+ab($U$70,$T$68,$U$72,$G$69,$G$71,-1*$F$70,1200)</f>
        <v>-2.2934549106760596</v>
      </c>
      <c r="AU70" s="447"/>
      <c r="AV70" s="447"/>
      <c r="AW70" s="468" t="s">
        <v>199</v>
      </c>
      <c r="AX70" s="468" t="s">
        <v>199</v>
      </c>
      <c r="AY70" s="10"/>
      <c r="AZ70" s="10"/>
      <c r="BA70" s="553" t="str">
        <f t="shared" ref="BA70:BB133" si="33">IF(AY70="","",IF(AY70&gt;0,"ü",""))</f>
        <v/>
      </c>
      <c r="BB70" s="553" t="str">
        <f t="shared" si="30"/>
        <v/>
      </c>
      <c r="BC70" s="553" t="str">
        <f t="shared" si="5"/>
        <v>ü</v>
      </c>
      <c r="BD70" s="572" t="str">
        <f>IF(AND(L70="",H70=""),"",
IF(H70="",Pole_Calc!A$9,
IF(H70="MP",Pole_Calc!A$10,
IF(H70="AnMP",Pole_Calc!A$11,
IF(H70="A",Pole_Calc!A$12,
IF(H70="S/A",Pole_Calc!A$13,
IF(H70="A/S",Pole_Calc!A$14,"Poner a mano")))))))</f>
        <v>App.7-V11H-P9.5.1.5</v>
      </c>
      <c r="BE70" s="448" t="s">
        <v>1726</v>
      </c>
      <c r="BF70" s="306"/>
      <c r="BG70" s="306"/>
      <c r="BH70" s="306"/>
      <c r="BI70" s="306"/>
    </row>
    <row r="71" spans="1:61" ht="16.2" customHeight="1">
      <c r="A71" s="574" t="s">
        <v>1497</v>
      </c>
      <c r="B71" s="469"/>
      <c r="C71" s="3"/>
      <c r="D71" s="88"/>
      <c r="E71" s="4"/>
      <c r="F71" s="4"/>
      <c r="G71" s="6">
        <v>33.200000000000003</v>
      </c>
      <c r="H71" s="468"/>
      <c r="I71" s="468"/>
      <c r="J71" s="3"/>
      <c r="K71" s="468"/>
      <c r="L71" s="468"/>
      <c r="M71" s="468" t="str">
        <f>IF(L71="","",
IF(AX71="PT",VLOOKUP(L71,Foundation_Calc!$V$4:$X$37,VLOOKUP(AX71,Foundation_Calc!$I$10:$J$13,2,FALSE),0),
IF(AX71="K",VLOOKUP(L71,Foundation_Calc!$V$41:$X$74,VLOOKUP(AX71,Foundation_Calc!$I$10:$J$13,2,FALSE),0),"")))</f>
        <v/>
      </c>
      <c r="N71" s="468"/>
      <c r="O71" s="468"/>
      <c r="P71" s="468"/>
      <c r="Q71" s="4"/>
      <c r="R71" s="6"/>
      <c r="S71" s="6"/>
      <c r="T71" s="4"/>
      <c r="U71" s="4"/>
      <c r="V71" s="4"/>
      <c r="W71" s="9"/>
      <c r="X71" s="9"/>
      <c r="Y71" s="9"/>
      <c r="Z71" s="9"/>
      <c r="AA71" s="9"/>
      <c r="AB71" s="9"/>
      <c r="AC71" s="468" t="str">
        <f t="shared" ref="AC71:AC133" si="34">IF(OR(AT71&gt;8,AT71&lt;-8),"PH",
IF(OR(AT71&gt;5,AT71&lt;-5),"PHQ",
IF(OR(AT71&gt;1,AT71&lt;-1),
"PHC","")))</f>
        <v/>
      </c>
      <c r="AD71" s="468"/>
      <c r="AE71" s="468"/>
      <c r="AF71" s="4"/>
      <c r="AG71" s="88"/>
      <c r="AH71" s="4"/>
      <c r="AI71" s="4"/>
      <c r="AJ71" s="468"/>
      <c r="AK71" s="468"/>
      <c r="AL71" s="468"/>
      <c r="AM71" s="468"/>
      <c r="AN71" s="10"/>
      <c r="AO71" s="9"/>
      <c r="AP71" s="9"/>
      <c r="AQ71" s="9">
        <f>+FL_1($T$72,$T$70,$G$71,1200,9.28,-1*$F$72)</f>
        <v>0.35114830176849632</v>
      </c>
      <c r="AR71" s="9"/>
      <c r="AS71" s="9"/>
      <c r="AT71" s="9"/>
      <c r="AU71" s="447"/>
      <c r="AV71" s="447"/>
      <c r="AW71" s="468"/>
      <c r="AX71" s="468"/>
      <c r="AY71" s="10"/>
      <c r="AZ71" s="10"/>
      <c r="BA71" s="553" t="str">
        <f t="shared" si="33"/>
        <v/>
      </c>
      <c r="BB71" s="553" t="str">
        <f t="shared" si="30"/>
        <v/>
      </c>
      <c r="BC71" s="553" t="str">
        <f t="shared" si="5"/>
        <v/>
      </c>
      <c r="BD71" s="572" t="str">
        <f>IF(AND(L71="",H71=""),"",
IF(H71="",Pole_Calc!A$9,
IF(H71="MP",Pole_Calc!A$10,
IF(H71="AnMP",Pole_Calc!A$11,
IF(H71="A",Pole_Calc!A$12,
IF(H71="S/A",Pole_Calc!A$13,
IF(H71="A/S",Pole_Calc!A$14,"Poner a mano")))))))</f>
        <v/>
      </c>
      <c r="BE71" s="448" t="s">
        <v>1726</v>
      </c>
      <c r="BF71" s="305"/>
      <c r="BG71" s="305"/>
      <c r="BH71" s="306"/>
      <c r="BI71" s="305"/>
    </row>
    <row r="72" spans="1:61" ht="16.2" customHeight="1">
      <c r="A72" s="574" t="s">
        <v>1497</v>
      </c>
      <c r="B72" s="469" t="s">
        <v>2235</v>
      </c>
      <c r="C72" s="3">
        <f t="shared" ref="C72" si="35">C70-G71</f>
        <v>1806.6799999999998</v>
      </c>
      <c r="D72" s="88"/>
      <c r="E72" s="4"/>
      <c r="F72" s="4">
        <v>400</v>
      </c>
      <c r="G72" s="6"/>
      <c r="H72" s="468" t="s">
        <v>180</v>
      </c>
      <c r="I72" s="468"/>
      <c r="J72" s="3"/>
      <c r="K72" s="468"/>
      <c r="L72" s="468" t="s">
        <v>39</v>
      </c>
      <c r="M72" s="468" t="s">
        <v>1625</v>
      </c>
      <c r="N72" s="468" t="s">
        <v>32</v>
      </c>
      <c r="O72" s="468" t="s">
        <v>32</v>
      </c>
      <c r="P72" s="468"/>
      <c r="Q72" s="4"/>
      <c r="R72" s="6"/>
      <c r="S72" s="6"/>
      <c r="T72" s="4">
        <v>-10</v>
      </c>
      <c r="U72" s="4">
        <v>-30</v>
      </c>
      <c r="V72" s="4"/>
      <c r="W72" s="9">
        <v>1.4</v>
      </c>
      <c r="X72" s="9">
        <v>2</v>
      </c>
      <c r="Y72" s="9"/>
      <c r="Z72" s="9">
        <v>0.15</v>
      </c>
      <c r="AA72" s="9"/>
      <c r="AB72" s="9"/>
      <c r="AC72" s="468" t="s">
        <v>2512</v>
      </c>
      <c r="AD72" s="468" t="s">
        <v>1078</v>
      </c>
      <c r="AE72" s="468"/>
      <c r="AF72" s="4"/>
      <c r="AG72" s="88"/>
      <c r="AH72" s="4"/>
      <c r="AI72" s="4"/>
      <c r="AJ72" s="468"/>
      <c r="AK72" s="468"/>
      <c r="AL72" s="468"/>
      <c r="AM72" s="468"/>
      <c r="AN72" s="10">
        <v>5.5</v>
      </c>
      <c r="AO72" s="9"/>
      <c r="AP72" s="9"/>
      <c r="AQ72" s="9"/>
      <c r="AR72" s="9"/>
      <c r="AS72" s="9"/>
      <c r="AT72" s="9">
        <f>+ab($T$72,$T$70,$T$74,$G$71,$G$73,-1*$F$72,1200)</f>
        <v>-2.3176796365657886</v>
      </c>
      <c r="AU72" s="447"/>
      <c r="AV72" s="447"/>
      <c r="AW72" s="468" t="s">
        <v>199</v>
      </c>
      <c r="AX72" s="468" t="s">
        <v>199</v>
      </c>
      <c r="AY72" s="10"/>
      <c r="AZ72" s="10"/>
      <c r="BA72" s="553" t="str">
        <f t="shared" si="33"/>
        <v/>
      </c>
      <c r="BB72" s="553" t="str">
        <f t="shared" si="30"/>
        <v/>
      </c>
      <c r="BC72" s="553" t="str">
        <f t="shared" si="5"/>
        <v>ü</v>
      </c>
      <c r="BD72" s="572" t="str">
        <f>IF(AND(L72="",H72=""),"",
IF(H72="",Pole_Calc!A$9,
IF(H72="MP",Pole_Calc!A$10,
IF(H72="AnMP",Pole_Calc!A$11,
IF(H72="A",Pole_Calc!A$12,
IF(H72="S/A",Pole_Calc!A$13,
IF(H72="A/S",Pole_Calc!A$14,"Poner a mano")))))))</f>
        <v>App.7-V11H-P9.5.1.4</v>
      </c>
      <c r="BE72" s="448" t="s">
        <v>1726</v>
      </c>
      <c r="BF72" s="306"/>
      <c r="BG72" s="306"/>
      <c r="BH72" s="306"/>
      <c r="BI72" s="306"/>
    </row>
    <row r="73" spans="1:61" ht="16.2" customHeight="1">
      <c r="A73" s="574" t="s">
        <v>1497</v>
      </c>
      <c r="B73" s="469"/>
      <c r="C73" s="3"/>
      <c r="D73" s="88"/>
      <c r="E73" s="4"/>
      <c r="F73" s="4"/>
      <c r="G73" s="6">
        <v>33</v>
      </c>
      <c r="H73" s="468"/>
      <c r="I73" s="468"/>
      <c r="J73" s="3"/>
      <c r="K73" s="468"/>
      <c r="L73" s="468"/>
      <c r="M73" s="468" t="str">
        <f>IF(L73="","",
IF(AX73="PT",VLOOKUP(L73,Foundation_Calc!$V$4:$X$37,VLOOKUP(AX73,Foundation_Calc!$I$10:$J$13,2,FALSE),0),
IF(AX73="K",VLOOKUP(L73,Foundation_Calc!$V$41:$X$74,VLOOKUP(AX73,Foundation_Calc!$I$10:$J$13,2,FALSE),0),"")))</f>
        <v/>
      </c>
      <c r="N73" s="468"/>
      <c r="O73" s="468"/>
      <c r="P73" s="468"/>
      <c r="Q73" s="4"/>
      <c r="R73" s="6"/>
      <c r="S73" s="6"/>
      <c r="T73" s="4"/>
      <c r="U73" s="4"/>
      <c r="V73" s="4"/>
      <c r="W73" s="9"/>
      <c r="X73" s="9"/>
      <c r="Y73" s="9"/>
      <c r="Z73" s="9"/>
      <c r="AA73" s="9"/>
      <c r="AB73" s="9"/>
      <c r="AC73" s="468" t="str">
        <f t="shared" si="34"/>
        <v/>
      </c>
      <c r="AD73" s="468"/>
      <c r="AE73" s="468"/>
      <c r="AF73" s="4"/>
      <c r="AG73" s="88"/>
      <c r="AH73" s="4"/>
      <c r="AI73" s="4"/>
      <c r="AJ73" s="468"/>
      <c r="AK73" s="468"/>
      <c r="AL73" s="468"/>
      <c r="AM73" s="468"/>
      <c r="AN73" s="10"/>
      <c r="AO73" s="9"/>
      <c r="AP73" s="9"/>
      <c r="AQ73" s="9">
        <f>+FL_1($T$74,$T$72,$G$73,1200,9.28,-1*$F$74)</f>
        <v>0.3457273890421716</v>
      </c>
      <c r="AR73" s="9"/>
      <c r="AS73" s="9"/>
      <c r="AT73" s="9"/>
      <c r="AU73" s="447"/>
      <c r="AV73" s="447"/>
      <c r="AW73" s="468"/>
      <c r="AX73" s="468"/>
      <c r="AY73" s="10"/>
      <c r="AZ73" s="10"/>
      <c r="BA73" s="553" t="str">
        <f t="shared" si="33"/>
        <v/>
      </c>
      <c r="BB73" s="553" t="str">
        <f t="shared" si="30"/>
        <v/>
      </c>
      <c r="BC73" s="553" t="str">
        <f t="shared" si="5"/>
        <v/>
      </c>
      <c r="BD73" s="572" t="str">
        <f>IF(AND(L73="",H73=""),"",
IF(H73="",Pole_Calc!A$9,
IF(H73="MP",Pole_Calc!A$10,
IF(H73="AnMP",Pole_Calc!A$11,
IF(H73="A",Pole_Calc!A$12,
IF(H73="S/A",Pole_Calc!A$13,
IF(H73="A/S",Pole_Calc!A$14,"Poner a mano")))))))</f>
        <v/>
      </c>
      <c r="BE73" s="448" t="s">
        <v>1726</v>
      </c>
      <c r="BF73" s="305"/>
      <c r="BG73" s="305"/>
      <c r="BH73" s="306"/>
      <c r="BI73" s="305"/>
    </row>
    <row r="74" spans="1:61" ht="16.2" customHeight="1">
      <c r="A74" s="574" t="s">
        <v>1497</v>
      </c>
      <c r="B74" s="469" t="s">
        <v>2236</v>
      </c>
      <c r="C74" s="3">
        <f t="shared" ref="C74" si="36">C72-G73</f>
        <v>1773.6799999999998</v>
      </c>
      <c r="D74" s="88"/>
      <c r="E74" s="4"/>
      <c r="F74" s="4">
        <v>400</v>
      </c>
      <c r="G74" s="6"/>
      <c r="H74" s="468" t="s">
        <v>180</v>
      </c>
      <c r="I74" s="468"/>
      <c r="J74" s="3"/>
      <c r="K74" s="468"/>
      <c r="L74" s="468" t="s">
        <v>39</v>
      </c>
      <c r="M74" s="468" t="s">
        <v>1625</v>
      </c>
      <c r="N74" s="468" t="s">
        <v>32</v>
      </c>
      <c r="O74" s="468" t="s">
        <v>32</v>
      </c>
      <c r="P74" s="468"/>
      <c r="Q74" s="4"/>
      <c r="R74" s="6"/>
      <c r="S74" s="6"/>
      <c r="T74" s="4">
        <v>-10</v>
      </c>
      <c r="U74" s="4">
        <v>-30</v>
      </c>
      <c r="V74" s="4"/>
      <c r="W74" s="9">
        <v>1.4</v>
      </c>
      <c r="X74" s="9">
        <v>2</v>
      </c>
      <c r="Y74" s="9"/>
      <c r="Z74" s="9"/>
      <c r="AA74" s="9">
        <v>0.15</v>
      </c>
      <c r="AB74" s="9"/>
      <c r="AC74" s="468" t="s">
        <v>1078</v>
      </c>
      <c r="AD74" s="468" t="s">
        <v>1078</v>
      </c>
      <c r="AE74" s="468"/>
      <c r="AF74" s="4"/>
      <c r="AG74" s="88"/>
      <c r="AH74" s="4"/>
      <c r="AI74" s="4"/>
      <c r="AJ74" s="468"/>
      <c r="AK74" s="468"/>
      <c r="AL74" s="468"/>
      <c r="AM74" s="468"/>
      <c r="AN74" s="10">
        <v>5.5</v>
      </c>
      <c r="AO74" s="9"/>
      <c r="AP74" s="9"/>
      <c r="AQ74" s="9"/>
      <c r="AR74" s="9"/>
      <c r="AS74" s="9"/>
      <c r="AT74" s="9">
        <f>+ab($T$74,$T$72,$T$76,$G$73,$G$75,-1*$F$74,1200)</f>
        <v>-2.5568702174040849</v>
      </c>
      <c r="AU74" s="447"/>
      <c r="AV74" s="447"/>
      <c r="AW74" s="468" t="s">
        <v>199</v>
      </c>
      <c r="AX74" s="468" t="s">
        <v>199</v>
      </c>
      <c r="AY74" s="10"/>
      <c r="AZ74" s="10"/>
      <c r="BA74" s="553" t="str">
        <f t="shared" si="33"/>
        <v/>
      </c>
      <c r="BB74" s="553" t="str">
        <f t="shared" si="30"/>
        <v/>
      </c>
      <c r="BC74" s="553" t="str">
        <f t="shared" si="5"/>
        <v>ü</v>
      </c>
      <c r="BD74" s="572" t="str">
        <f>IF(AND(L74="",H74=""),"",
IF(H74="",Pole_Calc!A$9,
IF(H74="MP",Pole_Calc!A$10,
IF(H74="AnMP",Pole_Calc!A$11,
IF(H74="A",Pole_Calc!A$12,
IF(H74="S/A",Pole_Calc!A$13,
IF(H74="A/S",Pole_Calc!A$14,"Poner a mano")))))))</f>
        <v>App.7-V11H-P9.5.1.4</v>
      </c>
      <c r="BE74" s="448" t="s">
        <v>1726</v>
      </c>
      <c r="BF74" s="306"/>
      <c r="BG74" s="306"/>
      <c r="BH74" s="306"/>
      <c r="BI74" s="306"/>
    </row>
    <row r="75" spans="1:61" ht="16.2" customHeight="1">
      <c r="A75" s="574" t="s">
        <v>1497</v>
      </c>
      <c r="B75" s="469"/>
      <c r="C75" s="3"/>
      <c r="D75" s="88"/>
      <c r="E75" s="4"/>
      <c r="F75" s="4"/>
      <c r="G75" s="6">
        <v>32</v>
      </c>
      <c r="H75" s="468"/>
      <c r="I75" s="468"/>
      <c r="J75" s="3"/>
      <c r="K75" s="468"/>
      <c r="L75" s="468"/>
      <c r="M75" s="468" t="str">
        <f>IF(L75="","",
IF(AX75="PT",VLOOKUP(L75,Foundation_Calc!$V$4:$X$37,VLOOKUP(AX75,Foundation_Calc!$I$10:$J$13,2,FALSE),0),
IF(AX75="K",VLOOKUP(L75,Foundation_Calc!$V$41:$X$74,VLOOKUP(AX75,Foundation_Calc!$I$10:$J$13,2,FALSE),0),"")))</f>
        <v/>
      </c>
      <c r="N75" s="468"/>
      <c r="O75" s="468"/>
      <c r="P75" s="468"/>
      <c r="Q75" s="4"/>
      <c r="R75" s="6"/>
      <c r="S75" s="6"/>
      <c r="T75" s="4"/>
      <c r="U75" s="4"/>
      <c r="V75" s="4"/>
      <c r="W75" s="9"/>
      <c r="X75" s="9"/>
      <c r="Y75" s="9"/>
      <c r="Z75" s="9"/>
      <c r="AA75" s="9"/>
      <c r="AB75" s="9"/>
      <c r="AC75" s="468" t="str">
        <f t="shared" si="34"/>
        <v/>
      </c>
      <c r="AD75" s="468"/>
      <c r="AE75" s="468"/>
      <c r="AF75" s="4"/>
      <c r="AG75" s="88"/>
      <c r="AH75" s="4"/>
      <c r="AI75" s="4"/>
      <c r="AJ75" s="468"/>
      <c r="AK75" s="468"/>
      <c r="AL75" s="468"/>
      <c r="AM75" s="468"/>
      <c r="AN75" s="10"/>
      <c r="AO75" s="9"/>
      <c r="AP75" s="9"/>
      <c r="AQ75" s="9">
        <f>+FL_2($T$76,$T$74,$G$75,1200,9.28,-1*$F$76)</f>
        <v>-0.3</v>
      </c>
      <c r="AR75" s="9"/>
      <c r="AS75" s="9"/>
      <c r="AT75" s="9"/>
      <c r="AU75" s="447"/>
      <c r="AV75" s="447"/>
      <c r="AW75" s="468"/>
      <c r="AX75" s="468"/>
      <c r="AY75" s="10"/>
      <c r="AZ75" s="10"/>
      <c r="BA75" s="553" t="str">
        <f t="shared" si="33"/>
        <v/>
      </c>
      <c r="BB75" s="553" t="str">
        <f t="shared" si="30"/>
        <v/>
      </c>
      <c r="BC75" s="553" t="str">
        <f t="shared" si="5"/>
        <v/>
      </c>
      <c r="BD75" s="572" t="str">
        <f>IF(AND(L75="",H75=""),"",
IF(H75="",Pole_Calc!A$9,
IF(H75="MP",Pole_Calc!A$10,
IF(H75="AnMP",Pole_Calc!A$11,
IF(H75="A",Pole_Calc!A$12,
IF(H75="S/A",Pole_Calc!A$13,
IF(H75="A/S",Pole_Calc!A$14,"Poner a mano")))))))</f>
        <v/>
      </c>
      <c r="BE75" s="448" t="s">
        <v>1726</v>
      </c>
      <c r="BF75" s="305"/>
      <c r="BG75" s="305"/>
      <c r="BH75" s="306"/>
      <c r="BI75" s="305"/>
    </row>
    <row r="76" spans="1:61" ht="16.2" customHeight="1">
      <c r="A76" s="574" t="s">
        <v>1497</v>
      </c>
      <c r="B76" s="469" t="s">
        <v>2237</v>
      </c>
      <c r="C76" s="3">
        <f t="shared" ref="C76" si="37">C74-G75</f>
        <v>1741.6799999999998</v>
      </c>
      <c r="D76" s="88"/>
      <c r="E76" s="4"/>
      <c r="F76" s="4">
        <v>400</v>
      </c>
      <c r="G76" s="6"/>
      <c r="H76" s="468" t="s">
        <v>179</v>
      </c>
      <c r="I76" s="468"/>
      <c r="J76" s="3"/>
      <c r="K76" s="468"/>
      <c r="L76" s="468" t="s">
        <v>448</v>
      </c>
      <c r="M76" s="468" t="s">
        <v>1625</v>
      </c>
      <c r="N76" s="468" t="s">
        <v>32</v>
      </c>
      <c r="O76" s="468" t="s">
        <v>28</v>
      </c>
      <c r="P76" s="468"/>
      <c r="Q76" s="4"/>
      <c r="R76" s="6"/>
      <c r="S76" s="6"/>
      <c r="T76" s="4">
        <v>-30</v>
      </c>
      <c r="U76" s="4">
        <v>-50</v>
      </c>
      <c r="V76" s="4"/>
      <c r="W76" s="9">
        <v>1.4</v>
      </c>
      <c r="X76" s="9">
        <v>2</v>
      </c>
      <c r="Y76" s="9"/>
      <c r="Z76" s="9"/>
      <c r="AA76" s="9">
        <v>0.4</v>
      </c>
      <c r="AB76" s="9"/>
      <c r="AC76" s="468" t="s">
        <v>1078</v>
      </c>
      <c r="AD76" s="468"/>
      <c r="AE76" s="468"/>
      <c r="AF76" s="4"/>
      <c r="AG76" s="88"/>
      <c r="AH76" s="4"/>
      <c r="AI76" s="4"/>
      <c r="AJ76" s="468"/>
      <c r="AK76" s="468"/>
      <c r="AL76" s="468"/>
      <c r="AM76" s="468"/>
      <c r="AN76" s="10">
        <v>5.5</v>
      </c>
      <c r="AO76" s="9"/>
      <c r="AP76" s="9"/>
      <c r="AQ76" s="9"/>
      <c r="AR76" s="9"/>
      <c r="AS76" s="9"/>
      <c r="AT76" s="9">
        <f>+ab($T$76,$T$74,$T$78,$G$75,$G$77,-1*$F$76,1200)</f>
        <v>-2.2237252811126269</v>
      </c>
      <c r="AU76" s="447"/>
      <c r="AV76" s="447"/>
      <c r="AW76" s="468" t="s">
        <v>199</v>
      </c>
      <c r="AX76" s="468" t="s">
        <v>199</v>
      </c>
      <c r="AY76" s="10"/>
      <c r="AZ76" s="10"/>
      <c r="BA76" s="553" t="str">
        <f t="shared" si="33"/>
        <v/>
      </c>
      <c r="BB76" s="553" t="str">
        <f t="shared" si="30"/>
        <v/>
      </c>
      <c r="BC76" s="553" t="str">
        <f t="shared" si="5"/>
        <v>ü</v>
      </c>
      <c r="BD76" s="572" t="str">
        <f>IF(AND(L76="",H76=""),"",
IF(H76="",Pole_Calc!A$9,
IF(H76="MP",Pole_Calc!A$10,
IF(H76="AnMP",Pole_Calc!A$11,
IF(H76="A",Pole_Calc!A$12,
IF(H76="S/A",Pole_Calc!A$13,
IF(H76="A/S",Pole_Calc!A$14,"Poner a mano")))))))</f>
        <v>App.7-V11H-P9.5.1.5</v>
      </c>
      <c r="BE76" s="448" t="s">
        <v>1726</v>
      </c>
      <c r="BF76" s="306"/>
      <c r="BG76" s="306"/>
      <c r="BH76" s="306"/>
      <c r="BI76" s="306"/>
    </row>
    <row r="77" spans="1:61" ht="16.2" customHeight="1">
      <c r="A77" s="574" t="s">
        <v>1497</v>
      </c>
      <c r="B77" s="469"/>
      <c r="C77" s="3"/>
      <c r="D77" s="88"/>
      <c r="E77" s="4"/>
      <c r="F77" s="4"/>
      <c r="G77" s="6">
        <v>32</v>
      </c>
      <c r="H77" s="468"/>
      <c r="I77" s="468"/>
      <c r="J77" s="3"/>
      <c r="K77" s="468"/>
      <c r="L77" s="468"/>
      <c r="M77" s="468" t="str">
        <f>IF(L77="","",
IF(AX77="PT",VLOOKUP(L77,Foundation_Calc!$V$4:$X$37,VLOOKUP(AX77,Foundation_Calc!$I$10:$J$13,2,FALSE),0),
IF(AX77="K",VLOOKUP(L77,Foundation_Calc!$V$41:$X$74,VLOOKUP(AX77,Foundation_Calc!$I$10:$J$13,2,FALSE),0),"")))</f>
        <v/>
      </c>
      <c r="N77" s="468"/>
      <c r="O77" s="468"/>
      <c r="P77" s="468"/>
      <c r="Q77" s="4"/>
      <c r="R77" s="6"/>
      <c r="S77" s="6"/>
      <c r="T77" s="4"/>
      <c r="U77" s="4"/>
      <c r="V77" s="4"/>
      <c r="W77" s="9"/>
      <c r="X77" s="9"/>
      <c r="Y77" s="9"/>
      <c r="Z77" s="9"/>
      <c r="AA77" s="9"/>
      <c r="AB77" s="9"/>
      <c r="AC77" s="468" t="str">
        <f t="shared" si="34"/>
        <v/>
      </c>
      <c r="AD77" s="468"/>
      <c r="AE77" s="468"/>
      <c r="AF77" s="4"/>
      <c r="AG77" s="88"/>
      <c r="AH77" s="4"/>
      <c r="AI77" s="4"/>
      <c r="AJ77" s="468"/>
      <c r="AK77" s="468"/>
      <c r="AL77" s="468"/>
      <c r="AM77" s="468"/>
      <c r="AN77" s="10"/>
      <c r="AO77" s="9"/>
      <c r="AP77" s="9"/>
      <c r="AQ77" s="9">
        <f>+FL_2($T$78,$T$76,$G$77,1200,9.28,-1*$F$78)</f>
        <v>-0.30000000000002958</v>
      </c>
      <c r="AR77" s="9"/>
      <c r="AS77" s="9"/>
      <c r="AT77" s="9"/>
      <c r="AU77" s="447"/>
      <c r="AV77" s="447"/>
      <c r="AW77" s="468"/>
      <c r="AX77" s="468"/>
      <c r="AY77" s="10"/>
      <c r="AZ77" s="10"/>
      <c r="BA77" s="553" t="str">
        <f t="shared" si="33"/>
        <v/>
      </c>
      <c r="BB77" s="553" t="str">
        <f t="shared" si="30"/>
        <v/>
      </c>
      <c r="BC77" s="553" t="str">
        <f t="shared" si="5"/>
        <v/>
      </c>
      <c r="BD77" s="572" t="str">
        <f>IF(AND(L77="",H77=""),"",
IF(H77="",Pole_Calc!A$9,
IF(H77="MP",Pole_Calc!A$10,
IF(H77="AnMP",Pole_Calc!A$11,
IF(H77="A",Pole_Calc!A$12,
IF(H77="S/A",Pole_Calc!A$13,
IF(H77="A/S",Pole_Calc!A$14,"Poner a mano")))))))</f>
        <v/>
      </c>
      <c r="BE77" s="448" t="s">
        <v>1726</v>
      </c>
      <c r="BF77" s="305"/>
      <c r="BG77" s="305"/>
      <c r="BH77" s="306"/>
      <c r="BI77" s="305"/>
    </row>
    <row r="78" spans="1:61" ht="16.2" customHeight="1">
      <c r="A78" s="574" t="s">
        <v>1497</v>
      </c>
      <c r="B78" s="469" t="s">
        <v>2238</v>
      </c>
      <c r="C78" s="3">
        <f t="shared" ref="C78" si="38">C76-G77</f>
        <v>1709.6799999999998</v>
      </c>
      <c r="D78" s="88"/>
      <c r="E78" s="4"/>
      <c r="F78" s="4">
        <v>400</v>
      </c>
      <c r="G78" s="6"/>
      <c r="H78" s="468" t="s">
        <v>26</v>
      </c>
      <c r="I78" s="468" t="s">
        <v>1159</v>
      </c>
      <c r="J78" s="3"/>
      <c r="K78" s="468"/>
      <c r="L78" s="468" t="s">
        <v>454</v>
      </c>
      <c r="M78" s="468" t="s">
        <v>1625</v>
      </c>
      <c r="N78" s="468" t="s">
        <v>32</v>
      </c>
      <c r="O78" s="468"/>
      <c r="P78" s="468"/>
      <c r="Q78" s="4"/>
      <c r="R78" s="6"/>
      <c r="S78" s="6"/>
      <c r="T78" s="4">
        <v>-30</v>
      </c>
      <c r="U78" s="4"/>
      <c r="V78" s="4"/>
      <c r="W78" s="9">
        <v>1.4</v>
      </c>
      <c r="X78" s="9"/>
      <c r="Y78" s="9"/>
      <c r="Z78" s="9"/>
      <c r="AA78" s="9"/>
      <c r="AB78" s="9"/>
      <c r="AC78" s="468" t="str">
        <f t="shared" si="34"/>
        <v>PHC</v>
      </c>
      <c r="AD78" s="468"/>
      <c r="AE78" s="468"/>
      <c r="AF78" s="4"/>
      <c r="AG78" s="88"/>
      <c r="AH78" s="4"/>
      <c r="AI78" s="4"/>
      <c r="AJ78" s="468"/>
      <c r="AK78" s="468"/>
      <c r="AL78" s="468"/>
      <c r="AM78" s="468"/>
      <c r="AN78" s="10">
        <v>5.5</v>
      </c>
      <c r="AO78" s="9"/>
      <c r="AP78" s="9"/>
      <c r="AQ78" s="9"/>
      <c r="AR78" s="9"/>
      <c r="AS78" s="9"/>
      <c r="AT78" s="9">
        <f>+ab($T$78,$T$76,$T$80,$G$77,$G$79,-1*$F$78,1200)</f>
        <v>-2.3972584678993845</v>
      </c>
      <c r="AU78" s="447"/>
      <c r="AV78" s="447"/>
      <c r="AW78" s="468" t="s">
        <v>199</v>
      </c>
      <c r="AX78" s="468" t="s">
        <v>199</v>
      </c>
      <c r="AY78" s="10"/>
      <c r="AZ78" s="10"/>
      <c r="BA78" s="553" t="str">
        <f t="shared" si="33"/>
        <v/>
      </c>
      <c r="BB78" s="553" t="str">
        <f t="shared" si="30"/>
        <v/>
      </c>
      <c r="BC78" s="553" t="str">
        <f t="shared" si="5"/>
        <v>ü</v>
      </c>
      <c r="BD78" s="572" t="str">
        <f>IF(AND(L78="",H78=""),"",
IF(H78="",Pole_Calc!A$9,
IF(H78="MP",Pole_Calc!A$10,
IF(H78="AnMP",Pole_Calc!A$11,
IF(H78="A",Pole_Calc!A$12,
IF(H78="S/A",Pole_Calc!A$13,
IF(H78="A/S",Pole_Calc!A$14,"Poner a mano")))))))</f>
        <v>App.7-V11H-P9.5.1.6</v>
      </c>
      <c r="BE78" s="448" t="s">
        <v>1726</v>
      </c>
      <c r="BF78" s="306"/>
      <c r="BG78" s="306"/>
      <c r="BH78" s="306"/>
      <c r="BI78" s="306"/>
    </row>
    <row r="79" spans="1:61" ht="16.2" customHeight="1">
      <c r="A79" s="574" t="s">
        <v>1497</v>
      </c>
      <c r="B79" s="469"/>
      <c r="C79" s="3"/>
      <c r="D79" s="88"/>
      <c r="E79" s="4"/>
      <c r="F79" s="4"/>
      <c r="G79" s="6">
        <v>32</v>
      </c>
      <c r="H79" s="468"/>
      <c r="I79" s="468"/>
      <c r="J79" s="3">
        <f>C78-7.5</f>
        <v>1702.1799999999998</v>
      </c>
      <c r="K79" s="468" t="s">
        <v>1625</v>
      </c>
      <c r="L79" s="468"/>
      <c r="M79" s="468" t="str">
        <f>IF(L79="","",
IF(AX79="PT",VLOOKUP(L79,Foundation_Calc!$V$4:$X$37,VLOOKUP(AX79,Foundation_Calc!$I$10:$J$13,2,FALSE),0),
IF(AX79="K",VLOOKUP(L79,Foundation_Calc!$V$41:$X$74,VLOOKUP(AX79,Foundation_Calc!$I$10:$J$13,2,FALSE),0),"")))</f>
        <v/>
      </c>
      <c r="N79" s="468"/>
      <c r="O79" s="468"/>
      <c r="P79" s="468"/>
      <c r="Q79" s="4"/>
      <c r="R79" s="6"/>
      <c r="S79" s="6"/>
      <c r="T79" s="4"/>
      <c r="U79" s="4"/>
      <c r="V79" s="4"/>
      <c r="W79" s="9"/>
      <c r="X79" s="9"/>
      <c r="Y79" s="9"/>
      <c r="Z79" s="9"/>
      <c r="AA79" s="9"/>
      <c r="AB79" s="9"/>
      <c r="AC79" s="468" t="str">
        <f t="shared" si="34"/>
        <v/>
      </c>
      <c r="AD79" s="468"/>
      <c r="AE79" s="468"/>
      <c r="AF79" s="4"/>
      <c r="AG79" s="88"/>
      <c r="AH79" s="4"/>
      <c r="AI79" s="4"/>
      <c r="AJ79" s="468"/>
      <c r="AK79" s="468"/>
      <c r="AL79" s="468"/>
      <c r="AM79" s="468"/>
      <c r="AN79" s="10"/>
      <c r="AO79" s="9"/>
      <c r="AP79" s="9"/>
      <c r="AQ79" s="9">
        <f>+FL_2($T$80,$T$78,$G$79,1200,9.28,-1*$F$80)</f>
        <v>-0.30000000000002958</v>
      </c>
      <c r="AR79" s="9"/>
      <c r="AS79" s="9"/>
      <c r="AT79" s="9"/>
      <c r="AU79" s="447"/>
      <c r="AV79" s="447"/>
      <c r="AW79" s="468"/>
      <c r="AX79" s="468"/>
      <c r="AY79" s="10"/>
      <c r="AZ79" s="10"/>
      <c r="BA79" s="553" t="str">
        <f t="shared" si="33"/>
        <v/>
      </c>
      <c r="BB79" s="553" t="str">
        <f t="shared" si="30"/>
        <v>ü</v>
      </c>
      <c r="BC79" s="553" t="str">
        <f t="shared" si="5"/>
        <v/>
      </c>
      <c r="BD79" s="572" t="str">
        <f>IF(AND(L79="",H79=""),"",
IF(H79="",Pole_Calc!A$9,
IF(H79="MP",Pole_Calc!A$10,
IF(H79="AnMP",Pole_Calc!A$11,
IF(H79="A",Pole_Calc!A$12,
IF(H79="S/A",Pole_Calc!A$13,
IF(H79="A/S",Pole_Calc!A$14,"Poner a mano")))))))</f>
        <v/>
      </c>
      <c r="BE79" s="448" t="s">
        <v>1726</v>
      </c>
      <c r="BF79" s="305"/>
      <c r="BG79" s="305"/>
      <c r="BH79" s="306"/>
      <c r="BI79" s="305"/>
    </row>
    <row r="80" spans="1:61" ht="16.2" customHeight="1">
      <c r="A80" s="574" t="s">
        <v>1497</v>
      </c>
      <c r="B80" s="469" t="s">
        <v>2239</v>
      </c>
      <c r="C80" s="3">
        <f t="shared" ref="C80" si="39">C78-G79</f>
        <v>1677.6799999999998</v>
      </c>
      <c r="D80" s="88"/>
      <c r="E80" s="4"/>
      <c r="F80" s="4">
        <v>400</v>
      </c>
      <c r="G80" s="6"/>
      <c r="H80" s="468"/>
      <c r="I80" s="468"/>
      <c r="J80" s="3"/>
      <c r="K80" s="468"/>
      <c r="L80" s="468" t="s">
        <v>38</v>
      </c>
      <c r="M80" s="468" t="s">
        <v>1625</v>
      </c>
      <c r="N80" s="468" t="s">
        <v>32</v>
      </c>
      <c r="O80" s="468"/>
      <c r="P80" s="468"/>
      <c r="Q80" s="4"/>
      <c r="R80" s="6"/>
      <c r="S80" s="6"/>
      <c r="T80" s="4">
        <v>-30</v>
      </c>
      <c r="U80" s="4"/>
      <c r="V80" s="4"/>
      <c r="W80" s="9">
        <v>1.4</v>
      </c>
      <c r="X80" s="9"/>
      <c r="Y80" s="9"/>
      <c r="Z80" s="9"/>
      <c r="AA80" s="9"/>
      <c r="AB80" s="9"/>
      <c r="AC80" s="468" t="str">
        <f t="shared" si="34"/>
        <v>PHC</v>
      </c>
      <c r="AD80" s="468"/>
      <c r="AE80" s="468"/>
      <c r="AF80" s="4"/>
      <c r="AG80" s="88"/>
      <c r="AH80" s="4"/>
      <c r="AI80" s="4"/>
      <c r="AJ80" s="468"/>
      <c r="AK80" s="468"/>
      <c r="AL80" s="468"/>
      <c r="AM80" s="468"/>
      <c r="AN80" s="10">
        <v>5.5</v>
      </c>
      <c r="AO80" s="9"/>
      <c r="AP80" s="9"/>
      <c r="AQ80" s="9"/>
      <c r="AR80" s="9"/>
      <c r="AS80" s="9"/>
      <c r="AT80" s="9">
        <f>+ab($T$80,$T$78,$T$82,$G$79,$G$81,-1*$F$80,1200)</f>
        <v>-2.3972584678993845</v>
      </c>
      <c r="AU80" s="447"/>
      <c r="AV80" s="447"/>
      <c r="AW80" s="468" t="s">
        <v>199</v>
      </c>
      <c r="AX80" s="468" t="s">
        <v>199</v>
      </c>
      <c r="AY80" s="10"/>
      <c r="AZ80" s="10"/>
      <c r="BA80" s="553" t="str">
        <f t="shared" si="33"/>
        <v/>
      </c>
      <c r="BB80" s="553" t="str">
        <f t="shared" si="30"/>
        <v/>
      </c>
      <c r="BC80" s="553" t="str">
        <f t="shared" ref="BC80:BC143" si="40">IF(M80="","",IF(M80="U.S.","ü",IF(M80="U.S. N.D.","ü","")))</f>
        <v>ü</v>
      </c>
      <c r="BD80" s="572" t="str">
        <f>IF(AND(L80="",H80=""),"",
IF(H80="",Pole_Calc!A$9,
IF(H80="MP",Pole_Calc!A$10,
IF(H80="AnMP",Pole_Calc!A$11,
IF(H80="A",Pole_Calc!A$12,
IF(H80="S/A",Pole_Calc!A$13,
IF(H80="A/S",Pole_Calc!A$14,"Poner a mano")))))))</f>
        <v>App.7-V11H-P9.5.1.1</v>
      </c>
      <c r="BE80" s="448" t="s">
        <v>1726</v>
      </c>
      <c r="BF80" s="306"/>
      <c r="BG80" s="306"/>
      <c r="BH80" s="306"/>
      <c r="BI80" s="306"/>
    </row>
    <row r="81" spans="1:61" ht="16.2" customHeight="1">
      <c r="A81" s="574" t="s">
        <v>1497</v>
      </c>
      <c r="B81" s="469"/>
      <c r="C81" s="3"/>
      <c r="D81" s="88"/>
      <c r="E81" s="4"/>
      <c r="F81" s="4"/>
      <c r="G81" s="6">
        <v>32</v>
      </c>
      <c r="H81" s="468"/>
      <c r="I81" s="468"/>
      <c r="J81" s="3"/>
      <c r="K81" s="468"/>
      <c r="L81" s="468"/>
      <c r="M81" s="468" t="str">
        <f>IF(L81="","",
IF(AX81="PT",VLOOKUP(L81,Foundation_Calc!$V$4:$X$37,VLOOKUP(AX81,Foundation_Calc!$I$10:$J$13,2,FALSE),0),
IF(AX81="K",VLOOKUP(L81,Foundation_Calc!$V$41:$X$74,VLOOKUP(AX81,Foundation_Calc!$I$10:$J$13,2,FALSE),0),"")))</f>
        <v/>
      </c>
      <c r="N81" s="468"/>
      <c r="O81" s="468"/>
      <c r="P81" s="468"/>
      <c r="Q81" s="4"/>
      <c r="R81" s="6"/>
      <c r="S81" s="6"/>
      <c r="T81" s="4"/>
      <c r="U81" s="4"/>
      <c r="V81" s="4"/>
      <c r="W81" s="9"/>
      <c r="X81" s="9"/>
      <c r="Y81" s="9"/>
      <c r="Z81" s="9"/>
      <c r="AA81" s="9"/>
      <c r="AB81" s="9"/>
      <c r="AC81" s="468" t="str">
        <f t="shared" si="34"/>
        <v/>
      </c>
      <c r="AD81" s="468"/>
      <c r="AE81" s="468"/>
      <c r="AF81" s="4"/>
      <c r="AG81" s="88"/>
      <c r="AH81" s="4"/>
      <c r="AI81" s="4"/>
      <c r="AJ81" s="468"/>
      <c r="AK81" s="468"/>
      <c r="AL81" s="468"/>
      <c r="AM81" s="468"/>
      <c r="AN81" s="10"/>
      <c r="AO81" s="9"/>
      <c r="AP81" s="9"/>
      <c r="AQ81" s="9">
        <f>+FL_2($T$82,$T$80,$G$81,1200,9.28,-1*$F$82)</f>
        <v>-0.30000000000002958</v>
      </c>
      <c r="AR81" s="9"/>
      <c r="AS81" s="9"/>
      <c r="AT81" s="9"/>
      <c r="AU81" s="447"/>
      <c r="AV81" s="447"/>
      <c r="AW81" s="468"/>
      <c r="AX81" s="468"/>
      <c r="AY81" s="10"/>
      <c r="AZ81" s="10"/>
      <c r="BA81" s="553" t="str">
        <f t="shared" si="33"/>
        <v/>
      </c>
      <c r="BB81" s="553" t="str">
        <f t="shared" si="30"/>
        <v/>
      </c>
      <c r="BC81" s="553" t="str">
        <f t="shared" si="40"/>
        <v/>
      </c>
      <c r="BD81" s="572" t="str">
        <f>IF(AND(L81="",H81=""),"",
IF(H81="",Pole_Calc!A$9,
IF(H81="MP",Pole_Calc!A$10,
IF(H81="AnMP",Pole_Calc!A$11,
IF(H81="A",Pole_Calc!A$12,
IF(H81="S/A",Pole_Calc!A$13,
IF(H81="A/S",Pole_Calc!A$14,"Poner a mano")))))))</f>
        <v/>
      </c>
      <c r="BE81" s="448" t="s">
        <v>1726</v>
      </c>
      <c r="BF81" s="305"/>
      <c r="BG81" s="305"/>
      <c r="BH81" s="306"/>
      <c r="BI81" s="305"/>
    </row>
    <row r="82" spans="1:61" ht="16.2" customHeight="1">
      <c r="A82" s="574" t="s">
        <v>1497</v>
      </c>
      <c r="B82" s="469" t="s">
        <v>2240</v>
      </c>
      <c r="C82" s="3">
        <f t="shared" ref="C82" si="41">C80-G81</f>
        <v>1645.6799999999998</v>
      </c>
      <c r="D82" s="88"/>
      <c r="E82" s="4"/>
      <c r="F82" s="4">
        <v>400</v>
      </c>
      <c r="G82" s="6"/>
      <c r="H82" s="468"/>
      <c r="I82" s="468"/>
      <c r="J82" s="3"/>
      <c r="K82" s="468"/>
      <c r="L82" s="468" t="s">
        <v>38</v>
      </c>
      <c r="M82" s="468" t="s">
        <v>1625</v>
      </c>
      <c r="N82" s="468" t="s">
        <v>32</v>
      </c>
      <c r="O82" s="468"/>
      <c r="P82" s="468"/>
      <c r="Q82" s="4"/>
      <c r="R82" s="6"/>
      <c r="S82" s="6"/>
      <c r="T82" s="4">
        <v>-30</v>
      </c>
      <c r="U82" s="4"/>
      <c r="V82" s="4"/>
      <c r="W82" s="9">
        <v>1.4</v>
      </c>
      <c r="X82" s="9"/>
      <c r="Y82" s="9"/>
      <c r="Z82" s="9"/>
      <c r="AA82" s="9"/>
      <c r="AB82" s="9"/>
      <c r="AC82" s="468" t="str">
        <f t="shared" si="34"/>
        <v>PHC</v>
      </c>
      <c r="AD82" s="468"/>
      <c r="AE82" s="468"/>
      <c r="AF82" s="4"/>
      <c r="AG82" s="88"/>
      <c r="AH82" s="4"/>
      <c r="AI82" s="4"/>
      <c r="AJ82" s="468"/>
      <c r="AK82" s="468"/>
      <c r="AL82" s="468"/>
      <c r="AM82" s="468"/>
      <c r="AN82" s="10">
        <v>5.5</v>
      </c>
      <c r="AO82" s="9"/>
      <c r="AP82" s="9"/>
      <c r="AQ82" s="9"/>
      <c r="AR82" s="9"/>
      <c r="AS82" s="9"/>
      <c r="AT82" s="9">
        <f>+ab($T$82,$T$80,$T$84,$G$81,$G$83,-1*$F$82,1200)</f>
        <v>-2.3972584678993845</v>
      </c>
      <c r="AU82" s="447"/>
      <c r="AV82" s="447"/>
      <c r="AW82" s="468" t="s">
        <v>199</v>
      </c>
      <c r="AX82" s="468" t="s">
        <v>199</v>
      </c>
      <c r="AY82" s="10"/>
      <c r="AZ82" s="10"/>
      <c r="BA82" s="553" t="str">
        <f t="shared" si="33"/>
        <v/>
      </c>
      <c r="BB82" s="553" t="str">
        <f t="shared" si="30"/>
        <v/>
      </c>
      <c r="BC82" s="553" t="str">
        <f t="shared" si="40"/>
        <v>ü</v>
      </c>
      <c r="BD82" s="572" t="str">
        <f>IF(AND(L82="",H82=""),"",
IF(H82="",Pole_Calc!A$9,
IF(H82="MP",Pole_Calc!A$10,
IF(H82="AnMP",Pole_Calc!A$11,
IF(H82="A",Pole_Calc!A$12,
IF(H82="S/A",Pole_Calc!A$13,
IF(H82="A/S",Pole_Calc!A$14,"Poner a mano")))))))</f>
        <v>App.7-V11H-P9.5.1.1</v>
      </c>
      <c r="BE82" s="448" t="s">
        <v>1726</v>
      </c>
      <c r="BF82" s="306"/>
      <c r="BG82" s="306"/>
      <c r="BH82" s="306"/>
      <c r="BI82" s="306"/>
    </row>
    <row r="83" spans="1:61" ht="16.2" customHeight="1">
      <c r="A83" s="574" t="s">
        <v>1497</v>
      </c>
      <c r="B83" s="469"/>
      <c r="C83" s="3"/>
      <c r="D83" s="88"/>
      <c r="E83" s="4"/>
      <c r="F83" s="4"/>
      <c r="G83" s="6">
        <v>32</v>
      </c>
      <c r="H83" s="468"/>
      <c r="I83" s="468"/>
      <c r="J83" s="3"/>
      <c r="K83" s="468"/>
      <c r="L83" s="468"/>
      <c r="M83" s="468" t="str">
        <f>IF(L83="","",
IF(AX83="PT",VLOOKUP(L83,Foundation_Calc!$V$4:$X$37,VLOOKUP(AX83,Foundation_Calc!$I$10:$J$13,2,FALSE),0),
IF(AX83="K",VLOOKUP(L83,Foundation_Calc!$V$41:$X$74,VLOOKUP(AX83,Foundation_Calc!$I$10:$J$13,2,FALSE),0),"")))</f>
        <v/>
      </c>
      <c r="N83" s="468"/>
      <c r="O83" s="468"/>
      <c r="P83" s="468"/>
      <c r="Q83" s="4"/>
      <c r="R83" s="6"/>
      <c r="S83" s="6"/>
      <c r="T83" s="4"/>
      <c r="U83" s="4"/>
      <c r="V83" s="4"/>
      <c r="W83" s="9"/>
      <c r="X83" s="9"/>
      <c r="Y83" s="9"/>
      <c r="Z83" s="9"/>
      <c r="AA83" s="9"/>
      <c r="AB83" s="9"/>
      <c r="AC83" s="468" t="str">
        <f t="shared" si="34"/>
        <v/>
      </c>
      <c r="AD83" s="468"/>
      <c r="AE83" s="468"/>
      <c r="AF83" s="4"/>
      <c r="AG83" s="88"/>
      <c r="AH83" s="4"/>
      <c r="AI83" s="4"/>
      <c r="AJ83" s="468"/>
      <c r="AK83" s="468"/>
      <c r="AL83" s="468"/>
      <c r="AM83" s="468"/>
      <c r="AN83" s="10"/>
      <c r="AO83" s="9"/>
      <c r="AP83" s="9"/>
      <c r="AQ83" s="9">
        <f>+FL_2($T$84,$T$82,$G$83,1200,9.28,-1*$F$84)</f>
        <v>-0.30000000000002958</v>
      </c>
      <c r="AR83" s="9"/>
      <c r="AS83" s="9"/>
      <c r="AT83" s="9"/>
      <c r="AU83" s="447"/>
      <c r="AV83" s="447"/>
      <c r="AW83" s="468"/>
      <c r="AX83" s="468"/>
      <c r="AY83" s="10"/>
      <c r="AZ83" s="10"/>
      <c r="BA83" s="553" t="str">
        <f t="shared" si="33"/>
        <v/>
      </c>
      <c r="BB83" s="553" t="str">
        <f t="shared" si="30"/>
        <v/>
      </c>
      <c r="BC83" s="553" t="str">
        <f t="shared" si="40"/>
        <v/>
      </c>
      <c r="BD83" s="572" t="str">
        <f>IF(AND(L83="",H83=""),"",
IF(H83="",Pole_Calc!A$9,
IF(H83="MP",Pole_Calc!A$10,
IF(H83="AnMP",Pole_Calc!A$11,
IF(H83="A",Pole_Calc!A$12,
IF(H83="S/A",Pole_Calc!A$13,
IF(H83="A/S",Pole_Calc!A$14,"Poner a mano")))))))</f>
        <v/>
      </c>
      <c r="BE83" s="448" t="s">
        <v>1726</v>
      </c>
      <c r="BF83" s="305"/>
      <c r="BG83" s="305"/>
      <c r="BH83" s="306"/>
      <c r="BI83" s="305"/>
    </row>
    <row r="84" spans="1:61" ht="16.2" customHeight="1">
      <c r="A84" s="574" t="s">
        <v>1497</v>
      </c>
      <c r="B84" s="469" t="s">
        <v>2241</v>
      </c>
      <c r="C84" s="3">
        <f t="shared" ref="C84" si="42">C82-G83</f>
        <v>1613.6799999999998</v>
      </c>
      <c r="D84" s="88"/>
      <c r="E84" s="4"/>
      <c r="F84" s="4">
        <v>400</v>
      </c>
      <c r="G84" s="6"/>
      <c r="H84" s="468"/>
      <c r="I84" s="468"/>
      <c r="J84" s="3"/>
      <c r="K84" s="468"/>
      <c r="L84" s="468" t="s">
        <v>38</v>
      </c>
      <c r="M84" s="468" t="s">
        <v>1625</v>
      </c>
      <c r="N84" s="468" t="s">
        <v>32</v>
      </c>
      <c r="O84" s="468"/>
      <c r="P84" s="468"/>
      <c r="Q84" s="4"/>
      <c r="R84" s="6"/>
      <c r="S84" s="6"/>
      <c r="T84" s="4">
        <v>-30</v>
      </c>
      <c r="U84" s="4"/>
      <c r="V84" s="4"/>
      <c r="W84" s="9">
        <v>1.4</v>
      </c>
      <c r="X84" s="9"/>
      <c r="Y84" s="9"/>
      <c r="Z84" s="9"/>
      <c r="AA84" s="9"/>
      <c r="AB84" s="9"/>
      <c r="AC84" s="468" t="str">
        <f t="shared" si="34"/>
        <v>PHC</v>
      </c>
      <c r="AD84" s="468"/>
      <c r="AE84" s="468"/>
      <c r="AF84" s="4"/>
      <c r="AG84" s="88"/>
      <c r="AH84" s="4"/>
      <c r="AI84" s="4"/>
      <c r="AJ84" s="468"/>
      <c r="AK84" s="468"/>
      <c r="AL84" s="468"/>
      <c r="AM84" s="468"/>
      <c r="AN84" s="10">
        <v>5.5</v>
      </c>
      <c r="AO84" s="9"/>
      <c r="AP84" s="9"/>
      <c r="AQ84" s="9"/>
      <c r="AR84" s="9"/>
      <c r="AS84" s="9"/>
      <c r="AT84" s="9">
        <f>+ab($T$84,$T$82,$T$86,$G$83,$G$85,-1*$F$84,1200)</f>
        <v>-2.3972584678993845</v>
      </c>
      <c r="AU84" s="447"/>
      <c r="AV84" s="447"/>
      <c r="AW84" s="468" t="s">
        <v>199</v>
      </c>
      <c r="AX84" s="468" t="s">
        <v>199</v>
      </c>
      <c r="AY84" s="10"/>
      <c r="AZ84" s="10"/>
      <c r="BA84" s="553" t="str">
        <f t="shared" si="33"/>
        <v/>
      </c>
      <c r="BB84" s="553" t="str">
        <f t="shared" si="30"/>
        <v/>
      </c>
      <c r="BC84" s="553" t="str">
        <f t="shared" si="40"/>
        <v>ü</v>
      </c>
      <c r="BD84" s="572" t="str">
        <f>IF(AND(L84="",H84=""),"",
IF(H84="",Pole_Calc!A$9,
IF(H84="MP",Pole_Calc!A$10,
IF(H84="AnMP",Pole_Calc!A$11,
IF(H84="A",Pole_Calc!A$12,
IF(H84="S/A",Pole_Calc!A$13,
IF(H84="A/S",Pole_Calc!A$14,"Poner a mano")))))))</f>
        <v>App.7-V11H-P9.5.1.1</v>
      </c>
      <c r="BE84" s="448" t="s">
        <v>1726</v>
      </c>
      <c r="BF84" s="306"/>
      <c r="BG84" s="306"/>
      <c r="BH84" s="306"/>
      <c r="BI84" s="306"/>
    </row>
    <row r="85" spans="1:61" ht="16.2" customHeight="1">
      <c r="A85" s="574" t="s">
        <v>1497</v>
      </c>
      <c r="B85" s="469"/>
      <c r="C85" s="3"/>
      <c r="D85" s="88"/>
      <c r="E85" s="4"/>
      <c r="F85" s="4"/>
      <c r="G85" s="6">
        <v>32</v>
      </c>
      <c r="H85" s="468"/>
      <c r="I85" s="468"/>
      <c r="J85" s="3"/>
      <c r="K85" s="468"/>
      <c r="L85" s="468"/>
      <c r="M85" s="468" t="str">
        <f>IF(L85="","",
IF(AX85="PT",VLOOKUP(L85,Foundation_Calc!$V$4:$X$37,VLOOKUP(AX85,Foundation_Calc!$I$10:$J$13,2,FALSE),0),
IF(AX85="K",VLOOKUP(L85,Foundation_Calc!$V$41:$X$74,VLOOKUP(AX85,Foundation_Calc!$I$10:$J$13,2,FALSE),0),"")))</f>
        <v/>
      </c>
      <c r="N85" s="468"/>
      <c r="O85" s="468"/>
      <c r="P85" s="468"/>
      <c r="Q85" s="4"/>
      <c r="R85" s="6"/>
      <c r="S85" s="6"/>
      <c r="T85" s="4"/>
      <c r="U85" s="4"/>
      <c r="V85" s="4"/>
      <c r="W85" s="9"/>
      <c r="X85" s="9"/>
      <c r="Y85" s="9"/>
      <c r="Z85" s="9"/>
      <c r="AA85" s="9"/>
      <c r="AB85" s="9"/>
      <c r="AC85" s="468" t="str">
        <f t="shared" si="34"/>
        <v/>
      </c>
      <c r="AD85" s="468"/>
      <c r="AE85" s="468"/>
      <c r="AF85" s="4"/>
      <c r="AG85" s="88"/>
      <c r="AH85" s="4"/>
      <c r="AI85" s="4"/>
      <c r="AJ85" s="468"/>
      <c r="AK85" s="468"/>
      <c r="AL85" s="468"/>
      <c r="AM85" s="468"/>
      <c r="AN85" s="10"/>
      <c r="AO85" s="9"/>
      <c r="AP85" s="9"/>
      <c r="AQ85" s="9">
        <f>+FL_2($T$86,$T$84,$G$85,1200,9.28,-1*$F$86)</f>
        <v>-0.30000000000002958</v>
      </c>
      <c r="AR85" s="9"/>
      <c r="AS85" s="9"/>
      <c r="AT85" s="9"/>
      <c r="AU85" s="447"/>
      <c r="AV85" s="447"/>
      <c r="AW85" s="468"/>
      <c r="AX85" s="468"/>
      <c r="AY85" s="10"/>
      <c r="AZ85" s="10"/>
      <c r="BA85" s="553" t="str">
        <f t="shared" si="33"/>
        <v/>
      </c>
      <c r="BB85" s="553" t="str">
        <f t="shared" si="30"/>
        <v/>
      </c>
      <c r="BC85" s="553" t="str">
        <f t="shared" si="40"/>
        <v/>
      </c>
      <c r="BD85" s="572" t="str">
        <f>IF(AND(L85="",H85=""),"",
IF(H85="",Pole_Calc!A$9,
IF(H85="MP",Pole_Calc!A$10,
IF(H85="AnMP",Pole_Calc!A$11,
IF(H85="A",Pole_Calc!A$12,
IF(H85="S/A",Pole_Calc!A$13,
IF(H85="A/S",Pole_Calc!A$14,"Poner a mano")))))))</f>
        <v/>
      </c>
      <c r="BE85" s="448" t="s">
        <v>1726</v>
      </c>
      <c r="BF85" s="305"/>
      <c r="BG85" s="305"/>
      <c r="BH85" s="306"/>
      <c r="BI85" s="305"/>
    </row>
    <row r="86" spans="1:61" ht="16.2" customHeight="1">
      <c r="A86" s="574" t="s">
        <v>1497</v>
      </c>
      <c r="B86" s="469" t="s">
        <v>2242</v>
      </c>
      <c r="C86" s="3">
        <f t="shared" ref="C86" si="43">C84-G85</f>
        <v>1581.6799999999998</v>
      </c>
      <c r="D86" s="88"/>
      <c r="E86" s="4"/>
      <c r="F86" s="4">
        <v>400</v>
      </c>
      <c r="G86" s="6"/>
      <c r="H86" s="468"/>
      <c r="I86" s="468"/>
      <c r="J86" s="3"/>
      <c r="K86" s="468"/>
      <c r="L86" s="468" t="s">
        <v>38</v>
      </c>
      <c r="M86" s="468" t="s">
        <v>1625</v>
      </c>
      <c r="N86" s="468" t="s">
        <v>32</v>
      </c>
      <c r="O86" s="468"/>
      <c r="P86" s="468"/>
      <c r="Q86" s="4"/>
      <c r="R86" s="6"/>
      <c r="S86" s="6"/>
      <c r="T86" s="4">
        <v>-30</v>
      </c>
      <c r="U86" s="4"/>
      <c r="V86" s="4"/>
      <c r="W86" s="9">
        <v>1.4</v>
      </c>
      <c r="X86" s="9"/>
      <c r="Y86" s="9"/>
      <c r="Z86" s="9"/>
      <c r="AA86" s="9"/>
      <c r="AB86" s="9"/>
      <c r="AC86" s="468" t="str">
        <f t="shared" si="34"/>
        <v>PHC</v>
      </c>
      <c r="AD86" s="468"/>
      <c r="AE86" s="468"/>
      <c r="AF86" s="4"/>
      <c r="AG86" s="88"/>
      <c r="AH86" s="4"/>
      <c r="AI86" s="4"/>
      <c r="AJ86" s="468"/>
      <c r="AK86" s="468"/>
      <c r="AL86" s="468"/>
      <c r="AM86" s="468"/>
      <c r="AN86" s="10">
        <v>5.5</v>
      </c>
      <c r="AO86" s="9"/>
      <c r="AP86" s="9"/>
      <c r="AQ86" s="9"/>
      <c r="AR86" s="9"/>
      <c r="AS86" s="9"/>
      <c r="AT86" s="9">
        <f>+ab($T$86,$T$84,$T$88,$G$85,$G$87,-1*$F$86,1200)</f>
        <v>-2.3972584678993845</v>
      </c>
      <c r="AU86" s="447"/>
      <c r="AV86" s="447"/>
      <c r="AW86" s="468" t="s">
        <v>199</v>
      </c>
      <c r="AX86" s="468" t="s">
        <v>199</v>
      </c>
      <c r="AY86" s="10"/>
      <c r="AZ86" s="10"/>
      <c r="BA86" s="553" t="str">
        <f t="shared" si="33"/>
        <v/>
      </c>
      <c r="BB86" s="553" t="str">
        <f t="shared" si="30"/>
        <v/>
      </c>
      <c r="BC86" s="553" t="str">
        <f t="shared" si="40"/>
        <v>ü</v>
      </c>
      <c r="BD86" s="572" t="str">
        <f>IF(AND(L86="",H86=""),"",
IF(H86="",Pole_Calc!A$9,
IF(H86="MP",Pole_Calc!A$10,
IF(H86="AnMP",Pole_Calc!A$11,
IF(H86="A",Pole_Calc!A$12,
IF(H86="S/A",Pole_Calc!A$13,
IF(H86="A/S",Pole_Calc!A$14,"Poner a mano")))))))</f>
        <v>App.7-V11H-P9.5.1.1</v>
      </c>
      <c r="BE86" s="448" t="s">
        <v>1726</v>
      </c>
      <c r="BF86" s="306"/>
      <c r="BG86" s="306"/>
      <c r="BH86" s="306"/>
      <c r="BI86" s="306"/>
    </row>
    <row r="87" spans="1:61" ht="16.2" customHeight="1">
      <c r="A87" s="574" t="s">
        <v>1497</v>
      </c>
      <c r="B87" s="469"/>
      <c r="C87" s="3"/>
      <c r="D87" s="88"/>
      <c r="E87" s="4"/>
      <c r="F87" s="4"/>
      <c r="G87" s="6">
        <v>32</v>
      </c>
      <c r="H87" s="468"/>
      <c r="I87" s="468"/>
      <c r="J87" s="3">
        <f>C88+7.5</f>
        <v>1557.1799999999998</v>
      </c>
      <c r="K87" s="468" t="s">
        <v>1625</v>
      </c>
      <c r="L87" s="468"/>
      <c r="M87" s="468" t="str">
        <f>IF(L87="","",
IF(AX87="PT",VLOOKUP(L87,Foundation_Calc!$V$4:$X$37,VLOOKUP(AX87,Foundation_Calc!$I$10:$J$13,2,FALSE),0),
IF(AX87="K",VLOOKUP(L87,Foundation_Calc!$V$41:$X$74,VLOOKUP(AX87,Foundation_Calc!$I$10:$J$13,2,FALSE),0),"")))</f>
        <v/>
      </c>
      <c r="N87" s="468"/>
      <c r="O87" s="468"/>
      <c r="P87" s="468"/>
      <c r="Q87" s="4"/>
      <c r="R87" s="6"/>
      <c r="S87" s="6"/>
      <c r="T87" s="4"/>
      <c r="U87" s="4"/>
      <c r="V87" s="4"/>
      <c r="W87" s="9"/>
      <c r="X87" s="9"/>
      <c r="Y87" s="9"/>
      <c r="Z87" s="9"/>
      <c r="AA87" s="9"/>
      <c r="AB87" s="9"/>
      <c r="AC87" s="468" t="str">
        <f t="shared" si="34"/>
        <v/>
      </c>
      <c r="AD87" s="468"/>
      <c r="AE87" s="468"/>
      <c r="AF87" s="4"/>
      <c r="AG87" s="88"/>
      <c r="AH87" s="4"/>
      <c r="AI87" s="4"/>
      <c r="AJ87" s="468"/>
      <c r="AK87" s="468"/>
      <c r="AL87" s="468"/>
      <c r="AM87" s="468"/>
      <c r="AN87" s="10"/>
      <c r="AO87" s="9"/>
      <c r="AP87" s="9"/>
      <c r="AQ87" s="9">
        <f>+FL_2($T$88,$T$86,$G$87,1200,9.28,-1*$F$88)</f>
        <v>-0.30000000000002958</v>
      </c>
      <c r="AR87" s="9"/>
      <c r="AS87" s="9"/>
      <c r="AT87" s="9"/>
      <c r="AU87" s="447"/>
      <c r="AV87" s="447"/>
      <c r="AW87" s="468"/>
      <c r="AX87" s="468"/>
      <c r="AY87" s="10"/>
      <c r="AZ87" s="10"/>
      <c r="BA87" s="553" t="str">
        <f t="shared" si="33"/>
        <v/>
      </c>
      <c r="BB87" s="553" t="str">
        <f t="shared" si="30"/>
        <v>ü</v>
      </c>
      <c r="BC87" s="553" t="str">
        <f t="shared" si="40"/>
        <v/>
      </c>
      <c r="BD87" s="572" t="str">
        <f>IF(AND(L87="",H87=""),"",
IF(H87="",Pole_Calc!A$9,
IF(H87="MP",Pole_Calc!A$10,
IF(H87="AnMP",Pole_Calc!A$11,
IF(H87="A",Pole_Calc!A$12,
IF(H87="S/A",Pole_Calc!A$13,
IF(H87="A/S",Pole_Calc!A$14,"Poner a mano")))))))</f>
        <v/>
      </c>
      <c r="BE87" s="448" t="s">
        <v>1726</v>
      </c>
      <c r="BF87" s="305"/>
      <c r="BG87" s="305"/>
      <c r="BH87" s="306"/>
      <c r="BI87" s="305"/>
    </row>
    <row r="88" spans="1:61" ht="16.2" customHeight="1">
      <c r="A88" s="574" t="s">
        <v>1497</v>
      </c>
      <c r="B88" s="469" t="s">
        <v>2243</v>
      </c>
      <c r="C88" s="3">
        <f t="shared" ref="C88" si="44">C86-G87</f>
        <v>1549.6799999999998</v>
      </c>
      <c r="D88" s="88"/>
      <c r="E88" s="4"/>
      <c r="F88" s="4">
        <v>400</v>
      </c>
      <c r="G88" s="6"/>
      <c r="H88" s="468" t="s">
        <v>365</v>
      </c>
      <c r="I88" s="468"/>
      <c r="J88" s="3"/>
      <c r="K88" s="468"/>
      <c r="L88" s="468" t="s">
        <v>40</v>
      </c>
      <c r="M88" s="468" t="s">
        <v>1625</v>
      </c>
      <c r="N88" s="468" t="s">
        <v>32</v>
      </c>
      <c r="O88" s="468"/>
      <c r="P88" s="468"/>
      <c r="Q88" s="4"/>
      <c r="R88" s="6"/>
      <c r="S88" s="6"/>
      <c r="T88" s="4">
        <v>-30</v>
      </c>
      <c r="U88" s="4"/>
      <c r="V88" s="4"/>
      <c r="W88" s="9">
        <v>1.4</v>
      </c>
      <c r="X88" s="9"/>
      <c r="Y88" s="9"/>
      <c r="Z88" s="9"/>
      <c r="AA88" s="9"/>
      <c r="AB88" s="9"/>
      <c r="AC88" s="468" t="str">
        <f t="shared" si="34"/>
        <v>PHC</v>
      </c>
      <c r="AD88" s="468"/>
      <c r="AE88" s="468"/>
      <c r="AF88" s="4"/>
      <c r="AG88" s="88"/>
      <c r="AH88" s="4"/>
      <c r="AI88" s="4"/>
      <c r="AJ88" s="468"/>
      <c r="AK88" s="468"/>
      <c r="AL88" s="468"/>
      <c r="AM88" s="468"/>
      <c r="AN88" s="10">
        <v>5.5</v>
      </c>
      <c r="AO88" s="9"/>
      <c r="AP88" s="9"/>
      <c r="AQ88" s="9"/>
      <c r="AR88" s="9"/>
      <c r="AS88" s="9"/>
      <c r="AT88" s="9">
        <f>+ab($T$88,$T$86,$T$90,$G$87,$G$89,-1*$F$88,1200)</f>
        <v>-2.3972584678993845</v>
      </c>
      <c r="AU88" s="447"/>
      <c r="AV88" s="447"/>
      <c r="AW88" s="468" t="s">
        <v>199</v>
      </c>
      <c r="AX88" s="468" t="s">
        <v>199</v>
      </c>
      <c r="AY88" s="10"/>
      <c r="AZ88" s="10"/>
      <c r="BA88" s="553" t="str">
        <f t="shared" si="33"/>
        <v/>
      </c>
      <c r="BB88" s="553" t="str">
        <f t="shared" si="30"/>
        <v/>
      </c>
      <c r="BC88" s="553" t="str">
        <f t="shared" si="40"/>
        <v>ü</v>
      </c>
      <c r="BD88" s="572" t="str">
        <f>IF(AND(L88="",H88=""),"",
IF(H88="",Pole_Calc!A$9,
IF(H88="MP",Pole_Calc!A$10,
IF(H88="AnMP",Pole_Calc!A$11,
IF(H88="A",Pole_Calc!A$12,
IF(H88="S/A",Pole_Calc!A$13,
IF(H88="A/S",Pole_Calc!A$14,"Poner a mano")))))))</f>
        <v>App.7-V11H-P9.5.1.3</v>
      </c>
      <c r="BE88" s="448" t="s">
        <v>1726</v>
      </c>
      <c r="BF88" s="306"/>
      <c r="BG88" s="306"/>
      <c r="BH88" s="306"/>
      <c r="BI88" s="306"/>
    </row>
    <row r="89" spans="1:61" ht="16.2" customHeight="1">
      <c r="A89" s="574" t="s">
        <v>1497</v>
      </c>
      <c r="B89" s="469"/>
      <c r="C89" s="3"/>
      <c r="D89" s="88"/>
      <c r="E89" s="4"/>
      <c r="F89" s="4"/>
      <c r="G89" s="6">
        <v>32</v>
      </c>
      <c r="H89" s="468"/>
      <c r="I89" s="4">
        <f>SUM(G69:G89)</f>
        <v>355.9</v>
      </c>
      <c r="J89" s="3"/>
      <c r="K89" s="468"/>
      <c r="L89" s="468"/>
      <c r="M89" s="468" t="str">
        <f>IF(L89="","",
IF(AX89="PT",VLOOKUP(L89,Foundation_Calc!$V$4:$X$37,VLOOKUP(AX89,Foundation_Calc!$I$10:$J$13,2,FALSE),0),
IF(AX89="K",VLOOKUP(L89,Foundation_Calc!$V$41:$X$74,VLOOKUP(AX89,Foundation_Calc!$I$10:$J$13,2,FALSE),0),"")))</f>
        <v/>
      </c>
      <c r="N89" s="468"/>
      <c r="O89" s="468"/>
      <c r="P89" s="468"/>
      <c r="Q89" s="4"/>
      <c r="R89" s="6"/>
      <c r="S89" s="6"/>
      <c r="T89" s="4"/>
      <c r="U89" s="4"/>
      <c r="V89" s="4"/>
      <c r="W89" s="9"/>
      <c r="X89" s="9"/>
      <c r="Y89" s="9"/>
      <c r="Z89" s="9"/>
      <c r="AA89" s="9"/>
      <c r="AB89" s="9"/>
      <c r="AC89" s="468" t="str">
        <f t="shared" si="34"/>
        <v/>
      </c>
      <c r="AD89" s="468"/>
      <c r="AE89" s="468"/>
      <c r="AF89" s="4"/>
      <c r="AG89" s="88"/>
      <c r="AH89" s="4"/>
      <c r="AI89" s="4"/>
      <c r="AJ89" s="468"/>
      <c r="AK89" s="468"/>
      <c r="AL89" s="468"/>
      <c r="AM89" s="468"/>
      <c r="AN89" s="10"/>
      <c r="AO89" s="9"/>
      <c r="AP89" s="9"/>
      <c r="AQ89" s="9">
        <f>+FL_2($T$90,$T$88,$G$89,1200,9.28,-1*$F$90)</f>
        <v>-0.30000000000002958</v>
      </c>
      <c r="AR89" s="9"/>
      <c r="AS89" s="9"/>
      <c r="AT89" s="9"/>
      <c r="AU89" s="447"/>
      <c r="AV89" s="447"/>
      <c r="AW89" s="468"/>
      <c r="AX89" s="468"/>
      <c r="AY89" s="10"/>
      <c r="AZ89" s="10"/>
      <c r="BA89" s="553" t="str">
        <f t="shared" si="33"/>
        <v/>
      </c>
      <c r="BB89" s="553" t="str">
        <f t="shared" si="30"/>
        <v/>
      </c>
      <c r="BC89" s="553" t="str">
        <f t="shared" si="40"/>
        <v/>
      </c>
      <c r="BD89" s="572" t="str">
        <f>IF(AND(L89="",H89=""),"",
IF(H89="",Pole_Calc!A$9,
IF(H89="MP",Pole_Calc!A$10,
IF(H89="AnMP",Pole_Calc!A$11,
IF(H89="A",Pole_Calc!A$12,
IF(H89="S/A",Pole_Calc!A$13,
IF(H89="A/S",Pole_Calc!A$14,"Poner a mano")))))))</f>
        <v/>
      </c>
      <c r="BE89" s="448" t="s">
        <v>1726</v>
      </c>
      <c r="BF89" s="305"/>
      <c r="BG89" s="305"/>
      <c r="BH89" s="306"/>
      <c r="BI89" s="305"/>
    </row>
    <row r="90" spans="1:61" ht="16.2" customHeight="1">
      <c r="A90" s="574" t="s">
        <v>1497</v>
      </c>
      <c r="B90" s="469" t="s">
        <v>2244</v>
      </c>
      <c r="C90" s="3">
        <f t="shared" ref="C90" si="45">C88-G89</f>
        <v>1517.6799999999998</v>
      </c>
      <c r="D90" s="88"/>
      <c r="E90" s="4"/>
      <c r="F90" s="4">
        <v>400</v>
      </c>
      <c r="G90" s="6"/>
      <c r="H90" s="468" t="s">
        <v>366</v>
      </c>
      <c r="I90" s="468"/>
      <c r="J90" s="3"/>
      <c r="K90" s="468"/>
      <c r="L90" s="468" t="s">
        <v>40</v>
      </c>
      <c r="M90" s="468" t="s">
        <v>1625</v>
      </c>
      <c r="N90" s="468" t="s">
        <v>32</v>
      </c>
      <c r="O90" s="468"/>
      <c r="P90" s="468"/>
      <c r="Q90" s="4"/>
      <c r="R90" s="6"/>
      <c r="S90" s="6"/>
      <c r="T90" s="4">
        <v>-30</v>
      </c>
      <c r="U90" s="4"/>
      <c r="V90" s="4"/>
      <c r="W90" s="9">
        <v>1.4</v>
      </c>
      <c r="X90" s="9"/>
      <c r="Y90" s="9"/>
      <c r="Z90" s="9"/>
      <c r="AA90" s="9"/>
      <c r="AB90" s="9"/>
      <c r="AC90" s="468" t="str">
        <f t="shared" si="34"/>
        <v>PHC</v>
      </c>
      <c r="AD90" s="468"/>
      <c r="AE90" s="468"/>
      <c r="AF90" s="4"/>
      <c r="AG90" s="88"/>
      <c r="AH90" s="4"/>
      <c r="AI90" s="4"/>
      <c r="AJ90" s="468"/>
      <c r="AK90" s="468"/>
      <c r="AL90" s="468"/>
      <c r="AM90" s="468"/>
      <c r="AN90" s="10">
        <v>5.5</v>
      </c>
      <c r="AO90" s="9"/>
      <c r="AP90" s="9"/>
      <c r="AQ90" s="9"/>
      <c r="AR90" s="9"/>
      <c r="AS90" s="9"/>
      <c r="AT90" s="9">
        <f>+ab($T$90,$T$88,$T$92,$G$89,$G$91,-1*$F$90,1200)</f>
        <v>-2.3972584678993845</v>
      </c>
      <c r="AU90" s="447"/>
      <c r="AV90" s="447"/>
      <c r="AW90" s="468" t="s">
        <v>199</v>
      </c>
      <c r="AX90" s="468" t="s">
        <v>199</v>
      </c>
      <c r="AY90" s="10"/>
      <c r="AZ90" s="10"/>
      <c r="BA90" s="553" t="str">
        <f t="shared" si="33"/>
        <v/>
      </c>
      <c r="BB90" s="553" t="str">
        <f t="shared" si="30"/>
        <v/>
      </c>
      <c r="BC90" s="553" t="str">
        <f t="shared" si="40"/>
        <v>ü</v>
      </c>
      <c r="BD90" s="572" t="str">
        <f>IF(AND(L90="",H90=""),"",
IF(H90="",Pole_Calc!A$9,
IF(H90="MP",Pole_Calc!A$10,
IF(H90="AnMP",Pole_Calc!A$11,
IF(H90="A",Pole_Calc!A$12,
IF(H90="S/A",Pole_Calc!A$13,
IF(H90="A/S",Pole_Calc!A$14,"Poner a mano")))))))</f>
        <v>App.7-V11H-P9.5.1.2</v>
      </c>
      <c r="BE90" s="448" t="s">
        <v>1726</v>
      </c>
      <c r="BF90" s="306"/>
      <c r="BG90" s="306"/>
      <c r="BH90" s="306"/>
      <c r="BI90" s="306"/>
    </row>
    <row r="91" spans="1:61" ht="16.2" customHeight="1">
      <c r="A91" s="574" t="s">
        <v>1497</v>
      </c>
      <c r="B91" s="469"/>
      <c r="C91" s="3"/>
      <c r="D91" s="88"/>
      <c r="E91" s="4"/>
      <c r="F91" s="4"/>
      <c r="G91" s="6">
        <v>32</v>
      </c>
      <c r="H91" s="468"/>
      <c r="I91" s="4">
        <f>SUM(G91:G111)</f>
        <v>416</v>
      </c>
      <c r="J91" s="3"/>
      <c r="K91" s="468"/>
      <c r="L91" s="468"/>
      <c r="M91" s="468" t="str">
        <f>IF(L91="","",
IF(AX91="PT",VLOOKUP(L91,Foundation_Calc!$V$4:$X$37,VLOOKUP(AX91,Foundation_Calc!$I$10:$J$13,2,FALSE),0),
IF(AX91="K",VLOOKUP(L91,Foundation_Calc!$V$41:$X$74,VLOOKUP(AX91,Foundation_Calc!$I$10:$J$13,2,FALSE),0),"")))</f>
        <v/>
      </c>
      <c r="N91" s="468"/>
      <c r="O91" s="468"/>
      <c r="P91" s="468"/>
      <c r="Q91" s="4"/>
      <c r="R91" s="6"/>
      <c r="S91" s="6"/>
      <c r="T91" s="4"/>
      <c r="U91" s="4"/>
      <c r="V91" s="4"/>
      <c r="W91" s="9"/>
      <c r="X91" s="9"/>
      <c r="Y91" s="9"/>
      <c r="Z91" s="9"/>
      <c r="AA91" s="9"/>
      <c r="AB91" s="9"/>
      <c r="AC91" s="468" t="str">
        <f t="shared" si="34"/>
        <v/>
      </c>
      <c r="AD91" s="468"/>
      <c r="AE91" s="468"/>
      <c r="AF91" s="4"/>
      <c r="AG91" s="88"/>
      <c r="AH91" s="4"/>
      <c r="AI91" s="4"/>
      <c r="AJ91" s="468"/>
      <c r="AK91" s="468"/>
      <c r="AL91" s="468"/>
      <c r="AM91" s="468"/>
      <c r="AN91" s="10"/>
      <c r="AO91" s="9"/>
      <c r="AP91" s="9"/>
      <c r="AQ91" s="9">
        <f>+FL_2($T$92,$T$90,$G$91,1200,9.28,-1*$F$92)</f>
        <v>-0.30000000000002958</v>
      </c>
      <c r="AR91" s="9"/>
      <c r="AS91" s="9"/>
      <c r="AT91" s="9"/>
      <c r="AU91" s="447"/>
      <c r="AV91" s="447"/>
      <c r="AW91" s="468"/>
      <c r="AX91" s="468"/>
      <c r="AY91" s="10"/>
      <c r="AZ91" s="10"/>
      <c r="BA91" s="553" t="str">
        <f t="shared" si="33"/>
        <v/>
      </c>
      <c r="BB91" s="553" t="str">
        <f t="shared" si="30"/>
        <v/>
      </c>
      <c r="BC91" s="553" t="str">
        <f t="shared" si="40"/>
        <v/>
      </c>
      <c r="BD91" s="572" t="str">
        <f>IF(AND(L91="",H91=""),"",
IF(H91="",Pole_Calc!A$9,
IF(H91="MP",Pole_Calc!A$10,
IF(H91="AnMP",Pole_Calc!A$11,
IF(H91="A",Pole_Calc!A$12,
IF(H91="S/A",Pole_Calc!A$13,
IF(H91="A/S",Pole_Calc!A$14,"Poner a mano")))))))</f>
        <v/>
      </c>
      <c r="BE91" s="448" t="s">
        <v>1726</v>
      </c>
      <c r="BF91" s="305"/>
      <c r="BG91" s="305"/>
      <c r="BH91" s="306"/>
      <c r="BI91" s="305"/>
    </row>
    <row r="92" spans="1:61" ht="16.2" customHeight="1">
      <c r="A92" s="574" t="s">
        <v>1497</v>
      </c>
      <c r="B92" s="469" t="s">
        <v>2245</v>
      </c>
      <c r="C92" s="3">
        <f t="shared" ref="C92" si="46">C90-G91</f>
        <v>1485.6799999999998</v>
      </c>
      <c r="D92" s="88"/>
      <c r="E92" s="4"/>
      <c r="F92" s="4">
        <v>400</v>
      </c>
      <c r="G92" s="6"/>
      <c r="H92" s="468" t="s">
        <v>365</v>
      </c>
      <c r="I92" s="468"/>
      <c r="J92" s="3"/>
      <c r="K92" s="468"/>
      <c r="L92" s="468" t="s">
        <v>40</v>
      </c>
      <c r="M92" s="468" t="s">
        <v>1625</v>
      </c>
      <c r="N92" s="468" t="s">
        <v>32</v>
      </c>
      <c r="O92" s="468"/>
      <c r="P92" s="468"/>
      <c r="Q92" s="4"/>
      <c r="R92" s="6"/>
      <c r="S92" s="6"/>
      <c r="T92" s="4">
        <v>-30</v>
      </c>
      <c r="U92" s="4"/>
      <c r="V92" s="4"/>
      <c r="W92" s="9">
        <v>1.4</v>
      </c>
      <c r="X92" s="9"/>
      <c r="Y92" s="9"/>
      <c r="Z92" s="9"/>
      <c r="AA92" s="9"/>
      <c r="AB92" s="9"/>
      <c r="AC92" s="468" t="str">
        <f t="shared" si="34"/>
        <v>PHC</v>
      </c>
      <c r="AD92" s="468"/>
      <c r="AE92" s="468"/>
      <c r="AF92" s="4"/>
      <c r="AG92" s="88"/>
      <c r="AH92" s="4"/>
      <c r="AI92" s="4"/>
      <c r="AJ92" s="468"/>
      <c r="AK92" s="468"/>
      <c r="AL92" s="468"/>
      <c r="AM92" s="468"/>
      <c r="AN92" s="10">
        <v>5.5</v>
      </c>
      <c r="AO92" s="9"/>
      <c r="AP92" s="9"/>
      <c r="AQ92" s="9"/>
      <c r="AR92" s="9"/>
      <c r="AS92" s="9"/>
      <c r="AT92" s="9">
        <f>+ab($T$92,$T$90,$T$94,$G$91,$G$93,-1*$F$92,1200)</f>
        <v>-2.3972584678993845</v>
      </c>
      <c r="AU92" s="447"/>
      <c r="AV92" s="447"/>
      <c r="AW92" s="468" t="s">
        <v>199</v>
      </c>
      <c r="AX92" s="468" t="s">
        <v>199</v>
      </c>
      <c r="AY92" s="10"/>
      <c r="AZ92" s="10"/>
      <c r="BA92" s="553" t="str">
        <f t="shared" si="33"/>
        <v/>
      </c>
      <c r="BB92" s="553" t="str">
        <f t="shared" si="30"/>
        <v/>
      </c>
      <c r="BC92" s="553" t="str">
        <f t="shared" si="40"/>
        <v>ü</v>
      </c>
      <c r="BD92" s="572" t="str">
        <f>IF(AND(L92="",H92=""),"",
IF(H92="",Pole_Calc!A$9,
IF(H92="MP",Pole_Calc!A$10,
IF(H92="AnMP",Pole_Calc!A$11,
IF(H92="A",Pole_Calc!A$12,
IF(H92="S/A",Pole_Calc!A$13,
IF(H92="A/S",Pole_Calc!A$14,"Poner a mano")))))))</f>
        <v>App.7-V11H-P9.5.1.3</v>
      </c>
      <c r="BE92" s="448" t="s">
        <v>1726</v>
      </c>
      <c r="BF92" s="306"/>
      <c r="BG92" s="306"/>
      <c r="BH92" s="306"/>
      <c r="BI92" s="306"/>
    </row>
    <row r="93" spans="1:61" ht="16.2" customHeight="1">
      <c r="A93" s="574" t="s">
        <v>1497</v>
      </c>
      <c r="B93" s="469"/>
      <c r="C93" s="3"/>
      <c r="D93" s="88"/>
      <c r="E93" s="4"/>
      <c r="F93" s="4"/>
      <c r="G93" s="6">
        <v>32</v>
      </c>
      <c r="H93" s="468"/>
      <c r="I93" s="468"/>
      <c r="J93" s="3">
        <f>C92-7.5</f>
        <v>1478.1799999999998</v>
      </c>
      <c r="K93" s="468" t="s">
        <v>1625</v>
      </c>
      <c r="L93" s="468"/>
      <c r="M93" s="468" t="str">
        <f>IF(L93="","",
IF(AX93="PT",VLOOKUP(L93,Foundation_Calc!$V$4:$X$37,VLOOKUP(AX93,Foundation_Calc!$I$10:$J$13,2,FALSE),0),
IF(AX93="K",VLOOKUP(L93,Foundation_Calc!$V$41:$X$74,VLOOKUP(AX93,Foundation_Calc!$I$10:$J$13,2,FALSE),0),"")))</f>
        <v/>
      </c>
      <c r="N93" s="468"/>
      <c r="O93" s="468"/>
      <c r="P93" s="468"/>
      <c r="Q93" s="4"/>
      <c r="R93" s="6"/>
      <c r="S93" s="6"/>
      <c r="T93" s="4"/>
      <c r="U93" s="4"/>
      <c r="V93" s="4"/>
      <c r="W93" s="9"/>
      <c r="X93" s="9"/>
      <c r="Y93" s="9"/>
      <c r="Z93" s="9"/>
      <c r="AA93" s="9"/>
      <c r="AB93" s="9"/>
      <c r="AC93" s="468" t="str">
        <f t="shared" si="34"/>
        <v/>
      </c>
      <c r="AD93" s="468"/>
      <c r="AE93" s="468"/>
      <c r="AF93" s="4"/>
      <c r="AG93" s="88"/>
      <c r="AH93" s="4"/>
      <c r="AI93" s="4"/>
      <c r="AJ93" s="468"/>
      <c r="AK93" s="468"/>
      <c r="AL93" s="468"/>
      <c r="AM93" s="468"/>
      <c r="AN93" s="10"/>
      <c r="AO93" s="9"/>
      <c r="AP93" s="9"/>
      <c r="AQ93" s="9">
        <f>+FL_2($T$94,$T$92,$G$93,1200,9.28,-1*$F$94)</f>
        <v>-0.30000000000002958</v>
      </c>
      <c r="AR93" s="9"/>
      <c r="AS93" s="9"/>
      <c r="AT93" s="9"/>
      <c r="AU93" s="447"/>
      <c r="AV93" s="447"/>
      <c r="AW93" s="468"/>
      <c r="AX93" s="468"/>
      <c r="AY93" s="10"/>
      <c r="AZ93" s="10"/>
      <c r="BA93" s="553" t="str">
        <f t="shared" si="33"/>
        <v/>
      </c>
      <c r="BB93" s="553" t="str">
        <f t="shared" si="30"/>
        <v>ü</v>
      </c>
      <c r="BC93" s="553" t="str">
        <f t="shared" si="40"/>
        <v/>
      </c>
      <c r="BD93" s="572" t="str">
        <f>IF(AND(L93="",H93=""),"",
IF(H93="",Pole_Calc!A$9,
IF(H93="MP",Pole_Calc!A$10,
IF(H93="AnMP",Pole_Calc!A$11,
IF(H93="A",Pole_Calc!A$12,
IF(H93="S/A",Pole_Calc!A$13,
IF(H93="A/S",Pole_Calc!A$14,"Poner a mano")))))))</f>
        <v/>
      </c>
      <c r="BE93" s="448" t="s">
        <v>1726</v>
      </c>
      <c r="BF93" s="305"/>
      <c r="BG93" s="305"/>
      <c r="BH93" s="306"/>
      <c r="BI93" s="305"/>
    </row>
    <row r="94" spans="1:61" ht="16.2" customHeight="1">
      <c r="A94" s="574" t="s">
        <v>1497</v>
      </c>
      <c r="B94" s="469" t="s">
        <v>2246</v>
      </c>
      <c r="C94" s="3">
        <f t="shared" ref="C94" si="47">C92-G93</f>
        <v>1453.6799999999998</v>
      </c>
      <c r="D94" s="88"/>
      <c r="E94" s="4"/>
      <c r="F94" s="4">
        <v>400</v>
      </c>
      <c r="G94" s="6"/>
      <c r="H94" s="468"/>
      <c r="I94" s="468"/>
      <c r="J94" s="3"/>
      <c r="K94" s="468"/>
      <c r="L94" s="468" t="s">
        <v>38</v>
      </c>
      <c r="M94" s="468" t="s">
        <v>1625</v>
      </c>
      <c r="N94" s="468" t="s">
        <v>32</v>
      </c>
      <c r="O94" s="468"/>
      <c r="P94" s="468"/>
      <c r="Q94" s="4"/>
      <c r="R94" s="6"/>
      <c r="S94" s="6"/>
      <c r="T94" s="4">
        <v>-30</v>
      </c>
      <c r="U94" s="4"/>
      <c r="V94" s="4"/>
      <c r="W94" s="9">
        <v>1.4</v>
      </c>
      <c r="X94" s="9"/>
      <c r="Y94" s="9"/>
      <c r="Z94" s="9"/>
      <c r="AA94" s="9"/>
      <c r="AB94" s="9"/>
      <c r="AC94" s="468" t="str">
        <f t="shared" si="34"/>
        <v>PHC</v>
      </c>
      <c r="AD94" s="468"/>
      <c r="AE94" s="468"/>
      <c r="AF94" s="4"/>
      <c r="AG94" s="88"/>
      <c r="AH94" s="4"/>
      <c r="AI94" s="4"/>
      <c r="AJ94" s="468"/>
      <c r="AK94" s="468"/>
      <c r="AL94" s="468"/>
      <c r="AM94" s="468"/>
      <c r="AN94" s="10">
        <v>5.5</v>
      </c>
      <c r="AO94" s="9"/>
      <c r="AP94" s="9"/>
      <c r="AQ94" s="9"/>
      <c r="AR94" s="9"/>
      <c r="AS94" s="9"/>
      <c r="AT94" s="9">
        <f>+ab($T$94,$T$92,$T$96,$G$93,$G$95,-1*$F$94,1200)</f>
        <v>-2.3972584678993845</v>
      </c>
      <c r="AU94" s="447"/>
      <c r="AV94" s="447"/>
      <c r="AW94" s="468" t="s">
        <v>199</v>
      </c>
      <c r="AX94" s="468" t="s">
        <v>199</v>
      </c>
      <c r="AY94" s="10"/>
      <c r="AZ94" s="10"/>
      <c r="BA94" s="553" t="str">
        <f t="shared" si="33"/>
        <v/>
      </c>
      <c r="BB94" s="553" t="str">
        <f t="shared" si="30"/>
        <v/>
      </c>
      <c r="BC94" s="553" t="str">
        <f t="shared" si="40"/>
        <v>ü</v>
      </c>
      <c r="BD94" s="572" t="str">
        <f>IF(AND(L94="",H94=""),"",
IF(H94="",Pole_Calc!A$9,
IF(H94="MP",Pole_Calc!A$10,
IF(H94="AnMP",Pole_Calc!A$11,
IF(H94="A",Pole_Calc!A$12,
IF(H94="S/A",Pole_Calc!A$13,
IF(H94="A/S",Pole_Calc!A$14,"Poner a mano")))))))</f>
        <v>App.7-V11H-P9.5.1.1</v>
      </c>
      <c r="BE94" s="448" t="s">
        <v>1726</v>
      </c>
      <c r="BF94" s="306"/>
      <c r="BG94" s="306"/>
      <c r="BH94" s="306"/>
      <c r="BI94" s="306"/>
    </row>
    <row r="95" spans="1:61" ht="16.2" customHeight="1">
      <c r="A95" s="574" t="s">
        <v>1497</v>
      </c>
      <c r="B95" s="469"/>
      <c r="C95" s="3"/>
      <c r="D95" s="88"/>
      <c r="E95" s="4"/>
      <c r="F95" s="4"/>
      <c r="G95" s="6">
        <v>32</v>
      </c>
      <c r="H95" s="468"/>
      <c r="I95" s="468"/>
      <c r="J95" s="3"/>
      <c r="K95" s="468"/>
      <c r="L95" s="468"/>
      <c r="M95" s="468" t="str">
        <f>IF(L95="","",
IF(AX95="PT",VLOOKUP(L95,Foundation_Calc!$V$4:$X$37,VLOOKUP(AX95,Foundation_Calc!$I$10:$J$13,2,FALSE),0),
IF(AX95="K",VLOOKUP(L95,Foundation_Calc!$V$41:$X$74,VLOOKUP(AX95,Foundation_Calc!$I$10:$J$13,2,FALSE),0),"")))</f>
        <v/>
      </c>
      <c r="N95" s="468"/>
      <c r="O95" s="468"/>
      <c r="P95" s="468"/>
      <c r="Q95" s="4"/>
      <c r="R95" s="6"/>
      <c r="S95" s="6"/>
      <c r="T95" s="4"/>
      <c r="U95" s="4"/>
      <c r="V95" s="4"/>
      <c r="W95" s="9"/>
      <c r="X95" s="9"/>
      <c r="Y95" s="9"/>
      <c r="Z95" s="9"/>
      <c r="AA95" s="9"/>
      <c r="AB95" s="9"/>
      <c r="AC95" s="468" t="str">
        <f t="shared" si="34"/>
        <v/>
      </c>
      <c r="AD95" s="468"/>
      <c r="AE95" s="468"/>
      <c r="AF95" s="4"/>
      <c r="AG95" s="88"/>
      <c r="AH95" s="4"/>
      <c r="AI95" s="4"/>
      <c r="AJ95" s="468"/>
      <c r="AK95" s="468"/>
      <c r="AL95" s="468"/>
      <c r="AM95" s="468"/>
      <c r="AN95" s="10"/>
      <c r="AO95" s="9"/>
      <c r="AP95" s="9"/>
      <c r="AQ95" s="9">
        <f>+FL_2($T$96,$T$94,$G$95,1200,9.28,-1*$F$96)</f>
        <v>-0.30000000000002958</v>
      </c>
      <c r="AR95" s="9"/>
      <c r="AS95" s="9"/>
      <c r="AT95" s="9"/>
      <c r="AU95" s="447"/>
      <c r="AV95" s="447"/>
      <c r="AW95" s="468"/>
      <c r="AX95" s="468"/>
      <c r="AY95" s="10"/>
      <c r="AZ95" s="10"/>
      <c r="BA95" s="553" t="str">
        <f t="shared" si="33"/>
        <v/>
      </c>
      <c r="BB95" s="553" t="str">
        <f t="shared" si="30"/>
        <v/>
      </c>
      <c r="BC95" s="553" t="str">
        <f t="shared" si="40"/>
        <v/>
      </c>
      <c r="BD95" s="572" t="str">
        <f>IF(AND(L95="",H95=""),"",
IF(H95="",Pole_Calc!A$9,
IF(H95="MP",Pole_Calc!A$10,
IF(H95="AnMP",Pole_Calc!A$11,
IF(H95="A",Pole_Calc!A$12,
IF(H95="S/A",Pole_Calc!A$13,
IF(H95="A/S",Pole_Calc!A$14,"Poner a mano")))))))</f>
        <v/>
      </c>
      <c r="BE95" s="448" t="s">
        <v>1726</v>
      </c>
      <c r="BF95" s="305"/>
      <c r="BG95" s="305"/>
      <c r="BH95" s="306"/>
      <c r="BI95" s="305"/>
    </row>
    <row r="96" spans="1:61" ht="16.2" customHeight="1">
      <c r="A96" s="574" t="s">
        <v>1497</v>
      </c>
      <c r="B96" s="469" t="s">
        <v>2247</v>
      </c>
      <c r="C96" s="3">
        <f t="shared" ref="C96" si="48">C94-G95</f>
        <v>1421.6799999999998</v>
      </c>
      <c r="D96" s="88"/>
      <c r="E96" s="4"/>
      <c r="F96" s="4">
        <v>400</v>
      </c>
      <c r="G96" s="6"/>
      <c r="H96" s="468"/>
      <c r="I96" s="468"/>
      <c r="J96" s="3"/>
      <c r="K96" s="468"/>
      <c r="L96" s="468" t="s">
        <v>38</v>
      </c>
      <c r="M96" s="468" t="s">
        <v>1625</v>
      </c>
      <c r="N96" s="468" t="s">
        <v>32</v>
      </c>
      <c r="O96" s="468"/>
      <c r="P96" s="468"/>
      <c r="Q96" s="4"/>
      <c r="R96" s="6"/>
      <c r="S96" s="6"/>
      <c r="T96" s="4">
        <v>-30</v>
      </c>
      <c r="U96" s="4"/>
      <c r="V96" s="4"/>
      <c r="W96" s="9">
        <v>1.4</v>
      </c>
      <c r="X96" s="9"/>
      <c r="Y96" s="9"/>
      <c r="Z96" s="9"/>
      <c r="AA96" s="9"/>
      <c r="AB96" s="9"/>
      <c r="AC96" s="468" t="str">
        <f t="shared" si="34"/>
        <v>PHC</v>
      </c>
      <c r="AD96" s="468"/>
      <c r="AE96" s="468"/>
      <c r="AF96" s="4"/>
      <c r="AG96" s="88"/>
      <c r="AH96" s="4"/>
      <c r="AI96" s="4"/>
      <c r="AJ96" s="468"/>
      <c r="AK96" s="468"/>
      <c r="AL96" s="468"/>
      <c r="AM96" s="468"/>
      <c r="AN96" s="10">
        <v>5.5</v>
      </c>
      <c r="AO96" s="9"/>
      <c r="AP96" s="9"/>
      <c r="AQ96" s="9"/>
      <c r="AR96" s="9"/>
      <c r="AS96" s="9"/>
      <c r="AT96" s="9">
        <f>+ab($T$96,$T$94,$T$98,$G$95,$G$97,-1*$F$96,1200)</f>
        <v>-2.3972584678993845</v>
      </c>
      <c r="AU96" s="447"/>
      <c r="AV96" s="447"/>
      <c r="AW96" s="468" t="s">
        <v>199</v>
      </c>
      <c r="AX96" s="468" t="s">
        <v>199</v>
      </c>
      <c r="AY96" s="10"/>
      <c r="AZ96" s="10"/>
      <c r="BA96" s="553" t="str">
        <f t="shared" si="33"/>
        <v/>
      </c>
      <c r="BB96" s="553" t="str">
        <f t="shared" si="30"/>
        <v/>
      </c>
      <c r="BC96" s="553" t="str">
        <f t="shared" si="40"/>
        <v>ü</v>
      </c>
      <c r="BD96" s="572" t="str">
        <f>IF(AND(L96="",H96=""),"",
IF(H96="",Pole_Calc!A$9,
IF(H96="MP",Pole_Calc!A$10,
IF(H96="AnMP",Pole_Calc!A$11,
IF(H96="A",Pole_Calc!A$12,
IF(H96="S/A",Pole_Calc!A$13,
IF(H96="A/S",Pole_Calc!A$14,"Poner a mano")))))))</f>
        <v>App.7-V11H-P9.5.1.1</v>
      </c>
      <c r="BE96" s="448" t="s">
        <v>1726</v>
      </c>
      <c r="BF96" s="306"/>
      <c r="BG96" s="306"/>
      <c r="BH96" s="306"/>
      <c r="BI96" s="306"/>
    </row>
    <row r="97" spans="1:61" ht="16.2" customHeight="1">
      <c r="A97" s="574" t="s">
        <v>1497</v>
      </c>
      <c r="B97" s="469"/>
      <c r="C97" s="3"/>
      <c r="D97" s="88"/>
      <c r="E97" s="4"/>
      <c r="F97" s="4"/>
      <c r="G97" s="6">
        <v>32</v>
      </c>
      <c r="H97" s="468"/>
      <c r="I97" s="468"/>
      <c r="J97" s="3"/>
      <c r="K97" s="468"/>
      <c r="L97" s="468"/>
      <c r="M97" s="468" t="str">
        <f>IF(L97="","",
IF(AX97="PT",VLOOKUP(L97,Foundation_Calc!$V$4:$X$37,VLOOKUP(AX97,Foundation_Calc!$I$10:$J$13,2,FALSE),0),
IF(AX97="K",VLOOKUP(L97,Foundation_Calc!$V$41:$X$74,VLOOKUP(AX97,Foundation_Calc!$I$10:$J$13,2,FALSE),0),"")))</f>
        <v/>
      </c>
      <c r="N97" s="468"/>
      <c r="O97" s="468"/>
      <c r="P97" s="468"/>
      <c r="Q97" s="4"/>
      <c r="R97" s="6"/>
      <c r="S97" s="6"/>
      <c r="T97" s="4"/>
      <c r="U97" s="4"/>
      <c r="V97" s="4"/>
      <c r="W97" s="9"/>
      <c r="X97" s="9"/>
      <c r="Y97" s="9"/>
      <c r="Z97" s="9"/>
      <c r="AA97" s="9"/>
      <c r="AB97" s="9"/>
      <c r="AC97" s="468" t="str">
        <f t="shared" si="34"/>
        <v/>
      </c>
      <c r="AD97" s="468"/>
      <c r="AE97" s="468"/>
      <c r="AF97" s="4"/>
      <c r="AG97" s="88"/>
      <c r="AH97" s="4"/>
      <c r="AI97" s="4"/>
      <c r="AJ97" s="468"/>
      <c r="AK97" s="468"/>
      <c r="AL97" s="468"/>
      <c r="AM97" s="468"/>
      <c r="AN97" s="10"/>
      <c r="AO97" s="9"/>
      <c r="AP97" s="9"/>
      <c r="AQ97" s="9">
        <f>+FL_2($T$98,$T$96,$G$97,1200,9.28,-1*$F$98)</f>
        <v>-0.30000000000002958</v>
      </c>
      <c r="AR97" s="9"/>
      <c r="AS97" s="9"/>
      <c r="AT97" s="9"/>
      <c r="AU97" s="447"/>
      <c r="AV97" s="447"/>
      <c r="AW97" s="468"/>
      <c r="AX97" s="468"/>
      <c r="AY97" s="10"/>
      <c r="AZ97" s="10"/>
      <c r="BA97" s="553" t="str">
        <f t="shared" si="33"/>
        <v/>
      </c>
      <c r="BB97" s="553" t="str">
        <f t="shared" si="30"/>
        <v/>
      </c>
      <c r="BC97" s="553" t="str">
        <f t="shared" si="40"/>
        <v/>
      </c>
      <c r="BD97" s="572" t="str">
        <f>IF(AND(L97="",H97=""),"",
IF(H97="",Pole_Calc!A$9,
IF(H97="MP",Pole_Calc!A$10,
IF(H97="AnMP",Pole_Calc!A$11,
IF(H97="A",Pole_Calc!A$12,
IF(H97="S/A",Pole_Calc!A$13,
IF(H97="A/S",Pole_Calc!A$14,"Poner a mano")))))))</f>
        <v/>
      </c>
      <c r="BE97" s="448" t="s">
        <v>1726</v>
      </c>
      <c r="BF97" s="305"/>
      <c r="BG97" s="305"/>
      <c r="BH97" s="306"/>
      <c r="BI97" s="305"/>
    </row>
    <row r="98" spans="1:61" ht="16.2" customHeight="1">
      <c r="A98" s="574" t="s">
        <v>1497</v>
      </c>
      <c r="B98" s="469" t="s">
        <v>2248</v>
      </c>
      <c r="C98" s="3">
        <f t="shared" ref="C98" si="49">C96-G97</f>
        <v>1389.6799999999998</v>
      </c>
      <c r="D98" s="88"/>
      <c r="E98" s="4"/>
      <c r="F98" s="4">
        <v>400</v>
      </c>
      <c r="G98" s="6"/>
      <c r="H98" s="468"/>
      <c r="I98" s="468"/>
      <c r="J98" s="3"/>
      <c r="K98" s="468"/>
      <c r="L98" s="468" t="s">
        <v>38</v>
      </c>
      <c r="M98" s="468" t="s">
        <v>1625</v>
      </c>
      <c r="N98" s="468" t="s">
        <v>32</v>
      </c>
      <c r="O98" s="468"/>
      <c r="P98" s="468"/>
      <c r="Q98" s="4"/>
      <c r="R98" s="6"/>
      <c r="S98" s="6"/>
      <c r="T98" s="4">
        <v>-30</v>
      </c>
      <c r="U98" s="4"/>
      <c r="V98" s="4"/>
      <c r="W98" s="9">
        <v>1.4</v>
      </c>
      <c r="X98" s="9"/>
      <c r="Y98" s="9"/>
      <c r="Z98" s="9"/>
      <c r="AA98" s="9"/>
      <c r="AB98" s="9"/>
      <c r="AC98" s="468" t="str">
        <f t="shared" si="34"/>
        <v>PHC</v>
      </c>
      <c r="AD98" s="468"/>
      <c r="AE98" s="468"/>
      <c r="AF98" s="4"/>
      <c r="AG98" s="88"/>
      <c r="AH98" s="4"/>
      <c r="AI98" s="4"/>
      <c r="AJ98" s="468"/>
      <c r="AK98" s="468"/>
      <c r="AL98" s="468"/>
      <c r="AM98" s="468"/>
      <c r="AN98" s="10">
        <v>5.5</v>
      </c>
      <c r="AO98" s="9"/>
      <c r="AP98" s="9"/>
      <c r="AQ98" s="9"/>
      <c r="AR98" s="9"/>
      <c r="AS98" s="9"/>
      <c r="AT98" s="9">
        <f>+ab($T$98,$T$96,$T$100,$G$97,$G$99,-1*$F$98,1200)</f>
        <v>-2.3972584678993845</v>
      </c>
      <c r="AU98" s="447"/>
      <c r="AV98" s="447"/>
      <c r="AW98" s="468" t="s">
        <v>199</v>
      </c>
      <c r="AX98" s="468" t="s">
        <v>199</v>
      </c>
      <c r="AY98" s="10"/>
      <c r="AZ98" s="10"/>
      <c r="BA98" s="553" t="str">
        <f t="shared" si="33"/>
        <v/>
      </c>
      <c r="BB98" s="553" t="str">
        <f t="shared" si="30"/>
        <v/>
      </c>
      <c r="BC98" s="553" t="str">
        <f t="shared" si="40"/>
        <v>ü</v>
      </c>
      <c r="BD98" s="572" t="str">
        <f>IF(AND(L98="",H98=""),"",
IF(H98="",Pole_Calc!A$9,
IF(H98="MP",Pole_Calc!A$10,
IF(H98="AnMP",Pole_Calc!A$11,
IF(H98="A",Pole_Calc!A$12,
IF(H98="S/A",Pole_Calc!A$13,
IF(H98="A/S",Pole_Calc!A$14,"Poner a mano")))))))</f>
        <v>App.7-V11H-P9.5.1.1</v>
      </c>
      <c r="BE98" s="448" t="s">
        <v>1726</v>
      </c>
      <c r="BF98" s="306"/>
      <c r="BG98" s="306"/>
      <c r="BH98" s="306"/>
      <c r="BI98" s="306"/>
    </row>
    <row r="99" spans="1:61" ht="16.2" customHeight="1">
      <c r="A99" s="574" t="s">
        <v>1497</v>
      </c>
      <c r="B99" s="469"/>
      <c r="C99" s="3"/>
      <c r="D99" s="88"/>
      <c r="E99" s="4"/>
      <c r="F99" s="4"/>
      <c r="G99" s="6">
        <v>32</v>
      </c>
      <c r="H99" s="468"/>
      <c r="I99" s="468"/>
      <c r="J99" s="3"/>
      <c r="K99" s="468"/>
      <c r="L99" s="468"/>
      <c r="M99" s="468" t="str">
        <f>IF(L99="","",
IF(AX99="PT",VLOOKUP(L99,Foundation_Calc!$V$4:$X$37,VLOOKUP(AX99,Foundation_Calc!$I$10:$J$13,2,FALSE),0),
IF(AX99="K",VLOOKUP(L99,Foundation_Calc!$V$41:$X$74,VLOOKUP(AX99,Foundation_Calc!$I$10:$J$13,2,FALSE),0),"")))</f>
        <v/>
      </c>
      <c r="N99" s="468"/>
      <c r="O99" s="468"/>
      <c r="P99" s="468"/>
      <c r="Q99" s="4"/>
      <c r="R99" s="6"/>
      <c r="S99" s="6"/>
      <c r="T99" s="4"/>
      <c r="U99" s="4"/>
      <c r="V99" s="4"/>
      <c r="W99" s="9"/>
      <c r="X99" s="9"/>
      <c r="Y99" s="9"/>
      <c r="Z99" s="9"/>
      <c r="AA99" s="9"/>
      <c r="AB99" s="9"/>
      <c r="AC99" s="468" t="str">
        <f t="shared" si="34"/>
        <v/>
      </c>
      <c r="AD99" s="468"/>
      <c r="AE99" s="468"/>
      <c r="AF99" s="4"/>
      <c r="AG99" s="88"/>
      <c r="AH99" s="4"/>
      <c r="AI99" s="4"/>
      <c r="AJ99" s="468"/>
      <c r="AK99" s="468"/>
      <c r="AL99" s="468"/>
      <c r="AM99" s="468"/>
      <c r="AN99" s="10"/>
      <c r="AO99" s="9"/>
      <c r="AP99" s="9"/>
      <c r="AQ99" s="9">
        <f>+FL_2($T$100,$T$98,$G$99,1200,9.28,-1*$F$100)</f>
        <v>-0.30000000000002958</v>
      </c>
      <c r="AR99" s="9"/>
      <c r="AS99" s="9"/>
      <c r="AT99" s="9"/>
      <c r="AU99" s="447"/>
      <c r="AV99" s="447"/>
      <c r="AW99" s="468"/>
      <c r="AX99" s="468"/>
      <c r="AY99" s="10"/>
      <c r="AZ99" s="10"/>
      <c r="BA99" s="553" t="str">
        <f t="shared" si="33"/>
        <v/>
      </c>
      <c r="BB99" s="553" t="str">
        <f t="shared" si="30"/>
        <v/>
      </c>
      <c r="BC99" s="553" t="str">
        <f t="shared" si="40"/>
        <v/>
      </c>
      <c r="BD99" s="572" t="str">
        <f>IF(AND(L99="",H99=""),"",
IF(H99="",Pole_Calc!A$9,
IF(H99="MP",Pole_Calc!A$10,
IF(H99="AnMP",Pole_Calc!A$11,
IF(H99="A",Pole_Calc!A$12,
IF(H99="S/A",Pole_Calc!A$13,
IF(H99="A/S",Pole_Calc!A$14,"Poner a mano")))))))</f>
        <v/>
      </c>
      <c r="BE99" s="448" t="s">
        <v>1726</v>
      </c>
      <c r="BF99" s="305"/>
      <c r="BG99" s="305"/>
      <c r="BH99" s="306"/>
      <c r="BI99" s="305"/>
    </row>
    <row r="100" spans="1:61" ht="16.2" customHeight="1">
      <c r="A100" s="574" t="s">
        <v>1497</v>
      </c>
      <c r="B100" s="469" t="s">
        <v>2249</v>
      </c>
      <c r="C100" s="3">
        <f t="shared" ref="C100" si="50">C98-G99</f>
        <v>1357.6799999999998</v>
      </c>
      <c r="D100" s="88"/>
      <c r="E100" s="4"/>
      <c r="F100" s="4">
        <v>400</v>
      </c>
      <c r="G100" s="6"/>
      <c r="H100" s="468"/>
      <c r="I100" s="468"/>
      <c r="J100" s="3"/>
      <c r="K100" s="468"/>
      <c r="L100" s="468" t="s">
        <v>38</v>
      </c>
      <c r="M100" s="468" t="s">
        <v>1625</v>
      </c>
      <c r="N100" s="468" t="s">
        <v>32</v>
      </c>
      <c r="O100" s="468"/>
      <c r="P100" s="468"/>
      <c r="Q100" s="4"/>
      <c r="R100" s="6"/>
      <c r="S100" s="6"/>
      <c r="T100" s="4">
        <v>-30</v>
      </c>
      <c r="U100" s="4"/>
      <c r="V100" s="4"/>
      <c r="W100" s="9">
        <v>1.4</v>
      </c>
      <c r="X100" s="9"/>
      <c r="Y100" s="9"/>
      <c r="Z100" s="9"/>
      <c r="AA100" s="9"/>
      <c r="AB100" s="9"/>
      <c r="AC100" s="468" t="str">
        <f t="shared" si="34"/>
        <v>PHC</v>
      </c>
      <c r="AD100" s="468"/>
      <c r="AE100" s="468"/>
      <c r="AF100" s="4"/>
      <c r="AG100" s="88"/>
      <c r="AH100" s="4"/>
      <c r="AI100" s="4"/>
      <c r="AJ100" s="468"/>
      <c r="AK100" s="468"/>
      <c r="AL100" s="468"/>
      <c r="AM100" s="468"/>
      <c r="AN100" s="10">
        <v>5.5</v>
      </c>
      <c r="AO100" s="9"/>
      <c r="AP100" s="9"/>
      <c r="AQ100" s="9"/>
      <c r="AR100" s="9"/>
      <c r="AS100" s="9"/>
      <c r="AT100" s="9">
        <f>+ab($T$100,$T$98,$T$102,$G$99,$G$101,-1*$F$100,1200)</f>
        <v>-2.3972584678993845</v>
      </c>
      <c r="AU100" s="447"/>
      <c r="AV100" s="447"/>
      <c r="AW100" s="468" t="s">
        <v>199</v>
      </c>
      <c r="AX100" s="468" t="s">
        <v>199</v>
      </c>
      <c r="AY100" s="10"/>
      <c r="AZ100" s="10"/>
      <c r="BA100" s="553" t="str">
        <f t="shared" si="33"/>
        <v/>
      </c>
      <c r="BB100" s="553" t="str">
        <f t="shared" si="30"/>
        <v/>
      </c>
      <c r="BC100" s="553" t="str">
        <f t="shared" si="40"/>
        <v>ü</v>
      </c>
      <c r="BD100" s="572" t="str">
        <f>IF(AND(L100="",H100=""),"",
IF(H100="",Pole_Calc!A$9,
IF(H100="MP",Pole_Calc!A$10,
IF(H100="AnMP",Pole_Calc!A$11,
IF(H100="A",Pole_Calc!A$12,
IF(H100="S/A",Pole_Calc!A$13,
IF(H100="A/S",Pole_Calc!A$14,"Poner a mano")))))))</f>
        <v>App.7-V11H-P9.5.1.1</v>
      </c>
      <c r="BE100" s="448" t="s">
        <v>1726</v>
      </c>
      <c r="BF100" s="306"/>
      <c r="BG100" s="306"/>
      <c r="BH100" s="306"/>
      <c r="BI100" s="306"/>
    </row>
    <row r="101" spans="1:61" ht="16.2" customHeight="1">
      <c r="A101" s="574" t="s">
        <v>1497</v>
      </c>
      <c r="B101" s="469"/>
      <c r="C101" s="3"/>
      <c r="D101" s="88"/>
      <c r="E101" s="4"/>
      <c r="F101" s="4"/>
      <c r="G101" s="6">
        <v>32</v>
      </c>
      <c r="H101" s="468"/>
      <c r="I101" s="468"/>
      <c r="J101" s="3"/>
      <c r="K101" s="468"/>
      <c r="L101" s="468"/>
      <c r="M101" s="468" t="str">
        <f>IF(L101="","",
IF(AX101="PT",VLOOKUP(L101,Foundation_Calc!$V$4:$X$37,VLOOKUP(AX101,Foundation_Calc!$I$10:$J$13,2,FALSE),0),
IF(AX101="K",VLOOKUP(L101,Foundation_Calc!$V$41:$X$74,VLOOKUP(AX101,Foundation_Calc!$I$10:$J$13,2,FALSE),0),"")))</f>
        <v/>
      </c>
      <c r="N101" s="468"/>
      <c r="O101" s="468"/>
      <c r="P101" s="468"/>
      <c r="Q101" s="4"/>
      <c r="R101" s="6"/>
      <c r="S101" s="6"/>
      <c r="T101" s="4"/>
      <c r="U101" s="4"/>
      <c r="V101" s="4"/>
      <c r="W101" s="9"/>
      <c r="X101" s="9"/>
      <c r="Y101" s="9"/>
      <c r="Z101" s="9"/>
      <c r="AA101" s="9"/>
      <c r="AB101" s="9"/>
      <c r="AC101" s="468" t="str">
        <f t="shared" si="34"/>
        <v/>
      </c>
      <c r="AD101" s="468"/>
      <c r="AE101" s="468"/>
      <c r="AF101" s="4"/>
      <c r="AG101" s="88"/>
      <c r="AH101" s="4"/>
      <c r="AI101" s="4"/>
      <c r="AJ101" s="468"/>
      <c r="AK101" s="468"/>
      <c r="AL101" s="468"/>
      <c r="AM101" s="468"/>
      <c r="AN101" s="10"/>
      <c r="AO101" s="9"/>
      <c r="AP101" s="9"/>
      <c r="AQ101" s="9">
        <f>+FL_2($T$102,$T$100,$G$101,1200,9.28,-1*$F$102)</f>
        <v>-0.30000000000002958</v>
      </c>
      <c r="AR101" s="9"/>
      <c r="AS101" s="9"/>
      <c r="AT101" s="9"/>
      <c r="AU101" s="447"/>
      <c r="AV101" s="447"/>
      <c r="AW101" s="468"/>
      <c r="AX101" s="468"/>
      <c r="AY101" s="10"/>
      <c r="AZ101" s="10"/>
      <c r="BA101" s="553" t="str">
        <f t="shared" si="33"/>
        <v/>
      </c>
      <c r="BB101" s="553" t="str">
        <f t="shared" si="30"/>
        <v/>
      </c>
      <c r="BC101" s="553" t="str">
        <f t="shared" si="40"/>
        <v/>
      </c>
      <c r="BD101" s="572" t="str">
        <f>IF(AND(L101="",H101=""),"",
IF(H101="",Pole_Calc!A$9,
IF(H101="MP",Pole_Calc!A$10,
IF(H101="AnMP",Pole_Calc!A$11,
IF(H101="A",Pole_Calc!A$12,
IF(H101="S/A",Pole_Calc!A$13,
IF(H101="A/S",Pole_Calc!A$14,"Poner a mano")))))))</f>
        <v/>
      </c>
      <c r="BE101" s="448" t="s">
        <v>1726</v>
      </c>
      <c r="BF101" s="305"/>
      <c r="BG101" s="305"/>
      <c r="BH101" s="306"/>
      <c r="BI101" s="305"/>
    </row>
    <row r="102" spans="1:61" ht="16.2" customHeight="1">
      <c r="A102" s="574" t="s">
        <v>1497</v>
      </c>
      <c r="B102" s="469" t="s">
        <v>2250</v>
      </c>
      <c r="C102" s="3">
        <f t="shared" ref="C102" si="51">C100-G101</f>
        <v>1325.6799999999998</v>
      </c>
      <c r="D102" s="88"/>
      <c r="E102" s="4"/>
      <c r="F102" s="4">
        <f>(195^2)/(C102-1235.84)</f>
        <v>423.25244879786328</v>
      </c>
      <c r="G102" s="6"/>
      <c r="H102" s="468"/>
      <c r="I102" s="468"/>
      <c r="J102" s="3"/>
      <c r="K102" s="468"/>
      <c r="L102" s="468" t="s">
        <v>38</v>
      </c>
      <c r="M102" s="468" t="s">
        <v>1625</v>
      </c>
      <c r="N102" s="468" t="s">
        <v>32</v>
      </c>
      <c r="O102" s="468"/>
      <c r="P102" s="468"/>
      <c r="Q102" s="4"/>
      <c r="R102" s="6"/>
      <c r="S102" s="6"/>
      <c r="T102" s="4">
        <v>-30</v>
      </c>
      <c r="U102" s="4"/>
      <c r="V102" s="4"/>
      <c r="W102" s="9">
        <v>1.4</v>
      </c>
      <c r="X102" s="9"/>
      <c r="Y102" s="9"/>
      <c r="Z102" s="9"/>
      <c r="AA102" s="9"/>
      <c r="AB102" s="9"/>
      <c r="AC102" s="468" t="str">
        <f t="shared" si="34"/>
        <v>PHC</v>
      </c>
      <c r="AD102" s="468"/>
      <c r="AE102" s="468"/>
      <c r="AF102" s="4"/>
      <c r="AG102" s="88"/>
      <c r="AH102" s="4"/>
      <c r="AI102" s="4"/>
      <c r="AJ102" s="468"/>
      <c r="AK102" s="468"/>
      <c r="AL102" s="468"/>
      <c r="AM102" s="468"/>
      <c r="AN102" s="10">
        <v>5.5</v>
      </c>
      <c r="AO102" s="9"/>
      <c r="AP102" s="9"/>
      <c r="AQ102" s="9"/>
      <c r="AR102" s="9"/>
      <c r="AS102" s="9"/>
      <c r="AT102" s="9">
        <f>+ab($T$102,$T$100,$T$104,$G$101,$G$103,-1*$F$102,1200)</f>
        <v>-2.5364367836026283</v>
      </c>
      <c r="AU102" s="447"/>
      <c r="AV102" s="447"/>
      <c r="AW102" s="468" t="s">
        <v>199</v>
      </c>
      <c r="AX102" s="468" t="s">
        <v>199</v>
      </c>
      <c r="AY102" s="10"/>
      <c r="AZ102" s="10"/>
      <c r="BA102" s="553" t="str">
        <f t="shared" si="33"/>
        <v/>
      </c>
      <c r="BB102" s="553" t="str">
        <f t="shared" si="30"/>
        <v/>
      </c>
      <c r="BC102" s="553" t="str">
        <f t="shared" si="40"/>
        <v>ü</v>
      </c>
      <c r="BD102" s="572" t="str">
        <f>IF(AND(L102="",H102=""),"",
IF(H102="",Pole_Calc!A$9,
IF(H102="MP",Pole_Calc!A$10,
IF(H102="AnMP",Pole_Calc!A$11,
IF(H102="A",Pole_Calc!A$12,
IF(H102="S/A",Pole_Calc!A$13,
IF(H102="A/S",Pole_Calc!A$14,"Poner a mano")))))))</f>
        <v>App.7-V11H-P9.5.1.1</v>
      </c>
      <c r="BE102" s="448" t="s">
        <v>1726</v>
      </c>
      <c r="BF102" s="306"/>
      <c r="BG102" s="306"/>
      <c r="BH102" s="306"/>
      <c r="BI102" s="306"/>
    </row>
    <row r="103" spans="1:61" ht="16.2" customHeight="1">
      <c r="A103" s="574" t="s">
        <v>1497</v>
      </c>
      <c r="B103" s="469"/>
      <c r="C103" s="3"/>
      <c r="D103" s="88"/>
      <c r="E103" s="4"/>
      <c r="F103" s="4"/>
      <c r="G103" s="6">
        <v>32</v>
      </c>
      <c r="H103" s="468"/>
      <c r="I103" s="468"/>
      <c r="J103" s="3"/>
      <c r="K103" s="468"/>
      <c r="L103" s="468"/>
      <c r="M103" s="468" t="str">
        <f>IF(L103="","",
IF(AX103="PT",VLOOKUP(L103,Foundation_Calc!$V$4:$X$37,VLOOKUP(AX103,Foundation_Calc!$I$10:$J$13,2,FALSE),0),
IF(AX103="K",VLOOKUP(L103,Foundation_Calc!$V$41:$X$74,VLOOKUP(AX103,Foundation_Calc!$I$10:$J$13,2,FALSE),0),"")))</f>
        <v/>
      </c>
      <c r="N103" s="468"/>
      <c r="O103" s="468"/>
      <c r="P103" s="468"/>
      <c r="Q103" s="4"/>
      <c r="R103" s="6"/>
      <c r="S103" s="6"/>
      <c r="T103" s="4"/>
      <c r="U103" s="4"/>
      <c r="V103" s="4"/>
      <c r="W103" s="9"/>
      <c r="X103" s="9"/>
      <c r="Y103" s="9"/>
      <c r="Z103" s="9"/>
      <c r="AA103" s="9"/>
      <c r="AB103" s="9"/>
      <c r="AC103" s="468" t="str">
        <f t="shared" si="34"/>
        <v/>
      </c>
      <c r="AD103" s="468"/>
      <c r="AE103" s="468"/>
      <c r="AF103" s="4"/>
      <c r="AG103" s="88"/>
      <c r="AH103" s="4"/>
      <c r="AI103" s="4"/>
      <c r="AJ103" s="468"/>
      <c r="AK103" s="468"/>
      <c r="AL103" s="468"/>
      <c r="AM103" s="468"/>
      <c r="AN103" s="10"/>
      <c r="AO103" s="9"/>
      <c r="AP103" s="9"/>
      <c r="AQ103" s="9">
        <f>+FL_2($T$104,$T$102,$G$103,1200,9.28,-1*$F$104)</f>
        <v>-0.3</v>
      </c>
      <c r="AR103" s="9"/>
      <c r="AS103" s="9"/>
      <c r="AT103" s="9"/>
      <c r="AU103" s="447"/>
      <c r="AV103" s="447"/>
      <c r="AW103" s="468"/>
      <c r="AX103" s="468"/>
      <c r="AY103" s="10"/>
      <c r="AZ103" s="10"/>
      <c r="BA103" s="553" t="str">
        <f t="shared" si="33"/>
        <v/>
      </c>
      <c r="BB103" s="553" t="str">
        <f t="shared" si="30"/>
        <v/>
      </c>
      <c r="BC103" s="553" t="str">
        <f t="shared" si="40"/>
        <v/>
      </c>
      <c r="BD103" s="572" t="str">
        <f>IF(AND(L103="",H103=""),"",
IF(H103="",Pole_Calc!A$9,
IF(H103="MP",Pole_Calc!A$10,
IF(H103="AnMP",Pole_Calc!A$11,
IF(H103="A",Pole_Calc!A$12,
IF(H103="S/A",Pole_Calc!A$13,
IF(H103="A/S",Pole_Calc!A$14,"Poner a mano")))))))</f>
        <v/>
      </c>
      <c r="BE103" s="448" t="s">
        <v>1726</v>
      </c>
      <c r="BF103" s="305"/>
      <c r="BG103" s="305"/>
      <c r="BH103" s="306"/>
      <c r="BI103" s="305"/>
    </row>
    <row r="104" spans="1:61" ht="16.2" customHeight="1">
      <c r="A104" s="573" t="s">
        <v>1497</v>
      </c>
      <c r="B104" s="469" t="s">
        <v>2251</v>
      </c>
      <c r="C104" s="3">
        <f t="shared" ref="C104" si="52">C102-G103</f>
        <v>1293.6799999999998</v>
      </c>
      <c r="D104" s="88"/>
      <c r="E104" s="4"/>
      <c r="F104" s="4">
        <f>(195^2)/(C104-1235.84)</f>
        <v>657.41701244813373</v>
      </c>
      <c r="G104" s="6"/>
      <c r="H104" s="468"/>
      <c r="I104" s="468"/>
      <c r="J104" s="3"/>
      <c r="K104" s="468"/>
      <c r="L104" s="468" t="s">
        <v>38</v>
      </c>
      <c r="M104" s="468" t="s">
        <v>1625</v>
      </c>
      <c r="N104" s="468" t="s">
        <v>32</v>
      </c>
      <c r="O104" s="468"/>
      <c r="P104" s="468"/>
      <c r="Q104" s="4"/>
      <c r="R104" s="6"/>
      <c r="S104" s="6"/>
      <c r="T104" s="4">
        <v>-30</v>
      </c>
      <c r="U104" s="4"/>
      <c r="V104" s="4"/>
      <c r="W104" s="9">
        <v>1.4</v>
      </c>
      <c r="X104" s="9"/>
      <c r="Y104" s="9"/>
      <c r="Z104" s="9"/>
      <c r="AA104" s="9"/>
      <c r="AB104" s="9"/>
      <c r="AC104" s="468" t="str">
        <f t="shared" si="34"/>
        <v>PHC</v>
      </c>
      <c r="AD104" s="468"/>
      <c r="AE104" s="468"/>
      <c r="AF104" s="4"/>
      <c r="AG104" s="88"/>
      <c r="AH104" s="4"/>
      <c r="AI104" s="4"/>
      <c r="AJ104" s="468"/>
      <c r="AK104" s="468"/>
      <c r="AL104" s="468"/>
      <c r="AM104" s="468"/>
      <c r="AN104" s="10">
        <v>5.5</v>
      </c>
      <c r="AO104" s="9"/>
      <c r="AP104" s="9"/>
      <c r="AQ104" s="9"/>
      <c r="AR104" s="9"/>
      <c r="AS104" s="9"/>
      <c r="AT104" s="9">
        <f>+ab($T$104,$T$102,$T$106,$G$103,$G$105,-1*$F$104,1200)</f>
        <v>-3.3351557518114041</v>
      </c>
      <c r="AU104" s="447"/>
      <c r="AV104" s="447"/>
      <c r="AW104" s="468" t="s">
        <v>199</v>
      </c>
      <c r="AX104" s="468" t="s">
        <v>199</v>
      </c>
      <c r="AY104" s="10" t="str">
        <f>IF(L104="","",
IF(AX104="PT",VLOOKUP(L104,Foundation_Calc!$K$79:$R$112,VLOOKUP(AW104,Foundation_Calc!$I$2:$J$8,2,FALSE),0),
IF(AX104="K",VLOOKUP(L104,Foundation_Calc!$K$116:$R$149,VLOOKUP(AW104,Foundation_Calc!$I$2:$J$8,2,FALSE),0),"")))</f>
        <v/>
      </c>
      <c r="AZ104" s="10" t="str">
        <f>IF(K104="","",
IF(AX104="PT",VLOOKUP(K104,Foundation_Calc!$K$79:$R$112,VLOOKUP(AW104,Foundation_Calc!$I$2:$J$8,2,FALSE),0),
IF(AX104="K",VLOOKUP(K104,Foundation_Calc!$K$116:$R$149,VLOOKUP(AW104,Foundation_Calc!$I$2:$J$8,2,FALSE),0),"")))</f>
        <v/>
      </c>
      <c r="BA104" s="553" t="str">
        <f t="shared" si="33"/>
        <v/>
      </c>
      <c r="BB104" s="553" t="str">
        <f t="shared" si="30"/>
        <v/>
      </c>
      <c r="BC104" s="553" t="str">
        <f t="shared" si="40"/>
        <v>ü</v>
      </c>
      <c r="BD104" s="572" t="str">
        <f>IF(AND(L104="",H104=""),"",
IF(H104="",Pole_Calc!A$9,
IF(H104="MP",Pole_Calc!A$10,
IF(H104="AnMP",Pole_Calc!A$11,
IF(H104="A",Pole_Calc!A$12,
IF(H104="S/A",Pole_Calc!A$13,
IF(H104="A/S",Pole_Calc!A$14,"Poner a mano")))))))</f>
        <v>App.7-V11H-P9.5.1.1</v>
      </c>
      <c r="BE104" s="448" t="s">
        <v>1726</v>
      </c>
      <c r="BF104" s="306"/>
      <c r="BG104" s="306"/>
      <c r="BH104" s="306"/>
      <c r="BI104" s="306"/>
    </row>
    <row r="105" spans="1:61" ht="16.2" customHeight="1">
      <c r="A105" s="573"/>
      <c r="B105" s="469"/>
      <c r="C105" s="3"/>
      <c r="D105" s="88"/>
      <c r="E105" s="4"/>
      <c r="F105" s="4"/>
      <c r="G105" s="6">
        <v>42</v>
      </c>
      <c r="H105" s="468"/>
      <c r="I105" s="468"/>
      <c r="J105" s="3">
        <f>C106+7.5</f>
        <v>1259.1799999999998</v>
      </c>
      <c r="K105" s="468" t="s">
        <v>1625</v>
      </c>
      <c r="L105" s="468"/>
      <c r="M105" s="468" t="str">
        <f>IF(L105="","",
IF(AX105="PT",VLOOKUP(L105,Foundation_Calc!$V$4:$X$37,VLOOKUP(AX105,Foundation_Calc!$I$10:$J$13,2,FALSE),0),
IF(AX105="K",VLOOKUP(L105,Foundation_Calc!$V$41:$X$74,VLOOKUP(AX105,Foundation_Calc!$I$10:$J$13,2,FALSE),0),"")))</f>
        <v/>
      </c>
      <c r="N105" s="468"/>
      <c r="O105" s="468"/>
      <c r="P105" s="468"/>
      <c r="Q105" s="4"/>
      <c r="R105" s="6"/>
      <c r="S105" s="6"/>
      <c r="T105" s="4"/>
      <c r="U105" s="4"/>
      <c r="V105" s="4"/>
      <c r="W105" s="9"/>
      <c r="X105" s="9"/>
      <c r="Y105" s="9"/>
      <c r="Z105" s="9"/>
      <c r="AA105" s="9"/>
      <c r="AB105" s="9"/>
      <c r="AC105" s="468" t="str">
        <f t="shared" si="34"/>
        <v/>
      </c>
      <c r="AD105" s="468"/>
      <c r="AE105" s="468"/>
      <c r="AF105" s="4"/>
      <c r="AG105" s="88"/>
      <c r="AH105" s="4"/>
      <c r="AI105" s="4"/>
      <c r="AJ105" s="468"/>
      <c r="AK105" s="468"/>
      <c r="AL105" s="468"/>
      <c r="AM105" s="468"/>
      <c r="AN105" s="10"/>
      <c r="AO105" s="9"/>
      <c r="AP105" s="9"/>
      <c r="AQ105" s="9">
        <f>+FL_2($T$106,$T$104,$G$105,1200,9.28,-1*$F$106)</f>
        <v>-0.35565130104822795</v>
      </c>
      <c r="AR105" s="9"/>
      <c r="AS105" s="9"/>
      <c r="AT105" s="9"/>
      <c r="AU105" s="447"/>
      <c r="AV105" s="447"/>
      <c r="AW105" s="468"/>
      <c r="AX105" s="468"/>
      <c r="AY105" s="10"/>
      <c r="AZ105" s="10"/>
      <c r="BA105" s="553" t="str">
        <f t="shared" si="33"/>
        <v/>
      </c>
      <c r="BB105" s="553" t="str">
        <f t="shared" si="33"/>
        <v/>
      </c>
      <c r="BC105" s="553" t="str">
        <f t="shared" si="40"/>
        <v/>
      </c>
      <c r="BD105" s="572" t="str">
        <f>IF(AND(L105="",H105=""),"",
IF(H105="",Pole_Calc!A$9,
IF(H105="MP",Pole_Calc!A$10,
IF(H105="AnMP",Pole_Calc!A$11,
IF(H105="A",Pole_Calc!A$12,
IF(H105="S/A",Pole_Calc!A$13,
IF(H105="A/S",Pole_Calc!A$14,"Poner a mano")))))))</f>
        <v/>
      </c>
      <c r="BE105" s="448" t="s">
        <v>1726</v>
      </c>
      <c r="BF105" s="305"/>
      <c r="BG105" s="305"/>
      <c r="BH105" s="306"/>
      <c r="BI105" s="305"/>
    </row>
    <row r="106" spans="1:61" ht="16.2" customHeight="1">
      <c r="A106" s="573"/>
      <c r="B106" s="469" t="s">
        <v>2252</v>
      </c>
      <c r="C106" s="3">
        <f>C104-G105</f>
        <v>1251.6799999999998</v>
      </c>
      <c r="D106" s="88"/>
      <c r="E106" s="4"/>
      <c r="F106" s="4">
        <f>(195^2)/(C106-1235.84)</f>
        <v>2400.5681818181943</v>
      </c>
      <c r="G106" s="6"/>
      <c r="H106" s="468" t="s">
        <v>26</v>
      </c>
      <c r="I106" s="468" t="s">
        <v>183</v>
      </c>
      <c r="J106" s="3"/>
      <c r="K106" s="468"/>
      <c r="L106" s="468" t="s">
        <v>452</v>
      </c>
      <c r="M106" s="468" t="s">
        <v>1625</v>
      </c>
      <c r="N106" s="468" t="s">
        <v>32</v>
      </c>
      <c r="O106" s="468"/>
      <c r="P106" s="468"/>
      <c r="Q106" s="4"/>
      <c r="R106" s="6"/>
      <c r="S106" s="6"/>
      <c r="T106" s="4">
        <v>-25</v>
      </c>
      <c r="U106" s="4"/>
      <c r="V106" s="4"/>
      <c r="W106" s="9">
        <v>1.4</v>
      </c>
      <c r="X106" s="9"/>
      <c r="Y106" s="9"/>
      <c r="Z106" s="9"/>
      <c r="AA106" s="9"/>
      <c r="AB106" s="9"/>
      <c r="AC106" s="468" t="str">
        <f t="shared" si="34"/>
        <v>PHQ</v>
      </c>
      <c r="AD106" s="468"/>
      <c r="AE106" s="468"/>
      <c r="AF106" s="4"/>
      <c r="AG106" s="88"/>
      <c r="AH106" s="4"/>
      <c r="AI106" s="4"/>
      <c r="AJ106" s="468"/>
      <c r="AK106" s="468"/>
      <c r="AL106" s="468"/>
      <c r="AM106" s="468"/>
      <c r="AN106" s="10">
        <v>5.5</v>
      </c>
      <c r="AO106" s="9"/>
      <c r="AP106" s="9"/>
      <c r="AQ106" s="9"/>
      <c r="AR106" s="9"/>
      <c r="AS106" s="9"/>
      <c r="AT106" s="9">
        <f>+ab($T$106,$T$104,$U$108,$G$105,$G$107,-1*$F$106,1200)</f>
        <v>-7.6388351711307427</v>
      </c>
      <c r="AU106" s="447"/>
      <c r="AV106" s="447"/>
      <c r="AW106" s="468" t="s">
        <v>199</v>
      </c>
      <c r="AX106" s="468" t="s">
        <v>199</v>
      </c>
      <c r="AY106" s="10"/>
      <c r="AZ106" s="10"/>
      <c r="BA106" s="553" t="str">
        <f t="shared" si="33"/>
        <v/>
      </c>
      <c r="BB106" s="553" t="str">
        <f t="shared" si="33"/>
        <v/>
      </c>
      <c r="BC106" s="553" t="str">
        <f t="shared" si="40"/>
        <v>ü</v>
      </c>
      <c r="BD106" s="572" t="str">
        <f>IF(AND(L106="",H106=""),"",
IF(H106="",Pole_Calc!A$9,
IF(H106="MP",Pole_Calc!A$10,
IF(H106="AnMP",Pole_Calc!A$11,
IF(H106="A",Pole_Calc!A$12,
IF(H106="S/A",Pole_Calc!A$13,
IF(H106="A/S",Pole_Calc!A$14,"Poner a mano")))))))</f>
        <v>App.7-V11H-P9.5.1.6</v>
      </c>
      <c r="BE106" s="448" t="s">
        <v>1726</v>
      </c>
      <c r="BF106" s="306"/>
      <c r="BG106" s="306"/>
      <c r="BH106" s="306"/>
      <c r="BI106" s="306"/>
    </row>
    <row r="107" spans="1:61" ht="16.2" customHeight="1">
      <c r="A107" s="573"/>
      <c r="B107" s="469"/>
      <c r="C107" s="3"/>
      <c r="D107" s="88"/>
      <c r="E107" s="4"/>
      <c r="F107" s="4"/>
      <c r="G107" s="6">
        <v>50</v>
      </c>
      <c r="H107" s="468"/>
      <c r="I107" s="468"/>
      <c r="J107" s="3"/>
      <c r="K107" s="468"/>
      <c r="L107" s="468"/>
      <c r="M107" s="468" t="str">
        <f>IF(L107="","",
IF(AX107="PT",VLOOKUP(L107,Foundation_Calc!$V$4:$X$37,VLOOKUP(AX107,Foundation_Calc!$I$10:$J$13,2,FALSE),0),
IF(AX107="K",VLOOKUP(L107,Foundation_Calc!$V$41:$X$74,VLOOKUP(AX107,Foundation_Calc!$I$10:$J$13,2,FALSE),0),"")))</f>
        <v/>
      </c>
      <c r="N107" s="468"/>
      <c r="O107" s="468"/>
      <c r="P107" s="468"/>
      <c r="Q107" s="4"/>
      <c r="R107" s="6"/>
      <c r="S107" s="6"/>
      <c r="T107" s="4"/>
      <c r="U107" s="4"/>
      <c r="V107" s="4"/>
      <c r="W107" s="9"/>
      <c r="X107" s="9"/>
      <c r="Y107" s="9"/>
      <c r="Z107" s="9"/>
      <c r="AA107" s="9"/>
      <c r="AB107" s="9"/>
      <c r="AC107" s="468" t="str">
        <f t="shared" si="34"/>
        <v/>
      </c>
      <c r="AD107" s="468"/>
      <c r="AE107" s="468"/>
      <c r="AF107" s="4"/>
      <c r="AG107" s="88"/>
      <c r="AH107" s="4"/>
      <c r="AI107" s="4"/>
      <c r="AJ107" s="468"/>
      <c r="AK107" s="468"/>
      <c r="AL107" s="468"/>
      <c r="AM107" s="468"/>
      <c r="AN107" s="10"/>
      <c r="AO107" s="9"/>
      <c r="AP107" s="9"/>
      <c r="AQ107" s="9">
        <f>+FL_2($U$108,$T$106,$G$107,1200,9.28,-1*$F$108)</f>
        <v>-0.34834769999999993</v>
      </c>
      <c r="AR107" s="9"/>
      <c r="AS107" s="9"/>
      <c r="AT107" s="9"/>
      <c r="AU107" s="447"/>
      <c r="AV107" s="447"/>
      <c r="AW107" s="468"/>
      <c r="AX107" s="468"/>
      <c r="AY107" s="10"/>
      <c r="AZ107" s="10"/>
      <c r="BA107" s="553" t="str">
        <f t="shared" si="33"/>
        <v/>
      </c>
      <c r="BB107" s="553" t="str">
        <f t="shared" si="33"/>
        <v/>
      </c>
      <c r="BC107" s="553" t="str">
        <f t="shared" si="40"/>
        <v/>
      </c>
      <c r="BD107" s="572" t="str">
        <f>IF(AND(L107="",H107=""),"",
IF(H107="",Pole_Calc!A$9,
IF(H107="MP",Pole_Calc!A$10,
IF(H107="AnMP",Pole_Calc!A$11,
IF(H107="A",Pole_Calc!A$12,
IF(H107="S/A",Pole_Calc!A$13,
IF(H107="A/S",Pole_Calc!A$14,"Poner a mano")))))))</f>
        <v/>
      </c>
      <c r="BE107" s="448" t="s">
        <v>1726</v>
      </c>
      <c r="BF107" s="305"/>
      <c r="BG107" s="305"/>
      <c r="BH107" s="306"/>
      <c r="BI107" s="305"/>
    </row>
    <row r="108" spans="1:61" ht="16.2" customHeight="1">
      <c r="A108" s="573"/>
      <c r="B108" s="469" t="s">
        <v>2253</v>
      </c>
      <c r="C108" s="3">
        <f t="shared" ref="C108" si="53">C106-G107</f>
        <v>1201.6799999999998</v>
      </c>
      <c r="D108" s="88"/>
      <c r="E108" s="4"/>
      <c r="F108" s="4">
        <v>0</v>
      </c>
      <c r="G108" s="6"/>
      <c r="H108" s="468" t="s">
        <v>179</v>
      </c>
      <c r="I108" s="468"/>
      <c r="J108" s="3"/>
      <c r="K108" s="468"/>
      <c r="L108" s="468" t="s">
        <v>448</v>
      </c>
      <c r="M108" s="468" t="s">
        <v>1625</v>
      </c>
      <c r="N108" s="468" t="s">
        <v>28</v>
      </c>
      <c r="O108" s="468" t="s">
        <v>33</v>
      </c>
      <c r="P108" s="468"/>
      <c r="Q108" s="4"/>
      <c r="R108" s="6"/>
      <c r="S108" s="6"/>
      <c r="T108" s="4">
        <v>55</v>
      </c>
      <c r="U108" s="4">
        <v>10</v>
      </c>
      <c r="V108" s="4"/>
      <c r="W108" s="9">
        <v>1.4</v>
      </c>
      <c r="X108" s="9">
        <v>2.2999999999999998</v>
      </c>
      <c r="Y108" s="9"/>
      <c r="Z108" s="9">
        <v>0.45</v>
      </c>
      <c r="AA108" s="9"/>
      <c r="AB108" s="9"/>
      <c r="AC108" s="468" t="str">
        <f t="shared" si="34"/>
        <v>PH</v>
      </c>
      <c r="AD108" s="468"/>
      <c r="AE108" s="468"/>
      <c r="AF108" s="4"/>
      <c r="AG108" s="88"/>
      <c r="AH108" s="4"/>
      <c r="AI108" s="4"/>
      <c r="AJ108" s="468"/>
      <c r="AK108" s="468"/>
      <c r="AL108" s="468"/>
      <c r="AM108" s="468"/>
      <c r="AN108" s="10">
        <v>5.5</v>
      </c>
      <c r="AO108" s="9"/>
      <c r="AP108" s="9"/>
      <c r="AQ108" s="9"/>
      <c r="AR108" s="9"/>
      <c r="AS108" s="9"/>
      <c r="AT108" s="9">
        <f>+ab($U$108,$T$106,$U$110,$G$107,$G$109,-1*$F$108,1200)</f>
        <v>9.5064042074471988</v>
      </c>
      <c r="AU108" s="447"/>
      <c r="AV108" s="447"/>
      <c r="AW108" s="468" t="s">
        <v>199</v>
      </c>
      <c r="AX108" s="468" t="s">
        <v>199</v>
      </c>
      <c r="AY108" s="10"/>
      <c r="AZ108" s="10"/>
      <c r="BA108" s="553" t="str">
        <f t="shared" si="33"/>
        <v/>
      </c>
      <c r="BB108" s="553" t="str">
        <f t="shared" si="33"/>
        <v/>
      </c>
      <c r="BC108" s="553" t="str">
        <f t="shared" si="40"/>
        <v>ü</v>
      </c>
      <c r="BD108" s="572" t="str">
        <f>IF(AND(L108="",H108=""),"",
IF(H108="",Pole_Calc!A$9,
IF(H108="MP",Pole_Calc!A$10,
IF(H108="AnMP",Pole_Calc!A$11,
IF(H108="A",Pole_Calc!A$12,
IF(H108="S/A",Pole_Calc!A$13,
IF(H108="A/S",Pole_Calc!A$14,"Poner a mano")))))))</f>
        <v>App.7-V11H-P9.5.1.5</v>
      </c>
      <c r="BE108" s="448" t="s">
        <v>1726</v>
      </c>
      <c r="BF108" s="306"/>
      <c r="BG108" s="306"/>
      <c r="BH108" s="306"/>
      <c r="BI108" s="306"/>
    </row>
    <row r="109" spans="1:61" ht="16.2" customHeight="1">
      <c r="A109" s="573"/>
      <c r="B109" s="469"/>
      <c r="C109" s="3"/>
      <c r="D109" s="88"/>
      <c r="E109" s="4"/>
      <c r="F109" s="4"/>
      <c r="G109" s="6">
        <v>50</v>
      </c>
      <c r="H109" s="468"/>
      <c r="I109" s="468"/>
      <c r="J109" s="3">
        <f>C110+7.5</f>
        <v>1159.1799999999998</v>
      </c>
      <c r="K109" s="468"/>
      <c r="L109" s="468"/>
      <c r="M109" s="468" t="str">
        <f>IF(L109="","",
IF(AX109="PT",VLOOKUP(L109,Foundation_Calc!$V$4:$X$37,VLOOKUP(AX109,Foundation_Calc!$I$10:$J$13,2,FALSE),0),
IF(AX109="K",VLOOKUP(L109,Foundation_Calc!$V$41:$X$74,VLOOKUP(AX109,Foundation_Calc!$I$10:$J$13,2,FALSE),0),"")))</f>
        <v/>
      </c>
      <c r="N109" s="468"/>
      <c r="O109" s="468"/>
      <c r="P109" s="468"/>
      <c r="Q109" s="4"/>
      <c r="R109" s="6"/>
      <c r="S109" s="6"/>
      <c r="T109" s="4"/>
      <c r="U109" s="4"/>
      <c r="V109" s="4"/>
      <c r="W109" s="9"/>
      <c r="X109" s="9"/>
      <c r="Y109" s="9"/>
      <c r="Z109" s="9"/>
      <c r="AA109" s="9"/>
      <c r="AB109" s="9"/>
      <c r="AC109" s="468" t="str">
        <f t="shared" si="34"/>
        <v/>
      </c>
      <c r="AD109" s="468"/>
      <c r="AE109" s="468"/>
      <c r="AF109" s="4"/>
      <c r="AG109" s="88"/>
      <c r="AH109" s="4"/>
      <c r="AI109" s="4"/>
      <c r="AJ109" s="468"/>
      <c r="AK109" s="468"/>
      <c r="AL109" s="468"/>
      <c r="AM109" s="468"/>
      <c r="AN109" s="10"/>
      <c r="AO109" s="9"/>
      <c r="AP109" s="9"/>
      <c r="AQ109" s="9">
        <f>+FL_1($T$110,$U$108,$G$109,1200,9.28,-1*$F$110)</f>
        <v>0.252011492</v>
      </c>
      <c r="AR109" s="9"/>
      <c r="AS109" s="9"/>
      <c r="AT109" s="9"/>
      <c r="AU109" s="447"/>
      <c r="AV109" s="447"/>
      <c r="AW109" s="468"/>
      <c r="AX109" s="468"/>
      <c r="AY109" s="10"/>
      <c r="AZ109" s="10"/>
      <c r="BA109" s="553" t="str">
        <f t="shared" si="33"/>
        <v/>
      </c>
      <c r="BB109" s="553" t="str">
        <f t="shared" si="33"/>
        <v/>
      </c>
      <c r="BC109" s="553" t="str">
        <f t="shared" si="40"/>
        <v/>
      </c>
      <c r="BD109" s="572" t="str">
        <f>IF(AND(L109="",H109=""),"",
IF(H109="",Pole_Calc!A$9,
IF(H109="MP",Pole_Calc!A$10,
IF(H109="AnMP",Pole_Calc!A$11,
IF(H109="A",Pole_Calc!A$12,
IF(H109="S/A",Pole_Calc!A$13,
IF(H109="A/S",Pole_Calc!A$14,"Poner a mano")))))))</f>
        <v/>
      </c>
      <c r="BE109" s="448" t="s">
        <v>1726</v>
      </c>
      <c r="BF109" s="305"/>
      <c r="BG109" s="305"/>
      <c r="BH109" s="306"/>
      <c r="BI109" s="305"/>
    </row>
    <row r="110" spans="1:61" ht="16.2" customHeight="1">
      <c r="A110" s="573" t="s">
        <v>2395</v>
      </c>
      <c r="B110" s="469" t="s">
        <v>2254</v>
      </c>
      <c r="C110" s="3">
        <f t="shared" ref="C110" si="54">C108-G109</f>
        <v>1151.6799999999998</v>
      </c>
      <c r="D110" s="88"/>
      <c r="E110" s="4"/>
      <c r="F110" s="4">
        <v>0</v>
      </c>
      <c r="G110" s="6"/>
      <c r="H110" s="468" t="s">
        <v>1863</v>
      </c>
      <c r="I110" s="468" t="s">
        <v>2396</v>
      </c>
      <c r="J110" s="3"/>
      <c r="K110" s="468" t="s">
        <v>1625</v>
      </c>
      <c r="L110" s="468" t="s">
        <v>787</v>
      </c>
      <c r="M110" s="468" t="s">
        <v>1625</v>
      </c>
      <c r="N110" s="468" t="s">
        <v>32</v>
      </c>
      <c r="O110" s="468" t="s">
        <v>28</v>
      </c>
      <c r="P110" s="468"/>
      <c r="Q110" s="4"/>
      <c r="R110" s="6"/>
      <c r="S110" s="6"/>
      <c r="T110" s="4">
        <v>-10</v>
      </c>
      <c r="U110" s="4">
        <v>-55</v>
      </c>
      <c r="V110" s="4"/>
      <c r="W110" s="9">
        <v>1.4</v>
      </c>
      <c r="X110" s="9">
        <v>2.2999999999999998</v>
      </c>
      <c r="Y110" s="9"/>
      <c r="Z110" s="9"/>
      <c r="AA110" s="9">
        <v>0.45</v>
      </c>
      <c r="AB110" s="9"/>
      <c r="AC110" s="468" t="str">
        <f t="shared" si="34"/>
        <v>PH</v>
      </c>
      <c r="AD110" s="468"/>
      <c r="AE110" s="468"/>
      <c r="AF110" s="4"/>
      <c r="AG110" s="88"/>
      <c r="AH110" s="4"/>
      <c r="AI110" s="4"/>
      <c r="AJ110" s="468" t="s">
        <v>1162</v>
      </c>
      <c r="AK110" s="468"/>
      <c r="AL110" s="468"/>
      <c r="AM110" s="468"/>
      <c r="AN110" s="10">
        <v>5.5</v>
      </c>
      <c r="AO110" s="9"/>
      <c r="AP110" s="9"/>
      <c r="AQ110" s="9"/>
      <c r="AR110" s="9"/>
      <c r="AS110" s="9"/>
      <c r="AT110" s="9">
        <f>+ab($T$110,$T$108,$T$112,$G$109,$G$111,-1*$F$110,1200)</f>
        <v>-39.939416624586059</v>
      </c>
      <c r="AU110" s="447"/>
      <c r="AV110" s="447"/>
      <c r="AW110" s="468" t="s">
        <v>199</v>
      </c>
      <c r="AX110" s="468" t="s">
        <v>199</v>
      </c>
      <c r="AY110" s="10"/>
      <c r="AZ110" s="10"/>
      <c r="BA110" s="553" t="str">
        <f t="shared" si="33"/>
        <v/>
      </c>
      <c r="BB110" s="553" t="str">
        <f t="shared" si="33"/>
        <v/>
      </c>
      <c r="BC110" s="553" t="str">
        <f t="shared" si="40"/>
        <v>ü</v>
      </c>
      <c r="BD110" s="572" t="str">
        <f>Pole_Calc!A$29</f>
        <v>App.7-V11H-P9.5.2.8</v>
      </c>
      <c r="BE110" s="448" t="s">
        <v>1726</v>
      </c>
      <c r="BF110" s="306"/>
      <c r="BG110" s="306"/>
      <c r="BH110" s="306"/>
      <c r="BI110" s="306"/>
    </row>
    <row r="111" spans="1:61" ht="16.2" customHeight="1">
      <c r="A111" s="573"/>
      <c r="B111" s="469"/>
      <c r="C111" s="3"/>
      <c r="D111" s="88"/>
      <c r="E111" s="4"/>
      <c r="F111" s="4"/>
      <c r="G111" s="6">
        <v>50</v>
      </c>
      <c r="H111" s="468"/>
      <c r="I111" s="4">
        <f>SUM(G111:G119)</f>
        <v>259.09999999999997</v>
      </c>
      <c r="J111" s="3"/>
      <c r="K111" s="468"/>
      <c r="L111" s="468"/>
      <c r="M111" s="468" t="str">
        <f>IF(L111="","",
IF(AX111="PT",VLOOKUP(L111,Foundation_Calc!$V$4:$X$37,VLOOKUP(AX111,Foundation_Calc!$I$10:$J$13,2,FALSE),0),
IF(AX111="K",VLOOKUP(L111,Foundation_Calc!$V$41:$X$74,VLOOKUP(AX111,Foundation_Calc!$I$10:$J$13,2,FALSE),0),"")))</f>
        <v/>
      </c>
      <c r="N111" s="468"/>
      <c r="O111" s="468"/>
      <c r="P111" s="468"/>
      <c r="Q111" s="4"/>
      <c r="R111" s="6"/>
      <c r="S111" s="6"/>
      <c r="T111" s="4"/>
      <c r="U111" s="4"/>
      <c r="V111" s="4"/>
      <c r="W111" s="9"/>
      <c r="X111" s="9"/>
      <c r="Y111" s="9"/>
      <c r="Z111" s="9"/>
      <c r="AA111" s="9"/>
      <c r="AB111" s="9"/>
      <c r="AC111" s="468" t="str">
        <f t="shared" si="34"/>
        <v/>
      </c>
      <c r="AD111" s="468"/>
      <c r="AE111" s="468"/>
      <c r="AF111" s="4"/>
      <c r="AG111" s="88"/>
      <c r="AH111" s="4"/>
      <c r="AI111" s="4"/>
      <c r="AJ111" s="468"/>
      <c r="AK111" s="468"/>
      <c r="AL111" s="468"/>
      <c r="AM111" s="468"/>
      <c r="AN111" s="10"/>
      <c r="AO111" s="9"/>
      <c r="AP111" s="9"/>
      <c r="AQ111" s="9">
        <f>+FL_2($U$112,$T$110,$G$111,1200,9.28,-1*$F$112)</f>
        <v>-0.39425286799999998</v>
      </c>
      <c r="AR111" s="9"/>
      <c r="AS111" s="9"/>
      <c r="AT111" s="9"/>
      <c r="AU111" s="447"/>
      <c r="AV111" s="447"/>
      <c r="AW111" s="468"/>
      <c r="AX111" s="468"/>
      <c r="AY111" s="10"/>
      <c r="AZ111" s="10"/>
      <c r="BA111" s="553" t="str">
        <f t="shared" si="33"/>
        <v/>
      </c>
      <c r="BB111" s="553" t="str">
        <f t="shared" si="33"/>
        <v/>
      </c>
      <c r="BC111" s="553" t="str">
        <f t="shared" si="40"/>
        <v/>
      </c>
      <c r="BD111" s="572" t="str">
        <f>IF(AND(L111="",H111=""),"",
IF(H111="",Pole_Calc!A$9,
IF(H111="MP",Pole_Calc!A$10,
IF(H111="AnMP",Pole_Calc!A$11,
IF(H111="A",Pole_Calc!A$12,
IF(H111="S/A",Pole_Calc!A$13,
IF(H111="A/S",Pole_Calc!A$14,"Poner a mano")))))))</f>
        <v/>
      </c>
      <c r="BE111" s="448" t="s">
        <v>1726</v>
      </c>
      <c r="BF111" s="305"/>
      <c r="BG111" s="305"/>
      <c r="BH111" s="306"/>
      <c r="BI111" s="305"/>
    </row>
    <row r="112" spans="1:61" ht="16.2" customHeight="1">
      <c r="A112" s="573"/>
      <c r="B112" s="469" t="s">
        <v>2228</v>
      </c>
      <c r="C112" s="3">
        <f t="shared" ref="C112" si="55">C110-G111</f>
        <v>1101.6799999999998</v>
      </c>
      <c r="D112" s="88"/>
      <c r="E112" s="4"/>
      <c r="F112" s="4">
        <v>0</v>
      </c>
      <c r="G112" s="6"/>
      <c r="H112" s="468" t="s">
        <v>906</v>
      </c>
      <c r="I112" s="468" t="s">
        <v>1159</v>
      </c>
      <c r="J112" s="3"/>
      <c r="K112" s="468"/>
      <c r="L112" s="468" t="s">
        <v>448</v>
      </c>
      <c r="M112" s="468" t="s">
        <v>1625</v>
      </c>
      <c r="N112" s="669" t="s">
        <v>28</v>
      </c>
      <c r="O112" s="468" t="s">
        <v>32</v>
      </c>
      <c r="P112" s="468"/>
      <c r="Q112" s="4"/>
      <c r="R112" s="6"/>
      <c r="S112" s="6"/>
      <c r="T112" s="4">
        <v>-55</v>
      </c>
      <c r="U112" s="4">
        <v>-20</v>
      </c>
      <c r="V112" s="4"/>
      <c r="W112" s="9">
        <v>2</v>
      </c>
      <c r="X112" s="9">
        <v>1.4</v>
      </c>
      <c r="Y112" s="9"/>
      <c r="Z112" s="9">
        <v>0.4</v>
      </c>
      <c r="AA112" s="9"/>
      <c r="AB112" s="9"/>
      <c r="AC112" s="468" t="str">
        <f t="shared" si="34"/>
        <v>PH</v>
      </c>
      <c r="AD112" s="468"/>
      <c r="AE112" s="468"/>
      <c r="AF112" s="4"/>
      <c r="AG112" s="88"/>
      <c r="AH112" s="4"/>
      <c r="AI112" s="4"/>
      <c r="AJ112" s="468"/>
      <c r="AK112" s="468"/>
      <c r="AL112" s="468"/>
      <c r="AM112" s="468"/>
      <c r="AN112" s="10">
        <v>5.5</v>
      </c>
      <c r="AO112" s="9"/>
      <c r="AP112" s="9"/>
      <c r="AQ112" s="9"/>
      <c r="AR112" s="9"/>
      <c r="AS112" s="9"/>
      <c r="AT112" s="9">
        <f>+ab($U$112,$T$110,$U$114,$G$111,$G$113,-1*$F$112,1200)</f>
        <v>-14.749776069128448</v>
      </c>
      <c r="AU112" s="447"/>
      <c r="AV112" s="447"/>
      <c r="AW112" s="468" t="s">
        <v>199</v>
      </c>
      <c r="AX112" s="468" t="s">
        <v>199</v>
      </c>
      <c r="AY112" s="10"/>
      <c r="AZ112" s="10"/>
      <c r="BA112" s="553" t="str">
        <f t="shared" si="33"/>
        <v/>
      </c>
      <c r="BB112" s="553" t="str">
        <f t="shared" si="33"/>
        <v/>
      </c>
      <c r="BC112" s="553" t="str">
        <f t="shared" si="40"/>
        <v>ü</v>
      </c>
      <c r="BD112" s="572" t="str">
        <f>Pole_Calc!A$29</f>
        <v>App.7-V11H-P9.5.2.8</v>
      </c>
      <c r="BE112" s="448" t="s">
        <v>1726</v>
      </c>
      <c r="BF112" s="306"/>
      <c r="BG112" s="306"/>
      <c r="BH112" s="306"/>
      <c r="BI112" s="306"/>
    </row>
    <row r="113" spans="1:61" ht="16.2" customHeight="1">
      <c r="A113" s="573"/>
      <c r="B113" s="469"/>
      <c r="C113" s="3"/>
      <c r="D113" s="88"/>
      <c r="E113" s="4"/>
      <c r="F113" s="4"/>
      <c r="G113" s="6">
        <v>51.3</v>
      </c>
      <c r="H113" s="468"/>
      <c r="I113" s="468"/>
      <c r="J113" s="3">
        <f>C112-7.5</f>
        <v>1094.1799999999998</v>
      </c>
      <c r="K113" s="468" t="s">
        <v>1625</v>
      </c>
      <c r="L113" s="468"/>
      <c r="M113" s="468" t="str">
        <f>IF(L113="","",
IF(AX113="PT",VLOOKUP(L113,Foundation_Calc!$V$4:$X$37,VLOOKUP(AX113,Foundation_Calc!$I$10:$J$13,2,FALSE),0),
IF(AX113="K",VLOOKUP(L113,Foundation_Calc!$V$41:$X$74,VLOOKUP(AX113,Foundation_Calc!$I$10:$J$13,2,FALSE),0),"")))</f>
        <v/>
      </c>
      <c r="N113" s="468"/>
      <c r="O113" s="468"/>
      <c r="P113" s="468"/>
      <c r="Q113" s="4"/>
      <c r="R113" s="6"/>
      <c r="S113" s="6"/>
      <c r="T113" s="4"/>
      <c r="U113" s="4"/>
      <c r="V113" s="4"/>
      <c r="W113" s="9"/>
      <c r="X113" s="9"/>
      <c r="Y113" s="9"/>
      <c r="Z113" s="9"/>
      <c r="AA113" s="9"/>
      <c r="AB113" s="9"/>
      <c r="AC113" s="468" t="str">
        <f t="shared" si="34"/>
        <v/>
      </c>
      <c r="AD113" s="468"/>
      <c r="AE113" s="468"/>
      <c r="AF113" s="4"/>
      <c r="AG113" s="88"/>
      <c r="AH113" s="4"/>
      <c r="AI113" s="4"/>
      <c r="AJ113" s="468"/>
      <c r="AK113" s="468"/>
      <c r="AL113" s="468"/>
      <c r="AM113" s="468"/>
      <c r="AN113" s="10"/>
      <c r="AO113" s="9"/>
      <c r="AP113" s="9"/>
      <c r="AQ113" s="9">
        <f>+FL_2($U$114,$U$112,$G$113,1200,9.28,-1*$F$114)</f>
        <v>-0.25371467922807017</v>
      </c>
      <c r="AR113" s="9"/>
      <c r="AS113" s="9"/>
      <c r="AT113" s="9"/>
      <c r="AU113" s="447"/>
      <c r="AV113" s="447"/>
      <c r="AW113" s="468"/>
      <c r="AX113" s="468"/>
      <c r="AY113" s="10"/>
      <c r="AZ113" s="10"/>
      <c r="BA113" s="553" t="str">
        <f t="shared" si="33"/>
        <v/>
      </c>
      <c r="BB113" s="553" t="str">
        <f t="shared" si="33"/>
        <v/>
      </c>
      <c r="BC113" s="553" t="str">
        <f t="shared" si="40"/>
        <v/>
      </c>
      <c r="BD113" s="572" t="str">
        <f>IF(AND(L113="",H113=""),"",
IF(H113="",Pole_Calc!A$9,
IF(H113="MP",Pole_Calc!A$10,
IF(H113="AnMP",Pole_Calc!A$11,
IF(H113="A",Pole_Calc!A$12,
IF(H113="S/A",Pole_Calc!A$13,
IF(H113="A/S",Pole_Calc!A$14,"Poner a mano")))))))</f>
        <v/>
      </c>
      <c r="BE113" s="448" t="s">
        <v>1726</v>
      </c>
      <c r="BF113" s="305"/>
      <c r="BG113" s="305"/>
      <c r="BH113" s="306"/>
      <c r="BI113" s="305"/>
    </row>
    <row r="114" spans="1:61" ht="16.2" customHeight="1">
      <c r="A114" s="573"/>
      <c r="B114" s="469" t="s">
        <v>2227</v>
      </c>
      <c r="C114" s="3">
        <f t="shared" ref="C114" si="56">C112-G113</f>
        <v>1050.3799999999999</v>
      </c>
      <c r="D114" s="88"/>
      <c r="E114" s="4"/>
      <c r="F114" s="4">
        <v>0</v>
      </c>
      <c r="G114" s="6"/>
      <c r="H114" s="468" t="s">
        <v>2275</v>
      </c>
      <c r="I114" s="468" t="s">
        <v>182</v>
      </c>
      <c r="J114" s="3">
        <f>C114+7.5</f>
        <v>1057.8799999999999</v>
      </c>
      <c r="K114" s="468" t="s">
        <v>1625</v>
      </c>
      <c r="L114" s="468" t="s">
        <v>448</v>
      </c>
      <c r="M114" s="468" t="s">
        <v>1625</v>
      </c>
      <c r="N114" s="669" t="s">
        <v>32</v>
      </c>
      <c r="O114" s="468" t="s">
        <v>33</v>
      </c>
      <c r="P114" s="468"/>
      <c r="Q114" s="4"/>
      <c r="R114" s="6"/>
      <c r="S114" s="6"/>
      <c r="T114" s="4">
        <v>20</v>
      </c>
      <c r="U114" s="4">
        <v>35</v>
      </c>
      <c r="V114" s="4"/>
      <c r="W114" s="9">
        <v>2</v>
      </c>
      <c r="X114" s="9">
        <v>1.4</v>
      </c>
      <c r="Y114" s="9"/>
      <c r="Z114" s="9"/>
      <c r="AA114" s="9"/>
      <c r="AB114" s="9"/>
      <c r="AC114" s="468" t="s">
        <v>1068</v>
      </c>
      <c r="AD114" s="468" t="s">
        <v>647</v>
      </c>
      <c r="AE114" s="468"/>
      <c r="AF114" s="4"/>
      <c r="AG114" s="88"/>
      <c r="AH114" s="4"/>
      <c r="AI114" s="4"/>
      <c r="AJ114" s="468" t="s">
        <v>364</v>
      </c>
      <c r="AK114" s="468"/>
      <c r="AL114" s="468"/>
      <c r="AM114" s="468"/>
      <c r="AN114" s="10">
        <v>5.5</v>
      </c>
      <c r="AO114" s="9"/>
      <c r="AP114" s="9"/>
      <c r="AQ114" s="9"/>
      <c r="AR114" s="9"/>
      <c r="AS114" s="9"/>
      <c r="AT114" s="9">
        <f>+ab($U$114,$U$112,$U$116,$G$113,$G$115,-1*$F$114,1200)</f>
        <v>8.2404531701177124</v>
      </c>
      <c r="AU114" s="447"/>
      <c r="AV114" s="447"/>
      <c r="AW114" s="468" t="s">
        <v>199</v>
      </c>
      <c r="AX114" s="468" t="s">
        <v>199</v>
      </c>
      <c r="AY114" s="10"/>
      <c r="AZ114" s="10"/>
      <c r="BA114" s="553" t="str">
        <f t="shared" si="33"/>
        <v/>
      </c>
      <c r="BB114" s="553" t="str">
        <f t="shared" si="33"/>
        <v/>
      </c>
      <c r="BC114" s="553" t="str">
        <f t="shared" si="40"/>
        <v>ü</v>
      </c>
      <c r="BD114" s="572" t="str">
        <f>Pole_Calc!A$16</f>
        <v>App.7-V11H-P9.5.1.8</v>
      </c>
      <c r="BE114" s="448" t="s">
        <v>1726</v>
      </c>
      <c r="BF114" s="306"/>
      <c r="BG114" s="306"/>
      <c r="BH114" s="306"/>
      <c r="BI114" s="306"/>
    </row>
    <row r="115" spans="1:61" ht="16.2" customHeight="1">
      <c r="A115" s="573"/>
      <c r="B115" s="469"/>
      <c r="C115" s="3"/>
      <c r="D115" s="88"/>
      <c r="E115" s="4"/>
      <c r="F115" s="4"/>
      <c r="G115" s="6">
        <v>52.4</v>
      </c>
      <c r="H115" s="468"/>
      <c r="I115" s="468"/>
      <c r="J115" s="3"/>
      <c r="K115" s="468"/>
      <c r="L115" s="468"/>
      <c r="M115" s="468" t="str">
        <f>IF(L115="","",
IF(AX115="PT",VLOOKUP(L115,Foundation_Calc!$V$4:$X$37,VLOOKUP(AX115,Foundation_Calc!$I$10:$J$13,2,FALSE),0),
IF(AX115="K",VLOOKUP(L115,Foundation_Calc!$V$41:$X$74,VLOOKUP(AX115,Foundation_Calc!$I$10:$J$13,2,FALSE),0),"")))</f>
        <v/>
      </c>
      <c r="N115" s="468"/>
      <c r="O115" s="468"/>
      <c r="P115" s="468"/>
      <c r="Q115" s="4"/>
      <c r="R115" s="6"/>
      <c r="S115" s="6"/>
      <c r="T115" s="4"/>
      <c r="U115" s="4"/>
      <c r="V115" s="4"/>
      <c r="W115" s="9"/>
      <c r="X115" s="9"/>
      <c r="Y115" s="9"/>
      <c r="Z115" s="9"/>
      <c r="AA115" s="9"/>
      <c r="AB115" s="9"/>
      <c r="AC115" s="468" t="str">
        <f t="shared" si="34"/>
        <v/>
      </c>
      <c r="AD115" s="468"/>
      <c r="AE115" s="468"/>
      <c r="AF115" s="4"/>
      <c r="AG115" s="88"/>
      <c r="AH115" s="4"/>
      <c r="AI115" s="4"/>
      <c r="AJ115" s="468"/>
      <c r="AK115" s="468"/>
      <c r="AL115" s="468"/>
      <c r="AM115" s="468"/>
      <c r="AN115" s="10"/>
      <c r="AO115" s="9"/>
      <c r="AP115" s="9"/>
      <c r="AQ115" s="9">
        <f>+FL_1($U$116,$U$114,$G$115,1200,9.28,-1*$F$116)</f>
        <v>0.38991071364885482</v>
      </c>
      <c r="AR115" s="9"/>
      <c r="AS115" s="9"/>
      <c r="AT115" s="9"/>
      <c r="AU115" s="447"/>
      <c r="AV115" s="447"/>
      <c r="AW115" s="468"/>
      <c r="AX115" s="468"/>
      <c r="AY115" s="10"/>
      <c r="AZ115" s="10"/>
      <c r="BA115" s="553" t="str">
        <f t="shared" si="33"/>
        <v/>
      </c>
      <c r="BB115" s="553" t="str">
        <f t="shared" si="33"/>
        <v/>
      </c>
      <c r="BC115" s="553" t="str">
        <f t="shared" si="40"/>
        <v/>
      </c>
      <c r="BD115" s="572" t="str">
        <f>IF(AND(L115="",H115=""),"",
IF(H115="",Pole_Calc!A$9,
IF(H115="MP",Pole_Calc!A$10,
IF(H115="AnMP",Pole_Calc!A$11,
IF(H115="A",Pole_Calc!A$12,
IF(H115="S/A",Pole_Calc!A$13,
IF(H115="A/S",Pole_Calc!A$14,"Poner a mano")))))))</f>
        <v/>
      </c>
      <c r="BE115" s="448" t="s">
        <v>1726</v>
      </c>
      <c r="BF115" s="305"/>
      <c r="BG115" s="305"/>
      <c r="BH115" s="306"/>
      <c r="BI115" s="305"/>
    </row>
    <row r="116" spans="1:61" ht="16.2" customHeight="1">
      <c r="A116" s="573"/>
      <c r="B116" s="469" t="s">
        <v>2257</v>
      </c>
      <c r="C116" s="3">
        <f t="shared" ref="C116" si="57">C114-G115</f>
        <v>997.9799999999999</v>
      </c>
      <c r="D116" s="88"/>
      <c r="E116" s="4"/>
      <c r="F116" s="4">
        <v>0</v>
      </c>
      <c r="G116" s="6"/>
      <c r="H116" s="468" t="s">
        <v>179</v>
      </c>
      <c r="I116" s="468"/>
      <c r="J116" s="3"/>
      <c r="K116" s="468"/>
      <c r="L116" s="468" t="s">
        <v>448</v>
      </c>
      <c r="M116" s="468" t="s">
        <v>1625</v>
      </c>
      <c r="N116" s="468" t="s">
        <v>28</v>
      </c>
      <c r="O116" s="468" t="s">
        <v>32</v>
      </c>
      <c r="P116" s="468"/>
      <c r="Q116" s="4"/>
      <c r="R116" s="6"/>
      <c r="S116" s="6"/>
      <c r="T116" s="4">
        <v>15</v>
      </c>
      <c r="U116" s="4">
        <v>-30</v>
      </c>
      <c r="V116" s="4"/>
      <c r="W116" s="9">
        <v>1.4</v>
      </c>
      <c r="X116" s="9">
        <v>2.2999999999999998</v>
      </c>
      <c r="Y116" s="9"/>
      <c r="Z116" s="9">
        <v>0.45</v>
      </c>
      <c r="AA116" s="9"/>
      <c r="AB116" s="9"/>
      <c r="AC116" s="468" t="str">
        <f t="shared" si="34"/>
        <v>PH</v>
      </c>
      <c r="AD116" s="468"/>
      <c r="AE116" s="468"/>
      <c r="AF116" s="4"/>
      <c r="AG116" s="88"/>
      <c r="AH116" s="4"/>
      <c r="AI116" s="4"/>
      <c r="AJ116" s="468"/>
      <c r="AK116" s="468"/>
      <c r="AL116" s="468"/>
      <c r="AM116" s="468"/>
      <c r="AN116" s="10">
        <v>5.5</v>
      </c>
      <c r="AO116" s="9"/>
      <c r="AP116" s="9"/>
      <c r="AQ116" s="9"/>
      <c r="AR116" s="9"/>
      <c r="AS116" s="9"/>
      <c r="AT116" s="9">
        <f>+ab($U$116,$U$114,$T$118,$G$115,$G$117,-1*$F$116,1200)</f>
        <v>-9.1740389339332005</v>
      </c>
      <c r="AU116" s="447"/>
      <c r="AV116" s="447"/>
      <c r="AW116" s="468" t="s">
        <v>199</v>
      </c>
      <c r="AX116" s="468" t="s">
        <v>199</v>
      </c>
      <c r="AY116" s="10"/>
      <c r="AZ116" s="10"/>
      <c r="BA116" s="553" t="str">
        <f t="shared" si="33"/>
        <v/>
      </c>
      <c r="BB116" s="553" t="str">
        <f t="shared" si="33"/>
        <v/>
      </c>
      <c r="BC116" s="553" t="str">
        <f t="shared" si="40"/>
        <v>ü</v>
      </c>
      <c r="BD116" s="572" t="str">
        <f>IF(AND(L116="",H116=""),"",
IF(H116="",Pole_Calc!A$9,
IF(H116="MP",Pole_Calc!A$10,
IF(H116="AnMP",Pole_Calc!A$11,
IF(H116="A",Pole_Calc!A$12,
IF(H116="S/A",Pole_Calc!A$13,
IF(H116="A/S",Pole_Calc!A$14,"Poner a mano")))))))</f>
        <v>App.7-V11H-P9.5.1.5</v>
      </c>
      <c r="BE116" s="448" t="s">
        <v>1726</v>
      </c>
      <c r="BF116" s="306"/>
      <c r="BG116" s="306"/>
      <c r="BH116" s="306"/>
      <c r="BI116" s="306"/>
    </row>
    <row r="117" spans="1:61" ht="16.2" customHeight="1">
      <c r="A117" s="573"/>
      <c r="B117" s="469"/>
      <c r="C117" s="3"/>
      <c r="D117" s="88"/>
      <c r="E117" s="4"/>
      <c r="F117" s="4"/>
      <c r="G117" s="6">
        <v>48</v>
      </c>
      <c r="H117" s="468"/>
      <c r="I117" s="468"/>
      <c r="J117" s="3"/>
      <c r="K117" s="468"/>
      <c r="L117" s="468"/>
      <c r="M117" s="468" t="str">
        <f>IF(L117="","",
IF(AX117="PT",VLOOKUP(L117,Foundation_Calc!$V$4:$X$37,VLOOKUP(AX117,Foundation_Calc!$I$10:$J$13,2,FALSE),0),
IF(AX117="K",VLOOKUP(L117,Foundation_Calc!$V$41:$X$74,VLOOKUP(AX117,Foundation_Calc!$I$10:$J$13,2,FALSE),0),"")))</f>
        <v/>
      </c>
      <c r="N117" s="468"/>
      <c r="O117" s="468"/>
      <c r="P117" s="468"/>
      <c r="Q117" s="4"/>
      <c r="R117" s="6"/>
      <c r="S117" s="6"/>
      <c r="T117" s="4"/>
      <c r="U117" s="4"/>
      <c r="V117" s="4"/>
      <c r="W117" s="9"/>
      <c r="X117" s="9"/>
      <c r="Y117" s="9"/>
      <c r="Z117" s="9"/>
      <c r="AA117" s="9"/>
      <c r="AB117" s="9"/>
      <c r="AC117" s="468" t="str">
        <f t="shared" si="34"/>
        <v/>
      </c>
      <c r="AD117" s="468"/>
      <c r="AE117" s="468"/>
      <c r="AF117" s="4"/>
      <c r="AG117" s="88"/>
      <c r="AH117" s="4"/>
      <c r="AI117" s="4"/>
      <c r="AJ117" s="468"/>
      <c r="AK117" s="468"/>
      <c r="AL117" s="468"/>
      <c r="AM117" s="468"/>
      <c r="AN117" s="10"/>
      <c r="AO117" s="9"/>
      <c r="AP117" s="9"/>
      <c r="AQ117" s="9">
        <f>+FL_2($T$118,$U$116,$G$117,1200,9.28,-1*$F$118)</f>
        <v>-0.36761941866666659</v>
      </c>
      <c r="AR117" s="9"/>
      <c r="AS117" s="9"/>
      <c r="AT117" s="9"/>
      <c r="AU117" s="447"/>
      <c r="AV117" s="447"/>
      <c r="AW117" s="468"/>
      <c r="AX117" s="468"/>
      <c r="AY117" s="10"/>
      <c r="AZ117" s="10"/>
      <c r="BA117" s="553" t="str">
        <f t="shared" si="33"/>
        <v/>
      </c>
      <c r="BB117" s="553" t="str">
        <f t="shared" si="33"/>
        <v/>
      </c>
      <c r="BC117" s="553" t="str">
        <f t="shared" si="40"/>
        <v/>
      </c>
      <c r="BD117" s="572" t="str">
        <f>IF(AND(L117="",H117=""),"",
IF(H117="",Pole_Calc!A$9,
IF(H117="MP",Pole_Calc!A$10,
IF(H117="AnMP",Pole_Calc!A$11,
IF(H117="A",Pole_Calc!A$12,
IF(H117="S/A",Pole_Calc!A$13,
IF(H117="A/S",Pole_Calc!A$14,"Poner a mano")))))))</f>
        <v/>
      </c>
      <c r="BE117" s="448" t="s">
        <v>1726</v>
      </c>
      <c r="BF117" s="305"/>
      <c r="BG117" s="305"/>
      <c r="BH117" s="306"/>
      <c r="BI117" s="305"/>
    </row>
    <row r="118" spans="1:61" ht="16.2" customHeight="1">
      <c r="A118" s="573" t="s">
        <v>2480</v>
      </c>
      <c r="B118" s="469" t="s">
        <v>2258</v>
      </c>
      <c r="C118" s="3">
        <f t="shared" ref="C118" si="58">C116-G117</f>
        <v>949.9799999999999</v>
      </c>
      <c r="D118" s="88"/>
      <c r="E118" s="4"/>
      <c r="F118" s="4">
        <v>0</v>
      </c>
      <c r="G118" s="6"/>
      <c r="H118" s="468" t="s">
        <v>179</v>
      </c>
      <c r="I118" s="468" t="s">
        <v>653</v>
      </c>
      <c r="J118" s="3"/>
      <c r="K118" s="468"/>
      <c r="L118" s="468" t="s">
        <v>322</v>
      </c>
      <c r="M118" s="468" t="s">
        <v>1625</v>
      </c>
      <c r="N118" s="468" t="s">
        <v>32</v>
      </c>
      <c r="O118" s="468" t="s">
        <v>28</v>
      </c>
      <c r="P118" s="468"/>
      <c r="Q118" s="4"/>
      <c r="R118" s="6"/>
      <c r="S118" s="6"/>
      <c r="T118" s="4">
        <v>10</v>
      </c>
      <c r="U118" s="4">
        <v>-35</v>
      </c>
      <c r="V118" s="4"/>
      <c r="W118" s="9">
        <v>1.4</v>
      </c>
      <c r="X118" s="9">
        <v>2.2999999999999998</v>
      </c>
      <c r="Y118" s="9"/>
      <c r="Z118" s="9"/>
      <c r="AA118" s="9">
        <v>0.45</v>
      </c>
      <c r="AB118" s="9"/>
      <c r="AC118" s="468" t="str">
        <f t="shared" si="34"/>
        <v>PH</v>
      </c>
      <c r="AD118" s="468"/>
      <c r="AE118" s="468"/>
      <c r="AF118" s="4"/>
      <c r="AG118" s="88"/>
      <c r="AH118" s="4"/>
      <c r="AI118" s="4"/>
      <c r="AJ118" s="468" t="s">
        <v>368</v>
      </c>
      <c r="AK118" s="468"/>
      <c r="AL118" s="468"/>
      <c r="AM118" s="468"/>
      <c r="AN118" s="10">
        <v>5.5</v>
      </c>
      <c r="AO118" s="9"/>
      <c r="AP118" s="9"/>
      <c r="AQ118" s="9"/>
      <c r="AR118" s="9"/>
      <c r="AS118" s="9"/>
      <c r="AT118" s="9">
        <f>+ab($T$118,$U$116,$T$120,$G$117,$G$119,-1*$F$118,1200)</f>
        <v>40.094781745658757</v>
      </c>
      <c r="AU118" s="447"/>
      <c r="AV118" s="447"/>
      <c r="AW118" s="468" t="s">
        <v>199</v>
      </c>
      <c r="AX118" s="468" t="s">
        <v>199</v>
      </c>
      <c r="AY118" s="10"/>
      <c r="AZ118" s="10"/>
      <c r="BA118" s="553" t="str">
        <f t="shared" si="33"/>
        <v/>
      </c>
      <c r="BB118" s="553" t="str">
        <f t="shared" si="33"/>
        <v/>
      </c>
      <c r="BC118" s="553" t="str">
        <f t="shared" si="40"/>
        <v>ü</v>
      </c>
      <c r="BD118" s="572" t="str">
        <f>Pole_Calc!A$26</f>
        <v>App.7-V11H-P9.5.2.5</v>
      </c>
      <c r="BE118" s="448" t="s">
        <v>1726</v>
      </c>
      <c r="BF118" s="306"/>
      <c r="BG118" s="306"/>
      <c r="BH118" s="306"/>
      <c r="BI118" s="306"/>
    </row>
    <row r="119" spans="1:61" ht="16.2" customHeight="1">
      <c r="A119" s="573"/>
      <c r="B119" s="469"/>
      <c r="C119" s="3"/>
      <c r="D119" s="88"/>
      <c r="E119" s="4"/>
      <c r="F119" s="4"/>
      <c r="G119" s="6">
        <v>57.4</v>
      </c>
      <c r="H119" s="468"/>
      <c r="I119" s="4">
        <f>SUM(G107:G119)</f>
        <v>359.1</v>
      </c>
      <c r="J119" s="3"/>
      <c r="K119" s="468"/>
      <c r="L119" s="468"/>
      <c r="M119" s="468" t="str">
        <f>IF(L119="","",
IF(AX119="PT",VLOOKUP(L119,Foundation_Calc!$V$4:$X$37,VLOOKUP(AX119,Foundation_Calc!$I$10:$J$13,2,FALSE),0),
IF(AX119="K",VLOOKUP(L119,Foundation_Calc!$V$41:$X$74,VLOOKUP(AX119,Foundation_Calc!$I$10:$J$13,2,FALSE),0),"")))</f>
        <v/>
      </c>
      <c r="N119" s="468"/>
      <c r="O119" s="468"/>
      <c r="P119" s="468"/>
      <c r="Q119" s="4"/>
      <c r="R119" s="6"/>
      <c r="S119" s="6"/>
      <c r="T119" s="4"/>
      <c r="U119" s="4"/>
      <c r="V119" s="4"/>
      <c r="W119" s="9"/>
      <c r="X119" s="9"/>
      <c r="Y119" s="9"/>
      <c r="Z119" s="9"/>
      <c r="AA119" s="9"/>
      <c r="AB119" s="9"/>
      <c r="AC119" s="468" t="str">
        <f t="shared" si="34"/>
        <v/>
      </c>
      <c r="AD119" s="468"/>
      <c r="AE119" s="468"/>
      <c r="AF119" s="4"/>
      <c r="AG119" s="88"/>
      <c r="AH119" s="4"/>
      <c r="AI119" s="4"/>
      <c r="AJ119" s="468"/>
      <c r="AK119" s="468"/>
      <c r="AL119" s="468"/>
      <c r="AM119" s="468"/>
      <c r="AN119" s="10"/>
      <c r="AO119" s="9"/>
      <c r="AP119" s="9"/>
      <c r="AQ119" s="9">
        <f>+FL_1($T$120,$T$118,$G$119,1200,9.28,-1*$F$120)</f>
        <v>0.55575823792334489</v>
      </c>
      <c r="AR119" s="9"/>
      <c r="AS119" s="9"/>
      <c r="AT119" s="9"/>
      <c r="AU119" s="447"/>
      <c r="AV119" s="447"/>
      <c r="AW119" s="468"/>
      <c r="AX119" s="468"/>
      <c r="AY119" s="10"/>
      <c r="AZ119" s="10"/>
      <c r="BA119" s="553" t="str">
        <f t="shared" si="33"/>
        <v/>
      </c>
      <c r="BB119" s="553" t="str">
        <f t="shared" si="33"/>
        <v/>
      </c>
      <c r="BC119" s="553" t="str">
        <f t="shared" si="40"/>
        <v/>
      </c>
      <c r="BD119" s="572" t="str">
        <f>IF(AND(L119="",H119=""),"",
IF(H119="",Pole_Calc!A$9,
IF(H119="MP",Pole_Calc!A$10,
IF(H119="AnMP",Pole_Calc!A$11,
IF(H119="A",Pole_Calc!A$12,
IF(H119="S/A",Pole_Calc!A$13,
IF(H119="A/S",Pole_Calc!A$14,"Poner a mano")))))))</f>
        <v/>
      </c>
      <c r="BE119" s="448" t="s">
        <v>1726</v>
      </c>
      <c r="BF119" s="305"/>
      <c r="BG119" s="305"/>
      <c r="BH119" s="306"/>
      <c r="BI119" s="305"/>
    </row>
    <row r="120" spans="1:61" ht="16.2" customHeight="1">
      <c r="A120" s="573"/>
      <c r="B120" s="469" t="s">
        <v>2259</v>
      </c>
      <c r="C120" s="3">
        <f t="shared" ref="C120" si="59">C118-G119</f>
        <v>892.57999999999993</v>
      </c>
      <c r="D120" s="88"/>
      <c r="E120" s="4"/>
      <c r="F120" s="4">
        <v>0</v>
      </c>
      <c r="G120" s="6"/>
      <c r="H120" s="468" t="s">
        <v>1741</v>
      </c>
      <c r="I120" s="468" t="s">
        <v>182</v>
      </c>
      <c r="J120" s="3"/>
      <c r="K120" s="468"/>
      <c r="L120" s="468" t="s">
        <v>448</v>
      </c>
      <c r="M120" s="468" t="s">
        <v>1625</v>
      </c>
      <c r="N120" s="468" t="s">
        <v>33</v>
      </c>
      <c r="O120" s="669" t="s">
        <v>32</v>
      </c>
      <c r="P120" s="468"/>
      <c r="Q120" s="4"/>
      <c r="R120" s="6"/>
      <c r="S120" s="6"/>
      <c r="T120" s="4">
        <v>35</v>
      </c>
      <c r="U120" s="4">
        <v>20</v>
      </c>
      <c r="V120" s="4"/>
      <c r="W120" s="9">
        <v>1.4</v>
      </c>
      <c r="X120" s="9">
        <v>2</v>
      </c>
      <c r="Y120" s="9"/>
      <c r="Z120" s="9"/>
      <c r="AA120" s="9"/>
      <c r="AB120" s="9"/>
      <c r="AC120" s="468" t="s">
        <v>647</v>
      </c>
      <c r="AD120" s="468" t="s">
        <v>1068</v>
      </c>
      <c r="AE120" s="468"/>
      <c r="AF120" s="4"/>
      <c r="AG120" s="88"/>
      <c r="AH120" s="4"/>
      <c r="AI120" s="4"/>
      <c r="AJ120" s="468" t="s">
        <v>364</v>
      </c>
      <c r="AK120" s="468"/>
      <c r="AL120" s="468"/>
      <c r="AM120" s="468"/>
      <c r="AN120" s="10">
        <v>5.5</v>
      </c>
      <c r="AO120" s="9"/>
      <c r="AP120" s="9"/>
      <c r="AQ120" s="9"/>
      <c r="AR120" s="9"/>
      <c r="AS120" s="9"/>
      <c r="AT120" s="9">
        <f>+ab($T$120,$T$118,$T$122,$G$119,$G$121,-1*$F$120,1200)</f>
        <v>14.529869781637077</v>
      </c>
      <c r="AU120" s="447"/>
      <c r="AV120" s="447"/>
      <c r="AW120" s="468" t="s">
        <v>199</v>
      </c>
      <c r="AX120" s="468" t="s">
        <v>199</v>
      </c>
      <c r="AY120" s="10"/>
      <c r="AZ120" s="10"/>
      <c r="BA120" s="553" t="str">
        <f t="shared" si="33"/>
        <v/>
      </c>
      <c r="BB120" s="553" t="str">
        <f t="shared" si="33"/>
        <v/>
      </c>
      <c r="BC120" s="553" t="str">
        <f t="shared" si="40"/>
        <v>ü</v>
      </c>
      <c r="BD120" s="572" t="str">
        <f>Pole_Calc!A$16</f>
        <v>App.7-V11H-P9.5.1.8</v>
      </c>
      <c r="BE120" s="448" t="s">
        <v>1726</v>
      </c>
      <c r="BF120" s="306"/>
      <c r="BG120" s="306"/>
      <c r="BH120" s="306"/>
      <c r="BI120" s="306"/>
    </row>
    <row r="121" spans="1:61" ht="16.2" customHeight="1">
      <c r="A121" s="573" t="s">
        <v>1497</v>
      </c>
      <c r="B121" s="469"/>
      <c r="C121" s="3"/>
      <c r="D121" s="88"/>
      <c r="E121" s="4"/>
      <c r="F121" s="4"/>
      <c r="G121" s="6">
        <v>64.2</v>
      </c>
      <c r="H121" s="468"/>
      <c r="I121" s="468"/>
      <c r="J121" s="3">
        <f>C120-7.5</f>
        <v>885.07999999999993</v>
      </c>
      <c r="K121" s="468" t="s">
        <v>1625</v>
      </c>
      <c r="L121" s="468"/>
      <c r="M121" s="468" t="str">
        <f>IF(L121="","",
IF(AX121="PT",VLOOKUP(L121,Foundation_Calc!$V$4:$X$37,VLOOKUP(AX121,Foundation_Calc!$I$10:$J$13,2,FALSE),0),
IF(AX121="K",VLOOKUP(L121,Foundation_Calc!$V$41:$X$74,VLOOKUP(AX121,Foundation_Calc!$I$10:$J$13,2,FALSE),0),"")))</f>
        <v/>
      </c>
      <c r="N121" s="468"/>
      <c r="O121" s="468"/>
      <c r="P121" s="468"/>
      <c r="Q121" s="4"/>
      <c r="R121" s="6"/>
      <c r="S121" s="6"/>
      <c r="T121" s="4"/>
      <c r="U121" s="4"/>
      <c r="V121" s="4"/>
      <c r="W121" s="9"/>
      <c r="X121" s="9"/>
      <c r="Y121" s="9"/>
      <c r="Z121" s="9"/>
      <c r="AA121" s="9"/>
      <c r="AB121" s="9"/>
      <c r="AC121" s="468" t="str">
        <f t="shared" si="34"/>
        <v/>
      </c>
      <c r="AD121" s="468"/>
      <c r="AE121" s="468"/>
      <c r="AF121" s="4"/>
      <c r="AG121" s="88"/>
      <c r="AH121" s="4"/>
      <c r="AI121" s="4"/>
      <c r="AJ121" s="468"/>
      <c r="AK121" s="468"/>
      <c r="AL121" s="468"/>
      <c r="AM121" s="468"/>
      <c r="AN121" s="10"/>
      <c r="AO121" s="9"/>
      <c r="AP121" s="9"/>
      <c r="AQ121" s="9">
        <f>+FL_1($T$122,$T$120,$G$121,1200,9.28,-1*$F$122)</f>
        <v>0.52087764371339562</v>
      </c>
      <c r="AR121" s="9"/>
      <c r="AS121" s="9"/>
      <c r="AT121" s="9"/>
      <c r="AU121" s="447"/>
      <c r="AV121" s="447"/>
      <c r="AW121" s="468"/>
      <c r="AX121" s="468"/>
      <c r="AY121" s="10"/>
      <c r="AZ121" s="10"/>
      <c r="BA121" s="553" t="str">
        <f t="shared" si="33"/>
        <v/>
      </c>
      <c r="BB121" s="553" t="str">
        <f t="shared" si="33"/>
        <v/>
      </c>
      <c r="BC121" s="553" t="str">
        <f t="shared" si="40"/>
        <v/>
      </c>
      <c r="BD121" s="572" t="str">
        <f>IF(AND(L121="",H121=""),"",
IF(H121="",Pole_Calc!A$9,
IF(H121="MP",Pole_Calc!A$10,
IF(H121="AnMP",Pole_Calc!A$11,
IF(H121="A",Pole_Calc!A$12,
IF(H121="S/A",Pole_Calc!A$13,
IF(H121="A/S",Pole_Calc!A$14,"Poner a mano")))))))</f>
        <v/>
      </c>
      <c r="BE121" s="448" t="s">
        <v>1726</v>
      </c>
      <c r="BF121" s="305"/>
      <c r="BG121" s="305"/>
      <c r="BH121" s="306"/>
      <c r="BI121" s="305"/>
    </row>
    <row r="122" spans="1:61" ht="16.2" customHeight="1">
      <c r="A122" s="574" t="s">
        <v>1497</v>
      </c>
      <c r="B122" s="469" t="s">
        <v>2260</v>
      </c>
      <c r="C122" s="3">
        <f t="shared" ref="C122" si="60">C120-G121</f>
        <v>828.37999999999988</v>
      </c>
      <c r="D122" s="88"/>
      <c r="E122" s="4"/>
      <c r="F122" s="4">
        <v>0</v>
      </c>
      <c r="G122" s="6"/>
      <c r="H122" s="468" t="s">
        <v>179</v>
      </c>
      <c r="I122" s="468"/>
      <c r="J122" s="3"/>
      <c r="K122" s="468"/>
      <c r="L122" s="468" t="s">
        <v>448</v>
      </c>
      <c r="M122" s="468" t="s">
        <v>1625</v>
      </c>
      <c r="N122" s="468" t="s">
        <v>32</v>
      </c>
      <c r="O122" s="669" t="s">
        <v>28</v>
      </c>
      <c r="P122" s="468"/>
      <c r="Q122" s="4"/>
      <c r="R122" s="6"/>
      <c r="S122" s="6"/>
      <c r="T122" s="4">
        <v>-20</v>
      </c>
      <c r="U122" s="4">
        <v>-55</v>
      </c>
      <c r="V122" s="4"/>
      <c r="W122" s="9">
        <v>1.4</v>
      </c>
      <c r="X122" s="9">
        <v>2</v>
      </c>
      <c r="Y122" s="9"/>
      <c r="Z122" s="9"/>
      <c r="AA122" s="9">
        <v>0.45</v>
      </c>
      <c r="AB122" s="9"/>
      <c r="AC122" s="468" t="str">
        <f t="shared" si="34"/>
        <v>PH</v>
      </c>
      <c r="AD122" s="468"/>
      <c r="AE122" s="468"/>
      <c r="AF122" s="4"/>
      <c r="AG122" s="88"/>
      <c r="AH122" s="4"/>
      <c r="AI122" s="4"/>
      <c r="AJ122" s="468"/>
      <c r="AK122" s="468"/>
      <c r="AL122" s="468"/>
      <c r="AM122" s="468"/>
      <c r="AN122" s="10">
        <v>5.5</v>
      </c>
      <c r="AO122" s="9"/>
      <c r="AP122" s="9"/>
      <c r="AQ122" s="9"/>
      <c r="AR122" s="9"/>
      <c r="AS122" s="9"/>
      <c r="AT122" s="9">
        <f>+ab($T$122,$T$120,$T$124,$G$121,$G$123,-1*$F$122,1200)</f>
        <v>-10.640613091259979</v>
      </c>
      <c r="AU122" s="447"/>
      <c r="AV122" s="447"/>
      <c r="AW122" s="468" t="s">
        <v>2559</v>
      </c>
      <c r="AX122" s="468" t="s">
        <v>199</v>
      </c>
      <c r="AY122" s="10"/>
      <c r="AZ122" s="10"/>
      <c r="BA122" s="553" t="str">
        <f t="shared" si="33"/>
        <v/>
      </c>
      <c r="BB122" s="553" t="str">
        <f t="shared" si="33"/>
        <v/>
      </c>
      <c r="BC122" s="553" t="str">
        <f t="shared" si="40"/>
        <v>ü</v>
      </c>
      <c r="BD122" s="572" t="str">
        <f>IF(AND(L122="",H122=""),"",
IF(H122="",Pole_Calc!A$9,
IF(H122="MP",Pole_Calc!A$10,
IF(H122="AnMP",Pole_Calc!A$11,
IF(H122="A",Pole_Calc!A$12,
IF(H122="S/A",Pole_Calc!A$13,
IF(H122="A/S",Pole_Calc!A$14,"Poner a mano")))))))</f>
        <v>App.7-V11H-P9.5.1.5</v>
      </c>
      <c r="BE122" s="448" t="s">
        <v>1726</v>
      </c>
      <c r="BF122" s="306"/>
      <c r="BG122" s="306"/>
      <c r="BH122" s="306"/>
      <c r="BI122" s="306"/>
    </row>
    <row r="123" spans="1:61" ht="16.2" customHeight="1">
      <c r="A123" s="574" t="s">
        <v>1497</v>
      </c>
      <c r="B123" s="469"/>
      <c r="C123" s="3"/>
      <c r="D123" s="88"/>
      <c r="E123" s="4"/>
      <c r="F123" s="4"/>
      <c r="G123" s="6">
        <v>54</v>
      </c>
      <c r="H123" s="468"/>
      <c r="I123" s="468"/>
      <c r="J123" s="3"/>
      <c r="K123" s="468"/>
      <c r="L123" s="468"/>
      <c r="M123" s="468" t="str">
        <f>IF(L123="","",
IF(AX123="PT",VLOOKUP(L123,Foundation_Calc!$V$4:$X$37,VLOOKUP(AX123,Foundation_Calc!$I$10:$J$13,2,FALSE),0),
IF(AX123="K",VLOOKUP(L123,Foundation_Calc!$V$41:$X$74,VLOOKUP(AX123,Foundation_Calc!$I$10:$J$13,2,FALSE),0),"")))</f>
        <v/>
      </c>
      <c r="N123" s="468"/>
      <c r="O123" s="468"/>
      <c r="P123" s="468"/>
      <c r="Q123" s="4"/>
      <c r="R123" s="6"/>
      <c r="S123" s="6"/>
      <c r="T123" s="4"/>
      <c r="U123" s="4"/>
      <c r="V123" s="4"/>
      <c r="W123" s="9"/>
      <c r="X123" s="9"/>
      <c r="Y123" s="9"/>
      <c r="Z123" s="9"/>
      <c r="AA123" s="9"/>
      <c r="AB123" s="9"/>
      <c r="AC123" s="468" t="str">
        <f t="shared" si="34"/>
        <v/>
      </c>
      <c r="AD123" s="468"/>
      <c r="AE123" s="468"/>
      <c r="AF123" s="4"/>
      <c r="AG123" s="88"/>
      <c r="AH123" s="4"/>
      <c r="AI123" s="4"/>
      <c r="AJ123" s="468"/>
      <c r="AK123" s="468"/>
      <c r="AL123" s="468"/>
      <c r="AM123" s="468"/>
      <c r="AN123" s="10"/>
      <c r="AO123" s="9"/>
      <c r="AP123" s="9"/>
      <c r="AQ123" s="9">
        <f>+FL_2($T$124,$T$122,$G$123,1200,9.28,-1*$F$124)</f>
        <v>-0.28731138533333328</v>
      </c>
      <c r="AR123" s="9"/>
      <c r="AS123" s="9"/>
      <c r="AT123" s="9"/>
      <c r="AU123" s="447"/>
      <c r="AV123" s="447"/>
      <c r="AW123" s="468"/>
      <c r="AX123" s="468"/>
      <c r="AY123" s="10"/>
      <c r="AZ123" s="10"/>
      <c r="BA123" s="553" t="str">
        <f t="shared" si="33"/>
        <v/>
      </c>
      <c r="BB123" s="553" t="str">
        <f t="shared" si="33"/>
        <v/>
      </c>
      <c r="BC123" s="553" t="str">
        <f t="shared" si="40"/>
        <v/>
      </c>
      <c r="BD123" s="572" t="str">
        <f>IF(AND(L123="",H123=""),"",
IF(H123="",Pole_Calc!A$9,
IF(H123="MP",Pole_Calc!A$10,
IF(H123="AnMP",Pole_Calc!A$11,
IF(H123="A",Pole_Calc!A$12,
IF(H123="S/A",Pole_Calc!A$13,
IF(H123="A/S",Pole_Calc!A$14,"Poner a mano")))))))</f>
        <v/>
      </c>
      <c r="BE123" s="448" t="s">
        <v>1726</v>
      </c>
      <c r="BF123" s="305"/>
      <c r="BG123" s="305"/>
      <c r="BH123" s="306"/>
      <c r="BI123" s="305"/>
    </row>
    <row r="124" spans="1:61" ht="16.2" customHeight="1">
      <c r="A124" s="574" t="s">
        <v>1497</v>
      </c>
      <c r="B124" s="469" t="s">
        <v>2261</v>
      </c>
      <c r="C124" s="3">
        <f t="shared" ref="C124" si="61">C122-G123</f>
        <v>774.37999999999988</v>
      </c>
      <c r="D124" s="88"/>
      <c r="E124" s="4"/>
      <c r="F124" s="4">
        <v>0</v>
      </c>
      <c r="G124" s="6"/>
      <c r="H124" s="468" t="s">
        <v>179</v>
      </c>
      <c r="I124" s="468"/>
      <c r="J124" s="3"/>
      <c r="K124" s="468"/>
      <c r="L124" s="468" t="s">
        <v>448</v>
      </c>
      <c r="M124" s="468" t="s">
        <v>1625</v>
      </c>
      <c r="N124" s="468" t="s">
        <v>33</v>
      </c>
      <c r="O124" s="669" t="s">
        <v>28</v>
      </c>
      <c r="P124" s="468"/>
      <c r="Q124" s="4"/>
      <c r="R124" s="6"/>
      <c r="S124" s="6"/>
      <c r="T124" s="4">
        <v>30</v>
      </c>
      <c r="U124" s="4">
        <v>-55</v>
      </c>
      <c r="V124" s="4"/>
      <c r="W124" s="9">
        <v>1.4</v>
      </c>
      <c r="X124" s="9">
        <v>2</v>
      </c>
      <c r="Y124" s="9"/>
      <c r="Z124" s="9"/>
      <c r="AA124" s="9">
        <v>0.6</v>
      </c>
      <c r="AB124" s="9"/>
      <c r="AC124" s="468" t="str">
        <f t="shared" si="34"/>
        <v>PH</v>
      </c>
      <c r="AD124" s="468"/>
      <c r="AE124" s="468"/>
      <c r="AF124" s="4"/>
      <c r="AG124" s="88"/>
      <c r="AH124" s="4"/>
      <c r="AI124" s="4"/>
      <c r="AJ124" s="468"/>
      <c r="AK124" s="468"/>
      <c r="AL124" s="468"/>
      <c r="AM124" s="468"/>
      <c r="AN124" s="10">
        <v>5.5</v>
      </c>
      <c r="AO124" s="9"/>
      <c r="AP124" s="9"/>
      <c r="AQ124" s="9"/>
      <c r="AR124" s="9"/>
      <c r="AS124" s="9"/>
      <c r="AT124" s="9">
        <f>+ab($T$124,$T$122,$T$126,$G$123,$G$125,-1*$F$124,1200)</f>
        <v>8.3664132486947054</v>
      </c>
      <c r="AU124" s="447"/>
      <c r="AV124" s="447"/>
      <c r="AW124" s="468" t="s">
        <v>2559</v>
      </c>
      <c r="AX124" s="468" t="s">
        <v>199</v>
      </c>
      <c r="AY124" s="10"/>
      <c r="AZ124" s="10"/>
      <c r="BA124" s="553" t="str">
        <f t="shared" si="33"/>
        <v/>
      </c>
      <c r="BB124" s="553" t="str">
        <f t="shared" si="33"/>
        <v/>
      </c>
      <c r="BC124" s="553" t="str">
        <f t="shared" si="40"/>
        <v>ü</v>
      </c>
      <c r="BD124" s="572" t="str">
        <f>IF(AND(L124="",H124=""),"",
IF(H124="",Pole_Calc!A$9,
IF(H124="MP",Pole_Calc!A$10,
IF(H124="AnMP",Pole_Calc!A$11,
IF(H124="A",Pole_Calc!A$12,
IF(H124="S/A",Pole_Calc!A$13,
IF(H124="A/S",Pole_Calc!A$14,"Poner a mano")))))))</f>
        <v>App.7-V11H-P9.5.1.5</v>
      </c>
      <c r="BE124" s="448" t="s">
        <v>1726</v>
      </c>
      <c r="BF124" s="306"/>
      <c r="BG124" s="306"/>
      <c r="BH124" s="306"/>
      <c r="BI124" s="306"/>
    </row>
    <row r="125" spans="1:61" ht="16.2" customHeight="1">
      <c r="A125" s="573" t="s">
        <v>1497</v>
      </c>
      <c r="B125" s="469"/>
      <c r="C125" s="3"/>
      <c r="D125" s="88"/>
      <c r="E125" s="4"/>
      <c r="F125" s="4"/>
      <c r="G125" s="6">
        <v>48.1</v>
      </c>
      <c r="H125" s="468"/>
      <c r="I125" s="4">
        <f>SUM(G115:G125)</f>
        <v>324.10000000000002</v>
      </c>
      <c r="J125" s="3"/>
      <c r="K125" s="468"/>
      <c r="L125" s="468"/>
      <c r="M125" s="468" t="str">
        <f>IF(L125="","",
IF(AX125="PT",VLOOKUP(L125,Foundation_Calc!$V$4:$X$37,VLOOKUP(AX125,Foundation_Calc!$I$10:$J$13,2,FALSE),0),
IF(AX125="K",VLOOKUP(L125,Foundation_Calc!$V$41:$X$74,VLOOKUP(AX125,Foundation_Calc!$I$10:$J$13,2,FALSE),0),"")))</f>
        <v/>
      </c>
      <c r="N125" s="468"/>
      <c r="O125" s="468"/>
      <c r="P125" s="468"/>
      <c r="Q125" s="4"/>
      <c r="R125" s="6"/>
      <c r="S125" s="6"/>
      <c r="T125" s="4"/>
      <c r="U125" s="4"/>
      <c r="V125" s="4"/>
      <c r="W125" s="9"/>
      <c r="X125" s="9"/>
      <c r="Y125" s="9"/>
      <c r="Z125" s="9"/>
      <c r="AA125" s="9"/>
      <c r="AB125" s="9"/>
      <c r="AC125" s="468" t="str">
        <f t="shared" si="34"/>
        <v/>
      </c>
      <c r="AD125" s="468"/>
      <c r="AE125" s="468"/>
      <c r="AF125" s="4"/>
      <c r="AG125" s="88"/>
      <c r="AH125" s="4"/>
      <c r="AI125" s="4"/>
      <c r="AJ125" s="468"/>
      <c r="AK125" s="468"/>
      <c r="AL125" s="468"/>
      <c r="AM125" s="468"/>
      <c r="AN125" s="10"/>
      <c r="AO125" s="9"/>
      <c r="AP125" s="9"/>
      <c r="AQ125" s="9">
        <f>+FL_2($T$126,$T$124,$G$125,1200,9.28,-1*$F$126)</f>
        <v>-0.36671903308108106</v>
      </c>
      <c r="AR125" s="9"/>
      <c r="AS125" s="9"/>
      <c r="AT125" s="9"/>
      <c r="AU125" s="447"/>
      <c r="AV125" s="447"/>
      <c r="AW125" s="468"/>
      <c r="AX125" s="468"/>
      <c r="AY125" s="10"/>
      <c r="AZ125" s="10"/>
      <c r="BA125" s="553" t="str">
        <f t="shared" si="33"/>
        <v/>
      </c>
      <c r="BB125" s="553" t="str">
        <f t="shared" si="33"/>
        <v/>
      </c>
      <c r="BC125" s="553" t="str">
        <f t="shared" si="40"/>
        <v/>
      </c>
      <c r="BD125" s="572" t="str">
        <f>IF(AND(L125="",H125=""),"",
IF(H125="",Pole_Calc!A$9,
IF(H125="MP",Pole_Calc!A$10,
IF(H125="AnMP",Pole_Calc!A$11,
IF(H125="A",Pole_Calc!A$12,
IF(H125="S/A",Pole_Calc!A$13,
IF(H125="A/S",Pole_Calc!A$14,"Poner a mano")))))))</f>
        <v/>
      </c>
      <c r="BE125" s="448" t="s">
        <v>1726</v>
      </c>
      <c r="BF125" s="305"/>
      <c r="BG125" s="305"/>
      <c r="BH125" s="306"/>
      <c r="BI125" s="305"/>
    </row>
    <row r="126" spans="1:61" ht="16.2" customHeight="1">
      <c r="A126" s="573"/>
      <c r="B126" s="469" t="s">
        <v>2262</v>
      </c>
      <c r="C126" s="3">
        <f t="shared" ref="C126" si="62">C124-G125</f>
        <v>726.27999999999986</v>
      </c>
      <c r="D126" s="88"/>
      <c r="E126" s="4"/>
      <c r="F126" s="4">
        <v>0</v>
      </c>
      <c r="G126" s="6"/>
      <c r="H126" s="468" t="s">
        <v>388</v>
      </c>
      <c r="I126" s="468" t="s">
        <v>182</v>
      </c>
      <c r="J126" s="3">
        <f>C126-7.5</f>
        <v>718.77999999999986</v>
      </c>
      <c r="K126" s="468" t="s">
        <v>1625</v>
      </c>
      <c r="L126" s="468" t="s">
        <v>452</v>
      </c>
      <c r="M126" s="468" t="s">
        <v>1625</v>
      </c>
      <c r="N126" s="468" t="s">
        <v>32</v>
      </c>
      <c r="O126" s="468"/>
      <c r="P126" s="468"/>
      <c r="Q126" s="4"/>
      <c r="R126" s="6"/>
      <c r="S126" s="6"/>
      <c r="T126" s="4">
        <v>-35</v>
      </c>
      <c r="U126" s="4"/>
      <c r="V126" s="4"/>
      <c r="W126" s="9">
        <v>1.4</v>
      </c>
      <c r="X126" s="9"/>
      <c r="Y126" s="9"/>
      <c r="Z126" s="9"/>
      <c r="AA126" s="9"/>
      <c r="AB126" s="9"/>
      <c r="AC126" s="468" t="str">
        <f t="shared" si="34"/>
        <v>PHQ</v>
      </c>
      <c r="AD126" s="468"/>
      <c r="AE126" s="468"/>
      <c r="AF126" s="4"/>
      <c r="AG126" s="88"/>
      <c r="AH126" s="4"/>
      <c r="AI126" s="4"/>
      <c r="AJ126" s="468"/>
      <c r="AK126" s="468"/>
      <c r="AL126" s="468"/>
      <c r="AM126" s="468"/>
      <c r="AN126" s="10">
        <v>5.5</v>
      </c>
      <c r="AO126" s="9"/>
      <c r="AP126" s="9"/>
      <c r="AQ126" s="9"/>
      <c r="AR126" s="9"/>
      <c r="AS126" s="9"/>
      <c r="AT126" s="9">
        <f>+ab($T$126,$T$124,$T$128,$G$125,$G$127,-1*$F$126,1200)</f>
        <v>-7.1994241309263449</v>
      </c>
      <c r="AU126" s="447"/>
      <c r="AV126" s="447"/>
      <c r="AW126" s="468" t="s">
        <v>199</v>
      </c>
      <c r="AX126" s="468" t="s">
        <v>199</v>
      </c>
      <c r="AY126" s="10"/>
      <c r="AZ126" s="10"/>
      <c r="BA126" s="553" t="str">
        <f t="shared" si="33"/>
        <v/>
      </c>
      <c r="BB126" s="553" t="str">
        <f t="shared" si="33"/>
        <v/>
      </c>
      <c r="BC126" s="553" t="str">
        <f t="shared" si="40"/>
        <v>ü</v>
      </c>
      <c r="BD126" s="572" t="str">
        <f>Pole_Calc!A$14</f>
        <v>App.7-V11H-P9.5.1.6</v>
      </c>
      <c r="BE126" s="448" t="s">
        <v>1726</v>
      </c>
      <c r="BF126" s="306"/>
      <c r="BG126" s="306"/>
      <c r="BH126" s="306"/>
      <c r="BI126" s="306"/>
    </row>
    <row r="127" spans="1:61" ht="16.2" customHeight="1">
      <c r="A127" s="573"/>
      <c r="B127" s="469"/>
      <c r="C127" s="3"/>
      <c r="D127" s="88"/>
      <c r="E127" s="4"/>
      <c r="F127" s="4"/>
      <c r="G127" s="6">
        <v>50</v>
      </c>
      <c r="H127" s="468"/>
      <c r="I127" s="468" t="s">
        <v>482</v>
      </c>
      <c r="J127" s="3">
        <f>C128+7.5</f>
        <v>683.77999999999986</v>
      </c>
      <c r="K127" s="468" t="s">
        <v>1625</v>
      </c>
      <c r="L127" s="468"/>
      <c r="M127" s="468" t="str">
        <f>IF(L127="","",
IF(AX127="PT",VLOOKUP(L127,Foundation_Calc!$V$4:$X$37,VLOOKUP(AX127,Foundation_Calc!$I$10:$J$13,2,FALSE),0),
IF(AX127="K",VLOOKUP(L127,Foundation_Calc!$V$41:$X$74,VLOOKUP(AX127,Foundation_Calc!$I$10:$J$13,2,FALSE),0),"")))</f>
        <v/>
      </c>
      <c r="N127" s="468"/>
      <c r="O127" s="468"/>
      <c r="P127" s="468"/>
      <c r="Q127" s="4"/>
      <c r="R127" s="6"/>
      <c r="S127" s="6"/>
      <c r="T127" s="4"/>
      <c r="U127" s="4"/>
      <c r="V127" s="4"/>
      <c r="W127" s="9"/>
      <c r="X127" s="9"/>
      <c r="Y127" s="9"/>
      <c r="Z127" s="9"/>
      <c r="AA127" s="9"/>
      <c r="AB127" s="9"/>
      <c r="AC127" s="468" t="str">
        <f t="shared" si="34"/>
        <v/>
      </c>
      <c r="AD127" s="468"/>
      <c r="AE127" s="468"/>
      <c r="AF127" s="4"/>
      <c r="AG127" s="88"/>
      <c r="AH127" s="4"/>
      <c r="AI127" s="4"/>
      <c r="AJ127" s="468"/>
      <c r="AK127" s="468"/>
      <c r="AL127" s="468"/>
      <c r="AM127" s="468"/>
      <c r="AN127" s="10"/>
      <c r="AO127" s="9"/>
      <c r="AP127" s="9"/>
      <c r="AQ127" s="9">
        <f>+FL_2($T$128,$T$126,$G$127,1200,9.28, 1*$F$128)</f>
        <v>-0.37593390799999998</v>
      </c>
      <c r="AR127" s="9"/>
      <c r="AS127" s="9"/>
      <c r="AT127" s="9"/>
      <c r="AU127" s="447"/>
      <c r="AV127" s="447"/>
      <c r="AW127" s="468"/>
      <c r="AX127" s="468"/>
      <c r="AY127" s="10"/>
      <c r="AZ127" s="10"/>
      <c r="BA127" s="553" t="str">
        <f t="shared" si="33"/>
        <v/>
      </c>
      <c r="BB127" s="553" t="str">
        <f t="shared" si="33"/>
        <v/>
      </c>
      <c r="BC127" s="553" t="str">
        <f t="shared" si="40"/>
        <v/>
      </c>
      <c r="BD127" s="572" t="str">
        <f>IF(AND(L127="",H127=""),"",
IF(H127="",Pole_Calc!A$9,
IF(H127="MP",Pole_Calc!A$10,
IF(H127="AnMP",Pole_Calc!A$11,
IF(H127="A",Pole_Calc!A$12,
IF(H127="S/A",Pole_Calc!A$13,
IF(H127="A/S",Pole_Calc!A$14,"Poner a mano")))))))</f>
        <v/>
      </c>
      <c r="BE127" s="448" t="s">
        <v>1726</v>
      </c>
      <c r="BF127" s="305"/>
      <c r="BG127" s="305"/>
      <c r="BH127" s="306"/>
      <c r="BI127" s="305"/>
    </row>
    <row r="128" spans="1:61" ht="16.2" customHeight="1">
      <c r="A128" s="573"/>
      <c r="B128" s="469" t="s">
        <v>2263</v>
      </c>
      <c r="C128" s="3">
        <f t="shared" ref="C128" si="63">C126-G127</f>
        <v>676.27999999999986</v>
      </c>
      <c r="D128" s="88"/>
      <c r="E128" s="4"/>
      <c r="F128" s="4">
        <v>0</v>
      </c>
      <c r="G128" s="6"/>
      <c r="H128" s="468"/>
      <c r="I128" s="468"/>
      <c r="J128" s="3"/>
      <c r="K128" s="468"/>
      <c r="L128" s="468" t="s">
        <v>322</v>
      </c>
      <c r="M128" s="468" t="s">
        <v>1625</v>
      </c>
      <c r="N128" s="468" t="s">
        <v>33</v>
      </c>
      <c r="O128" s="468"/>
      <c r="P128" s="468"/>
      <c r="Q128" s="4"/>
      <c r="R128" s="6"/>
      <c r="S128" s="6"/>
      <c r="T128" s="4">
        <v>30</v>
      </c>
      <c r="U128" s="4"/>
      <c r="V128" s="4"/>
      <c r="W128" s="9">
        <v>1.4</v>
      </c>
      <c r="X128" s="9"/>
      <c r="Y128" s="9"/>
      <c r="Z128" s="9"/>
      <c r="AA128" s="9"/>
      <c r="AB128" s="9"/>
      <c r="AC128" s="468" t="str">
        <f t="shared" si="34"/>
        <v>PH</v>
      </c>
      <c r="AD128" s="468"/>
      <c r="AE128" s="468"/>
      <c r="AF128" s="4"/>
      <c r="AG128" s="88"/>
      <c r="AH128" s="4"/>
      <c r="AI128" s="4"/>
      <c r="AJ128" s="468"/>
      <c r="AK128" s="468"/>
      <c r="AL128" s="468"/>
      <c r="AM128" s="468"/>
      <c r="AN128" s="10">
        <v>5.5</v>
      </c>
      <c r="AO128" s="9"/>
      <c r="AP128" s="9"/>
      <c r="AQ128" s="9"/>
      <c r="AR128" s="9"/>
      <c r="AS128" s="9"/>
      <c r="AT128" s="9">
        <f>+ab($T$128,$T$126,$T$130,$G$127,$G$129, 1*$F$128,1200)</f>
        <v>12.40444111067014</v>
      </c>
      <c r="AU128" s="447"/>
      <c r="AV128" s="447"/>
      <c r="AW128" s="468" t="s">
        <v>199</v>
      </c>
      <c r="AX128" s="468" t="s">
        <v>199</v>
      </c>
      <c r="AY128" s="10"/>
      <c r="AZ128" s="10"/>
      <c r="BA128" s="553" t="str">
        <f t="shared" si="33"/>
        <v/>
      </c>
      <c r="BB128" s="553" t="str">
        <f t="shared" si="33"/>
        <v/>
      </c>
      <c r="BC128" s="553" t="str">
        <f t="shared" si="40"/>
        <v>ü</v>
      </c>
      <c r="BD128" s="572" t="str">
        <f>IF(AND(L128="",H128=""),"",
IF(H128="",Pole_Calc!A$9,
IF(H128="MP",Pole_Calc!A$10,
IF(H128="AnMP",Pole_Calc!A$11,
IF(H128="A",Pole_Calc!A$12,
IF(H128="S/A",Pole_Calc!A$13,
IF(H128="A/S",Pole_Calc!A$14,"Poner a mano")))))))</f>
        <v>App.7-V11H-P9.5.1.1</v>
      </c>
      <c r="BE128" s="448" t="s">
        <v>1726</v>
      </c>
      <c r="BF128" s="306"/>
      <c r="BG128" s="306"/>
      <c r="BH128" s="306"/>
      <c r="BI128" s="306"/>
    </row>
    <row r="129" spans="1:61" ht="16.2" customHeight="1">
      <c r="A129" s="573" t="s">
        <v>2452</v>
      </c>
      <c r="B129" s="469"/>
      <c r="C129" s="3"/>
      <c r="D129" s="88"/>
      <c r="E129" s="4"/>
      <c r="F129" s="4"/>
      <c r="G129" s="6">
        <v>44.9</v>
      </c>
      <c r="H129" s="468"/>
      <c r="I129" s="468" t="s">
        <v>482</v>
      </c>
      <c r="J129" s="3">
        <f>C128-7.5</f>
        <v>668.77999999999986</v>
      </c>
      <c r="K129" s="468" t="s">
        <v>1625</v>
      </c>
      <c r="L129" s="468"/>
      <c r="M129" s="468" t="str">
        <f>IF(L129="","",
IF(AX129="PT",VLOOKUP(L129,Foundation_Calc!$V$4:$X$37,VLOOKUP(AX129,Foundation_Calc!$I$10:$J$13,2,FALSE),0),
IF(AX129="K",VLOOKUP(L129,Foundation_Calc!$V$41:$X$74,VLOOKUP(AX129,Foundation_Calc!$I$10:$J$13,2,FALSE),0),"")))</f>
        <v/>
      </c>
      <c r="N129" s="468"/>
      <c r="O129" s="468"/>
      <c r="P129" s="468"/>
      <c r="Q129" s="4"/>
      <c r="R129" s="6"/>
      <c r="S129" s="6"/>
      <c r="T129" s="4"/>
      <c r="U129" s="4"/>
      <c r="V129" s="4"/>
      <c r="W129" s="9"/>
      <c r="X129" s="9"/>
      <c r="Y129" s="9"/>
      <c r="Z129" s="9"/>
      <c r="AA129" s="9"/>
      <c r="AB129" s="9"/>
      <c r="AC129" s="468" t="str">
        <f t="shared" si="34"/>
        <v/>
      </c>
      <c r="AD129" s="468"/>
      <c r="AE129" s="468"/>
      <c r="AF129" s="4"/>
      <c r="AG129" s="88"/>
      <c r="AH129" s="4"/>
      <c r="AI129" s="4"/>
      <c r="AJ129" s="468"/>
      <c r="AK129" s="468"/>
      <c r="AL129" s="468"/>
      <c r="AM129" s="468"/>
      <c r="AN129" s="10"/>
      <c r="AO129" s="9"/>
      <c r="AP129" s="9"/>
      <c r="AQ129" s="9">
        <f>+FL_1(-$T$130,$T$128,$G$129,1200,9.28, 1*$F$130)</f>
        <v>0.32505811410541935</v>
      </c>
      <c r="AR129" s="9"/>
      <c r="AS129" s="9"/>
      <c r="AT129" s="9"/>
      <c r="AU129" s="447"/>
      <c r="AV129" s="447"/>
      <c r="AW129" s="468"/>
      <c r="AX129" s="468"/>
      <c r="AY129" s="10"/>
      <c r="AZ129" s="10"/>
      <c r="BA129" s="553" t="str">
        <f t="shared" si="33"/>
        <v/>
      </c>
      <c r="BB129" s="553" t="str">
        <f t="shared" si="33"/>
        <v/>
      </c>
      <c r="BC129" s="553" t="str">
        <f t="shared" si="40"/>
        <v/>
      </c>
      <c r="BD129" s="572" t="str">
        <f>IF(AND(L129="",H129=""),"",
IF(H129="",Pole_Calc!A$9,
IF(H129="MP",Pole_Calc!A$10,
IF(H129="AnMP",Pole_Calc!A$11,
IF(H129="A",Pole_Calc!A$12,
IF(H129="S/A",Pole_Calc!A$13,
IF(H129="A/S",Pole_Calc!A$14,"Poner a mano")))))))</f>
        <v/>
      </c>
      <c r="BE129" s="448" t="s">
        <v>1726</v>
      </c>
      <c r="BF129" s="305"/>
      <c r="BG129" s="305"/>
      <c r="BH129" s="306"/>
      <c r="BI129" s="305"/>
    </row>
    <row r="130" spans="1:61" ht="16.2" customHeight="1">
      <c r="A130" s="579" t="s">
        <v>2452</v>
      </c>
      <c r="B130" s="469" t="s">
        <v>2264</v>
      </c>
      <c r="C130" s="3">
        <f t="shared" ref="C130" si="64">C128-G129</f>
        <v>631.37999999999988</v>
      </c>
      <c r="D130" s="88"/>
      <c r="E130" s="4"/>
      <c r="F130" s="4">
        <v>0</v>
      </c>
      <c r="G130" s="6"/>
      <c r="H130" s="468" t="s">
        <v>365</v>
      </c>
      <c r="I130" s="468"/>
      <c r="J130" s="3">
        <f>C130+7.5</f>
        <v>638.87999999999988</v>
      </c>
      <c r="K130" s="468" t="s">
        <v>1625</v>
      </c>
      <c r="L130" s="468" t="s">
        <v>325</v>
      </c>
      <c r="M130" s="468" t="s">
        <v>1625</v>
      </c>
      <c r="N130" s="648" t="s">
        <v>343</v>
      </c>
      <c r="O130" s="468"/>
      <c r="P130" s="468"/>
      <c r="Q130" s="4"/>
      <c r="R130" s="6"/>
      <c r="S130" s="6"/>
      <c r="T130" s="4">
        <v>20</v>
      </c>
      <c r="U130" s="4"/>
      <c r="V130" s="4"/>
      <c r="W130" s="9">
        <v>1.4</v>
      </c>
      <c r="X130" s="9"/>
      <c r="Y130" s="9"/>
      <c r="Z130" s="9"/>
      <c r="AA130" s="9"/>
      <c r="AB130" s="9"/>
      <c r="AC130" s="468" t="str">
        <f t="shared" si="34"/>
        <v>PH</v>
      </c>
      <c r="AD130" s="468"/>
      <c r="AE130" s="468"/>
      <c r="AF130" s="4"/>
      <c r="AG130" s="88"/>
      <c r="AH130" s="4"/>
      <c r="AI130" s="4"/>
      <c r="AJ130" s="468"/>
      <c r="AK130" s="468" t="s">
        <v>27</v>
      </c>
      <c r="AL130" s="468" t="s">
        <v>1113</v>
      </c>
      <c r="AM130" s="468" t="s">
        <v>1620</v>
      </c>
      <c r="AN130" s="10">
        <v>5.5</v>
      </c>
      <c r="AO130" s="9"/>
      <c r="AP130" s="9"/>
      <c r="AQ130" s="9"/>
      <c r="AR130" s="9"/>
      <c r="AS130" s="9"/>
      <c r="AT130" s="9">
        <f>+ab(-$T$130,$T$128,-$T$132,$G$129,$G$131, 1*$F$130,1200)</f>
        <v>-9.3255447594212999</v>
      </c>
      <c r="AU130" s="447"/>
      <c r="AV130" s="447"/>
      <c r="AW130" s="468" t="s">
        <v>199</v>
      </c>
      <c r="AX130" s="468" t="s">
        <v>199</v>
      </c>
      <c r="AY130" s="10"/>
      <c r="AZ130" s="10"/>
      <c r="BA130" s="553" t="str">
        <f t="shared" si="33"/>
        <v/>
      </c>
      <c r="BB130" s="553" t="str">
        <f t="shared" si="33"/>
        <v/>
      </c>
      <c r="BC130" s="553" t="str">
        <f t="shared" si="40"/>
        <v>ü</v>
      </c>
      <c r="BD130" s="572" t="str">
        <f>Pole_Calc!A$251</f>
        <v>App.8-V08H-P10.3</v>
      </c>
      <c r="BE130" s="448" t="s">
        <v>1726</v>
      </c>
      <c r="BF130" s="306"/>
      <c r="BG130" s="306"/>
      <c r="BH130" s="306"/>
      <c r="BI130" s="306"/>
    </row>
    <row r="131" spans="1:61" ht="16.2" customHeight="1">
      <c r="A131" s="579" t="s">
        <v>2452</v>
      </c>
      <c r="B131" s="469"/>
      <c r="C131" s="3"/>
      <c r="D131" s="88"/>
      <c r="E131" s="4"/>
      <c r="F131" s="4"/>
      <c r="G131" s="6">
        <v>43.2</v>
      </c>
      <c r="H131" s="468"/>
      <c r="I131" s="4">
        <f>SUM(G115:G131)</f>
        <v>462.2</v>
      </c>
      <c r="J131" s="3"/>
      <c r="K131" s="468"/>
      <c r="L131" s="468"/>
      <c r="M131" s="468" t="str">
        <f>IF(L131="","",
IF(AX131="PT",VLOOKUP(L131,Foundation_Calc!$V$4:$X$37,VLOOKUP(AX131,Foundation_Calc!$I$10:$J$13,2,FALSE),0),
IF(AX131="K",VLOOKUP(L131,Foundation_Calc!$V$41:$X$74,VLOOKUP(AX131,Foundation_Calc!$I$10:$J$13,2,FALSE),0),"")))</f>
        <v/>
      </c>
      <c r="N131" s="468"/>
      <c r="O131" s="468"/>
      <c r="P131" s="468"/>
      <c r="Q131" s="4"/>
      <c r="R131" s="6"/>
      <c r="S131" s="6"/>
      <c r="T131" s="4"/>
      <c r="U131" s="4"/>
      <c r="V131" s="4"/>
      <c r="W131" s="9"/>
      <c r="X131" s="9"/>
      <c r="Y131" s="9"/>
      <c r="Z131" s="9"/>
      <c r="AA131" s="9"/>
      <c r="AB131" s="9"/>
      <c r="AC131" s="468" t="str">
        <f t="shared" si="34"/>
        <v/>
      </c>
      <c r="AD131" s="468"/>
      <c r="AE131" s="468"/>
      <c r="AF131" s="4"/>
      <c r="AG131" s="88"/>
      <c r="AH131" s="4"/>
      <c r="AI131" s="4"/>
      <c r="AJ131" s="468"/>
      <c r="AK131" s="468"/>
      <c r="AL131" s="468"/>
      <c r="AM131" s="468"/>
      <c r="AN131" s="10"/>
      <c r="AO131" s="9"/>
      <c r="AP131" s="9"/>
      <c r="AQ131" s="9">
        <f>+FL_1($T$132,$T$130,$G$131,1200,9.28, 1*$F$132)</f>
        <v>0.23583458533333335</v>
      </c>
      <c r="AR131" s="9"/>
      <c r="AS131" s="9"/>
      <c r="AT131" s="9"/>
      <c r="AU131" s="447"/>
      <c r="AV131" s="447"/>
      <c r="AW131" s="468"/>
      <c r="AX131" s="468"/>
      <c r="AY131" s="10"/>
      <c r="AZ131" s="10"/>
      <c r="BA131" s="553" t="str">
        <f t="shared" si="33"/>
        <v/>
      </c>
      <c r="BB131" s="553" t="str">
        <f t="shared" si="33"/>
        <v/>
      </c>
      <c r="BC131" s="553" t="str">
        <f t="shared" si="40"/>
        <v/>
      </c>
      <c r="BD131" s="572" t="str">
        <f>IF(AND(L131="",H131=""),"",
IF(H131="",Pole_Calc!A$9,
IF(H131="MP",Pole_Calc!A$10,
IF(H131="AnMP",Pole_Calc!A$11,
IF(H131="A",Pole_Calc!A$12,
IF(H131="S/A",Pole_Calc!A$13,
IF(H131="A/S",Pole_Calc!A$14,"Poner a mano")))))))</f>
        <v/>
      </c>
      <c r="BE131" s="448" t="s">
        <v>1726</v>
      </c>
      <c r="BF131" s="305"/>
      <c r="BG131" s="305"/>
      <c r="BH131" s="306"/>
      <c r="BI131" s="305"/>
    </row>
    <row r="132" spans="1:61" ht="16.2" customHeight="1">
      <c r="A132" s="579" t="s">
        <v>2452</v>
      </c>
      <c r="B132" s="469" t="s">
        <v>2265</v>
      </c>
      <c r="C132" s="3">
        <f t="shared" ref="C132" si="65">C130-G131</f>
        <v>588.17999999999984</v>
      </c>
      <c r="D132" s="88"/>
      <c r="E132" s="4"/>
      <c r="F132" s="4">
        <v>0</v>
      </c>
      <c r="G132" s="6"/>
      <c r="H132" s="468" t="s">
        <v>366</v>
      </c>
      <c r="I132" s="468"/>
      <c r="J132" s="3"/>
      <c r="K132" s="468"/>
      <c r="L132" s="468" t="s">
        <v>325</v>
      </c>
      <c r="M132" s="468" t="s">
        <v>1625</v>
      </c>
      <c r="N132" s="468" t="s">
        <v>342</v>
      </c>
      <c r="O132" s="468"/>
      <c r="P132" s="468"/>
      <c r="Q132" s="4"/>
      <c r="R132" s="6"/>
      <c r="S132" s="6"/>
      <c r="T132" s="4">
        <v>-20</v>
      </c>
      <c r="U132" s="4"/>
      <c r="V132" s="4"/>
      <c r="W132" s="9">
        <v>1.4</v>
      </c>
      <c r="X132" s="9"/>
      <c r="Y132" s="9"/>
      <c r="Z132" s="9"/>
      <c r="AA132" s="9"/>
      <c r="AB132" s="9"/>
      <c r="AC132" s="468" t="str">
        <f t="shared" si="34"/>
        <v>PH</v>
      </c>
      <c r="AD132" s="468"/>
      <c r="AE132" s="468"/>
      <c r="AF132" s="4"/>
      <c r="AG132" s="88"/>
      <c r="AH132" s="4"/>
      <c r="AI132" s="4"/>
      <c r="AJ132" s="468"/>
      <c r="AK132" s="468" t="s">
        <v>27</v>
      </c>
      <c r="AL132" s="468" t="s">
        <v>1113</v>
      </c>
      <c r="AM132" s="468" t="s">
        <v>1620</v>
      </c>
      <c r="AN132" s="10">
        <v>5.5</v>
      </c>
      <c r="AO132" s="9"/>
      <c r="AP132" s="9"/>
      <c r="AQ132" s="9"/>
      <c r="AR132" s="9"/>
      <c r="AS132" s="9"/>
      <c r="AT132" s="9">
        <f>+ab($T$132,$T$130,$T$134,$G$131,$G$133, 1*$F$132,1200)</f>
        <v>-10.778632288469147</v>
      </c>
      <c r="AU132" s="447"/>
      <c r="AV132" s="447"/>
      <c r="AW132" s="468" t="s">
        <v>199</v>
      </c>
      <c r="AX132" s="468" t="s">
        <v>199</v>
      </c>
      <c r="AY132" s="10"/>
      <c r="AZ132" s="10"/>
      <c r="BA132" s="553" t="str">
        <f t="shared" si="33"/>
        <v/>
      </c>
      <c r="BB132" s="553" t="str">
        <f t="shared" si="33"/>
        <v/>
      </c>
      <c r="BC132" s="553" t="str">
        <f t="shared" si="40"/>
        <v>ü</v>
      </c>
      <c r="BD132" s="572" t="str">
        <f>Pole_Calc!A$251</f>
        <v>App.8-V08H-P10.3</v>
      </c>
      <c r="BE132" s="448" t="s">
        <v>1726</v>
      </c>
      <c r="BF132" s="306"/>
      <c r="BG132" s="306"/>
      <c r="BH132" s="306"/>
      <c r="BI132" s="306"/>
    </row>
    <row r="133" spans="1:61" ht="16.2" customHeight="1">
      <c r="A133" s="579" t="s">
        <v>2452</v>
      </c>
      <c r="B133" s="469"/>
      <c r="C133" s="3"/>
      <c r="D133" s="88"/>
      <c r="E133" s="4"/>
      <c r="F133" s="4"/>
      <c r="G133" s="6">
        <v>48</v>
      </c>
      <c r="H133" s="468"/>
      <c r="I133" s="4">
        <f>SUM(G133:G153)</f>
        <v>488.3</v>
      </c>
      <c r="J133" s="3"/>
      <c r="K133" s="468"/>
      <c r="L133" s="468"/>
      <c r="M133" s="468" t="str">
        <f>IF(L133="","",
IF(AX133="PT",VLOOKUP(L133,Foundation_Calc!$V$4:$X$37,VLOOKUP(AX133,Foundation_Calc!$I$10:$J$13,2,FALSE),0),
IF(AX133="K",VLOOKUP(L133,Foundation_Calc!$V$41:$X$74,VLOOKUP(AX133,Foundation_Calc!$I$10:$J$13,2,FALSE),0),"")))</f>
        <v/>
      </c>
      <c r="N133" s="468"/>
      <c r="O133" s="468"/>
      <c r="P133" s="468"/>
      <c r="Q133" s="4"/>
      <c r="R133" s="6"/>
      <c r="S133" s="6"/>
      <c r="T133" s="4"/>
      <c r="U133" s="4"/>
      <c r="V133" s="4"/>
      <c r="W133" s="9"/>
      <c r="X133" s="9"/>
      <c r="Y133" s="9"/>
      <c r="Z133" s="9"/>
      <c r="AA133" s="9"/>
      <c r="AB133" s="9"/>
      <c r="AC133" s="468" t="str">
        <f t="shared" si="34"/>
        <v/>
      </c>
      <c r="AD133" s="468"/>
      <c r="AE133" s="468"/>
      <c r="AF133" s="4"/>
      <c r="AG133" s="88"/>
      <c r="AH133" s="4"/>
      <c r="AI133" s="4"/>
      <c r="AJ133" s="468"/>
      <c r="AK133" s="468"/>
      <c r="AL133" s="468"/>
      <c r="AM133" s="468"/>
      <c r="AN133" s="10"/>
      <c r="AO133" s="9"/>
      <c r="AP133" s="9"/>
      <c r="AQ133" s="9">
        <f>+FL_1($T$134,$T$132,$G$133,1200,9.28, 1*$F$134)</f>
        <v>0.26761941866666666</v>
      </c>
      <c r="AR133" s="9"/>
      <c r="AS133" s="9"/>
      <c r="AT133" s="9"/>
      <c r="AU133" s="447"/>
      <c r="AV133" s="447"/>
      <c r="AW133" s="468"/>
      <c r="AX133" s="468"/>
      <c r="AY133" s="10"/>
      <c r="AZ133" s="10"/>
      <c r="BA133" s="553" t="str">
        <f t="shared" si="33"/>
        <v/>
      </c>
      <c r="BB133" s="553" t="str">
        <f t="shared" si="33"/>
        <v/>
      </c>
      <c r="BC133" s="553" t="str">
        <f t="shared" si="40"/>
        <v/>
      </c>
      <c r="BD133" s="572" t="str">
        <f>IF(AND(L133="",H133=""),"",
IF(H133="",Pole_Calc!A$9,
IF(H133="MP",Pole_Calc!A$10,
IF(H133="AnMP",Pole_Calc!A$11,
IF(H133="A",Pole_Calc!A$12,
IF(H133="S/A",Pole_Calc!A$13,
IF(H133="A/S",Pole_Calc!A$14,"Poner a mano")))))))</f>
        <v/>
      </c>
      <c r="BE133" s="448" t="s">
        <v>1726</v>
      </c>
      <c r="BF133" s="305"/>
      <c r="BG133" s="305"/>
      <c r="BH133" s="306"/>
      <c r="BI133" s="305"/>
    </row>
    <row r="134" spans="1:61" ht="16.2" customHeight="1">
      <c r="A134" s="579" t="s">
        <v>2452</v>
      </c>
      <c r="B134" s="469" t="s">
        <v>2266</v>
      </c>
      <c r="C134" s="3">
        <f t="shared" ref="C134" si="66">C132-G133</f>
        <v>540.17999999999984</v>
      </c>
      <c r="D134" s="88"/>
      <c r="E134" s="4"/>
      <c r="F134" s="4">
        <v>0</v>
      </c>
      <c r="G134" s="6"/>
      <c r="H134" s="468" t="s">
        <v>365</v>
      </c>
      <c r="I134" s="468"/>
      <c r="J134" s="3"/>
      <c r="K134" s="468"/>
      <c r="L134" s="468" t="s">
        <v>1290</v>
      </c>
      <c r="M134" s="468" t="s">
        <v>1625</v>
      </c>
      <c r="N134" s="468" t="s">
        <v>343</v>
      </c>
      <c r="O134" s="468"/>
      <c r="P134" s="468"/>
      <c r="Q134" s="4"/>
      <c r="R134" s="6"/>
      <c r="S134" s="6"/>
      <c r="T134" s="4">
        <v>20</v>
      </c>
      <c r="U134" s="4"/>
      <c r="V134" s="4"/>
      <c r="W134" s="9">
        <v>1.4</v>
      </c>
      <c r="X134" s="9"/>
      <c r="Y134" s="9"/>
      <c r="Z134" s="9"/>
      <c r="AA134" s="9"/>
      <c r="AB134" s="9"/>
      <c r="AC134" s="468" t="str">
        <f t="shared" ref="AC134:AC197" si="67">IF(OR(AT134&gt;8,AT134&lt;-8),"PH",
IF(OR(AT134&gt;5,AT134&lt;-5),"PHQ",
IF(OR(AT134&gt;1,AT134&lt;-1),
"PHC","")))</f>
        <v>PH</v>
      </c>
      <c r="AD134" s="468"/>
      <c r="AE134" s="468"/>
      <c r="AF134" s="4"/>
      <c r="AG134" s="88"/>
      <c r="AH134" s="4"/>
      <c r="AI134" s="4"/>
      <c r="AJ134" s="468"/>
      <c r="AK134" s="468" t="s">
        <v>27</v>
      </c>
      <c r="AL134" s="468" t="s">
        <v>1113</v>
      </c>
      <c r="AM134" s="468" t="s">
        <v>1620</v>
      </c>
      <c r="AN134" s="10">
        <v>5.5</v>
      </c>
      <c r="AO134" s="9"/>
      <c r="AP134" s="9"/>
      <c r="AQ134" s="9"/>
      <c r="AR134" s="9"/>
      <c r="AS134" s="9"/>
      <c r="AT134" s="9">
        <f>+ab($T$134,$T$132,$T$136,$G$133,$G$135, 1*$F$134,1200)</f>
        <v>11.888194887218301</v>
      </c>
      <c r="AU134" s="447"/>
      <c r="AV134" s="447"/>
      <c r="AW134" s="468" t="s">
        <v>199</v>
      </c>
      <c r="AX134" s="468" t="s">
        <v>199</v>
      </c>
      <c r="AY134" s="10"/>
      <c r="AZ134" s="10"/>
      <c r="BA134" s="553" t="str">
        <f t="shared" ref="BA134:BB156" si="68">IF(AY134="","",IF(AY134&gt;0,"ü",""))</f>
        <v/>
      </c>
      <c r="BB134" s="553" t="str">
        <f t="shared" si="68"/>
        <v/>
      </c>
      <c r="BC134" s="553" t="str">
        <f t="shared" si="40"/>
        <v>ü</v>
      </c>
      <c r="BD134" s="572" t="str">
        <f>Pole_Calc!A$251</f>
        <v>App.8-V08H-P10.3</v>
      </c>
      <c r="BE134" s="448" t="s">
        <v>1726</v>
      </c>
      <c r="BF134" s="306"/>
      <c r="BG134" s="306"/>
      <c r="BH134" s="306"/>
      <c r="BI134" s="306"/>
    </row>
    <row r="135" spans="1:61" ht="16.2" customHeight="1">
      <c r="A135" s="579" t="s">
        <v>2452</v>
      </c>
      <c r="B135" s="469"/>
      <c r="C135" s="3"/>
      <c r="D135" s="88"/>
      <c r="E135" s="4"/>
      <c r="F135" s="4"/>
      <c r="G135" s="6">
        <v>52.8</v>
      </c>
      <c r="H135" s="468"/>
      <c r="I135" s="468"/>
      <c r="J135" s="3"/>
      <c r="K135" s="468"/>
      <c r="L135" s="468"/>
      <c r="M135" s="468" t="str">
        <f>IF(L135="","",
IF(AX135="PT",VLOOKUP(L135,Foundation_Calc!$V$4:$X$37,VLOOKUP(AX135,Foundation_Calc!$I$10:$J$13,2,FALSE),0),
IF(AX135="K",VLOOKUP(L135,Foundation_Calc!$V$41:$X$74,VLOOKUP(AX135,Foundation_Calc!$I$10:$J$13,2,FALSE),0),"")))</f>
        <v/>
      </c>
      <c r="N135" s="468"/>
      <c r="O135" s="468"/>
      <c r="P135" s="468"/>
      <c r="Q135" s="4"/>
      <c r="R135" s="6"/>
      <c r="S135" s="6"/>
      <c r="T135" s="4"/>
      <c r="U135" s="4"/>
      <c r="V135" s="4"/>
      <c r="W135" s="9"/>
      <c r="X135" s="9"/>
      <c r="Y135" s="9"/>
      <c r="Z135" s="9"/>
      <c r="AA135" s="9"/>
      <c r="AB135" s="9"/>
      <c r="AC135" s="468" t="str">
        <f t="shared" si="67"/>
        <v/>
      </c>
      <c r="AD135" s="468"/>
      <c r="AE135" s="468"/>
      <c r="AF135" s="4"/>
      <c r="AG135" s="88"/>
      <c r="AH135" s="4"/>
      <c r="AI135" s="4"/>
      <c r="AJ135" s="468"/>
      <c r="AK135" s="468"/>
      <c r="AL135" s="468"/>
      <c r="AM135" s="468"/>
      <c r="AN135" s="10"/>
      <c r="AO135" s="9"/>
      <c r="AP135" s="9"/>
      <c r="AQ135" s="9">
        <f>+FL_1($T$136,$T$134,$G$135,1200,9.28, 1*$F$136)</f>
        <v>0.30659815757575748</v>
      </c>
      <c r="AR135" s="9"/>
      <c r="AS135" s="9"/>
      <c r="AT135" s="9"/>
      <c r="AU135" s="447"/>
      <c r="AV135" s="447"/>
      <c r="AW135" s="468"/>
      <c r="AX135" s="468"/>
      <c r="AY135" s="10"/>
      <c r="AZ135" s="10"/>
      <c r="BA135" s="553" t="str">
        <f t="shared" si="68"/>
        <v/>
      </c>
      <c r="BB135" s="553" t="str">
        <f t="shared" si="68"/>
        <v/>
      </c>
      <c r="BC135" s="553" t="str">
        <f t="shared" si="40"/>
        <v/>
      </c>
      <c r="BD135" s="572" t="str">
        <f>IF(AND(L135="",H135=""),"",
IF(H135="",Pole_Calc!A$9,
IF(H135="MP",Pole_Calc!A$10,
IF(H135="AnMP",Pole_Calc!A$11,
IF(H135="A",Pole_Calc!A$12,
IF(H135="S/A",Pole_Calc!A$13,
IF(H135="A/S",Pole_Calc!A$14,"Poner a mano")))))))</f>
        <v/>
      </c>
      <c r="BE135" s="448" t="s">
        <v>1726</v>
      </c>
      <c r="BF135" s="305"/>
      <c r="BG135" s="305"/>
      <c r="BH135" s="306"/>
      <c r="BI135" s="305"/>
    </row>
    <row r="136" spans="1:61" ht="16.2" customHeight="1">
      <c r="A136" s="580" t="s">
        <v>2452</v>
      </c>
      <c r="B136" s="469" t="s">
        <v>2267</v>
      </c>
      <c r="C136" s="3">
        <f t="shared" ref="C136" si="69">C134-G135</f>
        <v>487.37999999999982</v>
      </c>
      <c r="D136" s="88"/>
      <c r="E136" s="4"/>
      <c r="F136" s="4">
        <v>0</v>
      </c>
      <c r="G136" s="6"/>
      <c r="H136" s="468"/>
      <c r="I136" s="468"/>
      <c r="J136" s="3"/>
      <c r="K136" s="468"/>
      <c r="L136" s="468" t="s">
        <v>325</v>
      </c>
      <c r="M136" s="468" t="s">
        <v>1625</v>
      </c>
      <c r="N136" s="468" t="s">
        <v>342</v>
      </c>
      <c r="O136" s="468"/>
      <c r="P136" s="468"/>
      <c r="Q136" s="4"/>
      <c r="R136" s="6"/>
      <c r="S136" s="6"/>
      <c r="T136" s="4">
        <v>-20</v>
      </c>
      <c r="U136" s="4"/>
      <c r="V136" s="4"/>
      <c r="W136" s="9">
        <v>1.4</v>
      </c>
      <c r="X136" s="9"/>
      <c r="Y136" s="9"/>
      <c r="Z136" s="9"/>
      <c r="AA136" s="9"/>
      <c r="AB136" s="9"/>
      <c r="AC136" s="468" t="str">
        <f t="shared" si="67"/>
        <v>PH</v>
      </c>
      <c r="AD136" s="468"/>
      <c r="AE136" s="468"/>
      <c r="AF136" s="4"/>
      <c r="AG136" s="88"/>
      <c r="AH136" s="4"/>
      <c r="AI136" s="4"/>
      <c r="AJ136" s="468"/>
      <c r="AK136" s="468" t="s">
        <v>27</v>
      </c>
      <c r="AL136" s="468" t="s">
        <v>1113</v>
      </c>
      <c r="AM136" s="468" t="s">
        <v>1620</v>
      </c>
      <c r="AN136" s="10">
        <v>5.5</v>
      </c>
      <c r="AO136" s="9"/>
      <c r="AP136" s="9"/>
      <c r="AQ136" s="9"/>
      <c r="AR136" s="9"/>
      <c r="AS136" s="9"/>
      <c r="AT136" s="9">
        <f>+ab($T$136,$T$134,$T$138,$G$135,$G$137, 1*$F$136,1200)</f>
        <v>-12.037656997566762</v>
      </c>
      <c r="AU136" s="447"/>
      <c r="AV136" s="447"/>
      <c r="AW136" s="468" t="s">
        <v>199</v>
      </c>
      <c r="AX136" s="468" t="s">
        <v>199</v>
      </c>
      <c r="AY136" s="10"/>
      <c r="AZ136" s="10"/>
      <c r="BA136" s="553" t="str">
        <f t="shared" si="68"/>
        <v/>
      </c>
      <c r="BB136" s="553" t="str">
        <f t="shared" si="68"/>
        <v/>
      </c>
      <c r="BC136" s="553" t="str">
        <f t="shared" si="40"/>
        <v>ü</v>
      </c>
      <c r="BD136" s="572" t="str">
        <f>Pole_Calc!A$251</f>
        <v>App.8-V08H-P10.3</v>
      </c>
      <c r="BE136" s="448" t="s">
        <v>1726</v>
      </c>
      <c r="BF136" s="306"/>
      <c r="BG136" s="306"/>
      <c r="BH136" s="306"/>
      <c r="BI136" s="306"/>
    </row>
    <row r="137" spans="1:61" ht="16.2" customHeight="1">
      <c r="A137" s="581" t="s">
        <v>2456</v>
      </c>
      <c r="B137" s="527"/>
      <c r="C137" s="528"/>
      <c r="D137" s="529"/>
      <c r="E137" s="530"/>
      <c r="F137" s="530"/>
      <c r="G137" s="531">
        <v>49.2</v>
      </c>
      <c r="H137" s="532"/>
      <c r="I137" s="532"/>
      <c r="J137" s="528"/>
      <c r="K137" s="532"/>
      <c r="L137" s="532"/>
      <c r="M137" s="532" t="str">
        <f>IF(L137="","",
IF(AX137="PT",VLOOKUP(L137,Foundation_Calc!$V$4:$X$37,VLOOKUP(AX137,Foundation_Calc!$I$10:$J$13,2,FALSE),0),
IF(AX137="K",VLOOKUP(L137,Foundation_Calc!$V$41:$X$74,VLOOKUP(AX137,Foundation_Calc!$I$10:$J$13,2,FALSE),0),"")))</f>
        <v/>
      </c>
      <c r="N137" s="532"/>
      <c r="O137" s="532"/>
      <c r="P137" s="532"/>
      <c r="Q137" s="530"/>
      <c r="R137" s="531"/>
      <c r="S137" s="531"/>
      <c r="T137" s="530"/>
      <c r="U137" s="530"/>
      <c r="V137" s="530"/>
      <c r="W137" s="533"/>
      <c r="X137" s="533"/>
      <c r="Y137" s="533"/>
      <c r="Z137" s="533"/>
      <c r="AA137" s="533"/>
      <c r="AB137" s="533"/>
      <c r="AC137" s="532" t="str">
        <f t="shared" si="67"/>
        <v/>
      </c>
      <c r="AD137" s="532"/>
      <c r="AE137" s="532"/>
      <c r="AF137" s="530"/>
      <c r="AG137" s="529"/>
      <c r="AH137" s="530"/>
      <c r="AI137" s="530"/>
      <c r="AJ137" s="532"/>
      <c r="AK137" s="532"/>
      <c r="AL137" s="532"/>
      <c r="AM137" s="532"/>
      <c r="AN137" s="534"/>
      <c r="AO137" s="533"/>
      <c r="AP137" s="533"/>
      <c r="AQ137" s="533">
        <f>+FL_2($T$138,$T$136,$G$137,1200,9.28, 1*$F$138)</f>
        <v>-0.27673111580487808</v>
      </c>
      <c r="AR137" s="533"/>
      <c r="AS137" s="533"/>
      <c r="AT137" s="533"/>
      <c r="AU137" s="535"/>
      <c r="AV137" s="535"/>
      <c r="AW137" s="532"/>
      <c r="AX137" s="532"/>
      <c r="AY137" s="534"/>
      <c r="AZ137" s="534"/>
      <c r="BA137" s="553" t="str">
        <f t="shared" si="68"/>
        <v/>
      </c>
      <c r="BB137" s="553" t="str">
        <f t="shared" si="68"/>
        <v/>
      </c>
      <c r="BC137" s="553" t="str">
        <f t="shared" si="40"/>
        <v/>
      </c>
      <c r="BD137" s="572" t="str">
        <f>IF(AND(L137="",H137=""),"",
IF(H137="",Pole_Calc!A$9,
IF(H137="MP",Pole_Calc!A$10,
IF(H137="AnMP",Pole_Calc!A$11,
IF(H137="A",Pole_Calc!A$12,
IF(H137="S/A",Pole_Calc!A$13,
IF(H137="A/S",Pole_Calc!A$14,"Poner a mano")))))))</f>
        <v/>
      </c>
      <c r="BE137" s="448" t="s">
        <v>1726</v>
      </c>
      <c r="BF137" s="305"/>
      <c r="BG137" s="305"/>
      <c r="BH137" s="306"/>
      <c r="BI137" s="305"/>
    </row>
    <row r="138" spans="1:61" ht="16.2" customHeight="1">
      <c r="A138" s="579" t="s">
        <v>2452</v>
      </c>
      <c r="B138" s="469" t="s">
        <v>2268</v>
      </c>
      <c r="C138" s="3">
        <f t="shared" ref="C138" si="70">C136-G137</f>
        <v>438.17999999999984</v>
      </c>
      <c r="D138" s="88"/>
      <c r="E138" s="4"/>
      <c r="F138" s="4">
        <v>0</v>
      </c>
      <c r="G138" s="6"/>
      <c r="H138" s="468"/>
      <c r="I138" s="468"/>
      <c r="J138" s="3"/>
      <c r="K138" s="468"/>
      <c r="L138" s="468" t="s">
        <v>2474</v>
      </c>
      <c r="M138" s="468" t="s">
        <v>199</v>
      </c>
      <c r="N138" s="468" t="s">
        <v>343</v>
      </c>
      <c r="O138" s="468"/>
      <c r="P138" s="468"/>
      <c r="Q138" s="4"/>
      <c r="R138" s="6"/>
      <c r="S138" s="6"/>
      <c r="T138" s="4">
        <v>20</v>
      </c>
      <c r="U138" s="4"/>
      <c r="V138" s="4"/>
      <c r="W138" s="9">
        <v>1.4</v>
      </c>
      <c r="X138" s="9"/>
      <c r="Y138" s="9"/>
      <c r="Z138" s="9"/>
      <c r="AA138" s="9"/>
      <c r="AB138" s="9"/>
      <c r="AC138" s="468" t="str">
        <f t="shared" si="67"/>
        <v>PH</v>
      </c>
      <c r="AD138" s="468"/>
      <c r="AE138" s="468"/>
      <c r="AF138" s="4"/>
      <c r="AG138" s="88"/>
      <c r="AH138" s="4"/>
      <c r="AI138" s="4"/>
      <c r="AJ138" s="468"/>
      <c r="AK138" s="468" t="s">
        <v>27</v>
      </c>
      <c r="AL138" s="468"/>
      <c r="AM138" s="468" t="s">
        <v>1620</v>
      </c>
      <c r="AN138" s="10">
        <v>5.5</v>
      </c>
      <c r="AO138" s="9"/>
      <c r="AP138" s="9"/>
      <c r="AQ138" s="9"/>
      <c r="AR138" s="9"/>
      <c r="AS138" s="9"/>
      <c r="AT138" s="9">
        <f>+ab($T$138,$T$136,$T$140,$G$137,$G$139, 1*$F$138,1200)</f>
        <v>11.774926615084185</v>
      </c>
      <c r="AU138" s="447"/>
      <c r="AV138" s="447"/>
      <c r="AW138" s="468"/>
      <c r="AX138" s="468"/>
      <c r="AY138" s="10"/>
      <c r="AZ138" s="10"/>
      <c r="BA138" s="553" t="str">
        <f t="shared" si="68"/>
        <v/>
      </c>
      <c r="BB138" s="553" t="str">
        <f t="shared" si="68"/>
        <v/>
      </c>
      <c r="BC138" s="553" t="str">
        <f t="shared" si="40"/>
        <v/>
      </c>
      <c r="BD138" s="572"/>
      <c r="BE138" s="448" t="s">
        <v>1726</v>
      </c>
      <c r="BF138" s="306"/>
      <c r="BG138" s="306"/>
      <c r="BH138" s="306"/>
      <c r="BI138" s="306"/>
    </row>
    <row r="139" spans="1:61" ht="16.2" customHeight="1">
      <c r="A139" s="573" t="s">
        <v>2448</v>
      </c>
      <c r="B139" s="469"/>
      <c r="C139" s="3"/>
      <c r="D139" s="88"/>
      <c r="E139" s="4"/>
      <c r="F139" s="4"/>
      <c r="G139" s="6">
        <v>50.4</v>
      </c>
      <c r="H139" s="468"/>
      <c r="I139" s="468"/>
      <c r="J139" s="3"/>
      <c r="K139" s="468"/>
      <c r="L139" s="468"/>
      <c r="M139" s="468" t="str">
        <f>IF(L139="","",
IF(AX139="PT",VLOOKUP(L139,Foundation_Calc!$V$4:$X$37,VLOOKUP(AX139,Foundation_Calc!$I$10:$J$13,2,FALSE),0),
IF(AX139="K",VLOOKUP(L139,Foundation_Calc!$V$41:$X$74,VLOOKUP(AX139,Foundation_Calc!$I$10:$J$13,2,FALSE),0),"")))</f>
        <v/>
      </c>
      <c r="N139" s="468"/>
      <c r="O139" s="468"/>
      <c r="P139" s="468"/>
      <c r="Q139" s="4"/>
      <c r="R139" s="6"/>
      <c r="S139" s="6"/>
      <c r="T139" s="4"/>
      <c r="U139" s="4"/>
      <c r="V139" s="4"/>
      <c r="W139" s="9"/>
      <c r="X139" s="9"/>
      <c r="Y139" s="9"/>
      <c r="Z139" s="9"/>
      <c r="AA139" s="9"/>
      <c r="AB139" s="9"/>
      <c r="AC139" s="468" t="str">
        <f t="shared" si="67"/>
        <v/>
      </c>
      <c r="AD139" s="468"/>
      <c r="AE139" s="468"/>
      <c r="AF139" s="4"/>
      <c r="AG139" s="88"/>
      <c r="AH139" s="4"/>
      <c r="AI139" s="4"/>
      <c r="AJ139" s="468"/>
      <c r="AK139" s="468"/>
      <c r="AL139" s="468"/>
      <c r="AM139" s="468"/>
      <c r="AN139" s="10"/>
      <c r="AO139" s="9"/>
      <c r="AP139" s="9"/>
      <c r="AQ139" s="9">
        <f>+FL_1($T$140,$T$138,$G$139,1200,9.28, 1*$F$140)</f>
        <v>0.28627389942857134</v>
      </c>
      <c r="AR139" s="9"/>
      <c r="AS139" s="9"/>
      <c r="AT139" s="9"/>
      <c r="AU139" s="447"/>
      <c r="AV139" s="447"/>
      <c r="AW139" s="468"/>
      <c r="AX139" s="468"/>
      <c r="AY139" s="10"/>
      <c r="AZ139" s="10"/>
      <c r="BA139" s="553" t="str">
        <f t="shared" si="68"/>
        <v/>
      </c>
      <c r="BB139" s="553" t="str">
        <f t="shared" si="68"/>
        <v/>
      </c>
      <c r="BC139" s="553" t="str">
        <f t="shared" si="40"/>
        <v/>
      </c>
      <c r="BD139" s="572" t="str">
        <f>IF(AND(L139="",H139=""),"",
IF(H139="",Pole_Calc!A$9,
IF(H139="MP",Pole_Calc!A$10,
IF(H139="AnMP",Pole_Calc!A$11,
IF(H139="A",Pole_Calc!A$12,
IF(H139="S/A",Pole_Calc!A$13,
IF(H139="A/S",Pole_Calc!A$14,"Poner a mano")))))))</f>
        <v/>
      </c>
      <c r="BE139" s="448" t="s">
        <v>1726</v>
      </c>
      <c r="BF139" s="305"/>
      <c r="BG139" s="305"/>
      <c r="BH139" s="306"/>
      <c r="BI139" s="305"/>
    </row>
    <row r="140" spans="1:61" ht="16.2" customHeight="1">
      <c r="A140" s="579" t="s">
        <v>2452</v>
      </c>
      <c r="B140" s="469" t="s">
        <v>2269</v>
      </c>
      <c r="C140" s="3">
        <f t="shared" ref="C140" si="71">C138-G139</f>
        <v>387.77999999999986</v>
      </c>
      <c r="D140" s="88"/>
      <c r="E140" s="4"/>
      <c r="F140" s="4">
        <v>0</v>
      </c>
      <c r="G140" s="6"/>
      <c r="H140" s="468"/>
      <c r="I140" s="468"/>
      <c r="J140" s="3"/>
      <c r="K140" s="468"/>
      <c r="L140" s="468" t="s">
        <v>2474</v>
      </c>
      <c r="M140" s="468" t="s">
        <v>199</v>
      </c>
      <c r="N140" s="468" t="s">
        <v>342</v>
      </c>
      <c r="O140" s="468"/>
      <c r="P140" s="468"/>
      <c r="Q140" s="4"/>
      <c r="R140" s="6"/>
      <c r="S140" s="6"/>
      <c r="T140" s="4">
        <v>-20</v>
      </c>
      <c r="U140" s="4"/>
      <c r="V140" s="4"/>
      <c r="W140" s="9">
        <v>1.4</v>
      </c>
      <c r="X140" s="9"/>
      <c r="Y140" s="9"/>
      <c r="Z140" s="9"/>
      <c r="AA140" s="9"/>
      <c r="AB140" s="9"/>
      <c r="AC140" s="468" t="str">
        <f t="shared" si="67"/>
        <v>PH</v>
      </c>
      <c r="AD140" s="468"/>
      <c r="AE140" s="468"/>
      <c r="AF140" s="4"/>
      <c r="AG140" s="88"/>
      <c r="AH140" s="4"/>
      <c r="AI140" s="4"/>
      <c r="AJ140" s="468"/>
      <c r="AK140" s="468" t="s">
        <v>27</v>
      </c>
      <c r="AL140" s="468"/>
      <c r="AM140" s="468" t="s">
        <v>1620</v>
      </c>
      <c r="AN140" s="10">
        <v>5.5</v>
      </c>
      <c r="AO140" s="9"/>
      <c r="AP140" s="9"/>
      <c r="AQ140" s="9"/>
      <c r="AR140" s="9"/>
      <c r="AS140" s="9"/>
      <c r="AT140" s="9">
        <f>+ab($T$140,$T$138,$T$142,$G$139,$G$141, 1*$F$140,1200)</f>
        <v>-11.435415672697806</v>
      </c>
      <c r="AU140" s="447"/>
      <c r="AV140" s="447"/>
      <c r="AW140" s="468"/>
      <c r="AX140" s="468"/>
      <c r="AY140" s="10"/>
      <c r="AZ140" s="10"/>
      <c r="BA140" s="553" t="str">
        <f t="shared" si="68"/>
        <v/>
      </c>
      <c r="BB140" s="553" t="str">
        <f t="shared" si="68"/>
        <v/>
      </c>
      <c r="BC140" s="553" t="str">
        <f t="shared" si="40"/>
        <v/>
      </c>
      <c r="BD140" s="572"/>
      <c r="BE140" s="448" t="s">
        <v>1726</v>
      </c>
      <c r="BF140" s="306"/>
      <c r="BG140" s="306"/>
      <c r="BH140" s="306"/>
      <c r="BI140" s="306"/>
    </row>
    <row r="141" spans="1:61" ht="16.2" customHeight="1">
      <c r="A141" s="579" t="s">
        <v>2452</v>
      </c>
      <c r="B141" s="469"/>
      <c r="C141" s="3"/>
      <c r="D141" s="88"/>
      <c r="E141" s="4"/>
      <c r="F141" s="4"/>
      <c r="G141" s="6">
        <v>46.4</v>
      </c>
      <c r="H141" s="468"/>
      <c r="I141" s="468"/>
      <c r="J141" s="3"/>
      <c r="K141" s="468"/>
      <c r="L141" s="468"/>
      <c r="M141" s="468" t="str">
        <f>IF(L141="","",
IF(AX141="PT",VLOOKUP(L141,Foundation_Calc!$V$4:$X$37,VLOOKUP(AX141,Foundation_Calc!$I$10:$J$13,2,FALSE),0),
IF(AX141="K",VLOOKUP(L141,Foundation_Calc!$V$41:$X$74,VLOOKUP(AX141,Foundation_Calc!$I$10:$J$13,2,FALSE),0),"")))</f>
        <v/>
      </c>
      <c r="N141" s="468"/>
      <c r="O141" s="468"/>
      <c r="P141" s="468"/>
      <c r="Q141" s="4"/>
      <c r="R141" s="6"/>
      <c r="S141" s="6"/>
      <c r="T141" s="4"/>
      <c r="U141" s="4"/>
      <c r="V141" s="4"/>
      <c r="W141" s="9"/>
      <c r="X141" s="9"/>
      <c r="Y141" s="9"/>
      <c r="Z141" s="9"/>
      <c r="AA141" s="9"/>
      <c r="AB141" s="9"/>
      <c r="AC141" s="468" t="str">
        <f t="shared" si="67"/>
        <v/>
      </c>
      <c r="AD141" s="468"/>
      <c r="AE141" s="468"/>
      <c r="AF141" s="4"/>
      <c r="AG141" s="88"/>
      <c r="AH141" s="4"/>
      <c r="AI141" s="4"/>
      <c r="AJ141" s="468"/>
      <c r="AK141" s="468"/>
      <c r="AL141" s="468"/>
      <c r="AM141" s="468"/>
      <c r="AN141" s="10"/>
      <c r="AO141" s="9"/>
      <c r="AP141" s="9"/>
      <c r="AQ141" s="9">
        <f>+FL_1($T$142,$T$140,$G$141,1200,9.28, 1*$F$142)</f>
        <v>0.25616878965517242</v>
      </c>
      <c r="AR141" s="9"/>
      <c r="AS141" s="9"/>
      <c r="AT141" s="9"/>
      <c r="AU141" s="447"/>
      <c r="AV141" s="447"/>
      <c r="AW141" s="468"/>
      <c r="AX141" s="468"/>
      <c r="AY141" s="10"/>
      <c r="AZ141" s="10"/>
      <c r="BA141" s="553" t="str">
        <f t="shared" si="68"/>
        <v/>
      </c>
      <c r="BB141" s="553" t="str">
        <f t="shared" si="68"/>
        <v/>
      </c>
      <c r="BC141" s="553" t="str">
        <f t="shared" si="40"/>
        <v/>
      </c>
      <c r="BD141" s="572" t="str">
        <f>IF(AND(L141="",H141=""),"",
IF(H141="",Pole_Calc!A$9,
IF(H141="MP",Pole_Calc!A$10,
IF(H141="AnMP",Pole_Calc!A$11,
IF(H141="A",Pole_Calc!A$12,
IF(H141="S/A",Pole_Calc!A$13,
IF(H141="A/S",Pole_Calc!A$14,"Poner a mano")))))))</f>
        <v/>
      </c>
      <c r="BE141" s="448" t="s">
        <v>1726</v>
      </c>
      <c r="BF141" s="305"/>
      <c r="BG141" s="305"/>
      <c r="BH141" s="306"/>
      <c r="BI141" s="305"/>
    </row>
    <row r="142" spans="1:61" ht="16.2" customHeight="1">
      <c r="A142" s="579" t="s">
        <v>2452</v>
      </c>
      <c r="B142" s="469" t="s">
        <v>2270</v>
      </c>
      <c r="C142" s="3">
        <f t="shared" ref="C142" si="72">C140-G141</f>
        <v>341.37999999999988</v>
      </c>
      <c r="D142" s="88"/>
      <c r="E142" s="4"/>
      <c r="F142" s="4">
        <v>0</v>
      </c>
      <c r="G142" s="6"/>
      <c r="H142" s="468" t="s">
        <v>388</v>
      </c>
      <c r="I142" s="468" t="s">
        <v>183</v>
      </c>
      <c r="J142" s="3"/>
      <c r="K142" s="468"/>
      <c r="L142" s="468" t="s">
        <v>2474</v>
      </c>
      <c r="M142" s="468" t="s">
        <v>199</v>
      </c>
      <c r="N142" s="468" t="s">
        <v>343</v>
      </c>
      <c r="O142" s="468"/>
      <c r="P142" s="468"/>
      <c r="Q142" s="4"/>
      <c r="R142" s="6"/>
      <c r="S142" s="6"/>
      <c r="T142" s="4">
        <v>20</v>
      </c>
      <c r="U142" s="4"/>
      <c r="V142" s="4"/>
      <c r="W142" s="9">
        <v>1.4</v>
      </c>
      <c r="X142" s="9"/>
      <c r="Y142" s="9"/>
      <c r="Z142" s="9"/>
      <c r="AA142" s="9"/>
      <c r="AB142" s="9"/>
      <c r="AC142" s="468" t="str">
        <f t="shared" si="67"/>
        <v>PH</v>
      </c>
      <c r="AD142" s="468"/>
      <c r="AE142" s="468"/>
      <c r="AF142" s="4"/>
      <c r="AG142" s="88"/>
      <c r="AH142" s="4"/>
      <c r="AI142" s="4"/>
      <c r="AJ142" s="468"/>
      <c r="AK142" s="468" t="s">
        <v>27</v>
      </c>
      <c r="AL142" s="468"/>
      <c r="AM142" s="468" t="s">
        <v>1620</v>
      </c>
      <c r="AN142" s="10">
        <v>5.5</v>
      </c>
      <c r="AO142" s="9"/>
      <c r="AP142" s="9"/>
      <c r="AQ142" s="9"/>
      <c r="AR142" s="9"/>
      <c r="AS142" s="9"/>
      <c r="AT142" s="9">
        <f>+ab($T$142,$T$140,$T$144,$G$141,$G$143, 1*$F$142,1200)</f>
        <v>9.157339246816079</v>
      </c>
      <c r="AU142" s="447"/>
      <c r="AV142" s="447"/>
      <c r="AW142" s="468"/>
      <c r="AX142" s="468"/>
      <c r="AY142" s="10"/>
      <c r="AZ142" s="10"/>
      <c r="BA142" s="553" t="str">
        <f t="shared" si="68"/>
        <v/>
      </c>
      <c r="BB142" s="553" t="str">
        <f t="shared" si="68"/>
        <v/>
      </c>
      <c r="BC142" s="553" t="str">
        <f t="shared" si="40"/>
        <v/>
      </c>
      <c r="BD142" s="572"/>
      <c r="BE142" s="448" t="s">
        <v>1726</v>
      </c>
      <c r="BF142" s="306"/>
      <c r="BG142" s="306"/>
      <c r="BH142" s="306"/>
      <c r="BI142" s="306"/>
    </row>
    <row r="143" spans="1:61" ht="16.2" customHeight="1">
      <c r="A143" s="573" t="s">
        <v>2454</v>
      </c>
      <c r="B143" s="469"/>
      <c r="C143" s="3"/>
      <c r="D143" s="88"/>
      <c r="E143" s="4"/>
      <c r="F143" s="4"/>
      <c r="G143" s="6">
        <v>61.7</v>
      </c>
      <c r="H143" s="468">
        <v>371</v>
      </c>
      <c r="I143" s="468"/>
      <c r="J143" s="3"/>
      <c r="K143" s="468"/>
      <c r="L143" s="468"/>
      <c r="M143" s="468" t="str">
        <f>IF(L143="","",
IF(AX143="PT",VLOOKUP(L143,Foundation_Calc!$V$4:$X$37,VLOOKUP(AX143,Foundation_Calc!$I$10:$J$13,2,FALSE),0),
IF(AX143="K",VLOOKUP(L143,Foundation_Calc!$V$41:$X$74,VLOOKUP(AX143,Foundation_Calc!$I$10:$J$13,2,FALSE),0),"")))</f>
        <v/>
      </c>
      <c r="N143" s="468"/>
      <c r="O143" s="468"/>
      <c r="P143" s="468"/>
      <c r="Q143" s="4"/>
      <c r="R143" s="6"/>
      <c r="S143" s="6"/>
      <c r="T143" s="4"/>
      <c r="U143" s="4"/>
      <c r="V143" s="4"/>
      <c r="W143" s="9"/>
      <c r="X143" s="9"/>
      <c r="Y143" s="9"/>
      <c r="Z143" s="9"/>
      <c r="AA143" s="9"/>
      <c r="AB143" s="9"/>
      <c r="AC143" s="468" t="str">
        <f t="shared" si="67"/>
        <v/>
      </c>
      <c r="AD143" s="468"/>
      <c r="AE143" s="468"/>
      <c r="AF143" s="4"/>
      <c r="AG143" s="88"/>
      <c r="AH143" s="4"/>
      <c r="AI143" s="4"/>
      <c r="AJ143" s="468"/>
      <c r="AK143" s="468"/>
      <c r="AL143" s="468"/>
      <c r="AM143" s="468"/>
      <c r="AN143" s="10"/>
      <c r="AO143" s="9"/>
      <c r="AP143" s="9"/>
      <c r="AQ143" s="9">
        <f>+FL_1($T$144,$T$142,$G$143,1200,9.28, 1*$F$144)</f>
        <v>0.28853281818044302</v>
      </c>
      <c r="AR143" s="9"/>
      <c r="AS143" s="9"/>
      <c r="AT143" s="9"/>
      <c r="AU143" s="447"/>
      <c r="AV143" s="447"/>
      <c r="AW143" s="468"/>
      <c r="AX143" s="468"/>
      <c r="AY143" s="10"/>
      <c r="AZ143" s="10"/>
      <c r="BA143" s="553" t="str">
        <f t="shared" si="68"/>
        <v/>
      </c>
      <c r="BB143" s="553" t="str">
        <f t="shared" si="68"/>
        <v/>
      </c>
      <c r="BC143" s="553" t="str">
        <f t="shared" si="40"/>
        <v/>
      </c>
      <c r="BD143" s="572"/>
      <c r="BE143" s="448" t="s">
        <v>1726</v>
      </c>
      <c r="BF143" s="305"/>
      <c r="BG143" s="305"/>
      <c r="BH143" s="306"/>
      <c r="BI143" s="305"/>
    </row>
    <row r="144" spans="1:61" ht="16.2" customHeight="1">
      <c r="A144" s="573" t="s">
        <v>2448</v>
      </c>
      <c r="B144" s="469" t="s">
        <v>2271</v>
      </c>
      <c r="C144" s="3">
        <f t="shared" ref="C144" si="73">C142-G143</f>
        <v>279.67999999999989</v>
      </c>
      <c r="D144" s="88"/>
      <c r="E144" s="4"/>
      <c r="F144" s="4">
        <v>0</v>
      </c>
      <c r="G144" s="6"/>
      <c r="H144" s="468" t="s">
        <v>179</v>
      </c>
      <c r="I144" s="468"/>
      <c r="J144" s="3"/>
      <c r="K144" s="468"/>
      <c r="L144" s="468" t="s">
        <v>2474</v>
      </c>
      <c r="M144" s="468" t="s">
        <v>199</v>
      </c>
      <c r="N144" s="672" t="s">
        <v>28</v>
      </c>
      <c r="O144" s="648" t="s">
        <v>32</v>
      </c>
      <c r="P144" s="468"/>
      <c r="Q144" s="4"/>
      <c r="R144" s="6"/>
      <c r="S144" s="6"/>
      <c r="T144" s="4">
        <v>-55</v>
      </c>
      <c r="U144" s="4">
        <v>-20</v>
      </c>
      <c r="V144" s="4"/>
      <c r="W144" s="9">
        <v>1.8</v>
      </c>
      <c r="X144" s="9">
        <v>1.4</v>
      </c>
      <c r="Y144" s="9"/>
      <c r="Z144" s="9">
        <v>0.45</v>
      </c>
      <c r="AA144" s="9"/>
      <c r="AB144" s="9"/>
      <c r="AC144" s="468" t="str">
        <f t="shared" si="67"/>
        <v>PH</v>
      </c>
      <c r="AD144" s="468"/>
      <c r="AE144" s="468"/>
      <c r="AF144" s="4"/>
      <c r="AG144" s="88"/>
      <c r="AH144" s="4"/>
      <c r="AI144" s="4"/>
      <c r="AJ144" s="468"/>
      <c r="AK144" s="468" t="s">
        <v>36</v>
      </c>
      <c r="AL144" s="468"/>
      <c r="AM144" s="468" t="s">
        <v>1620</v>
      </c>
      <c r="AN144" s="10">
        <v>5.5</v>
      </c>
      <c r="AO144" s="9"/>
      <c r="AP144" s="9"/>
      <c r="AQ144" s="9"/>
      <c r="AR144" s="9"/>
      <c r="AS144" s="9"/>
      <c r="AT144" s="9">
        <f>+ab($T$144,$T$142,$T$146,$G$143,$G$145, 1*$F$144,1200)</f>
        <v>-10.042338053941526</v>
      </c>
      <c r="AU144" s="447"/>
      <c r="AV144" s="447"/>
      <c r="AW144" s="468"/>
      <c r="AX144" s="468"/>
      <c r="AY144" s="10"/>
      <c r="AZ144" s="10"/>
      <c r="BA144" s="553" t="str">
        <f t="shared" si="68"/>
        <v/>
      </c>
      <c r="BB144" s="553" t="str">
        <f t="shared" si="68"/>
        <v/>
      </c>
      <c r="BC144" s="553" t="str">
        <f t="shared" ref="BC144:BC156" si="74">IF(M144="","",IF(M144="U.S.","ü",IF(M144="U.S. N.D.","ü","")))</f>
        <v/>
      </c>
      <c r="BD144" s="572"/>
      <c r="BE144" s="448" t="s">
        <v>1726</v>
      </c>
      <c r="BF144" s="306"/>
      <c r="BG144" s="306"/>
      <c r="BH144" s="306"/>
      <c r="BI144" s="306"/>
    </row>
    <row r="145" spans="1:61" ht="16.2" customHeight="1">
      <c r="A145" s="573" t="s">
        <v>2455</v>
      </c>
      <c r="B145" s="469"/>
      <c r="C145" s="3"/>
      <c r="D145" s="88"/>
      <c r="E145" s="4"/>
      <c r="F145" s="4"/>
      <c r="G145" s="6">
        <v>51.8</v>
      </c>
      <c r="H145" s="468"/>
      <c r="I145" s="468"/>
      <c r="J145" s="3"/>
      <c r="K145" s="468"/>
      <c r="L145" s="468"/>
      <c r="M145" s="468" t="str">
        <f>IF(L145="","",
IF(AX145="PT",VLOOKUP(L145,Foundation_Calc!$V$4:$X$37,VLOOKUP(AX145,Foundation_Calc!$I$10:$J$13,2,FALSE),0),
IF(AX145="K",VLOOKUP(L145,Foundation_Calc!$V$41:$X$74,VLOOKUP(AX145,Foundation_Calc!$I$10:$J$13,2,FALSE),0),"")))</f>
        <v/>
      </c>
      <c r="N145" s="468"/>
      <c r="O145" s="468"/>
      <c r="P145" s="468"/>
      <c r="Q145" s="4"/>
      <c r="R145" s="6"/>
      <c r="S145" s="6"/>
      <c r="T145" s="4"/>
      <c r="U145" s="4"/>
      <c r="V145" s="4"/>
      <c r="W145" s="9"/>
      <c r="X145" s="9"/>
      <c r="Y145" s="9"/>
      <c r="Z145" s="9"/>
      <c r="AA145" s="9"/>
      <c r="AB145" s="9"/>
      <c r="AC145" s="468" t="str">
        <f t="shared" si="67"/>
        <v/>
      </c>
      <c r="AD145" s="468"/>
      <c r="AE145" s="468"/>
      <c r="AF145" s="4"/>
      <c r="AG145" s="88"/>
      <c r="AH145" s="4"/>
      <c r="AI145" s="4"/>
      <c r="AJ145" s="468"/>
      <c r="AK145" s="468"/>
      <c r="AL145" s="468"/>
      <c r="AM145" s="468"/>
      <c r="AN145" s="10"/>
      <c r="AO145" s="9"/>
      <c r="AP145" s="9"/>
      <c r="AQ145" s="9">
        <f>+FL_1($T$146,$T$144,-$G$145,1200,9.28, 1*$F$146)</f>
        <v>-0.2</v>
      </c>
      <c r="AR145" s="9"/>
      <c r="AS145" s="9"/>
      <c r="AT145" s="9"/>
      <c r="AU145" s="447"/>
      <c r="AV145" s="447"/>
      <c r="AW145" s="468"/>
      <c r="AX145" s="468"/>
      <c r="AY145" s="10"/>
      <c r="AZ145" s="10"/>
      <c r="BA145" s="553" t="str">
        <f t="shared" si="68"/>
        <v/>
      </c>
      <c r="BB145" s="553" t="str">
        <f t="shared" si="68"/>
        <v/>
      </c>
      <c r="BC145" s="553" t="str">
        <f t="shared" si="74"/>
        <v/>
      </c>
      <c r="BD145" s="572" t="str">
        <f>IF(AND(L145="",H145=""),"",
IF(H145="",Pole_Calc!A$9,
IF(H145="MP",Pole_Calc!A$10,
IF(H145="AnMP",Pole_Calc!A$11,
IF(H145="A",Pole_Calc!A$12,
IF(H145="S/A",Pole_Calc!A$13,
IF(H145="A/S",Pole_Calc!A$14,"Poner a mano")))))))</f>
        <v/>
      </c>
      <c r="BE145" s="448" t="s">
        <v>1726</v>
      </c>
      <c r="BF145" s="305"/>
      <c r="BG145" s="305"/>
      <c r="BH145" s="306"/>
      <c r="BI145" s="305"/>
    </row>
    <row r="146" spans="1:61" ht="16.2" customHeight="1">
      <c r="A146" s="579" t="s">
        <v>2452</v>
      </c>
      <c r="B146" s="469" t="s">
        <v>2272</v>
      </c>
      <c r="C146" s="3">
        <f t="shared" ref="C146" si="75">C144-G145</f>
        <v>227.87999999999988</v>
      </c>
      <c r="D146" s="88"/>
      <c r="E146" s="4"/>
      <c r="F146" s="4">
        <v>0</v>
      </c>
      <c r="G146" s="6"/>
      <c r="H146" s="468" t="s">
        <v>2274</v>
      </c>
      <c r="I146" s="468" t="s">
        <v>482</v>
      </c>
      <c r="J146" s="3"/>
      <c r="K146" s="468"/>
      <c r="L146" s="468" t="s">
        <v>754</v>
      </c>
      <c r="M146" s="468" t="str">
        <f>IF(L146="","",
IF(AX146="PT",VLOOKUP(L146,Foundation_Calc!$V$79:$X$112,VLOOKUP(AX146,Foundation_Calc!$I$10:$J$13,2,FALSE),0),
IF(AX146="K",VLOOKUP(L146,Foundation_Calc!$V$116:$X$149,VLOOKUP(AX146,Foundation_Calc!$I$10:$J$13,2,FALSE),0),"")))</f>
        <v>C10R</v>
      </c>
      <c r="N146" s="669" t="s">
        <v>33</v>
      </c>
      <c r="O146" s="468" t="s">
        <v>32</v>
      </c>
      <c r="P146" s="468"/>
      <c r="Q146" s="4"/>
      <c r="R146" s="6"/>
      <c r="S146" s="6"/>
      <c r="T146" s="4">
        <v>-20</v>
      </c>
      <c r="U146" s="4">
        <v>-35</v>
      </c>
      <c r="V146" s="4"/>
      <c r="W146" s="9">
        <v>1.4</v>
      </c>
      <c r="X146" s="9">
        <v>1.8</v>
      </c>
      <c r="Y146" s="9"/>
      <c r="Z146" s="9"/>
      <c r="AA146" s="9"/>
      <c r="AB146" s="9"/>
      <c r="AC146" s="468" t="s">
        <v>1068</v>
      </c>
      <c r="AD146" s="468" t="s">
        <v>647</v>
      </c>
      <c r="AE146" s="468"/>
      <c r="AF146" s="4"/>
      <c r="AG146" s="88"/>
      <c r="AH146" s="4"/>
      <c r="AI146" s="4"/>
      <c r="AJ146" s="468"/>
      <c r="AK146" s="468"/>
      <c r="AL146" s="468" t="s">
        <v>1611</v>
      </c>
      <c r="AM146" s="468" t="s">
        <v>486</v>
      </c>
      <c r="AN146" s="10">
        <v>5.5</v>
      </c>
      <c r="AO146" s="9"/>
      <c r="AP146" s="9"/>
      <c r="AQ146" s="9"/>
      <c r="AR146" s="9"/>
      <c r="AS146" s="9"/>
      <c r="AT146" s="9">
        <f>+ab($T$146,$T$144,$T$148,-$G$145,$G$147, 1*$F$146,1200)</f>
        <v>-39.56091426981645</v>
      </c>
      <c r="AU146" s="447"/>
      <c r="AV146" s="447"/>
      <c r="AW146" s="468" t="str">
        <f>IF(C146&gt;0,VLOOKUP(C146,Foundation_Calc!$A$20:$C$25,3,1),
IF(J146&gt;0,VLOOKUP(J146,Foundation_Calc!$A$20:$C$25,3,1),""))</f>
        <v>MultiSoil</v>
      </c>
      <c r="AX146" s="468" t="str">
        <f>IF(C146&gt;0,VLOOKUP(C146,Foundation_Calc!$E$20:$G$25,3,1),
IF(J146&gt;0,VLOOKUP(J146,Foundation_Calc!$E$20:$G$25,3,1),""))</f>
        <v>PT</v>
      </c>
      <c r="AY146" s="10" t="str">
        <f>IF(L146="","",
IF(AX146="PT",VLOOKUP(L146,Foundation_Calc!$K$79:$R$112,VLOOKUP(AW146,Foundation_Calc!$I$2:$J$8,2,FALSE),0),
IF(AX146="K",VLOOKUP(L146,Foundation_Calc!$K$116:$R$149,VLOOKUP(AW146,Foundation_Calc!$I$2:$J$8,2,FALSE),0),"")))</f>
        <v>N.D.</v>
      </c>
      <c r="AZ146" s="10" t="str">
        <f>IF(K146="","",
IF(AX146="PT",VLOOKUP(K146,Foundation_Calc!$K$79:$R$112,VLOOKUP(AW146,Foundation_Calc!$I$2:$J$8,2,FALSE),0),
IF(AX146="K",VLOOKUP(K146,Foundation_Calc!$K$116:$R$149,VLOOKUP(AW146,Foundation_Calc!$I$2:$J$8,2,FALSE),0),"")))</f>
        <v/>
      </c>
      <c r="BA146" s="553" t="str">
        <f t="shared" si="68"/>
        <v>ü</v>
      </c>
      <c r="BB146" s="553" t="str">
        <f t="shared" si="68"/>
        <v/>
      </c>
      <c r="BC146" s="553" t="str">
        <f t="shared" si="74"/>
        <v/>
      </c>
      <c r="BD146" s="572" t="str">
        <f>Pole_Calc!A$251</f>
        <v>App.8-V08H-P10.3</v>
      </c>
      <c r="BE146" s="448" t="s">
        <v>1726</v>
      </c>
      <c r="BF146" s="306"/>
      <c r="BG146" s="306"/>
      <c r="BH146" s="306"/>
      <c r="BI146" s="306"/>
    </row>
    <row r="147" spans="1:61" ht="16.2" customHeight="1">
      <c r="A147" s="573" t="s">
        <v>2452</v>
      </c>
      <c r="B147" s="469"/>
      <c r="C147" s="3"/>
      <c r="D147" s="88"/>
      <c r="E147" s="4"/>
      <c r="F147" s="4"/>
      <c r="G147" s="6">
        <v>37</v>
      </c>
      <c r="H147" s="468"/>
      <c r="I147" s="468"/>
      <c r="J147" s="3">
        <f>C146-7.5</f>
        <v>220.37999999999988</v>
      </c>
      <c r="K147" s="468" t="s">
        <v>1625</v>
      </c>
      <c r="L147" s="468"/>
      <c r="M147" s="468" t="str">
        <f>IF(L147="","",
IF(AX147="PT",VLOOKUP(L147,Foundation_Calc!$V$4:$X$37,VLOOKUP(AX147,Foundation_Calc!$I$10:$J$13,2,FALSE),0),
IF(AX147="K",VLOOKUP(L147,Foundation_Calc!$V$41:$X$74,VLOOKUP(AX147,Foundation_Calc!$I$10:$J$13,2,FALSE),0),"")))</f>
        <v/>
      </c>
      <c r="N147" s="468"/>
      <c r="O147" s="468"/>
      <c r="P147" s="468"/>
      <c r="Q147" s="4"/>
      <c r="R147" s="6"/>
      <c r="S147" s="6"/>
      <c r="T147" s="4"/>
      <c r="U147" s="4"/>
      <c r="V147" s="4"/>
      <c r="W147" s="9"/>
      <c r="X147" s="9"/>
      <c r="Y147" s="9"/>
      <c r="Z147" s="9"/>
      <c r="AA147" s="9"/>
      <c r="AB147" s="9"/>
      <c r="AC147" s="468" t="str">
        <f t="shared" si="67"/>
        <v/>
      </c>
      <c r="AD147" s="468"/>
      <c r="AE147" s="468"/>
      <c r="AF147" s="4"/>
      <c r="AG147" s="88"/>
      <c r="AH147" s="4"/>
      <c r="AI147" s="4"/>
      <c r="AJ147" s="468"/>
      <c r="AK147" s="468"/>
      <c r="AL147" s="468"/>
      <c r="AM147" s="468"/>
      <c r="AN147" s="10"/>
      <c r="AO147" s="9"/>
      <c r="AP147" s="9"/>
      <c r="AQ147" s="9">
        <f>+FL_1($T$148,$T$146,$G$147,1200,9.28, 1*$F$148)</f>
        <v>0.45418462716386193</v>
      </c>
      <c r="AR147" s="9"/>
      <c r="AS147" s="9"/>
      <c r="AT147" s="9"/>
      <c r="AU147" s="447"/>
      <c r="AV147" s="447"/>
      <c r="AW147" s="468"/>
      <c r="AX147" s="468"/>
      <c r="AY147" s="10" t="str">
        <f>IF(L147="","",
IF(AX147="PT",VLOOKUP(L147,Foundation_Calc!$K$79:$R$112,VLOOKUP(AW147,Foundation_Calc!$I$2:$J$8,2,FALSE),0),
IF(AX147="K",VLOOKUP(L147,Foundation_Calc!$K$116:$R$149,VLOOKUP(AW147,Foundation_Calc!$I$2:$J$8,2,FALSE),0),"")))</f>
        <v/>
      </c>
      <c r="AZ147" s="10" t="str">
        <f>IF(K147="","",
IF(AX147="PT",VLOOKUP(K147,Foundation_Calc!$K$79:$R$112,VLOOKUP(AW147,Foundation_Calc!$I$2:$J$8,2,FALSE),0),
IF(AX147="K",VLOOKUP(K147,Foundation_Calc!$K$116:$R$149,VLOOKUP(AW147,Foundation_Calc!$I$2:$J$8,2,FALSE),0),"")))</f>
        <v/>
      </c>
      <c r="BA147" s="553" t="str">
        <f t="shared" si="68"/>
        <v/>
      </c>
      <c r="BB147" s="553" t="str">
        <f t="shared" si="68"/>
        <v/>
      </c>
      <c r="BC147" s="553" t="str">
        <f t="shared" si="74"/>
        <v/>
      </c>
      <c r="BD147" s="572" t="str">
        <f>IF(AND(L147="",H147=""),"",
IF(H147="",Pole_Calc!A$9,
IF(H147="MP",Pole_Calc!A$10,
IF(H147="AnMP",Pole_Calc!A$11,
IF(H147="A",Pole_Calc!A$12,
IF(H147="S/A",Pole_Calc!A$13,
IF(H147="A/S",Pole_Calc!A$14,"Poner a mano")))))))</f>
        <v/>
      </c>
      <c r="BE147" s="448" t="s">
        <v>1726</v>
      </c>
      <c r="BF147" s="305"/>
      <c r="BG147" s="305"/>
      <c r="BH147" s="306"/>
      <c r="BI147" s="305"/>
    </row>
    <row r="148" spans="1:61" ht="16.2" customHeight="1">
      <c r="A148" s="573"/>
      <c r="B148" s="469" t="s">
        <v>2273</v>
      </c>
      <c r="C148" s="3">
        <f t="shared" ref="C148" si="76">C146-G147</f>
        <v>190.87999999999988</v>
      </c>
      <c r="D148" s="88"/>
      <c r="E148" s="4"/>
      <c r="F148" s="4">
        <v>-300</v>
      </c>
      <c r="G148" s="6"/>
      <c r="H148" s="468"/>
      <c r="I148" s="468"/>
      <c r="J148" s="3"/>
      <c r="K148" s="468"/>
      <c r="L148" s="468" t="s">
        <v>199</v>
      </c>
      <c r="M148" s="468" t="str">
        <f>IF(L148="","",
IF(AX148="PT",VLOOKUP(L148,Foundation_Calc!$V$4:$X$37,VLOOKUP(AX148,Foundation_Calc!$I$10:$J$13,2,FALSE),0),
IF(AX148="K",VLOOKUP(L148,Foundation_Calc!$V$41:$X$74,VLOOKUP(AX148,Foundation_Calc!$I$10:$J$13,2,FALSE),0),"")))</f>
        <v/>
      </c>
      <c r="N148" s="468" t="s">
        <v>342</v>
      </c>
      <c r="O148" s="468"/>
      <c r="P148" s="468"/>
      <c r="Q148" s="4"/>
      <c r="R148" s="6"/>
      <c r="S148" s="6"/>
      <c r="T148" s="4">
        <v>-30</v>
      </c>
      <c r="U148" s="4"/>
      <c r="V148" s="4"/>
      <c r="W148" s="9">
        <v>1.4</v>
      </c>
      <c r="X148" s="9"/>
      <c r="Y148" s="9"/>
      <c r="Z148" s="9"/>
      <c r="AA148" s="9"/>
      <c r="AB148" s="9"/>
      <c r="AC148" s="468" t="str">
        <f t="shared" si="67"/>
        <v>PHC</v>
      </c>
      <c r="AD148" s="468"/>
      <c r="AE148" s="468"/>
      <c r="AF148" s="4"/>
      <c r="AG148" s="88"/>
      <c r="AH148" s="4"/>
      <c r="AI148" s="4"/>
      <c r="AJ148" s="468"/>
      <c r="AK148" s="468" t="s">
        <v>27</v>
      </c>
      <c r="AL148" s="468"/>
      <c r="AM148" s="468"/>
      <c r="AN148" s="10">
        <v>5.5</v>
      </c>
      <c r="AO148" s="9"/>
      <c r="AP148" s="9"/>
      <c r="AQ148" s="9"/>
      <c r="AR148" s="9"/>
      <c r="AS148" s="9"/>
      <c r="AT148" s="9">
        <f>+ab($T$148,$T$146,$T$150,$G$147,$G$149, 1*$F$148,1200)</f>
        <v>-1.6773533296705185</v>
      </c>
      <c r="AU148" s="447"/>
      <c r="AV148" s="447"/>
      <c r="AW148" s="468"/>
      <c r="AX148" s="468"/>
      <c r="AY148" s="10"/>
      <c r="AZ148" s="10"/>
      <c r="BA148" s="553" t="str">
        <f t="shared" si="68"/>
        <v/>
      </c>
      <c r="BB148" s="553" t="str">
        <f t="shared" si="68"/>
        <v/>
      </c>
      <c r="BC148" s="553" t="str">
        <f t="shared" si="74"/>
        <v/>
      </c>
      <c r="BD148" s="572"/>
      <c r="BE148" s="448" t="s">
        <v>1726</v>
      </c>
      <c r="BF148" s="306"/>
      <c r="BG148" s="306"/>
      <c r="BH148" s="306"/>
      <c r="BI148" s="306"/>
    </row>
    <row r="149" spans="1:61" ht="16.2" customHeight="1">
      <c r="A149" s="573"/>
      <c r="B149" s="469"/>
      <c r="C149" s="3"/>
      <c r="D149" s="88"/>
      <c r="E149" s="4"/>
      <c r="F149" s="4"/>
      <c r="G149" s="6">
        <v>30</v>
      </c>
      <c r="H149" s="468"/>
      <c r="I149" s="468"/>
      <c r="J149" s="3"/>
      <c r="K149" s="468"/>
      <c r="L149" s="468"/>
      <c r="M149" s="468" t="str">
        <f>IF(L149="","",
IF(AX149="PT",VLOOKUP(L149,Foundation_Calc!$V$4:$X$37,VLOOKUP(AX149,Foundation_Calc!$I$10:$J$13,2,FALSE),0),
IF(AX149="K",VLOOKUP(L149,Foundation_Calc!$V$41:$X$74,VLOOKUP(AX149,Foundation_Calc!$I$10:$J$13,2,FALSE),0),"")))</f>
        <v/>
      </c>
      <c r="N149" s="468"/>
      <c r="O149" s="468"/>
      <c r="P149" s="468"/>
      <c r="Q149" s="4"/>
      <c r="R149" s="6"/>
      <c r="S149" s="6"/>
      <c r="T149" s="4"/>
      <c r="U149" s="4"/>
      <c r="V149" s="4"/>
      <c r="W149" s="9"/>
      <c r="X149" s="9"/>
      <c r="Y149" s="9"/>
      <c r="Z149" s="9"/>
      <c r="AA149" s="9"/>
      <c r="AB149" s="9"/>
      <c r="AC149" s="468" t="str">
        <f t="shared" si="67"/>
        <v/>
      </c>
      <c r="AD149" s="468"/>
      <c r="AE149" s="468"/>
      <c r="AF149" s="4"/>
      <c r="AG149" s="88"/>
      <c r="AH149" s="4"/>
      <c r="AI149" s="4"/>
      <c r="AJ149" s="468"/>
      <c r="AK149" s="468"/>
      <c r="AL149" s="468"/>
      <c r="AM149" s="468"/>
      <c r="AN149" s="10"/>
      <c r="AO149" s="9"/>
      <c r="AP149" s="9"/>
      <c r="AQ149" s="9">
        <f>+FL_2($T$150,$T$148,$G$149,1200,9.28, 1*$F$150)</f>
        <v>-0.3000000000000918</v>
      </c>
      <c r="AR149" s="9"/>
      <c r="AS149" s="9"/>
      <c r="AT149" s="9"/>
      <c r="AU149" s="447"/>
      <c r="AV149" s="447"/>
      <c r="AW149" s="468"/>
      <c r="AX149" s="468"/>
      <c r="AY149" s="10"/>
      <c r="AZ149" s="10"/>
      <c r="BA149" s="553" t="str">
        <f t="shared" si="68"/>
        <v/>
      </c>
      <c r="BB149" s="553" t="str">
        <f t="shared" si="68"/>
        <v/>
      </c>
      <c r="BC149" s="553" t="str">
        <f t="shared" si="74"/>
        <v/>
      </c>
      <c r="BD149" s="572"/>
      <c r="BE149" s="448" t="s">
        <v>1726</v>
      </c>
      <c r="BF149" s="305"/>
      <c r="BG149" s="305"/>
      <c r="BH149" s="306"/>
      <c r="BI149" s="305"/>
    </row>
    <row r="150" spans="1:61" ht="16.2" customHeight="1">
      <c r="A150" s="573"/>
      <c r="B150" s="469" t="s">
        <v>2256</v>
      </c>
      <c r="C150" s="3">
        <f t="shared" ref="C150" si="77">C148-G149</f>
        <v>160.87999999999988</v>
      </c>
      <c r="D150" s="88"/>
      <c r="E150" s="4"/>
      <c r="F150" s="4">
        <v>-300</v>
      </c>
      <c r="G150" s="6"/>
      <c r="H150" s="468"/>
      <c r="I150" s="468"/>
      <c r="J150" s="3"/>
      <c r="K150" s="468"/>
      <c r="L150" s="468" t="s">
        <v>199</v>
      </c>
      <c r="M150" s="468" t="str">
        <f>IF(L150="","",
IF(AX150="PT",VLOOKUP(L150,Foundation_Calc!$V$4:$X$37,VLOOKUP(AX150,Foundation_Calc!$I$10:$J$13,2,FALSE),0),
IF(AX150="K",VLOOKUP(L150,Foundation_Calc!$V$41:$X$74,VLOOKUP(AX150,Foundation_Calc!$I$10:$J$13,2,FALSE),0),"")))</f>
        <v/>
      </c>
      <c r="N150" s="468" t="s">
        <v>342</v>
      </c>
      <c r="O150" s="468"/>
      <c r="P150" s="468"/>
      <c r="Q150" s="4"/>
      <c r="R150" s="6"/>
      <c r="S150" s="6"/>
      <c r="T150" s="4">
        <v>-30</v>
      </c>
      <c r="U150" s="4"/>
      <c r="V150" s="4"/>
      <c r="W150" s="9">
        <v>1.4</v>
      </c>
      <c r="X150" s="9"/>
      <c r="Y150" s="9"/>
      <c r="Z150" s="9"/>
      <c r="AA150" s="9"/>
      <c r="AB150" s="9"/>
      <c r="AC150" s="468" t="str">
        <f t="shared" si="67"/>
        <v>PHC</v>
      </c>
      <c r="AD150" s="468"/>
      <c r="AE150" s="468"/>
      <c r="AF150" s="4"/>
      <c r="AG150" s="88"/>
      <c r="AH150" s="4"/>
      <c r="AI150" s="4"/>
      <c r="AJ150" s="468"/>
      <c r="AK150" s="468" t="s">
        <v>27</v>
      </c>
      <c r="AL150" s="468"/>
      <c r="AM150" s="468"/>
      <c r="AN150" s="10">
        <v>5.5</v>
      </c>
      <c r="AO150" s="9"/>
      <c r="AP150" s="9"/>
      <c r="AQ150" s="9"/>
      <c r="AR150" s="9"/>
      <c r="AS150" s="9"/>
      <c r="AT150" s="9">
        <f>+ab($T$150,$T$148,$T$152,$G$149,$G$151, 1*$F$150,1200)</f>
        <v>-1.5960201438355803</v>
      </c>
      <c r="AU150" s="447"/>
      <c r="AV150" s="447"/>
      <c r="AW150" s="468"/>
      <c r="AX150" s="468"/>
      <c r="AY150" s="10"/>
      <c r="AZ150" s="10"/>
      <c r="BA150" s="553" t="str">
        <f t="shared" si="68"/>
        <v/>
      </c>
      <c r="BB150" s="553" t="str">
        <f t="shared" si="68"/>
        <v/>
      </c>
      <c r="BC150" s="553" t="str">
        <f t="shared" si="74"/>
        <v/>
      </c>
      <c r="BD150" s="572"/>
      <c r="BE150" s="448" t="s">
        <v>1726</v>
      </c>
      <c r="BF150" s="306"/>
      <c r="BG150" s="306"/>
      <c r="BH150" s="306"/>
      <c r="BI150" s="306"/>
    </row>
    <row r="151" spans="1:61" ht="16.2" customHeight="1">
      <c r="A151" s="573"/>
      <c r="B151" s="469"/>
      <c r="C151" s="3"/>
      <c r="D151" s="88"/>
      <c r="E151" s="4"/>
      <c r="F151" s="4"/>
      <c r="G151" s="6">
        <v>30.2</v>
      </c>
      <c r="H151" s="468"/>
      <c r="I151" s="468"/>
      <c r="J151" s="3"/>
      <c r="K151" s="468"/>
      <c r="L151" s="468"/>
      <c r="M151" s="468" t="str">
        <f>IF(L151="","",
IF(AX151="PT",VLOOKUP(L151,Foundation_Calc!$V$4:$X$37,VLOOKUP(AX151,Foundation_Calc!$I$10:$J$13,2,FALSE),0),
IF(AX151="K",VLOOKUP(L151,Foundation_Calc!$V$41:$X$74,VLOOKUP(AX151,Foundation_Calc!$I$10:$J$13,2,FALSE),0),"")))</f>
        <v/>
      </c>
      <c r="N151" s="468"/>
      <c r="O151" s="468"/>
      <c r="P151" s="468"/>
      <c r="Q151" s="4"/>
      <c r="R151" s="6"/>
      <c r="S151" s="6"/>
      <c r="T151" s="4"/>
      <c r="U151" s="4"/>
      <c r="V151" s="4"/>
      <c r="W151" s="9"/>
      <c r="X151" s="9"/>
      <c r="Y151" s="9"/>
      <c r="Z151" s="9"/>
      <c r="AA151" s="9"/>
      <c r="AB151" s="9"/>
      <c r="AC151" s="468" t="str">
        <f t="shared" si="67"/>
        <v/>
      </c>
      <c r="AD151" s="468"/>
      <c r="AE151" s="468"/>
      <c r="AF151" s="4"/>
      <c r="AG151" s="88"/>
      <c r="AH151" s="4"/>
      <c r="AI151" s="4"/>
      <c r="AJ151" s="468"/>
      <c r="AK151" s="468"/>
      <c r="AL151" s="468"/>
      <c r="AM151" s="468"/>
      <c r="AN151" s="10"/>
      <c r="AO151" s="9"/>
      <c r="AP151" s="9"/>
      <c r="AQ151" s="9">
        <f>+FL_2($T$152,$T$150,$G$151,1200,9.28, 1*$F$152)</f>
        <v>-0.30000000000001575</v>
      </c>
      <c r="AR151" s="9"/>
      <c r="AS151" s="9"/>
      <c r="AT151" s="9"/>
      <c r="AU151" s="447"/>
      <c r="AV151" s="447"/>
      <c r="AW151" s="468"/>
      <c r="AX151" s="468"/>
      <c r="AY151" s="10"/>
      <c r="AZ151" s="10"/>
      <c r="BA151" s="553" t="str">
        <f t="shared" si="68"/>
        <v/>
      </c>
      <c r="BB151" s="553" t="str">
        <f t="shared" si="68"/>
        <v/>
      </c>
      <c r="BC151" s="553" t="str">
        <f t="shared" si="74"/>
        <v/>
      </c>
      <c r="BD151" s="572"/>
      <c r="BE151" s="448" t="s">
        <v>1726</v>
      </c>
      <c r="BF151" s="305"/>
      <c r="BG151" s="305"/>
      <c r="BH151" s="306"/>
      <c r="BI151" s="305"/>
    </row>
    <row r="152" spans="1:61" ht="16.2" customHeight="1">
      <c r="A152" s="573" t="s">
        <v>2477</v>
      </c>
      <c r="B152" s="469" t="s">
        <v>2255</v>
      </c>
      <c r="C152" s="3">
        <f t="shared" ref="C152" si="78">C150-G151</f>
        <v>130.67999999999989</v>
      </c>
      <c r="D152" s="88"/>
      <c r="E152" s="4"/>
      <c r="F152" s="4">
        <v>0</v>
      </c>
      <c r="G152" s="6"/>
      <c r="H152" s="468"/>
      <c r="I152" s="468"/>
      <c r="J152" s="3"/>
      <c r="K152" s="468"/>
      <c r="L152" s="468" t="s">
        <v>199</v>
      </c>
      <c r="M152" s="468" t="str">
        <f>IF(L152="","",
IF(AX152="PT",VLOOKUP(L152,Foundation_Calc!$V$4:$X$37,VLOOKUP(AX152,Foundation_Calc!$I$10:$J$13,2,FALSE),0),
IF(AX152="K",VLOOKUP(L152,Foundation_Calc!$V$41:$X$74,VLOOKUP(AX152,Foundation_Calc!$I$10:$J$13,2,FALSE),0),"")))</f>
        <v/>
      </c>
      <c r="N152" s="468" t="s">
        <v>343</v>
      </c>
      <c r="O152" s="468"/>
      <c r="P152" s="468"/>
      <c r="Q152" s="4"/>
      <c r="R152" s="6"/>
      <c r="S152" s="6"/>
      <c r="T152" s="4">
        <v>30</v>
      </c>
      <c r="U152" s="4"/>
      <c r="V152" s="4"/>
      <c r="W152" s="9">
        <v>1.4</v>
      </c>
      <c r="X152" s="9"/>
      <c r="Y152" s="9"/>
      <c r="Z152" s="9"/>
      <c r="AA152" s="9"/>
      <c r="AB152" s="9"/>
      <c r="AC152" s="468" t="str">
        <f t="shared" si="67"/>
        <v>PHQ</v>
      </c>
      <c r="AD152" s="468"/>
      <c r="AE152" s="468"/>
      <c r="AF152" s="4"/>
      <c r="AG152" s="88"/>
      <c r="AH152" s="4"/>
      <c r="AI152" s="4"/>
      <c r="AJ152" s="468" t="s">
        <v>2478</v>
      </c>
      <c r="AK152" s="468" t="s">
        <v>27</v>
      </c>
      <c r="AL152" s="468"/>
      <c r="AM152" s="468" t="s">
        <v>1620</v>
      </c>
      <c r="AN152" s="10">
        <v>5.5</v>
      </c>
      <c r="AO152" s="9"/>
      <c r="AP152" s="9"/>
      <c r="AQ152" s="9"/>
      <c r="AR152" s="9"/>
      <c r="AS152" s="9"/>
      <c r="AT152" s="9">
        <f>+ab($T$152,$T$150,$T$154,$G$151,$G$153, 1*$F$152,1200)</f>
        <v>6.4537107055891143</v>
      </c>
      <c r="AU152" s="447"/>
      <c r="AV152" s="447"/>
      <c r="AW152" s="468"/>
      <c r="AX152" s="468"/>
      <c r="AY152" s="10"/>
      <c r="AZ152" s="10"/>
      <c r="BA152" s="553" t="str">
        <f t="shared" si="68"/>
        <v/>
      </c>
      <c r="BB152" s="553" t="str">
        <f t="shared" si="68"/>
        <v/>
      </c>
      <c r="BC152" s="553" t="str">
        <f t="shared" si="74"/>
        <v/>
      </c>
      <c r="BD152" s="572"/>
      <c r="BE152" s="448" t="s">
        <v>1726</v>
      </c>
      <c r="BF152" s="306"/>
      <c r="BG152" s="306"/>
      <c r="BH152" s="306"/>
      <c r="BI152" s="306"/>
    </row>
    <row r="153" spans="1:61" ht="16.2" customHeight="1">
      <c r="A153" s="573"/>
      <c r="B153" s="469"/>
      <c r="C153" s="3"/>
      <c r="D153" s="88"/>
      <c r="E153" s="4"/>
      <c r="F153" s="4"/>
      <c r="G153" s="6">
        <v>30.8</v>
      </c>
      <c r="H153" s="468"/>
      <c r="I153" s="468"/>
      <c r="J153" s="3"/>
      <c r="K153" s="468"/>
      <c r="L153" s="468"/>
      <c r="M153" s="468" t="str">
        <f>IF(L153="","",
IF(AX153="PT",VLOOKUP(L153,Foundation_Calc!$V$4:$X$37,VLOOKUP(AX153,Foundation_Calc!$I$10:$J$13,2,FALSE),0),
IF(AX153="K",VLOOKUP(L153,Foundation_Calc!$V$41:$X$74,VLOOKUP(AX153,Foundation_Calc!$I$10:$J$13,2,FALSE),0),"")))</f>
        <v/>
      </c>
      <c r="N153" s="468"/>
      <c r="O153" s="468"/>
      <c r="P153" s="468"/>
      <c r="Q153" s="4"/>
      <c r="R153" s="6"/>
      <c r="S153" s="6"/>
      <c r="T153" s="4"/>
      <c r="U153" s="4"/>
      <c r="V153" s="4"/>
      <c r="W153" s="9"/>
      <c r="X153" s="9"/>
      <c r="Y153" s="9"/>
      <c r="Z153" s="9"/>
      <c r="AA153" s="9"/>
      <c r="AB153" s="9"/>
      <c r="AC153" s="468" t="str">
        <f t="shared" si="67"/>
        <v/>
      </c>
      <c r="AD153" s="468"/>
      <c r="AE153" s="468"/>
      <c r="AF153" s="4"/>
      <c r="AG153" s="88"/>
      <c r="AH153" s="4"/>
      <c r="AI153" s="4"/>
      <c r="AJ153" s="468"/>
      <c r="AK153" s="468"/>
      <c r="AL153" s="468"/>
      <c r="AM153" s="468"/>
      <c r="AN153" s="10"/>
      <c r="AO153" s="9"/>
      <c r="AP153" s="9"/>
      <c r="AQ153" s="9">
        <f>+FL_1($T$154,$T$152,$G$153,1200,9.28, 1*$F$154)</f>
        <v>0.30304193939393936</v>
      </c>
      <c r="AR153" s="9"/>
      <c r="AS153" s="9"/>
      <c r="AT153" s="9"/>
      <c r="AU153" s="447"/>
      <c r="AV153" s="447"/>
      <c r="AW153" s="468"/>
      <c r="AX153" s="468"/>
      <c r="AY153" s="10"/>
      <c r="AZ153" s="10"/>
      <c r="BA153" s="553" t="str">
        <f t="shared" si="68"/>
        <v/>
      </c>
      <c r="BB153" s="553" t="str">
        <f t="shared" si="68"/>
        <v/>
      </c>
      <c r="BC153" s="553" t="str">
        <f t="shared" si="74"/>
        <v/>
      </c>
      <c r="BD153" s="572" t="str">
        <f>IF(AND(L153="",H153=""),"",
IF(H153="",Pole_Calc!A$9,
IF(H153="MP",Pole_Calc!A$10,
IF(H153="AnMP",Pole_Calc!A$11,
IF(H153="A",Pole_Calc!A$12,
IF(H153="S/A",Pole_Calc!A$13,
IF(H153="A/S",Pole_Calc!A$14,"Poner a mano")))))))</f>
        <v/>
      </c>
      <c r="BE153" s="448" t="s">
        <v>1726</v>
      </c>
      <c r="BF153" s="305"/>
      <c r="BG153" s="305"/>
      <c r="BH153" s="306"/>
      <c r="BI153" s="305"/>
    </row>
    <row r="154" spans="1:61" ht="16.2" customHeight="1">
      <c r="A154" s="573"/>
      <c r="B154" s="469" t="str">
        <f>'HR Track 2'!B150</f>
        <v>3-2.05</v>
      </c>
      <c r="C154" s="469">
        <f>'HR Track 2'!C150</f>
        <v>3137.65</v>
      </c>
      <c r="D154" s="88"/>
      <c r="E154" s="4"/>
      <c r="F154" s="4">
        <v>0</v>
      </c>
      <c r="G154" s="6"/>
      <c r="H154" s="468" t="s">
        <v>26</v>
      </c>
      <c r="I154" s="468" t="s">
        <v>182</v>
      </c>
      <c r="J154" s="3"/>
      <c r="K154" s="468"/>
      <c r="L154" s="468" t="s">
        <v>2474</v>
      </c>
      <c r="M154" s="468" t="s">
        <v>199</v>
      </c>
      <c r="N154" s="468"/>
      <c r="O154" s="468"/>
      <c r="P154" s="468"/>
      <c r="Q154" s="4"/>
      <c r="R154" s="6"/>
      <c r="S154" s="6"/>
      <c r="T154" s="4">
        <v>0</v>
      </c>
      <c r="U154" s="4"/>
      <c r="V154" s="4"/>
      <c r="W154" s="9"/>
      <c r="X154" s="9"/>
      <c r="Y154" s="9"/>
      <c r="Z154" s="9"/>
      <c r="AA154" s="9"/>
      <c r="AB154" s="9"/>
      <c r="AC154" s="468" t="str">
        <f t="shared" si="67"/>
        <v/>
      </c>
      <c r="AD154" s="468"/>
      <c r="AE154" s="468"/>
      <c r="AF154" s="4"/>
      <c r="AG154" s="88"/>
      <c r="AH154" s="4"/>
      <c r="AI154" s="4"/>
      <c r="AJ154" s="468"/>
      <c r="AK154" s="468"/>
      <c r="AL154" s="468"/>
      <c r="AM154" s="468" t="s">
        <v>486</v>
      </c>
      <c r="AN154" s="10">
        <v>5.5</v>
      </c>
      <c r="AO154" s="9"/>
      <c r="AP154" s="9"/>
      <c r="AQ154" s="9"/>
      <c r="AR154" s="9"/>
      <c r="AS154" s="9"/>
      <c r="AT154" s="9"/>
      <c r="AU154" s="447"/>
      <c r="AV154" s="447"/>
      <c r="AW154" s="468"/>
      <c r="AX154" s="468"/>
      <c r="AY154" s="10"/>
      <c r="AZ154" s="10"/>
      <c r="BA154" s="553" t="str">
        <f t="shared" si="68"/>
        <v/>
      </c>
      <c r="BB154" s="553" t="str">
        <f t="shared" si="68"/>
        <v/>
      </c>
      <c r="BC154" s="553" t="str">
        <f t="shared" si="74"/>
        <v/>
      </c>
      <c r="BD154" s="572"/>
      <c r="BE154" s="448" t="s">
        <v>1726</v>
      </c>
      <c r="BF154" s="306"/>
      <c r="BG154" s="306"/>
      <c r="BH154" s="306"/>
      <c r="BI154" s="306"/>
    </row>
    <row r="155" spans="1:61" ht="16.2" customHeight="1" thickBot="1">
      <c r="A155" s="575"/>
      <c r="B155" s="518"/>
      <c r="C155" s="519"/>
      <c r="D155" s="520"/>
      <c r="E155" s="521"/>
      <c r="F155" s="521"/>
      <c r="G155" s="522"/>
      <c r="H155" s="523"/>
      <c r="I155" s="523"/>
      <c r="J155" s="519">
        <f>C154+7.5</f>
        <v>3145.15</v>
      </c>
      <c r="K155" s="523" t="s">
        <v>1095</v>
      </c>
      <c r="L155" s="523"/>
      <c r="M155" s="523"/>
      <c r="N155" s="523"/>
      <c r="O155" s="523"/>
      <c r="P155" s="523"/>
      <c r="Q155" s="521"/>
      <c r="R155" s="522"/>
      <c r="S155" s="522"/>
      <c r="T155" s="521"/>
      <c r="U155" s="521"/>
      <c r="V155" s="521"/>
      <c r="W155" s="524"/>
      <c r="X155" s="524"/>
      <c r="Y155" s="524"/>
      <c r="Z155" s="524"/>
      <c r="AA155" s="524"/>
      <c r="AB155" s="524"/>
      <c r="AC155" s="523" t="str">
        <f t="shared" si="67"/>
        <v/>
      </c>
      <c r="AD155" s="523"/>
      <c r="AE155" s="523"/>
      <c r="AF155" s="521"/>
      <c r="AG155" s="520"/>
      <c r="AH155" s="521"/>
      <c r="AI155" s="521"/>
      <c r="AJ155" s="523"/>
      <c r="AK155" s="523"/>
      <c r="AL155" s="523"/>
      <c r="AM155" s="523"/>
      <c r="AN155" s="525"/>
      <c r="AO155" s="524"/>
      <c r="AP155" s="524"/>
      <c r="AQ155" s="524"/>
      <c r="AR155" s="524"/>
      <c r="AS155" s="524"/>
      <c r="AT155" s="524"/>
      <c r="AU155" s="526"/>
      <c r="AV155" s="526"/>
      <c r="AW155" s="523" t="str">
        <f>IF(C155&gt;0,VLOOKUP(C155,Foundation_Calc!$A$20:$C$25,3,1),
IF(J155&gt;0,VLOOKUP(J155,Foundation_Calc!$A$20:$C$25,3,1),""))</f>
        <v>MultiSoil</v>
      </c>
      <c r="AX155" s="523" t="str">
        <f>IF(C155&gt;0,VLOOKUP(C155,Foundation_Calc!$E$20:$G$25,3,1),
IF(J155&gt;0,VLOOKUP(J155,Foundation_Calc!$E$20:$G$25,3,1),""))</f>
        <v>PT</v>
      </c>
      <c r="AY155" s="525" t="str">
        <f>IF(L155="","",
IF(AX155="PT",VLOOKUP(L155,Foundation_Calc!$K$79:$R$112,VLOOKUP(AW155,Foundation_Calc!$I$2:$J$8,2,FALSE),0),
IF(AX155="K",VLOOKUP(L155,Foundation_Calc!$K$116:$R$149,VLOOKUP(AW155,Foundation_Calc!$I$2:$J$8,2,FALSE),0),"")))</f>
        <v/>
      </c>
      <c r="AZ155" s="525">
        <f>IF(K155="","",
IF(AX155="PT",VLOOKUP(K155,Foundation_Calc!$K$79:$R$112,VLOOKUP(AW155,Foundation_Calc!$I$2:$J$8,2,FALSE),0),
IF(AX155="K",VLOOKUP(K155,Foundation_Calc!$K$116:$R$149,VLOOKUP(AW155,Foundation_Calc!$I$2:$J$8,2,FALSE),0),"")))</f>
        <v>3.9</v>
      </c>
      <c r="BA155" s="554" t="str">
        <f t="shared" si="68"/>
        <v/>
      </c>
      <c r="BB155" s="554" t="str">
        <f t="shared" si="68"/>
        <v>ü</v>
      </c>
      <c r="BC155" s="554" t="str">
        <f t="shared" si="74"/>
        <v/>
      </c>
      <c r="BD155" s="576"/>
      <c r="BE155" s="448" t="s">
        <v>1726</v>
      </c>
      <c r="BF155" s="305"/>
      <c r="BG155" s="305"/>
      <c r="BH155" s="306"/>
      <c r="BI155" s="305"/>
    </row>
    <row r="156" spans="1:61" ht="16.2" customHeight="1" thickTop="1">
      <c r="A156" s="577"/>
      <c r="B156" s="605"/>
      <c r="C156" s="606"/>
      <c r="D156" s="607"/>
      <c r="E156" s="608"/>
      <c r="F156" s="608"/>
      <c r="G156" s="609"/>
      <c r="H156" s="610"/>
      <c r="I156" s="610"/>
      <c r="J156" s="606"/>
      <c r="K156" s="610"/>
      <c r="L156" s="610"/>
      <c r="M156" s="610" t="str">
        <f>IF(L156="","",
IF(AX156="PT",VLOOKUP(L156,Foundation_Calc!$V$4:$X$37,VLOOKUP(AX156,Foundation_Calc!$I$10:$J$13,2,FALSE),0),
IF(AX156="K",VLOOKUP(L156,Foundation_Calc!$V$41:$X$74,VLOOKUP(AX156,Foundation_Calc!$I$10:$J$13,2,FALSE),0),"")))</f>
        <v/>
      </c>
      <c r="N156" s="610"/>
      <c r="O156" s="610"/>
      <c r="P156" s="610"/>
      <c r="Q156" s="608"/>
      <c r="R156" s="609"/>
      <c r="S156" s="609"/>
      <c r="T156" s="608"/>
      <c r="U156" s="608"/>
      <c r="V156" s="608"/>
      <c r="W156" s="611"/>
      <c r="X156" s="611"/>
      <c r="Y156" s="611"/>
      <c r="Z156" s="611"/>
      <c r="AA156" s="611"/>
      <c r="AB156" s="611"/>
      <c r="AC156" s="610" t="str">
        <f t="shared" si="67"/>
        <v/>
      </c>
      <c r="AD156" s="610"/>
      <c r="AE156" s="610"/>
      <c r="AF156" s="608"/>
      <c r="AG156" s="607"/>
      <c r="AH156" s="608"/>
      <c r="AI156" s="608"/>
      <c r="AJ156" s="610"/>
      <c r="AK156" s="610"/>
      <c r="AL156" s="610"/>
      <c r="AM156" s="610"/>
      <c r="AN156" s="612"/>
      <c r="AO156" s="611"/>
      <c r="AP156" s="611"/>
      <c r="AQ156" s="611"/>
      <c r="AR156" s="611"/>
      <c r="AS156" s="611"/>
      <c r="AT156" s="611"/>
      <c r="AU156" s="613"/>
      <c r="AV156" s="613"/>
      <c r="AW156" s="610" t="str">
        <f>IF(C156&gt;0,VLOOKUP(C156,Foundation_Calc!$A$2:$C$986,3,1),
IF(J156&gt;0,VLOOKUP(J156,Foundation_Calc!$A$2:$C$986,3,1),""))</f>
        <v/>
      </c>
      <c r="AX156" s="610" t="str">
        <f>IF(C156&gt;0,VLOOKUP(C156,Foundation_Calc!$E$2:$G$986,3,1),
IF(J156&gt;0,VLOOKUP(J156,Foundation_Calc!$E$2:$G$986,3,1),""))</f>
        <v/>
      </c>
      <c r="AY156" s="612" t="str">
        <f>IF(L156="","",
IF(AX156="PT",VLOOKUP(L156,Foundation_Calc!$K$4:$R$37,VLOOKUP(AW156,Foundation_Calc!$I$2:$J$8,2,FALSE),0),
IF(AX156="K",VLOOKUP(L156,Foundation_Calc!$K$41:$R$74,VLOOKUP(AW156,Foundation_Calc!$I$2:$J$8,2,FALSE),0),"")))</f>
        <v/>
      </c>
      <c r="AZ156" s="612" t="str">
        <f>IF(K156="","",
IF(AX156="PT",VLOOKUP(K156,Foundation_Calc!$K$4:$R$37,VLOOKUP(AW156,Foundation_Calc!$I$2:$J$8,2,FALSE),0),
IF(AX156="K",VLOOKUP(K156,Foundation_Calc!$K$41:$R$74,VLOOKUP(AW156,Foundation_Calc!$I$2:$J$8,2,FALSE),0),"")))</f>
        <v/>
      </c>
      <c r="BA156" s="639" t="str">
        <f t="shared" si="68"/>
        <v/>
      </c>
      <c r="BB156" s="639" t="str">
        <f t="shared" si="68"/>
        <v/>
      </c>
      <c r="BC156" s="639" t="str">
        <f t="shared" si="74"/>
        <v/>
      </c>
      <c r="BD156" s="578" t="str">
        <f>IF(AND(L156="",H156=""),"",
IF(H156="",Pole_Calc!A$9,
IF(H156="MP",Pole_Calc!A$10,
IF(H156="AnMP",Pole_Calc!A$11,
IF(H156="A",Pole_Calc!A$12,
IF(H156="S/A",Pole_Calc!A$13,
IF(H156="A/S",Pole_Calc!A$14,"Poner a mano")))))))</f>
        <v/>
      </c>
      <c r="BE156" s="448" t="s">
        <v>1726</v>
      </c>
      <c r="BF156" s="306"/>
      <c r="BG156" s="306"/>
      <c r="BH156" s="306"/>
      <c r="BI156" s="306"/>
    </row>
    <row r="157" spans="1:61" ht="16.2" customHeight="1">
      <c r="A157" s="729" t="s">
        <v>2475</v>
      </c>
      <c r="B157" s="605" t="s">
        <v>2539</v>
      </c>
      <c r="C157" s="606">
        <f>C148</f>
        <v>190.87999999999988</v>
      </c>
      <c r="D157" s="607"/>
      <c r="E157" s="608"/>
      <c r="F157" s="608">
        <v>0</v>
      </c>
      <c r="G157" s="609"/>
      <c r="H157" s="610"/>
      <c r="I157" s="610"/>
      <c r="J157" s="606"/>
      <c r="K157" s="610"/>
      <c r="L157" s="610" t="s">
        <v>199</v>
      </c>
      <c r="M157" s="610" t="str">
        <f>IF(L157="","",
IF(AX157="PT",VLOOKUP(L157,Foundation_Calc!$V$4:$X$37,VLOOKUP(AX157,Foundation_Calc!$I$10:$J$13,2,FALSE),0),
IF(AX157="K",VLOOKUP(L157,Foundation_Calc!$V$41:$X$74,VLOOKUP(AX157,Foundation_Calc!$I$10:$J$13,2,FALSE),0),"")))</f>
        <v/>
      </c>
      <c r="N157" s="610" t="s">
        <v>343</v>
      </c>
      <c r="O157" s="610"/>
      <c r="P157" s="610"/>
      <c r="Q157" s="608"/>
      <c r="R157" s="609"/>
      <c r="S157" s="609"/>
      <c r="T157" s="608">
        <v>30</v>
      </c>
      <c r="U157" s="608"/>
      <c r="V157" s="608"/>
      <c r="W157" s="611">
        <v>1.4</v>
      </c>
      <c r="X157" s="611"/>
      <c r="Y157" s="611"/>
      <c r="Z157" s="611"/>
      <c r="AA157" s="611"/>
      <c r="AB157" s="611"/>
      <c r="AC157" s="610" t="s">
        <v>630</v>
      </c>
      <c r="AD157" s="610"/>
      <c r="AE157" s="610"/>
      <c r="AF157" s="608"/>
      <c r="AG157" s="607"/>
      <c r="AH157" s="608"/>
      <c r="AI157" s="608"/>
      <c r="AJ157" s="610"/>
      <c r="AK157" s="610" t="s">
        <v>27</v>
      </c>
      <c r="AL157" s="610"/>
      <c r="AM157" s="610"/>
      <c r="AN157" s="612">
        <v>5.5</v>
      </c>
      <c r="AO157" s="611"/>
      <c r="AP157" s="611"/>
      <c r="AQ157" s="611"/>
      <c r="AR157" s="611"/>
      <c r="AS157" s="611"/>
      <c r="AT157" s="611"/>
      <c r="AU157" s="613"/>
      <c r="AV157" s="613"/>
      <c r="AW157" s="610"/>
      <c r="AX157" s="610"/>
      <c r="AY157" s="612"/>
      <c r="AZ157" s="612"/>
      <c r="BA157" s="517"/>
      <c r="BB157" s="517"/>
      <c r="BC157" s="517"/>
      <c r="BD157" s="578"/>
      <c r="BE157" s="448" t="s">
        <v>1726</v>
      </c>
      <c r="BF157" s="305"/>
      <c r="BG157" s="305"/>
      <c r="BH157" s="306"/>
      <c r="BI157" s="305"/>
    </row>
    <row r="158" spans="1:61" ht="16.2" customHeight="1">
      <c r="A158" s="730"/>
      <c r="B158" s="469"/>
      <c r="C158" s="3"/>
      <c r="D158" s="88"/>
      <c r="E158" s="4"/>
      <c r="F158" s="4"/>
      <c r="G158" s="6">
        <f>G149</f>
        <v>30</v>
      </c>
      <c r="H158" s="468"/>
      <c r="I158" s="468"/>
      <c r="J158" s="3"/>
      <c r="K158" s="468"/>
      <c r="L158" s="468"/>
      <c r="M158" s="468" t="str">
        <f>IF(L158="","",
IF(AX158="PT",VLOOKUP(L158,Foundation_Calc!$V$4:$X$37,VLOOKUP(AX158,Foundation_Calc!$I$10:$J$13,2,FALSE),0),
IF(AX158="K",VLOOKUP(L158,Foundation_Calc!$V$41:$X$74,VLOOKUP(AX158,Foundation_Calc!$I$10:$J$13,2,FALSE),0),"")))</f>
        <v/>
      </c>
      <c r="N158" s="468"/>
      <c r="O158" s="468"/>
      <c r="P158" s="468"/>
      <c r="Q158" s="4"/>
      <c r="R158" s="6"/>
      <c r="S158" s="6"/>
      <c r="T158" s="4"/>
      <c r="U158" s="4"/>
      <c r="V158" s="4"/>
      <c r="W158" s="9"/>
      <c r="X158" s="9"/>
      <c r="Y158" s="9"/>
      <c r="Z158" s="9"/>
      <c r="AA158" s="9"/>
      <c r="AB158" s="9"/>
      <c r="AC158" s="468" t="str">
        <f t="shared" si="67"/>
        <v/>
      </c>
      <c r="AD158" s="468"/>
      <c r="AE158" s="468"/>
      <c r="AF158" s="4"/>
      <c r="AG158" s="88"/>
      <c r="AH158" s="4"/>
      <c r="AI158" s="4"/>
      <c r="AJ158" s="468"/>
      <c r="AK158" s="468"/>
      <c r="AL158" s="468"/>
      <c r="AM158" s="468"/>
      <c r="AN158" s="10"/>
      <c r="AO158" s="9"/>
      <c r="AP158" s="9"/>
      <c r="AQ158" s="9">
        <f>+FL_1($T$159,$T$157,$G$158,1200,9.28, 1*$F$159)</f>
        <v>0.30000000000000321</v>
      </c>
      <c r="AR158" s="9"/>
      <c r="AS158" s="9"/>
      <c r="AT158" s="9"/>
      <c r="AU158" s="447"/>
      <c r="AV158" s="447"/>
      <c r="AW158" s="468"/>
      <c r="AX158" s="468"/>
      <c r="AY158" s="10"/>
      <c r="AZ158" s="10"/>
      <c r="BA158" s="494"/>
      <c r="BB158" s="494"/>
      <c r="BC158" s="494"/>
      <c r="BD158" s="572"/>
      <c r="BE158" s="448" t="s">
        <v>1726</v>
      </c>
      <c r="BF158" s="306"/>
      <c r="BG158" s="306"/>
      <c r="BH158" s="306"/>
      <c r="BI158" s="306"/>
    </row>
    <row r="159" spans="1:61" ht="16.2" customHeight="1">
      <c r="A159" s="730"/>
      <c r="B159" s="469" t="s">
        <v>2540</v>
      </c>
      <c r="C159" s="3">
        <f>C150</f>
        <v>160.87999999999988</v>
      </c>
      <c r="D159" s="88"/>
      <c r="E159" s="4"/>
      <c r="F159" s="4">
        <v>0</v>
      </c>
      <c r="G159" s="6"/>
      <c r="H159" s="468"/>
      <c r="I159" s="468"/>
      <c r="J159" s="3"/>
      <c r="K159" s="468"/>
      <c r="L159" s="468" t="s">
        <v>2474</v>
      </c>
      <c r="M159" s="468" t="s">
        <v>199</v>
      </c>
      <c r="N159" s="468" t="s">
        <v>342</v>
      </c>
      <c r="O159" s="468"/>
      <c r="P159" s="468"/>
      <c r="Q159" s="4"/>
      <c r="R159" s="6"/>
      <c r="S159" s="6"/>
      <c r="T159" s="4">
        <v>-10</v>
      </c>
      <c r="U159" s="4"/>
      <c r="V159" s="4"/>
      <c r="W159" s="9">
        <v>1.4</v>
      </c>
      <c r="X159" s="9"/>
      <c r="Y159" s="9"/>
      <c r="Z159" s="9"/>
      <c r="AA159" s="9"/>
      <c r="AB159" s="9"/>
      <c r="AC159" s="468" t="str">
        <f t="shared" si="67"/>
        <v>PH</v>
      </c>
      <c r="AD159" s="468"/>
      <c r="AE159" s="468"/>
      <c r="AF159" s="4"/>
      <c r="AG159" s="88"/>
      <c r="AH159" s="4"/>
      <c r="AI159" s="4"/>
      <c r="AJ159" s="468" t="s">
        <v>364</v>
      </c>
      <c r="AK159" s="468"/>
      <c r="AL159" s="468"/>
      <c r="AM159" s="468"/>
      <c r="AN159" s="10">
        <v>5.5</v>
      </c>
      <c r="AO159" s="9"/>
      <c r="AP159" s="9"/>
      <c r="AQ159" s="9"/>
      <c r="AR159" s="9"/>
      <c r="AS159" s="9"/>
      <c r="AT159" s="9">
        <f>+ab($T$159,$T$157,$T$161,$G$158,$G$160, 1*$F$159,1200)</f>
        <v>-26.522443394622901</v>
      </c>
      <c r="AU159" s="447"/>
      <c r="AV159" s="447"/>
      <c r="AW159" s="468"/>
      <c r="AX159" s="468"/>
      <c r="AY159" s="10"/>
      <c r="AZ159" s="10"/>
      <c r="BA159" s="494"/>
      <c r="BB159" s="494"/>
      <c r="BC159" s="494"/>
      <c r="BD159" s="572"/>
      <c r="BE159" s="448" t="s">
        <v>1726</v>
      </c>
      <c r="BF159" s="305"/>
      <c r="BG159" s="305"/>
      <c r="BH159" s="306"/>
      <c r="BI159" s="305"/>
    </row>
    <row r="160" spans="1:61" ht="16.2" customHeight="1">
      <c r="A160" s="730"/>
      <c r="B160" s="469"/>
      <c r="C160" s="3"/>
      <c r="D160" s="88"/>
      <c r="E160" s="4"/>
      <c r="F160" s="4"/>
      <c r="G160" s="6">
        <f>G151</f>
        <v>30.2</v>
      </c>
      <c r="H160" s="468"/>
      <c r="I160" s="468"/>
      <c r="J160" s="3"/>
      <c r="K160" s="468"/>
      <c r="L160" s="468"/>
      <c r="M160" s="468" t="str">
        <f>IF(L160="","",
IF(AX160="PT",VLOOKUP(L160,Foundation_Calc!$V$4:$X$37,VLOOKUP(AX160,Foundation_Calc!$I$10:$J$13,2,FALSE),0),
IF(AX160="K",VLOOKUP(L160,Foundation_Calc!$V$41:$X$74,VLOOKUP(AX160,Foundation_Calc!$I$10:$J$13,2,FALSE),0),"")))</f>
        <v/>
      </c>
      <c r="N160" s="468"/>
      <c r="O160" s="468"/>
      <c r="P160" s="468"/>
      <c r="Q160" s="4"/>
      <c r="R160" s="6"/>
      <c r="S160" s="6"/>
      <c r="T160" s="4"/>
      <c r="U160" s="4"/>
      <c r="V160" s="4"/>
      <c r="W160" s="9"/>
      <c r="X160" s="9"/>
      <c r="Y160" s="9"/>
      <c r="Z160" s="9"/>
      <c r="AA160" s="9"/>
      <c r="AB160" s="9"/>
      <c r="AC160" s="468" t="str">
        <f t="shared" si="67"/>
        <v/>
      </c>
      <c r="AD160" s="468"/>
      <c r="AE160" s="468"/>
      <c r="AF160" s="4"/>
      <c r="AG160" s="88"/>
      <c r="AH160" s="4"/>
      <c r="AI160" s="4"/>
      <c r="AJ160" s="468"/>
      <c r="AK160" s="468"/>
      <c r="AL160" s="468"/>
      <c r="AM160" s="468"/>
      <c r="AN160" s="10"/>
      <c r="AO160" s="9"/>
      <c r="AP160" s="9"/>
      <c r="AQ160" s="9">
        <f>+FL_2($T$161,$T$159,$G$160,1200,9.28, 1*$F$161)</f>
        <v>-0.31652014972185433</v>
      </c>
      <c r="AR160" s="9"/>
      <c r="AS160" s="9"/>
      <c r="AT160" s="9"/>
      <c r="AU160" s="447"/>
      <c r="AV160" s="447"/>
      <c r="AW160" s="468"/>
      <c r="AX160" s="468"/>
      <c r="AY160" s="10"/>
      <c r="AZ160" s="10"/>
      <c r="BA160" s="494"/>
      <c r="BB160" s="494"/>
      <c r="BC160" s="494"/>
      <c r="BD160" s="572"/>
      <c r="BE160" s="448" t="s">
        <v>1726</v>
      </c>
      <c r="BF160" s="306"/>
      <c r="BG160" s="306"/>
      <c r="BH160" s="306"/>
      <c r="BI160" s="306"/>
    </row>
    <row r="161" spans="1:61" ht="16.2" customHeight="1">
      <c r="A161" s="731"/>
      <c r="B161" s="469" t="s">
        <v>2541</v>
      </c>
      <c r="C161" s="3">
        <f>C152</f>
        <v>130.67999999999989</v>
      </c>
      <c r="D161" s="88"/>
      <c r="E161" s="4"/>
      <c r="F161" s="4">
        <v>0</v>
      </c>
      <c r="G161" s="6"/>
      <c r="H161" s="468"/>
      <c r="I161" s="468"/>
      <c r="J161" s="3"/>
      <c r="K161" s="468"/>
      <c r="L161" s="468" t="s">
        <v>199</v>
      </c>
      <c r="M161" s="468" t="str">
        <f>IF(L161="","",
IF(AX161="PT",VLOOKUP(L161,Foundation_Calc!$V$4:$X$37,VLOOKUP(AX161,Foundation_Calc!$I$10:$J$13,2,FALSE),0),
IF(AX161="K",VLOOKUP(L161,Foundation_Calc!$V$41:$X$74,VLOOKUP(AX161,Foundation_Calc!$I$10:$J$13,2,FALSE),0),"")))</f>
        <v/>
      </c>
      <c r="N161" s="468" t="s">
        <v>342</v>
      </c>
      <c r="O161" s="468"/>
      <c r="P161" s="468"/>
      <c r="Q161" s="4"/>
      <c r="R161" s="6"/>
      <c r="S161" s="6"/>
      <c r="T161" s="4">
        <v>-30</v>
      </c>
      <c r="U161" s="4"/>
      <c r="V161" s="4"/>
      <c r="W161" s="9">
        <v>1.4</v>
      </c>
      <c r="X161" s="9"/>
      <c r="Y161" s="9"/>
      <c r="Z161" s="9"/>
      <c r="AA161" s="9"/>
      <c r="AB161" s="9"/>
      <c r="AC161" s="468" t="s">
        <v>630</v>
      </c>
      <c r="AD161" s="468"/>
      <c r="AE161" s="468"/>
      <c r="AF161" s="4"/>
      <c r="AG161" s="88"/>
      <c r="AH161" s="4"/>
      <c r="AI161" s="4"/>
      <c r="AJ161" s="468"/>
      <c r="AK161" s="468" t="s">
        <v>27</v>
      </c>
      <c r="AL161" s="468"/>
      <c r="AM161" s="468"/>
      <c r="AN161" s="10">
        <v>5.5</v>
      </c>
      <c r="AO161" s="9"/>
      <c r="AP161" s="9"/>
      <c r="AQ161" s="9"/>
      <c r="AR161" s="9"/>
      <c r="AS161" s="9"/>
      <c r="AT161" s="9"/>
      <c r="AU161" s="447"/>
      <c r="AV161" s="447"/>
      <c r="AW161" s="468"/>
      <c r="AX161" s="468"/>
      <c r="AY161" s="10"/>
      <c r="AZ161" s="10"/>
      <c r="BA161" s="494"/>
      <c r="BB161" s="494"/>
      <c r="BC161" s="494"/>
      <c r="BD161" s="572"/>
      <c r="BE161" s="448" t="s">
        <v>1726</v>
      </c>
      <c r="BF161" s="305"/>
      <c r="BG161" s="305"/>
      <c r="BH161" s="306"/>
      <c r="BI161" s="305"/>
    </row>
    <row r="162" spans="1:61" ht="16.2" customHeight="1" thickBot="1">
      <c r="A162" s="585"/>
      <c r="B162" s="586"/>
      <c r="C162" s="587"/>
      <c r="D162" s="588"/>
      <c r="E162" s="589"/>
      <c r="F162" s="589"/>
      <c r="G162" s="590"/>
      <c r="H162" s="591"/>
      <c r="I162" s="591"/>
      <c r="J162" s="587"/>
      <c r="K162" s="591"/>
      <c r="L162" s="591"/>
      <c r="M162" s="591" t="str">
        <f>IF(L162="","",
IF(AX162="PT",VLOOKUP(L162,Foundation_Calc!$V$4:$X$37,VLOOKUP(AX162,Foundation_Calc!$I$10:$J$13,2,FALSE),0),
IF(AX162="K",VLOOKUP(L162,Foundation_Calc!$V$41:$X$74,VLOOKUP(AX162,Foundation_Calc!$I$10:$J$13,2,FALSE),0),"")))</f>
        <v/>
      </c>
      <c r="N162" s="591"/>
      <c r="O162" s="591"/>
      <c r="P162" s="591"/>
      <c r="Q162" s="589"/>
      <c r="R162" s="590"/>
      <c r="S162" s="590"/>
      <c r="T162" s="589"/>
      <c r="U162" s="589"/>
      <c r="V162" s="589"/>
      <c r="W162" s="592"/>
      <c r="X162" s="592"/>
      <c r="Y162" s="592"/>
      <c r="Z162" s="592"/>
      <c r="AA162" s="592"/>
      <c r="AB162" s="592"/>
      <c r="AC162" s="591" t="str">
        <f t="shared" si="67"/>
        <v/>
      </c>
      <c r="AD162" s="591"/>
      <c r="AE162" s="591"/>
      <c r="AF162" s="589"/>
      <c r="AG162" s="588"/>
      <c r="AH162" s="589"/>
      <c r="AI162" s="589"/>
      <c r="AJ162" s="591"/>
      <c r="AK162" s="591"/>
      <c r="AL162" s="591"/>
      <c r="AM162" s="591"/>
      <c r="AN162" s="593"/>
      <c r="AO162" s="592"/>
      <c r="AP162" s="592"/>
      <c r="AQ162" s="592"/>
      <c r="AR162" s="592"/>
      <c r="AS162" s="592"/>
      <c r="AT162" s="592"/>
      <c r="AU162" s="594"/>
      <c r="AV162" s="594"/>
      <c r="AW162" s="591" t="str">
        <f>IF(C162&gt;0,VLOOKUP(C162,Foundation_Calc!$A$2:$C$986,3,1),
IF(J162&gt;0,VLOOKUP(J162,Foundation_Calc!$A$2:$C$986,3,1),""))</f>
        <v/>
      </c>
      <c r="AX162" s="591" t="str">
        <f>IF(C162&gt;0,VLOOKUP(C162,Foundation_Calc!$E$2:$G$986,3,1),
IF(J162&gt;0,VLOOKUP(J162,Foundation_Calc!$E$2:$G$986,3,1),""))</f>
        <v/>
      </c>
      <c r="AY162" s="593" t="str">
        <f>IF(L162="","",
IF(AX162="PT",VLOOKUP(L162,Foundation_Calc!$K$4:$R$37,VLOOKUP(AW162,Foundation_Calc!$I$2:$J$8,2,FALSE),0),
IF(AX162="K",VLOOKUP(L162,Foundation_Calc!$K$41:$R$74,VLOOKUP(AW162,Foundation_Calc!$I$2:$J$8,2,FALSE),0),"")))</f>
        <v/>
      </c>
      <c r="AZ162" s="593" t="str">
        <f>IF(K162="","",
IF(AX162="PT",VLOOKUP(K162,Foundation_Calc!$K$4:$R$37,VLOOKUP(AW162,Foundation_Calc!$I$2:$J$8,2,FALSE),0),
IF(AX162="K",VLOOKUP(K162,Foundation_Calc!$K$41:$R$74,VLOOKUP(AW162,Foundation_Calc!$I$2:$J$8,2,FALSE),0),"")))</f>
        <v/>
      </c>
      <c r="BA162" s="643" t="str">
        <f t="shared" ref="BA162:BA197" si="79">IF(AY162="","",IF(AY162&gt;0,"ü",""))</f>
        <v/>
      </c>
      <c r="BB162" s="643" t="str">
        <f t="shared" ref="BB162:BB197" si="80">IF(AZ162="","",IF(AZ162&gt;0,"ü",""))</f>
        <v/>
      </c>
      <c r="BC162" s="643" t="str">
        <f t="shared" ref="BC162:BC197" si="81">IF(M162="","",IF(M162="Unique Solution","ü",""))</f>
        <v/>
      </c>
      <c r="BD162" s="596" t="str">
        <f>IF(AND(L162="",H162=""),"",
IF(H162="",Pole_Calc!A166,
IF(H162="MP",Pole_Calc!A167,
IF(H162="AnMP",Pole_Calc!A168,
IF(H162="A",Pole_Calc!A169,
IF(H162="S/A",Pole_Calc!A170,
IF(H162="A/S",Pole_Calc!A171,"Poner a mano")))))))</f>
        <v/>
      </c>
      <c r="BE162" s="448" t="s">
        <v>1726</v>
      </c>
      <c r="BF162" s="306"/>
      <c r="BG162" s="306"/>
      <c r="BH162" s="306"/>
      <c r="BI162" s="306"/>
    </row>
    <row r="163" spans="1:61" ht="16.2" customHeight="1">
      <c r="A163" s="12"/>
      <c r="B163" s="446"/>
      <c r="C163" s="89"/>
      <c r="D163" s="13"/>
      <c r="E163" s="14"/>
      <c r="F163" s="14"/>
      <c r="G163" s="15"/>
      <c r="H163" s="8"/>
      <c r="I163" s="8"/>
      <c r="J163" s="89"/>
      <c r="K163" s="8"/>
      <c r="L163" s="8"/>
      <c r="M163" s="8" t="str">
        <f>IF(L163="","",
IF(AX163="PT",VLOOKUP(L163,Foundation_Calc!$V$4:$X$37,VLOOKUP(AX163,Foundation_Calc!$I$10:$J$13,2,FALSE),0),
IF(AX163="K",VLOOKUP(L163,Foundation_Calc!$V$41:$X$74,VLOOKUP(AX163,Foundation_Calc!$I$10:$J$13,2,FALSE),0),"")))</f>
        <v/>
      </c>
      <c r="N163" s="8"/>
      <c r="O163" s="8"/>
      <c r="P163" s="8"/>
      <c r="Q163" s="14"/>
      <c r="R163" s="15"/>
      <c r="S163" s="15"/>
      <c r="T163" s="14"/>
      <c r="U163" s="14"/>
      <c r="V163" s="14"/>
      <c r="W163" s="18"/>
      <c r="X163" s="18"/>
      <c r="Y163" s="18"/>
      <c r="Z163" s="18"/>
      <c r="AA163" s="18"/>
      <c r="AB163" s="18"/>
      <c r="AC163" s="8" t="str">
        <f t="shared" si="67"/>
        <v/>
      </c>
      <c r="AD163" s="8"/>
      <c r="AE163" s="8"/>
      <c r="AF163" s="14"/>
      <c r="AG163" s="13"/>
      <c r="AH163" s="14"/>
      <c r="AI163" s="14"/>
      <c r="AJ163" s="8"/>
      <c r="AK163" s="8"/>
      <c r="AL163" s="8"/>
      <c r="AM163" s="8"/>
      <c r="AN163" s="631"/>
      <c r="AO163" s="18"/>
      <c r="AP163" s="18"/>
      <c r="AQ163" s="18"/>
      <c r="AR163" s="18"/>
      <c r="AS163" s="18"/>
      <c r="AU163" s="448"/>
      <c r="AV163" s="448"/>
      <c r="AW163" s="8" t="str">
        <f>IF(C163&gt;0,VLOOKUP(C163,Foundation_Calc!$A$2:$C$986,3,1),
IF(J163&gt;0,VLOOKUP(J163,Foundation_Calc!$A$2:$C$986,3,1),""))</f>
        <v/>
      </c>
      <c r="AX163" s="8" t="str">
        <f>IF(C163&gt;0,VLOOKUP(C163,Foundation_Calc!$E$2:$G$986,3,1),
IF(J163&gt;0,VLOOKUP(J163,Foundation_Calc!$E$2:$G$986,3,1),""))</f>
        <v/>
      </c>
      <c r="AY163" s="631" t="str">
        <f>IF(L163="","",
IF(AX163="PT",VLOOKUP(L163,Foundation_Calc!$K$4:$R$37,VLOOKUP(AW163,Foundation_Calc!$I$2:$J$8,2,FALSE),0),
IF(AX163="K",VLOOKUP(L163,Foundation_Calc!$K$41:$R$74,VLOOKUP(AW163,Foundation_Calc!$I$2:$J$8,2,FALSE),0),"")))</f>
        <v/>
      </c>
      <c r="AZ163" s="631" t="str">
        <f>IF(K163="","",
IF(AX163="PT",VLOOKUP(K163,Foundation_Calc!$K$4:$R$37,VLOOKUP(AW163,Foundation_Calc!$I$2:$J$8,2,FALSE),0),
IF(AX163="K",VLOOKUP(K163,Foundation_Calc!$K$41:$R$74,VLOOKUP(AW163,Foundation_Calc!$I$2:$J$8,2,FALSE),0),"")))</f>
        <v/>
      </c>
      <c r="BA163" s="632" t="str">
        <f t="shared" si="79"/>
        <v/>
      </c>
      <c r="BB163" s="632" t="str">
        <f t="shared" si="80"/>
        <v/>
      </c>
      <c r="BC163" s="632" t="str">
        <f t="shared" si="81"/>
        <v/>
      </c>
      <c r="BD163" s="633" t="str">
        <f>IF(AND(L163="",H163=""),"",
IF(H163="",Pole_Calc!A167,
IF(H163="MP",Pole_Calc!A168,
IF(H163="AnMP",Pole_Calc!A169,
IF(H163="A",Pole_Calc!A170,
IF(H163="S/A",Pole_Calc!A171,
IF(H163="A/S",Pole_Calc!A172,"Poner a mano")))))))</f>
        <v/>
      </c>
      <c r="BE163" s="448" t="s">
        <v>1726</v>
      </c>
      <c r="BF163" s="629"/>
      <c r="BG163" s="629"/>
      <c r="BH163" s="630"/>
      <c r="BI163" s="629"/>
    </row>
    <row r="164" spans="1:61" ht="16.2" customHeight="1">
      <c r="A164" s="12"/>
      <c r="B164" s="446"/>
      <c r="C164" s="89"/>
      <c r="D164" s="13"/>
      <c r="E164" s="14"/>
      <c r="F164" s="14"/>
      <c r="G164" s="15"/>
      <c r="H164" s="8"/>
      <c r="I164" s="8"/>
      <c r="J164" s="89"/>
      <c r="K164" s="8"/>
      <c r="L164" s="8"/>
      <c r="M164" s="8" t="str">
        <f>IF(L164="","",
IF(AX164="PT",VLOOKUP(L164,Foundation_Calc!$V$4:$X$37,VLOOKUP(AX164,Foundation_Calc!$I$10:$J$13,2,FALSE),0),
IF(AX164="K",VLOOKUP(L164,Foundation_Calc!$V$41:$X$74,VLOOKUP(AX164,Foundation_Calc!$I$10:$J$13,2,FALSE),0),"")))</f>
        <v/>
      </c>
      <c r="N164" s="8"/>
      <c r="O164" s="8"/>
      <c r="P164" s="8"/>
      <c r="Q164" s="14"/>
      <c r="R164" s="15"/>
      <c r="S164" s="15"/>
      <c r="T164" s="14"/>
      <c r="U164" s="14"/>
      <c r="V164" s="14"/>
      <c r="W164" s="18"/>
      <c r="X164" s="18"/>
      <c r="Y164" s="18"/>
      <c r="Z164" s="18"/>
      <c r="AA164" s="18"/>
      <c r="AB164" s="18"/>
      <c r="AC164" s="8" t="str">
        <f t="shared" si="67"/>
        <v/>
      </c>
      <c r="AD164" s="8"/>
      <c r="AE164" s="8"/>
      <c r="AF164" s="14"/>
      <c r="AG164" s="13"/>
      <c r="AH164" s="14"/>
      <c r="AI164" s="14"/>
      <c r="AJ164" s="8"/>
      <c r="AK164" s="8"/>
      <c r="AL164" s="8"/>
      <c r="AM164" s="8"/>
      <c r="AN164" s="631"/>
      <c r="AO164" s="18"/>
      <c r="AP164" s="18"/>
      <c r="AQ164" s="18"/>
      <c r="AR164" s="18"/>
      <c r="AS164" s="18"/>
      <c r="AU164" s="448"/>
      <c r="AV164" s="448"/>
      <c r="AW164" s="8" t="str">
        <f>IF(C164&gt;0,VLOOKUP(C164,Foundation_Calc!$A$2:$C$986,3,1),
IF(J164&gt;0,VLOOKUP(J164,Foundation_Calc!$A$2:$C$986,3,1),""))</f>
        <v/>
      </c>
      <c r="AX164" s="8" t="str">
        <f>IF(C164&gt;0,VLOOKUP(C164,Foundation_Calc!$E$2:$G$986,3,1),
IF(J164&gt;0,VLOOKUP(J164,Foundation_Calc!$E$2:$G$986,3,1),""))</f>
        <v/>
      </c>
      <c r="AY164" s="631" t="str">
        <f>IF(L164="","",
IF(AX164="PT",VLOOKUP(L164,Foundation_Calc!$K$4:$R$37,VLOOKUP(AW164,Foundation_Calc!$I$2:$J$8,2,FALSE),0),
IF(AX164="K",VLOOKUP(L164,Foundation_Calc!$K$41:$R$74,VLOOKUP(AW164,Foundation_Calc!$I$2:$J$8,2,FALSE),0),"")))</f>
        <v/>
      </c>
      <c r="AZ164" s="631" t="str">
        <f>IF(K164="","",
IF(AX164="PT",VLOOKUP(K164,Foundation_Calc!$K$4:$R$37,VLOOKUP(AW164,Foundation_Calc!$I$2:$J$8,2,FALSE),0),
IF(AX164="K",VLOOKUP(K164,Foundation_Calc!$K$41:$R$74,VLOOKUP(AW164,Foundation_Calc!$I$2:$J$8,2,FALSE),0),"")))</f>
        <v/>
      </c>
      <c r="BA164" s="632" t="str">
        <f t="shared" si="79"/>
        <v/>
      </c>
      <c r="BB164" s="632" t="str">
        <f t="shared" si="80"/>
        <v/>
      </c>
      <c r="BC164" s="632" t="str">
        <f t="shared" si="81"/>
        <v/>
      </c>
      <c r="BD164" s="633" t="str">
        <f>IF(AND(L164="",H164=""),"",
IF(H164="",Pole_Calc!A168,
IF(H164="MP",Pole_Calc!A169,
IF(H164="AnMP",Pole_Calc!A170,
IF(H164="A",Pole_Calc!A171,
IF(H164="S/A",Pole_Calc!A172,
IF(H164="A/S",Pole_Calc!A173,"Poner a mano")))))))</f>
        <v/>
      </c>
      <c r="BE164" s="448" t="s">
        <v>1726</v>
      </c>
      <c r="BF164" s="634"/>
      <c r="BG164" s="634"/>
      <c r="BH164" s="634"/>
      <c r="BI164" s="634"/>
    </row>
    <row r="165" spans="1:61" ht="16.2" customHeight="1">
      <c r="A165" s="12"/>
      <c r="B165" s="446"/>
      <c r="C165" s="89"/>
      <c r="D165" s="13"/>
      <c r="E165" s="14"/>
      <c r="F165" s="14"/>
      <c r="G165" s="15"/>
      <c r="H165" s="8"/>
      <c r="I165" s="8"/>
      <c r="J165" s="89"/>
      <c r="K165" s="8"/>
      <c r="L165" s="8"/>
      <c r="M165" s="8" t="str">
        <f>IF(L165="","",
IF(AX165="PT",VLOOKUP(L165,Foundation_Calc!$V$4:$X$37,VLOOKUP(AX165,Foundation_Calc!$I$10:$J$13,2,FALSE),0),
IF(AX165="K",VLOOKUP(L165,Foundation_Calc!$V$41:$X$74,VLOOKUP(AX165,Foundation_Calc!$I$10:$J$13,2,FALSE),0),"")))</f>
        <v/>
      </c>
      <c r="N165" s="8"/>
      <c r="O165" s="8"/>
      <c r="P165" s="8"/>
      <c r="Q165" s="14"/>
      <c r="R165" s="15"/>
      <c r="S165" s="15"/>
      <c r="T165" s="14"/>
      <c r="U165" s="14"/>
      <c r="V165" s="14"/>
      <c r="W165" s="18"/>
      <c r="X165" s="18"/>
      <c r="Y165" s="18"/>
      <c r="Z165" s="18"/>
      <c r="AA165" s="18"/>
      <c r="AB165" s="18"/>
      <c r="AC165" s="8" t="str">
        <f t="shared" si="67"/>
        <v/>
      </c>
      <c r="AD165" s="8"/>
      <c r="AE165" s="8"/>
      <c r="AF165" s="14"/>
      <c r="AG165" s="13"/>
      <c r="AH165" s="14"/>
      <c r="AI165" s="14"/>
      <c r="AJ165" s="8"/>
      <c r="AK165" s="8"/>
      <c r="AL165" s="8"/>
      <c r="AM165" s="8"/>
      <c r="AN165" s="631"/>
      <c r="AO165" s="18"/>
      <c r="AP165" s="18"/>
      <c r="AQ165" s="18"/>
      <c r="AR165" s="18"/>
      <c r="AS165" s="18"/>
      <c r="AU165" s="448"/>
      <c r="AV165" s="448"/>
      <c r="AW165" s="8" t="str">
        <f>IF(C165&gt;0,VLOOKUP(C165,Foundation_Calc!$A$2:$C$986,3,1),
IF(J165&gt;0,VLOOKUP(J165,Foundation_Calc!$A$2:$C$986,3,1),""))</f>
        <v/>
      </c>
      <c r="AX165" s="8" t="str">
        <f>IF(C165&gt;0,VLOOKUP(C165,Foundation_Calc!$E$2:$G$986,3,1),
IF(J165&gt;0,VLOOKUP(J165,Foundation_Calc!$E$2:$G$986,3,1),""))</f>
        <v/>
      </c>
      <c r="AY165" s="631" t="str">
        <f>IF(L165="","",
IF(AX165="PT",VLOOKUP(L165,Foundation_Calc!$K$4:$R$37,VLOOKUP(AW165,Foundation_Calc!$I$2:$J$8,2,FALSE),0),
IF(AX165="K",VLOOKUP(L165,Foundation_Calc!$K$41:$R$74,VLOOKUP(AW165,Foundation_Calc!$I$2:$J$8,2,FALSE),0),"")))</f>
        <v/>
      </c>
      <c r="AZ165" s="631" t="str">
        <f>IF(K165="","",
IF(AX165="PT",VLOOKUP(K165,Foundation_Calc!$K$4:$R$37,VLOOKUP(AW165,Foundation_Calc!$I$2:$J$8,2,FALSE),0),
IF(AX165="K",VLOOKUP(K165,Foundation_Calc!$K$41:$R$74,VLOOKUP(AW165,Foundation_Calc!$I$2:$J$8,2,FALSE),0),"")))</f>
        <v/>
      </c>
      <c r="BA165" s="632" t="str">
        <f t="shared" si="79"/>
        <v/>
      </c>
      <c r="BB165" s="632" t="str">
        <f t="shared" si="80"/>
        <v/>
      </c>
      <c r="BC165" s="632" t="str">
        <f t="shared" si="81"/>
        <v/>
      </c>
      <c r="BD165" s="633" t="str">
        <f>IF(AND(L165="",H165=""),"",
IF(H165="",Pole_Calc!A169,
IF(H165="MP",Pole_Calc!A170,
IF(H165="AnMP",Pole_Calc!A171,
IF(H165="A",Pole_Calc!A172,
IF(H165="S/A",Pole_Calc!A173,
IF(H165="A/S",Pole_Calc!A174,"Poner a mano")))))))</f>
        <v/>
      </c>
      <c r="BE165" s="448" t="s">
        <v>1726</v>
      </c>
      <c r="BF165" s="635"/>
      <c r="BG165" s="635"/>
      <c r="BH165" s="634"/>
      <c r="BI165" s="635"/>
    </row>
    <row r="166" spans="1:61" ht="16.2" customHeight="1">
      <c r="A166" s="12"/>
      <c r="B166" s="446"/>
      <c r="C166" s="89"/>
      <c r="D166" s="13"/>
      <c r="E166" s="14"/>
      <c r="F166" s="14"/>
      <c r="G166" s="15"/>
      <c r="H166" s="8"/>
      <c r="I166" s="8"/>
      <c r="J166" s="89"/>
      <c r="K166" s="8"/>
      <c r="L166" s="8"/>
      <c r="M166" s="8" t="str">
        <f>IF(L166="","",
IF(AX166="PT",VLOOKUP(L166,Foundation_Calc!$V$4:$X$37,VLOOKUP(AX166,Foundation_Calc!$I$10:$J$13,2,FALSE),0),
IF(AX166="K",VLOOKUP(L166,Foundation_Calc!$V$41:$X$74,VLOOKUP(AX166,Foundation_Calc!$I$10:$J$13,2,FALSE),0),"")))</f>
        <v/>
      </c>
      <c r="N166" s="8"/>
      <c r="O166" s="8"/>
      <c r="P166" s="8"/>
      <c r="Q166" s="14"/>
      <c r="R166" s="15"/>
      <c r="S166" s="15"/>
      <c r="T166" s="14"/>
      <c r="U166" s="14"/>
      <c r="V166" s="14"/>
      <c r="W166" s="18"/>
      <c r="X166" s="18"/>
      <c r="Y166" s="18"/>
      <c r="Z166" s="18"/>
      <c r="AA166" s="18"/>
      <c r="AB166" s="18"/>
      <c r="AC166" s="8" t="str">
        <f t="shared" si="67"/>
        <v/>
      </c>
      <c r="AD166" s="8"/>
      <c r="AE166" s="8"/>
      <c r="AF166" s="14"/>
      <c r="AG166" s="13"/>
      <c r="AH166" s="14"/>
      <c r="AI166" s="14"/>
      <c r="AJ166" s="8"/>
      <c r="AK166" s="8"/>
      <c r="AL166" s="8"/>
      <c r="AM166" s="8"/>
      <c r="AN166" s="631"/>
      <c r="AO166" s="18"/>
      <c r="AP166" s="18"/>
      <c r="AQ166" s="18"/>
      <c r="AR166" s="18"/>
      <c r="AS166" s="18"/>
      <c r="AU166" s="448"/>
      <c r="AV166" s="448"/>
      <c r="AW166" s="8" t="str">
        <f>IF(C166&gt;0,VLOOKUP(C166,Foundation_Calc!$A$2:$C$986,3,1),
IF(J166&gt;0,VLOOKUP(J166,Foundation_Calc!$A$2:$C$986,3,1),""))</f>
        <v/>
      </c>
      <c r="AX166" s="8" t="str">
        <f>IF(C166&gt;0,VLOOKUP(C166,Foundation_Calc!$E$2:$G$986,3,1),
IF(J166&gt;0,VLOOKUP(J166,Foundation_Calc!$E$2:$G$986,3,1),""))</f>
        <v/>
      </c>
      <c r="AY166" s="631" t="str">
        <f>IF(L166="","",
IF(AX166="PT",VLOOKUP(L166,Foundation_Calc!$K$4:$R$37,VLOOKUP(AW166,Foundation_Calc!$I$2:$J$8,2,FALSE),0),
IF(AX166="K",VLOOKUP(L166,Foundation_Calc!$K$41:$R$74,VLOOKUP(AW166,Foundation_Calc!$I$2:$J$8,2,FALSE),0),"")))</f>
        <v/>
      </c>
      <c r="AZ166" s="631" t="str">
        <f>IF(K166="","",
IF(AX166="PT",VLOOKUP(K166,Foundation_Calc!$K$4:$R$37,VLOOKUP(AW166,Foundation_Calc!$I$2:$J$8,2,FALSE),0),
IF(AX166="K",VLOOKUP(K166,Foundation_Calc!$K$41:$R$74,VLOOKUP(AW166,Foundation_Calc!$I$2:$J$8,2,FALSE),0),"")))</f>
        <v/>
      </c>
      <c r="BA166" s="632" t="str">
        <f t="shared" si="79"/>
        <v/>
      </c>
      <c r="BB166" s="632" t="str">
        <f t="shared" si="80"/>
        <v/>
      </c>
      <c r="BC166" s="632" t="str">
        <f t="shared" si="81"/>
        <v/>
      </c>
      <c r="BD166" s="633" t="str">
        <f>IF(AND(L166="",H166=""),"",
IF(H166="",Pole_Calc!A170,
IF(H166="MP",Pole_Calc!A171,
IF(H166="AnMP",Pole_Calc!A172,
IF(H166="A",Pole_Calc!A173,
IF(H166="S/A",Pole_Calc!A174,
IF(H166="A/S",Pole_Calc!A175,"Poner a mano")))))))</f>
        <v/>
      </c>
      <c r="BE166" s="448" t="s">
        <v>1726</v>
      </c>
      <c r="BF166" s="634"/>
      <c r="BG166" s="634"/>
      <c r="BH166" s="634"/>
      <c r="BI166" s="634"/>
    </row>
    <row r="167" spans="1:61" ht="16.2" customHeight="1">
      <c r="A167" s="12"/>
      <c r="B167" s="446"/>
      <c r="C167" s="89"/>
      <c r="D167" s="13"/>
      <c r="E167" s="14"/>
      <c r="F167" s="14"/>
      <c r="G167" s="15"/>
      <c r="H167" s="8"/>
      <c r="I167" s="8"/>
      <c r="J167" s="89"/>
      <c r="K167" s="8"/>
      <c r="L167" s="8"/>
      <c r="M167" s="8" t="str">
        <f>IF(L167="","",
IF(AX167="PT",VLOOKUP(L167,Foundation_Calc!$V$4:$X$37,VLOOKUP(AX167,Foundation_Calc!$I$10:$J$13,2,FALSE),0),
IF(AX167="K",VLOOKUP(L167,Foundation_Calc!$V$41:$X$74,VLOOKUP(AX167,Foundation_Calc!$I$10:$J$13,2,FALSE),0),"")))</f>
        <v/>
      </c>
      <c r="N167" s="8"/>
      <c r="O167" s="8"/>
      <c r="P167" s="8"/>
      <c r="Q167" s="14"/>
      <c r="R167" s="15"/>
      <c r="S167" s="15"/>
      <c r="T167" s="14"/>
      <c r="U167" s="14"/>
      <c r="V167" s="14"/>
      <c r="W167" s="18"/>
      <c r="X167" s="18"/>
      <c r="Y167" s="18"/>
      <c r="Z167" s="18"/>
      <c r="AA167" s="18"/>
      <c r="AB167" s="18"/>
      <c r="AC167" s="8" t="str">
        <f t="shared" si="67"/>
        <v/>
      </c>
      <c r="AD167" s="8"/>
      <c r="AE167" s="8"/>
      <c r="AF167" s="14"/>
      <c r="AG167" s="13"/>
      <c r="AH167" s="14"/>
      <c r="AI167" s="14"/>
      <c r="AJ167" s="8"/>
      <c r="AK167" s="8"/>
      <c r="AL167" s="8"/>
      <c r="AM167" s="8"/>
      <c r="AN167" s="631"/>
      <c r="AO167" s="18"/>
      <c r="AP167" s="18"/>
      <c r="AQ167" s="18"/>
      <c r="AR167" s="18"/>
      <c r="AS167" s="18"/>
      <c r="AU167" s="448"/>
      <c r="AV167" s="448"/>
      <c r="AW167" s="8" t="str">
        <f>IF(C167&gt;0,VLOOKUP(C167,Foundation_Calc!$A$2:$C$986,3,1),
IF(J167&gt;0,VLOOKUP(J167,Foundation_Calc!$A$2:$C$986,3,1),""))</f>
        <v/>
      </c>
      <c r="AX167" s="8" t="str">
        <f>IF(C167&gt;0,VLOOKUP(C167,Foundation_Calc!$E$2:$G$986,3,1),
IF(J167&gt;0,VLOOKUP(J167,Foundation_Calc!$E$2:$G$986,3,1),""))</f>
        <v/>
      </c>
      <c r="AY167" s="631" t="str">
        <f>IF(L167="","",
IF(AX167="PT",VLOOKUP(L167,Foundation_Calc!$K$4:$R$37,VLOOKUP(AW167,Foundation_Calc!$I$2:$J$8,2,FALSE),0),
IF(AX167="K",VLOOKUP(L167,Foundation_Calc!$K$41:$R$74,VLOOKUP(AW167,Foundation_Calc!$I$2:$J$8,2,FALSE),0),"")))</f>
        <v/>
      </c>
      <c r="AZ167" s="631" t="str">
        <f>IF(K167="","",
IF(AX167="PT",VLOOKUP(K167,Foundation_Calc!$K$4:$R$37,VLOOKUP(AW167,Foundation_Calc!$I$2:$J$8,2,FALSE),0),
IF(AX167="K",VLOOKUP(K167,Foundation_Calc!$K$41:$R$74,VLOOKUP(AW167,Foundation_Calc!$I$2:$J$8,2,FALSE),0),"")))</f>
        <v/>
      </c>
      <c r="BA167" s="632" t="str">
        <f t="shared" si="79"/>
        <v/>
      </c>
      <c r="BB167" s="632" t="str">
        <f t="shared" si="80"/>
        <v/>
      </c>
      <c r="BC167" s="632" t="str">
        <f t="shared" si="81"/>
        <v/>
      </c>
      <c r="BD167" s="633" t="str">
        <f>IF(AND(L167="",H167=""),"",
IF(H167="",Pole_Calc!A171,
IF(H167="MP",Pole_Calc!A172,
IF(H167="AnMP",Pole_Calc!A173,
IF(H167="A",Pole_Calc!A174,
IF(H167="S/A",Pole_Calc!A175,
IF(H167="A/S",Pole_Calc!A176,"Poner a mano")))))))</f>
        <v/>
      </c>
      <c r="BE167" s="448" t="s">
        <v>1726</v>
      </c>
      <c r="BF167" s="635"/>
      <c r="BG167" s="635"/>
      <c r="BH167" s="634"/>
      <c r="BI167" s="635"/>
    </row>
    <row r="168" spans="1:61" ht="16.2" customHeight="1">
      <c r="A168" s="12"/>
      <c r="B168" s="446"/>
      <c r="C168" s="89"/>
      <c r="D168" s="13"/>
      <c r="E168" s="14"/>
      <c r="F168" s="14"/>
      <c r="G168" s="15"/>
      <c r="H168" s="8"/>
      <c r="I168" s="8"/>
      <c r="J168" s="89"/>
      <c r="K168" s="8"/>
      <c r="L168" s="8"/>
      <c r="M168" s="8" t="str">
        <f>IF(L168="","",
IF(AX168="PT",VLOOKUP(L168,Foundation_Calc!$V$4:$X$37,VLOOKUP(AX168,Foundation_Calc!$I$10:$J$13,2,FALSE),0),
IF(AX168="K",VLOOKUP(L168,Foundation_Calc!$V$41:$X$74,VLOOKUP(AX168,Foundation_Calc!$I$10:$J$13,2,FALSE),0),"")))</f>
        <v/>
      </c>
      <c r="N168" s="8"/>
      <c r="O168" s="8"/>
      <c r="P168" s="8"/>
      <c r="Q168" s="14"/>
      <c r="R168" s="15"/>
      <c r="S168" s="15"/>
      <c r="T168" s="14"/>
      <c r="U168" s="14"/>
      <c r="V168" s="14"/>
      <c r="W168" s="18"/>
      <c r="X168" s="18"/>
      <c r="Y168" s="18"/>
      <c r="Z168" s="18"/>
      <c r="AA168" s="18"/>
      <c r="AB168" s="18"/>
      <c r="AC168" s="8" t="str">
        <f t="shared" si="67"/>
        <v/>
      </c>
      <c r="AD168" s="8"/>
      <c r="AE168" s="8"/>
      <c r="AF168" s="14"/>
      <c r="AG168" s="13"/>
      <c r="AH168" s="14"/>
      <c r="AI168" s="14"/>
      <c r="AJ168" s="8"/>
      <c r="AK168" s="8"/>
      <c r="AL168" s="8"/>
      <c r="AM168" s="8"/>
      <c r="AN168" s="631"/>
      <c r="AO168" s="18"/>
      <c r="AP168" s="18"/>
      <c r="AQ168" s="18"/>
      <c r="AR168" s="18"/>
      <c r="AS168" s="18"/>
      <c r="AU168" s="448"/>
      <c r="AV168" s="448"/>
      <c r="AW168" s="8" t="str">
        <f>IF(C168&gt;0,VLOOKUP(C168,Foundation_Calc!$A$2:$C$986,3,1),
IF(J168&gt;0,VLOOKUP(J168,Foundation_Calc!$A$2:$C$986,3,1),""))</f>
        <v/>
      </c>
      <c r="AX168" s="8" t="str">
        <f>IF(C168&gt;0,VLOOKUP(C168,Foundation_Calc!$E$2:$G$986,3,1),
IF(J168&gt;0,VLOOKUP(J168,Foundation_Calc!$E$2:$G$986,3,1),""))</f>
        <v/>
      </c>
      <c r="AY168" s="631" t="str">
        <f>IF(L168="","",
IF(AX168="PT",VLOOKUP(L168,Foundation_Calc!$K$4:$R$37,VLOOKUP(AW168,Foundation_Calc!$I$2:$J$8,2,FALSE),0),
IF(AX168="K",VLOOKUP(L168,Foundation_Calc!$K$41:$R$74,VLOOKUP(AW168,Foundation_Calc!$I$2:$J$8,2,FALSE),0),"")))</f>
        <v/>
      </c>
      <c r="AZ168" s="631" t="str">
        <f>IF(K168="","",
IF(AX168="PT",VLOOKUP(K168,Foundation_Calc!$K$4:$R$37,VLOOKUP(AW168,Foundation_Calc!$I$2:$J$8,2,FALSE),0),
IF(AX168="K",VLOOKUP(K168,Foundation_Calc!$K$41:$R$74,VLOOKUP(AW168,Foundation_Calc!$I$2:$J$8,2,FALSE),0),"")))</f>
        <v/>
      </c>
      <c r="BA168" s="632" t="str">
        <f t="shared" si="79"/>
        <v/>
      </c>
      <c r="BB168" s="632" t="str">
        <f t="shared" si="80"/>
        <v/>
      </c>
      <c r="BC168" s="632" t="str">
        <f t="shared" si="81"/>
        <v/>
      </c>
      <c r="BD168" s="633" t="str">
        <f>IF(AND(L168="",H168=""),"",
IF(H168="",Pole_Calc!A172,
IF(H168="MP",Pole_Calc!A173,
IF(H168="AnMP",Pole_Calc!A174,
IF(H168="A",Pole_Calc!A175,
IF(H168="S/A",Pole_Calc!A176,
IF(H168="A/S",Pole_Calc!A177,"Poner a mano")))))))</f>
        <v/>
      </c>
      <c r="BE168" s="448" t="s">
        <v>1726</v>
      </c>
      <c r="BF168" s="634"/>
      <c r="BG168" s="634"/>
      <c r="BH168" s="634"/>
      <c r="BI168" s="634"/>
    </row>
    <row r="169" spans="1:61" ht="16.2" customHeight="1">
      <c r="A169" s="12"/>
      <c r="B169" s="446"/>
      <c r="C169" s="89"/>
      <c r="D169" s="13"/>
      <c r="E169" s="14"/>
      <c r="F169" s="14"/>
      <c r="G169" s="15"/>
      <c r="H169" s="8"/>
      <c r="I169" s="8"/>
      <c r="J169" s="89"/>
      <c r="K169" s="8"/>
      <c r="L169" s="8"/>
      <c r="M169" s="8" t="str">
        <f>IF(L169="","",
IF(AX169="PT",VLOOKUP(L169,Foundation_Calc!$V$4:$X$37,VLOOKUP(AX169,Foundation_Calc!$I$10:$J$13,2,FALSE),0),
IF(AX169="K",VLOOKUP(L169,Foundation_Calc!$V$41:$X$74,VLOOKUP(AX169,Foundation_Calc!$I$10:$J$13,2,FALSE),0),"")))</f>
        <v/>
      </c>
      <c r="N169" s="8"/>
      <c r="O169" s="8"/>
      <c r="P169" s="8"/>
      <c r="Q169" s="14"/>
      <c r="R169" s="15"/>
      <c r="S169" s="15"/>
      <c r="T169" s="14"/>
      <c r="U169" s="14"/>
      <c r="V169" s="14"/>
      <c r="W169" s="18"/>
      <c r="X169" s="18"/>
      <c r="Y169" s="18"/>
      <c r="Z169" s="18"/>
      <c r="AA169" s="18"/>
      <c r="AB169" s="18"/>
      <c r="AC169" s="8" t="str">
        <f t="shared" si="67"/>
        <v/>
      </c>
      <c r="AD169" s="8"/>
      <c r="AE169" s="8"/>
      <c r="AF169" s="14"/>
      <c r="AG169" s="13"/>
      <c r="AH169" s="14"/>
      <c r="AI169" s="14"/>
      <c r="AJ169" s="8"/>
      <c r="AK169" s="8"/>
      <c r="AL169" s="8"/>
      <c r="AM169" s="8"/>
      <c r="AN169" s="631"/>
      <c r="AO169" s="18"/>
      <c r="AP169" s="18"/>
      <c r="AQ169" s="18"/>
      <c r="AR169" s="18"/>
      <c r="AS169" s="18"/>
      <c r="AU169" s="448"/>
      <c r="AV169" s="448"/>
      <c r="AW169" s="8" t="str">
        <f>IF(C169&gt;0,VLOOKUP(C169,Foundation_Calc!$A$2:$C$986,3,1),
IF(J169&gt;0,VLOOKUP(J169,Foundation_Calc!$A$2:$C$986,3,1),""))</f>
        <v/>
      </c>
      <c r="AX169" s="8" t="str">
        <f>IF(C169&gt;0,VLOOKUP(C169,Foundation_Calc!$E$2:$G$986,3,1),
IF(J169&gt;0,VLOOKUP(J169,Foundation_Calc!$E$2:$G$986,3,1),""))</f>
        <v/>
      </c>
      <c r="AY169" s="631" t="str">
        <f>IF(L169="","",
IF(AX169="PT",VLOOKUP(L169,Foundation_Calc!$K$4:$R$37,VLOOKUP(AW169,Foundation_Calc!$I$2:$J$8,2,FALSE),0),
IF(AX169="K",VLOOKUP(L169,Foundation_Calc!$K$41:$R$74,VLOOKUP(AW169,Foundation_Calc!$I$2:$J$8,2,FALSE),0),"")))</f>
        <v/>
      </c>
      <c r="AZ169" s="631" t="str">
        <f>IF(K169="","",
IF(AX169="PT",VLOOKUP(K169,Foundation_Calc!$K$4:$R$37,VLOOKUP(AW169,Foundation_Calc!$I$2:$J$8,2,FALSE),0),
IF(AX169="K",VLOOKUP(K169,Foundation_Calc!$K$41:$R$74,VLOOKUP(AW169,Foundation_Calc!$I$2:$J$8,2,FALSE),0),"")))</f>
        <v/>
      </c>
      <c r="BA169" s="632" t="str">
        <f t="shared" si="79"/>
        <v/>
      </c>
      <c r="BB169" s="632" t="str">
        <f t="shared" si="80"/>
        <v/>
      </c>
      <c r="BC169" s="632" t="str">
        <f t="shared" si="81"/>
        <v/>
      </c>
      <c r="BD169" s="633" t="str">
        <f>IF(AND(L169="",H169=""),"",
IF(H169="",Pole_Calc!A173,
IF(H169="MP",Pole_Calc!A174,
IF(H169="AnMP",Pole_Calc!A175,
IF(H169="A",Pole_Calc!A176,
IF(H169="S/A",Pole_Calc!A177,
IF(H169="A/S",Pole_Calc!A178,"Poner a mano")))))))</f>
        <v/>
      </c>
      <c r="BE169" s="448" t="s">
        <v>1726</v>
      </c>
      <c r="BF169" s="635"/>
      <c r="BG169" s="635"/>
      <c r="BH169" s="634"/>
      <c r="BI169" s="635"/>
    </row>
    <row r="170" spans="1:61" ht="16.2" customHeight="1">
      <c r="A170" s="12"/>
      <c r="B170" s="446"/>
      <c r="C170" s="89"/>
      <c r="D170" s="13"/>
      <c r="E170" s="14"/>
      <c r="F170" s="14"/>
      <c r="G170" s="15"/>
      <c r="H170" s="8"/>
      <c r="I170" s="8"/>
      <c r="J170" s="89"/>
      <c r="K170" s="8"/>
      <c r="L170" s="8"/>
      <c r="M170" s="8" t="str">
        <f>IF(L170="","",
IF(AX170="PT",VLOOKUP(L170,Foundation_Calc!$V$4:$X$37,VLOOKUP(AX170,Foundation_Calc!$I$10:$J$13,2,FALSE),0),
IF(AX170="K",VLOOKUP(L170,Foundation_Calc!$V$41:$X$74,VLOOKUP(AX170,Foundation_Calc!$I$10:$J$13,2,FALSE),0),"")))</f>
        <v/>
      </c>
      <c r="N170" s="8"/>
      <c r="O170" s="8"/>
      <c r="P170" s="8"/>
      <c r="Q170" s="14"/>
      <c r="R170" s="15"/>
      <c r="S170" s="15"/>
      <c r="T170" s="14"/>
      <c r="U170" s="14"/>
      <c r="V170" s="14"/>
      <c r="W170" s="18"/>
      <c r="X170" s="18"/>
      <c r="Y170" s="18"/>
      <c r="Z170" s="18"/>
      <c r="AA170" s="18"/>
      <c r="AB170" s="18"/>
      <c r="AC170" s="8" t="str">
        <f t="shared" si="67"/>
        <v/>
      </c>
      <c r="AD170" s="8"/>
      <c r="AE170" s="8"/>
      <c r="AF170" s="14"/>
      <c r="AG170" s="13"/>
      <c r="AH170" s="14"/>
      <c r="AI170" s="14"/>
      <c r="AJ170" s="8"/>
      <c r="AK170" s="8"/>
      <c r="AL170" s="8"/>
      <c r="AM170" s="8"/>
      <c r="AN170" s="631"/>
      <c r="AO170" s="18"/>
      <c r="AP170" s="18"/>
      <c r="AQ170" s="18"/>
      <c r="AR170" s="18"/>
      <c r="AS170" s="18"/>
      <c r="AU170" s="448"/>
      <c r="AV170" s="448"/>
      <c r="AW170" s="8" t="str">
        <f>IF(C170&gt;0,VLOOKUP(C170,Foundation_Calc!$A$2:$C$986,3,1),
IF(J170&gt;0,VLOOKUP(J170,Foundation_Calc!$A$2:$C$986,3,1),""))</f>
        <v/>
      </c>
      <c r="AX170" s="8" t="str">
        <f>IF(C170&gt;0,VLOOKUP(C170,Foundation_Calc!$E$2:$G$986,3,1),
IF(J170&gt;0,VLOOKUP(J170,Foundation_Calc!$E$2:$G$986,3,1),""))</f>
        <v/>
      </c>
      <c r="AY170" s="631" t="str">
        <f>IF(L170="","",
IF(AX170="PT",VLOOKUP(L170,Foundation_Calc!$K$4:$R$37,VLOOKUP(AW170,Foundation_Calc!$I$2:$J$8,2,FALSE),0),
IF(AX170="K",VLOOKUP(L170,Foundation_Calc!$K$41:$R$74,VLOOKUP(AW170,Foundation_Calc!$I$2:$J$8,2,FALSE),0),"")))</f>
        <v/>
      </c>
      <c r="AZ170" s="631" t="str">
        <f>IF(K170="","",
IF(AX170="PT",VLOOKUP(K170,Foundation_Calc!$K$4:$R$37,VLOOKUP(AW170,Foundation_Calc!$I$2:$J$8,2,FALSE),0),
IF(AX170="K",VLOOKUP(K170,Foundation_Calc!$K$41:$R$74,VLOOKUP(AW170,Foundation_Calc!$I$2:$J$8,2,FALSE),0),"")))</f>
        <v/>
      </c>
      <c r="BA170" s="632" t="str">
        <f t="shared" si="79"/>
        <v/>
      </c>
      <c r="BB170" s="632" t="str">
        <f t="shared" si="80"/>
        <v/>
      </c>
      <c r="BC170" s="632" t="str">
        <f t="shared" si="81"/>
        <v/>
      </c>
      <c r="BD170" s="633" t="str">
        <f>IF(AND(L170="",H170=""),"",
IF(H170="",Pole_Calc!A174,
IF(H170="MP",Pole_Calc!A175,
IF(H170="AnMP",Pole_Calc!A176,
IF(H170="A",Pole_Calc!A177,
IF(H170="S/A",Pole_Calc!A178,
IF(H170="A/S",Pole_Calc!A179,"Poner a mano")))))))</f>
        <v/>
      </c>
      <c r="BE170" s="448" t="s">
        <v>1726</v>
      </c>
      <c r="BF170" s="634"/>
      <c r="BG170" s="634"/>
      <c r="BH170" s="634"/>
      <c r="BI170" s="634"/>
    </row>
    <row r="171" spans="1:61" ht="16.2" customHeight="1">
      <c r="A171" s="12"/>
      <c r="B171" s="446"/>
      <c r="C171" s="89"/>
      <c r="D171" s="13"/>
      <c r="E171" s="14"/>
      <c r="F171" s="14"/>
      <c r="G171" s="15"/>
      <c r="H171" s="8"/>
      <c r="I171" s="8"/>
      <c r="J171" s="89"/>
      <c r="K171" s="8"/>
      <c r="L171" s="8"/>
      <c r="M171" s="8" t="str">
        <f>IF(L171="","",
IF(AX171="PT",VLOOKUP(L171,Foundation_Calc!$V$4:$X$37,VLOOKUP(AX171,Foundation_Calc!$I$10:$J$13,2,FALSE),0),
IF(AX171="K",VLOOKUP(L171,Foundation_Calc!$V$41:$X$74,VLOOKUP(AX171,Foundation_Calc!$I$10:$J$13,2,FALSE),0),"")))</f>
        <v/>
      </c>
      <c r="N171" s="8"/>
      <c r="O171" s="8"/>
      <c r="P171" s="8"/>
      <c r="Q171" s="14"/>
      <c r="R171" s="15"/>
      <c r="S171" s="15"/>
      <c r="T171" s="14"/>
      <c r="U171" s="14"/>
      <c r="V171" s="14"/>
      <c r="W171" s="18"/>
      <c r="X171" s="18"/>
      <c r="Y171" s="18"/>
      <c r="Z171" s="18"/>
      <c r="AA171" s="18"/>
      <c r="AB171" s="18"/>
      <c r="AC171" s="8" t="str">
        <f t="shared" si="67"/>
        <v/>
      </c>
      <c r="AD171" s="8"/>
      <c r="AE171" s="8"/>
      <c r="AF171" s="14"/>
      <c r="AG171" s="13"/>
      <c r="AH171" s="14"/>
      <c r="AI171" s="14"/>
      <c r="AJ171" s="8"/>
      <c r="AK171" s="8"/>
      <c r="AL171" s="8"/>
      <c r="AM171" s="8"/>
      <c r="AN171" s="631"/>
      <c r="AO171" s="18"/>
      <c r="AP171" s="18"/>
      <c r="AQ171" s="18"/>
      <c r="AR171" s="18"/>
      <c r="AS171" s="18"/>
      <c r="AU171" s="448"/>
      <c r="AV171" s="448"/>
      <c r="AW171" s="8" t="str">
        <f>IF(C171&gt;0,VLOOKUP(C171,Foundation_Calc!$A$2:$C$986,3,1),
IF(J171&gt;0,VLOOKUP(J171,Foundation_Calc!$A$2:$C$986,3,1),""))</f>
        <v/>
      </c>
      <c r="AX171" s="8" t="str">
        <f>IF(C171&gt;0,VLOOKUP(C171,Foundation_Calc!$E$2:$G$986,3,1),
IF(J171&gt;0,VLOOKUP(J171,Foundation_Calc!$E$2:$G$986,3,1),""))</f>
        <v/>
      </c>
      <c r="AY171" s="631" t="str">
        <f>IF(L171="","",
IF(AX171="PT",VLOOKUP(L171,Foundation_Calc!$K$4:$R$37,VLOOKUP(AW171,Foundation_Calc!$I$2:$J$8,2,FALSE),0),
IF(AX171="K",VLOOKUP(L171,Foundation_Calc!$K$41:$R$74,VLOOKUP(AW171,Foundation_Calc!$I$2:$J$8,2,FALSE),0),"")))</f>
        <v/>
      </c>
      <c r="AZ171" s="631" t="str">
        <f>IF(K171="","",
IF(AX171="PT",VLOOKUP(K171,Foundation_Calc!$K$4:$R$37,VLOOKUP(AW171,Foundation_Calc!$I$2:$J$8,2,FALSE),0),
IF(AX171="K",VLOOKUP(K171,Foundation_Calc!$K$41:$R$74,VLOOKUP(AW171,Foundation_Calc!$I$2:$J$8,2,FALSE),0),"")))</f>
        <v/>
      </c>
      <c r="BA171" s="632" t="str">
        <f t="shared" si="79"/>
        <v/>
      </c>
      <c r="BB171" s="632" t="str">
        <f t="shared" si="80"/>
        <v/>
      </c>
      <c r="BC171" s="632" t="str">
        <f t="shared" si="81"/>
        <v/>
      </c>
      <c r="BD171" s="633" t="str">
        <f>IF(AND(L171="",H171=""),"",
IF(H171="",Pole_Calc!A175,
IF(H171="MP",Pole_Calc!A176,
IF(H171="AnMP",Pole_Calc!A177,
IF(H171="A",Pole_Calc!A178,
IF(H171="S/A",Pole_Calc!A179,
IF(H171="A/S",Pole_Calc!A180,"Poner a mano")))))))</f>
        <v/>
      </c>
      <c r="BE171" s="448" t="s">
        <v>1726</v>
      </c>
      <c r="BF171" s="635"/>
      <c r="BG171" s="635"/>
      <c r="BH171" s="634"/>
      <c r="BI171" s="635"/>
    </row>
    <row r="172" spans="1:61" ht="16.2" customHeight="1">
      <c r="A172" s="12"/>
      <c r="B172" s="446"/>
      <c r="C172" s="89"/>
      <c r="D172" s="13"/>
      <c r="E172" s="14"/>
      <c r="F172" s="14"/>
      <c r="G172" s="15"/>
      <c r="H172" s="8"/>
      <c r="I172" s="8"/>
      <c r="J172" s="89"/>
      <c r="K172" s="8"/>
      <c r="L172" s="8"/>
      <c r="M172" s="8" t="str">
        <f>IF(L172="","",
IF(AX172="PT",VLOOKUP(L172,Foundation_Calc!$V$4:$X$37,VLOOKUP(AX172,Foundation_Calc!$I$10:$J$13,2,FALSE),0),
IF(AX172="K",VLOOKUP(L172,Foundation_Calc!$V$41:$X$74,VLOOKUP(AX172,Foundation_Calc!$I$10:$J$13,2,FALSE),0),"")))</f>
        <v/>
      </c>
      <c r="N172" s="8"/>
      <c r="O172" s="8"/>
      <c r="P172" s="8"/>
      <c r="Q172" s="14"/>
      <c r="R172" s="15"/>
      <c r="S172" s="15"/>
      <c r="T172" s="14"/>
      <c r="U172" s="14"/>
      <c r="V172" s="14"/>
      <c r="W172" s="18"/>
      <c r="X172" s="18"/>
      <c r="Y172" s="18"/>
      <c r="Z172" s="18"/>
      <c r="AA172" s="18"/>
      <c r="AB172" s="18"/>
      <c r="AC172" s="8" t="str">
        <f t="shared" si="67"/>
        <v/>
      </c>
      <c r="AD172" s="8"/>
      <c r="AE172" s="8"/>
      <c r="AF172" s="14"/>
      <c r="AG172" s="13"/>
      <c r="AH172" s="14"/>
      <c r="AI172" s="14"/>
      <c r="AJ172" s="8"/>
      <c r="AK172" s="8"/>
      <c r="AL172" s="8"/>
      <c r="AM172" s="8"/>
      <c r="AN172" s="631"/>
      <c r="AO172" s="18"/>
      <c r="AP172" s="18"/>
      <c r="AQ172" s="18"/>
      <c r="AR172" s="18"/>
      <c r="AS172" s="18"/>
      <c r="AU172" s="448"/>
      <c r="AV172" s="448"/>
      <c r="AW172" s="8" t="str">
        <f>IF(C172&gt;0,VLOOKUP(C172,Foundation_Calc!$A$2:$C$986,3,1),
IF(J172&gt;0,VLOOKUP(J172,Foundation_Calc!$A$2:$C$986,3,1),""))</f>
        <v/>
      </c>
      <c r="AX172" s="8" t="str">
        <f>IF(C172&gt;0,VLOOKUP(C172,Foundation_Calc!$E$2:$G$986,3,1),
IF(J172&gt;0,VLOOKUP(J172,Foundation_Calc!$E$2:$G$986,3,1),""))</f>
        <v/>
      </c>
      <c r="AY172" s="631" t="str">
        <f>IF(L172="","",
IF(AX172="PT",VLOOKUP(L172,Foundation_Calc!$K$4:$R$37,VLOOKUP(AW172,Foundation_Calc!$I$2:$J$8,2,FALSE),0),
IF(AX172="K",VLOOKUP(L172,Foundation_Calc!$K$41:$R$74,VLOOKUP(AW172,Foundation_Calc!$I$2:$J$8,2,FALSE),0),"")))</f>
        <v/>
      </c>
      <c r="AZ172" s="631" t="str">
        <f>IF(K172="","",
IF(AX172="PT",VLOOKUP(K172,Foundation_Calc!$K$4:$R$37,VLOOKUP(AW172,Foundation_Calc!$I$2:$J$8,2,FALSE),0),
IF(AX172="K",VLOOKUP(K172,Foundation_Calc!$K$41:$R$74,VLOOKUP(AW172,Foundation_Calc!$I$2:$J$8,2,FALSE),0),"")))</f>
        <v/>
      </c>
      <c r="BA172" s="632" t="str">
        <f t="shared" si="79"/>
        <v/>
      </c>
      <c r="BB172" s="632" t="str">
        <f t="shared" si="80"/>
        <v/>
      </c>
      <c r="BC172" s="632" t="str">
        <f t="shared" si="81"/>
        <v/>
      </c>
      <c r="BD172" s="633" t="str">
        <f>IF(AND(L172="",H172=""),"",
IF(H172="",Pole_Calc!A176,
IF(H172="MP",Pole_Calc!A177,
IF(H172="AnMP",Pole_Calc!A178,
IF(H172="A",Pole_Calc!A179,
IF(H172="S/A",Pole_Calc!A180,
IF(H172="A/S",Pole_Calc!A181,"Poner a mano")))))))</f>
        <v/>
      </c>
      <c r="BE172" s="448" t="s">
        <v>1726</v>
      </c>
      <c r="BF172" s="634"/>
      <c r="BG172" s="634"/>
      <c r="BH172" s="634"/>
      <c r="BI172" s="634"/>
    </row>
    <row r="173" spans="1:61" ht="16.2" customHeight="1">
      <c r="A173" s="12"/>
      <c r="B173" s="446"/>
      <c r="C173" s="89"/>
      <c r="D173" s="13"/>
      <c r="E173" s="14"/>
      <c r="F173" s="14"/>
      <c r="G173" s="15"/>
      <c r="H173" s="8"/>
      <c r="I173" s="8"/>
      <c r="J173" s="89"/>
      <c r="K173" s="8"/>
      <c r="L173" s="8"/>
      <c r="M173" s="8" t="str">
        <f>IF(L173="","",
IF(AX173="PT",VLOOKUP(L173,Foundation_Calc!$V$4:$X$37,VLOOKUP(AX173,Foundation_Calc!$I$10:$J$13,2,FALSE),0),
IF(AX173="K",VLOOKUP(L173,Foundation_Calc!$V$41:$X$74,VLOOKUP(AX173,Foundation_Calc!$I$10:$J$13,2,FALSE),0),"")))</f>
        <v/>
      </c>
      <c r="N173" s="8"/>
      <c r="O173" s="8"/>
      <c r="P173" s="8"/>
      <c r="Q173" s="14"/>
      <c r="R173" s="15"/>
      <c r="S173" s="15"/>
      <c r="T173" s="14"/>
      <c r="U173" s="14"/>
      <c r="V173" s="14"/>
      <c r="W173" s="18"/>
      <c r="X173" s="18"/>
      <c r="Y173" s="18"/>
      <c r="Z173" s="18"/>
      <c r="AA173" s="18"/>
      <c r="AB173" s="18"/>
      <c r="AC173" s="8" t="str">
        <f t="shared" si="67"/>
        <v/>
      </c>
      <c r="AD173" s="8"/>
      <c r="AE173" s="8"/>
      <c r="AF173" s="14"/>
      <c r="AG173" s="13"/>
      <c r="AH173" s="14"/>
      <c r="AI173" s="14"/>
      <c r="AJ173" s="8"/>
      <c r="AK173" s="8"/>
      <c r="AL173" s="8"/>
      <c r="AM173" s="8"/>
      <c r="AN173" s="631"/>
      <c r="AO173" s="18"/>
      <c r="AP173" s="18"/>
      <c r="AQ173" s="18"/>
      <c r="AR173" s="18"/>
      <c r="AS173" s="18"/>
      <c r="AU173" s="448"/>
      <c r="AV173" s="448"/>
      <c r="AW173" s="8" t="str">
        <f>IF(C173&gt;0,VLOOKUP(C173,Foundation_Calc!$A$2:$C$986,3,1),
IF(J173&gt;0,VLOOKUP(J173,Foundation_Calc!$A$2:$C$986,3,1),""))</f>
        <v/>
      </c>
      <c r="AX173" s="8" t="str">
        <f>IF(C173&gt;0,VLOOKUP(C173,Foundation_Calc!$E$2:$G$986,3,1),
IF(J173&gt;0,VLOOKUP(J173,Foundation_Calc!$E$2:$G$986,3,1),""))</f>
        <v/>
      </c>
      <c r="AY173" s="631" t="str">
        <f>IF(L173="","",
IF(AX173="PT",VLOOKUP(L173,Foundation_Calc!$K$4:$R$37,VLOOKUP(AW173,Foundation_Calc!$I$2:$J$8,2,FALSE),0),
IF(AX173="K",VLOOKUP(L173,Foundation_Calc!$K$41:$R$74,VLOOKUP(AW173,Foundation_Calc!$I$2:$J$8,2,FALSE),0),"")))</f>
        <v/>
      </c>
      <c r="AZ173" s="631" t="str">
        <f>IF(K173="","",
IF(AX173="PT",VLOOKUP(K173,Foundation_Calc!$K$4:$R$37,VLOOKUP(AW173,Foundation_Calc!$I$2:$J$8,2,FALSE),0),
IF(AX173="K",VLOOKUP(K173,Foundation_Calc!$K$41:$R$74,VLOOKUP(AW173,Foundation_Calc!$I$2:$J$8,2,FALSE),0),"")))</f>
        <v/>
      </c>
      <c r="BA173" s="632" t="str">
        <f t="shared" si="79"/>
        <v/>
      </c>
      <c r="BB173" s="632" t="str">
        <f t="shared" si="80"/>
        <v/>
      </c>
      <c r="BC173" s="632" t="str">
        <f t="shared" si="81"/>
        <v/>
      </c>
      <c r="BD173" s="633" t="str">
        <f>IF(AND(L173="",H173=""),"",
IF(H173="",Pole_Calc!A177,
IF(H173="MP",Pole_Calc!A178,
IF(H173="AnMP",Pole_Calc!A179,
IF(H173="A",Pole_Calc!A180,
IF(H173="S/A",Pole_Calc!A181,
IF(H173="A/S",Pole_Calc!A182,"Poner a mano")))))))</f>
        <v/>
      </c>
      <c r="BE173" s="448" t="s">
        <v>1726</v>
      </c>
      <c r="BF173" s="635"/>
      <c r="BG173" s="635"/>
      <c r="BH173" s="634"/>
      <c r="BI173" s="635"/>
    </row>
    <row r="174" spans="1:61" ht="16.2" customHeight="1">
      <c r="A174" s="12"/>
      <c r="B174" s="446"/>
      <c r="C174" s="89"/>
      <c r="D174" s="13"/>
      <c r="E174" s="14"/>
      <c r="F174" s="14"/>
      <c r="G174" s="15"/>
      <c r="H174" s="8"/>
      <c r="I174" s="8"/>
      <c r="J174" s="89"/>
      <c r="K174" s="8"/>
      <c r="L174" s="8"/>
      <c r="M174" s="8" t="str">
        <f>IF(L174="","",
IF(AX174="PT",VLOOKUP(L174,Foundation_Calc!$V$4:$X$37,VLOOKUP(AX174,Foundation_Calc!$I$10:$J$13,2,FALSE),0),
IF(AX174="K",VLOOKUP(L174,Foundation_Calc!$V$41:$X$74,VLOOKUP(AX174,Foundation_Calc!$I$10:$J$13,2,FALSE),0),"")))</f>
        <v/>
      </c>
      <c r="N174" s="8"/>
      <c r="O174" s="8"/>
      <c r="P174" s="8"/>
      <c r="Q174" s="14"/>
      <c r="R174" s="15"/>
      <c r="S174" s="15"/>
      <c r="T174" s="14"/>
      <c r="U174" s="14"/>
      <c r="V174" s="14"/>
      <c r="W174" s="18"/>
      <c r="X174" s="18"/>
      <c r="Y174" s="18"/>
      <c r="Z174" s="18"/>
      <c r="AA174" s="18"/>
      <c r="AB174" s="18"/>
      <c r="AC174" s="8" t="str">
        <f t="shared" si="67"/>
        <v/>
      </c>
      <c r="AD174" s="8"/>
      <c r="AE174" s="8"/>
      <c r="AF174" s="14"/>
      <c r="AG174" s="13"/>
      <c r="AH174" s="14"/>
      <c r="AI174" s="14"/>
      <c r="AJ174" s="8"/>
      <c r="AK174" s="8"/>
      <c r="AL174" s="8"/>
      <c r="AM174" s="8"/>
      <c r="AN174" s="631"/>
      <c r="AO174" s="18"/>
      <c r="AP174" s="18"/>
      <c r="AQ174" s="18"/>
      <c r="AR174" s="18"/>
      <c r="AS174" s="18"/>
      <c r="AU174" s="448"/>
      <c r="AV174" s="448"/>
      <c r="AW174" s="8" t="str">
        <f>IF(C174&gt;0,VLOOKUP(C174,Foundation_Calc!$A$2:$C$986,3,1),
IF(J174&gt;0,VLOOKUP(J174,Foundation_Calc!$A$2:$C$986,3,1),""))</f>
        <v/>
      </c>
      <c r="AX174" s="8" t="str">
        <f>IF(C174&gt;0,VLOOKUP(C174,Foundation_Calc!$E$2:$G$986,3,1),
IF(J174&gt;0,VLOOKUP(J174,Foundation_Calc!$E$2:$G$986,3,1),""))</f>
        <v/>
      </c>
      <c r="AY174" s="631" t="str">
        <f>IF(L174="","",
IF(AX174="PT",VLOOKUP(L174,Foundation_Calc!$K$4:$R$37,VLOOKUP(AW174,Foundation_Calc!$I$2:$J$8,2,FALSE),0),
IF(AX174="K",VLOOKUP(L174,Foundation_Calc!$K$41:$R$74,VLOOKUP(AW174,Foundation_Calc!$I$2:$J$8,2,FALSE),0),"")))</f>
        <v/>
      </c>
      <c r="AZ174" s="631" t="str">
        <f>IF(K174="","",
IF(AX174="PT",VLOOKUP(K174,Foundation_Calc!$K$4:$R$37,VLOOKUP(AW174,Foundation_Calc!$I$2:$J$8,2,FALSE),0),
IF(AX174="K",VLOOKUP(K174,Foundation_Calc!$K$41:$R$74,VLOOKUP(AW174,Foundation_Calc!$I$2:$J$8,2,FALSE),0),"")))</f>
        <v/>
      </c>
      <c r="BA174" s="632" t="str">
        <f t="shared" si="79"/>
        <v/>
      </c>
      <c r="BB174" s="632" t="str">
        <f t="shared" si="80"/>
        <v/>
      </c>
      <c r="BC174" s="632" t="str">
        <f t="shared" si="81"/>
        <v/>
      </c>
      <c r="BD174" s="633" t="str">
        <f>IF(AND(L174="",H174=""),"",
IF(H174="",Pole_Calc!A178,
IF(H174="MP",Pole_Calc!A179,
IF(H174="AnMP",Pole_Calc!A180,
IF(H174="A",Pole_Calc!A181,
IF(H174="S/A",Pole_Calc!A182,
IF(H174="A/S",Pole_Calc!A183,"Poner a mano")))))))</f>
        <v/>
      </c>
      <c r="BE174" s="448" t="s">
        <v>1726</v>
      </c>
      <c r="BF174" s="634"/>
      <c r="BG174" s="634"/>
      <c r="BH174" s="634"/>
      <c r="BI174" s="634"/>
    </row>
    <row r="175" spans="1:61" ht="16.2" customHeight="1">
      <c r="A175" s="12"/>
      <c r="B175" s="446"/>
      <c r="C175" s="89"/>
      <c r="D175" s="13"/>
      <c r="E175" s="14"/>
      <c r="F175" s="14"/>
      <c r="G175" s="15"/>
      <c r="H175" s="8"/>
      <c r="I175" s="8"/>
      <c r="J175" s="89"/>
      <c r="K175" s="8"/>
      <c r="L175" s="8"/>
      <c r="M175" s="8" t="str">
        <f>IF(L175="","",
IF(AX175="PT",VLOOKUP(L175,Foundation_Calc!$V$4:$X$37,VLOOKUP(AX175,Foundation_Calc!$I$10:$J$13,2,FALSE),0),
IF(AX175="K",VLOOKUP(L175,Foundation_Calc!$V$41:$X$74,VLOOKUP(AX175,Foundation_Calc!$I$10:$J$13,2,FALSE),0),"")))</f>
        <v/>
      </c>
      <c r="N175" s="8"/>
      <c r="O175" s="8"/>
      <c r="P175" s="8"/>
      <c r="Q175" s="14"/>
      <c r="R175" s="15"/>
      <c r="S175" s="15"/>
      <c r="T175" s="14"/>
      <c r="U175" s="14"/>
      <c r="V175" s="14"/>
      <c r="W175" s="18"/>
      <c r="X175" s="18"/>
      <c r="Y175" s="18"/>
      <c r="Z175" s="18"/>
      <c r="AA175" s="18"/>
      <c r="AB175" s="18"/>
      <c r="AC175" s="8" t="str">
        <f t="shared" si="67"/>
        <v/>
      </c>
      <c r="AD175" s="8"/>
      <c r="AE175" s="8"/>
      <c r="AF175" s="14"/>
      <c r="AG175" s="13"/>
      <c r="AH175" s="14"/>
      <c r="AI175" s="14"/>
      <c r="AJ175" s="8"/>
      <c r="AK175" s="8"/>
      <c r="AL175" s="8"/>
      <c r="AM175" s="8"/>
      <c r="AN175" s="631"/>
      <c r="AO175" s="18"/>
      <c r="AP175" s="18"/>
      <c r="AQ175" s="18"/>
      <c r="AR175" s="18"/>
      <c r="AS175" s="18"/>
      <c r="AU175" s="448"/>
      <c r="AV175" s="448"/>
      <c r="AW175" s="8" t="str">
        <f>IF(C175&gt;0,VLOOKUP(C175,Foundation_Calc!$A$2:$C$986,3,1),
IF(J175&gt;0,VLOOKUP(J175,Foundation_Calc!$A$2:$C$986,3,1),""))</f>
        <v/>
      </c>
      <c r="AX175" s="8" t="str">
        <f>IF(C175&gt;0,VLOOKUP(C175,Foundation_Calc!$E$2:$G$986,3,1),
IF(J175&gt;0,VLOOKUP(J175,Foundation_Calc!$E$2:$G$986,3,1),""))</f>
        <v/>
      </c>
      <c r="AY175" s="631" t="str">
        <f>IF(L175="","",
IF(AX175="PT",VLOOKUP(L175,Foundation_Calc!$K$4:$R$37,VLOOKUP(AW175,Foundation_Calc!$I$2:$J$8,2,FALSE),0),
IF(AX175="K",VLOOKUP(L175,Foundation_Calc!$K$41:$R$74,VLOOKUP(AW175,Foundation_Calc!$I$2:$J$8,2,FALSE),0),"")))</f>
        <v/>
      </c>
      <c r="AZ175" s="631" t="str">
        <f>IF(K175="","",
IF(AX175="PT",VLOOKUP(K175,Foundation_Calc!$K$4:$R$37,VLOOKUP(AW175,Foundation_Calc!$I$2:$J$8,2,FALSE),0),
IF(AX175="K",VLOOKUP(K175,Foundation_Calc!$K$41:$R$74,VLOOKUP(AW175,Foundation_Calc!$I$2:$J$8,2,FALSE),0),"")))</f>
        <v/>
      </c>
      <c r="BA175" s="632" t="str">
        <f t="shared" si="79"/>
        <v/>
      </c>
      <c r="BB175" s="632" t="str">
        <f t="shared" si="80"/>
        <v/>
      </c>
      <c r="BC175" s="632" t="str">
        <f t="shared" si="81"/>
        <v/>
      </c>
      <c r="BD175" s="633" t="str">
        <f>IF(AND(L175="",H175=""),"",
IF(H175="",Pole_Calc!A179,
IF(H175="MP",Pole_Calc!A180,
IF(H175="AnMP",Pole_Calc!A181,
IF(H175="A",Pole_Calc!A182,
IF(H175="S/A",Pole_Calc!A183,
IF(H175="A/S",Pole_Calc!A184,"Poner a mano")))))))</f>
        <v/>
      </c>
      <c r="BE175" s="448" t="s">
        <v>1726</v>
      </c>
      <c r="BF175" s="635"/>
      <c r="BG175" s="635"/>
      <c r="BH175" s="634"/>
      <c r="BI175" s="635"/>
    </row>
    <row r="176" spans="1:61" ht="16.2" customHeight="1">
      <c r="A176" s="12"/>
      <c r="B176" s="446"/>
      <c r="C176" s="89"/>
      <c r="D176" s="13"/>
      <c r="E176" s="14"/>
      <c r="F176" s="14"/>
      <c r="G176" s="15"/>
      <c r="H176" s="8"/>
      <c r="I176" s="8"/>
      <c r="J176" s="89"/>
      <c r="K176" s="8"/>
      <c r="L176" s="8"/>
      <c r="M176" s="8" t="str">
        <f>IF(L176="","",
IF(AX176="PT",VLOOKUP(L176,Foundation_Calc!$V$4:$X$37,VLOOKUP(AX176,Foundation_Calc!$I$10:$J$13,2,FALSE),0),
IF(AX176="K",VLOOKUP(L176,Foundation_Calc!$V$41:$X$74,VLOOKUP(AX176,Foundation_Calc!$I$10:$J$13,2,FALSE),0),"")))</f>
        <v/>
      </c>
      <c r="N176" s="8"/>
      <c r="O176" s="8"/>
      <c r="P176" s="8"/>
      <c r="Q176" s="14"/>
      <c r="R176" s="15"/>
      <c r="S176" s="15"/>
      <c r="T176" s="14"/>
      <c r="U176" s="14"/>
      <c r="V176" s="14"/>
      <c r="W176" s="18"/>
      <c r="X176" s="18"/>
      <c r="Y176" s="18"/>
      <c r="Z176" s="18"/>
      <c r="AA176" s="18"/>
      <c r="AB176" s="18"/>
      <c r="AC176" s="8" t="str">
        <f t="shared" si="67"/>
        <v/>
      </c>
      <c r="AD176" s="8"/>
      <c r="AE176" s="8"/>
      <c r="AF176" s="14"/>
      <c r="AG176" s="13"/>
      <c r="AH176" s="14"/>
      <c r="AI176" s="14"/>
      <c r="AJ176" s="8"/>
      <c r="AK176" s="8"/>
      <c r="AL176" s="8"/>
      <c r="AM176" s="8"/>
      <c r="AN176" s="631"/>
      <c r="AO176" s="18"/>
      <c r="AP176" s="18"/>
      <c r="AQ176" s="18"/>
      <c r="AR176" s="18"/>
      <c r="AS176" s="18"/>
      <c r="AU176" s="448"/>
      <c r="AV176" s="448"/>
      <c r="AW176" s="8" t="str">
        <f>IF(C176&gt;0,VLOOKUP(C176,Foundation_Calc!$A$2:$C$986,3,1),
IF(J176&gt;0,VLOOKUP(J176,Foundation_Calc!$A$2:$C$986,3,1),""))</f>
        <v/>
      </c>
      <c r="AX176" s="8" t="str">
        <f>IF(C176&gt;0,VLOOKUP(C176,Foundation_Calc!$E$2:$G$986,3,1),
IF(J176&gt;0,VLOOKUP(J176,Foundation_Calc!$E$2:$G$986,3,1),""))</f>
        <v/>
      </c>
      <c r="AY176" s="631" t="str">
        <f>IF(L176="","",
IF(AX176="PT",VLOOKUP(L176,Foundation_Calc!$K$4:$R$37,VLOOKUP(AW176,Foundation_Calc!$I$2:$J$8,2,FALSE),0),
IF(AX176="K",VLOOKUP(L176,Foundation_Calc!$K$41:$R$74,VLOOKUP(AW176,Foundation_Calc!$I$2:$J$8,2,FALSE),0),"")))</f>
        <v/>
      </c>
      <c r="AZ176" s="631" t="str">
        <f>IF(K176="","",
IF(AX176="PT",VLOOKUP(K176,Foundation_Calc!$K$4:$R$37,VLOOKUP(AW176,Foundation_Calc!$I$2:$J$8,2,FALSE),0),
IF(AX176="K",VLOOKUP(K176,Foundation_Calc!$K$41:$R$74,VLOOKUP(AW176,Foundation_Calc!$I$2:$J$8,2,FALSE),0),"")))</f>
        <v/>
      </c>
      <c r="BA176" s="632" t="str">
        <f t="shared" si="79"/>
        <v/>
      </c>
      <c r="BB176" s="632" t="str">
        <f t="shared" si="80"/>
        <v/>
      </c>
      <c r="BC176" s="632" t="str">
        <f t="shared" si="81"/>
        <v/>
      </c>
      <c r="BD176" s="633" t="str">
        <f>IF(AND(L176="",H176=""),"",
IF(H176="",Pole_Calc!A180,
IF(H176="MP",Pole_Calc!A181,
IF(H176="AnMP",Pole_Calc!A182,
IF(H176="A",Pole_Calc!A183,
IF(H176="S/A",Pole_Calc!A184,
IF(H176="A/S",Pole_Calc!A185,"Poner a mano")))))))</f>
        <v/>
      </c>
      <c r="BE176" s="448" t="s">
        <v>1726</v>
      </c>
      <c r="BF176" s="634"/>
      <c r="BG176" s="634"/>
      <c r="BH176" s="634"/>
      <c r="BI176" s="634"/>
    </row>
    <row r="177" spans="1:61" ht="16.2" customHeight="1">
      <c r="A177" s="12"/>
      <c r="B177" s="446"/>
      <c r="C177" s="89"/>
      <c r="D177" s="13"/>
      <c r="E177" s="14"/>
      <c r="F177" s="14"/>
      <c r="G177" s="15"/>
      <c r="H177" s="8"/>
      <c r="I177" s="8"/>
      <c r="J177" s="89"/>
      <c r="K177" s="8"/>
      <c r="L177" s="8"/>
      <c r="M177" s="8" t="str">
        <f>IF(L177="","",
IF(AX177="PT",VLOOKUP(L177,Foundation_Calc!$V$4:$X$37,VLOOKUP(AX177,Foundation_Calc!$I$10:$J$13,2,FALSE),0),
IF(AX177="K",VLOOKUP(L177,Foundation_Calc!$V$41:$X$74,VLOOKUP(AX177,Foundation_Calc!$I$10:$J$13,2,FALSE),0),"")))</f>
        <v/>
      </c>
      <c r="N177" s="8"/>
      <c r="O177" s="8"/>
      <c r="P177" s="8"/>
      <c r="Q177" s="14"/>
      <c r="R177" s="15"/>
      <c r="S177" s="15"/>
      <c r="T177" s="14"/>
      <c r="U177" s="14"/>
      <c r="V177" s="14"/>
      <c r="W177" s="18"/>
      <c r="X177" s="18"/>
      <c r="Y177" s="18"/>
      <c r="Z177" s="18"/>
      <c r="AA177" s="18"/>
      <c r="AB177" s="18"/>
      <c r="AC177" s="8" t="str">
        <f t="shared" si="67"/>
        <v/>
      </c>
      <c r="AD177" s="8"/>
      <c r="AE177" s="8"/>
      <c r="AF177" s="14"/>
      <c r="AG177" s="13"/>
      <c r="AH177" s="14"/>
      <c r="AI177" s="14"/>
      <c r="AJ177" s="8"/>
      <c r="AK177" s="8"/>
      <c r="AL177" s="8"/>
      <c r="AM177" s="8"/>
      <c r="AN177" s="631"/>
      <c r="AO177" s="18"/>
      <c r="AP177" s="18"/>
      <c r="AQ177" s="18"/>
      <c r="AR177" s="18"/>
      <c r="AS177" s="18"/>
      <c r="AU177" s="448"/>
      <c r="AV177" s="448"/>
      <c r="AW177" s="8" t="str">
        <f>IF(C177&gt;0,VLOOKUP(C177,Foundation_Calc!$A$2:$C$986,3,1),
IF(J177&gt;0,VLOOKUP(J177,Foundation_Calc!$A$2:$C$986,3,1),""))</f>
        <v/>
      </c>
      <c r="AX177" s="8" t="str">
        <f>IF(C177&gt;0,VLOOKUP(C177,Foundation_Calc!$E$2:$G$986,3,1),
IF(J177&gt;0,VLOOKUP(J177,Foundation_Calc!$E$2:$G$986,3,1),""))</f>
        <v/>
      </c>
      <c r="AY177" s="631" t="str">
        <f>IF(L177="","",
IF(AX177="PT",VLOOKUP(L177,Foundation_Calc!$K$4:$R$37,VLOOKUP(AW177,Foundation_Calc!$I$2:$J$8,2,FALSE),0),
IF(AX177="K",VLOOKUP(L177,Foundation_Calc!$K$41:$R$74,VLOOKUP(AW177,Foundation_Calc!$I$2:$J$8,2,FALSE),0),"")))</f>
        <v/>
      </c>
      <c r="AZ177" s="631" t="str">
        <f>IF(K177="","",
IF(AX177="PT",VLOOKUP(K177,Foundation_Calc!$K$4:$R$37,VLOOKUP(AW177,Foundation_Calc!$I$2:$J$8,2,FALSE),0),
IF(AX177="K",VLOOKUP(K177,Foundation_Calc!$K$41:$R$74,VLOOKUP(AW177,Foundation_Calc!$I$2:$J$8,2,FALSE),0),"")))</f>
        <v/>
      </c>
      <c r="BA177" s="632" t="str">
        <f t="shared" si="79"/>
        <v/>
      </c>
      <c r="BB177" s="632" t="str">
        <f t="shared" si="80"/>
        <v/>
      </c>
      <c r="BC177" s="632" t="str">
        <f t="shared" si="81"/>
        <v/>
      </c>
      <c r="BD177" s="633" t="str">
        <f>IF(AND(L177="",H177=""),"",
IF(H177="",Pole_Calc!A181,
IF(H177="MP",Pole_Calc!A182,
IF(H177="AnMP",Pole_Calc!A183,
IF(H177="A",Pole_Calc!A184,
IF(H177="S/A",Pole_Calc!A185,
IF(H177="A/S",Pole_Calc!A186,"Poner a mano")))))))</f>
        <v/>
      </c>
      <c r="BE177" s="448" t="s">
        <v>1726</v>
      </c>
      <c r="BF177" s="635"/>
      <c r="BG177" s="635"/>
      <c r="BH177" s="634"/>
      <c r="BI177" s="635"/>
    </row>
    <row r="178" spans="1:61" ht="16.2" customHeight="1">
      <c r="A178" s="12"/>
      <c r="B178" s="446"/>
      <c r="C178" s="89"/>
      <c r="D178" s="13"/>
      <c r="E178" s="14"/>
      <c r="F178" s="14"/>
      <c r="G178" s="15"/>
      <c r="H178" s="8"/>
      <c r="I178" s="8"/>
      <c r="J178" s="89"/>
      <c r="K178" s="8"/>
      <c r="L178" s="8"/>
      <c r="M178" s="8" t="str">
        <f>IF(L178="","",
IF(AX178="PT",VLOOKUP(L178,Foundation_Calc!$V$4:$X$37,VLOOKUP(AX178,Foundation_Calc!$I$10:$J$13,2,FALSE),0),
IF(AX178="K",VLOOKUP(L178,Foundation_Calc!$V$41:$X$74,VLOOKUP(AX178,Foundation_Calc!$I$10:$J$13,2,FALSE),0),"")))</f>
        <v/>
      </c>
      <c r="N178" s="8"/>
      <c r="O178" s="8"/>
      <c r="P178" s="8"/>
      <c r="Q178" s="14"/>
      <c r="R178" s="15"/>
      <c r="S178" s="15"/>
      <c r="T178" s="14"/>
      <c r="U178" s="14"/>
      <c r="V178" s="14"/>
      <c r="W178" s="18"/>
      <c r="X178" s="18"/>
      <c r="Y178" s="18"/>
      <c r="Z178" s="18"/>
      <c r="AA178" s="18"/>
      <c r="AB178" s="18"/>
      <c r="AC178" s="8" t="str">
        <f t="shared" si="67"/>
        <v/>
      </c>
      <c r="AD178" s="8"/>
      <c r="AE178" s="8"/>
      <c r="AF178" s="14"/>
      <c r="AG178" s="13"/>
      <c r="AH178" s="14"/>
      <c r="AI178" s="14"/>
      <c r="AJ178" s="8"/>
      <c r="AK178" s="8"/>
      <c r="AL178" s="8"/>
      <c r="AM178" s="8"/>
      <c r="AN178" s="631"/>
      <c r="AO178" s="18"/>
      <c r="AP178" s="18"/>
      <c r="AQ178" s="18"/>
      <c r="AR178" s="18"/>
      <c r="AS178" s="18"/>
      <c r="AU178" s="448"/>
      <c r="AV178" s="448"/>
      <c r="AW178" s="8" t="str">
        <f>IF(C178&gt;0,VLOOKUP(C178,Foundation_Calc!$A$2:$C$986,3,1),
IF(J178&gt;0,VLOOKUP(J178,Foundation_Calc!$A$2:$C$986,3,1),""))</f>
        <v/>
      </c>
      <c r="AX178" s="8" t="str">
        <f>IF(C178&gt;0,VLOOKUP(C178,Foundation_Calc!$E$2:$G$986,3,1),
IF(J178&gt;0,VLOOKUP(J178,Foundation_Calc!$E$2:$G$986,3,1),""))</f>
        <v/>
      </c>
      <c r="AY178" s="631" t="str">
        <f>IF(L178="","",
IF(AX178="PT",VLOOKUP(L178,Foundation_Calc!$K$4:$R$37,VLOOKUP(AW178,Foundation_Calc!$I$2:$J$8,2,FALSE),0),
IF(AX178="K",VLOOKUP(L178,Foundation_Calc!$K$41:$R$74,VLOOKUP(AW178,Foundation_Calc!$I$2:$J$8,2,FALSE),0),"")))</f>
        <v/>
      </c>
      <c r="AZ178" s="631" t="str">
        <f>IF(K178="","",
IF(AX178="PT",VLOOKUP(K178,Foundation_Calc!$K$4:$R$37,VLOOKUP(AW178,Foundation_Calc!$I$2:$J$8,2,FALSE),0),
IF(AX178="K",VLOOKUP(K178,Foundation_Calc!$K$41:$R$74,VLOOKUP(AW178,Foundation_Calc!$I$2:$J$8,2,FALSE),0),"")))</f>
        <v/>
      </c>
      <c r="BA178" s="632" t="str">
        <f t="shared" si="79"/>
        <v/>
      </c>
      <c r="BB178" s="632" t="str">
        <f t="shared" si="80"/>
        <v/>
      </c>
      <c r="BC178" s="632" t="str">
        <f t="shared" si="81"/>
        <v/>
      </c>
      <c r="BD178" s="633" t="str">
        <f>IF(AND(L178="",H178=""),"",
IF(H178="",Pole_Calc!A182,
IF(H178="MP",Pole_Calc!A183,
IF(H178="AnMP",Pole_Calc!A184,
IF(H178="A",Pole_Calc!A185,
IF(H178="S/A",Pole_Calc!A186,
IF(H178="A/S",Pole_Calc!A187,"Poner a mano")))))))</f>
        <v/>
      </c>
      <c r="BE178" s="448" t="s">
        <v>1726</v>
      </c>
      <c r="BF178" s="634"/>
      <c r="BG178" s="634"/>
      <c r="BH178" s="634"/>
      <c r="BI178" s="634"/>
    </row>
    <row r="179" spans="1:61" ht="16.2" customHeight="1">
      <c r="A179" s="12"/>
      <c r="B179" s="446"/>
      <c r="C179" s="89"/>
      <c r="D179" s="13"/>
      <c r="E179" s="14"/>
      <c r="F179" s="14"/>
      <c r="G179" s="15"/>
      <c r="H179" s="8"/>
      <c r="I179" s="8"/>
      <c r="J179" s="89"/>
      <c r="K179" s="8"/>
      <c r="L179" s="8"/>
      <c r="M179" s="8" t="str">
        <f>IF(L179="","",
IF(AX179="PT",VLOOKUP(L179,Foundation_Calc!$V$4:$X$37,VLOOKUP(AX179,Foundation_Calc!$I$10:$J$13,2,FALSE),0),
IF(AX179="K",VLOOKUP(L179,Foundation_Calc!$V$41:$X$74,VLOOKUP(AX179,Foundation_Calc!$I$10:$J$13,2,FALSE),0),"")))</f>
        <v/>
      </c>
      <c r="N179" s="8"/>
      <c r="O179" s="8"/>
      <c r="P179" s="8"/>
      <c r="Q179" s="14"/>
      <c r="R179" s="15"/>
      <c r="S179" s="15"/>
      <c r="T179" s="14"/>
      <c r="U179" s="14"/>
      <c r="V179" s="14"/>
      <c r="W179" s="18"/>
      <c r="X179" s="18"/>
      <c r="Y179" s="18"/>
      <c r="Z179" s="18"/>
      <c r="AA179" s="18"/>
      <c r="AB179" s="18"/>
      <c r="AC179" s="8" t="str">
        <f t="shared" si="67"/>
        <v/>
      </c>
      <c r="AD179" s="8"/>
      <c r="AE179" s="8"/>
      <c r="AF179" s="14"/>
      <c r="AG179" s="13"/>
      <c r="AH179" s="14"/>
      <c r="AI179" s="14"/>
      <c r="AJ179" s="8"/>
      <c r="AK179" s="8"/>
      <c r="AL179" s="8"/>
      <c r="AM179" s="8"/>
      <c r="AN179" s="631"/>
      <c r="AO179" s="18"/>
      <c r="AP179" s="18"/>
      <c r="AQ179" s="18"/>
      <c r="AR179" s="18"/>
      <c r="AS179" s="18"/>
      <c r="AU179" s="448"/>
      <c r="AV179" s="448"/>
      <c r="AW179" s="8" t="str">
        <f>IF(C179&gt;0,VLOOKUP(C179,Foundation_Calc!$A$2:$C$986,3,1),
IF(J179&gt;0,VLOOKUP(J179,Foundation_Calc!$A$2:$C$986,3,1),""))</f>
        <v/>
      </c>
      <c r="AX179" s="8" t="str">
        <f>IF(C179&gt;0,VLOOKUP(C179,Foundation_Calc!$E$2:$G$986,3,1),
IF(J179&gt;0,VLOOKUP(J179,Foundation_Calc!$E$2:$G$986,3,1),""))</f>
        <v/>
      </c>
      <c r="AY179" s="631" t="str">
        <f>IF(L179="","",
IF(AX179="PT",VLOOKUP(L179,Foundation_Calc!$K$4:$R$37,VLOOKUP(AW179,Foundation_Calc!$I$2:$J$8,2,FALSE),0),
IF(AX179="K",VLOOKUP(L179,Foundation_Calc!$K$41:$R$74,VLOOKUP(AW179,Foundation_Calc!$I$2:$J$8,2,FALSE),0),"")))</f>
        <v/>
      </c>
      <c r="AZ179" s="631" t="str">
        <f>IF(K179="","",
IF(AX179="PT",VLOOKUP(K179,Foundation_Calc!$K$4:$R$37,VLOOKUP(AW179,Foundation_Calc!$I$2:$J$8,2,FALSE),0),
IF(AX179="K",VLOOKUP(K179,Foundation_Calc!$K$41:$R$74,VLOOKUP(AW179,Foundation_Calc!$I$2:$J$8,2,FALSE),0),"")))</f>
        <v/>
      </c>
      <c r="BA179" s="632" t="str">
        <f t="shared" si="79"/>
        <v/>
      </c>
      <c r="BB179" s="632" t="str">
        <f t="shared" si="80"/>
        <v/>
      </c>
      <c r="BC179" s="632" t="str">
        <f t="shared" si="81"/>
        <v/>
      </c>
      <c r="BD179" s="633" t="str">
        <f>IF(AND(L179="",H179=""),"",
IF(H179="",Pole_Calc!A183,
IF(H179="MP",Pole_Calc!A184,
IF(H179="AnMP",Pole_Calc!A185,
IF(H179="A",Pole_Calc!A186,
IF(H179="S/A",Pole_Calc!A187,
IF(H179="A/S",Pole_Calc!A188,"Poner a mano")))))))</f>
        <v/>
      </c>
      <c r="BE179" s="448" t="s">
        <v>1726</v>
      </c>
      <c r="BF179" s="635"/>
      <c r="BG179" s="635"/>
      <c r="BH179" s="634"/>
      <c r="BI179" s="635"/>
    </row>
    <row r="180" spans="1:61" ht="16.2" customHeight="1">
      <c r="A180" s="12"/>
      <c r="B180" s="446"/>
      <c r="C180" s="89"/>
      <c r="D180" s="13"/>
      <c r="E180" s="14"/>
      <c r="F180" s="14"/>
      <c r="G180" s="15"/>
      <c r="H180" s="8"/>
      <c r="I180" s="8"/>
      <c r="J180" s="89"/>
      <c r="K180" s="8"/>
      <c r="L180" s="8"/>
      <c r="M180" s="8" t="str">
        <f>IF(L180="","",
IF(AX180="PT",VLOOKUP(L180,Foundation_Calc!$V$4:$X$37,VLOOKUP(AX180,Foundation_Calc!$I$10:$J$13,2,FALSE),0),
IF(AX180="K",VLOOKUP(L180,Foundation_Calc!$V$41:$X$74,VLOOKUP(AX180,Foundation_Calc!$I$10:$J$13,2,FALSE),0),"")))</f>
        <v/>
      </c>
      <c r="N180" s="8"/>
      <c r="O180" s="8"/>
      <c r="P180" s="8"/>
      <c r="Q180" s="14"/>
      <c r="R180" s="15"/>
      <c r="S180" s="15"/>
      <c r="T180" s="14"/>
      <c r="U180" s="14"/>
      <c r="V180" s="14"/>
      <c r="W180" s="18"/>
      <c r="X180" s="18"/>
      <c r="Y180" s="18"/>
      <c r="Z180" s="18"/>
      <c r="AA180" s="18"/>
      <c r="AB180" s="18"/>
      <c r="AC180" s="8" t="str">
        <f t="shared" si="67"/>
        <v/>
      </c>
      <c r="AD180" s="8"/>
      <c r="AE180" s="8"/>
      <c r="AF180" s="14"/>
      <c r="AG180" s="13"/>
      <c r="AH180" s="14"/>
      <c r="AI180" s="14"/>
      <c r="AJ180" s="8"/>
      <c r="AK180" s="8"/>
      <c r="AL180" s="8"/>
      <c r="AM180" s="8"/>
      <c r="AN180" s="631"/>
      <c r="AO180" s="18"/>
      <c r="AP180" s="18"/>
      <c r="AQ180" s="18"/>
      <c r="AR180" s="18"/>
      <c r="AS180" s="18"/>
      <c r="AU180" s="448"/>
      <c r="AV180" s="448"/>
      <c r="AW180" s="8" t="str">
        <f>IF(C180&gt;0,VLOOKUP(C180,Foundation_Calc!$A$2:$C$986,3,1),
IF(J180&gt;0,VLOOKUP(J180,Foundation_Calc!$A$2:$C$986,3,1),""))</f>
        <v/>
      </c>
      <c r="AX180" s="8" t="str">
        <f>IF(C180&gt;0,VLOOKUP(C180,Foundation_Calc!$E$2:$G$986,3,1),
IF(J180&gt;0,VLOOKUP(J180,Foundation_Calc!$E$2:$G$986,3,1),""))</f>
        <v/>
      </c>
      <c r="AY180" s="631" t="str">
        <f>IF(L180="","",
IF(AX180="PT",VLOOKUP(L180,Foundation_Calc!$K$4:$R$37,VLOOKUP(AW180,Foundation_Calc!$I$2:$J$8,2,FALSE),0),
IF(AX180="K",VLOOKUP(L180,Foundation_Calc!$K$41:$R$74,VLOOKUP(AW180,Foundation_Calc!$I$2:$J$8,2,FALSE),0),"")))</f>
        <v/>
      </c>
      <c r="AZ180" s="631" t="str">
        <f>IF(K180="","",
IF(AX180="PT",VLOOKUP(K180,Foundation_Calc!$K$4:$R$37,VLOOKUP(AW180,Foundation_Calc!$I$2:$J$8,2,FALSE),0),
IF(AX180="K",VLOOKUP(K180,Foundation_Calc!$K$41:$R$74,VLOOKUP(AW180,Foundation_Calc!$I$2:$J$8,2,FALSE),0),"")))</f>
        <v/>
      </c>
      <c r="BA180" s="632" t="str">
        <f t="shared" si="79"/>
        <v/>
      </c>
      <c r="BB180" s="632" t="str">
        <f t="shared" si="80"/>
        <v/>
      </c>
      <c r="BC180" s="632" t="str">
        <f t="shared" si="81"/>
        <v/>
      </c>
      <c r="BD180" s="633" t="str">
        <f>IF(AND(L180="",H180=""),"",
IF(H180="",Pole_Calc!A184,
IF(H180="MP",Pole_Calc!A185,
IF(H180="AnMP",Pole_Calc!A186,
IF(H180="A",Pole_Calc!A187,
IF(H180="S/A",Pole_Calc!A188,
IF(H180="A/S",Pole_Calc!A189,"Poner a mano")))))))</f>
        <v/>
      </c>
      <c r="BE180" s="448" t="s">
        <v>1726</v>
      </c>
      <c r="BF180" s="634"/>
      <c r="BG180" s="634"/>
      <c r="BH180" s="634"/>
      <c r="BI180" s="634"/>
    </row>
    <row r="181" spans="1:61" ht="16.2" customHeight="1">
      <c r="A181" s="12"/>
      <c r="B181" s="446"/>
      <c r="C181" s="89"/>
      <c r="D181" s="13"/>
      <c r="E181" s="14"/>
      <c r="F181" s="14"/>
      <c r="G181" s="15"/>
      <c r="H181" s="8"/>
      <c r="I181" s="8"/>
      <c r="J181" s="89"/>
      <c r="K181" s="8"/>
      <c r="L181" s="8"/>
      <c r="M181" s="8" t="str">
        <f>IF(L181="","",
IF(AX181="PT",VLOOKUP(L181,Foundation_Calc!$V$4:$X$37,VLOOKUP(AX181,Foundation_Calc!$I$10:$J$13,2,FALSE),0),
IF(AX181="K",VLOOKUP(L181,Foundation_Calc!$V$41:$X$74,VLOOKUP(AX181,Foundation_Calc!$I$10:$J$13,2,FALSE),0),"")))</f>
        <v/>
      </c>
      <c r="N181" s="8"/>
      <c r="O181" s="8"/>
      <c r="P181" s="8"/>
      <c r="Q181" s="14"/>
      <c r="R181" s="15"/>
      <c r="S181" s="15"/>
      <c r="T181" s="14"/>
      <c r="U181" s="14"/>
      <c r="V181" s="14"/>
      <c r="W181" s="18"/>
      <c r="X181" s="18"/>
      <c r="Y181" s="18"/>
      <c r="Z181" s="18"/>
      <c r="AA181" s="18"/>
      <c r="AB181" s="18"/>
      <c r="AC181" s="8" t="str">
        <f t="shared" si="67"/>
        <v/>
      </c>
      <c r="AD181" s="8"/>
      <c r="AE181" s="8"/>
      <c r="AF181" s="14"/>
      <c r="AG181" s="13"/>
      <c r="AH181" s="14"/>
      <c r="AI181" s="14"/>
      <c r="AJ181" s="8"/>
      <c r="AK181" s="8"/>
      <c r="AL181" s="8"/>
      <c r="AM181" s="8"/>
      <c r="AN181" s="631"/>
      <c r="AO181" s="18"/>
      <c r="AP181" s="18"/>
      <c r="AQ181" s="18"/>
      <c r="AR181" s="18"/>
      <c r="AS181" s="18"/>
      <c r="AU181" s="448"/>
      <c r="AV181" s="448"/>
      <c r="AW181" s="8" t="str">
        <f>IF(C181&gt;0,VLOOKUP(C181,Foundation_Calc!$A$2:$C$986,3,1),
IF(J181&gt;0,VLOOKUP(J181,Foundation_Calc!$A$2:$C$986,3,1),""))</f>
        <v/>
      </c>
      <c r="AX181" s="8" t="str">
        <f>IF(C181&gt;0,VLOOKUP(C181,Foundation_Calc!$E$2:$G$986,3,1),
IF(J181&gt;0,VLOOKUP(J181,Foundation_Calc!$E$2:$G$986,3,1),""))</f>
        <v/>
      </c>
      <c r="AY181" s="631" t="str">
        <f>IF(L181="","",
IF(AX181="PT",VLOOKUP(L181,Foundation_Calc!$K$4:$R$37,VLOOKUP(AW181,Foundation_Calc!$I$2:$J$8,2,FALSE),0),
IF(AX181="K",VLOOKUP(L181,Foundation_Calc!$K$41:$R$74,VLOOKUP(AW181,Foundation_Calc!$I$2:$J$8,2,FALSE),0),"")))</f>
        <v/>
      </c>
      <c r="AZ181" s="631" t="str">
        <f>IF(K181="","",
IF(AX181="PT",VLOOKUP(K181,Foundation_Calc!$K$4:$R$37,VLOOKUP(AW181,Foundation_Calc!$I$2:$J$8,2,FALSE),0),
IF(AX181="K",VLOOKUP(K181,Foundation_Calc!$K$41:$R$74,VLOOKUP(AW181,Foundation_Calc!$I$2:$J$8,2,FALSE),0),"")))</f>
        <v/>
      </c>
      <c r="BA181" s="632" t="str">
        <f t="shared" si="79"/>
        <v/>
      </c>
      <c r="BB181" s="632" t="str">
        <f t="shared" si="80"/>
        <v/>
      </c>
      <c r="BC181" s="632" t="str">
        <f t="shared" si="81"/>
        <v/>
      </c>
      <c r="BD181" s="633" t="str">
        <f>IF(AND(L181="",H181=""),"",
IF(H181="",Pole_Calc!A185,
IF(H181="MP",Pole_Calc!A186,
IF(H181="AnMP",Pole_Calc!A187,
IF(H181="A",Pole_Calc!A188,
IF(H181="S/A",Pole_Calc!A189,
IF(H181="A/S",Pole_Calc!A190,"Poner a mano")))))))</f>
        <v/>
      </c>
      <c r="BE181" s="448" t="s">
        <v>1726</v>
      </c>
      <c r="BF181" s="635"/>
      <c r="BG181" s="635"/>
      <c r="BH181" s="634"/>
      <c r="BI181" s="635"/>
    </row>
    <row r="182" spans="1:61" ht="16.2" customHeight="1">
      <c r="A182" s="12"/>
      <c r="B182" s="446"/>
      <c r="C182" s="89"/>
      <c r="D182" s="13"/>
      <c r="E182" s="14"/>
      <c r="F182" s="14"/>
      <c r="G182" s="15"/>
      <c r="H182" s="8"/>
      <c r="I182" s="8"/>
      <c r="J182" s="89"/>
      <c r="K182" s="8"/>
      <c r="L182" s="8"/>
      <c r="M182" s="8" t="str">
        <f>IF(L182="","",
IF(AX182="PT",VLOOKUP(L182,Foundation_Calc!$V$4:$X$37,VLOOKUP(AX182,Foundation_Calc!$I$10:$J$13,2,FALSE),0),
IF(AX182="K",VLOOKUP(L182,Foundation_Calc!$V$41:$X$74,VLOOKUP(AX182,Foundation_Calc!$I$10:$J$13,2,FALSE),0),"")))</f>
        <v/>
      </c>
      <c r="N182" s="8"/>
      <c r="O182" s="8"/>
      <c r="P182" s="8"/>
      <c r="Q182" s="14"/>
      <c r="R182" s="15"/>
      <c r="S182" s="15"/>
      <c r="T182" s="14"/>
      <c r="U182" s="14"/>
      <c r="V182" s="14"/>
      <c r="W182" s="18"/>
      <c r="X182" s="18"/>
      <c r="Y182" s="18"/>
      <c r="Z182" s="18"/>
      <c r="AA182" s="18"/>
      <c r="AB182" s="18"/>
      <c r="AC182" s="8" t="str">
        <f t="shared" si="67"/>
        <v/>
      </c>
      <c r="AD182" s="8"/>
      <c r="AE182" s="8"/>
      <c r="AF182" s="14"/>
      <c r="AG182" s="13"/>
      <c r="AH182" s="14"/>
      <c r="AI182" s="14"/>
      <c r="AJ182" s="8"/>
      <c r="AK182" s="8"/>
      <c r="AL182" s="8"/>
      <c r="AM182" s="8"/>
      <c r="AN182" s="631"/>
      <c r="AO182" s="18"/>
      <c r="AP182" s="18"/>
      <c r="AQ182" s="18"/>
      <c r="AR182" s="18"/>
      <c r="AS182" s="18"/>
      <c r="AU182" s="448"/>
      <c r="AV182" s="448"/>
      <c r="AW182" s="8" t="str">
        <f>IF(C182&gt;0,VLOOKUP(C182,Foundation_Calc!$A$2:$C$986,3,1),
IF(J182&gt;0,VLOOKUP(J182,Foundation_Calc!$A$2:$C$986,3,1),""))</f>
        <v/>
      </c>
      <c r="AX182" s="8" t="str">
        <f>IF(C182&gt;0,VLOOKUP(C182,Foundation_Calc!$E$2:$G$986,3,1),
IF(J182&gt;0,VLOOKUP(J182,Foundation_Calc!$E$2:$G$986,3,1),""))</f>
        <v/>
      </c>
      <c r="AY182" s="631" t="str">
        <f>IF(L182="","",
IF(AX182="PT",VLOOKUP(L182,Foundation_Calc!$K$4:$R$37,VLOOKUP(AW182,Foundation_Calc!$I$2:$J$8,2,FALSE),0),
IF(AX182="K",VLOOKUP(L182,Foundation_Calc!$K$41:$R$74,VLOOKUP(AW182,Foundation_Calc!$I$2:$J$8,2,FALSE),0),"")))</f>
        <v/>
      </c>
      <c r="AZ182" s="631" t="str">
        <f>IF(K182="","",
IF(AX182="PT",VLOOKUP(K182,Foundation_Calc!$K$4:$R$37,VLOOKUP(AW182,Foundation_Calc!$I$2:$J$8,2,FALSE),0),
IF(AX182="K",VLOOKUP(K182,Foundation_Calc!$K$41:$R$74,VLOOKUP(AW182,Foundation_Calc!$I$2:$J$8,2,FALSE),0),"")))</f>
        <v/>
      </c>
      <c r="BA182" s="632" t="str">
        <f t="shared" si="79"/>
        <v/>
      </c>
      <c r="BB182" s="632" t="str">
        <f t="shared" si="80"/>
        <v/>
      </c>
      <c r="BC182" s="632" t="str">
        <f t="shared" si="81"/>
        <v/>
      </c>
      <c r="BD182" s="633" t="str">
        <f>IF(AND(L182="",H182=""),"",
IF(H182="",Pole_Calc!A186,
IF(H182="MP",Pole_Calc!A187,
IF(H182="AnMP",Pole_Calc!A188,
IF(H182="A",Pole_Calc!A189,
IF(H182="S/A",Pole_Calc!A190,
IF(H182="A/S",Pole_Calc!A191,"Poner a mano")))))))</f>
        <v/>
      </c>
      <c r="BE182" s="448" t="s">
        <v>1726</v>
      </c>
      <c r="BF182" s="634"/>
      <c r="BG182" s="634"/>
      <c r="BH182" s="634"/>
      <c r="BI182" s="634"/>
    </row>
    <row r="183" spans="1:61" ht="16.2" customHeight="1">
      <c r="A183" s="12"/>
      <c r="B183" s="446"/>
      <c r="C183" s="89"/>
      <c r="D183" s="13"/>
      <c r="E183" s="14"/>
      <c r="F183" s="14"/>
      <c r="G183" s="15"/>
      <c r="H183" s="8"/>
      <c r="I183" s="8"/>
      <c r="J183" s="89"/>
      <c r="K183" s="8"/>
      <c r="L183" s="8"/>
      <c r="M183" s="8" t="str">
        <f>IF(L183="","",
IF(AX183="PT",VLOOKUP(L183,Foundation_Calc!$V$4:$X$37,VLOOKUP(AX183,Foundation_Calc!$I$10:$J$13,2,FALSE),0),
IF(AX183="K",VLOOKUP(L183,Foundation_Calc!$V$41:$X$74,VLOOKUP(AX183,Foundation_Calc!$I$10:$J$13,2,FALSE),0),"")))</f>
        <v/>
      </c>
      <c r="N183" s="8"/>
      <c r="O183" s="8"/>
      <c r="P183" s="8"/>
      <c r="Q183" s="14"/>
      <c r="R183" s="15"/>
      <c r="S183" s="15"/>
      <c r="T183" s="14"/>
      <c r="U183" s="14"/>
      <c r="V183" s="14"/>
      <c r="W183" s="18"/>
      <c r="X183" s="18"/>
      <c r="Y183" s="18"/>
      <c r="Z183" s="18"/>
      <c r="AA183" s="18"/>
      <c r="AB183" s="18"/>
      <c r="AC183" s="8" t="str">
        <f t="shared" si="67"/>
        <v/>
      </c>
      <c r="AD183" s="8"/>
      <c r="AE183" s="8"/>
      <c r="AF183" s="14"/>
      <c r="AG183" s="13"/>
      <c r="AH183" s="14"/>
      <c r="AI183" s="14"/>
      <c r="AJ183" s="8"/>
      <c r="AK183" s="8"/>
      <c r="AL183" s="8"/>
      <c r="AM183" s="8"/>
      <c r="AN183" s="631"/>
      <c r="AO183" s="18"/>
      <c r="AP183" s="18"/>
      <c r="AQ183" s="18"/>
      <c r="AR183" s="18"/>
      <c r="AS183" s="18"/>
      <c r="AU183" s="448"/>
      <c r="AV183" s="448"/>
      <c r="AW183" s="8" t="str">
        <f>IF(C183&gt;0,VLOOKUP(C183,Foundation_Calc!$A$2:$C$986,3,1),
IF(J183&gt;0,VLOOKUP(J183,Foundation_Calc!$A$2:$C$986,3,1),""))</f>
        <v/>
      </c>
      <c r="AX183" s="8" t="str">
        <f>IF(C183&gt;0,VLOOKUP(C183,Foundation_Calc!$E$2:$G$986,3,1),
IF(J183&gt;0,VLOOKUP(J183,Foundation_Calc!$E$2:$G$986,3,1),""))</f>
        <v/>
      </c>
      <c r="AY183" s="631" t="str">
        <f>IF(L183="","",
IF(AX183="PT",VLOOKUP(L183,Foundation_Calc!$K$4:$R$37,VLOOKUP(AW183,Foundation_Calc!$I$2:$J$8,2,FALSE),0),
IF(AX183="K",VLOOKUP(L183,Foundation_Calc!$K$41:$R$74,VLOOKUP(AW183,Foundation_Calc!$I$2:$J$8,2,FALSE),0),"")))</f>
        <v/>
      </c>
      <c r="AZ183" s="631" t="str">
        <f>IF(K183="","",
IF(AX183="PT",VLOOKUP(K183,Foundation_Calc!$K$4:$R$37,VLOOKUP(AW183,Foundation_Calc!$I$2:$J$8,2,FALSE),0),
IF(AX183="K",VLOOKUP(K183,Foundation_Calc!$K$41:$R$74,VLOOKUP(AW183,Foundation_Calc!$I$2:$J$8,2,FALSE),0),"")))</f>
        <v/>
      </c>
      <c r="BA183" s="632" t="str">
        <f t="shared" si="79"/>
        <v/>
      </c>
      <c r="BB183" s="632" t="str">
        <f t="shared" si="80"/>
        <v/>
      </c>
      <c r="BC183" s="632" t="str">
        <f t="shared" si="81"/>
        <v/>
      </c>
      <c r="BD183" s="633" t="str">
        <f>IF(AND(L183="",H183=""),"",
IF(H183="",Pole_Calc!A187,
IF(H183="MP",Pole_Calc!A188,
IF(H183="AnMP",Pole_Calc!A189,
IF(H183="A",Pole_Calc!A190,
IF(H183="S/A",Pole_Calc!A191,
IF(H183="A/S",Pole_Calc!A192,"Poner a mano")))))))</f>
        <v/>
      </c>
      <c r="BE183" s="448" t="s">
        <v>1726</v>
      </c>
      <c r="BF183" s="635"/>
      <c r="BG183" s="635"/>
      <c r="BH183" s="634"/>
      <c r="BI183" s="635"/>
    </row>
    <row r="184" spans="1:61" ht="16.2" customHeight="1">
      <c r="A184" s="12"/>
      <c r="B184" s="446"/>
      <c r="C184" s="89"/>
      <c r="D184" s="13"/>
      <c r="E184" s="14"/>
      <c r="F184" s="14"/>
      <c r="G184" s="15"/>
      <c r="H184" s="8"/>
      <c r="I184" s="8"/>
      <c r="J184" s="89"/>
      <c r="K184" s="8"/>
      <c r="L184" s="8"/>
      <c r="M184" s="8" t="str">
        <f>IF(L184="","",
IF(AX184="PT",VLOOKUP(L184,Foundation_Calc!$V$4:$X$37,VLOOKUP(AX184,Foundation_Calc!$I$10:$J$13,2,FALSE),0),
IF(AX184="K",VLOOKUP(L184,Foundation_Calc!$V$41:$X$74,VLOOKUP(AX184,Foundation_Calc!$I$10:$J$13,2,FALSE),0),"")))</f>
        <v/>
      </c>
      <c r="N184" s="8"/>
      <c r="O184" s="8"/>
      <c r="P184" s="8"/>
      <c r="Q184" s="14"/>
      <c r="R184" s="15"/>
      <c r="S184" s="15"/>
      <c r="T184" s="14"/>
      <c r="U184" s="14"/>
      <c r="V184" s="14"/>
      <c r="W184" s="18"/>
      <c r="X184" s="18"/>
      <c r="Y184" s="18"/>
      <c r="Z184" s="18"/>
      <c r="AA184" s="18"/>
      <c r="AB184" s="18"/>
      <c r="AC184" s="8" t="str">
        <f t="shared" si="67"/>
        <v/>
      </c>
      <c r="AD184" s="8"/>
      <c r="AE184" s="8"/>
      <c r="AF184" s="14"/>
      <c r="AG184" s="13"/>
      <c r="AH184" s="14"/>
      <c r="AI184" s="14"/>
      <c r="AJ184" s="8"/>
      <c r="AK184" s="8"/>
      <c r="AL184" s="8"/>
      <c r="AM184" s="8"/>
      <c r="AN184" s="631"/>
      <c r="AO184" s="18"/>
      <c r="AP184" s="18"/>
      <c r="AQ184" s="18"/>
      <c r="AR184" s="18"/>
      <c r="AS184" s="18"/>
      <c r="AU184" s="448"/>
      <c r="AV184" s="448"/>
      <c r="AW184" s="8" t="str">
        <f>IF(C184&gt;0,VLOOKUP(C184,Foundation_Calc!$A$2:$C$986,3,1),
IF(J184&gt;0,VLOOKUP(J184,Foundation_Calc!$A$2:$C$986,3,1),""))</f>
        <v/>
      </c>
      <c r="AX184" s="8" t="str">
        <f>IF(C184&gt;0,VLOOKUP(C184,Foundation_Calc!$E$2:$G$986,3,1),
IF(J184&gt;0,VLOOKUP(J184,Foundation_Calc!$E$2:$G$986,3,1),""))</f>
        <v/>
      </c>
      <c r="AY184" s="631" t="str">
        <f>IF(L184="","",
IF(AX184="PT",VLOOKUP(L184,Foundation_Calc!$K$4:$R$37,VLOOKUP(AW184,Foundation_Calc!$I$2:$J$8,2,FALSE),0),
IF(AX184="K",VLOOKUP(L184,Foundation_Calc!$K$41:$R$74,VLOOKUP(AW184,Foundation_Calc!$I$2:$J$8,2,FALSE),0),"")))</f>
        <v/>
      </c>
      <c r="AZ184" s="631" t="str">
        <f>IF(K184="","",
IF(AX184="PT",VLOOKUP(K184,Foundation_Calc!$K$4:$R$37,VLOOKUP(AW184,Foundation_Calc!$I$2:$J$8,2,FALSE),0),
IF(AX184="K",VLOOKUP(K184,Foundation_Calc!$K$41:$R$74,VLOOKUP(AW184,Foundation_Calc!$I$2:$J$8,2,FALSE),0),"")))</f>
        <v/>
      </c>
      <c r="BA184" s="632" t="str">
        <f t="shared" si="79"/>
        <v/>
      </c>
      <c r="BB184" s="632" t="str">
        <f t="shared" si="80"/>
        <v/>
      </c>
      <c r="BC184" s="632" t="str">
        <f t="shared" si="81"/>
        <v/>
      </c>
      <c r="BD184" s="633" t="str">
        <f>IF(AND(L184="",H184=""),"",
IF(H184="",Pole_Calc!A188,
IF(H184="MP",Pole_Calc!A189,
IF(H184="AnMP",Pole_Calc!A190,
IF(H184="A",Pole_Calc!A191,
IF(H184="S/A",Pole_Calc!A192,
IF(H184="A/S",Pole_Calc!A193,"Poner a mano")))))))</f>
        <v/>
      </c>
      <c r="BE184" s="448" t="s">
        <v>1726</v>
      </c>
      <c r="BF184" s="634"/>
      <c r="BG184" s="634"/>
      <c r="BH184" s="634"/>
      <c r="BI184" s="634"/>
    </row>
    <row r="185" spans="1:61" ht="16.2" customHeight="1">
      <c r="A185" s="12"/>
      <c r="B185" s="446"/>
      <c r="C185" s="89"/>
      <c r="D185" s="13"/>
      <c r="E185" s="14"/>
      <c r="F185" s="14"/>
      <c r="G185" s="15"/>
      <c r="H185" s="8"/>
      <c r="I185" s="8"/>
      <c r="J185" s="89"/>
      <c r="K185" s="8"/>
      <c r="L185" s="8"/>
      <c r="M185" s="8" t="str">
        <f>IF(L185="","",
IF(AX185="PT",VLOOKUP(L185,Foundation_Calc!$V$4:$X$37,VLOOKUP(AX185,Foundation_Calc!$I$10:$J$13,2,FALSE),0),
IF(AX185="K",VLOOKUP(L185,Foundation_Calc!$V$41:$X$74,VLOOKUP(AX185,Foundation_Calc!$I$10:$J$13,2,FALSE),0),"")))</f>
        <v/>
      </c>
      <c r="N185" s="8"/>
      <c r="O185" s="8"/>
      <c r="P185" s="8"/>
      <c r="Q185" s="14"/>
      <c r="R185" s="15"/>
      <c r="S185" s="15"/>
      <c r="T185" s="14"/>
      <c r="U185" s="14"/>
      <c r="V185" s="14"/>
      <c r="W185" s="18"/>
      <c r="X185" s="18"/>
      <c r="Y185" s="18"/>
      <c r="Z185" s="18"/>
      <c r="AA185" s="18"/>
      <c r="AB185" s="18"/>
      <c r="AC185" s="8" t="str">
        <f t="shared" si="67"/>
        <v/>
      </c>
      <c r="AD185" s="8"/>
      <c r="AE185" s="8"/>
      <c r="AF185" s="14"/>
      <c r="AG185" s="13"/>
      <c r="AH185" s="14"/>
      <c r="AI185" s="14"/>
      <c r="AJ185" s="8"/>
      <c r="AK185" s="8"/>
      <c r="AL185" s="8"/>
      <c r="AM185" s="8"/>
      <c r="AN185" s="631"/>
      <c r="AO185" s="18"/>
      <c r="AP185" s="18"/>
      <c r="AQ185" s="18"/>
      <c r="AR185" s="18"/>
      <c r="AS185" s="18"/>
      <c r="AU185" s="448"/>
      <c r="AV185" s="448"/>
      <c r="AW185" s="8" t="str">
        <f>IF(C185&gt;0,VLOOKUP(C185,Foundation_Calc!$A$2:$C$986,3,1),
IF(J185&gt;0,VLOOKUP(J185,Foundation_Calc!$A$2:$C$986,3,1),""))</f>
        <v/>
      </c>
      <c r="AX185" s="8" t="str">
        <f>IF(C185&gt;0,VLOOKUP(C185,Foundation_Calc!$E$2:$G$986,3,1),
IF(J185&gt;0,VLOOKUP(J185,Foundation_Calc!$E$2:$G$986,3,1),""))</f>
        <v/>
      </c>
      <c r="AY185" s="631" t="str">
        <f>IF(L185="","",
IF(AX185="PT",VLOOKUP(L185,Foundation_Calc!$K$4:$R$37,VLOOKUP(AW185,Foundation_Calc!$I$2:$J$8,2,FALSE),0),
IF(AX185="K",VLOOKUP(L185,Foundation_Calc!$K$41:$R$74,VLOOKUP(AW185,Foundation_Calc!$I$2:$J$8,2,FALSE),0),"")))</f>
        <v/>
      </c>
      <c r="AZ185" s="631" t="str">
        <f>IF(K185="","",
IF(AX185="PT",VLOOKUP(K185,Foundation_Calc!$K$4:$R$37,VLOOKUP(AW185,Foundation_Calc!$I$2:$J$8,2,FALSE),0),
IF(AX185="K",VLOOKUP(K185,Foundation_Calc!$K$41:$R$74,VLOOKUP(AW185,Foundation_Calc!$I$2:$J$8,2,FALSE),0),"")))</f>
        <v/>
      </c>
      <c r="BA185" s="632" t="str">
        <f t="shared" si="79"/>
        <v/>
      </c>
      <c r="BB185" s="632" t="str">
        <f t="shared" si="80"/>
        <v/>
      </c>
      <c r="BC185" s="632" t="str">
        <f t="shared" si="81"/>
        <v/>
      </c>
      <c r="BD185" s="633" t="str">
        <f>IF(AND(L185="",H185=""),"",
IF(H185="",Pole_Calc!A189,
IF(H185="MP",Pole_Calc!A190,
IF(H185="AnMP",Pole_Calc!A191,
IF(H185="A",Pole_Calc!A192,
IF(H185="S/A",Pole_Calc!A193,
IF(H185="A/S",Pole_Calc!A194,"Poner a mano")))))))</f>
        <v/>
      </c>
      <c r="BE185" s="448" t="s">
        <v>1726</v>
      </c>
      <c r="BF185" s="635"/>
      <c r="BG185" s="635"/>
      <c r="BH185" s="634"/>
      <c r="BI185" s="635"/>
    </row>
    <row r="186" spans="1:61" ht="16.2" customHeight="1">
      <c r="A186" s="12"/>
      <c r="B186" s="446"/>
      <c r="C186" s="89"/>
      <c r="D186" s="13"/>
      <c r="E186" s="14"/>
      <c r="F186" s="14"/>
      <c r="G186" s="15"/>
      <c r="H186" s="8"/>
      <c r="I186" s="8"/>
      <c r="J186" s="89"/>
      <c r="K186" s="8"/>
      <c r="L186" s="8"/>
      <c r="M186" s="8" t="str">
        <f>IF(L186="","",
IF(AX186="PT",VLOOKUP(L186,Foundation_Calc!$V$4:$X$37,VLOOKUP(AX186,Foundation_Calc!$I$10:$J$13,2,FALSE),0),
IF(AX186="K",VLOOKUP(L186,Foundation_Calc!$V$41:$X$74,VLOOKUP(AX186,Foundation_Calc!$I$10:$J$13,2,FALSE),0),"")))</f>
        <v/>
      </c>
      <c r="N186" s="8"/>
      <c r="O186" s="8"/>
      <c r="P186" s="8"/>
      <c r="Q186" s="14"/>
      <c r="R186" s="15"/>
      <c r="S186" s="15"/>
      <c r="T186" s="14"/>
      <c r="U186" s="14"/>
      <c r="V186" s="14"/>
      <c r="W186" s="18"/>
      <c r="X186" s="18"/>
      <c r="Y186" s="18"/>
      <c r="Z186" s="18"/>
      <c r="AA186" s="18"/>
      <c r="AB186" s="18"/>
      <c r="AC186" s="8" t="str">
        <f t="shared" si="67"/>
        <v/>
      </c>
      <c r="AD186" s="8"/>
      <c r="AE186" s="8"/>
      <c r="AF186" s="14"/>
      <c r="AG186" s="13"/>
      <c r="AH186" s="14"/>
      <c r="AI186" s="14"/>
      <c r="AJ186" s="8"/>
      <c r="AK186" s="8"/>
      <c r="AL186" s="8"/>
      <c r="AM186" s="8"/>
      <c r="AN186" s="631"/>
      <c r="AO186" s="18"/>
      <c r="AP186" s="18"/>
      <c r="AQ186" s="18"/>
      <c r="AR186" s="18"/>
      <c r="AS186" s="18"/>
      <c r="AU186" s="448"/>
      <c r="AV186" s="448"/>
      <c r="AW186" s="8" t="str">
        <f>IF(C186&gt;0,VLOOKUP(C186,Foundation_Calc!$A$2:$C$986,3,1),
IF(J186&gt;0,VLOOKUP(J186,Foundation_Calc!$A$2:$C$986,3,1),""))</f>
        <v/>
      </c>
      <c r="AX186" s="8" t="str">
        <f>IF(C186&gt;0,VLOOKUP(C186,Foundation_Calc!$E$2:$G$986,3,1),
IF(J186&gt;0,VLOOKUP(J186,Foundation_Calc!$E$2:$G$986,3,1),""))</f>
        <v/>
      </c>
      <c r="AY186" s="631" t="str">
        <f>IF(L186="","",
IF(AX186="PT",VLOOKUP(L186,Foundation_Calc!$K$4:$R$37,VLOOKUP(AW186,Foundation_Calc!$I$2:$J$8,2,FALSE),0),
IF(AX186="K",VLOOKUP(L186,Foundation_Calc!$K$41:$R$74,VLOOKUP(AW186,Foundation_Calc!$I$2:$J$8,2,FALSE),0),"")))</f>
        <v/>
      </c>
      <c r="AZ186" s="631" t="str">
        <f>IF(K186="","",
IF(AX186="PT",VLOOKUP(K186,Foundation_Calc!$K$4:$R$37,VLOOKUP(AW186,Foundation_Calc!$I$2:$J$8,2,FALSE),0),
IF(AX186="K",VLOOKUP(K186,Foundation_Calc!$K$41:$R$74,VLOOKUP(AW186,Foundation_Calc!$I$2:$J$8,2,FALSE),0),"")))</f>
        <v/>
      </c>
      <c r="BA186" s="632" t="str">
        <f t="shared" si="79"/>
        <v/>
      </c>
      <c r="BB186" s="632" t="str">
        <f t="shared" si="80"/>
        <v/>
      </c>
      <c r="BC186" s="632" t="str">
        <f t="shared" si="81"/>
        <v/>
      </c>
      <c r="BD186" s="633" t="str">
        <f>IF(AND(L186="",H186=""),"",
IF(H186="",Pole_Calc!A190,
IF(H186="MP",Pole_Calc!A191,
IF(H186="AnMP",Pole_Calc!A192,
IF(H186="A",Pole_Calc!A193,
IF(H186="S/A",Pole_Calc!A194,
IF(H186="A/S",Pole_Calc!A195,"Poner a mano")))))))</f>
        <v/>
      </c>
      <c r="BE186" s="448" t="s">
        <v>1726</v>
      </c>
      <c r="BF186" s="634"/>
      <c r="BG186" s="634"/>
      <c r="BH186" s="634"/>
      <c r="BI186" s="634"/>
    </row>
    <row r="187" spans="1:61" ht="16.2" customHeight="1">
      <c r="A187" s="12"/>
      <c r="B187" s="446"/>
      <c r="C187" s="89"/>
      <c r="D187" s="13"/>
      <c r="E187" s="14"/>
      <c r="F187" s="14"/>
      <c r="G187" s="15"/>
      <c r="H187" s="8"/>
      <c r="I187" s="8"/>
      <c r="J187" s="89"/>
      <c r="K187" s="8"/>
      <c r="L187" s="8"/>
      <c r="M187" s="8" t="str">
        <f>IF(L187="","",
IF(AX187="PT",VLOOKUP(L187,Foundation_Calc!$V$4:$X$37,VLOOKUP(AX187,Foundation_Calc!$I$10:$J$13,2,FALSE),0),
IF(AX187="K",VLOOKUP(L187,Foundation_Calc!$V$41:$X$74,VLOOKUP(AX187,Foundation_Calc!$I$10:$J$13,2,FALSE),0),"")))</f>
        <v/>
      </c>
      <c r="N187" s="8"/>
      <c r="O187" s="8"/>
      <c r="P187" s="8"/>
      <c r="Q187" s="14"/>
      <c r="R187" s="15"/>
      <c r="S187" s="15"/>
      <c r="T187" s="14"/>
      <c r="U187" s="14"/>
      <c r="V187" s="14"/>
      <c r="W187" s="18"/>
      <c r="X187" s="18"/>
      <c r="Y187" s="18"/>
      <c r="Z187" s="18"/>
      <c r="AA187" s="18"/>
      <c r="AB187" s="18"/>
      <c r="AC187" s="8" t="str">
        <f t="shared" si="67"/>
        <v/>
      </c>
      <c r="AD187" s="8"/>
      <c r="AE187" s="8"/>
      <c r="AF187" s="14"/>
      <c r="AG187" s="13"/>
      <c r="AH187" s="14"/>
      <c r="AI187" s="14"/>
      <c r="AJ187" s="8"/>
      <c r="AK187" s="8"/>
      <c r="AL187" s="8"/>
      <c r="AM187" s="8"/>
      <c r="AN187" s="631"/>
      <c r="AO187" s="18"/>
      <c r="AP187" s="18"/>
      <c r="AQ187" s="18"/>
      <c r="AR187" s="18"/>
      <c r="AS187" s="18"/>
      <c r="AU187" s="448"/>
      <c r="AV187" s="448"/>
      <c r="AW187" s="8" t="str">
        <f>IF(C187&gt;0,VLOOKUP(C187,Foundation_Calc!$A$2:$C$986,3,1),
IF(J187&gt;0,VLOOKUP(J187,Foundation_Calc!$A$2:$C$986,3,1),""))</f>
        <v/>
      </c>
      <c r="AX187" s="8" t="str">
        <f>IF(C187&gt;0,VLOOKUP(C187,Foundation_Calc!$E$2:$G$986,3,1),
IF(J187&gt;0,VLOOKUP(J187,Foundation_Calc!$E$2:$G$986,3,1),""))</f>
        <v/>
      </c>
      <c r="AY187" s="631" t="str">
        <f>IF(L187="","",
IF(AX187="PT",VLOOKUP(L187,Foundation_Calc!$K$4:$R$37,VLOOKUP(AW187,Foundation_Calc!$I$2:$J$8,2,FALSE),0),
IF(AX187="K",VLOOKUP(L187,Foundation_Calc!$K$41:$R$74,VLOOKUP(AW187,Foundation_Calc!$I$2:$J$8,2,FALSE),0),"")))</f>
        <v/>
      </c>
      <c r="AZ187" s="631" t="str">
        <f>IF(K187="","",
IF(AX187="PT",VLOOKUP(K187,Foundation_Calc!$K$4:$R$37,VLOOKUP(AW187,Foundation_Calc!$I$2:$J$8,2,FALSE),0),
IF(AX187="K",VLOOKUP(K187,Foundation_Calc!$K$41:$R$74,VLOOKUP(AW187,Foundation_Calc!$I$2:$J$8,2,FALSE),0),"")))</f>
        <v/>
      </c>
      <c r="BA187" s="632" t="str">
        <f t="shared" si="79"/>
        <v/>
      </c>
      <c r="BB187" s="632" t="str">
        <f t="shared" si="80"/>
        <v/>
      </c>
      <c r="BC187" s="632" t="str">
        <f t="shared" si="81"/>
        <v/>
      </c>
      <c r="BD187" s="633" t="str">
        <f>IF(AND(L187="",H187=""),"",
IF(H187="",Pole_Calc!A191,
IF(H187="MP",Pole_Calc!A192,
IF(H187="AnMP",Pole_Calc!A193,
IF(H187="A",Pole_Calc!A194,
IF(H187="S/A",Pole_Calc!A195,
IF(H187="A/S",Pole_Calc!A196,"Poner a mano")))))))</f>
        <v/>
      </c>
      <c r="BE187" s="448" t="s">
        <v>1726</v>
      </c>
      <c r="BF187" s="635"/>
      <c r="BG187" s="635"/>
      <c r="BH187" s="634"/>
      <c r="BI187" s="635"/>
    </row>
    <row r="188" spans="1:61" ht="16.2" customHeight="1">
      <c r="A188" s="12"/>
      <c r="B188" s="446"/>
      <c r="C188" s="89"/>
      <c r="D188" s="13"/>
      <c r="E188" s="14"/>
      <c r="F188" s="14"/>
      <c r="G188" s="15"/>
      <c r="H188" s="8"/>
      <c r="I188" s="8"/>
      <c r="J188" s="89"/>
      <c r="K188" s="8"/>
      <c r="L188" s="8"/>
      <c r="M188" s="8" t="str">
        <f>IF(L188="","",
IF(AX188="PT",VLOOKUP(L188,Foundation_Calc!$V$4:$X$37,VLOOKUP(AX188,Foundation_Calc!$I$10:$J$13,2,FALSE),0),
IF(AX188="K",VLOOKUP(L188,Foundation_Calc!$V$41:$X$74,VLOOKUP(AX188,Foundation_Calc!$I$10:$J$13,2,FALSE),0),"")))</f>
        <v/>
      </c>
      <c r="N188" s="8"/>
      <c r="O188" s="8"/>
      <c r="P188" s="8"/>
      <c r="Q188" s="14"/>
      <c r="R188" s="15"/>
      <c r="S188" s="15"/>
      <c r="T188" s="14"/>
      <c r="U188" s="14"/>
      <c r="V188" s="14"/>
      <c r="W188" s="18"/>
      <c r="X188" s="18"/>
      <c r="Y188" s="18"/>
      <c r="Z188" s="18"/>
      <c r="AA188" s="18"/>
      <c r="AB188" s="18"/>
      <c r="AC188" s="8" t="str">
        <f t="shared" si="67"/>
        <v/>
      </c>
      <c r="AD188" s="8"/>
      <c r="AE188" s="8"/>
      <c r="AF188" s="14"/>
      <c r="AG188" s="13"/>
      <c r="AH188" s="14"/>
      <c r="AI188" s="14"/>
      <c r="AJ188" s="8"/>
      <c r="AK188" s="8"/>
      <c r="AL188" s="8"/>
      <c r="AM188" s="8"/>
      <c r="AN188" s="631"/>
      <c r="AO188" s="18"/>
      <c r="AP188" s="18"/>
      <c r="AQ188" s="18"/>
      <c r="AR188" s="18"/>
      <c r="AS188" s="18"/>
      <c r="AU188" s="448"/>
      <c r="AV188" s="448"/>
      <c r="AW188" s="8" t="str">
        <f>IF(C188&gt;0,VLOOKUP(C188,Foundation_Calc!$A$2:$C$986,3,1),
IF(J188&gt;0,VLOOKUP(J188,Foundation_Calc!$A$2:$C$986,3,1),""))</f>
        <v/>
      </c>
      <c r="AX188" s="8" t="str">
        <f>IF(C188&gt;0,VLOOKUP(C188,Foundation_Calc!$E$2:$G$986,3,1),
IF(J188&gt;0,VLOOKUP(J188,Foundation_Calc!$E$2:$G$986,3,1),""))</f>
        <v/>
      </c>
      <c r="AY188" s="631" t="str">
        <f>IF(L188="","",
IF(AX188="PT",VLOOKUP(L188,Foundation_Calc!$K$4:$R$37,VLOOKUP(AW188,Foundation_Calc!$I$2:$J$8,2,FALSE),0),
IF(AX188="K",VLOOKUP(L188,Foundation_Calc!$K$41:$R$74,VLOOKUP(AW188,Foundation_Calc!$I$2:$J$8,2,FALSE),0),"")))</f>
        <v/>
      </c>
      <c r="AZ188" s="631" t="str">
        <f>IF(K188="","",
IF(AX188="PT",VLOOKUP(K188,Foundation_Calc!$K$4:$R$37,VLOOKUP(AW188,Foundation_Calc!$I$2:$J$8,2,FALSE),0),
IF(AX188="K",VLOOKUP(K188,Foundation_Calc!$K$41:$R$74,VLOOKUP(AW188,Foundation_Calc!$I$2:$J$8,2,FALSE),0),"")))</f>
        <v/>
      </c>
      <c r="BA188" s="632" t="str">
        <f t="shared" si="79"/>
        <v/>
      </c>
      <c r="BB188" s="632" t="str">
        <f t="shared" si="80"/>
        <v/>
      </c>
      <c r="BC188" s="632" t="str">
        <f t="shared" si="81"/>
        <v/>
      </c>
      <c r="BD188" s="633" t="str">
        <f>IF(AND(L188="",H188=""),"",
IF(H188="",Pole_Calc!A192,
IF(H188="MP",Pole_Calc!A193,
IF(H188="AnMP",Pole_Calc!A194,
IF(H188="A",Pole_Calc!A195,
IF(H188="S/A",Pole_Calc!A196,
IF(H188="A/S",Pole_Calc!A197,"Poner a mano")))))))</f>
        <v/>
      </c>
      <c r="BE188" s="448" t="s">
        <v>1726</v>
      </c>
      <c r="BF188" s="634"/>
      <c r="BG188" s="634"/>
      <c r="BH188" s="634"/>
      <c r="BI188" s="634"/>
    </row>
    <row r="189" spans="1:61" ht="16.2" customHeight="1">
      <c r="A189" s="12"/>
      <c r="B189" s="446"/>
      <c r="C189" s="89"/>
      <c r="D189" s="13"/>
      <c r="E189" s="14"/>
      <c r="F189" s="14"/>
      <c r="G189" s="15"/>
      <c r="H189" s="8"/>
      <c r="I189" s="8"/>
      <c r="J189" s="89"/>
      <c r="K189" s="8"/>
      <c r="L189" s="8"/>
      <c r="M189" s="8" t="str">
        <f>IF(L189="","",
IF(AX189="PT",VLOOKUP(L189,Foundation_Calc!$V$4:$X$37,VLOOKUP(AX189,Foundation_Calc!$I$10:$J$13,2,FALSE),0),
IF(AX189="K",VLOOKUP(L189,Foundation_Calc!$V$41:$X$74,VLOOKUP(AX189,Foundation_Calc!$I$10:$J$13,2,FALSE),0),"")))</f>
        <v/>
      </c>
      <c r="N189" s="8"/>
      <c r="O189" s="8"/>
      <c r="P189" s="8"/>
      <c r="Q189" s="14"/>
      <c r="R189" s="15"/>
      <c r="S189" s="15"/>
      <c r="T189" s="14"/>
      <c r="U189" s="14"/>
      <c r="V189" s="14"/>
      <c r="W189" s="18"/>
      <c r="X189" s="18"/>
      <c r="Y189" s="18"/>
      <c r="Z189" s="18"/>
      <c r="AA189" s="18"/>
      <c r="AB189" s="18"/>
      <c r="AC189" s="8" t="str">
        <f t="shared" si="67"/>
        <v/>
      </c>
      <c r="AD189" s="8"/>
      <c r="AE189" s="8"/>
      <c r="AF189" s="14"/>
      <c r="AG189" s="13"/>
      <c r="AH189" s="14"/>
      <c r="AI189" s="14"/>
      <c r="AJ189" s="8"/>
      <c r="AK189" s="8"/>
      <c r="AL189" s="8"/>
      <c r="AM189" s="8"/>
      <c r="AN189" s="631"/>
      <c r="AO189" s="18"/>
      <c r="AP189" s="18"/>
      <c r="AQ189" s="18"/>
      <c r="AR189" s="18"/>
      <c r="AS189" s="18"/>
      <c r="AU189" s="448"/>
      <c r="AV189" s="448"/>
      <c r="AW189" s="8" t="str">
        <f>IF(C189&gt;0,VLOOKUP(C189,Foundation_Calc!$A$2:$C$986,3,1),
IF(J189&gt;0,VLOOKUP(J189,Foundation_Calc!$A$2:$C$986,3,1),""))</f>
        <v/>
      </c>
      <c r="AX189" s="8" t="str">
        <f>IF(C189&gt;0,VLOOKUP(C189,Foundation_Calc!$E$2:$G$986,3,1),
IF(J189&gt;0,VLOOKUP(J189,Foundation_Calc!$E$2:$G$986,3,1),""))</f>
        <v/>
      </c>
      <c r="AY189" s="631" t="str">
        <f>IF(L189="","",
IF(AX189="PT",VLOOKUP(L189,Foundation_Calc!$K$4:$R$37,VLOOKUP(AW189,Foundation_Calc!$I$2:$J$8,2,FALSE),0),
IF(AX189="K",VLOOKUP(L189,Foundation_Calc!$K$41:$R$74,VLOOKUP(AW189,Foundation_Calc!$I$2:$J$8,2,FALSE),0),"")))</f>
        <v/>
      </c>
      <c r="AZ189" s="631" t="str">
        <f>IF(K189="","",
IF(AX189="PT",VLOOKUP(K189,Foundation_Calc!$K$4:$R$37,VLOOKUP(AW189,Foundation_Calc!$I$2:$J$8,2,FALSE),0),
IF(AX189="K",VLOOKUP(K189,Foundation_Calc!$K$41:$R$74,VLOOKUP(AW189,Foundation_Calc!$I$2:$J$8,2,FALSE),0),"")))</f>
        <v/>
      </c>
      <c r="BA189" s="632" t="str">
        <f t="shared" si="79"/>
        <v/>
      </c>
      <c r="BB189" s="632" t="str">
        <f t="shared" si="80"/>
        <v/>
      </c>
      <c r="BC189" s="632" t="str">
        <f t="shared" si="81"/>
        <v/>
      </c>
      <c r="BD189" s="633" t="str">
        <f>IF(AND(L189="",H189=""),"",
IF(H189="",Pole_Calc!A193,
IF(H189="MP",Pole_Calc!A194,
IF(H189="AnMP",Pole_Calc!A195,
IF(H189="A",Pole_Calc!A196,
IF(H189="S/A",Pole_Calc!A197,
IF(H189="A/S",Pole_Calc!A198,"Poner a mano")))))))</f>
        <v/>
      </c>
      <c r="BE189" s="448" t="s">
        <v>1726</v>
      </c>
      <c r="BF189" s="635"/>
      <c r="BG189" s="635"/>
      <c r="BH189" s="634"/>
      <c r="BI189" s="635"/>
    </row>
    <row r="190" spans="1:61" ht="16.2" customHeight="1">
      <c r="A190" s="12"/>
      <c r="B190" s="446"/>
      <c r="C190" s="89"/>
      <c r="D190" s="13"/>
      <c r="E190" s="14"/>
      <c r="F190" s="14"/>
      <c r="G190" s="15"/>
      <c r="H190" s="8"/>
      <c r="I190" s="8"/>
      <c r="J190" s="89"/>
      <c r="K190" s="8"/>
      <c r="L190" s="8"/>
      <c r="M190" s="8" t="str">
        <f>IF(L190="","",
IF(AX190="PT",VLOOKUP(L190,Foundation_Calc!$V$4:$X$37,VLOOKUP(AX190,Foundation_Calc!$I$10:$J$13,2,FALSE),0),
IF(AX190="K",VLOOKUP(L190,Foundation_Calc!$V$41:$X$74,VLOOKUP(AX190,Foundation_Calc!$I$10:$J$13,2,FALSE),0),"")))</f>
        <v/>
      </c>
      <c r="N190" s="8"/>
      <c r="O190" s="8"/>
      <c r="P190" s="8"/>
      <c r="Q190" s="14"/>
      <c r="R190" s="15"/>
      <c r="S190" s="15"/>
      <c r="T190" s="14"/>
      <c r="U190" s="14"/>
      <c r="V190" s="14"/>
      <c r="W190" s="18"/>
      <c r="X190" s="18"/>
      <c r="Y190" s="18"/>
      <c r="Z190" s="18"/>
      <c r="AA190" s="18"/>
      <c r="AB190" s="18"/>
      <c r="AC190" s="8" t="str">
        <f t="shared" si="67"/>
        <v/>
      </c>
      <c r="AD190" s="8"/>
      <c r="AE190" s="8"/>
      <c r="AF190" s="14"/>
      <c r="AG190" s="13"/>
      <c r="AH190" s="14"/>
      <c r="AI190" s="14"/>
      <c r="AJ190" s="8"/>
      <c r="AK190" s="8"/>
      <c r="AL190" s="8"/>
      <c r="AM190" s="8"/>
      <c r="AN190" s="631"/>
      <c r="AO190" s="18"/>
      <c r="AP190" s="18"/>
      <c r="AQ190" s="18"/>
      <c r="AR190" s="18"/>
      <c r="AS190" s="18"/>
      <c r="AU190" s="448"/>
      <c r="AV190" s="448"/>
      <c r="AW190" s="8" t="str">
        <f>IF(C190&gt;0,VLOOKUP(C190,Foundation_Calc!$A$2:$C$986,3,1),
IF(J190&gt;0,VLOOKUP(J190,Foundation_Calc!$A$2:$C$986,3,1),""))</f>
        <v/>
      </c>
      <c r="AX190" s="8" t="str">
        <f>IF(C190&gt;0,VLOOKUP(C190,Foundation_Calc!$E$2:$G$986,3,1),
IF(J190&gt;0,VLOOKUP(J190,Foundation_Calc!$E$2:$G$986,3,1),""))</f>
        <v/>
      </c>
      <c r="AY190" s="631" t="str">
        <f>IF(L190="","",
IF(AX190="PT",VLOOKUP(L190,Foundation_Calc!$K$4:$R$37,VLOOKUP(AW190,Foundation_Calc!$I$2:$J$8,2,FALSE),0),
IF(AX190="K",VLOOKUP(L190,Foundation_Calc!$K$41:$R$74,VLOOKUP(AW190,Foundation_Calc!$I$2:$J$8,2,FALSE),0),"")))</f>
        <v/>
      </c>
      <c r="AZ190" s="631" t="str">
        <f>IF(K190="","",
IF(AX190="PT",VLOOKUP(K190,Foundation_Calc!$K$4:$R$37,VLOOKUP(AW190,Foundation_Calc!$I$2:$J$8,2,FALSE),0),
IF(AX190="K",VLOOKUP(K190,Foundation_Calc!$K$41:$R$74,VLOOKUP(AW190,Foundation_Calc!$I$2:$J$8,2,FALSE),0),"")))</f>
        <v/>
      </c>
      <c r="BA190" s="632" t="str">
        <f t="shared" si="79"/>
        <v/>
      </c>
      <c r="BB190" s="632" t="str">
        <f t="shared" si="80"/>
        <v/>
      </c>
      <c r="BC190" s="632" t="str">
        <f t="shared" si="81"/>
        <v/>
      </c>
      <c r="BD190" s="633" t="str">
        <f>IF(AND(L190="",H190=""),"",
IF(H190="",Pole_Calc!A194,
IF(H190="MP",Pole_Calc!A195,
IF(H190="AnMP",Pole_Calc!A196,
IF(H190="A",Pole_Calc!A197,
IF(H190="S/A",Pole_Calc!A198,
IF(H190="A/S",Pole_Calc!A199,"Poner a mano")))))))</f>
        <v/>
      </c>
      <c r="BE190" s="448" t="s">
        <v>1726</v>
      </c>
      <c r="BF190" s="634"/>
      <c r="BG190" s="634"/>
      <c r="BH190" s="634"/>
      <c r="BI190" s="634"/>
    </row>
    <row r="191" spans="1:61" ht="16.2" customHeight="1">
      <c r="A191" s="12"/>
      <c r="B191" s="446"/>
      <c r="C191" s="89"/>
      <c r="D191" s="13"/>
      <c r="E191" s="14"/>
      <c r="F191" s="14"/>
      <c r="G191" s="15"/>
      <c r="H191" s="8"/>
      <c r="I191" s="8"/>
      <c r="J191" s="89"/>
      <c r="K191" s="8"/>
      <c r="L191" s="8"/>
      <c r="M191" s="8" t="str">
        <f>IF(L191="","",
IF(AX191="PT",VLOOKUP(L191,Foundation_Calc!$V$4:$X$37,VLOOKUP(AX191,Foundation_Calc!$I$10:$J$13,2,FALSE),0),
IF(AX191="K",VLOOKUP(L191,Foundation_Calc!$V$41:$X$74,VLOOKUP(AX191,Foundation_Calc!$I$10:$J$13,2,FALSE),0),"")))</f>
        <v/>
      </c>
      <c r="N191" s="8"/>
      <c r="O191" s="8"/>
      <c r="P191" s="8"/>
      <c r="Q191" s="14"/>
      <c r="R191" s="15"/>
      <c r="S191" s="15"/>
      <c r="T191" s="14"/>
      <c r="U191" s="14"/>
      <c r="V191" s="14"/>
      <c r="W191" s="18"/>
      <c r="X191" s="18"/>
      <c r="Y191" s="18"/>
      <c r="Z191" s="18"/>
      <c r="AA191" s="18"/>
      <c r="AB191" s="18"/>
      <c r="AC191" s="8" t="str">
        <f t="shared" si="67"/>
        <v/>
      </c>
      <c r="AD191" s="8"/>
      <c r="AE191" s="8"/>
      <c r="AF191" s="14"/>
      <c r="AG191" s="13"/>
      <c r="AH191" s="14"/>
      <c r="AI191" s="14"/>
      <c r="AJ191" s="8"/>
      <c r="AK191" s="8"/>
      <c r="AL191" s="8"/>
      <c r="AM191" s="8"/>
      <c r="AN191" s="631"/>
      <c r="AO191" s="18"/>
      <c r="AP191" s="18"/>
      <c r="AQ191" s="18"/>
      <c r="AR191" s="18"/>
      <c r="AS191" s="18"/>
      <c r="AU191" s="448"/>
      <c r="AV191" s="448"/>
      <c r="AW191" s="8" t="str">
        <f>IF(C191&gt;0,VLOOKUP(C191,Foundation_Calc!$A$2:$C$986,3,1),
IF(J191&gt;0,VLOOKUP(J191,Foundation_Calc!$A$2:$C$986,3,1),""))</f>
        <v/>
      </c>
      <c r="AX191" s="8" t="str">
        <f>IF(C191&gt;0,VLOOKUP(C191,Foundation_Calc!$E$2:$G$986,3,1),
IF(J191&gt;0,VLOOKUP(J191,Foundation_Calc!$E$2:$G$986,3,1),""))</f>
        <v/>
      </c>
      <c r="AY191" s="631" t="str">
        <f>IF(L191="","",
IF(AX191="PT",VLOOKUP(L191,Foundation_Calc!$K$4:$R$37,VLOOKUP(AW191,Foundation_Calc!$I$2:$J$8,2,FALSE),0),
IF(AX191="K",VLOOKUP(L191,Foundation_Calc!$K$41:$R$74,VLOOKUP(AW191,Foundation_Calc!$I$2:$J$8,2,FALSE),0),"")))</f>
        <v/>
      </c>
      <c r="AZ191" s="631" t="str">
        <f>IF(K191="","",
IF(AX191="PT",VLOOKUP(K191,Foundation_Calc!$K$4:$R$37,VLOOKUP(AW191,Foundation_Calc!$I$2:$J$8,2,FALSE),0),
IF(AX191="K",VLOOKUP(K191,Foundation_Calc!$K$41:$R$74,VLOOKUP(AW191,Foundation_Calc!$I$2:$J$8,2,FALSE),0),"")))</f>
        <v/>
      </c>
      <c r="BA191" s="632" t="str">
        <f t="shared" si="79"/>
        <v/>
      </c>
      <c r="BB191" s="632" t="str">
        <f t="shared" si="80"/>
        <v/>
      </c>
      <c r="BC191" s="632" t="str">
        <f t="shared" si="81"/>
        <v/>
      </c>
      <c r="BD191" s="633" t="str">
        <f>IF(AND(L191="",H191=""),"",
IF(H191="",Pole_Calc!A195,
IF(H191="MP",Pole_Calc!A196,
IF(H191="AnMP",Pole_Calc!A197,
IF(H191="A",Pole_Calc!A198,
IF(H191="S/A",Pole_Calc!A199,
IF(H191="A/S",Pole_Calc!A200,"Poner a mano")))))))</f>
        <v/>
      </c>
      <c r="BE191" s="448" t="s">
        <v>1726</v>
      </c>
      <c r="BF191" s="635"/>
      <c r="BG191" s="635"/>
      <c r="BH191" s="634"/>
      <c r="BI191" s="635"/>
    </row>
    <row r="192" spans="1:61" ht="16.2" customHeight="1">
      <c r="A192" s="12"/>
      <c r="B192" s="446"/>
      <c r="C192" s="89"/>
      <c r="D192" s="13"/>
      <c r="E192" s="14"/>
      <c r="F192" s="14"/>
      <c r="G192" s="15"/>
      <c r="H192" s="8"/>
      <c r="I192" s="8"/>
      <c r="J192" s="89"/>
      <c r="K192" s="8"/>
      <c r="L192" s="8"/>
      <c r="M192" s="8" t="str">
        <f>IF(L192="","",
IF(AX192="PT",VLOOKUP(L192,Foundation_Calc!$V$4:$X$37,VLOOKUP(AX192,Foundation_Calc!$I$10:$J$13,2,FALSE),0),
IF(AX192="K",VLOOKUP(L192,Foundation_Calc!$V$41:$X$74,VLOOKUP(AX192,Foundation_Calc!$I$10:$J$13,2,FALSE),0),"")))</f>
        <v/>
      </c>
      <c r="N192" s="8"/>
      <c r="O192" s="8"/>
      <c r="P192" s="8"/>
      <c r="Q192" s="14"/>
      <c r="R192" s="15"/>
      <c r="S192" s="15"/>
      <c r="T192" s="14"/>
      <c r="U192" s="14"/>
      <c r="V192" s="14"/>
      <c r="W192" s="18"/>
      <c r="X192" s="18"/>
      <c r="Y192" s="18"/>
      <c r="Z192" s="18"/>
      <c r="AA192" s="18"/>
      <c r="AB192" s="18"/>
      <c r="AC192" s="8" t="str">
        <f t="shared" si="67"/>
        <v/>
      </c>
      <c r="AD192" s="8"/>
      <c r="AE192" s="8"/>
      <c r="AF192" s="14"/>
      <c r="AG192" s="13"/>
      <c r="AH192" s="14"/>
      <c r="AI192" s="14"/>
      <c r="AJ192" s="8"/>
      <c r="AK192" s="8"/>
      <c r="AL192" s="8"/>
      <c r="AM192" s="8"/>
      <c r="AN192" s="631"/>
      <c r="AO192" s="18"/>
      <c r="AP192" s="18"/>
      <c r="AQ192" s="18"/>
      <c r="AR192" s="18"/>
      <c r="AS192" s="18"/>
      <c r="AU192" s="448"/>
      <c r="AV192" s="448"/>
      <c r="AW192" s="8" t="str">
        <f>IF(C192&gt;0,VLOOKUP(C192,Foundation_Calc!$A$2:$C$986,3,1),
IF(J192&gt;0,VLOOKUP(J192,Foundation_Calc!$A$2:$C$986,3,1),""))</f>
        <v/>
      </c>
      <c r="AX192" s="8" t="str">
        <f>IF(C192&gt;0,VLOOKUP(C192,Foundation_Calc!$E$2:$G$986,3,1),
IF(J192&gt;0,VLOOKUP(J192,Foundation_Calc!$E$2:$G$986,3,1),""))</f>
        <v/>
      </c>
      <c r="AY192" s="631" t="str">
        <f>IF(L192="","",
IF(AX192="PT",VLOOKUP(L192,Foundation_Calc!$K$4:$R$37,VLOOKUP(AW192,Foundation_Calc!$I$2:$J$8,2,FALSE),0),
IF(AX192="K",VLOOKUP(L192,Foundation_Calc!$K$41:$R$74,VLOOKUP(AW192,Foundation_Calc!$I$2:$J$8,2,FALSE),0),"")))</f>
        <v/>
      </c>
      <c r="AZ192" s="631" t="str">
        <f>IF(K192="","",
IF(AX192="PT",VLOOKUP(K192,Foundation_Calc!$K$4:$R$37,VLOOKUP(AW192,Foundation_Calc!$I$2:$J$8,2,FALSE),0),
IF(AX192="K",VLOOKUP(K192,Foundation_Calc!$K$41:$R$74,VLOOKUP(AW192,Foundation_Calc!$I$2:$J$8,2,FALSE),0),"")))</f>
        <v/>
      </c>
      <c r="BA192" s="632" t="str">
        <f t="shared" si="79"/>
        <v/>
      </c>
      <c r="BB192" s="632" t="str">
        <f t="shared" si="80"/>
        <v/>
      </c>
      <c r="BC192" s="632" t="str">
        <f t="shared" si="81"/>
        <v/>
      </c>
      <c r="BD192" s="633" t="str">
        <f>IF(AND(L192="",H192=""),"",
IF(H192="",Pole_Calc!A196,
IF(H192="MP",Pole_Calc!A197,
IF(H192="AnMP",Pole_Calc!A198,
IF(H192="A",Pole_Calc!A199,
IF(H192="S/A",Pole_Calc!A200,
IF(H192="A/S",Pole_Calc!A201,"Poner a mano")))))))</f>
        <v/>
      </c>
      <c r="BE192" s="448" t="s">
        <v>1726</v>
      </c>
      <c r="BF192" s="634"/>
      <c r="BG192" s="634"/>
      <c r="BH192" s="634"/>
      <c r="BI192" s="634"/>
    </row>
    <row r="193" spans="1:61" ht="16.2" customHeight="1">
      <c r="A193" s="12"/>
      <c r="B193" s="446"/>
      <c r="C193" s="89"/>
      <c r="D193" s="13"/>
      <c r="E193" s="14"/>
      <c r="F193" s="14"/>
      <c r="G193" s="15"/>
      <c r="H193" s="8"/>
      <c r="I193" s="8"/>
      <c r="J193" s="89"/>
      <c r="K193" s="8"/>
      <c r="L193" s="8"/>
      <c r="M193" s="8" t="str">
        <f>IF(L193="","",
IF(AX193="PT",VLOOKUP(L193,Foundation_Calc!$V$4:$X$37,VLOOKUP(AX193,Foundation_Calc!$I$10:$J$13,2,FALSE),0),
IF(AX193="K",VLOOKUP(L193,Foundation_Calc!$V$41:$X$74,VLOOKUP(AX193,Foundation_Calc!$I$10:$J$13,2,FALSE),0),"")))</f>
        <v/>
      </c>
      <c r="N193" s="8"/>
      <c r="O193" s="8"/>
      <c r="P193" s="8"/>
      <c r="Q193" s="14"/>
      <c r="R193" s="15"/>
      <c r="S193" s="15"/>
      <c r="T193" s="14"/>
      <c r="U193" s="14"/>
      <c r="V193" s="14"/>
      <c r="W193" s="18"/>
      <c r="X193" s="18"/>
      <c r="Y193" s="18"/>
      <c r="Z193" s="18"/>
      <c r="AA193" s="18"/>
      <c r="AB193" s="18"/>
      <c r="AC193" s="8" t="str">
        <f t="shared" si="67"/>
        <v/>
      </c>
      <c r="AD193" s="8"/>
      <c r="AE193" s="8"/>
      <c r="AF193" s="14"/>
      <c r="AG193" s="13"/>
      <c r="AH193" s="14"/>
      <c r="AI193" s="14"/>
      <c r="AJ193" s="8"/>
      <c r="AK193" s="8"/>
      <c r="AL193" s="8"/>
      <c r="AM193" s="8"/>
      <c r="AN193" s="631"/>
      <c r="AO193" s="18"/>
      <c r="AP193" s="18"/>
      <c r="AQ193" s="18"/>
      <c r="AR193" s="18"/>
      <c r="AS193" s="18"/>
      <c r="AU193" s="448"/>
      <c r="AV193" s="448"/>
      <c r="AW193" s="8" t="str">
        <f>IF(C193&gt;0,VLOOKUP(C193,Foundation_Calc!$A$2:$C$986,3,1),
IF(J193&gt;0,VLOOKUP(J193,Foundation_Calc!$A$2:$C$986,3,1),""))</f>
        <v/>
      </c>
      <c r="AX193" s="8" t="str">
        <f>IF(C193&gt;0,VLOOKUP(C193,Foundation_Calc!$E$2:$G$986,3,1),
IF(J193&gt;0,VLOOKUP(J193,Foundation_Calc!$E$2:$G$986,3,1),""))</f>
        <v/>
      </c>
      <c r="AY193" s="631" t="str">
        <f>IF(L193="","",
IF(AX193="PT",VLOOKUP(L193,Foundation_Calc!$K$4:$R$37,VLOOKUP(AW193,Foundation_Calc!$I$2:$J$8,2,FALSE),0),
IF(AX193="K",VLOOKUP(L193,Foundation_Calc!$K$41:$R$74,VLOOKUP(AW193,Foundation_Calc!$I$2:$J$8,2,FALSE),0),"")))</f>
        <v/>
      </c>
      <c r="AZ193" s="631" t="str">
        <f>IF(K193="","",
IF(AX193="PT",VLOOKUP(K193,Foundation_Calc!$K$4:$R$37,VLOOKUP(AW193,Foundation_Calc!$I$2:$J$8,2,FALSE),0),
IF(AX193="K",VLOOKUP(K193,Foundation_Calc!$K$41:$R$74,VLOOKUP(AW193,Foundation_Calc!$I$2:$J$8,2,FALSE),0),"")))</f>
        <v/>
      </c>
      <c r="BA193" s="632" t="str">
        <f t="shared" si="79"/>
        <v/>
      </c>
      <c r="BB193" s="632" t="str">
        <f t="shared" si="80"/>
        <v/>
      </c>
      <c r="BC193" s="632" t="str">
        <f t="shared" si="81"/>
        <v/>
      </c>
      <c r="BD193" s="633" t="str">
        <f>IF(AND(L193="",H193=""),"",
IF(H193="",Pole_Calc!A197,
IF(H193="MP",Pole_Calc!A198,
IF(H193="AnMP",Pole_Calc!A199,
IF(H193="A",Pole_Calc!A200,
IF(H193="S/A",Pole_Calc!A201,
IF(H193="A/S",Pole_Calc!A202,"Poner a mano")))))))</f>
        <v/>
      </c>
      <c r="BE193" s="448" t="s">
        <v>1726</v>
      </c>
      <c r="BF193" s="635"/>
      <c r="BG193" s="635"/>
      <c r="BH193" s="634"/>
      <c r="BI193" s="635"/>
    </row>
    <row r="194" spans="1:61" ht="16.2" customHeight="1">
      <c r="A194" s="12"/>
      <c r="B194" s="446"/>
      <c r="C194" s="89"/>
      <c r="D194" s="13"/>
      <c r="E194" s="14"/>
      <c r="F194" s="14"/>
      <c r="G194" s="15"/>
      <c r="H194" s="8"/>
      <c r="I194" s="8"/>
      <c r="J194" s="89"/>
      <c r="K194" s="8"/>
      <c r="L194" s="8"/>
      <c r="M194" s="8" t="str">
        <f>IF(L194="","",
IF(AX194="PT",VLOOKUP(L194,Foundation_Calc!$V$4:$X$37,VLOOKUP(AX194,Foundation_Calc!$I$10:$J$13,2,FALSE),0),
IF(AX194="K",VLOOKUP(L194,Foundation_Calc!$V$41:$X$74,VLOOKUP(AX194,Foundation_Calc!$I$10:$J$13,2,FALSE),0),"")))</f>
        <v/>
      </c>
      <c r="N194" s="8"/>
      <c r="O194" s="8"/>
      <c r="P194" s="8"/>
      <c r="Q194" s="14"/>
      <c r="R194" s="15"/>
      <c r="S194" s="15"/>
      <c r="T194" s="14"/>
      <c r="U194" s="14"/>
      <c r="V194" s="14"/>
      <c r="W194" s="18"/>
      <c r="X194" s="18"/>
      <c r="Y194" s="18"/>
      <c r="Z194" s="18"/>
      <c r="AA194" s="18"/>
      <c r="AB194" s="18"/>
      <c r="AC194" s="8" t="str">
        <f t="shared" si="67"/>
        <v/>
      </c>
      <c r="AD194" s="8"/>
      <c r="AE194" s="8"/>
      <c r="AF194" s="14"/>
      <c r="AG194" s="13"/>
      <c r="AH194" s="14"/>
      <c r="AI194" s="14"/>
      <c r="AJ194" s="8"/>
      <c r="AK194" s="8"/>
      <c r="AL194" s="8"/>
      <c r="AM194" s="8"/>
      <c r="AN194" s="631"/>
      <c r="AO194" s="18"/>
      <c r="AP194" s="18"/>
      <c r="AQ194" s="18"/>
      <c r="AR194" s="18"/>
      <c r="AS194" s="18"/>
      <c r="AU194" s="448"/>
      <c r="AV194" s="448"/>
      <c r="AW194" s="8" t="str">
        <f>IF(C194&gt;0,VLOOKUP(C194,Foundation_Calc!$A$2:$C$986,3,1),
IF(J194&gt;0,VLOOKUP(J194,Foundation_Calc!$A$2:$C$986,3,1),""))</f>
        <v/>
      </c>
      <c r="AX194" s="8" t="str">
        <f>IF(C194&gt;0,VLOOKUP(C194,Foundation_Calc!$E$2:$G$986,3,1),
IF(J194&gt;0,VLOOKUP(J194,Foundation_Calc!$E$2:$G$986,3,1),""))</f>
        <v/>
      </c>
      <c r="AY194" s="631" t="str">
        <f>IF(L194="","",
IF(AX194="PT",VLOOKUP(L194,Foundation_Calc!$K$4:$R$37,VLOOKUP(AW194,Foundation_Calc!$I$2:$J$8,2,FALSE),0),
IF(AX194="K",VLOOKUP(L194,Foundation_Calc!$K$41:$R$74,VLOOKUP(AW194,Foundation_Calc!$I$2:$J$8,2,FALSE),0),"")))</f>
        <v/>
      </c>
      <c r="AZ194" s="631" t="str">
        <f>IF(K194="","",
IF(AX194="PT",VLOOKUP(K194,Foundation_Calc!$K$4:$R$37,VLOOKUP(AW194,Foundation_Calc!$I$2:$J$8,2,FALSE),0),
IF(AX194="K",VLOOKUP(K194,Foundation_Calc!$K$41:$R$74,VLOOKUP(AW194,Foundation_Calc!$I$2:$J$8,2,FALSE),0),"")))</f>
        <v/>
      </c>
      <c r="BA194" s="632" t="str">
        <f t="shared" si="79"/>
        <v/>
      </c>
      <c r="BB194" s="632" t="str">
        <f t="shared" si="80"/>
        <v/>
      </c>
      <c r="BC194" s="632" t="str">
        <f t="shared" si="81"/>
        <v/>
      </c>
      <c r="BD194" s="633" t="str">
        <f>IF(AND(L194="",H194=""),"",
IF(H194="",Pole_Calc!A198,
IF(H194="MP",Pole_Calc!A199,
IF(H194="AnMP",Pole_Calc!A200,
IF(H194="A",Pole_Calc!A201,
IF(H194="S/A",Pole_Calc!A202,
IF(H194="A/S",Pole_Calc!A203,"Poner a mano")))))))</f>
        <v/>
      </c>
      <c r="BE194" s="448" t="s">
        <v>1726</v>
      </c>
      <c r="BF194" s="634"/>
      <c r="BG194" s="634"/>
      <c r="BH194" s="634"/>
      <c r="BI194" s="634"/>
    </row>
    <row r="195" spans="1:61" ht="16.2" customHeight="1">
      <c r="A195" s="12"/>
      <c r="B195" s="446"/>
      <c r="C195" s="89"/>
      <c r="D195" s="13"/>
      <c r="E195" s="14"/>
      <c r="F195" s="14"/>
      <c r="G195" s="15"/>
      <c r="H195" s="8"/>
      <c r="I195" s="8"/>
      <c r="J195" s="89"/>
      <c r="K195" s="8"/>
      <c r="L195" s="8"/>
      <c r="M195" s="8" t="str">
        <f>IF(L195="","",
IF(AX195="PT",VLOOKUP(L195,Foundation_Calc!$V$4:$X$37,VLOOKUP(AX195,Foundation_Calc!$I$10:$J$13,2,FALSE),0),
IF(AX195="K",VLOOKUP(L195,Foundation_Calc!$V$41:$X$74,VLOOKUP(AX195,Foundation_Calc!$I$10:$J$13,2,FALSE),0),"")))</f>
        <v/>
      </c>
      <c r="N195" s="8"/>
      <c r="O195" s="8"/>
      <c r="P195" s="8"/>
      <c r="Q195" s="14"/>
      <c r="R195" s="15"/>
      <c r="S195" s="15"/>
      <c r="T195" s="14"/>
      <c r="U195" s="14"/>
      <c r="V195" s="14"/>
      <c r="W195" s="18"/>
      <c r="X195" s="18"/>
      <c r="Y195" s="18"/>
      <c r="Z195" s="18"/>
      <c r="AA195" s="18"/>
      <c r="AB195" s="18"/>
      <c r="AC195" s="8" t="str">
        <f t="shared" si="67"/>
        <v/>
      </c>
      <c r="AD195" s="8"/>
      <c r="AE195" s="8"/>
      <c r="AF195" s="14"/>
      <c r="AG195" s="13"/>
      <c r="AH195" s="14"/>
      <c r="AI195" s="14"/>
      <c r="AJ195" s="8"/>
      <c r="AK195" s="8"/>
      <c r="AL195" s="8"/>
      <c r="AM195" s="8"/>
      <c r="AN195" s="631"/>
      <c r="AO195" s="18"/>
      <c r="AP195" s="18"/>
      <c r="AQ195" s="18"/>
      <c r="AR195" s="18"/>
      <c r="AS195" s="18"/>
      <c r="AU195" s="448"/>
      <c r="AV195" s="448"/>
      <c r="AW195" s="8" t="str">
        <f>IF(C195&gt;0,VLOOKUP(C195,Foundation_Calc!$A$2:$C$986,3,1),
IF(J195&gt;0,VLOOKUP(J195,Foundation_Calc!$A$2:$C$986,3,1),""))</f>
        <v/>
      </c>
      <c r="AX195" s="8" t="str">
        <f>IF(C195&gt;0,VLOOKUP(C195,Foundation_Calc!$E$2:$G$986,3,1),
IF(J195&gt;0,VLOOKUP(J195,Foundation_Calc!$E$2:$G$986,3,1),""))</f>
        <v/>
      </c>
      <c r="AY195" s="631" t="str">
        <f>IF(L195="","",
IF(AX195="PT",VLOOKUP(L195,Foundation_Calc!$K$4:$R$37,VLOOKUP(AW195,Foundation_Calc!$I$2:$J$8,2,FALSE),0),
IF(AX195="K",VLOOKUP(L195,Foundation_Calc!$K$41:$R$74,VLOOKUP(AW195,Foundation_Calc!$I$2:$J$8,2,FALSE),0),"")))</f>
        <v/>
      </c>
      <c r="AZ195" s="631" t="str">
        <f>IF(K195="","",
IF(AX195="PT",VLOOKUP(K195,Foundation_Calc!$K$4:$R$37,VLOOKUP(AW195,Foundation_Calc!$I$2:$J$8,2,FALSE),0),
IF(AX195="K",VLOOKUP(K195,Foundation_Calc!$K$41:$R$74,VLOOKUP(AW195,Foundation_Calc!$I$2:$J$8,2,FALSE),0),"")))</f>
        <v/>
      </c>
      <c r="BA195" s="632" t="str">
        <f t="shared" si="79"/>
        <v/>
      </c>
      <c r="BB195" s="632" t="str">
        <f t="shared" si="80"/>
        <v/>
      </c>
      <c r="BC195" s="632" t="str">
        <f t="shared" si="81"/>
        <v/>
      </c>
      <c r="BD195" s="633" t="str">
        <f>IF(AND(L195="",H195=""),"",
IF(H195="",Pole_Calc!A199,
IF(H195="MP",Pole_Calc!A200,
IF(H195="AnMP",Pole_Calc!A201,
IF(H195="A",Pole_Calc!A202,
IF(H195="S/A",Pole_Calc!A203,
IF(H195="A/S",Pole_Calc!A204,"Poner a mano")))))))</f>
        <v/>
      </c>
      <c r="BE195" s="448" t="s">
        <v>1726</v>
      </c>
      <c r="BF195" s="635"/>
      <c r="BG195" s="635"/>
      <c r="BH195" s="634"/>
      <c r="BI195" s="635"/>
    </row>
    <row r="196" spans="1:61" ht="16.2" customHeight="1">
      <c r="A196" s="12"/>
      <c r="B196" s="446"/>
      <c r="C196" s="89"/>
      <c r="D196" s="13"/>
      <c r="E196" s="14"/>
      <c r="F196" s="14"/>
      <c r="G196" s="15"/>
      <c r="H196" s="8"/>
      <c r="I196" s="8"/>
      <c r="J196" s="89"/>
      <c r="K196" s="8"/>
      <c r="L196" s="8"/>
      <c r="M196" s="8" t="str">
        <f>IF(L196="","",
IF(AX196="PT",VLOOKUP(L196,Foundation_Calc!$V$4:$X$37,VLOOKUP(AX196,Foundation_Calc!$I$10:$J$13,2,FALSE),0),
IF(AX196="K",VLOOKUP(L196,Foundation_Calc!$V$41:$X$74,VLOOKUP(AX196,Foundation_Calc!$I$10:$J$13,2,FALSE),0),"")))</f>
        <v/>
      </c>
      <c r="N196" s="8"/>
      <c r="O196" s="8"/>
      <c r="P196" s="8"/>
      <c r="Q196" s="14"/>
      <c r="R196" s="15"/>
      <c r="S196" s="15"/>
      <c r="T196" s="14"/>
      <c r="U196" s="14"/>
      <c r="V196" s="14"/>
      <c r="W196" s="18"/>
      <c r="X196" s="18"/>
      <c r="Y196" s="18"/>
      <c r="Z196" s="18"/>
      <c r="AA196" s="18"/>
      <c r="AB196" s="18"/>
      <c r="AC196" s="8" t="str">
        <f t="shared" si="67"/>
        <v/>
      </c>
      <c r="AD196" s="8"/>
      <c r="AE196" s="8"/>
      <c r="AF196" s="14"/>
      <c r="AG196" s="13"/>
      <c r="AH196" s="14"/>
      <c r="AI196" s="14"/>
      <c r="AJ196" s="8"/>
      <c r="AK196" s="8"/>
      <c r="AL196" s="8"/>
      <c r="AM196" s="8"/>
      <c r="AN196" s="631"/>
      <c r="AO196" s="18"/>
      <c r="AP196" s="18"/>
      <c r="AQ196" s="18"/>
      <c r="AR196" s="18"/>
      <c r="AS196" s="18"/>
      <c r="AU196" s="448"/>
      <c r="AV196" s="448"/>
      <c r="AW196" s="8" t="str">
        <f>IF(C196&gt;0,VLOOKUP(C196,Foundation_Calc!$A$2:$C$986,3,1),
IF(J196&gt;0,VLOOKUP(J196,Foundation_Calc!$A$2:$C$986,3,1),""))</f>
        <v/>
      </c>
      <c r="AX196" s="8" t="str">
        <f>IF(C196&gt;0,VLOOKUP(C196,Foundation_Calc!$E$2:$G$986,3,1),
IF(J196&gt;0,VLOOKUP(J196,Foundation_Calc!$E$2:$G$986,3,1),""))</f>
        <v/>
      </c>
      <c r="AY196" s="631" t="str">
        <f>IF(L196="","",
IF(AX196="PT",VLOOKUP(L196,Foundation_Calc!$K$4:$R$37,VLOOKUP(AW196,Foundation_Calc!$I$2:$J$8,2,FALSE),0),
IF(AX196="K",VLOOKUP(L196,Foundation_Calc!$K$41:$R$74,VLOOKUP(AW196,Foundation_Calc!$I$2:$J$8,2,FALSE),0),"")))</f>
        <v/>
      </c>
      <c r="AZ196" s="631" t="str">
        <f>IF(K196="","",
IF(AX196="PT",VLOOKUP(K196,Foundation_Calc!$K$4:$R$37,VLOOKUP(AW196,Foundation_Calc!$I$2:$J$8,2,FALSE),0),
IF(AX196="K",VLOOKUP(K196,Foundation_Calc!$K$41:$R$74,VLOOKUP(AW196,Foundation_Calc!$I$2:$J$8,2,FALSE),0),"")))</f>
        <v/>
      </c>
      <c r="BA196" s="632" t="str">
        <f t="shared" si="79"/>
        <v/>
      </c>
      <c r="BB196" s="632" t="str">
        <f t="shared" si="80"/>
        <v/>
      </c>
      <c r="BC196" s="632" t="str">
        <f t="shared" si="81"/>
        <v/>
      </c>
      <c r="BD196" s="633" t="str">
        <f>IF(AND(L196="",H196=""),"",
IF(H196="",Pole_Calc!A200,
IF(H196="MP",Pole_Calc!A201,
IF(H196="AnMP",Pole_Calc!A202,
IF(H196="A",Pole_Calc!A203,
IF(H196="S/A",Pole_Calc!A204,
IF(H196="A/S",Pole_Calc!A205,"Poner a mano")))))))</f>
        <v/>
      </c>
      <c r="BE196" s="448" t="s">
        <v>1726</v>
      </c>
      <c r="BF196" s="634"/>
      <c r="BG196" s="634"/>
      <c r="BH196" s="634"/>
      <c r="BI196" s="634"/>
    </row>
    <row r="197" spans="1:61" ht="16.2" customHeight="1">
      <c r="A197" s="12"/>
      <c r="B197" s="446"/>
      <c r="C197" s="89"/>
      <c r="D197" s="13"/>
      <c r="E197" s="14"/>
      <c r="F197" s="14"/>
      <c r="G197" s="15"/>
      <c r="H197" s="8"/>
      <c r="I197" s="8"/>
      <c r="J197" s="89"/>
      <c r="K197" s="8"/>
      <c r="L197" s="8"/>
      <c r="M197" s="8" t="str">
        <f>IF(L197="","",
IF(AX197="PT",VLOOKUP(L197,Foundation_Calc!$V$4:$X$37,VLOOKUP(AX197,Foundation_Calc!$I$10:$J$13,2,FALSE),0),
IF(AX197="K",VLOOKUP(L197,Foundation_Calc!$V$41:$X$74,VLOOKUP(AX197,Foundation_Calc!$I$10:$J$13,2,FALSE),0),"")))</f>
        <v/>
      </c>
      <c r="N197" s="8"/>
      <c r="O197" s="8"/>
      <c r="P197" s="8"/>
      <c r="Q197" s="14"/>
      <c r="R197" s="15"/>
      <c r="S197" s="15"/>
      <c r="T197" s="14"/>
      <c r="U197" s="14"/>
      <c r="V197" s="14"/>
      <c r="W197" s="18"/>
      <c r="X197" s="18"/>
      <c r="Y197" s="18"/>
      <c r="Z197" s="18"/>
      <c r="AA197" s="18"/>
      <c r="AB197" s="18"/>
      <c r="AC197" s="8" t="str">
        <f t="shared" si="67"/>
        <v/>
      </c>
      <c r="AD197" s="8"/>
      <c r="AE197" s="8"/>
      <c r="AF197" s="14"/>
      <c r="AG197" s="13"/>
      <c r="AH197" s="14"/>
      <c r="AI197" s="14"/>
      <c r="AJ197" s="8"/>
      <c r="AK197" s="8"/>
      <c r="AL197" s="8"/>
      <c r="AM197" s="8"/>
      <c r="AN197" s="631"/>
      <c r="AO197" s="18"/>
      <c r="AP197" s="18"/>
      <c r="AQ197" s="18"/>
      <c r="AR197" s="18"/>
      <c r="AS197" s="18"/>
      <c r="AU197" s="448"/>
      <c r="AV197" s="448"/>
      <c r="AW197" s="8" t="str">
        <f>IF(C197&gt;0,VLOOKUP(C197,Foundation_Calc!$A$2:$C$986,3,1),
IF(J197&gt;0,VLOOKUP(J197,Foundation_Calc!$A$2:$C$986,3,1),""))</f>
        <v/>
      </c>
      <c r="AX197" s="8" t="str">
        <f>IF(C197&gt;0,VLOOKUP(C197,Foundation_Calc!$E$2:$G$986,3,1),
IF(J197&gt;0,VLOOKUP(J197,Foundation_Calc!$E$2:$G$986,3,1),""))</f>
        <v/>
      </c>
      <c r="AY197" s="631" t="str">
        <f>IF(L197="","",
IF(AX197="PT",VLOOKUP(L197,Foundation_Calc!$K$4:$R$37,VLOOKUP(AW197,Foundation_Calc!$I$2:$J$8,2,FALSE),0),
IF(AX197="K",VLOOKUP(L197,Foundation_Calc!$K$41:$R$74,VLOOKUP(AW197,Foundation_Calc!$I$2:$J$8,2,FALSE),0),"")))</f>
        <v/>
      </c>
      <c r="AZ197" s="631" t="str">
        <f>IF(K197="","",
IF(AX197="PT",VLOOKUP(K197,Foundation_Calc!$K$4:$R$37,VLOOKUP(AW197,Foundation_Calc!$I$2:$J$8,2,FALSE),0),
IF(AX197="K",VLOOKUP(K197,Foundation_Calc!$K$41:$R$74,VLOOKUP(AW197,Foundation_Calc!$I$2:$J$8,2,FALSE),0),"")))</f>
        <v/>
      </c>
      <c r="BA197" s="632" t="str">
        <f t="shared" si="79"/>
        <v/>
      </c>
      <c r="BB197" s="632" t="str">
        <f t="shared" si="80"/>
        <v/>
      </c>
      <c r="BC197" s="632" t="str">
        <f t="shared" si="81"/>
        <v/>
      </c>
      <c r="BD197" s="633" t="str">
        <f>IF(AND(L197="",H197=""),"",
IF(H197="",Pole_Calc!A201,
IF(H197="MP",Pole_Calc!A202,
IF(H197="AnMP",Pole_Calc!A203,
IF(H197="A",Pole_Calc!A204,
IF(H197="S/A",Pole_Calc!A205,
IF(H197="A/S",Pole_Calc!A206,"Poner a mano")))))))</f>
        <v/>
      </c>
      <c r="BE197" s="448" t="s">
        <v>1726</v>
      </c>
      <c r="BF197" s="635"/>
      <c r="BG197" s="635"/>
      <c r="BH197" s="634"/>
      <c r="BI197" s="635"/>
    </row>
    <row r="198" spans="1:61" ht="16.2" customHeight="1">
      <c r="A198" s="12"/>
      <c r="B198" s="446"/>
      <c r="C198" s="89"/>
      <c r="D198" s="13"/>
      <c r="E198" s="14"/>
      <c r="F198" s="14"/>
      <c r="G198" s="15"/>
      <c r="H198" s="8"/>
      <c r="I198" s="8"/>
      <c r="J198" s="89"/>
      <c r="K198" s="8"/>
      <c r="L198" s="8"/>
      <c r="M198" s="8" t="str">
        <f>IF(L198="","",
IF(AX198="PT",VLOOKUP(L198,Foundation_Calc!$V$4:$X$37,VLOOKUP(AX198,Foundation_Calc!$I$10:$J$13,2,FALSE),0),
IF(AX198="K",VLOOKUP(L198,Foundation_Calc!$V$41:$X$74,VLOOKUP(AX198,Foundation_Calc!$I$10:$J$13,2,FALSE),0),"")))</f>
        <v/>
      </c>
      <c r="N198" s="8"/>
      <c r="O198" s="8"/>
      <c r="P198" s="8"/>
      <c r="Q198" s="14"/>
      <c r="R198" s="15"/>
      <c r="S198" s="15"/>
      <c r="T198" s="14"/>
      <c r="U198" s="14"/>
      <c r="V198" s="14"/>
      <c r="W198" s="18"/>
      <c r="X198" s="18"/>
      <c r="Y198" s="18"/>
      <c r="Z198" s="18"/>
      <c r="AA198" s="18"/>
      <c r="AB198" s="18"/>
      <c r="AC198" s="8" t="str">
        <f t="shared" ref="AC198:AC261" si="82">IF(OR(AT198&gt;8,AT198&lt;-8),"PH",
IF(OR(AT198&gt;5,AT198&lt;-5),"PHQ",
IF(OR(AT198&gt;1,AT198&lt;-1),
"PHC","")))</f>
        <v/>
      </c>
      <c r="AD198" s="8"/>
      <c r="AE198" s="8"/>
      <c r="AF198" s="14"/>
      <c r="AG198" s="13"/>
      <c r="AH198" s="14"/>
      <c r="AI198" s="14"/>
      <c r="AJ198" s="8"/>
      <c r="AK198" s="8"/>
      <c r="AL198" s="8"/>
      <c r="AM198" s="8"/>
      <c r="AN198" s="631"/>
      <c r="AO198" s="18"/>
      <c r="AP198" s="18"/>
      <c r="AQ198" s="18"/>
      <c r="AR198" s="18"/>
      <c r="AS198" s="18"/>
      <c r="AU198" s="448"/>
      <c r="AV198" s="448"/>
      <c r="AW198" s="8" t="str">
        <f>IF(C198&gt;0,VLOOKUP(C198,Foundation_Calc!$A$2:$C$986,3,1),
IF(J198&gt;0,VLOOKUP(J198,Foundation_Calc!$A$2:$C$986,3,1),""))</f>
        <v/>
      </c>
      <c r="AX198" s="8" t="str">
        <f>IF(C198&gt;0,VLOOKUP(C198,Foundation_Calc!$E$2:$G$986,3,1),
IF(J198&gt;0,VLOOKUP(J198,Foundation_Calc!$E$2:$G$986,3,1),""))</f>
        <v/>
      </c>
      <c r="AY198" s="631" t="str">
        <f>IF(L198="","",
IF(AX198="PT",VLOOKUP(L198,Foundation_Calc!$K$4:$R$37,VLOOKUP(AW198,Foundation_Calc!$I$2:$J$8,2,FALSE),0),
IF(AX198="K",VLOOKUP(L198,Foundation_Calc!$K$41:$R$74,VLOOKUP(AW198,Foundation_Calc!$I$2:$J$8,2,FALSE),0),"")))</f>
        <v/>
      </c>
      <c r="AZ198" s="631" t="str">
        <f>IF(K198="","",
IF(AX198="PT",VLOOKUP(K198,Foundation_Calc!$K$4:$R$37,VLOOKUP(AW198,Foundation_Calc!$I$2:$J$8,2,FALSE),0),
IF(AX198="K",VLOOKUP(K198,Foundation_Calc!$K$41:$R$74,VLOOKUP(AW198,Foundation_Calc!$I$2:$J$8,2,FALSE),0),"")))</f>
        <v/>
      </c>
      <c r="BA198" s="632" t="str">
        <f t="shared" ref="BA198:BA261" si="83">IF(AY198="","",IF(AY198&gt;0,"ü",""))</f>
        <v/>
      </c>
      <c r="BB198" s="632" t="str">
        <f t="shared" ref="BB198:BB261" si="84">IF(AZ198="","",IF(AZ198&gt;0,"ü",""))</f>
        <v/>
      </c>
      <c r="BC198" s="632" t="str">
        <f t="shared" ref="BC198:BC261" si="85">IF(M198="","",IF(M198="Unique Solution","ü",""))</f>
        <v/>
      </c>
      <c r="BD198" s="633" t="str">
        <f>IF(AND(L198="",H198=""),"",
IF(H198="",Pole_Calc!A202,
IF(H198="MP",Pole_Calc!A203,
IF(H198="AnMP",Pole_Calc!A204,
IF(H198="A",Pole_Calc!A205,
IF(H198="S/A",Pole_Calc!A206,
IF(H198="A/S",Pole_Calc!A207,"Poner a mano")))))))</f>
        <v/>
      </c>
      <c r="BE198" s="448" t="s">
        <v>1726</v>
      </c>
      <c r="BF198" s="634"/>
      <c r="BG198" s="634"/>
      <c r="BH198" s="634"/>
      <c r="BI198" s="634"/>
    </row>
    <row r="199" spans="1:61" ht="16.2" customHeight="1">
      <c r="A199" s="12"/>
      <c r="B199" s="446"/>
      <c r="C199" s="89"/>
      <c r="D199" s="13"/>
      <c r="E199" s="14"/>
      <c r="F199" s="14"/>
      <c r="G199" s="15"/>
      <c r="H199" s="8"/>
      <c r="I199" s="8"/>
      <c r="J199" s="89"/>
      <c r="K199" s="8"/>
      <c r="L199" s="8"/>
      <c r="M199" s="8" t="str">
        <f>IF(L199="","",
IF(AX199="PT",VLOOKUP(L199,Foundation_Calc!$V$4:$X$37,VLOOKUP(AX199,Foundation_Calc!$I$10:$J$13,2,FALSE),0),
IF(AX199="K",VLOOKUP(L199,Foundation_Calc!$V$41:$X$74,VLOOKUP(AX199,Foundation_Calc!$I$10:$J$13,2,FALSE),0),"")))</f>
        <v/>
      </c>
      <c r="N199" s="8"/>
      <c r="O199" s="8"/>
      <c r="P199" s="8"/>
      <c r="Q199" s="14"/>
      <c r="R199" s="15"/>
      <c r="S199" s="15"/>
      <c r="T199" s="14"/>
      <c r="U199" s="14"/>
      <c r="V199" s="14"/>
      <c r="W199" s="18"/>
      <c r="X199" s="18"/>
      <c r="Y199" s="18"/>
      <c r="Z199" s="18"/>
      <c r="AA199" s="18"/>
      <c r="AB199" s="18"/>
      <c r="AC199" s="8" t="str">
        <f t="shared" si="82"/>
        <v/>
      </c>
      <c r="AD199" s="8"/>
      <c r="AE199" s="8"/>
      <c r="AF199" s="14"/>
      <c r="AG199" s="13"/>
      <c r="AH199" s="14"/>
      <c r="AI199" s="14"/>
      <c r="AJ199" s="8"/>
      <c r="AK199" s="8"/>
      <c r="AL199" s="8"/>
      <c r="AM199" s="8"/>
      <c r="AN199" s="631"/>
      <c r="AO199" s="18"/>
      <c r="AP199" s="18"/>
      <c r="AQ199" s="18"/>
      <c r="AR199" s="18"/>
      <c r="AS199" s="18"/>
      <c r="AU199" s="448"/>
      <c r="AV199" s="448"/>
      <c r="AW199" s="8" t="str">
        <f>IF(C199&gt;0,VLOOKUP(C199,Foundation_Calc!$A$2:$C$986,3,1),
IF(J199&gt;0,VLOOKUP(J199,Foundation_Calc!$A$2:$C$986,3,1),""))</f>
        <v/>
      </c>
      <c r="AX199" s="8" t="str">
        <f>IF(C199&gt;0,VLOOKUP(C199,Foundation_Calc!$E$2:$G$986,3,1),
IF(J199&gt;0,VLOOKUP(J199,Foundation_Calc!$E$2:$G$986,3,1),""))</f>
        <v/>
      </c>
      <c r="AY199" s="631" t="str">
        <f>IF(L199="","",
IF(AX199="PT",VLOOKUP(L199,Foundation_Calc!$K$4:$R$37,VLOOKUP(AW199,Foundation_Calc!$I$2:$J$8,2,FALSE),0),
IF(AX199="K",VLOOKUP(L199,Foundation_Calc!$K$41:$R$74,VLOOKUP(AW199,Foundation_Calc!$I$2:$J$8,2,FALSE),0),"")))</f>
        <v/>
      </c>
      <c r="AZ199" s="631" t="str">
        <f>IF(K199="","",
IF(AX199="PT",VLOOKUP(K199,Foundation_Calc!$K$4:$R$37,VLOOKUP(AW199,Foundation_Calc!$I$2:$J$8,2,FALSE),0),
IF(AX199="K",VLOOKUP(K199,Foundation_Calc!$K$41:$R$74,VLOOKUP(AW199,Foundation_Calc!$I$2:$J$8,2,FALSE),0),"")))</f>
        <v/>
      </c>
      <c r="BA199" s="632" t="str">
        <f t="shared" si="83"/>
        <v/>
      </c>
      <c r="BB199" s="632" t="str">
        <f t="shared" si="84"/>
        <v/>
      </c>
      <c r="BC199" s="632" t="str">
        <f t="shared" si="85"/>
        <v/>
      </c>
      <c r="BD199" s="633" t="str">
        <f>IF(AND(L199="",H199=""),"",
IF(H199="",Pole_Calc!A203,
IF(H199="MP",Pole_Calc!A204,
IF(H199="AnMP",Pole_Calc!A205,
IF(H199="A",Pole_Calc!A206,
IF(H199="S/A",Pole_Calc!A207,
IF(H199="A/S",Pole_Calc!A208,"Poner a mano")))))))</f>
        <v/>
      </c>
      <c r="BE199" s="448" t="s">
        <v>1726</v>
      </c>
      <c r="BF199" s="635"/>
      <c r="BG199" s="635"/>
      <c r="BH199" s="634"/>
      <c r="BI199" s="635"/>
    </row>
    <row r="200" spans="1:61" ht="16.2" customHeight="1">
      <c r="A200" s="12"/>
      <c r="B200" s="446"/>
      <c r="C200" s="89"/>
      <c r="D200" s="13"/>
      <c r="E200" s="14"/>
      <c r="F200" s="14"/>
      <c r="G200" s="15"/>
      <c r="H200" s="8"/>
      <c r="I200" s="8"/>
      <c r="J200" s="89"/>
      <c r="K200" s="8"/>
      <c r="L200" s="8"/>
      <c r="M200" s="8" t="str">
        <f>IF(L200="","",
IF(AX200="PT",VLOOKUP(L200,Foundation_Calc!$V$4:$X$37,VLOOKUP(AX200,Foundation_Calc!$I$10:$J$13,2,FALSE),0),
IF(AX200="K",VLOOKUP(L200,Foundation_Calc!$V$41:$X$74,VLOOKUP(AX200,Foundation_Calc!$I$10:$J$13,2,FALSE),0),"")))</f>
        <v/>
      </c>
      <c r="N200" s="8"/>
      <c r="O200" s="8"/>
      <c r="P200" s="8"/>
      <c r="Q200" s="14"/>
      <c r="R200" s="15"/>
      <c r="S200" s="15"/>
      <c r="T200" s="14"/>
      <c r="U200" s="14"/>
      <c r="V200" s="14"/>
      <c r="W200" s="18"/>
      <c r="X200" s="18"/>
      <c r="Y200" s="18"/>
      <c r="Z200" s="18"/>
      <c r="AA200" s="18"/>
      <c r="AB200" s="18"/>
      <c r="AC200" s="8" t="str">
        <f t="shared" si="82"/>
        <v/>
      </c>
      <c r="AD200" s="8"/>
      <c r="AE200" s="8"/>
      <c r="AF200" s="14"/>
      <c r="AG200" s="13"/>
      <c r="AH200" s="14"/>
      <c r="AI200" s="14"/>
      <c r="AJ200" s="8"/>
      <c r="AK200" s="8"/>
      <c r="AL200" s="8"/>
      <c r="AM200" s="8"/>
      <c r="AN200" s="631"/>
      <c r="AO200" s="18"/>
      <c r="AP200" s="18"/>
      <c r="AQ200" s="18"/>
      <c r="AR200" s="18"/>
      <c r="AS200" s="18"/>
      <c r="AU200" s="448"/>
      <c r="AV200" s="448"/>
      <c r="AW200" s="8" t="str">
        <f>IF(C200&gt;0,VLOOKUP(C200,Foundation_Calc!$A$2:$C$986,3,1),
IF(J200&gt;0,VLOOKUP(J200,Foundation_Calc!$A$2:$C$986,3,1),""))</f>
        <v/>
      </c>
      <c r="AX200" s="8" t="str">
        <f>IF(C200&gt;0,VLOOKUP(C200,Foundation_Calc!$E$2:$G$986,3,1),
IF(J200&gt;0,VLOOKUP(J200,Foundation_Calc!$E$2:$G$986,3,1),""))</f>
        <v/>
      </c>
      <c r="AY200" s="631" t="str">
        <f>IF(L200="","",
IF(AX200="PT",VLOOKUP(L200,Foundation_Calc!$K$4:$R$37,VLOOKUP(AW200,Foundation_Calc!$I$2:$J$8,2,FALSE),0),
IF(AX200="K",VLOOKUP(L200,Foundation_Calc!$K$41:$R$74,VLOOKUP(AW200,Foundation_Calc!$I$2:$J$8,2,FALSE),0),"")))</f>
        <v/>
      </c>
      <c r="AZ200" s="631" t="str">
        <f>IF(K200="","",
IF(AX200="PT",VLOOKUP(K200,Foundation_Calc!$K$4:$R$37,VLOOKUP(AW200,Foundation_Calc!$I$2:$J$8,2,FALSE),0),
IF(AX200="K",VLOOKUP(K200,Foundation_Calc!$K$41:$R$74,VLOOKUP(AW200,Foundation_Calc!$I$2:$J$8,2,FALSE),0),"")))</f>
        <v/>
      </c>
      <c r="BA200" s="632" t="str">
        <f t="shared" si="83"/>
        <v/>
      </c>
      <c r="BB200" s="632" t="str">
        <f t="shared" si="84"/>
        <v/>
      </c>
      <c r="BC200" s="632" t="str">
        <f t="shared" si="85"/>
        <v/>
      </c>
      <c r="BD200" s="633" t="str">
        <f>IF(AND(L200="",H200=""),"",
IF(H200="",Pole_Calc!A204,
IF(H200="MP",Pole_Calc!A205,
IF(H200="AnMP",Pole_Calc!A206,
IF(H200="A",Pole_Calc!A207,
IF(H200="S/A",Pole_Calc!A208,
IF(H200="A/S",Pole_Calc!A209,"Poner a mano")))))))</f>
        <v/>
      </c>
      <c r="BE200" s="448" t="s">
        <v>1726</v>
      </c>
      <c r="BF200" s="634"/>
      <c r="BG200" s="634"/>
      <c r="BH200" s="634"/>
      <c r="BI200" s="634"/>
    </row>
    <row r="201" spans="1:61" ht="16.2" customHeight="1">
      <c r="A201" s="12"/>
      <c r="B201" s="446"/>
      <c r="C201" s="89"/>
      <c r="D201" s="13"/>
      <c r="E201" s="14"/>
      <c r="F201" s="14"/>
      <c r="G201" s="15"/>
      <c r="H201" s="8"/>
      <c r="I201" s="8"/>
      <c r="J201" s="89"/>
      <c r="K201" s="8"/>
      <c r="L201" s="8"/>
      <c r="M201" s="8" t="str">
        <f>IF(L201="","",
IF(AX201="PT",VLOOKUP(L201,Foundation_Calc!$V$4:$X$37,VLOOKUP(AX201,Foundation_Calc!$I$10:$J$13,2,FALSE),0),
IF(AX201="K",VLOOKUP(L201,Foundation_Calc!$V$41:$X$74,VLOOKUP(AX201,Foundation_Calc!$I$10:$J$13,2,FALSE),0),"")))</f>
        <v/>
      </c>
      <c r="N201" s="8"/>
      <c r="O201" s="8"/>
      <c r="P201" s="8"/>
      <c r="Q201" s="14"/>
      <c r="R201" s="15"/>
      <c r="S201" s="15"/>
      <c r="T201" s="14"/>
      <c r="U201" s="14"/>
      <c r="V201" s="14"/>
      <c r="W201" s="18"/>
      <c r="X201" s="18"/>
      <c r="Y201" s="18"/>
      <c r="Z201" s="18"/>
      <c r="AA201" s="18"/>
      <c r="AB201" s="18"/>
      <c r="AC201" s="8" t="str">
        <f t="shared" si="82"/>
        <v/>
      </c>
      <c r="AD201" s="8"/>
      <c r="AE201" s="8"/>
      <c r="AF201" s="14"/>
      <c r="AG201" s="13"/>
      <c r="AH201" s="14"/>
      <c r="AI201" s="14"/>
      <c r="AJ201" s="8"/>
      <c r="AK201" s="8"/>
      <c r="AL201" s="8"/>
      <c r="AM201" s="8"/>
      <c r="AN201" s="631"/>
      <c r="AO201" s="18"/>
      <c r="AP201" s="18"/>
      <c r="AQ201" s="18"/>
      <c r="AR201" s="18"/>
      <c r="AS201" s="18"/>
      <c r="AU201" s="448"/>
      <c r="AV201" s="448"/>
      <c r="AW201" s="8" t="str">
        <f>IF(C201&gt;0,VLOOKUP(C201,Foundation_Calc!$A$2:$C$986,3,1),
IF(J201&gt;0,VLOOKUP(J201,Foundation_Calc!$A$2:$C$986,3,1),""))</f>
        <v/>
      </c>
      <c r="AX201" s="8" t="str">
        <f>IF(C201&gt;0,VLOOKUP(C201,Foundation_Calc!$E$2:$G$986,3,1),
IF(J201&gt;0,VLOOKUP(J201,Foundation_Calc!$E$2:$G$986,3,1),""))</f>
        <v/>
      </c>
      <c r="AY201" s="631" t="str">
        <f>IF(L201="","",
IF(AX201="PT",VLOOKUP(L201,Foundation_Calc!$K$4:$R$37,VLOOKUP(AW201,Foundation_Calc!$I$2:$J$8,2,FALSE),0),
IF(AX201="K",VLOOKUP(L201,Foundation_Calc!$K$41:$R$74,VLOOKUP(AW201,Foundation_Calc!$I$2:$J$8,2,FALSE),0),"")))</f>
        <v/>
      </c>
      <c r="AZ201" s="631" t="str">
        <f>IF(K201="","",
IF(AX201="PT",VLOOKUP(K201,Foundation_Calc!$K$4:$R$37,VLOOKUP(AW201,Foundation_Calc!$I$2:$J$8,2,FALSE),0),
IF(AX201="K",VLOOKUP(K201,Foundation_Calc!$K$41:$R$74,VLOOKUP(AW201,Foundation_Calc!$I$2:$J$8,2,FALSE),0),"")))</f>
        <v/>
      </c>
      <c r="BA201" s="632" t="str">
        <f t="shared" si="83"/>
        <v/>
      </c>
      <c r="BB201" s="632" t="str">
        <f t="shared" si="84"/>
        <v/>
      </c>
      <c r="BC201" s="632" t="str">
        <f t="shared" si="85"/>
        <v/>
      </c>
      <c r="BD201" s="633" t="str">
        <f>IF(AND(L201="",H201=""),"",
IF(H201="",Pole_Calc!A205,
IF(H201="MP",Pole_Calc!A206,
IF(H201="AnMP",Pole_Calc!A207,
IF(H201="A",Pole_Calc!A208,
IF(H201="S/A",Pole_Calc!A209,
IF(H201="A/S",Pole_Calc!A210,"Poner a mano")))))))</f>
        <v/>
      </c>
      <c r="BE201" s="448" t="s">
        <v>1726</v>
      </c>
      <c r="BF201" s="635"/>
      <c r="BG201" s="635"/>
      <c r="BH201" s="634"/>
      <c r="BI201" s="635"/>
    </row>
    <row r="202" spans="1:61" ht="16.2" customHeight="1">
      <c r="A202" s="12"/>
      <c r="B202" s="446"/>
      <c r="C202" s="89"/>
      <c r="D202" s="13"/>
      <c r="E202" s="14"/>
      <c r="F202" s="14"/>
      <c r="G202" s="15"/>
      <c r="H202" s="8"/>
      <c r="I202" s="8"/>
      <c r="J202" s="89"/>
      <c r="K202" s="8"/>
      <c r="L202" s="8"/>
      <c r="M202" s="8" t="str">
        <f>IF(L202="","",
IF(AX202="PT",VLOOKUP(L202,Foundation_Calc!$V$4:$X$37,VLOOKUP(AX202,Foundation_Calc!$I$10:$J$13,2,FALSE),0),
IF(AX202="K",VLOOKUP(L202,Foundation_Calc!$V$41:$X$74,VLOOKUP(AX202,Foundation_Calc!$I$10:$J$13,2,FALSE),0),"")))</f>
        <v/>
      </c>
      <c r="N202" s="8"/>
      <c r="O202" s="8"/>
      <c r="P202" s="8"/>
      <c r="Q202" s="14"/>
      <c r="R202" s="15"/>
      <c r="S202" s="15"/>
      <c r="T202" s="14"/>
      <c r="U202" s="14"/>
      <c r="V202" s="14"/>
      <c r="W202" s="18"/>
      <c r="X202" s="18"/>
      <c r="Y202" s="18"/>
      <c r="Z202" s="18"/>
      <c r="AA202" s="18"/>
      <c r="AB202" s="18"/>
      <c r="AC202" s="8" t="str">
        <f t="shared" si="82"/>
        <v/>
      </c>
      <c r="AD202" s="8"/>
      <c r="AE202" s="8"/>
      <c r="AF202" s="14"/>
      <c r="AG202" s="13"/>
      <c r="AH202" s="14"/>
      <c r="AI202" s="14"/>
      <c r="AJ202" s="8"/>
      <c r="AK202" s="8"/>
      <c r="AL202" s="8"/>
      <c r="AM202" s="8"/>
      <c r="AN202" s="631"/>
      <c r="AO202" s="18"/>
      <c r="AP202" s="18"/>
      <c r="AQ202" s="18"/>
      <c r="AR202" s="18"/>
      <c r="AS202" s="18"/>
      <c r="AU202" s="448"/>
      <c r="AV202" s="448"/>
      <c r="AW202" s="8" t="str">
        <f>IF(C202&gt;0,VLOOKUP(C202,Foundation_Calc!$A$2:$C$986,3,1),
IF(J202&gt;0,VLOOKUP(J202,Foundation_Calc!$A$2:$C$986,3,1),""))</f>
        <v/>
      </c>
      <c r="AX202" s="8" t="str">
        <f>IF(C202&gt;0,VLOOKUP(C202,Foundation_Calc!$E$2:$G$986,3,1),
IF(J202&gt;0,VLOOKUP(J202,Foundation_Calc!$E$2:$G$986,3,1),""))</f>
        <v/>
      </c>
      <c r="AY202" s="631" t="str">
        <f>IF(L202="","",
IF(AX202="PT",VLOOKUP(L202,Foundation_Calc!$K$4:$R$37,VLOOKUP(AW202,Foundation_Calc!$I$2:$J$8,2,FALSE),0),
IF(AX202="K",VLOOKUP(L202,Foundation_Calc!$K$41:$R$74,VLOOKUP(AW202,Foundation_Calc!$I$2:$J$8,2,FALSE),0),"")))</f>
        <v/>
      </c>
      <c r="AZ202" s="631" t="str">
        <f>IF(K202="","",
IF(AX202="PT",VLOOKUP(K202,Foundation_Calc!$K$4:$R$37,VLOOKUP(AW202,Foundation_Calc!$I$2:$J$8,2,FALSE),0),
IF(AX202="K",VLOOKUP(K202,Foundation_Calc!$K$41:$R$74,VLOOKUP(AW202,Foundation_Calc!$I$2:$J$8,2,FALSE),0),"")))</f>
        <v/>
      </c>
      <c r="BA202" s="632" t="str">
        <f t="shared" si="83"/>
        <v/>
      </c>
      <c r="BB202" s="632" t="str">
        <f t="shared" si="84"/>
        <v/>
      </c>
      <c r="BC202" s="632" t="str">
        <f t="shared" si="85"/>
        <v/>
      </c>
      <c r="BD202" s="633" t="str">
        <f>IF(AND(L202="",H202=""),"",
IF(H202="",Pole_Calc!A206,
IF(H202="MP",Pole_Calc!A207,
IF(H202="AnMP",Pole_Calc!A208,
IF(H202="A",Pole_Calc!A209,
IF(H202="S/A",Pole_Calc!A210,
IF(H202="A/S",Pole_Calc!A211,"Poner a mano")))))))</f>
        <v/>
      </c>
      <c r="BE202" s="448" t="s">
        <v>1726</v>
      </c>
      <c r="BF202" s="634"/>
      <c r="BG202" s="634"/>
      <c r="BH202" s="634"/>
      <c r="BI202" s="634"/>
    </row>
    <row r="203" spans="1:61" ht="16.2" customHeight="1">
      <c r="A203" s="12"/>
      <c r="B203" s="446"/>
      <c r="C203" s="89"/>
      <c r="D203" s="13"/>
      <c r="E203" s="14"/>
      <c r="F203" s="14"/>
      <c r="G203" s="15"/>
      <c r="H203" s="8"/>
      <c r="I203" s="8"/>
      <c r="J203" s="89"/>
      <c r="K203" s="8"/>
      <c r="L203" s="8"/>
      <c r="M203" s="8" t="str">
        <f>IF(L203="","",
IF(AX203="PT",VLOOKUP(L203,Foundation_Calc!$V$4:$X$37,VLOOKUP(AX203,Foundation_Calc!$I$10:$J$13,2,FALSE),0),
IF(AX203="K",VLOOKUP(L203,Foundation_Calc!$V$41:$X$74,VLOOKUP(AX203,Foundation_Calc!$I$10:$J$13,2,FALSE),0),"")))</f>
        <v/>
      </c>
      <c r="N203" s="8"/>
      <c r="O203" s="8"/>
      <c r="P203" s="8"/>
      <c r="Q203" s="14"/>
      <c r="R203" s="15"/>
      <c r="S203" s="15"/>
      <c r="T203" s="14"/>
      <c r="U203" s="14"/>
      <c r="V203" s="14"/>
      <c r="W203" s="18"/>
      <c r="X203" s="18"/>
      <c r="Y203" s="18"/>
      <c r="Z203" s="18"/>
      <c r="AA203" s="18"/>
      <c r="AB203" s="18"/>
      <c r="AC203" s="8" t="str">
        <f t="shared" si="82"/>
        <v/>
      </c>
      <c r="AD203" s="8"/>
      <c r="AE203" s="8"/>
      <c r="AF203" s="14"/>
      <c r="AG203" s="13"/>
      <c r="AH203" s="14"/>
      <c r="AI203" s="14"/>
      <c r="AJ203" s="8"/>
      <c r="AK203" s="8"/>
      <c r="AL203" s="8"/>
      <c r="AM203" s="8"/>
      <c r="AN203" s="631"/>
      <c r="AO203" s="18"/>
      <c r="AP203" s="18"/>
      <c r="AQ203" s="18"/>
      <c r="AR203" s="18"/>
      <c r="AS203" s="18"/>
      <c r="AU203" s="448"/>
      <c r="AV203" s="448"/>
      <c r="AW203" s="8" t="str">
        <f>IF(C203&gt;0,VLOOKUP(C203,Foundation_Calc!$A$2:$C$986,3,1),
IF(J203&gt;0,VLOOKUP(J203,Foundation_Calc!$A$2:$C$986,3,1),""))</f>
        <v/>
      </c>
      <c r="AX203" s="8" t="str">
        <f>IF(C203&gt;0,VLOOKUP(C203,Foundation_Calc!$E$2:$G$986,3,1),
IF(J203&gt;0,VLOOKUP(J203,Foundation_Calc!$E$2:$G$986,3,1),""))</f>
        <v/>
      </c>
      <c r="AY203" s="631" t="str">
        <f>IF(L203="","",
IF(AX203="PT",VLOOKUP(L203,Foundation_Calc!$K$4:$R$37,VLOOKUP(AW203,Foundation_Calc!$I$2:$J$8,2,FALSE),0),
IF(AX203="K",VLOOKUP(L203,Foundation_Calc!$K$41:$R$74,VLOOKUP(AW203,Foundation_Calc!$I$2:$J$8,2,FALSE),0),"")))</f>
        <v/>
      </c>
      <c r="AZ203" s="631" t="str">
        <f>IF(K203="","",
IF(AX203="PT",VLOOKUP(K203,Foundation_Calc!$K$4:$R$37,VLOOKUP(AW203,Foundation_Calc!$I$2:$J$8,2,FALSE),0),
IF(AX203="K",VLOOKUP(K203,Foundation_Calc!$K$41:$R$74,VLOOKUP(AW203,Foundation_Calc!$I$2:$J$8,2,FALSE),0),"")))</f>
        <v/>
      </c>
      <c r="BA203" s="632" t="str">
        <f t="shared" si="83"/>
        <v/>
      </c>
      <c r="BB203" s="632" t="str">
        <f t="shared" si="84"/>
        <v/>
      </c>
      <c r="BC203" s="632" t="str">
        <f t="shared" si="85"/>
        <v/>
      </c>
      <c r="BD203" s="633" t="str">
        <f>IF(AND(L203="",H203=""),"",
IF(H203="",Pole_Calc!A207,
IF(H203="MP",Pole_Calc!A208,
IF(H203="AnMP",Pole_Calc!A209,
IF(H203="A",Pole_Calc!A210,
IF(H203="S/A",Pole_Calc!A211,
IF(H203="A/S",Pole_Calc!A212,"Poner a mano")))))))</f>
        <v/>
      </c>
      <c r="BE203" s="448" t="s">
        <v>1726</v>
      </c>
      <c r="BF203" s="635"/>
      <c r="BG203" s="635"/>
      <c r="BH203" s="634"/>
      <c r="BI203" s="635"/>
    </row>
    <row r="204" spans="1:61" ht="16.2" customHeight="1">
      <c r="A204" s="12"/>
      <c r="B204" s="446"/>
      <c r="C204" s="89"/>
      <c r="D204" s="13"/>
      <c r="E204" s="14"/>
      <c r="F204" s="14"/>
      <c r="G204" s="15"/>
      <c r="H204" s="8"/>
      <c r="I204" s="8"/>
      <c r="J204" s="89"/>
      <c r="K204" s="8"/>
      <c r="L204" s="8"/>
      <c r="M204" s="8" t="str">
        <f>IF(L204="","",
IF(AX204="PT",VLOOKUP(L204,Foundation_Calc!$V$4:$X$37,VLOOKUP(AX204,Foundation_Calc!$I$10:$J$13,2,FALSE),0),
IF(AX204="K",VLOOKUP(L204,Foundation_Calc!$V$41:$X$74,VLOOKUP(AX204,Foundation_Calc!$I$10:$J$13,2,FALSE),0),"")))</f>
        <v/>
      </c>
      <c r="N204" s="8"/>
      <c r="O204" s="8"/>
      <c r="P204" s="8"/>
      <c r="Q204" s="14"/>
      <c r="R204" s="15"/>
      <c r="S204" s="15"/>
      <c r="T204" s="14"/>
      <c r="U204" s="14"/>
      <c r="V204" s="14"/>
      <c r="W204" s="18"/>
      <c r="X204" s="18"/>
      <c r="Y204" s="18"/>
      <c r="Z204" s="18"/>
      <c r="AA204" s="18"/>
      <c r="AB204" s="18"/>
      <c r="AC204" s="8" t="str">
        <f t="shared" si="82"/>
        <v/>
      </c>
      <c r="AD204" s="8"/>
      <c r="AE204" s="8"/>
      <c r="AF204" s="14"/>
      <c r="AG204" s="13"/>
      <c r="AH204" s="14"/>
      <c r="AI204" s="14"/>
      <c r="AJ204" s="8"/>
      <c r="AK204" s="8"/>
      <c r="AL204" s="8"/>
      <c r="AM204" s="8"/>
      <c r="AN204" s="631"/>
      <c r="AO204" s="18"/>
      <c r="AP204" s="18"/>
      <c r="AQ204" s="18"/>
      <c r="AR204" s="18"/>
      <c r="AS204" s="18"/>
      <c r="AU204" s="448"/>
      <c r="AV204" s="448"/>
      <c r="AW204" s="8" t="str">
        <f>IF(C204&gt;0,VLOOKUP(C204,Foundation_Calc!$A$2:$C$986,3,1),
IF(J204&gt;0,VLOOKUP(J204,Foundation_Calc!$A$2:$C$986,3,1),""))</f>
        <v/>
      </c>
      <c r="AX204" s="8" t="str">
        <f>IF(C204&gt;0,VLOOKUP(C204,Foundation_Calc!$E$2:$G$986,3,1),
IF(J204&gt;0,VLOOKUP(J204,Foundation_Calc!$E$2:$G$986,3,1),""))</f>
        <v/>
      </c>
      <c r="AY204" s="631" t="str">
        <f>IF(L204="","",
IF(AX204="PT",VLOOKUP(L204,Foundation_Calc!$K$4:$R$37,VLOOKUP(AW204,Foundation_Calc!$I$2:$J$8,2,FALSE),0),
IF(AX204="K",VLOOKUP(L204,Foundation_Calc!$K$41:$R$74,VLOOKUP(AW204,Foundation_Calc!$I$2:$J$8,2,FALSE),0),"")))</f>
        <v/>
      </c>
      <c r="AZ204" s="631" t="str">
        <f>IF(K204="","",
IF(AX204="PT",VLOOKUP(K204,Foundation_Calc!$K$4:$R$37,VLOOKUP(AW204,Foundation_Calc!$I$2:$J$8,2,FALSE),0),
IF(AX204="K",VLOOKUP(K204,Foundation_Calc!$K$41:$R$74,VLOOKUP(AW204,Foundation_Calc!$I$2:$J$8,2,FALSE),0),"")))</f>
        <v/>
      </c>
      <c r="BA204" s="632" t="str">
        <f t="shared" si="83"/>
        <v/>
      </c>
      <c r="BB204" s="632" t="str">
        <f t="shared" si="84"/>
        <v/>
      </c>
      <c r="BC204" s="632" t="str">
        <f t="shared" si="85"/>
        <v/>
      </c>
      <c r="BD204" s="633" t="str">
        <f>IF(AND(L204="",H204=""),"",
IF(H204="",Pole_Calc!A208,
IF(H204="MP",Pole_Calc!A209,
IF(H204="AnMP",Pole_Calc!A210,
IF(H204="A",Pole_Calc!A211,
IF(H204="S/A",Pole_Calc!A212,
IF(H204="A/S",Pole_Calc!A213,"Poner a mano")))))))</f>
        <v/>
      </c>
      <c r="BE204" s="448" t="s">
        <v>1726</v>
      </c>
      <c r="BF204" s="634"/>
      <c r="BG204" s="634"/>
      <c r="BH204" s="634"/>
      <c r="BI204" s="634"/>
    </row>
    <row r="205" spans="1:61" ht="16.2" customHeight="1">
      <c r="A205" s="12"/>
      <c r="B205" s="446"/>
      <c r="C205" s="89"/>
      <c r="D205" s="13"/>
      <c r="E205" s="14"/>
      <c r="F205" s="14"/>
      <c r="G205" s="15"/>
      <c r="H205" s="8"/>
      <c r="I205" s="8"/>
      <c r="J205" s="89"/>
      <c r="K205" s="8"/>
      <c r="L205" s="8"/>
      <c r="M205" s="8" t="str">
        <f>IF(L205="","",
IF(AX205="PT",VLOOKUP(L205,Foundation_Calc!$V$4:$X$37,VLOOKUP(AX205,Foundation_Calc!$I$10:$J$13,2,FALSE),0),
IF(AX205="K",VLOOKUP(L205,Foundation_Calc!$V$41:$X$74,VLOOKUP(AX205,Foundation_Calc!$I$10:$J$13,2,FALSE),0),"")))</f>
        <v/>
      </c>
      <c r="N205" s="8"/>
      <c r="O205" s="8"/>
      <c r="P205" s="8"/>
      <c r="Q205" s="14"/>
      <c r="R205" s="15"/>
      <c r="S205" s="15"/>
      <c r="T205" s="14"/>
      <c r="U205" s="14"/>
      <c r="V205" s="14"/>
      <c r="W205" s="18"/>
      <c r="X205" s="18"/>
      <c r="Y205" s="18"/>
      <c r="Z205" s="18"/>
      <c r="AA205" s="18"/>
      <c r="AB205" s="18"/>
      <c r="AC205" s="8" t="str">
        <f t="shared" si="82"/>
        <v/>
      </c>
      <c r="AD205" s="8"/>
      <c r="AE205" s="8"/>
      <c r="AF205" s="14"/>
      <c r="AG205" s="13"/>
      <c r="AH205" s="14"/>
      <c r="AI205" s="14"/>
      <c r="AJ205" s="8"/>
      <c r="AK205" s="8"/>
      <c r="AL205" s="8"/>
      <c r="AM205" s="8"/>
      <c r="AN205" s="631"/>
      <c r="AO205" s="18"/>
      <c r="AP205" s="18"/>
      <c r="AQ205" s="18"/>
      <c r="AR205" s="18"/>
      <c r="AS205" s="18"/>
      <c r="AU205" s="448"/>
      <c r="AV205" s="448"/>
      <c r="AW205" s="8" t="str">
        <f>IF(C205&gt;0,VLOOKUP(C205,Foundation_Calc!$A$2:$C$986,3,1),
IF(J205&gt;0,VLOOKUP(J205,Foundation_Calc!$A$2:$C$986,3,1),""))</f>
        <v/>
      </c>
      <c r="AX205" s="8" t="str">
        <f>IF(C205&gt;0,VLOOKUP(C205,Foundation_Calc!$E$2:$G$986,3,1),
IF(J205&gt;0,VLOOKUP(J205,Foundation_Calc!$E$2:$G$986,3,1),""))</f>
        <v/>
      </c>
      <c r="AY205" s="631" t="str">
        <f>IF(L205="","",
IF(AX205="PT",VLOOKUP(L205,Foundation_Calc!$K$4:$R$37,VLOOKUP(AW205,Foundation_Calc!$I$2:$J$8,2,FALSE),0),
IF(AX205="K",VLOOKUP(L205,Foundation_Calc!$K$41:$R$74,VLOOKUP(AW205,Foundation_Calc!$I$2:$J$8,2,FALSE),0),"")))</f>
        <v/>
      </c>
      <c r="AZ205" s="631" t="str">
        <f>IF(K205="","",
IF(AX205="PT",VLOOKUP(K205,Foundation_Calc!$K$4:$R$37,VLOOKUP(AW205,Foundation_Calc!$I$2:$J$8,2,FALSE),0),
IF(AX205="K",VLOOKUP(K205,Foundation_Calc!$K$41:$R$74,VLOOKUP(AW205,Foundation_Calc!$I$2:$J$8,2,FALSE),0),"")))</f>
        <v/>
      </c>
      <c r="BA205" s="632" t="str">
        <f t="shared" si="83"/>
        <v/>
      </c>
      <c r="BB205" s="632" t="str">
        <f t="shared" si="84"/>
        <v/>
      </c>
      <c r="BC205" s="632" t="str">
        <f t="shared" si="85"/>
        <v/>
      </c>
      <c r="BD205" s="633" t="str">
        <f>IF(AND(L205="",H205=""),"",
IF(H205="",Pole_Calc!A209,
IF(H205="MP",Pole_Calc!A210,
IF(H205="AnMP",Pole_Calc!A211,
IF(H205="A",Pole_Calc!A212,
IF(H205="S/A",Pole_Calc!A213,
IF(H205="A/S",Pole_Calc!A214,"Poner a mano")))))))</f>
        <v/>
      </c>
      <c r="BE205" s="448" t="s">
        <v>1726</v>
      </c>
      <c r="BF205" s="635"/>
      <c r="BG205" s="635"/>
      <c r="BH205" s="634"/>
      <c r="BI205" s="635"/>
    </row>
    <row r="206" spans="1:61" ht="16.2" customHeight="1">
      <c r="A206" s="12"/>
      <c r="B206" s="446"/>
      <c r="C206" s="89"/>
      <c r="D206" s="13"/>
      <c r="E206" s="14"/>
      <c r="F206" s="14"/>
      <c r="G206" s="15"/>
      <c r="H206" s="8"/>
      <c r="I206" s="8"/>
      <c r="J206" s="89"/>
      <c r="K206" s="8"/>
      <c r="L206" s="8"/>
      <c r="M206" s="8" t="str">
        <f>IF(L206="","",
IF(AX206="PT",VLOOKUP(L206,Foundation_Calc!$V$4:$X$37,VLOOKUP(AX206,Foundation_Calc!$I$10:$J$13,2,FALSE),0),
IF(AX206="K",VLOOKUP(L206,Foundation_Calc!$V$41:$X$74,VLOOKUP(AX206,Foundation_Calc!$I$10:$J$13,2,FALSE),0),"")))</f>
        <v/>
      </c>
      <c r="N206" s="8"/>
      <c r="O206" s="8"/>
      <c r="P206" s="8"/>
      <c r="Q206" s="14"/>
      <c r="R206" s="15"/>
      <c r="S206" s="15"/>
      <c r="T206" s="14"/>
      <c r="U206" s="14"/>
      <c r="V206" s="14"/>
      <c r="W206" s="18"/>
      <c r="X206" s="18"/>
      <c r="Y206" s="18"/>
      <c r="Z206" s="18"/>
      <c r="AA206" s="18"/>
      <c r="AB206" s="18"/>
      <c r="AC206" s="8" t="str">
        <f t="shared" si="82"/>
        <v/>
      </c>
      <c r="AD206" s="8"/>
      <c r="AE206" s="8"/>
      <c r="AF206" s="14"/>
      <c r="AG206" s="13"/>
      <c r="AH206" s="14"/>
      <c r="AI206" s="14"/>
      <c r="AJ206" s="8"/>
      <c r="AK206" s="8"/>
      <c r="AL206" s="8"/>
      <c r="AM206" s="8"/>
      <c r="AN206" s="631"/>
      <c r="AO206" s="18"/>
      <c r="AP206" s="18"/>
      <c r="AQ206" s="18"/>
      <c r="AR206" s="18"/>
      <c r="AS206" s="18"/>
      <c r="AU206" s="448"/>
      <c r="AV206" s="448"/>
      <c r="AW206" s="8" t="str">
        <f>IF(C206&gt;0,VLOOKUP(C206,Foundation_Calc!$A$2:$C$986,3,1),
IF(J206&gt;0,VLOOKUP(J206,Foundation_Calc!$A$2:$C$986,3,1),""))</f>
        <v/>
      </c>
      <c r="AX206" s="8" t="str">
        <f>IF(C206&gt;0,VLOOKUP(C206,Foundation_Calc!$E$2:$G$986,3,1),
IF(J206&gt;0,VLOOKUP(J206,Foundation_Calc!$E$2:$G$986,3,1),""))</f>
        <v/>
      </c>
      <c r="AY206" s="631" t="str">
        <f>IF(L206="","",
IF(AX206="PT",VLOOKUP(L206,Foundation_Calc!$K$4:$R$37,VLOOKUP(AW206,Foundation_Calc!$I$2:$J$8,2,FALSE),0),
IF(AX206="K",VLOOKUP(L206,Foundation_Calc!$K$41:$R$74,VLOOKUP(AW206,Foundation_Calc!$I$2:$J$8,2,FALSE),0),"")))</f>
        <v/>
      </c>
      <c r="AZ206" s="631" t="str">
        <f>IF(K206="","",
IF(AX206="PT",VLOOKUP(K206,Foundation_Calc!$K$4:$R$37,VLOOKUP(AW206,Foundation_Calc!$I$2:$J$8,2,FALSE),0),
IF(AX206="K",VLOOKUP(K206,Foundation_Calc!$K$41:$R$74,VLOOKUP(AW206,Foundation_Calc!$I$2:$J$8,2,FALSE),0),"")))</f>
        <v/>
      </c>
      <c r="BA206" s="632" t="str">
        <f t="shared" si="83"/>
        <v/>
      </c>
      <c r="BB206" s="632" t="str">
        <f t="shared" si="84"/>
        <v/>
      </c>
      <c r="BC206" s="632" t="str">
        <f t="shared" si="85"/>
        <v/>
      </c>
      <c r="BD206" s="633" t="str">
        <f>IF(AND(L206="",H206=""),"",
IF(H206="",Pole_Calc!A210,
IF(H206="MP",Pole_Calc!A211,
IF(H206="AnMP",Pole_Calc!A212,
IF(H206="A",Pole_Calc!A213,
IF(H206="S/A",Pole_Calc!A214,
IF(H206="A/S",Pole_Calc!A239,"Poner a mano")))))))</f>
        <v/>
      </c>
      <c r="BE206" s="448" t="s">
        <v>1726</v>
      </c>
      <c r="BF206" s="634"/>
      <c r="BG206" s="634"/>
      <c r="BH206" s="634"/>
      <c r="BI206" s="634"/>
    </row>
    <row r="207" spans="1:61" ht="16.2" customHeight="1">
      <c r="A207" s="12"/>
      <c r="B207" s="446"/>
      <c r="C207" s="89"/>
      <c r="D207" s="13"/>
      <c r="E207" s="14"/>
      <c r="F207" s="14"/>
      <c r="G207" s="15"/>
      <c r="H207" s="8"/>
      <c r="I207" s="8"/>
      <c r="J207" s="89"/>
      <c r="K207" s="8"/>
      <c r="L207" s="8"/>
      <c r="M207" s="8" t="str">
        <f>IF(L207="","",
IF(AX207="PT",VLOOKUP(L207,Foundation_Calc!$V$4:$X$37,VLOOKUP(AX207,Foundation_Calc!$I$10:$J$13,2,FALSE),0),
IF(AX207="K",VLOOKUP(L207,Foundation_Calc!$V$41:$X$74,VLOOKUP(AX207,Foundation_Calc!$I$10:$J$13,2,FALSE),0),"")))</f>
        <v/>
      </c>
      <c r="N207" s="8"/>
      <c r="O207" s="8"/>
      <c r="P207" s="8"/>
      <c r="Q207" s="14"/>
      <c r="R207" s="15"/>
      <c r="S207" s="15"/>
      <c r="T207" s="14"/>
      <c r="U207" s="14"/>
      <c r="V207" s="14"/>
      <c r="W207" s="18"/>
      <c r="X207" s="18"/>
      <c r="Y207" s="18"/>
      <c r="Z207" s="18"/>
      <c r="AA207" s="18"/>
      <c r="AB207" s="18"/>
      <c r="AC207" s="8" t="str">
        <f t="shared" si="82"/>
        <v/>
      </c>
      <c r="AD207" s="8"/>
      <c r="AE207" s="8"/>
      <c r="AF207" s="14"/>
      <c r="AG207" s="13"/>
      <c r="AH207" s="14"/>
      <c r="AI207" s="14"/>
      <c r="AJ207" s="8"/>
      <c r="AK207" s="8"/>
      <c r="AL207" s="8"/>
      <c r="AM207" s="8"/>
      <c r="AN207" s="631"/>
      <c r="AO207" s="18"/>
      <c r="AP207" s="18"/>
      <c r="AQ207" s="18"/>
      <c r="AR207" s="18"/>
      <c r="AS207" s="18"/>
      <c r="AU207" s="448"/>
      <c r="AV207" s="448"/>
      <c r="AW207" s="8" t="str">
        <f>IF(C207&gt;0,VLOOKUP(C207,Foundation_Calc!$A$2:$C$986,3,1),
IF(J207&gt;0,VLOOKUP(J207,Foundation_Calc!$A$2:$C$986,3,1),""))</f>
        <v/>
      </c>
      <c r="AX207" s="8" t="str">
        <f>IF(C207&gt;0,VLOOKUP(C207,Foundation_Calc!$E$2:$G$986,3,1),
IF(J207&gt;0,VLOOKUP(J207,Foundation_Calc!$E$2:$G$986,3,1),""))</f>
        <v/>
      </c>
      <c r="AY207" s="631" t="str">
        <f>IF(L207="","",
IF(AX207="PT",VLOOKUP(L207,Foundation_Calc!$K$4:$R$37,VLOOKUP(AW207,Foundation_Calc!$I$2:$J$8,2,FALSE),0),
IF(AX207="K",VLOOKUP(L207,Foundation_Calc!$K$41:$R$74,VLOOKUP(AW207,Foundation_Calc!$I$2:$J$8,2,FALSE),0),"")))</f>
        <v/>
      </c>
      <c r="AZ207" s="631" t="str">
        <f>IF(K207="","",
IF(AX207="PT",VLOOKUP(K207,Foundation_Calc!$K$4:$R$37,VLOOKUP(AW207,Foundation_Calc!$I$2:$J$8,2,FALSE),0),
IF(AX207="K",VLOOKUP(K207,Foundation_Calc!$K$41:$R$74,VLOOKUP(AW207,Foundation_Calc!$I$2:$J$8,2,FALSE),0),"")))</f>
        <v/>
      </c>
      <c r="BA207" s="632" t="str">
        <f t="shared" si="83"/>
        <v/>
      </c>
      <c r="BB207" s="632" t="str">
        <f t="shared" si="84"/>
        <v/>
      </c>
      <c r="BC207" s="632" t="str">
        <f t="shared" si="85"/>
        <v/>
      </c>
      <c r="BD207" s="633" t="str">
        <f>IF(AND(L207="",H207=""),"",
IF(H207="",Pole_Calc!A211,
IF(H207="MP",Pole_Calc!A212,
IF(H207="AnMP",Pole_Calc!A213,
IF(H207="A",Pole_Calc!A214,
IF(H207="S/A",Pole_Calc!A239,
IF(H207="A/S",Pole_Calc!A240,"Poner a mano")))))))</f>
        <v/>
      </c>
      <c r="BE207" s="448" t="s">
        <v>1726</v>
      </c>
      <c r="BF207" s="635"/>
      <c r="BG207" s="635"/>
      <c r="BH207" s="634"/>
      <c r="BI207" s="635"/>
    </row>
    <row r="208" spans="1:61" ht="16.2" customHeight="1">
      <c r="A208" s="12"/>
      <c r="B208" s="446"/>
      <c r="C208" s="89"/>
      <c r="D208" s="13"/>
      <c r="E208" s="14"/>
      <c r="F208" s="14"/>
      <c r="G208" s="15"/>
      <c r="H208" s="8"/>
      <c r="I208" s="8"/>
      <c r="J208" s="89"/>
      <c r="K208" s="8"/>
      <c r="L208" s="8"/>
      <c r="M208" s="8" t="str">
        <f>IF(L208="","",
IF(AX208="PT",VLOOKUP(L208,Foundation_Calc!$V$4:$X$37,VLOOKUP(AX208,Foundation_Calc!$I$10:$J$13,2,FALSE),0),
IF(AX208="K",VLOOKUP(L208,Foundation_Calc!$V$41:$X$74,VLOOKUP(AX208,Foundation_Calc!$I$10:$J$13,2,FALSE),0),"")))</f>
        <v/>
      </c>
      <c r="N208" s="8"/>
      <c r="O208" s="8"/>
      <c r="P208" s="8"/>
      <c r="Q208" s="14"/>
      <c r="R208" s="15"/>
      <c r="S208" s="15"/>
      <c r="T208" s="14"/>
      <c r="U208" s="14"/>
      <c r="V208" s="14"/>
      <c r="W208" s="18"/>
      <c r="X208" s="18"/>
      <c r="Y208" s="18"/>
      <c r="Z208" s="18"/>
      <c r="AA208" s="18"/>
      <c r="AB208" s="18"/>
      <c r="AC208" s="8" t="str">
        <f t="shared" si="82"/>
        <v/>
      </c>
      <c r="AD208" s="8"/>
      <c r="AE208" s="8"/>
      <c r="AF208" s="14"/>
      <c r="AG208" s="13"/>
      <c r="AH208" s="14"/>
      <c r="AI208" s="14"/>
      <c r="AJ208" s="8"/>
      <c r="AK208" s="8"/>
      <c r="AL208" s="8"/>
      <c r="AM208" s="8"/>
      <c r="AN208" s="631"/>
      <c r="AO208" s="18"/>
      <c r="AP208" s="18"/>
      <c r="AQ208" s="18"/>
      <c r="AR208" s="18"/>
      <c r="AS208" s="18"/>
      <c r="AU208" s="448"/>
      <c r="AV208" s="448"/>
      <c r="AW208" s="8" t="str">
        <f>IF(C208&gt;0,VLOOKUP(C208,Foundation_Calc!$A$2:$C$986,3,1),
IF(J208&gt;0,VLOOKUP(J208,Foundation_Calc!$A$2:$C$986,3,1),""))</f>
        <v/>
      </c>
      <c r="AX208" s="8" t="str">
        <f>IF(C208&gt;0,VLOOKUP(C208,Foundation_Calc!$E$2:$G$986,3,1),
IF(J208&gt;0,VLOOKUP(J208,Foundation_Calc!$E$2:$G$986,3,1),""))</f>
        <v/>
      </c>
      <c r="AY208" s="631" t="str">
        <f>IF(L208="","",
IF(AX208="PT",VLOOKUP(L208,Foundation_Calc!$K$4:$R$37,VLOOKUP(AW208,Foundation_Calc!$I$2:$J$8,2,FALSE),0),
IF(AX208="K",VLOOKUP(L208,Foundation_Calc!$K$41:$R$74,VLOOKUP(AW208,Foundation_Calc!$I$2:$J$8,2,FALSE),0),"")))</f>
        <v/>
      </c>
      <c r="AZ208" s="631" t="str">
        <f>IF(K208="","",
IF(AX208="PT",VLOOKUP(K208,Foundation_Calc!$K$4:$R$37,VLOOKUP(AW208,Foundation_Calc!$I$2:$J$8,2,FALSE),0),
IF(AX208="K",VLOOKUP(K208,Foundation_Calc!$K$41:$R$74,VLOOKUP(AW208,Foundation_Calc!$I$2:$J$8,2,FALSE),0),"")))</f>
        <v/>
      </c>
      <c r="BA208" s="632" t="str">
        <f t="shared" si="83"/>
        <v/>
      </c>
      <c r="BB208" s="632" t="str">
        <f t="shared" si="84"/>
        <v/>
      </c>
      <c r="BC208" s="632" t="str">
        <f t="shared" si="85"/>
        <v/>
      </c>
      <c r="BD208" s="633" t="str">
        <f>IF(AND(L208="",H208=""),"",
IF(H208="",Pole_Calc!A212,
IF(H208="MP",Pole_Calc!A213,
IF(H208="AnMP",Pole_Calc!A214,
IF(H208="A",Pole_Calc!A239,
IF(H208="S/A",Pole_Calc!A240,
IF(H208="A/S",Pole_Calc!A241,"Poner a mano")))))))</f>
        <v/>
      </c>
      <c r="BE208" s="448" t="s">
        <v>1726</v>
      </c>
      <c r="BF208" s="634"/>
      <c r="BG208" s="634"/>
      <c r="BH208" s="634"/>
      <c r="BI208" s="634"/>
    </row>
    <row r="209" spans="1:61" ht="16.2" customHeight="1">
      <c r="A209" s="12"/>
      <c r="B209" s="446"/>
      <c r="C209" s="89"/>
      <c r="D209" s="13"/>
      <c r="E209" s="14"/>
      <c r="F209" s="14"/>
      <c r="G209" s="15"/>
      <c r="H209" s="8"/>
      <c r="I209" s="8"/>
      <c r="J209" s="89"/>
      <c r="K209" s="8"/>
      <c r="L209" s="8"/>
      <c r="M209" s="8" t="str">
        <f>IF(L209="","",
IF(AX209="PT",VLOOKUP(L209,Foundation_Calc!$V$4:$X$37,VLOOKUP(AX209,Foundation_Calc!$I$10:$J$13,2,FALSE),0),
IF(AX209="K",VLOOKUP(L209,Foundation_Calc!$V$41:$X$74,VLOOKUP(AX209,Foundation_Calc!$I$10:$J$13,2,FALSE),0),"")))</f>
        <v/>
      </c>
      <c r="N209" s="8"/>
      <c r="O209" s="8"/>
      <c r="P209" s="8"/>
      <c r="Q209" s="14"/>
      <c r="R209" s="15"/>
      <c r="S209" s="15"/>
      <c r="T209" s="14"/>
      <c r="U209" s="14"/>
      <c r="V209" s="14"/>
      <c r="W209" s="18"/>
      <c r="X209" s="18"/>
      <c r="Y209" s="18"/>
      <c r="Z209" s="18"/>
      <c r="AA209" s="18"/>
      <c r="AB209" s="18"/>
      <c r="AC209" s="8" t="str">
        <f t="shared" si="82"/>
        <v/>
      </c>
      <c r="AD209" s="8"/>
      <c r="AE209" s="8"/>
      <c r="AF209" s="14"/>
      <c r="AG209" s="13"/>
      <c r="AH209" s="14"/>
      <c r="AI209" s="14"/>
      <c r="AJ209" s="8"/>
      <c r="AK209" s="8"/>
      <c r="AL209" s="8"/>
      <c r="AM209" s="8"/>
      <c r="AN209" s="631"/>
      <c r="AO209" s="18"/>
      <c r="AP209" s="18"/>
      <c r="AQ209" s="18"/>
      <c r="AR209" s="18"/>
      <c r="AS209" s="18"/>
      <c r="AU209" s="448"/>
      <c r="AV209" s="448"/>
      <c r="AW209" s="8" t="str">
        <f>IF(C209&gt;0,VLOOKUP(C209,Foundation_Calc!$A$2:$C$986,3,1),
IF(J209&gt;0,VLOOKUP(J209,Foundation_Calc!$A$2:$C$986,3,1),""))</f>
        <v/>
      </c>
      <c r="AX209" s="8" t="str">
        <f>IF(C209&gt;0,VLOOKUP(C209,Foundation_Calc!$E$2:$G$986,3,1),
IF(J209&gt;0,VLOOKUP(J209,Foundation_Calc!$E$2:$G$986,3,1),""))</f>
        <v/>
      </c>
      <c r="AY209" s="631" t="str">
        <f>IF(L209="","",
IF(AX209="PT",VLOOKUP(L209,Foundation_Calc!$K$4:$R$37,VLOOKUP(AW209,Foundation_Calc!$I$2:$J$8,2,FALSE),0),
IF(AX209="K",VLOOKUP(L209,Foundation_Calc!$K$41:$R$74,VLOOKUP(AW209,Foundation_Calc!$I$2:$J$8,2,FALSE),0),"")))</f>
        <v/>
      </c>
      <c r="AZ209" s="631" t="str">
        <f>IF(K209="","",
IF(AX209="PT",VLOOKUP(K209,Foundation_Calc!$K$4:$R$37,VLOOKUP(AW209,Foundation_Calc!$I$2:$J$8,2,FALSE),0),
IF(AX209="K",VLOOKUP(K209,Foundation_Calc!$K$41:$R$74,VLOOKUP(AW209,Foundation_Calc!$I$2:$J$8,2,FALSE),0),"")))</f>
        <v/>
      </c>
      <c r="BA209" s="632" t="str">
        <f t="shared" si="83"/>
        <v/>
      </c>
      <c r="BB209" s="632" t="str">
        <f t="shared" si="84"/>
        <v/>
      </c>
      <c r="BC209" s="632" t="str">
        <f t="shared" si="85"/>
        <v/>
      </c>
      <c r="BD209" s="633" t="str">
        <f>IF(AND(L209="",H209=""),"",
IF(H209="",Pole_Calc!A213,
IF(H209="MP",Pole_Calc!A214,
IF(H209="AnMP",Pole_Calc!A239,
IF(H209="A",Pole_Calc!A240,
IF(H209="S/A",Pole_Calc!A241,
IF(H209="A/S",Pole_Calc!A242,"Poner a mano")))))))</f>
        <v/>
      </c>
      <c r="BE209" s="448" t="s">
        <v>1726</v>
      </c>
      <c r="BF209" s="635"/>
      <c r="BG209" s="635"/>
      <c r="BH209" s="634"/>
      <c r="BI209" s="635"/>
    </row>
    <row r="210" spans="1:61" ht="16.2" customHeight="1">
      <c r="A210" s="12"/>
      <c r="B210" s="446"/>
      <c r="C210" s="89"/>
      <c r="D210" s="13"/>
      <c r="E210" s="14"/>
      <c r="F210" s="14"/>
      <c r="G210" s="15"/>
      <c r="H210" s="8"/>
      <c r="I210" s="8"/>
      <c r="J210" s="89"/>
      <c r="K210" s="8"/>
      <c r="L210" s="8"/>
      <c r="M210" s="8" t="str">
        <f>IF(L210="","",
IF(AX210="PT",VLOOKUP(L210,Foundation_Calc!$V$4:$X$37,VLOOKUP(AX210,Foundation_Calc!$I$10:$J$13,2,FALSE),0),
IF(AX210="K",VLOOKUP(L210,Foundation_Calc!$V$41:$X$74,VLOOKUP(AX210,Foundation_Calc!$I$10:$J$13,2,FALSE),0),"")))</f>
        <v/>
      </c>
      <c r="N210" s="8"/>
      <c r="O210" s="8"/>
      <c r="P210" s="8"/>
      <c r="Q210" s="14"/>
      <c r="R210" s="15"/>
      <c r="S210" s="15"/>
      <c r="T210" s="14"/>
      <c r="U210" s="14"/>
      <c r="V210" s="14"/>
      <c r="W210" s="18"/>
      <c r="X210" s="18"/>
      <c r="Y210" s="18"/>
      <c r="Z210" s="18"/>
      <c r="AA210" s="18"/>
      <c r="AB210" s="18"/>
      <c r="AC210" s="8" t="str">
        <f t="shared" si="82"/>
        <v/>
      </c>
      <c r="AD210" s="8"/>
      <c r="AE210" s="8"/>
      <c r="AF210" s="14"/>
      <c r="AG210" s="13"/>
      <c r="AH210" s="14"/>
      <c r="AI210" s="14"/>
      <c r="AJ210" s="8"/>
      <c r="AK210" s="8"/>
      <c r="AL210" s="8"/>
      <c r="AM210" s="8"/>
      <c r="AN210" s="631"/>
      <c r="AO210" s="18"/>
      <c r="AP210" s="18"/>
      <c r="AQ210" s="18"/>
      <c r="AR210" s="18"/>
      <c r="AS210" s="18"/>
      <c r="AU210" s="448"/>
      <c r="AV210" s="448"/>
      <c r="AW210" s="8" t="str">
        <f>IF(C210&gt;0,VLOOKUP(C210,Foundation_Calc!$A$2:$C$986,3,1),
IF(J210&gt;0,VLOOKUP(J210,Foundation_Calc!$A$2:$C$986,3,1),""))</f>
        <v/>
      </c>
      <c r="AX210" s="8" t="str">
        <f>IF(C210&gt;0,VLOOKUP(C210,Foundation_Calc!$E$2:$G$986,3,1),
IF(J210&gt;0,VLOOKUP(J210,Foundation_Calc!$E$2:$G$986,3,1),""))</f>
        <v/>
      </c>
      <c r="AY210" s="631" t="str">
        <f>IF(L210="","",
IF(AX210="PT",VLOOKUP(L210,Foundation_Calc!$K$4:$R$37,VLOOKUP(AW210,Foundation_Calc!$I$2:$J$8,2,FALSE),0),
IF(AX210="K",VLOOKUP(L210,Foundation_Calc!$K$41:$R$74,VLOOKUP(AW210,Foundation_Calc!$I$2:$J$8,2,FALSE),0),"")))</f>
        <v/>
      </c>
      <c r="AZ210" s="631" t="str">
        <f>IF(K210="","",
IF(AX210="PT",VLOOKUP(K210,Foundation_Calc!$K$4:$R$37,VLOOKUP(AW210,Foundation_Calc!$I$2:$J$8,2,FALSE),0),
IF(AX210="K",VLOOKUP(K210,Foundation_Calc!$K$41:$R$74,VLOOKUP(AW210,Foundation_Calc!$I$2:$J$8,2,FALSE),0),"")))</f>
        <v/>
      </c>
      <c r="BA210" s="632" t="str">
        <f t="shared" si="83"/>
        <v/>
      </c>
      <c r="BB210" s="632" t="str">
        <f t="shared" si="84"/>
        <v/>
      </c>
      <c r="BC210" s="632" t="str">
        <f t="shared" si="85"/>
        <v/>
      </c>
      <c r="BD210" s="633" t="str">
        <f>IF(AND(L210="",H210=""),"",
IF(H210="",Pole_Calc!A214,
IF(H210="MP",Pole_Calc!A239,
IF(H210="AnMP",Pole_Calc!A240,
IF(H210="A",Pole_Calc!A241,
IF(H210="S/A",Pole_Calc!A242,
IF(H210="A/S",Pole_Calc!A243,"Poner a mano")))))))</f>
        <v/>
      </c>
      <c r="BE210" s="448" t="s">
        <v>1726</v>
      </c>
      <c r="BF210" s="634"/>
      <c r="BG210" s="634"/>
      <c r="BH210" s="634"/>
      <c r="BI210" s="634"/>
    </row>
    <row r="211" spans="1:61" ht="16.2" customHeight="1">
      <c r="A211" s="12"/>
      <c r="B211" s="446"/>
      <c r="C211" s="89"/>
      <c r="D211" s="13"/>
      <c r="E211" s="14"/>
      <c r="F211" s="14"/>
      <c r="G211" s="15"/>
      <c r="H211" s="8"/>
      <c r="I211" s="8"/>
      <c r="J211" s="89"/>
      <c r="K211" s="8"/>
      <c r="L211" s="8"/>
      <c r="M211" s="8" t="str">
        <f>IF(L211="","",
IF(AX211="PT",VLOOKUP(L211,Foundation_Calc!$V$4:$X$37,VLOOKUP(AX211,Foundation_Calc!$I$10:$J$13,2,FALSE),0),
IF(AX211="K",VLOOKUP(L211,Foundation_Calc!$V$41:$X$74,VLOOKUP(AX211,Foundation_Calc!$I$10:$J$13,2,FALSE),0),"")))</f>
        <v/>
      </c>
      <c r="N211" s="8"/>
      <c r="O211" s="8"/>
      <c r="P211" s="8"/>
      <c r="Q211" s="14"/>
      <c r="R211" s="15"/>
      <c r="S211" s="15"/>
      <c r="T211" s="14"/>
      <c r="U211" s="14"/>
      <c r="V211" s="14"/>
      <c r="W211" s="18"/>
      <c r="X211" s="18"/>
      <c r="Y211" s="18"/>
      <c r="Z211" s="18"/>
      <c r="AA211" s="18"/>
      <c r="AB211" s="18"/>
      <c r="AC211" s="8" t="str">
        <f t="shared" si="82"/>
        <v/>
      </c>
      <c r="AD211" s="8"/>
      <c r="AE211" s="8"/>
      <c r="AF211" s="14"/>
      <c r="AG211" s="13"/>
      <c r="AH211" s="14"/>
      <c r="AI211" s="14"/>
      <c r="AJ211" s="8"/>
      <c r="AK211" s="8"/>
      <c r="AL211" s="8"/>
      <c r="AM211" s="8"/>
      <c r="AN211" s="631"/>
      <c r="AO211" s="18"/>
      <c r="AP211" s="18"/>
      <c r="AQ211" s="18"/>
      <c r="AR211" s="18"/>
      <c r="AS211" s="18"/>
      <c r="AU211" s="448"/>
      <c r="AV211" s="448"/>
      <c r="AW211" s="8" t="str">
        <f>IF(C211&gt;0,VLOOKUP(C211,Foundation_Calc!$A$2:$C$986,3,1),
IF(J211&gt;0,VLOOKUP(J211,Foundation_Calc!$A$2:$C$986,3,1),""))</f>
        <v/>
      </c>
      <c r="AX211" s="8" t="str">
        <f>IF(C211&gt;0,VLOOKUP(C211,Foundation_Calc!$E$2:$G$986,3,1),
IF(J211&gt;0,VLOOKUP(J211,Foundation_Calc!$E$2:$G$986,3,1),""))</f>
        <v/>
      </c>
      <c r="AY211" s="631" t="str">
        <f>IF(L211="","",
IF(AX211="PT",VLOOKUP(L211,Foundation_Calc!$K$4:$R$37,VLOOKUP(AW211,Foundation_Calc!$I$2:$J$8,2,FALSE),0),
IF(AX211="K",VLOOKUP(L211,Foundation_Calc!$K$41:$R$74,VLOOKUP(AW211,Foundation_Calc!$I$2:$J$8,2,FALSE),0),"")))</f>
        <v/>
      </c>
      <c r="AZ211" s="631" t="str">
        <f>IF(K211="","",
IF(AX211="PT",VLOOKUP(K211,Foundation_Calc!$K$4:$R$37,VLOOKUP(AW211,Foundation_Calc!$I$2:$J$8,2,FALSE),0),
IF(AX211="K",VLOOKUP(K211,Foundation_Calc!$K$41:$R$74,VLOOKUP(AW211,Foundation_Calc!$I$2:$J$8,2,FALSE),0),"")))</f>
        <v/>
      </c>
      <c r="BA211" s="632" t="str">
        <f t="shared" si="83"/>
        <v/>
      </c>
      <c r="BB211" s="632" t="str">
        <f t="shared" si="84"/>
        <v/>
      </c>
      <c r="BC211" s="632" t="str">
        <f t="shared" si="85"/>
        <v/>
      </c>
      <c r="BD211" s="633" t="str">
        <f>IF(AND(L211="",H211=""),"",
IF(H211="",Pole_Calc!A239,
IF(H211="MP",Pole_Calc!A240,
IF(H211="AnMP",Pole_Calc!A241,
IF(H211="A",Pole_Calc!A242,
IF(H211="S/A",Pole_Calc!A243,
IF(H211="A/S",Pole_Calc!A244,"Poner a mano")))))))</f>
        <v/>
      </c>
      <c r="BE211" s="448" t="s">
        <v>1726</v>
      </c>
      <c r="BF211" s="635"/>
      <c r="BG211" s="635"/>
      <c r="BH211" s="634"/>
      <c r="BI211" s="635"/>
    </row>
    <row r="212" spans="1:61" ht="16.2" customHeight="1">
      <c r="A212" s="12"/>
      <c r="B212" s="446"/>
      <c r="C212" s="89"/>
      <c r="D212" s="13"/>
      <c r="E212" s="14"/>
      <c r="F212" s="14"/>
      <c r="G212" s="15"/>
      <c r="H212" s="8"/>
      <c r="I212" s="8"/>
      <c r="J212" s="89"/>
      <c r="K212" s="8"/>
      <c r="L212" s="8"/>
      <c r="M212" s="8" t="str">
        <f>IF(L212="","",
IF(AX212="PT",VLOOKUP(L212,Foundation_Calc!$V$4:$X$37,VLOOKUP(AX212,Foundation_Calc!$I$10:$J$13,2,FALSE),0),
IF(AX212="K",VLOOKUP(L212,Foundation_Calc!$V$41:$X$74,VLOOKUP(AX212,Foundation_Calc!$I$10:$J$13,2,FALSE),0),"")))</f>
        <v/>
      </c>
      <c r="N212" s="8"/>
      <c r="O212" s="8"/>
      <c r="P212" s="8"/>
      <c r="Q212" s="14"/>
      <c r="R212" s="15"/>
      <c r="S212" s="15"/>
      <c r="T212" s="14"/>
      <c r="U212" s="14"/>
      <c r="V212" s="14"/>
      <c r="W212" s="18"/>
      <c r="X212" s="18"/>
      <c r="Y212" s="18"/>
      <c r="Z212" s="18"/>
      <c r="AA212" s="18"/>
      <c r="AB212" s="18"/>
      <c r="AC212" s="8" t="str">
        <f t="shared" si="82"/>
        <v/>
      </c>
      <c r="AD212" s="8"/>
      <c r="AE212" s="8"/>
      <c r="AF212" s="14"/>
      <c r="AG212" s="13"/>
      <c r="AH212" s="14"/>
      <c r="AI212" s="14"/>
      <c r="AJ212" s="8"/>
      <c r="AK212" s="8"/>
      <c r="AL212" s="8"/>
      <c r="AM212" s="8"/>
      <c r="AN212" s="631"/>
      <c r="AO212" s="18"/>
      <c r="AP212" s="18"/>
      <c r="AQ212" s="18"/>
      <c r="AR212" s="18"/>
      <c r="AS212" s="18"/>
      <c r="AU212" s="448"/>
      <c r="AV212" s="448"/>
      <c r="AW212" s="8" t="str">
        <f>IF(C212&gt;0,VLOOKUP(C212,Foundation_Calc!$A$2:$C$986,3,1),
IF(J212&gt;0,VLOOKUP(J212,Foundation_Calc!$A$2:$C$986,3,1),""))</f>
        <v/>
      </c>
      <c r="AX212" s="8" t="str">
        <f>IF(C212&gt;0,VLOOKUP(C212,Foundation_Calc!$E$2:$G$986,3,1),
IF(J212&gt;0,VLOOKUP(J212,Foundation_Calc!$E$2:$G$986,3,1),""))</f>
        <v/>
      </c>
      <c r="AY212" s="631" t="str">
        <f>IF(L212="","",
IF(AX212="PT",VLOOKUP(L212,Foundation_Calc!$K$4:$R$37,VLOOKUP(AW212,Foundation_Calc!$I$2:$J$8,2,FALSE),0),
IF(AX212="K",VLOOKUP(L212,Foundation_Calc!$K$41:$R$74,VLOOKUP(AW212,Foundation_Calc!$I$2:$J$8,2,FALSE),0),"")))</f>
        <v/>
      </c>
      <c r="AZ212" s="631" t="str">
        <f>IF(K212="","",
IF(AX212="PT",VLOOKUP(K212,Foundation_Calc!$K$4:$R$37,VLOOKUP(AW212,Foundation_Calc!$I$2:$J$8,2,FALSE),0),
IF(AX212="K",VLOOKUP(K212,Foundation_Calc!$K$41:$R$74,VLOOKUP(AW212,Foundation_Calc!$I$2:$J$8,2,FALSE),0),"")))</f>
        <v/>
      </c>
      <c r="BA212" s="632" t="str">
        <f t="shared" si="83"/>
        <v/>
      </c>
      <c r="BB212" s="632" t="str">
        <f t="shared" si="84"/>
        <v/>
      </c>
      <c r="BC212" s="632" t="str">
        <f t="shared" si="85"/>
        <v/>
      </c>
      <c r="BD212" s="633" t="str">
        <f>IF(AND(L212="",H212=""),"",
IF(H212="",Pole_Calc!A240,
IF(H212="MP",Pole_Calc!A241,
IF(H212="AnMP",Pole_Calc!A242,
IF(H212="A",Pole_Calc!A243,
IF(H212="S/A",Pole_Calc!A244,
IF(H212="A/S",Pole_Calc!A245,"Poner a mano")))))))</f>
        <v/>
      </c>
      <c r="BE212" s="448" t="s">
        <v>1726</v>
      </c>
      <c r="BF212" s="634"/>
      <c r="BG212" s="634"/>
      <c r="BH212" s="634"/>
      <c r="BI212" s="634"/>
    </row>
    <row r="213" spans="1:61" ht="16.2" customHeight="1">
      <c r="A213" s="12"/>
      <c r="B213" s="446"/>
      <c r="C213" s="89"/>
      <c r="D213" s="13"/>
      <c r="E213" s="14"/>
      <c r="F213" s="14"/>
      <c r="G213" s="15"/>
      <c r="H213" s="8"/>
      <c r="I213" s="8"/>
      <c r="J213" s="89"/>
      <c r="K213" s="8"/>
      <c r="L213" s="8"/>
      <c r="M213" s="8" t="str">
        <f>IF(L213="","",
IF(AX213="PT",VLOOKUP(L213,Foundation_Calc!$V$4:$X$37,VLOOKUP(AX213,Foundation_Calc!$I$10:$J$13,2,FALSE),0),
IF(AX213="K",VLOOKUP(L213,Foundation_Calc!$V$41:$X$74,VLOOKUP(AX213,Foundation_Calc!$I$10:$J$13,2,FALSE),0),"")))</f>
        <v/>
      </c>
      <c r="N213" s="8"/>
      <c r="O213" s="8"/>
      <c r="P213" s="8"/>
      <c r="Q213" s="14"/>
      <c r="R213" s="15"/>
      <c r="S213" s="15"/>
      <c r="T213" s="14"/>
      <c r="U213" s="14"/>
      <c r="V213" s="14"/>
      <c r="W213" s="18"/>
      <c r="X213" s="18"/>
      <c r="Y213" s="18"/>
      <c r="Z213" s="18"/>
      <c r="AA213" s="18"/>
      <c r="AB213" s="18"/>
      <c r="AC213" s="8" t="str">
        <f t="shared" si="82"/>
        <v/>
      </c>
      <c r="AD213" s="8"/>
      <c r="AE213" s="8"/>
      <c r="AF213" s="14"/>
      <c r="AG213" s="13"/>
      <c r="AH213" s="14"/>
      <c r="AI213" s="14"/>
      <c r="AJ213" s="8"/>
      <c r="AK213" s="8"/>
      <c r="AL213" s="8"/>
      <c r="AM213" s="8"/>
      <c r="AN213" s="631"/>
      <c r="AO213" s="18"/>
      <c r="AP213" s="18"/>
      <c r="AQ213" s="18"/>
      <c r="AR213" s="18"/>
      <c r="AS213" s="18"/>
      <c r="AU213" s="448"/>
      <c r="AV213" s="448"/>
      <c r="AW213" s="8" t="str">
        <f>IF(C213&gt;0,VLOOKUP(C213,Foundation_Calc!$A$2:$C$986,3,1),
IF(J213&gt;0,VLOOKUP(J213,Foundation_Calc!$A$2:$C$986,3,1),""))</f>
        <v/>
      </c>
      <c r="AX213" s="8" t="str">
        <f>IF(C213&gt;0,VLOOKUP(C213,Foundation_Calc!$E$2:$G$986,3,1),
IF(J213&gt;0,VLOOKUP(J213,Foundation_Calc!$E$2:$G$986,3,1),""))</f>
        <v/>
      </c>
      <c r="AY213" s="631" t="str">
        <f>IF(L213="","",
IF(AX213="PT",VLOOKUP(L213,Foundation_Calc!$K$4:$R$37,VLOOKUP(AW213,Foundation_Calc!$I$2:$J$8,2,FALSE),0),
IF(AX213="K",VLOOKUP(L213,Foundation_Calc!$K$41:$R$74,VLOOKUP(AW213,Foundation_Calc!$I$2:$J$8,2,FALSE),0),"")))</f>
        <v/>
      </c>
      <c r="AZ213" s="631" t="str">
        <f>IF(K213="","",
IF(AX213="PT",VLOOKUP(K213,Foundation_Calc!$K$4:$R$37,VLOOKUP(AW213,Foundation_Calc!$I$2:$J$8,2,FALSE),0),
IF(AX213="K",VLOOKUP(K213,Foundation_Calc!$K$41:$R$74,VLOOKUP(AW213,Foundation_Calc!$I$2:$J$8,2,FALSE),0),"")))</f>
        <v/>
      </c>
      <c r="BA213" s="632" t="str">
        <f t="shared" si="83"/>
        <v/>
      </c>
      <c r="BB213" s="632" t="str">
        <f t="shared" si="84"/>
        <v/>
      </c>
      <c r="BC213" s="632" t="str">
        <f t="shared" si="85"/>
        <v/>
      </c>
      <c r="BD213" s="633" t="str">
        <f>IF(AND(L213="",H213=""),"",
IF(H213="",Pole_Calc!A241,
IF(H213="MP",Pole_Calc!A242,
IF(H213="AnMP",Pole_Calc!A243,
IF(H213="A",Pole_Calc!A244,
IF(H213="S/A",Pole_Calc!A245,
IF(H213="A/S",Pole_Calc!A246,"Poner a mano")))))))</f>
        <v/>
      </c>
      <c r="BE213" s="448" t="s">
        <v>1726</v>
      </c>
      <c r="BF213" s="635"/>
      <c r="BG213" s="635"/>
      <c r="BH213" s="634"/>
      <c r="BI213" s="635"/>
    </row>
    <row r="214" spans="1:61" ht="16.2" customHeight="1">
      <c r="A214" s="12"/>
      <c r="B214" s="446"/>
      <c r="C214" s="89"/>
      <c r="D214" s="13"/>
      <c r="E214" s="14"/>
      <c r="F214" s="14"/>
      <c r="G214" s="15"/>
      <c r="H214" s="8"/>
      <c r="I214" s="8"/>
      <c r="J214" s="89"/>
      <c r="K214" s="8"/>
      <c r="L214" s="8"/>
      <c r="M214" s="8" t="str">
        <f>IF(L214="","",
IF(AX214="PT",VLOOKUP(L214,Foundation_Calc!$V$4:$X$37,VLOOKUP(AX214,Foundation_Calc!$I$10:$J$13,2,FALSE),0),
IF(AX214="K",VLOOKUP(L214,Foundation_Calc!$V$41:$X$74,VLOOKUP(AX214,Foundation_Calc!$I$10:$J$13,2,FALSE),0),"")))</f>
        <v/>
      </c>
      <c r="N214" s="8"/>
      <c r="O214" s="8"/>
      <c r="P214" s="8"/>
      <c r="Q214" s="14"/>
      <c r="R214" s="15"/>
      <c r="S214" s="15"/>
      <c r="T214" s="14"/>
      <c r="U214" s="14"/>
      <c r="V214" s="14"/>
      <c r="W214" s="18"/>
      <c r="X214" s="18"/>
      <c r="Y214" s="18"/>
      <c r="Z214" s="18"/>
      <c r="AA214" s="18"/>
      <c r="AB214" s="18"/>
      <c r="AC214" s="8" t="str">
        <f t="shared" si="82"/>
        <v/>
      </c>
      <c r="AD214" s="8"/>
      <c r="AE214" s="8"/>
      <c r="AF214" s="14"/>
      <c r="AG214" s="13"/>
      <c r="AH214" s="14"/>
      <c r="AI214" s="14"/>
      <c r="AJ214" s="8"/>
      <c r="AK214" s="8"/>
      <c r="AL214" s="8"/>
      <c r="AM214" s="8"/>
      <c r="AN214" s="631"/>
      <c r="AO214" s="18"/>
      <c r="AP214" s="18"/>
      <c r="AQ214" s="18"/>
      <c r="AR214" s="18"/>
      <c r="AS214" s="18"/>
      <c r="AU214" s="448"/>
      <c r="AV214" s="448"/>
      <c r="AW214" s="8" t="str">
        <f>IF(C214&gt;0,VLOOKUP(C214,Foundation_Calc!$A$2:$C$986,3,1),
IF(J214&gt;0,VLOOKUP(J214,Foundation_Calc!$A$2:$C$986,3,1),""))</f>
        <v/>
      </c>
      <c r="AX214" s="8" t="str">
        <f>IF(C214&gt;0,VLOOKUP(C214,Foundation_Calc!$E$2:$G$986,3,1),
IF(J214&gt;0,VLOOKUP(J214,Foundation_Calc!$E$2:$G$986,3,1),""))</f>
        <v/>
      </c>
      <c r="AY214" s="631" t="str">
        <f>IF(L214="","",
IF(AX214="PT",VLOOKUP(L214,Foundation_Calc!$K$4:$R$37,VLOOKUP(AW214,Foundation_Calc!$I$2:$J$8,2,FALSE),0),
IF(AX214="K",VLOOKUP(L214,Foundation_Calc!$K$41:$R$74,VLOOKUP(AW214,Foundation_Calc!$I$2:$J$8,2,FALSE),0),"")))</f>
        <v/>
      </c>
      <c r="AZ214" s="631" t="str">
        <f>IF(K214="","",
IF(AX214="PT",VLOOKUP(K214,Foundation_Calc!$K$4:$R$37,VLOOKUP(AW214,Foundation_Calc!$I$2:$J$8,2,FALSE),0),
IF(AX214="K",VLOOKUP(K214,Foundation_Calc!$K$41:$R$74,VLOOKUP(AW214,Foundation_Calc!$I$2:$J$8,2,FALSE),0),"")))</f>
        <v/>
      </c>
      <c r="BA214" s="632" t="str">
        <f t="shared" si="83"/>
        <v/>
      </c>
      <c r="BB214" s="632" t="str">
        <f t="shared" si="84"/>
        <v/>
      </c>
      <c r="BC214" s="632" t="str">
        <f t="shared" si="85"/>
        <v/>
      </c>
      <c r="BD214" s="633" t="str">
        <f>IF(AND(L214="",H214=""),"",
IF(H214="",Pole_Calc!A242,
IF(H214="MP",Pole_Calc!A243,
IF(H214="AnMP",Pole_Calc!A244,
IF(H214="A",Pole_Calc!A245,
IF(H214="S/A",Pole_Calc!A246,
IF(H214="A/S",Pole_Calc!A247,"Poner a mano")))))))</f>
        <v/>
      </c>
      <c r="BE214" s="448" t="s">
        <v>1726</v>
      </c>
      <c r="BF214" s="634"/>
      <c r="BG214" s="634"/>
      <c r="BH214" s="634"/>
      <c r="BI214" s="634"/>
    </row>
    <row r="215" spans="1:61" ht="16.2" customHeight="1">
      <c r="A215" s="12"/>
      <c r="B215" s="446"/>
      <c r="C215" s="89"/>
      <c r="D215" s="13"/>
      <c r="E215" s="14"/>
      <c r="F215" s="14"/>
      <c r="G215" s="15"/>
      <c r="H215" s="8"/>
      <c r="I215" s="8"/>
      <c r="J215" s="89"/>
      <c r="K215" s="8"/>
      <c r="L215" s="8"/>
      <c r="M215" s="8" t="str">
        <f>IF(L215="","",
IF(AX215="PT",VLOOKUP(L215,Foundation_Calc!$V$4:$X$37,VLOOKUP(AX215,Foundation_Calc!$I$10:$J$13,2,FALSE),0),
IF(AX215="K",VLOOKUP(L215,Foundation_Calc!$V$41:$X$74,VLOOKUP(AX215,Foundation_Calc!$I$10:$J$13,2,FALSE),0),"")))</f>
        <v/>
      </c>
      <c r="N215" s="8"/>
      <c r="O215" s="8"/>
      <c r="P215" s="8"/>
      <c r="Q215" s="14"/>
      <c r="R215" s="15"/>
      <c r="S215" s="15"/>
      <c r="T215" s="14"/>
      <c r="U215" s="14"/>
      <c r="V215" s="14"/>
      <c r="W215" s="18"/>
      <c r="X215" s="18"/>
      <c r="Y215" s="18"/>
      <c r="Z215" s="18"/>
      <c r="AA215" s="18"/>
      <c r="AB215" s="18"/>
      <c r="AC215" s="8" t="str">
        <f t="shared" si="82"/>
        <v/>
      </c>
      <c r="AD215" s="8"/>
      <c r="AE215" s="8"/>
      <c r="AF215" s="14"/>
      <c r="AG215" s="13"/>
      <c r="AH215" s="14"/>
      <c r="AI215" s="14"/>
      <c r="AJ215" s="8"/>
      <c r="AK215" s="8"/>
      <c r="AL215" s="8"/>
      <c r="AM215" s="8"/>
      <c r="AN215" s="631"/>
      <c r="AO215" s="18"/>
      <c r="AP215" s="18"/>
      <c r="AQ215" s="18"/>
      <c r="AR215" s="18"/>
      <c r="AS215" s="18"/>
      <c r="AU215" s="448"/>
      <c r="AV215" s="448"/>
      <c r="AW215" s="8" t="str">
        <f>IF(C215&gt;0,VLOOKUP(C215,Foundation_Calc!$A$2:$C$986,3,1),
IF(J215&gt;0,VLOOKUP(J215,Foundation_Calc!$A$2:$C$986,3,1),""))</f>
        <v/>
      </c>
      <c r="AX215" s="8" t="str">
        <f>IF(C215&gt;0,VLOOKUP(C215,Foundation_Calc!$E$2:$G$986,3,1),
IF(J215&gt;0,VLOOKUP(J215,Foundation_Calc!$E$2:$G$986,3,1),""))</f>
        <v/>
      </c>
      <c r="AY215" s="631" t="str">
        <f>IF(L215="","",
IF(AX215="PT",VLOOKUP(L215,Foundation_Calc!$K$4:$R$37,VLOOKUP(AW215,Foundation_Calc!$I$2:$J$8,2,FALSE),0),
IF(AX215="K",VLOOKUP(L215,Foundation_Calc!$K$41:$R$74,VLOOKUP(AW215,Foundation_Calc!$I$2:$J$8,2,FALSE),0),"")))</f>
        <v/>
      </c>
      <c r="AZ215" s="631" t="str">
        <f>IF(K215="","",
IF(AX215="PT",VLOOKUP(K215,Foundation_Calc!$K$4:$R$37,VLOOKUP(AW215,Foundation_Calc!$I$2:$J$8,2,FALSE),0),
IF(AX215="K",VLOOKUP(K215,Foundation_Calc!$K$41:$R$74,VLOOKUP(AW215,Foundation_Calc!$I$2:$J$8,2,FALSE),0),"")))</f>
        <v/>
      </c>
      <c r="BA215" s="632" t="str">
        <f t="shared" si="83"/>
        <v/>
      </c>
      <c r="BB215" s="632" t="str">
        <f t="shared" si="84"/>
        <v/>
      </c>
      <c r="BC215" s="632" t="str">
        <f t="shared" si="85"/>
        <v/>
      </c>
      <c r="BD215" s="633" t="str">
        <f>IF(AND(L215="",H215=""),"",
IF(H215="",Pole_Calc!A243,
IF(H215="MP",Pole_Calc!A244,
IF(H215="AnMP",Pole_Calc!A245,
IF(H215="A",Pole_Calc!A246,
IF(H215="S/A",Pole_Calc!A247,
IF(H215="A/S",Pole_Calc!A248,"Poner a mano")))))))</f>
        <v/>
      </c>
      <c r="BE215" s="448" t="s">
        <v>1726</v>
      </c>
      <c r="BF215" s="635"/>
      <c r="BG215" s="635"/>
      <c r="BH215" s="634"/>
      <c r="BI215" s="635"/>
    </row>
    <row r="216" spans="1:61" ht="16.2" customHeight="1">
      <c r="A216" s="12"/>
      <c r="B216" s="446"/>
      <c r="C216" s="89"/>
      <c r="D216" s="13"/>
      <c r="E216" s="14"/>
      <c r="F216" s="14"/>
      <c r="G216" s="15"/>
      <c r="H216" s="8"/>
      <c r="I216" s="8"/>
      <c r="J216" s="89"/>
      <c r="K216" s="8"/>
      <c r="L216" s="8"/>
      <c r="M216" s="8" t="str">
        <f>IF(L216="","",
IF(AX216="PT",VLOOKUP(L216,Foundation_Calc!$V$4:$X$37,VLOOKUP(AX216,Foundation_Calc!$I$10:$J$13,2,FALSE),0),
IF(AX216="K",VLOOKUP(L216,Foundation_Calc!$V$41:$X$74,VLOOKUP(AX216,Foundation_Calc!$I$10:$J$13,2,FALSE),0),"")))</f>
        <v/>
      </c>
      <c r="N216" s="8"/>
      <c r="O216" s="8"/>
      <c r="P216" s="8"/>
      <c r="Q216" s="14"/>
      <c r="R216" s="15"/>
      <c r="S216" s="15"/>
      <c r="T216" s="14"/>
      <c r="U216" s="14"/>
      <c r="V216" s="14"/>
      <c r="W216" s="18"/>
      <c r="X216" s="18"/>
      <c r="Y216" s="18"/>
      <c r="Z216" s="18"/>
      <c r="AA216" s="18"/>
      <c r="AB216" s="18"/>
      <c r="AC216" s="8" t="str">
        <f t="shared" si="82"/>
        <v/>
      </c>
      <c r="AD216" s="8"/>
      <c r="AE216" s="8"/>
      <c r="AF216" s="14"/>
      <c r="AG216" s="13"/>
      <c r="AH216" s="14"/>
      <c r="AI216" s="14"/>
      <c r="AJ216" s="8"/>
      <c r="AK216" s="8"/>
      <c r="AL216" s="8"/>
      <c r="AM216" s="8"/>
      <c r="AN216" s="631"/>
      <c r="AO216" s="18"/>
      <c r="AP216" s="18"/>
      <c r="AQ216" s="18"/>
      <c r="AR216" s="18"/>
      <c r="AS216" s="18"/>
      <c r="AU216" s="448"/>
      <c r="AV216" s="448"/>
      <c r="AW216" s="8" t="str">
        <f>IF(C216&gt;0,VLOOKUP(C216,Foundation_Calc!$A$2:$C$986,3,1),
IF(J216&gt;0,VLOOKUP(J216,Foundation_Calc!$A$2:$C$986,3,1),""))</f>
        <v/>
      </c>
      <c r="AX216" s="8" t="str">
        <f>IF(C216&gt;0,VLOOKUP(C216,Foundation_Calc!$E$2:$G$986,3,1),
IF(J216&gt;0,VLOOKUP(J216,Foundation_Calc!$E$2:$G$986,3,1),""))</f>
        <v/>
      </c>
      <c r="AY216" s="631" t="str">
        <f>IF(L216="","",
IF(AX216="PT",VLOOKUP(L216,Foundation_Calc!$K$4:$R$37,VLOOKUP(AW216,Foundation_Calc!$I$2:$J$8,2,FALSE),0),
IF(AX216="K",VLOOKUP(L216,Foundation_Calc!$K$41:$R$74,VLOOKUP(AW216,Foundation_Calc!$I$2:$J$8,2,FALSE),0),"")))</f>
        <v/>
      </c>
      <c r="AZ216" s="631" t="str">
        <f>IF(K216="","",
IF(AX216="PT",VLOOKUP(K216,Foundation_Calc!$K$4:$R$37,VLOOKUP(AW216,Foundation_Calc!$I$2:$J$8,2,FALSE),0),
IF(AX216="K",VLOOKUP(K216,Foundation_Calc!$K$41:$R$74,VLOOKUP(AW216,Foundation_Calc!$I$2:$J$8,2,FALSE),0),"")))</f>
        <v/>
      </c>
      <c r="BA216" s="632" t="str">
        <f t="shared" si="83"/>
        <v/>
      </c>
      <c r="BB216" s="632" t="str">
        <f t="shared" si="84"/>
        <v/>
      </c>
      <c r="BC216" s="632" t="str">
        <f t="shared" si="85"/>
        <v/>
      </c>
      <c r="BD216" s="633" t="str">
        <f>IF(AND(L216="",H216=""),"",
IF(H216="",Pole_Calc!A244,
IF(H216="MP",Pole_Calc!A245,
IF(H216="AnMP",Pole_Calc!A246,
IF(H216="A",Pole_Calc!A247,
IF(H216="S/A",Pole_Calc!A248,
IF(H216="A/S",Pole_Calc!A249,"Poner a mano")))))))</f>
        <v/>
      </c>
      <c r="BE216" s="448" t="s">
        <v>1726</v>
      </c>
      <c r="BF216" s="634"/>
      <c r="BG216" s="634"/>
      <c r="BH216" s="634"/>
      <c r="BI216" s="634"/>
    </row>
    <row r="217" spans="1:61" ht="16.2" customHeight="1">
      <c r="A217" s="12"/>
      <c r="B217" s="446"/>
      <c r="C217" s="89"/>
      <c r="D217" s="13"/>
      <c r="E217" s="14"/>
      <c r="F217" s="14"/>
      <c r="G217" s="15"/>
      <c r="H217" s="8"/>
      <c r="I217" s="8"/>
      <c r="J217" s="89"/>
      <c r="K217" s="8"/>
      <c r="L217" s="8"/>
      <c r="M217" s="8" t="str">
        <f>IF(L217="","",
IF(AX217="PT",VLOOKUP(L217,Foundation_Calc!$V$4:$X$37,VLOOKUP(AX217,Foundation_Calc!$I$10:$J$13,2,FALSE),0),
IF(AX217="K",VLOOKUP(L217,Foundation_Calc!$V$41:$X$74,VLOOKUP(AX217,Foundation_Calc!$I$10:$J$13,2,FALSE),0),"")))</f>
        <v/>
      </c>
      <c r="N217" s="8"/>
      <c r="O217" s="8"/>
      <c r="P217" s="8"/>
      <c r="Q217" s="14"/>
      <c r="R217" s="15"/>
      <c r="S217" s="15"/>
      <c r="T217" s="14"/>
      <c r="U217" s="14"/>
      <c r="V217" s="14"/>
      <c r="W217" s="18"/>
      <c r="X217" s="18"/>
      <c r="Y217" s="18"/>
      <c r="Z217" s="18"/>
      <c r="AA217" s="18"/>
      <c r="AB217" s="18"/>
      <c r="AC217" s="8" t="str">
        <f t="shared" si="82"/>
        <v/>
      </c>
      <c r="AD217" s="8"/>
      <c r="AE217" s="8"/>
      <c r="AF217" s="14"/>
      <c r="AG217" s="13"/>
      <c r="AH217" s="14"/>
      <c r="AI217" s="14"/>
      <c r="AJ217" s="8"/>
      <c r="AK217" s="8"/>
      <c r="AL217" s="8"/>
      <c r="AM217" s="8"/>
      <c r="AN217" s="631"/>
      <c r="AO217" s="18"/>
      <c r="AP217" s="18"/>
      <c r="AQ217" s="18"/>
      <c r="AR217" s="18"/>
      <c r="AS217" s="18"/>
      <c r="AU217" s="448"/>
      <c r="AV217" s="448"/>
      <c r="AW217" s="8" t="str">
        <f>IF(C217&gt;0,VLOOKUP(C217,Foundation_Calc!$A$2:$C$986,3,1),
IF(J217&gt;0,VLOOKUP(J217,Foundation_Calc!$A$2:$C$986,3,1),""))</f>
        <v/>
      </c>
      <c r="AX217" s="8" t="str">
        <f>IF(C217&gt;0,VLOOKUP(C217,Foundation_Calc!$E$2:$G$986,3,1),
IF(J217&gt;0,VLOOKUP(J217,Foundation_Calc!$E$2:$G$986,3,1),""))</f>
        <v/>
      </c>
      <c r="AY217" s="631" t="str">
        <f>IF(L217="","",
IF(AX217="PT",VLOOKUP(L217,Foundation_Calc!$K$4:$R$37,VLOOKUP(AW217,Foundation_Calc!$I$2:$J$8,2,FALSE),0),
IF(AX217="K",VLOOKUP(L217,Foundation_Calc!$K$41:$R$74,VLOOKUP(AW217,Foundation_Calc!$I$2:$J$8,2,FALSE),0),"")))</f>
        <v/>
      </c>
      <c r="AZ217" s="631" t="str">
        <f>IF(K217="","",
IF(AX217="PT",VLOOKUP(K217,Foundation_Calc!$K$4:$R$37,VLOOKUP(AW217,Foundation_Calc!$I$2:$J$8,2,FALSE),0),
IF(AX217="K",VLOOKUP(K217,Foundation_Calc!$K$41:$R$74,VLOOKUP(AW217,Foundation_Calc!$I$2:$J$8,2,FALSE),0),"")))</f>
        <v/>
      </c>
      <c r="BA217" s="632" t="str">
        <f t="shared" si="83"/>
        <v/>
      </c>
      <c r="BB217" s="632" t="str">
        <f t="shared" si="84"/>
        <v/>
      </c>
      <c r="BC217" s="632" t="str">
        <f t="shared" si="85"/>
        <v/>
      </c>
      <c r="BD217" s="633" t="str">
        <f>IF(AND(L217="",H217=""),"",
IF(H217="",Pole_Calc!A245,
IF(H217="MP",Pole_Calc!A246,
IF(H217="AnMP",Pole_Calc!A247,
IF(H217="A",Pole_Calc!A248,
IF(H217="S/A",Pole_Calc!A249,
IF(H217="A/S",Pole_Calc!A250,"Poner a mano")))))))</f>
        <v/>
      </c>
      <c r="BE217" s="448" t="s">
        <v>1726</v>
      </c>
      <c r="BF217" s="635"/>
      <c r="BG217" s="635"/>
      <c r="BH217" s="634"/>
      <c r="BI217" s="635"/>
    </row>
    <row r="218" spans="1:61" ht="16.2" customHeight="1">
      <c r="A218" s="12"/>
      <c r="B218" s="446"/>
      <c r="C218" s="89"/>
      <c r="D218" s="13"/>
      <c r="E218" s="14"/>
      <c r="F218" s="14"/>
      <c r="G218" s="15"/>
      <c r="H218" s="8"/>
      <c r="I218" s="8"/>
      <c r="J218" s="89"/>
      <c r="K218" s="8"/>
      <c r="L218" s="8"/>
      <c r="M218" s="8" t="str">
        <f>IF(L218="","",
IF(AX218="PT",VLOOKUP(L218,Foundation_Calc!$V$4:$X$37,VLOOKUP(AX218,Foundation_Calc!$I$10:$J$13,2,FALSE),0),
IF(AX218="K",VLOOKUP(L218,Foundation_Calc!$V$41:$X$74,VLOOKUP(AX218,Foundation_Calc!$I$10:$J$13,2,FALSE),0),"")))</f>
        <v/>
      </c>
      <c r="N218" s="8"/>
      <c r="O218" s="8"/>
      <c r="P218" s="8"/>
      <c r="Q218" s="14"/>
      <c r="R218" s="15"/>
      <c r="S218" s="15"/>
      <c r="T218" s="14"/>
      <c r="U218" s="14"/>
      <c r="V218" s="14"/>
      <c r="W218" s="18"/>
      <c r="X218" s="18"/>
      <c r="Y218" s="18"/>
      <c r="Z218" s="18"/>
      <c r="AA218" s="18"/>
      <c r="AB218" s="18"/>
      <c r="AC218" s="8" t="str">
        <f t="shared" si="82"/>
        <v/>
      </c>
      <c r="AD218" s="8"/>
      <c r="AE218" s="8"/>
      <c r="AF218" s="14"/>
      <c r="AG218" s="13"/>
      <c r="AH218" s="14"/>
      <c r="AI218" s="14"/>
      <c r="AJ218" s="8"/>
      <c r="AK218" s="8"/>
      <c r="AL218" s="8"/>
      <c r="AM218" s="8"/>
      <c r="AN218" s="631"/>
      <c r="AO218" s="18"/>
      <c r="AP218" s="18"/>
      <c r="AQ218" s="18"/>
      <c r="AR218" s="18"/>
      <c r="AS218" s="18"/>
      <c r="AU218" s="448"/>
      <c r="AV218" s="448"/>
      <c r="AW218" s="8" t="str">
        <f>IF(C218&gt;0,VLOOKUP(C218,Foundation_Calc!$A$2:$C$986,3,1),
IF(J218&gt;0,VLOOKUP(J218,Foundation_Calc!$A$2:$C$986,3,1),""))</f>
        <v/>
      </c>
      <c r="AX218" s="8" t="str">
        <f>IF(C218&gt;0,VLOOKUP(C218,Foundation_Calc!$E$2:$G$986,3,1),
IF(J218&gt;0,VLOOKUP(J218,Foundation_Calc!$E$2:$G$986,3,1),""))</f>
        <v/>
      </c>
      <c r="AY218" s="631" t="str">
        <f>IF(L218="","",
IF(AX218="PT",VLOOKUP(L218,Foundation_Calc!$K$4:$R$37,VLOOKUP(AW218,Foundation_Calc!$I$2:$J$8,2,FALSE),0),
IF(AX218="K",VLOOKUP(L218,Foundation_Calc!$K$41:$R$74,VLOOKUP(AW218,Foundation_Calc!$I$2:$J$8,2,FALSE),0),"")))</f>
        <v/>
      </c>
      <c r="AZ218" s="631" t="str">
        <f>IF(K218="","",
IF(AX218="PT",VLOOKUP(K218,Foundation_Calc!$K$4:$R$37,VLOOKUP(AW218,Foundation_Calc!$I$2:$J$8,2,FALSE),0),
IF(AX218="K",VLOOKUP(K218,Foundation_Calc!$K$41:$R$74,VLOOKUP(AW218,Foundation_Calc!$I$2:$J$8,2,FALSE),0),"")))</f>
        <v/>
      </c>
      <c r="BA218" s="632" t="str">
        <f t="shared" si="83"/>
        <v/>
      </c>
      <c r="BB218" s="632" t="str">
        <f t="shared" si="84"/>
        <v/>
      </c>
      <c r="BC218" s="632" t="str">
        <f t="shared" si="85"/>
        <v/>
      </c>
      <c r="BD218" s="633" t="str">
        <f>IF(AND(L218="",H218=""),"",
IF(H218="",Pole_Calc!A246,
IF(H218="MP",Pole_Calc!A247,
IF(H218="AnMP",Pole_Calc!A248,
IF(H218="A",Pole_Calc!A249,
IF(H218="S/A",Pole_Calc!A250,
IF(H218="A/S",Pole_Calc!A251,"Poner a mano")))))))</f>
        <v/>
      </c>
      <c r="BE218" s="448" t="s">
        <v>1726</v>
      </c>
      <c r="BF218" s="634"/>
      <c r="BG218" s="634"/>
      <c r="BH218" s="634"/>
      <c r="BI218" s="634"/>
    </row>
    <row r="219" spans="1:61" ht="16.2" customHeight="1">
      <c r="A219" s="12"/>
      <c r="B219" s="446"/>
      <c r="C219" s="89"/>
      <c r="D219" s="13"/>
      <c r="E219" s="14"/>
      <c r="F219" s="14"/>
      <c r="G219" s="15"/>
      <c r="H219" s="8"/>
      <c r="I219" s="8"/>
      <c r="J219" s="89"/>
      <c r="K219" s="8"/>
      <c r="L219" s="8"/>
      <c r="M219" s="8" t="str">
        <f>IF(L219="","",
IF(AX219="PT",VLOOKUP(L219,Foundation_Calc!$V$4:$X$37,VLOOKUP(AX219,Foundation_Calc!$I$10:$J$13,2,FALSE),0),
IF(AX219="K",VLOOKUP(L219,Foundation_Calc!$V$41:$X$74,VLOOKUP(AX219,Foundation_Calc!$I$10:$J$13,2,FALSE),0),"")))</f>
        <v/>
      </c>
      <c r="N219" s="8"/>
      <c r="O219" s="8"/>
      <c r="P219" s="8"/>
      <c r="Q219" s="14"/>
      <c r="R219" s="15"/>
      <c r="S219" s="15"/>
      <c r="T219" s="14"/>
      <c r="U219" s="14"/>
      <c r="V219" s="14"/>
      <c r="W219" s="18"/>
      <c r="X219" s="18"/>
      <c r="Y219" s="18"/>
      <c r="Z219" s="18"/>
      <c r="AA219" s="18"/>
      <c r="AB219" s="18"/>
      <c r="AC219" s="8" t="str">
        <f t="shared" si="82"/>
        <v/>
      </c>
      <c r="AD219" s="8"/>
      <c r="AE219" s="8"/>
      <c r="AF219" s="14"/>
      <c r="AG219" s="13"/>
      <c r="AH219" s="14"/>
      <c r="AI219" s="14"/>
      <c r="AJ219" s="8"/>
      <c r="AK219" s="8"/>
      <c r="AL219" s="8"/>
      <c r="AM219" s="8"/>
      <c r="AN219" s="631"/>
      <c r="AO219" s="18"/>
      <c r="AP219" s="18"/>
      <c r="AQ219" s="18"/>
      <c r="AR219" s="18"/>
      <c r="AS219" s="18"/>
      <c r="AU219" s="448"/>
      <c r="AV219" s="448"/>
      <c r="AW219" s="8" t="str">
        <f>IF(C219&gt;0,VLOOKUP(C219,Foundation_Calc!$A$2:$C$986,3,1),
IF(J219&gt;0,VLOOKUP(J219,Foundation_Calc!$A$2:$C$986,3,1),""))</f>
        <v/>
      </c>
      <c r="AX219" s="8" t="str">
        <f>IF(C219&gt;0,VLOOKUP(C219,Foundation_Calc!$E$2:$G$986,3,1),
IF(J219&gt;0,VLOOKUP(J219,Foundation_Calc!$E$2:$G$986,3,1),""))</f>
        <v/>
      </c>
      <c r="AY219" s="631" t="str">
        <f>IF(L219="","",
IF(AX219="PT",VLOOKUP(L219,Foundation_Calc!$K$4:$R$37,VLOOKUP(AW219,Foundation_Calc!$I$2:$J$8,2,FALSE),0),
IF(AX219="K",VLOOKUP(L219,Foundation_Calc!$K$41:$R$74,VLOOKUP(AW219,Foundation_Calc!$I$2:$J$8,2,FALSE),0),"")))</f>
        <v/>
      </c>
      <c r="AZ219" s="631" t="str">
        <f>IF(K219="","",
IF(AX219="PT",VLOOKUP(K219,Foundation_Calc!$K$4:$R$37,VLOOKUP(AW219,Foundation_Calc!$I$2:$J$8,2,FALSE),0),
IF(AX219="K",VLOOKUP(K219,Foundation_Calc!$K$41:$R$74,VLOOKUP(AW219,Foundation_Calc!$I$2:$J$8,2,FALSE),0),"")))</f>
        <v/>
      </c>
      <c r="BA219" s="632" t="str">
        <f t="shared" si="83"/>
        <v/>
      </c>
      <c r="BB219" s="632" t="str">
        <f t="shared" si="84"/>
        <v/>
      </c>
      <c r="BC219" s="632" t="str">
        <f t="shared" si="85"/>
        <v/>
      </c>
      <c r="BD219" s="633" t="str">
        <f>IF(AND(L219="",H219=""),"",
IF(H219="",Pole_Calc!A247,
IF(H219="MP",Pole_Calc!A248,
IF(H219="AnMP",Pole_Calc!A249,
IF(H219="A",Pole_Calc!A250,
IF(H219="S/A",Pole_Calc!A251,
IF(H219="A/S",Pole_Calc!A252,"Poner a mano")))))))</f>
        <v/>
      </c>
      <c r="BE219" s="448" t="s">
        <v>1726</v>
      </c>
      <c r="BF219" s="635"/>
      <c r="BG219" s="635"/>
      <c r="BH219" s="634"/>
      <c r="BI219" s="635"/>
    </row>
    <row r="220" spans="1:61" ht="16.2" customHeight="1">
      <c r="A220" s="12"/>
      <c r="B220" s="446"/>
      <c r="C220" s="89"/>
      <c r="D220" s="13"/>
      <c r="E220" s="14"/>
      <c r="F220" s="14"/>
      <c r="G220" s="15"/>
      <c r="H220" s="8"/>
      <c r="I220" s="8"/>
      <c r="J220" s="89"/>
      <c r="K220" s="8"/>
      <c r="L220" s="8"/>
      <c r="M220" s="8" t="str">
        <f>IF(L220="","",
IF(AX220="PT",VLOOKUP(L220,Foundation_Calc!$V$4:$X$37,VLOOKUP(AX220,Foundation_Calc!$I$10:$J$13,2,FALSE),0),
IF(AX220="K",VLOOKUP(L220,Foundation_Calc!$V$41:$X$74,VLOOKUP(AX220,Foundation_Calc!$I$10:$J$13,2,FALSE),0),"")))</f>
        <v/>
      </c>
      <c r="N220" s="8"/>
      <c r="O220" s="8"/>
      <c r="P220" s="8"/>
      <c r="Q220" s="14"/>
      <c r="R220" s="15"/>
      <c r="S220" s="15"/>
      <c r="T220" s="14"/>
      <c r="U220" s="14"/>
      <c r="V220" s="14"/>
      <c r="W220" s="18"/>
      <c r="X220" s="18"/>
      <c r="Y220" s="18"/>
      <c r="Z220" s="18"/>
      <c r="AA220" s="18"/>
      <c r="AB220" s="18"/>
      <c r="AC220" s="8" t="str">
        <f t="shared" si="82"/>
        <v/>
      </c>
      <c r="AD220" s="8"/>
      <c r="AE220" s="8"/>
      <c r="AF220" s="14"/>
      <c r="AG220" s="13"/>
      <c r="AH220" s="14"/>
      <c r="AI220" s="14"/>
      <c r="AJ220" s="8"/>
      <c r="AK220" s="8"/>
      <c r="AL220" s="8"/>
      <c r="AM220" s="8"/>
      <c r="AN220" s="631"/>
      <c r="AO220" s="18"/>
      <c r="AP220" s="18"/>
      <c r="AQ220" s="18"/>
      <c r="AR220" s="18"/>
      <c r="AS220" s="18"/>
      <c r="AU220" s="448"/>
      <c r="AV220" s="448"/>
      <c r="AW220" s="8" t="str">
        <f>IF(C220&gt;0,VLOOKUP(C220,Foundation_Calc!$A$2:$C$986,3,1),
IF(J220&gt;0,VLOOKUP(J220,Foundation_Calc!$A$2:$C$986,3,1),""))</f>
        <v/>
      </c>
      <c r="AX220" s="8" t="str">
        <f>IF(C220&gt;0,VLOOKUP(C220,Foundation_Calc!$E$2:$G$986,3,1),
IF(J220&gt;0,VLOOKUP(J220,Foundation_Calc!$E$2:$G$986,3,1),""))</f>
        <v/>
      </c>
      <c r="AY220" s="631" t="str">
        <f>IF(L220="","",
IF(AX220="PT",VLOOKUP(L220,Foundation_Calc!$K$4:$R$37,VLOOKUP(AW220,Foundation_Calc!$I$2:$J$8,2,FALSE),0),
IF(AX220="K",VLOOKUP(L220,Foundation_Calc!$K$41:$R$74,VLOOKUP(AW220,Foundation_Calc!$I$2:$J$8,2,FALSE),0),"")))</f>
        <v/>
      </c>
      <c r="AZ220" s="631" t="str">
        <f>IF(K220="","",
IF(AX220="PT",VLOOKUP(K220,Foundation_Calc!$K$4:$R$37,VLOOKUP(AW220,Foundation_Calc!$I$2:$J$8,2,FALSE),0),
IF(AX220="K",VLOOKUP(K220,Foundation_Calc!$K$41:$R$74,VLOOKUP(AW220,Foundation_Calc!$I$2:$J$8,2,FALSE),0),"")))</f>
        <v/>
      </c>
      <c r="BA220" s="632" t="str">
        <f t="shared" si="83"/>
        <v/>
      </c>
      <c r="BB220" s="632" t="str">
        <f t="shared" si="84"/>
        <v/>
      </c>
      <c r="BC220" s="632" t="str">
        <f t="shared" si="85"/>
        <v/>
      </c>
      <c r="BD220" s="633" t="str">
        <f>IF(AND(L220="",H220=""),"",
IF(H220="",Pole_Calc!A248,
IF(H220="MP",Pole_Calc!A249,
IF(H220="AnMP",Pole_Calc!A250,
IF(H220="A",Pole_Calc!A251,
IF(H220="S/A",Pole_Calc!A252,
IF(H220="A/S",Pole_Calc!A253,"Poner a mano")))))))</f>
        <v/>
      </c>
      <c r="BE220" s="448" t="s">
        <v>1726</v>
      </c>
      <c r="BF220" s="634"/>
      <c r="BG220" s="634"/>
      <c r="BH220" s="634"/>
      <c r="BI220" s="634"/>
    </row>
    <row r="221" spans="1:61" ht="16.2" customHeight="1">
      <c r="A221" s="12"/>
      <c r="B221" s="446"/>
      <c r="C221" s="89"/>
      <c r="D221" s="13"/>
      <c r="E221" s="14"/>
      <c r="F221" s="14"/>
      <c r="G221" s="15"/>
      <c r="H221" s="8"/>
      <c r="I221" s="8"/>
      <c r="J221" s="89"/>
      <c r="K221" s="8"/>
      <c r="L221" s="8"/>
      <c r="M221" s="8" t="str">
        <f>IF(L221="","",
IF(AX221="PT",VLOOKUP(L221,Foundation_Calc!$V$4:$X$37,VLOOKUP(AX221,Foundation_Calc!$I$10:$J$13,2,FALSE),0),
IF(AX221="K",VLOOKUP(L221,Foundation_Calc!$V$41:$X$74,VLOOKUP(AX221,Foundation_Calc!$I$10:$J$13,2,FALSE),0),"")))</f>
        <v/>
      </c>
      <c r="N221" s="8"/>
      <c r="O221" s="8"/>
      <c r="P221" s="8"/>
      <c r="Q221" s="14"/>
      <c r="R221" s="15"/>
      <c r="S221" s="15"/>
      <c r="T221" s="14"/>
      <c r="U221" s="14"/>
      <c r="V221" s="14"/>
      <c r="W221" s="18"/>
      <c r="X221" s="18"/>
      <c r="Y221" s="18"/>
      <c r="Z221" s="18"/>
      <c r="AA221" s="18"/>
      <c r="AB221" s="18"/>
      <c r="AC221" s="8" t="str">
        <f t="shared" si="82"/>
        <v/>
      </c>
      <c r="AD221" s="8"/>
      <c r="AE221" s="8"/>
      <c r="AF221" s="14"/>
      <c r="AG221" s="13"/>
      <c r="AH221" s="14"/>
      <c r="AI221" s="14"/>
      <c r="AJ221" s="8"/>
      <c r="AK221" s="8"/>
      <c r="AL221" s="8"/>
      <c r="AM221" s="8"/>
      <c r="AN221" s="631"/>
      <c r="AO221" s="18"/>
      <c r="AP221" s="18"/>
      <c r="AQ221" s="18"/>
      <c r="AR221" s="18"/>
      <c r="AS221" s="18"/>
      <c r="AU221" s="448"/>
      <c r="AV221" s="448"/>
      <c r="AW221" s="8" t="str">
        <f>IF(C221&gt;0,VLOOKUP(C221,Foundation_Calc!$A$2:$C$986,3,1),
IF(J221&gt;0,VLOOKUP(J221,Foundation_Calc!$A$2:$C$986,3,1),""))</f>
        <v/>
      </c>
      <c r="AX221" s="8" t="str">
        <f>IF(C221&gt;0,VLOOKUP(C221,Foundation_Calc!$E$2:$G$986,3,1),
IF(J221&gt;0,VLOOKUP(J221,Foundation_Calc!$E$2:$G$986,3,1),""))</f>
        <v/>
      </c>
      <c r="AY221" s="631" t="str">
        <f>IF(L221="","",
IF(AX221="PT",VLOOKUP(L221,Foundation_Calc!$K$4:$R$37,VLOOKUP(AW221,Foundation_Calc!$I$2:$J$8,2,FALSE),0),
IF(AX221="K",VLOOKUP(L221,Foundation_Calc!$K$41:$R$74,VLOOKUP(AW221,Foundation_Calc!$I$2:$J$8,2,FALSE),0),"")))</f>
        <v/>
      </c>
      <c r="AZ221" s="631" t="str">
        <f>IF(K221="","",
IF(AX221="PT",VLOOKUP(K221,Foundation_Calc!$K$4:$R$37,VLOOKUP(AW221,Foundation_Calc!$I$2:$J$8,2,FALSE),0),
IF(AX221="K",VLOOKUP(K221,Foundation_Calc!$K$41:$R$74,VLOOKUP(AW221,Foundation_Calc!$I$2:$J$8,2,FALSE),0),"")))</f>
        <v/>
      </c>
      <c r="BA221" s="632" t="str">
        <f t="shared" si="83"/>
        <v/>
      </c>
      <c r="BB221" s="632" t="str">
        <f t="shared" si="84"/>
        <v/>
      </c>
      <c r="BC221" s="632" t="str">
        <f t="shared" si="85"/>
        <v/>
      </c>
      <c r="BD221" s="633" t="str">
        <f>IF(AND(L221="",H221=""),"",
IF(H221="",Pole_Calc!A249,
IF(H221="MP",Pole_Calc!A250,
IF(H221="AnMP",Pole_Calc!A251,
IF(H221="A",Pole_Calc!A252,
IF(H221="S/A",Pole_Calc!A253,
IF(H221="A/S",Pole_Calc!A254,"Poner a mano")))))))</f>
        <v/>
      </c>
      <c r="BE221" s="448" t="s">
        <v>1726</v>
      </c>
      <c r="BF221" s="635"/>
      <c r="BG221" s="635"/>
      <c r="BH221" s="634"/>
      <c r="BI221" s="635"/>
    </row>
    <row r="222" spans="1:61" ht="16.2" customHeight="1">
      <c r="A222" s="12"/>
      <c r="B222" s="446"/>
      <c r="C222" s="89"/>
      <c r="D222" s="13"/>
      <c r="E222" s="14"/>
      <c r="F222" s="14"/>
      <c r="G222" s="15"/>
      <c r="H222" s="8"/>
      <c r="I222" s="8"/>
      <c r="J222" s="89"/>
      <c r="K222" s="8"/>
      <c r="L222" s="8"/>
      <c r="M222" s="8" t="str">
        <f>IF(L222="","",
IF(AX222="PT",VLOOKUP(L222,Foundation_Calc!$V$4:$X$37,VLOOKUP(AX222,Foundation_Calc!$I$10:$J$13,2,FALSE),0),
IF(AX222="K",VLOOKUP(L222,Foundation_Calc!$V$41:$X$74,VLOOKUP(AX222,Foundation_Calc!$I$10:$J$13,2,FALSE),0),"")))</f>
        <v/>
      </c>
      <c r="N222" s="8"/>
      <c r="O222" s="8"/>
      <c r="P222" s="8"/>
      <c r="Q222" s="14"/>
      <c r="R222" s="15"/>
      <c r="S222" s="15"/>
      <c r="T222" s="14"/>
      <c r="U222" s="14"/>
      <c r="V222" s="14"/>
      <c r="W222" s="18"/>
      <c r="X222" s="18"/>
      <c r="Y222" s="18"/>
      <c r="Z222" s="18"/>
      <c r="AA222" s="18"/>
      <c r="AB222" s="18"/>
      <c r="AC222" s="8" t="str">
        <f t="shared" si="82"/>
        <v/>
      </c>
      <c r="AD222" s="8"/>
      <c r="AE222" s="8"/>
      <c r="AF222" s="14"/>
      <c r="AG222" s="13"/>
      <c r="AH222" s="14"/>
      <c r="AI222" s="14"/>
      <c r="AJ222" s="8"/>
      <c r="AK222" s="8"/>
      <c r="AL222" s="8"/>
      <c r="AM222" s="8"/>
      <c r="AN222" s="631"/>
      <c r="AO222" s="18"/>
      <c r="AP222" s="18"/>
      <c r="AQ222" s="18"/>
      <c r="AR222" s="18"/>
      <c r="AS222" s="18"/>
      <c r="AU222" s="448"/>
      <c r="AV222" s="448"/>
      <c r="AW222" s="8" t="str">
        <f>IF(C222&gt;0,VLOOKUP(C222,Foundation_Calc!$A$2:$C$986,3,1),
IF(J222&gt;0,VLOOKUP(J222,Foundation_Calc!$A$2:$C$986,3,1),""))</f>
        <v/>
      </c>
      <c r="AX222" s="8" t="str">
        <f>IF(C222&gt;0,VLOOKUP(C222,Foundation_Calc!$E$2:$G$986,3,1),
IF(J222&gt;0,VLOOKUP(J222,Foundation_Calc!$E$2:$G$986,3,1),""))</f>
        <v/>
      </c>
      <c r="AY222" s="631" t="str">
        <f>IF(L222="","",
IF(AX222="PT",VLOOKUP(L222,Foundation_Calc!$K$4:$R$37,VLOOKUP(AW222,Foundation_Calc!$I$2:$J$8,2,FALSE),0),
IF(AX222="K",VLOOKUP(L222,Foundation_Calc!$K$41:$R$74,VLOOKUP(AW222,Foundation_Calc!$I$2:$J$8,2,FALSE),0),"")))</f>
        <v/>
      </c>
      <c r="AZ222" s="631" t="str">
        <f>IF(K222="","",
IF(AX222="PT",VLOOKUP(K222,Foundation_Calc!$K$4:$R$37,VLOOKUP(AW222,Foundation_Calc!$I$2:$J$8,2,FALSE),0),
IF(AX222="K",VLOOKUP(K222,Foundation_Calc!$K$41:$R$74,VLOOKUP(AW222,Foundation_Calc!$I$2:$J$8,2,FALSE),0),"")))</f>
        <v/>
      </c>
      <c r="BA222" s="632" t="str">
        <f t="shared" si="83"/>
        <v/>
      </c>
      <c r="BB222" s="632" t="str">
        <f t="shared" si="84"/>
        <v/>
      </c>
      <c r="BC222" s="632" t="str">
        <f t="shared" si="85"/>
        <v/>
      </c>
      <c r="BD222" s="633" t="str">
        <f>IF(AND(L222="",H222=""),"",
IF(H222="",Pole_Calc!A250,
IF(H222="MP",Pole_Calc!A251,
IF(H222="AnMP",Pole_Calc!A252,
IF(H222="A",Pole_Calc!A253,
IF(H222="S/A",Pole_Calc!A254,
IF(H222="A/S",Pole_Calc!A255,"Poner a mano")))))))</f>
        <v/>
      </c>
      <c r="BE222" s="448" t="s">
        <v>1726</v>
      </c>
      <c r="BF222" s="634"/>
      <c r="BG222" s="634"/>
      <c r="BH222" s="634"/>
      <c r="BI222" s="634"/>
    </row>
    <row r="223" spans="1:61" ht="16.2" customHeight="1">
      <c r="A223" s="12"/>
      <c r="B223" s="446"/>
      <c r="C223" s="89"/>
      <c r="D223" s="13"/>
      <c r="E223" s="14"/>
      <c r="F223" s="14"/>
      <c r="G223" s="15"/>
      <c r="H223" s="8"/>
      <c r="I223" s="8"/>
      <c r="J223" s="89"/>
      <c r="K223" s="8"/>
      <c r="L223" s="8"/>
      <c r="M223" s="8" t="str">
        <f>IF(L223="","",
IF(AX223="PT",VLOOKUP(L223,Foundation_Calc!$V$4:$X$37,VLOOKUP(AX223,Foundation_Calc!$I$10:$J$13,2,FALSE),0),
IF(AX223="K",VLOOKUP(L223,Foundation_Calc!$V$41:$X$74,VLOOKUP(AX223,Foundation_Calc!$I$10:$J$13,2,FALSE),0),"")))</f>
        <v/>
      </c>
      <c r="N223" s="8"/>
      <c r="O223" s="8"/>
      <c r="P223" s="8"/>
      <c r="Q223" s="14"/>
      <c r="R223" s="15"/>
      <c r="S223" s="15"/>
      <c r="T223" s="14"/>
      <c r="U223" s="14"/>
      <c r="V223" s="14"/>
      <c r="W223" s="18"/>
      <c r="X223" s="18"/>
      <c r="Y223" s="18"/>
      <c r="Z223" s="18"/>
      <c r="AA223" s="18"/>
      <c r="AB223" s="18"/>
      <c r="AC223" s="8" t="str">
        <f t="shared" si="82"/>
        <v/>
      </c>
      <c r="AD223" s="8"/>
      <c r="AE223" s="8"/>
      <c r="AF223" s="14"/>
      <c r="AG223" s="13"/>
      <c r="AH223" s="14"/>
      <c r="AI223" s="14"/>
      <c r="AJ223" s="8"/>
      <c r="AK223" s="8"/>
      <c r="AL223" s="8"/>
      <c r="AM223" s="8"/>
      <c r="AN223" s="631"/>
      <c r="AO223" s="18"/>
      <c r="AP223" s="18"/>
      <c r="AQ223" s="18"/>
      <c r="AR223" s="18"/>
      <c r="AS223" s="18"/>
      <c r="AU223" s="448"/>
      <c r="AV223" s="448"/>
      <c r="AW223" s="8" t="str">
        <f>IF(C223&gt;0,VLOOKUP(C223,Foundation_Calc!$A$2:$C$986,3,1),
IF(J223&gt;0,VLOOKUP(J223,Foundation_Calc!$A$2:$C$986,3,1),""))</f>
        <v/>
      </c>
      <c r="AX223" s="8" t="str">
        <f>IF(C223&gt;0,VLOOKUP(C223,Foundation_Calc!$E$2:$G$986,3,1),
IF(J223&gt;0,VLOOKUP(J223,Foundation_Calc!$E$2:$G$986,3,1),""))</f>
        <v/>
      </c>
      <c r="AY223" s="631" t="str">
        <f>IF(L223="","",
IF(AX223="PT",VLOOKUP(L223,Foundation_Calc!$K$4:$R$37,VLOOKUP(AW223,Foundation_Calc!$I$2:$J$8,2,FALSE),0),
IF(AX223="K",VLOOKUP(L223,Foundation_Calc!$K$41:$R$74,VLOOKUP(AW223,Foundation_Calc!$I$2:$J$8,2,FALSE),0),"")))</f>
        <v/>
      </c>
      <c r="AZ223" s="631" t="str">
        <f>IF(K223="","",
IF(AX223="PT",VLOOKUP(K223,Foundation_Calc!$K$4:$R$37,VLOOKUP(AW223,Foundation_Calc!$I$2:$J$8,2,FALSE),0),
IF(AX223="K",VLOOKUP(K223,Foundation_Calc!$K$41:$R$74,VLOOKUP(AW223,Foundation_Calc!$I$2:$J$8,2,FALSE),0),"")))</f>
        <v/>
      </c>
      <c r="BA223" s="632" t="str">
        <f t="shared" si="83"/>
        <v/>
      </c>
      <c r="BB223" s="632" t="str">
        <f t="shared" si="84"/>
        <v/>
      </c>
      <c r="BC223" s="632" t="str">
        <f t="shared" si="85"/>
        <v/>
      </c>
      <c r="BD223" s="633" t="str">
        <f>IF(AND(L223="",H223=""),"",
IF(H223="",Pole_Calc!A251,
IF(H223="MP",Pole_Calc!A252,
IF(H223="AnMP",Pole_Calc!A253,
IF(H223="A",Pole_Calc!A254,
IF(H223="S/A",Pole_Calc!A255,
IF(H223="A/S",Pole_Calc!A256,"Poner a mano")))))))</f>
        <v/>
      </c>
      <c r="BE223" s="448" t="s">
        <v>1726</v>
      </c>
      <c r="BF223" s="635"/>
      <c r="BG223" s="635"/>
      <c r="BH223" s="634"/>
      <c r="BI223" s="635"/>
    </row>
    <row r="224" spans="1:61" ht="16.2" customHeight="1">
      <c r="A224" s="12"/>
      <c r="B224" s="446"/>
      <c r="C224" s="89"/>
      <c r="D224" s="13"/>
      <c r="E224" s="14"/>
      <c r="F224" s="14"/>
      <c r="G224" s="15"/>
      <c r="H224" s="8"/>
      <c r="I224" s="8"/>
      <c r="J224" s="89"/>
      <c r="K224" s="8"/>
      <c r="L224" s="8"/>
      <c r="M224" s="8" t="str">
        <f>IF(L224="","",
IF(AX224="PT",VLOOKUP(L224,Foundation_Calc!$V$4:$X$37,VLOOKUP(AX224,Foundation_Calc!$I$10:$J$13,2,FALSE),0),
IF(AX224="K",VLOOKUP(L224,Foundation_Calc!$V$41:$X$74,VLOOKUP(AX224,Foundation_Calc!$I$10:$J$13,2,FALSE),0),"")))</f>
        <v/>
      </c>
      <c r="N224" s="8"/>
      <c r="O224" s="8"/>
      <c r="P224" s="8"/>
      <c r="Q224" s="14"/>
      <c r="R224" s="15"/>
      <c r="S224" s="15"/>
      <c r="T224" s="14"/>
      <c r="U224" s="14"/>
      <c r="V224" s="14"/>
      <c r="W224" s="18"/>
      <c r="X224" s="18"/>
      <c r="Y224" s="18"/>
      <c r="Z224" s="18"/>
      <c r="AA224" s="18"/>
      <c r="AB224" s="18"/>
      <c r="AC224" s="8" t="str">
        <f t="shared" si="82"/>
        <v/>
      </c>
      <c r="AD224" s="8"/>
      <c r="AE224" s="8"/>
      <c r="AF224" s="14"/>
      <c r="AG224" s="13"/>
      <c r="AH224" s="14"/>
      <c r="AI224" s="14"/>
      <c r="AJ224" s="8"/>
      <c r="AK224" s="8"/>
      <c r="AL224" s="8"/>
      <c r="AM224" s="8"/>
      <c r="AN224" s="631"/>
      <c r="AO224" s="18"/>
      <c r="AP224" s="18"/>
      <c r="AQ224" s="18"/>
      <c r="AR224" s="18"/>
      <c r="AS224" s="18"/>
      <c r="AU224" s="448"/>
      <c r="AV224" s="448"/>
      <c r="AW224" s="8" t="str">
        <f>IF(C224&gt;0,VLOOKUP(C224,Foundation_Calc!$A$2:$C$986,3,1),
IF(J224&gt;0,VLOOKUP(J224,Foundation_Calc!$A$2:$C$986,3,1),""))</f>
        <v/>
      </c>
      <c r="AX224" s="8" t="str">
        <f>IF(C224&gt;0,VLOOKUP(C224,Foundation_Calc!$E$2:$G$986,3,1),
IF(J224&gt;0,VLOOKUP(J224,Foundation_Calc!$E$2:$G$986,3,1),""))</f>
        <v/>
      </c>
      <c r="AY224" s="631" t="str">
        <f>IF(L224="","",
IF(AX224="PT",VLOOKUP(L224,Foundation_Calc!$K$4:$R$37,VLOOKUP(AW224,Foundation_Calc!$I$2:$J$8,2,FALSE),0),
IF(AX224="K",VLOOKUP(L224,Foundation_Calc!$K$41:$R$74,VLOOKUP(AW224,Foundation_Calc!$I$2:$J$8,2,FALSE),0),"")))</f>
        <v/>
      </c>
      <c r="AZ224" s="631" t="str">
        <f>IF(K224="","",
IF(AX224="PT",VLOOKUP(K224,Foundation_Calc!$K$4:$R$37,VLOOKUP(AW224,Foundation_Calc!$I$2:$J$8,2,FALSE),0),
IF(AX224="K",VLOOKUP(K224,Foundation_Calc!$K$41:$R$74,VLOOKUP(AW224,Foundation_Calc!$I$2:$J$8,2,FALSE),0),"")))</f>
        <v/>
      </c>
      <c r="BA224" s="632" t="str">
        <f t="shared" si="83"/>
        <v/>
      </c>
      <c r="BB224" s="632" t="str">
        <f t="shared" si="84"/>
        <v/>
      </c>
      <c r="BC224" s="632" t="str">
        <f t="shared" si="85"/>
        <v/>
      </c>
      <c r="BD224" s="633" t="str">
        <f>IF(AND(L224="",H224=""),"",
IF(H224="",Pole_Calc!A252,
IF(H224="MP",Pole_Calc!A253,
IF(H224="AnMP",Pole_Calc!A254,
IF(H224="A",Pole_Calc!A255,
IF(H224="S/A",Pole_Calc!A256,
IF(H224="A/S",Pole_Calc!A257,"Poner a mano")))))))</f>
        <v/>
      </c>
      <c r="BE224" s="448" t="s">
        <v>1726</v>
      </c>
      <c r="BF224" s="634"/>
      <c r="BG224" s="634"/>
      <c r="BH224" s="634"/>
      <c r="BI224" s="634"/>
    </row>
    <row r="225" spans="1:61" ht="16.2" customHeight="1">
      <c r="A225" s="12"/>
      <c r="B225" s="446"/>
      <c r="C225" s="89"/>
      <c r="D225" s="13"/>
      <c r="E225" s="14"/>
      <c r="F225" s="14"/>
      <c r="G225" s="15"/>
      <c r="H225" s="8"/>
      <c r="I225" s="8"/>
      <c r="J225" s="89"/>
      <c r="K225" s="8"/>
      <c r="L225" s="8"/>
      <c r="M225" s="8" t="str">
        <f>IF(L225="","",
IF(AX225="PT",VLOOKUP(L225,Foundation_Calc!$V$4:$X$37,VLOOKUP(AX225,Foundation_Calc!$I$10:$J$13,2,FALSE),0),
IF(AX225="K",VLOOKUP(L225,Foundation_Calc!$V$41:$X$74,VLOOKUP(AX225,Foundation_Calc!$I$10:$J$13,2,FALSE),0),"")))</f>
        <v/>
      </c>
      <c r="N225" s="8"/>
      <c r="O225" s="8"/>
      <c r="P225" s="8"/>
      <c r="Q225" s="14"/>
      <c r="R225" s="15"/>
      <c r="S225" s="15"/>
      <c r="T225" s="14"/>
      <c r="U225" s="14"/>
      <c r="V225" s="14"/>
      <c r="W225" s="18"/>
      <c r="X225" s="18"/>
      <c r="Y225" s="18"/>
      <c r="Z225" s="18"/>
      <c r="AA225" s="18"/>
      <c r="AB225" s="18"/>
      <c r="AC225" s="8" t="str">
        <f t="shared" si="82"/>
        <v/>
      </c>
      <c r="AD225" s="8"/>
      <c r="AE225" s="8"/>
      <c r="AF225" s="14"/>
      <c r="AG225" s="13"/>
      <c r="AH225" s="14"/>
      <c r="AI225" s="14"/>
      <c r="AJ225" s="8"/>
      <c r="AK225" s="8"/>
      <c r="AL225" s="8"/>
      <c r="AM225" s="8"/>
      <c r="AN225" s="631"/>
      <c r="AO225" s="18"/>
      <c r="AP225" s="18"/>
      <c r="AQ225" s="18"/>
      <c r="AR225" s="18"/>
      <c r="AS225" s="18"/>
      <c r="AU225" s="448"/>
      <c r="AV225" s="448"/>
      <c r="AW225" s="8" t="str">
        <f>IF(C225&gt;0,VLOOKUP(C225,Foundation_Calc!$A$2:$C$986,3,1),
IF(J225&gt;0,VLOOKUP(J225,Foundation_Calc!$A$2:$C$986,3,1),""))</f>
        <v/>
      </c>
      <c r="AX225" s="8" t="str">
        <f>IF(C225&gt;0,VLOOKUP(C225,Foundation_Calc!$E$2:$G$986,3,1),
IF(J225&gt;0,VLOOKUP(J225,Foundation_Calc!$E$2:$G$986,3,1),""))</f>
        <v/>
      </c>
      <c r="AY225" s="631" t="str">
        <f>IF(L225="","",
IF(AX225="PT",VLOOKUP(L225,Foundation_Calc!$K$4:$R$37,VLOOKUP(AW225,Foundation_Calc!$I$2:$J$8,2,FALSE),0),
IF(AX225="K",VLOOKUP(L225,Foundation_Calc!$K$41:$R$74,VLOOKUP(AW225,Foundation_Calc!$I$2:$J$8,2,FALSE),0),"")))</f>
        <v/>
      </c>
      <c r="AZ225" s="631" t="str">
        <f>IF(K225="","",
IF(AX225="PT",VLOOKUP(K225,Foundation_Calc!$K$4:$R$37,VLOOKUP(AW225,Foundation_Calc!$I$2:$J$8,2,FALSE),0),
IF(AX225="K",VLOOKUP(K225,Foundation_Calc!$K$41:$R$74,VLOOKUP(AW225,Foundation_Calc!$I$2:$J$8,2,FALSE),0),"")))</f>
        <v/>
      </c>
      <c r="BA225" s="632" t="str">
        <f t="shared" si="83"/>
        <v/>
      </c>
      <c r="BB225" s="632" t="str">
        <f t="shared" si="84"/>
        <v/>
      </c>
      <c r="BC225" s="632" t="str">
        <f t="shared" si="85"/>
        <v/>
      </c>
      <c r="BD225" s="633" t="str">
        <f>IF(AND(L225="",H225=""),"",
IF(H225="",Pole_Calc!A253,
IF(H225="MP",Pole_Calc!A254,
IF(H225="AnMP",Pole_Calc!A255,
IF(H225="A",Pole_Calc!A256,
IF(H225="S/A",Pole_Calc!A257,
IF(H225="A/S",Pole_Calc!A258,"Poner a mano")))))))</f>
        <v/>
      </c>
      <c r="BE225" s="448" t="s">
        <v>1726</v>
      </c>
      <c r="BF225" s="635"/>
      <c r="BG225" s="635"/>
      <c r="BH225" s="634"/>
      <c r="BI225" s="635"/>
    </row>
    <row r="226" spans="1:61" ht="16.2" customHeight="1">
      <c r="A226" s="12"/>
      <c r="B226" s="446"/>
      <c r="C226" s="89"/>
      <c r="D226" s="13"/>
      <c r="E226" s="14"/>
      <c r="F226" s="14"/>
      <c r="G226" s="15"/>
      <c r="H226" s="8"/>
      <c r="I226" s="8"/>
      <c r="J226" s="89"/>
      <c r="K226" s="8"/>
      <c r="L226" s="8"/>
      <c r="M226" s="8" t="str">
        <f>IF(L226="","",
IF(AX226="PT",VLOOKUP(L226,Foundation_Calc!$V$4:$X$37,VLOOKUP(AX226,Foundation_Calc!$I$10:$J$13,2,FALSE),0),
IF(AX226="K",VLOOKUP(L226,Foundation_Calc!$V$41:$X$74,VLOOKUP(AX226,Foundation_Calc!$I$10:$J$13,2,FALSE),0),"")))</f>
        <v/>
      </c>
      <c r="N226" s="8"/>
      <c r="O226" s="8"/>
      <c r="P226" s="8"/>
      <c r="Q226" s="14"/>
      <c r="R226" s="15"/>
      <c r="S226" s="15"/>
      <c r="T226" s="14"/>
      <c r="U226" s="14"/>
      <c r="V226" s="14"/>
      <c r="W226" s="18"/>
      <c r="X226" s="18"/>
      <c r="Y226" s="18"/>
      <c r="Z226" s="18"/>
      <c r="AA226" s="18"/>
      <c r="AB226" s="18"/>
      <c r="AC226" s="8" t="str">
        <f t="shared" si="82"/>
        <v/>
      </c>
      <c r="AD226" s="8"/>
      <c r="AE226" s="8"/>
      <c r="AF226" s="14"/>
      <c r="AG226" s="13"/>
      <c r="AH226" s="14"/>
      <c r="AI226" s="14"/>
      <c r="AJ226" s="8"/>
      <c r="AK226" s="8"/>
      <c r="AL226" s="8"/>
      <c r="AM226" s="8"/>
      <c r="AN226" s="631"/>
      <c r="AO226" s="18"/>
      <c r="AP226" s="18"/>
      <c r="AQ226" s="18"/>
      <c r="AR226" s="18"/>
      <c r="AS226" s="18"/>
      <c r="AU226" s="448"/>
      <c r="AV226" s="448"/>
      <c r="AW226" s="8" t="str">
        <f>IF(C226&gt;0,VLOOKUP(C226,Foundation_Calc!$A$2:$C$986,3,1),
IF(J226&gt;0,VLOOKUP(J226,Foundation_Calc!$A$2:$C$986,3,1),""))</f>
        <v/>
      </c>
      <c r="AX226" s="8" t="str">
        <f>IF(C226&gt;0,VLOOKUP(C226,Foundation_Calc!$E$2:$G$986,3,1),
IF(J226&gt;0,VLOOKUP(J226,Foundation_Calc!$E$2:$G$986,3,1),""))</f>
        <v/>
      </c>
      <c r="AY226" s="631" t="str">
        <f>IF(L226="","",
IF(AX226="PT",VLOOKUP(L226,Foundation_Calc!$K$4:$R$37,VLOOKUP(AW226,Foundation_Calc!$I$2:$J$8,2,FALSE),0),
IF(AX226="K",VLOOKUP(L226,Foundation_Calc!$K$41:$R$74,VLOOKUP(AW226,Foundation_Calc!$I$2:$J$8,2,FALSE),0),"")))</f>
        <v/>
      </c>
      <c r="AZ226" s="631" t="str">
        <f>IF(K226="","",
IF(AX226="PT",VLOOKUP(K226,Foundation_Calc!$K$4:$R$37,VLOOKUP(AW226,Foundation_Calc!$I$2:$J$8,2,FALSE),0),
IF(AX226="K",VLOOKUP(K226,Foundation_Calc!$K$41:$R$74,VLOOKUP(AW226,Foundation_Calc!$I$2:$J$8,2,FALSE),0),"")))</f>
        <v/>
      </c>
      <c r="BA226" s="632" t="str">
        <f t="shared" si="83"/>
        <v/>
      </c>
      <c r="BB226" s="632" t="str">
        <f t="shared" si="84"/>
        <v/>
      </c>
      <c r="BC226" s="632" t="str">
        <f t="shared" si="85"/>
        <v/>
      </c>
      <c r="BD226" s="633" t="str">
        <f>IF(AND(L226="",H226=""),"",
IF(H226="",Pole_Calc!A254,
IF(H226="MP",Pole_Calc!A255,
IF(H226="AnMP",Pole_Calc!A256,
IF(H226="A",Pole_Calc!A257,
IF(H226="S/A",Pole_Calc!A258,
IF(H226="A/S",Pole_Calc!A259,"Poner a mano")))))))</f>
        <v/>
      </c>
      <c r="BE226" s="448" t="s">
        <v>1726</v>
      </c>
      <c r="BF226" s="634"/>
      <c r="BG226" s="634"/>
      <c r="BH226" s="634"/>
      <c r="BI226" s="634"/>
    </row>
    <row r="227" spans="1:61" ht="16.2" customHeight="1">
      <c r="A227" s="12"/>
      <c r="B227" s="446"/>
      <c r="C227" s="89"/>
      <c r="D227" s="13"/>
      <c r="E227" s="14"/>
      <c r="F227" s="14"/>
      <c r="G227" s="15"/>
      <c r="H227" s="8"/>
      <c r="I227" s="8"/>
      <c r="J227" s="89"/>
      <c r="K227" s="8"/>
      <c r="L227" s="8"/>
      <c r="M227" s="8" t="str">
        <f>IF(L227="","",
IF(AX227="PT",VLOOKUP(L227,Foundation_Calc!$V$4:$X$37,VLOOKUP(AX227,Foundation_Calc!$I$10:$J$13,2,FALSE),0),
IF(AX227="K",VLOOKUP(L227,Foundation_Calc!$V$41:$X$74,VLOOKUP(AX227,Foundation_Calc!$I$10:$J$13,2,FALSE),0),"")))</f>
        <v/>
      </c>
      <c r="N227" s="8"/>
      <c r="O227" s="8"/>
      <c r="P227" s="8"/>
      <c r="Q227" s="14"/>
      <c r="R227" s="15"/>
      <c r="S227" s="15"/>
      <c r="T227" s="14"/>
      <c r="U227" s="14"/>
      <c r="V227" s="14"/>
      <c r="W227" s="18"/>
      <c r="X227" s="18"/>
      <c r="Y227" s="18"/>
      <c r="Z227" s="18"/>
      <c r="AA227" s="18"/>
      <c r="AB227" s="18"/>
      <c r="AC227" s="8" t="str">
        <f t="shared" si="82"/>
        <v/>
      </c>
      <c r="AD227" s="8"/>
      <c r="AE227" s="8"/>
      <c r="AF227" s="14"/>
      <c r="AG227" s="13"/>
      <c r="AH227" s="14"/>
      <c r="AI227" s="14"/>
      <c r="AJ227" s="8"/>
      <c r="AK227" s="8"/>
      <c r="AL227" s="8"/>
      <c r="AM227" s="8"/>
      <c r="AN227" s="631"/>
      <c r="AO227" s="18"/>
      <c r="AP227" s="18"/>
      <c r="AQ227" s="18"/>
      <c r="AR227" s="18"/>
      <c r="AS227" s="18"/>
      <c r="AU227" s="448"/>
      <c r="AV227" s="448"/>
      <c r="AW227" s="8" t="str">
        <f>IF(C227&gt;0,VLOOKUP(C227,Foundation_Calc!$A$2:$C$986,3,1),
IF(J227&gt;0,VLOOKUP(J227,Foundation_Calc!$A$2:$C$986,3,1),""))</f>
        <v/>
      </c>
      <c r="AX227" s="8" t="str">
        <f>IF(C227&gt;0,VLOOKUP(C227,Foundation_Calc!$E$2:$G$986,3,1),
IF(J227&gt;0,VLOOKUP(J227,Foundation_Calc!$E$2:$G$986,3,1),""))</f>
        <v/>
      </c>
      <c r="AY227" s="631" t="str">
        <f>IF(L227="","",
IF(AX227="PT",VLOOKUP(L227,Foundation_Calc!$K$4:$R$37,VLOOKUP(AW227,Foundation_Calc!$I$2:$J$8,2,FALSE),0),
IF(AX227="K",VLOOKUP(L227,Foundation_Calc!$K$41:$R$74,VLOOKUP(AW227,Foundation_Calc!$I$2:$J$8,2,FALSE),0),"")))</f>
        <v/>
      </c>
      <c r="AZ227" s="631" t="str">
        <f>IF(K227="","",
IF(AX227="PT",VLOOKUP(K227,Foundation_Calc!$K$4:$R$37,VLOOKUP(AW227,Foundation_Calc!$I$2:$J$8,2,FALSE),0),
IF(AX227="K",VLOOKUP(K227,Foundation_Calc!$K$41:$R$74,VLOOKUP(AW227,Foundation_Calc!$I$2:$J$8,2,FALSE),0),"")))</f>
        <v/>
      </c>
      <c r="BA227" s="632" t="str">
        <f t="shared" si="83"/>
        <v/>
      </c>
      <c r="BB227" s="632" t="str">
        <f t="shared" si="84"/>
        <v/>
      </c>
      <c r="BC227" s="632" t="str">
        <f t="shared" si="85"/>
        <v/>
      </c>
      <c r="BD227" s="633" t="str">
        <f>IF(AND(L227="",H227=""),"",
IF(H227="",Pole_Calc!A255,
IF(H227="MP",Pole_Calc!A256,
IF(H227="AnMP",Pole_Calc!A257,
IF(H227="A",Pole_Calc!A258,
IF(H227="S/A",Pole_Calc!A259,
IF(H227="A/S",Pole_Calc!A260,"Poner a mano")))))))</f>
        <v/>
      </c>
      <c r="BE227" s="448" t="s">
        <v>1726</v>
      </c>
      <c r="BF227" s="635"/>
      <c r="BG227" s="635"/>
      <c r="BH227" s="634"/>
      <c r="BI227" s="635"/>
    </row>
    <row r="228" spans="1:61" ht="16.2" customHeight="1">
      <c r="A228" s="12"/>
      <c r="B228" s="446"/>
      <c r="C228" s="89"/>
      <c r="D228" s="13"/>
      <c r="E228" s="14"/>
      <c r="F228" s="14"/>
      <c r="G228" s="15"/>
      <c r="H228" s="8"/>
      <c r="I228" s="8"/>
      <c r="J228" s="89"/>
      <c r="K228" s="8"/>
      <c r="L228" s="8"/>
      <c r="M228" s="8" t="str">
        <f>IF(L228="","",
IF(AX228="PT",VLOOKUP(L228,Foundation_Calc!$V$4:$X$37,VLOOKUP(AX228,Foundation_Calc!$I$10:$J$13,2,FALSE),0),
IF(AX228="K",VLOOKUP(L228,Foundation_Calc!$V$41:$X$74,VLOOKUP(AX228,Foundation_Calc!$I$10:$J$13,2,FALSE),0),"")))</f>
        <v/>
      </c>
      <c r="N228" s="8"/>
      <c r="O228" s="8"/>
      <c r="P228" s="8"/>
      <c r="Q228" s="14"/>
      <c r="R228" s="15"/>
      <c r="S228" s="15"/>
      <c r="T228" s="14"/>
      <c r="U228" s="14"/>
      <c r="V228" s="14"/>
      <c r="W228" s="18"/>
      <c r="X228" s="18"/>
      <c r="Y228" s="18"/>
      <c r="Z228" s="18"/>
      <c r="AA228" s="18"/>
      <c r="AB228" s="18"/>
      <c r="AC228" s="8" t="str">
        <f t="shared" si="82"/>
        <v/>
      </c>
      <c r="AD228" s="8"/>
      <c r="AE228" s="8"/>
      <c r="AF228" s="14"/>
      <c r="AG228" s="13"/>
      <c r="AH228" s="14"/>
      <c r="AI228" s="14"/>
      <c r="AJ228" s="8"/>
      <c r="AK228" s="8"/>
      <c r="AL228" s="8"/>
      <c r="AM228" s="8"/>
      <c r="AN228" s="631"/>
      <c r="AO228" s="18"/>
      <c r="AP228" s="18"/>
      <c r="AQ228" s="18"/>
      <c r="AR228" s="18"/>
      <c r="AS228" s="18"/>
      <c r="AU228" s="448"/>
      <c r="AV228" s="448"/>
      <c r="AW228" s="8" t="str">
        <f>IF(C228&gt;0,VLOOKUP(C228,Foundation_Calc!$A$2:$C$986,3,1),
IF(J228&gt;0,VLOOKUP(J228,Foundation_Calc!$A$2:$C$986,3,1),""))</f>
        <v/>
      </c>
      <c r="AX228" s="8" t="str">
        <f>IF(C228&gt;0,VLOOKUP(C228,Foundation_Calc!$E$2:$G$986,3,1),
IF(J228&gt;0,VLOOKUP(J228,Foundation_Calc!$E$2:$G$986,3,1),""))</f>
        <v/>
      </c>
      <c r="AY228" s="631" t="str">
        <f>IF(L228="","",
IF(AX228="PT",VLOOKUP(L228,Foundation_Calc!$K$4:$R$37,VLOOKUP(AW228,Foundation_Calc!$I$2:$J$8,2,FALSE),0),
IF(AX228="K",VLOOKUP(L228,Foundation_Calc!$K$41:$R$74,VLOOKUP(AW228,Foundation_Calc!$I$2:$J$8,2,FALSE),0),"")))</f>
        <v/>
      </c>
      <c r="AZ228" s="631" t="str">
        <f>IF(K228="","",
IF(AX228="PT",VLOOKUP(K228,Foundation_Calc!$K$4:$R$37,VLOOKUP(AW228,Foundation_Calc!$I$2:$J$8,2,FALSE),0),
IF(AX228="K",VLOOKUP(K228,Foundation_Calc!$K$41:$R$74,VLOOKUP(AW228,Foundation_Calc!$I$2:$J$8,2,FALSE),0),"")))</f>
        <v/>
      </c>
      <c r="BA228" s="632" t="str">
        <f t="shared" si="83"/>
        <v/>
      </c>
      <c r="BB228" s="632" t="str">
        <f t="shared" si="84"/>
        <v/>
      </c>
      <c r="BC228" s="632" t="str">
        <f t="shared" si="85"/>
        <v/>
      </c>
      <c r="BD228" s="633" t="str">
        <f>IF(AND(L228="",H228=""),"",
IF(H228="",Pole_Calc!A256,
IF(H228="MP",Pole_Calc!A257,
IF(H228="AnMP",Pole_Calc!A258,
IF(H228="A",Pole_Calc!A259,
IF(H228="S/A",Pole_Calc!A260,
IF(H228="A/S",Pole_Calc!A261,"Poner a mano")))))))</f>
        <v/>
      </c>
      <c r="BE228" s="448" t="s">
        <v>1726</v>
      </c>
      <c r="BF228" s="634"/>
      <c r="BG228" s="634"/>
      <c r="BH228" s="634"/>
      <c r="BI228" s="634"/>
    </row>
    <row r="229" spans="1:61" ht="16.2" customHeight="1">
      <c r="A229" s="12"/>
      <c r="B229" s="446"/>
      <c r="C229" s="89"/>
      <c r="D229" s="13"/>
      <c r="E229" s="14"/>
      <c r="F229" s="14"/>
      <c r="G229" s="15"/>
      <c r="H229" s="8"/>
      <c r="I229" s="8"/>
      <c r="J229" s="89"/>
      <c r="K229" s="8"/>
      <c r="L229" s="8"/>
      <c r="M229" s="8" t="str">
        <f>IF(L229="","",
IF(AX229="PT",VLOOKUP(L229,Foundation_Calc!$V$4:$X$37,VLOOKUP(AX229,Foundation_Calc!$I$10:$J$13,2,FALSE),0),
IF(AX229="K",VLOOKUP(L229,Foundation_Calc!$V$41:$X$74,VLOOKUP(AX229,Foundation_Calc!$I$10:$J$13,2,FALSE),0),"")))</f>
        <v/>
      </c>
      <c r="N229" s="8"/>
      <c r="O229" s="8"/>
      <c r="P229" s="8"/>
      <c r="Q229" s="14"/>
      <c r="R229" s="15"/>
      <c r="S229" s="15"/>
      <c r="T229" s="14"/>
      <c r="U229" s="14"/>
      <c r="V229" s="14"/>
      <c r="W229" s="18"/>
      <c r="X229" s="18"/>
      <c r="Y229" s="18"/>
      <c r="Z229" s="18"/>
      <c r="AA229" s="18"/>
      <c r="AB229" s="18"/>
      <c r="AC229" s="8" t="str">
        <f t="shared" si="82"/>
        <v/>
      </c>
      <c r="AD229" s="8"/>
      <c r="AE229" s="8"/>
      <c r="AF229" s="14"/>
      <c r="AG229" s="13"/>
      <c r="AH229" s="14"/>
      <c r="AI229" s="14"/>
      <c r="AJ229" s="8"/>
      <c r="AK229" s="8"/>
      <c r="AL229" s="8"/>
      <c r="AM229" s="8"/>
      <c r="AN229" s="631"/>
      <c r="AO229" s="18"/>
      <c r="AP229" s="18"/>
      <c r="AQ229" s="18"/>
      <c r="AR229" s="18"/>
      <c r="AS229" s="18"/>
      <c r="AU229" s="448"/>
      <c r="AV229" s="448"/>
      <c r="AW229" s="8" t="str">
        <f>IF(C229&gt;0,VLOOKUP(C229,Foundation_Calc!$A$2:$C$986,3,1),
IF(J229&gt;0,VLOOKUP(J229,Foundation_Calc!$A$2:$C$986,3,1),""))</f>
        <v/>
      </c>
      <c r="AX229" s="8" t="str">
        <f>IF(C229&gt;0,VLOOKUP(C229,Foundation_Calc!$E$2:$G$986,3,1),
IF(J229&gt;0,VLOOKUP(J229,Foundation_Calc!$E$2:$G$986,3,1),""))</f>
        <v/>
      </c>
      <c r="AY229" s="631" t="str">
        <f>IF(L229="","",
IF(AX229="PT",VLOOKUP(L229,Foundation_Calc!$K$4:$R$37,VLOOKUP(AW229,Foundation_Calc!$I$2:$J$8,2,FALSE),0),
IF(AX229="K",VLOOKUP(L229,Foundation_Calc!$K$41:$R$74,VLOOKUP(AW229,Foundation_Calc!$I$2:$J$8,2,FALSE),0),"")))</f>
        <v/>
      </c>
      <c r="AZ229" s="631" t="str">
        <f>IF(K229="","",
IF(AX229="PT",VLOOKUP(K229,Foundation_Calc!$K$4:$R$37,VLOOKUP(AW229,Foundation_Calc!$I$2:$J$8,2,FALSE),0),
IF(AX229="K",VLOOKUP(K229,Foundation_Calc!$K$41:$R$74,VLOOKUP(AW229,Foundation_Calc!$I$2:$J$8,2,FALSE),0),"")))</f>
        <v/>
      </c>
      <c r="BA229" s="632" t="str">
        <f t="shared" si="83"/>
        <v/>
      </c>
      <c r="BB229" s="632" t="str">
        <f t="shared" si="84"/>
        <v/>
      </c>
      <c r="BC229" s="632" t="str">
        <f t="shared" si="85"/>
        <v/>
      </c>
      <c r="BD229" s="633" t="str">
        <f>IF(AND(L229="",H229=""),"",
IF(H229="",Pole_Calc!A257,
IF(H229="MP",Pole_Calc!A258,
IF(H229="AnMP",Pole_Calc!A259,
IF(H229="A",Pole_Calc!A260,
IF(H229="S/A",Pole_Calc!A261,
IF(H229="A/S",Pole_Calc!A262,"Poner a mano")))))))</f>
        <v/>
      </c>
      <c r="BE229" s="448" t="s">
        <v>1726</v>
      </c>
      <c r="BF229" s="635"/>
      <c r="BG229" s="635"/>
      <c r="BH229" s="634"/>
      <c r="BI229" s="635"/>
    </row>
    <row r="230" spans="1:61" ht="16.2" customHeight="1">
      <c r="A230" s="12"/>
      <c r="B230" s="446"/>
      <c r="C230" s="89"/>
      <c r="D230" s="13"/>
      <c r="E230" s="14"/>
      <c r="F230" s="14"/>
      <c r="G230" s="15"/>
      <c r="H230" s="8"/>
      <c r="I230" s="8"/>
      <c r="J230" s="89"/>
      <c r="K230" s="8"/>
      <c r="L230" s="8"/>
      <c r="M230" s="8" t="str">
        <f>IF(L230="","",
IF(AX230="PT",VLOOKUP(L230,Foundation_Calc!$V$4:$X$37,VLOOKUP(AX230,Foundation_Calc!$I$10:$J$13,2,FALSE),0),
IF(AX230="K",VLOOKUP(L230,Foundation_Calc!$V$41:$X$74,VLOOKUP(AX230,Foundation_Calc!$I$10:$J$13,2,FALSE),0),"")))</f>
        <v/>
      </c>
      <c r="N230" s="8"/>
      <c r="O230" s="8"/>
      <c r="P230" s="8"/>
      <c r="Q230" s="14"/>
      <c r="R230" s="15"/>
      <c r="S230" s="15"/>
      <c r="T230" s="14"/>
      <c r="U230" s="14"/>
      <c r="V230" s="14"/>
      <c r="W230" s="18"/>
      <c r="X230" s="18"/>
      <c r="Y230" s="18"/>
      <c r="Z230" s="18"/>
      <c r="AA230" s="18"/>
      <c r="AB230" s="18"/>
      <c r="AC230" s="8" t="str">
        <f t="shared" si="82"/>
        <v/>
      </c>
      <c r="AD230" s="8"/>
      <c r="AE230" s="8"/>
      <c r="AF230" s="14"/>
      <c r="AG230" s="13"/>
      <c r="AH230" s="14"/>
      <c r="AI230" s="14"/>
      <c r="AJ230" s="8"/>
      <c r="AK230" s="8"/>
      <c r="AL230" s="8"/>
      <c r="AM230" s="8"/>
      <c r="AN230" s="631"/>
      <c r="AO230" s="18"/>
      <c r="AP230" s="18"/>
      <c r="AQ230" s="18"/>
      <c r="AR230" s="18"/>
      <c r="AS230" s="18"/>
      <c r="AU230" s="448"/>
      <c r="AV230" s="448"/>
      <c r="AW230" s="8" t="str">
        <f>IF(C230&gt;0,VLOOKUP(C230,Foundation_Calc!$A$2:$C$986,3,1),
IF(J230&gt;0,VLOOKUP(J230,Foundation_Calc!$A$2:$C$986,3,1),""))</f>
        <v/>
      </c>
      <c r="AX230" s="8" t="str">
        <f>IF(C230&gt;0,VLOOKUP(C230,Foundation_Calc!$E$2:$G$986,3,1),
IF(J230&gt;0,VLOOKUP(J230,Foundation_Calc!$E$2:$G$986,3,1),""))</f>
        <v/>
      </c>
      <c r="AY230" s="631" t="str">
        <f>IF(L230="","",
IF(AX230="PT",VLOOKUP(L230,Foundation_Calc!$K$4:$R$37,VLOOKUP(AW230,Foundation_Calc!$I$2:$J$8,2,FALSE),0),
IF(AX230="K",VLOOKUP(L230,Foundation_Calc!$K$41:$R$74,VLOOKUP(AW230,Foundation_Calc!$I$2:$J$8,2,FALSE),0),"")))</f>
        <v/>
      </c>
      <c r="AZ230" s="631" t="str">
        <f>IF(K230="","",
IF(AX230="PT",VLOOKUP(K230,Foundation_Calc!$K$4:$R$37,VLOOKUP(AW230,Foundation_Calc!$I$2:$J$8,2,FALSE),0),
IF(AX230="K",VLOOKUP(K230,Foundation_Calc!$K$41:$R$74,VLOOKUP(AW230,Foundation_Calc!$I$2:$J$8,2,FALSE),0),"")))</f>
        <v/>
      </c>
      <c r="BA230" s="632" t="str">
        <f t="shared" si="83"/>
        <v/>
      </c>
      <c r="BB230" s="632" t="str">
        <f t="shared" si="84"/>
        <v/>
      </c>
      <c r="BC230" s="632" t="str">
        <f t="shared" si="85"/>
        <v/>
      </c>
      <c r="BD230" s="633" t="str">
        <f>IF(AND(L230="",H230=""),"",
IF(H230="",Pole_Calc!A258,
IF(H230="MP",Pole_Calc!A259,
IF(H230="AnMP",Pole_Calc!A260,
IF(H230="A",Pole_Calc!A261,
IF(H230="S/A",Pole_Calc!A262,
IF(H230="A/S",Pole_Calc!A263,"Poner a mano")))))))</f>
        <v/>
      </c>
      <c r="BE230" s="448" t="s">
        <v>1726</v>
      </c>
      <c r="BF230" s="634"/>
      <c r="BG230" s="634"/>
      <c r="BH230" s="634"/>
      <c r="BI230" s="634"/>
    </row>
    <row r="231" spans="1:61" ht="16.2" customHeight="1">
      <c r="A231" s="12"/>
      <c r="B231" s="446"/>
      <c r="C231" s="89"/>
      <c r="D231" s="13"/>
      <c r="E231" s="14"/>
      <c r="F231" s="14"/>
      <c r="G231" s="15"/>
      <c r="H231" s="8"/>
      <c r="I231" s="8"/>
      <c r="J231" s="89"/>
      <c r="K231" s="8"/>
      <c r="L231" s="8"/>
      <c r="M231" s="8" t="str">
        <f>IF(L231="","",
IF(AX231="PT",VLOOKUP(L231,Foundation_Calc!$V$4:$X$37,VLOOKUP(AX231,Foundation_Calc!$I$10:$J$13,2,FALSE),0),
IF(AX231="K",VLOOKUP(L231,Foundation_Calc!$V$41:$X$74,VLOOKUP(AX231,Foundation_Calc!$I$10:$J$13,2,FALSE),0),"")))</f>
        <v/>
      </c>
      <c r="N231" s="8"/>
      <c r="O231" s="8"/>
      <c r="P231" s="8"/>
      <c r="Q231" s="14"/>
      <c r="R231" s="15"/>
      <c r="S231" s="15"/>
      <c r="T231" s="14"/>
      <c r="U231" s="14"/>
      <c r="V231" s="14"/>
      <c r="W231" s="18"/>
      <c r="X231" s="18"/>
      <c r="Y231" s="18"/>
      <c r="Z231" s="18"/>
      <c r="AA231" s="18"/>
      <c r="AB231" s="18"/>
      <c r="AC231" s="8" t="str">
        <f t="shared" si="82"/>
        <v/>
      </c>
      <c r="AD231" s="8"/>
      <c r="AE231" s="8"/>
      <c r="AF231" s="14"/>
      <c r="AG231" s="13"/>
      <c r="AH231" s="14"/>
      <c r="AI231" s="14"/>
      <c r="AJ231" s="8"/>
      <c r="AK231" s="8"/>
      <c r="AL231" s="8"/>
      <c r="AM231" s="8"/>
      <c r="AN231" s="631"/>
      <c r="AO231" s="18"/>
      <c r="AP231" s="18"/>
      <c r="AQ231" s="18"/>
      <c r="AR231" s="18"/>
      <c r="AS231" s="18"/>
      <c r="AU231" s="448"/>
      <c r="AV231" s="448"/>
      <c r="AW231" s="8" t="str">
        <f>IF(C231&gt;0,VLOOKUP(C231,Foundation_Calc!$A$2:$C$986,3,1),
IF(J231&gt;0,VLOOKUP(J231,Foundation_Calc!$A$2:$C$986,3,1),""))</f>
        <v/>
      </c>
      <c r="AX231" s="8" t="str">
        <f>IF(C231&gt;0,VLOOKUP(C231,Foundation_Calc!$E$2:$G$986,3,1),
IF(J231&gt;0,VLOOKUP(J231,Foundation_Calc!$E$2:$G$986,3,1),""))</f>
        <v/>
      </c>
      <c r="AY231" s="631" t="str">
        <f>IF(L231="","",
IF(AX231="PT",VLOOKUP(L231,Foundation_Calc!$K$4:$R$37,VLOOKUP(AW231,Foundation_Calc!$I$2:$J$8,2,FALSE),0),
IF(AX231="K",VLOOKUP(L231,Foundation_Calc!$K$41:$R$74,VLOOKUP(AW231,Foundation_Calc!$I$2:$J$8,2,FALSE),0),"")))</f>
        <v/>
      </c>
      <c r="AZ231" s="631" t="str">
        <f>IF(K231="","",
IF(AX231="PT",VLOOKUP(K231,Foundation_Calc!$K$4:$R$37,VLOOKUP(AW231,Foundation_Calc!$I$2:$J$8,2,FALSE),0),
IF(AX231="K",VLOOKUP(K231,Foundation_Calc!$K$41:$R$74,VLOOKUP(AW231,Foundation_Calc!$I$2:$J$8,2,FALSE),0),"")))</f>
        <v/>
      </c>
      <c r="BA231" s="632" t="str">
        <f t="shared" si="83"/>
        <v/>
      </c>
      <c r="BB231" s="632" t="str">
        <f t="shared" si="84"/>
        <v/>
      </c>
      <c r="BC231" s="632" t="str">
        <f t="shared" si="85"/>
        <v/>
      </c>
      <c r="BD231" s="633" t="str">
        <f>IF(AND(L231="",H231=""),"",
IF(H231="",Pole_Calc!A259,
IF(H231="MP",Pole_Calc!A260,
IF(H231="AnMP",Pole_Calc!A261,
IF(H231="A",Pole_Calc!A262,
IF(H231="S/A",Pole_Calc!A263,
IF(H231="A/S",Pole_Calc!A264,"Poner a mano")))))))</f>
        <v/>
      </c>
      <c r="BE231" s="448" t="s">
        <v>1726</v>
      </c>
      <c r="BF231" s="635"/>
      <c r="BG231" s="635"/>
      <c r="BH231" s="634"/>
      <c r="BI231" s="635"/>
    </row>
    <row r="232" spans="1:61" ht="16.2" customHeight="1">
      <c r="A232" s="12"/>
      <c r="B232" s="446"/>
      <c r="C232" s="89"/>
      <c r="D232" s="13"/>
      <c r="E232" s="14"/>
      <c r="F232" s="14"/>
      <c r="G232" s="15"/>
      <c r="H232" s="8"/>
      <c r="I232" s="8"/>
      <c r="J232" s="89"/>
      <c r="K232" s="8"/>
      <c r="L232" s="8"/>
      <c r="M232" s="8" t="str">
        <f>IF(L232="","",
IF(AX232="PT",VLOOKUP(L232,Foundation_Calc!$V$4:$X$37,VLOOKUP(AX232,Foundation_Calc!$I$10:$J$13,2,FALSE),0),
IF(AX232="K",VLOOKUP(L232,Foundation_Calc!$V$41:$X$74,VLOOKUP(AX232,Foundation_Calc!$I$10:$J$13,2,FALSE),0),"")))</f>
        <v/>
      </c>
      <c r="N232" s="8"/>
      <c r="O232" s="8"/>
      <c r="P232" s="8"/>
      <c r="Q232" s="14"/>
      <c r="R232" s="15"/>
      <c r="S232" s="15"/>
      <c r="T232" s="14"/>
      <c r="U232" s="14"/>
      <c r="V232" s="14"/>
      <c r="W232" s="18"/>
      <c r="X232" s="18"/>
      <c r="Y232" s="18"/>
      <c r="Z232" s="18"/>
      <c r="AA232" s="18"/>
      <c r="AB232" s="18"/>
      <c r="AC232" s="8" t="str">
        <f t="shared" si="82"/>
        <v/>
      </c>
      <c r="AD232" s="8"/>
      <c r="AE232" s="8"/>
      <c r="AF232" s="14"/>
      <c r="AG232" s="13"/>
      <c r="AH232" s="14"/>
      <c r="AI232" s="14"/>
      <c r="AJ232" s="8"/>
      <c r="AK232" s="8"/>
      <c r="AL232" s="8"/>
      <c r="AM232" s="8"/>
      <c r="AN232" s="631"/>
      <c r="AO232" s="18"/>
      <c r="AP232" s="18"/>
      <c r="AQ232" s="18"/>
      <c r="AR232" s="18"/>
      <c r="AS232" s="18"/>
      <c r="AU232" s="448"/>
      <c r="AV232" s="448"/>
      <c r="AW232" s="8" t="str">
        <f>IF(C232&gt;0,VLOOKUP(C232,Foundation_Calc!$A$2:$C$986,3,1),
IF(J232&gt;0,VLOOKUP(J232,Foundation_Calc!$A$2:$C$986,3,1),""))</f>
        <v/>
      </c>
      <c r="AX232" s="8" t="str">
        <f>IF(C232&gt;0,VLOOKUP(C232,Foundation_Calc!$E$2:$G$986,3,1),
IF(J232&gt;0,VLOOKUP(J232,Foundation_Calc!$E$2:$G$986,3,1),""))</f>
        <v/>
      </c>
      <c r="AY232" s="631" t="str">
        <f>IF(L232="","",
IF(AX232="PT",VLOOKUP(L232,Foundation_Calc!$K$4:$R$37,VLOOKUP(AW232,Foundation_Calc!$I$2:$J$8,2,FALSE),0),
IF(AX232="K",VLOOKUP(L232,Foundation_Calc!$K$41:$R$74,VLOOKUP(AW232,Foundation_Calc!$I$2:$J$8,2,FALSE),0),"")))</f>
        <v/>
      </c>
      <c r="AZ232" s="631" t="str">
        <f>IF(K232="","",
IF(AX232="PT",VLOOKUP(K232,Foundation_Calc!$K$4:$R$37,VLOOKUP(AW232,Foundation_Calc!$I$2:$J$8,2,FALSE),0),
IF(AX232="K",VLOOKUP(K232,Foundation_Calc!$K$41:$R$74,VLOOKUP(AW232,Foundation_Calc!$I$2:$J$8,2,FALSE),0),"")))</f>
        <v/>
      </c>
      <c r="BA232" s="632" t="str">
        <f t="shared" si="83"/>
        <v/>
      </c>
      <c r="BB232" s="632" t="str">
        <f t="shared" si="84"/>
        <v/>
      </c>
      <c r="BC232" s="632" t="str">
        <f t="shared" si="85"/>
        <v/>
      </c>
      <c r="BD232" s="633" t="str">
        <f>IF(AND(L232="",H232=""),"",
IF(H232="",Pole_Calc!A260,
IF(H232="MP",Pole_Calc!A261,
IF(H232="AnMP",Pole_Calc!A262,
IF(H232="A",Pole_Calc!A263,
IF(H232="S/A",Pole_Calc!A264,
IF(H232="A/S",Pole_Calc!A265,"Poner a mano")))))))</f>
        <v/>
      </c>
      <c r="BE232" s="448" t="s">
        <v>1726</v>
      </c>
      <c r="BF232" s="634"/>
      <c r="BG232" s="634"/>
      <c r="BH232" s="634"/>
      <c r="BI232" s="634"/>
    </row>
    <row r="233" spans="1:61" ht="16.2" customHeight="1">
      <c r="A233" s="12"/>
      <c r="B233" s="446"/>
      <c r="C233" s="89"/>
      <c r="D233" s="13"/>
      <c r="E233" s="14"/>
      <c r="F233" s="14"/>
      <c r="G233" s="15"/>
      <c r="H233" s="8"/>
      <c r="I233" s="8"/>
      <c r="J233" s="89"/>
      <c r="K233" s="8"/>
      <c r="L233" s="8"/>
      <c r="M233" s="8" t="str">
        <f>IF(L233="","",
IF(AX233="PT",VLOOKUP(L233,Foundation_Calc!$V$4:$X$37,VLOOKUP(AX233,Foundation_Calc!$I$10:$J$13,2,FALSE),0),
IF(AX233="K",VLOOKUP(L233,Foundation_Calc!$V$41:$X$74,VLOOKUP(AX233,Foundation_Calc!$I$10:$J$13,2,FALSE),0),"")))</f>
        <v/>
      </c>
      <c r="N233" s="8"/>
      <c r="O233" s="8"/>
      <c r="P233" s="8"/>
      <c r="Q233" s="14"/>
      <c r="R233" s="15"/>
      <c r="S233" s="15"/>
      <c r="T233" s="14"/>
      <c r="U233" s="14"/>
      <c r="V233" s="14"/>
      <c r="W233" s="18"/>
      <c r="X233" s="18"/>
      <c r="Y233" s="18"/>
      <c r="Z233" s="18"/>
      <c r="AA233" s="18"/>
      <c r="AB233" s="18"/>
      <c r="AC233" s="8" t="str">
        <f t="shared" si="82"/>
        <v/>
      </c>
      <c r="AD233" s="8"/>
      <c r="AE233" s="8"/>
      <c r="AF233" s="14"/>
      <c r="AG233" s="13"/>
      <c r="AH233" s="14"/>
      <c r="AI233" s="14"/>
      <c r="AJ233" s="8"/>
      <c r="AK233" s="8"/>
      <c r="AL233" s="8"/>
      <c r="AM233" s="8"/>
      <c r="AN233" s="631"/>
      <c r="AO233" s="18"/>
      <c r="AP233" s="18"/>
      <c r="AQ233" s="18"/>
      <c r="AR233" s="18"/>
      <c r="AS233" s="18"/>
      <c r="AU233" s="448"/>
      <c r="AV233" s="448"/>
      <c r="AW233" s="8" t="str">
        <f>IF(C233&gt;0,VLOOKUP(C233,Foundation_Calc!$A$2:$C$986,3,1),
IF(J233&gt;0,VLOOKUP(J233,Foundation_Calc!$A$2:$C$986,3,1),""))</f>
        <v/>
      </c>
      <c r="AX233" s="8" t="str">
        <f>IF(C233&gt;0,VLOOKUP(C233,Foundation_Calc!$E$2:$G$986,3,1),
IF(J233&gt;0,VLOOKUP(J233,Foundation_Calc!$E$2:$G$986,3,1),""))</f>
        <v/>
      </c>
      <c r="AY233" s="631" t="str">
        <f>IF(L233="","",
IF(AX233="PT",VLOOKUP(L233,Foundation_Calc!$K$4:$R$37,VLOOKUP(AW233,Foundation_Calc!$I$2:$J$8,2,FALSE),0),
IF(AX233="K",VLOOKUP(L233,Foundation_Calc!$K$41:$R$74,VLOOKUP(AW233,Foundation_Calc!$I$2:$J$8,2,FALSE),0),"")))</f>
        <v/>
      </c>
      <c r="AZ233" s="631" t="str">
        <f>IF(K233="","",
IF(AX233="PT",VLOOKUP(K233,Foundation_Calc!$K$4:$R$37,VLOOKUP(AW233,Foundation_Calc!$I$2:$J$8,2,FALSE),0),
IF(AX233="K",VLOOKUP(K233,Foundation_Calc!$K$41:$R$74,VLOOKUP(AW233,Foundation_Calc!$I$2:$J$8,2,FALSE),0),"")))</f>
        <v/>
      </c>
      <c r="BA233" s="632" t="str">
        <f t="shared" si="83"/>
        <v/>
      </c>
      <c r="BB233" s="632" t="str">
        <f t="shared" si="84"/>
        <v/>
      </c>
      <c r="BC233" s="632" t="str">
        <f t="shared" si="85"/>
        <v/>
      </c>
      <c r="BD233" s="633" t="str">
        <f>IF(AND(L233="",H233=""),"",
IF(H233="",Pole_Calc!A261,
IF(H233="MP",Pole_Calc!A262,
IF(H233="AnMP",Pole_Calc!A263,
IF(H233="A",Pole_Calc!A264,
IF(H233="S/A",Pole_Calc!A265,
IF(H233="A/S",Pole_Calc!A266,"Poner a mano")))))))</f>
        <v/>
      </c>
      <c r="BE233" s="448" t="s">
        <v>1726</v>
      </c>
      <c r="BF233" s="635"/>
      <c r="BG233" s="635"/>
      <c r="BH233" s="634"/>
      <c r="BI233" s="635"/>
    </row>
    <row r="234" spans="1:61" ht="16.2" customHeight="1">
      <c r="A234" s="12"/>
      <c r="B234" s="446"/>
      <c r="C234" s="89"/>
      <c r="D234" s="13"/>
      <c r="E234" s="14"/>
      <c r="F234" s="14"/>
      <c r="G234" s="15"/>
      <c r="H234" s="8"/>
      <c r="I234" s="8"/>
      <c r="J234" s="89"/>
      <c r="K234" s="8"/>
      <c r="L234" s="8"/>
      <c r="M234" s="8" t="str">
        <f>IF(L234="","",
IF(AX234="PT",VLOOKUP(L234,Foundation_Calc!$V$4:$X$37,VLOOKUP(AX234,Foundation_Calc!$I$10:$J$13,2,FALSE),0),
IF(AX234="K",VLOOKUP(L234,Foundation_Calc!$V$41:$X$74,VLOOKUP(AX234,Foundation_Calc!$I$10:$J$13,2,FALSE),0),"")))</f>
        <v/>
      </c>
      <c r="N234" s="8"/>
      <c r="O234" s="8"/>
      <c r="P234" s="8"/>
      <c r="Q234" s="14"/>
      <c r="R234" s="15"/>
      <c r="S234" s="15"/>
      <c r="T234" s="14"/>
      <c r="U234" s="14"/>
      <c r="V234" s="14"/>
      <c r="W234" s="18"/>
      <c r="X234" s="18"/>
      <c r="Y234" s="18"/>
      <c r="Z234" s="18"/>
      <c r="AA234" s="18"/>
      <c r="AB234" s="18"/>
      <c r="AC234" s="8" t="str">
        <f t="shared" si="82"/>
        <v/>
      </c>
      <c r="AD234" s="8"/>
      <c r="AE234" s="8"/>
      <c r="AF234" s="14"/>
      <c r="AG234" s="13"/>
      <c r="AH234" s="14"/>
      <c r="AI234" s="14"/>
      <c r="AJ234" s="8"/>
      <c r="AK234" s="8"/>
      <c r="AL234" s="8"/>
      <c r="AM234" s="8"/>
      <c r="AN234" s="631"/>
      <c r="AO234" s="18"/>
      <c r="AP234" s="18"/>
      <c r="AQ234" s="18"/>
      <c r="AR234" s="18"/>
      <c r="AS234" s="18"/>
      <c r="AU234" s="448"/>
      <c r="AV234" s="448"/>
      <c r="AW234" s="8" t="str">
        <f>IF(C234&gt;0,VLOOKUP(C234,Foundation_Calc!$A$2:$C$986,3,1),
IF(J234&gt;0,VLOOKUP(J234,Foundation_Calc!$A$2:$C$986,3,1),""))</f>
        <v/>
      </c>
      <c r="AX234" s="8" t="str">
        <f>IF(C234&gt;0,VLOOKUP(C234,Foundation_Calc!$E$2:$G$986,3,1),
IF(J234&gt;0,VLOOKUP(J234,Foundation_Calc!$E$2:$G$986,3,1),""))</f>
        <v/>
      </c>
      <c r="AY234" s="631" t="str">
        <f>IF(L234="","",
IF(AX234="PT",VLOOKUP(L234,Foundation_Calc!$K$4:$R$37,VLOOKUP(AW234,Foundation_Calc!$I$2:$J$8,2,FALSE),0),
IF(AX234="K",VLOOKUP(L234,Foundation_Calc!$K$41:$R$74,VLOOKUP(AW234,Foundation_Calc!$I$2:$J$8,2,FALSE),0),"")))</f>
        <v/>
      </c>
      <c r="AZ234" s="631" t="str">
        <f>IF(K234="","",
IF(AX234="PT",VLOOKUP(K234,Foundation_Calc!$K$4:$R$37,VLOOKUP(AW234,Foundation_Calc!$I$2:$J$8,2,FALSE),0),
IF(AX234="K",VLOOKUP(K234,Foundation_Calc!$K$41:$R$74,VLOOKUP(AW234,Foundation_Calc!$I$2:$J$8,2,FALSE),0),"")))</f>
        <v/>
      </c>
      <c r="BA234" s="632" t="str">
        <f t="shared" si="83"/>
        <v/>
      </c>
      <c r="BB234" s="632" t="str">
        <f t="shared" si="84"/>
        <v/>
      </c>
      <c r="BC234" s="632" t="str">
        <f t="shared" si="85"/>
        <v/>
      </c>
      <c r="BD234" s="633" t="str">
        <f>IF(AND(L234="",H234=""),"",
IF(H234="",Pole_Calc!A262,
IF(H234="MP",Pole_Calc!A263,
IF(H234="AnMP",Pole_Calc!A264,
IF(H234="A",Pole_Calc!A265,
IF(H234="S/A",Pole_Calc!A266,
IF(H234="A/S",Pole_Calc!A267,"Poner a mano")))))))</f>
        <v/>
      </c>
      <c r="BE234" s="448" t="s">
        <v>1726</v>
      </c>
      <c r="BF234" s="634"/>
      <c r="BG234" s="634"/>
      <c r="BH234" s="634"/>
      <c r="BI234" s="634"/>
    </row>
    <row r="235" spans="1:61" ht="16.2" customHeight="1">
      <c r="A235" s="12"/>
      <c r="B235" s="446"/>
      <c r="C235" s="89"/>
      <c r="D235" s="13"/>
      <c r="E235" s="14"/>
      <c r="F235" s="14"/>
      <c r="G235" s="15"/>
      <c r="H235" s="8"/>
      <c r="I235" s="8"/>
      <c r="J235" s="89"/>
      <c r="K235" s="8"/>
      <c r="L235" s="8"/>
      <c r="M235" s="8" t="str">
        <f>IF(L235="","",
IF(AX235="PT",VLOOKUP(L235,Foundation_Calc!$V$4:$X$37,VLOOKUP(AX235,Foundation_Calc!$I$10:$J$13,2,FALSE),0),
IF(AX235="K",VLOOKUP(L235,Foundation_Calc!$V$41:$X$74,VLOOKUP(AX235,Foundation_Calc!$I$10:$J$13,2,FALSE),0),"")))</f>
        <v/>
      </c>
      <c r="N235" s="8"/>
      <c r="O235" s="8"/>
      <c r="P235" s="8"/>
      <c r="Q235" s="14"/>
      <c r="R235" s="15"/>
      <c r="S235" s="15"/>
      <c r="T235" s="14"/>
      <c r="U235" s="14"/>
      <c r="V235" s="14"/>
      <c r="W235" s="18"/>
      <c r="X235" s="18"/>
      <c r="Y235" s="18"/>
      <c r="Z235" s="18"/>
      <c r="AA235" s="18"/>
      <c r="AB235" s="18"/>
      <c r="AC235" s="8" t="str">
        <f t="shared" si="82"/>
        <v/>
      </c>
      <c r="AD235" s="8"/>
      <c r="AE235" s="8"/>
      <c r="AF235" s="14"/>
      <c r="AG235" s="13"/>
      <c r="AH235" s="14"/>
      <c r="AI235" s="14"/>
      <c r="AJ235" s="8"/>
      <c r="AK235" s="8"/>
      <c r="AL235" s="8"/>
      <c r="AM235" s="8"/>
      <c r="AN235" s="631"/>
      <c r="AO235" s="18"/>
      <c r="AP235" s="18"/>
      <c r="AQ235" s="18"/>
      <c r="AR235" s="18"/>
      <c r="AS235" s="18"/>
      <c r="AU235" s="448"/>
      <c r="AV235" s="448"/>
      <c r="AW235" s="8" t="str">
        <f>IF(C235&gt;0,VLOOKUP(C235,Foundation_Calc!$A$2:$C$986,3,1),
IF(J235&gt;0,VLOOKUP(J235,Foundation_Calc!$A$2:$C$986,3,1),""))</f>
        <v/>
      </c>
      <c r="AX235" s="8" t="str">
        <f>IF(C235&gt;0,VLOOKUP(C235,Foundation_Calc!$E$2:$G$986,3,1),
IF(J235&gt;0,VLOOKUP(J235,Foundation_Calc!$E$2:$G$986,3,1),""))</f>
        <v/>
      </c>
      <c r="AY235" s="631" t="str">
        <f>IF(L235="","",
IF(AX235="PT",VLOOKUP(L235,Foundation_Calc!$K$4:$R$37,VLOOKUP(AW235,Foundation_Calc!$I$2:$J$8,2,FALSE),0),
IF(AX235="K",VLOOKUP(L235,Foundation_Calc!$K$41:$R$74,VLOOKUP(AW235,Foundation_Calc!$I$2:$J$8,2,FALSE),0),"")))</f>
        <v/>
      </c>
      <c r="AZ235" s="631" t="str">
        <f>IF(K235="","",
IF(AX235="PT",VLOOKUP(K235,Foundation_Calc!$K$4:$R$37,VLOOKUP(AW235,Foundation_Calc!$I$2:$J$8,2,FALSE),0),
IF(AX235="K",VLOOKUP(K235,Foundation_Calc!$K$41:$R$74,VLOOKUP(AW235,Foundation_Calc!$I$2:$J$8,2,FALSE),0),"")))</f>
        <v/>
      </c>
      <c r="BA235" s="632" t="str">
        <f t="shared" si="83"/>
        <v/>
      </c>
      <c r="BB235" s="632" t="str">
        <f t="shared" si="84"/>
        <v/>
      </c>
      <c r="BC235" s="632" t="str">
        <f t="shared" si="85"/>
        <v/>
      </c>
      <c r="BD235" s="633" t="str">
        <f>IF(AND(L235="",H235=""),"",
IF(H235="",Pole_Calc!A263,
IF(H235="MP",Pole_Calc!A264,
IF(H235="AnMP",Pole_Calc!A265,
IF(H235="A",Pole_Calc!A266,
IF(H235="S/A",Pole_Calc!A267,
IF(H235="A/S",Pole_Calc!A268,"Poner a mano")))))))</f>
        <v/>
      </c>
      <c r="BE235" s="448" t="s">
        <v>1726</v>
      </c>
      <c r="BF235" s="635"/>
      <c r="BG235" s="635"/>
      <c r="BH235" s="634"/>
      <c r="BI235" s="635"/>
    </row>
    <row r="236" spans="1:61" ht="16.2" customHeight="1">
      <c r="A236" s="12"/>
      <c r="B236" s="446"/>
      <c r="C236" s="89"/>
      <c r="D236" s="13"/>
      <c r="E236" s="14"/>
      <c r="F236" s="14"/>
      <c r="G236" s="15"/>
      <c r="H236" s="8"/>
      <c r="I236" s="8"/>
      <c r="J236" s="89"/>
      <c r="K236" s="8"/>
      <c r="L236" s="8"/>
      <c r="M236" s="8" t="str">
        <f>IF(L236="","",
IF(AX236="PT",VLOOKUP(L236,Foundation_Calc!$V$4:$X$37,VLOOKUP(AX236,Foundation_Calc!$I$10:$J$13,2,FALSE),0),
IF(AX236="K",VLOOKUP(L236,Foundation_Calc!$V$41:$X$74,VLOOKUP(AX236,Foundation_Calc!$I$10:$J$13,2,FALSE),0),"")))</f>
        <v/>
      </c>
      <c r="N236" s="8"/>
      <c r="O236" s="8"/>
      <c r="P236" s="8"/>
      <c r="Q236" s="14"/>
      <c r="R236" s="15"/>
      <c r="S236" s="15"/>
      <c r="T236" s="14"/>
      <c r="U236" s="14"/>
      <c r="V236" s="14"/>
      <c r="W236" s="18"/>
      <c r="X236" s="18"/>
      <c r="Y236" s="18"/>
      <c r="Z236" s="18"/>
      <c r="AA236" s="18"/>
      <c r="AB236" s="18"/>
      <c r="AC236" s="8" t="str">
        <f t="shared" si="82"/>
        <v/>
      </c>
      <c r="AD236" s="8"/>
      <c r="AE236" s="8"/>
      <c r="AF236" s="14"/>
      <c r="AG236" s="13"/>
      <c r="AH236" s="14"/>
      <c r="AI236" s="14"/>
      <c r="AJ236" s="8"/>
      <c r="AK236" s="8"/>
      <c r="AL236" s="8"/>
      <c r="AM236" s="8"/>
      <c r="AN236" s="631"/>
      <c r="AO236" s="18"/>
      <c r="AP236" s="18"/>
      <c r="AQ236" s="18"/>
      <c r="AR236" s="18"/>
      <c r="AS236" s="18"/>
      <c r="AU236" s="448"/>
      <c r="AV236" s="448"/>
      <c r="AW236" s="8" t="str">
        <f>IF(C236&gt;0,VLOOKUP(C236,Foundation_Calc!$A$2:$C$986,3,1),
IF(J236&gt;0,VLOOKUP(J236,Foundation_Calc!$A$2:$C$986,3,1),""))</f>
        <v/>
      </c>
      <c r="AX236" s="8" t="str">
        <f>IF(C236&gt;0,VLOOKUP(C236,Foundation_Calc!$E$2:$G$986,3,1),
IF(J236&gt;0,VLOOKUP(J236,Foundation_Calc!$E$2:$G$986,3,1),""))</f>
        <v/>
      </c>
      <c r="AY236" s="631" t="str">
        <f>IF(L236="","",
IF(AX236="PT",VLOOKUP(L236,Foundation_Calc!$K$4:$R$37,VLOOKUP(AW236,Foundation_Calc!$I$2:$J$8,2,FALSE),0),
IF(AX236="K",VLOOKUP(L236,Foundation_Calc!$K$41:$R$74,VLOOKUP(AW236,Foundation_Calc!$I$2:$J$8,2,FALSE),0),"")))</f>
        <v/>
      </c>
      <c r="AZ236" s="631" t="str">
        <f>IF(K236="","",
IF(AX236="PT",VLOOKUP(K236,Foundation_Calc!$K$4:$R$37,VLOOKUP(AW236,Foundation_Calc!$I$2:$J$8,2,FALSE),0),
IF(AX236="K",VLOOKUP(K236,Foundation_Calc!$K$41:$R$74,VLOOKUP(AW236,Foundation_Calc!$I$2:$J$8,2,FALSE),0),"")))</f>
        <v/>
      </c>
      <c r="BA236" s="632" t="str">
        <f t="shared" si="83"/>
        <v/>
      </c>
      <c r="BB236" s="632" t="str">
        <f t="shared" si="84"/>
        <v/>
      </c>
      <c r="BC236" s="632" t="str">
        <f t="shared" si="85"/>
        <v/>
      </c>
      <c r="BD236" s="633" t="str">
        <f>IF(AND(L236="",H236=""),"",
IF(H236="",Pole_Calc!A264,
IF(H236="MP",Pole_Calc!A265,
IF(H236="AnMP",Pole_Calc!A266,
IF(H236="A",Pole_Calc!A267,
IF(H236="S/A",Pole_Calc!A268,
IF(H236="A/S",Pole_Calc!A269,"Poner a mano")))))))</f>
        <v/>
      </c>
      <c r="BE236" s="448" t="s">
        <v>1726</v>
      </c>
      <c r="BF236" s="634"/>
      <c r="BG236" s="634"/>
      <c r="BH236" s="634"/>
      <c r="BI236" s="634"/>
    </row>
    <row r="237" spans="1:61" ht="16.2" customHeight="1">
      <c r="A237" s="12"/>
      <c r="B237" s="446"/>
      <c r="C237" s="89"/>
      <c r="D237" s="13"/>
      <c r="E237" s="14"/>
      <c r="F237" s="14"/>
      <c r="G237" s="15"/>
      <c r="H237" s="8"/>
      <c r="I237" s="8"/>
      <c r="J237" s="89"/>
      <c r="K237" s="8"/>
      <c r="L237" s="8"/>
      <c r="M237" s="8" t="str">
        <f>IF(L237="","",
IF(AX237="PT",VLOOKUP(L237,Foundation_Calc!$V$4:$X$37,VLOOKUP(AX237,Foundation_Calc!$I$10:$J$13,2,FALSE),0),
IF(AX237="K",VLOOKUP(L237,Foundation_Calc!$V$41:$X$74,VLOOKUP(AX237,Foundation_Calc!$I$10:$J$13,2,FALSE),0),"")))</f>
        <v/>
      </c>
      <c r="N237" s="8"/>
      <c r="O237" s="8"/>
      <c r="P237" s="8"/>
      <c r="Q237" s="14"/>
      <c r="R237" s="15"/>
      <c r="S237" s="15"/>
      <c r="T237" s="14"/>
      <c r="U237" s="14"/>
      <c r="V237" s="14"/>
      <c r="W237" s="18"/>
      <c r="X237" s="18"/>
      <c r="Y237" s="18"/>
      <c r="Z237" s="18"/>
      <c r="AA237" s="18"/>
      <c r="AB237" s="18"/>
      <c r="AC237" s="8" t="str">
        <f t="shared" si="82"/>
        <v/>
      </c>
      <c r="AD237" s="8"/>
      <c r="AE237" s="8"/>
      <c r="AF237" s="14"/>
      <c r="AG237" s="13"/>
      <c r="AH237" s="14"/>
      <c r="AI237" s="14"/>
      <c r="AJ237" s="8"/>
      <c r="AK237" s="8"/>
      <c r="AL237" s="8"/>
      <c r="AM237" s="8"/>
      <c r="AN237" s="631"/>
      <c r="AO237" s="18"/>
      <c r="AP237" s="18"/>
      <c r="AQ237" s="18"/>
      <c r="AR237" s="18"/>
      <c r="AS237" s="18"/>
      <c r="AU237" s="448"/>
      <c r="AV237" s="448"/>
      <c r="AW237" s="8" t="str">
        <f>IF(C237&gt;0,VLOOKUP(C237,Foundation_Calc!$A$2:$C$986,3,1),
IF(J237&gt;0,VLOOKUP(J237,Foundation_Calc!$A$2:$C$986,3,1),""))</f>
        <v/>
      </c>
      <c r="AX237" s="8" t="str">
        <f>IF(C237&gt;0,VLOOKUP(C237,Foundation_Calc!$E$2:$G$986,3,1),
IF(J237&gt;0,VLOOKUP(J237,Foundation_Calc!$E$2:$G$986,3,1),""))</f>
        <v/>
      </c>
      <c r="AY237" s="631" t="str">
        <f>IF(L237="","",
IF(AX237="PT",VLOOKUP(L237,Foundation_Calc!$K$4:$R$37,VLOOKUP(AW237,Foundation_Calc!$I$2:$J$8,2,FALSE),0),
IF(AX237="K",VLOOKUP(L237,Foundation_Calc!$K$41:$R$74,VLOOKUP(AW237,Foundation_Calc!$I$2:$J$8,2,FALSE),0),"")))</f>
        <v/>
      </c>
      <c r="AZ237" s="631" t="str">
        <f>IF(K237="","",
IF(AX237="PT",VLOOKUP(K237,Foundation_Calc!$K$4:$R$37,VLOOKUP(AW237,Foundation_Calc!$I$2:$J$8,2,FALSE),0),
IF(AX237="K",VLOOKUP(K237,Foundation_Calc!$K$41:$R$74,VLOOKUP(AW237,Foundation_Calc!$I$2:$J$8,2,FALSE),0),"")))</f>
        <v/>
      </c>
      <c r="BA237" s="632" t="str">
        <f t="shared" si="83"/>
        <v/>
      </c>
      <c r="BB237" s="632" t="str">
        <f t="shared" si="84"/>
        <v/>
      </c>
      <c r="BC237" s="632" t="str">
        <f t="shared" si="85"/>
        <v/>
      </c>
      <c r="BD237" s="633" t="str">
        <f>IF(AND(L237="",H237=""),"",
IF(H237="",Pole_Calc!A265,
IF(H237="MP",Pole_Calc!A266,
IF(H237="AnMP",Pole_Calc!A267,
IF(H237="A",Pole_Calc!A268,
IF(H237="S/A",Pole_Calc!A269,
IF(H237="A/S",Pole_Calc!A270,"Poner a mano")))))))</f>
        <v/>
      </c>
      <c r="BE237" s="448" t="s">
        <v>1726</v>
      </c>
      <c r="BF237" s="635"/>
      <c r="BG237" s="635"/>
      <c r="BH237" s="634"/>
      <c r="BI237" s="635"/>
    </row>
    <row r="238" spans="1:61" ht="16.2" customHeight="1">
      <c r="A238" s="12"/>
      <c r="B238" s="446"/>
      <c r="C238" s="89"/>
      <c r="D238" s="13"/>
      <c r="E238" s="14"/>
      <c r="F238" s="14"/>
      <c r="G238" s="15"/>
      <c r="H238" s="8"/>
      <c r="I238" s="8"/>
      <c r="J238" s="89"/>
      <c r="K238" s="8"/>
      <c r="L238" s="8"/>
      <c r="M238" s="8" t="str">
        <f>IF(L238="","",
IF(AX238="PT",VLOOKUP(L238,Foundation_Calc!$V$4:$X$37,VLOOKUP(AX238,Foundation_Calc!$I$10:$J$13,2,FALSE),0),
IF(AX238="K",VLOOKUP(L238,Foundation_Calc!$V$41:$X$74,VLOOKUP(AX238,Foundation_Calc!$I$10:$J$13,2,FALSE),0),"")))</f>
        <v/>
      </c>
      <c r="N238" s="8"/>
      <c r="O238" s="8"/>
      <c r="P238" s="8"/>
      <c r="Q238" s="14"/>
      <c r="R238" s="15"/>
      <c r="S238" s="15"/>
      <c r="T238" s="14"/>
      <c r="U238" s="14"/>
      <c r="V238" s="14"/>
      <c r="W238" s="18"/>
      <c r="X238" s="18"/>
      <c r="Y238" s="18"/>
      <c r="Z238" s="18"/>
      <c r="AA238" s="18"/>
      <c r="AB238" s="18"/>
      <c r="AC238" s="8" t="str">
        <f t="shared" si="82"/>
        <v/>
      </c>
      <c r="AD238" s="8"/>
      <c r="AE238" s="8"/>
      <c r="AF238" s="14"/>
      <c r="AG238" s="13"/>
      <c r="AH238" s="14"/>
      <c r="AI238" s="14"/>
      <c r="AJ238" s="8"/>
      <c r="AK238" s="8"/>
      <c r="AL238" s="8"/>
      <c r="AM238" s="8"/>
      <c r="AN238" s="631"/>
      <c r="AO238" s="18"/>
      <c r="AP238" s="18"/>
      <c r="AQ238" s="18"/>
      <c r="AR238" s="18"/>
      <c r="AS238" s="18"/>
      <c r="AU238" s="448"/>
      <c r="AV238" s="448"/>
      <c r="AW238" s="8" t="str">
        <f>IF(C238&gt;0,VLOOKUP(C238,Foundation_Calc!$A$2:$C$986,3,1),
IF(J238&gt;0,VLOOKUP(J238,Foundation_Calc!$A$2:$C$986,3,1),""))</f>
        <v/>
      </c>
      <c r="AX238" s="8" t="str">
        <f>IF(C238&gt;0,VLOOKUP(C238,Foundation_Calc!$E$2:$G$986,3,1),
IF(J238&gt;0,VLOOKUP(J238,Foundation_Calc!$E$2:$G$986,3,1),""))</f>
        <v/>
      </c>
      <c r="AY238" s="631" t="str">
        <f>IF(L238="","",
IF(AX238="PT",VLOOKUP(L238,Foundation_Calc!$K$4:$R$37,VLOOKUP(AW238,Foundation_Calc!$I$2:$J$8,2,FALSE),0),
IF(AX238="K",VLOOKUP(L238,Foundation_Calc!$K$41:$R$74,VLOOKUP(AW238,Foundation_Calc!$I$2:$J$8,2,FALSE),0),"")))</f>
        <v/>
      </c>
      <c r="AZ238" s="631" t="str">
        <f>IF(K238="","",
IF(AX238="PT",VLOOKUP(K238,Foundation_Calc!$K$4:$R$37,VLOOKUP(AW238,Foundation_Calc!$I$2:$J$8,2,FALSE),0),
IF(AX238="K",VLOOKUP(K238,Foundation_Calc!$K$41:$R$74,VLOOKUP(AW238,Foundation_Calc!$I$2:$J$8,2,FALSE),0),"")))</f>
        <v/>
      </c>
      <c r="BA238" s="632" t="str">
        <f t="shared" si="83"/>
        <v/>
      </c>
      <c r="BB238" s="632" t="str">
        <f t="shared" si="84"/>
        <v/>
      </c>
      <c r="BC238" s="632" t="str">
        <f t="shared" si="85"/>
        <v/>
      </c>
      <c r="BD238" s="633" t="str">
        <f>IF(AND(L238="",H238=""),"",
IF(H238="",Pole_Calc!A266,
IF(H238="MP",Pole_Calc!A267,
IF(H238="AnMP",Pole_Calc!A268,
IF(H238="A",Pole_Calc!A269,
IF(H238="S/A",Pole_Calc!A270,
IF(H238="A/S",Pole_Calc!A271,"Poner a mano")))))))</f>
        <v/>
      </c>
      <c r="BE238" s="448" t="s">
        <v>1726</v>
      </c>
      <c r="BF238" s="634"/>
      <c r="BG238" s="634"/>
      <c r="BH238" s="634"/>
      <c r="BI238" s="634"/>
    </row>
    <row r="239" spans="1:61" ht="16.2" customHeight="1">
      <c r="A239" s="12"/>
      <c r="B239" s="446"/>
      <c r="C239" s="89"/>
      <c r="D239" s="13"/>
      <c r="E239" s="14"/>
      <c r="F239" s="14"/>
      <c r="G239" s="15"/>
      <c r="H239" s="8"/>
      <c r="I239" s="8"/>
      <c r="J239" s="89"/>
      <c r="K239" s="8"/>
      <c r="L239" s="8"/>
      <c r="M239" s="8" t="str">
        <f>IF(L239="","",
IF(AX239="PT",VLOOKUP(L239,Foundation_Calc!$V$4:$X$37,VLOOKUP(AX239,Foundation_Calc!$I$10:$J$13,2,FALSE),0),
IF(AX239="K",VLOOKUP(L239,Foundation_Calc!$V$41:$X$74,VLOOKUP(AX239,Foundation_Calc!$I$10:$J$13,2,FALSE),0),"")))</f>
        <v/>
      </c>
      <c r="N239" s="8"/>
      <c r="O239" s="8"/>
      <c r="P239" s="8"/>
      <c r="Q239" s="14"/>
      <c r="R239" s="15"/>
      <c r="S239" s="15"/>
      <c r="T239" s="14"/>
      <c r="U239" s="14"/>
      <c r="V239" s="14"/>
      <c r="W239" s="18"/>
      <c r="X239" s="18"/>
      <c r="Y239" s="18"/>
      <c r="Z239" s="18"/>
      <c r="AA239" s="18"/>
      <c r="AB239" s="18"/>
      <c r="AC239" s="8" t="str">
        <f t="shared" si="82"/>
        <v/>
      </c>
      <c r="AD239" s="8"/>
      <c r="AE239" s="8"/>
      <c r="AF239" s="14"/>
      <c r="AG239" s="13"/>
      <c r="AH239" s="14"/>
      <c r="AI239" s="14"/>
      <c r="AJ239" s="8"/>
      <c r="AK239" s="8"/>
      <c r="AL239" s="8"/>
      <c r="AM239" s="8"/>
      <c r="AN239" s="631"/>
      <c r="AO239" s="18"/>
      <c r="AP239" s="18"/>
      <c r="AQ239" s="18"/>
      <c r="AR239" s="18"/>
      <c r="AS239" s="18"/>
      <c r="AU239" s="448"/>
      <c r="AV239" s="448"/>
      <c r="AW239" s="8" t="str">
        <f>IF(C239&gt;0,VLOOKUP(C239,Foundation_Calc!$A$2:$C$986,3,1),
IF(J239&gt;0,VLOOKUP(J239,Foundation_Calc!$A$2:$C$986,3,1),""))</f>
        <v/>
      </c>
      <c r="AX239" s="8" t="str">
        <f>IF(C239&gt;0,VLOOKUP(C239,Foundation_Calc!$E$2:$G$986,3,1),
IF(J239&gt;0,VLOOKUP(J239,Foundation_Calc!$E$2:$G$986,3,1),""))</f>
        <v/>
      </c>
      <c r="AY239" s="631" t="str">
        <f>IF(L239="","",
IF(AX239="PT",VLOOKUP(L239,Foundation_Calc!$K$4:$R$37,VLOOKUP(AW239,Foundation_Calc!$I$2:$J$8,2,FALSE),0),
IF(AX239="K",VLOOKUP(L239,Foundation_Calc!$K$41:$R$74,VLOOKUP(AW239,Foundation_Calc!$I$2:$J$8,2,FALSE),0),"")))</f>
        <v/>
      </c>
      <c r="AZ239" s="631" t="str">
        <f>IF(K239="","",
IF(AX239="PT",VLOOKUP(K239,Foundation_Calc!$K$4:$R$37,VLOOKUP(AW239,Foundation_Calc!$I$2:$J$8,2,FALSE),0),
IF(AX239="K",VLOOKUP(K239,Foundation_Calc!$K$41:$R$74,VLOOKUP(AW239,Foundation_Calc!$I$2:$J$8,2,FALSE),0),"")))</f>
        <v/>
      </c>
      <c r="BA239" s="632" t="str">
        <f t="shared" si="83"/>
        <v/>
      </c>
      <c r="BB239" s="632" t="str">
        <f t="shared" si="84"/>
        <v/>
      </c>
      <c r="BC239" s="632" t="str">
        <f t="shared" si="85"/>
        <v/>
      </c>
      <c r="BD239" s="633" t="str">
        <f>IF(AND(L239="",H239=""),"",
IF(H239="",Pole_Calc!A267,
IF(H239="MP",Pole_Calc!A268,
IF(H239="AnMP",Pole_Calc!A269,
IF(H239="A",Pole_Calc!A270,
IF(H239="S/A",Pole_Calc!A271,
IF(H239="A/S",Pole_Calc!A272,"Poner a mano")))))))</f>
        <v/>
      </c>
      <c r="BE239" s="448" t="s">
        <v>1726</v>
      </c>
      <c r="BF239" s="635"/>
      <c r="BG239" s="635"/>
      <c r="BH239" s="634"/>
      <c r="BI239" s="635"/>
    </row>
    <row r="240" spans="1:61" ht="16.2" customHeight="1">
      <c r="A240" s="12"/>
      <c r="B240" s="446"/>
      <c r="C240" s="89"/>
      <c r="D240" s="13"/>
      <c r="E240" s="14"/>
      <c r="F240" s="14"/>
      <c r="G240" s="15"/>
      <c r="H240" s="8"/>
      <c r="I240" s="8"/>
      <c r="J240" s="89"/>
      <c r="K240" s="8"/>
      <c r="L240" s="8"/>
      <c r="M240" s="8" t="str">
        <f>IF(L240="","",
IF(AX240="PT",VLOOKUP(L240,Foundation_Calc!$V$4:$X$37,VLOOKUP(AX240,Foundation_Calc!$I$10:$J$13,2,FALSE),0),
IF(AX240="K",VLOOKUP(L240,Foundation_Calc!$V$41:$X$74,VLOOKUP(AX240,Foundation_Calc!$I$10:$J$13,2,FALSE),0),"")))</f>
        <v/>
      </c>
      <c r="N240" s="8"/>
      <c r="O240" s="8"/>
      <c r="P240" s="8"/>
      <c r="Q240" s="14"/>
      <c r="R240" s="15"/>
      <c r="S240" s="15"/>
      <c r="T240" s="14"/>
      <c r="U240" s="14"/>
      <c r="V240" s="14"/>
      <c r="W240" s="18"/>
      <c r="X240" s="18"/>
      <c r="Y240" s="18"/>
      <c r="Z240" s="18"/>
      <c r="AA240" s="18"/>
      <c r="AB240" s="18"/>
      <c r="AC240" s="8" t="str">
        <f t="shared" si="82"/>
        <v/>
      </c>
      <c r="AD240" s="8"/>
      <c r="AE240" s="8"/>
      <c r="AF240" s="14"/>
      <c r="AG240" s="13"/>
      <c r="AH240" s="14"/>
      <c r="AI240" s="14"/>
      <c r="AJ240" s="8"/>
      <c r="AK240" s="8"/>
      <c r="AL240" s="8"/>
      <c r="AM240" s="8"/>
      <c r="AN240" s="631"/>
      <c r="AO240" s="18"/>
      <c r="AP240" s="18"/>
      <c r="AQ240" s="18"/>
      <c r="AR240" s="18"/>
      <c r="AS240" s="18"/>
      <c r="AU240" s="448"/>
      <c r="AV240" s="448"/>
      <c r="AW240" s="8" t="str">
        <f>IF(C240&gt;0,VLOOKUP(C240,Foundation_Calc!$A$2:$C$986,3,1),
IF(J240&gt;0,VLOOKUP(J240,Foundation_Calc!$A$2:$C$986,3,1),""))</f>
        <v/>
      </c>
      <c r="AX240" s="8" t="str">
        <f>IF(C240&gt;0,VLOOKUP(C240,Foundation_Calc!$E$2:$G$986,3,1),
IF(J240&gt;0,VLOOKUP(J240,Foundation_Calc!$E$2:$G$986,3,1),""))</f>
        <v/>
      </c>
      <c r="AY240" s="631" t="str">
        <f>IF(L240="","",
IF(AX240="PT",VLOOKUP(L240,Foundation_Calc!$K$4:$R$37,VLOOKUP(AW240,Foundation_Calc!$I$2:$J$8,2,FALSE),0),
IF(AX240="K",VLOOKUP(L240,Foundation_Calc!$K$41:$R$74,VLOOKUP(AW240,Foundation_Calc!$I$2:$J$8,2,FALSE),0),"")))</f>
        <v/>
      </c>
      <c r="AZ240" s="631" t="str">
        <f>IF(K240="","",
IF(AX240="PT",VLOOKUP(K240,Foundation_Calc!$K$4:$R$37,VLOOKUP(AW240,Foundation_Calc!$I$2:$J$8,2,FALSE),0),
IF(AX240="K",VLOOKUP(K240,Foundation_Calc!$K$41:$R$74,VLOOKUP(AW240,Foundation_Calc!$I$2:$J$8,2,FALSE),0),"")))</f>
        <v/>
      </c>
      <c r="BA240" s="632" t="str">
        <f t="shared" si="83"/>
        <v/>
      </c>
      <c r="BB240" s="632" t="str">
        <f t="shared" si="84"/>
        <v/>
      </c>
      <c r="BC240" s="632" t="str">
        <f t="shared" si="85"/>
        <v/>
      </c>
      <c r="BD240" s="633" t="str">
        <f>IF(AND(L240="",H240=""),"",
IF(H240="",Pole_Calc!A268,
IF(H240="MP",Pole_Calc!A269,
IF(H240="AnMP",Pole_Calc!A270,
IF(H240="A",Pole_Calc!A271,
IF(H240="S/A",Pole_Calc!A272,
IF(H240="A/S",Pole_Calc!A273,"Poner a mano")))))))</f>
        <v/>
      </c>
      <c r="BE240" s="448" t="s">
        <v>1726</v>
      </c>
      <c r="BF240" s="634"/>
      <c r="BG240" s="634"/>
      <c r="BH240" s="634"/>
      <c r="BI240" s="634"/>
    </row>
    <row r="241" spans="1:61" ht="16.2" customHeight="1">
      <c r="A241" s="12"/>
      <c r="B241" s="446"/>
      <c r="C241" s="89"/>
      <c r="D241" s="13"/>
      <c r="E241" s="14"/>
      <c r="F241" s="14"/>
      <c r="G241" s="15"/>
      <c r="H241" s="8"/>
      <c r="I241" s="8"/>
      <c r="J241" s="89"/>
      <c r="K241" s="8"/>
      <c r="L241" s="8"/>
      <c r="M241" s="8" t="str">
        <f>IF(L241="","",
IF(AX241="PT",VLOOKUP(L241,Foundation_Calc!$V$4:$X$37,VLOOKUP(AX241,Foundation_Calc!$I$10:$J$13,2,FALSE),0),
IF(AX241="K",VLOOKUP(L241,Foundation_Calc!$V$41:$X$74,VLOOKUP(AX241,Foundation_Calc!$I$10:$J$13,2,FALSE),0),"")))</f>
        <v/>
      </c>
      <c r="N241" s="8"/>
      <c r="O241" s="8"/>
      <c r="P241" s="8"/>
      <c r="Q241" s="14"/>
      <c r="R241" s="15"/>
      <c r="S241" s="15"/>
      <c r="T241" s="14"/>
      <c r="U241" s="14"/>
      <c r="V241" s="14"/>
      <c r="W241" s="18"/>
      <c r="X241" s="18"/>
      <c r="Y241" s="18"/>
      <c r="Z241" s="18"/>
      <c r="AA241" s="18"/>
      <c r="AB241" s="18"/>
      <c r="AC241" s="8" t="str">
        <f t="shared" si="82"/>
        <v/>
      </c>
      <c r="AD241" s="8"/>
      <c r="AE241" s="8"/>
      <c r="AF241" s="14"/>
      <c r="AG241" s="13"/>
      <c r="AH241" s="14"/>
      <c r="AI241" s="14"/>
      <c r="AJ241" s="8"/>
      <c r="AK241" s="8"/>
      <c r="AL241" s="8"/>
      <c r="AM241" s="8"/>
      <c r="AN241" s="631"/>
      <c r="AO241" s="18"/>
      <c r="AP241" s="18"/>
      <c r="AQ241" s="18"/>
      <c r="AR241" s="18"/>
      <c r="AS241" s="18"/>
      <c r="AU241" s="448"/>
      <c r="AV241" s="448"/>
      <c r="AW241" s="8" t="str">
        <f>IF(C241&gt;0,VLOOKUP(C241,Foundation_Calc!$A$2:$C$986,3,1),
IF(J241&gt;0,VLOOKUP(J241,Foundation_Calc!$A$2:$C$986,3,1),""))</f>
        <v/>
      </c>
      <c r="AX241" s="8" t="str">
        <f>IF(C241&gt;0,VLOOKUP(C241,Foundation_Calc!$E$2:$G$986,3,1),
IF(J241&gt;0,VLOOKUP(J241,Foundation_Calc!$E$2:$G$986,3,1),""))</f>
        <v/>
      </c>
      <c r="AY241" s="631" t="str">
        <f>IF(L241="","",
IF(AX241="PT",VLOOKUP(L241,Foundation_Calc!$K$4:$R$37,VLOOKUP(AW241,Foundation_Calc!$I$2:$J$8,2,FALSE),0),
IF(AX241="K",VLOOKUP(L241,Foundation_Calc!$K$41:$R$74,VLOOKUP(AW241,Foundation_Calc!$I$2:$J$8,2,FALSE),0),"")))</f>
        <v/>
      </c>
      <c r="AZ241" s="631" t="str">
        <f>IF(K241="","",
IF(AX241="PT",VLOOKUP(K241,Foundation_Calc!$K$4:$R$37,VLOOKUP(AW241,Foundation_Calc!$I$2:$J$8,2,FALSE),0),
IF(AX241="K",VLOOKUP(K241,Foundation_Calc!$K$41:$R$74,VLOOKUP(AW241,Foundation_Calc!$I$2:$J$8,2,FALSE),0),"")))</f>
        <v/>
      </c>
      <c r="BA241" s="632" t="str">
        <f t="shared" si="83"/>
        <v/>
      </c>
      <c r="BB241" s="632" t="str">
        <f t="shared" si="84"/>
        <v/>
      </c>
      <c r="BC241" s="632" t="str">
        <f t="shared" si="85"/>
        <v/>
      </c>
      <c r="BD241" s="633" t="str">
        <f>IF(AND(L241="",H241=""),"",
IF(H241="",Pole_Calc!A269,
IF(H241="MP",Pole_Calc!A270,
IF(H241="AnMP",Pole_Calc!A271,
IF(H241="A",Pole_Calc!A272,
IF(H241="S/A",Pole_Calc!A273,
IF(H241="A/S",Pole_Calc!A274,"Poner a mano")))))))</f>
        <v/>
      </c>
      <c r="BE241" s="448" t="s">
        <v>1726</v>
      </c>
      <c r="BF241" s="635"/>
      <c r="BG241" s="635"/>
      <c r="BH241" s="634"/>
      <c r="BI241" s="635"/>
    </row>
    <row r="242" spans="1:61" ht="16.2" customHeight="1">
      <c r="A242" s="12"/>
      <c r="B242" s="446"/>
      <c r="C242" s="89"/>
      <c r="D242" s="13"/>
      <c r="E242" s="14"/>
      <c r="F242" s="14"/>
      <c r="G242" s="15"/>
      <c r="H242" s="8"/>
      <c r="I242" s="8"/>
      <c r="J242" s="89"/>
      <c r="K242" s="8"/>
      <c r="L242" s="8"/>
      <c r="M242" s="8" t="str">
        <f>IF(L242="","",
IF(AX242="PT",VLOOKUP(L242,Foundation_Calc!$V$4:$X$37,VLOOKUP(AX242,Foundation_Calc!$I$10:$J$13,2,FALSE),0),
IF(AX242="K",VLOOKUP(L242,Foundation_Calc!$V$41:$X$74,VLOOKUP(AX242,Foundation_Calc!$I$10:$J$13,2,FALSE),0),"")))</f>
        <v/>
      </c>
      <c r="N242" s="8"/>
      <c r="O242" s="8"/>
      <c r="P242" s="8"/>
      <c r="Q242" s="14"/>
      <c r="R242" s="15"/>
      <c r="S242" s="15"/>
      <c r="T242" s="14"/>
      <c r="U242" s="14"/>
      <c r="V242" s="14"/>
      <c r="W242" s="18"/>
      <c r="X242" s="18"/>
      <c r="Y242" s="18"/>
      <c r="Z242" s="18"/>
      <c r="AA242" s="18"/>
      <c r="AB242" s="18"/>
      <c r="AC242" s="8" t="str">
        <f t="shared" si="82"/>
        <v/>
      </c>
      <c r="AD242" s="8"/>
      <c r="AE242" s="8"/>
      <c r="AF242" s="14"/>
      <c r="AG242" s="13"/>
      <c r="AH242" s="14"/>
      <c r="AI242" s="14"/>
      <c r="AJ242" s="8"/>
      <c r="AK242" s="8"/>
      <c r="AL242" s="8"/>
      <c r="AM242" s="8"/>
      <c r="AN242" s="631"/>
      <c r="AO242" s="18"/>
      <c r="AP242" s="18"/>
      <c r="AQ242" s="18"/>
      <c r="AR242" s="18"/>
      <c r="AS242" s="18"/>
      <c r="AU242" s="448"/>
      <c r="AV242" s="448"/>
      <c r="AW242" s="8" t="str">
        <f>IF(C242&gt;0,VLOOKUP(C242,Foundation_Calc!$A$2:$C$986,3,1),
IF(J242&gt;0,VLOOKUP(J242,Foundation_Calc!$A$2:$C$986,3,1),""))</f>
        <v/>
      </c>
      <c r="AX242" s="8" t="str">
        <f>IF(C242&gt;0,VLOOKUP(C242,Foundation_Calc!$E$2:$G$986,3,1),
IF(J242&gt;0,VLOOKUP(J242,Foundation_Calc!$E$2:$G$986,3,1),""))</f>
        <v/>
      </c>
      <c r="AY242" s="631" t="str">
        <f>IF(L242="","",
IF(AX242="PT",VLOOKUP(L242,Foundation_Calc!$K$4:$R$37,VLOOKUP(AW242,Foundation_Calc!$I$2:$J$8,2,FALSE),0),
IF(AX242="K",VLOOKUP(L242,Foundation_Calc!$K$41:$R$74,VLOOKUP(AW242,Foundation_Calc!$I$2:$J$8,2,FALSE),0),"")))</f>
        <v/>
      </c>
      <c r="AZ242" s="631" t="str">
        <f>IF(K242="","",
IF(AX242="PT",VLOOKUP(K242,Foundation_Calc!$K$4:$R$37,VLOOKUP(AW242,Foundation_Calc!$I$2:$J$8,2,FALSE),0),
IF(AX242="K",VLOOKUP(K242,Foundation_Calc!$K$41:$R$74,VLOOKUP(AW242,Foundation_Calc!$I$2:$J$8,2,FALSE),0),"")))</f>
        <v/>
      </c>
      <c r="BA242" s="632" t="str">
        <f t="shared" si="83"/>
        <v/>
      </c>
      <c r="BB242" s="632" t="str">
        <f t="shared" si="84"/>
        <v/>
      </c>
      <c r="BC242" s="632" t="str">
        <f t="shared" si="85"/>
        <v/>
      </c>
      <c r="BD242" s="633" t="str">
        <f>IF(AND(L242="",H242=""),"",
IF(H242="",Pole_Calc!A270,
IF(H242="MP",Pole_Calc!A271,
IF(H242="AnMP",Pole_Calc!A272,
IF(H242="A",Pole_Calc!A273,
IF(H242="S/A",Pole_Calc!A274,
IF(H242="A/S",Pole_Calc!A275,"Poner a mano")))))))</f>
        <v/>
      </c>
      <c r="BE242" s="448" t="s">
        <v>1726</v>
      </c>
      <c r="BF242" s="634"/>
      <c r="BG242" s="634"/>
      <c r="BH242" s="634"/>
      <c r="BI242" s="634"/>
    </row>
    <row r="243" spans="1:61" ht="16.2" customHeight="1">
      <c r="A243" s="12"/>
      <c r="B243" s="446"/>
      <c r="C243" s="89"/>
      <c r="D243" s="13"/>
      <c r="E243" s="14"/>
      <c r="F243" s="14"/>
      <c r="G243" s="15"/>
      <c r="H243" s="8"/>
      <c r="I243" s="8"/>
      <c r="J243" s="89"/>
      <c r="K243" s="8"/>
      <c r="L243" s="8"/>
      <c r="M243" s="8" t="str">
        <f>IF(L243="","",
IF(AX243="PT",VLOOKUP(L243,Foundation_Calc!$V$4:$X$37,VLOOKUP(AX243,Foundation_Calc!$I$10:$J$13,2,FALSE),0),
IF(AX243="K",VLOOKUP(L243,Foundation_Calc!$V$41:$X$74,VLOOKUP(AX243,Foundation_Calc!$I$10:$J$13,2,FALSE),0),"")))</f>
        <v/>
      </c>
      <c r="N243" s="8"/>
      <c r="O243" s="8"/>
      <c r="P243" s="8"/>
      <c r="Q243" s="14"/>
      <c r="R243" s="15"/>
      <c r="S243" s="15"/>
      <c r="T243" s="14"/>
      <c r="U243" s="14"/>
      <c r="V243" s="14"/>
      <c r="W243" s="18"/>
      <c r="X243" s="18"/>
      <c r="Y243" s="18"/>
      <c r="Z243" s="18"/>
      <c r="AA243" s="18"/>
      <c r="AB243" s="18"/>
      <c r="AC243" s="8" t="str">
        <f t="shared" si="82"/>
        <v/>
      </c>
      <c r="AD243" s="8"/>
      <c r="AE243" s="8"/>
      <c r="AF243" s="14"/>
      <c r="AG243" s="13"/>
      <c r="AH243" s="14"/>
      <c r="AI243" s="14"/>
      <c r="AJ243" s="8"/>
      <c r="AK243" s="8"/>
      <c r="AL243" s="8"/>
      <c r="AM243" s="8"/>
      <c r="AN243" s="631"/>
      <c r="AO243" s="18"/>
      <c r="AP243" s="18"/>
      <c r="AQ243" s="18"/>
      <c r="AR243" s="18"/>
      <c r="AS243" s="18"/>
      <c r="AU243" s="448"/>
      <c r="AV243" s="448"/>
      <c r="AW243" s="8" t="str">
        <f>IF(C243&gt;0,VLOOKUP(C243,Foundation_Calc!$A$2:$C$986,3,1),
IF(J243&gt;0,VLOOKUP(J243,Foundation_Calc!$A$2:$C$986,3,1),""))</f>
        <v/>
      </c>
      <c r="AX243" s="8" t="str">
        <f>IF(C243&gt;0,VLOOKUP(C243,Foundation_Calc!$E$2:$G$986,3,1),
IF(J243&gt;0,VLOOKUP(J243,Foundation_Calc!$E$2:$G$986,3,1),""))</f>
        <v/>
      </c>
      <c r="AY243" s="631" t="str">
        <f>IF(L243="","",
IF(AX243="PT",VLOOKUP(L243,Foundation_Calc!$K$4:$R$37,VLOOKUP(AW243,Foundation_Calc!$I$2:$J$8,2,FALSE),0),
IF(AX243="K",VLOOKUP(L243,Foundation_Calc!$K$41:$R$74,VLOOKUP(AW243,Foundation_Calc!$I$2:$J$8,2,FALSE),0),"")))</f>
        <v/>
      </c>
      <c r="AZ243" s="631" t="str">
        <f>IF(K243="","",
IF(AX243="PT",VLOOKUP(K243,Foundation_Calc!$K$4:$R$37,VLOOKUP(AW243,Foundation_Calc!$I$2:$J$8,2,FALSE),0),
IF(AX243="K",VLOOKUP(K243,Foundation_Calc!$K$41:$R$74,VLOOKUP(AW243,Foundation_Calc!$I$2:$J$8,2,FALSE),0),"")))</f>
        <v/>
      </c>
      <c r="BA243" s="632" t="str">
        <f t="shared" si="83"/>
        <v/>
      </c>
      <c r="BB243" s="632" t="str">
        <f t="shared" si="84"/>
        <v/>
      </c>
      <c r="BC243" s="632" t="str">
        <f t="shared" si="85"/>
        <v/>
      </c>
      <c r="BD243" s="633" t="str">
        <f>IF(AND(L243="",H243=""),"",
IF(H243="",Pole_Calc!A271,
IF(H243="MP",Pole_Calc!A272,
IF(H243="AnMP",Pole_Calc!A273,
IF(H243="A",Pole_Calc!A274,
IF(H243="S/A",Pole_Calc!A275,
IF(H243="A/S",Pole_Calc!A276,"Poner a mano")))))))</f>
        <v/>
      </c>
      <c r="BE243" s="448" t="s">
        <v>1726</v>
      </c>
      <c r="BF243" s="635"/>
      <c r="BG243" s="635"/>
      <c r="BH243" s="634"/>
      <c r="BI243" s="635"/>
    </row>
    <row r="244" spans="1:61" ht="16.2" customHeight="1">
      <c r="A244" s="12"/>
      <c r="B244" s="446"/>
      <c r="C244" s="89"/>
      <c r="D244" s="13"/>
      <c r="E244" s="14"/>
      <c r="F244" s="14"/>
      <c r="G244" s="15"/>
      <c r="H244" s="8"/>
      <c r="I244" s="8"/>
      <c r="J244" s="89"/>
      <c r="K244" s="8"/>
      <c r="L244" s="8"/>
      <c r="M244" s="8" t="str">
        <f>IF(L244="","",
IF(AX244="PT",VLOOKUP(L244,Foundation_Calc!$V$4:$X$37,VLOOKUP(AX244,Foundation_Calc!$I$10:$J$13,2,FALSE),0),
IF(AX244="K",VLOOKUP(L244,Foundation_Calc!$V$41:$X$74,VLOOKUP(AX244,Foundation_Calc!$I$10:$J$13,2,FALSE),0),"")))</f>
        <v/>
      </c>
      <c r="N244" s="8"/>
      <c r="O244" s="8"/>
      <c r="P244" s="8"/>
      <c r="Q244" s="14"/>
      <c r="R244" s="15"/>
      <c r="S244" s="15"/>
      <c r="T244" s="14"/>
      <c r="U244" s="14"/>
      <c r="V244" s="14"/>
      <c r="W244" s="18"/>
      <c r="X244" s="18"/>
      <c r="Y244" s="18"/>
      <c r="Z244" s="18"/>
      <c r="AA244" s="18"/>
      <c r="AB244" s="18"/>
      <c r="AC244" s="8" t="str">
        <f t="shared" si="82"/>
        <v/>
      </c>
      <c r="AD244" s="8"/>
      <c r="AE244" s="8"/>
      <c r="AF244" s="14"/>
      <c r="AG244" s="13"/>
      <c r="AH244" s="14"/>
      <c r="AI244" s="14"/>
      <c r="AJ244" s="8"/>
      <c r="AK244" s="8"/>
      <c r="AL244" s="8"/>
      <c r="AM244" s="8"/>
      <c r="AN244" s="631"/>
      <c r="AO244" s="18"/>
      <c r="AP244" s="18"/>
      <c r="AQ244" s="18"/>
      <c r="AR244" s="18"/>
      <c r="AS244" s="18"/>
      <c r="AU244" s="448"/>
      <c r="AV244" s="448"/>
      <c r="AW244" s="8" t="str">
        <f>IF(C244&gt;0,VLOOKUP(C244,Foundation_Calc!$A$2:$C$986,3,1),
IF(J244&gt;0,VLOOKUP(J244,Foundation_Calc!$A$2:$C$986,3,1),""))</f>
        <v/>
      </c>
      <c r="AX244" s="8" t="str">
        <f>IF(C244&gt;0,VLOOKUP(C244,Foundation_Calc!$E$2:$G$986,3,1),
IF(J244&gt;0,VLOOKUP(J244,Foundation_Calc!$E$2:$G$986,3,1),""))</f>
        <v/>
      </c>
      <c r="AY244" s="631" t="str">
        <f>IF(L244="","",
IF(AX244="PT",VLOOKUP(L244,Foundation_Calc!$K$4:$R$37,VLOOKUP(AW244,Foundation_Calc!$I$2:$J$8,2,FALSE),0),
IF(AX244="K",VLOOKUP(L244,Foundation_Calc!$K$41:$R$74,VLOOKUP(AW244,Foundation_Calc!$I$2:$J$8,2,FALSE),0),"")))</f>
        <v/>
      </c>
      <c r="AZ244" s="631" t="str">
        <f>IF(K244="","",
IF(AX244="PT",VLOOKUP(K244,Foundation_Calc!$K$4:$R$37,VLOOKUP(AW244,Foundation_Calc!$I$2:$J$8,2,FALSE),0),
IF(AX244="K",VLOOKUP(K244,Foundation_Calc!$K$41:$R$74,VLOOKUP(AW244,Foundation_Calc!$I$2:$J$8,2,FALSE),0),"")))</f>
        <v/>
      </c>
      <c r="BA244" s="632" t="str">
        <f t="shared" si="83"/>
        <v/>
      </c>
      <c r="BB244" s="632" t="str">
        <f t="shared" si="84"/>
        <v/>
      </c>
      <c r="BC244" s="632" t="str">
        <f t="shared" si="85"/>
        <v/>
      </c>
      <c r="BD244" s="633" t="str">
        <f>IF(AND(L244="",H244=""),"",
IF(H244="",Pole_Calc!A272,
IF(H244="MP",Pole_Calc!A273,
IF(H244="AnMP",Pole_Calc!A274,
IF(H244="A",Pole_Calc!A275,
IF(H244="S/A",Pole_Calc!A276,
IF(H244="A/S",Pole_Calc!A277,"Poner a mano")))))))</f>
        <v/>
      </c>
      <c r="BE244" s="448" t="s">
        <v>1726</v>
      </c>
      <c r="BF244" s="634"/>
      <c r="BG244" s="634"/>
      <c r="BH244" s="634"/>
      <c r="BI244" s="634"/>
    </row>
    <row r="245" spans="1:61" ht="16.2" customHeight="1">
      <c r="A245" s="12"/>
      <c r="B245" s="446"/>
      <c r="C245" s="89"/>
      <c r="D245" s="13"/>
      <c r="E245" s="14"/>
      <c r="F245" s="14"/>
      <c r="G245" s="15"/>
      <c r="H245" s="8"/>
      <c r="I245" s="8"/>
      <c r="J245" s="89"/>
      <c r="K245" s="8"/>
      <c r="L245" s="8"/>
      <c r="M245" s="8" t="str">
        <f>IF(L245="","",
IF(AX245="PT",VLOOKUP(L245,Foundation_Calc!$V$4:$X$37,VLOOKUP(AX245,Foundation_Calc!$I$10:$J$13,2,FALSE),0),
IF(AX245="K",VLOOKUP(L245,Foundation_Calc!$V$41:$X$74,VLOOKUP(AX245,Foundation_Calc!$I$10:$J$13,2,FALSE),0),"")))</f>
        <v/>
      </c>
      <c r="N245" s="8"/>
      <c r="O245" s="8"/>
      <c r="P245" s="8"/>
      <c r="Q245" s="14"/>
      <c r="R245" s="15"/>
      <c r="S245" s="15"/>
      <c r="T245" s="14"/>
      <c r="U245" s="14"/>
      <c r="V245" s="14"/>
      <c r="W245" s="18"/>
      <c r="X245" s="18"/>
      <c r="Y245" s="18"/>
      <c r="Z245" s="18"/>
      <c r="AA245" s="18"/>
      <c r="AB245" s="18"/>
      <c r="AC245" s="8" t="str">
        <f t="shared" si="82"/>
        <v/>
      </c>
      <c r="AD245" s="8"/>
      <c r="AE245" s="8"/>
      <c r="AF245" s="14"/>
      <c r="AG245" s="13"/>
      <c r="AH245" s="14"/>
      <c r="AI245" s="14"/>
      <c r="AJ245" s="8"/>
      <c r="AK245" s="8"/>
      <c r="AL245" s="8"/>
      <c r="AM245" s="8"/>
      <c r="AN245" s="631"/>
      <c r="AO245" s="18"/>
      <c r="AP245" s="18"/>
      <c r="AQ245" s="18"/>
      <c r="AR245" s="18"/>
      <c r="AS245" s="18"/>
      <c r="AU245" s="448"/>
      <c r="AV245" s="448"/>
      <c r="AW245" s="8" t="str">
        <f>IF(C245&gt;0,VLOOKUP(C245,Foundation_Calc!$A$2:$C$986,3,1),
IF(J245&gt;0,VLOOKUP(J245,Foundation_Calc!$A$2:$C$986,3,1),""))</f>
        <v/>
      </c>
      <c r="AX245" s="8" t="str">
        <f>IF(C245&gt;0,VLOOKUP(C245,Foundation_Calc!$E$2:$G$986,3,1),
IF(J245&gt;0,VLOOKUP(J245,Foundation_Calc!$E$2:$G$986,3,1),""))</f>
        <v/>
      </c>
      <c r="AY245" s="631" t="str">
        <f>IF(L245="","",
IF(AX245="PT",VLOOKUP(L245,Foundation_Calc!$K$4:$R$37,VLOOKUP(AW245,Foundation_Calc!$I$2:$J$8,2,FALSE),0),
IF(AX245="K",VLOOKUP(L245,Foundation_Calc!$K$41:$R$74,VLOOKUP(AW245,Foundation_Calc!$I$2:$J$8,2,FALSE),0),"")))</f>
        <v/>
      </c>
      <c r="AZ245" s="631" t="str">
        <f>IF(K245="","",
IF(AX245="PT",VLOOKUP(K245,Foundation_Calc!$K$4:$R$37,VLOOKUP(AW245,Foundation_Calc!$I$2:$J$8,2,FALSE),0),
IF(AX245="K",VLOOKUP(K245,Foundation_Calc!$K$41:$R$74,VLOOKUP(AW245,Foundation_Calc!$I$2:$J$8,2,FALSE),0),"")))</f>
        <v/>
      </c>
      <c r="BA245" s="632" t="str">
        <f t="shared" si="83"/>
        <v/>
      </c>
      <c r="BB245" s="632" t="str">
        <f t="shared" si="84"/>
        <v/>
      </c>
      <c r="BC245" s="632" t="str">
        <f t="shared" si="85"/>
        <v/>
      </c>
      <c r="BD245" s="633" t="str">
        <f>IF(AND(L245="",H245=""),"",
IF(H245="",Pole_Calc!A273,
IF(H245="MP",Pole_Calc!A274,
IF(H245="AnMP",Pole_Calc!A275,
IF(H245="A",Pole_Calc!A276,
IF(H245="S/A",Pole_Calc!A277,
IF(H245="A/S",Pole_Calc!A278,"Poner a mano")))))))</f>
        <v/>
      </c>
      <c r="BE245" s="448" t="s">
        <v>1726</v>
      </c>
      <c r="BF245" s="635"/>
      <c r="BG245" s="635"/>
      <c r="BH245" s="634"/>
      <c r="BI245" s="635"/>
    </row>
    <row r="246" spans="1:61" ht="16.2" customHeight="1">
      <c r="A246" s="12"/>
      <c r="B246" s="446"/>
      <c r="C246" s="89"/>
      <c r="D246" s="13"/>
      <c r="E246" s="14"/>
      <c r="F246" s="14"/>
      <c r="G246" s="15"/>
      <c r="H246" s="8"/>
      <c r="I246" s="8"/>
      <c r="J246" s="89"/>
      <c r="K246" s="8"/>
      <c r="L246" s="8"/>
      <c r="M246" s="8" t="str">
        <f>IF(L246="","",
IF(AX246="PT",VLOOKUP(L246,Foundation_Calc!$V$4:$X$37,VLOOKUP(AX246,Foundation_Calc!$I$10:$J$13,2,FALSE),0),
IF(AX246="K",VLOOKUP(L246,Foundation_Calc!$V$41:$X$74,VLOOKUP(AX246,Foundation_Calc!$I$10:$J$13,2,FALSE),0),"")))</f>
        <v/>
      </c>
      <c r="N246" s="8"/>
      <c r="O246" s="8"/>
      <c r="P246" s="8"/>
      <c r="Q246" s="14"/>
      <c r="R246" s="15"/>
      <c r="S246" s="15"/>
      <c r="T246" s="14"/>
      <c r="U246" s="14"/>
      <c r="V246" s="14"/>
      <c r="W246" s="18"/>
      <c r="X246" s="18"/>
      <c r="Y246" s="18"/>
      <c r="Z246" s="18"/>
      <c r="AA246" s="18"/>
      <c r="AB246" s="18"/>
      <c r="AC246" s="8" t="str">
        <f t="shared" si="82"/>
        <v/>
      </c>
      <c r="AD246" s="8"/>
      <c r="AE246" s="8"/>
      <c r="AF246" s="14"/>
      <c r="AG246" s="13"/>
      <c r="AH246" s="14"/>
      <c r="AI246" s="14"/>
      <c r="AJ246" s="8"/>
      <c r="AK246" s="8"/>
      <c r="AL246" s="8"/>
      <c r="AM246" s="8"/>
      <c r="AN246" s="631"/>
      <c r="AO246" s="18"/>
      <c r="AP246" s="18"/>
      <c r="AQ246" s="18"/>
      <c r="AR246" s="18"/>
      <c r="AS246" s="18"/>
      <c r="AU246" s="448"/>
      <c r="AV246" s="448"/>
      <c r="AW246" s="8" t="str">
        <f>IF(C246&gt;0,VLOOKUP(C246,Foundation_Calc!$A$2:$C$986,3,1),
IF(J246&gt;0,VLOOKUP(J246,Foundation_Calc!$A$2:$C$986,3,1),""))</f>
        <v/>
      </c>
      <c r="AX246" s="8" t="str">
        <f>IF(C246&gt;0,VLOOKUP(C246,Foundation_Calc!$E$2:$G$986,3,1),
IF(J246&gt;0,VLOOKUP(J246,Foundation_Calc!$E$2:$G$986,3,1),""))</f>
        <v/>
      </c>
      <c r="AY246" s="631" t="str">
        <f>IF(L246="","",
IF(AX246="PT",VLOOKUP(L246,Foundation_Calc!$K$4:$R$37,VLOOKUP(AW246,Foundation_Calc!$I$2:$J$8,2,FALSE),0),
IF(AX246="K",VLOOKUP(L246,Foundation_Calc!$K$41:$R$74,VLOOKUP(AW246,Foundation_Calc!$I$2:$J$8,2,FALSE),0),"")))</f>
        <v/>
      </c>
      <c r="AZ246" s="631" t="str">
        <f>IF(K246="","",
IF(AX246="PT",VLOOKUP(K246,Foundation_Calc!$K$4:$R$37,VLOOKUP(AW246,Foundation_Calc!$I$2:$J$8,2,FALSE),0),
IF(AX246="K",VLOOKUP(K246,Foundation_Calc!$K$41:$R$74,VLOOKUP(AW246,Foundation_Calc!$I$2:$J$8,2,FALSE),0),"")))</f>
        <v/>
      </c>
      <c r="BA246" s="632" t="str">
        <f t="shared" si="83"/>
        <v/>
      </c>
      <c r="BB246" s="632" t="str">
        <f t="shared" si="84"/>
        <v/>
      </c>
      <c r="BC246" s="632" t="str">
        <f t="shared" si="85"/>
        <v/>
      </c>
      <c r="BD246" s="633" t="str">
        <f>IF(AND(L246="",H246=""),"",
IF(H246="",Pole_Calc!A274,
IF(H246="MP",Pole_Calc!A275,
IF(H246="AnMP",Pole_Calc!A276,
IF(H246="A",Pole_Calc!A277,
IF(H246="S/A",Pole_Calc!A278,
IF(H246="A/S",Pole_Calc!A279,"Poner a mano")))))))</f>
        <v/>
      </c>
      <c r="BE246" s="448" t="s">
        <v>1726</v>
      </c>
      <c r="BF246" s="634"/>
      <c r="BG246" s="634"/>
      <c r="BH246" s="634"/>
      <c r="BI246" s="634"/>
    </row>
    <row r="247" spans="1:61" ht="16.2" customHeight="1">
      <c r="A247" s="12"/>
      <c r="B247" s="446"/>
      <c r="C247" s="89"/>
      <c r="D247" s="13"/>
      <c r="E247" s="14"/>
      <c r="F247" s="14"/>
      <c r="G247" s="15"/>
      <c r="H247" s="8"/>
      <c r="I247" s="8"/>
      <c r="J247" s="89"/>
      <c r="K247" s="8"/>
      <c r="L247" s="8"/>
      <c r="M247" s="8" t="str">
        <f>IF(L247="","",
IF(AX247="PT",VLOOKUP(L247,Foundation_Calc!$V$4:$X$37,VLOOKUP(AX247,Foundation_Calc!$I$10:$J$13,2,FALSE),0),
IF(AX247="K",VLOOKUP(L247,Foundation_Calc!$V$41:$X$74,VLOOKUP(AX247,Foundation_Calc!$I$10:$J$13,2,FALSE),0),"")))</f>
        <v/>
      </c>
      <c r="N247" s="8"/>
      <c r="O247" s="8"/>
      <c r="P247" s="8"/>
      <c r="Q247" s="14"/>
      <c r="R247" s="15"/>
      <c r="S247" s="15"/>
      <c r="T247" s="14"/>
      <c r="U247" s="14"/>
      <c r="V247" s="14"/>
      <c r="W247" s="18"/>
      <c r="X247" s="18"/>
      <c r="Y247" s="18"/>
      <c r="Z247" s="18"/>
      <c r="AA247" s="18"/>
      <c r="AB247" s="18"/>
      <c r="AC247" s="8" t="str">
        <f t="shared" si="82"/>
        <v/>
      </c>
      <c r="AD247" s="8"/>
      <c r="AE247" s="8"/>
      <c r="AF247" s="14"/>
      <c r="AG247" s="13"/>
      <c r="AH247" s="14"/>
      <c r="AI247" s="14"/>
      <c r="AJ247" s="8"/>
      <c r="AK247" s="8"/>
      <c r="AL247" s="8"/>
      <c r="AM247" s="8"/>
      <c r="AN247" s="631"/>
      <c r="AO247" s="18"/>
      <c r="AP247" s="18"/>
      <c r="AQ247" s="18"/>
      <c r="AR247" s="18"/>
      <c r="AS247" s="18"/>
      <c r="AU247" s="448"/>
      <c r="AV247" s="448"/>
      <c r="AW247" s="8" t="str">
        <f>IF(C247&gt;0,VLOOKUP(C247,Foundation_Calc!$A$2:$C$986,3,1),
IF(J247&gt;0,VLOOKUP(J247,Foundation_Calc!$A$2:$C$986,3,1),""))</f>
        <v/>
      </c>
      <c r="AX247" s="8" t="str">
        <f>IF(C247&gt;0,VLOOKUP(C247,Foundation_Calc!$E$2:$G$986,3,1),
IF(J247&gt;0,VLOOKUP(J247,Foundation_Calc!$E$2:$G$986,3,1),""))</f>
        <v/>
      </c>
      <c r="AY247" s="631" t="str">
        <f>IF(L247="","",
IF(AX247="PT",VLOOKUP(L247,Foundation_Calc!$K$4:$R$37,VLOOKUP(AW247,Foundation_Calc!$I$2:$J$8,2,FALSE),0),
IF(AX247="K",VLOOKUP(L247,Foundation_Calc!$K$41:$R$74,VLOOKUP(AW247,Foundation_Calc!$I$2:$J$8,2,FALSE),0),"")))</f>
        <v/>
      </c>
      <c r="AZ247" s="631" t="str">
        <f>IF(K247="","",
IF(AX247="PT",VLOOKUP(K247,Foundation_Calc!$K$4:$R$37,VLOOKUP(AW247,Foundation_Calc!$I$2:$J$8,2,FALSE),0),
IF(AX247="K",VLOOKUP(K247,Foundation_Calc!$K$41:$R$74,VLOOKUP(AW247,Foundation_Calc!$I$2:$J$8,2,FALSE),0),"")))</f>
        <v/>
      </c>
      <c r="BA247" s="632" t="str">
        <f t="shared" si="83"/>
        <v/>
      </c>
      <c r="BB247" s="632" t="str">
        <f t="shared" si="84"/>
        <v/>
      </c>
      <c r="BC247" s="632" t="str">
        <f t="shared" si="85"/>
        <v/>
      </c>
      <c r="BD247" s="633" t="str">
        <f>IF(AND(L247="",H247=""),"",
IF(H247="",Pole_Calc!A275,
IF(H247="MP",Pole_Calc!A276,
IF(H247="AnMP",Pole_Calc!A277,
IF(H247="A",Pole_Calc!A278,
IF(H247="S/A",Pole_Calc!A279,
IF(H247="A/S",Pole_Calc!A280,"Poner a mano")))))))</f>
        <v/>
      </c>
      <c r="BE247" s="448" t="s">
        <v>1726</v>
      </c>
      <c r="BF247" s="635"/>
      <c r="BG247" s="635"/>
      <c r="BH247" s="634"/>
      <c r="BI247" s="635"/>
    </row>
    <row r="248" spans="1:61" ht="16.2" customHeight="1">
      <c r="A248" s="12"/>
      <c r="B248" s="446"/>
      <c r="C248" s="89"/>
      <c r="D248" s="13"/>
      <c r="E248" s="14"/>
      <c r="F248" s="14"/>
      <c r="G248" s="15"/>
      <c r="H248" s="8"/>
      <c r="I248" s="8"/>
      <c r="J248" s="89"/>
      <c r="K248" s="8"/>
      <c r="L248" s="8"/>
      <c r="M248" s="8" t="str">
        <f>IF(L248="","",
IF(AX248="PT",VLOOKUP(L248,Foundation_Calc!$V$4:$X$37,VLOOKUP(AX248,Foundation_Calc!$I$10:$J$13,2,FALSE),0),
IF(AX248="K",VLOOKUP(L248,Foundation_Calc!$V$41:$X$74,VLOOKUP(AX248,Foundation_Calc!$I$10:$J$13,2,FALSE),0),"")))</f>
        <v/>
      </c>
      <c r="N248" s="8"/>
      <c r="O248" s="8"/>
      <c r="P248" s="8"/>
      <c r="Q248" s="14"/>
      <c r="R248" s="15"/>
      <c r="S248" s="15"/>
      <c r="T248" s="14"/>
      <c r="U248" s="14"/>
      <c r="V248" s="14"/>
      <c r="W248" s="18"/>
      <c r="X248" s="18"/>
      <c r="Y248" s="18"/>
      <c r="Z248" s="18"/>
      <c r="AA248" s="18"/>
      <c r="AB248" s="18"/>
      <c r="AC248" s="8" t="str">
        <f t="shared" si="82"/>
        <v/>
      </c>
      <c r="AD248" s="8"/>
      <c r="AE248" s="8"/>
      <c r="AF248" s="14"/>
      <c r="AG248" s="13"/>
      <c r="AH248" s="14"/>
      <c r="AI248" s="14"/>
      <c r="AJ248" s="8"/>
      <c r="AK248" s="8"/>
      <c r="AL248" s="8"/>
      <c r="AM248" s="8"/>
      <c r="AN248" s="631"/>
      <c r="AO248" s="18"/>
      <c r="AP248" s="18"/>
      <c r="AQ248" s="18"/>
      <c r="AR248" s="18"/>
      <c r="AS248" s="18"/>
      <c r="AU248" s="448"/>
      <c r="AV248" s="448"/>
      <c r="AW248" s="8" t="str">
        <f>IF(C248&gt;0,VLOOKUP(C248,Foundation_Calc!$A$2:$C$986,3,1),
IF(J248&gt;0,VLOOKUP(J248,Foundation_Calc!$A$2:$C$986,3,1),""))</f>
        <v/>
      </c>
      <c r="AX248" s="8" t="str">
        <f>IF(C248&gt;0,VLOOKUP(C248,Foundation_Calc!$E$2:$G$986,3,1),
IF(J248&gt;0,VLOOKUP(J248,Foundation_Calc!$E$2:$G$986,3,1),""))</f>
        <v/>
      </c>
      <c r="AY248" s="631" t="str">
        <f>IF(L248="","",
IF(AX248="PT",VLOOKUP(L248,Foundation_Calc!$K$4:$R$37,VLOOKUP(AW248,Foundation_Calc!$I$2:$J$8,2,FALSE),0),
IF(AX248="K",VLOOKUP(L248,Foundation_Calc!$K$41:$R$74,VLOOKUP(AW248,Foundation_Calc!$I$2:$J$8,2,FALSE),0),"")))</f>
        <v/>
      </c>
      <c r="AZ248" s="631" t="str">
        <f>IF(K248="","",
IF(AX248="PT",VLOOKUP(K248,Foundation_Calc!$K$4:$R$37,VLOOKUP(AW248,Foundation_Calc!$I$2:$J$8,2,FALSE),0),
IF(AX248="K",VLOOKUP(K248,Foundation_Calc!$K$41:$R$74,VLOOKUP(AW248,Foundation_Calc!$I$2:$J$8,2,FALSE),0),"")))</f>
        <v/>
      </c>
      <c r="BA248" s="632" t="str">
        <f t="shared" si="83"/>
        <v/>
      </c>
      <c r="BB248" s="632" t="str">
        <f t="shared" si="84"/>
        <v/>
      </c>
      <c r="BC248" s="632" t="str">
        <f t="shared" si="85"/>
        <v/>
      </c>
      <c r="BD248" s="633" t="str">
        <f>IF(AND(L248="",H248=""),"",
IF(H248="",Pole_Calc!A276,
IF(H248="MP",Pole_Calc!A277,
IF(H248="AnMP",Pole_Calc!A278,
IF(H248="A",Pole_Calc!A279,
IF(H248="S/A",Pole_Calc!A280,
IF(H248="A/S",Pole_Calc!A281,"Poner a mano")))))))</f>
        <v/>
      </c>
      <c r="BE248" s="448" t="s">
        <v>1726</v>
      </c>
      <c r="BF248" s="634"/>
      <c r="BG248" s="634"/>
      <c r="BH248" s="634"/>
      <c r="BI248" s="634"/>
    </row>
    <row r="249" spans="1:61" ht="16.2" customHeight="1">
      <c r="A249" s="12"/>
      <c r="B249" s="446"/>
      <c r="C249" s="89"/>
      <c r="D249" s="13"/>
      <c r="E249" s="14"/>
      <c r="F249" s="14"/>
      <c r="G249" s="15"/>
      <c r="H249" s="8"/>
      <c r="I249" s="8"/>
      <c r="J249" s="89"/>
      <c r="K249" s="8"/>
      <c r="L249" s="8"/>
      <c r="M249" s="8" t="str">
        <f>IF(L249="","",
IF(AX249="PT",VLOOKUP(L249,Foundation_Calc!$V$4:$X$37,VLOOKUP(AX249,Foundation_Calc!$I$10:$J$13,2,FALSE),0),
IF(AX249="K",VLOOKUP(L249,Foundation_Calc!$V$41:$X$74,VLOOKUP(AX249,Foundation_Calc!$I$10:$J$13,2,FALSE),0),"")))</f>
        <v/>
      </c>
      <c r="N249" s="8"/>
      <c r="O249" s="8"/>
      <c r="P249" s="8"/>
      <c r="Q249" s="14"/>
      <c r="R249" s="15"/>
      <c r="S249" s="15"/>
      <c r="T249" s="14"/>
      <c r="U249" s="14"/>
      <c r="V249" s="14"/>
      <c r="W249" s="18"/>
      <c r="X249" s="18"/>
      <c r="Y249" s="18"/>
      <c r="Z249" s="18"/>
      <c r="AA249" s="18"/>
      <c r="AB249" s="18"/>
      <c r="AC249" s="8" t="str">
        <f t="shared" si="82"/>
        <v/>
      </c>
      <c r="AD249" s="8"/>
      <c r="AE249" s="8"/>
      <c r="AF249" s="14"/>
      <c r="AG249" s="13"/>
      <c r="AH249" s="14"/>
      <c r="AI249" s="14"/>
      <c r="AJ249" s="8"/>
      <c r="AK249" s="8"/>
      <c r="AL249" s="8"/>
      <c r="AM249" s="8"/>
      <c r="AN249" s="631"/>
      <c r="AO249" s="18"/>
      <c r="AP249" s="18"/>
      <c r="AQ249" s="18"/>
      <c r="AR249" s="18"/>
      <c r="AS249" s="18"/>
      <c r="AU249" s="448"/>
      <c r="AV249" s="448"/>
      <c r="AW249" s="8" t="str">
        <f>IF(C249&gt;0,VLOOKUP(C249,Foundation_Calc!$A$2:$C$986,3,1),
IF(J249&gt;0,VLOOKUP(J249,Foundation_Calc!$A$2:$C$986,3,1),""))</f>
        <v/>
      </c>
      <c r="AX249" s="8" t="str">
        <f>IF(C249&gt;0,VLOOKUP(C249,Foundation_Calc!$E$2:$G$986,3,1),
IF(J249&gt;0,VLOOKUP(J249,Foundation_Calc!$E$2:$G$986,3,1),""))</f>
        <v/>
      </c>
      <c r="AY249" s="631" t="str">
        <f>IF(L249="","",
IF(AX249="PT",VLOOKUP(L249,Foundation_Calc!$K$4:$R$37,VLOOKUP(AW249,Foundation_Calc!$I$2:$J$8,2,FALSE),0),
IF(AX249="K",VLOOKUP(L249,Foundation_Calc!$K$41:$R$74,VLOOKUP(AW249,Foundation_Calc!$I$2:$J$8,2,FALSE),0),"")))</f>
        <v/>
      </c>
      <c r="AZ249" s="631" t="str">
        <f>IF(K249="","",
IF(AX249="PT",VLOOKUP(K249,Foundation_Calc!$K$4:$R$37,VLOOKUP(AW249,Foundation_Calc!$I$2:$J$8,2,FALSE),0),
IF(AX249="K",VLOOKUP(K249,Foundation_Calc!$K$41:$R$74,VLOOKUP(AW249,Foundation_Calc!$I$2:$J$8,2,FALSE),0),"")))</f>
        <v/>
      </c>
      <c r="BA249" s="632" t="str">
        <f t="shared" si="83"/>
        <v/>
      </c>
      <c r="BB249" s="632" t="str">
        <f t="shared" si="84"/>
        <v/>
      </c>
      <c r="BC249" s="632" t="str">
        <f t="shared" si="85"/>
        <v/>
      </c>
      <c r="BD249" s="633" t="str">
        <f>IF(AND(L249="",H249=""),"",
IF(H249="",Pole_Calc!A277,
IF(H249="MP",Pole_Calc!A278,
IF(H249="AnMP",Pole_Calc!A279,
IF(H249="A",Pole_Calc!A280,
IF(H249="S/A",Pole_Calc!A281,
IF(H249="A/S",Pole_Calc!A282,"Poner a mano")))))))</f>
        <v/>
      </c>
      <c r="BE249" s="448" t="s">
        <v>1726</v>
      </c>
      <c r="BF249" s="635"/>
      <c r="BG249" s="635"/>
      <c r="BH249" s="634"/>
      <c r="BI249" s="635"/>
    </row>
    <row r="250" spans="1:61" ht="16.2" customHeight="1">
      <c r="A250" s="12"/>
      <c r="B250" s="446"/>
      <c r="C250" s="89"/>
      <c r="D250" s="13"/>
      <c r="E250" s="14"/>
      <c r="F250" s="14"/>
      <c r="G250" s="15"/>
      <c r="H250" s="8"/>
      <c r="I250" s="8"/>
      <c r="J250" s="89"/>
      <c r="K250" s="8"/>
      <c r="L250" s="8"/>
      <c r="M250" s="8" t="str">
        <f>IF(L250="","",
IF(AX250="PT",VLOOKUP(L250,Foundation_Calc!$V$4:$X$37,VLOOKUP(AX250,Foundation_Calc!$I$10:$J$13,2,FALSE),0),
IF(AX250="K",VLOOKUP(L250,Foundation_Calc!$V$41:$X$74,VLOOKUP(AX250,Foundation_Calc!$I$10:$J$13,2,FALSE),0),"")))</f>
        <v/>
      </c>
      <c r="N250" s="8"/>
      <c r="O250" s="8"/>
      <c r="P250" s="8"/>
      <c r="Q250" s="14"/>
      <c r="R250" s="15"/>
      <c r="S250" s="15"/>
      <c r="T250" s="14"/>
      <c r="U250" s="14"/>
      <c r="V250" s="14"/>
      <c r="W250" s="18"/>
      <c r="X250" s="18"/>
      <c r="Y250" s="18"/>
      <c r="Z250" s="18"/>
      <c r="AA250" s="18"/>
      <c r="AB250" s="18"/>
      <c r="AC250" s="8" t="str">
        <f t="shared" si="82"/>
        <v/>
      </c>
      <c r="AD250" s="8"/>
      <c r="AE250" s="8"/>
      <c r="AF250" s="14"/>
      <c r="AG250" s="13"/>
      <c r="AH250" s="14"/>
      <c r="AI250" s="14"/>
      <c r="AJ250" s="8"/>
      <c r="AK250" s="8"/>
      <c r="AL250" s="8"/>
      <c r="AM250" s="8"/>
      <c r="AN250" s="631"/>
      <c r="AO250" s="18"/>
      <c r="AP250" s="18"/>
      <c r="AQ250" s="18"/>
      <c r="AR250" s="18"/>
      <c r="AS250" s="18"/>
      <c r="AU250" s="448"/>
      <c r="AV250" s="448"/>
      <c r="AW250" s="8" t="str">
        <f>IF(C250&gt;0,VLOOKUP(C250,Foundation_Calc!$A$2:$C$986,3,1),
IF(J250&gt;0,VLOOKUP(J250,Foundation_Calc!$A$2:$C$986,3,1),""))</f>
        <v/>
      </c>
      <c r="AX250" s="8" t="str">
        <f>IF(C250&gt;0,VLOOKUP(C250,Foundation_Calc!$E$2:$G$986,3,1),
IF(J250&gt;0,VLOOKUP(J250,Foundation_Calc!$E$2:$G$986,3,1),""))</f>
        <v/>
      </c>
      <c r="AY250" s="631" t="str">
        <f>IF(L250="","",
IF(AX250="PT",VLOOKUP(L250,Foundation_Calc!$K$4:$R$37,VLOOKUP(AW250,Foundation_Calc!$I$2:$J$8,2,FALSE),0),
IF(AX250="K",VLOOKUP(L250,Foundation_Calc!$K$41:$R$74,VLOOKUP(AW250,Foundation_Calc!$I$2:$J$8,2,FALSE),0),"")))</f>
        <v/>
      </c>
      <c r="AZ250" s="631" t="str">
        <f>IF(K250="","",
IF(AX250="PT",VLOOKUP(K250,Foundation_Calc!$K$4:$R$37,VLOOKUP(AW250,Foundation_Calc!$I$2:$J$8,2,FALSE),0),
IF(AX250="K",VLOOKUP(K250,Foundation_Calc!$K$41:$R$74,VLOOKUP(AW250,Foundation_Calc!$I$2:$J$8,2,FALSE),0),"")))</f>
        <v/>
      </c>
      <c r="BA250" s="632" t="str">
        <f t="shared" si="83"/>
        <v/>
      </c>
      <c r="BB250" s="632" t="str">
        <f t="shared" si="84"/>
        <v/>
      </c>
      <c r="BC250" s="632" t="str">
        <f t="shared" si="85"/>
        <v/>
      </c>
      <c r="BD250" s="633" t="str">
        <f>IF(AND(L250="",H250=""),"",
IF(H250="",Pole_Calc!A278,
IF(H250="MP",Pole_Calc!A279,
IF(H250="AnMP",Pole_Calc!A280,
IF(H250="A",Pole_Calc!A281,
IF(H250="S/A",Pole_Calc!A282,
IF(H250="A/S",Pole_Calc!A283,"Poner a mano")))))))</f>
        <v/>
      </c>
      <c r="BE250" s="448" t="s">
        <v>1726</v>
      </c>
      <c r="BF250" s="634"/>
      <c r="BG250" s="634"/>
      <c r="BH250" s="634"/>
      <c r="BI250" s="634"/>
    </row>
    <row r="251" spans="1:61" ht="16.2" customHeight="1">
      <c r="A251" s="12"/>
      <c r="B251" s="446"/>
      <c r="C251" s="89"/>
      <c r="D251" s="13"/>
      <c r="E251" s="14"/>
      <c r="F251" s="14"/>
      <c r="G251" s="15"/>
      <c r="H251" s="8"/>
      <c r="I251" s="8"/>
      <c r="J251" s="89"/>
      <c r="K251" s="8"/>
      <c r="L251" s="8"/>
      <c r="M251" s="8" t="str">
        <f>IF(L251="","",
IF(AX251="PT",VLOOKUP(L251,Foundation_Calc!$V$4:$X$37,VLOOKUP(AX251,Foundation_Calc!$I$10:$J$13,2,FALSE),0),
IF(AX251="K",VLOOKUP(L251,Foundation_Calc!$V$41:$X$74,VLOOKUP(AX251,Foundation_Calc!$I$10:$J$13,2,FALSE),0),"")))</f>
        <v/>
      </c>
      <c r="N251" s="8"/>
      <c r="O251" s="8"/>
      <c r="P251" s="8"/>
      <c r="Q251" s="14"/>
      <c r="R251" s="15"/>
      <c r="S251" s="15"/>
      <c r="T251" s="14"/>
      <c r="U251" s="14"/>
      <c r="V251" s="14"/>
      <c r="W251" s="18"/>
      <c r="X251" s="18"/>
      <c r="Y251" s="18"/>
      <c r="Z251" s="18"/>
      <c r="AA251" s="18"/>
      <c r="AB251" s="18"/>
      <c r="AC251" s="8" t="str">
        <f t="shared" si="82"/>
        <v/>
      </c>
      <c r="AD251" s="8"/>
      <c r="AE251" s="8"/>
      <c r="AF251" s="14"/>
      <c r="AG251" s="13"/>
      <c r="AH251" s="14"/>
      <c r="AI251" s="14"/>
      <c r="AJ251" s="8"/>
      <c r="AK251" s="8"/>
      <c r="AL251" s="8"/>
      <c r="AM251" s="8"/>
      <c r="AN251" s="631"/>
      <c r="AO251" s="18"/>
      <c r="AP251" s="18"/>
      <c r="AQ251" s="18"/>
      <c r="AR251" s="18"/>
      <c r="AS251" s="18"/>
      <c r="AU251" s="448"/>
      <c r="AV251" s="448"/>
      <c r="AW251" s="8" t="str">
        <f>IF(C251&gt;0,VLOOKUP(C251,Foundation_Calc!$A$2:$C$986,3,1),
IF(J251&gt;0,VLOOKUP(J251,Foundation_Calc!$A$2:$C$986,3,1),""))</f>
        <v/>
      </c>
      <c r="AX251" s="8" t="str">
        <f>IF(C251&gt;0,VLOOKUP(C251,Foundation_Calc!$E$2:$G$986,3,1),
IF(J251&gt;0,VLOOKUP(J251,Foundation_Calc!$E$2:$G$986,3,1),""))</f>
        <v/>
      </c>
      <c r="AY251" s="631" t="str">
        <f>IF(L251="","",
IF(AX251="PT",VLOOKUP(L251,Foundation_Calc!$K$4:$R$37,VLOOKUP(AW251,Foundation_Calc!$I$2:$J$8,2,FALSE),0),
IF(AX251="K",VLOOKUP(L251,Foundation_Calc!$K$41:$R$74,VLOOKUP(AW251,Foundation_Calc!$I$2:$J$8,2,FALSE),0),"")))</f>
        <v/>
      </c>
      <c r="AZ251" s="631" t="str">
        <f>IF(K251="","",
IF(AX251="PT",VLOOKUP(K251,Foundation_Calc!$K$4:$R$37,VLOOKUP(AW251,Foundation_Calc!$I$2:$J$8,2,FALSE),0),
IF(AX251="K",VLOOKUP(K251,Foundation_Calc!$K$41:$R$74,VLOOKUP(AW251,Foundation_Calc!$I$2:$J$8,2,FALSE),0),"")))</f>
        <v/>
      </c>
      <c r="BA251" s="632" t="str">
        <f t="shared" si="83"/>
        <v/>
      </c>
      <c r="BB251" s="632" t="str">
        <f t="shared" si="84"/>
        <v/>
      </c>
      <c r="BC251" s="632" t="str">
        <f t="shared" si="85"/>
        <v/>
      </c>
      <c r="BD251" s="633" t="str">
        <f>IF(AND(L251="",H251=""),"",
IF(H251="",Pole_Calc!A279,
IF(H251="MP",Pole_Calc!A280,
IF(H251="AnMP",Pole_Calc!A281,
IF(H251="A",Pole_Calc!A282,
IF(H251="S/A",Pole_Calc!A283,
IF(H251="A/S",Pole_Calc!A284,"Poner a mano")))))))</f>
        <v/>
      </c>
      <c r="BE251" s="448" t="s">
        <v>1726</v>
      </c>
      <c r="BF251" s="635"/>
      <c r="BG251" s="635"/>
      <c r="BH251" s="634"/>
      <c r="BI251" s="635"/>
    </row>
    <row r="252" spans="1:61" ht="16.2" customHeight="1">
      <c r="A252" s="12"/>
      <c r="B252" s="446"/>
      <c r="C252" s="89"/>
      <c r="D252" s="13"/>
      <c r="E252" s="14"/>
      <c r="F252" s="14"/>
      <c r="G252" s="15"/>
      <c r="H252" s="8"/>
      <c r="I252" s="8"/>
      <c r="J252" s="89"/>
      <c r="K252" s="8"/>
      <c r="L252" s="8"/>
      <c r="M252" s="8" t="str">
        <f>IF(L252="","",
IF(AX252="PT",VLOOKUP(L252,Foundation_Calc!$V$4:$X$37,VLOOKUP(AX252,Foundation_Calc!$I$10:$J$13,2,FALSE),0),
IF(AX252="K",VLOOKUP(L252,Foundation_Calc!$V$41:$X$74,VLOOKUP(AX252,Foundation_Calc!$I$10:$J$13,2,FALSE),0),"")))</f>
        <v/>
      </c>
      <c r="N252" s="8"/>
      <c r="O252" s="8"/>
      <c r="P252" s="8"/>
      <c r="Q252" s="14"/>
      <c r="R252" s="15"/>
      <c r="S252" s="15"/>
      <c r="T252" s="14"/>
      <c r="U252" s="14"/>
      <c r="V252" s="14"/>
      <c r="W252" s="18"/>
      <c r="X252" s="18"/>
      <c r="Y252" s="18"/>
      <c r="Z252" s="18"/>
      <c r="AA252" s="18"/>
      <c r="AB252" s="18"/>
      <c r="AC252" s="8" t="str">
        <f t="shared" si="82"/>
        <v/>
      </c>
      <c r="AD252" s="8"/>
      <c r="AE252" s="8"/>
      <c r="AF252" s="14"/>
      <c r="AG252" s="13"/>
      <c r="AH252" s="14"/>
      <c r="AI252" s="14"/>
      <c r="AJ252" s="8"/>
      <c r="AK252" s="8"/>
      <c r="AL252" s="8"/>
      <c r="AM252" s="8"/>
      <c r="AN252" s="631"/>
      <c r="AO252" s="18"/>
      <c r="AP252" s="18"/>
      <c r="AQ252" s="18"/>
      <c r="AR252" s="18"/>
      <c r="AS252" s="18"/>
      <c r="AU252" s="448"/>
      <c r="AV252" s="448"/>
      <c r="AW252" s="8" t="str">
        <f>IF(C252&gt;0,VLOOKUP(C252,Foundation_Calc!$A$2:$C$986,3,1),
IF(J252&gt;0,VLOOKUP(J252,Foundation_Calc!$A$2:$C$986,3,1),""))</f>
        <v/>
      </c>
      <c r="AX252" s="8" t="str">
        <f>IF(C252&gt;0,VLOOKUP(C252,Foundation_Calc!$E$2:$G$986,3,1),
IF(J252&gt;0,VLOOKUP(J252,Foundation_Calc!$E$2:$G$986,3,1),""))</f>
        <v/>
      </c>
      <c r="AY252" s="631" t="str">
        <f>IF(L252="","",
IF(AX252="PT",VLOOKUP(L252,Foundation_Calc!$K$4:$R$37,VLOOKUP(AW252,Foundation_Calc!$I$2:$J$8,2,FALSE),0),
IF(AX252="K",VLOOKUP(L252,Foundation_Calc!$K$41:$R$74,VLOOKUP(AW252,Foundation_Calc!$I$2:$J$8,2,FALSE),0),"")))</f>
        <v/>
      </c>
      <c r="AZ252" s="631" t="str">
        <f>IF(K252="","",
IF(AX252="PT",VLOOKUP(K252,Foundation_Calc!$K$4:$R$37,VLOOKUP(AW252,Foundation_Calc!$I$2:$J$8,2,FALSE),0),
IF(AX252="K",VLOOKUP(K252,Foundation_Calc!$K$41:$R$74,VLOOKUP(AW252,Foundation_Calc!$I$2:$J$8,2,FALSE),0),"")))</f>
        <v/>
      </c>
      <c r="BA252" s="632" t="str">
        <f t="shared" si="83"/>
        <v/>
      </c>
      <c r="BB252" s="632" t="str">
        <f t="shared" si="84"/>
        <v/>
      </c>
      <c r="BC252" s="632" t="str">
        <f t="shared" si="85"/>
        <v/>
      </c>
      <c r="BD252" s="633" t="str">
        <f>IF(AND(L252="",H252=""),"",
IF(H252="",Pole_Calc!A280,
IF(H252="MP",Pole_Calc!A281,
IF(H252="AnMP",Pole_Calc!A282,
IF(H252="A",Pole_Calc!A283,
IF(H252="S/A",Pole_Calc!A284,
IF(H252="A/S",Pole_Calc!A285,"Poner a mano")))))))</f>
        <v/>
      </c>
      <c r="BE252" s="448" t="s">
        <v>1726</v>
      </c>
      <c r="BF252" s="634"/>
      <c r="BG252" s="634"/>
      <c r="BH252" s="634"/>
      <c r="BI252" s="634"/>
    </row>
    <row r="253" spans="1:61" ht="16.2" customHeight="1">
      <c r="A253" s="12"/>
      <c r="B253" s="446"/>
      <c r="C253" s="89"/>
      <c r="D253" s="13"/>
      <c r="E253" s="14"/>
      <c r="F253" s="14"/>
      <c r="G253" s="15"/>
      <c r="H253" s="8"/>
      <c r="I253" s="8"/>
      <c r="J253" s="89"/>
      <c r="K253" s="8"/>
      <c r="L253" s="8"/>
      <c r="M253" s="8" t="str">
        <f>IF(L253="","",
IF(AX253="PT",VLOOKUP(L253,Foundation_Calc!$V$4:$X$37,VLOOKUP(AX253,Foundation_Calc!$I$10:$J$13,2,FALSE),0),
IF(AX253="K",VLOOKUP(L253,Foundation_Calc!$V$41:$X$74,VLOOKUP(AX253,Foundation_Calc!$I$10:$J$13,2,FALSE),0),"")))</f>
        <v/>
      </c>
      <c r="N253" s="8"/>
      <c r="O253" s="8"/>
      <c r="P253" s="8"/>
      <c r="Q253" s="14"/>
      <c r="R253" s="15"/>
      <c r="S253" s="15"/>
      <c r="T253" s="14"/>
      <c r="U253" s="14"/>
      <c r="V253" s="14"/>
      <c r="W253" s="18"/>
      <c r="X253" s="18"/>
      <c r="Y253" s="18"/>
      <c r="Z253" s="18"/>
      <c r="AA253" s="18"/>
      <c r="AB253" s="18"/>
      <c r="AC253" s="8" t="str">
        <f t="shared" si="82"/>
        <v/>
      </c>
      <c r="AD253" s="8"/>
      <c r="AE253" s="8"/>
      <c r="AF253" s="14"/>
      <c r="AG253" s="13"/>
      <c r="AH253" s="14"/>
      <c r="AI253" s="14"/>
      <c r="AJ253" s="8"/>
      <c r="AK253" s="8"/>
      <c r="AL253" s="8"/>
      <c r="AM253" s="8"/>
      <c r="AN253" s="631"/>
      <c r="AO253" s="18"/>
      <c r="AP253" s="18"/>
      <c r="AQ253" s="18"/>
      <c r="AR253" s="18"/>
      <c r="AS253" s="18"/>
      <c r="AU253" s="448"/>
      <c r="AV253" s="448"/>
      <c r="AW253" s="8" t="str">
        <f>IF(C253&gt;0,VLOOKUP(C253,Foundation_Calc!$A$2:$C$986,3,1),
IF(J253&gt;0,VLOOKUP(J253,Foundation_Calc!$A$2:$C$986,3,1),""))</f>
        <v/>
      </c>
      <c r="AX253" s="8" t="str">
        <f>IF(C253&gt;0,VLOOKUP(C253,Foundation_Calc!$E$2:$G$986,3,1),
IF(J253&gt;0,VLOOKUP(J253,Foundation_Calc!$E$2:$G$986,3,1),""))</f>
        <v/>
      </c>
      <c r="AY253" s="631" t="str">
        <f>IF(L253="","",
IF(AX253="PT",VLOOKUP(L253,Foundation_Calc!$K$4:$R$37,VLOOKUP(AW253,Foundation_Calc!$I$2:$J$8,2,FALSE),0),
IF(AX253="K",VLOOKUP(L253,Foundation_Calc!$K$41:$R$74,VLOOKUP(AW253,Foundation_Calc!$I$2:$J$8,2,FALSE),0),"")))</f>
        <v/>
      </c>
      <c r="AZ253" s="631" t="str">
        <f>IF(K253="","",
IF(AX253="PT",VLOOKUP(K253,Foundation_Calc!$K$4:$R$37,VLOOKUP(AW253,Foundation_Calc!$I$2:$J$8,2,FALSE),0),
IF(AX253="K",VLOOKUP(K253,Foundation_Calc!$K$41:$R$74,VLOOKUP(AW253,Foundation_Calc!$I$2:$J$8,2,FALSE),0),"")))</f>
        <v/>
      </c>
      <c r="BA253" s="632" t="str">
        <f t="shared" si="83"/>
        <v/>
      </c>
      <c r="BB253" s="632" t="str">
        <f t="shared" si="84"/>
        <v/>
      </c>
      <c r="BC253" s="632" t="str">
        <f t="shared" si="85"/>
        <v/>
      </c>
      <c r="BD253" s="633" t="str">
        <f>IF(AND(L253="",H253=""),"",
IF(H253="",Pole_Calc!A281,
IF(H253="MP",Pole_Calc!A282,
IF(H253="AnMP",Pole_Calc!A283,
IF(H253="A",Pole_Calc!A284,
IF(H253="S/A",Pole_Calc!A285,
IF(H253="A/S",Pole_Calc!A286,"Poner a mano")))))))</f>
        <v/>
      </c>
      <c r="BE253" s="448" t="s">
        <v>1726</v>
      </c>
      <c r="BF253" s="635"/>
      <c r="BG253" s="635"/>
      <c r="BH253" s="634"/>
      <c r="BI253" s="635"/>
    </row>
    <row r="254" spans="1:61" ht="16.2" customHeight="1">
      <c r="A254" s="12"/>
      <c r="B254" s="446"/>
      <c r="C254" s="89"/>
      <c r="D254" s="13"/>
      <c r="E254" s="14"/>
      <c r="F254" s="14"/>
      <c r="G254" s="15"/>
      <c r="H254" s="8"/>
      <c r="I254" s="8"/>
      <c r="J254" s="89"/>
      <c r="K254" s="8"/>
      <c r="L254" s="8"/>
      <c r="M254" s="8" t="str">
        <f>IF(L254="","",
IF(AX254="PT",VLOOKUP(L254,Foundation_Calc!$V$4:$X$37,VLOOKUP(AX254,Foundation_Calc!$I$10:$J$13,2,FALSE),0),
IF(AX254="K",VLOOKUP(L254,Foundation_Calc!$V$41:$X$74,VLOOKUP(AX254,Foundation_Calc!$I$10:$J$13,2,FALSE),0),"")))</f>
        <v/>
      </c>
      <c r="N254" s="8"/>
      <c r="O254" s="8"/>
      <c r="P254" s="8"/>
      <c r="Q254" s="14"/>
      <c r="R254" s="15"/>
      <c r="S254" s="15"/>
      <c r="T254" s="14"/>
      <c r="U254" s="14"/>
      <c r="V254" s="14"/>
      <c r="W254" s="18"/>
      <c r="X254" s="18"/>
      <c r="Y254" s="18"/>
      <c r="Z254" s="18"/>
      <c r="AA254" s="18"/>
      <c r="AB254" s="18"/>
      <c r="AC254" s="8" t="str">
        <f t="shared" si="82"/>
        <v/>
      </c>
      <c r="AD254" s="8"/>
      <c r="AE254" s="8"/>
      <c r="AF254" s="14"/>
      <c r="AG254" s="13"/>
      <c r="AH254" s="14"/>
      <c r="AI254" s="14"/>
      <c r="AJ254" s="8"/>
      <c r="AK254" s="8"/>
      <c r="AL254" s="8"/>
      <c r="AM254" s="8"/>
      <c r="AN254" s="631"/>
      <c r="AO254" s="18"/>
      <c r="AP254" s="18"/>
      <c r="AQ254" s="18"/>
      <c r="AR254" s="18"/>
      <c r="AS254" s="18"/>
      <c r="AU254" s="448"/>
      <c r="AV254" s="448"/>
      <c r="AW254" s="8" t="str">
        <f>IF(C254&gt;0,VLOOKUP(C254,Foundation_Calc!$A$2:$C$986,3,1),
IF(J254&gt;0,VLOOKUP(J254,Foundation_Calc!$A$2:$C$986,3,1),""))</f>
        <v/>
      </c>
      <c r="AX254" s="8" t="str">
        <f>IF(C254&gt;0,VLOOKUP(C254,Foundation_Calc!$E$2:$G$986,3,1),
IF(J254&gt;0,VLOOKUP(J254,Foundation_Calc!$E$2:$G$986,3,1),""))</f>
        <v/>
      </c>
      <c r="AY254" s="631" t="str">
        <f>IF(L254="","",
IF(AX254="PT",VLOOKUP(L254,Foundation_Calc!$K$4:$R$37,VLOOKUP(AW254,Foundation_Calc!$I$2:$J$8,2,FALSE),0),
IF(AX254="K",VLOOKUP(L254,Foundation_Calc!$K$41:$R$74,VLOOKUP(AW254,Foundation_Calc!$I$2:$J$8,2,FALSE),0),"")))</f>
        <v/>
      </c>
      <c r="AZ254" s="631" t="str">
        <f>IF(K254="","",
IF(AX254="PT",VLOOKUP(K254,Foundation_Calc!$K$4:$R$37,VLOOKUP(AW254,Foundation_Calc!$I$2:$J$8,2,FALSE),0),
IF(AX254="K",VLOOKUP(K254,Foundation_Calc!$K$41:$R$74,VLOOKUP(AW254,Foundation_Calc!$I$2:$J$8,2,FALSE),0),"")))</f>
        <v/>
      </c>
      <c r="BA254" s="632" t="str">
        <f t="shared" si="83"/>
        <v/>
      </c>
      <c r="BB254" s="632" t="str">
        <f t="shared" si="84"/>
        <v/>
      </c>
      <c r="BC254" s="632" t="str">
        <f t="shared" si="85"/>
        <v/>
      </c>
      <c r="BD254" s="633" t="str">
        <f>IF(AND(L254="",H254=""),"",
IF(H254="",Pole_Calc!A282,
IF(H254="MP",Pole_Calc!A283,
IF(H254="AnMP",Pole_Calc!A284,
IF(H254="A",Pole_Calc!A285,
IF(H254="S/A",Pole_Calc!A286,
IF(H254="A/S",Pole_Calc!A287,"Poner a mano")))))))</f>
        <v/>
      </c>
      <c r="BE254" s="448" t="s">
        <v>1726</v>
      </c>
      <c r="BF254" s="634"/>
      <c r="BG254" s="634"/>
      <c r="BH254" s="634"/>
      <c r="BI254" s="634"/>
    </row>
    <row r="255" spans="1:61" ht="16.2" customHeight="1">
      <c r="A255" s="12"/>
      <c r="B255" s="446"/>
      <c r="C255" s="89"/>
      <c r="D255" s="13"/>
      <c r="E255" s="14"/>
      <c r="F255" s="14"/>
      <c r="G255" s="15"/>
      <c r="H255" s="8"/>
      <c r="I255" s="8"/>
      <c r="J255" s="89"/>
      <c r="K255" s="8"/>
      <c r="L255" s="8"/>
      <c r="M255" s="8" t="str">
        <f>IF(L255="","",
IF(AX255="PT",VLOOKUP(L255,Foundation_Calc!$V$4:$X$37,VLOOKUP(AX255,Foundation_Calc!$I$10:$J$13,2,FALSE),0),
IF(AX255="K",VLOOKUP(L255,Foundation_Calc!$V$41:$X$74,VLOOKUP(AX255,Foundation_Calc!$I$10:$J$13,2,FALSE),0),"")))</f>
        <v/>
      </c>
      <c r="N255" s="8"/>
      <c r="O255" s="8"/>
      <c r="P255" s="8"/>
      <c r="Q255" s="14"/>
      <c r="R255" s="15"/>
      <c r="S255" s="15"/>
      <c r="T255" s="14"/>
      <c r="U255" s="14"/>
      <c r="V255" s="14"/>
      <c r="W255" s="18"/>
      <c r="X255" s="18"/>
      <c r="Y255" s="18"/>
      <c r="Z255" s="18"/>
      <c r="AA255" s="18"/>
      <c r="AB255" s="18"/>
      <c r="AC255" s="8" t="str">
        <f t="shared" si="82"/>
        <v/>
      </c>
      <c r="AD255" s="8"/>
      <c r="AE255" s="8"/>
      <c r="AF255" s="14"/>
      <c r="AG255" s="13"/>
      <c r="AH255" s="14"/>
      <c r="AI255" s="14"/>
      <c r="AJ255" s="8"/>
      <c r="AK255" s="8"/>
      <c r="AL255" s="8"/>
      <c r="AM255" s="8"/>
      <c r="AN255" s="631"/>
      <c r="AO255" s="18"/>
      <c r="AP255" s="18"/>
      <c r="AQ255" s="18"/>
      <c r="AR255" s="18"/>
      <c r="AS255" s="18"/>
      <c r="AU255" s="448"/>
      <c r="AV255" s="448"/>
      <c r="AW255" s="8" t="str">
        <f>IF(C255&gt;0,VLOOKUP(C255,Foundation_Calc!$A$2:$C$986,3,1),
IF(J255&gt;0,VLOOKUP(J255,Foundation_Calc!$A$2:$C$986,3,1),""))</f>
        <v/>
      </c>
      <c r="AX255" s="8" t="str">
        <f>IF(C255&gt;0,VLOOKUP(C255,Foundation_Calc!$E$2:$G$986,3,1),
IF(J255&gt;0,VLOOKUP(J255,Foundation_Calc!$E$2:$G$986,3,1),""))</f>
        <v/>
      </c>
      <c r="AY255" s="631" t="str">
        <f>IF(L255="","",
IF(AX255="PT",VLOOKUP(L255,Foundation_Calc!$K$4:$R$37,VLOOKUP(AW255,Foundation_Calc!$I$2:$J$8,2,FALSE),0),
IF(AX255="K",VLOOKUP(L255,Foundation_Calc!$K$41:$R$74,VLOOKUP(AW255,Foundation_Calc!$I$2:$J$8,2,FALSE),0),"")))</f>
        <v/>
      </c>
      <c r="AZ255" s="631" t="str">
        <f>IF(K255="","",
IF(AX255="PT",VLOOKUP(K255,Foundation_Calc!$K$4:$R$37,VLOOKUP(AW255,Foundation_Calc!$I$2:$J$8,2,FALSE),0),
IF(AX255="K",VLOOKUP(K255,Foundation_Calc!$K$41:$R$74,VLOOKUP(AW255,Foundation_Calc!$I$2:$J$8,2,FALSE),0),"")))</f>
        <v/>
      </c>
      <c r="BA255" s="632" t="str">
        <f t="shared" si="83"/>
        <v/>
      </c>
      <c r="BB255" s="632" t="str">
        <f t="shared" si="84"/>
        <v/>
      </c>
      <c r="BC255" s="632" t="str">
        <f t="shared" si="85"/>
        <v/>
      </c>
      <c r="BD255" s="633" t="str">
        <f>IF(AND(L255="",H255=""),"",
IF(H255="",Pole_Calc!A283,
IF(H255="MP",Pole_Calc!A284,
IF(H255="AnMP",Pole_Calc!A285,
IF(H255="A",Pole_Calc!A286,
IF(H255="S/A",Pole_Calc!A287,
IF(H255="A/S",Pole_Calc!A288,"Poner a mano")))))))</f>
        <v/>
      </c>
      <c r="BE255" s="448" t="s">
        <v>1726</v>
      </c>
      <c r="BF255" s="635"/>
      <c r="BG255" s="635"/>
      <c r="BH255" s="634"/>
      <c r="BI255" s="635"/>
    </row>
    <row r="256" spans="1:61" ht="16.2" customHeight="1">
      <c r="A256" s="12"/>
      <c r="B256" s="446"/>
      <c r="C256" s="89"/>
      <c r="D256" s="13"/>
      <c r="E256" s="14"/>
      <c r="F256" s="14"/>
      <c r="G256" s="15"/>
      <c r="H256" s="8"/>
      <c r="I256" s="8"/>
      <c r="J256" s="89"/>
      <c r="K256" s="8"/>
      <c r="L256" s="8"/>
      <c r="M256" s="8" t="str">
        <f>IF(L256="","",
IF(AX256="PT",VLOOKUP(L256,Foundation_Calc!$V$4:$X$37,VLOOKUP(AX256,Foundation_Calc!$I$10:$J$13,2,FALSE),0),
IF(AX256="K",VLOOKUP(L256,Foundation_Calc!$V$41:$X$74,VLOOKUP(AX256,Foundation_Calc!$I$10:$J$13,2,FALSE),0),"")))</f>
        <v/>
      </c>
      <c r="N256" s="8"/>
      <c r="O256" s="8"/>
      <c r="P256" s="8"/>
      <c r="Q256" s="14"/>
      <c r="R256" s="15"/>
      <c r="S256" s="15"/>
      <c r="T256" s="14"/>
      <c r="U256" s="14"/>
      <c r="V256" s="14"/>
      <c r="W256" s="18"/>
      <c r="X256" s="18"/>
      <c r="Y256" s="18"/>
      <c r="Z256" s="18"/>
      <c r="AA256" s="18"/>
      <c r="AB256" s="18"/>
      <c r="AC256" s="8" t="str">
        <f t="shared" si="82"/>
        <v/>
      </c>
      <c r="AD256" s="8"/>
      <c r="AE256" s="8"/>
      <c r="AF256" s="14"/>
      <c r="AG256" s="13"/>
      <c r="AH256" s="14"/>
      <c r="AI256" s="14"/>
      <c r="AJ256" s="8"/>
      <c r="AK256" s="8"/>
      <c r="AL256" s="8"/>
      <c r="AM256" s="8"/>
      <c r="AN256" s="631"/>
      <c r="AO256" s="18"/>
      <c r="AP256" s="18"/>
      <c r="AQ256" s="18"/>
      <c r="AR256" s="18"/>
      <c r="AS256" s="18"/>
      <c r="AU256" s="448"/>
      <c r="AV256" s="448"/>
      <c r="AW256" s="8" t="str">
        <f>IF(C256&gt;0,VLOOKUP(C256,Foundation_Calc!$A$2:$C$986,3,1),
IF(J256&gt;0,VLOOKUP(J256,Foundation_Calc!$A$2:$C$986,3,1),""))</f>
        <v/>
      </c>
      <c r="AX256" s="8" t="str">
        <f>IF(C256&gt;0,VLOOKUP(C256,Foundation_Calc!$E$2:$G$986,3,1),
IF(J256&gt;0,VLOOKUP(J256,Foundation_Calc!$E$2:$G$986,3,1),""))</f>
        <v/>
      </c>
      <c r="AY256" s="631" t="str">
        <f>IF(L256="","",
IF(AX256="PT",VLOOKUP(L256,Foundation_Calc!$K$4:$R$37,VLOOKUP(AW256,Foundation_Calc!$I$2:$J$8,2,FALSE),0),
IF(AX256="K",VLOOKUP(L256,Foundation_Calc!$K$41:$R$74,VLOOKUP(AW256,Foundation_Calc!$I$2:$J$8,2,FALSE),0),"")))</f>
        <v/>
      </c>
      <c r="AZ256" s="631" t="str">
        <f>IF(K256="","",
IF(AX256="PT",VLOOKUP(K256,Foundation_Calc!$K$4:$R$37,VLOOKUP(AW256,Foundation_Calc!$I$2:$J$8,2,FALSE),0),
IF(AX256="K",VLOOKUP(K256,Foundation_Calc!$K$41:$R$74,VLOOKUP(AW256,Foundation_Calc!$I$2:$J$8,2,FALSE),0),"")))</f>
        <v/>
      </c>
      <c r="BA256" s="632" t="str">
        <f t="shared" si="83"/>
        <v/>
      </c>
      <c r="BB256" s="632" t="str">
        <f t="shared" si="84"/>
        <v/>
      </c>
      <c r="BC256" s="632" t="str">
        <f t="shared" si="85"/>
        <v/>
      </c>
      <c r="BD256" s="633" t="str">
        <f>IF(AND(L256="",H256=""),"",
IF(H256="",Pole_Calc!A284,
IF(H256="MP",Pole_Calc!A285,
IF(H256="AnMP",Pole_Calc!A286,
IF(H256="A",Pole_Calc!A287,
IF(H256="S/A",Pole_Calc!A288,
IF(H256="A/S",Pole_Calc!A289,"Poner a mano")))))))</f>
        <v/>
      </c>
      <c r="BE256" s="448" t="s">
        <v>1726</v>
      </c>
      <c r="BF256" s="634"/>
      <c r="BG256" s="634"/>
      <c r="BH256" s="634"/>
      <c r="BI256" s="634"/>
    </row>
    <row r="257" spans="1:61" ht="16.2" customHeight="1">
      <c r="A257" s="12"/>
      <c r="B257" s="446"/>
      <c r="C257" s="89"/>
      <c r="D257" s="13"/>
      <c r="E257" s="14"/>
      <c r="F257" s="14"/>
      <c r="G257" s="15"/>
      <c r="H257" s="8"/>
      <c r="I257" s="8"/>
      <c r="J257" s="89"/>
      <c r="K257" s="8"/>
      <c r="L257" s="8"/>
      <c r="M257" s="8" t="str">
        <f>IF(L257="","",
IF(AX257="PT",VLOOKUP(L257,Foundation_Calc!$V$4:$X$37,VLOOKUP(AX257,Foundation_Calc!$I$10:$J$13,2,FALSE),0),
IF(AX257="K",VLOOKUP(L257,Foundation_Calc!$V$41:$X$74,VLOOKUP(AX257,Foundation_Calc!$I$10:$J$13,2,FALSE),0),"")))</f>
        <v/>
      </c>
      <c r="N257" s="8"/>
      <c r="O257" s="8"/>
      <c r="P257" s="8"/>
      <c r="Q257" s="14"/>
      <c r="R257" s="15"/>
      <c r="S257" s="15"/>
      <c r="T257" s="14"/>
      <c r="U257" s="14"/>
      <c r="V257" s="14"/>
      <c r="W257" s="18"/>
      <c r="X257" s="18"/>
      <c r="Y257" s="18"/>
      <c r="Z257" s="18"/>
      <c r="AA257" s="18"/>
      <c r="AB257" s="18"/>
      <c r="AC257" s="8" t="str">
        <f t="shared" si="82"/>
        <v/>
      </c>
      <c r="AD257" s="8"/>
      <c r="AE257" s="8"/>
      <c r="AF257" s="14"/>
      <c r="AG257" s="13"/>
      <c r="AH257" s="14"/>
      <c r="AI257" s="14"/>
      <c r="AJ257" s="8"/>
      <c r="AK257" s="8"/>
      <c r="AL257" s="8"/>
      <c r="AM257" s="8"/>
      <c r="AN257" s="631"/>
      <c r="AO257" s="18"/>
      <c r="AP257" s="18"/>
      <c r="AQ257" s="18"/>
      <c r="AR257" s="18"/>
      <c r="AS257" s="18"/>
      <c r="AU257" s="448"/>
      <c r="AV257" s="448"/>
      <c r="AW257" s="8" t="str">
        <f>IF(C257&gt;0,VLOOKUP(C257,Foundation_Calc!$A$2:$C$986,3,1),
IF(J257&gt;0,VLOOKUP(J257,Foundation_Calc!$A$2:$C$986,3,1),""))</f>
        <v/>
      </c>
      <c r="AX257" s="8" t="str">
        <f>IF(C257&gt;0,VLOOKUP(C257,Foundation_Calc!$E$2:$G$986,3,1),
IF(J257&gt;0,VLOOKUP(J257,Foundation_Calc!$E$2:$G$986,3,1),""))</f>
        <v/>
      </c>
      <c r="AY257" s="631" t="str">
        <f>IF(L257="","",
IF(AX257="PT",VLOOKUP(L257,Foundation_Calc!$K$4:$R$37,VLOOKUP(AW257,Foundation_Calc!$I$2:$J$8,2,FALSE),0),
IF(AX257="K",VLOOKUP(L257,Foundation_Calc!$K$41:$R$74,VLOOKUP(AW257,Foundation_Calc!$I$2:$J$8,2,FALSE),0),"")))</f>
        <v/>
      </c>
      <c r="AZ257" s="631" t="str">
        <f>IF(K257="","",
IF(AX257="PT",VLOOKUP(K257,Foundation_Calc!$K$4:$R$37,VLOOKUP(AW257,Foundation_Calc!$I$2:$J$8,2,FALSE),0),
IF(AX257="K",VLOOKUP(K257,Foundation_Calc!$K$41:$R$74,VLOOKUP(AW257,Foundation_Calc!$I$2:$J$8,2,FALSE),0),"")))</f>
        <v/>
      </c>
      <c r="BA257" s="632" t="str">
        <f t="shared" si="83"/>
        <v/>
      </c>
      <c r="BB257" s="632" t="str">
        <f t="shared" si="84"/>
        <v/>
      </c>
      <c r="BC257" s="632" t="str">
        <f t="shared" si="85"/>
        <v/>
      </c>
      <c r="BD257" s="633" t="str">
        <f>IF(AND(L257="",H257=""),"",
IF(H257="",Pole_Calc!A285,
IF(H257="MP",Pole_Calc!A286,
IF(H257="AnMP",Pole_Calc!A287,
IF(H257="A",Pole_Calc!A288,
IF(H257="S/A",Pole_Calc!A289,
IF(H257="A/S",Pole_Calc!A290,"Poner a mano")))))))</f>
        <v/>
      </c>
      <c r="BE257" s="448" t="s">
        <v>1726</v>
      </c>
      <c r="BF257" s="635"/>
      <c r="BG257" s="635"/>
      <c r="BH257" s="634"/>
      <c r="BI257" s="635"/>
    </row>
    <row r="258" spans="1:61" ht="16.2" customHeight="1">
      <c r="A258" s="12"/>
      <c r="B258" s="446"/>
      <c r="C258" s="89"/>
      <c r="D258" s="13"/>
      <c r="E258" s="14"/>
      <c r="F258" s="14"/>
      <c r="G258" s="15"/>
      <c r="H258" s="8"/>
      <c r="I258" s="8"/>
      <c r="J258" s="89"/>
      <c r="K258" s="8"/>
      <c r="L258" s="8"/>
      <c r="M258" s="8" t="str">
        <f>IF(L258="","",
IF(AX258="PT",VLOOKUP(L258,Foundation_Calc!$V$4:$X$37,VLOOKUP(AX258,Foundation_Calc!$I$10:$J$13,2,FALSE),0),
IF(AX258="K",VLOOKUP(L258,Foundation_Calc!$V$41:$X$74,VLOOKUP(AX258,Foundation_Calc!$I$10:$J$13,2,FALSE),0),"")))</f>
        <v/>
      </c>
      <c r="N258" s="8"/>
      <c r="O258" s="8"/>
      <c r="P258" s="8"/>
      <c r="Q258" s="14"/>
      <c r="R258" s="15"/>
      <c r="S258" s="15"/>
      <c r="T258" s="14"/>
      <c r="U258" s="14"/>
      <c r="V258" s="14"/>
      <c r="W258" s="18"/>
      <c r="X258" s="18"/>
      <c r="Y258" s="18"/>
      <c r="Z258" s="18"/>
      <c r="AA258" s="18"/>
      <c r="AB258" s="18"/>
      <c r="AC258" s="8" t="str">
        <f t="shared" si="82"/>
        <v/>
      </c>
      <c r="AD258" s="8"/>
      <c r="AE258" s="8"/>
      <c r="AF258" s="14"/>
      <c r="AG258" s="13"/>
      <c r="AH258" s="14"/>
      <c r="AI258" s="14"/>
      <c r="AJ258" s="8"/>
      <c r="AK258" s="8"/>
      <c r="AL258" s="8"/>
      <c r="AM258" s="8"/>
      <c r="AN258" s="631"/>
      <c r="AO258" s="18"/>
      <c r="AP258" s="18"/>
      <c r="AQ258" s="18"/>
      <c r="AR258" s="18"/>
      <c r="AS258" s="18"/>
      <c r="AU258" s="448"/>
      <c r="AV258" s="448"/>
      <c r="AW258" s="8" t="str">
        <f>IF(C258&gt;0,VLOOKUP(C258,Foundation_Calc!$A$2:$C$986,3,1),
IF(J258&gt;0,VLOOKUP(J258,Foundation_Calc!$A$2:$C$986,3,1),""))</f>
        <v/>
      </c>
      <c r="AX258" s="8" t="str">
        <f>IF(C258&gt;0,VLOOKUP(C258,Foundation_Calc!$E$2:$G$986,3,1),
IF(J258&gt;0,VLOOKUP(J258,Foundation_Calc!$E$2:$G$986,3,1),""))</f>
        <v/>
      </c>
      <c r="AY258" s="631" t="str">
        <f>IF(L258="","",
IF(AX258="PT",VLOOKUP(L258,Foundation_Calc!$K$4:$R$37,VLOOKUP(AW258,Foundation_Calc!$I$2:$J$8,2,FALSE),0),
IF(AX258="K",VLOOKUP(L258,Foundation_Calc!$K$41:$R$74,VLOOKUP(AW258,Foundation_Calc!$I$2:$J$8,2,FALSE),0),"")))</f>
        <v/>
      </c>
      <c r="AZ258" s="631" t="str">
        <f>IF(K258="","",
IF(AX258="PT",VLOOKUP(K258,Foundation_Calc!$K$4:$R$37,VLOOKUP(AW258,Foundation_Calc!$I$2:$J$8,2,FALSE),0),
IF(AX258="K",VLOOKUP(K258,Foundation_Calc!$K$41:$R$74,VLOOKUP(AW258,Foundation_Calc!$I$2:$J$8,2,FALSE),0),"")))</f>
        <v/>
      </c>
      <c r="BA258" s="632" t="str">
        <f t="shared" si="83"/>
        <v/>
      </c>
      <c r="BB258" s="632" t="str">
        <f t="shared" si="84"/>
        <v/>
      </c>
      <c r="BC258" s="632" t="str">
        <f t="shared" si="85"/>
        <v/>
      </c>
      <c r="BD258" s="633" t="str">
        <f>IF(AND(L258="",H258=""),"",
IF(H258="",Pole_Calc!A286,
IF(H258="MP",Pole_Calc!A287,
IF(H258="AnMP",Pole_Calc!A288,
IF(H258="A",Pole_Calc!A289,
IF(H258="S/A",Pole_Calc!A290,
IF(H258="A/S",Pole_Calc!A291,"Poner a mano")))))))</f>
        <v/>
      </c>
      <c r="BE258" s="448" t="s">
        <v>1726</v>
      </c>
      <c r="BF258" s="634"/>
      <c r="BG258" s="634"/>
      <c r="BH258" s="634"/>
      <c r="BI258" s="634"/>
    </row>
    <row r="259" spans="1:61" ht="16.2" customHeight="1">
      <c r="A259" s="12"/>
      <c r="B259" s="446"/>
      <c r="C259" s="89"/>
      <c r="D259" s="13"/>
      <c r="E259" s="14"/>
      <c r="F259" s="14"/>
      <c r="G259" s="15"/>
      <c r="H259" s="8"/>
      <c r="I259" s="8"/>
      <c r="J259" s="89"/>
      <c r="K259" s="8"/>
      <c r="L259" s="8"/>
      <c r="M259" s="8" t="str">
        <f>IF(L259="","",
IF(AX259="PT",VLOOKUP(L259,Foundation_Calc!$V$4:$X$37,VLOOKUP(AX259,Foundation_Calc!$I$10:$J$13,2,FALSE),0),
IF(AX259="K",VLOOKUP(L259,Foundation_Calc!$V$41:$X$74,VLOOKUP(AX259,Foundation_Calc!$I$10:$J$13,2,FALSE),0),"")))</f>
        <v/>
      </c>
      <c r="N259" s="8"/>
      <c r="O259" s="8"/>
      <c r="P259" s="8"/>
      <c r="Q259" s="14"/>
      <c r="R259" s="15"/>
      <c r="S259" s="15"/>
      <c r="T259" s="14"/>
      <c r="U259" s="14"/>
      <c r="V259" s="14"/>
      <c r="W259" s="18"/>
      <c r="X259" s="18"/>
      <c r="Y259" s="18"/>
      <c r="Z259" s="18"/>
      <c r="AA259" s="18"/>
      <c r="AB259" s="18"/>
      <c r="AC259" s="8" t="str">
        <f t="shared" si="82"/>
        <v/>
      </c>
      <c r="AD259" s="8"/>
      <c r="AE259" s="8"/>
      <c r="AF259" s="14"/>
      <c r="AG259" s="13"/>
      <c r="AH259" s="14"/>
      <c r="AI259" s="14"/>
      <c r="AJ259" s="8"/>
      <c r="AK259" s="8"/>
      <c r="AL259" s="8"/>
      <c r="AM259" s="8"/>
      <c r="AN259" s="631"/>
      <c r="AO259" s="18"/>
      <c r="AP259" s="18"/>
      <c r="AQ259" s="18"/>
      <c r="AR259" s="18"/>
      <c r="AS259" s="18"/>
      <c r="AU259" s="448"/>
      <c r="AV259" s="448"/>
      <c r="AW259" s="8" t="str">
        <f>IF(C259&gt;0,VLOOKUP(C259,Foundation_Calc!$A$2:$C$986,3,1),
IF(J259&gt;0,VLOOKUP(J259,Foundation_Calc!$A$2:$C$986,3,1),""))</f>
        <v/>
      </c>
      <c r="AX259" s="8" t="str">
        <f>IF(C259&gt;0,VLOOKUP(C259,Foundation_Calc!$E$2:$G$986,3,1),
IF(J259&gt;0,VLOOKUP(J259,Foundation_Calc!$E$2:$G$986,3,1),""))</f>
        <v/>
      </c>
      <c r="AY259" s="631" t="str">
        <f>IF(L259="","",
IF(AX259="PT",VLOOKUP(L259,Foundation_Calc!$K$4:$R$37,VLOOKUP(AW259,Foundation_Calc!$I$2:$J$8,2,FALSE),0),
IF(AX259="K",VLOOKUP(L259,Foundation_Calc!$K$41:$R$74,VLOOKUP(AW259,Foundation_Calc!$I$2:$J$8,2,FALSE),0),"")))</f>
        <v/>
      </c>
      <c r="AZ259" s="631" t="str">
        <f>IF(K259="","",
IF(AX259="PT",VLOOKUP(K259,Foundation_Calc!$K$4:$R$37,VLOOKUP(AW259,Foundation_Calc!$I$2:$J$8,2,FALSE),0),
IF(AX259="K",VLOOKUP(K259,Foundation_Calc!$K$41:$R$74,VLOOKUP(AW259,Foundation_Calc!$I$2:$J$8,2,FALSE),0),"")))</f>
        <v/>
      </c>
      <c r="BA259" s="632" t="str">
        <f t="shared" si="83"/>
        <v/>
      </c>
      <c r="BB259" s="632" t="str">
        <f t="shared" si="84"/>
        <v/>
      </c>
      <c r="BC259" s="632" t="str">
        <f t="shared" si="85"/>
        <v/>
      </c>
      <c r="BD259" s="633" t="str">
        <f>IF(AND(L259="",H259=""),"",
IF(H259="",Pole_Calc!A287,
IF(H259="MP",Pole_Calc!A288,
IF(H259="AnMP",Pole_Calc!A289,
IF(H259="A",Pole_Calc!A290,
IF(H259="S/A",Pole_Calc!A291,
IF(H259="A/S",Pole_Calc!A292,"Poner a mano")))))))</f>
        <v/>
      </c>
      <c r="BE259" s="448" t="s">
        <v>1726</v>
      </c>
      <c r="BF259" s="635"/>
      <c r="BG259" s="635"/>
      <c r="BH259" s="634"/>
      <c r="BI259" s="635"/>
    </row>
    <row r="260" spans="1:61" ht="16.2" customHeight="1">
      <c r="A260" s="12"/>
      <c r="B260" s="446"/>
      <c r="C260" s="89"/>
      <c r="D260" s="13"/>
      <c r="E260" s="14"/>
      <c r="F260" s="14"/>
      <c r="G260" s="15"/>
      <c r="H260" s="8"/>
      <c r="I260" s="8"/>
      <c r="J260" s="89"/>
      <c r="K260" s="8"/>
      <c r="L260" s="8"/>
      <c r="M260" s="8" t="str">
        <f>IF(L260="","",
IF(AX260="PT",VLOOKUP(L260,Foundation_Calc!$V$4:$X$37,VLOOKUP(AX260,Foundation_Calc!$I$10:$J$13,2,FALSE),0),
IF(AX260="K",VLOOKUP(L260,Foundation_Calc!$V$41:$X$74,VLOOKUP(AX260,Foundation_Calc!$I$10:$J$13,2,FALSE),0),"")))</f>
        <v/>
      </c>
      <c r="N260" s="8"/>
      <c r="O260" s="8"/>
      <c r="P260" s="8"/>
      <c r="Q260" s="14"/>
      <c r="R260" s="15"/>
      <c r="S260" s="15"/>
      <c r="T260" s="14"/>
      <c r="U260" s="14"/>
      <c r="V260" s="14"/>
      <c r="W260" s="18"/>
      <c r="X260" s="18"/>
      <c r="Y260" s="18"/>
      <c r="Z260" s="18"/>
      <c r="AA260" s="18"/>
      <c r="AB260" s="18"/>
      <c r="AC260" s="8" t="str">
        <f t="shared" si="82"/>
        <v/>
      </c>
      <c r="AD260" s="8"/>
      <c r="AE260" s="8"/>
      <c r="AF260" s="14"/>
      <c r="AG260" s="13"/>
      <c r="AH260" s="14"/>
      <c r="AI260" s="14"/>
      <c r="AJ260" s="8"/>
      <c r="AK260" s="8"/>
      <c r="AL260" s="8"/>
      <c r="AM260" s="8"/>
      <c r="AN260" s="631"/>
      <c r="AO260" s="18"/>
      <c r="AP260" s="18"/>
      <c r="AQ260" s="18"/>
      <c r="AR260" s="18"/>
      <c r="AS260" s="18"/>
      <c r="AU260" s="448"/>
      <c r="AV260" s="448"/>
      <c r="AW260" s="8" t="str">
        <f>IF(C260&gt;0,VLOOKUP(C260,Foundation_Calc!$A$2:$C$986,3,1),
IF(J260&gt;0,VLOOKUP(J260,Foundation_Calc!$A$2:$C$986,3,1),""))</f>
        <v/>
      </c>
      <c r="AX260" s="8" t="str">
        <f>IF(C260&gt;0,VLOOKUP(C260,Foundation_Calc!$E$2:$G$986,3,1),
IF(J260&gt;0,VLOOKUP(J260,Foundation_Calc!$E$2:$G$986,3,1),""))</f>
        <v/>
      </c>
      <c r="AY260" s="631" t="str">
        <f>IF(L260="","",
IF(AX260="PT",VLOOKUP(L260,Foundation_Calc!$K$4:$R$37,VLOOKUP(AW260,Foundation_Calc!$I$2:$J$8,2,FALSE),0),
IF(AX260="K",VLOOKUP(L260,Foundation_Calc!$K$41:$R$74,VLOOKUP(AW260,Foundation_Calc!$I$2:$J$8,2,FALSE),0),"")))</f>
        <v/>
      </c>
      <c r="AZ260" s="631" t="str">
        <f>IF(K260="","",
IF(AX260="PT",VLOOKUP(K260,Foundation_Calc!$K$4:$R$37,VLOOKUP(AW260,Foundation_Calc!$I$2:$J$8,2,FALSE),0),
IF(AX260="K",VLOOKUP(K260,Foundation_Calc!$K$41:$R$74,VLOOKUP(AW260,Foundation_Calc!$I$2:$J$8,2,FALSE),0),"")))</f>
        <v/>
      </c>
      <c r="BA260" s="632" t="str">
        <f t="shared" si="83"/>
        <v/>
      </c>
      <c r="BB260" s="632" t="str">
        <f t="shared" si="84"/>
        <v/>
      </c>
      <c r="BC260" s="632" t="str">
        <f t="shared" si="85"/>
        <v/>
      </c>
      <c r="BD260" s="633" t="str">
        <f>IF(AND(L260="",H260=""),"",
IF(H260="",Pole_Calc!A288,
IF(H260="MP",Pole_Calc!A289,
IF(H260="AnMP",Pole_Calc!A290,
IF(H260="A",Pole_Calc!A291,
IF(H260="S/A",Pole_Calc!A292,
IF(H260="A/S",Pole_Calc!A293,"Poner a mano")))))))</f>
        <v/>
      </c>
      <c r="BE260" s="448" t="s">
        <v>1726</v>
      </c>
      <c r="BF260" s="634"/>
      <c r="BG260" s="634"/>
      <c r="BH260" s="634"/>
      <c r="BI260" s="634"/>
    </row>
    <row r="261" spans="1:61" ht="16.2" customHeight="1">
      <c r="A261" s="12"/>
      <c r="B261" s="446"/>
      <c r="C261" s="89"/>
      <c r="D261" s="13"/>
      <c r="E261" s="14"/>
      <c r="F261" s="14"/>
      <c r="G261" s="15"/>
      <c r="H261" s="8"/>
      <c r="I261" s="8"/>
      <c r="J261" s="89"/>
      <c r="K261" s="8"/>
      <c r="L261" s="8"/>
      <c r="M261" s="8" t="str">
        <f>IF(L261="","",
IF(AX261="PT",VLOOKUP(L261,Foundation_Calc!$V$4:$X$37,VLOOKUP(AX261,Foundation_Calc!$I$10:$J$13,2,FALSE),0),
IF(AX261="K",VLOOKUP(L261,Foundation_Calc!$V$41:$X$74,VLOOKUP(AX261,Foundation_Calc!$I$10:$J$13,2,FALSE),0),"")))</f>
        <v/>
      </c>
      <c r="N261" s="8"/>
      <c r="O261" s="8"/>
      <c r="P261" s="8"/>
      <c r="Q261" s="14"/>
      <c r="R261" s="15"/>
      <c r="S261" s="15"/>
      <c r="T261" s="14"/>
      <c r="U261" s="14"/>
      <c r="V261" s="14"/>
      <c r="W261" s="18"/>
      <c r="X261" s="18"/>
      <c r="Y261" s="18"/>
      <c r="Z261" s="18"/>
      <c r="AA261" s="18"/>
      <c r="AB261" s="18"/>
      <c r="AC261" s="8" t="str">
        <f t="shared" si="82"/>
        <v/>
      </c>
      <c r="AD261" s="8"/>
      <c r="AE261" s="8"/>
      <c r="AF261" s="14"/>
      <c r="AG261" s="13"/>
      <c r="AH261" s="14"/>
      <c r="AI261" s="14"/>
      <c r="AJ261" s="8"/>
      <c r="AK261" s="8"/>
      <c r="AL261" s="8"/>
      <c r="AM261" s="8"/>
      <c r="AN261" s="631"/>
      <c r="AO261" s="18"/>
      <c r="AP261" s="18"/>
      <c r="AQ261" s="18"/>
      <c r="AR261" s="18"/>
      <c r="AS261" s="18"/>
      <c r="AU261" s="448"/>
      <c r="AV261" s="448"/>
      <c r="AW261" s="8" t="str">
        <f>IF(C261&gt;0,VLOOKUP(C261,Foundation_Calc!$A$2:$C$986,3,1),
IF(J261&gt;0,VLOOKUP(J261,Foundation_Calc!$A$2:$C$986,3,1),""))</f>
        <v/>
      </c>
      <c r="AX261" s="8" t="str">
        <f>IF(C261&gt;0,VLOOKUP(C261,Foundation_Calc!$E$2:$G$986,3,1),
IF(J261&gt;0,VLOOKUP(J261,Foundation_Calc!$E$2:$G$986,3,1),""))</f>
        <v/>
      </c>
      <c r="AY261" s="631" t="str">
        <f>IF(L261="","",
IF(AX261="PT",VLOOKUP(L261,Foundation_Calc!$K$4:$R$37,VLOOKUP(AW261,Foundation_Calc!$I$2:$J$8,2,FALSE),0),
IF(AX261="K",VLOOKUP(L261,Foundation_Calc!$K$41:$R$74,VLOOKUP(AW261,Foundation_Calc!$I$2:$J$8,2,FALSE),0),"")))</f>
        <v/>
      </c>
      <c r="AZ261" s="631" t="str">
        <f>IF(K261="","",
IF(AX261="PT",VLOOKUP(K261,Foundation_Calc!$K$4:$R$37,VLOOKUP(AW261,Foundation_Calc!$I$2:$J$8,2,FALSE),0),
IF(AX261="K",VLOOKUP(K261,Foundation_Calc!$K$41:$R$74,VLOOKUP(AW261,Foundation_Calc!$I$2:$J$8,2,FALSE),0),"")))</f>
        <v/>
      </c>
      <c r="BA261" s="632" t="str">
        <f t="shared" si="83"/>
        <v/>
      </c>
      <c r="BB261" s="632" t="str">
        <f t="shared" si="84"/>
        <v/>
      </c>
      <c r="BC261" s="632" t="str">
        <f t="shared" si="85"/>
        <v/>
      </c>
      <c r="BD261" s="633" t="str">
        <f>IF(AND(L261="",H261=""),"",
IF(H261="",Pole_Calc!A289,
IF(H261="MP",Pole_Calc!A290,
IF(H261="AnMP",Pole_Calc!A291,
IF(H261="A",Pole_Calc!A292,
IF(H261="S/A",Pole_Calc!A293,
IF(H261="A/S",Pole_Calc!A294,"Poner a mano")))))))</f>
        <v/>
      </c>
      <c r="BE261" s="448" t="s">
        <v>1726</v>
      </c>
      <c r="BF261" s="635"/>
      <c r="BG261" s="635"/>
      <c r="BH261" s="634"/>
      <c r="BI261" s="635"/>
    </row>
    <row r="262" spans="1:61" ht="16.2" customHeight="1">
      <c r="A262" s="12"/>
      <c r="B262" s="446"/>
      <c r="C262" s="89"/>
      <c r="D262" s="13"/>
      <c r="E262" s="14"/>
      <c r="F262" s="14"/>
      <c r="G262" s="15"/>
      <c r="H262" s="8"/>
      <c r="I262" s="8"/>
      <c r="J262" s="89"/>
      <c r="K262" s="8"/>
      <c r="L262" s="8"/>
      <c r="M262" s="8" t="str">
        <f>IF(L262="","",
IF(AX262="PT",VLOOKUP(L262,Foundation_Calc!$V$4:$X$37,VLOOKUP(AX262,Foundation_Calc!$I$10:$J$13,2,FALSE),0),
IF(AX262="K",VLOOKUP(L262,Foundation_Calc!$V$41:$X$74,VLOOKUP(AX262,Foundation_Calc!$I$10:$J$13,2,FALSE),0),"")))</f>
        <v/>
      </c>
      <c r="N262" s="8"/>
      <c r="O262" s="8"/>
      <c r="P262" s="8"/>
      <c r="Q262" s="14"/>
      <c r="R262" s="15"/>
      <c r="S262" s="15"/>
      <c r="T262" s="14"/>
      <c r="U262" s="14"/>
      <c r="V262" s="14"/>
      <c r="W262" s="18"/>
      <c r="X262" s="18"/>
      <c r="Y262" s="18"/>
      <c r="Z262" s="18"/>
      <c r="AA262" s="18"/>
      <c r="AB262" s="18"/>
      <c r="AC262" s="8" t="str">
        <f t="shared" ref="AC262:AC325" si="86">IF(OR(AT262&gt;8,AT262&lt;-8),"PH",
IF(OR(AT262&gt;5,AT262&lt;-5),"PHQ",
IF(OR(AT262&gt;1,AT262&lt;-1),
"PHC","")))</f>
        <v/>
      </c>
      <c r="AD262" s="8"/>
      <c r="AE262" s="8"/>
      <c r="AF262" s="14"/>
      <c r="AG262" s="13"/>
      <c r="AH262" s="14"/>
      <c r="AI262" s="14"/>
      <c r="AJ262" s="8"/>
      <c r="AK262" s="8"/>
      <c r="AL262" s="8"/>
      <c r="AM262" s="8"/>
      <c r="AN262" s="631"/>
      <c r="AO262" s="18"/>
      <c r="AP262" s="18"/>
      <c r="AQ262" s="18"/>
      <c r="AR262" s="18"/>
      <c r="AS262" s="18"/>
      <c r="AU262" s="448"/>
      <c r="AV262" s="448"/>
      <c r="AW262" s="8" t="str">
        <f>IF(C262&gt;0,VLOOKUP(C262,Foundation_Calc!$A$2:$C$986,3,1),
IF(J262&gt;0,VLOOKUP(J262,Foundation_Calc!$A$2:$C$986,3,1),""))</f>
        <v/>
      </c>
      <c r="AX262" s="8" t="str">
        <f>IF(C262&gt;0,VLOOKUP(C262,Foundation_Calc!$E$2:$G$986,3,1),
IF(J262&gt;0,VLOOKUP(J262,Foundation_Calc!$E$2:$G$986,3,1),""))</f>
        <v/>
      </c>
      <c r="AY262" s="631" t="str">
        <f>IF(L262="","",
IF(AX262="PT",VLOOKUP(L262,Foundation_Calc!$K$4:$R$37,VLOOKUP(AW262,Foundation_Calc!$I$2:$J$8,2,FALSE),0),
IF(AX262="K",VLOOKUP(L262,Foundation_Calc!$K$41:$R$74,VLOOKUP(AW262,Foundation_Calc!$I$2:$J$8,2,FALSE),0),"")))</f>
        <v/>
      </c>
      <c r="AZ262" s="631" t="str">
        <f>IF(K262="","",
IF(AX262="PT",VLOOKUP(K262,Foundation_Calc!$K$4:$R$37,VLOOKUP(AW262,Foundation_Calc!$I$2:$J$8,2,FALSE),0),
IF(AX262="K",VLOOKUP(K262,Foundation_Calc!$K$41:$R$74,VLOOKUP(AW262,Foundation_Calc!$I$2:$J$8,2,FALSE),0),"")))</f>
        <v/>
      </c>
      <c r="BA262" s="632" t="str">
        <f t="shared" ref="BA262:BA325" si="87">IF(AY262="","",IF(AY262&gt;0,"ü",""))</f>
        <v/>
      </c>
      <c r="BB262" s="632" t="str">
        <f t="shared" ref="BB262:BB325" si="88">IF(AZ262="","",IF(AZ262&gt;0,"ü",""))</f>
        <v/>
      </c>
      <c r="BC262" s="632" t="str">
        <f t="shared" ref="BC262:BC325" si="89">IF(M262="","",IF(M262="Unique Solution","ü",""))</f>
        <v/>
      </c>
      <c r="BD262" s="633" t="str">
        <f>IF(AND(L262="",H262=""),"",
IF(H262="",Pole_Calc!A290,
IF(H262="MP",Pole_Calc!A291,
IF(H262="AnMP",Pole_Calc!A292,
IF(H262="A",Pole_Calc!A293,
IF(H262="S/A",Pole_Calc!A294,
IF(H262="A/S",Pole_Calc!A295,"Poner a mano")))))))</f>
        <v/>
      </c>
      <c r="BE262" s="448" t="s">
        <v>1726</v>
      </c>
      <c r="BF262" s="634"/>
      <c r="BG262" s="634"/>
      <c r="BH262" s="634"/>
      <c r="BI262" s="634"/>
    </row>
    <row r="263" spans="1:61" ht="16.2" customHeight="1">
      <c r="A263" s="12"/>
      <c r="B263" s="446"/>
      <c r="C263" s="89"/>
      <c r="D263" s="13"/>
      <c r="E263" s="14"/>
      <c r="F263" s="14"/>
      <c r="G263" s="15"/>
      <c r="H263" s="8"/>
      <c r="I263" s="8"/>
      <c r="J263" s="89"/>
      <c r="K263" s="8"/>
      <c r="L263" s="8"/>
      <c r="M263" s="8" t="str">
        <f>IF(L263="","",
IF(AX263="PT",VLOOKUP(L263,Foundation_Calc!$V$4:$X$37,VLOOKUP(AX263,Foundation_Calc!$I$10:$J$13,2,FALSE),0),
IF(AX263="K",VLOOKUP(L263,Foundation_Calc!$V$41:$X$74,VLOOKUP(AX263,Foundation_Calc!$I$10:$J$13,2,FALSE),0),"")))</f>
        <v/>
      </c>
      <c r="N263" s="8"/>
      <c r="O263" s="8"/>
      <c r="P263" s="8"/>
      <c r="Q263" s="14"/>
      <c r="R263" s="15"/>
      <c r="S263" s="15"/>
      <c r="T263" s="14"/>
      <c r="U263" s="14"/>
      <c r="V263" s="14"/>
      <c r="W263" s="18"/>
      <c r="X263" s="18"/>
      <c r="Y263" s="18"/>
      <c r="Z263" s="18"/>
      <c r="AA263" s="18"/>
      <c r="AB263" s="18"/>
      <c r="AC263" s="8" t="str">
        <f t="shared" si="86"/>
        <v/>
      </c>
      <c r="AD263" s="8"/>
      <c r="AE263" s="8"/>
      <c r="AF263" s="14"/>
      <c r="AG263" s="13"/>
      <c r="AH263" s="14"/>
      <c r="AI263" s="14"/>
      <c r="AJ263" s="8"/>
      <c r="AK263" s="8"/>
      <c r="AL263" s="8"/>
      <c r="AM263" s="8"/>
      <c r="AN263" s="631"/>
      <c r="AO263" s="18"/>
      <c r="AP263" s="18"/>
      <c r="AQ263" s="18"/>
      <c r="AR263" s="18"/>
      <c r="AS263" s="18"/>
      <c r="AU263" s="448"/>
      <c r="AV263" s="448"/>
      <c r="AW263" s="8" t="str">
        <f>IF(C263&gt;0,VLOOKUP(C263,Foundation_Calc!$A$2:$C$986,3,1),
IF(J263&gt;0,VLOOKUP(J263,Foundation_Calc!$A$2:$C$986,3,1),""))</f>
        <v/>
      </c>
      <c r="AX263" s="8" t="str">
        <f>IF(C263&gt;0,VLOOKUP(C263,Foundation_Calc!$E$2:$G$986,3,1),
IF(J263&gt;0,VLOOKUP(J263,Foundation_Calc!$E$2:$G$986,3,1),""))</f>
        <v/>
      </c>
      <c r="AY263" s="631" t="str">
        <f>IF(L263="","",
IF(AX263="PT",VLOOKUP(L263,Foundation_Calc!$K$4:$R$37,VLOOKUP(AW263,Foundation_Calc!$I$2:$J$8,2,FALSE),0),
IF(AX263="K",VLOOKUP(L263,Foundation_Calc!$K$41:$R$74,VLOOKUP(AW263,Foundation_Calc!$I$2:$J$8,2,FALSE),0),"")))</f>
        <v/>
      </c>
      <c r="AZ263" s="631" t="str">
        <f>IF(K263="","",
IF(AX263="PT",VLOOKUP(K263,Foundation_Calc!$K$4:$R$37,VLOOKUP(AW263,Foundation_Calc!$I$2:$J$8,2,FALSE),0),
IF(AX263="K",VLOOKUP(K263,Foundation_Calc!$K$41:$R$74,VLOOKUP(AW263,Foundation_Calc!$I$2:$J$8,2,FALSE),0),"")))</f>
        <v/>
      </c>
      <c r="BA263" s="632" t="str">
        <f t="shared" si="87"/>
        <v/>
      </c>
      <c r="BB263" s="632" t="str">
        <f t="shared" si="88"/>
        <v/>
      </c>
      <c r="BC263" s="632" t="str">
        <f t="shared" si="89"/>
        <v/>
      </c>
      <c r="BD263" s="633" t="str">
        <f>IF(AND(L263="",H263=""),"",
IF(H263="",Pole_Calc!A291,
IF(H263="MP",Pole_Calc!A292,
IF(H263="AnMP",Pole_Calc!A293,
IF(H263="A",Pole_Calc!A294,
IF(H263="S/A",Pole_Calc!A295,
IF(H263="A/S",Pole_Calc!A296,"Poner a mano")))))))</f>
        <v/>
      </c>
      <c r="BE263" s="448" t="s">
        <v>1726</v>
      </c>
      <c r="BF263" s="635"/>
      <c r="BG263" s="635"/>
      <c r="BH263" s="634"/>
      <c r="BI263" s="635"/>
    </row>
    <row r="264" spans="1:61" ht="16.2" customHeight="1">
      <c r="A264" s="12"/>
      <c r="B264" s="446"/>
      <c r="C264" s="89"/>
      <c r="D264" s="13"/>
      <c r="E264" s="14"/>
      <c r="F264" s="14"/>
      <c r="G264" s="15"/>
      <c r="H264" s="8"/>
      <c r="I264" s="8"/>
      <c r="J264" s="89"/>
      <c r="K264" s="8"/>
      <c r="L264" s="8"/>
      <c r="M264" s="8" t="str">
        <f>IF(L264="","",
IF(AX264="PT",VLOOKUP(L264,Foundation_Calc!$V$4:$X$37,VLOOKUP(AX264,Foundation_Calc!$I$10:$J$13,2,FALSE),0),
IF(AX264="K",VLOOKUP(L264,Foundation_Calc!$V$41:$X$74,VLOOKUP(AX264,Foundation_Calc!$I$10:$J$13,2,FALSE),0),"")))</f>
        <v/>
      </c>
      <c r="N264" s="8"/>
      <c r="O264" s="8"/>
      <c r="P264" s="8"/>
      <c r="Q264" s="14"/>
      <c r="R264" s="15"/>
      <c r="S264" s="15"/>
      <c r="T264" s="14"/>
      <c r="U264" s="14"/>
      <c r="V264" s="14"/>
      <c r="W264" s="18"/>
      <c r="X264" s="18"/>
      <c r="Y264" s="18"/>
      <c r="Z264" s="18"/>
      <c r="AA264" s="18"/>
      <c r="AB264" s="18"/>
      <c r="AC264" s="8" t="str">
        <f t="shared" si="86"/>
        <v/>
      </c>
      <c r="AD264" s="8"/>
      <c r="AE264" s="8"/>
      <c r="AF264" s="14"/>
      <c r="AG264" s="13"/>
      <c r="AH264" s="14"/>
      <c r="AI264" s="14"/>
      <c r="AJ264" s="8"/>
      <c r="AK264" s="8"/>
      <c r="AL264" s="8"/>
      <c r="AM264" s="8"/>
      <c r="AN264" s="631"/>
      <c r="AO264" s="18"/>
      <c r="AP264" s="18"/>
      <c r="AQ264" s="18"/>
      <c r="AR264" s="18"/>
      <c r="AS264" s="18"/>
      <c r="AU264" s="448"/>
      <c r="AV264" s="448"/>
      <c r="AW264" s="8" t="str">
        <f>IF(C264&gt;0,VLOOKUP(C264,Foundation_Calc!$A$2:$C$986,3,1),
IF(J264&gt;0,VLOOKUP(J264,Foundation_Calc!$A$2:$C$986,3,1),""))</f>
        <v/>
      </c>
      <c r="AX264" s="8" t="str">
        <f>IF(C264&gt;0,VLOOKUP(C264,Foundation_Calc!$E$2:$G$986,3,1),
IF(J264&gt;0,VLOOKUP(J264,Foundation_Calc!$E$2:$G$986,3,1),""))</f>
        <v/>
      </c>
      <c r="AY264" s="631" t="str">
        <f>IF(L264="","",
IF(AX264="PT",VLOOKUP(L264,Foundation_Calc!$K$4:$R$37,VLOOKUP(AW264,Foundation_Calc!$I$2:$J$8,2,FALSE),0),
IF(AX264="K",VLOOKUP(L264,Foundation_Calc!$K$41:$R$74,VLOOKUP(AW264,Foundation_Calc!$I$2:$J$8,2,FALSE),0),"")))</f>
        <v/>
      </c>
      <c r="AZ264" s="631" t="str">
        <f>IF(K264="","",
IF(AX264="PT",VLOOKUP(K264,Foundation_Calc!$K$4:$R$37,VLOOKUP(AW264,Foundation_Calc!$I$2:$J$8,2,FALSE),0),
IF(AX264="K",VLOOKUP(K264,Foundation_Calc!$K$41:$R$74,VLOOKUP(AW264,Foundation_Calc!$I$2:$J$8,2,FALSE),0),"")))</f>
        <v/>
      </c>
      <c r="BA264" s="632" t="str">
        <f t="shared" si="87"/>
        <v/>
      </c>
      <c r="BB264" s="632" t="str">
        <f t="shared" si="88"/>
        <v/>
      </c>
      <c r="BC264" s="632" t="str">
        <f t="shared" si="89"/>
        <v/>
      </c>
      <c r="BD264" s="633" t="str">
        <f>IF(AND(L264="",H264=""),"",
IF(H264="",Pole_Calc!A292,
IF(H264="MP",Pole_Calc!A293,
IF(H264="AnMP",Pole_Calc!A294,
IF(H264="A",Pole_Calc!A295,
IF(H264="S/A",Pole_Calc!A296,
IF(H264="A/S",Pole_Calc!A297,"Poner a mano")))))))</f>
        <v/>
      </c>
      <c r="BE264" s="448" t="s">
        <v>1726</v>
      </c>
      <c r="BF264" s="634"/>
      <c r="BG264" s="634"/>
      <c r="BH264" s="634"/>
      <c r="BI264" s="634"/>
    </row>
    <row r="265" spans="1:61" ht="16.2" customHeight="1">
      <c r="A265" s="12"/>
      <c r="B265" s="446"/>
      <c r="C265" s="89"/>
      <c r="D265" s="13"/>
      <c r="E265" s="14"/>
      <c r="F265" s="14"/>
      <c r="G265" s="15"/>
      <c r="H265" s="8"/>
      <c r="I265" s="8"/>
      <c r="J265" s="89"/>
      <c r="K265" s="8"/>
      <c r="L265" s="8"/>
      <c r="M265" s="8" t="str">
        <f>IF(L265="","",
IF(AX265="PT",VLOOKUP(L265,Foundation_Calc!$V$4:$X$37,VLOOKUP(AX265,Foundation_Calc!$I$10:$J$13,2,FALSE),0),
IF(AX265="K",VLOOKUP(L265,Foundation_Calc!$V$41:$X$74,VLOOKUP(AX265,Foundation_Calc!$I$10:$J$13,2,FALSE),0),"")))</f>
        <v/>
      </c>
      <c r="N265" s="8"/>
      <c r="O265" s="8"/>
      <c r="P265" s="8"/>
      <c r="Q265" s="14"/>
      <c r="R265" s="15"/>
      <c r="S265" s="15"/>
      <c r="T265" s="14"/>
      <c r="U265" s="14"/>
      <c r="V265" s="14"/>
      <c r="W265" s="18"/>
      <c r="X265" s="18"/>
      <c r="Y265" s="18"/>
      <c r="Z265" s="18"/>
      <c r="AA265" s="18"/>
      <c r="AB265" s="18"/>
      <c r="AC265" s="8" t="str">
        <f t="shared" si="86"/>
        <v/>
      </c>
      <c r="AD265" s="8"/>
      <c r="AE265" s="8"/>
      <c r="AF265" s="14"/>
      <c r="AG265" s="13"/>
      <c r="AH265" s="14"/>
      <c r="AI265" s="14"/>
      <c r="AJ265" s="8"/>
      <c r="AK265" s="8"/>
      <c r="AL265" s="8"/>
      <c r="AM265" s="8"/>
      <c r="AN265" s="631"/>
      <c r="AO265" s="18"/>
      <c r="AP265" s="18"/>
      <c r="AQ265" s="18"/>
      <c r="AR265" s="18"/>
      <c r="AS265" s="18"/>
      <c r="AU265" s="448"/>
      <c r="AV265" s="448"/>
      <c r="AW265" s="8" t="str">
        <f>IF(C265&gt;0,VLOOKUP(C265,Foundation_Calc!$A$2:$C$986,3,1),
IF(J265&gt;0,VLOOKUP(J265,Foundation_Calc!$A$2:$C$986,3,1),""))</f>
        <v/>
      </c>
      <c r="AX265" s="8" t="str">
        <f>IF(C265&gt;0,VLOOKUP(C265,Foundation_Calc!$E$2:$G$986,3,1),
IF(J265&gt;0,VLOOKUP(J265,Foundation_Calc!$E$2:$G$986,3,1),""))</f>
        <v/>
      </c>
      <c r="AY265" s="631" t="str">
        <f>IF(L265="","",
IF(AX265="PT",VLOOKUP(L265,Foundation_Calc!$K$4:$R$37,VLOOKUP(AW265,Foundation_Calc!$I$2:$J$8,2,FALSE),0),
IF(AX265="K",VLOOKUP(L265,Foundation_Calc!$K$41:$R$74,VLOOKUP(AW265,Foundation_Calc!$I$2:$J$8,2,FALSE),0),"")))</f>
        <v/>
      </c>
      <c r="AZ265" s="631" t="str">
        <f>IF(K265="","",
IF(AX265="PT",VLOOKUP(K265,Foundation_Calc!$K$4:$R$37,VLOOKUP(AW265,Foundation_Calc!$I$2:$J$8,2,FALSE),0),
IF(AX265="K",VLOOKUP(K265,Foundation_Calc!$K$41:$R$74,VLOOKUP(AW265,Foundation_Calc!$I$2:$J$8,2,FALSE),0),"")))</f>
        <v/>
      </c>
      <c r="BA265" s="632" t="str">
        <f t="shared" si="87"/>
        <v/>
      </c>
      <c r="BB265" s="632" t="str">
        <f t="shared" si="88"/>
        <v/>
      </c>
      <c r="BC265" s="632" t="str">
        <f t="shared" si="89"/>
        <v/>
      </c>
      <c r="BD265" s="633" t="str">
        <f>IF(AND(L265="",H265=""),"",
IF(H265="",Pole_Calc!A293,
IF(H265="MP",Pole_Calc!A294,
IF(H265="AnMP",Pole_Calc!A295,
IF(H265="A",Pole_Calc!A296,
IF(H265="S/A",Pole_Calc!A297,
IF(H265="A/S",Pole_Calc!A298,"Poner a mano")))))))</f>
        <v/>
      </c>
      <c r="BE265" s="448" t="s">
        <v>1726</v>
      </c>
      <c r="BF265" s="635"/>
      <c r="BG265" s="635"/>
      <c r="BH265" s="634"/>
      <c r="BI265" s="635"/>
    </row>
    <row r="266" spans="1:61" ht="16.2" customHeight="1">
      <c r="A266" s="12"/>
      <c r="B266" s="446"/>
      <c r="C266" s="89"/>
      <c r="D266" s="13"/>
      <c r="E266" s="14"/>
      <c r="F266" s="14"/>
      <c r="G266" s="15"/>
      <c r="H266" s="8"/>
      <c r="I266" s="8"/>
      <c r="J266" s="89"/>
      <c r="K266" s="8"/>
      <c r="L266" s="8"/>
      <c r="M266" s="8" t="str">
        <f>IF(L266="","",
IF(AX266="PT",VLOOKUP(L266,Foundation_Calc!$V$4:$X$37,VLOOKUP(AX266,Foundation_Calc!$I$10:$J$13,2,FALSE),0),
IF(AX266="K",VLOOKUP(L266,Foundation_Calc!$V$41:$X$74,VLOOKUP(AX266,Foundation_Calc!$I$10:$J$13,2,FALSE),0),"")))</f>
        <v/>
      </c>
      <c r="N266" s="8"/>
      <c r="O266" s="8"/>
      <c r="P266" s="8"/>
      <c r="Q266" s="14"/>
      <c r="R266" s="15"/>
      <c r="S266" s="15"/>
      <c r="T266" s="14"/>
      <c r="U266" s="14"/>
      <c r="V266" s="14"/>
      <c r="W266" s="18"/>
      <c r="X266" s="18"/>
      <c r="Y266" s="18"/>
      <c r="Z266" s="18"/>
      <c r="AA266" s="18"/>
      <c r="AB266" s="18"/>
      <c r="AC266" s="8" t="str">
        <f t="shared" si="86"/>
        <v/>
      </c>
      <c r="AD266" s="8"/>
      <c r="AE266" s="8"/>
      <c r="AF266" s="14"/>
      <c r="AG266" s="13"/>
      <c r="AH266" s="14"/>
      <c r="AI266" s="14"/>
      <c r="AJ266" s="8"/>
      <c r="AK266" s="8"/>
      <c r="AL266" s="8"/>
      <c r="AM266" s="8"/>
      <c r="AN266" s="631"/>
      <c r="AO266" s="18"/>
      <c r="AP266" s="18"/>
      <c r="AQ266" s="18"/>
      <c r="AR266" s="18"/>
      <c r="AS266" s="18"/>
      <c r="AU266" s="448"/>
      <c r="AV266" s="448"/>
      <c r="AW266" s="8" t="str">
        <f>IF(C266&gt;0,VLOOKUP(C266,Foundation_Calc!$A$2:$C$986,3,1),
IF(J266&gt;0,VLOOKUP(J266,Foundation_Calc!$A$2:$C$986,3,1),""))</f>
        <v/>
      </c>
      <c r="AX266" s="8" t="str">
        <f>IF(C266&gt;0,VLOOKUP(C266,Foundation_Calc!$E$2:$G$986,3,1),
IF(J266&gt;0,VLOOKUP(J266,Foundation_Calc!$E$2:$G$986,3,1),""))</f>
        <v/>
      </c>
      <c r="AY266" s="631" t="str">
        <f>IF(L266="","",
IF(AX266="PT",VLOOKUP(L266,Foundation_Calc!$K$4:$R$37,VLOOKUP(AW266,Foundation_Calc!$I$2:$J$8,2,FALSE),0),
IF(AX266="K",VLOOKUP(L266,Foundation_Calc!$K$41:$R$74,VLOOKUP(AW266,Foundation_Calc!$I$2:$J$8,2,FALSE),0),"")))</f>
        <v/>
      </c>
      <c r="AZ266" s="631" t="str">
        <f>IF(K266="","",
IF(AX266="PT",VLOOKUP(K266,Foundation_Calc!$K$4:$R$37,VLOOKUP(AW266,Foundation_Calc!$I$2:$J$8,2,FALSE),0),
IF(AX266="K",VLOOKUP(K266,Foundation_Calc!$K$41:$R$74,VLOOKUP(AW266,Foundation_Calc!$I$2:$J$8,2,FALSE),0),"")))</f>
        <v/>
      </c>
      <c r="BA266" s="632" t="str">
        <f t="shared" si="87"/>
        <v/>
      </c>
      <c r="BB266" s="632" t="str">
        <f t="shared" si="88"/>
        <v/>
      </c>
      <c r="BC266" s="632" t="str">
        <f t="shared" si="89"/>
        <v/>
      </c>
      <c r="BD266" s="633" t="str">
        <f>IF(AND(L266="",H266=""),"",
IF(H266="",Pole_Calc!A294,
IF(H266="MP",Pole_Calc!A295,
IF(H266="AnMP",Pole_Calc!A296,
IF(H266="A",Pole_Calc!A297,
IF(H266="S/A",Pole_Calc!A298,
IF(H266="A/S",Pole_Calc!A299,"Poner a mano")))))))</f>
        <v/>
      </c>
      <c r="BE266" s="448" t="s">
        <v>1726</v>
      </c>
      <c r="BF266" s="634"/>
      <c r="BG266" s="634"/>
      <c r="BH266" s="634"/>
      <c r="BI266" s="634"/>
    </row>
    <row r="267" spans="1:61" ht="16.2" customHeight="1">
      <c r="A267" s="12"/>
      <c r="B267" s="446"/>
      <c r="C267" s="89"/>
      <c r="D267" s="13"/>
      <c r="E267" s="14"/>
      <c r="F267" s="14"/>
      <c r="G267" s="15"/>
      <c r="H267" s="8"/>
      <c r="I267" s="8"/>
      <c r="J267" s="89"/>
      <c r="K267" s="8"/>
      <c r="L267" s="8"/>
      <c r="M267" s="8" t="str">
        <f>IF(L267="","",
IF(AX267="PT",VLOOKUP(L267,Foundation_Calc!$V$4:$X$37,VLOOKUP(AX267,Foundation_Calc!$I$10:$J$13,2,FALSE),0),
IF(AX267="K",VLOOKUP(L267,Foundation_Calc!$V$41:$X$74,VLOOKUP(AX267,Foundation_Calc!$I$10:$J$13,2,FALSE),0),"")))</f>
        <v/>
      </c>
      <c r="N267" s="8"/>
      <c r="O267" s="8"/>
      <c r="P267" s="8"/>
      <c r="Q267" s="14"/>
      <c r="R267" s="15"/>
      <c r="S267" s="15"/>
      <c r="T267" s="14"/>
      <c r="U267" s="14"/>
      <c r="V267" s="14"/>
      <c r="W267" s="18"/>
      <c r="X267" s="18"/>
      <c r="Y267" s="18"/>
      <c r="Z267" s="18"/>
      <c r="AA267" s="18"/>
      <c r="AB267" s="18"/>
      <c r="AC267" s="8" t="str">
        <f t="shared" si="86"/>
        <v/>
      </c>
      <c r="AD267" s="8"/>
      <c r="AE267" s="8"/>
      <c r="AF267" s="14"/>
      <c r="AG267" s="13"/>
      <c r="AH267" s="14"/>
      <c r="AI267" s="14"/>
      <c r="AJ267" s="8"/>
      <c r="AK267" s="8"/>
      <c r="AL267" s="8"/>
      <c r="AM267" s="8"/>
      <c r="AN267" s="631"/>
      <c r="AO267" s="18"/>
      <c r="AP267" s="18"/>
      <c r="AQ267" s="18"/>
      <c r="AR267" s="18"/>
      <c r="AS267" s="18"/>
      <c r="AU267" s="448"/>
      <c r="AV267" s="448"/>
      <c r="AW267" s="8" t="str">
        <f>IF(C267&gt;0,VLOOKUP(C267,Foundation_Calc!$A$2:$C$986,3,1),
IF(J267&gt;0,VLOOKUP(J267,Foundation_Calc!$A$2:$C$986,3,1),""))</f>
        <v/>
      </c>
      <c r="AX267" s="8" t="str">
        <f>IF(C267&gt;0,VLOOKUP(C267,Foundation_Calc!$E$2:$G$986,3,1),
IF(J267&gt;0,VLOOKUP(J267,Foundation_Calc!$E$2:$G$986,3,1),""))</f>
        <v/>
      </c>
      <c r="AY267" s="631" t="str">
        <f>IF(L267="","",
IF(AX267="PT",VLOOKUP(L267,Foundation_Calc!$K$4:$R$37,VLOOKUP(AW267,Foundation_Calc!$I$2:$J$8,2,FALSE),0),
IF(AX267="K",VLOOKUP(L267,Foundation_Calc!$K$41:$R$74,VLOOKUP(AW267,Foundation_Calc!$I$2:$J$8,2,FALSE),0),"")))</f>
        <v/>
      </c>
      <c r="AZ267" s="631" t="str">
        <f>IF(K267="","",
IF(AX267="PT",VLOOKUP(K267,Foundation_Calc!$K$4:$R$37,VLOOKUP(AW267,Foundation_Calc!$I$2:$J$8,2,FALSE),0),
IF(AX267="K",VLOOKUP(K267,Foundation_Calc!$K$41:$R$74,VLOOKUP(AW267,Foundation_Calc!$I$2:$J$8,2,FALSE),0),"")))</f>
        <v/>
      </c>
      <c r="BA267" s="632" t="str">
        <f t="shared" si="87"/>
        <v/>
      </c>
      <c r="BB267" s="632" t="str">
        <f t="shared" si="88"/>
        <v/>
      </c>
      <c r="BC267" s="632" t="str">
        <f t="shared" si="89"/>
        <v/>
      </c>
      <c r="BD267" s="633" t="str">
        <f>IF(AND(L267="",H267=""),"",
IF(H267="",Pole_Calc!A295,
IF(H267="MP",Pole_Calc!A296,
IF(H267="AnMP",Pole_Calc!A297,
IF(H267="A",Pole_Calc!A298,
IF(H267="S/A",Pole_Calc!A299,
IF(H267="A/S",Pole_Calc!A300,"Poner a mano")))))))</f>
        <v/>
      </c>
      <c r="BE267" s="448" t="s">
        <v>1726</v>
      </c>
      <c r="BF267" s="635"/>
      <c r="BG267" s="635"/>
      <c r="BH267" s="634"/>
      <c r="BI267" s="635"/>
    </row>
    <row r="268" spans="1:61" ht="16.2" customHeight="1">
      <c r="A268" s="12"/>
      <c r="B268" s="446"/>
      <c r="C268" s="89"/>
      <c r="D268" s="13"/>
      <c r="E268" s="14"/>
      <c r="F268" s="14"/>
      <c r="G268" s="15"/>
      <c r="H268" s="8"/>
      <c r="I268" s="8"/>
      <c r="J268" s="89"/>
      <c r="K268" s="8"/>
      <c r="L268" s="8"/>
      <c r="M268" s="8" t="str">
        <f>IF(L268="","",
IF(AX268="PT",VLOOKUP(L268,Foundation_Calc!$V$4:$X$37,VLOOKUP(AX268,Foundation_Calc!$I$10:$J$13,2,FALSE),0),
IF(AX268="K",VLOOKUP(L268,Foundation_Calc!$V$41:$X$74,VLOOKUP(AX268,Foundation_Calc!$I$10:$J$13,2,FALSE),0),"")))</f>
        <v/>
      </c>
      <c r="N268" s="8"/>
      <c r="O268" s="8"/>
      <c r="P268" s="8"/>
      <c r="Q268" s="14"/>
      <c r="R268" s="15"/>
      <c r="S268" s="15"/>
      <c r="T268" s="14"/>
      <c r="U268" s="14"/>
      <c r="V268" s="14"/>
      <c r="W268" s="18"/>
      <c r="X268" s="18"/>
      <c r="Y268" s="18"/>
      <c r="Z268" s="18"/>
      <c r="AA268" s="18"/>
      <c r="AB268" s="18"/>
      <c r="AC268" s="8" t="str">
        <f t="shared" si="86"/>
        <v/>
      </c>
      <c r="AD268" s="8"/>
      <c r="AE268" s="8"/>
      <c r="AF268" s="14"/>
      <c r="AG268" s="13"/>
      <c r="AH268" s="14"/>
      <c r="AI268" s="14"/>
      <c r="AJ268" s="8"/>
      <c r="AK268" s="8"/>
      <c r="AL268" s="8"/>
      <c r="AM268" s="8"/>
      <c r="AN268" s="631"/>
      <c r="AO268" s="18"/>
      <c r="AP268" s="18"/>
      <c r="AQ268" s="18"/>
      <c r="AR268" s="18"/>
      <c r="AS268" s="18"/>
      <c r="AU268" s="448"/>
      <c r="AV268" s="448"/>
      <c r="AW268" s="8" t="str">
        <f>IF(C268&gt;0,VLOOKUP(C268,Foundation_Calc!$A$2:$C$986,3,1),
IF(J268&gt;0,VLOOKUP(J268,Foundation_Calc!$A$2:$C$986,3,1),""))</f>
        <v/>
      </c>
      <c r="AX268" s="8" t="str">
        <f>IF(C268&gt;0,VLOOKUP(C268,Foundation_Calc!$E$2:$G$986,3,1),
IF(J268&gt;0,VLOOKUP(J268,Foundation_Calc!$E$2:$G$986,3,1),""))</f>
        <v/>
      </c>
      <c r="AY268" s="631" t="str">
        <f>IF(L268="","",
IF(AX268="PT",VLOOKUP(L268,Foundation_Calc!$K$4:$R$37,VLOOKUP(AW268,Foundation_Calc!$I$2:$J$8,2,FALSE),0),
IF(AX268="K",VLOOKUP(L268,Foundation_Calc!$K$41:$R$74,VLOOKUP(AW268,Foundation_Calc!$I$2:$J$8,2,FALSE),0),"")))</f>
        <v/>
      </c>
      <c r="AZ268" s="631" t="str">
        <f>IF(K268="","",
IF(AX268="PT",VLOOKUP(K268,Foundation_Calc!$K$4:$R$37,VLOOKUP(AW268,Foundation_Calc!$I$2:$J$8,2,FALSE),0),
IF(AX268="K",VLOOKUP(K268,Foundation_Calc!$K$41:$R$74,VLOOKUP(AW268,Foundation_Calc!$I$2:$J$8,2,FALSE),0),"")))</f>
        <v/>
      </c>
      <c r="BA268" s="632" t="str">
        <f t="shared" si="87"/>
        <v/>
      </c>
      <c r="BB268" s="632" t="str">
        <f t="shared" si="88"/>
        <v/>
      </c>
      <c r="BC268" s="632" t="str">
        <f t="shared" si="89"/>
        <v/>
      </c>
      <c r="BD268" s="633" t="str">
        <f>IF(AND(L268="",H268=""),"",
IF(H268="",Pole_Calc!A296,
IF(H268="MP",Pole_Calc!A297,
IF(H268="AnMP",Pole_Calc!A298,
IF(H268="A",Pole_Calc!A299,
IF(H268="S/A",Pole_Calc!A300,
IF(H268="A/S",Pole_Calc!A301,"Poner a mano")))))))</f>
        <v/>
      </c>
      <c r="BE268" s="448" t="s">
        <v>1726</v>
      </c>
      <c r="BF268" s="634"/>
      <c r="BG268" s="634"/>
      <c r="BH268" s="634"/>
      <c r="BI268" s="634"/>
    </row>
    <row r="269" spans="1:61" ht="16.2" customHeight="1">
      <c r="A269" s="12"/>
      <c r="B269" s="446"/>
      <c r="C269" s="89"/>
      <c r="D269" s="13"/>
      <c r="E269" s="14"/>
      <c r="F269" s="14"/>
      <c r="G269" s="15"/>
      <c r="H269" s="8"/>
      <c r="I269" s="8"/>
      <c r="J269" s="89"/>
      <c r="K269" s="8"/>
      <c r="L269" s="8"/>
      <c r="M269" s="8" t="str">
        <f>IF(L269="","",
IF(AX269="PT",VLOOKUP(L269,Foundation_Calc!$V$4:$X$37,VLOOKUP(AX269,Foundation_Calc!$I$10:$J$13,2,FALSE),0),
IF(AX269="K",VLOOKUP(L269,Foundation_Calc!$V$41:$X$74,VLOOKUP(AX269,Foundation_Calc!$I$10:$J$13,2,FALSE),0),"")))</f>
        <v/>
      </c>
      <c r="N269" s="8"/>
      <c r="O269" s="8"/>
      <c r="P269" s="8"/>
      <c r="Q269" s="14"/>
      <c r="R269" s="15"/>
      <c r="S269" s="15"/>
      <c r="T269" s="14"/>
      <c r="U269" s="14"/>
      <c r="V269" s="14"/>
      <c r="W269" s="18"/>
      <c r="X269" s="18"/>
      <c r="Y269" s="18"/>
      <c r="Z269" s="18"/>
      <c r="AA269" s="18"/>
      <c r="AB269" s="18"/>
      <c r="AC269" s="8" t="str">
        <f t="shared" si="86"/>
        <v/>
      </c>
      <c r="AD269" s="8"/>
      <c r="AE269" s="8"/>
      <c r="AF269" s="14"/>
      <c r="AG269" s="13"/>
      <c r="AH269" s="14"/>
      <c r="AI269" s="14"/>
      <c r="AJ269" s="8"/>
      <c r="AK269" s="8"/>
      <c r="AL269" s="8"/>
      <c r="AM269" s="8"/>
      <c r="AN269" s="631"/>
      <c r="AO269" s="18"/>
      <c r="AP269" s="18"/>
      <c r="AQ269" s="18"/>
      <c r="AR269" s="18"/>
      <c r="AS269" s="18"/>
      <c r="AU269" s="448"/>
      <c r="AV269" s="448"/>
      <c r="AW269" s="8" t="str">
        <f>IF(C269&gt;0,VLOOKUP(C269,Foundation_Calc!$A$2:$C$986,3,1),
IF(J269&gt;0,VLOOKUP(J269,Foundation_Calc!$A$2:$C$986,3,1),""))</f>
        <v/>
      </c>
      <c r="AX269" s="8" t="str">
        <f>IF(C269&gt;0,VLOOKUP(C269,Foundation_Calc!$E$2:$G$986,3,1),
IF(J269&gt;0,VLOOKUP(J269,Foundation_Calc!$E$2:$G$986,3,1),""))</f>
        <v/>
      </c>
      <c r="AY269" s="631" t="str">
        <f>IF(L269="","",
IF(AX269="PT",VLOOKUP(L269,Foundation_Calc!$K$4:$R$37,VLOOKUP(AW269,Foundation_Calc!$I$2:$J$8,2,FALSE),0),
IF(AX269="K",VLOOKUP(L269,Foundation_Calc!$K$41:$R$74,VLOOKUP(AW269,Foundation_Calc!$I$2:$J$8,2,FALSE),0),"")))</f>
        <v/>
      </c>
      <c r="AZ269" s="631" t="str">
        <f>IF(K269="","",
IF(AX269="PT",VLOOKUP(K269,Foundation_Calc!$K$4:$R$37,VLOOKUP(AW269,Foundation_Calc!$I$2:$J$8,2,FALSE),0),
IF(AX269="K",VLOOKUP(K269,Foundation_Calc!$K$41:$R$74,VLOOKUP(AW269,Foundation_Calc!$I$2:$J$8,2,FALSE),0),"")))</f>
        <v/>
      </c>
      <c r="BA269" s="632" t="str">
        <f t="shared" si="87"/>
        <v/>
      </c>
      <c r="BB269" s="632" t="str">
        <f t="shared" si="88"/>
        <v/>
      </c>
      <c r="BC269" s="632" t="str">
        <f t="shared" si="89"/>
        <v/>
      </c>
      <c r="BD269" s="633" t="str">
        <f>IF(AND(L269="",H269=""),"",
IF(H269="",Pole_Calc!A297,
IF(H269="MP",Pole_Calc!A298,
IF(H269="AnMP",Pole_Calc!A299,
IF(H269="A",Pole_Calc!A300,
IF(H269="S/A",Pole_Calc!A301,
IF(H269="A/S",Pole_Calc!A302,"Poner a mano")))))))</f>
        <v/>
      </c>
      <c r="BE269" s="448" t="s">
        <v>1726</v>
      </c>
      <c r="BF269" s="635"/>
      <c r="BG269" s="635"/>
      <c r="BH269" s="634"/>
      <c r="BI269" s="635"/>
    </row>
    <row r="270" spans="1:61" ht="16.2" customHeight="1">
      <c r="A270" s="12"/>
      <c r="B270" s="446"/>
      <c r="C270" s="89"/>
      <c r="D270" s="13"/>
      <c r="E270" s="14"/>
      <c r="F270" s="14"/>
      <c r="G270" s="15"/>
      <c r="H270" s="8"/>
      <c r="I270" s="8"/>
      <c r="J270" s="89"/>
      <c r="K270" s="8"/>
      <c r="L270" s="8"/>
      <c r="M270" s="8" t="str">
        <f>IF(L270="","",
IF(AX270="PT",VLOOKUP(L270,Foundation_Calc!$V$4:$X$37,VLOOKUP(AX270,Foundation_Calc!$I$10:$J$13,2,FALSE),0),
IF(AX270="K",VLOOKUP(L270,Foundation_Calc!$V$41:$X$74,VLOOKUP(AX270,Foundation_Calc!$I$10:$J$13,2,FALSE),0),"")))</f>
        <v/>
      </c>
      <c r="N270" s="8"/>
      <c r="O270" s="8"/>
      <c r="P270" s="8"/>
      <c r="Q270" s="14"/>
      <c r="R270" s="15"/>
      <c r="S270" s="15"/>
      <c r="T270" s="14"/>
      <c r="U270" s="14"/>
      <c r="V270" s="14"/>
      <c r="W270" s="18"/>
      <c r="X270" s="18"/>
      <c r="Y270" s="18"/>
      <c r="Z270" s="18"/>
      <c r="AA270" s="18"/>
      <c r="AB270" s="18"/>
      <c r="AC270" s="8" t="str">
        <f t="shared" si="86"/>
        <v/>
      </c>
      <c r="AD270" s="8"/>
      <c r="AE270" s="8"/>
      <c r="AF270" s="14"/>
      <c r="AG270" s="13"/>
      <c r="AH270" s="14"/>
      <c r="AI270" s="14"/>
      <c r="AJ270" s="8"/>
      <c r="AK270" s="8"/>
      <c r="AL270" s="8"/>
      <c r="AM270" s="8"/>
      <c r="AN270" s="631"/>
      <c r="AO270" s="18"/>
      <c r="AP270" s="18"/>
      <c r="AQ270" s="18"/>
      <c r="AR270" s="18"/>
      <c r="AS270" s="18"/>
      <c r="AU270" s="448"/>
      <c r="AV270" s="448"/>
      <c r="AW270" s="8" t="str">
        <f>IF(C270&gt;0,VLOOKUP(C270,Foundation_Calc!$A$2:$C$986,3,1),
IF(J270&gt;0,VLOOKUP(J270,Foundation_Calc!$A$2:$C$986,3,1),""))</f>
        <v/>
      </c>
      <c r="AX270" s="8" t="str">
        <f>IF(C270&gt;0,VLOOKUP(C270,Foundation_Calc!$E$2:$G$986,3,1),
IF(J270&gt;0,VLOOKUP(J270,Foundation_Calc!$E$2:$G$986,3,1),""))</f>
        <v/>
      </c>
      <c r="AY270" s="631" t="str">
        <f>IF(L270="","",
IF(AX270="PT",VLOOKUP(L270,Foundation_Calc!$K$4:$R$37,VLOOKUP(AW270,Foundation_Calc!$I$2:$J$8,2,FALSE),0),
IF(AX270="K",VLOOKUP(L270,Foundation_Calc!$K$41:$R$74,VLOOKUP(AW270,Foundation_Calc!$I$2:$J$8,2,FALSE),0),"")))</f>
        <v/>
      </c>
      <c r="AZ270" s="631" t="str">
        <f>IF(K270="","",
IF(AX270="PT",VLOOKUP(K270,Foundation_Calc!$K$4:$R$37,VLOOKUP(AW270,Foundation_Calc!$I$2:$J$8,2,FALSE),0),
IF(AX270="K",VLOOKUP(K270,Foundation_Calc!$K$41:$R$74,VLOOKUP(AW270,Foundation_Calc!$I$2:$J$8,2,FALSE),0),"")))</f>
        <v/>
      </c>
      <c r="BA270" s="632" t="str">
        <f t="shared" si="87"/>
        <v/>
      </c>
      <c r="BB270" s="632" t="str">
        <f t="shared" si="88"/>
        <v/>
      </c>
      <c r="BC270" s="632" t="str">
        <f t="shared" si="89"/>
        <v/>
      </c>
      <c r="BD270" s="633" t="str">
        <f>IF(AND(L270="",H270=""),"",
IF(H270="",Pole_Calc!A298,
IF(H270="MP",Pole_Calc!A299,
IF(H270="AnMP",Pole_Calc!A300,
IF(H270="A",Pole_Calc!A301,
IF(H270="S/A",Pole_Calc!A302,
IF(H270="A/S",Pole_Calc!A303,"Poner a mano")))))))</f>
        <v/>
      </c>
      <c r="BE270" s="448" t="s">
        <v>1726</v>
      </c>
      <c r="BF270" s="634"/>
      <c r="BG270" s="634"/>
      <c r="BH270" s="634"/>
      <c r="BI270" s="634"/>
    </row>
    <row r="271" spans="1:61" ht="16.2" customHeight="1">
      <c r="A271" s="12"/>
      <c r="B271" s="446"/>
      <c r="C271" s="89"/>
      <c r="D271" s="13"/>
      <c r="E271" s="14"/>
      <c r="F271" s="14"/>
      <c r="G271" s="15"/>
      <c r="H271" s="8"/>
      <c r="I271" s="8"/>
      <c r="J271" s="89"/>
      <c r="K271" s="8"/>
      <c r="L271" s="8"/>
      <c r="M271" s="8" t="str">
        <f>IF(L271="","",
IF(AX271="PT",VLOOKUP(L271,Foundation_Calc!$V$4:$X$37,VLOOKUP(AX271,Foundation_Calc!$I$10:$J$13,2,FALSE),0),
IF(AX271="K",VLOOKUP(L271,Foundation_Calc!$V$41:$X$74,VLOOKUP(AX271,Foundation_Calc!$I$10:$J$13,2,FALSE),0),"")))</f>
        <v/>
      </c>
      <c r="N271" s="8"/>
      <c r="O271" s="8"/>
      <c r="P271" s="8"/>
      <c r="Q271" s="14"/>
      <c r="R271" s="15"/>
      <c r="S271" s="15"/>
      <c r="T271" s="14"/>
      <c r="U271" s="14"/>
      <c r="V271" s="14"/>
      <c r="W271" s="18"/>
      <c r="X271" s="18"/>
      <c r="Y271" s="18"/>
      <c r="Z271" s="18"/>
      <c r="AA271" s="18"/>
      <c r="AB271" s="18"/>
      <c r="AC271" s="8" t="str">
        <f t="shared" si="86"/>
        <v/>
      </c>
      <c r="AD271" s="8"/>
      <c r="AE271" s="8"/>
      <c r="AF271" s="14"/>
      <c r="AG271" s="13"/>
      <c r="AH271" s="14"/>
      <c r="AI271" s="14"/>
      <c r="AJ271" s="8"/>
      <c r="AK271" s="8"/>
      <c r="AL271" s="8"/>
      <c r="AM271" s="8"/>
      <c r="AN271" s="631"/>
      <c r="AO271" s="18"/>
      <c r="AP271" s="18"/>
      <c r="AQ271" s="18"/>
      <c r="AR271" s="18"/>
      <c r="AS271" s="18"/>
      <c r="AU271" s="448"/>
      <c r="AV271" s="448"/>
      <c r="AW271" s="8" t="str">
        <f>IF(C271&gt;0,VLOOKUP(C271,Foundation_Calc!$A$2:$C$986,3,1),
IF(J271&gt;0,VLOOKUP(J271,Foundation_Calc!$A$2:$C$986,3,1),""))</f>
        <v/>
      </c>
      <c r="AX271" s="8" t="str">
        <f>IF(C271&gt;0,VLOOKUP(C271,Foundation_Calc!$E$2:$G$986,3,1),
IF(J271&gt;0,VLOOKUP(J271,Foundation_Calc!$E$2:$G$986,3,1),""))</f>
        <v/>
      </c>
      <c r="AY271" s="631" t="str">
        <f>IF(L271="","",
IF(AX271="PT",VLOOKUP(L271,Foundation_Calc!$K$4:$R$37,VLOOKUP(AW271,Foundation_Calc!$I$2:$J$8,2,FALSE),0),
IF(AX271="K",VLOOKUP(L271,Foundation_Calc!$K$41:$R$74,VLOOKUP(AW271,Foundation_Calc!$I$2:$J$8,2,FALSE),0),"")))</f>
        <v/>
      </c>
      <c r="AZ271" s="631" t="str">
        <f>IF(K271="","",
IF(AX271="PT",VLOOKUP(K271,Foundation_Calc!$K$4:$R$37,VLOOKUP(AW271,Foundation_Calc!$I$2:$J$8,2,FALSE),0),
IF(AX271="K",VLOOKUP(K271,Foundation_Calc!$K$41:$R$74,VLOOKUP(AW271,Foundation_Calc!$I$2:$J$8,2,FALSE),0),"")))</f>
        <v/>
      </c>
      <c r="BA271" s="632" t="str">
        <f t="shared" si="87"/>
        <v/>
      </c>
      <c r="BB271" s="632" t="str">
        <f t="shared" si="88"/>
        <v/>
      </c>
      <c r="BC271" s="632" t="str">
        <f t="shared" si="89"/>
        <v/>
      </c>
      <c r="BD271" s="633" t="str">
        <f>IF(AND(L271="",H271=""),"",
IF(H271="",Pole_Calc!A299,
IF(H271="MP",Pole_Calc!A300,
IF(H271="AnMP",Pole_Calc!A301,
IF(H271="A",Pole_Calc!A302,
IF(H271="S/A",Pole_Calc!A303,
IF(H271="A/S",Pole_Calc!A304,"Poner a mano")))))))</f>
        <v/>
      </c>
      <c r="BE271" s="448" t="s">
        <v>1726</v>
      </c>
      <c r="BF271" s="635"/>
      <c r="BG271" s="635"/>
      <c r="BH271" s="634"/>
      <c r="BI271" s="635"/>
    </row>
    <row r="272" spans="1:61" ht="16.2" customHeight="1">
      <c r="A272" s="12"/>
      <c r="B272" s="446"/>
      <c r="C272" s="89"/>
      <c r="D272" s="13"/>
      <c r="E272" s="14"/>
      <c r="F272" s="14"/>
      <c r="G272" s="15"/>
      <c r="H272" s="8"/>
      <c r="I272" s="8"/>
      <c r="J272" s="89"/>
      <c r="K272" s="8"/>
      <c r="L272" s="8"/>
      <c r="M272" s="8" t="str">
        <f>IF(L272="","",
IF(AX272="PT",VLOOKUP(L272,Foundation_Calc!$V$4:$X$37,VLOOKUP(AX272,Foundation_Calc!$I$10:$J$13,2,FALSE),0),
IF(AX272="K",VLOOKUP(L272,Foundation_Calc!$V$41:$X$74,VLOOKUP(AX272,Foundation_Calc!$I$10:$J$13,2,FALSE),0),"")))</f>
        <v/>
      </c>
      <c r="N272" s="8"/>
      <c r="O272" s="8"/>
      <c r="P272" s="8"/>
      <c r="Q272" s="14"/>
      <c r="R272" s="15"/>
      <c r="S272" s="15"/>
      <c r="T272" s="14"/>
      <c r="U272" s="14"/>
      <c r="V272" s="14"/>
      <c r="W272" s="18"/>
      <c r="X272" s="18"/>
      <c r="Y272" s="18"/>
      <c r="Z272" s="18"/>
      <c r="AA272" s="18"/>
      <c r="AB272" s="18"/>
      <c r="AC272" s="8" t="str">
        <f t="shared" si="86"/>
        <v/>
      </c>
      <c r="AD272" s="8"/>
      <c r="AE272" s="8"/>
      <c r="AF272" s="14"/>
      <c r="AG272" s="13"/>
      <c r="AH272" s="14"/>
      <c r="AI272" s="14"/>
      <c r="AJ272" s="8"/>
      <c r="AK272" s="8"/>
      <c r="AL272" s="8"/>
      <c r="AM272" s="8"/>
      <c r="AN272" s="631"/>
      <c r="AO272" s="18"/>
      <c r="AP272" s="18"/>
      <c r="AQ272" s="18"/>
      <c r="AR272" s="18"/>
      <c r="AS272" s="18"/>
      <c r="AU272" s="448"/>
      <c r="AV272" s="448"/>
      <c r="AW272" s="8" t="str">
        <f>IF(C272&gt;0,VLOOKUP(C272,Foundation_Calc!$A$2:$C$986,3,1),
IF(J272&gt;0,VLOOKUP(J272,Foundation_Calc!$A$2:$C$986,3,1),""))</f>
        <v/>
      </c>
      <c r="AX272" s="8" t="str">
        <f>IF(C272&gt;0,VLOOKUP(C272,Foundation_Calc!$E$2:$G$986,3,1),
IF(J272&gt;0,VLOOKUP(J272,Foundation_Calc!$E$2:$G$986,3,1),""))</f>
        <v/>
      </c>
      <c r="AY272" s="631" t="str">
        <f>IF(L272="","",
IF(AX272="PT",VLOOKUP(L272,Foundation_Calc!$K$4:$R$37,VLOOKUP(AW272,Foundation_Calc!$I$2:$J$8,2,FALSE),0),
IF(AX272="K",VLOOKUP(L272,Foundation_Calc!$K$41:$R$74,VLOOKUP(AW272,Foundation_Calc!$I$2:$J$8,2,FALSE),0),"")))</f>
        <v/>
      </c>
      <c r="AZ272" s="631" t="str">
        <f>IF(K272="","",
IF(AX272="PT",VLOOKUP(K272,Foundation_Calc!$K$4:$R$37,VLOOKUP(AW272,Foundation_Calc!$I$2:$J$8,2,FALSE),0),
IF(AX272="K",VLOOKUP(K272,Foundation_Calc!$K$41:$R$74,VLOOKUP(AW272,Foundation_Calc!$I$2:$J$8,2,FALSE),0),"")))</f>
        <v/>
      </c>
      <c r="BA272" s="632" t="str">
        <f t="shared" si="87"/>
        <v/>
      </c>
      <c r="BB272" s="632" t="str">
        <f t="shared" si="88"/>
        <v/>
      </c>
      <c r="BC272" s="632" t="str">
        <f t="shared" si="89"/>
        <v/>
      </c>
      <c r="BD272" s="633" t="str">
        <f>IF(AND(L272="",H272=""),"",
IF(H272="",Pole_Calc!A300,
IF(H272="MP",Pole_Calc!A301,
IF(H272="AnMP",Pole_Calc!A302,
IF(H272="A",Pole_Calc!A303,
IF(H272="S/A",Pole_Calc!A304,
IF(H272="A/S",Pole_Calc!A305,"Poner a mano")))))))</f>
        <v/>
      </c>
      <c r="BE272" s="448" t="s">
        <v>1726</v>
      </c>
      <c r="BF272" s="634"/>
      <c r="BG272" s="634"/>
      <c r="BH272" s="634"/>
      <c r="BI272" s="634"/>
    </row>
    <row r="273" spans="1:61" ht="16.2" customHeight="1">
      <c r="A273" s="12"/>
      <c r="B273" s="446"/>
      <c r="C273" s="89"/>
      <c r="D273" s="13"/>
      <c r="E273" s="14"/>
      <c r="F273" s="14"/>
      <c r="G273" s="15"/>
      <c r="H273" s="8"/>
      <c r="I273" s="8"/>
      <c r="J273" s="89"/>
      <c r="K273" s="8"/>
      <c r="L273" s="8"/>
      <c r="M273" s="8" t="str">
        <f>IF(L273="","",
IF(AX273="PT",VLOOKUP(L273,Foundation_Calc!$V$4:$X$37,VLOOKUP(AX273,Foundation_Calc!$I$10:$J$13,2,FALSE),0),
IF(AX273="K",VLOOKUP(L273,Foundation_Calc!$V$41:$X$74,VLOOKUP(AX273,Foundation_Calc!$I$10:$J$13,2,FALSE),0),"")))</f>
        <v/>
      </c>
      <c r="N273" s="8"/>
      <c r="O273" s="8"/>
      <c r="P273" s="8"/>
      <c r="Q273" s="14"/>
      <c r="R273" s="15"/>
      <c r="S273" s="15"/>
      <c r="T273" s="14"/>
      <c r="U273" s="14"/>
      <c r="V273" s="14"/>
      <c r="W273" s="18"/>
      <c r="X273" s="18"/>
      <c r="Y273" s="18"/>
      <c r="Z273" s="18"/>
      <c r="AA273" s="18"/>
      <c r="AB273" s="18"/>
      <c r="AC273" s="8" t="str">
        <f t="shared" si="86"/>
        <v/>
      </c>
      <c r="AD273" s="8"/>
      <c r="AE273" s="8"/>
      <c r="AF273" s="14"/>
      <c r="AG273" s="13"/>
      <c r="AH273" s="14"/>
      <c r="AI273" s="14"/>
      <c r="AJ273" s="8"/>
      <c r="AK273" s="8"/>
      <c r="AL273" s="8"/>
      <c r="AM273" s="8"/>
      <c r="AN273" s="631"/>
      <c r="AO273" s="18"/>
      <c r="AP273" s="18"/>
      <c r="AQ273" s="18"/>
      <c r="AR273" s="18"/>
      <c r="AS273" s="18"/>
      <c r="AU273" s="448"/>
      <c r="AV273" s="448"/>
      <c r="AW273" s="8" t="str">
        <f>IF(C273&gt;0,VLOOKUP(C273,Foundation_Calc!$A$2:$C$986,3,1),
IF(J273&gt;0,VLOOKUP(J273,Foundation_Calc!$A$2:$C$986,3,1),""))</f>
        <v/>
      </c>
      <c r="AX273" s="8" t="str">
        <f>IF(C273&gt;0,VLOOKUP(C273,Foundation_Calc!$E$2:$G$986,3,1),
IF(J273&gt;0,VLOOKUP(J273,Foundation_Calc!$E$2:$G$986,3,1),""))</f>
        <v/>
      </c>
      <c r="AY273" s="631" t="str">
        <f>IF(L273="","",
IF(AX273="PT",VLOOKUP(L273,Foundation_Calc!$K$4:$R$37,VLOOKUP(AW273,Foundation_Calc!$I$2:$J$8,2,FALSE),0),
IF(AX273="K",VLOOKUP(L273,Foundation_Calc!$K$41:$R$74,VLOOKUP(AW273,Foundation_Calc!$I$2:$J$8,2,FALSE),0),"")))</f>
        <v/>
      </c>
      <c r="AZ273" s="631" t="str">
        <f>IF(K273="","",
IF(AX273="PT",VLOOKUP(K273,Foundation_Calc!$K$4:$R$37,VLOOKUP(AW273,Foundation_Calc!$I$2:$J$8,2,FALSE),0),
IF(AX273="K",VLOOKUP(K273,Foundation_Calc!$K$41:$R$74,VLOOKUP(AW273,Foundation_Calc!$I$2:$J$8,2,FALSE),0),"")))</f>
        <v/>
      </c>
      <c r="BA273" s="632" t="str">
        <f t="shared" si="87"/>
        <v/>
      </c>
      <c r="BB273" s="632" t="str">
        <f t="shared" si="88"/>
        <v/>
      </c>
      <c r="BC273" s="632" t="str">
        <f t="shared" si="89"/>
        <v/>
      </c>
      <c r="BD273" s="633" t="str">
        <f>IF(AND(L273="",H273=""),"",
IF(H273="",Pole_Calc!A301,
IF(H273="MP",Pole_Calc!A302,
IF(H273="AnMP",Pole_Calc!A303,
IF(H273="A",Pole_Calc!A304,
IF(H273="S/A",Pole_Calc!A305,
IF(H273="A/S",Pole_Calc!A306,"Poner a mano")))))))</f>
        <v/>
      </c>
      <c r="BE273" s="448" t="s">
        <v>1726</v>
      </c>
      <c r="BF273" s="635"/>
      <c r="BG273" s="635"/>
      <c r="BH273" s="634"/>
      <c r="BI273" s="635"/>
    </row>
    <row r="274" spans="1:61" ht="16.2" customHeight="1">
      <c r="A274" s="12"/>
      <c r="B274" s="446"/>
      <c r="C274" s="89"/>
      <c r="D274" s="13"/>
      <c r="E274" s="14"/>
      <c r="F274" s="14"/>
      <c r="G274" s="15"/>
      <c r="H274" s="8"/>
      <c r="I274" s="8"/>
      <c r="J274" s="89"/>
      <c r="K274" s="8"/>
      <c r="L274" s="8"/>
      <c r="M274" s="8" t="str">
        <f>IF(L274="","",
IF(AX274="PT",VLOOKUP(L274,Foundation_Calc!$V$4:$X$37,VLOOKUP(AX274,Foundation_Calc!$I$10:$J$13,2,FALSE),0),
IF(AX274="K",VLOOKUP(L274,Foundation_Calc!$V$41:$X$74,VLOOKUP(AX274,Foundation_Calc!$I$10:$J$13,2,FALSE),0),"")))</f>
        <v/>
      </c>
      <c r="N274" s="8"/>
      <c r="O274" s="8"/>
      <c r="P274" s="8"/>
      <c r="Q274" s="14"/>
      <c r="R274" s="15"/>
      <c r="S274" s="15"/>
      <c r="T274" s="14"/>
      <c r="U274" s="14"/>
      <c r="V274" s="14"/>
      <c r="W274" s="18"/>
      <c r="X274" s="18"/>
      <c r="Y274" s="18"/>
      <c r="Z274" s="18"/>
      <c r="AA274" s="18"/>
      <c r="AB274" s="18"/>
      <c r="AC274" s="8" t="str">
        <f t="shared" si="86"/>
        <v/>
      </c>
      <c r="AD274" s="8"/>
      <c r="AE274" s="8"/>
      <c r="AF274" s="14"/>
      <c r="AG274" s="13"/>
      <c r="AH274" s="14"/>
      <c r="AI274" s="14"/>
      <c r="AJ274" s="8"/>
      <c r="AK274" s="8"/>
      <c r="AL274" s="8"/>
      <c r="AM274" s="8"/>
      <c r="AN274" s="631"/>
      <c r="AO274" s="18"/>
      <c r="AP274" s="18"/>
      <c r="AQ274" s="18"/>
      <c r="AR274" s="18"/>
      <c r="AS274" s="18"/>
      <c r="AU274" s="448"/>
      <c r="AV274" s="448"/>
      <c r="AW274" s="8" t="str">
        <f>IF(C274&gt;0,VLOOKUP(C274,Foundation_Calc!$A$2:$C$986,3,1),
IF(J274&gt;0,VLOOKUP(J274,Foundation_Calc!$A$2:$C$986,3,1),""))</f>
        <v/>
      </c>
      <c r="AX274" s="8" t="str">
        <f>IF(C274&gt;0,VLOOKUP(C274,Foundation_Calc!$E$2:$G$986,3,1),
IF(J274&gt;0,VLOOKUP(J274,Foundation_Calc!$E$2:$G$986,3,1),""))</f>
        <v/>
      </c>
      <c r="AY274" s="631" t="str">
        <f>IF(L274="","",
IF(AX274="PT",VLOOKUP(L274,Foundation_Calc!$K$4:$R$37,VLOOKUP(AW274,Foundation_Calc!$I$2:$J$8,2,FALSE),0),
IF(AX274="K",VLOOKUP(L274,Foundation_Calc!$K$41:$R$74,VLOOKUP(AW274,Foundation_Calc!$I$2:$J$8,2,FALSE),0),"")))</f>
        <v/>
      </c>
      <c r="AZ274" s="631" t="str">
        <f>IF(K274="","",
IF(AX274="PT",VLOOKUP(K274,Foundation_Calc!$K$4:$R$37,VLOOKUP(AW274,Foundation_Calc!$I$2:$J$8,2,FALSE),0),
IF(AX274="K",VLOOKUP(K274,Foundation_Calc!$K$41:$R$74,VLOOKUP(AW274,Foundation_Calc!$I$2:$J$8,2,FALSE),0),"")))</f>
        <v/>
      </c>
      <c r="BA274" s="632" t="str">
        <f t="shared" si="87"/>
        <v/>
      </c>
      <c r="BB274" s="632" t="str">
        <f t="shared" si="88"/>
        <v/>
      </c>
      <c r="BC274" s="632" t="str">
        <f t="shared" si="89"/>
        <v/>
      </c>
      <c r="BD274" s="633" t="str">
        <f>IF(AND(L274="",H274=""),"",
IF(H274="",Pole_Calc!A302,
IF(H274="MP",Pole_Calc!A303,
IF(H274="AnMP",Pole_Calc!A304,
IF(H274="A",Pole_Calc!A305,
IF(H274="S/A",Pole_Calc!A306,
IF(H274="A/S",Pole_Calc!A307,"Poner a mano")))))))</f>
        <v/>
      </c>
      <c r="BE274" s="448" t="s">
        <v>1726</v>
      </c>
      <c r="BF274" s="634"/>
      <c r="BG274" s="634"/>
      <c r="BH274" s="634"/>
      <c r="BI274" s="634"/>
    </row>
    <row r="275" spans="1:61" ht="16.2" customHeight="1">
      <c r="A275" s="12"/>
      <c r="B275" s="446"/>
      <c r="C275" s="89"/>
      <c r="D275" s="13"/>
      <c r="E275" s="14"/>
      <c r="F275" s="14"/>
      <c r="G275" s="15"/>
      <c r="H275" s="8"/>
      <c r="I275" s="8"/>
      <c r="J275" s="89"/>
      <c r="K275" s="8"/>
      <c r="L275" s="8"/>
      <c r="M275" s="8" t="str">
        <f>IF(L275="","",
IF(AX275="PT",VLOOKUP(L275,Foundation_Calc!$V$4:$X$37,VLOOKUP(AX275,Foundation_Calc!$I$10:$J$13,2,FALSE),0),
IF(AX275="K",VLOOKUP(L275,Foundation_Calc!$V$41:$X$74,VLOOKUP(AX275,Foundation_Calc!$I$10:$J$13,2,FALSE),0),"")))</f>
        <v/>
      </c>
      <c r="N275" s="8"/>
      <c r="O275" s="8"/>
      <c r="P275" s="8"/>
      <c r="Q275" s="14"/>
      <c r="R275" s="15"/>
      <c r="S275" s="15"/>
      <c r="T275" s="14"/>
      <c r="U275" s="14"/>
      <c r="V275" s="14"/>
      <c r="W275" s="18"/>
      <c r="X275" s="18"/>
      <c r="Y275" s="18"/>
      <c r="Z275" s="18"/>
      <c r="AA275" s="18"/>
      <c r="AB275" s="18"/>
      <c r="AC275" s="8" t="str">
        <f t="shared" si="86"/>
        <v/>
      </c>
      <c r="AD275" s="8"/>
      <c r="AE275" s="8"/>
      <c r="AF275" s="14"/>
      <c r="AG275" s="13"/>
      <c r="AH275" s="14"/>
      <c r="AI275" s="14"/>
      <c r="AJ275" s="8"/>
      <c r="AK275" s="8"/>
      <c r="AL275" s="8"/>
      <c r="AM275" s="8"/>
      <c r="AN275" s="631"/>
      <c r="AO275" s="18"/>
      <c r="AP275" s="18"/>
      <c r="AQ275" s="18"/>
      <c r="AR275" s="18"/>
      <c r="AS275" s="18"/>
      <c r="AU275" s="448"/>
      <c r="AV275" s="448"/>
      <c r="AW275" s="8" t="str">
        <f>IF(C275&gt;0,VLOOKUP(C275,Foundation_Calc!$A$2:$C$986,3,1),
IF(J275&gt;0,VLOOKUP(J275,Foundation_Calc!$A$2:$C$986,3,1),""))</f>
        <v/>
      </c>
      <c r="AX275" s="8" t="str">
        <f>IF(C275&gt;0,VLOOKUP(C275,Foundation_Calc!$E$2:$G$986,3,1),
IF(J275&gt;0,VLOOKUP(J275,Foundation_Calc!$E$2:$G$986,3,1),""))</f>
        <v/>
      </c>
      <c r="AY275" s="631" t="str">
        <f>IF(L275="","",
IF(AX275="PT",VLOOKUP(L275,Foundation_Calc!$K$4:$R$37,VLOOKUP(AW275,Foundation_Calc!$I$2:$J$8,2,FALSE),0),
IF(AX275="K",VLOOKUP(L275,Foundation_Calc!$K$41:$R$74,VLOOKUP(AW275,Foundation_Calc!$I$2:$J$8,2,FALSE),0),"")))</f>
        <v/>
      </c>
      <c r="AZ275" s="631" t="str">
        <f>IF(K275="","",
IF(AX275="PT",VLOOKUP(K275,Foundation_Calc!$K$4:$R$37,VLOOKUP(AW275,Foundation_Calc!$I$2:$J$8,2,FALSE),0),
IF(AX275="K",VLOOKUP(K275,Foundation_Calc!$K$41:$R$74,VLOOKUP(AW275,Foundation_Calc!$I$2:$J$8,2,FALSE),0),"")))</f>
        <v/>
      </c>
      <c r="BA275" s="632" t="str">
        <f t="shared" si="87"/>
        <v/>
      </c>
      <c r="BB275" s="632" t="str">
        <f t="shared" si="88"/>
        <v/>
      </c>
      <c r="BC275" s="632" t="str">
        <f t="shared" si="89"/>
        <v/>
      </c>
      <c r="BD275" s="633" t="str">
        <f>IF(AND(L275="",H275=""),"",
IF(H275="",Pole_Calc!A303,
IF(H275="MP",Pole_Calc!A304,
IF(H275="AnMP",Pole_Calc!A305,
IF(H275="A",Pole_Calc!A306,
IF(H275="S/A",Pole_Calc!A307,
IF(H275="A/S",Pole_Calc!A308,"Poner a mano")))))))</f>
        <v/>
      </c>
      <c r="BE275" s="448" t="s">
        <v>1726</v>
      </c>
      <c r="BF275" s="635"/>
      <c r="BG275" s="635"/>
      <c r="BH275" s="634"/>
      <c r="BI275" s="635"/>
    </row>
    <row r="276" spans="1:61" ht="16.2" customHeight="1">
      <c r="A276" s="12"/>
      <c r="B276" s="446"/>
      <c r="C276" s="89"/>
      <c r="D276" s="13"/>
      <c r="E276" s="14"/>
      <c r="F276" s="14"/>
      <c r="G276" s="15"/>
      <c r="H276" s="8"/>
      <c r="I276" s="8"/>
      <c r="J276" s="89"/>
      <c r="K276" s="8"/>
      <c r="L276" s="8"/>
      <c r="M276" s="8" t="str">
        <f>IF(L276="","",
IF(AX276="PT",VLOOKUP(L276,Foundation_Calc!$V$4:$X$37,VLOOKUP(AX276,Foundation_Calc!$I$10:$J$13,2,FALSE),0),
IF(AX276="K",VLOOKUP(L276,Foundation_Calc!$V$41:$X$74,VLOOKUP(AX276,Foundation_Calc!$I$10:$J$13,2,FALSE),0),"")))</f>
        <v/>
      </c>
      <c r="N276" s="8"/>
      <c r="O276" s="8"/>
      <c r="P276" s="8"/>
      <c r="Q276" s="14"/>
      <c r="R276" s="15"/>
      <c r="S276" s="15"/>
      <c r="T276" s="14"/>
      <c r="U276" s="14"/>
      <c r="V276" s="14"/>
      <c r="W276" s="18"/>
      <c r="X276" s="18"/>
      <c r="Y276" s="18"/>
      <c r="Z276" s="18"/>
      <c r="AA276" s="18"/>
      <c r="AB276" s="18"/>
      <c r="AC276" s="8" t="str">
        <f t="shared" si="86"/>
        <v/>
      </c>
      <c r="AD276" s="8"/>
      <c r="AE276" s="8"/>
      <c r="AF276" s="14"/>
      <c r="AG276" s="13"/>
      <c r="AH276" s="14"/>
      <c r="AI276" s="14"/>
      <c r="AJ276" s="8"/>
      <c r="AK276" s="8"/>
      <c r="AL276" s="8"/>
      <c r="AM276" s="8"/>
      <c r="AN276" s="631"/>
      <c r="AO276" s="18"/>
      <c r="AP276" s="18"/>
      <c r="AQ276" s="18"/>
      <c r="AR276" s="18"/>
      <c r="AS276" s="18"/>
      <c r="AU276" s="448"/>
      <c r="AV276" s="448"/>
      <c r="AW276" s="8" t="str">
        <f>IF(C276&gt;0,VLOOKUP(C276,Foundation_Calc!$A$2:$C$986,3,1),
IF(J276&gt;0,VLOOKUP(J276,Foundation_Calc!$A$2:$C$986,3,1),""))</f>
        <v/>
      </c>
      <c r="AX276" s="8" t="str">
        <f>IF(C276&gt;0,VLOOKUP(C276,Foundation_Calc!$E$2:$G$986,3,1),
IF(J276&gt;0,VLOOKUP(J276,Foundation_Calc!$E$2:$G$986,3,1),""))</f>
        <v/>
      </c>
      <c r="AY276" s="631" t="str">
        <f>IF(L276="","",
IF(AX276="PT",VLOOKUP(L276,Foundation_Calc!$K$4:$R$37,VLOOKUP(AW276,Foundation_Calc!$I$2:$J$8,2,FALSE),0),
IF(AX276="K",VLOOKUP(L276,Foundation_Calc!$K$41:$R$74,VLOOKUP(AW276,Foundation_Calc!$I$2:$J$8,2,FALSE),0),"")))</f>
        <v/>
      </c>
      <c r="AZ276" s="631" t="str">
        <f>IF(K276="","",
IF(AX276="PT",VLOOKUP(K276,Foundation_Calc!$K$4:$R$37,VLOOKUP(AW276,Foundation_Calc!$I$2:$J$8,2,FALSE),0),
IF(AX276="K",VLOOKUP(K276,Foundation_Calc!$K$41:$R$74,VLOOKUP(AW276,Foundation_Calc!$I$2:$J$8,2,FALSE),0),"")))</f>
        <v/>
      </c>
      <c r="BA276" s="632" t="str">
        <f t="shared" si="87"/>
        <v/>
      </c>
      <c r="BB276" s="632" t="str">
        <f t="shared" si="88"/>
        <v/>
      </c>
      <c r="BC276" s="632" t="str">
        <f t="shared" si="89"/>
        <v/>
      </c>
      <c r="BD276" s="633" t="str">
        <f>IF(AND(L276="",H276=""),"",
IF(H276="",Pole_Calc!A304,
IF(H276="MP",Pole_Calc!A305,
IF(H276="AnMP",Pole_Calc!A306,
IF(H276="A",Pole_Calc!A307,
IF(H276="S/A",Pole_Calc!A308,
IF(H276="A/S",Pole_Calc!A309,"Poner a mano")))))))</f>
        <v/>
      </c>
      <c r="BE276" s="448" t="s">
        <v>1726</v>
      </c>
      <c r="BF276" s="634"/>
      <c r="BG276" s="634"/>
      <c r="BH276" s="634"/>
      <c r="BI276" s="634"/>
    </row>
    <row r="277" spans="1:61" ht="16.2" customHeight="1">
      <c r="A277" s="12"/>
      <c r="B277" s="446"/>
      <c r="C277" s="89"/>
      <c r="D277" s="13"/>
      <c r="E277" s="14"/>
      <c r="F277" s="14"/>
      <c r="G277" s="15"/>
      <c r="H277" s="8"/>
      <c r="I277" s="8"/>
      <c r="J277" s="89"/>
      <c r="K277" s="8"/>
      <c r="L277" s="8"/>
      <c r="M277" s="8" t="str">
        <f>IF(L277="","",
IF(AX277="PT",VLOOKUP(L277,Foundation_Calc!$V$4:$X$37,VLOOKUP(AX277,Foundation_Calc!$I$10:$J$13,2,FALSE),0),
IF(AX277="K",VLOOKUP(L277,Foundation_Calc!$V$41:$X$74,VLOOKUP(AX277,Foundation_Calc!$I$10:$J$13,2,FALSE),0),"")))</f>
        <v/>
      </c>
      <c r="N277" s="8"/>
      <c r="O277" s="8"/>
      <c r="P277" s="8"/>
      <c r="Q277" s="14"/>
      <c r="R277" s="15"/>
      <c r="S277" s="15"/>
      <c r="T277" s="14"/>
      <c r="U277" s="14"/>
      <c r="V277" s="14"/>
      <c r="W277" s="18"/>
      <c r="X277" s="18"/>
      <c r="Y277" s="18"/>
      <c r="Z277" s="18"/>
      <c r="AA277" s="18"/>
      <c r="AB277" s="18"/>
      <c r="AC277" s="8" t="str">
        <f t="shared" si="86"/>
        <v/>
      </c>
      <c r="AD277" s="8"/>
      <c r="AE277" s="8"/>
      <c r="AF277" s="14"/>
      <c r="AG277" s="13"/>
      <c r="AH277" s="14"/>
      <c r="AI277" s="14"/>
      <c r="AJ277" s="8"/>
      <c r="AK277" s="8"/>
      <c r="AL277" s="8"/>
      <c r="AM277" s="8"/>
      <c r="AN277" s="631"/>
      <c r="AO277" s="18"/>
      <c r="AP277" s="18"/>
      <c r="AQ277" s="18"/>
      <c r="AR277" s="18"/>
      <c r="AS277" s="18"/>
      <c r="AU277" s="448"/>
      <c r="AV277" s="448"/>
      <c r="AW277" s="8" t="str">
        <f>IF(C277&gt;0,VLOOKUP(C277,Foundation_Calc!$A$2:$C$986,3,1),
IF(J277&gt;0,VLOOKUP(J277,Foundation_Calc!$A$2:$C$986,3,1),""))</f>
        <v/>
      </c>
      <c r="AX277" s="8" t="str">
        <f>IF(C277&gt;0,VLOOKUP(C277,Foundation_Calc!$E$2:$G$986,3,1),
IF(J277&gt;0,VLOOKUP(J277,Foundation_Calc!$E$2:$G$986,3,1),""))</f>
        <v/>
      </c>
      <c r="AY277" s="631" t="str">
        <f>IF(L277="","",
IF(AX277="PT",VLOOKUP(L277,Foundation_Calc!$K$4:$R$37,VLOOKUP(AW277,Foundation_Calc!$I$2:$J$8,2,FALSE),0),
IF(AX277="K",VLOOKUP(L277,Foundation_Calc!$K$41:$R$74,VLOOKUP(AW277,Foundation_Calc!$I$2:$J$8,2,FALSE),0),"")))</f>
        <v/>
      </c>
      <c r="AZ277" s="631" t="str">
        <f>IF(K277="","",
IF(AX277="PT",VLOOKUP(K277,Foundation_Calc!$K$4:$R$37,VLOOKUP(AW277,Foundation_Calc!$I$2:$J$8,2,FALSE),0),
IF(AX277="K",VLOOKUP(K277,Foundation_Calc!$K$41:$R$74,VLOOKUP(AW277,Foundation_Calc!$I$2:$J$8,2,FALSE),0),"")))</f>
        <v/>
      </c>
      <c r="BA277" s="632" t="str">
        <f t="shared" si="87"/>
        <v/>
      </c>
      <c r="BB277" s="632" t="str">
        <f t="shared" si="88"/>
        <v/>
      </c>
      <c r="BC277" s="632" t="str">
        <f t="shared" si="89"/>
        <v/>
      </c>
      <c r="BD277" s="633" t="str">
        <f>IF(AND(L277="",H277=""),"",
IF(H277="",Pole_Calc!A305,
IF(H277="MP",Pole_Calc!A306,
IF(H277="AnMP",Pole_Calc!A307,
IF(H277="A",Pole_Calc!A308,
IF(H277="S/A",Pole_Calc!A309,
IF(H277="A/S",Pole_Calc!A310,"Poner a mano")))))))</f>
        <v/>
      </c>
      <c r="BE277" s="448" t="s">
        <v>1726</v>
      </c>
      <c r="BF277" s="635"/>
      <c r="BG277" s="635"/>
      <c r="BH277" s="634"/>
      <c r="BI277" s="635"/>
    </row>
    <row r="278" spans="1:61" ht="16.2" customHeight="1">
      <c r="A278" s="12"/>
      <c r="B278" s="446"/>
      <c r="C278" s="89"/>
      <c r="D278" s="13"/>
      <c r="E278" s="14"/>
      <c r="F278" s="14"/>
      <c r="G278" s="15"/>
      <c r="H278" s="8"/>
      <c r="I278" s="8"/>
      <c r="J278" s="89"/>
      <c r="K278" s="8"/>
      <c r="L278" s="8"/>
      <c r="M278" s="8" t="str">
        <f>IF(L278="","",
IF(AX278="PT",VLOOKUP(L278,Foundation_Calc!$V$4:$X$37,VLOOKUP(AX278,Foundation_Calc!$I$10:$J$13,2,FALSE),0),
IF(AX278="K",VLOOKUP(L278,Foundation_Calc!$V$41:$X$74,VLOOKUP(AX278,Foundation_Calc!$I$10:$J$13,2,FALSE),0),"")))</f>
        <v/>
      </c>
      <c r="N278" s="8"/>
      <c r="O278" s="8"/>
      <c r="P278" s="8"/>
      <c r="Q278" s="14"/>
      <c r="R278" s="15"/>
      <c r="S278" s="15"/>
      <c r="T278" s="14"/>
      <c r="U278" s="14"/>
      <c r="V278" s="14"/>
      <c r="W278" s="18"/>
      <c r="X278" s="18"/>
      <c r="Y278" s="18"/>
      <c r="Z278" s="18"/>
      <c r="AA278" s="18"/>
      <c r="AB278" s="18"/>
      <c r="AC278" s="8" t="str">
        <f t="shared" si="86"/>
        <v/>
      </c>
      <c r="AD278" s="8"/>
      <c r="AE278" s="8"/>
      <c r="AF278" s="14"/>
      <c r="AG278" s="13"/>
      <c r="AH278" s="14"/>
      <c r="AI278" s="14"/>
      <c r="AJ278" s="8"/>
      <c r="AK278" s="8"/>
      <c r="AL278" s="8"/>
      <c r="AM278" s="8"/>
      <c r="AN278" s="631"/>
      <c r="AO278" s="18"/>
      <c r="AP278" s="18"/>
      <c r="AQ278" s="18"/>
      <c r="AR278" s="18"/>
      <c r="AS278" s="18"/>
      <c r="AU278" s="448"/>
      <c r="AV278" s="448"/>
      <c r="AW278" s="8" t="str">
        <f>IF(C278&gt;0,VLOOKUP(C278,Foundation_Calc!$A$2:$C$986,3,1),
IF(J278&gt;0,VLOOKUP(J278,Foundation_Calc!$A$2:$C$986,3,1),""))</f>
        <v/>
      </c>
      <c r="AX278" s="8" t="str">
        <f>IF(C278&gt;0,VLOOKUP(C278,Foundation_Calc!$E$2:$G$986,3,1),
IF(J278&gt;0,VLOOKUP(J278,Foundation_Calc!$E$2:$G$986,3,1),""))</f>
        <v/>
      </c>
      <c r="AY278" s="631" t="str">
        <f>IF(L278="","",
IF(AX278="PT",VLOOKUP(L278,Foundation_Calc!$K$4:$R$37,VLOOKUP(AW278,Foundation_Calc!$I$2:$J$8,2,FALSE),0),
IF(AX278="K",VLOOKUP(L278,Foundation_Calc!$K$41:$R$74,VLOOKUP(AW278,Foundation_Calc!$I$2:$J$8,2,FALSE),0),"")))</f>
        <v/>
      </c>
      <c r="AZ278" s="631" t="str">
        <f>IF(K278="","",
IF(AX278="PT",VLOOKUP(K278,Foundation_Calc!$K$4:$R$37,VLOOKUP(AW278,Foundation_Calc!$I$2:$J$8,2,FALSE),0),
IF(AX278="K",VLOOKUP(K278,Foundation_Calc!$K$41:$R$74,VLOOKUP(AW278,Foundation_Calc!$I$2:$J$8,2,FALSE),0),"")))</f>
        <v/>
      </c>
      <c r="BA278" s="632" t="str">
        <f t="shared" si="87"/>
        <v/>
      </c>
      <c r="BB278" s="632" t="str">
        <f t="shared" si="88"/>
        <v/>
      </c>
      <c r="BC278" s="632" t="str">
        <f t="shared" si="89"/>
        <v/>
      </c>
      <c r="BD278" s="633" t="str">
        <f>IF(AND(L278="",H278=""),"",
IF(H278="",Pole_Calc!A306,
IF(H278="MP",Pole_Calc!A307,
IF(H278="AnMP",Pole_Calc!A308,
IF(H278="A",Pole_Calc!A309,
IF(H278="S/A",Pole_Calc!A310,
IF(H278="A/S",Pole_Calc!A311,"Poner a mano")))))))</f>
        <v/>
      </c>
      <c r="BE278" s="448" t="s">
        <v>1726</v>
      </c>
      <c r="BF278" s="634"/>
      <c r="BG278" s="634"/>
      <c r="BH278" s="634"/>
      <c r="BI278" s="634"/>
    </row>
    <row r="279" spans="1:61" ht="16.2" customHeight="1">
      <c r="A279" s="12"/>
      <c r="B279" s="446"/>
      <c r="C279" s="89"/>
      <c r="D279" s="13"/>
      <c r="E279" s="14"/>
      <c r="F279" s="14"/>
      <c r="G279" s="15"/>
      <c r="H279" s="8"/>
      <c r="I279" s="8"/>
      <c r="J279" s="89"/>
      <c r="K279" s="8"/>
      <c r="L279" s="8"/>
      <c r="M279" s="8" t="str">
        <f>IF(L279="","",
IF(AX279="PT",VLOOKUP(L279,Foundation_Calc!$V$4:$X$37,VLOOKUP(AX279,Foundation_Calc!$I$10:$J$13,2,FALSE),0),
IF(AX279="K",VLOOKUP(L279,Foundation_Calc!$V$41:$X$74,VLOOKUP(AX279,Foundation_Calc!$I$10:$J$13,2,FALSE),0),"")))</f>
        <v/>
      </c>
      <c r="N279" s="8"/>
      <c r="O279" s="8"/>
      <c r="P279" s="8"/>
      <c r="Q279" s="14"/>
      <c r="R279" s="15"/>
      <c r="S279" s="15"/>
      <c r="T279" s="14"/>
      <c r="U279" s="14"/>
      <c r="V279" s="14"/>
      <c r="W279" s="18"/>
      <c r="X279" s="18"/>
      <c r="Y279" s="18"/>
      <c r="Z279" s="18"/>
      <c r="AA279" s="18"/>
      <c r="AB279" s="18"/>
      <c r="AC279" s="8" t="str">
        <f t="shared" si="86"/>
        <v/>
      </c>
      <c r="AD279" s="8"/>
      <c r="AE279" s="8"/>
      <c r="AF279" s="14"/>
      <c r="AG279" s="13"/>
      <c r="AH279" s="14"/>
      <c r="AI279" s="14"/>
      <c r="AJ279" s="8"/>
      <c r="AK279" s="8"/>
      <c r="AL279" s="8"/>
      <c r="AM279" s="8"/>
      <c r="AN279" s="631"/>
      <c r="AO279" s="18"/>
      <c r="AP279" s="18"/>
      <c r="AQ279" s="18"/>
      <c r="AR279" s="18"/>
      <c r="AS279" s="18"/>
      <c r="AU279" s="448"/>
      <c r="AV279" s="448"/>
      <c r="AW279" s="8" t="str">
        <f>IF(C279&gt;0,VLOOKUP(C279,Foundation_Calc!$A$2:$C$986,3,1),
IF(J279&gt;0,VLOOKUP(J279,Foundation_Calc!$A$2:$C$986,3,1),""))</f>
        <v/>
      </c>
      <c r="AX279" s="8" t="str">
        <f>IF(C279&gt;0,VLOOKUP(C279,Foundation_Calc!$E$2:$G$986,3,1),
IF(J279&gt;0,VLOOKUP(J279,Foundation_Calc!$E$2:$G$986,3,1),""))</f>
        <v/>
      </c>
      <c r="AY279" s="631" t="str">
        <f>IF(L279="","",
IF(AX279="PT",VLOOKUP(L279,Foundation_Calc!$K$4:$R$37,VLOOKUP(AW279,Foundation_Calc!$I$2:$J$8,2,FALSE),0),
IF(AX279="K",VLOOKUP(L279,Foundation_Calc!$K$41:$R$74,VLOOKUP(AW279,Foundation_Calc!$I$2:$J$8,2,FALSE),0),"")))</f>
        <v/>
      </c>
      <c r="AZ279" s="631" t="str">
        <f>IF(K279="","",
IF(AX279="PT",VLOOKUP(K279,Foundation_Calc!$K$4:$R$37,VLOOKUP(AW279,Foundation_Calc!$I$2:$J$8,2,FALSE),0),
IF(AX279="K",VLOOKUP(K279,Foundation_Calc!$K$41:$R$74,VLOOKUP(AW279,Foundation_Calc!$I$2:$J$8,2,FALSE),0),"")))</f>
        <v/>
      </c>
      <c r="BA279" s="632" t="str">
        <f t="shared" si="87"/>
        <v/>
      </c>
      <c r="BB279" s="632" t="str">
        <f t="shared" si="88"/>
        <v/>
      </c>
      <c r="BC279" s="632" t="str">
        <f t="shared" si="89"/>
        <v/>
      </c>
      <c r="BD279" s="633" t="str">
        <f>IF(AND(L279="",H279=""),"",
IF(H279="",Pole_Calc!A307,
IF(H279="MP",Pole_Calc!A308,
IF(H279="AnMP",Pole_Calc!A309,
IF(H279="A",Pole_Calc!A310,
IF(H279="S/A",Pole_Calc!A311,
IF(H279="A/S",Pole_Calc!A312,"Poner a mano")))))))</f>
        <v/>
      </c>
      <c r="BE279" s="448" t="s">
        <v>1726</v>
      </c>
      <c r="BF279" s="635"/>
      <c r="BG279" s="635"/>
      <c r="BH279" s="634"/>
      <c r="BI279" s="635"/>
    </row>
    <row r="280" spans="1:61" ht="16.2" customHeight="1">
      <c r="A280" s="12"/>
      <c r="B280" s="446"/>
      <c r="C280" s="89"/>
      <c r="D280" s="13"/>
      <c r="E280" s="14"/>
      <c r="F280" s="14"/>
      <c r="G280" s="15"/>
      <c r="H280" s="8"/>
      <c r="I280" s="8"/>
      <c r="J280" s="89"/>
      <c r="K280" s="8"/>
      <c r="L280" s="8"/>
      <c r="M280" s="8" t="str">
        <f>IF(L280="","",
IF(AX280="PT",VLOOKUP(L280,Foundation_Calc!$V$4:$X$37,VLOOKUP(AX280,Foundation_Calc!$I$10:$J$13,2,FALSE),0),
IF(AX280="K",VLOOKUP(L280,Foundation_Calc!$V$41:$X$74,VLOOKUP(AX280,Foundation_Calc!$I$10:$J$13,2,FALSE),0),"")))</f>
        <v/>
      </c>
      <c r="N280" s="8"/>
      <c r="O280" s="8"/>
      <c r="P280" s="8"/>
      <c r="Q280" s="14"/>
      <c r="R280" s="15"/>
      <c r="S280" s="15"/>
      <c r="T280" s="14"/>
      <c r="U280" s="14"/>
      <c r="V280" s="14"/>
      <c r="W280" s="18"/>
      <c r="X280" s="18"/>
      <c r="Y280" s="18"/>
      <c r="Z280" s="18"/>
      <c r="AA280" s="18"/>
      <c r="AB280" s="18"/>
      <c r="AC280" s="8" t="str">
        <f t="shared" si="86"/>
        <v/>
      </c>
      <c r="AD280" s="8"/>
      <c r="AE280" s="8"/>
      <c r="AF280" s="14"/>
      <c r="AG280" s="13"/>
      <c r="AH280" s="14"/>
      <c r="AI280" s="14"/>
      <c r="AJ280" s="8"/>
      <c r="AK280" s="8"/>
      <c r="AL280" s="8"/>
      <c r="AM280" s="8"/>
      <c r="AN280" s="631"/>
      <c r="AO280" s="18"/>
      <c r="AP280" s="18"/>
      <c r="AQ280" s="18"/>
      <c r="AR280" s="18"/>
      <c r="AS280" s="18"/>
      <c r="AU280" s="448"/>
      <c r="AV280" s="448"/>
      <c r="AW280" s="8" t="str">
        <f>IF(C280&gt;0,VLOOKUP(C280,Foundation_Calc!$A$2:$C$986,3,1),
IF(J280&gt;0,VLOOKUP(J280,Foundation_Calc!$A$2:$C$986,3,1),""))</f>
        <v/>
      </c>
      <c r="AX280" s="8" t="str">
        <f>IF(C280&gt;0,VLOOKUP(C280,Foundation_Calc!$E$2:$G$986,3,1),
IF(J280&gt;0,VLOOKUP(J280,Foundation_Calc!$E$2:$G$986,3,1),""))</f>
        <v/>
      </c>
      <c r="AY280" s="631" t="str">
        <f>IF(L280="","",
IF(AX280="PT",VLOOKUP(L280,Foundation_Calc!$K$4:$R$37,VLOOKUP(AW280,Foundation_Calc!$I$2:$J$8,2,FALSE),0),
IF(AX280="K",VLOOKUP(L280,Foundation_Calc!$K$41:$R$74,VLOOKUP(AW280,Foundation_Calc!$I$2:$J$8,2,FALSE),0),"")))</f>
        <v/>
      </c>
      <c r="AZ280" s="631" t="str">
        <f>IF(K280="","",
IF(AX280="PT",VLOOKUP(K280,Foundation_Calc!$K$4:$R$37,VLOOKUP(AW280,Foundation_Calc!$I$2:$J$8,2,FALSE),0),
IF(AX280="K",VLOOKUP(K280,Foundation_Calc!$K$41:$R$74,VLOOKUP(AW280,Foundation_Calc!$I$2:$J$8,2,FALSE),0),"")))</f>
        <v/>
      </c>
      <c r="BA280" s="632" t="str">
        <f t="shared" si="87"/>
        <v/>
      </c>
      <c r="BB280" s="632" t="str">
        <f t="shared" si="88"/>
        <v/>
      </c>
      <c r="BC280" s="632" t="str">
        <f t="shared" si="89"/>
        <v/>
      </c>
      <c r="BD280" s="633" t="str">
        <f>IF(AND(L280="",H280=""),"",
IF(H280="",Pole_Calc!A308,
IF(H280="MP",Pole_Calc!A309,
IF(H280="AnMP",Pole_Calc!A310,
IF(H280="A",Pole_Calc!A311,
IF(H280="S/A",Pole_Calc!A312,
IF(H280="A/S",Pole_Calc!A313,"Poner a mano")))))))</f>
        <v/>
      </c>
      <c r="BE280" s="448" t="s">
        <v>1726</v>
      </c>
      <c r="BF280" s="634"/>
      <c r="BG280" s="634"/>
      <c r="BH280" s="634"/>
      <c r="BI280" s="634"/>
    </row>
    <row r="281" spans="1:61" ht="16.2" customHeight="1">
      <c r="A281" s="12"/>
      <c r="B281" s="446"/>
      <c r="C281" s="89"/>
      <c r="D281" s="13"/>
      <c r="E281" s="14"/>
      <c r="F281" s="14"/>
      <c r="G281" s="15"/>
      <c r="H281" s="8"/>
      <c r="I281" s="8"/>
      <c r="J281" s="89"/>
      <c r="K281" s="8"/>
      <c r="L281" s="8"/>
      <c r="M281" s="8" t="str">
        <f>IF(L281="","",
IF(AX281="PT",VLOOKUP(L281,Foundation_Calc!$V$4:$X$37,VLOOKUP(AX281,Foundation_Calc!$I$10:$J$13,2,FALSE),0),
IF(AX281="K",VLOOKUP(L281,Foundation_Calc!$V$41:$X$74,VLOOKUP(AX281,Foundation_Calc!$I$10:$J$13,2,FALSE),0),"")))</f>
        <v/>
      </c>
      <c r="N281" s="8"/>
      <c r="O281" s="8"/>
      <c r="P281" s="8"/>
      <c r="Q281" s="14"/>
      <c r="R281" s="15"/>
      <c r="S281" s="15"/>
      <c r="T281" s="14"/>
      <c r="U281" s="14"/>
      <c r="V281" s="14"/>
      <c r="W281" s="18"/>
      <c r="X281" s="18"/>
      <c r="Y281" s="18"/>
      <c r="Z281" s="18"/>
      <c r="AA281" s="18"/>
      <c r="AB281" s="18"/>
      <c r="AC281" s="8" t="str">
        <f t="shared" si="86"/>
        <v/>
      </c>
      <c r="AD281" s="8"/>
      <c r="AE281" s="8"/>
      <c r="AF281" s="14"/>
      <c r="AG281" s="13"/>
      <c r="AH281" s="14"/>
      <c r="AI281" s="14"/>
      <c r="AJ281" s="8"/>
      <c r="AK281" s="8"/>
      <c r="AL281" s="8"/>
      <c r="AM281" s="8"/>
      <c r="AN281" s="631"/>
      <c r="AO281" s="18"/>
      <c r="AP281" s="18"/>
      <c r="AQ281" s="18"/>
      <c r="AR281" s="18"/>
      <c r="AS281" s="18"/>
      <c r="AU281" s="448"/>
      <c r="AV281" s="448"/>
      <c r="AW281" s="8" t="str">
        <f>IF(C281&gt;0,VLOOKUP(C281,Foundation_Calc!$A$2:$C$986,3,1),
IF(J281&gt;0,VLOOKUP(J281,Foundation_Calc!$A$2:$C$986,3,1),""))</f>
        <v/>
      </c>
      <c r="AX281" s="8" t="str">
        <f>IF(C281&gt;0,VLOOKUP(C281,Foundation_Calc!$E$2:$G$986,3,1),
IF(J281&gt;0,VLOOKUP(J281,Foundation_Calc!$E$2:$G$986,3,1),""))</f>
        <v/>
      </c>
      <c r="AY281" s="631" t="str">
        <f>IF(L281="","",
IF(AX281="PT",VLOOKUP(L281,Foundation_Calc!$K$4:$R$37,VLOOKUP(AW281,Foundation_Calc!$I$2:$J$8,2,FALSE),0),
IF(AX281="K",VLOOKUP(L281,Foundation_Calc!$K$41:$R$74,VLOOKUP(AW281,Foundation_Calc!$I$2:$J$8,2,FALSE),0),"")))</f>
        <v/>
      </c>
      <c r="AZ281" s="631" t="str">
        <f>IF(K281="","",
IF(AX281="PT",VLOOKUP(K281,Foundation_Calc!$K$4:$R$37,VLOOKUP(AW281,Foundation_Calc!$I$2:$J$8,2,FALSE),0),
IF(AX281="K",VLOOKUP(K281,Foundation_Calc!$K$41:$R$74,VLOOKUP(AW281,Foundation_Calc!$I$2:$J$8,2,FALSE),0),"")))</f>
        <v/>
      </c>
      <c r="BA281" s="632" t="str">
        <f t="shared" si="87"/>
        <v/>
      </c>
      <c r="BB281" s="632" t="str">
        <f t="shared" si="88"/>
        <v/>
      </c>
      <c r="BC281" s="632" t="str">
        <f t="shared" si="89"/>
        <v/>
      </c>
      <c r="BD281" s="633" t="str">
        <f>IF(AND(L281="",H281=""),"",
IF(H281="",Pole_Calc!A309,
IF(H281="MP",Pole_Calc!A310,
IF(H281="AnMP",Pole_Calc!A311,
IF(H281="A",Pole_Calc!A312,
IF(H281="S/A",Pole_Calc!A313,
IF(H281="A/S",Pole_Calc!A314,"Poner a mano")))))))</f>
        <v/>
      </c>
      <c r="BE281" s="448" t="s">
        <v>1726</v>
      </c>
      <c r="BF281" s="635"/>
      <c r="BG281" s="635"/>
      <c r="BH281" s="634"/>
      <c r="BI281" s="635"/>
    </row>
    <row r="282" spans="1:61" ht="16.2" customHeight="1">
      <c r="A282" s="12"/>
      <c r="B282" s="446"/>
      <c r="C282" s="89"/>
      <c r="D282" s="13"/>
      <c r="E282" s="14"/>
      <c r="F282" s="14"/>
      <c r="G282" s="15"/>
      <c r="H282" s="8"/>
      <c r="I282" s="8"/>
      <c r="J282" s="89"/>
      <c r="K282" s="8"/>
      <c r="L282" s="8"/>
      <c r="M282" s="8" t="str">
        <f>IF(L282="","",
IF(AX282="PT",VLOOKUP(L282,Foundation_Calc!$V$4:$X$37,VLOOKUP(AX282,Foundation_Calc!$I$10:$J$13,2,FALSE),0),
IF(AX282="K",VLOOKUP(L282,Foundation_Calc!$V$41:$X$74,VLOOKUP(AX282,Foundation_Calc!$I$10:$J$13,2,FALSE),0),"")))</f>
        <v/>
      </c>
      <c r="N282" s="8"/>
      <c r="O282" s="8"/>
      <c r="P282" s="8"/>
      <c r="Q282" s="14"/>
      <c r="R282" s="15"/>
      <c r="S282" s="15"/>
      <c r="T282" s="14"/>
      <c r="U282" s="14"/>
      <c r="V282" s="14"/>
      <c r="W282" s="18"/>
      <c r="X282" s="18"/>
      <c r="Y282" s="18"/>
      <c r="Z282" s="18"/>
      <c r="AA282" s="18"/>
      <c r="AB282" s="18"/>
      <c r="AC282" s="8" t="str">
        <f t="shared" si="86"/>
        <v/>
      </c>
      <c r="AD282" s="8"/>
      <c r="AE282" s="8"/>
      <c r="AF282" s="14"/>
      <c r="AG282" s="13"/>
      <c r="AH282" s="14"/>
      <c r="AI282" s="14"/>
      <c r="AJ282" s="8"/>
      <c r="AK282" s="8"/>
      <c r="AL282" s="8"/>
      <c r="AM282" s="8"/>
      <c r="AN282" s="631"/>
      <c r="AO282" s="18"/>
      <c r="AP282" s="18"/>
      <c r="AQ282" s="18"/>
      <c r="AR282" s="18"/>
      <c r="AS282" s="18"/>
      <c r="AU282" s="448"/>
      <c r="AV282" s="448"/>
      <c r="AW282" s="8" t="str">
        <f>IF(C282&gt;0,VLOOKUP(C282,Foundation_Calc!$A$2:$C$986,3,1),
IF(J282&gt;0,VLOOKUP(J282,Foundation_Calc!$A$2:$C$986,3,1),""))</f>
        <v/>
      </c>
      <c r="AX282" s="8" t="str">
        <f>IF(C282&gt;0,VLOOKUP(C282,Foundation_Calc!$E$2:$G$986,3,1),
IF(J282&gt;0,VLOOKUP(J282,Foundation_Calc!$E$2:$G$986,3,1),""))</f>
        <v/>
      </c>
      <c r="AY282" s="631" t="str">
        <f>IF(L282="","",
IF(AX282="PT",VLOOKUP(L282,Foundation_Calc!$K$4:$R$37,VLOOKUP(AW282,Foundation_Calc!$I$2:$J$8,2,FALSE),0),
IF(AX282="K",VLOOKUP(L282,Foundation_Calc!$K$41:$R$74,VLOOKUP(AW282,Foundation_Calc!$I$2:$J$8,2,FALSE),0),"")))</f>
        <v/>
      </c>
      <c r="AZ282" s="631" t="str">
        <f>IF(K282="","",
IF(AX282="PT",VLOOKUP(K282,Foundation_Calc!$K$4:$R$37,VLOOKUP(AW282,Foundation_Calc!$I$2:$J$8,2,FALSE),0),
IF(AX282="K",VLOOKUP(K282,Foundation_Calc!$K$41:$R$74,VLOOKUP(AW282,Foundation_Calc!$I$2:$J$8,2,FALSE),0),"")))</f>
        <v/>
      </c>
      <c r="BA282" s="632" t="str">
        <f t="shared" si="87"/>
        <v/>
      </c>
      <c r="BB282" s="632" t="str">
        <f t="shared" si="88"/>
        <v/>
      </c>
      <c r="BC282" s="632" t="str">
        <f t="shared" si="89"/>
        <v/>
      </c>
      <c r="BD282" s="633" t="str">
        <f>IF(AND(L282="",H282=""),"",
IF(H282="",Pole_Calc!A310,
IF(H282="MP",Pole_Calc!A311,
IF(H282="AnMP",Pole_Calc!A312,
IF(H282="A",Pole_Calc!A313,
IF(H282="S/A",Pole_Calc!A314,
IF(H282="A/S",Pole_Calc!A315,"Poner a mano")))))))</f>
        <v/>
      </c>
      <c r="BE282" s="448" t="s">
        <v>1726</v>
      </c>
      <c r="BF282" s="634"/>
      <c r="BG282" s="634"/>
      <c r="BH282" s="634"/>
      <c r="BI282" s="634"/>
    </row>
    <row r="283" spans="1:61" ht="16.2" customHeight="1">
      <c r="A283" s="12"/>
      <c r="B283" s="446"/>
      <c r="C283" s="89"/>
      <c r="D283" s="13"/>
      <c r="E283" s="14"/>
      <c r="F283" s="14"/>
      <c r="G283" s="15"/>
      <c r="H283" s="8"/>
      <c r="I283" s="8"/>
      <c r="J283" s="89"/>
      <c r="K283" s="8"/>
      <c r="L283" s="8"/>
      <c r="M283" s="8" t="str">
        <f>IF(L283="","",
IF(AX283="PT",VLOOKUP(L283,Foundation_Calc!$V$4:$X$37,VLOOKUP(AX283,Foundation_Calc!$I$10:$J$13,2,FALSE),0),
IF(AX283="K",VLOOKUP(L283,Foundation_Calc!$V$41:$X$74,VLOOKUP(AX283,Foundation_Calc!$I$10:$J$13,2,FALSE),0),"")))</f>
        <v/>
      </c>
      <c r="N283" s="8"/>
      <c r="O283" s="8"/>
      <c r="P283" s="8"/>
      <c r="Q283" s="14"/>
      <c r="R283" s="15"/>
      <c r="S283" s="15"/>
      <c r="T283" s="14"/>
      <c r="U283" s="14"/>
      <c r="V283" s="14"/>
      <c r="W283" s="18"/>
      <c r="X283" s="18"/>
      <c r="Y283" s="18"/>
      <c r="Z283" s="18"/>
      <c r="AA283" s="18"/>
      <c r="AB283" s="18"/>
      <c r="AC283" s="8" t="str">
        <f t="shared" si="86"/>
        <v/>
      </c>
      <c r="AD283" s="8"/>
      <c r="AE283" s="8"/>
      <c r="AF283" s="14"/>
      <c r="AG283" s="13"/>
      <c r="AH283" s="14"/>
      <c r="AI283" s="14"/>
      <c r="AJ283" s="8"/>
      <c r="AK283" s="8"/>
      <c r="AL283" s="8"/>
      <c r="AM283" s="8"/>
      <c r="AN283" s="631"/>
      <c r="AO283" s="18"/>
      <c r="AP283" s="18"/>
      <c r="AQ283" s="18"/>
      <c r="AR283" s="18"/>
      <c r="AS283" s="18"/>
      <c r="AU283" s="448"/>
      <c r="AV283" s="448"/>
      <c r="AW283" s="8" t="str">
        <f>IF(C283&gt;0,VLOOKUP(C283,Foundation_Calc!$A$2:$C$986,3,1),
IF(J283&gt;0,VLOOKUP(J283,Foundation_Calc!$A$2:$C$986,3,1),""))</f>
        <v/>
      </c>
      <c r="AX283" s="8" t="str">
        <f>IF(C283&gt;0,VLOOKUP(C283,Foundation_Calc!$E$2:$G$986,3,1),
IF(J283&gt;0,VLOOKUP(J283,Foundation_Calc!$E$2:$G$986,3,1),""))</f>
        <v/>
      </c>
      <c r="AY283" s="631" t="str">
        <f>IF(L283="","",
IF(AX283="PT",VLOOKUP(L283,Foundation_Calc!$K$4:$R$37,VLOOKUP(AW283,Foundation_Calc!$I$2:$J$8,2,FALSE),0),
IF(AX283="K",VLOOKUP(L283,Foundation_Calc!$K$41:$R$74,VLOOKUP(AW283,Foundation_Calc!$I$2:$J$8,2,FALSE),0),"")))</f>
        <v/>
      </c>
      <c r="AZ283" s="631" t="str">
        <f>IF(K283="","",
IF(AX283="PT",VLOOKUP(K283,Foundation_Calc!$K$4:$R$37,VLOOKUP(AW283,Foundation_Calc!$I$2:$J$8,2,FALSE),0),
IF(AX283="K",VLOOKUP(K283,Foundation_Calc!$K$41:$R$74,VLOOKUP(AW283,Foundation_Calc!$I$2:$J$8,2,FALSE),0),"")))</f>
        <v/>
      </c>
      <c r="BA283" s="632" t="str">
        <f t="shared" si="87"/>
        <v/>
      </c>
      <c r="BB283" s="632" t="str">
        <f t="shared" si="88"/>
        <v/>
      </c>
      <c r="BC283" s="632" t="str">
        <f t="shared" si="89"/>
        <v/>
      </c>
      <c r="BD283" s="633" t="str">
        <f>IF(AND(L283="",H283=""),"",
IF(H283="",Pole_Calc!A311,
IF(H283="MP",Pole_Calc!A312,
IF(H283="AnMP",Pole_Calc!A313,
IF(H283="A",Pole_Calc!A314,
IF(H283="S/A",Pole_Calc!A315,
IF(H283="A/S",Pole_Calc!A316,"Poner a mano")))))))</f>
        <v/>
      </c>
      <c r="BE283" s="448" t="s">
        <v>1726</v>
      </c>
      <c r="BF283" s="635"/>
      <c r="BG283" s="635"/>
      <c r="BH283" s="634"/>
      <c r="BI283" s="635"/>
    </row>
    <row r="284" spans="1:61" ht="16.2" customHeight="1">
      <c r="A284" s="12"/>
      <c r="B284" s="446"/>
      <c r="C284" s="89"/>
      <c r="D284" s="13"/>
      <c r="E284" s="14"/>
      <c r="F284" s="14"/>
      <c r="G284" s="15"/>
      <c r="H284" s="8"/>
      <c r="I284" s="8"/>
      <c r="J284" s="89"/>
      <c r="K284" s="8"/>
      <c r="L284" s="8"/>
      <c r="M284" s="8" t="str">
        <f>IF(L284="","",
IF(AX284="PT",VLOOKUP(L284,Foundation_Calc!$V$4:$X$37,VLOOKUP(AX284,Foundation_Calc!$I$10:$J$13,2,FALSE),0),
IF(AX284="K",VLOOKUP(L284,Foundation_Calc!$V$41:$X$74,VLOOKUP(AX284,Foundation_Calc!$I$10:$J$13,2,FALSE),0),"")))</f>
        <v/>
      </c>
      <c r="N284" s="8"/>
      <c r="O284" s="8"/>
      <c r="P284" s="8"/>
      <c r="Q284" s="14"/>
      <c r="R284" s="15"/>
      <c r="S284" s="15"/>
      <c r="T284" s="14"/>
      <c r="U284" s="14"/>
      <c r="V284" s="14"/>
      <c r="W284" s="18"/>
      <c r="X284" s="18"/>
      <c r="Y284" s="18"/>
      <c r="Z284" s="18"/>
      <c r="AA284" s="18"/>
      <c r="AB284" s="18"/>
      <c r="AC284" s="8" t="str">
        <f t="shared" si="86"/>
        <v/>
      </c>
      <c r="AD284" s="8"/>
      <c r="AE284" s="8"/>
      <c r="AF284" s="14"/>
      <c r="AG284" s="13"/>
      <c r="AH284" s="14"/>
      <c r="AI284" s="14"/>
      <c r="AJ284" s="8"/>
      <c r="AK284" s="8"/>
      <c r="AL284" s="8"/>
      <c r="AM284" s="8"/>
      <c r="AN284" s="631"/>
      <c r="AO284" s="18"/>
      <c r="AP284" s="18"/>
      <c r="AQ284" s="18"/>
      <c r="AR284" s="18"/>
      <c r="AS284" s="18"/>
      <c r="AU284" s="448"/>
      <c r="AV284" s="448"/>
      <c r="AW284" s="8" t="str">
        <f>IF(C284&gt;0,VLOOKUP(C284,Foundation_Calc!$A$2:$C$986,3,1),
IF(J284&gt;0,VLOOKUP(J284,Foundation_Calc!$A$2:$C$986,3,1),""))</f>
        <v/>
      </c>
      <c r="AX284" s="8" t="str">
        <f>IF(C284&gt;0,VLOOKUP(C284,Foundation_Calc!$E$2:$G$986,3,1),
IF(J284&gt;0,VLOOKUP(J284,Foundation_Calc!$E$2:$G$986,3,1),""))</f>
        <v/>
      </c>
      <c r="AY284" s="631" t="str">
        <f>IF(L284="","",
IF(AX284="PT",VLOOKUP(L284,Foundation_Calc!$K$4:$R$37,VLOOKUP(AW284,Foundation_Calc!$I$2:$J$8,2,FALSE),0),
IF(AX284="K",VLOOKUP(L284,Foundation_Calc!$K$41:$R$74,VLOOKUP(AW284,Foundation_Calc!$I$2:$J$8,2,FALSE),0),"")))</f>
        <v/>
      </c>
      <c r="AZ284" s="631" t="str">
        <f>IF(K284="","",
IF(AX284="PT",VLOOKUP(K284,Foundation_Calc!$K$4:$R$37,VLOOKUP(AW284,Foundation_Calc!$I$2:$J$8,2,FALSE),0),
IF(AX284="K",VLOOKUP(K284,Foundation_Calc!$K$41:$R$74,VLOOKUP(AW284,Foundation_Calc!$I$2:$J$8,2,FALSE),0),"")))</f>
        <v/>
      </c>
      <c r="BA284" s="632" t="str">
        <f t="shared" si="87"/>
        <v/>
      </c>
      <c r="BB284" s="632" t="str">
        <f t="shared" si="88"/>
        <v/>
      </c>
      <c r="BC284" s="632" t="str">
        <f t="shared" si="89"/>
        <v/>
      </c>
      <c r="BD284" s="633" t="str">
        <f>IF(AND(L284="",H284=""),"",
IF(H284="",Pole_Calc!A312,
IF(H284="MP",Pole_Calc!A313,
IF(H284="AnMP",Pole_Calc!A314,
IF(H284="A",Pole_Calc!A315,
IF(H284="S/A",Pole_Calc!A316,
IF(H284="A/S",Pole_Calc!A317,"Poner a mano")))))))</f>
        <v/>
      </c>
      <c r="BE284" s="448" t="s">
        <v>1726</v>
      </c>
      <c r="BF284" s="634"/>
      <c r="BG284" s="634"/>
      <c r="BH284" s="634"/>
      <c r="BI284" s="634"/>
    </row>
    <row r="285" spans="1:61" ht="16.2" customHeight="1">
      <c r="A285" s="12"/>
      <c r="B285" s="446"/>
      <c r="C285" s="89"/>
      <c r="D285" s="13"/>
      <c r="E285" s="14"/>
      <c r="F285" s="14"/>
      <c r="G285" s="15"/>
      <c r="H285" s="8"/>
      <c r="I285" s="8"/>
      <c r="J285" s="89"/>
      <c r="K285" s="8"/>
      <c r="L285" s="8"/>
      <c r="M285" s="8" t="str">
        <f>IF(L285="","",
IF(AX285="PT",VLOOKUP(L285,Foundation_Calc!$V$4:$X$37,VLOOKUP(AX285,Foundation_Calc!$I$10:$J$13,2,FALSE),0),
IF(AX285="K",VLOOKUP(L285,Foundation_Calc!$V$41:$X$74,VLOOKUP(AX285,Foundation_Calc!$I$10:$J$13,2,FALSE),0),"")))</f>
        <v/>
      </c>
      <c r="N285" s="8"/>
      <c r="O285" s="8"/>
      <c r="P285" s="8"/>
      <c r="Q285" s="14"/>
      <c r="R285" s="15"/>
      <c r="S285" s="15"/>
      <c r="T285" s="14"/>
      <c r="U285" s="14"/>
      <c r="V285" s="14"/>
      <c r="W285" s="18"/>
      <c r="X285" s="18"/>
      <c r="Y285" s="18"/>
      <c r="Z285" s="18"/>
      <c r="AA285" s="18"/>
      <c r="AB285" s="18"/>
      <c r="AC285" s="8" t="str">
        <f t="shared" si="86"/>
        <v/>
      </c>
      <c r="AD285" s="8"/>
      <c r="AE285" s="8"/>
      <c r="AF285" s="14"/>
      <c r="AG285" s="13"/>
      <c r="AH285" s="14"/>
      <c r="AI285" s="14"/>
      <c r="AJ285" s="8"/>
      <c r="AK285" s="8"/>
      <c r="AL285" s="8"/>
      <c r="AM285" s="8"/>
      <c r="AN285" s="631"/>
      <c r="AO285" s="18"/>
      <c r="AP285" s="18"/>
      <c r="AQ285" s="18"/>
      <c r="AR285" s="18"/>
      <c r="AS285" s="18"/>
      <c r="AU285" s="448"/>
      <c r="AV285" s="448"/>
      <c r="AW285" s="8" t="str">
        <f>IF(C285&gt;0,VLOOKUP(C285,Foundation_Calc!$A$2:$C$986,3,1),
IF(J285&gt;0,VLOOKUP(J285,Foundation_Calc!$A$2:$C$986,3,1),""))</f>
        <v/>
      </c>
      <c r="AX285" s="8" t="str">
        <f>IF(C285&gt;0,VLOOKUP(C285,Foundation_Calc!$E$2:$G$986,3,1),
IF(J285&gt;0,VLOOKUP(J285,Foundation_Calc!$E$2:$G$986,3,1),""))</f>
        <v/>
      </c>
      <c r="AY285" s="631" t="str">
        <f>IF(L285="","",
IF(AX285="PT",VLOOKUP(L285,Foundation_Calc!$K$4:$R$37,VLOOKUP(AW285,Foundation_Calc!$I$2:$J$8,2,FALSE),0),
IF(AX285="K",VLOOKUP(L285,Foundation_Calc!$K$41:$R$74,VLOOKUP(AW285,Foundation_Calc!$I$2:$J$8,2,FALSE),0),"")))</f>
        <v/>
      </c>
      <c r="AZ285" s="631" t="str">
        <f>IF(K285="","",
IF(AX285="PT",VLOOKUP(K285,Foundation_Calc!$K$4:$R$37,VLOOKUP(AW285,Foundation_Calc!$I$2:$J$8,2,FALSE),0),
IF(AX285="K",VLOOKUP(K285,Foundation_Calc!$K$41:$R$74,VLOOKUP(AW285,Foundation_Calc!$I$2:$J$8,2,FALSE),0),"")))</f>
        <v/>
      </c>
      <c r="BA285" s="632" t="str">
        <f t="shared" si="87"/>
        <v/>
      </c>
      <c r="BB285" s="632" t="str">
        <f t="shared" si="88"/>
        <v/>
      </c>
      <c r="BC285" s="632" t="str">
        <f t="shared" si="89"/>
        <v/>
      </c>
      <c r="BD285" s="633" t="str">
        <f>IF(AND(L285="",H285=""),"",
IF(H285="",Pole_Calc!A313,
IF(H285="MP",Pole_Calc!A314,
IF(H285="AnMP",Pole_Calc!A315,
IF(H285="A",Pole_Calc!A316,
IF(H285="S/A",Pole_Calc!A317,
IF(H285="A/S",Pole_Calc!A318,"Poner a mano")))))))</f>
        <v/>
      </c>
      <c r="BE285" s="448" t="s">
        <v>1726</v>
      </c>
      <c r="BF285" s="635"/>
      <c r="BG285" s="635"/>
      <c r="BH285" s="634"/>
      <c r="BI285" s="635"/>
    </row>
    <row r="286" spans="1:61" ht="16.2" customHeight="1">
      <c r="A286" s="12"/>
      <c r="B286" s="446"/>
      <c r="C286" s="89"/>
      <c r="D286" s="13"/>
      <c r="E286" s="14"/>
      <c r="F286" s="14"/>
      <c r="G286" s="15"/>
      <c r="H286" s="8"/>
      <c r="I286" s="8"/>
      <c r="J286" s="89"/>
      <c r="K286" s="8"/>
      <c r="L286" s="8"/>
      <c r="M286" s="8" t="str">
        <f>IF(L286="","",
IF(AX286="PT",VLOOKUP(L286,Foundation_Calc!$V$4:$X$37,VLOOKUP(AX286,Foundation_Calc!$I$10:$J$13,2,FALSE),0),
IF(AX286="K",VLOOKUP(L286,Foundation_Calc!$V$41:$X$74,VLOOKUP(AX286,Foundation_Calc!$I$10:$J$13,2,FALSE),0),"")))</f>
        <v/>
      </c>
      <c r="N286" s="8"/>
      <c r="O286" s="8"/>
      <c r="P286" s="8"/>
      <c r="Q286" s="14"/>
      <c r="R286" s="15"/>
      <c r="S286" s="15"/>
      <c r="T286" s="14"/>
      <c r="U286" s="14"/>
      <c r="V286" s="14"/>
      <c r="W286" s="18"/>
      <c r="X286" s="18"/>
      <c r="Y286" s="18"/>
      <c r="Z286" s="18"/>
      <c r="AA286" s="18"/>
      <c r="AB286" s="18"/>
      <c r="AC286" s="8" t="str">
        <f t="shared" si="86"/>
        <v/>
      </c>
      <c r="AD286" s="8"/>
      <c r="AE286" s="8"/>
      <c r="AF286" s="14"/>
      <c r="AG286" s="13"/>
      <c r="AH286" s="14"/>
      <c r="AI286" s="14"/>
      <c r="AJ286" s="8"/>
      <c r="AK286" s="8"/>
      <c r="AL286" s="8"/>
      <c r="AM286" s="8"/>
      <c r="AN286" s="631"/>
      <c r="AO286" s="18"/>
      <c r="AP286" s="18"/>
      <c r="AQ286" s="18"/>
      <c r="AR286" s="18"/>
      <c r="AS286" s="18"/>
      <c r="AU286" s="448"/>
      <c r="AV286" s="448"/>
      <c r="AW286" s="8" t="str">
        <f>IF(C286&gt;0,VLOOKUP(C286,Foundation_Calc!$A$2:$C$986,3,1),
IF(J286&gt;0,VLOOKUP(J286,Foundation_Calc!$A$2:$C$986,3,1),""))</f>
        <v/>
      </c>
      <c r="AX286" s="8" t="str">
        <f>IF(C286&gt;0,VLOOKUP(C286,Foundation_Calc!$E$2:$G$986,3,1),
IF(J286&gt;0,VLOOKUP(J286,Foundation_Calc!$E$2:$G$986,3,1),""))</f>
        <v/>
      </c>
      <c r="AY286" s="631" t="str">
        <f>IF(L286="","",
IF(AX286="PT",VLOOKUP(L286,Foundation_Calc!$K$4:$R$37,VLOOKUP(AW286,Foundation_Calc!$I$2:$J$8,2,FALSE),0),
IF(AX286="K",VLOOKUP(L286,Foundation_Calc!$K$41:$R$74,VLOOKUP(AW286,Foundation_Calc!$I$2:$J$8,2,FALSE),0),"")))</f>
        <v/>
      </c>
      <c r="AZ286" s="631" t="str">
        <f>IF(K286="","",
IF(AX286="PT",VLOOKUP(K286,Foundation_Calc!$K$4:$R$37,VLOOKUP(AW286,Foundation_Calc!$I$2:$J$8,2,FALSE),0),
IF(AX286="K",VLOOKUP(K286,Foundation_Calc!$K$41:$R$74,VLOOKUP(AW286,Foundation_Calc!$I$2:$J$8,2,FALSE),0),"")))</f>
        <v/>
      </c>
      <c r="BA286" s="632" t="str">
        <f t="shared" si="87"/>
        <v/>
      </c>
      <c r="BB286" s="632" t="str">
        <f t="shared" si="88"/>
        <v/>
      </c>
      <c r="BC286" s="632" t="str">
        <f t="shared" si="89"/>
        <v/>
      </c>
      <c r="BD286" s="633" t="str">
        <f>IF(AND(L286="",H286=""),"",
IF(H286="",Pole_Calc!A314,
IF(H286="MP",Pole_Calc!A315,
IF(H286="AnMP",Pole_Calc!A316,
IF(H286="A",Pole_Calc!A317,
IF(H286="S/A",Pole_Calc!A318,
IF(H286="A/S",Pole_Calc!A319,"Poner a mano")))))))</f>
        <v/>
      </c>
      <c r="BE286" s="448" t="s">
        <v>1726</v>
      </c>
      <c r="BF286" s="634"/>
      <c r="BG286" s="634"/>
      <c r="BH286" s="634"/>
      <c r="BI286" s="634"/>
    </row>
    <row r="287" spans="1:61" ht="16.2" customHeight="1">
      <c r="A287" s="12"/>
      <c r="B287" s="446"/>
      <c r="C287" s="89"/>
      <c r="D287" s="13"/>
      <c r="E287" s="14"/>
      <c r="F287" s="14"/>
      <c r="G287" s="15"/>
      <c r="H287" s="8"/>
      <c r="I287" s="8"/>
      <c r="J287" s="89"/>
      <c r="K287" s="8"/>
      <c r="L287" s="8"/>
      <c r="M287" s="8" t="str">
        <f>IF(L287="","",
IF(AX287="PT",VLOOKUP(L287,Foundation_Calc!$V$4:$X$37,VLOOKUP(AX287,Foundation_Calc!$I$10:$J$13,2,FALSE),0),
IF(AX287="K",VLOOKUP(L287,Foundation_Calc!$V$41:$X$74,VLOOKUP(AX287,Foundation_Calc!$I$10:$J$13,2,FALSE),0),"")))</f>
        <v/>
      </c>
      <c r="N287" s="8"/>
      <c r="O287" s="8"/>
      <c r="P287" s="8"/>
      <c r="Q287" s="14"/>
      <c r="R287" s="15"/>
      <c r="S287" s="15"/>
      <c r="T287" s="14"/>
      <c r="U287" s="14"/>
      <c r="V287" s="14"/>
      <c r="W287" s="18"/>
      <c r="X287" s="18"/>
      <c r="Y287" s="18"/>
      <c r="Z287" s="18"/>
      <c r="AA287" s="18"/>
      <c r="AB287" s="18"/>
      <c r="AC287" s="8" t="str">
        <f t="shared" si="86"/>
        <v/>
      </c>
      <c r="AD287" s="8"/>
      <c r="AE287" s="8"/>
      <c r="AF287" s="14"/>
      <c r="AG287" s="13"/>
      <c r="AH287" s="14"/>
      <c r="AI287" s="14"/>
      <c r="AJ287" s="8"/>
      <c r="AK287" s="8"/>
      <c r="AL287" s="8"/>
      <c r="AM287" s="8"/>
      <c r="AN287" s="631"/>
      <c r="AO287" s="18"/>
      <c r="AP287" s="18"/>
      <c r="AQ287" s="18"/>
      <c r="AR287" s="18"/>
      <c r="AS287" s="18"/>
      <c r="AU287" s="448"/>
      <c r="AV287" s="448"/>
      <c r="AW287" s="8" t="str">
        <f>IF(C287&gt;0,VLOOKUP(C287,Foundation_Calc!$A$2:$C$986,3,1),
IF(J287&gt;0,VLOOKUP(J287,Foundation_Calc!$A$2:$C$986,3,1),""))</f>
        <v/>
      </c>
      <c r="AX287" s="8" t="str">
        <f>IF(C287&gt;0,VLOOKUP(C287,Foundation_Calc!$E$2:$G$986,3,1),
IF(J287&gt;0,VLOOKUP(J287,Foundation_Calc!$E$2:$G$986,3,1),""))</f>
        <v/>
      </c>
      <c r="AY287" s="631" t="str">
        <f>IF(L287="","",
IF(AX287="PT",VLOOKUP(L287,Foundation_Calc!$K$4:$R$37,VLOOKUP(AW287,Foundation_Calc!$I$2:$J$8,2,FALSE),0),
IF(AX287="K",VLOOKUP(L287,Foundation_Calc!$K$41:$R$74,VLOOKUP(AW287,Foundation_Calc!$I$2:$J$8,2,FALSE),0),"")))</f>
        <v/>
      </c>
      <c r="AZ287" s="631" t="str">
        <f>IF(K287="","",
IF(AX287="PT",VLOOKUP(K287,Foundation_Calc!$K$4:$R$37,VLOOKUP(AW287,Foundation_Calc!$I$2:$J$8,2,FALSE),0),
IF(AX287="K",VLOOKUP(K287,Foundation_Calc!$K$41:$R$74,VLOOKUP(AW287,Foundation_Calc!$I$2:$J$8,2,FALSE),0),"")))</f>
        <v/>
      </c>
      <c r="BA287" s="632" t="str">
        <f t="shared" si="87"/>
        <v/>
      </c>
      <c r="BB287" s="632" t="str">
        <f t="shared" si="88"/>
        <v/>
      </c>
      <c r="BC287" s="632" t="str">
        <f t="shared" si="89"/>
        <v/>
      </c>
      <c r="BD287" s="633" t="str">
        <f>IF(AND(L287="",H287=""),"",
IF(H287="",Pole_Calc!A315,
IF(H287="MP",Pole_Calc!A316,
IF(H287="AnMP",Pole_Calc!A317,
IF(H287="A",Pole_Calc!A318,
IF(H287="S/A",Pole_Calc!A319,
IF(H287="A/S",Pole_Calc!A320,"Poner a mano")))))))</f>
        <v/>
      </c>
      <c r="BE287" s="448" t="s">
        <v>1726</v>
      </c>
      <c r="BF287" s="635"/>
      <c r="BG287" s="635"/>
      <c r="BH287" s="634"/>
      <c r="BI287" s="635"/>
    </row>
    <row r="288" spans="1:61" ht="16.2" customHeight="1">
      <c r="A288" s="12"/>
      <c r="B288" s="446"/>
      <c r="C288" s="89"/>
      <c r="D288" s="13"/>
      <c r="E288" s="14"/>
      <c r="F288" s="14"/>
      <c r="G288" s="15"/>
      <c r="H288" s="8"/>
      <c r="I288" s="8"/>
      <c r="J288" s="89"/>
      <c r="K288" s="8"/>
      <c r="L288" s="8"/>
      <c r="M288" s="8" t="str">
        <f>IF(L288="","",
IF(AX288="PT",VLOOKUP(L288,Foundation_Calc!$V$4:$X$37,VLOOKUP(AX288,Foundation_Calc!$I$10:$J$13,2,FALSE),0),
IF(AX288="K",VLOOKUP(L288,Foundation_Calc!$V$41:$X$74,VLOOKUP(AX288,Foundation_Calc!$I$10:$J$13,2,FALSE),0),"")))</f>
        <v/>
      </c>
      <c r="N288" s="8"/>
      <c r="O288" s="8"/>
      <c r="P288" s="8"/>
      <c r="Q288" s="14"/>
      <c r="R288" s="15"/>
      <c r="S288" s="15"/>
      <c r="T288" s="14"/>
      <c r="U288" s="14"/>
      <c r="V288" s="14"/>
      <c r="W288" s="18"/>
      <c r="X288" s="18"/>
      <c r="Y288" s="18"/>
      <c r="Z288" s="18"/>
      <c r="AA288" s="18"/>
      <c r="AB288" s="18"/>
      <c r="AC288" s="8" t="str">
        <f t="shared" si="86"/>
        <v/>
      </c>
      <c r="AD288" s="8"/>
      <c r="AE288" s="8"/>
      <c r="AF288" s="14"/>
      <c r="AG288" s="13"/>
      <c r="AH288" s="14"/>
      <c r="AI288" s="14"/>
      <c r="AJ288" s="8"/>
      <c r="AK288" s="8"/>
      <c r="AL288" s="8"/>
      <c r="AM288" s="8"/>
      <c r="AN288" s="631"/>
      <c r="AO288" s="18"/>
      <c r="AP288" s="18"/>
      <c r="AQ288" s="18"/>
      <c r="AR288" s="18"/>
      <c r="AS288" s="18"/>
      <c r="AU288" s="448"/>
      <c r="AV288" s="448"/>
      <c r="AW288" s="8" t="str">
        <f>IF(C288&gt;0,VLOOKUP(C288,Foundation_Calc!$A$2:$C$986,3,1),
IF(J288&gt;0,VLOOKUP(J288,Foundation_Calc!$A$2:$C$986,3,1),""))</f>
        <v/>
      </c>
      <c r="AX288" s="8" t="str">
        <f>IF(C288&gt;0,VLOOKUP(C288,Foundation_Calc!$E$2:$G$986,3,1),
IF(J288&gt;0,VLOOKUP(J288,Foundation_Calc!$E$2:$G$986,3,1),""))</f>
        <v/>
      </c>
      <c r="AY288" s="631" t="str">
        <f>IF(L288="","",
IF(AX288="PT",VLOOKUP(L288,Foundation_Calc!$K$4:$R$37,VLOOKUP(AW288,Foundation_Calc!$I$2:$J$8,2,FALSE),0),
IF(AX288="K",VLOOKUP(L288,Foundation_Calc!$K$41:$R$74,VLOOKUP(AW288,Foundation_Calc!$I$2:$J$8,2,FALSE),0),"")))</f>
        <v/>
      </c>
      <c r="AZ288" s="631" t="str">
        <f>IF(K288="","",
IF(AX288="PT",VLOOKUP(K288,Foundation_Calc!$K$4:$R$37,VLOOKUP(AW288,Foundation_Calc!$I$2:$J$8,2,FALSE),0),
IF(AX288="K",VLOOKUP(K288,Foundation_Calc!$K$41:$R$74,VLOOKUP(AW288,Foundation_Calc!$I$2:$J$8,2,FALSE),0),"")))</f>
        <v/>
      </c>
      <c r="BA288" s="632" t="str">
        <f t="shared" si="87"/>
        <v/>
      </c>
      <c r="BB288" s="632" t="str">
        <f t="shared" si="88"/>
        <v/>
      </c>
      <c r="BC288" s="632" t="str">
        <f t="shared" si="89"/>
        <v/>
      </c>
      <c r="BD288" s="633" t="str">
        <f>IF(AND(L288="",H288=""),"",
IF(H288="",Pole_Calc!A316,
IF(H288="MP",Pole_Calc!A317,
IF(H288="AnMP",Pole_Calc!A318,
IF(H288="A",Pole_Calc!A319,
IF(H288="S/A",Pole_Calc!A320,
IF(H288="A/S",Pole_Calc!A321,"Poner a mano")))))))</f>
        <v/>
      </c>
      <c r="BE288" s="448" t="s">
        <v>1726</v>
      </c>
      <c r="BF288" s="634"/>
      <c r="BG288" s="634"/>
      <c r="BH288" s="634"/>
      <c r="BI288" s="634"/>
    </row>
    <row r="289" spans="1:61" ht="16.2" customHeight="1">
      <c r="A289" s="12"/>
      <c r="B289" s="446"/>
      <c r="C289" s="89"/>
      <c r="D289" s="13"/>
      <c r="E289" s="14"/>
      <c r="F289" s="14"/>
      <c r="G289" s="15"/>
      <c r="H289" s="8"/>
      <c r="I289" s="8"/>
      <c r="J289" s="89"/>
      <c r="K289" s="8"/>
      <c r="L289" s="8"/>
      <c r="M289" s="8" t="str">
        <f>IF(L289="","",
IF(AX289="PT",VLOOKUP(L289,Foundation_Calc!$V$4:$X$37,VLOOKUP(AX289,Foundation_Calc!$I$10:$J$13,2,FALSE),0),
IF(AX289="K",VLOOKUP(L289,Foundation_Calc!$V$41:$X$74,VLOOKUP(AX289,Foundation_Calc!$I$10:$J$13,2,FALSE),0),"")))</f>
        <v/>
      </c>
      <c r="N289" s="8"/>
      <c r="O289" s="8"/>
      <c r="P289" s="8"/>
      <c r="Q289" s="14"/>
      <c r="R289" s="15"/>
      <c r="S289" s="15"/>
      <c r="T289" s="14"/>
      <c r="U289" s="14"/>
      <c r="V289" s="14"/>
      <c r="W289" s="18"/>
      <c r="X289" s="18"/>
      <c r="Y289" s="18"/>
      <c r="Z289" s="18"/>
      <c r="AA289" s="18"/>
      <c r="AB289" s="18"/>
      <c r="AC289" s="8" t="str">
        <f t="shared" si="86"/>
        <v/>
      </c>
      <c r="AD289" s="8"/>
      <c r="AE289" s="8"/>
      <c r="AF289" s="14"/>
      <c r="AG289" s="13"/>
      <c r="AH289" s="14"/>
      <c r="AI289" s="14"/>
      <c r="AJ289" s="8"/>
      <c r="AK289" s="8"/>
      <c r="AL289" s="8"/>
      <c r="AM289" s="8"/>
      <c r="AN289" s="631"/>
      <c r="AO289" s="18"/>
      <c r="AP289" s="18"/>
      <c r="AQ289" s="18"/>
      <c r="AR289" s="18"/>
      <c r="AS289" s="18"/>
      <c r="AU289" s="448"/>
      <c r="AV289" s="448"/>
      <c r="AW289" s="8" t="str">
        <f>IF(C289&gt;0,VLOOKUP(C289,Foundation_Calc!$A$2:$C$986,3,1),
IF(J289&gt;0,VLOOKUP(J289,Foundation_Calc!$A$2:$C$986,3,1),""))</f>
        <v/>
      </c>
      <c r="AX289" s="8" t="str">
        <f>IF(C289&gt;0,VLOOKUP(C289,Foundation_Calc!$E$2:$G$986,3,1),
IF(J289&gt;0,VLOOKUP(J289,Foundation_Calc!$E$2:$G$986,3,1),""))</f>
        <v/>
      </c>
      <c r="AY289" s="631" t="str">
        <f>IF(L289="","",
IF(AX289="PT",VLOOKUP(L289,Foundation_Calc!$K$4:$R$37,VLOOKUP(AW289,Foundation_Calc!$I$2:$J$8,2,FALSE),0),
IF(AX289="K",VLOOKUP(L289,Foundation_Calc!$K$41:$R$74,VLOOKUP(AW289,Foundation_Calc!$I$2:$J$8,2,FALSE),0),"")))</f>
        <v/>
      </c>
      <c r="AZ289" s="631" t="str">
        <f>IF(K289="","",
IF(AX289="PT",VLOOKUP(K289,Foundation_Calc!$K$4:$R$37,VLOOKUP(AW289,Foundation_Calc!$I$2:$J$8,2,FALSE),0),
IF(AX289="K",VLOOKUP(K289,Foundation_Calc!$K$41:$R$74,VLOOKUP(AW289,Foundation_Calc!$I$2:$J$8,2,FALSE),0),"")))</f>
        <v/>
      </c>
      <c r="BA289" s="632" t="str">
        <f t="shared" si="87"/>
        <v/>
      </c>
      <c r="BB289" s="632" t="str">
        <f t="shared" si="88"/>
        <v/>
      </c>
      <c r="BC289" s="632" t="str">
        <f t="shared" si="89"/>
        <v/>
      </c>
      <c r="BD289" s="633" t="str">
        <f>IF(AND(L289="",H289=""),"",
IF(H289="",Pole_Calc!A317,
IF(H289="MP",Pole_Calc!A318,
IF(H289="AnMP",Pole_Calc!A319,
IF(H289="A",Pole_Calc!A320,
IF(H289="S/A",Pole_Calc!A321,
IF(H289="A/S",Pole_Calc!A322,"Poner a mano")))))))</f>
        <v/>
      </c>
      <c r="BE289" s="448" t="s">
        <v>1726</v>
      </c>
      <c r="BF289" s="635"/>
      <c r="BG289" s="635"/>
      <c r="BH289" s="634"/>
      <c r="BI289" s="635"/>
    </row>
    <row r="290" spans="1:61" ht="16.2" customHeight="1">
      <c r="A290" s="12"/>
      <c r="B290" s="446"/>
      <c r="C290" s="89"/>
      <c r="D290" s="13"/>
      <c r="E290" s="14"/>
      <c r="F290" s="14"/>
      <c r="G290" s="15"/>
      <c r="H290" s="8"/>
      <c r="I290" s="8"/>
      <c r="J290" s="89"/>
      <c r="K290" s="8"/>
      <c r="L290" s="8"/>
      <c r="M290" s="8" t="str">
        <f>IF(L290="","",
IF(AX290="PT",VLOOKUP(L290,Foundation_Calc!$V$4:$X$37,VLOOKUP(AX290,Foundation_Calc!$I$10:$J$13,2,FALSE),0),
IF(AX290="K",VLOOKUP(L290,Foundation_Calc!$V$41:$X$74,VLOOKUP(AX290,Foundation_Calc!$I$10:$J$13,2,FALSE),0),"")))</f>
        <v/>
      </c>
      <c r="N290" s="8"/>
      <c r="O290" s="8"/>
      <c r="P290" s="8"/>
      <c r="Q290" s="14"/>
      <c r="R290" s="15"/>
      <c r="S290" s="15"/>
      <c r="T290" s="14"/>
      <c r="U290" s="14"/>
      <c r="V290" s="14"/>
      <c r="W290" s="18"/>
      <c r="X290" s="18"/>
      <c r="Y290" s="18"/>
      <c r="Z290" s="18"/>
      <c r="AA290" s="18"/>
      <c r="AB290" s="18"/>
      <c r="AC290" s="8" t="str">
        <f t="shared" si="86"/>
        <v/>
      </c>
      <c r="AD290" s="8"/>
      <c r="AE290" s="8"/>
      <c r="AF290" s="14"/>
      <c r="AG290" s="13"/>
      <c r="AH290" s="14"/>
      <c r="AI290" s="14"/>
      <c r="AJ290" s="8"/>
      <c r="AK290" s="8"/>
      <c r="AL290" s="8"/>
      <c r="AM290" s="8"/>
      <c r="AN290" s="631"/>
      <c r="AO290" s="18"/>
      <c r="AP290" s="18"/>
      <c r="AQ290" s="18"/>
      <c r="AR290" s="18"/>
      <c r="AS290" s="18"/>
      <c r="AU290" s="448"/>
      <c r="AV290" s="448"/>
      <c r="AW290" s="8" t="str">
        <f>IF(C290&gt;0,VLOOKUP(C290,Foundation_Calc!$A$2:$C$986,3,1),
IF(J290&gt;0,VLOOKUP(J290,Foundation_Calc!$A$2:$C$986,3,1),""))</f>
        <v/>
      </c>
      <c r="AX290" s="8" t="str">
        <f>IF(C290&gt;0,VLOOKUP(C290,Foundation_Calc!$E$2:$G$986,3,1),
IF(J290&gt;0,VLOOKUP(J290,Foundation_Calc!$E$2:$G$986,3,1),""))</f>
        <v/>
      </c>
      <c r="AY290" s="631" t="str">
        <f>IF(L290="","",
IF(AX290="PT",VLOOKUP(L290,Foundation_Calc!$K$4:$R$37,VLOOKUP(AW290,Foundation_Calc!$I$2:$J$8,2,FALSE),0),
IF(AX290="K",VLOOKUP(L290,Foundation_Calc!$K$41:$R$74,VLOOKUP(AW290,Foundation_Calc!$I$2:$J$8,2,FALSE),0),"")))</f>
        <v/>
      </c>
      <c r="AZ290" s="631" t="str">
        <f>IF(K290="","",
IF(AX290="PT",VLOOKUP(K290,Foundation_Calc!$K$4:$R$37,VLOOKUP(AW290,Foundation_Calc!$I$2:$J$8,2,FALSE),0),
IF(AX290="K",VLOOKUP(K290,Foundation_Calc!$K$41:$R$74,VLOOKUP(AW290,Foundation_Calc!$I$2:$J$8,2,FALSE),0),"")))</f>
        <v/>
      </c>
      <c r="BA290" s="632" t="str">
        <f t="shared" si="87"/>
        <v/>
      </c>
      <c r="BB290" s="632" t="str">
        <f t="shared" si="88"/>
        <v/>
      </c>
      <c r="BC290" s="632" t="str">
        <f t="shared" si="89"/>
        <v/>
      </c>
      <c r="BD290" s="633" t="str">
        <f>IF(AND(L290="",H290=""),"",
IF(H290="",Pole_Calc!A318,
IF(H290="MP",Pole_Calc!A319,
IF(H290="AnMP",Pole_Calc!A320,
IF(H290="A",Pole_Calc!A321,
IF(H290="S/A",Pole_Calc!A322,
IF(H290="A/S",Pole_Calc!A323,"Poner a mano")))))))</f>
        <v/>
      </c>
      <c r="BE290" s="448" t="s">
        <v>1726</v>
      </c>
      <c r="BF290" s="634"/>
      <c r="BG290" s="634"/>
      <c r="BH290" s="634"/>
      <c r="BI290" s="634"/>
    </row>
    <row r="291" spans="1:61" ht="16.2" customHeight="1">
      <c r="A291" s="12"/>
      <c r="B291" s="446"/>
      <c r="C291" s="89"/>
      <c r="D291" s="13"/>
      <c r="E291" s="14"/>
      <c r="F291" s="14"/>
      <c r="G291" s="15"/>
      <c r="H291" s="8"/>
      <c r="I291" s="8"/>
      <c r="J291" s="89"/>
      <c r="K291" s="8"/>
      <c r="L291" s="8"/>
      <c r="M291" s="8" t="str">
        <f>IF(L291="","",
IF(AX291="PT",VLOOKUP(L291,Foundation_Calc!$V$4:$X$37,VLOOKUP(AX291,Foundation_Calc!$I$10:$J$13,2,FALSE),0),
IF(AX291="K",VLOOKUP(L291,Foundation_Calc!$V$41:$X$74,VLOOKUP(AX291,Foundation_Calc!$I$10:$J$13,2,FALSE),0),"")))</f>
        <v/>
      </c>
      <c r="N291" s="8"/>
      <c r="O291" s="8"/>
      <c r="P291" s="8"/>
      <c r="Q291" s="14"/>
      <c r="R291" s="15"/>
      <c r="S291" s="15"/>
      <c r="T291" s="14"/>
      <c r="U291" s="14"/>
      <c r="V291" s="14"/>
      <c r="W291" s="18"/>
      <c r="X291" s="18"/>
      <c r="Y291" s="18"/>
      <c r="Z291" s="18"/>
      <c r="AA291" s="18"/>
      <c r="AB291" s="18"/>
      <c r="AC291" s="8" t="str">
        <f t="shared" si="86"/>
        <v/>
      </c>
      <c r="AD291" s="8"/>
      <c r="AE291" s="8"/>
      <c r="AF291" s="14"/>
      <c r="AG291" s="13"/>
      <c r="AH291" s="14"/>
      <c r="AI291" s="14"/>
      <c r="AJ291" s="8"/>
      <c r="AK291" s="8"/>
      <c r="AL291" s="8"/>
      <c r="AM291" s="8"/>
      <c r="AN291" s="631"/>
      <c r="AO291" s="18"/>
      <c r="AP291" s="18"/>
      <c r="AQ291" s="18"/>
      <c r="AR291" s="18"/>
      <c r="AS291" s="18"/>
      <c r="AU291" s="448"/>
      <c r="AV291" s="448"/>
      <c r="AW291" s="8" t="str">
        <f>IF(C291&gt;0,VLOOKUP(C291,Foundation_Calc!$A$2:$C$986,3,1),
IF(J291&gt;0,VLOOKUP(J291,Foundation_Calc!$A$2:$C$986,3,1),""))</f>
        <v/>
      </c>
      <c r="AX291" s="8" t="str">
        <f>IF(C291&gt;0,VLOOKUP(C291,Foundation_Calc!$E$2:$G$986,3,1),
IF(J291&gt;0,VLOOKUP(J291,Foundation_Calc!$E$2:$G$986,3,1),""))</f>
        <v/>
      </c>
      <c r="AY291" s="631" t="str">
        <f>IF(L291="","",
IF(AX291="PT",VLOOKUP(L291,Foundation_Calc!$K$4:$R$37,VLOOKUP(AW291,Foundation_Calc!$I$2:$J$8,2,FALSE),0),
IF(AX291="K",VLOOKUP(L291,Foundation_Calc!$K$41:$R$74,VLOOKUP(AW291,Foundation_Calc!$I$2:$J$8,2,FALSE),0),"")))</f>
        <v/>
      </c>
      <c r="AZ291" s="631" t="str">
        <f>IF(K291="","",
IF(AX291="PT",VLOOKUP(K291,Foundation_Calc!$K$4:$R$37,VLOOKUP(AW291,Foundation_Calc!$I$2:$J$8,2,FALSE),0),
IF(AX291="K",VLOOKUP(K291,Foundation_Calc!$K$41:$R$74,VLOOKUP(AW291,Foundation_Calc!$I$2:$J$8,2,FALSE),0),"")))</f>
        <v/>
      </c>
      <c r="BA291" s="632" t="str">
        <f t="shared" si="87"/>
        <v/>
      </c>
      <c r="BB291" s="632" t="str">
        <f t="shared" si="88"/>
        <v/>
      </c>
      <c r="BC291" s="632" t="str">
        <f t="shared" si="89"/>
        <v/>
      </c>
      <c r="BD291" s="633" t="str">
        <f>IF(AND(L291="",H291=""),"",
IF(H291="",Pole_Calc!A319,
IF(H291="MP",Pole_Calc!A320,
IF(H291="AnMP",Pole_Calc!A321,
IF(H291="A",Pole_Calc!A322,
IF(H291="S/A",Pole_Calc!A323,
IF(H291="A/S",Pole_Calc!A324,"Poner a mano")))))))</f>
        <v/>
      </c>
      <c r="BE291" s="448" t="s">
        <v>1726</v>
      </c>
      <c r="BF291" s="635"/>
      <c r="BG291" s="635"/>
      <c r="BH291" s="634"/>
      <c r="BI291" s="635"/>
    </row>
    <row r="292" spans="1:61" ht="16.2" customHeight="1">
      <c r="A292" s="12"/>
      <c r="B292" s="446"/>
      <c r="C292" s="89"/>
      <c r="D292" s="13"/>
      <c r="E292" s="14"/>
      <c r="F292" s="14"/>
      <c r="G292" s="15"/>
      <c r="H292" s="8"/>
      <c r="I292" s="8"/>
      <c r="J292" s="89"/>
      <c r="K292" s="8"/>
      <c r="L292" s="8"/>
      <c r="M292" s="8" t="str">
        <f>IF(L292="","",
IF(AX292="PT",VLOOKUP(L292,Foundation_Calc!$V$4:$X$37,VLOOKUP(AX292,Foundation_Calc!$I$10:$J$13,2,FALSE),0),
IF(AX292="K",VLOOKUP(L292,Foundation_Calc!$V$41:$X$74,VLOOKUP(AX292,Foundation_Calc!$I$10:$J$13,2,FALSE),0),"")))</f>
        <v/>
      </c>
      <c r="N292" s="8"/>
      <c r="O292" s="8"/>
      <c r="P292" s="8"/>
      <c r="Q292" s="14"/>
      <c r="R292" s="15"/>
      <c r="S292" s="15"/>
      <c r="T292" s="14"/>
      <c r="U292" s="14"/>
      <c r="V292" s="14"/>
      <c r="W292" s="18"/>
      <c r="X292" s="18"/>
      <c r="Y292" s="18"/>
      <c r="Z292" s="18"/>
      <c r="AA292" s="18"/>
      <c r="AB292" s="18"/>
      <c r="AC292" s="8" t="str">
        <f t="shared" si="86"/>
        <v/>
      </c>
      <c r="AD292" s="8"/>
      <c r="AE292" s="8"/>
      <c r="AF292" s="14"/>
      <c r="AG292" s="13"/>
      <c r="AH292" s="14"/>
      <c r="AI292" s="14"/>
      <c r="AJ292" s="8"/>
      <c r="AK292" s="8"/>
      <c r="AL292" s="8"/>
      <c r="AM292" s="8"/>
      <c r="AN292" s="631"/>
      <c r="AO292" s="18"/>
      <c r="AP292" s="18"/>
      <c r="AQ292" s="18"/>
      <c r="AR292" s="18"/>
      <c r="AS292" s="18"/>
      <c r="AU292" s="448"/>
      <c r="AV292" s="448"/>
      <c r="AW292" s="8" t="str">
        <f>IF(C292&gt;0,VLOOKUP(C292,Foundation_Calc!$A$2:$C$986,3,1),
IF(J292&gt;0,VLOOKUP(J292,Foundation_Calc!$A$2:$C$986,3,1),""))</f>
        <v/>
      </c>
      <c r="AX292" s="8" t="str">
        <f>IF(C292&gt;0,VLOOKUP(C292,Foundation_Calc!$E$2:$G$986,3,1),
IF(J292&gt;0,VLOOKUP(J292,Foundation_Calc!$E$2:$G$986,3,1),""))</f>
        <v/>
      </c>
      <c r="AY292" s="631" t="str">
        <f>IF(L292="","",
IF(AX292="PT",VLOOKUP(L292,Foundation_Calc!$K$4:$R$37,VLOOKUP(AW292,Foundation_Calc!$I$2:$J$8,2,FALSE),0),
IF(AX292="K",VLOOKUP(L292,Foundation_Calc!$K$41:$R$74,VLOOKUP(AW292,Foundation_Calc!$I$2:$J$8,2,FALSE),0),"")))</f>
        <v/>
      </c>
      <c r="AZ292" s="631" t="str">
        <f>IF(K292="","",
IF(AX292="PT",VLOOKUP(K292,Foundation_Calc!$K$4:$R$37,VLOOKUP(AW292,Foundation_Calc!$I$2:$J$8,2,FALSE),0),
IF(AX292="K",VLOOKUP(K292,Foundation_Calc!$K$41:$R$74,VLOOKUP(AW292,Foundation_Calc!$I$2:$J$8,2,FALSE),0),"")))</f>
        <v/>
      </c>
      <c r="BA292" s="632" t="str">
        <f t="shared" si="87"/>
        <v/>
      </c>
      <c r="BB292" s="632" t="str">
        <f t="shared" si="88"/>
        <v/>
      </c>
      <c r="BC292" s="632" t="str">
        <f t="shared" si="89"/>
        <v/>
      </c>
      <c r="BD292" s="633" t="str">
        <f>IF(AND(L292="",H292=""),"",
IF(H292="",Pole_Calc!A320,
IF(H292="MP",Pole_Calc!A321,
IF(H292="AnMP",Pole_Calc!A322,
IF(H292="A",Pole_Calc!A323,
IF(H292="S/A",Pole_Calc!A324,
IF(H292="A/S",Pole_Calc!A325,"Poner a mano")))))))</f>
        <v/>
      </c>
      <c r="BE292" s="448" t="s">
        <v>1726</v>
      </c>
      <c r="BF292" s="634"/>
      <c r="BG292" s="634"/>
      <c r="BH292" s="634"/>
      <c r="BI292" s="634"/>
    </row>
    <row r="293" spans="1:61" ht="16.2" customHeight="1">
      <c r="A293" s="12"/>
      <c r="B293" s="446"/>
      <c r="C293" s="89"/>
      <c r="D293" s="13"/>
      <c r="E293" s="14"/>
      <c r="F293" s="14"/>
      <c r="G293" s="15"/>
      <c r="H293" s="8"/>
      <c r="I293" s="8"/>
      <c r="J293" s="89"/>
      <c r="K293" s="8"/>
      <c r="L293" s="8"/>
      <c r="M293" s="8" t="str">
        <f>IF(L293="","",
IF(AX293="PT",VLOOKUP(L293,Foundation_Calc!$V$4:$X$37,VLOOKUP(AX293,Foundation_Calc!$I$10:$J$13,2,FALSE),0),
IF(AX293="K",VLOOKUP(L293,Foundation_Calc!$V$41:$X$74,VLOOKUP(AX293,Foundation_Calc!$I$10:$J$13,2,FALSE),0),"")))</f>
        <v/>
      </c>
      <c r="N293" s="8"/>
      <c r="O293" s="8"/>
      <c r="P293" s="8"/>
      <c r="Q293" s="14"/>
      <c r="R293" s="15"/>
      <c r="S293" s="15"/>
      <c r="T293" s="14"/>
      <c r="U293" s="14"/>
      <c r="V293" s="14"/>
      <c r="W293" s="18"/>
      <c r="X293" s="18"/>
      <c r="Y293" s="18"/>
      <c r="Z293" s="18"/>
      <c r="AA293" s="18"/>
      <c r="AB293" s="18"/>
      <c r="AC293" s="8" t="str">
        <f t="shared" si="86"/>
        <v/>
      </c>
      <c r="AD293" s="8"/>
      <c r="AE293" s="8"/>
      <c r="AF293" s="14"/>
      <c r="AG293" s="13"/>
      <c r="AH293" s="14"/>
      <c r="AI293" s="14"/>
      <c r="AJ293" s="8"/>
      <c r="AK293" s="8"/>
      <c r="AL293" s="8"/>
      <c r="AM293" s="8"/>
      <c r="AN293" s="631"/>
      <c r="AO293" s="18"/>
      <c r="AP293" s="18"/>
      <c r="AQ293" s="18"/>
      <c r="AR293" s="18"/>
      <c r="AS293" s="18"/>
      <c r="AU293" s="448"/>
      <c r="AV293" s="448"/>
      <c r="AW293" s="8" t="str">
        <f>IF(C293&gt;0,VLOOKUP(C293,Foundation_Calc!$A$2:$C$986,3,1),
IF(J293&gt;0,VLOOKUP(J293,Foundation_Calc!$A$2:$C$986,3,1),""))</f>
        <v/>
      </c>
      <c r="AX293" s="8" t="str">
        <f>IF(C293&gt;0,VLOOKUP(C293,Foundation_Calc!$E$2:$G$986,3,1),
IF(J293&gt;0,VLOOKUP(J293,Foundation_Calc!$E$2:$G$986,3,1),""))</f>
        <v/>
      </c>
      <c r="AY293" s="631" t="str">
        <f>IF(L293="","",
IF(AX293="PT",VLOOKUP(L293,Foundation_Calc!$K$4:$R$37,VLOOKUP(AW293,Foundation_Calc!$I$2:$J$8,2,FALSE),0),
IF(AX293="K",VLOOKUP(L293,Foundation_Calc!$K$41:$R$74,VLOOKUP(AW293,Foundation_Calc!$I$2:$J$8,2,FALSE),0),"")))</f>
        <v/>
      </c>
      <c r="AZ293" s="631" t="str">
        <f>IF(K293="","",
IF(AX293="PT",VLOOKUP(K293,Foundation_Calc!$K$4:$R$37,VLOOKUP(AW293,Foundation_Calc!$I$2:$J$8,2,FALSE),0),
IF(AX293="K",VLOOKUP(K293,Foundation_Calc!$K$41:$R$74,VLOOKUP(AW293,Foundation_Calc!$I$2:$J$8,2,FALSE),0),"")))</f>
        <v/>
      </c>
      <c r="BA293" s="632" t="str">
        <f t="shared" si="87"/>
        <v/>
      </c>
      <c r="BB293" s="632" t="str">
        <f t="shared" si="88"/>
        <v/>
      </c>
      <c r="BC293" s="632" t="str">
        <f t="shared" si="89"/>
        <v/>
      </c>
      <c r="BD293" s="633" t="str">
        <f>IF(AND(L293="",H293=""),"",
IF(H293="",Pole_Calc!A321,
IF(H293="MP",Pole_Calc!A322,
IF(H293="AnMP",Pole_Calc!A323,
IF(H293="A",Pole_Calc!A324,
IF(H293="S/A",Pole_Calc!A325,
IF(H293="A/S",Pole_Calc!A326,"Poner a mano")))))))</f>
        <v/>
      </c>
      <c r="BE293" s="448" t="s">
        <v>1726</v>
      </c>
      <c r="BF293" s="635"/>
      <c r="BG293" s="635"/>
      <c r="BH293" s="634"/>
      <c r="BI293" s="635"/>
    </row>
    <row r="294" spans="1:61" ht="16.2" customHeight="1">
      <c r="A294" s="12"/>
      <c r="B294" s="446"/>
      <c r="C294" s="89"/>
      <c r="D294" s="13"/>
      <c r="E294" s="14"/>
      <c r="F294" s="14"/>
      <c r="G294" s="15"/>
      <c r="H294" s="8"/>
      <c r="I294" s="8"/>
      <c r="J294" s="89"/>
      <c r="K294" s="8"/>
      <c r="L294" s="8"/>
      <c r="M294" s="8" t="str">
        <f>IF(L294="","",
IF(AX294="PT",VLOOKUP(L294,Foundation_Calc!$V$4:$X$37,VLOOKUP(AX294,Foundation_Calc!$I$10:$J$13,2,FALSE),0),
IF(AX294="K",VLOOKUP(L294,Foundation_Calc!$V$41:$X$74,VLOOKUP(AX294,Foundation_Calc!$I$10:$J$13,2,FALSE),0),"")))</f>
        <v/>
      </c>
      <c r="N294" s="8"/>
      <c r="O294" s="8"/>
      <c r="P294" s="8"/>
      <c r="Q294" s="14"/>
      <c r="R294" s="15"/>
      <c r="S294" s="15"/>
      <c r="T294" s="14"/>
      <c r="U294" s="14"/>
      <c r="V294" s="14"/>
      <c r="W294" s="18"/>
      <c r="X294" s="18"/>
      <c r="Y294" s="18"/>
      <c r="Z294" s="18"/>
      <c r="AA294" s="18"/>
      <c r="AB294" s="18"/>
      <c r="AC294" s="8" t="str">
        <f t="shared" si="86"/>
        <v/>
      </c>
      <c r="AD294" s="8"/>
      <c r="AE294" s="8"/>
      <c r="AF294" s="14"/>
      <c r="AG294" s="13"/>
      <c r="AH294" s="14"/>
      <c r="AI294" s="14"/>
      <c r="AJ294" s="8"/>
      <c r="AK294" s="8"/>
      <c r="AL294" s="8"/>
      <c r="AM294" s="8"/>
      <c r="AN294" s="631"/>
      <c r="AO294" s="18"/>
      <c r="AP294" s="18"/>
      <c r="AQ294" s="18"/>
      <c r="AR294" s="18"/>
      <c r="AS294" s="18"/>
      <c r="AU294" s="448"/>
      <c r="AV294" s="448"/>
      <c r="AW294" s="8" t="str">
        <f>IF(C294&gt;0,VLOOKUP(C294,Foundation_Calc!$A$2:$C$986,3,1),
IF(J294&gt;0,VLOOKUP(J294,Foundation_Calc!$A$2:$C$986,3,1),""))</f>
        <v/>
      </c>
      <c r="AX294" s="8" t="str">
        <f>IF(C294&gt;0,VLOOKUP(C294,Foundation_Calc!$E$2:$G$986,3,1),
IF(J294&gt;0,VLOOKUP(J294,Foundation_Calc!$E$2:$G$986,3,1),""))</f>
        <v/>
      </c>
      <c r="AY294" s="631" t="str">
        <f>IF(L294="","",
IF(AX294="PT",VLOOKUP(L294,Foundation_Calc!$K$4:$R$37,VLOOKUP(AW294,Foundation_Calc!$I$2:$J$8,2,FALSE),0),
IF(AX294="K",VLOOKUP(L294,Foundation_Calc!$K$41:$R$74,VLOOKUP(AW294,Foundation_Calc!$I$2:$J$8,2,FALSE),0),"")))</f>
        <v/>
      </c>
      <c r="AZ294" s="631" t="str">
        <f>IF(K294="","",
IF(AX294="PT",VLOOKUP(K294,Foundation_Calc!$K$4:$R$37,VLOOKUP(AW294,Foundation_Calc!$I$2:$J$8,2,FALSE),0),
IF(AX294="K",VLOOKUP(K294,Foundation_Calc!$K$41:$R$74,VLOOKUP(AW294,Foundation_Calc!$I$2:$J$8,2,FALSE),0),"")))</f>
        <v/>
      </c>
      <c r="BA294" s="632" t="str">
        <f t="shared" si="87"/>
        <v/>
      </c>
      <c r="BB294" s="632" t="str">
        <f t="shared" si="88"/>
        <v/>
      </c>
      <c r="BC294" s="632" t="str">
        <f t="shared" si="89"/>
        <v/>
      </c>
      <c r="BD294" s="633" t="str">
        <f>IF(AND(L294="",H294=""),"",
IF(H294="",Pole_Calc!A322,
IF(H294="MP",Pole_Calc!A323,
IF(H294="AnMP",Pole_Calc!A324,
IF(H294="A",Pole_Calc!A325,
IF(H294="S/A",Pole_Calc!A326,
IF(H294="A/S",Pole_Calc!A327,"Poner a mano")))))))</f>
        <v/>
      </c>
      <c r="BE294" s="448" t="s">
        <v>1726</v>
      </c>
      <c r="BF294" s="634"/>
      <c r="BG294" s="634"/>
      <c r="BH294" s="634"/>
      <c r="BI294" s="634"/>
    </row>
    <row r="295" spans="1:61" ht="16.2" customHeight="1">
      <c r="A295" s="12"/>
      <c r="B295" s="446"/>
      <c r="C295" s="89"/>
      <c r="D295" s="13"/>
      <c r="E295" s="14"/>
      <c r="F295" s="14"/>
      <c r="G295" s="15"/>
      <c r="H295" s="8"/>
      <c r="I295" s="8"/>
      <c r="J295" s="89"/>
      <c r="K295" s="8"/>
      <c r="L295" s="8"/>
      <c r="M295" s="8" t="str">
        <f>IF(L295="","",
IF(AX295="PT",VLOOKUP(L295,Foundation_Calc!$V$4:$X$37,VLOOKUP(AX295,Foundation_Calc!$I$10:$J$13,2,FALSE),0),
IF(AX295="K",VLOOKUP(L295,Foundation_Calc!$V$41:$X$74,VLOOKUP(AX295,Foundation_Calc!$I$10:$J$13,2,FALSE),0),"")))</f>
        <v/>
      </c>
      <c r="N295" s="8"/>
      <c r="O295" s="8"/>
      <c r="P295" s="8"/>
      <c r="Q295" s="14"/>
      <c r="R295" s="15"/>
      <c r="S295" s="15"/>
      <c r="T295" s="14"/>
      <c r="U295" s="14"/>
      <c r="V295" s="14"/>
      <c r="W295" s="18"/>
      <c r="X295" s="18"/>
      <c r="Y295" s="18"/>
      <c r="Z295" s="18"/>
      <c r="AA295" s="18"/>
      <c r="AB295" s="18"/>
      <c r="AC295" s="8" t="str">
        <f t="shared" si="86"/>
        <v/>
      </c>
      <c r="AD295" s="8"/>
      <c r="AE295" s="8"/>
      <c r="AF295" s="14"/>
      <c r="AG295" s="13"/>
      <c r="AH295" s="14"/>
      <c r="AI295" s="14"/>
      <c r="AJ295" s="8"/>
      <c r="AK295" s="8"/>
      <c r="AL295" s="8"/>
      <c r="AM295" s="8"/>
      <c r="AN295" s="631"/>
      <c r="AO295" s="18"/>
      <c r="AP295" s="18"/>
      <c r="AQ295" s="18"/>
      <c r="AR295" s="18"/>
      <c r="AS295" s="18"/>
      <c r="AU295" s="448"/>
      <c r="AV295" s="448"/>
      <c r="AW295" s="8" t="str">
        <f>IF(C295&gt;0,VLOOKUP(C295,Foundation_Calc!$A$2:$C$986,3,1),
IF(J295&gt;0,VLOOKUP(J295,Foundation_Calc!$A$2:$C$986,3,1),""))</f>
        <v/>
      </c>
      <c r="AX295" s="8" t="str">
        <f>IF(C295&gt;0,VLOOKUP(C295,Foundation_Calc!$E$2:$G$986,3,1),
IF(J295&gt;0,VLOOKUP(J295,Foundation_Calc!$E$2:$G$986,3,1),""))</f>
        <v/>
      </c>
      <c r="AY295" s="631" t="str">
        <f>IF(L295="","",
IF(AX295="PT",VLOOKUP(L295,Foundation_Calc!$K$4:$R$37,VLOOKUP(AW295,Foundation_Calc!$I$2:$J$8,2,FALSE),0),
IF(AX295="K",VLOOKUP(L295,Foundation_Calc!$K$41:$R$74,VLOOKUP(AW295,Foundation_Calc!$I$2:$J$8,2,FALSE),0),"")))</f>
        <v/>
      </c>
      <c r="AZ295" s="631" t="str">
        <f>IF(K295="","",
IF(AX295="PT",VLOOKUP(K295,Foundation_Calc!$K$4:$R$37,VLOOKUP(AW295,Foundation_Calc!$I$2:$J$8,2,FALSE),0),
IF(AX295="K",VLOOKUP(K295,Foundation_Calc!$K$41:$R$74,VLOOKUP(AW295,Foundation_Calc!$I$2:$J$8,2,FALSE),0),"")))</f>
        <v/>
      </c>
      <c r="BA295" s="632" t="str">
        <f t="shared" si="87"/>
        <v/>
      </c>
      <c r="BB295" s="632" t="str">
        <f t="shared" si="88"/>
        <v/>
      </c>
      <c r="BC295" s="632" t="str">
        <f t="shared" si="89"/>
        <v/>
      </c>
      <c r="BD295" s="633" t="str">
        <f>IF(AND(L295="",H295=""),"",
IF(H295="",Pole_Calc!A323,
IF(H295="MP",Pole_Calc!A324,
IF(H295="AnMP",Pole_Calc!A325,
IF(H295="A",Pole_Calc!A326,
IF(H295="S/A",Pole_Calc!A327,
IF(H295="A/S",Pole_Calc!A328,"Poner a mano")))))))</f>
        <v/>
      </c>
      <c r="BE295" s="448" t="s">
        <v>1726</v>
      </c>
      <c r="BF295" s="635"/>
      <c r="BG295" s="635"/>
      <c r="BH295" s="634"/>
      <c r="BI295" s="635"/>
    </row>
    <row r="296" spans="1:61" ht="16.2" customHeight="1">
      <c r="A296" s="12"/>
      <c r="B296" s="446"/>
      <c r="C296" s="89"/>
      <c r="D296" s="13"/>
      <c r="E296" s="14"/>
      <c r="F296" s="14"/>
      <c r="G296" s="15"/>
      <c r="H296" s="8"/>
      <c r="I296" s="8"/>
      <c r="J296" s="89"/>
      <c r="K296" s="8"/>
      <c r="L296" s="8"/>
      <c r="M296" s="8" t="str">
        <f>IF(L296="","",
IF(AX296="PT",VLOOKUP(L296,Foundation_Calc!$V$4:$X$37,VLOOKUP(AX296,Foundation_Calc!$I$10:$J$13,2,FALSE),0),
IF(AX296="K",VLOOKUP(L296,Foundation_Calc!$V$41:$X$74,VLOOKUP(AX296,Foundation_Calc!$I$10:$J$13,2,FALSE),0),"")))</f>
        <v/>
      </c>
      <c r="N296" s="8"/>
      <c r="O296" s="8"/>
      <c r="P296" s="8"/>
      <c r="Q296" s="14"/>
      <c r="R296" s="15"/>
      <c r="S296" s="15"/>
      <c r="T296" s="14"/>
      <c r="U296" s="14"/>
      <c r="V296" s="14"/>
      <c r="W296" s="18"/>
      <c r="X296" s="18"/>
      <c r="Y296" s="18"/>
      <c r="Z296" s="18"/>
      <c r="AA296" s="18"/>
      <c r="AB296" s="18"/>
      <c r="AC296" s="8" t="str">
        <f t="shared" si="86"/>
        <v/>
      </c>
      <c r="AD296" s="8"/>
      <c r="AE296" s="8"/>
      <c r="AF296" s="14"/>
      <c r="AG296" s="13"/>
      <c r="AH296" s="14"/>
      <c r="AI296" s="14"/>
      <c r="AJ296" s="8"/>
      <c r="AK296" s="8"/>
      <c r="AL296" s="8"/>
      <c r="AM296" s="8"/>
      <c r="AN296" s="631"/>
      <c r="AO296" s="18"/>
      <c r="AP296" s="18"/>
      <c r="AQ296" s="18"/>
      <c r="AR296" s="18"/>
      <c r="AS296" s="18"/>
      <c r="AU296" s="448"/>
      <c r="AV296" s="448"/>
      <c r="AW296" s="8" t="str">
        <f>IF(C296&gt;0,VLOOKUP(C296,Foundation_Calc!$A$2:$C$986,3,1),
IF(J296&gt;0,VLOOKUP(J296,Foundation_Calc!$A$2:$C$986,3,1),""))</f>
        <v/>
      </c>
      <c r="AX296" s="8" t="str">
        <f>IF(C296&gt;0,VLOOKUP(C296,Foundation_Calc!$E$2:$G$986,3,1),
IF(J296&gt;0,VLOOKUP(J296,Foundation_Calc!$E$2:$G$986,3,1),""))</f>
        <v/>
      </c>
      <c r="AY296" s="631" t="str">
        <f>IF(L296="","",
IF(AX296="PT",VLOOKUP(L296,Foundation_Calc!$K$4:$R$37,VLOOKUP(AW296,Foundation_Calc!$I$2:$J$8,2,FALSE),0),
IF(AX296="K",VLOOKUP(L296,Foundation_Calc!$K$41:$R$74,VLOOKUP(AW296,Foundation_Calc!$I$2:$J$8,2,FALSE),0),"")))</f>
        <v/>
      </c>
      <c r="AZ296" s="631" t="str">
        <f>IF(K296="","",
IF(AX296="PT",VLOOKUP(K296,Foundation_Calc!$K$4:$R$37,VLOOKUP(AW296,Foundation_Calc!$I$2:$J$8,2,FALSE),0),
IF(AX296="K",VLOOKUP(K296,Foundation_Calc!$K$41:$R$74,VLOOKUP(AW296,Foundation_Calc!$I$2:$J$8,2,FALSE),0),"")))</f>
        <v/>
      </c>
      <c r="BA296" s="632" t="str">
        <f t="shared" si="87"/>
        <v/>
      </c>
      <c r="BB296" s="632" t="str">
        <f t="shared" si="88"/>
        <v/>
      </c>
      <c r="BC296" s="632" t="str">
        <f t="shared" si="89"/>
        <v/>
      </c>
      <c r="BD296" s="633" t="str">
        <f>IF(AND(L296="",H296=""),"",
IF(H296="",Pole_Calc!A324,
IF(H296="MP",Pole_Calc!A325,
IF(H296="AnMP",Pole_Calc!A326,
IF(H296="A",Pole_Calc!A327,
IF(H296="S/A",Pole_Calc!A328,
IF(H296="A/S",Pole_Calc!A329,"Poner a mano")))))))</f>
        <v/>
      </c>
      <c r="BE296" s="448" t="s">
        <v>1726</v>
      </c>
      <c r="BF296" s="634"/>
      <c r="BG296" s="634"/>
      <c r="BH296" s="634"/>
      <c r="BI296" s="634"/>
    </row>
    <row r="297" spans="1:61" ht="16.2" customHeight="1">
      <c r="A297" s="12"/>
      <c r="B297" s="446"/>
      <c r="C297" s="89"/>
      <c r="D297" s="13"/>
      <c r="E297" s="14"/>
      <c r="F297" s="14"/>
      <c r="G297" s="15"/>
      <c r="H297" s="8"/>
      <c r="I297" s="8"/>
      <c r="J297" s="89"/>
      <c r="K297" s="8"/>
      <c r="L297" s="8"/>
      <c r="M297" s="8" t="str">
        <f>IF(L297="","",
IF(AX297="PT",VLOOKUP(L297,Foundation_Calc!$V$4:$X$37,VLOOKUP(AX297,Foundation_Calc!$I$10:$J$13,2,FALSE),0),
IF(AX297="K",VLOOKUP(L297,Foundation_Calc!$V$41:$X$74,VLOOKUP(AX297,Foundation_Calc!$I$10:$J$13,2,FALSE),0),"")))</f>
        <v/>
      </c>
      <c r="N297" s="8"/>
      <c r="O297" s="8"/>
      <c r="P297" s="8"/>
      <c r="Q297" s="14"/>
      <c r="R297" s="15"/>
      <c r="S297" s="15"/>
      <c r="T297" s="14"/>
      <c r="U297" s="14"/>
      <c r="V297" s="14"/>
      <c r="W297" s="18"/>
      <c r="X297" s="18"/>
      <c r="Y297" s="18"/>
      <c r="Z297" s="18"/>
      <c r="AA297" s="18"/>
      <c r="AB297" s="18"/>
      <c r="AC297" s="8" t="str">
        <f t="shared" si="86"/>
        <v/>
      </c>
      <c r="AD297" s="8"/>
      <c r="AE297" s="8"/>
      <c r="AF297" s="14"/>
      <c r="AG297" s="13"/>
      <c r="AH297" s="14"/>
      <c r="AI297" s="14"/>
      <c r="AJ297" s="8"/>
      <c r="AK297" s="8"/>
      <c r="AL297" s="8"/>
      <c r="AM297" s="8"/>
      <c r="AN297" s="631"/>
      <c r="AO297" s="18"/>
      <c r="AP297" s="18"/>
      <c r="AQ297" s="18"/>
      <c r="AR297" s="18"/>
      <c r="AS297" s="18"/>
      <c r="AU297" s="448"/>
      <c r="AV297" s="448"/>
      <c r="AW297" s="8" t="str">
        <f>IF(C297&gt;0,VLOOKUP(C297,Foundation_Calc!$A$2:$C$986,3,1),
IF(J297&gt;0,VLOOKUP(J297,Foundation_Calc!$A$2:$C$986,3,1),""))</f>
        <v/>
      </c>
      <c r="AX297" s="8" t="str">
        <f>IF(C297&gt;0,VLOOKUP(C297,Foundation_Calc!$E$2:$G$986,3,1),
IF(J297&gt;0,VLOOKUP(J297,Foundation_Calc!$E$2:$G$986,3,1),""))</f>
        <v/>
      </c>
      <c r="AY297" s="631" t="str">
        <f>IF(L297="","",
IF(AX297="PT",VLOOKUP(L297,Foundation_Calc!$K$4:$R$37,VLOOKUP(AW297,Foundation_Calc!$I$2:$J$8,2,FALSE),0),
IF(AX297="K",VLOOKUP(L297,Foundation_Calc!$K$41:$R$74,VLOOKUP(AW297,Foundation_Calc!$I$2:$J$8,2,FALSE),0),"")))</f>
        <v/>
      </c>
      <c r="AZ297" s="631" t="str">
        <f>IF(K297="","",
IF(AX297="PT",VLOOKUP(K297,Foundation_Calc!$K$4:$R$37,VLOOKUP(AW297,Foundation_Calc!$I$2:$J$8,2,FALSE),0),
IF(AX297="K",VLOOKUP(K297,Foundation_Calc!$K$41:$R$74,VLOOKUP(AW297,Foundation_Calc!$I$2:$J$8,2,FALSE),0),"")))</f>
        <v/>
      </c>
      <c r="BA297" s="632" t="str">
        <f t="shared" si="87"/>
        <v/>
      </c>
      <c r="BB297" s="632" t="str">
        <f t="shared" si="88"/>
        <v/>
      </c>
      <c r="BC297" s="632" t="str">
        <f t="shared" si="89"/>
        <v/>
      </c>
      <c r="BD297" s="633" t="str">
        <f>IF(AND(L297="",H297=""),"",
IF(H297="",Pole_Calc!A325,
IF(H297="MP",Pole_Calc!A326,
IF(H297="AnMP",Pole_Calc!A327,
IF(H297="A",Pole_Calc!A328,
IF(H297="S/A",Pole_Calc!A329,
IF(H297="A/S",Pole_Calc!A330,"Poner a mano")))))))</f>
        <v/>
      </c>
      <c r="BE297" s="448" t="s">
        <v>1726</v>
      </c>
      <c r="BF297" s="635"/>
      <c r="BG297" s="635"/>
      <c r="BH297" s="634"/>
      <c r="BI297" s="635"/>
    </row>
    <row r="298" spans="1:61" ht="16.2" customHeight="1">
      <c r="A298" s="12"/>
      <c r="B298" s="446"/>
      <c r="C298" s="89"/>
      <c r="D298" s="13"/>
      <c r="E298" s="14"/>
      <c r="F298" s="14"/>
      <c r="G298" s="15"/>
      <c r="H298" s="8"/>
      <c r="I298" s="8"/>
      <c r="J298" s="89"/>
      <c r="K298" s="8"/>
      <c r="L298" s="8"/>
      <c r="M298" s="8" t="str">
        <f>IF(L298="","",
IF(AX298="PT",VLOOKUP(L298,Foundation_Calc!$V$4:$X$37,VLOOKUP(AX298,Foundation_Calc!$I$10:$J$13,2,FALSE),0),
IF(AX298="K",VLOOKUP(L298,Foundation_Calc!$V$41:$X$74,VLOOKUP(AX298,Foundation_Calc!$I$10:$J$13,2,FALSE),0),"")))</f>
        <v/>
      </c>
      <c r="N298" s="8"/>
      <c r="O298" s="8"/>
      <c r="P298" s="8"/>
      <c r="Q298" s="14"/>
      <c r="R298" s="15"/>
      <c r="S298" s="15"/>
      <c r="T298" s="14"/>
      <c r="U298" s="14"/>
      <c r="V298" s="14"/>
      <c r="W298" s="18"/>
      <c r="X298" s="18"/>
      <c r="Y298" s="18"/>
      <c r="Z298" s="18"/>
      <c r="AA298" s="18"/>
      <c r="AB298" s="18"/>
      <c r="AC298" s="8" t="str">
        <f t="shared" si="86"/>
        <v/>
      </c>
      <c r="AD298" s="8"/>
      <c r="AE298" s="8"/>
      <c r="AF298" s="14"/>
      <c r="AG298" s="13"/>
      <c r="AH298" s="14"/>
      <c r="AI298" s="14"/>
      <c r="AJ298" s="8"/>
      <c r="AK298" s="8"/>
      <c r="AL298" s="8"/>
      <c r="AM298" s="8"/>
      <c r="AN298" s="631"/>
      <c r="AO298" s="18"/>
      <c r="AP298" s="18"/>
      <c r="AQ298" s="18"/>
      <c r="AR298" s="18"/>
      <c r="AS298" s="18"/>
      <c r="AU298" s="448"/>
      <c r="AV298" s="448"/>
      <c r="AW298" s="8" t="str">
        <f>IF(C298&gt;0,VLOOKUP(C298,Foundation_Calc!$A$2:$C$986,3,1),
IF(J298&gt;0,VLOOKUP(J298,Foundation_Calc!$A$2:$C$986,3,1),""))</f>
        <v/>
      </c>
      <c r="AX298" s="8" t="str">
        <f>IF(C298&gt;0,VLOOKUP(C298,Foundation_Calc!$E$2:$G$986,3,1),
IF(J298&gt;0,VLOOKUP(J298,Foundation_Calc!$E$2:$G$986,3,1),""))</f>
        <v/>
      </c>
      <c r="AY298" s="631" t="str">
        <f>IF(L298="","",
IF(AX298="PT",VLOOKUP(L298,Foundation_Calc!$K$4:$R$37,VLOOKUP(AW298,Foundation_Calc!$I$2:$J$8,2,FALSE),0),
IF(AX298="K",VLOOKUP(L298,Foundation_Calc!$K$41:$R$74,VLOOKUP(AW298,Foundation_Calc!$I$2:$J$8,2,FALSE),0),"")))</f>
        <v/>
      </c>
      <c r="AZ298" s="631" t="str">
        <f>IF(K298="","",
IF(AX298="PT",VLOOKUP(K298,Foundation_Calc!$K$4:$R$37,VLOOKUP(AW298,Foundation_Calc!$I$2:$J$8,2,FALSE),0),
IF(AX298="K",VLOOKUP(K298,Foundation_Calc!$K$41:$R$74,VLOOKUP(AW298,Foundation_Calc!$I$2:$J$8,2,FALSE),0),"")))</f>
        <v/>
      </c>
      <c r="BA298" s="632" t="str">
        <f t="shared" si="87"/>
        <v/>
      </c>
      <c r="BB298" s="632" t="str">
        <f t="shared" si="88"/>
        <v/>
      </c>
      <c r="BC298" s="632" t="str">
        <f t="shared" si="89"/>
        <v/>
      </c>
      <c r="BD298" s="633" t="str">
        <f>IF(AND(L298="",H298=""),"",
IF(H298="",Pole_Calc!A326,
IF(H298="MP",Pole_Calc!A327,
IF(H298="AnMP",Pole_Calc!A328,
IF(H298="A",Pole_Calc!A329,
IF(H298="S/A",Pole_Calc!A330,
IF(H298="A/S",Pole_Calc!A331,"Poner a mano")))))))</f>
        <v/>
      </c>
      <c r="BE298" s="448" t="s">
        <v>1726</v>
      </c>
      <c r="BF298" s="634"/>
      <c r="BG298" s="634"/>
      <c r="BH298" s="634"/>
      <c r="BI298" s="634"/>
    </row>
    <row r="299" spans="1:61" ht="16.2" customHeight="1">
      <c r="A299" s="12"/>
      <c r="B299" s="446"/>
      <c r="C299" s="89"/>
      <c r="D299" s="13"/>
      <c r="E299" s="14"/>
      <c r="F299" s="14"/>
      <c r="G299" s="15"/>
      <c r="H299" s="8"/>
      <c r="I299" s="8"/>
      <c r="J299" s="89"/>
      <c r="K299" s="8"/>
      <c r="L299" s="8"/>
      <c r="M299" s="8" t="str">
        <f>IF(L299="","",
IF(AX299="PT",VLOOKUP(L299,Foundation_Calc!$V$4:$X$37,VLOOKUP(AX299,Foundation_Calc!$I$10:$J$13,2,FALSE),0),
IF(AX299="K",VLOOKUP(L299,Foundation_Calc!$V$41:$X$74,VLOOKUP(AX299,Foundation_Calc!$I$10:$J$13,2,FALSE),0),"")))</f>
        <v/>
      </c>
      <c r="N299" s="8"/>
      <c r="O299" s="8"/>
      <c r="P299" s="8"/>
      <c r="Q299" s="14"/>
      <c r="R299" s="15"/>
      <c r="S299" s="15"/>
      <c r="T299" s="14"/>
      <c r="U299" s="14"/>
      <c r="V299" s="14"/>
      <c r="W299" s="18"/>
      <c r="X299" s="18"/>
      <c r="Y299" s="18"/>
      <c r="Z299" s="18"/>
      <c r="AA299" s="18"/>
      <c r="AB299" s="18"/>
      <c r="AC299" s="8" t="str">
        <f t="shared" si="86"/>
        <v/>
      </c>
      <c r="AD299" s="8"/>
      <c r="AE299" s="8"/>
      <c r="AF299" s="14"/>
      <c r="AG299" s="13"/>
      <c r="AH299" s="14"/>
      <c r="AI299" s="14"/>
      <c r="AJ299" s="8"/>
      <c r="AK299" s="8"/>
      <c r="AL299" s="8"/>
      <c r="AM299" s="8"/>
      <c r="AN299" s="631"/>
      <c r="AO299" s="18"/>
      <c r="AP299" s="18"/>
      <c r="AQ299" s="18"/>
      <c r="AR299" s="18"/>
      <c r="AS299" s="18"/>
      <c r="AU299" s="448"/>
      <c r="AV299" s="448"/>
      <c r="AW299" s="8" t="str">
        <f>IF(C299&gt;0,VLOOKUP(C299,Foundation_Calc!$A$2:$C$986,3,1),
IF(J299&gt;0,VLOOKUP(J299,Foundation_Calc!$A$2:$C$986,3,1),""))</f>
        <v/>
      </c>
      <c r="AX299" s="8" t="str">
        <f>IF(C299&gt;0,VLOOKUP(C299,Foundation_Calc!$E$2:$G$986,3,1),
IF(J299&gt;0,VLOOKUP(J299,Foundation_Calc!$E$2:$G$986,3,1),""))</f>
        <v/>
      </c>
      <c r="AY299" s="631" t="str">
        <f>IF(L299="","",
IF(AX299="PT",VLOOKUP(L299,Foundation_Calc!$K$4:$R$37,VLOOKUP(AW299,Foundation_Calc!$I$2:$J$8,2,FALSE),0),
IF(AX299="K",VLOOKUP(L299,Foundation_Calc!$K$41:$R$74,VLOOKUP(AW299,Foundation_Calc!$I$2:$J$8,2,FALSE),0),"")))</f>
        <v/>
      </c>
      <c r="AZ299" s="631" t="str">
        <f>IF(K299="","",
IF(AX299="PT",VLOOKUP(K299,Foundation_Calc!$K$4:$R$37,VLOOKUP(AW299,Foundation_Calc!$I$2:$J$8,2,FALSE),0),
IF(AX299="K",VLOOKUP(K299,Foundation_Calc!$K$41:$R$74,VLOOKUP(AW299,Foundation_Calc!$I$2:$J$8,2,FALSE),0),"")))</f>
        <v/>
      </c>
      <c r="BA299" s="632" t="str">
        <f t="shared" si="87"/>
        <v/>
      </c>
      <c r="BB299" s="632" t="str">
        <f t="shared" si="88"/>
        <v/>
      </c>
      <c r="BC299" s="632" t="str">
        <f t="shared" si="89"/>
        <v/>
      </c>
      <c r="BD299" s="633" t="str">
        <f>IF(AND(L299="",H299=""),"",
IF(H299="",Pole_Calc!A327,
IF(H299="MP",Pole_Calc!A328,
IF(H299="AnMP",Pole_Calc!A329,
IF(H299="A",Pole_Calc!A330,
IF(H299="S/A",Pole_Calc!A331,
IF(H299="A/S",Pole_Calc!A332,"Poner a mano")))))))</f>
        <v/>
      </c>
      <c r="BE299" s="448" t="s">
        <v>1726</v>
      </c>
      <c r="BF299" s="635"/>
      <c r="BG299" s="635"/>
      <c r="BH299" s="634"/>
      <c r="BI299" s="635"/>
    </row>
    <row r="300" spans="1:61" ht="16.2" customHeight="1">
      <c r="A300" s="12"/>
      <c r="B300" s="446"/>
      <c r="C300" s="89"/>
      <c r="D300" s="13"/>
      <c r="E300" s="14"/>
      <c r="F300" s="14"/>
      <c r="G300" s="15"/>
      <c r="H300" s="8"/>
      <c r="I300" s="8"/>
      <c r="J300" s="89"/>
      <c r="K300" s="8"/>
      <c r="L300" s="8"/>
      <c r="M300" s="8" t="str">
        <f>IF(L300="","",
IF(AX300="PT",VLOOKUP(L300,Foundation_Calc!$V$4:$X$37,VLOOKUP(AX300,Foundation_Calc!$I$10:$J$13,2,FALSE),0),
IF(AX300="K",VLOOKUP(L300,Foundation_Calc!$V$41:$X$74,VLOOKUP(AX300,Foundation_Calc!$I$10:$J$13,2,FALSE),0),"")))</f>
        <v/>
      </c>
      <c r="N300" s="8"/>
      <c r="O300" s="8"/>
      <c r="P300" s="8"/>
      <c r="Q300" s="14"/>
      <c r="R300" s="15"/>
      <c r="S300" s="15"/>
      <c r="T300" s="14"/>
      <c r="U300" s="14"/>
      <c r="V300" s="14"/>
      <c r="W300" s="18"/>
      <c r="X300" s="18"/>
      <c r="Y300" s="18"/>
      <c r="Z300" s="18"/>
      <c r="AA300" s="18"/>
      <c r="AB300" s="18"/>
      <c r="AC300" s="8" t="str">
        <f t="shared" si="86"/>
        <v/>
      </c>
      <c r="AD300" s="8"/>
      <c r="AE300" s="8"/>
      <c r="AF300" s="14"/>
      <c r="AG300" s="13"/>
      <c r="AH300" s="14"/>
      <c r="AI300" s="14"/>
      <c r="AJ300" s="8"/>
      <c r="AK300" s="8"/>
      <c r="AL300" s="8"/>
      <c r="AM300" s="8"/>
      <c r="AN300" s="631"/>
      <c r="AO300" s="18"/>
      <c r="AP300" s="18"/>
      <c r="AQ300" s="18"/>
      <c r="AR300" s="18"/>
      <c r="AS300" s="18"/>
      <c r="AU300" s="448"/>
      <c r="AV300" s="448"/>
      <c r="AW300" s="8" t="str">
        <f>IF(C300&gt;0,VLOOKUP(C300,Foundation_Calc!$A$2:$C$986,3,1),
IF(J300&gt;0,VLOOKUP(J300,Foundation_Calc!$A$2:$C$986,3,1),""))</f>
        <v/>
      </c>
      <c r="AX300" s="8" t="str">
        <f>IF(C300&gt;0,VLOOKUP(C300,Foundation_Calc!$E$2:$G$986,3,1),
IF(J300&gt;0,VLOOKUP(J300,Foundation_Calc!$E$2:$G$986,3,1),""))</f>
        <v/>
      </c>
      <c r="AY300" s="631" t="str">
        <f>IF(L300="","",
IF(AX300="PT",VLOOKUP(L300,Foundation_Calc!$K$4:$R$37,VLOOKUP(AW300,Foundation_Calc!$I$2:$J$8,2,FALSE),0),
IF(AX300="K",VLOOKUP(L300,Foundation_Calc!$K$41:$R$74,VLOOKUP(AW300,Foundation_Calc!$I$2:$J$8,2,FALSE),0),"")))</f>
        <v/>
      </c>
      <c r="AZ300" s="631" t="str">
        <f>IF(K300="","",
IF(AX300="PT",VLOOKUP(K300,Foundation_Calc!$K$4:$R$37,VLOOKUP(AW300,Foundation_Calc!$I$2:$J$8,2,FALSE),0),
IF(AX300="K",VLOOKUP(K300,Foundation_Calc!$K$41:$R$74,VLOOKUP(AW300,Foundation_Calc!$I$2:$J$8,2,FALSE),0),"")))</f>
        <v/>
      </c>
      <c r="BA300" s="632" t="str">
        <f t="shared" si="87"/>
        <v/>
      </c>
      <c r="BB300" s="632" t="str">
        <f t="shared" si="88"/>
        <v/>
      </c>
      <c r="BC300" s="632" t="str">
        <f t="shared" si="89"/>
        <v/>
      </c>
      <c r="BD300" s="633" t="str">
        <f>IF(AND(L300="",H300=""),"",
IF(H300="",Pole_Calc!A328,
IF(H300="MP",Pole_Calc!A329,
IF(H300="AnMP",Pole_Calc!A330,
IF(H300="A",Pole_Calc!A331,
IF(H300="S/A",Pole_Calc!A332,
IF(H300="A/S",Pole_Calc!A333,"Poner a mano")))))))</f>
        <v/>
      </c>
      <c r="BE300" s="448" t="s">
        <v>1726</v>
      </c>
      <c r="BF300" s="634"/>
      <c r="BG300" s="634"/>
      <c r="BH300" s="634"/>
      <c r="BI300" s="634"/>
    </row>
    <row r="301" spans="1:61" ht="16.2" customHeight="1">
      <c r="A301" s="12"/>
      <c r="B301" s="446"/>
      <c r="C301" s="89"/>
      <c r="D301" s="13"/>
      <c r="E301" s="14"/>
      <c r="F301" s="14"/>
      <c r="G301" s="15"/>
      <c r="H301" s="8"/>
      <c r="I301" s="8"/>
      <c r="J301" s="89"/>
      <c r="K301" s="8"/>
      <c r="L301" s="8"/>
      <c r="M301" s="8" t="str">
        <f>IF(L301="","",
IF(AX301="PT",VLOOKUP(L301,Foundation_Calc!$V$4:$X$37,VLOOKUP(AX301,Foundation_Calc!$I$10:$J$13,2,FALSE),0),
IF(AX301="K",VLOOKUP(L301,Foundation_Calc!$V$41:$X$74,VLOOKUP(AX301,Foundation_Calc!$I$10:$J$13,2,FALSE),0),"")))</f>
        <v/>
      </c>
      <c r="N301" s="8"/>
      <c r="O301" s="8"/>
      <c r="P301" s="8"/>
      <c r="Q301" s="14"/>
      <c r="R301" s="15"/>
      <c r="S301" s="15"/>
      <c r="T301" s="14"/>
      <c r="U301" s="14"/>
      <c r="V301" s="14"/>
      <c r="W301" s="18"/>
      <c r="X301" s="18"/>
      <c r="Y301" s="18"/>
      <c r="Z301" s="18"/>
      <c r="AA301" s="18"/>
      <c r="AB301" s="18"/>
      <c r="AC301" s="8" t="str">
        <f t="shared" si="86"/>
        <v/>
      </c>
      <c r="AD301" s="8"/>
      <c r="AE301" s="8"/>
      <c r="AF301" s="14"/>
      <c r="AG301" s="13"/>
      <c r="AH301" s="14"/>
      <c r="AI301" s="14"/>
      <c r="AJ301" s="8"/>
      <c r="AK301" s="8"/>
      <c r="AL301" s="8"/>
      <c r="AM301" s="8"/>
      <c r="AN301" s="631"/>
      <c r="AO301" s="18"/>
      <c r="AP301" s="18"/>
      <c r="AQ301" s="18"/>
      <c r="AR301" s="18"/>
      <c r="AS301" s="18"/>
      <c r="AU301" s="448"/>
      <c r="AV301" s="448"/>
      <c r="AW301" s="8" t="str">
        <f>IF(C301&gt;0,VLOOKUP(C301,Foundation_Calc!$A$2:$C$986,3,1),
IF(J301&gt;0,VLOOKUP(J301,Foundation_Calc!$A$2:$C$986,3,1),""))</f>
        <v/>
      </c>
      <c r="AX301" s="8" t="str">
        <f>IF(C301&gt;0,VLOOKUP(C301,Foundation_Calc!$E$2:$G$986,3,1),
IF(J301&gt;0,VLOOKUP(J301,Foundation_Calc!$E$2:$G$986,3,1),""))</f>
        <v/>
      </c>
      <c r="AY301" s="631" t="str">
        <f>IF(L301="","",
IF(AX301="PT",VLOOKUP(L301,Foundation_Calc!$K$4:$R$37,VLOOKUP(AW301,Foundation_Calc!$I$2:$J$8,2,FALSE),0),
IF(AX301="K",VLOOKUP(L301,Foundation_Calc!$K$41:$R$74,VLOOKUP(AW301,Foundation_Calc!$I$2:$J$8,2,FALSE),0),"")))</f>
        <v/>
      </c>
      <c r="AZ301" s="631" t="str">
        <f>IF(K301="","",
IF(AX301="PT",VLOOKUP(K301,Foundation_Calc!$K$4:$R$37,VLOOKUP(AW301,Foundation_Calc!$I$2:$J$8,2,FALSE),0),
IF(AX301="K",VLOOKUP(K301,Foundation_Calc!$K$41:$R$74,VLOOKUP(AW301,Foundation_Calc!$I$2:$J$8,2,FALSE),0),"")))</f>
        <v/>
      </c>
      <c r="BA301" s="632" t="str">
        <f t="shared" si="87"/>
        <v/>
      </c>
      <c r="BB301" s="632" t="str">
        <f t="shared" si="88"/>
        <v/>
      </c>
      <c r="BC301" s="632" t="str">
        <f t="shared" si="89"/>
        <v/>
      </c>
      <c r="BD301" s="633" t="str">
        <f>IF(AND(L301="",H301=""),"",
IF(H301="",Pole_Calc!A329,
IF(H301="MP",Pole_Calc!A330,
IF(H301="AnMP",Pole_Calc!A331,
IF(H301="A",Pole_Calc!A332,
IF(H301="S/A",Pole_Calc!A333,
IF(H301="A/S",Pole_Calc!A334,"Poner a mano")))))))</f>
        <v/>
      </c>
      <c r="BE301" s="448" t="s">
        <v>1726</v>
      </c>
      <c r="BF301" s="635"/>
      <c r="BG301" s="635"/>
      <c r="BH301" s="634"/>
      <c r="BI301" s="635"/>
    </row>
    <row r="302" spans="1:61" ht="16.2" customHeight="1">
      <c r="A302" s="12"/>
      <c r="B302" s="446"/>
      <c r="C302" s="89"/>
      <c r="D302" s="13"/>
      <c r="E302" s="14"/>
      <c r="F302" s="14"/>
      <c r="G302" s="15"/>
      <c r="H302" s="8"/>
      <c r="I302" s="8"/>
      <c r="J302" s="89"/>
      <c r="K302" s="8"/>
      <c r="L302" s="8"/>
      <c r="M302" s="8" t="str">
        <f>IF(L302="","",
IF(AX302="PT",VLOOKUP(L302,Foundation_Calc!$V$4:$X$37,VLOOKUP(AX302,Foundation_Calc!$I$10:$J$13,2,FALSE),0),
IF(AX302="K",VLOOKUP(L302,Foundation_Calc!$V$41:$X$74,VLOOKUP(AX302,Foundation_Calc!$I$10:$J$13,2,FALSE),0),"")))</f>
        <v/>
      </c>
      <c r="N302" s="8"/>
      <c r="O302" s="8"/>
      <c r="P302" s="8"/>
      <c r="Q302" s="14"/>
      <c r="R302" s="15"/>
      <c r="S302" s="15"/>
      <c r="T302" s="14"/>
      <c r="U302" s="14"/>
      <c r="V302" s="14"/>
      <c r="W302" s="18"/>
      <c r="X302" s="18"/>
      <c r="Y302" s="18"/>
      <c r="Z302" s="18"/>
      <c r="AA302" s="18"/>
      <c r="AB302" s="18"/>
      <c r="AC302" s="8" t="str">
        <f t="shared" si="86"/>
        <v/>
      </c>
      <c r="AD302" s="8"/>
      <c r="AE302" s="8"/>
      <c r="AF302" s="14"/>
      <c r="AG302" s="13"/>
      <c r="AH302" s="14"/>
      <c r="AI302" s="14"/>
      <c r="AJ302" s="8"/>
      <c r="AK302" s="8"/>
      <c r="AL302" s="8"/>
      <c r="AM302" s="8"/>
      <c r="AN302" s="631"/>
      <c r="AO302" s="18"/>
      <c r="AP302" s="18"/>
      <c r="AQ302" s="18"/>
      <c r="AR302" s="18"/>
      <c r="AS302" s="18"/>
      <c r="AU302" s="448"/>
      <c r="AV302" s="448"/>
      <c r="AW302" s="8" t="str">
        <f>IF(C302&gt;0,VLOOKUP(C302,Foundation_Calc!$A$2:$C$986,3,1),
IF(J302&gt;0,VLOOKUP(J302,Foundation_Calc!$A$2:$C$986,3,1),""))</f>
        <v/>
      </c>
      <c r="AX302" s="8" t="str">
        <f>IF(C302&gt;0,VLOOKUP(C302,Foundation_Calc!$E$2:$G$986,3,1),
IF(J302&gt;0,VLOOKUP(J302,Foundation_Calc!$E$2:$G$986,3,1),""))</f>
        <v/>
      </c>
      <c r="AY302" s="631" t="str">
        <f>IF(L302="","",
IF(AX302="PT",VLOOKUP(L302,Foundation_Calc!$K$4:$R$37,VLOOKUP(AW302,Foundation_Calc!$I$2:$J$8,2,FALSE),0),
IF(AX302="K",VLOOKUP(L302,Foundation_Calc!$K$41:$R$74,VLOOKUP(AW302,Foundation_Calc!$I$2:$J$8,2,FALSE),0),"")))</f>
        <v/>
      </c>
      <c r="AZ302" s="631" t="str">
        <f>IF(K302="","",
IF(AX302="PT",VLOOKUP(K302,Foundation_Calc!$K$4:$R$37,VLOOKUP(AW302,Foundation_Calc!$I$2:$J$8,2,FALSE),0),
IF(AX302="K",VLOOKUP(K302,Foundation_Calc!$K$41:$R$74,VLOOKUP(AW302,Foundation_Calc!$I$2:$J$8,2,FALSE),0),"")))</f>
        <v/>
      </c>
      <c r="BA302" s="632" t="str">
        <f t="shared" si="87"/>
        <v/>
      </c>
      <c r="BB302" s="632" t="str">
        <f t="shared" si="88"/>
        <v/>
      </c>
      <c r="BC302" s="632" t="str">
        <f t="shared" si="89"/>
        <v/>
      </c>
      <c r="BD302" s="633" t="str">
        <f>IF(AND(L302="",H302=""),"",
IF(H302="",Pole_Calc!A330,
IF(H302="MP",Pole_Calc!A331,
IF(H302="AnMP",Pole_Calc!A332,
IF(H302="A",Pole_Calc!A333,
IF(H302="S/A",Pole_Calc!A334,
IF(H302="A/S",Pole_Calc!A335,"Poner a mano")))))))</f>
        <v/>
      </c>
      <c r="BE302" s="448" t="s">
        <v>1726</v>
      </c>
      <c r="BF302" s="634"/>
      <c r="BG302" s="634"/>
      <c r="BH302" s="634"/>
      <c r="BI302" s="634"/>
    </row>
    <row r="303" spans="1:61" ht="16.2" customHeight="1">
      <c r="A303" s="12"/>
      <c r="B303" s="446"/>
      <c r="C303" s="89"/>
      <c r="D303" s="13"/>
      <c r="E303" s="14"/>
      <c r="F303" s="14"/>
      <c r="G303" s="15"/>
      <c r="H303" s="8"/>
      <c r="I303" s="8"/>
      <c r="J303" s="89"/>
      <c r="K303" s="8"/>
      <c r="L303" s="8"/>
      <c r="M303" s="8" t="str">
        <f>IF(L303="","",
IF(AX303="PT",VLOOKUP(L303,Foundation_Calc!$V$4:$X$37,VLOOKUP(AX303,Foundation_Calc!$I$10:$J$13,2,FALSE),0),
IF(AX303="K",VLOOKUP(L303,Foundation_Calc!$V$41:$X$74,VLOOKUP(AX303,Foundation_Calc!$I$10:$J$13,2,FALSE),0),"")))</f>
        <v/>
      </c>
      <c r="N303" s="8"/>
      <c r="O303" s="8"/>
      <c r="P303" s="8"/>
      <c r="Q303" s="14"/>
      <c r="R303" s="15"/>
      <c r="S303" s="15"/>
      <c r="T303" s="14"/>
      <c r="U303" s="14"/>
      <c r="V303" s="14"/>
      <c r="W303" s="18"/>
      <c r="X303" s="18"/>
      <c r="Y303" s="18"/>
      <c r="Z303" s="18"/>
      <c r="AA303" s="18"/>
      <c r="AB303" s="18"/>
      <c r="AC303" s="8" t="str">
        <f t="shared" si="86"/>
        <v/>
      </c>
      <c r="AD303" s="8"/>
      <c r="AE303" s="8"/>
      <c r="AF303" s="14"/>
      <c r="AG303" s="13"/>
      <c r="AH303" s="14"/>
      <c r="AI303" s="14"/>
      <c r="AJ303" s="8"/>
      <c r="AK303" s="8"/>
      <c r="AL303" s="8"/>
      <c r="AM303" s="8"/>
      <c r="AN303" s="631"/>
      <c r="AO303" s="18"/>
      <c r="AP303" s="18"/>
      <c r="AQ303" s="18"/>
      <c r="AR303" s="18"/>
      <c r="AS303" s="18"/>
      <c r="AU303" s="448"/>
      <c r="AV303" s="448"/>
      <c r="AW303" s="8" t="str">
        <f>IF(C303&gt;0,VLOOKUP(C303,Foundation_Calc!$A$2:$C$986,3,1),
IF(J303&gt;0,VLOOKUP(J303,Foundation_Calc!$A$2:$C$986,3,1),""))</f>
        <v/>
      </c>
      <c r="AX303" s="8" t="str">
        <f>IF(C303&gt;0,VLOOKUP(C303,Foundation_Calc!$E$2:$G$986,3,1),
IF(J303&gt;0,VLOOKUP(J303,Foundation_Calc!$E$2:$G$986,3,1),""))</f>
        <v/>
      </c>
      <c r="AY303" s="631" t="str">
        <f>IF(L303="","",
IF(AX303="PT",VLOOKUP(L303,Foundation_Calc!$K$4:$R$37,VLOOKUP(AW303,Foundation_Calc!$I$2:$J$8,2,FALSE),0),
IF(AX303="K",VLOOKUP(L303,Foundation_Calc!$K$41:$R$74,VLOOKUP(AW303,Foundation_Calc!$I$2:$J$8,2,FALSE),0),"")))</f>
        <v/>
      </c>
      <c r="AZ303" s="631" t="str">
        <f>IF(K303="","",
IF(AX303="PT",VLOOKUP(K303,Foundation_Calc!$K$4:$R$37,VLOOKUP(AW303,Foundation_Calc!$I$2:$J$8,2,FALSE),0),
IF(AX303="K",VLOOKUP(K303,Foundation_Calc!$K$41:$R$74,VLOOKUP(AW303,Foundation_Calc!$I$2:$J$8,2,FALSE),0),"")))</f>
        <v/>
      </c>
      <c r="BA303" s="632" t="str">
        <f t="shared" si="87"/>
        <v/>
      </c>
      <c r="BB303" s="632" t="str">
        <f t="shared" si="88"/>
        <v/>
      </c>
      <c r="BC303" s="632" t="str">
        <f t="shared" si="89"/>
        <v/>
      </c>
      <c r="BD303" s="633" t="str">
        <f>IF(AND(L303="",H303=""),"",
IF(H303="",Pole_Calc!A331,
IF(H303="MP",Pole_Calc!A332,
IF(H303="AnMP",Pole_Calc!A333,
IF(H303="A",Pole_Calc!A334,
IF(H303="S/A",Pole_Calc!A335,
IF(H303="A/S",Pole_Calc!A336,"Poner a mano")))))))</f>
        <v/>
      </c>
      <c r="BE303" s="448" t="s">
        <v>1726</v>
      </c>
      <c r="BF303" s="635"/>
      <c r="BG303" s="635"/>
      <c r="BH303" s="634"/>
      <c r="BI303" s="635"/>
    </row>
    <row r="304" spans="1:61" ht="16.2" customHeight="1">
      <c r="A304" s="12"/>
      <c r="B304" s="446"/>
      <c r="C304" s="89"/>
      <c r="D304" s="13"/>
      <c r="E304" s="14"/>
      <c r="F304" s="14"/>
      <c r="G304" s="15"/>
      <c r="H304" s="8"/>
      <c r="I304" s="8"/>
      <c r="J304" s="89"/>
      <c r="K304" s="8"/>
      <c r="L304" s="8"/>
      <c r="M304" s="8" t="str">
        <f>IF(L304="","",
IF(AX304="PT",VLOOKUP(L304,Foundation_Calc!$V$4:$X$37,VLOOKUP(AX304,Foundation_Calc!$I$10:$J$13,2,FALSE),0),
IF(AX304="K",VLOOKUP(L304,Foundation_Calc!$V$41:$X$74,VLOOKUP(AX304,Foundation_Calc!$I$10:$J$13,2,FALSE),0),"")))</f>
        <v/>
      </c>
      <c r="N304" s="8"/>
      <c r="O304" s="8"/>
      <c r="P304" s="8"/>
      <c r="Q304" s="14"/>
      <c r="R304" s="15"/>
      <c r="S304" s="15"/>
      <c r="T304" s="14"/>
      <c r="U304" s="14"/>
      <c r="V304" s="14"/>
      <c r="W304" s="18"/>
      <c r="X304" s="18"/>
      <c r="Y304" s="18"/>
      <c r="Z304" s="18"/>
      <c r="AA304" s="18"/>
      <c r="AB304" s="18"/>
      <c r="AC304" s="8" t="str">
        <f t="shared" si="86"/>
        <v/>
      </c>
      <c r="AD304" s="8"/>
      <c r="AE304" s="8"/>
      <c r="AF304" s="14"/>
      <c r="AG304" s="13"/>
      <c r="AH304" s="14"/>
      <c r="AI304" s="14"/>
      <c r="AJ304" s="8"/>
      <c r="AK304" s="8"/>
      <c r="AL304" s="8"/>
      <c r="AM304" s="8"/>
      <c r="AN304" s="631"/>
      <c r="AO304" s="18"/>
      <c r="AP304" s="18"/>
      <c r="AQ304" s="18"/>
      <c r="AR304" s="18"/>
      <c r="AS304" s="18"/>
      <c r="AU304" s="448"/>
      <c r="AV304" s="448"/>
      <c r="AW304" s="8" t="str">
        <f>IF(C304&gt;0,VLOOKUP(C304,Foundation_Calc!$A$2:$C$986,3,1),
IF(J304&gt;0,VLOOKUP(J304,Foundation_Calc!$A$2:$C$986,3,1),""))</f>
        <v/>
      </c>
      <c r="AX304" s="8" t="str">
        <f>IF(C304&gt;0,VLOOKUP(C304,Foundation_Calc!$E$2:$G$986,3,1),
IF(J304&gt;0,VLOOKUP(J304,Foundation_Calc!$E$2:$G$986,3,1),""))</f>
        <v/>
      </c>
      <c r="AY304" s="631" t="str">
        <f>IF(L304="","",
IF(AX304="PT",VLOOKUP(L304,Foundation_Calc!$K$4:$R$37,VLOOKUP(AW304,Foundation_Calc!$I$2:$J$8,2,FALSE),0),
IF(AX304="K",VLOOKUP(L304,Foundation_Calc!$K$41:$R$74,VLOOKUP(AW304,Foundation_Calc!$I$2:$J$8,2,FALSE),0),"")))</f>
        <v/>
      </c>
      <c r="AZ304" s="631" t="str">
        <f>IF(K304="","",
IF(AX304="PT",VLOOKUP(K304,Foundation_Calc!$K$4:$R$37,VLOOKUP(AW304,Foundation_Calc!$I$2:$J$8,2,FALSE),0),
IF(AX304="K",VLOOKUP(K304,Foundation_Calc!$K$41:$R$74,VLOOKUP(AW304,Foundation_Calc!$I$2:$J$8,2,FALSE),0),"")))</f>
        <v/>
      </c>
      <c r="BA304" s="632" t="str">
        <f t="shared" si="87"/>
        <v/>
      </c>
      <c r="BB304" s="632" t="str">
        <f t="shared" si="88"/>
        <v/>
      </c>
      <c r="BC304" s="632" t="str">
        <f t="shared" si="89"/>
        <v/>
      </c>
      <c r="BD304" s="633" t="str">
        <f>IF(AND(L304="",H304=""),"",
IF(H304="",Pole_Calc!A332,
IF(H304="MP",Pole_Calc!A333,
IF(H304="AnMP",Pole_Calc!A334,
IF(H304="A",Pole_Calc!A335,
IF(H304="S/A",Pole_Calc!A336,
IF(H304="A/S",Pole_Calc!A337,"Poner a mano")))))))</f>
        <v/>
      </c>
      <c r="BE304" s="448" t="s">
        <v>1726</v>
      </c>
      <c r="BF304" s="634"/>
      <c r="BG304" s="634"/>
      <c r="BH304" s="634"/>
      <c r="BI304" s="634"/>
    </row>
    <row r="305" spans="1:61" ht="16.2" customHeight="1">
      <c r="A305" s="12"/>
      <c r="B305" s="446"/>
      <c r="C305" s="89"/>
      <c r="D305" s="13"/>
      <c r="E305" s="14"/>
      <c r="F305" s="14"/>
      <c r="G305" s="15"/>
      <c r="H305" s="8"/>
      <c r="I305" s="8"/>
      <c r="J305" s="89"/>
      <c r="K305" s="8"/>
      <c r="L305" s="8"/>
      <c r="M305" s="8" t="str">
        <f>IF(L305="","",
IF(AX305="PT",VLOOKUP(L305,Foundation_Calc!$V$4:$X$37,VLOOKUP(AX305,Foundation_Calc!$I$10:$J$13,2,FALSE),0),
IF(AX305="K",VLOOKUP(L305,Foundation_Calc!$V$41:$X$74,VLOOKUP(AX305,Foundation_Calc!$I$10:$J$13,2,FALSE),0),"")))</f>
        <v/>
      </c>
      <c r="N305" s="8"/>
      <c r="O305" s="8"/>
      <c r="P305" s="8"/>
      <c r="Q305" s="14"/>
      <c r="R305" s="15"/>
      <c r="S305" s="15"/>
      <c r="T305" s="14"/>
      <c r="U305" s="14"/>
      <c r="V305" s="14"/>
      <c r="W305" s="18"/>
      <c r="X305" s="18"/>
      <c r="Y305" s="18"/>
      <c r="Z305" s="18"/>
      <c r="AA305" s="18"/>
      <c r="AB305" s="18"/>
      <c r="AC305" s="8" t="str">
        <f t="shared" si="86"/>
        <v/>
      </c>
      <c r="AD305" s="8"/>
      <c r="AE305" s="8"/>
      <c r="AF305" s="14"/>
      <c r="AG305" s="13"/>
      <c r="AH305" s="14"/>
      <c r="AI305" s="14"/>
      <c r="AJ305" s="8"/>
      <c r="AK305" s="8"/>
      <c r="AL305" s="8"/>
      <c r="AM305" s="8"/>
      <c r="AN305" s="631"/>
      <c r="AO305" s="18"/>
      <c r="AP305" s="18"/>
      <c r="AQ305" s="18"/>
      <c r="AR305" s="18"/>
      <c r="AS305" s="18"/>
      <c r="AU305" s="448"/>
      <c r="AV305" s="448"/>
      <c r="AW305" s="8" t="str">
        <f>IF(C305&gt;0,VLOOKUP(C305,Foundation_Calc!$A$2:$C$986,3,1),
IF(J305&gt;0,VLOOKUP(J305,Foundation_Calc!$A$2:$C$986,3,1),""))</f>
        <v/>
      </c>
      <c r="AX305" s="8" t="str">
        <f>IF(C305&gt;0,VLOOKUP(C305,Foundation_Calc!$E$2:$G$986,3,1),
IF(J305&gt;0,VLOOKUP(J305,Foundation_Calc!$E$2:$G$986,3,1),""))</f>
        <v/>
      </c>
      <c r="AY305" s="631" t="str">
        <f>IF(L305="","",
IF(AX305="PT",VLOOKUP(L305,Foundation_Calc!$K$4:$R$37,VLOOKUP(AW305,Foundation_Calc!$I$2:$J$8,2,FALSE),0),
IF(AX305="K",VLOOKUP(L305,Foundation_Calc!$K$41:$R$74,VLOOKUP(AW305,Foundation_Calc!$I$2:$J$8,2,FALSE),0),"")))</f>
        <v/>
      </c>
      <c r="AZ305" s="631" t="str">
        <f>IF(K305="","",
IF(AX305="PT",VLOOKUP(K305,Foundation_Calc!$K$4:$R$37,VLOOKUP(AW305,Foundation_Calc!$I$2:$J$8,2,FALSE),0),
IF(AX305="K",VLOOKUP(K305,Foundation_Calc!$K$41:$R$74,VLOOKUP(AW305,Foundation_Calc!$I$2:$J$8,2,FALSE),0),"")))</f>
        <v/>
      </c>
      <c r="BA305" s="632" t="str">
        <f t="shared" si="87"/>
        <v/>
      </c>
      <c r="BB305" s="632" t="str">
        <f t="shared" si="88"/>
        <v/>
      </c>
      <c r="BC305" s="632" t="str">
        <f t="shared" si="89"/>
        <v/>
      </c>
      <c r="BD305" s="633" t="str">
        <f>IF(AND(L305="",H305=""),"",
IF(H305="",Pole_Calc!A333,
IF(H305="MP",Pole_Calc!A334,
IF(H305="AnMP",Pole_Calc!A335,
IF(H305="A",Pole_Calc!A336,
IF(H305="S/A",Pole_Calc!A337,
IF(H305="A/S",Pole_Calc!A338,"Poner a mano")))))))</f>
        <v/>
      </c>
      <c r="BE305" s="448" t="s">
        <v>1726</v>
      </c>
      <c r="BF305" s="635"/>
      <c r="BG305" s="635"/>
      <c r="BH305" s="634"/>
      <c r="BI305" s="635"/>
    </row>
    <row r="306" spans="1:61" ht="16.2" customHeight="1">
      <c r="A306" s="12"/>
      <c r="B306" s="446"/>
      <c r="C306" s="89"/>
      <c r="D306" s="13"/>
      <c r="E306" s="14"/>
      <c r="F306" s="14"/>
      <c r="G306" s="15"/>
      <c r="H306" s="8"/>
      <c r="I306" s="8"/>
      <c r="J306" s="89"/>
      <c r="K306" s="8"/>
      <c r="L306" s="8"/>
      <c r="M306" s="8" t="str">
        <f>IF(L306="","",
IF(AX306="PT",VLOOKUP(L306,Foundation_Calc!$V$4:$X$37,VLOOKUP(AX306,Foundation_Calc!$I$10:$J$13,2,FALSE),0),
IF(AX306="K",VLOOKUP(L306,Foundation_Calc!$V$41:$X$74,VLOOKUP(AX306,Foundation_Calc!$I$10:$J$13,2,FALSE),0),"")))</f>
        <v/>
      </c>
      <c r="N306" s="8"/>
      <c r="O306" s="8"/>
      <c r="P306" s="8"/>
      <c r="Q306" s="14"/>
      <c r="R306" s="15"/>
      <c r="S306" s="15"/>
      <c r="T306" s="14"/>
      <c r="U306" s="14"/>
      <c r="V306" s="14"/>
      <c r="W306" s="18"/>
      <c r="X306" s="18"/>
      <c r="Y306" s="18"/>
      <c r="Z306" s="18"/>
      <c r="AA306" s="18"/>
      <c r="AB306" s="18"/>
      <c r="AC306" s="8" t="str">
        <f t="shared" si="86"/>
        <v/>
      </c>
      <c r="AD306" s="8"/>
      <c r="AE306" s="8"/>
      <c r="AF306" s="14"/>
      <c r="AG306" s="13"/>
      <c r="AH306" s="14"/>
      <c r="AI306" s="14"/>
      <c r="AJ306" s="8"/>
      <c r="AK306" s="8"/>
      <c r="AL306" s="8"/>
      <c r="AM306" s="8"/>
      <c r="AN306" s="631"/>
      <c r="AO306" s="18"/>
      <c r="AP306" s="18"/>
      <c r="AQ306" s="18"/>
      <c r="AR306" s="18"/>
      <c r="AS306" s="18"/>
      <c r="AU306" s="448"/>
      <c r="AV306" s="448"/>
      <c r="AW306" s="8" t="str">
        <f>IF(C306&gt;0,VLOOKUP(C306,Foundation_Calc!$A$2:$C$986,3,1),
IF(J306&gt;0,VLOOKUP(J306,Foundation_Calc!$A$2:$C$986,3,1),""))</f>
        <v/>
      </c>
      <c r="AX306" s="8" t="str">
        <f>IF(C306&gt;0,VLOOKUP(C306,Foundation_Calc!$E$2:$G$986,3,1),
IF(J306&gt;0,VLOOKUP(J306,Foundation_Calc!$E$2:$G$986,3,1),""))</f>
        <v/>
      </c>
      <c r="AY306" s="631" t="str">
        <f>IF(L306="","",
IF(AX306="PT",VLOOKUP(L306,Foundation_Calc!$K$4:$R$37,VLOOKUP(AW306,Foundation_Calc!$I$2:$J$8,2,FALSE),0),
IF(AX306="K",VLOOKUP(L306,Foundation_Calc!$K$41:$R$74,VLOOKUP(AW306,Foundation_Calc!$I$2:$J$8,2,FALSE),0),"")))</f>
        <v/>
      </c>
      <c r="AZ306" s="631" t="str">
        <f>IF(K306="","",
IF(AX306="PT",VLOOKUP(K306,Foundation_Calc!$K$4:$R$37,VLOOKUP(AW306,Foundation_Calc!$I$2:$J$8,2,FALSE),0),
IF(AX306="K",VLOOKUP(K306,Foundation_Calc!$K$41:$R$74,VLOOKUP(AW306,Foundation_Calc!$I$2:$J$8,2,FALSE),0),"")))</f>
        <v/>
      </c>
      <c r="BA306" s="632" t="str">
        <f t="shared" si="87"/>
        <v/>
      </c>
      <c r="BB306" s="632" t="str">
        <f t="shared" si="88"/>
        <v/>
      </c>
      <c r="BC306" s="632" t="str">
        <f t="shared" si="89"/>
        <v/>
      </c>
      <c r="BD306" s="633" t="str">
        <f>IF(AND(L306="",H306=""),"",
IF(H306="",Pole_Calc!A334,
IF(H306="MP",Pole_Calc!A335,
IF(H306="AnMP",Pole_Calc!A336,
IF(H306="A",Pole_Calc!A337,
IF(H306="S/A",Pole_Calc!A338,
IF(H306="A/S",Pole_Calc!A339,"Poner a mano")))))))</f>
        <v/>
      </c>
      <c r="BE306" s="448" t="s">
        <v>1726</v>
      </c>
      <c r="BF306" s="634"/>
      <c r="BG306" s="634"/>
      <c r="BH306" s="634"/>
      <c r="BI306" s="634"/>
    </row>
    <row r="307" spans="1:61" ht="16.2" customHeight="1">
      <c r="A307" s="12"/>
      <c r="B307" s="446"/>
      <c r="C307" s="89"/>
      <c r="D307" s="13"/>
      <c r="E307" s="14"/>
      <c r="F307" s="14"/>
      <c r="G307" s="15"/>
      <c r="H307" s="8"/>
      <c r="I307" s="8"/>
      <c r="J307" s="89"/>
      <c r="K307" s="8"/>
      <c r="L307" s="8"/>
      <c r="M307" s="8" t="str">
        <f>IF(L307="","",
IF(AX307="PT",VLOOKUP(L307,Foundation_Calc!$V$4:$X$37,VLOOKUP(AX307,Foundation_Calc!$I$10:$J$13,2,FALSE),0),
IF(AX307="K",VLOOKUP(L307,Foundation_Calc!$V$41:$X$74,VLOOKUP(AX307,Foundation_Calc!$I$10:$J$13,2,FALSE),0),"")))</f>
        <v/>
      </c>
      <c r="N307" s="8"/>
      <c r="O307" s="8"/>
      <c r="P307" s="8"/>
      <c r="Q307" s="14"/>
      <c r="R307" s="15"/>
      <c r="S307" s="15"/>
      <c r="T307" s="14"/>
      <c r="U307" s="14"/>
      <c r="V307" s="14"/>
      <c r="W307" s="18"/>
      <c r="X307" s="18"/>
      <c r="Y307" s="18"/>
      <c r="Z307" s="18"/>
      <c r="AA307" s="18"/>
      <c r="AB307" s="18"/>
      <c r="AC307" s="8" t="str">
        <f t="shared" si="86"/>
        <v/>
      </c>
      <c r="AD307" s="8"/>
      <c r="AE307" s="8"/>
      <c r="AF307" s="14"/>
      <c r="AG307" s="13"/>
      <c r="AH307" s="14"/>
      <c r="AI307" s="14"/>
      <c r="AJ307" s="8"/>
      <c r="AK307" s="8"/>
      <c r="AL307" s="8"/>
      <c r="AM307" s="8"/>
      <c r="AN307" s="631"/>
      <c r="AO307" s="18"/>
      <c r="AP307" s="18"/>
      <c r="AQ307" s="18"/>
      <c r="AR307" s="18"/>
      <c r="AS307" s="18"/>
      <c r="AU307" s="448"/>
      <c r="AV307" s="448"/>
      <c r="AW307" s="8" t="str">
        <f>IF(C307&gt;0,VLOOKUP(C307,Foundation_Calc!$A$2:$C$986,3,1),
IF(J307&gt;0,VLOOKUP(J307,Foundation_Calc!$A$2:$C$986,3,1),""))</f>
        <v/>
      </c>
      <c r="AX307" s="8" t="str">
        <f>IF(C307&gt;0,VLOOKUP(C307,Foundation_Calc!$E$2:$G$986,3,1),
IF(J307&gt;0,VLOOKUP(J307,Foundation_Calc!$E$2:$G$986,3,1),""))</f>
        <v/>
      </c>
      <c r="AY307" s="631" t="str">
        <f>IF(L307="","",
IF(AX307="PT",VLOOKUP(L307,Foundation_Calc!$K$4:$R$37,VLOOKUP(AW307,Foundation_Calc!$I$2:$J$8,2,FALSE),0),
IF(AX307="K",VLOOKUP(L307,Foundation_Calc!$K$41:$R$74,VLOOKUP(AW307,Foundation_Calc!$I$2:$J$8,2,FALSE),0),"")))</f>
        <v/>
      </c>
      <c r="AZ307" s="631" t="str">
        <f>IF(K307="","",
IF(AX307="PT",VLOOKUP(K307,Foundation_Calc!$K$4:$R$37,VLOOKUP(AW307,Foundation_Calc!$I$2:$J$8,2,FALSE),0),
IF(AX307="K",VLOOKUP(K307,Foundation_Calc!$K$41:$R$74,VLOOKUP(AW307,Foundation_Calc!$I$2:$J$8,2,FALSE),0),"")))</f>
        <v/>
      </c>
      <c r="BA307" s="632" t="str">
        <f t="shared" si="87"/>
        <v/>
      </c>
      <c r="BB307" s="632" t="str">
        <f t="shared" si="88"/>
        <v/>
      </c>
      <c r="BC307" s="632" t="str">
        <f t="shared" si="89"/>
        <v/>
      </c>
      <c r="BD307" s="633" t="str">
        <f>IF(AND(L307="",H307=""),"",
IF(H307="",Pole_Calc!A335,
IF(H307="MP",Pole_Calc!A336,
IF(H307="AnMP",Pole_Calc!A337,
IF(H307="A",Pole_Calc!A338,
IF(H307="S/A",Pole_Calc!A339,
IF(H307="A/S",Pole_Calc!A340,"Poner a mano")))))))</f>
        <v/>
      </c>
      <c r="BE307" s="448" t="s">
        <v>1726</v>
      </c>
      <c r="BF307" s="635"/>
      <c r="BG307" s="635"/>
      <c r="BH307" s="634"/>
      <c r="BI307" s="635"/>
    </row>
    <row r="308" spans="1:61" ht="16.2" customHeight="1">
      <c r="A308" s="12"/>
      <c r="B308" s="446"/>
      <c r="C308" s="89"/>
      <c r="D308" s="13"/>
      <c r="E308" s="14"/>
      <c r="F308" s="14"/>
      <c r="G308" s="15"/>
      <c r="H308" s="8"/>
      <c r="I308" s="8"/>
      <c r="J308" s="89"/>
      <c r="K308" s="8"/>
      <c r="L308" s="8"/>
      <c r="M308" s="8" t="str">
        <f>IF(L308="","",
IF(AX308="PT",VLOOKUP(L308,Foundation_Calc!$V$4:$X$37,VLOOKUP(AX308,Foundation_Calc!$I$10:$J$13,2,FALSE),0),
IF(AX308="K",VLOOKUP(L308,Foundation_Calc!$V$41:$X$74,VLOOKUP(AX308,Foundation_Calc!$I$10:$J$13,2,FALSE),0),"")))</f>
        <v/>
      </c>
      <c r="N308" s="8"/>
      <c r="O308" s="8"/>
      <c r="P308" s="8"/>
      <c r="Q308" s="14"/>
      <c r="R308" s="15"/>
      <c r="S308" s="15"/>
      <c r="T308" s="14"/>
      <c r="U308" s="14"/>
      <c r="V308" s="14"/>
      <c r="W308" s="18"/>
      <c r="X308" s="18"/>
      <c r="Y308" s="18"/>
      <c r="Z308" s="18"/>
      <c r="AA308" s="18"/>
      <c r="AB308" s="18"/>
      <c r="AC308" s="8" t="str">
        <f t="shared" si="86"/>
        <v/>
      </c>
      <c r="AD308" s="8"/>
      <c r="AE308" s="8"/>
      <c r="AF308" s="14"/>
      <c r="AG308" s="13"/>
      <c r="AH308" s="14"/>
      <c r="AI308" s="14"/>
      <c r="AJ308" s="8"/>
      <c r="AK308" s="8"/>
      <c r="AL308" s="8"/>
      <c r="AM308" s="8"/>
      <c r="AN308" s="631"/>
      <c r="AO308" s="18"/>
      <c r="AP308" s="18"/>
      <c r="AQ308" s="18"/>
      <c r="AR308" s="18"/>
      <c r="AS308" s="18"/>
      <c r="AU308" s="448"/>
      <c r="AV308" s="448"/>
      <c r="AW308" s="8" t="str">
        <f>IF(C308&gt;0,VLOOKUP(C308,Foundation_Calc!$A$2:$C$986,3,1),
IF(J308&gt;0,VLOOKUP(J308,Foundation_Calc!$A$2:$C$986,3,1),""))</f>
        <v/>
      </c>
      <c r="AX308" s="8" t="str">
        <f>IF(C308&gt;0,VLOOKUP(C308,Foundation_Calc!$E$2:$G$986,3,1),
IF(J308&gt;0,VLOOKUP(J308,Foundation_Calc!$E$2:$G$986,3,1),""))</f>
        <v/>
      </c>
      <c r="AY308" s="631" t="str">
        <f>IF(L308="","",
IF(AX308="PT",VLOOKUP(L308,Foundation_Calc!$K$4:$R$37,VLOOKUP(AW308,Foundation_Calc!$I$2:$J$8,2,FALSE),0),
IF(AX308="K",VLOOKUP(L308,Foundation_Calc!$K$41:$R$74,VLOOKUP(AW308,Foundation_Calc!$I$2:$J$8,2,FALSE),0),"")))</f>
        <v/>
      </c>
      <c r="AZ308" s="631" t="str">
        <f>IF(K308="","",
IF(AX308="PT",VLOOKUP(K308,Foundation_Calc!$K$4:$R$37,VLOOKUP(AW308,Foundation_Calc!$I$2:$J$8,2,FALSE),0),
IF(AX308="K",VLOOKUP(K308,Foundation_Calc!$K$41:$R$74,VLOOKUP(AW308,Foundation_Calc!$I$2:$J$8,2,FALSE),0),"")))</f>
        <v/>
      </c>
      <c r="BA308" s="632" t="str">
        <f t="shared" si="87"/>
        <v/>
      </c>
      <c r="BB308" s="632" t="str">
        <f t="shared" si="88"/>
        <v/>
      </c>
      <c r="BC308" s="632" t="str">
        <f t="shared" si="89"/>
        <v/>
      </c>
      <c r="BD308" s="633" t="str">
        <f>IF(AND(L308="",H308=""),"",
IF(H308="",Pole_Calc!A336,
IF(H308="MP",Pole_Calc!A337,
IF(H308="AnMP",Pole_Calc!A338,
IF(H308="A",Pole_Calc!A339,
IF(H308="S/A",Pole_Calc!A340,
IF(H308="A/S",Pole_Calc!A341,"Poner a mano")))))))</f>
        <v/>
      </c>
      <c r="BE308" s="448" t="s">
        <v>1726</v>
      </c>
      <c r="BF308" s="634"/>
      <c r="BG308" s="634"/>
      <c r="BH308" s="634"/>
      <c r="BI308" s="634"/>
    </row>
    <row r="309" spans="1:61" ht="16.2" customHeight="1">
      <c r="A309" s="12"/>
      <c r="B309" s="446"/>
      <c r="C309" s="89"/>
      <c r="D309" s="13"/>
      <c r="E309" s="14"/>
      <c r="F309" s="14"/>
      <c r="G309" s="15"/>
      <c r="H309" s="8"/>
      <c r="I309" s="8"/>
      <c r="J309" s="89"/>
      <c r="K309" s="8"/>
      <c r="L309" s="8"/>
      <c r="M309" s="8" t="str">
        <f>IF(L309="","",
IF(AX309="PT",VLOOKUP(L309,Foundation_Calc!$V$4:$X$37,VLOOKUP(AX309,Foundation_Calc!$I$10:$J$13,2,FALSE),0),
IF(AX309="K",VLOOKUP(L309,Foundation_Calc!$V$41:$X$74,VLOOKUP(AX309,Foundation_Calc!$I$10:$J$13,2,FALSE),0),"")))</f>
        <v/>
      </c>
      <c r="N309" s="8"/>
      <c r="O309" s="8"/>
      <c r="P309" s="8"/>
      <c r="Q309" s="14"/>
      <c r="R309" s="15"/>
      <c r="S309" s="15"/>
      <c r="T309" s="14"/>
      <c r="U309" s="14"/>
      <c r="V309" s="14"/>
      <c r="W309" s="18"/>
      <c r="X309" s="18"/>
      <c r="Y309" s="18"/>
      <c r="Z309" s="18"/>
      <c r="AA309" s="18"/>
      <c r="AB309" s="18"/>
      <c r="AC309" s="8" t="str">
        <f t="shared" si="86"/>
        <v/>
      </c>
      <c r="AD309" s="8"/>
      <c r="AE309" s="8"/>
      <c r="AF309" s="14"/>
      <c r="AG309" s="13"/>
      <c r="AH309" s="14"/>
      <c r="AI309" s="14"/>
      <c r="AJ309" s="8"/>
      <c r="AK309" s="8"/>
      <c r="AL309" s="8"/>
      <c r="AM309" s="8"/>
      <c r="AN309" s="631"/>
      <c r="AO309" s="18"/>
      <c r="AP309" s="18"/>
      <c r="AQ309" s="18"/>
      <c r="AR309" s="18"/>
      <c r="AS309" s="18"/>
      <c r="AU309" s="448"/>
      <c r="AV309" s="448"/>
      <c r="AW309" s="8" t="str">
        <f>IF(C309&gt;0,VLOOKUP(C309,Foundation_Calc!$A$2:$C$986,3,1),
IF(J309&gt;0,VLOOKUP(J309,Foundation_Calc!$A$2:$C$986,3,1),""))</f>
        <v/>
      </c>
      <c r="AX309" s="8" t="str">
        <f>IF(C309&gt;0,VLOOKUP(C309,Foundation_Calc!$E$2:$G$986,3,1),
IF(J309&gt;0,VLOOKUP(J309,Foundation_Calc!$E$2:$G$986,3,1),""))</f>
        <v/>
      </c>
      <c r="AY309" s="631" t="str">
        <f>IF(L309="","",
IF(AX309="PT",VLOOKUP(L309,Foundation_Calc!$K$4:$R$37,VLOOKUP(AW309,Foundation_Calc!$I$2:$J$8,2,FALSE),0),
IF(AX309="K",VLOOKUP(L309,Foundation_Calc!$K$41:$R$74,VLOOKUP(AW309,Foundation_Calc!$I$2:$J$8,2,FALSE),0),"")))</f>
        <v/>
      </c>
      <c r="AZ309" s="631" t="str">
        <f>IF(K309="","",
IF(AX309="PT",VLOOKUP(K309,Foundation_Calc!$K$4:$R$37,VLOOKUP(AW309,Foundation_Calc!$I$2:$J$8,2,FALSE),0),
IF(AX309="K",VLOOKUP(K309,Foundation_Calc!$K$41:$R$74,VLOOKUP(AW309,Foundation_Calc!$I$2:$J$8,2,FALSE),0),"")))</f>
        <v/>
      </c>
      <c r="BA309" s="632" t="str">
        <f t="shared" si="87"/>
        <v/>
      </c>
      <c r="BB309" s="632" t="str">
        <f t="shared" si="88"/>
        <v/>
      </c>
      <c r="BC309" s="632" t="str">
        <f t="shared" si="89"/>
        <v/>
      </c>
      <c r="BD309" s="633" t="str">
        <f>IF(AND(L309="",H309=""),"",
IF(H309="",Pole_Calc!A337,
IF(H309="MP",Pole_Calc!A338,
IF(H309="AnMP",Pole_Calc!A339,
IF(H309="A",Pole_Calc!A340,
IF(H309="S/A",Pole_Calc!A341,
IF(H309="A/S",Pole_Calc!A342,"Poner a mano")))))))</f>
        <v/>
      </c>
      <c r="BE309" s="448" t="s">
        <v>1726</v>
      </c>
      <c r="BF309" s="635"/>
      <c r="BG309" s="635"/>
      <c r="BH309" s="634"/>
      <c r="BI309" s="635"/>
    </row>
    <row r="310" spans="1:61" ht="16.2" customHeight="1">
      <c r="A310" s="12"/>
      <c r="B310" s="446"/>
      <c r="C310" s="89"/>
      <c r="D310" s="13"/>
      <c r="E310" s="14"/>
      <c r="F310" s="14"/>
      <c r="G310" s="15"/>
      <c r="H310" s="8"/>
      <c r="I310" s="8"/>
      <c r="J310" s="89"/>
      <c r="K310" s="8"/>
      <c r="L310" s="8"/>
      <c r="M310" s="8" t="str">
        <f>IF(L310="","",
IF(AX310="PT",VLOOKUP(L310,Foundation_Calc!$V$4:$X$37,VLOOKUP(AX310,Foundation_Calc!$I$10:$J$13,2,FALSE),0),
IF(AX310="K",VLOOKUP(L310,Foundation_Calc!$V$41:$X$74,VLOOKUP(AX310,Foundation_Calc!$I$10:$J$13,2,FALSE),0),"")))</f>
        <v/>
      </c>
      <c r="N310" s="8"/>
      <c r="O310" s="8"/>
      <c r="P310" s="8"/>
      <c r="Q310" s="14"/>
      <c r="R310" s="15"/>
      <c r="S310" s="15"/>
      <c r="T310" s="14"/>
      <c r="U310" s="14"/>
      <c r="V310" s="14"/>
      <c r="W310" s="18"/>
      <c r="X310" s="18"/>
      <c r="Y310" s="18"/>
      <c r="Z310" s="18"/>
      <c r="AA310" s="18"/>
      <c r="AB310" s="18"/>
      <c r="AC310" s="8" t="str">
        <f t="shared" si="86"/>
        <v/>
      </c>
      <c r="AD310" s="8"/>
      <c r="AE310" s="8"/>
      <c r="AF310" s="14"/>
      <c r="AG310" s="13"/>
      <c r="AH310" s="14"/>
      <c r="AI310" s="14"/>
      <c r="AJ310" s="8"/>
      <c r="AK310" s="8"/>
      <c r="AL310" s="8"/>
      <c r="AM310" s="8"/>
      <c r="AN310" s="631"/>
      <c r="AO310" s="18"/>
      <c r="AP310" s="18"/>
      <c r="AQ310" s="18"/>
      <c r="AR310" s="18"/>
      <c r="AS310" s="18"/>
      <c r="AU310" s="448"/>
      <c r="AV310" s="448"/>
      <c r="AW310" s="8" t="str">
        <f>IF(C310&gt;0,VLOOKUP(C310,Foundation_Calc!$A$2:$C$986,3,1),
IF(J310&gt;0,VLOOKUP(J310,Foundation_Calc!$A$2:$C$986,3,1),""))</f>
        <v/>
      </c>
      <c r="AX310" s="8" t="str">
        <f>IF(C310&gt;0,VLOOKUP(C310,Foundation_Calc!$E$2:$G$986,3,1),
IF(J310&gt;0,VLOOKUP(J310,Foundation_Calc!$E$2:$G$986,3,1),""))</f>
        <v/>
      </c>
      <c r="AY310" s="631" t="str">
        <f>IF(L310="","",
IF(AX310="PT",VLOOKUP(L310,Foundation_Calc!$K$4:$R$37,VLOOKUP(AW310,Foundation_Calc!$I$2:$J$8,2,FALSE),0),
IF(AX310="K",VLOOKUP(L310,Foundation_Calc!$K$41:$R$74,VLOOKUP(AW310,Foundation_Calc!$I$2:$J$8,2,FALSE),0),"")))</f>
        <v/>
      </c>
      <c r="AZ310" s="631" t="str">
        <f>IF(K310="","",
IF(AX310="PT",VLOOKUP(K310,Foundation_Calc!$K$4:$R$37,VLOOKUP(AW310,Foundation_Calc!$I$2:$J$8,2,FALSE),0),
IF(AX310="K",VLOOKUP(K310,Foundation_Calc!$K$41:$R$74,VLOOKUP(AW310,Foundation_Calc!$I$2:$J$8,2,FALSE),0),"")))</f>
        <v/>
      </c>
      <c r="BA310" s="632" t="str">
        <f t="shared" si="87"/>
        <v/>
      </c>
      <c r="BB310" s="632" t="str">
        <f t="shared" si="88"/>
        <v/>
      </c>
      <c r="BC310" s="632" t="str">
        <f t="shared" si="89"/>
        <v/>
      </c>
      <c r="BD310" s="633" t="str">
        <f>IF(AND(L310="",H310=""),"",
IF(H310="",Pole_Calc!A338,
IF(H310="MP",Pole_Calc!A339,
IF(H310="AnMP",Pole_Calc!A340,
IF(H310="A",Pole_Calc!A341,
IF(H310="S/A",Pole_Calc!A342,
IF(H310="A/S",Pole_Calc!A343,"Poner a mano")))))))</f>
        <v/>
      </c>
      <c r="BE310" s="448" t="s">
        <v>1726</v>
      </c>
      <c r="BF310" s="634"/>
      <c r="BG310" s="634"/>
      <c r="BH310" s="634"/>
      <c r="BI310" s="634"/>
    </row>
    <row r="311" spans="1:61" ht="16.2" customHeight="1">
      <c r="A311" s="12"/>
      <c r="B311" s="446"/>
      <c r="C311" s="89"/>
      <c r="D311" s="13"/>
      <c r="E311" s="14"/>
      <c r="F311" s="14"/>
      <c r="G311" s="15"/>
      <c r="H311" s="8"/>
      <c r="I311" s="8"/>
      <c r="J311" s="89"/>
      <c r="K311" s="8"/>
      <c r="L311" s="8"/>
      <c r="M311" s="8" t="str">
        <f>IF(L311="","",
IF(AX311="PT",VLOOKUP(L311,Foundation_Calc!$V$4:$X$37,VLOOKUP(AX311,Foundation_Calc!$I$10:$J$13,2,FALSE),0),
IF(AX311="K",VLOOKUP(L311,Foundation_Calc!$V$41:$X$74,VLOOKUP(AX311,Foundation_Calc!$I$10:$J$13,2,FALSE),0),"")))</f>
        <v/>
      </c>
      <c r="N311" s="8"/>
      <c r="O311" s="8"/>
      <c r="P311" s="8"/>
      <c r="Q311" s="14"/>
      <c r="R311" s="15"/>
      <c r="S311" s="15"/>
      <c r="T311" s="14"/>
      <c r="U311" s="14"/>
      <c r="V311" s="14"/>
      <c r="W311" s="18"/>
      <c r="X311" s="18"/>
      <c r="Y311" s="18"/>
      <c r="Z311" s="18"/>
      <c r="AA311" s="18"/>
      <c r="AB311" s="18"/>
      <c r="AC311" s="8" t="str">
        <f t="shared" si="86"/>
        <v/>
      </c>
      <c r="AD311" s="8"/>
      <c r="AE311" s="8"/>
      <c r="AF311" s="14"/>
      <c r="AG311" s="13"/>
      <c r="AH311" s="14"/>
      <c r="AI311" s="14"/>
      <c r="AJ311" s="8"/>
      <c r="AK311" s="8"/>
      <c r="AL311" s="8"/>
      <c r="AM311" s="8"/>
      <c r="AN311" s="631"/>
      <c r="AO311" s="18"/>
      <c r="AP311" s="18"/>
      <c r="AQ311" s="18"/>
      <c r="AR311" s="18"/>
      <c r="AS311" s="18"/>
      <c r="AU311" s="448"/>
      <c r="AV311" s="448"/>
      <c r="AW311" s="8" t="str">
        <f>IF(C311&gt;0,VLOOKUP(C311,Foundation_Calc!$A$2:$C$986,3,1),
IF(J311&gt;0,VLOOKUP(J311,Foundation_Calc!$A$2:$C$986,3,1),""))</f>
        <v/>
      </c>
      <c r="AX311" s="8" t="str">
        <f>IF(C311&gt;0,VLOOKUP(C311,Foundation_Calc!$E$2:$G$986,3,1),
IF(J311&gt;0,VLOOKUP(J311,Foundation_Calc!$E$2:$G$986,3,1),""))</f>
        <v/>
      </c>
      <c r="AY311" s="631" t="str">
        <f>IF(L311="","",
IF(AX311="PT",VLOOKUP(L311,Foundation_Calc!$K$4:$R$37,VLOOKUP(AW311,Foundation_Calc!$I$2:$J$8,2,FALSE),0),
IF(AX311="K",VLOOKUP(L311,Foundation_Calc!$K$41:$R$74,VLOOKUP(AW311,Foundation_Calc!$I$2:$J$8,2,FALSE),0),"")))</f>
        <v/>
      </c>
      <c r="AZ311" s="631" t="str">
        <f>IF(K311="","",
IF(AX311="PT",VLOOKUP(K311,Foundation_Calc!$K$4:$R$37,VLOOKUP(AW311,Foundation_Calc!$I$2:$J$8,2,FALSE),0),
IF(AX311="K",VLOOKUP(K311,Foundation_Calc!$K$41:$R$74,VLOOKUP(AW311,Foundation_Calc!$I$2:$J$8,2,FALSE),0),"")))</f>
        <v/>
      </c>
      <c r="BA311" s="632" t="str">
        <f t="shared" si="87"/>
        <v/>
      </c>
      <c r="BB311" s="632" t="str">
        <f t="shared" si="88"/>
        <v/>
      </c>
      <c r="BC311" s="632" t="str">
        <f t="shared" si="89"/>
        <v/>
      </c>
      <c r="BD311" s="633" t="str">
        <f>IF(AND(L311="",H311=""),"",
IF(H311="",Pole_Calc!A339,
IF(H311="MP",Pole_Calc!A340,
IF(H311="AnMP",Pole_Calc!A341,
IF(H311="A",Pole_Calc!A342,
IF(H311="S/A",Pole_Calc!A343,
IF(H311="A/S",Pole_Calc!A344,"Poner a mano")))))))</f>
        <v/>
      </c>
      <c r="BE311" s="448" t="s">
        <v>1726</v>
      </c>
      <c r="BF311" s="635"/>
      <c r="BG311" s="635"/>
      <c r="BH311" s="634"/>
      <c r="BI311" s="635"/>
    </row>
    <row r="312" spans="1:61" ht="16.2" customHeight="1">
      <c r="A312" s="12"/>
      <c r="B312" s="446"/>
      <c r="C312" s="89"/>
      <c r="D312" s="13"/>
      <c r="E312" s="14"/>
      <c r="F312" s="14"/>
      <c r="G312" s="15"/>
      <c r="H312" s="8"/>
      <c r="I312" s="8"/>
      <c r="J312" s="89"/>
      <c r="K312" s="8"/>
      <c r="L312" s="8"/>
      <c r="M312" s="8" t="str">
        <f>IF(L312="","",
IF(AX312="PT",VLOOKUP(L312,Foundation_Calc!$V$4:$X$37,VLOOKUP(AX312,Foundation_Calc!$I$10:$J$13,2,FALSE),0),
IF(AX312="K",VLOOKUP(L312,Foundation_Calc!$V$41:$X$74,VLOOKUP(AX312,Foundation_Calc!$I$10:$J$13,2,FALSE),0),"")))</f>
        <v/>
      </c>
      <c r="N312" s="8"/>
      <c r="O312" s="8"/>
      <c r="P312" s="8"/>
      <c r="Q312" s="14"/>
      <c r="R312" s="15"/>
      <c r="S312" s="15"/>
      <c r="T312" s="14"/>
      <c r="U312" s="14"/>
      <c r="V312" s="14"/>
      <c r="W312" s="18"/>
      <c r="X312" s="18"/>
      <c r="Y312" s="18"/>
      <c r="Z312" s="18"/>
      <c r="AA312" s="18"/>
      <c r="AB312" s="18"/>
      <c r="AC312" s="8" t="str">
        <f t="shared" si="86"/>
        <v/>
      </c>
      <c r="AD312" s="8"/>
      <c r="AE312" s="8"/>
      <c r="AF312" s="14"/>
      <c r="AG312" s="13"/>
      <c r="AH312" s="14"/>
      <c r="AI312" s="14"/>
      <c r="AJ312" s="8"/>
      <c r="AK312" s="8"/>
      <c r="AL312" s="8"/>
      <c r="AM312" s="8"/>
      <c r="AN312" s="631"/>
      <c r="AO312" s="18"/>
      <c r="AP312" s="18"/>
      <c r="AQ312" s="18"/>
      <c r="AR312" s="18"/>
      <c r="AS312" s="18"/>
      <c r="AU312" s="448"/>
      <c r="AV312" s="448"/>
      <c r="AW312" s="8" t="str">
        <f>IF(C312&gt;0,VLOOKUP(C312,Foundation_Calc!$A$2:$C$986,3,1),
IF(J312&gt;0,VLOOKUP(J312,Foundation_Calc!$A$2:$C$986,3,1),""))</f>
        <v/>
      </c>
      <c r="AX312" s="8" t="str">
        <f>IF(C312&gt;0,VLOOKUP(C312,Foundation_Calc!$E$2:$G$986,3,1),
IF(J312&gt;0,VLOOKUP(J312,Foundation_Calc!$E$2:$G$986,3,1),""))</f>
        <v/>
      </c>
      <c r="AY312" s="631" t="str">
        <f>IF(L312="","",
IF(AX312="PT",VLOOKUP(L312,Foundation_Calc!$K$4:$R$37,VLOOKUP(AW312,Foundation_Calc!$I$2:$J$8,2,FALSE),0),
IF(AX312="K",VLOOKUP(L312,Foundation_Calc!$K$41:$R$74,VLOOKUP(AW312,Foundation_Calc!$I$2:$J$8,2,FALSE),0),"")))</f>
        <v/>
      </c>
      <c r="AZ312" s="631" t="str">
        <f>IF(K312="","",
IF(AX312="PT",VLOOKUP(K312,Foundation_Calc!$K$4:$R$37,VLOOKUP(AW312,Foundation_Calc!$I$2:$J$8,2,FALSE),0),
IF(AX312="K",VLOOKUP(K312,Foundation_Calc!$K$41:$R$74,VLOOKUP(AW312,Foundation_Calc!$I$2:$J$8,2,FALSE),0),"")))</f>
        <v/>
      </c>
      <c r="BA312" s="632" t="str">
        <f t="shared" si="87"/>
        <v/>
      </c>
      <c r="BB312" s="632" t="str">
        <f t="shared" si="88"/>
        <v/>
      </c>
      <c r="BC312" s="632" t="str">
        <f t="shared" si="89"/>
        <v/>
      </c>
      <c r="BD312" s="633" t="str">
        <f>IF(AND(L312="",H312=""),"",
IF(H312="",Pole_Calc!A340,
IF(H312="MP",Pole_Calc!A341,
IF(H312="AnMP",Pole_Calc!A342,
IF(H312="A",Pole_Calc!A343,
IF(H312="S/A",Pole_Calc!A344,
IF(H312="A/S",Pole_Calc!A345,"Poner a mano")))))))</f>
        <v/>
      </c>
      <c r="BE312" s="448" t="s">
        <v>1726</v>
      </c>
      <c r="BF312" s="634"/>
      <c r="BG312" s="634"/>
      <c r="BH312" s="634"/>
      <c r="BI312" s="634"/>
    </row>
    <row r="313" spans="1:61" ht="16.2" customHeight="1">
      <c r="A313" s="12"/>
      <c r="B313" s="446"/>
      <c r="C313" s="89"/>
      <c r="D313" s="13"/>
      <c r="E313" s="14"/>
      <c r="F313" s="14"/>
      <c r="G313" s="15"/>
      <c r="H313" s="8"/>
      <c r="I313" s="8"/>
      <c r="J313" s="89"/>
      <c r="K313" s="8"/>
      <c r="L313" s="8"/>
      <c r="M313" s="8" t="str">
        <f>IF(L313="","",
IF(AX313="PT",VLOOKUP(L313,Foundation_Calc!$V$4:$X$37,VLOOKUP(AX313,Foundation_Calc!$I$10:$J$13,2,FALSE),0),
IF(AX313="K",VLOOKUP(L313,Foundation_Calc!$V$41:$X$74,VLOOKUP(AX313,Foundation_Calc!$I$10:$J$13,2,FALSE),0),"")))</f>
        <v/>
      </c>
      <c r="N313" s="8"/>
      <c r="O313" s="8"/>
      <c r="P313" s="8"/>
      <c r="Q313" s="14"/>
      <c r="R313" s="15"/>
      <c r="S313" s="15"/>
      <c r="T313" s="14"/>
      <c r="U313" s="14"/>
      <c r="V313" s="14"/>
      <c r="W313" s="18"/>
      <c r="X313" s="18"/>
      <c r="Y313" s="18"/>
      <c r="Z313" s="18"/>
      <c r="AA313" s="18"/>
      <c r="AB313" s="18"/>
      <c r="AC313" s="8" t="str">
        <f t="shared" si="86"/>
        <v/>
      </c>
      <c r="AD313" s="8"/>
      <c r="AE313" s="8"/>
      <c r="AF313" s="14"/>
      <c r="AG313" s="13"/>
      <c r="AH313" s="14"/>
      <c r="AI313" s="14"/>
      <c r="AJ313" s="8"/>
      <c r="AK313" s="8"/>
      <c r="AL313" s="8"/>
      <c r="AM313" s="8"/>
      <c r="AN313" s="631"/>
      <c r="AO313" s="18"/>
      <c r="AP313" s="18"/>
      <c r="AQ313" s="18"/>
      <c r="AR313" s="18"/>
      <c r="AS313" s="18"/>
      <c r="AU313" s="448"/>
      <c r="AV313" s="448"/>
      <c r="AW313" s="8" t="str">
        <f>IF(C313&gt;0,VLOOKUP(C313,Foundation_Calc!$A$2:$C$986,3,1),
IF(J313&gt;0,VLOOKUP(J313,Foundation_Calc!$A$2:$C$986,3,1),""))</f>
        <v/>
      </c>
      <c r="AX313" s="8" t="str">
        <f>IF(C313&gt;0,VLOOKUP(C313,Foundation_Calc!$E$2:$G$986,3,1),
IF(J313&gt;0,VLOOKUP(J313,Foundation_Calc!$E$2:$G$986,3,1),""))</f>
        <v/>
      </c>
      <c r="AY313" s="631" t="str">
        <f>IF(L313="","",
IF(AX313="PT",VLOOKUP(L313,Foundation_Calc!$K$4:$R$37,VLOOKUP(AW313,Foundation_Calc!$I$2:$J$8,2,FALSE),0),
IF(AX313="K",VLOOKUP(L313,Foundation_Calc!$K$41:$R$74,VLOOKUP(AW313,Foundation_Calc!$I$2:$J$8,2,FALSE),0),"")))</f>
        <v/>
      </c>
      <c r="AZ313" s="631" t="str">
        <f>IF(K313="","",
IF(AX313="PT",VLOOKUP(K313,Foundation_Calc!$K$4:$R$37,VLOOKUP(AW313,Foundation_Calc!$I$2:$J$8,2,FALSE),0),
IF(AX313="K",VLOOKUP(K313,Foundation_Calc!$K$41:$R$74,VLOOKUP(AW313,Foundation_Calc!$I$2:$J$8,2,FALSE),0),"")))</f>
        <v/>
      </c>
      <c r="BA313" s="632" t="str">
        <f t="shared" si="87"/>
        <v/>
      </c>
      <c r="BB313" s="632" t="str">
        <f t="shared" si="88"/>
        <v/>
      </c>
      <c r="BC313" s="632" t="str">
        <f t="shared" si="89"/>
        <v/>
      </c>
      <c r="BD313" s="633" t="str">
        <f>IF(AND(L313="",H313=""),"",
IF(H313="",Pole_Calc!A341,
IF(H313="MP",Pole_Calc!A342,
IF(H313="AnMP",Pole_Calc!A343,
IF(H313="A",Pole_Calc!A344,
IF(H313="S/A",Pole_Calc!A345,
IF(H313="A/S",Pole_Calc!A346,"Poner a mano")))))))</f>
        <v/>
      </c>
      <c r="BE313" s="448" t="s">
        <v>1726</v>
      </c>
      <c r="BF313" s="635"/>
      <c r="BG313" s="635"/>
      <c r="BH313" s="634"/>
      <c r="BI313" s="635"/>
    </row>
    <row r="314" spans="1:61" ht="16.2" customHeight="1">
      <c r="A314" s="12"/>
      <c r="B314" s="446"/>
      <c r="C314" s="89"/>
      <c r="D314" s="13"/>
      <c r="E314" s="14"/>
      <c r="F314" s="14"/>
      <c r="G314" s="15"/>
      <c r="H314" s="8"/>
      <c r="I314" s="8"/>
      <c r="J314" s="89"/>
      <c r="K314" s="8"/>
      <c r="L314" s="8"/>
      <c r="M314" s="8" t="str">
        <f>IF(L314="","",
IF(AX314="PT",VLOOKUP(L314,Foundation_Calc!$V$4:$X$37,VLOOKUP(AX314,Foundation_Calc!$I$10:$J$13,2,FALSE),0),
IF(AX314="K",VLOOKUP(L314,Foundation_Calc!$V$41:$X$74,VLOOKUP(AX314,Foundation_Calc!$I$10:$J$13,2,FALSE),0),"")))</f>
        <v/>
      </c>
      <c r="N314" s="8"/>
      <c r="O314" s="8"/>
      <c r="P314" s="8"/>
      <c r="Q314" s="14"/>
      <c r="R314" s="15"/>
      <c r="S314" s="15"/>
      <c r="T314" s="14"/>
      <c r="U314" s="14"/>
      <c r="V314" s="14"/>
      <c r="W314" s="18"/>
      <c r="X314" s="18"/>
      <c r="Y314" s="18"/>
      <c r="Z314" s="18"/>
      <c r="AA314" s="18"/>
      <c r="AB314" s="18"/>
      <c r="AC314" s="8" t="str">
        <f t="shared" si="86"/>
        <v/>
      </c>
      <c r="AD314" s="8"/>
      <c r="AE314" s="8"/>
      <c r="AF314" s="14"/>
      <c r="AG314" s="13"/>
      <c r="AH314" s="14"/>
      <c r="AI314" s="14"/>
      <c r="AJ314" s="8"/>
      <c r="AK314" s="8"/>
      <c r="AL314" s="8"/>
      <c r="AM314" s="8"/>
      <c r="AN314" s="631"/>
      <c r="AO314" s="18"/>
      <c r="AP314" s="18"/>
      <c r="AQ314" s="18"/>
      <c r="AR314" s="18"/>
      <c r="AS314" s="18"/>
      <c r="AU314" s="448"/>
      <c r="AV314" s="448"/>
      <c r="AW314" s="8" t="str">
        <f>IF(C314&gt;0,VLOOKUP(C314,Foundation_Calc!$A$2:$C$986,3,1),
IF(J314&gt;0,VLOOKUP(J314,Foundation_Calc!$A$2:$C$986,3,1),""))</f>
        <v/>
      </c>
      <c r="AX314" s="8" t="str">
        <f>IF(C314&gt;0,VLOOKUP(C314,Foundation_Calc!$E$2:$G$986,3,1),
IF(J314&gt;0,VLOOKUP(J314,Foundation_Calc!$E$2:$G$986,3,1),""))</f>
        <v/>
      </c>
      <c r="AY314" s="631" t="str">
        <f>IF(L314="","",
IF(AX314="PT",VLOOKUP(L314,Foundation_Calc!$K$4:$R$37,VLOOKUP(AW314,Foundation_Calc!$I$2:$J$8,2,FALSE),0),
IF(AX314="K",VLOOKUP(L314,Foundation_Calc!$K$41:$R$74,VLOOKUP(AW314,Foundation_Calc!$I$2:$J$8,2,FALSE),0),"")))</f>
        <v/>
      </c>
      <c r="AZ314" s="631" t="str">
        <f>IF(K314="","",
IF(AX314="PT",VLOOKUP(K314,Foundation_Calc!$K$4:$R$37,VLOOKUP(AW314,Foundation_Calc!$I$2:$J$8,2,FALSE),0),
IF(AX314="K",VLOOKUP(K314,Foundation_Calc!$K$41:$R$74,VLOOKUP(AW314,Foundation_Calc!$I$2:$J$8,2,FALSE),0),"")))</f>
        <v/>
      </c>
      <c r="BA314" s="632" t="str">
        <f t="shared" si="87"/>
        <v/>
      </c>
      <c r="BB314" s="632" t="str">
        <f t="shared" si="88"/>
        <v/>
      </c>
      <c r="BC314" s="632" t="str">
        <f t="shared" si="89"/>
        <v/>
      </c>
      <c r="BD314" s="633" t="str">
        <f>IF(AND(L314="",H314=""),"",
IF(H314="",Pole_Calc!A342,
IF(H314="MP",Pole_Calc!A343,
IF(H314="AnMP",Pole_Calc!A344,
IF(H314="A",Pole_Calc!A345,
IF(H314="S/A",Pole_Calc!A346,
IF(H314="A/S",Pole_Calc!A347,"Poner a mano")))))))</f>
        <v/>
      </c>
      <c r="BE314" s="448" t="s">
        <v>1726</v>
      </c>
      <c r="BF314" s="634"/>
      <c r="BG314" s="634"/>
      <c r="BH314" s="634"/>
      <c r="BI314" s="634"/>
    </row>
    <row r="315" spans="1:61" ht="16.2" customHeight="1">
      <c r="A315" s="12"/>
      <c r="B315" s="446"/>
      <c r="C315" s="89"/>
      <c r="D315" s="13"/>
      <c r="E315" s="14"/>
      <c r="F315" s="14"/>
      <c r="G315" s="15"/>
      <c r="H315" s="8"/>
      <c r="I315" s="8"/>
      <c r="J315" s="89"/>
      <c r="K315" s="8"/>
      <c r="L315" s="8"/>
      <c r="M315" s="8" t="str">
        <f>IF(L315="","",
IF(AX315="PT",VLOOKUP(L315,Foundation_Calc!$V$4:$X$37,VLOOKUP(AX315,Foundation_Calc!$I$10:$J$13,2,FALSE),0),
IF(AX315="K",VLOOKUP(L315,Foundation_Calc!$V$41:$X$74,VLOOKUP(AX315,Foundation_Calc!$I$10:$J$13,2,FALSE),0),"")))</f>
        <v/>
      </c>
      <c r="N315" s="8"/>
      <c r="O315" s="8"/>
      <c r="P315" s="8"/>
      <c r="Q315" s="14"/>
      <c r="R315" s="15"/>
      <c r="S315" s="15"/>
      <c r="T315" s="14"/>
      <c r="U315" s="14"/>
      <c r="V315" s="14"/>
      <c r="W315" s="18"/>
      <c r="X315" s="18"/>
      <c r="Y315" s="18"/>
      <c r="Z315" s="18"/>
      <c r="AA315" s="18"/>
      <c r="AB315" s="18"/>
      <c r="AC315" s="8" t="str">
        <f t="shared" si="86"/>
        <v/>
      </c>
      <c r="AD315" s="8"/>
      <c r="AE315" s="8"/>
      <c r="AF315" s="14"/>
      <c r="AG315" s="13"/>
      <c r="AH315" s="14"/>
      <c r="AI315" s="14"/>
      <c r="AJ315" s="8"/>
      <c r="AK315" s="8"/>
      <c r="AL315" s="8"/>
      <c r="AM315" s="8"/>
      <c r="AN315" s="631"/>
      <c r="AO315" s="18"/>
      <c r="AP315" s="18"/>
      <c r="AQ315" s="18"/>
      <c r="AR315" s="18"/>
      <c r="AS315" s="18"/>
      <c r="AU315" s="448"/>
      <c r="AV315" s="448"/>
      <c r="AW315" s="8" t="str">
        <f>IF(C315&gt;0,VLOOKUP(C315,Foundation_Calc!$A$2:$C$986,3,1),
IF(J315&gt;0,VLOOKUP(J315,Foundation_Calc!$A$2:$C$986,3,1),""))</f>
        <v/>
      </c>
      <c r="AX315" s="8" t="str">
        <f>IF(C315&gt;0,VLOOKUP(C315,Foundation_Calc!$E$2:$G$986,3,1),
IF(J315&gt;0,VLOOKUP(J315,Foundation_Calc!$E$2:$G$986,3,1),""))</f>
        <v/>
      </c>
      <c r="AY315" s="631" t="str">
        <f>IF(L315="","",
IF(AX315="PT",VLOOKUP(L315,Foundation_Calc!$K$4:$R$37,VLOOKUP(AW315,Foundation_Calc!$I$2:$J$8,2,FALSE),0),
IF(AX315="K",VLOOKUP(L315,Foundation_Calc!$K$41:$R$74,VLOOKUP(AW315,Foundation_Calc!$I$2:$J$8,2,FALSE),0),"")))</f>
        <v/>
      </c>
      <c r="AZ315" s="631" t="str">
        <f>IF(K315="","",
IF(AX315="PT",VLOOKUP(K315,Foundation_Calc!$K$4:$R$37,VLOOKUP(AW315,Foundation_Calc!$I$2:$J$8,2,FALSE),0),
IF(AX315="K",VLOOKUP(K315,Foundation_Calc!$K$41:$R$74,VLOOKUP(AW315,Foundation_Calc!$I$2:$J$8,2,FALSE),0),"")))</f>
        <v/>
      </c>
      <c r="BA315" s="632" t="str">
        <f t="shared" si="87"/>
        <v/>
      </c>
      <c r="BB315" s="632" t="str">
        <f t="shared" si="88"/>
        <v/>
      </c>
      <c r="BC315" s="632" t="str">
        <f t="shared" si="89"/>
        <v/>
      </c>
      <c r="BD315" s="633" t="str">
        <f>IF(AND(L315="",H315=""),"",
IF(H315="",Pole_Calc!A343,
IF(H315="MP",Pole_Calc!A344,
IF(H315="AnMP",Pole_Calc!A345,
IF(H315="A",Pole_Calc!A346,
IF(H315="S/A",Pole_Calc!A347,
IF(H315="A/S",Pole_Calc!A348,"Poner a mano")))))))</f>
        <v/>
      </c>
      <c r="BE315" s="448" t="s">
        <v>1726</v>
      </c>
      <c r="BF315" s="635"/>
      <c r="BG315" s="635"/>
      <c r="BH315" s="634"/>
      <c r="BI315" s="635"/>
    </row>
    <row r="316" spans="1:61" ht="16.2" customHeight="1">
      <c r="A316" s="12"/>
      <c r="B316" s="446"/>
      <c r="C316" s="89"/>
      <c r="D316" s="13"/>
      <c r="E316" s="14"/>
      <c r="F316" s="14"/>
      <c r="G316" s="15"/>
      <c r="H316" s="8"/>
      <c r="I316" s="8"/>
      <c r="J316" s="89"/>
      <c r="K316" s="8"/>
      <c r="L316" s="8"/>
      <c r="M316" s="8" t="str">
        <f>IF(L316="","",
IF(AX316="PT",VLOOKUP(L316,Foundation_Calc!$V$4:$X$37,VLOOKUP(AX316,Foundation_Calc!$I$10:$J$13,2,FALSE),0),
IF(AX316="K",VLOOKUP(L316,Foundation_Calc!$V$41:$X$74,VLOOKUP(AX316,Foundation_Calc!$I$10:$J$13,2,FALSE),0),"")))</f>
        <v/>
      </c>
      <c r="N316" s="8"/>
      <c r="O316" s="8"/>
      <c r="P316" s="8"/>
      <c r="Q316" s="14"/>
      <c r="R316" s="15"/>
      <c r="S316" s="15"/>
      <c r="T316" s="14"/>
      <c r="U316" s="14"/>
      <c r="V316" s="14"/>
      <c r="W316" s="18"/>
      <c r="X316" s="18"/>
      <c r="Y316" s="18"/>
      <c r="Z316" s="18"/>
      <c r="AA316" s="18"/>
      <c r="AB316" s="18"/>
      <c r="AC316" s="8" t="str">
        <f t="shared" si="86"/>
        <v/>
      </c>
      <c r="AD316" s="8"/>
      <c r="AE316" s="8"/>
      <c r="AF316" s="14"/>
      <c r="AG316" s="13"/>
      <c r="AH316" s="14"/>
      <c r="AI316" s="14"/>
      <c r="AJ316" s="8"/>
      <c r="AK316" s="8"/>
      <c r="AL316" s="8"/>
      <c r="AM316" s="8"/>
      <c r="AN316" s="631"/>
      <c r="AO316" s="18"/>
      <c r="AP316" s="18"/>
      <c r="AQ316" s="18"/>
      <c r="AR316" s="18"/>
      <c r="AS316" s="18"/>
      <c r="AU316" s="448"/>
      <c r="AV316" s="448"/>
      <c r="AW316" s="8" t="str">
        <f>IF(C316&gt;0,VLOOKUP(C316,Foundation_Calc!$A$2:$C$986,3,1),
IF(J316&gt;0,VLOOKUP(J316,Foundation_Calc!$A$2:$C$986,3,1),""))</f>
        <v/>
      </c>
      <c r="AX316" s="8" t="str">
        <f>IF(C316&gt;0,VLOOKUP(C316,Foundation_Calc!$E$2:$G$986,3,1),
IF(J316&gt;0,VLOOKUP(J316,Foundation_Calc!$E$2:$G$986,3,1),""))</f>
        <v/>
      </c>
      <c r="AY316" s="631" t="str">
        <f>IF(L316="","",
IF(AX316="PT",VLOOKUP(L316,Foundation_Calc!$K$4:$R$37,VLOOKUP(AW316,Foundation_Calc!$I$2:$J$8,2,FALSE),0),
IF(AX316="K",VLOOKUP(L316,Foundation_Calc!$K$41:$R$74,VLOOKUP(AW316,Foundation_Calc!$I$2:$J$8,2,FALSE),0),"")))</f>
        <v/>
      </c>
      <c r="AZ316" s="631" t="str">
        <f>IF(K316="","",
IF(AX316="PT",VLOOKUP(K316,Foundation_Calc!$K$4:$R$37,VLOOKUP(AW316,Foundation_Calc!$I$2:$J$8,2,FALSE),0),
IF(AX316="K",VLOOKUP(K316,Foundation_Calc!$K$41:$R$74,VLOOKUP(AW316,Foundation_Calc!$I$2:$J$8,2,FALSE),0),"")))</f>
        <v/>
      </c>
      <c r="BA316" s="632" t="str">
        <f t="shared" si="87"/>
        <v/>
      </c>
      <c r="BB316" s="632" t="str">
        <f t="shared" si="88"/>
        <v/>
      </c>
      <c r="BC316" s="632" t="str">
        <f t="shared" si="89"/>
        <v/>
      </c>
      <c r="BD316" s="633" t="str">
        <f>IF(AND(L316="",H316=""),"",
IF(H316="",Pole_Calc!A344,
IF(H316="MP",Pole_Calc!A345,
IF(H316="AnMP",Pole_Calc!A346,
IF(H316="A",Pole_Calc!A347,
IF(H316="S/A",Pole_Calc!A348,
IF(H316="A/S",Pole_Calc!A349,"Poner a mano")))))))</f>
        <v/>
      </c>
      <c r="BE316" s="448" t="s">
        <v>1726</v>
      </c>
      <c r="BF316" s="634"/>
      <c r="BG316" s="634"/>
      <c r="BH316" s="634"/>
      <c r="BI316" s="634"/>
    </row>
    <row r="317" spans="1:61" ht="16.2" customHeight="1">
      <c r="A317" s="12"/>
      <c r="B317" s="446"/>
      <c r="C317" s="89"/>
      <c r="D317" s="13"/>
      <c r="E317" s="14"/>
      <c r="F317" s="14"/>
      <c r="G317" s="15"/>
      <c r="H317" s="8"/>
      <c r="I317" s="8"/>
      <c r="J317" s="89"/>
      <c r="K317" s="8"/>
      <c r="L317" s="8"/>
      <c r="M317" s="8" t="str">
        <f>IF(L317="","",
IF(AX317="PT",VLOOKUP(L317,Foundation_Calc!$V$4:$X$37,VLOOKUP(AX317,Foundation_Calc!$I$10:$J$13,2,FALSE),0),
IF(AX317="K",VLOOKUP(L317,Foundation_Calc!$V$41:$X$74,VLOOKUP(AX317,Foundation_Calc!$I$10:$J$13,2,FALSE),0),"")))</f>
        <v/>
      </c>
      <c r="N317" s="8"/>
      <c r="O317" s="8"/>
      <c r="P317" s="8"/>
      <c r="Q317" s="14"/>
      <c r="R317" s="15"/>
      <c r="S317" s="15"/>
      <c r="T317" s="14"/>
      <c r="U317" s="14"/>
      <c r="V317" s="14"/>
      <c r="W317" s="18"/>
      <c r="X317" s="18"/>
      <c r="Y317" s="18"/>
      <c r="Z317" s="18"/>
      <c r="AA317" s="18"/>
      <c r="AB317" s="18"/>
      <c r="AC317" s="8" t="str">
        <f t="shared" si="86"/>
        <v/>
      </c>
      <c r="AD317" s="8"/>
      <c r="AE317" s="8"/>
      <c r="AF317" s="14"/>
      <c r="AG317" s="13"/>
      <c r="AH317" s="14"/>
      <c r="AI317" s="14"/>
      <c r="AJ317" s="8"/>
      <c r="AK317" s="8"/>
      <c r="AL317" s="8"/>
      <c r="AM317" s="8"/>
      <c r="AN317" s="631"/>
      <c r="AO317" s="18"/>
      <c r="AP317" s="18"/>
      <c r="AQ317" s="18"/>
      <c r="AR317" s="18"/>
      <c r="AS317" s="18"/>
      <c r="AU317" s="448"/>
      <c r="AV317" s="448"/>
      <c r="AW317" s="8" t="str">
        <f>IF(C317&gt;0,VLOOKUP(C317,Foundation_Calc!$A$2:$C$986,3,1),
IF(J317&gt;0,VLOOKUP(J317,Foundation_Calc!$A$2:$C$986,3,1),""))</f>
        <v/>
      </c>
      <c r="AX317" s="8" t="str">
        <f>IF(C317&gt;0,VLOOKUP(C317,Foundation_Calc!$E$2:$G$986,3,1),
IF(J317&gt;0,VLOOKUP(J317,Foundation_Calc!$E$2:$G$986,3,1),""))</f>
        <v/>
      </c>
      <c r="AY317" s="631" t="str">
        <f>IF(L317="","",
IF(AX317="PT",VLOOKUP(L317,Foundation_Calc!$K$4:$R$37,VLOOKUP(AW317,Foundation_Calc!$I$2:$J$8,2,FALSE),0),
IF(AX317="K",VLOOKUP(L317,Foundation_Calc!$K$41:$R$74,VLOOKUP(AW317,Foundation_Calc!$I$2:$J$8,2,FALSE),0),"")))</f>
        <v/>
      </c>
      <c r="AZ317" s="631" t="str">
        <f>IF(K317="","",
IF(AX317="PT",VLOOKUP(K317,Foundation_Calc!$K$4:$R$37,VLOOKUP(AW317,Foundation_Calc!$I$2:$J$8,2,FALSE),0),
IF(AX317="K",VLOOKUP(K317,Foundation_Calc!$K$41:$R$74,VLOOKUP(AW317,Foundation_Calc!$I$2:$J$8,2,FALSE),0),"")))</f>
        <v/>
      </c>
      <c r="BA317" s="632" t="str">
        <f t="shared" si="87"/>
        <v/>
      </c>
      <c r="BB317" s="632" t="str">
        <f t="shared" si="88"/>
        <v/>
      </c>
      <c r="BC317" s="632" t="str">
        <f t="shared" si="89"/>
        <v/>
      </c>
      <c r="BD317" s="633" t="str">
        <f>IF(AND(L317="",H317=""),"",
IF(H317="",Pole_Calc!A345,
IF(H317="MP",Pole_Calc!A346,
IF(H317="AnMP",Pole_Calc!A347,
IF(H317="A",Pole_Calc!A348,
IF(H317="S/A",Pole_Calc!A349,
IF(H317="A/S",Pole_Calc!A350,"Poner a mano")))))))</f>
        <v/>
      </c>
      <c r="BE317" s="448" t="s">
        <v>1726</v>
      </c>
      <c r="BF317" s="635"/>
      <c r="BG317" s="635"/>
      <c r="BH317" s="634"/>
      <c r="BI317" s="635"/>
    </row>
    <row r="318" spans="1:61" ht="16.2" customHeight="1">
      <c r="A318" s="12"/>
      <c r="B318" s="446"/>
      <c r="C318" s="89"/>
      <c r="D318" s="13"/>
      <c r="E318" s="14"/>
      <c r="F318" s="14"/>
      <c r="G318" s="15"/>
      <c r="H318" s="8"/>
      <c r="I318" s="8"/>
      <c r="J318" s="89"/>
      <c r="K318" s="8"/>
      <c r="L318" s="8"/>
      <c r="M318" s="8" t="str">
        <f>IF(L318="","",
IF(AX318="PT",VLOOKUP(L318,Foundation_Calc!$V$4:$X$37,VLOOKUP(AX318,Foundation_Calc!$I$10:$J$13,2,FALSE),0),
IF(AX318="K",VLOOKUP(L318,Foundation_Calc!$V$41:$X$74,VLOOKUP(AX318,Foundation_Calc!$I$10:$J$13,2,FALSE),0),"")))</f>
        <v/>
      </c>
      <c r="N318" s="8"/>
      <c r="O318" s="8"/>
      <c r="P318" s="8"/>
      <c r="Q318" s="14"/>
      <c r="R318" s="15"/>
      <c r="S318" s="15"/>
      <c r="T318" s="14"/>
      <c r="U318" s="14"/>
      <c r="V318" s="14"/>
      <c r="W318" s="18"/>
      <c r="X318" s="18"/>
      <c r="Y318" s="18"/>
      <c r="Z318" s="18"/>
      <c r="AA318" s="18"/>
      <c r="AB318" s="18"/>
      <c r="AC318" s="8" t="str">
        <f t="shared" si="86"/>
        <v/>
      </c>
      <c r="AD318" s="8"/>
      <c r="AE318" s="8"/>
      <c r="AF318" s="14"/>
      <c r="AG318" s="13"/>
      <c r="AH318" s="14"/>
      <c r="AI318" s="14"/>
      <c r="AJ318" s="8"/>
      <c r="AK318" s="8"/>
      <c r="AL318" s="8"/>
      <c r="AM318" s="8"/>
      <c r="AN318" s="631"/>
      <c r="AO318" s="18"/>
      <c r="AP318" s="18"/>
      <c r="AQ318" s="18"/>
      <c r="AR318" s="18"/>
      <c r="AS318" s="18"/>
      <c r="AU318" s="448"/>
      <c r="AV318" s="448"/>
      <c r="AW318" s="8" t="str">
        <f>IF(C318&gt;0,VLOOKUP(C318,Foundation_Calc!$A$2:$C$986,3,1),
IF(J318&gt;0,VLOOKUP(J318,Foundation_Calc!$A$2:$C$986,3,1),""))</f>
        <v/>
      </c>
      <c r="AX318" s="8" t="str">
        <f>IF(C318&gt;0,VLOOKUP(C318,Foundation_Calc!$E$2:$G$986,3,1),
IF(J318&gt;0,VLOOKUP(J318,Foundation_Calc!$E$2:$G$986,3,1),""))</f>
        <v/>
      </c>
      <c r="AY318" s="631" t="str">
        <f>IF(L318="","",
IF(AX318="PT",VLOOKUP(L318,Foundation_Calc!$K$4:$R$37,VLOOKUP(AW318,Foundation_Calc!$I$2:$J$8,2,FALSE),0),
IF(AX318="K",VLOOKUP(L318,Foundation_Calc!$K$41:$R$74,VLOOKUP(AW318,Foundation_Calc!$I$2:$J$8,2,FALSE),0),"")))</f>
        <v/>
      </c>
      <c r="AZ318" s="631" t="str">
        <f>IF(K318="","",
IF(AX318="PT",VLOOKUP(K318,Foundation_Calc!$K$4:$R$37,VLOOKUP(AW318,Foundation_Calc!$I$2:$J$8,2,FALSE),0),
IF(AX318="K",VLOOKUP(K318,Foundation_Calc!$K$41:$R$74,VLOOKUP(AW318,Foundation_Calc!$I$2:$J$8,2,FALSE),0),"")))</f>
        <v/>
      </c>
      <c r="BA318" s="632" t="str">
        <f t="shared" si="87"/>
        <v/>
      </c>
      <c r="BB318" s="632" t="str">
        <f t="shared" si="88"/>
        <v/>
      </c>
      <c r="BC318" s="632" t="str">
        <f t="shared" si="89"/>
        <v/>
      </c>
      <c r="BD318" s="633" t="str">
        <f>IF(AND(L318="",H318=""),"",
IF(H318="",Pole_Calc!A346,
IF(H318="MP",Pole_Calc!A347,
IF(H318="AnMP",Pole_Calc!A348,
IF(H318="A",Pole_Calc!A349,
IF(H318="S/A",Pole_Calc!A350,
IF(H318="A/S",Pole_Calc!A351,"Poner a mano")))))))</f>
        <v/>
      </c>
      <c r="BE318" s="448" t="s">
        <v>1726</v>
      </c>
      <c r="BF318" s="634"/>
      <c r="BG318" s="634"/>
      <c r="BH318" s="634"/>
      <c r="BI318" s="634"/>
    </row>
    <row r="319" spans="1:61" ht="16.2" customHeight="1">
      <c r="A319" s="12"/>
      <c r="B319" s="446"/>
      <c r="C319" s="89"/>
      <c r="D319" s="13"/>
      <c r="E319" s="14"/>
      <c r="F319" s="14"/>
      <c r="G319" s="15"/>
      <c r="H319" s="8"/>
      <c r="I319" s="8"/>
      <c r="J319" s="89"/>
      <c r="K319" s="8"/>
      <c r="L319" s="8"/>
      <c r="M319" s="8" t="str">
        <f>IF(L319="","",
IF(AX319="PT",VLOOKUP(L319,Foundation_Calc!$V$4:$X$37,VLOOKUP(AX319,Foundation_Calc!$I$10:$J$13,2,FALSE),0),
IF(AX319="K",VLOOKUP(L319,Foundation_Calc!$V$41:$X$74,VLOOKUP(AX319,Foundation_Calc!$I$10:$J$13,2,FALSE),0),"")))</f>
        <v/>
      </c>
      <c r="N319" s="8"/>
      <c r="O319" s="8"/>
      <c r="P319" s="8"/>
      <c r="Q319" s="14"/>
      <c r="R319" s="15"/>
      <c r="S319" s="15"/>
      <c r="T319" s="14"/>
      <c r="U319" s="14"/>
      <c r="V319" s="14"/>
      <c r="W319" s="18"/>
      <c r="X319" s="18"/>
      <c r="Y319" s="18"/>
      <c r="Z319" s="18"/>
      <c r="AA319" s="18"/>
      <c r="AB319" s="18"/>
      <c r="AC319" s="8" t="str">
        <f t="shared" si="86"/>
        <v/>
      </c>
      <c r="AD319" s="8"/>
      <c r="AE319" s="8"/>
      <c r="AF319" s="14"/>
      <c r="AG319" s="13"/>
      <c r="AH319" s="14"/>
      <c r="AI319" s="14"/>
      <c r="AJ319" s="8"/>
      <c r="AK319" s="8"/>
      <c r="AL319" s="8"/>
      <c r="AM319" s="8"/>
      <c r="AN319" s="631"/>
      <c r="AO319" s="18"/>
      <c r="AP319" s="18"/>
      <c r="AQ319" s="18"/>
      <c r="AR319" s="18"/>
      <c r="AS319" s="18"/>
      <c r="AU319" s="448"/>
      <c r="AV319" s="448"/>
      <c r="AW319" s="8" t="str">
        <f>IF(C319&gt;0,VLOOKUP(C319,Foundation_Calc!$A$2:$C$986,3,1),
IF(J319&gt;0,VLOOKUP(J319,Foundation_Calc!$A$2:$C$986,3,1),""))</f>
        <v/>
      </c>
      <c r="AX319" s="8" t="str">
        <f>IF(C319&gt;0,VLOOKUP(C319,Foundation_Calc!$E$2:$G$986,3,1),
IF(J319&gt;0,VLOOKUP(J319,Foundation_Calc!$E$2:$G$986,3,1),""))</f>
        <v/>
      </c>
      <c r="AY319" s="631" t="str">
        <f>IF(L319="","",
IF(AX319="PT",VLOOKUP(L319,Foundation_Calc!$K$4:$R$37,VLOOKUP(AW319,Foundation_Calc!$I$2:$J$8,2,FALSE),0),
IF(AX319="K",VLOOKUP(L319,Foundation_Calc!$K$41:$R$74,VLOOKUP(AW319,Foundation_Calc!$I$2:$J$8,2,FALSE),0),"")))</f>
        <v/>
      </c>
      <c r="AZ319" s="631" t="str">
        <f>IF(K319="","",
IF(AX319="PT",VLOOKUP(K319,Foundation_Calc!$K$4:$R$37,VLOOKUP(AW319,Foundation_Calc!$I$2:$J$8,2,FALSE),0),
IF(AX319="K",VLOOKUP(K319,Foundation_Calc!$K$41:$R$74,VLOOKUP(AW319,Foundation_Calc!$I$2:$J$8,2,FALSE),0),"")))</f>
        <v/>
      </c>
      <c r="BA319" s="632" t="str">
        <f t="shared" si="87"/>
        <v/>
      </c>
      <c r="BB319" s="632" t="str">
        <f t="shared" si="88"/>
        <v/>
      </c>
      <c r="BC319" s="632" t="str">
        <f t="shared" si="89"/>
        <v/>
      </c>
      <c r="BD319" s="633" t="str">
        <f>IF(AND(L319="",H319=""),"",
IF(H319="",Pole_Calc!A347,
IF(H319="MP",Pole_Calc!A348,
IF(H319="AnMP",Pole_Calc!A349,
IF(H319="A",Pole_Calc!A350,
IF(H319="S/A",Pole_Calc!A351,
IF(H319="A/S",Pole_Calc!A352,"Poner a mano")))))))</f>
        <v/>
      </c>
      <c r="BE319" s="448" t="s">
        <v>1726</v>
      </c>
      <c r="BF319" s="635"/>
      <c r="BG319" s="635"/>
      <c r="BH319" s="634"/>
      <c r="BI319" s="635"/>
    </row>
    <row r="320" spans="1:61" ht="16.2" customHeight="1">
      <c r="A320" s="12"/>
      <c r="B320" s="446"/>
      <c r="C320" s="89"/>
      <c r="D320" s="13"/>
      <c r="E320" s="14"/>
      <c r="F320" s="14"/>
      <c r="G320" s="15"/>
      <c r="H320" s="8"/>
      <c r="I320" s="8"/>
      <c r="J320" s="89"/>
      <c r="K320" s="8"/>
      <c r="L320" s="8"/>
      <c r="M320" s="8" t="str">
        <f>IF(L320="","",
IF(AX320="PT",VLOOKUP(L320,Foundation_Calc!$V$4:$X$37,VLOOKUP(AX320,Foundation_Calc!$I$10:$J$13,2,FALSE),0),
IF(AX320="K",VLOOKUP(L320,Foundation_Calc!$V$41:$X$74,VLOOKUP(AX320,Foundation_Calc!$I$10:$J$13,2,FALSE),0),"")))</f>
        <v/>
      </c>
      <c r="N320" s="8"/>
      <c r="O320" s="8"/>
      <c r="P320" s="8"/>
      <c r="Q320" s="14"/>
      <c r="R320" s="15"/>
      <c r="S320" s="15"/>
      <c r="T320" s="14"/>
      <c r="U320" s="14"/>
      <c r="V320" s="14"/>
      <c r="W320" s="18"/>
      <c r="X320" s="18"/>
      <c r="Y320" s="18"/>
      <c r="Z320" s="18"/>
      <c r="AA320" s="18"/>
      <c r="AB320" s="18"/>
      <c r="AC320" s="8" t="str">
        <f t="shared" si="86"/>
        <v/>
      </c>
      <c r="AD320" s="8"/>
      <c r="AE320" s="8"/>
      <c r="AF320" s="14"/>
      <c r="AG320" s="13"/>
      <c r="AH320" s="14"/>
      <c r="AI320" s="14"/>
      <c r="AJ320" s="8"/>
      <c r="AK320" s="8"/>
      <c r="AL320" s="8"/>
      <c r="AM320" s="8"/>
      <c r="AN320" s="631"/>
      <c r="AO320" s="18"/>
      <c r="AP320" s="18"/>
      <c r="AQ320" s="18"/>
      <c r="AR320" s="18"/>
      <c r="AS320" s="18"/>
      <c r="AU320" s="448"/>
      <c r="AV320" s="448"/>
      <c r="AW320" s="8" t="str">
        <f>IF(C320&gt;0,VLOOKUP(C320,Foundation_Calc!$A$2:$C$986,3,1),
IF(J320&gt;0,VLOOKUP(J320,Foundation_Calc!$A$2:$C$986,3,1),""))</f>
        <v/>
      </c>
      <c r="AX320" s="8" t="str">
        <f>IF(C320&gt;0,VLOOKUP(C320,Foundation_Calc!$E$2:$G$986,3,1),
IF(J320&gt;0,VLOOKUP(J320,Foundation_Calc!$E$2:$G$986,3,1),""))</f>
        <v/>
      </c>
      <c r="AY320" s="631" t="str">
        <f>IF(L320="","",
IF(AX320="PT",VLOOKUP(L320,Foundation_Calc!$K$4:$R$37,VLOOKUP(AW320,Foundation_Calc!$I$2:$J$8,2,FALSE),0),
IF(AX320="K",VLOOKUP(L320,Foundation_Calc!$K$41:$R$74,VLOOKUP(AW320,Foundation_Calc!$I$2:$J$8,2,FALSE),0),"")))</f>
        <v/>
      </c>
      <c r="AZ320" s="631" t="str">
        <f>IF(K320="","",
IF(AX320="PT",VLOOKUP(K320,Foundation_Calc!$K$4:$R$37,VLOOKUP(AW320,Foundation_Calc!$I$2:$J$8,2,FALSE),0),
IF(AX320="K",VLOOKUP(K320,Foundation_Calc!$K$41:$R$74,VLOOKUP(AW320,Foundation_Calc!$I$2:$J$8,2,FALSE),0),"")))</f>
        <v/>
      </c>
      <c r="BA320" s="632" t="str">
        <f t="shared" si="87"/>
        <v/>
      </c>
      <c r="BB320" s="632" t="str">
        <f t="shared" si="88"/>
        <v/>
      </c>
      <c r="BC320" s="632" t="str">
        <f t="shared" si="89"/>
        <v/>
      </c>
      <c r="BD320" s="633" t="str">
        <f>IF(AND(L320="",H320=""),"",
IF(H320="",Pole_Calc!A348,
IF(H320="MP",Pole_Calc!A349,
IF(H320="AnMP",Pole_Calc!A350,
IF(H320="A",Pole_Calc!A351,
IF(H320="S/A",Pole_Calc!A352,
IF(H320="A/S",Pole_Calc!A353,"Poner a mano")))))))</f>
        <v/>
      </c>
      <c r="BE320" s="448" t="s">
        <v>1726</v>
      </c>
      <c r="BF320" s="634"/>
      <c r="BG320" s="634"/>
      <c r="BH320" s="634"/>
      <c r="BI320" s="634"/>
    </row>
    <row r="321" spans="1:61" ht="16.2" customHeight="1">
      <c r="A321" s="12"/>
      <c r="B321" s="446"/>
      <c r="C321" s="89"/>
      <c r="D321" s="13"/>
      <c r="E321" s="14"/>
      <c r="F321" s="14"/>
      <c r="G321" s="15"/>
      <c r="H321" s="8"/>
      <c r="I321" s="8"/>
      <c r="J321" s="89"/>
      <c r="K321" s="8"/>
      <c r="L321" s="8"/>
      <c r="M321" s="8" t="str">
        <f>IF(L321="","",
IF(AX321="PT",VLOOKUP(L321,Foundation_Calc!$V$4:$X$37,VLOOKUP(AX321,Foundation_Calc!$I$10:$J$13,2,FALSE),0),
IF(AX321="K",VLOOKUP(L321,Foundation_Calc!$V$41:$X$74,VLOOKUP(AX321,Foundation_Calc!$I$10:$J$13,2,FALSE),0),"")))</f>
        <v/>
      </c>
      <c r="N321" s="8"/>
      <c r="O321" s="8"/>
      <c r="P321" s="8"/>
      <c r="Q321" s="14"/>
      <c r="R321" s="15"/>
      <c r="S321" s="15"/>
      <c r="T321" s="14"/>
      <c r="U321" s="14"/>
      <c r="V321" s="14"/>
      <c r="W321" s="18"/>
      <c r="X321" s="18"/>
      <c r="Y321" s="18"/>
      <c r="Z321" s="18"/>
      <c r="AA321" s="18"/>
      <c r="AB321" s="18"/>
      <c r="AC321" s="8" t="str">
        <f t="shared" si="86"/>
        <v/>
      </c>
      <c r="AD321" s="8"/>
      <c r="AE321" s="8"/>
      <c r="AF321" s="14"/>
      <c r="AG321" s="13"/>
      <c r="AH321" s="14"/>
      <c r="AI321" s="14"/>
      <c r="AJ321" s="8"/>
      <c r="AK321" s="8"/>
      <c r="AL321" s="8"/>
      <c r="AM321" s="8"/>
      <c r="AN321" s="631"/>
      <c r="AO321" s="18"/>
      <c r="AP321" s="18"/>
      <c r="AQ321" s="18"/>
      <c r="AR321" s="18"/>
      <c r="AS321" s="18"/>
      <c r="AU321" s="448"/>
      <c r="AV321" s="448"/>
      <c r="AW321" s="8" t="str">
        <f>IF(C321&gt;0,VLOOKUP(C321,Foundation_Calc!$A$2:$C$986,3,1),
IF(J321&gt;0,VLOOKUP(J321,Foundation_Calc!$A$2:$C$986,3,1),""))</f>
        <v/>
      </c>
      <c r="AX321" s="8" t="str">
        <f>IF(C321&gt;0,VLOOKUP(C321,Foundation_Calc!$E$2:$G$986,3,1),
IF(J321&gt;0,VLOOKUP(J321,Foundation_Calc!$E$2:$G$986,3,1),""))</f>
        <v/>
      </c>
      <c r="AY321" s="631" t="str">
        <f>IF(L321="","",
IF(AX321="PT",VLOOKUP(L321,Foundation_Calc!$K$4:$R$37,VLOOKUP(AW321,Foundation_Calc!$I$2:$J$8,2,FALSE),0),
IF(AX321="K",VLOOKUP(L321,Foundation_Calc!$K$41:$R$74,VLOOKUP(AW321,Foundation_Calc!$I$2:$J$8,2,FALSE),0),"")))</f>
        <v/>
      </c>
      <c r="AZ321" s="631" t="str">
        <f>IF(K321="","",
IF(AX321="PT",VLOOKUP(K321,Foundation_Calc!$K$4:$R$37,VLOOKUP(AW321,Foundation_Calc!$I$2:$J$8,2,FALSE),0),
IF(AX321="K",VLOOKUP(K321,Foundation_Calc!$K$41:$R$74,VLOOKUP(AW321,Foundation_Calc!$I$2:$J$8,2,FALSE),0),"")))</f>
        <v/>
      </c>
      <c r="BA321" s="632" t="str">
        <f t="shared" si="87"/>
        <v/>
      </c>
      <c r="BB321" s="632" t="str">
        <f t="shared" si="88"/>
        <v/>
      </c>
      <c r="BC321" s="632" t="str">
        <f t="shared" si="89"/>
        <v/>
      </c>
      <c r="BD321" s="633" t="str">
        <f>IF(AND(L321="",H321=""),"",
IF(H321="",Pole_Calc!A349,
IF(H321="MP",Pole_Calc!A350,
IF(H321="AnMP",Pole_Calc!A351,
IF(H321="A",Pole_Calc!A352,
IF(H321="S/A",Pole_Calc!A353,
IF(H321="A/S",Pole_Calc!A354,"Poner a mano")))))))</f>
        <v/>
      </c>
      <c r="BE321" s="448" t="s">
        <v>1726</v>
      </c>
      <c r="BF321" s="635"/>
      <c r="BG321" s="635"/>
      <c r="BH321" s="634"/>
      <c r="BI321" s="635"/>
    </row>
    <row r="322" spans="1:61" ht="16.2" customHeight="1">
      <c r="A322" s="12"/>
      <c r="B322" s="446"/>
      <c r="C322" s="89"/>
      <c r="D322" s="13"/>
      <c r="E322" s="14"/>
      <c r="F322" s="14"/>
      <c r="G322" s="15"/>
      <c r="H322" s="8"/>
      <c r="I322" s="8"/>
      <c r="J322" s="89"/>
      <c r="K322" s="8"/>
      <c r="L322" s="8"/>
      <c r="M322" s="8" t="str">
        <f>IF(L322="","",
IF(AX322="PT",VLOOKUP(L322,Foundation_Calc!$V$4:$X$37,VLOOKUP(AX322,Foundation_Calc!$I$10:$J$13,2,FALSE),0),
IF(AX322="K",VLOOKUP(L322,Foundation_Calc!$V$41:$X$74,VLOOKUP(AX322,Foundation_Calc!$I$10:$J$13,2,FALSE),0),"")))</f>
        <v/>
      </c>
      <c r="N322" s="8"/>
      <c r="O322" s="8"/>
      <c r="P322" s="8"/>
      <c r="Q322" s="14"/>
      <c r="R322" s="15"/>
      <c r="S322" s="15"/>
      <c r="T322" s="14"/>
      <c r="U322" s="14"/>
      <c r="V322" s="14"/>
      <c r="W322" s="18"/>
      <c r="X322" s="18"/>
      <c r="Y322" s="18"/>
      <c r="Z322" s="18"/>
      <c r="AA322" s="18"/>
      <c r="AB322" s="18"/>
      <c r="AC322" s="8" t="str">
        <f t="shared" si="86"/>
        <v/>
      </c>
      <c r="AD322" s="8"/>
      <c r="AE322" s="8"/>
      <c r="AF322" s="14"/>
      <c r="AG322" s="13"/>
      <c r="AH322" s="14"/>
      <c r="AI322" s="14"/>
      <c r="AJ322" s="8"/>
      <c r="AK322" s="8"/>
      <c r="AL322" s="8"/>
      <c r="AM322" s="8"/>
      <c r="AN322" s="631"/>
      <c r="AO322" s="18"/>
      <c r="AP322" s="18"/>
      <c r="AQ322" s="18"/>
      <c r="AR322" s="18"/>
      <c r="AS322" s="18"/>
      <c r="AU322" s="448"/>
      <c r="AV322" s="448"/>
      <c r="AW322" s="8" t="str">
        <f>IF(C322&gt;0,VLOOKUP(C322,Foundation_Calc!$A$2:$C$986,3,1),
IF(J322&gt;0,VLOOKUP(J322,Foundation_Calc!$A$2:$C$986,3,1),""))</f>
        <v/>
      </c>
      <c r="AX322" s="8" t="str">
        <f>IF(C322&gt;0,VLOOKUP(C322,Foundation_Calc!$E$2:$G$986,3,1),
IF(J322&gt;0,VLOOKUP(J322,Foundation_Calc!$E$2:$G$986,3,1),""))</f>
        <v/>
      </c>
      <c r="AY322" s="631" t="str">
        <f>IF(L322="","",
IF(AX322="PT",VLOOKUP(L322,Foundation_Calc!$K$4:$R$37,VLOOKUP(AW322,Foundation_Calc!$I$2:$J$8,2,FALSE),0),
IF(AX322="K",VLOOKUP(L322,Foundation_Calc!$K$41:$R$74,VLOOKUP(AW322,Foundation_Calc!$I$2:$J$8,2,FALSE),0),"")))</f>
        <v/>
      </c>
      <c r="AZ322" s="631" t="str">
        <f>IF(K322="","",
IF(AX322="PT",VLOOKUP(K322,Foundation_Calc!$K$4:$R$37,VLOOKUP(AW322,Foundation_Calc!$I$2:$J$8,2,FALSE),0),
IF(AX322="K",VLOOKUP(K322,Foundation_Calc!$K$41:$R$74,VLOOKUP(AW322,Foundation_Calc!$I$2:$J$8,2,FALSE),0),"")))</f>
        <v/>
      </c>
      <c r="BA322" s="632" t="str">
        <f t="shared" si="87"/>
        <v/>
      </c>
      <c r="BB322" s="632" t="str">
        <f t="shared" si="88"/>
        <v/>
      </c>
      <c r="BC322" s="632" t="str">
        <f t="shared" si="89"/>
        <v/>
      </c>
      <c r="BD322" s="633" t="str">
        <f>IF(AND(L322="",H322=""),"",
IF(H322="",Pole_Calc!A350,
IF(H322="MP",Pole_Calc!A351,
IF(H322="AnMP",Pole_Calc!A352,
IF(H322="A",Pole_Calc!A353,
IF(H322="S/A",Pole_Calc!A354,
IF(H322="A/S",Pole_Calc!A355,"Poner a mano")))))))</f>
        <v/>
      </c>
      <c r="BE322" s="448" t="s">
        <v>1726</v>
      </c>
      <c r="BF322" s="634"/>
      <c r="BG322" s="634"/>
      <c r="BH322" s="634"/>
      <c r="BI322" s="634"/>
    </row>
    <row r="323" spans="1:61" ht="16.2" customHeight="1">
      <c r="A323" s="12"/>
      <c r="B323" s="446"/>
      <c r="C323" s="89"/>
      <c r="D323" s="13"/>
      <c r="E323" s="14"/>
      <c r="F323" s="14"/>
      <c r="G323" s="15"/>
      <c r="H323" s="8"/>
      <c r="I323" s="8"/>
      <c r="J323" s="89"/>
      <c r="K323" s="8"/>
      <c r="L323" s="8"/>
      <c r="M323" s="8" t="str">
        <f>IF(L323="","",
IF(AX323="PT",VLOOKUP(L323,Foundation_Calc!$V$4:$X$37,VLOOKUP(AX323,Foundation_Calc!$I$10:$J$13,2,FALSE),0),
IF(AX323="K",VLOOKUP(L323,Foundation_Calc!$V$41:$X$74,VLOOKUP(AX323,Foundation_Calc!$I$10:$J$13,2,FALSE),0),"")))</f>
        <v/>
      </c>
      <c r="N323" s="8"/>
      <c r="O323" s="8"/>
      <c r="P323" s="8"/>
      <c r="Q323" s="14"/>
      <c r="R323" s="15"/>
      <c r="S323" s="15"/>
      <c r="T323" s="14"/>
      <c r="U323" s="14"/>
      <c r="V323" s="14"/>
      <c r="W323" s="18"/>
      <c r="X323" s="18"/>
      <c r="Y323" s="18"/>
      <c r="Z323" s="18"/>
      <c r="AA323" s="18"/>
      <c r="AB323" s="18"/>
      <c r="AC323" s="8" t="str">
        <f t="shared" si="86"/>
        <v/>
      </c>
      <c r="AD323" s="8"/>
      <c r="AE323" s="8"/>
      <c r="AF323" s="14"/>
      <c r="AG323" s="13"/>
      <c r="AH323" s="14"/>
      <c r="AI323" s="14"/>
      <c r="AJ323" s="8"/>
      <c r="AK323" s="8"/>
      <c r="AL323" s="8"/>
      <c r="AM323" s="8"/>
      <c r="AN323" s="631"/>
      <c r="AO323" s="18"/>
      <c r="AP323" s="18"/>
      <c r="AQ323" s="18"/>
      <c r="AR323" s="18"/>
      <c r="AS323" s="18"/>
      <c r="AU323" s="448"/>
      <c r="AV323" s="448"/>
      <c r="AW323" s="8" t="str">
        <f>IF(C323&gt;0,VLOOKUP(C323,Foundation_Calc!$A$2:$C$986,3,1),
IF(J323&gt;0,VLOOKUP(J323,Foundation_Calc!$A$2:$C$986,3,1),""))</f>
        <v/>
      </c>
      <c r="AX323" s="8" t="str">
        <f>IF(C323&gt;0,VLOOKUP(C323,Foundation_Calc!$E$2:$G$986,3,1),
IF(J323&gt;0,VLOOKUP(J323,Foundation_Calc!$E$2:$G$986,3,1),""))</f>
        <v/>
      </c>
      <c r="AY323" s="631" t="str">
        <f>IF(L323="","",
IF(AX323="PT",VLOOKUP(L323,Foundation_Calc!$K$4:$R$37,VLOOKUP(AW323,Foundation_Calc!$I$2:$J$8,2,FALSE),0),
IF(AX323="K",VLOOKUP(L323,Foundation_Calc!$K$41:$R$74,VLOOKUP(AW323,Foundation_Calc!$I$2:$J$8,2,FALSE),0),"")))</f>
        <v/>
      </c>
      <c r="AZ323" s="631" t="str">
        <f>IF(K323="","",
IF(AX323="PT",VLOOKUP(K323,Foundation_Calc!$K$4:$R$37,VLOOKUP(AW323,Foundation_Calc!$I$2:$J$8,2,FALSE),0),
IF(AX323="K",VLOOKUP(K323,Foundation_Calc!$K$41:$R$74,VLOOKUP(AW323,Foundation_Calc!$I$2:$J$8,2,FALSE),0),"")))</f>
        <v/>
      </c>
      <c r="BA323" s="632" t="str">
        <f t="shared" si="87"/>
        <v/>
      </c>
      <c r="BB323" s="632" t="str">
        <f t="shared" si="88"/>
        <v/>
      </c>
      <c r="BC323" s="632" t="str">
        <f t="shared" si="89"/>
        <v/>
      </c>
      <c r="BD323" s="633" t="str">
        <f>IF(AND(L323="",H323=""),"",
IF(H323="",Pole_Calc!A351,
IF(H323="MP",Pole_Calc!A352,
IF(H323="AnMP",Pole_Calc!A353,
IF(H323="A",Pole_Calc!A354,
IF(H323="S/A",Pole_Calc!A355,
IF(H323="A/S",Pole_Calc!A356,"Poner a mano")))))))</f>
        <v/>
      </c>
      <c r="BE323" s="448" t="s">
        <v>1726</v>
      </c>
      <c r="BF323" s="635"/>
      <c r="BG323" s="635"/>
      <c r="BH323" s="634"/>
      <c r="BI323" s="635"/>
    </row>
    <row r="324" spans="1:61" ht="16.2" customHeight="1">
      <c r="A324" s="12"/>
      <c r="B324" s="446"/>
      <c r="C324" s="89"/>
      <c r="D324" s="13"/>
      <c r="E324" s="14"/>
      <c r="F324" s="14"/>
      <c r="G324" s="15"/>
      <c r="H324" s="8"/>
      <c r="I324" s="8"/>
      <c r="J324" s="89"/>
      <c r="K324" s="8"/>
      <c r="L324" s="8"/>
      <c r="M324" s="8" t="str">
        <f>IF(L324="","",
IF(AX324="PT",VLOOKUP(L324,Foundation_Calc!$V$4:$X$37,VLOOKUP(AX324,Foundation_Calc!$I$10:$J$13,2,FALSE),0),
IF(AX324="K",VLOOKUP(L324,Foundation_Calc!$V$41:$X$74,VLOOKUP(AX324,Foundation_Calc!$I$10:$J$13,2,FALSE),0),"")))</f>
        <v/>
      </c>
      <c r="N324" s="8"/>
      <c r="O324" s="8"/>
      <c r="P324" s="8"/>
      <c r="Q324" s="14"/>
      <c r="R324" s="15"/>
      <c r="S324" s="15"/>
      <c r="T324" s="14"/>
      <c r="U324" s="14"/>
      <c r="V324" s="14"/>
      <c r="W324" s="18"/>
      <c r="X324" s="18"/>
      <c r="Y324" s="18"/>
      <c r="Z324" s="18"/>
      <c r="AA324" s="18"/>
      <c r="AB324" s="18"/>
      <c r="AC324" s="8" t="str">
        <f t="shared" si="86"/>
        <v/>
      </c>
      <c r="AD324" s="8"/>
      <c r="AE324" s="8"/>
      <c r="AF324" s="14"/>
      <c r="AG324" s="13"/>
      <c r="AH324" s="14"/>
      <c r="AI324" s="14"/>
      <c r="AJ324" s="8"/>
      <c r="AK324" s="8"/>
      <c r="AL324" s="8"/>
      <c r="AM324" s="8"/>
      <c r="AN324" s="631"/>
      <c r="AO324" s="18"/>
      <c r="AP324" s="18"/>
      <c r="AQ324" s="18"/>
      <c r="AR324" s="18"/>
      <c r="AS324" s="18"/>
      <c r="AU324" s="448"/>
      <c r="AV324" s="448"/>
      <c r="AW324" s="8" t="str">
        <f>IF(C324&gt;0,VLOOKUP(C324,Foundation_Calc!$A$2:$C$986,3,1),
IF(J324&gt;0,VLOOKUP(J324,Foundation_Calc!$A$2:$C$986,3,1),""))</f>
        <v/>
      </c>
      <c r="AX324" s="8" t="str">
        <f>IF(C324&gt;0,VLOOKUP(C324,Foundation_Calc!$E$2:$G$986,3,1),
IF(J324&gt;0,VLOOKUP(J324,Foundation_Calc!$E$2:$G$986,3,1),""))</f>
        <v/>
      </c>
      <c r="AY324" s="631" t="str">
        <f>IF(L324="","",
IF(AX324="PT",VLOOKUP(L324,Foundation_Calc!$K$4:$R$37,VLOOKUP(AW324,Foundation_Calc!$I$2:$J$8,2,FALSE),0),
IF(AX324="K",VLOOKUP(L324,Foundation_Calc!$K$41:$R$74,VLOOKUP(AW324,Foundation_Calc!$I$2:$J$8,2,FALSE),0),"")))</f>
        <v/>
      </c>
      <c r="AZ324" s="631" t="str">
        <f>IF(K324="","",
IF(AX324="PT",VLOOKUP(K324,Foundation_Calc!$K$4:$R$37,VLOOKUP(AW324,Foundation_Calc!$I$2:$J$8,2,FALSE),0),
IF(AX324="K",VLOOKUP(K324,Foundation_Calc!$K$41:$R$74,VLOOKUP(AW324,Foundation_Calc!$I$2:$J$8,2,FALSE),0),"")))</f>
        <v/>
      </c>
      <c r="BA324" s="632" t="str">
        <f t="shared" si="87"/>
        <v/>
      </c>
      <c r="BB324" s="632" t="str">
        <f t="shared" si="88"/>
        <v/>
      </c>
      <c r="BC324" s="632" t="str">
        <f t="shared" si="89"/>
        <v/>
      </c>
      <c r="BD324" s="633" t="str">
        <f>IF(AND(L324="",H324=""),"",
IF(H324="",Pole_Calc!A352,
IF(H324="MP",Pole_Calc!A353,
IF(H324="AnMP",Pole_Calc!A354,
IF(H324="A",Pole_Calc!A355,
IF(H324="S/A",Pole_Calc!A356,
IF(H324="A/S",Pole_Calc!A357,"Poner a mano")))))))</f>
        <v/>
      </c>
      <c r="BE324" s="448" t="s">
        <v>1726</v>
      </c>
      <c r="BF324" s="634"/>
      <c r="BG324" s="634"/>
      <c r="BH324" s="634"/>
      <c r="BI324" s="634"/>
    </row>
    <row r="325" spans="1:61" ht="16.2" customHeight="1">
      <c r="A325" s="12"/>
      <c r="B325" s="446"/>
      <c r="C325" s="89"/>
      <c r="D325" s="13"/>
      <c r="E325" s="14"/>
      <c r="F325" s="14"/>
      <c r="G325" s="15"/>
      <c r="H325" s="8"/>
      <c r="I325" s="8"/>
      <c r="J325" s="89"/>
      <c r="K325" s="8"/>
      <c r="L325" s="8"/>
      <c r="M325" s="8" t="str">
        <f>IF(L325="","",
IF(AX325="PT",VLOOKUP(L325,Foundation_Calc!$V$4:$X$37,VLOOKUP(AX325,Foundation_Calc!$I$10:$J$13,2,FALSE),0),
IF(AX325="K",VLOOKUP(L325,Foundation_Calc!$V$41:$X$74,VLOOKUP(AX325,Foundation_Calc!$I$10:$J$13,2,FALSE),0),"")))</f>
        <v/>
      </c>
      <c r="N325" s="8"/>
      <c r="O325" s="8"/>
      <c r="P325" s="8"/>
      <c r="Q325" s="14"/>
      <c r="R325" s="15"/>
      <c r="S325" s="15"/>
      <c r="T325" s="14"/>
      <c r="U325" s="14"/>
      <c r="V325" s="14"/>
      <c r="W325" s="18"/>
      <c r="X325" s="18"/>
      <c r="Y325" s="18"/>
      <c r="Z325" s="18"/>
      <c r="AA325" s="18"/>
      <c r="AB325" s="18"/>
      <c r="AC325" s="8" t="str">
        <f t="shared" si="86"/>
        <v/>
      </c>
      <c r="AD325" s="8"/>
      <c r="AE325" s="8"/>
      <c r="AF325" s="14"/>
      <c r="AG325" s="13"/>
      <c r="AH325" s="14"/>
      <c r="AI325" s="14"/>
      <c r="AJ325" s="8"/>
      <c r="AK325" s="8"/>
      <c r="AL325" s="8"/>
      <c r="AM325" s="8"/>
      <c r="AN325" s="631"/>
      <c r="AO325" s="18"/>
      <c r="AP325" s="18"/>
      <c r="AQ325" s="18"/>
      <c r="AR325" s="18"/>
      <c r="AS325" s="18"/>
      <c r="AU325" s="448"/>
      <c r="AV325" s="448"/>
      <c r="AW325" s="8" t="str">
        <f>IF(C325&gt;0,VLOOKUP(C325,Foundation_Calc!$A$2:$C$986,3,1),
IF(J325&gt;0,VLOOKUP(J325,Foundation_Calc!$A$2:$C$986,3,1),""))</f>
        <v/>
      </c>
      <c r="AX325" s="8" t="str">
        <f>IF(C325&gt;0,VLOOKUP(C325,Foundation_Calc!$E$2:$G$986,3,1),
IF(J325&gt;0,VLOOKUP(J325,Foundation_Calc!$E$2:$G$986,3,1),""))</f>
        <v/>
      </c>
      <c r="AY325" s="631" t="str">
        <f>IF(L325="","",
IF(AX325="PT",VLOOKUP(L325,Foundation_Calc!$K$4:$R$37,VLOOKUP(AW325,Foundation_Calc!$I$2:$J$8,2,FALSE),0),
IF(AX325="K",VLOOKUP(L325,Foundation_Calc!$K$41:$R$74,VLOOKUP(AW325,Foundation_Calc!$I$2:$J$8,2,FALSE),0),"")))</f>
        <v/>
      </c>
      <c r="AZ325" s="631" t="str">
        <f>IF(K325="","",
IF(AX325="PT",VLOOKUP(K325,Foundation_Calc!$K$4:$R$37,VLOOKUP(AW325,Foundation_Calc!$I$2:$J$8,2,FALSE),0),
IF(AX325="K",VLOOKUP(K325,Foundation_Calc!$K$41:$R$74,VLOOKUP(AW325,Foundation_Calc!$I$2:$J$8,2,FALSE),0),"")))</f>
        <v/>
      </c>
      <c r="BA325" s="632" t="str">
        <f t="shared" si="87"/>
        <v/>
      </c>
      <c r="BB325" s="632" t="str">
        <f t="shared" si="88"/>
        <v/>
      </c>
      <c r="BC325" s="632" t="str">
        <f t="shared" si="89"/>
        <v/>
      </c>
      <c r="BD325" s="633" t="str">
        <f>IF(AND(L325="",H325=""),"",
IF(H325="",Pole_Calc!A353,
IF(H325="MP",Pole_Calc!A354,
IF(H325="AnMP",Pole_Calc!A355,
IF(H325="A",Pole_Calc!A356,
IF(H325="S/A",Pole_Calc!A357,
IF(H325="A/S",Pole_Calc!A358,"Poner a mano")))))))</f>
        <v/>
      </c>
      <c r="BE325" s="448" t="s">
        <v>1726</v>
      </c>
      <c r="BF325" s="635"/>
      <c r="BG325" s="635"/>
      <c r="BH325" s="634"/>
      <c r="BI325" s="635"/>
    </row>
    <row r="326" spans="1:61" ht="16.2" customHeight="1">
      <c r="A326" s="12"/>
      <c r="B326" s="446"/>
      <c r="C326" s="89"/>
      <c r="D326" s="13"/>
      <c r="E326" s="14"/>
      <c r="F326" s="14"/>
      <c r="G326" s="15"/>
      <c r="H326" s="8"/>
      <c r="I326" s="8"/>
      <c r="J326" s="89"/>
      <c r="K326" s="8"/>
      <c r="L326" s="8"/>
      <c r="M326" s="8" t="str">
        <f>IF(L326="","",
IF(AX326="PT",VLOOKUP(L326,Foundation_Calc!$V$4:$X$37,VLOOKUP(AX326,Foundation_Calc!$I$10:$J$13,2,FALSE),0),
IF(AX326="K",VLOOKUP(L326,Foundation_Calc!$V$41:$X$74,VLOOKUP(AX326,Foundation_Calc!$I$10:$J$13,2,FALSE),0),"")))</f>
        <v/>
      </c>
      <c r="N326" s="8"/>
      <c r="O326" s="8"/>
      <c r="P326" s="8"/>
      <c r="Q326" s="14"/>
      <c r="R326" s="15"/>
      <c r="S326" s="15"/>
      <c r="T326" s="14"/>
      <c r="U326" s="14"/>
      <c r="V326" s="14"/>
      <c r="W326" s="18"/>
      <c r="X326" s="18"/>
      <c r="Y326" s="18"/>
      <c r="Z326" s="18"/>
      <c r="AA326" s="18"/>
      <c r="AB326" s="18"/>
      <c r="AC326" s="8" t="str">
        <f t="shared" ref="AC326:AC389" si="90">IF(OR(AT326&gt;8,AT326&lt;-8),"PH",
IF(OR(AT326&gt;5,AT326&lt;-5),"PHQ",
IF(OR(AT326&gt;1,AT326&lt;-1),
"PHC","")))</f>
        <v/>
      </c>
      <c r="AD326" s="8"/>
      <c r="AE326" s="8"/>
      <c r="AF326" s="14"/>
      <c r="AG326" s="13"/>
      <c r="AH326" s="14"/>
      <c r="AI326" s="14"/>
      <c r="AJ326" s="8"/>
      <c r="AK326" s="8"/>
      <c r="AL326" s="8"/>
      <c r="AM326" s="8"/>
      <c r="AN326" s="631"/>
      <c r="AO326" s="18"/>
      <c r="AP326" s="18"/>
      <c r="AQ326" s="18"/>
      <c r="AR326" s="18"/>
      <c r="AS326" s="18"/>
      <c r="AU326" s="448"/>
      <c r="AV326" s="448"/>
      <c r="AW326" s="8" t="str">
        <f>IF(C326&gt;0,VLOOKUP(C326,Foundation_Calc!$A$2:$C$986,3,1),
IF(J326&gt;0,VLOOKUP(J326,Foundation_Calc!$A$2:$C$986,3,1),""))</f>
        <v/>
      </c>
      <c r="AX326" s="8" t="str">
        <f>IF(C326&gt;0,VLOOKUP(C326,Foundation_Calc!$E$2:$G$986,3,1),
IF(J326&gt;0,VLOOKUP(J326,Foundation_Calc!$E$2:$G$986,3,1),""))</f>
        <v/>
      </c>
      <c r="AY326" s="631" t="str">
        <f>IF(L326="","",
IF(AX326="PT",VLOOKUP(L326,Foundation_Calc!$K$4:$R$37,VLOOKUP(AW326,Foundation_Calc!$I$2:$J$8,2,FALSE),0),
IF(AX326="K",VLOOKUP(L326,Foundation_Calc!$K$41:$R$74,VLOOKUP(AW326,Foundation_Calc!$I$2:$J$8,2,FALSE),0),"")))</f>
        <v/>
      </c>
      <c r="AZ326" s="631" t="str">
        <f>IF(K326="","",
IF(AX326="PT",VLOOKUP(K326,Foundation_Calc!$K$4:$R$37,VLOOKUP(AW326,Foundation_Calc!$I$2:$J$8,2,FALSE),0),
IF(AX326="K",VLOOKUP(K326,Foundation_Calc!$K$41:$R$74,VLOOKUP(AW326,Foundation_Calc!$I$2:$J$8,2,FALSE),0),"")))</f>
        <v/>
      </c>
      <c r="BA326" s="632" t="str">
        <f t="shared" ref="BA326:BA389" si="91">IF(AY326="","",IF(AY326&gt;0,"ü",""))</f>
        <v/>
      </c>
      <c r="BB326" s="632" t="str">
        <f t="shared" ref="BB326:BB389" si="92">IF(AZ326="","",IF(AZ326&gt;0,"ü",""))</f>
        <v/>
      </c>
      <c r="BC326" s="632" t="str">
        <f t="shared" ref="BC326:BC389" si="93">IF(M326="","",IF(M326="Unique Solution","ü",""))</f>
        <v/>
      </c>
      <c r="BD326" s="633" t="str">
        <f>IF(AND(L326="",H326=""),"",
IF(H326="",Pole_Calc!A354,
IF(H326="MP",Pole_Calc!A355,
IF(H326="AnMP",Pole_Calc!A356,
IF(H326="A",Pole_Calc!A357,
IF(H326="S/A",Pole_Calc!A358,
IF(H326="A/S",Pole_Calc!A359,"Poner a mano")))))))</f>
        <v/>
      </c>
      <c r="BE326" s="448" t="s">
        <v>1726</v>
      </c>
      <c r="BF326" s="634"/>
      <c r="BG326" s="634"/>
      <c r="BH326" s="634"/>
      <c r="BI326" s="634"/>
    </row>
    <row r="327" spans="1:61" ht="16.2" customHeight="1">
      <c r="A327" s="12"/>
      <c r="B327" s="446"/>
      <c r="C327" s="89"/>
      <c r="D327" s="13"/>
      <c r="E327" s="14"/>
      <c r="F327" s="14"/>
      <c r="G327" s="15"/>
      <c r="H327" s="8"/>
      <c r="I327" s="8"/>
      <c r="J327" s="89"/>
      <c r="K327" s="8"/>
      <c r="L327" s="8"/>
      <c r="M327" s="8" t="str">
        <f>IF(L327="","",
IF(AX327="PT",VLOOKUP(L327,Foundation_Calc!$V$4:$X$37,VLOOKUP(AX327,Foundation_Calc!$I$10:$J$13,2,FALSE),0),
IF(AX327="K",VLOOKUP(L327,Foundation_Calc!$V$41:$X$74,VLOOKUP(AX327,Foundation_Calc!$I$10:$J$13,2,FALSE),0),"")))</f>
        <v/>
      </c>
      <c r="N327" s="8"/>
      <c r="O327" s="8"/>
      <c r="P327" s="8"/>
      <c r="Q327" s="14"/>
      <c r="R327" s="15"/>
      <c r="S327" s="15"/>
      <c r="T327" s="14"/>
      <c r="U327" s="14"/>
      <c r="V327" s="14"/>
      <c r="W327" s="18"/>
      <c r="X327" s="18"/>
      <c r="Y327" s="18"/>
      <c r="Z327" s="18"/>
      <c r="AA327" s="18"/>
      <c r="AB327" s="18"/>
      <c r="AC327" s="8" t="str">
        <f t="shared" si="90"/>
        <v/>
      </c>
      <c r="AD327" s="8"/>
      <c r="AE327" s="8"/>
      <c r="AF327" s="14"/>
      <c r="AG327" s="13"/>
      <c r="AH327" s="14"/>
      <c r="AI327" s="14"/>
      <c r="AJ327" s="8"/>
      <c r="AK327" s="8"/>
      <c r="AL327" s="8"/>
      <c r="AM327" s="8"/>
      <c r="AN327" s="631"/>
      <c r="AO327" s="18"/>
      <c r="AP327" s="18"/>
      <c r="AQ327" s="18"/>
      <c r="AR327" s="18"/>
      <c r="AS327" s="18"/>
      <c r="AU327" s="448"/>
      <c r="AV327" s="448"/>
      <c r="AW327" s="8" t="str">
        <f>IF(C327&gt;0,VLOOKUP(C327,Foundation_Calc!$A$2:$C$986,3,1),
IF(J327&gt;0,VLOOKUP(J327,Foundation_Calc!$A$2:$C$986,3,1),""))</f>
        <v/>
      </c>
      <c r="AX327" s="8" t="str">
        <f>IF(C327&gt;0,VLOOKUP(C327,Foundation_Calc!$E$2:$G$986,3,1),
IF(J327&gt;0,VLOOKUP(J327,Foundation_Calc!$E$2:$G$986,3,1),""))</f>
        <v/>
      </c>
      <c r="AY327" s="631" t="str">
        <f>IF(L327="","",
IF(AX327="PT",VLOOKUP(L327,Foundation_Calc!$K$4:$R$37,VLOOKUP(AW327,Foundation_Calc!$I$2:$J$8,2,FALSE),0),
IF(AX327="K",VLOOKUP(L327,Foundation_Calc!$K$41:$R$74,VLOOKUP(AW327,Foundation_Calc!$I$2:$J$8,2,FALSE),0),"")))</f>
        <v/>
      </c>
      <c r="AZ327" s="631" t="str">
        <f>IF(K327="","",
IF(AX327="PT",VLOOKUP(K327,Foundation_Calc!$K$4:$R$37,VLOOKUP(AW327,Foundation_Calc!$I$2:$J$8,2,FALSE),0),
IF(AX327="K",VLOOKUP(K327,Foundation_Calc!$K$41:$R$74,VLOOKUP(AW327,Foundation_Calc!$I$2:$J$8,2,FALSE),0),"")))</f>
        <v/>
      </c>
      <c r="BA327" s="632" t="str">
        <f t="shared" si="91"/>
        <v/>
      </c>
      <c r="BB327" s="632" t="str">
        <f t="shared" si="92"/>
        <v/>
      </c>
      <c r="BC327" s="632" t="str">
        <f t="shared" si="93"/>
        <v/>
      </c>
      <c r="BD327" s="633" t="str">
        <f>IF(AND(L327="",H327=""),"",
IF(H327="",Pole_Calc!A355,
IF(H327="MP",Pole_Calc!A356,
IF(H327="AnMP",Pole_Calc!A357,
IF(H327="A",Pole_Calc!A358,
IF(H327="S/A",Pole_Calc!A359,
IF(H327="A/S",Pole_Calc!A360,"Poner a mano")))))))</f>
        <v/>
      </c>
      <c r="BE327" s="448" t="s">
        <v>1726</v>
      </c>
      <c r="BF327" s="635"/>
      <c r="BG327" s="635"/>
      <c r="BH327" s="634"/>
      <c r="BI327" s="635"/>
    </row>
    <row r="328" spans="1:61" ht="16.2" customHeight="1">
      <c r="A328" s="12"/>
      <c r="B328" s="446"/>
      <c r="C328" s="89"/>
      <c r="D328" s="13"/>
      <c r="E328" s="14"/>
      <c r="F328" s="14"/>
      <c r="G328" s="15"/>
      <c r="H328" s="8"/>
      <c r="I328" s="8"/>
      <c r="J328" s="89"/>
      <c r="K328" s="8"/>
      <c r="L328" s="8"/>
      <c r="M328" s="8" t="str">
        <f>IF(L328="","",
IF(AX328="PT",VLOOKUP(L328,Foundation_Calc!$V$4:$X$37,VLOOKUP(AX328,Foundation_Calc!$I$10:$J$13,2,FALSE),0),
IF(AX328="K",VLOOKUP(L328,Foundation_Calc!$V$41:$X$74,VLOOKUP(AX328,Foundation_Calc!$I$10:$J$13,2,FALSE),0),"")))</f>
        <v/>
      </c>
      <c r="N328" s="8"/>
      <c r="O328" s="8"/>
      <c r="P328" s="8"/>
      <c r="Q328" s="14"/>
      <c r="R328" s="15"/>
      <c r="S328" s="15"/>
      <c r="T328" s="14"/>
      <c r="U328" s="14"/>
      <c r="V328" s="14"/>
      <c r="W328" s="18"/>
      <c r="X328" s="18"/>
      <c r="Y328" s="18"/>
      <c r="Z328" s="18"/>
      <c r="AA328" s="18"/>
      <c r="AB328" s="18"/>
      <c r="AC328" s="8" t="str">
        <f t="shared" si="90"/>
        <v/>
      </c>
      <c r="AD328" s="8"/>
      <c r="AE328" s="8"/>
      <c r="AF328" s="14"/>
      <c r="AG328" s="13"/>
      <c r="AH328" s="14"/>
      <c r="AI328" s="14"/>
      <c r="AJ328" s="8"/>
      <c r="AK328" s="8"/>
      <c r="AL328" s="8"/>
      <c r="AM328" s="8"/>
      <c r="AN328" s="631"/>
      <c r="AO328" s="18"/>
      <c r="AP328" s="18"/>
      <c r="AQ328" s="18"/>
      <c r="AR328" s="18"/>
      <c r="AS328" s="18"/>
      <c r="AU328" s="448"/>
      <c r="AV328" s="448"/>
      <c r="AW328" s="8" t="str">
        <f>IF(C328&gt;0,VLOOKUP(C328,Foundation_Calc!$A$2:$C$986,3,1),
IF(J328&gt;0,VLOOKUP(J328,Foundation_Calc!$A$2:$C$986,3,1),""))</f>
        <v/>
      </c>
      <c r="AX328" s="8" t="str">
        <f>IF(C328&gt;0,VLOOKUP(C328,Foundation_Calc!$E$2:$G$986,3,1),
IF(J328&gt;0,VLOOKUP(J328,Foundation_Calc!$E$2:$G$986,3,1),""))</f>
        <v/>
      </c>
      <c r="AY328" s="631" t="str">
        <f>IF(L328="","",
IF(AX328="PT",VLOOKUP(L328,Foundation_Calc!$K$4:$R$37,VLOOKUP(AW328,Foundation_Calc!$I$2:$J$8,2,FALSE),0),
IF(AX328="K",VLOOKUP(L328,Foundation_Calc!$K$41:$R$74,VLOOKUP(AW328,Foundation_Calc!$I$2:$J$8,2,FALSE),0),"")))</f>
        <v/>
      </c>
      <c r="AZ328" s="631" t="str">
        <f>IF(K328="","",
IF(AX328="PT",VLOOKUP(K328,Foundation_Calc!$K$4:$R$37,VLOOKUP(AW328,Foundation_Calc!$I$2:$J$8,2,FALSE),0),
IF(AX328="K",VLOOKUP(K328,Foundation_Calc!$K$41:$R$74,VLOOKUP(AW328,Foundation_Calc!$I$2:$J$8,2,FALSE),0),"")))</f>
        <v/>
      </c>
      <c r="BA328" s="632" t="str">
        <f t="shared" si="91"/>
        <v/>
      </c>
      <c r="BB328" s="632" t="str">
        <f t="shared" si="92"/>
        <v/>
      </c>
      <c r="BC328" s="632" t="str">
        <f t="shared" si="93"/>
        <v/>
      </c>
      <c r="BD328" s="633" t="str">
        <f>IF(AND(L328="",H328=""),"",
IF(H328="",Pole_Calc!A356,
IF(H328="MP",Pole_Calc!A357,
IF(H328="AnMP",Pole_Calc!A358,
IF(H328="A",Pole_Calc!A359,
IF(H328="S/A",Pole_Calc!A360,
IF(H328="A/S",Pole_Calc!A361,"Poner a mano")))))))</f>
        <v/>
      </c>
      <c r="BE328" s="448" t="s">
        <v>1726</v>
      </c>
      <c r="BF328" s="634"/>
      <c r="BG328" s="634"/>
      <c r="BH328" s="634"/>
      <c r="BI328" s="634"/>
    </row>
    <row r="329" spans="1:61" ht="16.2" customHeight="1">
      <c r="A329" s="12"/>
      <c r="B329" s="446"/>
      <c r="C329" s="89"/>
      <c r="D329" s="13"/>
      <c r="E329" s="14"/>
      <c r="F329" s="14"/>
      <c r="G329" s="15"/>
      <c r="H329" s="8"/>
      <c r="I329" s="8"/>
      <c r="J329" s="89"/>
      <c r="K329" s="8"/>
      <c r="L329" s="8"/>
      <c r="M329" s="8" t="str">
        <f>IF(L329="","",
IF(AX329="PT",VLOOKUP(L329,Foundation_Calc!$V$4:$X$37,VLOOKUP(AX329,Foundation_Calc!$I$10:$J$13,2,FALSE),0),
IF(AX329="K",VLOOKUP(L329,Foundation_Calc!$V$41:$X$74,VLOOKUP(AX329,Foundation_Calc!$I$10:$J$13,2,FALSE),0),"")))</f>
        <v/>
      </c>
      <c r="N329" s="8"/>
      <c r="O329" s="8"/>
      <c r="P329" s="8"/>
      <c r="Q329" s="14"/>
      <c r="R329" s="15"/>
      <c r="S329" s="15"/>
      <c r="T329" s="14"/>
      <c r="U329" s="14"/>
      <c r="V329" s="14"/>
      <c r="W329" s="18"/>
      <c r="X329" s="18"/>
      <c r="Y329" s="18"/>
      <c r="Z329" s="18"/>
      <c r="AA329" s="18"/>
      <c r="AB329" s="18"/>
      <c r="AC329" s="8" t="str">
        <f t="shared" si="90"/>
        <v/>
      </c>
      <c r="AD329" s="8"/>
      <c r="AE329" s="8"/>
      <c r="AF329" s="14"/>
      <c r="AG329" s="13"/>
      <c r="AH329" s="14"/>
      <c r="AI329" s="14"/>
      <c r="AJ329" s="8"/>
      <c r="AK329" s="8"/>
      <c r="AL329" s="8"/>
      <c r="AM329" s="8"/>
      <c r="AN329" s="631"/>
      <c r="AO329" s="18"/>
      <c r="AP329" s="18"/>
      <c r="AQ329" s="18"/>
      <c r="AR329" s="18"/>
      <c r="AS329" s="18"/>
      <c r="AU329" s="448"/>
      <c r="AV329" s="448"/>
      <c r="AW329" s="8" t="str">
        <f>IF(C329&gt;0,VLOOKUP(C329,Foundation_Calc!$A$2:$C$986,3,1),
IF(J329&gt;0,VLOOKUP(J329,Foundation_Calc!$A$2:$C$986,3,1),""))</f>
        <v/>
      </c>
      <c r="AX329" s="8" t="str">
        <f>IF(C329&gt;0,VLOOKUP(C329,Foundation_Calc!$E$2:$G$986,3,1),
IF(J329&gt;0,VLOOKUP(J329,Foundation_Calc!$E$2:$G$986,3,1),""))</f>
        <v/>
      </c>
      <c r="AY329" s="631" t="str">
        <f>IF(L329="","",
IF(AX329="PT",VLOOKUP(L329,Foundation_Calc!$K$4:$R$37,VLOOKUP(AW329,Foundation_Calc!$I$2:$J$8,2,FALSE),0),
IF(AX329="K",VLOOKUP(L329,Foundation_Calc!$K$41:$R$74,VLOOKUP(AW329,Foundation_Calc!$I$2:$J$8,2,FALSE),0),"")))</f>
        <v/>
      </c>
      <c r="AZ329" s="631" t="str">
        <f>IF(K329="","",
IF(AX329="PT",VLOOKUP(K329,Foundation_Calc!$K$4:$R$37,VLOOKUP(AW329,Foundation_Calc!$I$2:$J$8,2,FALSE),0),
IF(AX329="K",VLOOKUP(K329,Foundation_Calc!$K$41:$R$74,VLOOKUP(AW329,Foundation_Calc!$I$2:$J$8,2,FALSE),0),"")))</f>
        <v/>
      </c>
      <c r="BA329" s="632" t="str">
        <f t="shared" si="91"/>
        <v/>
      </c>
      <c r="BB329" s="632" t="str">
        <f t="shared" si="92"/>
        <v/>
      </c>
      <c r="BC329" s="632" t="str">
        <f t="shared" si="93"/>
        <v/>
      </c>
      <c r="BD329" s="633" t="str">
        <f>IF(AND(L329="",H329=""),"",
IF(H329="",Pole_Calc!A357,
IF(H329="MP",Pole_Calc!A358,
IF(H329="AnMP",Pole_Calc!A359,
IF(H329="A",Pole_Calc!A360,
IF(H329="S/A",Pole_Calc!A361,
IF(H329="A/S",Pole_Calc!A362,"Poner a mano")))))))</f>
        <v/>
      </c>
      <c r="BE329" s="448" t="s">
        <v>1726</v>
      </c>
      <c r="BF329" s="635"/>
      <c r="BG329" s="635"/>
      <c r="BH329" s="634"/>
      <c r="BI329" s="635"/>
    </row>
    <row r="330" spans="1:61" ht="16.2" customHeight="1">
      <c r="A330" s="12"/>
      <c r="B330" s="446"/>
      <c r="C330" s="89"/>
      <c r="D330" s="13"/>
      <c r="E330" s="14"/>
      <c r="F330" s="14"/>
      <c r="G330" s="15"/>
      <c r="H330" s="8"/>
      <c r="I330" s="8"/>
      <c r="J330" s="89"/>
      <c r="K330" s="8"/>
      <c r="L330" s="8"/>
      <c r="M330" s="8" t="str">
        <f>IF(L330="","",
IF(AX330="PT",VLOOKUP(L330,Foundation_Calc!$V$4:$X$37,VLOOKUP(AX330,Foundation_Calc!$I$10:$J$13,2,FALSE),0),
IF(AX330="K",VLOOKUP(L330,Foundation_Calc!$V$41:$X$74,VLOOKUP(AX330,Foundation_Calc!$I$10:$J$13,2,FALSE),0),"")))</f>
        <v/>
      </c>
      <c r="N330" s="8"/>
      <c r="O330" s="8"/>
      <c r="P330" s="8"/>
      <c r="Q330" s="14"/>
      <c r="R330" s="15"/>
      <c r="S330" s="15"/>
      <c r="T330" s="14"/>
      <c r="U330" s="14"/>
      <c r="V330" s="14"/>
      <c r="W330" s="18"/>
      <c r="X330" s="18"/>
      <c r="Y330" s="18"/>
      <c r="Z330" s="18"/>
      <c r="AA330" s="18"/>
      <c r="AB330" s="18"/>
      <c r="AC330" s="8" t="str">
        <f t="shared" si="90"/>
        <v/>
      </c>
      <c r="AD330" s="8"/>
      <c r="AE330" s="8"/>
      <c r="AF330" s="14"/>
      <c r="AG330" s="13"/>
      <c r="AH330" s="14"/>
      <c r="AI330" s="14"/>
      <c r="AJ330" s="8"/>
      <c r="AK330" s="8"/>
      <c r="AL330" s="8"/>
      <c r="AM330" s="8"/>
      <c r="AN330" s="631"/>
      <c r="AO330" s="18"/>
      <c r="AP330" s="18"/>
      <c r="AQ330" s="18"/>
      <c r="AR330" s="18"/>
      <c r="AS330" s="18"/>
      <c r="AU330" s="448"/>
      <c r="AV330" s="448"/>
      <c r="AW330" s="8" t="str">
        <f>IF(C330&gt;0,VLOOKUP(C330,Foundation_Calc!$A$2:$C$986,3,1),
IF(J330&gt;0,VLOOKUP(J330,Foundation_Calc!$A$2:$C$986,3,1),""))</f>
        <v/>
      </c>
      <c r="AX330" s="8" t="str">
        <f>IF(C330&gt;0,VLOOKUP(C330,Foundation_Calc!$E$2:$G$986,3,1),
IF(J330&gt;0,VLOOKUP(J330,Foundation_Calc!$E$2:$G$986,3,1),""))</f>
        <v/>
      </c>
      <c r="AY330" s="631" t="str">
        <f>IF(L330="","",
IF(AX330="PT",VLOOKUP(L330,Foundation_Calc!$K$4:$R$37,VLOOKUP(AW330,Foundation_Calc!$I$2:$J$8,2,FALSE),0),
IF(AX330="K",VLOOKUP(L330,Foundation_Calc!$K$41:$R$74,VLOOKUP(AW330,Foundation_Calc!$I$2:$J$8,2,FALSE),0),"")))</f>
        <v/>
      </c>
      <c r="AZ330" s="631" t="str">
        <f>IF(K330="","",
IF(AX330="PT",VLOOKUP(K330,Foundation_Calc!$K$4:$R$37,VLOOKUP(AW330,Foundation_Calc!$I$2:$J$8,2,FALSE),0),
IF(AX330="K",VLOOKUP(K330,Foundation_Calc!$K$41:$R$74,VLOOKUP(AW330,Foundation_Calc!$I$2:$J$8,2,FALSE),0),"")))</f>
        <v/>
      </c>
      <c r="BA330" s="632" t="str">
        <f t="shared" si="91"/>
        <v/>
      </c>
      <c r="BB330" s="632" t="str">
        <f t="shared" si="92"/>
        <v/>
      </c>
      <c r="BC330" s="632" t="str">
        <f t="shared" si="93"/>
        <v/>
      </c>
      <c r="BD330" s="633" t="str">
        <f>IF(AND(L330="",H330=""),"",
IF(H330="",Pole_Calc!A358,
IF(H330="MP",Pole_Calc!A359,
IF(H330="AnMP",Pole_Calc!A360,
IF(H330="A",Pole_Calc!A361,
IF(H330="S/A",Pole_Calc!A362,
IF(H330="A/S",Pole_Calc!A363,"Poner a mano")))))))</f>
        <v/>
      </c>
      <c r="BE330" s="448" t="s">
        <v>1726</v>
      </c>
      <c r="BF330" s="634"/>
      <c r="BG330" s="634"/>
      <c r="BH330" s="634"/>
      <c r="BI330" s="634"/>
    </row>
    <row r="331" spans="1:61" ht="16.2" customHeight="1">
      <c r="A331" s="12"/>
      <c r="B331" s="446"/>
      <c r="C331" s="89"/>
      <c r="D331" s="13"/>
      <c r="E331" s="14"/>
      <c r="F331" s="14"/>
      <c r="G331" s="15"/>
      <c r="H331" s="8"/>
      <c r="I331" s="8"/>
      <c r="J331" s="89"/>
      <c r="K331" s="8"/>
      <c r="L331" s="8"/>
      <c r="M331" s="8" t="str">
        <f>IF(L331="","",
IF(AX331="PT",VLOOKUP(L331,Foundation_Calc!$V$4:$X$37,VLOOKUP(AX331,Foundation_Calc!$I$10:$J$13,2,FALSE),0),
IF(AX331="K",VLOOKUP(L331,Foundation_Calc!$V$41:$X$74,VLOOKUP(AX331,Foundation_Calc!$I$10:$J$13,2,FALSE),0),"")))</f>
        <v/>
      </c>
      <c r="N331" s="8"/>
      <c r="O331" s="8"/>
      <c r="P331" s="8"/>
      <c r="Q331" s="14"/>
      <c r="R331" s="15"/>
      <c r="S331" s="15"/>
      <c r="T331" s="14"/>
      <c r="U331" s="14"/>
      <c r="V331" s="14"/>
      <c r="W331" s="18"/>
      <c r="X331" s="18"/>
      <c r="Y331" s="18"/>
      <c r="Z331" s="18"/>
      <c r="AA331" s="18"/>
      <c r="AB331" s="18"/>
      <c r="AC331" s="8" t="str">
        <f t="shared" si="90"/>
        <v/>
      </c>
      <c r="AD331" s="8"/>
      <c r="AE331" s="8"/>
      <c r="AF331" s="14"/>
      <c r="AG331" s="13"/>
      <c r="AH331" s="14"/>
      <c r="AI331" s="14"/>
      <c r="AJ331" s="8"/>
      <c r="AK331" s="8"/>
      <c r="AL331" s="8"/>
      <c r="AM331" s="8"/>
      <c r="AN331" s="631"/>
      <c r="AO331" s="18"/>
      <c r="AP331" s="18"/>
      <c r="AQ331" s="18"/>
      <c r="AR331" s="18"/>
      <c r="AS331" s="18"/>
      <c r="AU331" s="448"/>
      <c r="AV331" s="448"/>
      <c r="AW331" s="8" t="str">
        <f>IF(C331&gt;0,VLOOKUP(C331,Foundation_Calc!$A$2:$C$986,3,1),
IF(J331&gt;0,VLOOKUP(J331,Foundation_Calc!$A$2:$C$986,3,1),""))</f>
        <v/>
      </c>
      <c r="AX331" s="8" t="str">
        <f>IF(C331&gt;0,VLOOKUP(C331,Foundation_Calc!$E$2:$G$986,3,1),
IF(J331&gt;0,VLOOKUP(J331,Foundation_Calc!$E$2:$G$986,3,1),""))</f>
        <v/>
      </c>
      <c r="AY331" s="631" t="str">
        <f>IF(L331="","",
IF(AX331="PT",VLOOKUP(L331,Foundation_Calc!$K$4:$R$37,VLOOKUP(AW331,Foundation_Calc!$I$2:$J$8,2,FALSE),0),
IF(AX331="K",VLOOKUP(L331,Foundation_Calc!$K$41:$R$74,VLOOKUP(AW331,Foundation_Calc!$I$2:$J$8,2,FALSE),0),"")))</f>
        <v/>
      </c>
      <c r="AZ331" s="631" t="str">
        <f>IF(K331="","",
IF(AX331="PT",VLOOKUP(K331,Foundation_Calc!$K$4:$R$37,VLOOKUP(AW331,Foundation_Calc!$I$2:$J$8,2,FALSE),0),
IF(AX331="K",VLOOKUP(K331,Foundation_Calc!$K$41:$R$74,VLOOKUP(AW331,Foundation_Calc!$I$2:$J$8,2,FALSE),0),"")))</f>
        <v/>
      </c>
      <c r="BA331" s="632" t="str">
        <f t="shared" si="91"/>
        <v/>
      </c>
      <c r="BB331" s="632" t="str">
        <f t="shared" si="92"/>
        <v/>
      </c>
      <c r="BC331" s="632" t="str">
        <f t="shared" si="93"/>
        <v/>
      </c>
      <c r="BD331" s="633" t="str">
        <f>IF(AND(L331="",H331=""),"",
IF(H331="",Pole_Calc!A359,
IF(H331="MP",Pole_Calc!A360,
IF(H331="AnMP",Pole_Calc!A361,
IF(H331="A",Pole_Calc!A362,
IF(H331="S/A",Pole_Calc!A363,
IF(H331="A/S",Pole_Calc!A364,"Poner a mano")))))))</f>
        <v/>
      </c>
      <c r="BE331" s="448" t="s">
        <v>1726</v>
      </c>
      <c r="BF331" s="635"/>
      <c r="BG331" s="635"/>
      <c r="BH331" s="634"/>
      <c r="BI331" s="635"/>
    </row>
    <row r="332" spans="1:61" ht="16.2" customHeight="1">
      <c r="A332" s="12"/>
      <c r="B332" s="446"/>
      <c r="C332" s="89"/>
      <c r="D332" s="13"/>
      <c r="E332" s="14"/>
      <c r="F332" s="14"/>
      <c r="G332" s="15"/>
      <c r="H332" s="8"/>
      <c r="I332" s="8"/>
      <c r="J332" s="89"/>
      <c r="K332" s="8"/>
      <c r="L332" s="8"/>
      <c r="M332" s="8" t="str">
        <f>IF(L332="","",
IF(AX332="PT",VLOOKUP(L332,Foundation_Calc!$V$4:$X$37,VLOOKUP(AX332,Foundation_Calc!$I$10:$J$13,2,FALSE),0),
IF(AX332="K",VLOOKUP(L332,Foundation_Calc!$V$41:$X$74,VLOOKUP(AX332,Foundation_Calc!$I$10:$J$13,2,FALSE),0),"")))</f>
        <v/>
      </c>
      <c r="N332" s="8"/>
      <c r="O332" s="8"/>
      <c r="P332" s="8"/>
      <c r="Q332" s="14"/>
      <c r="R332" s="15"/>
      <c r="S332" s="15"/>
      <c r="T332" s="14"/>
      <c r="U332" s="14"/>
      <c r="V332" s="14"/>
      <c r="W332" s="18"/>
      <c r="X332" s="18"/>
      <c r="Y332" s="18"/>
      <c r="Z332" s="18"/>
      <c r="AA332" s="18"/>
      <c r="AB332" s="18"/>
      <c r="AC332" s="8" t="str">
        <f t="shared" si="90"/>
        <v/>
      </c>
      <c r="AD332" s="8"/>
      <c r="AE332" s="8"/>
      <c r="AF332" s="14"/>
      <c r="AG332" s="13"/>
      <c r="AH332" s="14"/>
      <c r="AI332" s="14"/>
      <c r="AJ332" s="8"/>
      <c r="AK332" s="8"/>
      <c r="AL332" s="8"/>
      <c r="AM332" s="8"/>
      <c r="AN332" s="631"/>
      <c r="AO332" s="18"/>
      <c r="AP332" s="18"/>
      <c r="AQ332" s="18"/>
      <c r="AR332" s="18"/>
      <c r="AS332" s="18"/>
      <c r="AU332" s="448"/>
      <c r="AV332" s="448"/>
      <c r="AW332" s="8" t="str">
        <f>IF(C332&gt;0,VLOOKUP(C332,Foundation_Calc!$A$2:$C$986,3,1),
IF(J332&gt;0,VLOOKUP(J332,Foundation_Calc!$A$2:$C$986,3,1),""))</f>
        <v/>
      </c>
      <c r="AX332" s="8" t="str">
        <f>IF(C332&gt;0,VLOOKUP(C332,Foundation_Calc!$E$2:$G$986,3,1),
IF(J332&gt;0,VLOOKUP(J332,Foundation_Calc!$E$2:$G$986,3,1),""))</f>
        <v/>
      </c>
      <c r="AY332" s="631" t="str">
        <f>IF(L332="","",
IF(AX332="PT",VLOOKUP(L332,Foundation_Calc!$K$4:$R$37,VLOOKUP(AW332,Foundation_Calc!$I$2:$J$8,2,FALSE),0),
IF(AX332="K",VLOOKUP(L332,Foundation_Calc!$K$41:$R$74,VLOOKUP(AW332,Foundation_Calc!$I$2:$J$8,2,FALSE),0),"")))</f>
        <v/>
      </c>
      <c r="AZ332" s="631" t="str">
        <f>IF(K332="","",
IF(AX332="PT",VLOOKUP(K332,Foundation_Calc!$K$4:$R$37,VLOOKUP(AW332,Foundation_Calc!$I$2:$J$8,2,FALSE),0),
IF(AX332="K",VLOOKUP(K332,Foundation_Calc!$K$41:$R$74,VLOOKUP(AW332,Foundation_Calc!$I$2:$J$8,2,FALSE),0),"")))</f>
        <v/>
      </c>
      <c r="BA332" s="632" t="str">
        <f t="shared" si="91"/>
        <v/>
      </c>
      <c r="BB332" s="632" t="str">
        <f t="shared" si="92"/>
        <v/>
      </c>
      <c r="BC332" s="632" t="str">
        <f t="shared" si="93"/>
        <v/>
      </c>
      <c r="BD332" s="633" t="str">
        <f>IF(AND(L332="",H332=""),"",
IF(H332="",Pole_Calc!A360,
IF(H332="MP",Pole_Calc!A361,
IF(H332="AnMP",Pole_Calc!A362,
IF(H332="A",Pole_Calc!A363,
IF(H332="S/A",Pole_Calc!A364,
IF(H332="A/S",Pole_Calc!A365,"Poner a mano")))))))</f>
        <v/>
      </c>
      <c r="BE332" s="448" t="s">
        <v>1726</v>
      </c>
      <c r="BF332" s="634"/>
      <c r="BG332" s="634"/>
      <c r="BH332" s="634"/>
      <c r="BI332" s="634"/>
    </row>
    <row r="333" spans="1:61" ht="16.2" customHeight="1">
      <c r="A333" s="12"/>
      <c r="B333" s="446"/>
      <c r="C333" s="89"/>
      <c r="D333" s="13"/>
      <c r="E333" s="14"/>
      <c r="F333" s="14"/>
      <c r="G333" s="15"/>
      <c r="H333" s="8"/>
      <c r="I333" s="8"/>
      <c r="J333" s="89"/>
      <c r="K333" s="8"/>
      <c r="L333" s="8"/>
      <c r="M333" s="8" t="str">
        <f>IF(L333="","",
IF(AX333="PT",VLOOKUP(L333,Foundation_Calc!$V$4:$X$37,VLOOKUP(AX333,Foundation_Calc!$I$10:$J$13,2,FALSE),0),
IF(AX333="K",VLOOKUP(L333,Foundation_Calc!$V$41:$X$74,VLOOKUP(AX333,Foundation_Calc!$I$10:$J$13,2,FALSE),0),"")))</f>
        <v/>
      </c>
      <c r="N333" s="8"/>
      <c r="O333" s="8"/>
      <c r="P333" s="8"/>
      <c r="Q333" s="14"/>
      <c r="R333" s="15"/>
      <c r="S333" s="15"/>
      <c r="T333" s="14"/>
      <c r="U333" s="14"/>
      <c r="V333" s="14"/>
      <c r="W333" s="18"/>
      <c r="X333" s="18"/>
      <c r="Y333" s="18"/>
      <c r="Z333" s="18"/>
      <c r="AA333" s="18"/>
      <c r="AB333" s="18"/>
      <c r="AC333" s="8" t="str">
        <f t="shared" si="90"/>
        <v/>
      </c>
      <c r="AD333" s="8"/>
      <c r="AE333" s="8"/>
      <c r="AF333" s="14"/>
      <c r="AG333" s="13"/>
      <c r="AH333" s="14"/>
      <c r="AI333" s="14"/>
      <c r="AJ333" s="8"/>
      <c r="AK333" s="8"/>
      <c r="AL333" s="8"/>
      <c r="AM333" s="8"/>
      <c r="AN333" s="631"/>
      <c r="AO333" s="18"/>
      <c r="AP333" s="18"/>
      <c r="AQ333" s="18"/>
      <c r="AR333" s="18"/>
      <c r="AS333" s="18"/>
      <c r="AU333" s="448"/>
      <c r="AV333" s="448"/>
      <c r="AW333" s="8" t="str">
        <f>IF(C333&gt;0,VLOOKUP(C333,Foundation_Calc!$A$2:$C$986,3,1),
IF(J333&gt;0,VLOOKUP(J333,Foundation_Calc!$A$2:$C$986,3,1),""))</f>
        <v/>
      </c>
      <c r="AX333" s="8" t="str">
        <f>IF(C333&gt;0,VLOOKUP(C333,Foundation_Calc!$E$2:$G$986,3,1),
IF(J333&gt;0,VLOOKUP(J333,Foundation_Calc!$E$2:$G$986,3,1),""))</f>
        <v/>
      </c>
      <c r="AY333" s="631" t="str">
        <f>IF(L333="","",
IF(AX333="PT",VLOOKUP(L333,Foundation_Calc!$K$4:$R$37,VLOOKUP(AW333,Foundation_Calc!$I$2:$J$8,2,FALSE),0),
IF(AX333="K",VLOOKUP(L333,Foundation_Calc!$K$41:$R$74,VLOOKUP(AW333,Foundation_Calc!$I$2:$J$8,2,FALSE),0),"")))</f>
        <v/>
      </c>
      <c r="AZ333" s="631" t="str">
        <f>IF(K333="","",
IF(AX333="PT",VLOOKUP(K333,Foundation_Calc!$K$4:$R$37,VLOOKUP(AW333,Foundation_Calc!$I$2:$J$8,2,FALSE),0),
IF(AX333="K",VLOOKUP(K333,Foundation_Calc!$K$41:$R$74,VLOOKUP(AW333,Foundation_Calc!$I$2:$J$8,2,FALSE),0),"")))</f>
        <v/>
      </c>
      <c r="BA333" s="632" t="str">
        <f t="shared" si="91"/>
        <v/>
      </c>
      <c r="BB333" s="632" t="str">
        <f t="shared" si="92"/>
        <v/>
      </c>
      <c r="BC333" s="632" t="str">
        <f t="shared" si="93"/>
        <v/>
      </c>
      <c r="BD333" s="633" t="str">
        <f>IF(AND(L333="",H333=""),"",
IF(H333="",Pole_Calc!A361,
IF(H333="MP",Pole_Calc!A362,
IF(H333="AnMP",Pole_Calc!A363,
IF(H333="A",Pole_Calc!A364,
IF(H333="S/A",Pole_Calc!A365,
IF(H333="A/S",Pole_Calc!A366,"Poner a mano")))))))</f>
        <v/>
      </c>
      <c r="BE333" s="448" t="s">
        <v>1726</v>
      </c>
      <c r="BF333" s="635"/>
      <c r="BG333" s="635"/>
      <c r="BH333" s="634"/>
      <c r="BI333" s="635"/>
    </row>
    <row r="334" spans="1:61" ht="16.2" customHeight="1">
      <c r="A334" s="12"/>
      <c r="B334" s="446"/>
      <c r="C334" s="89"/>
      <c r="D334" s="13"/>
      <c r="E334" s="14"/>
      <c r="F334" s="14"/>
      <c r="G334" s="15"/>
      <c r="H334" s="8"/>
      <c r="I334" s="8"/>
      <c r="J334" s="89"/>
      <c r="K334" s="8"/>
      <c r="L334" s="8"/>
      <c r="M334" s="8" t="str">
        <f>IF(L334="","",
IF(AX334="PT",VLOOKUP(L334,Foundation_Calc!$V$4:$X$37,VLOOKUP(AX334,Foundation_Calc!$I$10:$J$13,2,FALSE),0),
IF(AX334="K",VLOOKUP(L334,Foundation_Calc!$V$41:$X$74,VLOOKUP(AX334,Foundation_Calc!$I$10:$J$13,2,FALSE),0),"")))</f>
        <v/>
      </c>
      <c r="N334" s="8"/>
      <c r="O334" s="8"/>
      <c r="P334" s="8"/>
      <c r="Q334" s="14"/>
      <c r="R334" s="15"/>
      <c r="S334" s="15"/>
      <c r="T334" s="14"/>
      <c r="U334" s="14"/>
      <c r="V334" s="14"/>
      <c r="W334" s="18"/>
      <c r="X334" s="18"/>
      <c r="Y334" s="18"/>
      <c r="Z334" s="18"/>
      <c r="AA334" s="18"/>
      <c r="AB334" s="18"/>
      <c r="AC334" s="8" t="str">
        <f t="shared" si="90"/>
        <v/>
      </c>
      <c r="AD334" s="8"/>
      <c r="AE334" s="8"/>
      <c r="AF334" s="14"/>
      <c r="AG334" s="13"/>
      <c r="AH334" s="14"/>
      <c r="AI334" s="14"/>
      <c r="AJ334" s="8"/>
      <c r="AK334" s="8"/>
      <c r="AL334" s="8"/>
      <c r="AM334" s="8"/>
      <c r="AN334" s="631"/>
      <c r="AO334" s="18"/>
      <c r="AP334" s="18"/>
      <c r="AQ334" s="18"/>
      <c r="AR334" s="18"/>
      <c r="AS334" s="18"/>
      <c r="AU334" s="448"/>
      <c r="AV334" s="448"/>
      <c r="AW334" s="8" t="str">
        <f>IF(C334&gt;0,VLOOKUP(C334,Foundation_Calc!$A$2:$C$986,3,1),
IF(J334&gt;0,VLOOKUP(J334,Foundation_Calc!$A$2:$C$986,3,1),""))</f>
        <v/>
      </c>
      <c r="AX334" s="8" t="str">
        <f>IF(C334&gt;0,VLOOKUP(C334,Foundation_Calc!$E$2:$G$986,3,1),
IF(J334&gt;0,VLOOKUP(J334,Foundation_Calc!$E$2:$G$986,3,1),""))</f>
        <v/>
      </c>
      <c r="AY334" s="631" t="str">
        <f>IF(L334="","",
IF(AX334="PT",VLOOKUP(L334,Foundation_Calc!$K$4:$R$37,VLOOKUP(AW334,Foundation_Calc!$I$2:$J$8,2,FALSE),0),
IF(AX334="K",VLOOKUP(L334,Foundation_Calc!$K$41:$R$74,VLOOKUP(AW334,Foundation_Calc!$I$2:$J$8,2,FALSE),0),"")))</f>
        <v/>
      </c>
      <c r="AZ334" s="631" t="str">
        <f>IF(K334="","",
IF(AX334="PT",VLOOKUP(K334,Foundation_Calc!$K$4:$R$37,VLOOKUP(AW334,Foundation_Calc!$I$2:$J$8,2,FALSE),0),
IF(AX334="K",VLOOKUP(K334,Foundation_Calc!$K$41:$R$74,VLOOKUP(AW334,Foundation_Calc!$I$2:$J$8,2,FALSE),0),"")))</f>
        <v/>
      </c>
      <c r="BA334" s="632" t="str">
        <f t="shared" si="91"/>
        <v/>
      </c>
      <c r="BB334" s="632" t="str">
        <f t="shared" si="92"/>
        <v/>
      </c>
      <c r="BC334" s="632" t="str">
        <f t="shared" si="93"/>
        <v/>
      </c>
      <c r="BD334" s="633" t="str">
        <f>IF(AND(L334="",H334=""),"",
IF(H334="",Pole_Calc!A362,
IF(H334="MP",Pole_Calc!A363,
IF(H334="AnMP",Pole_Calc!A364,
IF(H334="A",Pole_Calc!A365,
IF(H334="S/A",Pole_Calc!A366,
IF(H334="A/S",Pole_Calc!A367,"Poner a mano")))))))</f>
        <v/>
      </c>
      <c r="BE334" s="448" t="s">
        <v>1726</v>
      </c>
      <c r="BF334" s="634"/>
      <c r="BG334" s="634"/>
      <c r="BH334" s="634"/>
      <c r="BI334" s="634"/>
    </row>
    <row r="335" spans="1:61" ht="16.2" customHeight="1">
      <c r="A335" s="12"/>
      <c r="B335" s="446"/>
      <c r="C335" s="89"/>
      <c r="D335" s="13"/>
      <c r="E335" s="14"/>
      <c r="F335" s="14"/>
      <c r="G335" s="15"/>
      <c r="H335" s="8"/>
      <c r="I335" s="8"/>
      <c r="J335" s="89"/>
      <c r="K335" s="8"/>
      <c r="L335" s="8"/>
      <c r="M335" s="8" t="str">
        <f>IF(L335="","",
IF(AX335="PT",VLOOKUP(L335,Foundation_Calc!$V$4:$X$37,VLOOKUP(AX335,Foundation_Calc!$I$10:$J$13,2,FALSE),0),
IF(AX335="K",VLOOKUP(L335,Foundation_Calc!$V$41:$X$74,VLOOKUP(AX335,Foundation_Calc!$I$10:$J$13,2,FALSE),0),"")))</f>
        <v/>
      </c>
      <c r="N335" s="8"/>
      <c r="O335" s="8"/>
      <c r="P335" s="8"/>
      <c r="Q335" s="14"/>
      <c r="R335" s="15"/>
      <c r="S335" s="15"/>
      <c r="T335" s="14"/>
      <c r="U335" s="14"/>
      <c r="V335" s="14"/>
      <c r="W335" s="18"/>
      <c r="X335" s="18"/>
      <c r="Y335" s="18"/>
      <c r="Z335" s="18"/>
      <c r="AA335" s="18"/>
      <c r="AB335" s="18"/>
      <c r="AC335" s="8" t="str">
        <f t="shared" si="90"/>
        <v/>
      </c>
      <c r="AD335" s="8"/>
      <c r="AE335" s="8"/>
      <c r="AF335" s="14"/>
      <c r="AG335" s="13"/>
      <c r="AH335" s="14"/>
      <c r="AI335" s="14"/>
      <c r="AJ335" s="8"/>
      <c r="AK335" s="8"/>
      <c r="AL335" s="8"/>
      <c r="AM335" s="8"/>
      <c r="AN335" s="631"/>
      <c r="AO335" s="18"/>
      <c r="AP335" s="18"/>
      <c r="AQ335" s="18"/>
      <c r="AR335" s="18"/>
      <c r="AS335" s="18"/>
      <c r="AU335" s="448"/>
      <c r="AV335" s="448"/>
      <c r="AW335" s="8" t="str">
        <f>IF(C335&gt;0,VLOOKUP(C335,Foundation_Calc!$A$2:$C$986,3,1),
IF(J335&gt;0,VLOOKUP(J335,Foundation_Calc!$A$2:$C$986,3,1),""))</f>
        <v/>
      </c>
      <c r="AX335" s="8" t="str">
        <f>IF(C335&gt;0,VLOOKUP(C335,Foundation_Calc!$E$2:$G$986,3,1),
IF(J335&gt;0,VLOOKUP(J335,Foundation_Calc!$E$2:$G$986,3,1),""))</f>
        <v/>
      </c>
      <c r="AY335" s="631" t="str">
        <f>IF(L335="","",
IF(AX335="PT",VLOOKUP(L335,Foundation_Calc!$K$4:$R$37,VLOOKUP(AW335,Foundation_Calc!$I$2:$J$8,2,FALSE),0),
IF(AX335="K",VLOOKUP(L335,Foundation_Calc!$K$41:$R$74,VLOOKUP(AW335,Foundation_Calc!$I$2:$J$8,2,FALSE),0),"")))</f>
        <v/>
      </c>
      <c r="AZ335" s="631" t="str">
        <f>IF(K335="","",
IF(AX335="PT",VLOOKUP(K335,Foundation_Calc!$K$4:$R$37,VLOOKUP(AW335,Foundation_Calc!$I$2:$J$8,2,FALSE),0),
IF(AX335="K",VLOOKUP(K335,Foundation_Calc!$K$41:$R$74,VLOOKUP(AW335,Foundation_Calc!$I$2:$J$8,2,FALSE),0),"")))</f>
        <v/>
      </c>
      <c r="BA335" s="632" t="str">
        <f t="shared" si="91"/>
        <v/>
      </c>
      <c r="BB335" s="632" t="str">
        <f t="shared" si="92"/>
        <v/>
      </c>
      <c r="BC335" s="632" t="str">
        <f t="shared" si="93"/>
        <v/>
      </c>
      <c r="BD335" s="633" t="str">
        <f>IF(AND(L335="",H335=""),"",
IF(H335="",Pole_Calc!A363,
IF(H335="MP",Pole_Calc!A364,
IF(H335="AnMP",Pole_Calc!A365,
IF(H335="A",Pole_Calc!A366,
IF(H335="S/A",Pole_Calc!A367,
IF(H335="A/S",Pole_Calc!A368,"Poner a mano")))))))</f>
        <v/>
      </c>
      <c r="BE335" s="448" t="s">
        <v>1726</v>
      </c>
      <c r="BF335" s="635"/>
      <c r="BG335" s="635"/>
      <c r="BH335" s="634"/>
      <c r="BI335" s="635"/>
    </row>
    <row r="336" spans="1:61" ht="16.2" customHeight="1">
      <c r="A336" s="12"/>
      <c r="B336" s="446"/>
      <c r="C336" s="89"/>
      <c r="D336" s="13"/>
      <c r="E336" s="14"/>
      <c r="F336" s="14"/>
      <c r="G336" s="15"/>
      <c r="H336" s="8"/>
      <c r="I336" s="8"/>
      <c r="J336" s="89"/>
      <c r="K336" s="8"/>
      <c r="L336" s="8"/>
      <c r="M336" s="8" t="str">
        <f>IF(L336="","",
IF(AX336="PT",VLOOKUP(L336,Foundation_Calc!$V$4:$X$37,VLOOKUP(AX336,Foundation_Calc!$I$10:$J$13,2,FALSE),0),
IF(AX336="K",VLOOKUP(L336,Foundation_Calc!$V$41:$X$74,VLOOKUP(AX336,Foundation_Calc!$I$10:$J$13,2,FALSE),0),"")))</f>
        <v/>
      </c>
      <c r="N336" s="8"/>
      <c r="O336" s="8"/>
      <c r="P336" s="8"/>
      <c r="Q336" s="14"/>
      <c r="R336" s="15"/>
      <c r="S336" s="15"/>
      <c r="T336" s="14"/>
      <c r="U336" s="14"/>
      <c r="V336" s="14"/>
      <c r="W336" s="18"/>
      <c r="X336" s="18"/>
      <c r="Y336" s="18"/>
      <c r="Z336" s="18"/>
      <c r="AA336" s="18"/>
      <c r="AB336" s="18"/>
      <c r="AC336" s="8" t="str">
        <f t="shared" si="90"/>
        <v/>
      </c>
      <c r="AD336" s="8"/>
      <c r="AE336" s="8"/>
      <c r="AF336" s="14"/>
      <c r="AG336" s="13"/>
      <c r="AH336" s="14"/>
      <c r="AI336" s="14"/>
      <c r="AJ336" s="8"/>
      <c r="AK336" s="8"/>
      <c r="AL336" s="8"/>
      <c r="AM336" s="8"/>
      <c r="AN336" s="631"/>
      <c r="AO336" s="18"/>
      <c r="AP336" s="18"/>
      <c r="AQ336" s="18"/>
      <c r="AR336" s="18"/>
      <c r="AS336" s="18"/>
      <c r="AU336" s="448"/>
      <c r="AV336" s="448"/>
      <c r="AW336" s="8" t="str">
        <f>IF(C336&gt;0,VLOOKUP(C336,Foundation_Calc!$A$2:$C$986,3,1),
IF(J336&gt;0,VLOOKUP(J336,Foundation_Calc!$A$2:$C$986,3,1),""))</f>
        <v/>
      </c>
      <c r="AX336" s="8" t="str">
        <f>IF(C336&gt;0,VLOOKUP(C336,Foundation_Calc!$E$2:$G$986,3,1),
IF(J336&gt;0,VLOOKUP(J336,Foundation_Calc!$E$2:$G$986,3,1),""))</f>
        <v/>
      </c>
      <c r="AY336" s="631" t="str">
        <f>IF(L336="","",
IF(AX336="PT",VLOOKUP(L336,Foundation_Calc!$K$4:$R$37,VLOOKUP(AW336,Foundation_Calc!$I$2:$J$8,2,FALSE),0),
IF(AX336="K",VLOOKUP(L336,Foundation_Calc!$K$41:$R$74,VLOOKUP(AW336,Foundation_Calc!$I$2:$J$8,2,FALSE),0),"")))</f>
        <v/>
      </c>
      <c r="AZ336" s="631" t="str">
        <f>IF(K336="","",
IF(AX336="PT",VLOOKUP(K336,Foundation_Calc!$K$4:$R$37,VLOOKUP(AW336,Foundation_Calc!$I$2:$J$8,2,FALSE),0),
IF(AX336="K",VLOOKUP(K336,Foundation_Calc!$K$41:$R$74,VLOOKUP(AW336,Foundation_Calc!$I$2:$J$8,2,FALSE),0),"")))</f>
        <v/>
      </c>
      <c r="BA336" s="632" t="str">
        <f t="shared" si="91"/>
        <v/>
      </c>
      <c r="BB336" s="632" t="str">
        <f t="shared" si="92"/>
        <v/>
      </c>
      <c r="BC336" s="632" t="str">
        <f t="shared" si="93"/>
        <v/>
      </c>
      <c r="BD336" s="633" t="str">
        <f>IF(AND(L336="",H336=""),"",
IF(H336="",Pole_Calc!A364,
IF(H336="MP",Pole_Calc!A365,
IF(H336="AnMP",Pole_Calc!A366,
IF(H336="A",Pole_Calc!A367,
IF(H336="S/A",Pole_Calc!A368,
IF(H336="A/S",Pole_Calc!A369,"Poner a mano")))))))</f>
        <v/>
      </c>
      <c r="BE336" s="448" t="s">
        <v>1726</v>
      </c>
      <c r="BF336" s="634"/>
      <c r="BG336" s="634"/>
      <c r="BH336" s="634"/>
      <c r="BI336" s="634"/>
    </row>
    <row r="337" spans="1:61" ht="16.2" customHeight="1">
      <c r="A337" s="12"/>
      <c r="B337" s="446"/>
      <c r="C337" s="89"/>
      <c r="D337" s="13"/>
      <c r="E337" s="14"/>
      <c r="F337" s="14"/>
      <c r="G337" s="15"/>
      <c r="H337" s="8"/>
      <c r="I337" s="8"/>
      <c r="J337" s="89"/>
      <c r="K337" s="8"/>
      <c r="L337" s="8"/>
      <c r="M337" s="8" t="str">
        <f>IF(L337="","",
IF(AX337="PT",VLOOKUP(L337,Foundation_Calc!$V$4:$X$37,VLOOKUP(AX337,Foundation_Calc!$I$10:$J$13,2,FALSE),0),
IF(AX337="K",VLOOKUP(L337,Foundation_Calc!$V$41:$X$74,VLOOKUP(AX337,Foundation_Calc!$I$10:$J$13,2,FALSE),0),"")))</f>
        <v/>
      </c>
      <c r="N337" s="8"/>
      <c r="O337" s="8"/>
      <c r="P337" s="8"/>
      <c r="Q337" s="14"/>
      <c r="R337" s="15"/>
      <c r="S337" s="15"/>
      <c r="T337" s="14"/>
      <c r="U337" s="14"/>
      <c r="V337" s="14"/>
      <c r="W337" s="18"/>
      <c r="X337" s="18"/>
      <c r="Y337" s="18"/>
      <c r="Z337" s="18"/>
      <c r="AA337" s="18"/>
      <c r="AB337" s="18"/>
      <c r="AC337" s="8" t="str">
        <f t="shared" si="90"/>
        <v/>
      </c>
      <c r="AD337" s="8"/>
      <c r="AE337" s="8"/>
      <c r="AF337" s="14"/>
      <c r="AG337" s="13"/>
      <c r="AH337" s="14"/>
      <c r="AI337" s="14"/>
      <c r="AJ337" s="8"/>
      <c r="AK337" s="8"/>
      <c r="AL337" s="8"/>
      <c r="AM337" s="8"/>
      <c r="AN337" s="631"/>
      <c r="AO337" s="18"/>
      <c r="AP337" s="18"/>
      <c r="AQ337" s="18"/>
      <c r="AR337" s="18"/>
      <c r="AS337" s="18"/>
      <c r="AU337" s="448"/>
      <c r="AV337" s="448"/>
      <c r="AW337" s="8" t="str">
        <f>IF(C337&gt;0,VLOOKUP(C337,Foundation_Calc!$A$2:$C$986,3,1),
IF(J337&gt;0,VLOOKUP(J337,Foundation_Calc!$A$2:$C$986,3,1),""))</f>
        <v/>
      </c>
      <c r="AX337" s="8" t="str">
        <f>IF(C337&gt;0,VLOOKUP(C337,Foundation_Calc!$E$2:$G$986,3,1),
IF(J337&gt;0,VLOOKUP(J337,Foundation_Calc!$E$2:$G$986,3,1),""))</f>
        <v/>
      </c>
      <c r="AY337" s="631" t="str">
        <f>IF(L337="","",
IF(AX337="PT",VLOOKUP(L337,Foundation_Calc!$K$4:$R$37,VLOOKUP(AW337,Foundation_Calc!$I$2:$J$8,2,FALSE),0),
IF(AX337="K",VLOOKUP(L337,Foundation_Calc!$K$41:$R$74,VLOOKUP(AW337,Foundation_Calc!$I$2:$J$8,2,FALSE),0),"")))</f>
        <v/>
      </c>
      <c r="AZ337" s="631" t="str">
        <f>IF(K337="","",
IF(AX337="PT",VLOOKUP(K337,Foundation_Calc!$K$4:$R$37,VLOOKUP(AW337,Foundation_Calc!$I$2:$J$8,2,FALSE),0),
IF(AX337="K",VLOOKUP(K337,Foundation_Calc!$K$41:$R$74,VLOOKUP(AW337,Foundation_Calc!$I$2:$J$8,2,FALSE),0),"")))</f>
        <v/>
      </c>
      <c r="BA337" s="632" t="str">
        <f t="shared" si="91"/>
        <v/>
      </c>
      <c r="BB337" s="632" t="str">
        <f t="shared" si="92"/>
        <v/>
      </c>
      <c r="BC337" s="632" t="str">
        <f t="shared" si="93"/>
        <v/>
      </c>
      <c r="BD337" s="633" t="str">
        <f>IF(AND(L337="",H337=""),"",
IF(H337="",Pole_Calc!A365,
IF(H337="MP",Pole_Calc!A366,
IF(H337="AnMP",Pole_Calc!A367,
IF(H337="A",Pole_Calc!A368,
IF(H337="S/A",Pole_Calc!A369,
IF(H337="A/S",Pole_Calc!A370,"Poner a mano")))))))</f>
        <v/>
      </c>
      <c r="BE337" s="448" t="s">
        <v>1726</v>
      </c>
      <c r="BF337" s="635"/>
      <c r="BG337" s="635"/>
      <c r="BH337" s="634"/>
      <c r="BI337" s="635"/>
    </row>
    <row r="338" spans="1:61" ht="16.2" customHeight="1">
      <c r="A338" s="12"/>
      <c r="B338" s="446"/>
      <c r="C338" s="89"/>
      <c r="D338" s="13"/>
      <c r="E338" s="14"/>
      <c r="F338" s="14"/>
      <c r="G338" s="15"/>
      <c r="H338" s="8"/>
      <c r="I338" s="8"/>
      <c r="J338" s="89"/>
      <c r="K338" s="8"/>
      <c r="L338" s="8"/>
      <c r="M338" s="8" t="str">
        <f>IF(L338="","",
IF(AX338="PT",VLOOKUP(L338,Foundation_Calc!$V$4:$X$37,VLOOKUP(AX338,Foundation_Calc!$I$10:$J$13,2,FALSE),0),
IF(AX338="K",VLOOKUP(L338,Foundation_Calc!$V$41:$X$74,VLOOKUP(AX338,Foundation_Calc!$I$10:$J$13,2,FALSE),0),"")))</f>
        <v/>
      </c>
      <c r="N338" s="8"/>
      <c r="O338" s="8"/>
      <c r="P338" s="8"/>
      <c r="Q338" s="14"/>
      <c r="R338" s="15"/>
      <c r="S338" s="15"/>
      <c r="T338" s="14"/>
      <c r="U338" s="14"/>
      <c r="V338" s="14"/>
      <c r="W338" s="18"/>
      <c r="X338" s="18"/>
      <c r="Y338" s="18"/>
      <c r="Z338" s="18"/>
      <c r="AA338" s="18"/>
      <c r="AB338" s="18"/>
      <c r="AC338" s="8" t="str">
        <f t="shared" si="90"/>
        <v/>
      </c>
      <c r="AD338" s="8"/>
      <c r="AE338" s="8"/>
      <c r="AF338" s="14"/>
      <c r="AG338" s="13"/>
      <c r="AH338" s="14"/>
      <c r="AI338" s="14"/>
      <c r="AJ338" s="8"/>
      <c r="AK338" s="8"/>
      <c r="AL338" s="8"/>
      <c r="AM338" s="8"/>
      <c r="AN338" s="631"/>
      <c r="AO338" s="18"/>
      <c r="AP338" s="18"/>
      <c r="AQ338" s="18"/>
      <c r="AR338" s="18"/>
      <c r="AS338" s="18"/>
      <c r="AU338" s="448"/>
      <c r="AV338" s="448"/>
      <c r="AW338" s="8" t="str">
        <f>IF(C338&gt;0,VLOOKUP(C338,Foundation_Calc!$A$2:$C$986,3,1),
IF(J338&gt;0,VLOOKUP(J338,Foundation_Calc!$A$2:$C$986,3,1),""))</f>
        <v/>
      </c>
      <c r="AX338" s="8" t="str">
        <f>IF(C338&gt;0,VLOOKUP(C338,Foundation_Calc!$E$2:$G$986,3,1),
IF(J338&gt;0,VLOOKUP(J338,Foundation_Calc!$E$2:$G$986,3,1),""))</f>
        <v/>
      </c>
      <c r="AY338" s="631" t="str">
        <f>IF(L338="","",
IF(AX338="PT",VLOOKUP(L338,Foundation_Calc!$K$4:$R$37,VLOOKUP(AW338,Foundation_Calc!$I$2:$J$8,2,FALSE),0),
IF(AX338="K",VLOOKUP(L338,Foundation_Calc!$K$41:$R$74,VLOOKUP(AW338,Foundation_Calc!$I$2:$J$8,2,FALSE),0),"")))</f>
        <v/>
      </c>
      <c r="AZ338" s="631" t="str">
        <f>IF(K338="","",
IF(AX338="PT",VLOOKUP(K338,Foundation_Calc!$K$4:$R$37,VLOOKUP(AW338,Foundation_Calc!$I$2:$J$8,2,FALSE),0),
IF(AX338="K",VLOOKUP(K338,Foundation_Calc!$K$41:$R$74,VLOOKUP(AW338,Foundation_Calc!$I$2:$J$8,2,FALSE),0),"")))</f>
        <v/>
      </c>
      <c r="BA338" s="632" t="str">
        <f t="shared" si="91"/>
        <v/>
      </c>
      <c r="BB338" s="632" t="str">
        <f t="shared" si="92"/>
        <v/>
      </c>
      <c r="BC338" s="632" t="str">
        <f t="shared" si="93"/>
        <v/>
      </c>
      <c r="BD338" s="633" t="str">
        <f>IF(AND(L338="",H338=""),"",
IF(H338="",Pole_Calc!A366,
IF(H338="MP",Pole_Calc!A367,
IF(H338="AnMP",Pole_Calc!A368,
IF(H338="A",Pole_Calc!A369,
IF(H338="S/A",Pole_Calc!A370,
IF(H338="A/S",Pole_Calc!A371,"Poner a mano")))))))</f>
        <v/>
      </c>
      <c r="BE338" s="448" t="s">
        <v>1726</v>
      </c>
      <c r="BF338" s="634"/>
      <c r="BG338" s="634"/>
      <c r="BH338" s="634"/>
      <c r="BI338" s="634"/>
    </row>
    <row r="339" spans="1:61" ht="16.2" customHeight="1">
      <c r="A339" s="12"/>
      <c r="B339" s="446"/>
      <c r="C339" s="89"/>
      <c r="D339" s="13"/>
      <c r="E339" s="14"/>
      <c r="F339" s="14"/>
      <c r="G339" s="15"/>
      <c r="H339" s="8"/>
      <c r="I339" s="8"/>
      <c r="J339" s="89"/>
      <c r="K339" s="8"/>
      <c r="L339" s="8"/>
      <c r="M339" s="8" t="str">
        <f>IF(L339="","",
IF(AX339="PT",VLOOKUP(L339,Foundation_Calc!$V$4:$X$37,VLOOKUP(AX339,Foundation_Calc!$I$10:$J$13,2,FALSE),0),
IF(AX339="K",VLOOKUP(L339,Foundation_Calc!$V$41:$X$74,VLOOKUP(AX339,Foundation_Calc!$I$10:$J$13,2,FALSE),0),"")))</f>
        <v/>
      </c>
      <c r="N339" s="8"/>
      <c r="O339" s="8"/>
      <c r="P339" s="8"/>
      <c r="Q339" s="14"/>
      <c r="R339" s="15"/>
      <c r="S339" s="15"/>
      <c r="T339" s="14"/>
      <c r="U339" s="14"/>
      <c r="V339" s="14"/>
      <c r="W339" s="18"/>
      <c r="X339" s="18"/>
      <c r="Y339" s="18"/>
      <c r="Z339" s="18"/>
      <c r="AA339" s="18"/>
      <c r="AB339" s="18"/>
      <c r="AC339" s="8" t="str">
        <f t="shared" si="90"/>
        <v/>
      </c>
      <c r="AD339" s="8"/>
      <c r="AE339" s="8"/>
      <c r="AF339" s="14"/>
      <c r="AG339" s="13"/>
      <c r="AH339" s="14"/>
      <c r="AI339" s="14"/>
      <c r="AJ339" s="8"/>
      <c r="AK339" s="8"/>
      <c r="AL339" s="8"/>
      <c r="AM339" s="8"/>
      <c r="AN339" s="631"/>
      <c r="AO339" s="18"/>
      <c r="AP339" s="18"/>
      <c r="AQ339" s="18"/>
      <c r="AR339" s="18"/>
      <c r="AS339" s="18"/>
      <c r="AU339" s="448"/>
      <c r="AV339" s="448"/>
      <c r="AW339" s="8" t="str">
        <f>IF(C339&gt;0,VLOOKUP(C339,Foundation_Calc!$A$2:$C$986,3,1),
IF(J339&gt;0,VLOOKUP(J339,Foundation_Calc!$A$2:$C$986,3,1),""))</f>
        <v/>
      </c>
      <c r="AX339" s="8" t="str">
        <f>IF(C339&gt;0,VLOOKUP(C339,Foundation_Calc!$E$2:$G$986,3,1),
IF(J339&gt;0,VLOOKUP(J339,Foundation_Calc!$E$2:$G$986,3,1),""))</f>
        <v/>
      </c>
      <c r="AY339" s="631" t="str">
        <f>IF(L339="","",
IF(AX339="PT",VLOOKUP(L339,Foundation_Calc!$K$4:$R$37,VLOOKUP(AW339,Foundation_Calc!$I$2:$J$8,2,FALSE),0),
IF(AX339="K",VLOOKUP(L339,Foundation_Calc!$K$41:$R$74,VLOOKUP(AW339,Foundation_Calc!$I$2:$J$8,2,FALSE),0),"")))</f>
        <v/>
      </c>
      <c r="AZ339" s="631" t="str">
        <f>IF(K339="","",
IF(AX339="PT",VLOOKUP(K339,Foundation_Calc!$K$4:$R$37,VLOOKUP(AW339,Foundation_Calc!$I$2:$J$8,2,FALSE),0),
IF(AX339="K",VLOOKUP(K339,Foundation_Calc!$K$41:$R$74,VLOOKUP(AW339,Foundation_Calc!$I$2:$J$8,2,FALSE),0),"")))</f>
        <v/>
      </c>
      <c r="BA339" s="632" t="str">
        <f t="shared" si="91"/>
        <v/>
      </c>
      <c r="BB339" s="632" t="str">
        <f t="shared" si="92"/>
        <v/>
      </c>
      <c r="BC339" s="632" t="str">
        <f t="shared" si="93"/>
        <v/>
      </c>
      <c r="BD339" s="633" t="str">
        <f>IF(AND(L339="",H339=""),"",
IF(H339="",Pole_Calc!A367,
IF(H339="MP",Pole_Calc!A368,
IF(H339="AnMP",Pole_Calc!A369,
IF(H339="A",Pole_Calc!A370,
IF(H339="S/A",Pole_Calc!A371,
IF(H339="A/S",Pole_Calc!A372,"Poner a mano")))))))</f>
        <v/>
      </c>
      <c r="BE339" s="448" t="s">
        <v>1726</v>
      </c>
      <c r="BF339" s="635"/>
      <c r="BG339" s="635"/>
      <c r="BH339" s="634"/>
      <c r="BI339" s="635"/>
    </row>
    <row r="340" spans="1:61" ht="16.2" customHeight="1">
      <c r="A340" s="12"/>
      <c r="B340" s="446"/>
      <c r="C340" s="89"/>
      <c r="D340" s="13"/>
      <c r="E340" s="14"/>
      <c r="F340" s="14"/>
      <c r="G340" s="15"/>
      <c r="H340" s="8"/>
      <c r="I340" s="8"/>
      <c r="J340" s="89"/>
      <c r="K340" s="8"/>
      <c r="L340" s="8"/>
      <c r="M340" s="8" t="str">
        <f>IF(L340="","",
IF(AX340="PT",VLOOKUP(L340,Foundation_Calc!$V$4:$X$37,VLOOKUP(AX340,Foundation_Calc!$I$10:$J$13,2,FALSE),0),
IF(AX340="K",VLOOKUP(L340,Foundation_Calc!$V$41:$X$74,VLOOKUP(AX340,Foundation_Calc!$I$10:$J$13,2,FALSE),0),"")))</f>
        <v/>
      </c>
      <c r="N340" s="8"/>
      <c r="O340" s="8"/>
      <c r="P340" s="8"/>
      <c r="Q340" s="14"/>
      <c r="R340" s="15"/>
      <c r="S340" s="15"/>
      <c r="T340" s="14"/>
      <c r="U340" s="14"/>
      <c r="V340" s="14"/>
      <c r="W340" s="18"/>
      <c r="X340" s="18"/>
      <c r="Y340" s="18"/>
      <c r="Z340" s="18"/>
      <c r="AA340" s="18"/>
      <c r="AB340" s="18"/>
      <c r="AC340" s="8" t="str">
        <f t="shared" si="90"/>
        <v/>
      </c>
      <c r="AD340" s="8"/>
      <c r="AE340" s="8"/>
      <c r="AF340" s="14"/>
      <c r="AG340" s="13"/>
      <c r="AH340" s="14"/>
      <c r="AI340" s="14"/>
      <c r="AJ340" s="8"/>
      <c r="AK340" s="8"/>
      <c r="AL340" s="8"/>
      <c r="AM340" s="8"/>
      <c r="AN340" s="631"/>
      <c r="AO340" s="18"/>
      <c r="AP340" s="18"/>
      <c r="AQ340" s="18"/>
      <c r="AR340" s="18"/>
      <c r="AS340" s="18"/>
      <c r="AU340" s="448"/>
      <c r="AV340" s="448"/>
      <c r="AW340" s="8" t="str">
        <f>IF(C340&gt;0,VLOOKUP(C340,Foundation_Calc!$A$2:$C$986,3,1),
IF(J340&gt;0,VLOOKUP(J340,Foundation_Calc!$A$2:$C$986,3,1),""))</f>
        <v/>
      </c>
      <c r="AX340" s="8" t="str">
        <f>IF(C340&gt;0,VLOOKUP(C340,Foundation_Calc!$E$2:$G$986,3,1),
IF(J340&gt;0,VLOOKUP(J340,Foundation_Calc!$E$2:$G$986,3,1),""))</f>
        <v/>
      </c>
      <c r="AY340" s="631" t="str">
        <f>IF(L340="","",
IF(AX340="PT",VLOOKUP(L340,Foundation_Calc!$K$4:$R$37,VLOOKUP(AW340,Foundation_Calc!$I$2:$J$8,2,FALSE),0),
IF(AX340="K",VLOOKUP(L340,Foundation_Calc!$K$41:$R$74,VLOOKUP(AW340,Foundation_Calc!$I$2:$J$8,2,FALSE),0),"")))</f>
        <v/>
      </c>
      <c r="AZ340" s="631" t="str">
        <f>IF(K340="","",
IF(AX340="PT",VLOOKUP(K340,Foundation_Calc!$K$4:$R$37,VLOOKUP(AW340,Foundation_Calc!$I$2:$J$8,2,FALSE),0),
IF(AX340="K",VLOOKUP(K340,Foundation_Calc!$K$41:$R$74,VLOOKUP(AW340,Foundation_Calc!$I$2:$J$8,2,FALSE),0),"")))</f>
        <v/>
      </c>
      <c r="BA340" s="632" t="str">
        <f t="shared" si="91"/>
        <v/>
      </c>
      <c r="BB340" s="632" t="str">
        <f t="shared" si="92"/>
        <v/>
      </c>
      <c r="BC340" s="632" t="str">
        <f t="shared" si="93"/>
        <v/>
      </c>
      <c r="BD340" s="633" t="str">
        <f>IF(AND(L340="",H340=""),"",
IF(H340="",Pole_Calc!A368,
IF(H340="MP",Pole_Calc!A369,
IF(H340="AnMP",Pole_Calc!A370,
IF(H340="A",Pole_Calc!A371,
IF(H340="S/A",Pole_Calc!A372,
IF(H340="A/S",Pole_Calc!A373,"Poner a mano")))))))</f>
        <v/>
      </c>
      <c r="BE340" s="448" t="s">
        <v>1726</v>
      </c>
      <c r="BF340" s="634"/>
      <c r="BG340" s="634"/>
      <c r="BH340" s="634"/>
      <c r="BI340" s="634"/>
    </row>
    <row r="341" spans="1:61" ht="16.2" customHeight="1">
      <c r="A341" s="12"/>
      <c r="B341" s="446"/>
      <c r="C341" s="89"/>
      <c r="D341" s="13"/>
      <c r="E341" s="14"/>
      <c r="F341" s="14"/>
      <c r="G341" s="15"/>
      <c r="H341" s="8"/>
      <c r="I341" s="8"/>
      <c r="J341" s="89"/>
      <c r="K341" s="8"/>
      <c r="L341" s="8"/>
      <c r="M341" s="8" t="str">
        <f>IF(L341="","",
IF(AX341="PT",VLOOKUP(L341,Foundation_Calc!$V$4:$X$37,VLOOKUP(AX341,Foundation_Calc!$I$10:$J$13,2,FALSE),0),
IF(AX341="K",VLOOKUP(L341,Foundation_Calc!$V$41:$X$74,VLOOKUP(AX341,Foundation_Calc!$I$10:$J$13,2,FALSE),0),"")))</f>
        <v/>
      </c>
      <c r="N341" s="8"/>
      <c r="O341" s="8"/>
      <c r="P341" s="8"/>
      <c r="Q341" s="14"/>
      <c r="R341" s="15"/>
      <c r="S341" s="15"/>
      <c r="T341" s="14"/>
      <c r="U341" s="14"/>
      <c r="V341" s="14"/>
      <c r="W341" s="18"/>
      <c r="X341" s="18"/>
      <c r="Y341" s="18"/>
      <c r="Z341" s="18"/>
      <c r="AA341" s="18"/>
      <c r="AB341" s="18"/>
      <c r="AC341" s="8" t="str">
        <f t="shared" si="90"/>
        <v/>
      </c>
      <c r="AD341" s="8"/>
      <c r="AE341" s="8"/>
      <c r="AF341" s="14"/>
      <c r="AG341" s="13"/>
      <c r="AH341" s="14"/>
      <c r="AI341" s="14"/>
      <c r="AJ341" s="8"/>
      <c r="AK341" s="8"/>
      <c r="AL341" s="8"/>
      <c r="AM341" s="8"/>
      <c r="AN341" s="631"/>
      <c r="AO341" s="18"/>
      <c r="AP341" s="18"/>
      <c r="AQ341" s="18"/>
      <c r="AR341" s="18"/>
      <c r="AS341" s="18"/>
      <c r="AU341" s="448"/>
      <c r="AV341" s="448"/>
      <c r="AW341" s="8" t="str">
        <f>IF(C341&gt;0,VLOOKUP(C341,Foundation_Calc!$A$2:$C$986,3,1),
IF(J341&gt;0,VLOOKUP(J341,Foundation_Calc!$A$2:$C$986,3,1),""))</f>
        <v/>
      </c>
      <c r="AX341" s="8" t="str">
        <f>IF(C341&gt;0,VLOOKUP(C341,Foundation_Calc!$E$2:$G$986,3,1),
IF(J341&gt;0,VLOOKUP(J341,Foundation_Calc!$E$2:$G$986,3,1),""))</f>
        <v/>
      </c>
      <c r="AY341" s="631" t="str">
        <f>IF(L341="","",
IF(AX341="PT",VLOOKUP(L341,Foundation_Calc!$K$4:$R$37,VLOOKUP(AW341,Foundation_Calc!$I$2:$J$8,2,FALSE),0),
IF(AX341="K",VLOOKUP(L341,Foundation_Calc!$K$41:$R$74,VLOOKUP(AW341,Foundation_Calc!$I$2:$J$8,2,FALSE),0),"")))</f>
        <v/>
      </c>
      <c r="AZ341" s="631" t="str">
        <f>IF(K341="","",
IF(AX341="PT",VLOOKUP(K341,Foundation_Calc!$K$4:$R$37,VLOOKUP(AW341,Foundation_Calc!$I$2:$J$8,2,FALSE),0),
IF(AX341="K",VLOOKUP(K341,Foundation_Calc!$K$41:$R$74,VLOOKUP(AW341,Foundation_Calc!$I$2:$J$8,2,FALSE),0),"")))</f>
        <v/>
      </c>
      <c r="BA341" s="632" t="str">
        <f t="shared" si="91"/>
        <v/>
      </c>
      <c r="BB341" s="632" t="str">
        <f t="shared" si="92"/>
        <v/>
      </c>
      <c r="BC341" s="632" t="str">
        <f t="shared" si="93"/>
        <v/>
      </c>
      <c r="BD341" s="633" t="str">
        <f>IF(AND(L341="",H341=""),"",
IF(H341="",Pole_Calc!A369,
IF(H341="MP",Pole_Calc!A370,
IF(H341="AnMP",Pole_Calc!A371,
IF(H341="A",Pole_Calc!A372,
IF(H341="S/A",Pole_Calc!A373,
IF(H341="A/S",Pole_Calc!A374,"Poner a mano")))))))</f>
        <v/>
      </c>
      <c r="BE341" s="448" t="s">
        <v>1726</v>
      </c>
      <c r="BF341" s="635"/>
      <c r="BG341" s="635"/>
      <c r="BH341" s="634"/>
      <c r="BI341" s="635"/>
    </row>
    <row r="342" spans="1:61" ht="16.2" customHeight="1">
      <c r="A342" s="12"/>
      <c r="B342" s="446"/>
      <c r="C342" s="89"/>
      <c r="D342" s="13"/>
      <c r="E342" s="14"/>
      <c r="F342" s="14"/>
      <c r="G342" s="15"/>
      <c r="H342" s="8"/>
      <c r="I342" s="8"/>
      <c r="J342" s="89"/>
      <c r="K342" s="8"/>
      <c r="L342" s="8"/>
      <c r="M342" s="8" t="str">
        <f>IF(L342="","",
IF(AX342="PT",VLOOKUP(L342,Foundation_Calc!$V$4:$X$37,VLOOKUP(AX342,Foundation_Calc!$I$10:$J$13,2,FALSE),0),
IF(AX342="K",VLOOKUP(L342,Foundation_Calc!$V$41:$X$74,VLOOKUP(AX342,Foundation_Calc!$I$10:$J$13,2,FALSE),0),"")))</f>
        <v/>
      </c>
      <c r="N342" s="8"/>
      <c r="O342" s="8"/>
      <c r="P342" s="8"/>
      <c r="Q342" s="14"/>
      <c r="R342" s="15"/>
      <c r="S342" s="15"/>
      <c r="T342" s="14"/>
      <c r="U342" s="14"/>
      <c r="V342" s="14"/>
      <c r="W342" s="18"/>
      <c r="X342" s="18"/>
      <c r="Y342" s="18"/>
      <c r="Z342" s="18"/>
      <c r="AA342" s="18"/>
      <c r="AB342" s="18"/>
      <c r="AC342" s="8" t="str">
        <f t="shared" si="90"/>
        <v/>
      </c>
      <c r="AD342" s="8"/>
      <c r="AE342" s="8"/>
      <c r="AF342" s="14"/>
      <c r="AG342" s="13"/>
      <c r="AH342" s="14"/>
      <c r="AI342" s="14"/>
      <c r="AJ342" s="8"/>
      <c r="AK342" s="8"/>
      <c r="AL342" s="8"/>
      <c r="AM342" s="8"/>
      <c r="AN342" s="631"/>
      <c r="AO342" s="18"/>
      <c r="AP342" s="18"/>
      <c r="AQ342" s="18"/>
      <c r="AR342" s="18"/>
      <c r="AS342" s="18"/>
      <c r="AU342" s="448"/>
      <c r="AV342" s="448"/>
      <c r="AW342" s="8" t="str">
        <f>IF(C342&gt;0,VLOOKUP(C342,Foundation_Calc!$A$2:$C$986,3,1),
IF(J342&gt;0,VLOOKUP(J342,Foundation_Calc!$A$2:$C$986,3,1),""))</f>
        <v/>
      </c>
      <c r="AX342" s="8" t="str">
        <f>IF(C342&gt;0,VLOOKUP(C342,Foundation_Calc!$E$2:$G$986,3,1),
IF(J342&gt;0,VLOOKUP(J342,Foundation_Calc!$E$2:$G$986,3,1),""))</f>
        <v/>
      </c>
      <c r="AY342" s="631" t="str">
        <f>IF(L342="","",
IF(AX342="PT",VLOOKUP(L342,Foundation_Calc!$K$4:$R$37,VLOOKUP(AW342,Foundation_Calc!$I$2:$J$8,2,FALSE),0),
IF(AX342="K",VLOOKUP(L342,Foundation_Calc!$K$41:$R$74,VLOOKUP(AW342,Foundation_Calc!$I$2:$J$8,2,FALSE),0),"")))</f>
        <v/>
      </c>
      <c r="AZ342" s="631" t="str">
        <f>IF(K342="","",
IF(AX342="PT",VLOOKUP(K342,Foundation_Calc!$K$4:$R$37,VLOOKUP(AW342,Foundation_Calc!$I$2:$J$8,2,FALSE),0),
IF(AX342="K",VLOOKUP(K342,Foundation_Calc!$K$41:$R$74,VLOOKUP(AW342,Foundation_Calc!$I$2:$J$8,2,FALSE),0),"")))</f>
        <v/>
      </c>
      <c r="BA342" s="632" t="str">
        <f t="shared" si="91"/>
        <v/>
      </c>
      <c r="BB342" s="632" t="str">
        <f t="shared" si="92"/>
        <v/>
      </c>
      <c r="BC342" s="632" t="str">
        <f t="shared" si="93"/>
        <v/>
      </c>
      <c r="BD342" s="633" t="str">
        <f>IF(AND(L342="",H342=""),"",
IF(H342="",Pole_Calc!A370,
IF(H342="MP",Pole_Calc!A371,
IF(H342="AnMP",Pole_Calc!A372,
IF(H342="A",Pole_Calc!A373,
IF(H342="S/A",Pole_Calc!A374,
IF(H342="A/S",Pole_Calc!A375,"Poner a mano")))))))</f>
        <v/>
      </c>
      <c r="BE342" s="448" t="s">
        <v>1726</v>
      </c>
      <c r="BF342" s="634"/>
      <c r="BG342" s="634"/>
      <c r="BH342" s="634"/>
      <c r="BI342" s="634"/>
    </row>
    <row r="343" spans="1:61" ht="16.2" customHeight="1">
      <c r="A343" s="12"/>
      <c r="B343" s="446"/>
      <c r="C343" s="89"/>
      <c r="D343" s="13"/>
      <c r="E343" s="14"/>
      <c r="F343" s="14"/>
      <c r="G343" s="15"/>
      <c r="H343" s="8"/>
      <c r="I343" s="8"/>
      <c r="J343" s="89"/>
      <c r="K343" s="8"/>
      <c r="L343" s="8"/>
      <c r="M343" s="8" t="str">
        <f>IF(L343="","",
IF(AX343="PT",VLOOKUP(L343,Foundation_Calc!$V$4:$X$37,VLOOKUP(AX343,Foundation_Calc!$I$10:$J$13,2,FALSE),0),
IF(AX343="K",VLOOKUP(L343,Foundation_Calc!$V$41:$X$74,VLOOKUP(AX343,Foundation_Calc!$I$10:$J$13,2,FALSE),0),"")))</f>
        <v/>
      </c>
      <c r="N343" s="8"/>
      <c r="O343" s="8"/>
      <c r="P343" s="8"/>
      <c r="Q343" s="14"/>
      <c r="R343" s="15"/>
      <c r="S343" s="15"/>
      <c r="T343" s="14"/>
      <c r="U343" s="14"/>
      <c r="V343" s="14"/>
      <c r="W343" s="18"/>
      <c r="X343" s="18"/>
      <c r="Y343" s="18"/>
      <c r="Z343" s="18"/>
      <c r="AA343" s="18"/>
      <c r="AB343" s="18"/>
      <c r="AC343" s="8" t="str">
        <f t="shared" si="90"/>
        <v/>
      </c>
      <c r="AD343" s="8"/>
      <c r="AE343" s="8"/>
      <c r="AF343" s="14"/>
      <c r="AG343" s="13"/>
      <c r="AH343" s="14"/>
      <c r="AI343" s="14"/>
      <c r="AJ343" s="8"/>
      <c r="AK343" s="8"/>
      <c r="AL343" s="8"/>
      <c r="AM343" s="8"/>
      <c r="AN343" s="631"/>
      <c r="AO343" s="18"/>
      <c r="AP343" s="18"/>
      <c r="AQ343" s="18"/>
      <c r="AR343" s="18"/>
      <c r="AS343" s="18"/>
      <c r="AU343" s="448"/>
      <c r="AV343" s="448"/>
      <c r="AW343" s="8" t="str">
        <f>IF(C343&gt;0,VLOOKUP(C343,Foundation_Calc!$A$2:$C$986,3,1),
IF(J343&gt;0,VLOOKUP(J343,Foundation_Calc!$A$2:$C$986,3,1),""))</f>
        <v/>
      </c>
      <c r="AX343" s="8" t="str">
        <f>IF(C343&gt;0,VLOOKUP(C343,Foundation_Calc!$E$2:$G$986,3,1),
IF(J343&gt;0,VLOOKUP(J343,Foundation_Calc!$E$2:$G$986,3,1),""))</f>
        <v/>
      </c>
      <c r="AY343" s="631" t="str">
        <f>IF(L343="","",
IF(AX343="PT",VLOOKUP(L343,Foundation_Calc!$K$4:$R$37,VLOOKUP(AW343,Foundation_Calc!$I$2:$J$8,2,FALSE),0),
IF(AX343="K",VLOOKUP(L343,Foundation_Calc!$K$41:$R$74,VLOOKUP(AW343,Foundation_Calc!$I$2:$J$8,2,FALSE),0),"")))</f>
        <v/>
      </c>
      <c r="AZ343" s="631" t="str">
        <f>IF(K343="","",
IF(AX343="PT",VLOOKUP(K343,Foundation_Calc!$K$4:$R$37,VLOOKUP(AW343,Foundation_Calc!$I$2:$J$8,2,FALSE),0),
IF(AX343="K",VLOOKUP(K343,Foundation_Calc!$K$41:$R$74,VLOOKUP(AW343,Foundation_Calc!$I$2:$J$8,2,FALSE),0),"")))</f>
        <v/>
      </c>
      <c r="BA343" s="632" t="str">
        <f t="shared" si="91"/>
        <v/>
      </c>
      <c r="BB343" s="632" t="str">
        <f t="shared" si="92"/>
        <v/>
      </c>
      <c r="BC343" s="632" t="str">
        <f t="shared" si="93"/>
        <v/>
      </c>
      <c r="BD343" s="633" t="str">
        <f>IF(AND(L343="",H343=""),"",
IF(H343="",Pole_Calc!A371,
IF(H343="MP",Pole_Calc!A372,
IF(H343="AnMP",Pole_Calc!A373,
IF(H343="A",Pole_Calc!A374,
IF(H343="S/A",Pole_Calc!A375,
IF(H343="A/S",Pole_Calc!A376,"Poner a mano")))))))</f>
        <v/>
      </c>
      <c r="BE343" s="448" t="s">
        <v>1726</v>
      </c>
      <c r="BF343" s="635"/>
      <c r="BG343" s="635"/>
      <c r="BH343" s="634"/>
      <c r="BI343" s="635"/>
    </row>
    <row r="344" spans="1:61" ht="16.2" customHeight="1">
      <c r="A344" s="12"/>
      <c r="B344" s="446"/>
      <c r="C344" s="89"/>
      <c r="D344" s="13"/>
      <c r="E344" s="14"/>
      <c r="F344" s="14"/>
      <c r="G344" s="15"/>
      <c r="H344" s="8"/>
      <c r="I344" s="8"/>
      <c r="J344" s="89"/>
      <c r="K344" s="8"/>
      <c r="L344" s="8"/>
      <c r="M344" s="8" t="str">
        <f>IF(L344="","",
IF(AX344="PT",VLOOKUP(L344,Foundation_Calc!$V$4:$X$37,VLOOKUP(AX344,Foundation_Calc!$I$10:$J$13,2,FALSE),0),
IF(AX344="K",VLOOKUP(L344,Foundation_Calc!$V$41:$X$74,VLOOKUP(AX344,Foundation_Calc!$I$10:$J$13,2,FALSE),0),"")))</f>
        <v/>
      </c>
      <c r="N344" s="8"/>
      <c r="O344" s="8"/>
      <c r="P344" s="8"/>
      <c r="Q344" s="14"/>
      <c r="R344" s="15"/>
      <c r="S344" s="15"/>
      <c r="T344" s="14"/>
      <c r="U344" s="14"/>
      <c r="V344" s="14"/>
      <c r="W344" s="18"/>
      <c r="X344" s="18"/>
      <c r="Y344" s="18"/>
      <c r="Z344" s="18"/>
      <c r="AA344" s="18"/>
      <c r="AB344" s="18"/>
      <c r="AC344" s="8" t="str">
        <f t="shared" si="90"/>
        <v/>
      </c>
      <c r="AD344" s="8"/>
      <c r="AE344" s="8"/>
      <c r="AF344" s="14"/>
      <c r="AG344" s="13"/>
      <c r="AH344" s="14"/>
      <c r="AI344" s="14"/>
      <c r="AJ344" s="8"/>
      <c r="AK344" s="8"/>
      <c r="AL344" s="8"/>
      <c r="AM344" s="8"/>
      <c r="AN344" s="631"/>
      <c r="AO344" s="18"/>
      <c r="AP344" s="18"/>
      <c r="AQ344" s="18"/>
      <c r="AR344" s="18"/>
      <c r="AS344" s="18"/>
      <c r="AU344" s="448"/>
      <c r="AV344" s="448"/>
      <c r="AW344" s="8" t="str">
        <f>IF(C344&gt;0,VLOOKUP(C344,Foundation_Calc!$A$2:$C$986,3,1),
IF(J344&gt;0,VLOOKUP(J344,Foundation_Calc!$A$2:$C$986,3,1),""))</f>
        <v/>
      </c>
      <c r="AX344" s="8" t="str">
        <f>IF(C344&gt;0,VLOOKUP(C344,Foundation_Calc!$E$2:$G$986,3,1),
IF(J344&gt;0,VLOOKUP(J344,Foundation_Calc!$E$2:$G$986,3,1),""))</f>
        <v/>
      </c>
      <c r="AY344" s="631" t="str">
        <f>IF(L344="","",
IF(AX344="PT",VLOOKUP(L344,Foundation_Calc!$K$4:$R$37,VLOOKUP(AW344,Foundation_Calc!$I$2:$J$8,2,FALSE),0),
IF(AX344="K",VLOOKUP(L344,Foundation_Calc!$K$41:$R$74,VLOOKUP(AW344,Foundation_Calc!$I$2:$J$8,2,FALSE),0),"")))</f>
        <v/>
      </c>
      <c r="AZ344" s="631" t="str">
        <f>IF(K344="","",
IF(AX344="PT",VLOOKUP(K344,Foundation_Calc!$K$4:$R$37,VLOOKUP(AW344,Foundation_Calc!$I$2:$J$8,2,FALSE),0),
IF(AX344="K",VLOOKUP(K344,Foundation_Calc!$K$41:$R$74,VLOOKUP(AW344,Foundation_Calc!$I$2:$J$8,2,FALSE),0),"")))</f>
        <v/>
      </c>
      <c r="BA344" s="632" t="str">
        <f t="shared" si="91"/>
        <v/>
      </c>
      <c r="BB344" s="632" t="str">
        <f t="shared" si="92"/>
        <v/>
      </c>
      <c r="BC344" s="632" t="str">
        <f t="shared" si="93"/>
        <v/>
      </c>
      <c r="BD344" s="633" t="str">
        <f>IF(AND(L344="",H344=""),"",
IF(H344="",Pole_Calc!A372,
IF(H344="MP",Pole_Calc!A373,
IF(H344="AnMP",Pole_Calc!A374,
IF(H344="A",Pole_Calc!A375,
IF(H344="S/A",Pole_Calc!A376,
IF(H344="A/S",Pole_Calc!A377,"Poner a mano")))))))</f>
        <v/>
      </c>
      <c r="BE344" s="448" t="s">
        <v>1726</v>
      </c>
      <c r="BF344" s="634"/>
      <c r="BG344" s="634"/>
      <c r="BH344" s="634"/>
      <c r="BI344" s="634"/>
    </row>
    <row r="345" spans="1:61" ht="16.2" customHeight="1">
      <c r="A345" s="12"/>
      <c r="B345" s="446"/>
      <c r="C345" s="89"/>
      <c r="D345" s="13"/>
      <c r="E345" s="14"/>
      <c r="F345" s="14"/>
      <c r="G345" s="15"/>
      <c r="H345" s="8"/>
      <c r="I345" s="8"/>
      <c r="J345" s="89"/>
      <c r="K345" s="8"/>
      <c r="L345" s="8"/>
      <c r="M345" s="8" t="str">
        <f>IF(L345="","",
IF(AX345="PT",VLOOKUP(L345,Foundation_Calc!$V$4:$X$37,VLOOKUP(AX345,Foundation_Calc!$I$10:$J$13,2,FALSE),0),
IF(AX345="K",VLOOKUP(L345,Foundation_Calc!$V$41:$X$74,VLOOKUP(AX345,Foundation_Calc!$I$10:$J$13,2,FALSE),0),"")))</f>
        <v/>
      </c>
      <c r="N345" s="8"/>
      <c r="O345" s="8"/>
      <c r="P345" s="8"/>
      <c r="Q345" s="14"/>
      <c r="R345" s="15"/>
      <c r="S345" s="15"/>
      <c r="T345" s="14"/>
      <c r="U345" s="14"/>
      <c r="V345" s="14"/>
      <c r="W345" s="18"/>
      <c r="X345" s="18"/>
      <c r="Y345" s="18"/>
      <c r="Z345" s="18"/>
      <c r="AA345" s="18"/>
      <c r="AB345" s="18"/>
      <c r="AC345" s="8" t="str">
        <f t="shared" si="90"/>
        <v/>
      </c>
      <c r="AD345" s="8"/>
      <c r="AE345" s="8"/>
      <c r="AF345" s="14"/>
      <c r="AG345" s="13"/>
      <c r="AH345" s="14"/>
      <c r="AI345" s="14"/>
      <c r="AJ345" s="8"/>
      <c r="AK345" s="8"/>
      <c r="AL345" s="8"/>
      <c r="AM345" s="8"/>
      <c r="AN345" s="631"/>
      <c r="AO345" s="18"/>
      <c r="AP345" s="18"/>
      <c r="AQ345" s="18"/>
      <c r="AR345" s="18"/>
      <c r="AS345" s="18"/>
      <c r="AU345" s="448"/>
      <c r="AV345" s="448"/>
      <c r="AW345" s="8" t="str">
        <f>IF(C345&gt;0,VLOOKUP(C345,Foundation_Calc!$A$2:$C$986,3,1),
IF(J345&gt;0,VLOOKUP(J345,Foundation_Calc!$A$2:$C$986,3,1),""))</f>
        <v/>
      </c>
      <c r="AX345" s="8" t="str">
        <f>IF(C345&gt;0,VLOOKUP(C345,Foundation_Calc!$E$2:$G$986,3,1),
IF(J345&gt;0,VLOOKUP(J345,Foundation_Calc!$E$2:$G$986,3,1),""))</f>
        <v/>
      </c>
      <c r="AY345" s="631" t="str">
        <f>IF(L345="","",
IF(AX345="PT",VLOOKUP(L345,Foundation_Calc!$K$4:$R$37,VLOOKUP(AW345,Foundation_Calc!$I$2:$J$8,2,FALSE),0),
IF(AX345="K",VLOOKUP(L345,Foundation_Calc!$K$41:$R$74,VLOOKUP(AW345,Foundation_Calc!$I$2:$J$8,2,FALSE),0),"")))</f>
        <v/>
      </c>
      <c r="AZ345" s="631" t="str">
        <f>IF(K345="","",
IF(AX345="PT",VLOOKUP(K345,Foundation_Calc!$K$4:$R$37,VLOOKUP(AW345,Foundation_Calc!$I$2:$J$8,2,FALSE),0),
IF(AX345="K",VLOOKUP(K345,Foundation_Calc!$K$41:$R$74,VLOOKUP(AW345,Foundation_Calc!$I$2:$J$8,2,FALSE),0),"")))</f>
        <v/>
      </c>
      <c r="BA345" s="632" t="str">
        <f t="shared" si="91"/>
        <v/>
      </c>
      <c r="BB345" s="632" t="str">
        <f t="shared" si="92"/>
        <v/>
      </c>
      <c r="BC345" s="632" t="str">
        <f t="shared" si="93"/>
        <v/>
      </c>
      <c r="BD345" s="633" t="str">
        <f>IF(AND(L345="",H345=""),"",
IF(H345="",Pole_Calc!A373,
IF(H345="MP",Pole_Calc!A374,
IF(H345="AnMP",Pole_Calc!A375,
IF(H345="A",Pole_Calc!A376,
IF(H345="S/A",Pole_Calc!A377,
IF(H345="A/S",Pole_Calc!A378,"Poner a mano")))))))</f>
        <v/>
      </c>
      <c r="BE345" s="448" t="s">
        <v>1726</v>
      </c>
      <c r="BF345" s="635"/>
      <c r="BG345" s="635"/>
      <c r="BH345" s="634"/>
      <c r="BI345" s="635"/>
    </row>
    <row r="346" spans="1:61" ht="16.2" customHeight="1">
      <c r="A346" s="12"/>
      <c r="B346" s="446"/>
      <c r="C346" s="89"/>
      <c r="D346" s="13"/>
      <c r="E346" s="14"/>
      <c r="F346" s="14"/>
      <c r="G346" s="15"/>
      <c r="H346" s="8"/>
      <c r="I346" s="8"/>
      <c r="J346" s="89"/>
      <c r="K346" s="8"/>
      <c r="L346" s="8"/>
      <c r="M346" s="8" t="str">
        <f>IF(L346="","",
IF(AX346="PT",VLOOKUP(L346,Foundation_Calc!$V$4:$X$37,VLOOKUP(AX346,Foundation_Calc!$I$10:$J$13,2,FALSE),0),
IF(AX346="K",VLOOKUP(L346,Foundation_Calc!$V$41:$X$74,VLOOKUP(AX346,Foundation_Calc!$I$10:$J$13,2,FALSE),0),"")))</f>
        <v/>
      </c>
      <c r="N346" s="8"/>
      <c r="O346" s="8"/>
      <c r="P346" s="8"/>
      <c r="Q346" s="14"/>
      <c r="R346" s="15"/>
      <c r="S346" s="15"/>
      <c r="T346" s="14"/>
      <c r="U346" s="14"/>
      <c r="V346" s="14"/>
      <c r="W346" s="18"/>
      <c r="X346" s="18"/>
      <c r="Y346" s="18"/>
      <c r="Z346" s="18"/>
      <c r="AA346" s="18"/>
      <c r="AB346" s="18"/>
      <c r="AC346" s="8" t="str">
        <f t="shared" si="90"/>
        <v/>
      </c>
      <c r="AD346" s="8"/>
      <c r="AE346" s="8"/>
      <c r="AF346" s="14"/>
      <c r="AG346" s="13"/>
      <c r="AH346" s="14"/>
      <c r="AI346" s="14"/>
      <c r="AJ346" s="8"/>
      <c r="AK346" s="8"/>
      <c r="AL346" s="8"/>
      <c r="AM346" s="8"/>
      <c r="AN346" s="631"/>
      <c r="AO346" s="18"/>
      <c r="AP346" s="18"/>
      <c r="AQ346" s="18"/>
      <c r="AR346" s="18"/>
      <c r="AS346" s="18"/>
      <c r="AU346" s="448"/>
      <c r="AV346" s="448"/>
      <c r="AW346" s="8" t="str">
        <f>IF(C346&gt;0,VLOOKUP(C346,Foundation_Calc!$A$2:$C$986,3,1),
IF(J346&gt;0,VLOOKUP(J346,Foundation_Calc!$A$2:$C$986,3,1),""))</f>
        <v/>
      </c>
      <c r="AX346" s="8" t="str">
        <f>IF(C346&gt;0,VLOOKUP(C346,Foundation_Calc!$E$2:$G$986,3,1),
IF(J346&gt;0,VLOOKUP(J346,Foundation_Calc!$E$2:$G$986,3,1),""))</f>
        <v/>
      </c>
      <c r="AY346" s="631" t="str">
        <f>IF(L346="","",
IF(AX346="PT",VLOOKUP(L346,Foundation_Calc!$K$4:$R$37,VLOOKUP(AW346,Foundation_Calc!$I$2:$J$8,2,FALSE),0),
IF(AX346="K",VLOOKUP(L346,Foundation_Calc!$K$41:$R$74,VLOOKUP(AW346,Foundation_Calc!$I$2:$J$8,2,FALSE),0),"")))</f>
        <v/>
      </c>
      <c r="AZ346" s="631" t="str">
        <f>IF(K346="","",
IF(AX346="PT",VLOOKUP(K346,Foundation_Calc!$K$4:$R$37,VLOOKUP(AW346,Foundation_Calc!$I$2:$J$8,2,FALSE),0),
IF(AX346="K",VLOOKUP(K346,Foundation_Calc!$K$41:$R$74,VLOOKUP(AW346,Foundation_Calc!$I$2:$J$8,2,FALSE),0),"")))</f>
        <v/>
      </c>
      <c r="BA346" s="632" t="str">
        <f t="shared" si="91"/>
        <v/>
      </c>
      <c r="BB346" s="632" t="str">
        <f t="shared" si="92"/>
        <v/>
      </c>
      <c r="BC346" s="632" t="str">
        <f t="shared" si="93"/>
        <v/>
      </c>
      <c r="BD346" s="633" t="str">
        <f>IF(AND(L346="",H346=""),"",
IF(H346="",Pole_Calc!A374,
IF(H346="MP",Pole_Calc!A375,
IF(H346="AnMP",Pole_Calc!A376,
IF(H346="A",Pole_Calc!A377,
IF(H346="S/A",Pole_Calc!A378,
IF(H346="A/S",Pole_Calc!A379,"Poner a mano")))))))</f>
        <v/>
      </c>
      <c r="BE346" s="448" t="s">
        <v>1726</v>
      </c>
      <c r="BF346" s="634"/>
      <c r="BG346" s="634"/>
      <c r="BH346" s="634"/>
      <c r="BI346" s="634"/>
    </row>
    <row r="347" spans="1:61" ht="16.2" customHeight="1">
      <c r="A347" s="12"/>
      <c r="B347" s="446"/>
      <c r="C347" s="89"/>
      <c r="D347" s="13"/>
      <c r="E347" s="14"/>
      <c r="F347" s="14"/>
      <c r="G347" s="15"/>
      <c r="H347" s="8"/>
      <c r="I347" s="8"/>
      <c r="J347" s="89"/>
      <c r="K347" s="8"/>
      <c r="L347" s="8"/>
      <c r="M347" s="8" t="str">
        <f>IF(L347="","",
IF(AX347="PT",VLOOKUP(L347,Foundation_Calc!$V$4:$X$37,VLOOKUP(AX347,Foundation_Calc!$I$10:$J$13,2,FALSE),0),
IF(AX347="K",VLOOKUP(L347,Foundation_Calc!$V$41:$X$74,VLOOKUP(AX347,Foundation_Calc!$I$10:$J$13,2,FALSE),0),"")))</f>
        <v/>
      </c>
      <c r="N347" s="8"/>
      <c r="O347" s="8"/>
      <c r="P347" s="8"/>
      <c r="Q347" s="14"/>
      <c r="R347" s="15"/>
      <c r="S347" s="15"/>
      <c r="T347" s="14"/>
      <c r="U347" s="14"/>
      <c r="V347" s="14"/>
      <c r="W347" s="18"/>
      <c r="X347" s="18"/>
      <c r="Y347" s="18"/>
      <c r="Z347" s="18"/>
      <c r="AA347" s="18"/>
      <c r="AB347" s="18"/>
      <c r="AC347" s="8" t="str">
        <f t="shared" si="90"/>
        <v/>
      </c>
      <c r="AD347" s="8"/>
      <c r="AE347" s="8"/>
      <c r="AF347" s="14"/>
      <c r="AG347" s="13"/>
      <c r="AH347" s="14"/>
      <c r="AI347" s="14"/>
      <c r="AJ347" s="8"/>
      <c r="AK347" s="8"/>
      <c r="AL347" s="8"/>
      <c r="AM347" s="8"/>
      <c r="AN347" s="631"/>
      <c r="AO347" s="18"/>
      <c r="AP347" s="18"/>
      <c r="AQ347" s="18"/>
      <c r="AR347" s="18"/>
      <c r="AS347" s="18"/>
      <c r="AU347" s="448"/>
      <c r="AV347" s="448"/>
      <c r="AW347" s="8" t="str">
        <f>IF(C347&gt;0,VLOOKUP(C347,Foundation_Calc!$A$2:$C$986,3,1),
IF(J347&gt;0,VLOOKUP(J347,Foundation_Calc!$A$2:$C$986,3,1),""))</f>
        <v/>
      </c>
      <c r="AX347" s="8" t="str">
        <f>IF(C347&gt;0,VLOOKUP(C347,Foundation_Calc!$E$2:$G$986,3,1),
IF(J347&gt;0,VLOOKUP(J347,Foundation_Calc!$E$2:$G$986,3,1),""))</f>
        <v/>
      </c>
      <c r="AY347" s="631" t="str">
        <f>IF(L347="","",
IF(AX347="PT",VLOOKUP(L347,Foundation_Calc!$K$4:$R$37,VLOOKUP(AW347,Foundation_Calc!$I$2:$J$8,2,FALSE),0),
IF(AX347="K",VLOOKUP(L347,Foundation_Calc!$K$41:$R$74,VLOOKUP(AW347,Foundation_Calc!$I$2:$J$8,2,FALSE),0),"")))</f>
        <v/>
      </c>
      <c r="AZ347" s="631" t="str">
        <f>IF(K347="","",
IF(AX347="PT",VLOOKUP(K347,Foundation_Calc!$K$4:$R$37,VLOOKUP(AW347,Foundation_Calc!$I$2:$J$8,2,FALSE),0),
IF(AX347="K",VLOOKUP(K347,Foundation_Calc!$K$41:$R$74,VLOOKUP(AW347,Foundation_Calc!$I$2:$J$8,2,FALSE),0),"")))</f>
        <v/>
      </c>
      <c r="BA347" s="632" t="str">
        <f t="shared" si="91"/>
        <v/>
      </c>
      <c r="BB347" s="632" t="str">
        <f t="shared" si="92"/>
        <v/>
      </c>
      <c r="BC347" s="632" t="str">
        <f t="shared" si="93"/>
        <v/>
      </c>
      <c r="BD347" s="633" t="str">
        <f>IF(AND(L347="",H347=""),"",
IF(H347="",Pole_Calc!A375,
IF(H347="MP",Pole_Calc!A376,
IF(H347="AnMP",Pole_Calc!A377,
IF(H347="A",Pole_Calc!A378,
IF(H347="S/A",Pole_Calc!A379,
IF(H347="A/S",Pole_Calc!A380,"Poner a mano")))))))</f>
        <v/>
      </c>
      <c r="BE347" s="448" t="s">
        <v>1726</v>
      </c>
      <c r="BF347" s="635"/>
      <c r="BG347" s="635"/>
      <c r="BH347" s="634"/>
      <c r="BI347" s="635"/>
    </row>
    <row r="348" spans="1:61" ht="16.2" customHeight="1">
      <c r="A348" s="12"/>
      <c r="B348" s="446"/>
      <c r="C348" s="89"/>
      <c r="D348" s="13"/>
      <c r="E348" s="14"/>
      <c r="F348" s="14"/>
      <c r="G348" s="15"/>
      <c r="H348" s="8"/>
      <c r="I348" s="8"/>
      <c r="J348" s="89"/>
      <c r="K348" s="8"/>
      <c r="L348" s="8"/>
      <c r="M348" s="8" t="str">
        <f>IF(L348="","",
IF(AX348="PT",VLOOKUP(L348,Foundation_Calc!$V$4:$X$37,VLOOKUP(AX348,Foundation_Calc!$I$10:$J$13,2,FALSE),0),
IF(AX348="K",VLOOKUP(L348,Foundation_Calc!$V$41:$X$74,VLOOKUP(AX348,Foundation_Calc!$I$10:$J$13,2,FALSE),0),"")))</f>
        <v/>
      </c>
      <c r="N348" s="8"/>
      <c r="O348" s="8"/>
      <c r="P348" s="8"/>
      <c r="Q348" s="14"/>
      <c r="R348" s="15"/>
      <c r="S348" s="15"/>
      <c r="T348" s="14"/>
      <c r="U348" s="14"/>
      <c r="V348" s="14"/>
      <c r="W348" s="18"/>
      <c r="X348" s="18"/>
      <c r="Y348" s="18"/>
      <c r="Z348" s="18"/>
      <c r="AA348" s="18"/>
      <c r="AB348" s="18"/>
      <c r="AC348" s="8" t="str">
        <f t="shared" si="90"/>
        <v/>
      </c>
      <c r="AD348" s="8"/>
      <c r="AE348" s="8"/>
      <c r="AF348" s="14"/>
      <c r="AG348" s="13"/>
      <c r="AH348" s="14"/>
      <c r="AI348" s="14"/>
      <c r="AJ348" s="8"/>
      <c r="AK348" s="8"/>
      <c r="AL348" s="8"/>
      <c r="AM348" s="8"/>
      <c r="AN348" s="631"/>
      <c r="AO348" s="18"/>
      <c r="AP348" s="18"/>
      <c r="AQ348" s="18"/>
      <c r="AR348" s="18"/>
      <c r="AS348" s="18"/>
      <c r="AU348" s="448"/>
      <c r="AV348" s="448"/>
      <c r="AW348" s="8" t="str">
        <f>IF(C348&gt;0,VLOOKUP(C348,Foundation_Calc!$A$2:$C$986,3,1),
IF(J348&gt;0,VLOOKUP(J348,Foundation_Calc!$A$2:$C$986,3,1),""))</f>
        <v/>
      </c>
      <c r="AX348" s="8" t="str">
        <f>IF(C348&gt;0,VLOOKUP(C348,Foundation_Calc!$E$2:$G$986,3,1),
IF(J348&gt;0,VLOOKUP(J348,Foundation_Calc!$E$2:$G$986,3,1),""))</f>
        <v/>
      </c>
      <c r="AY348" s="631" t="str">
        <f>IF(L348="","",
IF(AX348="PT",VLOOKUP(L348,Foundation_Calc!$K$4:$R$37,VLOOKUP(AW348,Foundation_Calc!$I$2:$J$8,2,FALSE),0),
IF(AX348="K",VLOOKUP(L348,Foundation_Calc!$K$41:$R$74,VLOOKUP(AW348,Foundation_Calc!$I$2:$J$8,2,FALSE),0),"")))</f>
        <v/>
      </c>
      <c r="AZ348" s="631" t="str">
        <f>IF(K348="","",
IF(AX348="PT",VLOOKUP(K348,Foundation_Calc!$K$4:$R$37,VLOOKUP(AW348,Foundation_Calc!$I$2:$J$8,2,FALSE),0),
IF(AX348="K",VLOOKUP(K348,Foundation_Calc!$K$41:$R$74,VLOOKUP(AW348,Foundation_Calc!$I$2:$J$8,2,FALSE),0),"")))</f>
        <v/>
      </c>
      <c r="BA348" s="632" t="str">
        <f t="shared" si="91"/>
        <v/>
      </c>
      <c r="BB348" s="632" t="str">
        <f t="shared" si="92"/>
        <v/>
      </c>
      <c r="BC348" s="632" t="str">
        <f t="shared" si="93"/>
        <v/>
      </c>
      <c r="BD348" s="633" t="str">
        <f>IF(AND(L348="",H348=""),"",
IF(H348="",Pole_Calc!A376,
IF(H348="MP",Pole_Calc!A377,
IF(H348="AnMP",Pole_Calc!A378,
IF(H348="A",Pole_Calc!A379,
IF(H348="S/A",Pole_Calc!A380,
IF(H348="A/S",Pole_Calc!A381,"Poner a mano")))))))</f>
        <v/>
      </c>
      <c r="BE348" s="448" t="s">
        <v>1726</v>
      </c>
      <c r="BF348" s="634"/>
      <c r="BG348" s="634"/>
      <c r="BH348" s="634"/>
      <c r="BI348" s="634"/>
    </row>
    <row r="349" spans="1:61" ht="16.2" customHeight="1">
      <c r="A349" s="12"/>
      <c r="B349" s="446"/>
      <c r="C349" s="89"/>
      <c r="D349" s="13"/>
      <c r="E349" s="14"/>
      <c r="F349" s="14"/>
      <c r="G349" s="15"/>
      <c r="H349" s="8"/>
      <c r="I349" s="8"/>
      <c r="J349" s="89"/>
      <c r="K349" s="8"/>
      <c r="L349" s="8"/>
      <c r="M349" s="8" t="str">
        <f>IF(L349="","",
IF(AX349="PT",VLOOKUP(L349,Foundation_Calc!$V$4:$X$37,VLOOKUP(AX349,Foundation_Calc!$I$10:$J$13,2,FALSE),0),
IF(AX349="K",VLOOKUP(L349,Foundation_Calc!$V$41:$X$74,VLOOKUP(AX349,Foundation_Calc!$I$10:$J$13,2,FALSE),0),"")))</f>
        <v/>
      </c>
      <c r="N349" s="8"/>
      <c r="O349" s="8"/>
      <c r="P349" s="8"/>
      <c r="Q349" s="14"/>
      <c r="R349" s="15"/>
      <c r="S349" s="15"/>
      <c r="T349" s="14"/>
      <c r="U349" s="14"/>
      <c r="V349" s="14"/>
      <c r="W349" s="18"/>
      <c r="X349" s="18"/>
      <c r="Y349" s="18"/>
      <c r="Z349" s="18"/>
      <c r="AA349" s="18"/>
      <c r="AB349" s="18"/>
      <c r="AC349" s="8" t="str">
        <f t="shared" si="90"/>
        <v/>
      </c>
      <c r="AD349" s="8"/>
      <c r="AE349" s="8"/>
      <c r="AF349" s="14"/>
      <c r="AG349" s="13"/>
      <c r="AH349" s="14"/>
      <c r="AI349" s="14"/>
      <c r="AJ349" s="8"/>
      <c r="AK349" s="8"/>
      <c r="AL349" s="8"/>
      <c r="AM349" s="8"/>
      <c r="AN349" s="631"/>
      <c r="AO349" s="18"/>
      <c r="AP349" s="18"/>
      <c r="AQ349" s="18"/>
      <c r="AR349" s="18"/>
      <c r="AS349" s="18"/>
      <c r="AU349" s="448"/>
      <c r="AV349" s="448"/>
      <c r="AW349" s="8" t="str">
        <f>IF(C349&gt;0,VLOOKUP(C349,Foundation_Calc!$A$2:$C$986,3,1),
IF(J349&gt;0,VLOOKUP(J349,Foundation_Calc!$A$2:$C$986,3,1),""))</f>
        <v/>
      </c>
      <c r="AX349" s="8" t="str">
        <f>IF(C349&gt;0,VLOOKUP(C349,Foundation_Calc!$E$2:$G$986,3,1),
IF(J349&gt;0,VLOOKUP(J349,Foundation_Calc!$E$2:$G$986,3,1),""))</f>
        <v/>
      </c>
      <c r="AY349" s="631" t="str">
        <f>IF(L349="","",
IF(AX349="PT",VLOOKUP(L349,Foundation_Calc!$K$4:$R$37,VLOOKUP(AW349,Foundation_Calc!$I$2:$J$8,2,FALSE),0),
IF(AX349="K",VLOOKUP(L349,Foundation_Calc!$K$41:$R$74,VLOOKUP(AW349,Foundation_Calc!$I$2:$J$8,2,FALSE),0),"")))</f>
        <v/>
      </c>
      <c r="AZ349" s="631" t="str">
        <f>IF(K349="","",
IF(AX349="PT",VLOOKUP(K349,Foundation_Calc!$K$4:$R$37,VLOOKUP(AW349,Foundation_Calc!$I$2:$J$8,2,FALSE),0),
IF(AX349="K",VLOOKUP(K349,Foundation_Calc!$K$41:$R$74,VLOOKUP(AW349,Foundation_Calc!$I$2:$J$8,2,FALSE),0),"")))</f>
        <v/>
      </c>
      <c r="BA349" s="632" t="str">
        <f t="shared" si="91"/>
        <v/>
      </c>
      <c r="BB349" s="632" t="str">
        <f t="shared" si="92"/>
        <v/>
      </c>
      <c r="BC349" s="632" t="str">
        <f t="shared" si="93"/>
        <v/>
      </c>
      <c r="BD349" s="633" t="str">
        <f>IF(AND(L349="",H349=""),"",
IF(H349="",Pole_Calc!A377,
IF(H349="MP",Pole_Calc!A378,
IF(H349="AnMP",Pole_Calc!A379,
IF(H349="A",Pole_Calc!A380,
IF(H349="S/A",Pole_Calc!A381,
IF(H349="A/S",Pole_Calc!A382,"Poner a mano")))))))</f>
        <v/>
      </c>
      <c r="BE349" s="448" t="s">
        <v>1726</v>
      </c>
      <c r="BF349" s="635"/>
      <c r="BG349" s="635"/>
      <c r="BH349" s="634"/>
      <c r="BI349" s="635"/>
    </row>
    <row r="350" spans="1:61" ht="16.2" customHeight="1">
      <c r="A350" s="12"/>
      <c r="B350" s="446"/>
      <c r="C350" s="89"/>
      <c r="D350" s="13"/>
      <c r="E350" s="14"/>
      <c r="F350" s="14"/>
      <c r="G350" s="15"/>
      <c r="H350" s="8"/>
      <c r="I350" s="8"/>
      <c r="J350" s="89"/>
      <c r="K350" s="8"/>
      <c r="L350" s="8"/>
      <c r="M350" s="8" t="str">
        <f>IF(L350="","",
IF(AX350="PT",VLOOKUP(L350,Foundation_Calc!$V$4:$X$37,VLOOKUP(AX350,Foundation_Calc!$I$10:$J$13,2,FALSE),0),
IF(AX350="K",VLOOKUP(L350,Foundation_Calc!$V$41:$X$74,VLOOKUP(AX350,Foundation_Calc!$I$10:$J$13,2,FALSE),0),"")))</f>
        <v/>
      </c>
      <c r="N350" s="8"/>
      <c r="O350" s="8"/>
      <c r="P350" s="8"/>
      <c r="Q350" s="14"/>
      <c r="R350" s="15"/>
      <c r="S350" s="15"/>
      <c r="T350" s="14"/>
      <c r="U350" s="14"/>
      <c r="V350" s="14"/>
      <c r="W350" s="18"/>
      <c r="X350" s="18"/>
      <c r="Y350" s="18"/>
      <c r="Z350" s="18"/>
      <c r="AA350" s="18"/>
      <c r="AB350" s="18"/>
      <c r="AC350" s="8" t="str">
        <f t="shared" si="90"/>
        <v/>
      </c>
      <c r="AD350" s="8"/>
      <c r="AE350" s="8"/>
      <c r="AF350" s="14"/>
      <c r="AG350" s="13"/>
      <c r="AH350" s="14"/>
      <c r="AI350" s="14"/>
      <c r="AJ350" s="8"/>
      <c r="AK350" s="8"/>
      <c r="AL350" s="8"/>
      <c r="AM350" s="8"/>
      <c r="AN350" s="631"/>
      <c r="AO350" s="18"/>
      <c r="AP350" s="18"/>
      <c r="AQ350" s="18"/>
      <c r="AR350" s="18"/>
      <c r="AS350" s="18"/>
      <c r="AU350" s="448"/>
      <c r="AV350" s="448"/>
      <c r="AW350" s="8" t="str">
        <f>IF(C350&gt;0,VLOOKUP(C350,Foundation_Calc!$A$2:$C$986,3,1),
IF(J350&gt;0,VLOOKUP(J350,Foundation_Calc!$A$2:$C$986,3,1),""))</f>
        <v/>
      </c>
      <c r="AX350" s="8" t="str">
        <f>IF(C350&gt;0,VLOOKUP(C350,Foundation_Calc!$E$2:$G$986,3,1),
IF(J350&gt;0,VLOOKUP(J350,Foundation_Calc!$E$2:$G$986,3,1),""))</f>
        <v/>
      </c>
      <c r="AY350" s="631" t="str">
        <f>IF(L350="","",
IF(AX350="PT",VLOOKUP(L350,Foundation_Calc!$K$4:$R$37,VLOOKUP(AW350,Foundation_Calc!$I$2:$J$8,2,FALSE),0),
IF(AX350="K",VLOOKUP(L350,Foundation_Calc!$K$41:$R$74,VLOOKUP(AW350,Foundation_Calc!$I$2:$J$8,2,FALSE),0),"")))</f>
        <v/>
      </c>
      <c r="AZ350" s="631" t="str">
        <f>IF(K350="","",
IF(AX350="PT",VLOOKUP(K350,Foundation_Calc!$K$4:$R$37,VLOOKUP(AW350,Foundation_Calc!$I$2:$J$8,2,FALSE),0),
IF(AX350="K",VLOOKUP(K350,Foundation_Calc!$K$41:$R$74,VLOOKUP(AW350,Foundation_Calc!$I$2:$J$8,2,FALSE),0),"")))</f>
        <v/>
      </c>
      <c r="BA350" s="632" t="str">
        <f t="shared" si="91"/>
        <v/>
      </c>
      <c r="BB350" s="632" t="str">
        <f t="shared" si="92"/>
        <v/>
      </c>
      <c r="BC350" s="632" t="str">
        <f t="shared" si="93"/>
        <v/>
      </c>
      <c r="BD350" s="633" t="str">
        <f>IF(AND(L350="",H350=""),"",
IF(H350="",Pole_Calc!A378,
IF(H350="MP",Pole_Calc!A379,
IF(H350="AnMP",Pole_Calc!A380,
IF(H350="A",Pole_Calc!A381,
IF(H350="S/A",Pole_Calc!A382,
IF(H350="A/S",Pole_Calc!A383,"Poner a mano")))))))</f>
        <v/>
      </c>
      <c r="BE350" s="448" t="s">
        <v>1726</v>
      </c>
      <c r="BF350" s="634"/>
      <c r="BG350" s="634"/>
      <c r="BH350" s="634"/>
      <c r="BI350" s="634"/>
    </row>
    <row r="351" spans="1:61" ht="16.2" customHeight="1">
      <c r="A351" s="12"/>
      <c r="B351" s="446"/>
      <c r="C351" s="89"/>
      <c r="D351" s="13"/>
      <c r="E351" s="14"/>
      <c r="F351" s="14"/>
      <c r="G351" s="15"/>
      <c r="H351" s="8"/>
      <c r="I351" s="8"/>
      <c r="J351" s="89"/>
      <c r="K351" s="8"/>
      <c r="L351" s="8"/>
      <c r="M351" s="8" t="str">
        <f>IF(L351="","",
IF(AX351="PT",VLOOKUP(L351,Foundation_Calc!$V$4:$X$37,VLOOKUP(AX351,Foundation_Calc!$I$10:$J$13,2,FALSE),0),
IF(AX351="K",VLOOKUP(L351,Foundation_Calc!$V$41:$X$74,VLOOKUP(AX351,Foundation_Calc!$I$10:$J$13,2,FALSE),0),"")))</f>
        <v/>
      </c>
      <c r="N351" s="8"/>
      <c r="O351" s="8"/>
      <c r="P351" s="8"/>
      <c r="Q351" s="14"/>
      <c r="R351" s="15"/>
      <c r="S351" s="15"/>
      <c r="T351" s="14"/>
      <c r="U351" s="14"/>
      <c r="V351" s="14"/>
      <c r="W351" s="18"/>
      <c r="X351" s="18"/>
      <c r="Y351" s="18"/>
      <c r="Z351" s="18"/>
      <c r="AA351" s="18"/>
      <c r="AB351" s="18"/>
      <c r="AC351" s="8" t="str">
        <f t="shared" si="90"/>
        <v/>
      </c>
      <c r="AD351" s="8"/>
      <c r="AE351" s="8"/>
      <c r="AF351" s="14"/>
      <c r="AG351" s="13"/>
      <c r="AH351" s="14"/>
      <c r="AI351" s="14"/>
      <c r="AJ351" s="8"/>
      <c r="AK351" s="8"/>
      <c r="AL351" s="8"/>
      <c r="AM351" s="8"/>
      <c r="AN351" s="631"/>
      <c r="AO351" s="18"/>
      <c r="AP351" s="18"/>
      <c r="AQ351" s="18"/>
      <c r="AR351" s="18"/>
      <c r="AS351" s="18"/>
      <c r="AU351" s="448"/>
      <c r="AV351" s="448"/>
      <c r="AW351" s="8" t="str">
        <f>IF(C351&gt;0,VLOOKUP(C351,Foundation_Calc!$A$2:$C$986,3,1),
IF(J351&gt;0,VLOOKUP(J351,Foundation_Calc!$A$2:$C$986,3,1),""))</f>
        <v/>
      </c>
      <c r="AX351" s="8" t="str">
        <f>IF(C351&gt;0,VLOOKUP(C351,Foundation_Calc!$E$2:$G$986,3,1),
IF(J351&gt;0,VLOOKUP(J351,Foundation_Calc!$E$2:$G$986,3,1),""))</f>
        <v/>
      </c>
      <c r="AY351" s="631" t="str">
        <f>IF(L351="","",
IF(AX351="PT",VLOOKUP(L351,Foundation_Calc!$K$4:$R$37,VLOOKUP(AW351,Foundation_Calc!$I$2:$J$8,2,FALSE),0),
IF(AX351="K",VLOOKUP(L351,Foundation_Calc!$K$41:$R$74,VLOOKUP(AW351,Foundation_Calc!$I$2:$J$8,2,FALSE),0),"")))</f>
        <v/>
      </c>
      <c r="AZ351" s="631" t="str">
        <f>IF(K351="","",
IF(AX351="PT",VLOOKUP(K351,Foundation_Calc!$K$4:$R$37,VLOOKUP(AW351,Foundation_Calc!$I$2:$J$8,2,FALSE),0),
IF(AX351="K",VLOOKUP(K351,Foundation_Calc!$K$41:$R$74,VLOOKUP(AW351,Foundation_Calc!$I$2:$J$8,2,FALSE),0),"")))</f>
        <v/>
      </c>
      <c r="BA351" s="632" t="str">
        <f t="shared" si="91"/>
        <v/>
      </c>
      <c r="BB351" s="632" t="str">
        <f t="shared" si="92"/>
        <v/>
      </c>
      <c r="BC351" s="632" t="str">
        <f t="shared" si="93"/>
        <v/>
      </c>
      <c r="BD351" s="633" t="str">
        <f>IF(AND(L351="",H351=""),"",
IF(H351="",Pole_Calc!A379,
IF(H351="MP",Pole_Calc!A380,
IF(H351="AnMP",Pole_Calc!A381,
IF(H351="A",Pole_Calc!A382,
IF(H351="S/A",Pole_Calc!A383,
IF(H351="A/S",Pole_Calc!A384,"Poner a mano")))))))</f>
        <v/>
      </c>
      <c r="BE351" s="448" t="s">
        <v>1726</v>
      </c>
      <c r="BF351" s="635"/>
      <c r="BG351" s="635"/>
      <c r="BH351" s="634"/>
      <c r="BI351" s="635"/>
    </row>
    <row r="352" spans="1:61" ht="16.2" customHeight="1">
      <c r="A352" s="12"/>
      <c r="B352" s="446"/>
      <c r="C352" s="89"/>
      <c r="D352" s="13"/>
      <c r="E352" s="14"/>
      <c r="F352" s="14"/>
      <c r="G352" s="15"/>
      <c r="H352" s="8"/>
      <c r="I352" s="8"/>
      <c r="J352" s="89"/>
      <c r="K352" s="8"/>
      <c r="L352" s="8"/>
      <c r="M352" s="8" t="str">
        <f>IF(L352="","",
IF(AX352="PT",VLOOKUP(L352,Foundation_Calc!$V$4:$X$37,VLOOKUP(AX352,Foundation_Calc!$I$10:$J$13,2,FALSE),0),
IF(AX352="K",VLOOKUP(L352,Foundation_Calc!$V$41:$X$74,VLOOKUP(AX352,Foundation_Calc!$I$10:$J$13,2,FALSE),0),"")))</f>
        <v/>
      </c>
      <c r="N352" s="8"/>
      <c r="O352" s="8"/>
      <c r="P352" s="8"/>
      <c r="Q352" s="14"/>
      <c r="R352" s="15"/>
      <c r="S352" s="15"/>
      <c r="T352" s="14"/>
      <c r="U352" s="14"/>
      <c r="V352" s="14"/>
      <c r="W352" s="18"/>
      <c r="X352" s="18"/>
      <c r="Y352" s="18"/>
      <c r="Z352" s="18"/>
      <c r="AA352" s="18"/>
      <c r="AB352" s="18"/>
      <c r="AC352" s="8" t="str">
        <f t="shared" si="90"/>
        <v/>
      </c>
      <c r="AD352" s="8"/>
      <c r="AE352" s="8"/>
      <c r="AF352" s="14"/>
      <c r="AG352" s="13"/>
      <c r="AH352" s="14"/>
      <c r="AI352" s="14"/>
      <c r="AJ352" s="8"/>
      <c r="AK352" s="8"/>
      <c r="AL352" s="8"/>
      <c r="AM352" s="8"/>
      <c r="AN352" s="631"/>
      <c r="AO352" s="18"/>
      <c r="AP352" s="18"/>
      <c r="AQ352" s="18"/>
      <c r="AR352" s="18"/>
      <c r="AS352" s="18"/>
      <c r="AU352" s="448"/>
      <c r="AV352" s="448"/>
      <c r="AW352" s="8" t="str">
        <f>IF(C352&gt;0,VLOOKUP(C352,Foundation_Calc!$A$2:$C$986,3,1),
IF(J352&gt;0,VLOOKUP(J352,Foundation_Calc!$A$2:$C$986,3,1),""))</f>
        <v/>
      </c>
      <c r="AX352" s="8" t="str">
        <f>IF(C352&gt;0,VLOOKUP(C352,Foundation_Calc!$E$2:$G$986,3,1),
IF(J352&gt;0,VLOOKUP(J352,Foundation_Calc!$E$2:$G$986,3,1),""))</f>
        <v/>
      </c>
      <c r="AY352" s="631" t="str">
        <f>IF(L352="","",
IF(AX352="PT",VLOOKUP(L352,Foundation_Calc!$K$4:$R$37,VLOOKUP(AW352,Foundation_Calc!$I$2:$J$8,2,FALSE),0),
IF(AX352="K",VLOOKUP(L352,Foundation_Calc!$K$41:$R$74,VLOOKUP(AW352,Foundation_Calc!$I$2:$J$8,2,FALSE),0),"")))</f>
        <v/>
      </c>
      <c r="AZ352" s="631" t="str">
        <f>IF(K352="","",
IF(AX352="PT",VLOOKUP(K352,Foundation_Calc!$K$4:$R$37,VLOOKUP(AW352,Foundation_Calc!$I$2:$J$8,2,FALSE),0),
IF(AX352="K",VLOOKUP(K352,Foundation_Calc!$K$41:$R$74,VLOOKUP(AW352,Foundation_Calc!$I$2:$J$8,2,FALSE),0),"")))</f>
        <v/>
      </c>
      <c r="BA352" s="632" t="str">
        <f t="shared" si="91"/>
        <v/>
      </c>
      <c r="BB352" s="632" t="str">
        <f t="shared" si="92"/>
        <v/>
      </c>
      <c r="BC352" s="632" t="str">
        <f t="shared" si="93"/>
        <v/>
      </c>
      <c r="BD352" s="633" t="str">
        <f>IF(AND(L352="",H352=""),"",
IF(H352="",Pole_Calc!A380,
IF(H352="MP",Pole_Calc!A381,
IF(H352="AnMP",Pole_Calc!A382,
IF(H352="A",Pole_Calc!A383,
IF(H352="S/A",Pole_Calc!A384,
IF(H352="A/S",Pole_Calc!A385,"Poner a mano")))))))</f>
        <v/>
      </c>
      <c r="BE352" s="448" t="s">
        <v>1726</v>
      </c>
      <c r="BF352" s="634"/>
      <c r="BG352" s="634"/>
      <c r="BH352" s="634"/>
      <c r="BI352" s="634"/>
    </row>
    <row r="353" spans="1:61" ht="16.2" customHeight="1">
      <c r="A353" s="12"/>
      <c r="B353" s="446"/>
      <c r="C353" s="89"/>
      <c r="D353" s="13"/>
      <c r="E353" s="14"/>
      <c r="F353" s="14"/>
      <c r="G353" s="15"/>
      <c r="H353" s="8"/>
      <c r="I353" s="8"/>
      <c r="J353" s="89"/>
      <c r="K353" s="8"/>
      <c r="L353" s="8"/>
      <c r="M353" s="8" t="str">
        <f>IF(L353="","",
IF(AX353="PT",VLOOKUP(L353,Foundation_Calc!$V$4:$X$37,VLOOKUP(AX353,Foundation_Calc!$I$10:$J$13,2,FALSE),0),
IF(AX353="K",VLOOKUP(L353,Foundation_Calc!$V$41:$X$74,VLOOKUP(AX353,Foundation_Calc!$I$10:$J$13,2,FALSE),0),"")))</f>
        <v/>
      </c>
      <c r="N353" s="8"/>
      <c r="O353" s="8"/>
      <c r="P353" s="8"/>
      <c r="Q353" s="14"/>
      <c r="R353" s="15"/>
      <c r="S353" s="15"/>
      <c r="T353" s="14"/>
      <c r="U353" s="14"/>
      <c r="V353" s="14"/>
      <c r="W353" s="18"/>
      <c r="X353" s="18"/>
      <c r="Y353" s="18"/>
      <c r="Z353" s="18"/>
      <c r="AA353" s="18"/>
      <c r="AB353" s="18"/>
      <c r="AC353" s="8" t="str">
        <f t="shared" si="90"/>
        <v/>
      </c>
      <c r="AD353" s="8"/>
      <c r="AE353" s="8"/>
      <c r="AF353" s="14"/>
      <c r="AG353" s="13"/>
      <c r="AH353" s="14"/>
      <c r="AI353" s="14"/>
      <c r="AJ353" s="8"/>
      <c r="AK353" s="8"/>
      <c r="AL353" s="8"/>
      <c r="AM353" s="8"/>
      <c r="AN353" s="631"/>
      <c r="AO353" s="18"/>
      <c r="AP353" s="18"/>
      <c r="AQ353" s="18"/>
      <c r="AR353" s="18"/>
      <c r="AS353" s="18"/>
      <c r="AU353" s="448"/>
      <c r="AV353" s="448"/>
      <c r="AW353" s="8" t="str">
        <f>IF(C353&gt;0,VLOOKUP(C353,Foundation_Calc!$A$2:$C$986,3,1),
IF(J353&gt;0,VLOOKUP(J353,Foundation_Calc!$A$2:$C$986,3,1),""))</f>
        <v/>
      </c>
      <c r="AX353" s="8" t="str">
        <f>IF(C353&gt;0,VLOOKUP(C353,Foundation_Calc!$E$2:$G$986,3,1),
IF(J353&gt;0,VLOOKUP(J353,Foundation_Calc!$E$2:$G$986,3,1),""))</f>
        <v/>
      </c>
      <c r="AY353" s="631" t="str">
        <f>IF(L353="","",
IF(AX353="PT",VLOOKUP(L353,Foundation_Calc!$K$4:$R$37,VLOOKUP(AW353,Foundation_Calc!$I$2:$J$8,2,FALSE),0),
IF(AX353="K",VLOOKUP(L353,Foundation_Calc!$K$41:$R$74,VLOOKUP(AW353,Foundation_Calc!$I$2:$J$8,2,FALSE),0),"")))</f>
        <v/>
      </c>
      <c r="AZ353" s="631" t="str">
        <f>IF(K353="","",
IF(AX353="PT",VLOOKUP(K353,Foundation_Calc!$K$4:$R$37,VLOOKUP(AW353,Foundation_Calc!$I$2:$J$8,2,FALSE),0),
IF(AX353="K",VLOOKUP(K353,Foundation_Calc!$K$41:$R$74,VLOOKUP(AW353,Foundation_Calc!$I$2:$J$8,2,FALSE),0),"")))</f>
        <v/>
      </c>
      <c r="BA353" s="632" t="str">
        <f t="shared" si="91"/>
        <v/>
      </c>
      <c r="BB353" s="632" t="str">
        <f t="shared" si="92"/>
        <v/>
      </c>
      <c r="BC353" s="632" t="str">
        <f t="shared" si="93"/>
        <v/>
      </c>
      <c r="BD353" s="633" t="str">
        <f>IF(AND(L353="",H353=""),"",
IF(H353="",Pole_Calc!A381,
IF(H353="MP",Pole_Calc!A382,
IF(H353="AnMP",Pole_Calc!A383,
IF(H353="A",Pole_Calc!A384,
IF(H353="S/A",Pole_Calc!A385,
IF(H353="A/S",Pole_Calc!A386,"Poner a mano")))))))</f>
        <v/>
      </c>
      <c r="BE353" s="448" t="s">
        <v>1726</v>
      </c>
      <c r="BF353" s="635"/>
      <c r="BG353" s="635"/>
      <c r="BH353" s="634"/>
      <c r="BI353" s="635"/>
    </row>
    <row r="354" spans="1:61" ht="16.2" customHeight="1">
      <c r="A354" s="12"/>
      <c r="B354" s="446"/>
      <c r="C354" s="89"/>
      <c r="D354" s="13"/>
      <c r="E354" s="14"/>
      <c r="F354" s="14"/>
      <c r="G354" s="15"/>
      <c r="H354" s="8"/>
      <c r="I354" s="8"/>
      <c r="J354" s="89"/>
      <c r="K354" s="8"/>
      <c r="L354" s="8"/>
      <c r="M354" s="8" t="str">
        <f>IF(L354="","",
IF(AX354="PT",VLOOKUP(L354,Foundation_Calc!$V$4:$X$37,VLOOKUP(AX354,Foundation_Calc!$I$10:$J$13,2,FALSE),0),
IF(AX354="K",VLOOKUP(L354,Foundation_Calc!$V$41:$X$74,VLOOKUP(AX354,Foundation_Calc!$I$10:$J$13,2,FALSE),0),"")))</f>
        <v/>
      </c>
      <c r="N354" s="8"/>
      <c r="O354" s="8"/>
      <c r="P354" s="8"/>
      <c r="Q354" s="14"/>
      <c r="R354" s="15"/>
      <c r="S354" s="15"/>
      <c r="T354" s="14"/>
      <c r="U354" s="14"/>
      <c r="V354" s="14"/>
      <c r="W354" s="18"/>
      <c r="X354" s="18"/>
      <c r="Y354" s="18"/>
      <c r="Z354" s="18"/>
      <c r="AA354" s="18"/>
      <c r="AB354" s="18"/>
      <c r="AC354" s="8" t="str">
        <f t="shared" si="90"/>
        <v/>
      </c>
      <c r="AD354" s="8"/>
      <c r="AE354" s="8"/>
      <c r="AF354" s="14"/>
      <c r="AG354" s="13"/>
      <c r="AH354" s="14"/>
      <c r="AI354" s="14"/>
      <c r="AJ354" s="8"/>
      <c r="AK354" s="8"/>
      <c r="AL354" s="8"/>
      <c r="AM354" s="8"/>
      <c r="AN354" s="631"/>
      <c r="AO354" s="18"/>
      <c r="AP354" s="18"/>
      <c r="AQ354" s="18"/>
      <c r="AR354" s="18"/>
      <c r="AS354" s="18"/>
      <c r="AU354" s="448"/>
      <c r="AV354" s="448"/>
      <c r="AW354" s="8" t="str">
        <f>IF(C354&gt;0,VLOOKUP(C354,Foundation_Calc!$A$2:$C$986,3,1),
IF(J354&gt;0,VLOOKUP(J354,Foundation_Calc!$A$2:$C$986,3,1),""))</f>
        <v/>
      </c>
      <c r="AX354" s="8" t="str">
        <f>IF(C354&gt;0,VLOOKUP(C354,Foundation_Calc!$E$2:$G$986,3,1),
IF(J354&gt;0,VLOOKUP(J354,Foundation_Calc!$E$2:$G$986,3,1),""))</f>
        <v/>
      </c>
      <c r="AY354" s="631" t="str">
        <f>IF(L354="","",
IF(AX354="PT",VLOOKUP(L354,Foundation_Calc!$K$4:$R$37,VLOOKUP(AW354,Foundation_Calc!$I$2:$J$8,2,FALSE),0),
IF(AX354="K",VLOOKUP(L354,Foundation_Calc!$K$41:$R$74,VLOOKUP(AW354,Foundation_Calc!$I$2:$J$8,2,FALSE),0),"")))</f>
        <v/>
      </c>
      <c r="AZ354" s="631" t="str">
        <f>IF(K354="","",
IF(AX354="PT",VLOOKUP(K354,Foundation_Calc!$K$4:$R$37,VLOOKUP(AW354,Foundation_Calc!$I$2:$J$8,2,FALSE),0),
IF(AX354="K",VLOOKUP(K354,Foundation_Calc!$K$41:$R$74,VLOOKUP(AW354,Foundation_Calc!$I$2:$J$8,2,FALSE),0),"")))</f>
        <v/>
      </c>
      <c r="BA354" s="632" t="str">
        <f t="shared" si="91"/>
        <v/>
      </c>
      <c r="BB354" s="632" t="str">
        <f t="shared" si="92"/>
        <v/>
      </c>
      <c r="BC354" s="632" t="str">
        <f t="shared" si="93"/>
        <v/>
      </c>
      <c r="BD354" s="633" t="str">
        <f>IF(AND(L354="",H354=""),"",
IF(H354="",Pole_Calc!A382,
IF(H354="MP",Pole_Calc!A383,
IF(H354="AnMP",Pole_Calc!A384,
IF(H354="A",Pole_Calc!A385,
IF(H354="S/A",Pole_Calc!A386,
IF(H354="A/S",Pole_Calc!A387,"Poner a mano")))))))</f>
        <v/>
      </c>
      <c r="BE354" s="448" t="s">
        <v>1726</v>
      </c>
      <c r="BF354" s="634"/>
      <c r="BG354" s="634"/>
      <c r="BH354" s="634"/>
      <c r="BI354" s="634"/>
    </row>
    <row r="355" spans="1:61" ht="16.2" customHeight="1">
      <c r="A355" s="12"/>
      <c r="B355" s="446"/>
      <c r="C355" s="89"/>
      <c r="D355" s="13"/>
      <c r="E355" s="14"/>
      <c r="F355" s="14"/>
      <c r="G355" s="15"/>
      <c r="H355" s="8"/>
      <c r="I355" s="8"/>
      <c r="J355" s="89"/>
      <c r="K355" s="8"/>
      <c r="L355" s="8"/>
      <c r="M355" s="8" t="str">
        <f>IF(L355="","",
IF(AX355="PT",VLOOKUP(L355,Foundation_Calc!$V$4:$X$37,VLOOKUP(AX355,Foundation_Calc!$I$10:$J$13,2,FALSE),0),
IF(AX355="K",VLOOKUP(L355,Foundation_Calc!$V$41:$X$74,VLOOKUP(AX355,Foundation_Calc!$I$10:$J$13,2,FALSE),0),"")))</f>
        <v/>
      </c>
      <c r="N355" s="8"/>
      <c r="O355" s="8"/>
      <c r="P355" s="8"/>
      <c r="Q355" s="14"/>
      <c r="R355" s="15"/>
      <c r="S355" s="15"/>
      <c r="T355" s="14"/>
      <c r="U355" s="14"/>
      <c r="V355" s="14"/>
      <c r="W355" s="18"/>
      <c r="X355" s="18"/>
      <c r="Y355" s="18"/>
      <c r="Z355" s="18"/>
      <c r="AA355" s="18"/>
      <c r="AB355" s="18"/>
      <c r="AC355" s="8" t="str">
        <f t="shared" si="90"/>
        <v/>
      </c>
      <c r="AD355" s="8"/>
      <c r="AE355" s="8"/>
      <c r="AF355" s="14"/>
      <c r="AG355" s="13"/>
      <c r="AH355" s="14"/>
      <c r="AI355" s="14"/>
      <c r="AJ355" s="8"/>
      <c r="AK355" s="8"/>
      <c r="AL355" s="8"/>
      <c r="AM355" s="8"/>
      <c r="AN355" s="631"/>
      <c r="AO355" s="18"/>
      <c r="AP355" s="18"/>
      <c r="AQ355" s="18"/>
      <c r="AR355" s="18"/>
      <c r="AS355" s="18"/>
      <c r="AU355" s="448"/>
      <c r="AV355" s="448"/>
      <c r="AW355" s="8" t="str">
        <f>IF(C355&gt;0,VLOOKUP(C355,Foundation_Calc!$A$2:$C$986,3,1),
IF(J355&gt;0,VLOOKUP(J355,Foundation_Calc!$A$2:$C$986,3,1),""))</f>
        <v/>
      </c>
      <c r="AX355" s="8" t="str">
        <f>IF(C355&gt;0,VLOOKUP(C355,Foundation_Calc!$E$2:$G$986,3,1),
IF(J355&gt;0,VLOOKUP(J355,Foundation_Calc!$E$2:$G$986,3,1),""))</f>
        <v/>
      </c>
      <c r="AY355" s="631" t="str">
        <f>IF(L355="","",
IF(AX355="PT",VLOOKUP(L355,Foundation_Calc!$K$4:$R$37,VLOOKUP(AW355,Foundation_Calc!$I$2:$J$8,2,FALSE),0),
IF(AX355="K",VLOOKUP(L355,Foundation_Calc!$K$41:$R$74,VLOOKUP(AW355,Foundation_Calc!$I$2:$J$8,2,FALSE),0),"")))</f>
        <v/>
      </c>
      <c r="AZ355" s="631" t="str">
        <f>IF(K355="","",
IF(AX355="PT",VLOOKUP(K355,Foundation_Calc!$K$4:$R$37,VLOOKUP(AW355,Foundation_Calc!$I$2:$J$8,2,FALSE),0),
IF(AX355="K",VLOOKUP(K355,Foundation_Calc!$K$41:$R$74,VLOOKUP(AW355,Foundation_Calc!$I$2:$J$8,2,FALSE),0),"")))</f>
        <v/>
      </c>
      <c r="BA355" s="632" t="str">
        <f t="shared" si="91"/>
        <v/>
      </c>
      <c r="BB355" s="632" t="str">
        <f t="shared" si="92"/>
        <v/>
      </c>
      <c r="BC355" s="632" t="str">
        <f t="shared" si="93"/>
        <v/>
      </c>
      <c r="BD355" s="633" t="str">
        <f>IF(AND(L355="",H355=""),"",
IF(H355="",Pole_Calc!A383,
IF(H355="MP",Pole_Calc!A384,
IF(H355="AnMP",Pole_Calc!A385,
IF(H355="A",Pole_Calc!A386,
IF(H355="S/A",Pole_Calc!A387,
IF(H355="A/S",Pole_Calc!A388,"Poner a mano")))))))</f>
        <v/>
      </c>
      <c r="BE355" s="448" t="s">
        <v>1726</v>
      </c>
      <c r="BF355" s="635"/>
      <c r="BG355" s="635"/>
      <c r="BH355" s="634"/>
      <c r="BI355" s="635"/>
    </row>
    <row r="356" spans="1:61" ht="16.2" customHeight="1">
      <c r="A356" s="12"/>
      <c r="B356" s="446"/>
      <c r="C356" s="89"/>
      <c r="D356" s="13"/>
      <c r="E356" s="14"/>
      <c r="F356" s="14"/>
      <c r="G356" s="15"/>
      <c r="H356" s="8"/>
      <c r="I356" s="8"/>
      <c r="J356" s="89"/>
      <c r="K356" s="8"/>
      <c r="L356" s="8"/>
      <c r="M356" s="8" t="str">
        <f>IF(L356="","",
IF(AX356="PT",VLOOKUP(L356,Foundation_Calc!$V$4:$X$37,VLOOKUP(AX356,Foundation_Calc!$I$10:$J$13,2,FALSE),0),
IF(AX356="K",VLOOKUP(L356,Foundation_Calc!$V$41:$X$74,VLOOKUP(AX356,Foundation_Calc!$I$10:$J$13,2,FALSE),0),"")))</f>
        <v/>
      </c>
      <c r="N356" s="8"/>
      <c r="O356" s="8"/>
      <c r="P356" s="8"/>
      <c r="Q356" s="14"/>
      <c r="R356" s="15"/>
      <c r="S356" s="15"/>
      <c r="T356" s="14"/>
      <c r="U356" s="14"/>
      <c r="V356" s="14"/>
      <c r="W356" s="18"/>
      <c r="X356" s="18"/>
      <c r="Y356" s="18"/>
      <c r="Z356" s="18"/>
      <c r="AA356" s="18"/>
      <c r="AB356" s="18"/>
      <c r="AC356" s="8" t="str">
        <f t="shared" si="90"/>
        <v/>
      </c>
      <c r="AD356" s="8"/>
      <c r="AE356" s="8"/>
      <c r="AF356" s="14"/>
      <c r="AG356" s="13"/>
      <c r="AH356" s="14"/>
      <c r="AI356" s="14"/>
      <c r="AJ356" s="8"/>
      <c r="AK356" s="8"/>
      <c r="AL356" s="8"/>
      <c r="AM356" s="8"/>
      <c r="AN356" s="631"/>
      <c r="AO356" s="18"/>
      <c r="AP356" s="18"/>
      <c r="AQ356" s="18"/>
      <c r="AR356" s="18"/>
      <c r="AS356" s="18"/>
      <c r="AU356" s="448"/>
      <c r="AV356" s="448"/>
      <c r="AW356" s="8" t="str">
        <f>IF(C356&gt;0,VLOOKUP(C356,Foundation_Calc!$A$2:$C$986,3,1),
IF(J356&gt;0,VLOOKUP(J356,Foundation_Calc!$A$2:$C$986,3,1),""))</f>
        <v/>
      </c>
      <c r="AX356" s="8" t="str">
        <f>IF(C356&gt;0,VLOOKUP(C356,Foundation_Calc!$E$2:$G$986,3,1),
IF(J356&gt;0,VLOOKUP(J356,Foundation_Calc!$E$2:$G$986,3,1),""))</f>
        <v/>
      </c>
      <c r="AY356" s="631" t="str">
        <f>IF(L356="","",
IF(AX356="PT",VLOOKUP(L356,Foundation_Calc!$K$4:$R$37,VLOOKUP(AW356,Foundation_Calc!$I$2:$J$8,2,FALSE),0),
IF(AX356="K",VLOOKUP(L356,Foundation_Calc!$K$41:$R$74,VLOOKUP(AW356,Foundation_Calc!$I$2:$J$8,2,FALSE),0),"")))</f>
        <v/>
      </c>
      <c r="AZ356" s="631" t="str">
        <f>IF(K356="","",
IF(AX356="PT",VLOOKUP(K356,Foundation_Calc!$K$4:$R$37,VLOOKUP(AW356,Foundation_Calc!$I$2:$J$8,2,FALSE),0),
IF(AX356="K",VLOOKUP(K356,Foundation_Calc!$K$41:$R$74,VLOOKUP(AW356,Foundation_Calc!$I$2:$J$8,2,FALSE),0),"")))</f>
        <v/>
      </c>
      <c r="BA356" s="632" t="str">
        <f t="shared" si="91"/>
        <v/>
      </c>
      <c r="BB356" s="632" t="str">
        <f t="shared" si="92"/>
        <v/>
      </c>
      <c r="BC356" s="632" t="str">
        <f t="shared" si="93"/>
        <v/>
      </c>
      <c r="BD356" s="633" t="str">
        <f>IF(AND(L356="",H356=""),"",
IF(H356="",Pole_Calc!A384,
IF(H356="MP",Pole_Calc!A385,
IF(H356="AnMP",Pole_Calc!A386,
IF(H356="A",Pole_Calc!A387,
IF(H356="S/A",Pole_Calc!A388,
IF(H356="A/S",Pole_Calc!A389,"Poner a mano")))))))</f>
        <v/>
      </c>
      <c r="BE356" s="448" t="s">
        <v>1726</v>
      </c>
      <c r="BF356" s="634"/>
      <c r="BG356" s="634"/>
      <c r="BH356" s="634"/>
      <c r="BI356" s="634"/>
    </row>
    <row r="357" spans="1:61" ht="16.2" customHeight="1">
      <c r="A357" s="12"/>
      <c r="B357" s="446"/>
      <c r="C357" s="89"/>
      <c r="D357" s="13"/>
      <c r="E357" s="14"/>
      <c r="F357" s="14"/>
      <c r="G357" s="15"/>
      <c r="H357" s="8"/>
      <c r="I357" s="8"/>
      <c r="J357" s="89"/>
      <c r="K357" s="8"/>
      <c r="L357" s="8"/>
      <c r="M357" s="8" t="str">
        <f>IF(L357="","",
IF(AX357="PT",VLOOKUP(L357,Foundation_Calc!$V$4:$X$37,VLOOKUP(AX357,Foundation_Calc!$I$10:$J$13,2,FALSE),0),
IF(AX357="K",VLOOKUP(L357,Foundation_Calc!$V$41:$X$74,VLOOKUP(AX357,Foundation_Calc!$I$10:$J$13,2,FALSE),0),"")))</f>
        <v/>
      </c>
      <c r="N357" s="8"/>
      <c r="O357" s="8"/>
      <c r="P357" s="8"/>
      <c r="Q357" s="14"/>
      <c r="R357" s="15"/>
      <c r="S357" s="15"/>
      <c r="T357" s="14"/>
      <c r="U357" s="14"/>
      <c r="V357" s="14"/>
      <c r="W357" s="18"/>
      <c r="X357" s="18"/>
      <c r="Y357" s="18"/>
      <c r="Z357" s="18"/>
      <c r="AA357" s="18"/>
      <c r="AB357" s="18"/>
      <c r="AC357" s="8" t="str">
        <f t="shared" si="90"/>
        <v/>
      </c>
      <c r="AD357" s="8"/>
      <c r="AE357" s="8"/>
      <c r="AF357" s="14"/>
      <c r="AG357" s="13"/>
      <c r="AH357" s="14"/>
      <c r="AI357" s="14"/>
      <c r="AJ357" s="8"/>
      <c r="AK357" s="8"/>
      <c r="AL357" s="8"/>
      <c r="AM357" s="8"/>
      <c r="AN357" s="631"/>
      <c r="AO357" s="18"/>
      <c r="AP357" s="18"/>
      <c r="AQ357" s="18"/>
      <c r="AR357" s="18"/>
      <c r="AS357" s="18"/>
      <c r="AU357" s="448"/>
      <c r="AV357" s="448"/>
      <c r="AW357" s="8" t="str">
        <f>IF(C357&gt;0,VLOOKUP(C357,Foundation_Calc!$A$2:$C$986,3,1),
IF(J357&gt;0,VLOOKUP(J357,Foundation_Calc!$A$2:$C$986,3,1),""))</f>
        <v/>
      </c>
      <c r="AX357" s="8" t="str">
        <f>IF(C357&gt;0,VLOOKUP(C357,Foundation_Calc!$E$2:$G$986,3,1),
IF(J357&gt;0,VLOOKUP(J357,Foundation_Calc!$E$2:$G$986,3,1),""))</f>
        <v/>
      </c>
      <c r="AY357" s="631" t="str">
        <f>IF(L357="","",
IF(AX357="PT",VLOOKUP(L357,Foundation_Calc!$K$4:$R$37,VLOOKUP(AW357,Foundation_Calc!$I$2:$J$8,2,FALSE),0),
IF(AX357="K",VLOOKUP(L357,Foundation_Calc!$K$41:$R$74,VLOOKUP(AW357,Foundation_Calc!$I$2:$J$8,2,FALSE),0),"")))</f>
        <v/>
      </c>
      <c r="AZ357" s="631" t="str">
        <f>IF(K357="","",
IF(AX357="PT",VLOOKUP(K357,Foundation_Calc!$K$4:$R$37,VLOOKUP(AW357,Foundation_Calc!$I$2:$J$8,2,FALSE),0),
IF(AX357="K",VLOOKUP(K357,Foundation_Calc!$K$41:$R$74,VLOOKUP(AW357,Foundation_Calc!$I$2:$J$8,2,FALSE),0),"")))</f>
        <v/>
      </c>
      <c r="BA357" s="632" t="str">
        <f t="shared" si="91"/>
        <v/>
      </c>
      <c r="BB357" s="632" t="str">
        <f t="shared" si="92"/>
        <v/>
      </c>
      <c r="BC357" s="632" t="str">
        <f t="shared" si="93"/>
        <v/>
      </c>
      <c r="BD357" s="633" t="str">
        <f>IF(AND(L357="",H357=""),"",
IF(H357="",Pole_Calc!A385,
IF(H357="MP",Pole_Calc!A386,
IF(H357="AnMP",Pole_Calc!A387,
IF(H357="A",Pole_Calc!A388,
IF(H357="S/A",Pole_Calc!A389,
IF(H357="A/S",Pole_Calc!A390,"Poner a mano")))))))</f>
        <v/>
      </c>
      <c r="BE357" s="448" t="s">
        <v>1726</v>
      </c>
      <c r="BF357" s="635"/>
      <c r="BG357" s="635"/>
      <c r="BH357" s="634"/>
      <c r="BI357" s="635"/>
    </row>
    <row r="358" spans="1:61" ht="16.2" customHeight="1">
      <c r="A358" s="12"/>
      <c r="B358" s="446"/>
      <c r="C358" s="89"/>
      <c r="D358" s="13"/>
      <c r="E358" s="14"/>
      <c r="F358" s="14"/>
      <c r="G358" s="15"/>
      <c r="H358" s="8"/>
      <c r="I358" s="8"/>
      <c r="J358" s="89"/>
      <c r="K358" s="8"/>
      <c r="L358" s="8"/>
      <c r="M358" s="8" t="str">
        <f>IF(L358="","",
IF(AX358="PT",VLOOKUP(L358,Foundation_Calc!$V$4:$X$37,VLOOKUP(AX358,Foundation_Calc!$I$10:$J$13,2,FALSE),0),
IF(AX358="K",VLOOKUP(L358,Foundation_Calc!$V$41:$X$74,VLOOKUP(AX358,Foundation_Calc!$I$10:$J$13,2,FALSE),0),"")))</f>
        <v/>
      </c>
      <c r="N358" s="8"/>
      <c r="O358" s="8"/>
      <c r="P358" s="8"/>
      <c r="Q358" s="14"/>
      <c r="R358" s="15"/>
      <c r="S358" s="15"/>
      <c r="T358" s="14"/>
      <c r="U358" s="14"/>
      <c r="V358" s="14"/>
      <c r="W358" s="18"/>
      <c r="X358" s="18"/>
      <c r="Y358" s="18"/>
      <c r="Z358" s="18"/>
      <c r="AA358" s="18"/>
      <c r="AB358" s="18"/>
      <c r="AC358" s="8" t="str">
        <f t="shared" si="90"/>
        <v/>
      </c>
      <c r="AD358" s="8"/>
      <c r="AE358" s="8"/>
      <c r="AF358" s="14"/>
      <c r="AG358" s="13"/>
      <c r="AH358" s="14"/>
      <c r="AI358" s="14"/>
      <c r="AJ358" s="8"/>
      <c r="AK358" s="8"/>
      <c r="AL358" s="8"/>
      <c r="AM358" s="8"/>
      <c r="AN358" s="631"/>
      <c r="AO358" s="18"/>
      <c r="AP358" s="18"/>
      <c r="AQ358" s="18"/>
      <c r="AR358" s="18"/>
      <c r="AS358" s="18"/>
      <c r="AU358" s="448"/>
      <c r="AV358" s="448"/>
      <c r="AW358" s="8" t="str">
        <f>IF(C358&gt;0,VLOOKUP(C358,Foundation_Calc!$A$2:$C$986,3,1),
IF(J358&gt;0,VLOOKUP(J358,Foundation_Calc!$A$2:$C$986,3,1),""))</f>
        <v/>
      </c>
      <c r="AX358" s="8" t="str">
        <f>IF(C358&gt;0,VLOOKUP(C358,Foundation_Calc!$E$2:$G$986,3,1),
IF(J358&gt;0,VLOOKUP(J358,Foundation_Calc!$E$2:$G$986,3,1),""))</f>
        <v/>
      </c>
      <c r="AY358" s="631" t="str">
        <f>IF(L358="","",
IF(AX358="PT",VLOOKUP(L358,Foundation_Calc!$K$4:$R$37,VLOOKUP(AW358,Foundation_Calc!$I$2:$J$8,2,FALSE),0),
IF(AX358="K",VLOOKUP(L358,Foundation_Calc!$K$41:$R$74,VLOOKUP(AW358,Foundation_Calc!$I$2:$J$8,2,FALSE),0),"")))</f>
        <v/>
      </c>
      <c r="AZ358" s="631" t="str">
        <f>IF(K358="","",
IF(AX358="PT",VLOOKUP(K358,Foundation_Calc!$K$4:$R$37,VLOOKUP(AW358,Foundation_Calc!$I$2:$J$8,2,FALSE),0),
IF(AX358="K",VLOOKUP(K358,Foundation_Calc!$K$41:$R$74,VLOOKUP(AW358,Foundation_Calc!$I$2:$J$8,2,FALSE),0),"")))</f>
        <v/>
      </c>
      <c r="BA358" s="632" t="str">
        <f t="shared" si="91"/>
        <v/>
      </c>
      <c r="BB358" s="632" t="str">
        <f t="shared" si="92"/>
        <v/>
      </c>
      <c r="BC358" s="632" t="str">
        <f t="shared" si="93"/>
        <v/>
      </c>
      <c r="BD358" s="633" t="str">
        <f>IF(AND(L358="",H358=""),"",
IF(H358="",Pole_Calc!A386,
IF(H358="MP",Pole_Calc!A387,
IF(H358="AnMP",Pole_Calc!A388,
IF(H358="A",Pole_Calc!A389,
IF(H358="S/A",Pole_Calc!A390,
IF(H358="A/S",Pole_Calc!A391,"Poner a mano")))))))</f>
        <v/>
      </c>
      <c r="BE358" s="448" t="s">
        <v>1726</v>
      </c>
      <c r="BF358" s="634"/>
      <c r="BG358" s="634"/>
      <c r="BH358" s="634"/>
      <c r="BI358" s="634"/>
    </row>
    <row r="359" spans="1:61" ht="16.2" customHeight="1">
      <c r="A359" s="12"/>
      <c r="B359" s="446"/>
      <c r="C359" s="89"/>
      <c r="D359" s="13"/>
      <c r="E359" s="14"/>
      <c r="F359" s="14"/>
      <c r="G359" s="15"/>
      <c r="H359" s="8"/>
      <c r="I359" s="8"/>
      <c r="J359" s="89"/>
      <c r="K359" s="8"/>
      <c r="L359" s="8"/>
      <c r="M359" s="8" t="str">
        <f>IF(L359="","",
IF(AX359="PT",VLOOKUP(L359,Foundation_Calc!$V$4:$X$37,VLOOKUP(AX359,Foundation_Calc!$I$10:$J$13,2,FALSE),0),
IF(AX359="K",VLOOKUP(L359,Foundation_Calc!$V$41:$X$74,VLOOKUP(AX359,Foundation_Calc!$I$10:$J$13,2,FALSE),0),"")))</f>
        <v/>
      </c>
      <c r="N359" s="8"/>
      <c r="O359" s="8"/>
      <c r="P359" s="8"/>
      <c r="Q359" s="14"/>
      <c r="R359" s="15"/>
      <c r="S359" s="15"/>
      <c r="T359" s="14"/>
      <c r="U359" s="14"/>
      <c r="V359" s="14"/>
      <c r="W359" s="18"/>
      <c r="X359" s="18"/>
      <c r="Y359" s="18"/>
      <c r="Z359" s="18"/>
      <c r="AA359" s="18"/>
      <c r="AB359" s="18"/>
      <c r="AC359" s="8" t="str">
        <f t="shared" si="90"/>
        <v/>
      </c>
      <c r="AD359" s="8"/>
      <c r="AE359" s="8"/>
      <c r="AF359" s="14"/>
      <c r="AG359" s="13"/>
      <c r="AH359" s="14"/>
      <c r="AI359" s="14"/>
      <c r="AJ359" s="8"/>
      <c r="AK359" s="8"/>
      <c r="AL359" s="8"/>
      <c r="AM359" s="8"/>
      <c r="AN359" s="631"/>
      <c r="AO359" s="18"/>
      <c r="AP359" s="18"/>
      <c r="AQ359" s="18"/>
      <c r="AR359" s="18"/>
      <c r="AS359" s="18"/>
      <c r="AU359" s="448"/>
      <c r="AV359" s="448"/>
      <c r="AW359" s="8" t="str">
        <f>IF(C359&gt;0,VLOOKUP(C359,Foundation_Calc!$A$2:$C$986,3,1),
IF(J359&gt;0,VLOOKUP(J359,Foundation_Calc!$A$2:$C$986,3,1),""))</f>
        <v/>
      </c>
      <c r="AX359" s="8" t="str">
        <f>IF(C359&gt;0,VLOOKUP(C359,Foundation_Calc!$E$2:$G$986,3,1),
IF(J359&gt;0,VLOOKUP(J359,Foundation_Calc!$E$2:$G$986,3,1),""))</f>
        <v/>
      </c>
      <c r="AY359" s="631" t="str">
        <f>IF(L359="","",
IF(AX359="PT",VLOOKUP(L359,Foundation_Calc!$K$4:$R$37,VLOOKUP(AW359,Foundation_Calc!$I$2:$J$8,2,FALSE),0),
IF(AX359="K",VLOOKUP(L359,Foundation_Calc!$K$41:$R$74,VLOOKUP(AW359,Foundation_Calc!$I$2:$J$8,2,FALSE),0),"")))</f>
        <v/>
      </c>
      <c r="AZ359" s="631" t="str">
        <f>IF(K359="","",
IF(AX359="PT",VLOOKUP(K359,Foundation_Calc!$K$4:$R$37,VLOOKUP(AW359,Foundation_Calc!$I$2:$J$8,2,FALSE),0),
IF(AX359="K",VLOOKUP(K359,Foundation_Calc!$K$41:$R$74,VLOOKUP(AW359,Foundation_Calc!$I$2:$J$8,2,FALSE),0),"")))</f>
        <v/>
      </c>
      <c r="BA359" s="632" t="str">
        <f t="shared" si="91"/>
        <v/>
      </c>
      <c r="BB359" s="632" t="str">
        <f t="shared" si="92"/>
        <v/>
      </c>
      <c r="BC359" s="632" t="str">
        <f t="shared" si="93"/>
        <v/>
      </c>
      <c r="BD359" s="633" t="str">
        <f>IF(AND(L359="",H359=""),"",
IF(H359="",Pole_Calc!A387,
IF(H359="MP",Pole_Calc!A388,
IF(H359="AnMP",Pole_Calc!A389,
IF(H359="A",Pole_Calc!A390,
IF(H359="S/A",Pole_Calc!A391,
IF(H359="A/S",Pole_Calc!A392,"Poner a mano")))))))</f>
        <v/>
      </c>
      <c r="BE359" s="448" t="s">
        <v>1726</v>
      </c>
      <c r="BF359" s="635"/>
      <c r="BG359" s="635"/>
      <c r="BH359" s="634"/>
      <c r="BI359" s="635"/>
    </row>
    <row r="360" spans="1:61" ht="16.2" customHeight="1">
      <c r="A360" s="12"/>
      <c r="B360" s="446"/>
      <c r="C360" s="89"/>
      <c r="D360" s="13"/>
      <c r="E360" s="14"/>
      <c r="F360" s="14"/>
      <c r="G360" s="15"/>
      <c r="H360" s="8"/>
      <c r="I360" s="8"/>
      <c r="J360" s="89"/>
      <c r="K360" s="8"/>
      <c r="L360" s="8"/>
      <c r="M360" s="8" t="str">
        <f>IF(L360="","",
IF(AX360="PT",VLOOKUP(L360,Foundation_Calc!$V$4:$X$37,VLOOKUP(AX360,Foundation_Calc!$I$10:$J$13,2,FALSE),0),
IF(AX360="K",VLOOKUP(L360,Foundation_Calc!$V$41:$X$74,VLOOKUP(AX360,Foundation_Calc!$I$10:$J$13,2,FALSE),0),"")))</f>
        <v/>
      </c>
      <c r="N360" s="8"/>
      <c r="O360" s="8"/>
      <c r="P360" s="8"/>
      <c r="Q360" s="14"/>
      <c r="R360" s="15"/>
      <c r="S360" s="15"/>
      <c r="T360" s="14"/>
      <c r="U360" s="14"/>
      <c r="V360" s="14"/>
      <c r="W360" s="18"/>
      <c r="X360" s="18"/>
      <c r="Y360" s="18"/>
      <c r="Z360" s="18"/>
      <c r="AA360" s="18"/>
      <c r="AB360" s="18"/>
      <c r="AC360" s="8" t="str">
        <f t="shared" si="90"/>
        <v/>
      </c>
      <c r="AD360" s="8"/>
      <c r="AE360" s="8"/>
      <c r="AF360" s="14"/>
      <c r="AG360" s="13"/>
      <c r="AH360" s="14"/>
      <c r="AI360" s="14"/>
      <c r="AJ360" s="8"/>
      <c r="AK360" s="8"/>
      <c r="AL360" s="8"/>
      <c r="AM360" s="8"/>
      <c r="AN360" s="631"/>
      <c r="AO360" s="18"/>
      <c r="AP360" s="18"/>
      <c r="AQ360" s="18"/>
      <c r="AR360" s="18"/>
      <c r="AS360" s="18"/>
      <c r="AU360" s="448"/>
      <c r="AV360" s="448"/>
      <c r="AW360" s="8" t="str">
        <f>IF(C360&gt;0,VLOOKUP(C360,Foundation_Calc!$A$2:$C$986,3,1),
IF(J360&gt;0,VLOOKUP(J360,Foundation_Calc!$A$2:$C$986,3,1),""))</f>
        <v/>
      </c>
      <c r="AX360" s="8" t="str">
        <f>IF(C360&gt;0,VLOOKUP(C360,Foundation_Calc!$E$2:$G$986,3,1),
IF(J360&gt;0,VLOOKUP(J360,Foundation_Calc!$E$2:$G$986,3,1),""))</f>
        <v/>
      </c>
      <c r="AY360" s="631" t="str">
        <f>IF(L360="","",
IF(AX360="PT",VLOOKUP(L360,Foundation_Calc!$K$4:$R$37,VLOOKUP(AW360,Foundation_Calc!$I$2:$J$8,2,FALSE),0),
IF(AX360="K",VLOOKUP(L360,Foundation_Calc!$K$41:$R$74,VLOOKUP(AW360,Foundation_Calc!$I$2:$J$8,2,FALSE),0),"")))</f>
        <v/>
      </c>
      <c r="AZ360" s="631" t="str">
        <f>IF(K360="","",
IF(AX360="PT",VLOOKUP(K360,Foundation_Calc!$K$4:$R$37,VLOOKUP(AW360,Foundation_Calc!$I$2:$J$8,2,FALSE),0),
IF(AX360="K",VLOOKUP(K360,Foundation_Calc!$K$41:$R$74,VLOOKUP(AW360,Foundation_Calc!$I$2:$J$8,2,FALSE),0),"")))</f>
        <v/>
      </c>
      <c r="BA360" s="632" t="str">
        <f t="shared" si="91"/>
        <v/>
      </c>
      <c r="BB360" s="632" t="str">
        <f t="shared" si="92"/>
        <v/>
      </c>
      <c r="BC360" s="632" t="str">
        <f t="shared" si="93"/>
        <v/>
      </c>
      <c r="BD360" s="633" t="str">
        <f>IF(AND(L360="",H360=""),"",
IF(H360="",Pole_Calc!A388,
IF(H360="MP",Pole_Calc!A389,
IF(H360="AnMP",Pole_Calc!A390,
IF(H360="A",Pole_Calc!A391,
IF(H360="S/A",Pole_Calc!A392,
IF(H360="A/S",Pole_Calc!A393,"Poner a mano")))))))</f>
        <v/>
      </c>
      <c r="BE360" s="448" t="s">
        <v>1726</v>
      </c>
      <c r="BF360" s="634"/>
      <c r="BG360" s="634"/>
      <c r="BH360" s="634"/>
      <c r="BI360" s="634"/>
    </row>
    <row r="361" spans="1:61" ht="16.2" customHeight="1">
      <c r="A361" s="12"/>
      <c r="B361" s="446"/>
      <c r="C361" s="89"/>
      <c r="D361" s="13"/>
      <c r="E361" s="14"/>
      <c r="F361" s="14"/>
      <c r="G361" s="15"/>
      <c r="H361" s="8"/>
      <c r="I361" s="8"/>
      <c r="J361" s="89"/>
      <c r="K361" s="8"/>
      <c r="L361" s="8"/>
      <c r="M361" s="8" t="str">
        <f>IF(L361="","",
IF(AX361="PT",VLOOKUP(L361,Foundation_Calc!$V$4:$X$37,VLOOKUP(AX361,Foundation_Calc!$I$10:$J$13,2,FALSE),0),
IF(AX361="K",VLOOKUP(L361,Foundation_Calc!$V$41:$X$74,VLOOKUP(AX361,Foundation_Calc!$I$10:$J$13,2,FALSE),0),"")))</f>
        <v/>
      </c>
      <c r="N361" s="8"/>
      <c r="O361" s="8"/>
      <c r="P361" s="8"/>
      <c r="Q361" s="14"/>
      <c r="R361" s="15"/>
      <c r="S361" s="15"/>
      <c r="T361" s="14"/>
      <c r="U361" s="14"/>
      <c r="V361" s="14"/>
      <c r="W361" s="18"/>
      <c r="X361" s="18"/>
      <c r="Y361" s="18"/>
      <c r="Z361" s="18"/>
      <c r="AA361" s="18"/>
      <c r="AB361" s="18"/>
      <c r="AC361" s="8" t="str">
        <f t="shared" si="90"/>
        <v/>
      </c>
      <c r="AD361" s="8"/>
      <c r="AE361" s="8"/>
      <c r="AF361" s="14"/>
      <c r="AG361" s="13"/>
      <c r="AH361" s="14"/>
      <c r="AI361" s="14"/>
      <c r="AJ361" s="8"/>
      <c r="AK361" s="8"/>
      <c r="AL361" s="8"/>
      <c r="AM361" s="8"/>
      <c r="AN361" s="631"/>
      <c r="AO361" s="18"/>
      <c r="AP361" s="18"/>
      <c r="AQ361" s="18"/>
      <c r="AR361" s="18"/>
      <c r="AS361" s="18"/>
      <c r="AU361" s="448"/>
      <c r="AV361" s="448"/>
      <c r="AW361" s="8" t="str">
        <f>IF(C361&gt;0,VLOOKUP(C361,Foundation_Calc!$A$2:$C$986,3,1),
IF(J361&gt;0,VLOOKUP(J361,Foundation_Calc!$A$2:$C$986,3,1),""))</f>
        <v/>
      </c>
      <c r="AX361" s="8" t="str">
        <f>IF(C361&gt;0,VLOOKUP(C361,Foundation_Calc!$E$2:$G$986,3,1),
IF(J361&gt;0,VLOOKUP(J361,Foundation_Calc!$E$2:$G$986,3,1),""))</f>
        <v/>
      </c>
      <c r="AY361" s="631" t="str">
        <f>IF(L361="","",
IF(AX361="PT",VLOOKUP(L361,Foundation_Calc!$K$4:$R$37,VLOOKUP(AW361,Foundation_Calc!$I$2:$J$8,2,FALSE),0),
IF(AX361="K",VLOOKUP(L361,Foundation_Calc!$K$41:$R$74,VLOOKUP(AW361,Foundation_Calc!$I$2:$J$8,2,FALSE),0),"")))</f>
        <v/>
      </c>
      <c r="AZ361" s="631" t="str">
        <f>IF(K361="","",
IF(AX361="PT",VLOOKUP(K361,Foundation_Calc!$K$4:$R$37,VLOOKUP(AW361,Foundation_Calc!$I$2:$J$8,2,FALSE),0),
IF(AX361="K",VLOOKUP(K361,Foundation_Calc!$K$41:$R$74,VLOOKUP(AW361,Foundation_Calc!$I$2:$J$8,2,FALSE),0),"")))</f>
        <v/>
      </c>
      <c r="BA361" s="632" t="str">
        <f t="shared" si="91"/>
        <v/>
      </c>
      <c r="BB361" s="632" t="str">
        <f t="shared" si="92"/>
        <v/>
      </c>
      <c r="BC361" s="632" t="str">
        <f t="shared" si="93"/>
        <v/>
      </c>
      <c r="BD361" s="633" t="str">
        <f>IF(AND(L361="",H361=""),"",
IF(H361="",Pole_Calc!A389,
IF(H361="MP",Pole_Calc!A390,
IF(H361="AnMP",Pole_Calc!A391,
IF(H361="A",Pole_Calc!A392,
IF(H361="S/A",Pole_Calc!A393,
IF(H361="A/S",Pole_Calc!A394,"Poner a mano")))))))</f>
        <v/>
      </c>
      <c r="BE361" s="448" t="s">
        <v>1726</v>
      </c>
      <c r="BF361" s="635"/>
      <c r="BG361" s="635"/>
      <c r="BH361" s="634"/>
      <c r="BI361" s="635"/>
    </row>
    <row r="362" spans="1:61" ht="16.2" customHeight="1">
      <c r="A362" s="12"/>
      <c r="B362" s="446"/>
      <c r="C362" s="89"/>
      <c r="D362" s="13"/>
      <c r="E362" s="14"/>
      <c r="F362" s="14"/>
      <c r="G362" s="15"/>
      <c r="H362" s="8"/>
      <c r="I362" s="8"/>
      <c r="J362" s="89"/>
      <c r="K362" s="8"/>
      <c r="L362" s="8"/>
      <c r="M362" s="8" t="str">
        <f>IF(L362="","",
IF(AX362="PT",VLOOKUP(L362,Foundation_Calc!$V$4:$X$37,VLOOKUP(AX362,Foundation_Calc!$I$10:$J$13,2,FALSE),0),
IF(AX362="K",VLOOKUP(L362,Foundation_Calc!$V$41:$X$74,VLOOKUP(AX362,Foundation_Calc!$I$10:$J$13,2,FALSE),0),"")))</f>
        <v/>
      </c>
      <c r="N362" s="8"/>
      <c r="O362" s="8"/>
      <c r="P362" s="8"/>
      <c r="Q362" s="14"/>
      <c r="R362" s="15"/>
      <c r="S362" s="15"/>
      <c r="T362" s="14"/>
      <c r="U362" s="14"/>
      <c r="V362" s="14"/>
      <c r="W362" s="18"/>
      <c r="X362" s="18"/>
      <c r="Y362" s="18"/>
      <c r="Z362" s="18"/>
      <c r="AA362" s="18"/>
      <c r="AB362" s="18"/>
      <c r="AC362" s="8" t="str">
        <f t="shared" si="90"/>
        <v/>
      </c>
      <c r="AD362" s="8"/>
      <c r="AE362" s="8"/>
      <c r="AF362" s="14"/>
      <c r="AG362" s="13"/>
      <c r="AH362" s="14"/>
      <c r="AI362" s="14"/>
      <c r="AJ362" s="8"/>
      <c r="AK362" s="8"/>
      <c r="AL362" s="8"/>
      <c r="AM362" s="8"/>
      <c r="AN362" s="631"/>
      <c r="AO362" s="18"/>
      <c r="AP362" s="18"/>
      <c r="AQ362" s="18"/>
      <c r="AR362" s="18"/>
      <c r="AS362" s="18"/>
      <c r="AU362" s="448"/>
      <c r="AV362" s="448"/>
      <c r="AW362" s="8" t="str">
        <f>IF(C362&gt;0,VLOOKUP(C362,Foundation_Calc!$A$2:$C$986,3,1),
IF(J362&gt;0,VLOOKUP(J362,Foundation_Calc!$A$2:$C$986,3,1),""))</f>
        <v/>
      </c>
      <c r="AX362" s="8" t="str">
        <f>IF(C362&gt;0,VLOOKUP(C362,Foundation_Calc!$E$2:$G$986,3,1),
IF(J362&gt;0,VLOOKUP(J362,Foundation_Calc!$E$2:$G$986,3,1),""))</f>
        <v/>
      </c>
      <c r="AY362" s="631" t="str">
        <f>IF(L362="","",
IF(AX362="PT",VLOOKUP(L362,Foundation_Calc!$K$4:$R$37,VLOOKUP(AW362,Foundation_Calc!$I$2:$J$8,2,FALSE),0),
IF(AX362="K",VLOOKUP(L362,Foundation_Calc!$K$41:$R$74,VLOOKUP(AW362,Foundation_Calc!$I$2:$J$8,2,FALSE),0),"")))</f>
        <v/>
      </c>
      <c r="AZ362" s="631" t="str">
        <f>IF(K362="","",
IF(AX362="PT",VLOOKUP(K362,Foundation_Calc!$K$4:$R$37,VLOOKUP(AW362,Foundation_Calc!$I$2:$J$8,2,FALSE),0),
IF(AX362="K",VLOOKUP(K362,Foundation_Calc!$K$41:$R$74,VLOOKUP(AW362,Foundation_Calc!$I$2:$J$8,2,FALSE),0),"")))</f>
        <v/>
      </c>
      <c r="BA362" s="632" t="str">
        <f t="shared" si="91"/>
        <v/>
      </c>
      <c r="BB362" s="632" t="str">
        <f t="shared" si="92"/>
        <v/>
      </c>
      <c r="BC362" s="632" t="str">
        <f t="shared" si="93"/>
        <v/>
      </c>
      <c r="BD362" s="633" t="str">
        <f>IF(AND(L362="",H362=""),"",
IF(H362="",Pole_Calc!A390,
IF(H362="MP",Pole_Calc!A391,
IF(H362="AnMP",Pole_Calc!A392,
IF(H362="A",Pole_Calc!A393,
IF(H362="S/A",Pole_Calc!A394,
IF(H362="A/S",Pole_Calc!A395,"Poner a mano")))))))</f>
        <v/>
      </c>
      <c r="BE362" s="448" t="s">
        <v>1726</v>
      </c>
      <c r="BF362" s="634"/>
      <c r="BG362" s="634"/>
      <c r="BH362" s="634"/>
      <c r="BI362" s="634"/>
    </row>
    <row r="363" spans="1:61" ht="16.2" customHeight="1">
      <c r="A363" s="12"/>
      <c r="B363" s="446"/>
      <c r="C363" s="89"/>
      <c r="D363" s="13"/>
      <c r="E363" s="14"/>
      <c r="F363" s="14"/>
      <c r="G363" s="15"/>
      <c r="H363" s="8"/>
      <c r="I363" s="8"/>
      <c r="J363" s="89"/>
      <c r="K363" s="8"/>
      <c r="L363" s="8"/>
      <c r="M363" s="8" t="str">
        <f>IF(L363="","",
IF(AX363="PT",VLOOKUP(L363,Foundation_Calc!$V$4:$X$37,VLOOKUP(AX363,Foundation_Calc!$I$10:$J$13,2,FALSE),0),
IF(AX363="K",VLOOKUP(L363,Foundation_Calc!$V$41:$X$74,VLOOKUP(AX363,Foundation_Calc!$I$10:$J$13,2,FALSE),0),"")))</f>
        <v/>
      </c>
      <c r="N363" s="8"/>
      <c r="O363" s="8"/>
      <c r="P363" s="8"/>
      <c r="Q363" s="14"/>
      <c r="R363" s="15"/>
      <c r="S363" s="15"/>
      <c r="T363" s="14"/>
      <c r="U363" s="14"/>
      <c r="V363" s="14"/>
      <c r="W363" s="18"/>
      <c r="X363" s="18"/>
      <c r="Y363" s="18"/>
      <c r="Z363" s="18"/>
      <c r="AA363" s="18"/>
      <c r="AB363" s="18"/>
      <c r="AC363" s="8" t="str">
        <f t="shared" si="90"/>
        <v/>
      </c>
      <c r="AD363" s="8"/>
      <c r="AE363" s="8"/>
      <c r="AF363" s="14"/>
      <c r="AG363" s="13"/>
      <c r="AH363" s="14"/>
      <c r="AI363" s="14"/>
      <c r="AJ363" s="8"/>
      <c r="AK363" s="8"/>
      <c r="AL363" s="8"/>
      <c r="AM363" s="8"/>
      <c r="AN363" s="631"/>
      <c r="AO363" s="18"/>
      <c r="AP363" s="18"/>
      <c r="AQ363" s="18"/>
      <c r="AR363" s="18"/>
      <c r="AS363" s="18"/>
      <c r="AU363" s="448"/>
      <c r="AV363" s="448"/>
      <c r="AW363" s="8" t="str">
        <f>IF(C363&gt;0,VLOOKUP(C363,Foundation_Calc!$A$2:$C$986,3,1),
IF(J363&gt;0,VLOOKUP(J363,Foundation_Calc!$A$2:$C$986,3,1),""))</f>
        <v/>
      </c>
      <c r="AX363" s="8" t="str">
        <f>IF(C363&gt;0,VLOOKUP(C363,Foundation_Calc!$E$2:$G$986,3,1),
IF(J363&gt;0,VLOOKUP(J363,Foundation_Calc!$E$2:$G$986,3,1),""))</f>
        <v/>
      </c>
      <c r="AY363" s="631" t="str">
        <f>IF(L363="","",
IF(AX363="PT",VLOOKUP(L363,Foundation_Calc!$K$4:$R$37,VLOOKUP(AW363,Foundation_Calc!$I$2:$J$8,2,FALSE),0),
IF(AX363="K",VLOOKUP(L363,Foundation_Calc!$K$41:$R$74,VLOOKUP(AW363,Foundation_Calc!$I$2:$J$8,2,FALSE),0),"")))</f>
        <v/>
      </c>
      <c r="AZ363" s="631" t="str">
        <f>IF(K363="","",
IF(AX363="PT",VLOOKUP(K363,Foundation_Calc!$K$4:$R$37,VLOOKUP(AW363,Foundation_Calc!$I$2:$J$8,2,FALSE),0),
IF(AX363="K",VLOOKUP(K363,Foundation_Calc!$K$41:$R$74,VLOOKUP(AW363,Foundation_Calc!$I$2:$J$8,2,FALSE),0),"")))</f>
        <v/>
      </c>
      <c r="BA363" s="632" t="str">
        <f t="shared" si="91"/>
        <v/>
      </c>
      <c r="BB363" s="632" t="str">
        <f t="shared" si="92"/>
        <v/>
      </c>
      <c r="BC363" s="632" t="str">
        <f t="shared" si="93"/>
        <v/>
      </c>
      <c r="BD363" s="633" t="str">
        <f>IF(AND(L363="",H363=""),"",
IF(H363="",Pole_Calc!A391,
IF(H363="MP",Pole_Calc!A392,
IF(H363="AnMP",Pole_Calc!A393,
IF(H363="A",Pole_Calc!A394,
IF(H363="S/A",Pole_Calc!A395,
IF(H363="A/S",Pole_Calc!A396,"Poner a mano")))))))</f>
        <v/>
      </c>
      <c r="BE363" s="448" t="s">
        <v>1726</v>
      </c>
      <c r="BF363" s="635"/>
      <c r="BG363" s="635"/>
      <c r="BH363" s="634"/>
      <c r="BI363" s="635"/>
    </row>
    <row r="364" spans="1:61" ht="16.2" customHeight="1">
      <c r="A364" s="12"/>
      <c r="B364" s="446"/>
      <c r="C364" s="89"/>
      <c r="D364" s="13"/>
      <c r="E364" s="14"/>
      <c r="F364" s="14"/>
      <c r="G364" s="15"/>
      <c r="H364" s="8"/>
      <c r="I364" s="8"/>
      <c r="J364" s="89"/>
      <c r="K364" s="8"/>
      <c r="L364" s="8"/>
      <c r="M364" s="8" t="str">
        <f>IF(L364="","",
IF(AX364="PT",VLOOKUP(L364,Foundation_Calc!$V$4:$X$37,VLOOKUP(AX364,Foundation_Calc!$I$10:$J$13,2,FALSE),0),
IF(AX364="K",VLOOKUP(L364,Foundation_Calc!$V$41:$X$74,VLOOKUP(AX364,Foundation_Calc!$I$10:$J$13,2,FALSE),0),"")))</f>
        <v/>
      </c>
      <c r="N364" s="8"/>
      <c r="O364" s="8"/>
      <c r="P364" s="8"/>
      <c r="Q364" s="14"/>
      <c r="R364" s="15"/>
      <c r="S364" s="15"/>
      <c r="T364" s="14"/>
      <c r="U364" s="14"/>
      <c r="V364" s="14"/>
      <c r="W364" s="18"/>
      <c r="X364" s="18"/>
      <c r="Y364" s="18"/>
      <c r="Z364" s="18"/>
      <c r="AA364" s="18"/>
      <c r="AB364" s="18"/>
      <c r="AC364" s="8" t="str">
        <f t="shared" si="90"/>
        <v/>
      </c>
      <c r="AD364" s="8"/>
      <c r="AE364" s="8"/>
      <c r="AF364" s="14"/>
      <c r="AG364" s="13"/>
      <c r="AH364" s="14"/>
      <c r="AI364" s="14"/>
      <c r="AJ364" s="8"/>
      <c r="AK364" s="8"/>
      <c r="AL364" s="8"/>
      <c r="AM364" s="8"/>
      <c r="AN364" s="631"/>
      <c r="AO364" s="18"/>
      <c r="AP364" s="18"/>
      <c r="AQ364" s="18"/>
      <c r="AR364" s="18"/>
      <c r="AS364" s="18"/>
      <c r="AU364" s="448"/>
      <c r="AV364" s="448"/>
      <c r="AW364" s="8" t="str">
        <f>IF(C364&gt;0,VLOOKUP(C364,Foundation_Calc!$A$2:$C$986,3,1),
IF(J364&gt;0,VLOOKUP(J364,Foundation_Calc!$A$2:$C$986,3,1),""))</f>
        <v/>
      </c>
      <c r="AX364" s="8" t="str">
        <f>IF(C364&gt;0,VLOOKUP(C364,Foundation_Calc!$E$2:$G$986,3,1),
IF(J364&gt;0,VLOOKUP(J364,Foundation_Calc!$E$2:$G$986,3,1),""))</f>
        <v/>
      </c>
      <c r="AY364" s="631" t="str">
        <f>IF(L364="","",
IF(AX364="PT",VLOOKUP(L364,Foundation_Calc!$K$4:$R$37,VLOOKUP(AW364,Foundation_Calc!$I$2:$J$8,2,FALSE),0),
IF(AX364="K",VLOOKUP(L364,Foundation_Calc!$K$41:$R$74,VLOOKUP(AW364,Foundation_Calc!$I$2:$J$8,2,FALSE),0),"")))</f>
        <v/>
      </c>
      <c r="AZ364" s="631" t="str">
        <f>IF(K364="","",
IF(AX364="PT",VLOOKUP(K364,Foundation_Calc!$K$4:$R$37,VLOOKUP(AW364,Foundation_Calc!$I$2:$J$8,2,FALSE),0),
IF(AX364="K",VLOOKUP(K364,Foundation_Calc!$K$41:$R$74,VLOOKUP(AW364,Foundation_Calc!$I$2:$J$8,2,FALSE),0),"")))</f>
        <v/>
      </c>
      <c r="BA364" s="632" t="str">
        <f t="shared" si="91"/>
        <v/>
      </c>
      <c r="BB364" s="632" t="str">
        <f t="shared" si="92"/>
        <v/>
      </c>
      <c r="BC364" s="632" t="str">
        <f t="shared" si="93"/>
        <v/>
      </c>
      <c r="BD364" s="633" t="str">
        <f>IF(AND(L364="",H364=""),"",
IF(H364="",Pole_Calc!A392,
IF(H364="MP",Pole_Calc!A393,
IF(H364="AnMP",Pole_Calc!A394,
IF(H364="A",Pole_Calc!A395,
IF(H364="S/A",Pole_Calc!A396,
IF(H364="A/S",Pole_Calc!A397,"Poner a mano")))))))</f>
        <v/>
      </c>
      <c r="BE364" s="448" t="s">
        <v>1726</v>
      </c>
      <c r="BF364" s="634"/>
      <c r="BG364" s="634"/>
      <c r="BH364" s="634"/>
      <c r="BI364" s="634"/>
    </row>
    <row r="365" spans="1:61" ht="16.2" customHeight="1">
      <c r="A365" s="12"/>
      <c r="B365" s="446"/>
      <c r="C365" s="89"/>
      <c r="D365" s="13"/>
      <c r="E365" s="14"/>
      <c r="F365" s="14"/>
      <c r="G365" s="15"/>
      <c r="H365" s="8"/>
      <c r="I365" s="8"/>
      <c r="J365" s="89"/>
      <c r="K365" s="8"/>
      <c r="L365" s="8"/>
      <c r="M365" s="8" t="str">
        <f>IF(L365="","",
IF(AX365="PT",VLOOKUP(L365,Foundation_Calc!$V$4:$X$37,VLOOKUP(AX365,Foundation_Calc!$I$10:$J$13,2,FALSE),0),
IF(AX365="K",VLOOKUP(L365,Foundation_Calc!$V$41:$X$74,VLOOKUP(AX365,Foundation_Calc!$I$10:$J$13,2,FALSE),0),"")))</f>
        <v/>
      </c>
      <c r="N365" s="8"/>
      <c r="O365" s="8"/>
      <c r="P365" s="8"/>
      <c r="Q365" s="14"/>
      <c r="R365" s="15"/>
      <c r="S365" s="15"/>
      <c r="T365" s="14"/>
      <c r="U365" s="14"/>
      <c r="V365" s="14"/>
      <c r="W365" s="18"/>
      <c r="X365" s="18"/>
      <c r="Y365" s="18"/>
      <c r="Z365" s="18"/>
      <c r="AA365" s="18"/>
      <c r="AB365" s="18"/>
      <c r="AC365" s="8" t="str">
        <f t="shared" si="90"/>
        <v/>
      </c>
      <c r="AD365" s="8"/>
      <c r="AE365" s="8"/>
      <c r="AF365" s="14"/>
      <c r="AG365" s="13"/>
      <c r="AH365" s="14"/>
      <c r="AI365" s="14"/>
      <c r="AJ365" s="8"/>
      <c r="AK365" s="8"/>
      <c r="AL365" s="8"/>
      <c r="AM365" s="8"/>
      <c r="AN365" s="631"/>
      <c r="AO365" s="18"/>
      <c r="AP365" s="18"/>
      <c r="AQ365" s="18"/>
      <c r="AR365" s="18"/>
      <c r="AS365" s="18"/>
      <c r="AU365" s="448"/>
      <c r="AV365" s="448"/>
      <c r="AW365" s="8" t="str">
        <f>IF(C365&gt;0,VLOOKUP(C365,Foundation_Calc!$A$2:$C$986,3,1),
IF(J365&gt;0,VLOOKUP(J365,Foundation_Calc!$A$2:$C$986,3,1),""))</f>
        <v/>
      </c>
      <c r="AX365" s="8" t="str">
        <f>IF(C365&gt;0,VLOOKUP(C365,Foundation_Calc!$E$2:$G$986,3,1),
IF(J365&gt;0,VLOOKUP(J365,Foundation_Calc!$E$2:$G$986,3,1),""))</f>
        <v/>
      </c>
      <c r="AY365" s="631" t="str">
        <f>IF(L365="","",
IF(AX365="PT",VLOOKUP(L365,Foundation_Calc!$K$4:$R$37,VLOOKUP(AW365,Foundation_Calc!$I$2:$J$8,2,FALSE),0),
IF(AX365="K",VLOOKUP(L365,Foundation_Calc!$K$41:$R$74,VLOOKUP(AW365,Foundation_Calc!$I$2:$J$8,2,FALSE),0),"")))</f>
        <v/>
      </c>
      <c r="AZ365" s="631" t="str">
        <f>IF(K365="","",
IF(AX365="PT",VLOOKUP(K365,Foundation_Calc!$K$4:$R$37,VLOOKUP(AW365,Foundation_Calc!$I$2:$J$8,2,FALSE),0),
IF(AX365="K",VLOOKUP(K365,Foundation_Calc!$K$41:$R$74,VLOOKUP(AW365,Foundation_Calc!$I$2:$J$8,2,FALSE),0),"")))</f>
        <v/>
      </c>
      <c r="BA365" s="632" t="str">
        <f t="shared" si="91"/>
        <v/>
      </c>
      <c r="BB365" s="632" t="str">
        <f t="shared" si="92"/>
        <v/>
      </c>
      <c r="BC365" s="632" t="str">
        <f t="shared" si="93"/>
        <v/>
      </c>
      <c r="BD365" s="633" t="str">
        <f>IF(AND(L365="",H365=""),"",
IF(H365="",Pole_Calc!A393,
IF(H365="MP",Pole_Calc!A394,
IF(H365="AnMP",Pole_Calc!A395,
IF(H365="A",Pole_Calc!A396,
IF(H365="S/A",Pole_Calc!A397,
IF(H365="A/S",Pole_Calc!A398,"Poner a mano")))))))</f>
        <v/>
      </c>
      <c r="BE365" s="448" t="s">
        <v>1726</v>
      </c>
      <c r="BF365" s="635"/>
      <c r="BG365" s="635"/>
      <c r="BH365" s="634"/>
      <c r="BI365" s="635"/>
    </row>
    <row r="366" spans="1:61" ht="16.2" customHeight="1">
      <c r="A366" s="12"/>
      <c r="B366" s="446"/>
      <c r="C366" s="89"/>
      <c r="D366" s="13"/>
      <c r="E366" s="14"/>
      <c r="F366" s="14"/>
      <c r="G366" s="15"/>
      <c r="H366" s="8"/>
      <c r="I366" s="8"/>
      <c r="J366" s="89"/>
      <c r="K366" s="8"/>
      <c r="L366" s="8"/>
      <c r="M366" s="8" t="str">
        <f>IF(L366="","",
IF(AX366="PT",VLOOKUP(L366,Foundation_Calc!$V$4:$X$37,VLOOKUP(AX366,Foundation_Calc!$I$10:$J$13,2,FALSE),0),
IF(AX366="K",VLOOKUP(L366,Foundation_Calc!$V$41:$X$74,VLOOKUP(AX366,Foundation_Calc!$I$10:$J$13,2,FALSE),0),"")))</f>
        <v/>
      </c>
      <c r="N366" s="8"/>
      <c r="O366" s="8"/>
      <c r="P366" s="8"/>
      <c r="Q366" s="14"/>
      <c r="R366" s="15"/>
      <c r="S366" s="15"/>
      <c r="T366" s="14"/>
      <c r="U366" s="14"/>
      <c r="V366" s="14"/>
      <c r="W366" s="18"/>
      <c r="X366" s="18"/>
      <c r="Y366" s="18"/>
      <c r="Z366" s="18"/>
      <c r="AA366" s="18"/>
      <c r="AB366" s="18"/>
      <c r="AC366" s="8" t="str">
        <f t="shared" si="90"/>
        <v/>
      </c>
      <c r="AD366" s="8"/>
      <c r="AE366" s="8"/>
      <c r="AF366" s="14"/>
      <c r="AG366" s="13"/>
      <c r="AH366" s="14"/>
      <c r="AI366" s="14"/>
      <c r="AJ366" s="8"/>
      <c r="AK366" s="8"/>
      <c r="AL366" s="8"/>
      <c r="AM366" s="8"/>
      <c r="AN366" s="631"/>
      <c r="AO366" s="18"/>
      <c r="AP366" s="18"/>
      <c r="AQ366" s="18"/>
      <c r="AR366" s="18"/>
      <c r="AS366" s="18"/>
      <c r="AU366" s="448"/>
      <c r="AV366" s="448"/>
      <c r="AW366" s="8" t="str">
        <f>IF(C366&gt;0,VLOOKUP(C366,Foundation_Calc!$A$2:$C$986,3,1),
IF(J366&gt;0,VLOOKUP(J366,Foundation_Calc!$A$2:$C$986,3,1),""))</f>
        <v/>
      </c>
      <c r="AX366" s="8" t="str">
        <f>IF(C366&gt;0,VLOOKUP(C366,Foundation_Calc!$E$2:$G$986,3,1),
IF(J366&gt;0,VLOOKUP(J366,Foundation_Calc!$E$2:$G$986,3,1),""))</f>
        <v/>
      </c>
      <c r="AY366" s="631" t="str">
        <f>IF(L366="","",
IF(AX366="PT",VLOOKUP(L366,Foundation_Calc!$K$4:$R$37,VLOOKUP(AW366,Foundation_Calc!$I$2:$J$8,2,FALSE),0),
IF(AX366="K",VLOOKUP(L366,Foundation_Calc!$K$41:$R$74,VLOOKUP(AW366,Foundation_Calc!$I$2:$J$8,2,FALSE),0),"")))</f>
        <v/>
      </c>
      <c r="AZ366" s="631" t="str">
        <f>IF(K366="","",
IF(AX366="PT",VLOOKUP(K366,Foundation_Calc!$K$4:$R$37,VLOOKUP(AW366,Foundation_Calc!$I$2:$J$8,2,FALSE),0),
IF(AX366="K",VLOOKUP(K366,Foundation_Calc!$K$41:$R$74,VLOOKUP(AW366,Foundation_Calc!$I$2:$J$8,2,FALSE),0),"")))</f>
        <v/>
      </c>
      <c r="BA366" s="632" t="str">
        <f t="shared" si="91"/>
        <v/>
      </c>
      <c r="BB366" s="632" t="str">
        <f t="shared" si="92"/>
        <v/>
      </c>
      <c r="BC366" s="632" t="str">
        <f t="shared" si="93"/>
        <v/>
      </c>
      <c r="BD366" s="633" t="str">
        <f>IF(AND(L366="",H366=""),"",
IF(H366="",Pole_Calc!A394,
IF(H366="MP",Pole_Calc!A395,
IF(H366="AnMP",Pole_Calc!A396,
IF(H366="A",Pole_Calc!A397,
IF(H366="S/A",Pole_Calc!A398,
IF(H366="A/S",Pole_Calc!A399,"Poner a mano")))))))</f>
        <v/>
      </c>
      <c r="BE366" s="448" t="s">
        <v>1726</v>
      </c>
      <c r="BF366" s="634"/>
      <c r="BG366" s="634"/>
      <c r="BH366" s="634"/>
      <c r="BI366" s="634"/>
    </row>
    <row r="367" spans="1:61" ht="16.2" customHeight="1">
      <c r="A367" s="12"/>
      <c r="B367" s="446"/>
      <c r="C367" s="89"/>
      <c r="D367" s="13"/>
      <c r="E367" s="14"/>
      <c r="F367" s="14"/>
      <c r="G367" s="15"/>
      <c r="H367" s="8"/>
      <c r="I367" s="8"/>
      <c r="J367" s="89"/>
      <c r="K367" s="8"/>
      <c r="L367" s="8"/>
      <c r="M367" s="8" t="str">
        <f>IF(L367="","",
IF(AX367="PT",VLOOKUP(L367,Foundation_Calc!$V$4:$X$37,VLOOKUP(AX367,Foundation_Calc!$I$10:$J$13,2,FALSE),0),
IF(AX367="K",VLOOKUP(L367,Foundation_Calc!$V$41:$X$74,VLOOKUP(AX367,Foundation_Calc!$I$10:$J$13,2,FALSE),0),"")))</f>
        <v/>
      </c>
      <c r="N367" s="8"/>
      <c r="O367" s="8"/>
      <c r="P367" s="8"/>
      <c r="Q367" s="14"/>
      <c r="R367" s="15"/>
      <c r="S367" s="15"/>
      <c r="T367" s="14"/>
      <c r="U367" s="14"/>
      <c r="V367" s="14"/>
      <c r="W367" s="18"/>
      <c r="X367" s="18"/>
      <c r="Y367" s="18"/>
      <c r="Z367" s="18"/>
      <c r="AA367" s="18"/>
      <c r="AB367" s="18"/>
      <c r="AC367" s="8" t="str">
        <f t="shared" si="90"/>
        <v/>
      </c>
      <c r="AD367" s="8"/>
      <c r="AE367" s="8"/>
      <c r="AF367" s="14"/>
      <c r="AG367" s="13"/>
      <c r="AH367" s="14"/>
      <c r="AI367" s="14"/>
      <c r="AJ367" s="8"/>
      <c r="AK367" s="8"/>
      <c r="AL367" s="8"/>
      <c r="AM367" s="8"/>
      <c r="AN367" s="631"/>
      <c r="AO367" s="18"/>
      <c r="AP367" s="18"/>
      <c r="AQ367" s="18"/>
      <c r="AR367" s="18"/>
      <c r="AS367" s="18"/>
      <c r="AU367" s="448"/>
      <c r="AV367" s="448"/>
      <c r="AW367" s="8" t="str">
        <f>IF(C367&gt;0,VLOOKUP(C367,Foundation_Calc!$A$2:$C$986,3,1),
IF(J367&gt;0,VLOOKUP(J367,Foundation_Calc!$A$2:$C$986,3,1),""))</f>
        <v/>
      </c>
      <c r="AX367" s="8" t="str">
        <f>IF(C367&gt;0,VLOOKUP(C367,Foundation_Calc!$E$2:$G$986,3,1),
IF(J367&gt;0,VLOOKUP(J367,Foundation_Calc!$E$2:$G$986,3,1),""))</f>
        <v/>
      </c>
      <c r="AY367" s="631" t="str">
        <f>IF(L367="","",
IF(AX367="PT",VLOOKUP(L367,Foundation_Calc!$K$4:$R$37,VLOOKUP(AW367,Foundation_Calc!$I$2:$J$8,2,FALSE),0),
IF(AX367="K",VLOOKUP(L367,Foundation_Calc!$K$41:$R$74,VLOOKUP(AW367,Foundation_Calc!$I$2:$J$8,2,FALSE),0),"")))</f>
        <v/>
      </c>
      <c r="AZ367" s="631" t="str">
        <f>IF(K367="","",
IF(AX367="PT",VLOOKUP(K367,Foundation_Calc!$K$4:$R$37,VLOOKUP(AW367,Foundation_Calc!$I$2:$J$8,2,FALSE),0),
IF(AX367="K",VLOOKUP(K367,Foundation_Calc!$K$41:$R$74,VLOOKUP(AW367,Foundation_Calc!$I$2:$J$8,2,FALSE),0),"")))</f>
        <v/>
      </c>
      <c r="BA367" s="632" t="str">
        <f t="shared" si="91"/>
        <v/>
      </c>
      <c r="BB367" s="632" t="str">
        <f t="shared" si="92"/>
        <v/>
      </c>
      <c r="BC367" s="632" t="str">
        <f t="shared" si="93"/>
        <v/>
      </c>
      <c r="BD367" s="633" t="str">
        <f>IF(AND(L367="",H367=""),"",
IF(H367="",Pole_Calc!A395,
IF(H367="MP",Pole_Calc!A396,
IF(H367="AnMP",Pole_Calc!A397,
IF(H367="A",Pole_Calc!A398,
IF(H367="S/A",Pole_Calc!A399,
IF(H367="A/S",Pole_Calc!A400,"Poner a mano")))))))</f>
        <v/>
      </c>
      <c r="BE367" s="448" t="s">
        <v>1726</v>
      </c>
      <c r="BF367" s="635"/>
      <c r="BG367" s="635"/>
      <c r="BH367" s="634"/>
      <c r="BI367" s="635"/>
    </row>
    <row r="368" spans="1:61" ht="16.2" customHeight="1">
      <c r="A368" s="12"/>
      <c r="B368" s="446"/>
      <c r="C368" s="89"/>
      <c r="D368" s="13"/>
      <c r="E368" s="14"/>
      <c r="F368" s="14"/>
      <c r="G368" s="15"/>
      <c r="H368" s="8"/>
      <c r="I368" s="8"/>
      <c r="J368" s="89"/>
      <c r="K368" s="8"/>
      <c r="L368" s="8"/>
      <c r="M368" s="8" t="str">
        <f>IF(L368="","",
IF(AX368="PT",VLOOKUP(L368,Foundation_Calc!$V$4:$X$37,VLOOKUP(AX368,Foundation_Calc!$I$10:$J$13,2,FALSE),0),
IF(AX368="K",VLOOKUP(L368,Foundation_Calc!$V$41:$X$74,VLOOKUP(AX368,Foundation_Calc!$I$10:$J$13,2,FALSE),0),"")))</f>
        <v/>
      </c>
      <c r="N368" s="8"/>
      <c r="O368" s="8"/>
      <c r="P368" s="8"/>
      <c r="Q368" s="14"/>
      <c r="R368" s="15"/>
      <c r="S368" s="15"/>
      <c r="T368" s="14"/>
      <c r="U368" s="14"/>
      <c r="V368" s="14"/>
      <c r="W368" s="18"/>
      <c r="X368" s="18"/>
      <c r="Y368" s="18"/>
      <c r="Z368" s="18"/>
      <c r="AA368" s="18"/>
      <c r="AB368" s="18"/>
      <c r="AC368" s="8" t="str">
        <f t="shared" si="90"/>
        <v/>
      </c>
      <c r="AD368" s="8"/>
      <c r="AE368" s="8"/>
      <c r="AF368" s="14"/>
      <c r="AG368" s="13"/>
      <c r="AH368" s="14"/>
      <c r="AI368" s="14"/>
      <c r="AJ368" s="8"/>
      <c r="AK368" s="8"/>
      <c r="AL368" s="8"/>
      <c r="AM368" s="8"/>
      <c r="AN368" s="631"/>
      <c r="AO368" s="18"/>
      <c r="AP368" s="18"/>
      <c r="AQ368" s="18"/>
      <c r="AR368" s="18"/>
      <c r="AS368" s="18"/>
      <c r="AU368" s="448"/>
      <c r="AV368" s="448"/>
      <c r="AW368" s="8" t="str">
        <f>IF(C368&gt;0,VLOOKUP(C368,Foundation_Calc!$A$2:$C$986,3,1),
IF(J368&gt;0,VLOOKUP(J368,Foundation_Calc!$A$2:$C$986,3,1),""))</f>
        <v/>
      </c>
      <c r="AX368" s="8" t="str">
        <f>IF(C368&gt;0,VLOOKUP(C368,Foundation_Calc!$E$2:$G$986,3,1),
IF(J368&gt;0,VLOOKUP(J368,Foundation_Calc!$E$2:$G$986,3,1),""))</f>
        <v/>
      </c>
      <c r="AY368" s="631" t="str">
        <f>IF(L368="","",
IF(AX368="PT",VLOOKUP(L368,Foundation_Calc!$K$4:$R$37,VLOOKUP(AW368,Foundation_Calc!$I$2:$J$8,2,FALSE),0),
IF(AX368="K",VLOOKUP(L368,Foundation_Calc!$K$41:$R$74,VLOOKUP(AW368,Foundation_Calc!$I$2:$J$8,2,FALSE),0),"")))</f>
        <v/>
      </c>
      <c r="AZ368" s="631" t="str">
        <f>IF(K368="","",
IF(AX368="PT",VLOOKUP(K368,Foundation_Calc!$K$4:$R$37,VLOOKUP(AW368,Foundation_Calc!$I$2:$J$8,2,FALSE),0),
IF(AX368="K",VLOOKUP(K368,Foundation_Calc!$K$41:$R$74,VLOOKUP(AW368,Foundation_Calc!$I$2:$J$8,2,FALSE),0),"")))</f>
        <v/>
      </c>
      <c r="BA368" s="632" t="str">
        <f t="shared" si="91"/>
        <v/>
      </c>
      <c r="BB368" s="632" t="str">
        <f t="shared" si="92"/>
        <v/>
      </c>
      <c r="BC368" s="632" t="str">
        <f t="shared" si="93"/>
        <v/>
      </c>
      <c r="BD368" s="633" t="str">
        <f>IF(AND(L368="",H368=""),"",
IF(H368="",Pole_Calc!A396,
IF(H368="MP",Pole_Calc!A397,
IF(H368="AnMP",Pole_Calc!A398,
IF(H368="A",Pole_Calc!A399,
IF(H368="S/A",Pole_Calc!A400,
IF(H368="A/S",Pole_Calc!A401,"Poner a mano")))))))</f>
        <v/>
      </c>
      <c r="BE368" s="448" t="s">
        <v>1726</v>
      </c>
      <c r="BF368" s="634"/>
      <c r="BG368" s="634"/>
      <c r="BH368" s="634"/>
      <c r="BI368" s="634"/>
    </row>
    <row r="369" spans="1:61" ht="16.2" customHeight="1">
      <c r="A369" s="12"/>
      <c r="B369" s="446"/>
      <c r="C369" s="89"/>
      <c r="D369" s="13"/>
      <c r="E369" s="14"/>
      <c r="F369" s="14"/>
      <c r="G369" s="15"/>
      <c r="H369" s="8"/>
      <c r="I369" s="8"/>
      <c r="J369" s="89"/>
      <c r="K369" s="8"/>
      <c r="L369" s="8"/>
      <c r="M369" s="8" t="str">
        <f>IF(L369="","",
IF(AX369="PT",VLOOKUP(L369,Foundation_Calc!$V$4:$X$37,VLOOKUP(AX369,Foundation_Calc!$I$10:$J$13,2,FALSE),0),
IF(AX369="K",VLOOKUP(L369,Foundation_Calc!$V$41:$X$74,VLOOKUP(AX369,Foundation_Calc!$I$10:$J$13,2,FALSE),0),"")))</f>
        <v/>
      </c>
      <c r="N369" s="8"/>
      <c r="O369" s="8"/>
      <c r="P369" s="8"/>
      <c r="Q369" s="14"/>
      <c r="R369" s="15"/>
      <c r="S369" s="15"/>
      <c r="T369" s="14"/>
      <c r="U369" s="14"/>
      <c r="V369" s="14"/>
      <c r="W369" s="18"/>
      <c r="X369" s="18"/>
      <c r="Y369" s="18"/>
      <c r="Z369" s="18"/>
      <c r="AA369" s="18"/>
      <c r="AB369" s="18"/>
      <c r="AC369" s="8" t="str">
        <f t="shared" si="90"/>
        <v/>
      </c>
      <c r="AD369" s="8"/>
      <c r="AE369" s="8"/>
      <c r="AF369" s="14"/>
      <c r="AG369" s="13"/>
      <c r="AH369" s="14"/>
      <c r="AI369" s="14"/>
      <c r="AJ369" s="8"/>
      <c r="AK369" s="8"/>
      <c r="AL369" s="8"/>
      <c r="AM369" s="8"/>
      <c r="AN369" s="631"/>
      <c r="AO369" s="18"/>
      <c r="AP369" s="18"/>
      <c r="AQ369" s="18"/>
      <c r="AR369" s="18"/>
      <c r="AS369" s="18"/>
      <c r="AU369" s="448"/>
      <c r="AV369" s="448"/>
      <c r="AW369" s="8" t="str">
        <f>IF(C369&gt;0,VLOOKUP(C369,Foundation_Calc!$A$2:$C$986,3,1),
IF(J369&gt;0,VLOOKUP(J369,Foundation_Calc!$A$2:$C$986,3,1),""))</f>
        <v/>
      </c>
      <c r="AX369" s="8" t="str">
        <f>IF(C369&gt;0,VLOOKUP(C369,Foundation_Calc!$E$2:$G$986,3,1),
IF(J369&gt;0,VLOOKUP(J369,Foundation_Calc!$E$2:$G$986,3,1),""))</f>
        <v/>
      </c>
      <c r="AY369" s="631" t="str">
        <f>IF(L369="","",
IF(AX369="PT",VLOOKUP(L369,Foundation_Calc!$K$4:$R$37,VLOOKUP(AW369,Foundation_Calc!$I$2:$J$8,2,FALSE),0),
IF(AX369="K",VLOOKUP(L369,Foundation_Calc!$K$41:$R$74,VLOOKUP(AW369,Foundation_Calc!$I$2:$J$8,2,FALSE),0),"")))</f>
        <v/>
      </c>
      <c r="AZ369" s="631" t="str">
        <f>IF(K369="","",
IF(AX369="PT",VLOOKUP(K369,Foundation_Calc!$K$4:$R$37,VLOOKUP(AW369,Foundation_Calc!$I$2:$J$8,2,FALSE),0),
IF(AX369="K",VLOOKUP(K369,Foundation_Calc!$K$41:$R$74,VLOOKUP(AW369,Foundation_Calc!$I$2:$J$8,2,FALSE),0),"")))</f>
        <v/>
      </c>
      <c r="BA369" s="632" t="str">
        <f t="shared" si="91"/>
        <v/>
      </c>
      <c r="BB369" s="632" t="str">
        <f t="shared" si="92"/>
        <v/>
      </c>
      <c r="BC369" s="632" t="str">
        <f t="shared" si="93"/>
        <v/>
      </c>
      <c r="BD369" s="633" t="str">
        <f>IF(AND(L369="",H369=""),"",
IF(H369="",Pole_Calc!A397,
IF(H369="MP",Pole_Calc!A398,
IF(H369="AnMP",Pole_Calc!A399,
IF(H369="A",Pole_Calc!A400,
IF(H369="S/A",Pole_Calc!A401,
IF(H369="A/S",Pole_Calc!A402,"Poner a mano")))))))</f>
        <v/>
      </c>
      <c r="BE369" s="448" t="s">
        <v>1726</v>
      </c>
      <c r="BF369" s="635"/>
      <c r="BG369" s="635"/>
      <c r="BH369" s="634"/>
      <c r="BI369" s="635"/>
    </row>
    <row r="370" spans="1:61" ht="16.2" customHeight="1">
      <c r="A370" s="12"/>
      <c r="B370" s="446"/>
      <c r="C370" s="89"/>
      <c r="D370" s="13"/>
      <c r="E370" s="14"/>
      <c r="F370" s="14"/>
      <c r="G370" s="15"/>
      <c r="H370" s="8"/>
      <c r="I370" s="8"/>
      <c r="J370" s="89"/>
      <c r="K370" s="8"/>
      <c r="L370" s="8"/>
      <c r="M370" s="8" t="str">
        <f>IF(L370="","",
IF(AX370="PT",VLOOKUP(L370,Foundation_Calc!$V$4:$X$37,VLOOKUP(AX370,Foundation_Calc!$I$10:$J$13,2,FALSE),0),
IF(AX370="K",VLOOKUP(L370,Foundation_Calc!$V$41:$X$74,VLOOKUP(AX370,Foundation_Calc!$I$10:$J$13,2,FALSE),0),"")))</f>
        <v/>
      </c>
      <c r="N370" s="8"/>
      <c r="O370" s="8"/>
      <c r="P370" s="8"/>
      <c r="Q370" s="14"/>
      <c r="R370" s="15"/>
      <c r="S370" s="15"/>
      <c r="T370" s="14"/>
      <c r="U370" s="14"/>
      <c r="V370" s="14"/>
      <c r="W370" s="18"/>
      <c r="X370" s="18"/>
      <c r="Y370" s="18"/>
      <c r="Z370" s="18"/>
      <c r="AA370" s="18"/>
      <c r="AB370" s="18"/>
      <c r="AC370" s="8" t="str">
        <f t="shared" si="90"/>
        <v/>
      </c>
      <c r="AD370" s="8"/>
      <c r="AE370" s="8"/>
      <c r="AF370" s="14"/>
      <c r="AG370" s="13"/>
      <c r="AH370" s="14"/>
      <c r="AI370" s="14"/>
      <c r="AJ370" s="8"/>
      <c r="AK370" s="8"/>
      <c r="AL370" s="8"/>
      <c r="AM370" s="8"/>
      <c r="AN370" s="631"/>
      <c r="AO370" s="18"/>
      <c r="AP370" s="18"/>
      <c r="AQ370" s="18"/>
      <c r="AR370" s="18"/>
      <c r="AS370" s="18"/>
      <c r="AU370" s="448"/>
      <c r="AV370" s="448"/>
      <c r="AW370" s="8" t="str">
        <f>IF(C370&gt;0,VLOOKUP(C370,Foundation_Calc!$A$2:$C$986,3,1),
IF(J370&gt;0,VLOOKUP(J370,Foundation_Calc!$A$2:$C$986,3,1),""))</f>
        <v/>
      </c>
      <c r="AX370" s="8" t="str">
        <f>IF(C370&gt;0,VLOOKUP(C370,Foundation_Calc!$E$2:$G$986,3,1),
IF(J370&gt;0,VLOOKUP(J370,Foundation_Calc!$E$2:$G$986,3,1),""))</f>
        <v/>
      </c>
      <c r="AY370" s="631" t="str">
        <f>IF(L370="","",
IF(AX370="PT",VLOOKUP(L370,Foundation_Calc!$K$4:$R$37,VLOOKUP(AW370,Foundation_Calc!$I$2:$J$8,2,FALSE),0),
IF(AX370="K",VLOOKUP(L370,Foundation_Calc!$K$41:$R$74,VLOOKUP(AW370,Foundation_Calc!$I$2:$J$8,2,FALSE),0),"")))</f>
        <v/>
      </c>
      <c r="AZ370" s="631" t="str">
        <f>IF(K370="","",
IF(AX370="PT",VLOOKUP(K370,Foundation_Calc!$K$4:$R$37,VLOOKUP(AW370,Foundation_Calc!$I$2:$J$8,2,FALSE),0),
IF(AX370="K",VLOOKUP(K370,Foundation_Calc!$K$41:$R$74,VLOOKUP(AW370,Foundation_Calc!$I$2:$J$8,2,FALSE),0),"")))</f>
        <v/>
      </c>
      <c r="BA370" s="632" t="str">
        <f t="shared" si="91"/>
        <v/>
      </c>
      <c r="BB370" s="632" t="str">
        <f t="shared" si="92"/>
        <v/>
      </c>
      <c r="BC370" s="632" t="str">
        <f t="shared" si="93"/>
        <v/>
      </c>
      <c r="BD370" s="633" t="str">
        <f>IF(AND(L370="",H370=""),"",
IF(H370="",Pole_Calc!A398,
IF(H370="MP",Pole_Calc!A399,
IF(H370="AnMP",Pole_Calc!A400,
IF(H370="A",Pole_Calc!A401,
IF(H370="S/A",Pole_Calc!A402,
IF(H370="A/S",Pole_Calc!A403,"Poner a mano")))))))</f>
        <v/>
      </c>
      <c r="BE370" s="448" t="s">
        <v>1726</v>
      </c>
      <c r="BF370" s="634"/>
      <c r="BG370" s="634"/>
      <c r="BH370" s="634"/>
      <c r="BI370" s="634"/>
    </row>
    <row r="371" spans="1:61" ht="16.2" customHeight="1">
      <c r="A371" s="12"/>
      <c r="B371" s="446"/>
      <c r="C371" s="89"/>
      <c r="D371" s="13"/>
      <c r="E371" s="14"/>
      <c r="F371" s="14"/>
      <c r="G371" s="15"/>
      <c r="H371" s="8"/>
      <c r="I371" s="8"/>
      <c r="J371" s="89"/>
      <c r="K371" s="8"/>
      <c r="L371" s="8"/>
      <c r="M371" s="8" t="str">
        <f>IF(L371="","",
IF(AX371="PT",VLOOKUP(L371,Foundation_Calc!$V$4:$X$37,VLOOKUP(AX371,Foundation_Calc!$I$10:$J$13,2,FALSE),0),
IF(AX371="K",VLOOKUP(L371,Foundation_Calc!$V$41:$X$74,VLOOKUP(AX371,Foundation_Calc!$I$10:$J$13,2,FALSE),0),"")))</f>
        <v/>
      </c>
      <c r="N371" s="8"/>
      <c r="O371" s="8"/>
      <c r="P371" s="8"/>
      <c r="Q371" s="14"/>
      <c r="R371" s="15"/>
      <c r="S371" s="15"/>
      <c r="T371" s="14"/>
      <c r="U371" s="14"/>
      <c r="V371" s="14"/>
      <c r="W371" s="18"/>
      <c r="X371" s="18"/>
      <c r="Y371" s="18"/>
      <c r="Z371" s="18"/>
      <c r="AA371" s="18"/>
      <c r="AB371" s="18"/>
      <c r="AC371" s="8" t="str">
        <f t="shared" si="90"/>
        <v/>
      </c>
      <c r="AD371" s="8"/>
      <c r="AE371" s="8"/>
      <c r="AF371" s="14"/>
      <c r="AG371" s="13"/>
      <c r="AH371" s="14"/>
      <c r="AI371" s="14"/>
      <c r="AJ371" s="8"/>
      <c r="AK371" s="8"/>
      <c r="AL371" s="8"/>
      <c r="AM371" s="8"/>
      <c r="AN371" s="631"/>
      <c r="AO371" s="18"/>
      <c r="AP371" s="18"/>
      <c r="AQ371" s="18"/>
      <c r="AR371" s="18"/>
      <c r="AS371" s="18"/>
      <c r="AU371" s="448"/>
      <c r="AV371" s="448"/>
      <c r="AW371" s="8" t="str">
        <f>IF(C371&gt;0,VLOOKUP(C371,Foundation_Calc!$A$2:$C$986,3,1),
IF(J371&gt;0,VLOOKUP(J371,Foundation_Calc!$A$2:$C$986,3,1),""))</f>
        <v/>
      </c>
      <c r="AX371" s="8" t="str">
        <f>IF(C371&gt;0,VLOOKUP(C371,Foundation_Calc!$E$2:$G$986,3,1),
IF(J371&gt;0,VLOOKUP(J371,Foundation_Calc!$E$2:$G$986,3,1),""))</f>
        <v/>
      </c>
      <c r="AY371" s="631" t="str">
        <f>IF(L371="","",
IF(AX371="PT",VLOOKUP(L371,Foundation_Calc!$K$4:$R$37,VLOOKUP(AW371,Foundation_Calc!$I$2:$J$8,2,FALSE),0),
IF(AX371="K",VLOOKUP(L371,Foundation_Calc!$K$41:$R$74,VLOOKUP(AW371,Foundation_Calc!$I$2:$J$8,2,FALSE),0),"")))</f>
        <v/>
      </c>
      <c r="AZ371" s="631" t="str">
        <f>IF(K371="","",
IF(AX371="PT",VLOOKUP(K371,Foundation_Calc!$K$4:$R$37,VLOOKUP(AW371,Foundation_Calc!$I$2:$J$8,2,FALSE),0),
IF(AX371="K",VLOOKUP(K371,Foundation_Calc!$K$41:$R$74,VLOOKUP(AW371,Foundation_Calc!$I$2:$J$8,2,FALSE),0),"")))</f>
        <v/>
      </c>
      <c r="BA371" s="632" t="str">
        <f t="shared" si="91"/>
        <v/>
      </c>
      <c r="BB371" s="632" t="str">
        <f t="shared" si="92"/>
        <v/>
      </c>
      <c r="BC371" s="632" t="str">
        <f t="shared" si="93"/>
        <v/>
      </c>
      <c r="BD371" s="633" t="str">
        <f>IF(AND(L371="",H371=""),"",
IF(H371="",Pole_Calc!A399,
IF(H371="MP",Pole_Calc!A400,
IF(H371="AnMP",Pole_Calc!A401,
IF(H371="A",Pole_Calc!A402,
IF(H371="S/A",Pole_Calc!A403,
IF(H371="A/S",Pole_Calc!A404,"Poner a mano")))))))</f>
        <v/>
      </c>
      <c r="BE371" s="448" t="s">
        <v>1726</v>
      </c>
      <c r="BF371" s="635"/>
      <c r="BG371" s="635"/>
      <c r="BH371" s="634"/>
      <c r="BI371" s="635"/>
    </row>
    <row r="372" spans="1:61" ht="16.2" customHeight="1">
      <c r="A372" s="12"/>
      <c r="B372" s="446"/>
      <c r="C372" s="89"/>
      <c r="D372" s="13"/>
      <c r="E372" s="14"/>
      <c r="F372" s="14"/>
      <c r="G372" s="15"/>
      <c r="H372" s="8"/>
      <c r="I372" s="8"/>
      <c r="J372" s="89"/>
      <c r="K372" s="8"/>
      <c r="L372" s="8"/>
      <c r="M372" s="8" t="str">
        <f>IF(L372="","",
IF(AX372="PT",VLOOKUP(L372,Foundation_Calc!$V$4:$X$37,VLOOKUP(AX372,Foundation_Calc!$I$10:$J$13,2,FALSE),0),
IF(AX372="K",VLOOKUP(L372,Foundation_Calc!$V$41:$X$74,VLOOKUP(AX372,Foundation_Calc!$I$10:$J$13,2,FALSE),0),"")))</f>
        <v/>
      </c>
      <c r="N372" s="8"/>
      <c r="O372" s="8"/>
      <c r="P372" s="8"/>
      <c r="Q372" s="14"/>
      <c r="R372" s="15"/>
      <c r="S372" s="15"/>
      <c r="T372" s="14"/>
      <c r="U372" s="14"/>
      <c r="V372" s="14"/>
      <c r="W372" s="18"/>
      <c r="X372" s="18"/>
      <c r="Y372" s="18"/>
      <c r="Z372" s="18"/>
      <c r="AA372" s="18"/>
      <c r="AB372" s="18"/>
      <c r="AC372" s="8" t="str">
        <f t="shared" si="90"/>
        <v/>
      </c>
      <c r="AD372" s="8"/>
      <c r="AE372" s="8"/>
      <c r="AF372" s="14"/>
      <c r="AG372" s="13"/>
      <c r="AH372" s="14"/>
      <c r="AI372" s="14"/>
      <c r="AJ372" s="8"/>
      <c r="AK372" s="8"/>
      <c r="AL372" s="8"/>
      <c r="AM372" s="8"/>
      <c r="AN372" s="631"/>
      <c r="AO372" s="18"/>
      <c r="AP372" s="18"/>
      <c r="AQ372" s="18"/>
      <c r="AR372" s="18"/>
      <c r="AS372" s="18"/>
      <c r="AU372" s="448"/>
      <c r="AV372" s="448"/>
      <c r="AW372" s="8" t="str">
        <f>IF(C372&gt;0,VLOOKUP(C372,Foundation_Calc!$A$2:$C$986,3,1),
IF(J372&gt;0,VLOOKUP(J372,Foundation_Calc!$A$2:$C$986,3,1),""))</f>
        <v/>
      </c>
      <c r="AX372" s="8" t="str">
        <f>IF(C372&gt;0,VLOOKUP(C372,Foundation_Calc!$E$2:$G$986,3,1),
IF(J372&gt;0,VLOOKUP(J372,Foundation_Calc!$E$2:$G$986,3,1),""))</f>
        <v/>
      </c>
      <c r="AY372" s="631" t="str">
        <f>IF(L372="","",
IF(AX372="PT",VLOOKUP(L372,Foundation_Calc!$K$4:$R$37,VLOOKUP(AW372,Foundation_Calc!$I$2:$J$8,2,FALSE),0),
IF(AX372="K",VLOOKUP(L372,Foundation_Calc!$K$41:$R$74,VLOOKUP(AW372,Foundation_Calc!$I$2:$J$8,2,FALSE),0),"")))</f>
        <v/>
      </c>
      <c r="AZ372" s="631" t="str">
        <f>IF(K372="","",
IF(AX372="PT",VLOOKUP(K372,Foundation_Calc!$K$4:$R$37,VLOOKUP(AW372,Foundation_Calc!$I$2:$J$8,2,FALSE),0),
IF(AX372="K",VLOOKUP(K372,Foundation_Calc!$K$41:$R$74,VLOOKUP(AW372,Foundation_Calc!$I$2:$J$8,2,FALSE),0),"")))</f>
        <v/>
      </c>
      <c r="BA372" s="632" t="str">
        <f t="shared" si="91"/>
        <v/>
      </c>
      <c r="BB372" s="632" t="str">
        <f t="shared" si="92"/>
        <v/>
      </c>
      <c r="BC372" s="632" t="str">
        <f t="shared" si="93"/>
        <v/>
      </c>
      <c r="BD372" s="633" t="str">
        <f>IF(AND(L372="",H372=""),"",
IF(H372="",Pole_Calc!A400,
IF(H372="MP",Pole_Calc!A401,
IF(H372="AnMP",Pole_Calc!A402,
IF(H372="A",Pole_Calc!A403,
IF(H372="S/A",Pole_Calc!A404,
IF(H372="A/S",Pole_Calc!A405,"Poner a mano")))))))</f>
        <v/>
      </c>
      <c r="BE372" s="448" t="s">
        <v>1726</v>
      </c>
      <c r="BF372" s="634"/>
      <c r="BG372" s="634"/>
      <c r="BH372" s="634"/>
      <c r="BI372" s="634"/>
    </row>
    <row r="373" spans="1:61" ht="16.2" customHeight="1">
      <c r="A373" s="12"/>
      <c r="B373" s="446"/>
      <c r="C373" s="89"/>
      <c r="D373" s="13"/>
      <c r="E373" s="14"/>
      <c r="F373" s="14"/>
      <c r="G373" s="15"/>
      <c r="H373" s="8"/>
      <c r="I373" s="8"/>
      <c r="J373" s="89"/>
      <c r="K373" s="8"/>
      <c r="L373" s="8"/>
      <c r="M373" s="8" t="str">
        <f>IF(L373="","",
IF(AX373="PT",VLOOKUP(L373,Foundation_Calc!$V$4:$X$37,VLOOKUP(AX373,Foundation_Calc!$I$10:$J$13,2,FALSE),0),
IF(AX373="K",VLOOKUP(L373,Foundation_Calc!$V$41:$X$74,VLOOKUP(AX373,Foundation_Calc!$I$10:$J$13,2,FALSE),0),"")))</f>
        <v/>
      </c>
      <c r="N373" s="8"/>
      <c r="O373" s="8"/>
      <c r="P373" s="8"/>
      <c r="Q373" s="14"/>
      <c r="R373" s="15"/>
      <c r="S373" s="15"/>
      <c r="T373" s="14"/>
      <c r="U373" s="14"/>
      <c r="V373" s="14"/>
      <c r="W373" s="18"/>
      <c r="X373" s="18"/>
      <c r="Y373" s="18"/>
      <c r="Z373" s="18"/>
      <c r="AA373" s="18"/>
      <c r="AB373" s="18"/>
      <c r="AC373" s="8" t="str">
        <f t="shared" si="90"/>
        <v/>
      </c>
      <c r="AD373" s="8"/>
      <c r="AE373" s="8"/>
      <c r="AF373" s="14"/>
      <c r="AG373" s="13"/>
      <c r="AH373" s="14"/>
      <c r="AI373" s="14"/>
      <c r="AJ373" s="8"/>
      <c r="AK373" s="8"/>
      <c r="AL373" s="8"/>
      <c r="AM373" s="8"/>
      <c r="AN373" s="631"/>
      <c r="AO373" s="18"/>
      <c r="AP373" s="18"/>
      <c r="AQ373" s="18"/>
      <c r="AR373" s="18"/>
      <c r="AS373" s="18"/>
      <c r="AU373" s="448"/>
      <c r="AV373" s="448"/>
      <c r="AW373" s="8" t="str">
        <f>IF(C373&gt;0,VLOOKUP(C373,Foundation_Calc!$A$2:$C$986,3,1),
IF(J373&gt;0,VLOOKUP(J373,Foundation_Calc!$A$2:$C$986,3,1),""))</f>
        <v/>
      </c>
      <c r="AX373" s="8" t="str">
        <f>IF(C373&gt;0,VLOOKUP(C373,Foundation_Calc!$E$2:$G$986,3,1),
IF(J373&gt;0,VLOOKUP(J373,Foundation_Calc!$E$2:$G$986,3,1),""))</f>
        <v/>
      </c>
      <c r="AY373" s="631" t="str">
        <f>IF(L373="","",
IF(AX373="PT",VLOOKUP(L373,Foundation_Calc!$K$4:$R$37,VLOOKUP(AW373,Foundation_Calc!$I$2:$J$8,2,FALSE),0),
IF(AX373="K",VLOOKUP(L373,Foundation_Calc!$K$41:$R$74,VLOOKUP(AW373,Foundation_Calc!$I$2:$J$8,2,FALSE),0),"")))</f>
        <v/>
      </c>
      <c r="AZ373" s="631" t="str">
        <f>IF(K373="","",
IF(AX373="PT",VLOOKUP(K373,Foundation_Calc!$K$4:$R$37,VLOOKUP(AW373,Foundation_Calc!$I$2:$J$8,2,FALSE),0),
IF(AX373="K",VLOOKUP(K373,Foundation_Calc!$K$41:$R$74,VLOOKUP(AW373,Foundation_Calc!$I$2:$J$8,2,FALSE),0),"")))</f>
        <v/>
      </c>
      <c r="BA373" s="632" t="str">
        <f t="shared" si="91"/>
        <v/>
      </c>
      <c r="BB373" s="632" t="str">
        <f t="shared" si="92"/>
        <v/>
      </c>
      <c r="BC373" s="632" t="str">
        <f t="shared" si="93"/>
        <v/>
      </c>
      <c r="BD373" s="633" t="str">
        <f>IF(AND(L373="",H373=""),"",
IF(H373="",Pole_Calc!A401,
IF(H373="MP",Pole_Calc!A402,
IF(H373="AnMP",Pole_Calc!A403,
IF(H373="A",Pole_Calc!A404,
IF(H373="S/A",Pole_Calc!A405,
IF(H373="A/S",Pole_Calc!A406,"Poner a mano")))))))</f>
        <v/>
      </c>
      <c r="BE373" s="448" t="s">
        <v>1726</v>
      </c>
      <c r="BF373" s="635"/>
      <c r="BG373" s="635"/>
      <c r="BH373" s="634"/>
      <c r="BI373" s="635"/>
    </row>
    <row r="374" spans="1:61" ht="16.2" customHeight="1">
      <c r="A374" s="12"/>
      <c r="B374" s="446"/>
      <c r="C374" s="89"/>
      <c r="D374" s="13"/>
      <c r="E374" s="14"/>
      <c r="F374" s="14"/>
      <c r="G374" s="15"/>
      <c r="H374" s="8"/>
      <c r="I374" s="8"/>
      <c r="J374" s="89"/>
      <c r="K374" s="8"/>
      <c r="L374" s="8"/>
      <c r="M374" s="8" t="str">
        <f>IF(L374="","",
IF(AX374="PT",VLOOKUP(L374,Foundation_Calc!$V$4:$X$37,VLOOKUP(AX374,Foundation_Calc!$I$10:$J$13,2,FALSE),0),
IF(AX374="K",VLOOKUP(L374,Foundation_Calc!$V$41:$X$74,VLOOKUP(AX374,Foundation_Calc!$I$10:$J$13,2,FALSE),0),"")))</f>
        <v/>
      </c>
      <c r="N374" s="8"/>
      <c r="O374" s="8"/>
      <c r="P374" s="8"/>
      <c r="Q374" s="14"/>
      <c r="R374" s="15"/>
      <c r="S374" s="15"/>
      <c r="T374" s="14"/>
      <c r="U374" s="14"/>
      <c r="V374" s="14"/>
      <c r="W374" s="18"/>
      <c r="X374" s="18"/>
      <c r="Y374" s="18"/>
      <c r="Z374" s="18"/>
      <c r="AA374" s="18"/>
      <c r="AB374" s="18"/>
      <c r="AC374" s="8" t="str">
        <f t="shared" si="90"/>
        <v/>
      </c>
      <c r="AD374" s="8"/>
      <c r="AE374" s="8"/>
      <c r="AF374" s="14"/>
      <c r="AG374" s="13"/>
      <c r="AH374" s="14"/>
      <c r="AI374" s="14"/>
      <c r="AJ374" s="8"/>
      <c r="AK374" s="8"/>
      <c r="AL374" s="8"/>
      <c r="AM374" s="8"/>
      <c r="AN374" s="631"/>
      <c r="AO374" s="18"/>
      <c r="AP374" s="18"/>
      <c r="AQ374" s="18"/>
      <c r="AR374" s="18"/>
      <c r="AS374" s="18"/>
      <c r="AU374" s="448"/>
      <c r="AV374" s="448"/>
      <c r="AW374" s="8" t="str">
        <f>IF(C374&gt;0,VLOOKUP(C374,Foundation_Calc!$A$2:$C$986,3,1),
IF(J374&gt;0,VLOOKUP(J374,Foundation_Calc!$A$2:$C$986,3,1),""))</f>
        <v/>
      </c>
      <c r="AX374" s="8" t="str">
        <f>IF(C374&gt;0,VLOOKUP(C374,Foundation_Calc!$E$2:$G$986,3,1),
IF(J374&gt;0,VLOOKUP(J374,Foundation_Calc!$E$2:$G$986,3,1),""))</f>
        <v/>
      </c>
      <c r="AY374" s="631" t="str">
        <f>IF(L374="","",
IF(AX374="PT",VLOOKUP(L374,Foundation_Calc!$K$4:$R$37,VLOOKUP(AW374,Foundation_Calc!$I$2:$J$8,2,FALSE),0),
IF(AX374="K",VLOOKUP(L374,Foundation_Calc!$K$41:$R$74,VLOOKUP(AW374,Foundation_Calc!$I$2:$J$8,2,FALSE),0),"")))</f>
        <v/>
      </c>
      <c r="AZ374" s="631" t="str">
        <f>IF(K374="","",
IF(AX374="PT",VLOOKUP(K374,Foundation_Calc!$K$4:$R$37,VLOOKUP(AW374,Foundation_Calc!$I$2:$J$8,2,FALSE),0),
IF(AX374="K",VLOOKUP(K374,Foundation_Calc!$K$41:$R$74,VLOOKUP(AW374,Foundation_Calc!$I$2:$J$8,2,FALSE),0),"")))</f>
        <v/>
      </c>
      <c r="BA374" s="632" t="str">
        <f t="shared" si="91"/>
        <v/>
      </c>
      <c r="BB374" s="632" t="str">
        <f t="shared" si="92"/>
        <v/>
      </c>
      <c r="BC374" s="632" t="str">
        <f t="shared" si="93"/>
        <v/>
      </c>
      <c r="BD374" s="633" t="str">
        <f>IF(AND(L374="",H374=""),"",
IF(H374="",Pole_Calc!A402,
IF(H374="MP",Pole_Calc!A403,
IF(H374="AnMP",Pole_Calc!A404,
IF(H374="A",Pole_Calc!A405,
IF(H374="S/A",Pole_Calc!A406,
IF(H374="A/S",Pole_Calc!A407,"Poner a mano")))))))</f>
        <v/>
      </c>
      <c r="BE374" s="448" t="s">
        <v>1726</v>
      </c>
      <c r="BF374" s="634"/>
      <c r="BG374" s="634"/>
      <c r="BH374" s="634"/>
      <c r="BI374" s="634"/>
    </row>
    <row r="375" spans="1:61" ht="16.2" customHeight="1">
      <c r="A375" s="12"/>
      <c r="B375" s="446"/>
      <c r="C375" s="89"/>
      <c r="D375" s="13"/>
      <c r="E375" s="14"/>
      <c r="F375" s="14"/>
      <c r="G375" s="15"/>
      <c r="H375" s="8"/>
      <c r="I375" s="8"/>
      <c r="J375" s="89"/>
      <c r="K375" s="8"/>
      <c r="L375" s="8"/>
      <c r="M375" s="8" t="str">
        <f>IF(L375="","",
IF(AX375="PT",VLOOKUP(L375,Foundation_Calc!$V$4:$X$37,VLOOKUP(AX375,Foundation_Calc!$I$10:$J$13,2,FALSE),0),
IF(AX375="K",VLOOKUP(L375,Foundation_Calc!$V$41:$X$74,VLOOKUP(AX375,Foundation_Calc!$I$10:$J$13,2,FALSE),0),"")))</f>
        <v/>
      </c>
      <c r="N375" s="8"/>
      <c r="O375" s="8"/>
      <c r="P375" s="8"/>
      <c r="Q375" s="14"/>
      <c r="R375" s="15"/>
      <c r="S375" s="15"/>
      <c r="T375" s="14"/>
      <c r="U375" s="14"/>
      <c r="V375" s="14"/>
      <c r="W375" s="18"/>
      <c r="X375" s="18"/>
      <c r="Y375" s="18"/>
      <c r="Z375" s="18"/>
      <c r="AA375" s="18"/>
      <c r="AB375" s="18"/>
      <c r="AC375" s="8" t="str">
        <f t="shared" si="90"/>
        <v/>
      </c>
      <c r="AD375" s="8"/>
      <c r="AE375" s="8"/>
      <c r="AF375" s="14"/>
      <c r="AG375" s="13"/>
      <c r="AH375" s="14"/>
      <c r="AI375" s="14"/>
      <c r="AJ375" s="8"/>
      <c r="AK375" s="8"/>
      <c r="AL375" s="8"/>
      <c r="AM375" s="8"/>
      <c r="AN375" s="631"/>
      <c r="AO375" s="18"/>
      <c r="AP375" s="18"/>
      <c r="AQ375" s="18"/>
      <c r="AR375" s="18"/>
      <c r="AS375" s="18"/>
      <c r="AU375" s="448"/>
      <c r="AV375" s="448"/>
      <c r="AW375" s="8" t="str">
        <f>IF(C375&gt;0,VLOOKUP(C375,Foundation_Calc!$A$2:$C$986,3,1),
IF(J375&gt;0,VLOOKUP(J375,Foundation_Calc!$A$2:$C$986,3,1),""))</f>
        <v/>
      </c>
      <c r="AX375" s="8" t="str">
        <f>IF(C375&gt;0,VLOOKUP(C375,Foundation_Calc!$E$2:$G$986,3,1),
IF(J375&gt;0,VLOOKUP(J375,Foundation_Calc!$E$2:$G$986,3,1),""))</f>
        <v/>
      </c>
      <c r="AY375" s="631" t="str">
        <f>IF(L375="","",
IF(AX375="PT",VLOOKUP(L375,Foundation_Calc!$K$4:$R$37,VLOOKUP(AW375,Foundation_Calc!$I$2:$J$8,2,FALSE),0),
IF(AX375="K",VLOOKUP(L375,Foundation_Calc!$K$41:$R$74,VLOOKUP(AW375,Foundation_Calc!$I$2:$J$8,2,FALSE),0),"")))</f>
        <v/>
      </c>
      <c r="AZ375" s="631" t="str">
        <f>IF(K375="","",
IF(AX375="PT",VLOOKUP(K375,Foundation_Calc!$K$4:$R$37,VLOOKUP(AW375,Foundation_Calc!$I$2:$J$8,2,FALSE),0),
IF(AX375="K",VLOOKUP(K375,Foundation_Calc!$K$41:$R$74,VLOOKUP(AW375,Foundation_Calc!$I$2:$J$8,2,FALSE),0),"")))</f>
        <v/>
      </c>
      <c r="BA375" s="632" t="str">
        <f t="shared" si="91"/>
        <v/>
      </c>
      <c r="BB375" s="632" t="str">
        <f t="shared" si="92"/>
        <v/>
      </c>
      <c r="BC375" s="632" t="str">
        <f t="shared" si="93"/>
        <v/>
      </c>
      <c r="BD375" s="633" t="str">
        <f>IF(AND(L375="",H375=""),"",
IF(H375="",Pole_Calc!A403,
IF(H375="MP",Pole_Calc!A404,
IF(H375="AnMP",Pole_Calc!A405,
IF(H375="A",Pole_Calc!A406,
IF(H375="S/A",Pole_Calc!A407,
IF(H375="A/S",Pole_Calc!A408,"Poner a mano")))))))</f>
        <v/>
      </c>
      <c r="BE375" s="448" t="s">
        <v>1726</v>
      </c>
      <c r="BF375" s="635"/>
      <c r="BG375" s="635"/>
      <c r="BH375" s="634"/>
      <c r="BI375" s="635"/>
    </row>
    <row r="376" spans="1:61" ht="16.2" customHeight="1">
      <c r="A376" s="12"/>
      <c r="B376" s="446"/>
      <c r="C376" s="89"/>
      <c r="D376" s="13"/>
      <c r="E376" s="14"/>
      <c r="F376" s="14"/>
      <c r="G376" s="15"/>
      <c r="H376" s="8"/>
      <c r="I376" s="8"/>
      <c r="J376" s="89"/>
      <c r="K376" s="8"/>
      <c r="L376" s="8"/>
      <c r="M376" s="8" t="str">
        <f>IF(L376="","",
IF(AX376="PT",VLOOKUP(L376,Foundation_Calc!$V$4:$X$37,VLOOKUP(AX376,Foundation_Calc!$I$10:$J$13,2,FALSE),0),
IF(AX376="K",VLOOKUP(L376,Foundation_Calc!$V$41:$X$74,VLOOKUP(AX376,Foundation_Calc!$I$10:$J$13,2,FALSE),0),"")))</f>
        <v/>
      </c>
      <c r="N376" s="8"/>
      <c r="O376" s="8"/>
      <c r="P376" s="8"/>
      <c r="Q376" s="14"/>
      <c r="R376" s="15"/>
      <c r="S376" s="15"/>
      <c r="T376" s="14"/>
      <c r="U376" s="14"/>
      <c r="V376" s="14"/>
      <c r="W376" s="18"/>
      <c r="X376" s="18"/>
      <c r="Y376" s="18"/>
      <c r="Z376" s="18"/>
      <c r="AA376" s="18"/>
      <c r="AB376" s="18"/>
      <c r="AC376" s="8" t="str">
        <f t="shared" si="90"/>
        <v/>
      </c>
      <c r="AD376" s="8"/>
      <c r="AE376" s="8"/>
      <c r="AF376" s="14"/>
      <c r="AG376" s="13"/>
      <c r="AH376" s="14"/>
      <c r="AI376" s="14"/>
      <c r="AJ376" s="8"/>
      <c r="AK376" s="8"/>
      <c r="AL376" s="8"/>
      <c r="AM376" s="8"/>
      <c r="AN376" s="631"/>
      <c r="AO376" s="18"/>
      <c r="AP376" s="18"/>
      <c r="AQ376" s="18"/>
      <c r="AR376" s="18"/>
      <c r="AS376" s="18"/>
      <c r="AU376" s="448"/>
      <c r="AV376" s="448"/>
      <c r="AW376" s="8" t="str">
        <f>IF(C376&gt;0,VLOOKUP(C376,Foundation_Calc!$A$2:$C$986,3,1),
IF(J376&gt;0,VLOOKUP(J376,Foundation_Calc!$A$2:$C$986,3,1),""))</f>
        <v/>
      </c>
      <c r="AX376" s="8" t="str">
        <f>IF(C376&gt;0,VLOOKUP(C376,Foundation_Calc!$E$2:$G$986,3,1),
IF(J376&gt;0,VLOOKUP(J376,Foundation_Calc!$E$2:$G$986,3,1),""))</f>
        <v/>
      </c>
      <c r="AY376" s="631" t="str">
        <f>IF(L376="","",
IF(AX376="PT",VLOOKUP(L376,Foundation_Calc!$K$4:$R$37,VLOOKUP(AW376,Foundation_Calc!$I$2:$J$8,2,FALSE),0),
IF(AX376="K",VLOOKUP(L376,Foundation_Calc!$K$41:$R$74,VLOOKUP(AW376,Foundation_Calc!$I$2:$J$8,2,FALSE),0),"")))</f>
        <v/>
      </c>
      <c r="AZ376" s="631" t="str">
        <f>IF(K376="","",
IF(AX376="PT",VLOOKUP(K376,Foundation_Calc!$K$4:$R$37,VLOOKUP(AW376,Foundation_Calc!$I$2:$J$8,2,FALSE),0),
IF(AX376="K",VLOOKUP(K376,Foundation_Calc!$K$41:$R$74,VLOOKUP(AW376,Foundation_Calc!$I$2:$J$8,2,FALSE),0),"")))</f>
        <v/>
      </c>
      <c r="BA376" s="632" t="str">
        <f t="shared" si="91"/>
        <v/>
      </c>
      <c r="BB376" s="632" t="str">
        <f t="shared" si="92"/>
        <v/>
      </c>
      <c r="BC376" s="632" t="str">
        <f t="shared" si="93"/>
        <v/>
      </c>
      <c r="BD376" s="633" t="str">
        <f>IF(AND(L376="",H376=""),"",
IF(H376="",Pole_Calc!A404,
IF(H376="MP",Pole_Calc!A405,
IF(H376="AnMP",Pole_Calc!A406,
IF(H376="A",Pole_Calc!A407,
IF(H376="S/A",Pole_Calc!A408,
IF(H376="A/S",Pole_Calc!A409,"Poner a mano")))))))</f>
        <v/>
      </c>
      <c r="BE376" s="448" t="s">
        <v>1726</v>
      </c>
      <c r="BF376" s="634"/>
      <c r="BG376" s="634"/>
      <c r="BH376" s="634"/>
      <c r="BI376" s="634"/>
    </row>
    <row r="377" spans="1:61" ht="16.2" customHeight="1">
      <c r="A377" s="12"/>
      <c r="B377" s="446"/>
      <c r="C377" s="89"/>
      <c r="D377" s="13"/>
      <c r="E377" s="14"/>
      <c r="F377" s="14"/>
      <c r="G377" s="15"/>
      <c r="H377" s="8"/>
      <c r="I377" s="8"/>
      <c r="J377" s="89"/>
      <c r="K377" s="8"/>
      <c r="L377" s="8"/>
      <c r="M377" s="8" t="str">
        <f>IF(L377="","",
IF(AX377="PT",VLOOKUP(L377,Foundation_Calc!$V$4:$X$37,VLOOKUP(AX377,Foundation_Calc!$I$10:$J$13,2,FALSE),0),
IF(AX377="K",VLOOKUP(L377,Foundation_Calc!$V$41:$X$74,VLOOKUP(AX377,Foundation_Calc!$I$10:$J$13,2,FALSE),0),"")))</f>
        <v/>
      </c>
      <c r="N377" s="8"/>
      <c r="O377" s="8"/>
      <c r="P377" s="8"/>
      <c r="Q377" s="14"/>
      <c r="R377" s="15"/>
      <c r="S377" s="15"/>
      <c r="T377" s="14"/>
      <c r="U377" s="14"/>
      <c r="V377" s="14"/>
      <c r="W377" s="18"/>
      <c r="X377" s="18"/>
      <c r="Y377" s="18"/>
      <c r="Z377" s="18"/>
      <c r="AA377" s="18"/>
      <c r="AB377" s="18"/>
      <c r="AC377" s="8" t="str">
        <f t="shared" si="90"/>
        <v/>
      </c>
      <c r="AD377" s="8"/>
      <c r="AE377" s="8"/>
      <c r="AF377" s="14"/>
      <c r="AG377" s="13"/>
      <c r="AH377" s="14"/>
      <c r="AI377" s="14"/>
      <c r="AJ377" s="8"/>
      <c r="AK377" s="8"/>
      <c r="AL377" s="8"/>
      <c r="AM377" s="8"/>
      <c r="AN377" s="631"/>
      <c r="AO377" s="18"/>
      <c r="AP377" s="18"/>
      <c r="AQ377" s="18"/>
      <c r="AR377" s="18"/>
      <c r="AS377" s="18"/>
      <c r="AU377" s="448"/>
      <c r="AV377" s="448"/>
      <c r="AW377" s="8" t="str">
        <f>IF(C377&gt;0,VLOOKUP(C377,Foundation_Calc!$A$2:$C$986,3,1),
IF(J377&gt;0,VLOOKUP(J377,Foundation_Calc!$A$2:$C$986,3,1),""))</f>
        <v/>
      </c>
      <c r="AX377" s="8" t="str">
        <f>IF(C377&gt;0,VLOOKUP(C377,Foundation_Calc!$E$2:$G$986,3,1),
IF(J377&gt;0,VLOOKUP(J377,Foundation_Calc!$E$2:$G$986,3,1),""))</f>
        <v/>
      </c>
      <c r="AY377" s="631" t="str">
        <f>IF(L377="","",
IF(AX377="PT",VLOOKUP(L377,Foundation_Calc!$K$4:$R$37,VLOOKUP(AW377,Foundation_Calc!$I$2:$J$8,2,FALSE),0),
IF(AX377="K",VLOOKUP(L377,Foundation_Calc!$K$41:$R$74,VLOOKUP(AW377,Foundation_Calc!$I$2:$J$8,2,FALSE),0),"")))</f>
        <v/>
      </c>
      <c r="AZ377" s="631" t="str">
        <f>IF(K377="","",
IF(AX377="PT",VLOOKUP(K377,Foundation_Calc!$K$4:$R$37,VLOOKUP(AW377,Foundation_Calc!$I$2:$J$8,2,FALSE),0),
IF(AX377="K",VLOOKUP(K377,Foundation_Calc!$K$41:$R$74,VLOOKUP(AW377,Foundation_Calc!$I$2:$J$8,2,FALSE),0),"")))</f>
        <v/>
      </c>
      <c r="BA377" s="632" t="str">
        <f t="shared" si="91"/>
        <v/>
      </c>
      <c r="BB377" s="632" t="str">
        <f t="shared" si="92"/>
        <v/>
      </c>
      <c r="BC377" s="632" t="str">
        <f t="shared" si="93"/>
        <v/>
      </c>
      <c r="BD377" s="633" t="str">
        <f>IF(AND(L377="",H377=""),"",
IF(H377="",Pole_Calc!A405,
IF(H377="MP",Pole_Calc!A406,
IF(H377="AnMP",Pole_Calc!A407,
IF(H377="A",Pole_Calc!A408,
IF(H377="S/A",Pole_Calc!A409,
IF(H377="A/S",Pole_Calc!A410,"Poner a mano")))))))</f>
        <v/>
      </c>
      <c r="BE377" s="448" t="s">
        <v>1726</v>
      </c>
      <c r="BF377" s="635"/>
      <c r="BG377" s="635"/>
      <c r="BH377" s="634"/>
      <c r="BI377" s="635"/>
    </row>
    <row r="378" spans="1:61" ht="16.2" customHeight="1">
      <c r="A378" s="12"/>
      <c r="B378" s="446"/>
      <c r="C378" s="89"/>
      <c r="D378" s="13"/>
      <c r="E378" s="14"/>
      <c r="F378" s="14"/>
      <c r="G378" s="15"/>
      <c r="H378" s="8"/>
      <c r="I378" s="8"/>
      <c r="J378" s="89"/>
      <c r="K378" s="8"/>
      <c r="L378" s="8"/>
      <c r="M378" s="8" t="str">
        <f>IF(L378="","",
IF(AX378="PT",VLOOKUP(L378,Foundation_Calc!$V$4:$X$37,VLOOKUP(AX378,Foundation_Calc!$I$10:$J$13,2,FALSE),0),
IF(AX378="K",VLOOKUP(L378,Foundation_Calc!$V$41:$X$74,VLOOKUP(AX378,Foundation_Calc!$I$10:$J$13,2,FALSE),0),"")))</f>
        <v/>
      </c>
      <c r="N378" s="8"/>
      <c r="O378" s="8"/>
      <c r="P378" s="8"/>
      <c r="Q378" s="14"/>
      <c r="R378" s="15"/>
      <c r="S378" s="15"/>
      <c r="T378" s="14"/>
      <c r="U378" s="14"/>
      <c r="V378" s="14"/>
      <c r="W378" s="18"/>
      <c r="X378" s="18"/>
      <c r="Y378" s="18"/>
      <c r="Z378" s="18"/>
      <c r="AA378" s="18"/>
      <c r="AB378" s="18"/>
      <c r="AC378" s="8" t="str">
        <f t="shared" si="90"/>
        <v/>
      </c>
      <c r="AD378" s="8"/>
      <c r="AE378" s="8"/>
      <c r="AF378" s="14"/>
      <c r="AG378" s="13"/>
      <c r="AH378" s="14"/>
      <c r="AI378" s="14"/>
      <c r="AJ378" s="8"/>
      <c r="AK378" s="8"/>
      <c r="AL378" s="8"/>
      <c r="AM378" s="8"/>
      <c r="AN378" s="631"/>
      <c r="AO378" s="18"/>
      <c r="AP378" s="18"/>
      <c r="AQ378" s="18"/>
      <c r="AR378" s="18"/>
      <c r="AS378" s="18"/>
      <c r="AU378" s="448"/>
      <c r="AV378" s="448"/>
      <c r="AW378" s="8" t="str">
        <f>IF(C378&gt;0,VLOOKUP(C378,Foundation_Calc!$A$2:$C$986,3,1),
IF(J378&gt;0,VLOOKUP(J378,Foundation_Calc!$A$2:$C$986,3,1),""))</f>
        <v/>
      </c>
      <c r="AX378" s="8" t="str">
        <f>IF(C378&gt;0,VLOOKUP(C378,Foundation_Calc!$E$2:$G$986,3,1),
IF(J378&gt;0,VLOOKUP(J378,Foundation_Calc!$E$2:$G$986,3,1),""))</f>
        <v/>
      </c>
      <c r="AY378" s="631" t="str">
        <f>IF(L378="","",
IF(AX378="PT",VLOOKUP(L378,Foundation_Calc!$K$4:$R$37,VLOOKUP(AW378,Foundation_Calc!$I$2:$J$8,2,FALSE),0),
IF(AX378="K",VLOOKUP(L378,Foundation_Calc!$K$41:$R$74,VLOOKUP(AW378,Foundation_Calc!$I$2:$J$8,2,FALSE),0),"")))</f>
        <v/>
      </c>
      <c r="AZ378" s="631" t="str">
        <f>IF(K378="","",
IF(AX378="PT",VLOOKUP(K378,Foundation_Calc!$K$4:$R$37,VLOOKUP(AW378,Foundation_Calc!$I$2:$J$8,2,FALSE),0),
IF(AX378="K",VLOOKUP(K378,Foundation_Calc!$K$41:$R$74,VLOOKUP(AW378,Foundation_Calc!$I$2:$J$8,2,FALSE),0),"")))</f>
        <v/>
      </c>
      <c r="BA378" s="632" t="str">
        <f t="shared" si="91"/>
        <v/>
      </c>
      <c r="BB378" s="632" t="str">
        <f t="shared" si="92"/>
        <v/>
      </c>
      <c r="BC378" s="632" t="str">
        <f t="shared" si="93"/>
        <v/>
      </c>
      <c r="BD378" s="633" t="str">
        <f>IF(AND(L378="",H378=""),"",
IF(H378="",Pole_Calc!A406,
IF(H378="MP",Pole_Calc!A407,
IF(H378="AnMP",Pole_Calc!A408,
IF(H378="A",Pole_Calc!A409,
IF(H378="S/A",Pole_Calc!A410,
IF(H378="A/S",Pole_Calc!A411,"Poner a mano")))))))</f>
        <v/>
      </c>
      <c r="BE378" s="448" t="s">
        <v>1726</v>
      </c>
      <c r="BF378" s="634"/>
      <c r="BG378" s="634"/>
      <c r="BH378" s="634"/>
      <c r="BI378" s="634"/>
    </row>
    <row r="379" spans="1:61" ht="16.2" customHeight="1">
      <c r="A379" s="12"/>
      <c r="B379" s="446"/>
      <c r="C379" s="89"/>
      <c r="D379" s="13"/>
      <c r="E379" s="14"/>
      <c r="F379" s="14"/>
      <c r="G379" s="15"/>
      <c r="H379" s="8"/>
      <c r="I379" s="8"/>
      <c r="J379" s="89"/>
      <c r="K379" s="8"/>
      <c r="L379" s="8"/>
      <c r="M379" s="8" t="str">
        <f>IF(L379="","",
IF(AX379="PT",VLOOKUP(L379,Foundation_Calc!$V$4:$X$37,VLOOKUP(AX379,Foundation_Calc!$I$10:$J$13,2,FALSE),0),
IF(AX379="K",VLOOKUP(L379,Foundation_Calc!$V$41:$X$74,VLOOKUP(AX379,Foundation_Calc!$I$10:$J$13,2,FALSE),0),"")))</f>
        <v/>
      </c>
      <c r="N379" s="8"/>
      <c r="O379" s="8"/>
      <c r="P379" s="8"/>
      <c r="Q379" s="14"/>
      <c r="R379" s="15"/>
      <c r="S379" s="15"/>
      <c r="T379" s="14"/>
      <c r="U379" s="14"/>
      <c r="V379" s="14"/>
      <c r="W379" s="18"/>
      <c r="X379" s="18"/>
      <c r="Y379" s="18"/>
      <c r="Z379" s="18"/>
      <c r="AA379" s="18"/>
      <c r="AB379" s="18"/>
      <c r="AC379" s="8" t="str">
        <f t="shared" si="90"/>
        <v/>
      </c>
      <c r="AD379" s="8"/>
      <c r="AE379" s="8"/>
      <c r="AF379" s="14"/>
      <c r="AG379" s="13"/>
      <c r="AH379" s="14"/>
      <c r="AI379" s="14"/>
      <c r="AJ379" s="8"/>
      <c r="AK379" s="8"/>
      <c r="AL379" s="8"/>
      <c r="AM379" s="8"/>
      <c r="AN379" s="631"/>
      <c r="AO379" s="18"/>
      <c r="AP379" s="18"/>
      <c r="AQ379" s="18"/>
      <c r="AR379" s="18"/>
      <c r="AS379" s="18"/>
      <c r="AU379" s="448"/>
      <c r="AV379" s="448"/>
      <c r="AW379" s="8" t="str">
        <f>IF(C379&gt;0,VLOOKUP(C379,Foundation_Calc!$A$2:$C$986,3,1),
IF(J379&gt;0,VLOOKUP(J379,Foundation_Calc!$A$2:$C$986,3,1),""))</f>
        <v/>
      </c>
      <c r="AX379" s="8" t="str">
        <f>IF(C379&gt;0,VLOOKUP(C379,Foundation_Calc!$E$2:$G$986,3,1),
IF(J379&gt;0,VLOOKUP(J379,Foundation_Calc!$E$2:$G$986,3,1),""))</f>
        <v/>
      </c>
      <c r="AY379" s="631" t="str">
        <f>IF(L379="","",
IF(AX379="PT",VLOOKUP(L379,Foundation_Calc!$K$4:$R$37,VLOOKUP(AW379,Foundation_Calc!$I$2:$J$8,2,FALSE),0),
IF(AX379="K",VLOOKUP(L379,Foundation_Calc!$K$41:$R$74,VLOOKUP(AW379,Foundation_Calc!$I$2:$J$8,2,FALSE),0),"")))</f>
        <v/>
      </c>
      <c r="AZ379" s="631" t="str">
        <f>IF(K379="","",
IF(AX379="PT",VLOOKUP(K379,Foundation_Calc!$K$4:$R$37,VLOOKUP(AW379,Foundation_Calc!$I$2:$J$8,2,FALSE),0),
IF(AX379="K",VLOOKUP(K379,Foundation_Calc!$K$41:$R$74,VLOOKUP(AW379,Foundation_Calc!$I$2:$J$8,2,FALSE),0),"")))</f>
        <v/>
      </c>
      <c r="BA379" s="632" t="str">
        <f t="shared" si="91"/>
        <v/>
      </c>
      <c r="BB379" s="632" t="str">
        <f t="shared" si="92"/>
        <v/>
      </c>
      <c r="BC379" s="632" t="str">
        <f t="shared" si="93"/>
        <v/>
      </c>
      <c r="BD379" s="633" t="str">
        <f>IF(AND(L379="",H379=""),"",
IF(H379="",Pole_Calc!A407,
IF(H379="MP",Pole_Calc!A408,
IF(H379="AnMP",Pole_Calc!A409,
IF(H379="A",Pole_Calc!A410,
IF(H379="S/A",Pole_Calc!A411,
IF(H379="A/S",Pole_Calc!A412,"Poner a mano")))))))</f>
        <v/>
      </c>
      <c r="BE379" s="448" t="s">
        <v>1726</v>
      </c>
      <c r="BF379" s="635"/>
      <c r="BG379" s="635"/>
      <c r="BH379" s="634"/>
      <c r="BI379" s="635"/>
    </row>
    <row r="380" spans="1:61" ht="16.2" customHeight="1">
      <c r="A380" s="12"/>
      <c r="B380" s="446"/>
      <c r="C380" s="89"/>
      <c r="D380" s="13"/>
      <c r="E380" s="14"/>
      <c r="F380" s="14"/>
      <c r="G380" s="15"/>
      <c r="H380" s="8"/>
      <c r="I380" s="8"/>
      <c r="J380" s="89"/>
      <c r="K380" s="8"/>
      <c r="L380" s="8"/>
      <c r="M380" s="8" t="str">
        <f>IF(L380="","",
IF(AX380="PT",VLOOKUP(L380,Foundation_Calc!$V$4:$X$37,VLOOKUP(AX380,Foundation_Calc!$I$10:$J$13,2,FALSE),0),
IF(AX380="K",VLOOKUP(L380,Foundation_Calc!$V$41:$X$74,VLOOKUP(AX380,Foundation_Calc!$I$10:$J$13,2,FALSE),0),"")))</f>
        <v/>
      </c>
      <c r="N380" s="8"/>
      <c r="O380" s="8"/>
      <c r="P380" s="8"/>
      <c r="Q380" s="14"/>
      <c r="R380" s="15"/>
      <c r="S380" s="15"/>
      <c r="T380" s="14"/>
      <c r="U380" s="14"/>
      <c r="V380" s="14"/>
      <c r="W380" s="18"/>
      <c r="X380" s="18"/>
      <c r="Y380" s="18"/>
      <c r="Z380" s="18"/>
      <c r="AA380" s="18"/>
      <c r="AB380" s="18"/>
      <c r="AC380" s="8" t="str">
        <f t="shared" si="90"/>
        <v/>
      </c>
      <c r="AD380" s="8"/>
      <c r="AE380" s="8"/>
      <c r="AF380" s="14"/>
      <c r="AG380" s="13"/>
      <c r="AH380" s="14"/>
      <c r="AI380" s="14"/>
      <c r="AJ380" s="8"/>
      <c r="AK380" s="8"/>
      <c r="AL380" s="8"/>
      <c r="AM380" s="8"/>
      <c r="AN380" s="631"/>
      <c r="AO380" s="18"/>
      <c r="AP380" s="18"/>
      <c r="AQ380" s="18"/>
      <c r="AR380" s="18"/>
      <c r="AS380" s="18"/>
      <c r="AU380" s="448"/>
      <c r="AV380" s="448"/>
      <c r="AW380" s="8" t="str">
        <f>IF(C380&gt;0,VLOOKUP(C380,Foundation_Calc!$A$2:$C$986,3,1),
IF(J380&gt;0,VLOOKUP(J380,Foundation_Calc!$A$2:$C$986,3,1),""))</f>
        <v/>
      </c>
      <c r="AX380" s="8" t="str">
        <f>IF(C380&gt;0,VLOOKUP(C380,Foundation_Calc!$E$2:$G$986,3,1),
IF(J380&gt;0,VLOOKUP(J380,Foundation_Calc!$E$2:$G$986,3,1),""))</f>
        <v/>
      </c>
      <c r="AY380" s="631" t="str">
        <f>IF(L380="","",
IF(AX380="PT",VLOOKUP(L380,Foundation_Calc!$K$4:$R$37,VLOOKUP(AW380,Foundation_Calc!$I$2:$J$8,2,FALSE),0),
IF(AX380="K",VLOOKUP(L380,Foundation_Calc!$K$41:$R$74,VLOOKUP(AW380,Foundation_Calc!$I$2:$J$8,2,FALSE),0),"")))</f>
        <v/>
      </c>
      <c r="AZ380" s="631" t="str">
        <f>IF(K380="","",
IF(AX380="PT",VLOOKUP(K380,Foundation_Calc!$K$4:$R$37,VLOOKUP(AW380,Foundation_Calc!$I$2:$J$8,2,FALSE),0),
IF(AX380="K",VLOOKUP(K380,Foundation_Calc!$K$41:$R$74,VLOOKUP(AW380,Foundation_Calc!$I$2:$J$8,2,FALSE),0),"")))</f>
        <v/>
      </c>
      <c r="BA380" s="632" t="str">
        <f t="shared" si="91"/>
        <v/>
      </c>
      <c r="BB380" s="632" t="str">
        <f t="shared" si="92"/>
        <v/>
      </c>
      <c r="BC380" s="632" t="str">
        <f t="shared" si="93"/>
        <v/>
      </c>
      <c r="BD380" s="633" t="str">
        <f>IF(AND(L380="",H380=""),"",
IF(H380="",Pole_Calc!A408,
IF(H380="MP",Pole_Calc!A409,
IF(H380="AnMP",Pole_Calc!A410,
IF(H380="A",Pole_Calc!A411,
IF(H380="S/A",Pole_Calc!A412,
IF(H380="A/S",Pole_Calc!A413,"Poner a mano")))))))</f>
        <v/>
      </c>
      <c r="BE380" s="448" t="s">
        <v>1726</v>
      </c>
      <c r="BF380" s="634"/>
      <c r="BG380" s="634"/>
      <c r="BH380" s="634"/>
      <c r="BI380" s="634"/>
    </row>
    <row r="381" spans="1:61" ht="16.2" customHeight="1">
      <c r="A381" s="12"/>
      <c r="B381" s="446"/>
      <c r="C381" s="89"/>
      <c r="D381" s="13"/>
      <c r="E381" s="14"/>
      <c r="F381" s="14"/>
      <c r="G381" s="15"/>
      <c r="H381" s="8"/>
      <c r="I381" s="8"/>
      <c r="J381" s="89"/>
      <c r="K381" s="8"/>
      <c r="L381" s="8"/>
      <c r="M381" s="8" t="str">
        <f>IF(L381="","",
IF(AX381="PT",VLOOKUP(L381,Foundation_Calc!$V$4:$X$37,VLOOKUP(AX381,Foundation_Calc!$I$10:$J$13,2,FALSE),0),
IF(AX381="K",VLOOKUP(L381,Foundation_Calc!$V$41:$X$74,VLOOKUP(AX381,Foundation_Calc!$I$10:$J$13,2,FALSE),0),"")))</f>
        <v/>
      </c>
      <c r="N381" s="8"/>
      <c r="O381" s="8"/>
      <c r="P381" s="8"/>
      <c r="Q381" s="14"/>
      <c r="R381" s="15"/>
      <c r="S381" s="15"/>
      <c r="T381" s="14"/>
      <c r="U381" s="14"/>
      <c r="V381" s="14"/>
      <c r="W381" s="18"/>
      <c r="X381" s="18"/>
      <c r="Y381" s="18"/>
      <c r="Z381" s="18"/>
      <c r="AA381" s="18"/>
      <c r="AB381" s="18"/>
      <c r="AC381" s="8" t="str">
        <f t="shared" si="90"/>
        <v/>
      </c>
      <c r="AD381" s="8"/>
      <c r="AE381" s="8"/>
      <c r="AF381" s="14"/>
      <c r="AG381" s="13"/>
      <c r="AH381" s="14"/>
      <c r="AI381" s="14"/>
      <c r="AJ381" s="8"/>
      <c r="AK381" s="8"/>
      <c r="AL381" s="8"/>
      <c r="AM381" s="8"/>
      <c r="AN381" s="631"/>
      <c r="AO381" s="18"/>
      <c r="AP381" s="18"/>
      <c r="AQ381" s="18"/>
      <c r="AR381" s="18"/>
      <c r="AS381" s="18"/>
      <c r="AU381" s="448"/>
      <c r="AV381" s="448"/>
      <c r="AW381" s="8" t="str">
        <f>IF(C381&gt;0,VLOOKUP(C381,Foundation_Calc!$A$2:$C$986,3,1),
IF(J381&gt;0,VLOOKUP(J381,Foundation_Calc!$A$2:$C$986,3,1),""))</f>
        <v/>
      </c>
      <c r="AX381" s="8" t="str">
        <f>IF(C381&gt;0,VLOOKUP(C381,Foundation_Calc!$E$2:$G$986,3,1),
IF(J381&gt;0,VLOOKUP(J381,Foundation_Calc!$E$2:$G$986,3,1),""))</f>
        <v/>
      </c>
      <c r="AY381" s="631" t="str">
        <f>IF(L381="","",
IF(AX381="PT",VLOOKUP(L381,Foundation_Calc!$K$4:$R$37,VLOOKUP(AW381,Foundation_Calc!$I$2:$J$8,2,FALSE),0),
IF(AX381="K",VLOOKUP(L381,Foundation_Calc!$K$41:$R$74,VLOOKUP(AW381,Foundation_Calc!$I$2:$J$8,2,FALSE),0),"")))</f>
        <v/>
      </c>
      <c r="AZ381" s="631" t="str">
        <f>IF(K381="","",
IF(AX381="PT",VLOOKUP(K381,Foundation_Calc!$K$4:$R$37,VLOOKUP(AW381,Foundation_Calc!$I$2:$J$8,2,FALSE),0),
IF(AX381="K",VLOOKUP(K381,Foundation_Calc!$K$41:$R$74,VLOOKUP(AW381,Foundation_Calc!$I$2:$J$8,2,FALSE),0),"")))</f>
        <v/>
      </c>
      <c r="BA381" s="632" t="str">
        <f t="shared" si="91"/>
        <v/>
      </c>
      <c r="BB381" s="632" t="str">
        <f t="shared" si="92"/>
        <v/>
      </c>
      <c r="BC381" s="632" t="str">
        <f t="shared" si="93"/>
        <v/>
      </c>
      <c r="BD381" s="633" t="str">
        <f>IF(AND(L381="",H381=""),"",
IF(H381="",Pole_Calc!A409,
IF(H381="MP",Pole_Calc!A410,
IF(H381="AnMP",Pole_Calc!A411,
IF(H381="A",Pole_Calc!A412,
IF(H381="S/A",Pole_Calc!A413,
IF(H381="A/S",Pole_Calc!A414,"Poner a mano")))))))</f>
        <v/>
      </c>
      <c r="BE381" s="448" t="s">
        <v>1726</v>
      </c>
      <c r="BF381" s="635"/>
      <c r="BG381" s="635"/>
      <c r="BH381" s="634"/>
      <c r="BI381" s="635"/>
    </row>
    <row r="382" spans="1:61" ht="16.2" customHeight="1">
      <c r="A382" s="12"/>
      <c r="B382" s="446"/>
      <c r="C382" s="89"/>
      <c r="D382" s="13"/>
      <c r="E382" s="14"/>
      <c r="F382" s="14"/>
      <c r="G382" s="15"/>
      <c r="H382" s="8"/>
      <c r="I382" s="8"/>
      <c r="J382" s="89"/>
      <c r="K382" s="8"/>
      <c r="L382" s="8"/>
      <c r="M382" s="8" t="str">
        <f>IF(L382="","",
IF(AX382="PT",VLOOKUP(L382,Foundation_Calc!$V$4:$X$37,VLOOKUP(AX382,Foundation_Calc!$I$10:$J$13,2,FALSE),0),
IF(AX382="K",VLOOKUP(L382,Foundation_Calc!$V$41:$X$74,VLOOKUP(AX382,Foundation_Calc!$I$10:$J$13,2,FALSE),0),"")))</f>
        <v/>
      </c>
      <c r="N382" s="8"/>
      <c r="O382" s="8"/>
      <c r="P382" s="8"/>
      <c r="Q382" s="14"/>
      <c r="R382" s="15"/>
      <c r="S382" s="15"/>
      <c r="T382" s="14"/>
      <c r="U382" s="14"/>
      <c r="V382" s="14"/>
      <c r="W382" s="18"/>
      <c r="X382" s="18"/>
      <c r="Y382" s="18"/>
      <c r="Z382" s="18"/>
      <c r="AA382" s="18"/>
      <c r="AB382" s="18"/>
      <c r="AC382" s="8" t="str">
        <f t="shared" si="90"/>
        <v/>
      </c>
      <c r="AD382" s="8"/>
      <c r="AE382" s="8"/>
      <c r="AF382" s="14"/>
      <c r="AG382" s="13"/>
      <c r="AH382" s="14"/>
      <c r="AI382" s="14"/>
      <c r="AJ382" s="8"/>
      <c r="AK382" s="8"/>
      <c r="AL382" s="8"/>
      <c r="AM382" s="8"/>
      <c r="AN382" s="631"/>
      <c r="AO382" s="18"/>
      <c r="AP382" s="18"/>
      <c r="AQ382" s="18"/>
      <c r="AR382" s="18"/>
      <c r="AS382" s="18"/>
      <c r="AU382" s="448"/>
      <c r="AV382" s="448"/>
      <c r="AW382" s="8" t="str">
        <f>IF(C382&gt;0,VLOOKUP(C382,Foundation_Calc!$A$2:$C$986,3,1),
IF(J382&gt;0,VLOOKUP(J382,Foundation_Calc!$A$2:$C$986,3,1),""))</f>
        <v/>
      </c>
      <c r="AX382" s="8" t="str">
        <f>IF(C382&gt;0,VLOOKUP(C382,Foundation_Calc!$E$2:$G$986,3,1),
IF(J382&gt;0,VLOOKUP(J382,Foundation_Calc!$E$2:$G$986,3,1),""))</f>
        <v/>
      </c>
      <c r="AY382" s="631" t="str">
        <f>IF(L382="","",
IF(AX382="PT",VLOOKUP(L382,Foundation_Calc!$K$4:$R$37,VLOOKUP(AW382,Foundation_Calc!$I$2:$J$8,2,FALSE),0),
IF(AX382="K",VLOOKUP(L382,Foundation_Calc!$K$41:$R$74,VLOOKUP(AW382,Foundation_Calc!$I$2:$J$8,2,FALSE),0),"")))</f>
        <v/>
      </c>
      <c r="AZ382" s="631" t="str">
        <f>IF(K382="","",
IF(AX382="PT",VLOOKUP(K382,Foundation_Calc!$K$4:$R$37,VLOOKUP(AW382,Foundation_Calc!$I$2:$J$8,2,FALSE),0),
IF(AX382="K",VLOOKUP(K382,Foundation_Calc!$K$41:$R$74,VLOOKUP(AW382,Foundation_Calc!$I$2:$J$8,2,FALSE),0),"")))</f>
        <v/>
      </c>
      <c r="BA382" s="632" t="str">
        <f t="shared" si="91"/>
        <v/>
      </c>
      <c r="BB382" s="632" t="str">
        <f t="shared" si="92"/>
        <v/>
      </c>
      <c r="BC382" s="632" t="str">
        <f t="shared" si="93"/>
        <v/>
      </c>
      <c r="BD382" s="633" t="str">
        <f>IF(AND(L382="",H382=""),"",
IF(H382="",Pole_Calc!A410,
IF(H382="MP",Pole_Calc!A411,
IF(H382="AnMP",Pole_Calc!A412,
IF(H382="A",Pole_Calc!A413,
IF(H382="S/A",Pole_Calc!A414,
IF(H382="A/S",Pole_Calc!A415,"Poner a mano")))))))</f>
        <v/>
      </c>
      <c r="BE382" s="448" t="s">
        <v>1726</v>
      </c>
      <c r="BF382" s="634"/>
      <c r="BG382" s="634"/>
      <c r="BH382" s="634"/>
      <c r="BI382" s="634"/>
    </row>
    <row r="383" spans="1:61" ht="16.2" customHeight="1">
      <c r="A383" s="12"/>
      <c r="B383" s="446"/>
      <c r="C383" s="89"/>
      <c r="D383" s="13"/>
      <c r="E383" s="14"/>
      <c r="F383" s="14"/>
      <c r="G383" s="15"/>
      <c r="H383" s="8"/>
      <c r="I383" s="8"/>
      <c r="J383" s="89"/>
      <c r="K383" s="8"/>
      <c r="L383" s="8"/>
      <c r="M383" s="8" t="str">
        <f>IF(L383="","",
IF(AX383="PT",VLOOKUP(L383,Foundation_Calc!$V$4:$X$37,VLOOKUP(AX383,Foundation_Calc!$I$10:$J$13,2,FALSE),0),
IF(AX383="K",VLOOKUP(L383,Foundation_Calc!$V$41:$X$74,VLOOKUP(AX383,Foundation_Calc!$I$10:$J$13,2,FALSE),0),"")))</f>
        <v/>
      </c>
      <c r="N383" s="8"/>
      <c r="O383" s="8"/>
      <c r="P383" s="8"/>
      <c r="Q383" s="14"/>
      <c r="R383" s="15"/>
      <c r="S383" s="15"/>
      <c r="T383" s="14"/>
      <c r="U383" s="14"/>
      <c r="V383" s="14"/>
      <c r="W383" s="18"/>
      <c r="X383" s="18"/>
      <c r="Y383" s="18"/>
      <c r="Z383" s="18"/>
      <c r="AA383" s="18"/>
      <c r="AB383" s="18"/>
      <c r="AC383" s="8" t="str">
        <f t="shared" si="90"/>
        <v/>
      </c>
      <c r="AD383" s="8"/>
      <c r="AE383" s="8"/>
      <c r="AF383" s="14"/>
      <c r="AG383" s="13"/>
      <c r="AH383" s="14"/>
      <c r="AI383" s="14"/>
      <c r="AJ383" s="8"/>
      <c r="AK383" s="8"/>
      <c r="AL383" s="8"/>
      <c r="AM383" s="8"/>
      <c r="AN383" s="631"/>
      <c r="AO383" s="18"/>
      <c r="AP383" s="18"/>
      <c r="AQ383" s="18"/>
      <c r="AR383" s="18"/>
      <c r="AS383" s="18"/>
      <c r="AU383" s="448"/>
      <c r="AV383" s="448"/>
      <c r="AW383" s="8" t="str">
        <f>IF(C383&gt;0,VLOOKUP(C383,Foundation_Calc!$A$2:$C$986,3,1),
IF(J383&gt;0,VLOOKUP(J383,Foundation_Calc!$A$2:$C$986,3,1),""))</f>
        <v/>
      </c>
      <c r="AX383" s="8" t="str">
        <f>IF(C383&gt;0,VLOOKUP(C383,Foundation_Calc!$E$2:$G$986,3,1),
IF(J383&gt;0,VLOOKUP(J383,Foundation_Calc!$E$2:$G$986,3,1),""))</f>
        <v/>
      </c>
      <c r="AY383" s="631" t="str">
        <f>IF(L383="","",
IF(AX383="PT",VLOOKUP(L383,Foundation_Calc!$K$4:$R$37,VLOOKUP(AW383,Foundation_Calc!$I$2:$J$8,2,FALSE),0),
IF(AX383="K",VLOOKUP(L383,Foundation_Calc!$K$41:$R$74,VLOOKUP(AW383,Foundation_Calc!$I$2:$J$8,2,FALSE),0),"")))</f>
        <v/>
      </c>
      <c r="AZ383" s="631" t="str">
        <f>IF(K383="","",
IF(AX383="PT",VLOOKUP(K383,Foundation_Calc!$K$4:$R$37,VLOOKUP(AW383,Foundation_Calc!$I$2:$J$8,2,FALSE),0),
IF(AX383="K",VLOOKUP(K383,Foundation_Calc!$K$41:$R$74,VLOOKUP(AW383,Foundation_Calc!$I$2:$J$8,2,FALSE),0),"")))</f>
        <v/>
      </c>
      <c r="BA383" s="632" t="str">
        <f t="shared" si="91"/>
        <v/>
      </c>
      <c r="BB383" s="632" t="str">
        <f t="shared" si="92"/>
        <v/>
      </c>
      <c r="BC383" s="632" t="str">
        <f t="shared" si="93"/>
        <v/>
      </c>
      <c r="BD383" s="633" t="str">
        <f>IF(AND(L383="",H383=""),"",
IF(H383="",Pole_Calc!A411,
IF(H383="MP",Pole_Calc!A412,
IF(H383="AnMP",Pole_Calc!A413,
IF(H383="A",Pole_Calc!A414,
IF(H383="S/A",Pole_Calc!A415,
IF(H383="A/S",Pole_Calc!A416,"Poner a mano")))))))</f>
        <v/>
      </c>
      <c r="BE383" s="448" t="s">
        <v>1726</v>
      </c>
      <c r="BF383" s="635"/>
      <c r="BG383" s="635"/>
      <c r="BH383" s="634"/>
      <c r="BI383" s="635"/>
    </row>
    <row r="384" spans="1:61" ht="16.2" customHeight="1">
      <c r="A384" s="12"/>
      <c r="B384" s="446"/>
      <c r="C384" s="89"/>
      <c r="D384" s="13"/>
      <c r="E384" s="14"/>
      <c r="F384" s="14"/>
      <c r="G384" s="15"/>
      <c r="H384" s="8"/>
      <c r="I384" s="8"/>
      <c r="J384" s="89"/>
      <c r="K384" s="8"/>
      <c r="L384" s="8"/>
      <c r="M384" s="8" t="str">
        <f>IF(L384="","",
IF(AX384="PT",VLOOKUP(L384,Foundation_Calc!$V$4:$X$37,VLOOKUP(AX384,Foundation_Calc!$I$10:$J$13,2,FALSE),0),
IF(AX384="K",VLOOKUP(L384,Foundation_Calc!$V$41:$X$74,VLOOKUP(AX384,Foundation_Calc!$I$10:$J$13,2,FALSE),0),"")))</f>
        <v/>
      </c>
      <c r="N384" s="8"/>
      <c r="O384" s="8"/>
      <c r="P384" s="8"/>
      <c r="Q384" s="14"/>
      <c r="R384" s="15"/>
      <c r="S384" s="15"/>
      <c r="T384" s="14"/>
      <c r="U384" s="14"/>
      <c r="V384" s="14"/>
      <c r="W384" s="18"/>
      <c r="X384" s="18"/>
      <c r="Y384" s="18"/>
      <c r="Z384" s="18"/>
      <c r="AA384" s="18"/>
      <c r="AB384" s="18"/>
      <c r="AC384" s="8" t="str">
        <f t="shared" si="90"/>
        <v/>
      </c>
      <c r="AD384" s="8"/>
      <c r="AE384" s="8"/>
      <c r="AF384" s="14"/>
      <c r="AG384" s="13"/>
      <c r="AH384" s="14"/>
      <c r="AI384" s="14"/>
      <c r="AJ384" s="8"/>
      <c r="AK384" s="8"/>
      <c r="AL384" s="8"/>
      <c r="AM384" s="8"/>
      <c r="AN384" s="631"/>
      <c r="AO384" s="18"/>
      <c r="AP384" s="18"/>
      <c r="AQ384" s="18"/>
      <c r="AR384" s="18"/>
      <c r="AS384" s="18"/>
      <c r="AU384" s="448"/>
      <c r="AV384" s="448"/>
      <c r="AW384" s="8" t="str">
        <f>IF(C384&gt;0,VLOOKUP(C384,Foundation_Calc!$A$2:$C$986,3,1),
IF(J384&gt;0,VLOOKUP(J384,Foundation_Calc!$A$2:$C$986,3,1),""))</f>
        <v/>
      </c>
      <c r="AX384" s="8" t="str">
        <f>IF(C384&gt;0,VLOOKUP(C384,Foundation_Calc!$E$2:$G$986,3,1),
IF(J384&gt;0,VLOOKUP(J384,Foundation_Calc!$E$2:$G$986,3,1),""))</f>
        <v/>
      </c>
      <c r="AY384" s="631" t="str">
        <f>IF(L384="","",
IF(AX384="PT",VLOOKUP(L384,Foundation_Calc!$K$4:$R$37,VLOOKUP(AW384,Foundation_Calc!$I$2:$J$8,2,FALSE),0),
IF(AX384="K",VLOOKUP(L384,Foundation_Calc!$K$41:$R$74,VLOOKUP(AW384,Foundation_Calc!$I$2:$J$8,2,FALSE),0),"")))</f>
        <v/>
      </c>
      <c r="AZ384" s="631" t="str">
        <f>IF(K384="","",
IF(AX384="PT",VLOOKUP(K384,Foundation_Calc!$K$4:$R$37,VLOOKUP(AW384,Foundation_Calc!$I$2:$J$8,2,FALSE),0),
IF(AX384="K",VLOOKUP(K384,Foundation_Calc!$K$41:$R$74,VLOOKUP(AW384,Foundation_Calc!$I$2:$J$8,2,FALSE),0),"")))</f>
        <v/>
      </c>
      <c r="BA384" s="632" t="str">
        <f t="shared" si="91"/>
        <v/>
      </c>
      <c r="BB384" s="632" t="str">
        <f t="shared" si="92"/>
        <v/>
      </c>
      <c r="BC384" s="632" t="str">
        <f t="shared" si="93"/>
        <v/>
      </c>
      <c r="BD384" s="633" t="str">
        <f>IF(AND(L384="",H384=""),"",
IF(H384="",Pole_Calc!A412,
IF(H384="MP",Pole_Calc!A413,
IF(H384="AnMP",Pole_Calc!A414,
IF(H384="A",Pole_Calc!A415,
IF(H384="S/A",Pole_Calc!A416,
IF(H384="A/S",Pole_Calc!A417,"Poner a mano")))))))</f>
        <v/>
      </c>
      <c r="BE384" s="448" t="s">
        <v>1726</v>
      </c>
      <c r="BF384" s="634"/>
      <c r="BG384" s="634"/>
      <c r="BH384" s="634"/>
      <c r="BI384" s="634"/>
    </row>
    <row r="385" spans="1:61" ht="16.2" customHeight="1">
      <c r="A385" s="12"/>
      <c r="B385" s="446"/>
      <c r="C385" s="89"/>
      <c r="D385" s="13"/>
      <c r="E385" s="14"/>
      <c r="F385" s="14"/>
      <c r="G385" s="15"/>
      <c r="H385" s="8"/>
      <c r="I385" s="8"/>
      <c r="J385" s="89"/>
      <c r="K385" s="8"/>
      <c r="L385" s="8"/>
      <c r="M385" s="8" t="str">
        <f>IF(L385="","",
IF(AX385="PT",VLOOKUP(L385,Foundation_Calc!$V$4:$X$37,VLOOKUP(AX385,Foundation_Calc!$I$10:$J$13,2,FALSE),0),
IF(AX385="K",VLOOKUP(L385,Foundation_Calc!$V$41:$X$74,VLOOKUP(AX385,Foundation_Calc!$I$10:$J$13,2,FALSE),0),"")))</f>
        <v/>
      </c>
      <c r="N385" s="8"/>
      <c r="O385" s="8"/>
      <c r="P385" s="8"/>
      <c r="Q385" s="14"/>
      <c r="R385" s="15"/>
      <c r="S385" s="15"/>
      <c r="T385" s="14"/>
      <c r="U385" s="14"/>
      <c r="V385" s="14"/>
      <c r="W385" s="18"/>
      <c r="X385" s="18"/>
      <c r="Y385" s="18"/>
      <c r="Z385" s="18"/>
      <c r="AA385" s="18"/>
      <c r="AB385" s="18"/>
      <c r="AC385" s="8" t="str">
        <f t="shared" si="90"/>
        <v/>
      </c>
      <c r="AD385" s="8"/>
      <c r="AE385" s="8"/>
      <c r="AF385" s="14"/>
      <c r="AG385" s="13"/>
      <c r="AH385" s="14"/>
      <c r="AI385" s="14"/>
      <c r="AJ385" s="8"/>
      <c r="AK385" s="8"/>
      <c r="AL385" s="8"/>
      <c r="AM385" s="8"/>
      <c r="AN385" s="631"/>
      <c r="AO385" s="18"/>
      <c r="AP385" s="18"/>
      <c r="AQ385" s="18"/>
      <c r="AR385" s="18"/>
      <c r="AS385" s="18"/>
      <c r="AU385" s="448"/>
      <c r="AV385" s="448"/>
      <c r="AW385" s="8" t="str">
        <f>IF(C385&gt;0,VLOOKUP(C385,Foundation_Calc!$A$2:$C$986,3,1),
IF(J385&gt;0,VLOOKUP(J385,Foundation_Calc!$A$2:$C$986,3,1),""))</f>
        <v/>
      </c>
      <c r="AX385" s="8" t="str">
        <f>IF(C385&gt;0,VLOOKUP(C385,Foundation_Calc!$E$2:$G$986,3,1),
IF(J385&gt;0,VLOOKUP(J385,Foundation_Calc!$E$2:$G$986,3,1),""))</f>
        <v/>
      </c>
      <c r="AY385" s="631" t="str">
        <f>IF(L385="","",
IF(AX385="PT",VLOOKUP(L385,Foundation_Calc!$K$4:$R$37,VLOOKUP(AW385,Foundation_Calc!$I$2:$J$8,2,FALSE),0),
IF(AX385="K",VLOOKUP(L385,Foundation_Calc!$K$41:$R$74,VLOOKUP(AW385,Foundation_Calc!$I$2:$J$8,2,FALSE),0),"")))</f>
        <v/>
      </c>
      <c r="AZ385" s="631" t="str">
        <f>IF(K385="","",
IF(AX385="PT",VLOOKUP(K385,Foundation_Calc!$K$4:$R$37,VLOOKUP(AW385,Foundation_Calc!$I$2:$J$8,2,FALSE),0),
IF(AX385="K",VLOOKUP(K385,Foundation_Calc!$K$41:$R$74,VLOOKUP(AW385,Foundation_Calc!$I$2:$J$8,2,FALSE),0),"")))</f>
        <v/>
      </c>
      <c r="BA385" s="632" t="str">
        <f t="shared" si="91"/>
        <v/>
      </c>
      <c r="BB385" s="632" t="str">
        <f t="shared" si="92"/>
        <v/>
      </c>
      <c r="BC385" s="632" t="str">
        <f t="shared" si="93"/>
        <v/>
      </c>
      <c r="BD385" s="633" t="str">
        <f>IF(AND(L385="",H385=""),"",
IF(H385="",Pole_Calc!A413,
IF(H385="MP",Pole_Calc!A414,
IF(H385="AnMP",Pole_Calc!A415,
IF(H385="A",Pole_Calc!A416,
IF(H385="S/A",Pole_Calc!A417,
IF(H385="A/S",Pole_Calc!A418,"Poner a mano")))))))</f>
        <v/>
      </c>
      <c r="BE385" s="448" t="s">
        <v>1726</v>
      </c>
      <c r="BF385" s="635"/>
      <c r="BG385" s="635"/>
      <c r="BH385" s="634"/>
      <c r="BI385" s="635"/>
    </row>
    <row r="386" spans="1:61" ht="16.2" customHeight="1">
      <c r="A386" s="12"/>
      <c r="B386" s="446"/>
      <c r="C386" s="89"/>
      <c r="D386" s="13"/>
      <c r="E386" s="14"/>
      <c r="F386" s="14"/>
      <c r="G386" s="15"/>
      <c r="H386" s="8"/>
      <c r="I386" s="8"/>
      <c r="J386" s="89"/>
      <c r="K386" s="8"/>
      <c r="L386" s="8"/>
      <c r="M386" s="8" t="str">
        <f>IF(L386="","",
IF(AX386="PT",VLOOKUP(L386,Foundation_Calc!$V$4:$X$37,VLOOKUP(AX386,Foundation_Calc!$I$10:$J$13,2,FALSE),0),
IF(AX386="K",VLOOKUP(L386,Foundation_Calc!$V$41:$X$74,VLOOKUP(AX386,Foundation_Calc!$I$10:$J$13,2,FALSE),0),"")))</f>
        <v/>
      </c>
      <c r="N386" s="8"/>
      <c r="O386" s="8"/>
      <c r="P386" s="8"/>
      <c r="Q386" s="14"/>
      <c r="R386" s="15"/>
      <c r="S386" s="15"/>
      <c r="T386" s="14"/>
      <c r="U386" s="14"/>
      <c r="V386" s="14"/>
      <c r="W386" s="18"/>
      <c r="X386" s="18"/>
      <c r="Y386" s="18"/>
      <c r="Z386" s="18"/>
      <c r="AA386" s="18"/>
      <c r="AB386" s="18"/>
      <c r="AC386" s="8" t="str">
        <f t="shared" si="90"/>
        <v/>
      </c>
      <c r="AD386" s="8"/>
      <c r="AE386" s="8"/>
      <c r="AF386" s="14"/>
      <c r="AG386" s="13"/>
      <c r="AH386" s="14"/>
      <c r="AI386" s="14"/>
      <c r="AJ386" s="8"/>
      <c r="AK386" s="8"/>
      <c r="AL386" s="8"/>
      <c r="AM386" s="8"/>
      <c r="AN386" s="631"/>
      <c r="AO386" s="18"/>
      <c r="AP386" s="18"/>
      <c r="AQ386" s="18"/>
      <c r="AR386" s="18"/>
      <c r="AS386" s="18"/>
      <c r="AU386" s="448"/>
      <c r="AV386" s="448"/>
      <c r="AW386" s="8" t="str">
        <f>IF(C386&gt;0,VLOOKUP(C386,Foundation_Calc!$A$2:$C$986,3,1),
IF(J386&gt;0,VLOOKUP(J386,Foundation_Calc!$A$2:$C$986,3,1),""))</f>
        <v/>
      </c>
      <c r="AX386" s="8" t="str">
        <f>IF(C386&gt;0,VLOOKUP(C386,Foundation_Calc!$E$2:$G$986,3,1),
IF(J386&gt;0,VLOOKUP(J386,Foundation_Calc!$E$2:$G$986,3,1),""))</f>
        <v/>
      </c>
      <c r="AY386" s="631" t="str">
        <f>IF(L386="","",
IF(AX386="PT",VLOOKUP(L386,Foundation_Calc!$K$4:$R$37,VLOOKUP(AW386,Foundation_Calc!$I$2:$J$8,2,FALSE),0),
IF(AX386="K",VLOOKUP(L386,Foundation_Calc!$K$41:$R$74,VLOOKUP(AW386,Foundation_Calc!$I$2:$J$8,2,FALSE),0),"")))</f>
        <v/>
      </c>
      <c r="AZ386" s="631" t="str">
        <f>IF(K386="","",
IF(AX386="PT",VLOOKUP(K386,Foundation_Calc!$K$4:$R$37,VLOOKUP(AW386,Foundation_Calc!$I$2:$J$8,2,FALSE),0),
IF(AX386="K",VLOOKUP(K386,Foundation_Calc!$K$41:$R$74,VLOOKUP(AW386,Foundation_Calc!$I$2:$J$8,2,FALSE),0),"")))</f>
        <v/>
      </c>
      <c r="BA386" s="632" t="str">
        <f t="shared" si="91"/>
        <v/>
      </c>
      <c r="BB386" s="632" t="str">
        <f t="shared" si="92"/>
        <v/>
      </c>
      <c r="BC386" s="632" t="str">
        <f t="shared" si="93"/>
        <v/>
      </c>
      <c r="BD386" s="633" t="str">
        <f>IF(AND(L386="",H386=""),"",
IF(H386="",Pole_Calc!A414,
IF(H386="MP",Pole_Calc!A415,
IF(H386="AnMP",Pole_Calc!A416,
IF(H386="A",Pole_Calc!A417,
IF(H386="S/A",Pole_Calc!A418,
IF(H386="A/S",Pole_Calc!A419,"Poner a mano")))))))</f>
        <v/>
      </c>
      <c r="BE386" s="448" t="s">
        <v>1726</v>
      </c>
      <c r="BF386" s="634"/>
      <c r="BG386" s="634"/>
      <c r="BH386" s="634"/>
      <c r="BI386" s="634"/>
    </row>
    <row r="387" spans="1:61" ht="16.2" customHeight="1">
      <c r="A387" s="12"/>
      <c r="B387" s="446"/>
      <c r="C387" s="89"/>
      <c r="D387" s="13"/>
      <c r="E387" s="14"/>
      <c r="F387" s="14"/>
      <c r="G387" s="15"/>
      <c r="H387" s="8"/>
      <c r="I387" s="8"/>
      <c r="J387" s="89"/>
      <c r="K387" s="8"/>
      <c r="L387" s="8"/>
      <c r="M387" s="8" t="str">
        <f>IF(L387="","",
IF(AX387="PT",VLOOKUP(L387,Foundation_Calc!$V$4:$X$37,VLOOKUP(AX387,Foundation_Calc!$I$10:$J$13,2,FALSE),0),
IF(AX387="K",VLOOKUP(L387,Foundation_Calc!$V$41:$X$74,VLOOKUP(AX387,Foundation_Calc!$I$10:$J$13,2,FALSE),0),"")))</f>
        <v/>
      </c>
      <c r="N387" s="8"/>
      <c r="O387" s="8"/>
      <c r="P387" s="8"/>
      <c r="Q387" s="14"/>
      <c r="R387" s="15"/>
      <c r="S387" s="15"/>
      <c r="T387" s="14"/>
      <c r="U387" s="14"/>
      <c r="V387" s="14"/>
      <c r="W387" s="18"/>
      <c r="X387" s="18"/>
      <c r="Y387" s="18"/>
      <c r="Z387" s="18"/>
      <c r="AA387" s="18"/>
      <c r="AB387" s="18"/>
      <c r="AC387" s="8" t="str">
        <f t="shared" si="90"/>
        <v/>
      </c>
      <c r="AD387" s="8"/>
      <c r="AE387" s="8"/>
      <c r="AF387" s="14"/>
      <c r="AG387" s="13"/>
      <c r="AH387" s="14"/>
      <c r="AI387" s="14"/>
      <c r="AJ387" s="8"/>
      <c r="AK387" s="8"/>
      <c r="AL387" s="8"/>
      <c r="AM387" s="8"/>
      <c r="AN387" s="631"/>
      <c r="AO387" s="18"/>
      <c r="AP387" s="18"/>
      <c r="AQ387" s="18"/>
      <c r="AR387" s="18"/>
      <c r="AS387" s="18"/>
      <c r="AU387" s="448"/>
      <c r="AV387" s="448"/>
      <c r="AW387" s="8" t="str">
        <f>IF(C387&gt;0,VLOOKUP(C387,Foundation_Calc!$A$2:$C$986,3,1),
IF(J387&gt;0,VLOOKUP(J387,Foundation_Calc!$A$2:$C$986,3,1),""))</f>
        <v/>
      </c>
      <c r="AX387" s="8" t="str">
        <f>IF(C387&gt;0,VLOOKUP(C387,Foundation_Calc!$E$2:$G$986,3,1),
IF(J387&gt;0,VLOOKUP(J387,Foundation_Calc!$E$2:$G$986,3,1),""))</f>
        <v/>
      </c>
      <c r="AY387" s="631" t="str">
        <f>IF(L387="","",
IF(AX387="PT",VLOOKUP(L387,Foundation_Calc!$K$4:$R$37,VLOOKUP(AW387,Foundation_Calc!$I$2:$J$8,2,FALSE),0),
IF(AX387="K",VLOOKUP(L387,Foundation_Calc!$K$41:$R$74,VLOOKUP(AW387,Foundation_Calc!$I$2:$J$8,2,FALSE),0),"")))</f>
        <v/>
      </c>
      <c r="AZ387" s="631" t="str">
        <f>IF(K387="","",
IF(AX387="PT",VLOOKUP(K387,Foundation_Calc!$K$4:$R$37,VLOOKUP(AW387,Foundation_Calc!$I$2:$J$8,2,FALSE),0),
IF(AX387="K",VLOOKUP(K387,Foundation_Calc!$K$41:$R$74,VLOOKUP(AW387,Foundation_Calc!$I$2:$J$8,2,FALSE),0),"")))</f>
        <v/>
      </c>
      <c r="BA387" s="632" t="str">
        <f t="shared" si="91"/>
        <v/>
      </c>
      <c r="BB387" s="632" t="str">
        <f t="shared" si="92"/>
        <v/>
      </c>
      <c r="BC387" s="632" t="str">
        <f t="shared" si="93"/>
        <v/>
      </c>
      <c r="BD387" s="633" t="str">
        <f>IF(AND(L387="",H387=""),"",
IF(H387="",Pole_Calc!A415,
IF(H387="MP",Pole_Calc!A416,
IF(H387="AnMP",Pole_Calc!A417,
IF(H387="A",Pole_Calc!A418,
IF(H387="S/A",Pole_Calc!A419,
IF(H387="A/S",Pole_Calc!A420,"Poner a mano")))))))</f>
        <v/>
      </c>
      <c r="BE387" s="448" t="s">
        <v>1726</v>
      </c>
      <c r="BF387" s="635"/>
      <c r="BG387" s="635"/>
      <c r="BH387" s="634"/>
      <c r="BI387" s="635"/>
    </row>
    <row r="388" spans="1:61" ht="16.2" customHeight="1">
      <c r="A388" s="12"/>
      <c r="B388" s="446"/>
      <c r="C388" s="89"/>
      <c r="D388" s="13"/>
      <c r="E388" s="14"/>
      <c r="F388" s="14"/>
      <c r="G388" s="15"/>
      <c r="H388" s="8"/>
      <c r="I388" s="8"/>
      <c r="J388" s="89"/>
      <c r="K388" s="8"/>
      <c r="L388" s="8"/>
      <c r="M388" s="8" t="str">
        <f>IF(L388="","",
IF(AX388="PT",VLOOKUP(L388,Foundation_Calc!$V$4:$X$37,VLOOKUP(AX388,Foundation_Calc!$I$10:$J$13,2,FALSE),0),
IF(AX388="K",VLOOKUP(L388,Foundation_Calc!$V$41:$X$74,VLOOKUP(AX388,Foundation_Calc!$I$10:$J$13,2,FALSE),0),"")))</f>
        <v/>
      </c>
      <c r="N388" s="8"/>
      <c r="O388" s="8"/>
      <c r="P388" s="8"/>
      <c r="Q388" s="14"/>
      <c r="R388" s="15"/>
      <c r="S388" s="15"/>
      <c r="T388" s="14"/>
      <c r="U388" s="14"/>
      <c r="V388" s="14"/>
      <c r="W388" s="18"/>
      <c r="X388" s="18"/>
      <c r="Y388" s="18"/>
      <c r="Z388" s="18"/>
      <c r="AA388" s="18"/>
      <c r="AB388" s="18"/>
      <c r="AC388" s="8" t="str">
        <f t="shared" si="90"/>
        <v/>
      </c>
      <c r="AD388" s="8"/>
      <c r="AE388" s="8"/>
      <c r="AF388" s="14"/>
      <c r="AG388" s="13"/>
      <c r="AH388" s="14"/>
      <c r="AI388" s="14"/>
      <c r="AJ388" s="8"/>
      <c r="AK388" s="8"/>
      <c r="AL388" s="8"/>
      <c r="AM388" s="8"/>
      <c r="AN388" s="631"/>
      <c r="AO388" s="18"/>
      <c r="AP388" s="18"/>
      <c r="AQ388" s="18"/>
      <c r="AR388" s="18"/>
      <c r="AS388" s="18"/>
      <c r="AU388" s="448"/>
      <c r="AV388" s="448"/>
      <c r="AW388" s="8" t="str">
        <f>IF(C388&gt;0,VLOOKUP(C388,Foundation_Calc!$A$2:$C$986,3,1),
IF(J388&gt;0,VLOOKUP(J388,Foundation_Calc!$A$2:$C$986,3,1),""))</f>
        <v/>
      </c>
      <c r="AX388" s="8" t="str">
        <f>IF(C388&gt;0,VLOOKUP(C388,Foundation_Calc!$E$2:$G$986,3,1),
IF(J388&gt;0,VLOOKUP(J388,Foundation_Calc!$E$2:$G$986,3,1),""))</f>
        <v/>
      </c>
      <c r="AY388" s="631" t="str">
        <f>IF(L388="","",
IF(AX388="PT",VLOOKUP(L388,Foundation_Calc!$K$4:$R$37,VLOOKUP(AW388,Foundation_Calc!$I$2:$J$8,2,FALSE),0),
IF(AX388="K",VLOOKUP(L388,Foundation_Calc!$K$41:$R$74,VLOOKUP(AW388,Foundation_Calc!$I$2:$J$8,2,FALSE),0),"")))</f>
        <v/>
      </c>
      <c r="AZ388" s="631" t="str">
        <f>IF(K388="","",
IF(AX388="PT",VLOOKUP(K388,Foundation_Calc!$K$4:$R$37,VLOOKUP(AW388,Foundation_Calc!$I$2:$J$8,2,FALSE),0),
IF(AX388="K",VLOOKUP(K388,Foundation_Calc!$K$41:$R$74,VLOOKUP(AW388,Foundation_Calc!$I$2:$J$8,2,FALSE),0),"")))</f>
        <v/>
      </c>
      <c r="BA388" s="632" t="str">
        <f t="shared" si="91"/>
        <v/>
      </c>
      <c r="BB388" s="632" t="str">
        <f t="shared" si="92"/>
        <v/>
      </c>
      <c r="BC388" s="632" t="str">
        <f t="shared" si="93"/>
        <v/>
      </c>
      <c r="BD388" s="633" t="str">
        <f>IF(AND(L388="",H388=""),"",
IF(H388="",Pole_Calc!A416,
IF(H388="MP",Pole_Calc!A417,
IF(H388="AnMP",Pole_Calc!A418,
IF(H388="A",Pole_Calc!A419,
IF(H388="S/A",Pole_Calc!A420,
IF(H388="A/S",Pole_Calc!A421,"Poner a mano")))))))</f>
        <v/>
      </c>
      <c r="BE388" s="448" t="s">
        <v>1726</v>
      </c>
      <c r="BF388" s="634"/>
      <c r="BG388" s="634"/>
      <c r="BH388" s="634"/>
      <c r="BI388" s="634"/>
    </row>
    <row r="389" spans="1:61" ht="16.2" customHeight="1">
      <c r="A389" s="12"/>
      <c r="B389" s="446"/>
      <c r="C389" s="89"/>
      <c r="D389" s="13"/>
      <c r="E389" s="14"/>
      <c r="F389" s="14"/>
      <c r="G389" s="15"/>
      <c r="H389" s="8"/>
      <c r="I389" s="8"/>
      <c r="J389" s="89"/>
      <c r="K389" s="8"/>
      <c r="L389" s="8"/>
      <c r="M389" s="8" t="str">
        <f>IF(L389="","",
IF(AX389="PT",VLOOKUP(L389,Foundation_Calc!$V$4:$X$37,VLOOKUP(AX389,Foundation_Calc!$I$10:$J$13,2,FALSE),0),
IF(AX389="K",VLOOKUP(L389,Foundation_Calc!$V$41:$X$74,VLOOKUP(AX389,Foundation_Calc!$I$10:$J$13,2,FALSE),0),"")))</f>
        <v/>
      </c>
      <c r="N389" s="8"/>
      <c r="O389" s="8"/>
      <c r="P389" s="8"/>
      <c r="Q389" s="14"/>
      <c r="R389" s="15"/>
      <c r="S389" s="15"/>
      <c r="T389" s="14"/>
      <c r="U389" s="14"/>
      <c r="V389" s="14"/>
      <c r="W389" s="18"/>
      <c r="X389" s="18"/>
      <c r="Y389" s="18"/>
      <c r="Z389" s="18"/>
      <c r="AA389" s="18"/>
      <c r="AB389" s="18"/>
      <c r="AC389" s="8" t="str">
        <f t="shared" si="90"/>
        <v/>
      </c>
      <c r="AD389" s="8"/>
      <c r="AE389" s="8"/>
      <c r="AF389" s="14"/>
      <c r="AG389" s="13"/>
      <c r="AH389" s="14"/>
      <c r="AI389" s="14"/>
      <c r="AJ389" s="8"/>
      <c r="AK389" s="8"/>
      <c r="AL389" s="8"/>
      <c r="AM389" s="8"/>
      <c r="AN389" s="631"/>
      <c r="AO389" s="18"/>
      <c r="AP389" s="18"/>
      <c r="AQ389" s="18"/>
      <c r="AR389" s="18"/>
      <c r="AS389" s="18"/>
      <c r="AU389" s="448"/>
      <c r="AV389" s="448"/>
      <c r="AW389" s="8" t="str">
        <f>IF(C389&gt;0,VLOOKUP(C389,Foundation_Calc!$A$2:$C$986,3,1),
IF(J389&gt;0,VLOOKUP(J389,Foundation_Calc!$A$2:$C$986,3,1),""))</f>
        <v/>
      </c>
      <c r="AX389" s="8" t="str">
        <f>IF(C389&gt;0,VLOOKUP(C389,Foundation_Calc!$E$2:$G$986,3,1),
IF(J389&gt;0,VLOOKUP(J389,Foundation_Calc!$E$2:$G$986,3,1),""))</f>
        <v/>
      </c>
      <c r="AY389" s="631" t="str">
        <f>IF(L389="","",
IF(AX389="PT",VLOOKUP(L389,Foundation_Calc!$K$4:$R$37,VLOOKUP(AW389,Foundation_Calc!$I$2:$J$8,2,FALSE),0),
IF(AX389="K",VLOOKUP(L389,Foundation_Calc!$K$41:$R$74,VLOOKUP(AW389,Foundation_Calc!$I$2:$J$8,2,FALSE),0),"")))</f>
        <v/>
      </c>
      <c r="AZ389" s="631" t="str">
        <f>IF(K389="","",
IF(AX389="PT",VLOOKUP(K389,Foundation_Calc!$K$4:$R$37,VLOOKUP(AW389,Foundation_Calc!$I$2:$J$8,2,FALSE),0),
IF(AX389="K",VLOOKUP(K389,Foundation_Calc!$K$41:$R$74,VLOOKUP(AW389,Foundation_Calc!$I$2:$J$8,2,FALSE),0),"")))</f>
        <v/>
      </c>
      <c r="BA389" s="632" t="str">
        <f t="shared" si="91"/>
        <v/>
      </c>
      <c r="BB389" s="632" t="str">
        <f t="shared" si="92"/>
        <v/>
      </c>
      <c r="BC389" s="632" t="str">
        <f t="shared" si="93"/>
        <v/>
      </c>
      <c r="BD389" s="633" t="str">
        <f>IF(AND(L389="",H389=""),"",
IF(H389="",Pole_Calc!A417,
IF(H389="MP",Pole_Calc!A418,
IF(H389="AnMP",Pole_Calc!A419,
IF(H389="A",Pole_Calc!A420,
IF(H389="S/A",Pole_Calc!A421,
IF(H389="A/S",Pole_Calc!A422,"Poner a mano")))))))</f>
        <v/>
      </c>
      <c r="BE389" s="448" t="s">
        <v>1726</v>
      </c>
      <c r="BF389" s="635"/>
      <c r="BG389" s="635"/>
      <c r="BH389" s="634"/>
      <c r="BI389" s="635"/>
    </row>
    <row r="390" spans="1:61" ht="16.2" customHeight="1">
      <c r="A390" s="12"/>
      <c r="B390" s="446"/>
      <c r="C390" s="89"/>
      <c r="D390" s="13"/>
      <c r="E390" s="14"/>
      <c r="F390" s="14"/>
      <c r="G390" s="15"/>
      <c r="H390" s="8"/>
      <c r="I390" s="8"/>
      <c r="J390" s="89"/>
      <c r="K390" s="8"/>
      <c r="L390" s="8"/>
      <c r="M390" s="8" t="str">
        <f>IF(L390="","",
IF(AX390="PT",VLOOKUP(L390,Foundation_Calc!$V$4:$X$37,VLOOKUP(AX390,Foundation_Calc!$I$10:$J$13,2,FALSE),0),
IF(AX390="K",VLOOKUP(L390,Foundation_Calc!$V$41:$X$74,VLOOKUP(AX390,Foundation_Calc!$I$10:$J$13,2,FALSE),0),"")))</f>
        <v/>
      </c>
      <c r="N390" s="8"/>
      <c r="O390" s="8"/>
      <c r="P390" s="8"/>
      <c r="Q390" s="14"/>
      <c r="R390" s="15"/>
      <c r="S390" s="15"/>
      <c r="T390" s="14"/>
      <c r="U390" s="14"/>
      <c r="V390" s="14"/>
      <c r="W390" s="18"/>
      <c r="X390" s="18"/>
      <c r="Y390" s="18"/>
      <c r="Z390" s="18"/>
      <c r="AA390" s="18"/>
      <c r="AB390" s="18"/>
      <c r="AC390" s="8" t="str">
        <f t="shared" ref="AC390:AC453" si="94">IF(OR(AT390&gt;8,AT390&lt;-8),"PH",
IF(OR(AT390&gt;5,AT390&lt;-5),"PHQ",
IF(OR(AT390&gt;1,AT390&lt;-1),
"PHC","")))</f>
        <v/>
      </c>
      <c r="AD390" s="8"/>
      <c r="AE390" s="8"/>
      <c r="AF390" s="14"/>
      <c r="AG390" s="13"/>
      <c r="AH390" s="14"/>
      <c r="AI390" s="14"/>
      <c r="AJ390" s="8"/>
      <c r="AK390" s="8"/>
      <c r="AL390" s="8"/>
      <c r="AM390" s="8"/>
      <c r="AN390" s="631"/>
      <c r="AO390" s="18"/>
      <c r="AP390" s="18"/>
      <c r="AQ390" s="18"/>
      <c r="AR390" s="18"/>
      <c r="AS390" s="18"/>
      <c r="AU390" s="448"/>
      <c r="AV390" s="448"/>
      <c r="AW390" s="8" t="str">
        <f>IF(C390&gt;0,VLOOKUP(C390,Foundation_Calc!$A$2:$C$986,3,1),
IF(J390&gt;0,VLOOKUP(J390,Foundation_Calc!$A$2:$C$986,3,1),""))</f>
        <v/>
      </c>
      <c r="AX390" s="8" t="str">
        <f>IF(C390&gt;0,VLOOKUP(C390,Foundation_Calc!$E$2:$G$986,3,1),
IF(J390&gt;0,VLOOKUP(J390,Foundation_Calc!$E$2:$G$986,3,1),""))</f>
        <v/>
      </c>
      <c r="AY390" s="631" t="str">
        <f>IF(L390="","",
IF(AX390="PT",VLOOKUP(L390,Foundation_Calc!$K$4:$R$37,VLOOKUP(AW390,Foundation_Calc!$I$2:$J$8,2,FALSE),0),
IF(AX390="K",VLOOKUP(L390,Foundation_Calc!$K$41:$R$74,VLOOKUP(AW390,Foundation_Calc!$I$2:$J$8,2,FALSE),0),"")))</f>
        <v/>
      </c>
      <c r="AZ390" s="631" t="str">
        <f>IF(K390="","",
IF(AX390="PT",VLOOKUP(K390,Foundation_Calc!$K$4:$R$37,VLOOKUP(AW390,Foundation_Calc!$I$2:$J$8,2,FALSE),0),
IF(AX390="K",VLOOKUP(K390,Foundation_Calc!$K$41:$R$74,VLOOKUP(AW390,Foundation_Calc!$I$2:$J$8,2,FALSE),0),"")))</f>
        <v/>
      </c>
      <c r="BA390" s="632" t="str">
        <f t="shared" ref="BA390:BA453" si="95">IF(AY390="","",IF(AY390&gt;0,"ü",""))</f>
        <v/>
      </c>
      <c r="BB390" s="632" t="str">
        <f t="shared" ref="BB390:BB453" si="96">IF(AZ390="","",IF(AZ390&gt;0,"ü",""))</f>
        <v/>
      </c>
      <c r="BC390" s="632" t="str">
        <f t="shared" ref="BC390:BC453" si="97">IF(M390="","",IF(M390="Unique Solution","ü",""))</f>
        <v/>
      </c>
      <c r="BD390" s="633" t="str">
        <f>IF(AND(L390="",H390=""),"",
IF(H390="",Pole_Calc!A418,
IF(H390="MP",Pole_Calc!A419,
IF(H390="AnMP",Pole_Calc!A420,
IF(H390="A",Pole_Calc!A421,
IF(H390="S/A",Pole_Calc!A422,
IF(H390="A/S",Pole_Calc!A423,"Poner a mano")))))))</f>
        <v/>
      </c>
      <c r="BE390" s="448" t="s">
        <v>1726</v>
      </c>
      <c r="BF390" s="634"/>
      <c r="BG390" s="634"/>
      <c r="BH390" s="634"/>
      <c r="BI390" s="634"/>
    </row>
    <row r="391" spans="1:61" ht="16.2" customHeight="1">
      <c r="A391" s="12"/>
      <c r="B391" s="446"/>
      <c r="C391" s="89"/>
      <c r="D391" s="13"/>
      <c r="E391" s="14"/>
      <c r="F391" s="14"/>
      <c r="G391" s="15"/>
      <c r="H391" s="8"/>
      <c r="I391" s="8"/>
      <c r="J391" s="89"/>
      <c r="K391" s="8"/>
      <c r="L391" s="8"/>
      <c r="M391" s="8" t="str">
        <f>IF(L391="","",
IF(AX391="PT",VLOOKUP(L391,Foundation_Calc!$V$4:$X$37,VLOOKUP(AX391,Foundation_Calc!$I$10:$J$13,2,FALSE),0),
IF(AX391="K",VLOOKUP(L391,Foundation_Calc!$V$41:$X$74,VLOOKUP(AX391,Foundation_Calc!$I$10:$J$13,2,FALSE),0),"")))</f>
        <v/>
      </c>
      <c r="N391" s="8"/>
      <c r="O391" s="8"/>
      <c r="P391" s="8"/>
      <c r="Q391" s="14"/>
      <c r="R391" s="15"/>
      <c r="S391" s="15"/>
      <c r="T391" s="14"/>
      <c r="U391" s="14"/>
      <c r="V391" s="14"/>
      <c r="W391" s="18"/>
      <c r="X391" s="18"/>
      <c r="Y391" s="18"/>
      <c r="Z391" s="18"/>
      <c r="AA391" s="18"/>
      <c r="AB391" s="18"/>
      <c r="AC391" s="8" t="str">
        <f t="shared" si="94"/>
        <v/>
      </c>
      <c r="AD391" s="8"/>
      <c r="AE391" s="8"/>
      <c r="AF391" s="14"/>
      <c r="AG391" s="13"/>
      <c r="AH391" s="14"/>
      <c r="AI391" s="14"/>
      <c r="AJ391" s="8"/>
      <c r="AK391" s="8"/>
      <c r="AL391" s="8"/>
      <c r="AM391" s="8"/>
      <c r="AN391" s="631"/>
      <c r="AO391" s="18"/>
      <c r="AP391" s="18"/>
      <c r="AQ391" s="18"/>
      <c r="AR391" s="18"/>
      <c r="AS391" s="18"/>
      <c r="AU391" s="448"/>
      <c r="AV391" s="448"/>
      <c r="AW391" s="8" t="str">
        <f>IF(C391&gt;0,VLOOKUP(C391,Foundation_Calc!$A$2:$C$986,3,1),
IF(J391&gt;0,VLOOKUP(J391,Foundation_Calc!$A$2:$C$986,3,1),""))</f>
        <v/>
      </c>
      <c r="AX391" s="8" t="str">
        <f>IF(C391&gt;0,VLOOKUP(C391,Foundation_Calc!$E$2:$G$986,3,1),
IF(J391&gt;0,VLOOKUP(J391,Foundation_Calc!$E$2:$G$986,3,1),""))</f>
        <v/>
      </c>
      <c r="AY391" s="631" t="str">
        <f>IF(L391="","",
IF(AX391="PT",VLOOKUP(L391,Foundation_Calc!$K$4:$R$37,VLOOKUP(AW391,Foundation_Calc!$I$2:$J$8,2,FALSE),0),
IF(AX391="K",VLOOKUP(L391,Foundation_Calc!$K$41:$R$74,VLOOKUP(AW391,Foundation_Calc!$I$2:$J$8,2,FALSE),0),"")))</f>
        <v/>
      </c>
      <c r="AZ391" s="631" t="str">
        <f>IF(K391="","",
IF(AX391="PT",VLOOKUP(K391,Foundation_Calc!$K$4:$R$37,VLOOKUP(AW391,Foundation_Calc!$I$2:$J$8,2,FALSE),0),
IF(AX391="K",VLOOKUP(K391,Foundation_Calc!$K$41:$R$74,VLOOKUP(AW391,Foundation_Calc!$I$2:$J$8,2,FALSE),0),"")))</f>
        <v/>
      </c>
      <c r="BA391" s="632" t="str">
        <f t="shared" si="95"/>
        <v/>
      </c>
      <c r="BB391" s="632" t="str">
        <f t="shared" si="96"/>
        <v/>
      </c>
      <c r="BC391" s="632" t="str">
        <f t="shared" si="97"/>
        <v/>
      </c>
      <c r="BD391" s="633" t="str">
        <f>IF(AND(L391="",H391=""),"",
IF(H391="",Pole_Calc!A419,
IF(H391="MP",Pole_Calc!A420,
IF(H391="AnMP",Pole_Calc!A421,
IF(H391="A",Pole_Calc!A422,
IF(H391="S/A",Pole_Calc!A423,
IF(H391="A/S",Pole_Calc!A424,"Poner a mano")))))))</f>
        <v/>
      </c>
      <c r="BE391" s="448" t="s">
        <v>1726</v>
      </c>
      <c r="BF391" s="635"/>
      <c r="BG391" s="635"/>
      <c r="BH391" s="634"/>
      <c r="BI391" s="635"/>
    </row>
    <row r="392" spans="1:61" ht="16.2" customHeight="1">
      <c r="A392" s="12"/>
      <c r="B392" s="446"/>
      <c r="C392" s="89"/>
      <c r="D392" s="13"/>
      <c r="E392" s="14"/>
      <c r="F392" s="14"/>
      <c r="G392" s="15"/>
      <c r="H392" s="8"/>
      <c r="I392" s="8"/>
      <c r="J392" s="89"/>
      <c r="K392" s="8"/>
      <c r="L392" s="8"/>
      <c r="M392" s="8" t="str">
        <f>IF(L392="","",
IF(AX392="PT",VLOOKUP(L392,Foundation_Calc!$V$4:$X$37,VLOOKUP(AX392,Foundation_Calc!$I$10:$J$13,2,FALSE),0),
IF(AX392="K",VLOOKUP(L392,Foundation_Calc!$V$41:$X$74,VLOOKUP(AX392,Foundation_Calc!$I$10:$J$13,2,FALSE),0),"")))</f>
        <v/>
      </c>
      <c r="N392" s="8"/>
      <c r="O392" s="8"/>
      <c r="P392" s="8"/>
      <c r="Q392" s="14"/>
      <c r="R392" s="15"/>
      <c r="S392" s="15"/>
      <c r="T392" s="14"/>
      <c r="U392" s="14"/>
      <c r="V392" s="14"/>
      <c r="W392" s="18"/>
      <c r="X392" s="18"/>
      <c r="Y392" s="18"/>
      <c r="Z392" s="18"/>
      <c r="AA392" s="18"/>
      <c r="AB392" s="18"/>
      <c r="AC392" s="8" t="str">
        <f t="shared" si="94"/>
        <v/>
      </c>
      <c r="AD392" s="8"/>
      <c r="AE392" s="8"/>
      <c r="AF392" s="14"/>
      <c r="AG392" s="13"/>
      <c r="AH392" s="14"/>
      <c r="AI392" s="14"/>
      <c r="AJ392" s="8"/>
      <c r="AK392" s="8"/>
      <c r="AL392" s="8"/>
      <c r="AM392" s="8"/>
      <c r="AN392" s="631"/>
      <c r="AO392" s="18"/>
      <c r="AP392" s="18"/>
      <c r="AQ392" s="18"/>
      <c r="AR392" s="18"/>
      <c r="AS392" s="18"/>
      <c r="AU392" s="448"/>
      <c r="AV392" s="448"/>
      <c r="AW392" s="8" t="str">
        <f>IF(C392&gt;0,VLOOKUP(C392,Foundation_Calc!$A$2:$C$986,3,1),
IF(J392&gt;0,VLOOKUP(J392,Foundation_Calc!$A$2:$C$986,3,1),""))</f>
        <v/>
      </c>
      <c r="AX392" s="8" t="str">
        <f>IF(C392&gt;0,VLOOKUP(C392,Foundation_Calc!$E$2:$G$986,3,1),
IF(J392&gt;0,VLOOKUP(J392,Foundation_Calc!$E$2:$G$986,3,1),""))</f>
        <v/>
      </c>
      <c r="AY392" s="631" t="str">
        <f>IF(L392="","",
IF(AX392="PT",VLOOKUP(L392,Foundation_Calc!$K$4:$R$37,VLOOKUP(AW392,Foundation_Calc!$I$2:$J$8,2,FALSE),0),
IF(AX392="K",VLOOKUP(L392,Foundation_Calc!$K$41:$R$74,VLOOKUP(AW392,Foundation_Calc!$I$2:$J$8,2,FALSE),0),"")))</f>
        <v/>
      </c>
      <c r="AZ392" s="631" t="str">
        <f>IF(K392="","",
IF(AX392="PT",VLOOKUP(K392,Foundation_Calc!$K$4:$R$37,VLOOKUP(AW392,Foundation_Calc!$I$2:$J$8,2,FALSE),0),
IF(AX392="K",VLOOKUP(K392,Foundation_Calc!$K$41:$R$74,VLOOKUP(AW392,Foundation_Calc!$I$2:$J$8,2,FALSE),0),"")))</f>
        <v/>
      </c>
      <c r="BA392" s="632" t="str">
        <f t="shared" si="95"/>
        <v/>
      </c>
      <c r="BB392" s="632" t="str">
        <f t="shared" si="96"/>
        <v/>
      </c>
      <c r="BC392" s="632" t="str">
        <f t="shared" si="97"/>
        <v/>
      </c>
      <c r="BD392" s="633" t="str">
        <f>IF(AND(L392="",H392=""),"",
IF(H392="",Pole_Calc!A420,
IF(H392="MP",Pole_Calc!A421,
IF(H392="AnMP",Pole_Calc!A422,
IF(H392="A",Pole_Calc!A423,
IF(H392="S/A",Pole_Calc!A424,
IF(H392="A/S",Pole_Calc!A425,"Poner a mano")))))))</f>
        <v/>
      </c>
      <c r="BE392" s="448" t="s">
        <v>1726</v>
      </c>
      <c r="BF392" s="634"/>
      <c r="BG392" s="634"/>
      <c r="BH392" s="634"/>
      <c r="BI392" s="634"/>
    </row>
    <row r="393" spans="1:61" ht="16.2" customHeight="1">
      <c r="A393" s="12"/>
      <c r="B393" s="446"/>
      <c r="C393" s="89"/>
      <c r="D393" s="13"/>
      <c r="E393" s="14"/>
      <c r="F393" s="14"/>
      <c r="G393" s="15"/>
      <c r="H393" s="8"/>
      <c r="I393" s="8"/>
      <c r="J393" s="89"/>
      <c r="K393" s="8"/>
      <c r="L393" s="8"/>
      <c r="M393" s="8" t="str">
        <f>IF(L393="","",
IF(AX393="PT",VLOOKUP(L393,Foundation_Calc!$V$4:$X$37,VLOOKUP(AX393,Foundation_Calc!$I$10:$J$13,2,FALSE),0),
IF(AX393="K",VLOOKUP(L393,Foundation_Calc!$V$41:$X$74,VLOOKUP(AX393,Foundation_Calc!$I$10:$J$13,2,FALSE),0),"")))</f>
        <v/>
      </c>
      <c r="N393" s="8"/>
      <c r="O393" s="8"/>
      <c r="P393" s="8"/>
      <c r="Q393" s="14"/>
      <c r="R393" s="15"/>
      <c r="S393" s="15"/>
      <c r="T393" s="14"/>
      <c r="U393" s="14"/>
      <c r="V393" s="14"/>
      <c r="W393" s="18"/>
      <c r="X393" s="18"/>
      <c r="Y393" s="18"/>
      <c r="Z393" s="18"/>
      <c r="AA393" s="18"/>
      <c r="AB393" s="18"/>
      <c r="AC393" s="8" t="str">
        <f t="shared" si="94"/>
        <v/>
      </c>
      <c r="AD393" s="8"/>
      <c r="AE393" s="8"/>
      <c r="AF393" s="14"/>
      <c r="AG393" s="13"/>
      <c r="AH393" s="14"/>
      <c r="AI393" s="14"/>
      <c r="AJ393" s="8"/>
      <c r="AK393" s="8"/>
      <c r="AL393" s="8"/>
      <c r="AM393" s="8"/>
      <c r="AN393" s="631"/>
      <c r="AO393" s="18"/>
      <c r="AP393" s="18"/>
      <c r="AQ393" s="18"/>
      <c r="AR393" s="18"/>
      <c r="AS393" s="18"/>
      <c r="AU393" s="448"/>
      <c r="AV393" s="448"/>
      <c r="AW393" s="8" t="str">
        <f>IF(C393&gt;0,VLOOKUP(C393,Foundation_Calc!$A$2:$C$986,3,1),
IF(J393&gt;0,VLOOKUP(J393,Foundation_Calc!$A$2:$C$986,3,1),""))</f>
        <v/>
      </c>
      <c r="AX393" s="8" t="str">
        <f>IF(C393&gt;0,VLOOKUP(C393,Foundation_Calc!$E$2:$G$986,3,1),
IF(J393&gt;0,VLOOKUP(J393,Foundation_Calc!$E$2:$G$986,3,1),""))</f>
        <v/>
      </c>
      <c r="AY393" s="631" t="str">
        <f>IF(L393="","",
IF(AX393="PT",VLOOKUP(L393,Foundation_Calc!$K$4:$R$37,VLOOKUP(AW393,Foundation_Calc!$I$2:$J$8,2,FALSE),0),
IF(AX393="K",VLOOKUP(L393,Foundation_Calc!$K$41:$R$74,VLOOKUP(AW393,Foundation_Calc!$I$2:$J$8,2,FALSE),0),"")))</f>
        <v/>
      </c>
      <c r="AZ393" s="631" t="str">
        <f>IF(K393="","",
IF(AX393="PT",VLOOKUP(K393,Foundation_Calc!$K$4:$R$37,VLOOKUP(AW393,Foundation_Calc!$I$2:$J$8,2,FALSE),0),
IF(AX393="K",VLOOKUP(K393,Foundation_Calc!$K$41:$R$74,VLOOKUP(AW393,Foundation_Calc!$I$2:$J$8,2,FALSE),0),"")))</f>
        <v/>
      </c>
      <c r="BA393" s="632" t="str">
        <f t="shared" si="95"/>
        <v/>
      </c>
      <c r="BB393" s="632" t="str">
        <f t="shared" si="96"/>
        <v/>
      </c>
      <c r="BC393" s="632" t="str">
        <f t="shared" si="97"/>
        <v/>
      </c>
      <c r="BD393" s="633" t="str">
        <f>IF(AND(L393="",H393=""),"",
IF(H393="",Pole_Calc!A421,
IF(H393="MP",Pole_Calc!A422,
IF(H393="AnMP",Pole_Calc!A423,
IF(H393="A",Pole_Calc!A424,
IF(H393="S/A",Pole_Calc!A425,
IF(H393="A/S",Pole_Calc!A426,"Poner a mano")))))))</f>
        <v/>
      </c>
      <c r="BE393" s="448" t="s">
        <v>1726</v>
      </c>
      <c r="BF393" s="635"/>
      <c r="BG393" s="635"/>
      <c r="BH393" s="634"/>
      <c r="BI393" s="635"/>
    </row>
    <row r="394" spans="1:61" ht="16.2" customHeight="1">
      <c r="A394" s="12"/>
      <c r="B394" s="446"/>
      <c r="C394" s="89"/>
      <c r="D394" s="13"/>
      <c r="E394" s="14"/>
      <c r="F394" s="14"/>
      <c r="G394" s="15"/>
      <c r="H394" s="8"/>
      <c r="I394" s="8"/>
      <c r="J394" s="89"/>
      <c r="K394" s="8"/>
      <c r="L394" s="8"/>
      <c r="M394" s="8" t="str">
        <f>IF(L394="","",
IF(AX394="PT",VLOOKUP(L394,Foundation_Calc!$V$4:$X$37,VLOOKUP(AX394,Foundation_Calc!$I$10:$J$13,2,FALSE),0),
IF(AX394="K",VLOOKUP(L394,Foundation_Calc!$V$41:$X$74,VLOOKUP(AX394,Foundation_Calc!$I$10:$J$13,2,FALSE),0),"")))</f>
        <v/>
      </c>
      <c r="N394" s="8"/>
      <c r="O394" s="8"/>
      <c r="P394" s="8"/>
      <c r="Q394" s="14"/>
      <c r="R394" s="15"/>
      <c r="S394" s="15"/>
      <c r="T394" s="14"/>
      <c r="U394" s="14"/>
      <c r="V394" s="14"/>
      <c r="W394" s="18"/>
      <c r="X394" s="18"/>
      <c r="Y394" s="18"/>
      <c r="Z394" s="18"/>
      <c r="AA394" s="18"/>
      <c r="AB394" s="18"/>
      <c r="AC394" s="8" t="str">
        <f t="shared" si="94"/>
        <v/>
      </c>
      <c r="AD394" s="8"/>
      <c r="AE394" s="8"/>
      <c r="AF394" s="14"/>
      <c r="AG394" s="13"/>
      <c r="AH394" s="14"/>
      <c r="AI394" s="14"/>
      <c r="AJ394" s="8"/>
      <c r="AK394" s="8"/>
      <c r="AL394" s="8"/>
      <c r="AM394" s="8"/>
      <c r="AN394" s="631"/>
      <c r="AO394" s="18"/>
      <c r="AP394" s="18"/>
      <c r="AQ394" s="18"/>
      <c r="AR394" s="18"/>
      <c r="AS394" s="18"/>
      <c r="AU394" s="448"/>
      <c r="AV394" s="448"/>
      <c r="AW394" s="8" t="str">
        <f>IF(C394&gt;0,VLOOKUP(C394,Foundation_Calc!$A$2:$C$986,3,1),
IF(J394&gt;0,VLOOKUP(J394,Foundation_Calc!$A$2:$C$986,3,1),""))</f>
        <v/>
      </c>
      <c r="AX394" s="8" t="str">
        <f>IF(C394&gt;0,VLOOKUP(C394,Foundation_Calc!$E$2:$G$986,3,1),
IF(J394&gt;0,VLOOKUP(J394,Foundation_Calc!$E$2:$G$986,3,1),""))</f>
        <v/>
      </c>
      <c r="AY394" s="631" t="str">
        <f>IF(L394="","",
IF(AX394="PT",VLOOKUP(L394,Foundation_Calc!$K$4:$R$37,VLOOKUP(AW394,Foundation_Calc!$I$2:$J$8,2,FALSE),0),
IF(AX394="K",VLOOKUP(L394,Foundation_Calc!$K$41:$R$74,VLOOKUP(AW394,Foundation_Calc!$I$2:$J$8,2,FALSE),0),"")))</f>
        <v/>
      </c>
      <c r="AZ394" s="631" t="str">
        <f>IF(K394="","",
IF(AX394="PT",VLOOKUP(K394,Foundation_Calc!$K$4:$R$37,VLOOKUP(AW394,Foundation_Calc!$I$2:$J$8,2,FALSE),0),
IF(AX394="K",VLOOKUP(K394,Foundation_Calc!$K$41:$R$74,VLOOKUP(AW394,Foundation_Calc!$I$2:$J$8,2,FALSE),0),"")))</f>
        <v/>
      </c>
      <c r="BA394" s="632" t="str">
        <f t="shared" si="95"/>
        <v/>
      </c>
      <c r="BB394" s="632" t="str">
        <f t="shared" si="96"/>
        <v/>
      </c>
      <c r="BC394" s="632" t="str">
        <f t="shared" si="97"/>
        <v/>
      </c>
      <c r="BD394" s="633" t="str">
        <f>IF(AND(L394="",H394=""),"",
IF(H394="",Pole_Calc!A422,
IF(H394="MP",Pole_Calc!A423,
IF(H394="AnMP",Pole_Calc!A424,
IF(H394="A",Pole_Calc!A425,
IF(H394="S/A",Pole_Calc!A426,
IF(H394="A/S",Pole_Calc!A427,"Poner a mano")))))))</f>
        <v/>
      </c>
      <c r="BE394" s="448" t="s">
        <v>1726</v>
      </c>
      <c r="BF394" s="634"/>
      <c r="BG394" s="634"/>
      <c r="BH394" s="634"/>
      <c r="BI394" s="634"/>
    </row>
    <row r="395" spans="1:61" ht="16.2" customHeight="1">
      <c r="A395" s="12"/>
      <c r="B395" s="446"/>
      <c r="C395" s="89"/>
      <c r="D395" s="13"/>
      <c r="E395" s="14"/>
      <c r="F395" s="14"/>
      <c r="G395" s="15"/>
      <c r="H395" s="8"/>
      <c r="I395" s="8"/>
      <c r="J395" s="89"/>
      <c r="K395" s="8"/>
      <c r="L395" s="8"/>
      <c r="M395" s="8" t="str">
        <f>IF(L395="","",
IF(AX395="PT",VLOOKUP(L395,Foundation_Calc!$V$4:$X$37,VLOOKUP(AX395,Foundation_Calc!$I$10:$J$13,2,FALSE),0),
IF(AX395="K",VLOOKUP(L395,Foundation_Calc!$V$41:$X$74,VLOOKUP(AX395,Foundation_Calc!$I$10:$J$13,2,FALSE),0),"")))</f>
        <v/>
      </c>
      <c r="N395" s="8"/>
      <c r="O395" s="8"/>
      <c r="P395" s="8"/>
      <c r="Q395" s="14"/>
      <c r="R395" s="15"/>
      <c r="S395" s="15"/>
      <c r="T395" s="14"/>
      <c r="U395" s="14"/>
      <c r="V395" s="14"/>
      <c r="W395" s="18"/>
      <c r="X395" s="18"/>
      <c r="Y395" s="18"/>
      <c r="Z395" s="18"/>
      <c r="AA395" s="18"/>
      <c r="AB395" s="18"/>
      <c r="AC395" s="8" t="str">
        <f t="shared" si="94"/>
        <v/>
      </c>
      <c r="AD395" s="8"/>
      <c r="AE395" s="8"/>
      <c r="AF395" s="14"/>
      <c r="AG395" s="13"/>
      <c r="AH395" s="14"/>
      <c r="AI395" s="14"/>
      <c r="AJ395" s="8"/>
      <c r="AK395" s="8"/>
      <c r="AL395" s="8"/>
      <c r="AM395" s="8"/>
      <c r="AN395" s="631"/>
      <c r="AO395" s="18"/>
      <c r="AP395" s="18"/>
      <c r="AQ395" s="18"/>
      <c r="AR395" s="18"/>
      <c r="AS395" s="18"/>
      <c r="AU395" s="448"/>
      <c r="AV395" s="448"/>
      <c r="AW395" s="8" t="str">
        <f>IF(C395&gt;0,VLOOKUP(C395,Foundation_Calc!$A$2:$C$986,3,1),
IF(J395&gt;0,VLOOKUP(J395,Foundation_Calc!$A$2:$C$986,3,1),""))</f>
        <v/>
      </c>
      <c r="AX395" s="8" t="str">
        <f>IF(C395&gt;0,VLOOKUP(C395,Foundation_Calc!$E$2:$G$986,3,1),
IF(J395&gt;0,VLOOKUP(J395,Foundation_Calc!$E$2:$G$986,3,1),""))</f>
        <v/>
      </c>
      <c r="AY395" s="631" t="str">
        <f>IF(L395="","",
IF(AX395="PT",VLOOKUP(L395,Foundation_Calc!$K$4:$R$37,VLOOKUP(AW395,Foundation_Calc!$I$2:$J$8,2,FALSE),0),
IF(AX395="K",VLOOKUP(L395,Foundation_Calc!$K$41:$R$74,VLOOKUP(AW395,Foundation_Calc!$I$2:$J$8,2,FALSE),0),"")))</f>
        <v/>
      </c>
      <c r="AZ395" s="631" t="str">
        <f>IF(K395="","",
IF(AX395="PT",VLOOKUP(K395,Foundation_Calc!$K$4:$R$37,VLOOKUP(AW395,Foundation_Calc!$I$2:$J$8,2,FALSE),0),
IF(AX395="K",VLOOKUP(K395,Foundation_Calc!$K$41:$R$74,VLOOKUP(AW395,Foundation_Calc!$I$2:$J$8,2,FALSE),0),"")))</f>
        <v/>
      </c>
      <c r="BA395" s="632" t="str">
        <f t="shared" si="95"/>
        <v/>
      </c>
      <c r="BB395" s="632" t="str">
        <f t="shared" si="96"/>
        <v/>
      </c>
      <c r="BC395" s="632" t="str">
        <f t="shared" si="97"/>
        <v/>
      </c>
      <c r="BD395" s="633" t="str">
        <f>IF(AND(L395="",H395=""),"",
IF(H395="",Pole_Calc!A423,
IF(H395="MP",Pole_Calc!A424,
IF(H395="AnMP",Pole_Calc!A425,
IF(H395="A",Pole_Calc!A426,
IF(H395="S/A",Pole_Calc!A427,
IF(H395="A/S",Pole_Calc!A428,"Poner a mano")))))))</f>
        <v/>
      </c>
      <c r="BE395" s="448" t="s">
        <v>1726</v>
      </c>
      <c r="BF395" s="635"/>
      <c r="BG395" s="635"/>
      <c r="BH395" s="634"/>
      <c r="BI395" s="635"/>
    </row>
    <row r="396" spans="1:61" ht="16.2" customHeight="1">
      <c r="A396" s="12"/>
      <c r="B396" s="446"/>
      <c r="C396" s="89"/>
      <c r="D396" s="13"/>
      <c r="E396" s="14"/>
      <c r="F396" s="14"/>
      <c r="G396" s="15"/>
      <c r="H396" s="8"/>
      <c r="I396" s="8"/>
      <c r="J396" s="89"/>
      <c r="K396" s="8"/>
      <c r="L396" s="8"/>
      <c r="M396" s="8" t="str">
        <f>IF(L396="","",
IF(AX396="PT",VLOOKUP(L396,Foundation_Calc!$V$4:$X$37,VLOOKUP(AX396,Foundation_Calc!$I$10:$J$13,2,FALSE),0),
IF(AX396="K",VLOOKUP(L396,Foundation_Calc!$V$41:$X$74,VLOOKUP(AX396,Foundation_Calc!$I$10:$J$13,2,FALSE),0),"")))</f>
        <v/>
      </c>
      <c r="N396" s="8"/>
      <c r="O396" s="8"/>
      <c r="P396" s="8"/>
      <c r="Q396" s="14"/>
      <c r="R396" s="15"/>
      <c r="S396" s="15"/>
      <c r="T396" s="14"/>
      <c r="U396" s="14"/>
      <c r="V396" s="14"/>
      <c r="W396" s="18"/>
      <c r="X396" s="18"/>
      <c r="Y396" s="18"/>
      <c r="Z396" s="18"/>
      <c r="AA396" s="18"/>
      <c r="AB396" s="18"/>
      <c r="AC396" s="8" t="str">
        <f t="shared" si="94"/>
        <v/>
      </c>
      <c r="AD396" s="8"/>
      <c r="AE396" s="8"/>
      <c r="AF396" s="14"/>
      <c r="AG396" s="13"/>
      <c r="AH396" s="14"/>
      <c r="AI396" s="14"/>
      <c r="AJ396" s="8"/>
      <c r="AK396" s="8"/>
      <c r="AL396" s="8"/>
      <c r="AM396" s="8"/>
      <c r="AN396" s="631"/>
      <c r="AO396" s="18"/>
      <c r="AP396" s="18"/>
      <c r="AQ396" s="18"/>
      <c r="AR396" s="18"/>
      <c r="AS396" s="18"/>
      <c r="AU396" s="448"/>
      <c r="AV396" s="448"/>
      <c r="AW396" s="8" t="str">
        <f>IF(C396&gt;0,VLOOKUP(C396,Foundation_Calc!$A$2:$C$986,3,1),
IF(J396&gt;0,VLOOKUP(J396,Foundation_Calc!$A$2:$C$986,3,1),""))</f>
        <v/>
      </c>
      <c r="AX396" s="8" t="str">
        <f>IF(C396&gt;0,VLOOKUP(C396,Foundation_Calc!$E$2:$G$986,3,1),
IF(J396&gt;0,VLOOKUP(J396,Foundation_Calc!$E$2:$G$986,3,1),""))</f>
        <v/>
      </c>
      <c r="AY396" s="631" t="str">
        <f>IF(L396="","",
IF(AX396="PT",VLOOKUP(L396,Foundation_Calc!$K$4:$R$37,VLOOKUP(AW396,Foundation_Calc!$I$2:$J$8,2,FALSE),0),
IF(AX396="K",VLOOKUP(L396,Foundation_Calc!$K$41:$R$74,VLOOKUP(AW396,Foundation_Calc!$I$2:$J$8,2,FALSE),0),"")))</f>
        <v/>
      </c>
      <c r="AZ396" s="631" t="str">
        <f>IF(K396="","",
IF(AX396="PT",VLOOKUP(K396,Foundation_Calc!$K$4:$R$37,VLOOKUP(AW396,Foundation_Calc!$I$2:$J$8,2,FALSE),0),
IF(AX396="K",VLOOKUP(K396,Foundation_Calc!$K$41:$R$74,VLOOKUP(AW396,Foundation_Calc!$I$2:$J$8,2,FALSE),0),"")))</f>
        <v/>
      </c>
      <c r="BA396" s="632" t="str">
        <f t="shared" si="95"/>
        <v/>
      </c>
      <c r="BB396" s="632" t="str">
        <f t="shared" si="96"/>
        <v/>
      </c>
      <c r="BC396" s="632" t="str">
        <f t="shared" si="97"/>
        <v/>
      </c>
      <c r="BD396" s="633" t="str">
        <f>IF(AND(L396="",H396=""),"",
IF(H396="",Pole_Calc!A424,
IF(H396="MP",Pole_Calc!A425,
IF(H396="AnMP",Pole_Calc!A426,
IF(H396="A",Pole_Calc!A427,
IF(H396="S/A",Pole_Calc!A428,
IF(H396="A/S",Pole_Calc!A429,"Poner a mano")))))))</f>
        <v/>
      </c>
      <c r="BE396" s="448" t="s">
        <v>1726</v>
      </c>
      <c r="BF396" s="634"/>
      <c r="BG396" s="634"/>
      <c r="BH396" s="634"/>
      <c r="BI396" s="634"/>
    </row>
    <row r="397" spans="1:61" ht="16.2" customHeight="1">
      <c r="A397" s="12"/>
      <c r="B397" s="446"/>
      <c r="C397" s="89"/>
      <c r="D397" s="13"/>
      <c r="E397" s="14"/>
      <c r="F397" s="14"/>
      <c r="G397" s="15"/>
      <c r="H397" s="8"/>
      <c r="I397" s="8"/>
      <c r="J397" s="89"/>
      <c r="K397" s="8"/>
      <c r="L397" s="8"/>
      <c r="M397" s="8" t="str">
        <f>IF(L397="","",
IF(AX397="PT",VLOOKUP(L397,Foundation_Calc!$V$4:$X$37,VLOOKUP(AX397,Foundation_Calc!$I$10:$J$13,2,FALSE),0),
IF(AX397="K",VLOOKUP(L397,Foundation_Calc!$V$41:$X$74,VLOOKUP(AX397,Foundation_Calc!$I$10:$J$13,2,FALSE),0),"")))</f>
        <v/>
      </c>
      <c r="N397" s="8"/>
      <c r="O397" s="8"/>
      <c r="P397" s="8"/>
      <c r="Q397" s="14"/>
      <c r="R397" s="15"/>
      <c r="S397" s="15"/>
      <c r="T397" s="14"/>
      <c r="U397" s="14"/>
      <c r="V397" s="14"/>
      <c r="W397" s="18"/>
      <c r="X397" s="18"/>
      <c r="Y397" s="18"/>
      <c r="Z397" s="18"/>
      <c r="AA397" s="18"/>
      <c r="AB397" s="18"/>
      <c r="AC397" s="8" t="str">
        <f t="shared" si="94"/>
        <v/>
      </c>
      <c r="AD397" s="8"/>
      <c r="AE397" s="8"/>
      <c r="AF397" s="14"/>
      <c r="AG397" s="13"/>
      <c r="AH397" s="14"/>
      <c r="AI397" s="14"/>
      <c r="AJ397" s="8"/>
      <c r="AK397" s="8"/>
      <c r="AL397" s="8"/>
      <c r="AM397" s="8"/>
      <c r="AN397" s="631"/>
      <c r="AO397" s="18"/>
      <c r="AP397" s="18"/>
      <c r="AQ397" s="18"/>
      <c r="AR397" s="18"/>
      <c r="AS397" s="18"/>
      <c r="AU397" s="448"/>
      <c r="AV397" s="448"/>
      <c r="AW397" s="8" t="str">
        <f>IF(C397&gt;0,VLOOKUP(C397,Foundation_Calc!$A$2:$C$986,3,1),
IF(J397&gt;0,VLOOKUP(J397,Foundation_Calc!$A$2:$C$986,3,1),""))</f>
        <v/>
      </c>
      <c r="AX397" s="8" t="str">
        <f>IF(C397&gt;0,VLOOKUP(C397,Foundation_Calc!$E$2:$G$986,3,1),
IF(J397&gt;0,VLOOKUP(J397,Foundation_Calc!$E$2:$G$986,3,1),""))</f>
        <v/>
      </c>
      <c r="AY397" s="631" t="str">
        <f>IF(L397="","",
IF(AX397="PT",VLOOKUP(L397,Foundation_Calc!$K$4:$R$37,VLOOKUP(AW397,Foundation_Calc!$I$2:$J$8,2,FALSE),0),
IF(AX397="K",VLOOKUP(L397,Foundation_Calc!$K$41:$R$74,VLOOKUP(AW397,Foundation_Calc!$I$2:$J$8,2,FALSE),0),"")))</f>
        <v/>
      </c>
      <c r="AZ397" s="631" t="str">
        <f>IF(K397="","",
IF(AX397="PT",VLOOKUP(K397,Foundation_Calc!$K$4:$R$37,VLOOKUP(AW397,Foundation_Calc!$I$2:$J$8,2,FALSE),0),
IF(AX397="K",VLOOKUP(K397,Foundation_Calc!$K$41:$R$74,VLOOKUP(AW397,Foundation_Calc!$I$2:$J$8,2,FALSE),0),"")))</f>
        <v/>
      </c>
      <c r="BA397" s="632" t="str">
        <f t="shared" si="95"/>
        <v/>
      </c>
      <c r="BB397" s="632" t="str">
        <f t="shared" si="96"/>
        <v/>
      </c>
      <c r="BC397" s="632" t="str">
        <f t="shared" si="97"/>
        <v/>
      </c>
      <c r="BD397" s="633" t="str">
        <f>IF(AND(L397="",H397=""),"",
IF(H397="",Pole_Calc!A425,
IF(H397="MP",Pole_Calc!A426,
IF(H397="AnMP",Pole_Calc!A427,
IF(H397="A",Pole_Calc!A428,
IF(H397="S/A",Pole_Calc!A429,
IF(H397="A/S",Pole_Calc!A430,"Poner a mano")))))))</f>
        <v/>
      </c>
      <c r="BE397" s="448" t="s">
        <v>1726</v>
      </c>
      <c r="BF397" s="635"/>
      <c r="BG397" s="635"/>
      <c r="BH397" s="634"/>
      <c r="BI397" s="635"/>
    </row>
    <row r="398" spans="1:61" ht="16.2" customHeight="1">
      <c r="A398" s="12"/>
      <c r="B398" s="446"/>
      <c r="C398" s="89"/>
      <c r="D398" s="13"/>
      <c r="E398" s="14"/>
      <c r="F398" s="14"/>
      <c r="G398" s="15"/>
      <c r="H398" s="8"/>
      <c r="I398" s="8"/>
      <c r="J398" s="89"/>
      <c r="K398" s="8"/>
      <c r="L398" s="8"/>
      <c r="M398" s="8" t="str">
        <f>IF(L398="","",
IF(AX398="PT",VLOOKUP(L398,Foundation_Calc!$V$4:$X$37,VLOOKUP(AX398,Foundation_Calc!$I$10:$J$13,2,FALSE),0),
IF(AX398="K",VLOOKUP(L398,Foundation_Calc!$V$41:$X$74,VLOOKUP(AX398,Foundation_Calc!$I$10:$J$13,2,FALSE),0),"")))</f>
        <v/>
      </c>
      <c r="N398" s="8"/>
      <c r="O398" s="8"/>
      <c r="P398" s="8"/>
      <c r="Q398" s="14"/>
      <c r="R398" s="15"/>
      <c r="S398" s="15"/>
      <c r="T398" s="14"/>
      <c r="U398" s="14"/>
      <c r="V398" s="14"/>
      <c r="W398" s="18"/>
      <c r="X398" s="18"/>
      <c r="Y398" s="18"/>
      <c r="Z398" s="18"/>
      <c r="AA398" s="18"/>
      <c r="AB398" s="18"/>
      <c r="AC398" s="8" t="str">
        <f t="shared" si="94"/>
        <v/>
      </c>
      <c r="AD398" s="8"/>
      <c r="AE398" s="8"/>
      <c r="AF398" s="14"/>
      <c r="AG398" s="13"/>
      <c r="AH398" s="14"/>
      <c r="AI398" s="14"/>
      <c r="AJ398" s="8"/>
      <c r="AK398" s="8"/>
      <c r="AL398" s="8"/>
      <c r="AM398" s="8"/>
      <c r="AN398" s="631"/>
      <c r="AO398" s="18"/>
      <c r="AP398" s="18"/>
      <c r="AQ398" s="18"/>
      <c r="AR398" s="18"/>
      <c r="AS398" s="18"/>
      <c r="AU398" s="448"/>
      <c r="AV398" s="448"/>
      <c r="AW398" s="8" t="str">
        <f>IF(C398&gt;0,VLOOKUP(C398,Foundation_Calc!$A$2:$C$986,3,1),
IF(J398&gt;0,VLOOKUP(J398,Foundation_Calc!$A$2:$C$986,3,1),""))</f>
        <v/>
      </c>
      <c r="AX398" s="8" t="str">
        <f>IF(C398&gt;0,VLOOKUP(C398,Foundation_Calc!$E$2:$G$986,3,1),
IF(J398&gt;0,VLOOKUP(J398,Foundation_Calc!$E$2:$G$986,3,1),""))</f>
        <v/>
      </c>
      <c r="AY398" s="631" t="str">
        <f>IF(L398="","",
IF(AX398="PT",VLOOKUP(L398,Foundation_Calc!$K$4:$R$37,VLOOKUP(AW398,Foundation_Calc!$I$2:$J$8,2,FALSE),0),
IF(AX398="K",VLOOKUP(L398,Foundation_Calc!$K$41:$R$74,VLOOKUP(AW398,Foundation_Calc!$I$2:$J$8,2,FALSE),0),"")))</f>
        <v/>
      </c>
      <c r="AZ398" s="631" t="str">
        <f>IF(K398="","",
IF(AX398="PT",VLOOKUP(K398,Foundation_Calc!$K$4:$R$37,VLOOKUP(AW398,Foundation_Calc!$I$2:$J$8,2,FALSE),0),
IF(AX398="K",VLOOKUP(K398,Foundation_Calc!$K$41:$R$74,VLOOKUP(AW398,Foundation_Calc!$I$2:$J$8,2,FALSE),0),"")))</f>
        <v/>
      </c>
      <c r="BA398" s="632" t="str">
        <f t="shared" si="95"/>
        <v/>
      </c>
      <c r="BB398" s="632" t="str">
        <f t="shared" si="96"/>
        <v/>
      </c>
      <c r="BC398" s="632" t="str">
        <f t="shared" si="97"/>
        <v/>
      </c>
      <c r="BD398" s="633" t="str">
        <f>IF(AND(L398="",H398=""),"",
IF(H398="",Pole_Calc!A426,
IF(H398="MP",Pole_Calc!A427,
IF(H398="AnMP",Pole_Calc!A428,
IF(H398="A",Pole_Calc!A429,
IF(H398="S/A",Pole_Calc!A430,
IF(H398="A/S",Pole_Calc!A431,"Poner a mano")))))))</f>
        <v/>
      </c>
      <c r="BE398" s="448" t="s">
        <v>1726</v>
      </c>
      <c r="BF398" s="634"/>
      <c r="BG398" s="634"/>
      <c r="BH398" s="634"/>
      <c r="BI398" s="634"/>
    </row>
    <row r="399" spans="1:61" ht="16.2" customHeight="1">
      <c r="A399" s="12"/>
      <c r="B399" s="446"/>
      <c r="C399" s="89"/>
      <c r="D399" s="13"/>
      <c r="E399" s="14"/>
      <c r="F399" s="14"/>
      <c r="G399" s="15"/>
      <c r="H399" s="8"/>
      <c r="I399" s="8"/>
      <c r="J399" s="89"/>
      <c r="K399" s="8"/>
      <c r="L399" s="8"/>
      <c r="M399" s="8" t="str">
        <f>IF(L399="","",
IF(AX399="PT",VLOOKUP(L399,Foundation_Calc!$V$4:$X$37,VLOOKUP(AX399,Foundation_Calc!$I$10:$J$13,2,FALSE),0),
IF(AX399="K",VLOOKUP(L399,Foundation_Calc!$V$41:$X$74,VLOOKUP(AX399,Foundation_Calc!$I$10:$J$13,2,FALSE),0),"")))</f>
        <v/>
      </c>
      <c r="N399" s="8"/>
      <c r="O399" s="8"/>
      <c r="P399" s="8"/>
      <c r="Q399" s="14"/>
      <c r="R399" s="15"/>
      <c r="S399" s="15"/>
      <c r="T399" s="14"/>
      <c r="U399" s="14"/>
      <c r="V399" s="14"/>
      <c r="W399" s="18"/>
      <c r="X399" s="18"/>
      <c r="Y399" s="18"/>
      <c r="Z399" s="18"/>
      <c r="AA399" s="18"/>
      <c r="AB399" s="18"/>
      <c r="AC399" s="8" t="str">
        <f t="shared" si="94"/>
        <v/>
      </c>
      <c r="AD399" s="8"/>
      <c r="AE399" s="8"/>
      <c r="AF399" s="14"/>
      <c r="AG399" s="13"/>
      <c r="AH399" s="14"/>
      <c r="AI399" s="14"/>
      <c r="AJ399" s="8"/>
      <c r="AK399" s="8"/>
      <c r="AL399" s="8"/>
      <c r="AM399" s="8"/>
      <c r="AN399" s="631"/>
      <c r="AO399" s="18"/>
      <c r="AP399" s="18"/>
      <c r="AQ399" s="18"/>
      <c r="AR399" s="18"/>
      <c r="AS399" s="18"/>
      <c r="AU399" s="448"/>
      <c r="AV399" s="448"/>
      <c r="AW399" s="8" t="str">
        <f>IF(C399&gt;0,VLOOKUP(C399,Foundation_Calc!$A$2:$C$986,3,1),
IF(J399&gt;0,VLOOKUP(J399,Foundation_Calc!$A$2:$C$986,3,1),""))</f>
        <v/>
      </c>
      <c r="AX399" s="8" t="str">
        <f>IF(C399&gt;0,VLOOKUP(C399,Foundation_Calc!$E$2:$G$986,3,1),
IF(J399&gt;0,VLOOKUP(J399,Foundation_Calc!$E$2:$G$986,3,1),""))</f>
        <v/>
      </c>
      <c r="AY399" s="631" t="str">
        <f>IF(L399="","",
IF(AX399="PT",VLOOKUP(L399,Foundation_Calc!$K$4:$R$37,VLOOKUP(AW399,Foundation_Calc!$I$2:$J$8,2,FALSE),0),
IF(AX399="K",VLOOKUP(L399,Foundation_Calc!$K$41:$R$74,VLOOKUP(AW399,Foundation_Calc!$I$2:$J$8,2,FALSE),0),"")))</f>
        <v/>
      </c>
      <c r="AZ399" s="631" t="str">
        <f>IF(K399="","",
IF(AX399="PT",VLOOKUP(K399,Foundation_Calc!$K$4:$R$37,VLOOKUP(AW399,Foundation_Calc!$I$2:$J$8,2,FALSE),0),
IF(AX399="K",VLOOKUP(K399,Foundation_Calc!$K$41:$R$74,VLOOKUP(AW399,Foundation_Calc!$I$2:$J$8,2,FALSE),0),"")))</f>
        <v/>
      </c>
      <c r="BA399" s="632" t="str">
        <f t="shared" si="95"/>
        <v/>
      </c>
      <c r="BB399" s="632" t="str">
        <f t="shared" si="96"/>
        <v/>
      </c>
      <c r="BC399" s="632" t="str">
        <f t="shared" si="97"/>
        <v/>
      </c>
      <c r="BD399" s="633" t="str">
        <f>IF(AND(L399="",H399=""),"",
IF(H399="",Pole_Calc!A427,
IF(H399="MP",Pole_Calc!A428,
IF(H399="AnMP",Pole_Calc!A429,
IF(H399="A",Pole_Calc!A430,
IF(H399="S/A",Pole_Calc!A431,
IF(H399="A/S",Pole_Calc!A432,"Poner a mano")))))))</f>
        <v/>
      </c>
      <c r="BE399" s="448" t="s">
        <v>1726</v>
      </c>
      <c r="BF399" s="635"/>
      <c r="BG399" s="635"/>
      <c r="BH399" s="634"/>
      <c r="BI399" s="635"/>
    </row>
    <row r="400" spans="1:61" ht="16.2" customHeight="1">
      <c r="A400" s="12"/>
      <c r="B400" s="446"/>
      <c r="C400" s="89"/>
      <c r="D400" s="13"/>
      <c r="E400" s="14"/>
      <c r="F400" s="14"/>
      <c r="G400" s="15"/>
      <c r="H400" s="8"/>
      <c r="I400" s="8"/>
      <c r="J400" s="89"/>
      <c r="K400" s="8"/>
      <c r="L400" s="8"/>
      <c r="M400" s="8" t="str">
        <f>IF(L400="","",
IF(AX400="PT",VLOOKUP(L400,Foundation_Calc!$V$4:$X$37,VLOOKUP(AX400,Foundation_Calc!$I$10:$J$13,2,FALSE),0),
IF(AX400="K",VLOOKUP(L400,Foundation_Calc!$V$41:$X$74,VLOOKUP(AX400,Foundation_Calc!$I$10:$J$13,2,FALSE),0),"")))</f>
        <v/>
      </c>
      <c r="N400" s="8"/>
      <c r="O400" s="8"/>
      <c r="P400" s="8"/>
      <c r="Q400" s="14"/>
      <c r="R400" s="15"/>
      <c r="S400" s="15"/>
      <c r="T400" s="14"/>
      <c r="U400" s="14"/>
      <c r="V400" s="14"/>
      <c r="W400" s="18"/>
      <c r="X400" s="18"/>
      <c r="Y400" s="18"/>
      <c r="Z400" s="18"/>
      <c r="AA400" s="18"/>
      <c r="AB400" s="18"/>
      <c r="AC400" s="8" t="str">
        <f t="shared" si="94"/>
        <v/>
      </c>
      <c r="AD400" s="8"/>
      <c r="AE400" s="8"/>
      <c r="AF400" s="14"/>
      <c r="AG400" s="13"/>
      <c r="AH400" s="14"/>
      <c r="AI400" s="14"/>
      <c r="AJ400" s="8"/>
      <c r="AK400" s="8"/>
      <c r="AL400" s="8"/>
      <c r="AM400" s="8"/>
      <c r="AN400" s="631"/>
      <c r="AO400" s="18"/>
      <c r="AP400" s="18"/>
      <c r="AQ400" s="18"/>
      <c r="AR400" s="18"/>
      <c r="AS400" s="18"/>
      <c r="AU400" s="448"/>
      <c r="AV400" s="448"/>
      <c r="AW400" s="8" t="str">
        <f>IF(C400&gt;0,VLOOKUP(C400,Foundation_Calc!$A$2:$C$986,3,1),
IF(J400&gt;0,VLOOKUP(J400,Foundation_Calc!$A$2:$C$986,3,1),""))</f>
        <v/>
      </c>
      <c r="AX400" s="8" t="str">
        <f>IF(C400&gt;0,VLOOKUP(C400,Foundation_Calc!$E$2:$G$986,3,1),
IF(J400&gt;0,VLOOKUP(J400,Foundation_Calc!$E$2:$G$986,3,1),""))</f>
        <v/>
      </c>
      <c r="AY400" s="631" t="str">
        <f>IF(L400="","",
IF(AX400="PT",VLOOKUP(L400,Foundation_Calc!$K$4:$R$37,VLOOKUP(AW400,Foundation_Calc!$I$2:$J$8,2,FALSE),0),
IF(AX400="K",VLOOKUP(L400,Foundation_Calc!$K$41:$R$74,VLOOKUP(AW400,Foundation_Calc!$I$2:$J$8,2,FALSE),0),"")))</f>
        <v/>
      </c>
      <c r="AZ400" s="631" t="str">
        <f>IF(K400="","",
IF(AX400="PT",VLOOKUP(K400,Foundation_Calc!$K$4:$R$37,VLOOKUP(AW400,Foundation_Calc!$I$2:$J$8,2,FALSE),0),
IF(AX400="K",VLOOKUP(K400,Foundation_Calc!$K$41:$R$74,VLOOKUP(AW400,Foundation_Calc!$I$2:$J$8,2,FALSE),0),"")))</f>
        <v/>
      </c>
      <c r="BA400" s="632" t="str">
        <f t="shared" si="95"/>
        <v/>
      </c>
      <c r="BB400" s="632" t="str">
        <f t="shared" si="96"/>
        <v/>
      </c>
      <c r="BC400" s="632" t="str">
        <f t="shared" si="97"/>
        <v/>
      </c>
      <c r="BD400" s="633" t="str">
        <f>IF(AND(L400="",H400=""),"",
IF(H400="",Pole_Calc!A428,
IF(H400="MP",Pole_Calc!A429,
IF(H400="AnMP",Pole_Calc!A430,
IF(H400="A",Pole_Calc!A431,
IF(H400="S/A",Pole_Calc!A432,
IF(H400="A/S",Pole_Calc!A433,"Poner a mano")))))))</f>
        <v/>
      </c>
      <c r="BE400" s="448" t="s">
        <v>1726</v>
      </c>
      <c r="BF400" s="634"/>
      <c r="BG400" s="634"/>
      <c r="BH400" s="634"/>
      <c r="BI400" s="634"/>
    </row>
    <row r="401" spans="1:61" ht="16.2" customHeight="1">
      <c r="A401" s="12"/>
      <c r="B401" s="446"/>
      <c r="C401" s="89"/>
      <c r="D401" s="13"/>
      <c r="E401" s="14"/>
      <c r="F401" s="14"/>
      <c r="G401" s="15"/>
      <c r="H401" s="8"/>
      <c r="I401" s="8"/>
      <c r="J401" s="89"/>
      <c r="K401" s="8"/>
      <c r="L401" s="8"/>
      <c r="M401" s="8" t="str">
        <f>IF(L401="","",
IF(AX401="PT",VLOOKUP(L401,Foundation_Calc!$V$4:$X$37,VLOOKUP(AX401,Foundation_Calc!$I$10:$J$13,2,FALSE),0),
IF(AX401="K",VLOOKUP(L401,Foundation_Calc!$V$41:$X$74,VLOOKUP(AX401,Foundation_Calc!$I$10:$J$13,2,FALSE),0),"")))</f>
        <v/>
      </c>
      <c r="N401" s="8"/>
      <c r="O401" s="8"/>
      <c r="P401" s="8"/>
      <c r="Q401" s="14"/>
      <c r="R401" s="15"/>
      <c r="S401" s="15"/>
      <c r="T401" s="14"/>
      <c r="U401" s="14"/>
      <c r="V401" s="14"/>
      <c r="W401" s="18"/>
      <c r="X401" s="18"/>
      <c r="Y401" s="18"/>
      <c r="Z401" s="18"/>
      <c r="AA401" s="18"/>
      <c r="AB401" s="18"/>
      <c r="AC401" s="8" t="str">
        <f t="shared" si="94"/>
        <v/>
      </c>
      <c r="AD401" s="8"/>
      <c r="AE401" s="8"/>
      <c r="AF401" s="14"/>
      <c r="AG401" s="13"/>
      <c r="AH401" s="14"/>
      <c r="AI401" s="14"/>
      <c r="AJ401" s="8"/>
      <c r="AK401" s="8"/>
      <c r="AL401" s="8"/>
      <c r="AM401" s="8"/>
      <c r="AN401" s="631"/>
      <c r="AO401" s="18"/>
      <c r="AP401" s="18"/>
      <c r="AQ401" s="18"/>
      <c r="AR401" s="18"/>
      <c r="AS401" s="18"/>
      <c r="AU401" s="448"/>
      <c r="AV401" s="448"/>
      <c r="AW401" s="8" t="str">
        <f>IF(C401&gt;0,VLOOKUP(C401,Foundation_Calc!$A$2:$C$986,3,1),
IF(J401&gt;0,VLOOKUP(J401,Foundation_Calc!$A$2:$C$986,3,1),""))</f>
        <v/>
      </c>
      <c r="AX401" s="8" t="str">
        <f>IF(C401&gt;0,VLOOKUP(C401,Foundation_Calc!$E$2:$G$986,3,1),
IF(J401&gt;0,VLOOKUP(J401,Foundation_Calc!$E$2:$G$986,3,1),""))</f>
        <v/>
      </c>
      <c r="AY401" s="631" t="str">
        <f>IF(L401="","",
IF(AX401="PT",VLOOKUP(L401,Foundation_Calc!$K$4:$R$37,VLOOKUP(AW401,Foundation_Calc!$I$2:$J$8,2,FALSE),0),
IF(AX401="K",VLOOKUP(L401,Foundation_Calc!$K$41:$R$74,VLOOKUP(AW401,Foundation_Calc!$I$2:$J$8,2,FALSE),0),"")))</f>
        <v/>
      </c>
      <c r="AZ401" s="631" t="str">
        <f>IF(K401="","",
IF(AX401="PT",VLOOKUP(K401,Foundation_Calc!$K$4:$R$37,VLOOKUP(AW401,Foundation_Calc!$I$2:$J$8,2,FALSE),0),
IF(AX401="K",VLOOKUP(K401,Foundation_Calc!$K$41:$R$74,VLOOKUP(AW401,Foundation_Calc!$I$2:$J$8,2,FALSE),0),"")))</f>
        <v/>
      </c>
      <c r="BA401" s="632" t="str">
        <f t="shared" si="95"/>
        <v/>
      </c>
      <c r="BB401" s="632" t="str">
        <f t="shared" si="96"/>
        <v/>
      </c>
      <c r="BC401" s="632" t="str">
        <f t="shared" si="97"/>
        <v/>
      </c>
      <c r="BD401" s="633" t="str">
        <f>IF(AND(L401="",H401=""),"",
IF(H401="",Pole_Calc!A429,
IF(H401="MP",Pole_Calc!A430,
IF(H401="AnMP",Pole_Calc!A431,
IF(H401="A",Pole_Calc!A432,
IF(H401="S/A",Pole_Calc!A433,
IF(H401="A/S",Pole_Calc!A434,"Poner a mano")))))))</f>
        <v/>
      </c>
      <c r="BE401" s="448" t="s">
        <v>1726</v>
      </c>
      <c r="BF401" s="635"/>
      <c r="BG401" s="635"/>
      <c r="BH401" s="634"/>
      <c r="BI401" s="635"/>
    </row>
    <row r="402" spans="1:61" ht="16.2" customHeight="1">
      <c r="A402" s="12"/>
      <c r="B402" s="446"/>
      <c r="C402" s="89"/>
      <c r="D402" s="13"/>
      <c r="E402" s="14"/>
      <c r="F402" s="14"/>
      <c r="G402" s="15"/>
      <c r="H402" s="8"/>
      <c r="I402" s="8"/>
      <c r="J402" s="89"/>
      <c r="K402" s="8"/>
      <c r="L402" s="8"/>
      <c r="M402" s="8" t="str">
        <f>IF(L402="","",
IF(AX402="PT",VLOOKUP(L402,Foundation_Calc!$V$4:$X$37,VLOOKUP(AX402,Foundation_Calc!$I$10:$J$13,2,FALSE),0),
IF(AX402="K",VLOOKUP(L402,Foundation_Calc!$V$41:$X$74,VLOOKUP(AX402,Foundation_Calc!$I$10:$J$13,2,FALSE),0),"")))</f>
        <v/>
      </c>
      <c r="N402" s="8"/>
      <c r="O402" s="8"/>
      <c r="P402" s="8"/>
      <c r="Q402" s="14"/>
      <c r="R402" s="15"/>
      <c r="S402" s="15"/>
      <c r="T402" s="14"/>
      <c r="U402" s="14"/>
      <c r="V402" s="14"/>
      <c r="W402" s="18"/>
      <c r="X402" s="18"/>
      <c r="Y402" s="18"/>
      <c r="Z402" s="18"/>
      <c r="AA402" s="18"/>
      <c r="AB402" s="18"/>
      <c r="AC402" s="8" t="str">
        <f t="shared" si="94"/>
        <v/>
      </c>
      <c r="AD402" s="8"/>
      <c r="AE402" s="8"/>
      <c r="AF402" s="14"/>
      <c r="AG402" s="13"/>
      <c r="AH402" s="14"/>
      <c r="AI402" s="14"/>
      <c r="AJ402" s="8"/>
      <c r="AK402" s="8"/>
      <c r="AL402" s="8"/>
      <c r="AM402" s="8"/>
      <c r="AN402" s="631"/>
      <c r="AO402" s="18"/>
      <c r="AP402" s="18"/>
      <c r="AQ402" s="18"/>
      <c r="AR402" s="18"/>
      <c r="AS402" s="18"/>
      <c r="AU402" s="448"/>
      <c r="AV402" s="448"/>
      <c r="AW402" s="8" t="str">
        <f>IF(C402&gt;0,VLOOKUP(C402,Foundation_Calc!$A$2:$C$986,3,1),
IF(J402&gt;0,VLOOKUP(J402,Foundation_Calc!$A$2:$C$986,3,1),""))</f>
        <v/>
      </c>
      <c r="AX402" s="8" t="str">
        <f>IF(C402&gt;0,VLOOKUP(C402,Foundation_Calc!$E$2:$G$986,3,1),
IF(J402&gt;0,VLOOKUP(J402,Foundation_Calc!$E$2:$G$986,3,1),""))</f>
        <v/>
      </c>
      <c r="AY402" s="631" t="str">
        <f>IF(L402="","",
IF(AX402="PT",VLOOKUP(L402,Foundation_Calc!$K$4:$R$37,VLOOKUP(AW402,Foundation_Calc!$I$2:$J$8,2,FALSE),0),
IF(AX402="K",VLOOKUP(L402,Foundation_Calc!$K$41:$R$74,VLOOKUP(AW402,Foundation_Calc!$I$2:$J$8,2,FALSE),0),"")))</f>
        <v/>
      </c>
      <c r="AZ402" s="631" t="str">
        <f>IF(K402="","",
IF(AX402="PT",VLOOKUP(K402,Foundation_Calc!$K$4:$R$37,VLOOKUP(AW402,Foundation_Calc!$I$2:$J$8,2,FALSE),0),
IF(AX402="K",VLOOKUP(K402,Foundation_Calc!$K$41:$R$74,VLOOKUP(AW402,Foundation_Calc!$I$2:$J$8,2,FALSE),0),"")))</f>
        <v/>
      </c>
      <c r="BA402" s="632" t="str">
        <f t="shared" si="95"/>
        <v/>
      </c>
      <c r="BB402" s="632" t="str">
        <f t="shared" si="96"/>
        <v/>
      </c>
      <c r="BC402" s="632" t="str">
        <f t="shared" si="97"/>
        <v/>
      </c>
      <c r="BD402" s="633" t="str">
        <f>IF(AND(L402="",H402=""),"",
IF(H402="",Pole_Calc!A430,
IF(H402="MP",Pole_Calc!A431,
IF(H402="AnMP",Pole_Calc!A432,
IF(H402="A",Pole_Calc!A433,
IF(H402="S/A",Pole_Calc!A434,
IF(H402="A/S",Pole_Calc!A435,"Poner a mano")))))))</f>
        <v/>
      </c>
      <c r="BE402" s="448" t="s">
        <v>1726</v>
      </c>
      <c r="BF402" s="634"/>
      <c r="BG402" s="634"/>
      <c r="BH402" s="634"/>
      <c r="BI402" s="634"/>
    </row>
    <row r="403" spans="1:61" ht="16.2" customHeight="1">
      <c r="A403" s="12"/>
      <c r="B403" s="446"/>
      <c r="C403" s="89"/>
      <c r="D403" s="13"/>
      <c r="E403" s="14"/>
      <c r="F403" s="14"/>
      <c r="G403" s="15"/>
      <c r="H403" s="8"/>
      <c r="I403" s="8"/>
      <c r="J403" s="89"/>
      <c r="K403" s="8"/>
      <c r="L403" s="8"/>
      <c r="M403" s="8" t="str">
        <f>IF(L403="","",
IF(AX403="PT",VLOOKUP(L403,Foundation_Calc!$V$4:$X$37,VLOOKUP(AX403,Foundation_Calc!$I$10:$J$13,2,FALSE),0),
IF(AX403="K",VLOOKUP(L403,Foundation_Calc!$V$41:$X$74,VLOOKUP(AX403,Foundation_Calc!$I$10:$J$13,2,FALSE),0),"")))</f>
        <v/>
      </c>
      <c r="N403" s="8"/>
      <c r="O403" s="8"/>
      <c r="P403" s="8"/>
      <c r="Q403" s="14"/>
      <c r="R403" s="15"/>
      <c r="S403" s="15"/>
      <c r="T403" s="14"/>
      <c r="U403" s="14"/>
      <c r="V403" s="14"/>
      <c r="W403" s="18"/>
      <c r="X403" s="18"/>
      <c r="Y403" s="18"/>
      <c r="Z403" s="18"/>
      <c r="AA403" s="18"/>
      <c r="AB403" s="18"/>
      <c r="AC403" s="8" t="str">
        <f t="shared" si="94"/>
        <v/>
      </c>
      <c r="AD403" s="8"/>
      <c r="AE403" s="8"/>
      <c r="AF403" s="14"/>
      <c r="AG403" s="13"/>
      <c r="AH403" s="14"/>
      <c r="AI403" s="14"/>
      <c r="AJ403" s="8"/>
      <c r="AK403" s="8"/>
      <c r="AL403" s="8"/>
      <c r="AM403" s="8"/>
      <c r="AN403" s="631"/>
      <c r="AO403" s="18"/>
      <c r="AP403" s="18"/>
      <c r="AQ403" s="18"/>
      <c r="AR403" s="18"/>
      <c r="AS403" s="18"/>
      <c r="AU403" s="448"/>
      <c r="AV403" s="448"/>
      <c r="AW403" s="8" t="str">
        <f>IF(C403&gt;0,VLOOKUP(C403,Foundation_Calc!$A$2:$C$986,3,1),
IF(J403&gt;0,VLOOKUP(J403,Foundation_Calc!$A$2:$C$986,3,1),""))</f>
        <v/>
      </c>
      <c r="AX403" s="8" t="str">
        <f>IF(C403&gt;0,VLOOKUP(C403,Foundation_Calc!$E$2:$G$986,3,1),
IF(J403&gt;0,VLOOKUP(J403,Foundation_Calc!$E$2:$G$986,3,1),""))</f>
        <v/>
      </c>
      <c r="AY403" s="631" t="str">
        <f>IF(L403="","",
IF(AX403="PT",VLOOKUP(L403,Foundation_Calc!$K$4:$R$37,VLOOKUP(AW403,Foundation_Calc!$I$2:$J$8,2,FALSE),0),
IF(AX403="K",VLOOKUP(L403,Foundation_Calc!$K$41:$R$74,VLOOKUP(AW403,Foundation_Calc!$I$2:$J$8,2,FALSE),0),"")))</f>
        <v/>
      </c>
      <c r="AZ403" s="631" t="str">
        <f>IF(K403="","",
IF(AX403="PT",VLOOKUP(K403,Foundation_Calc!$K$4:$R$37,VLOOKUP(AW403,Foundation_Calc!$I$2:$J$8,2,FALSE),0),
IF(AX403="K",VLOOKUP(K403,Foundation_Calc!$K$41:$R$74,VLOOKUP(AW403,Foundation_Calc!$I$2:$J$8,2,FALSE),0),"")))</f>
        <v/>
      </c>
      <c r="BA403" s="632" t="str">
        <f t="shared" si="95"/>
        <v/>
      </c>
      <c r="BB403" s="632" t="str">
        <f t="shared" si="96"/>
        <v/>
      </c>
      <c r="BC403" s="632" t="str">
        <f t="shared" si="97"/>
        <v/>
      </c>
      <c r="BD403" s="633" t="str">
        <f>IF(AND(L403="",H403=""),"",
IF(H403="",Pole_Calc!A431,
IF(H403="MP",Pole_Calc!A432,
IF(H403="AnMP",Pole_Calc!A433,
IF(H403="A",Pole_Calc!A434,
IF(H403="S/A",Pole_Calc!A435,
IF(H403="A/S",Pole_Calc!A436,"Poner a mano")))))))</f>
        <v/>
      </c>
      <c r="BE403" s="448" t="s">
        <v>1726</v>
      </c>
      <c r="BF403" s="635"/>
      <c r="BG403" s="635"/>
      <c r="BH403" s="634"/>
      <c r="BI403" s="635"/>
    </row>
    <row r="404" spans="1:61" ht="16.2" customHeight="1">
      <c r="A404" s="12"/>
      <c r="B404" s="446"/>
      <c r="C404" s="89"/>
      <c r="D404" s="13"/>
      <c r="E404" s="14"/>
      <c r="F404" s="14"/>
      <c r="G404" s="15"/>
      <c r="H404" s="8"/>
      <c r="I404" s="8"/>
      <c r="J404" s="89"/>
      <c r="K404" s="8"/>
      <c r="L404" s="8"/>
      <c r="M404" s="8" t="str">
        <f>IF(L404="","",
IF(AX404="PT",VLOOKUP(L404,Foundation_Calc!$V$4:$X$37,VLOOKUP(AX404,Foundation_Calc!$I$10:$J$13,2,FALSE),0),
IF(AX404="K",VLOOKUP(L404,Foundation_Calc!$V$41:$X$74,VLOOKUP(AX404,Foundation_Calc!$I$10:$J$13,2,FALSE),0),"")))</f>
        <v/>
      </c>
      <c r="N404" s="8"/>
      <c r="O404" s="8"/>
      <c r="P404" s="8"/>
      <c r="Q404" s="14"/>
      <c r="R404" s="15"/>
      <c r="S404" s="15"/>
      <c r="T404" s="14"/>
      <c r="U404" s="14"/>
      <c r="V404" s="14"/>
      <c r="W404" s="18"/>
      <c r="X404" s="18"/>
      <c r="Y404" s="18"/>
      <c r="Z404" s="18"/>
      <c r="AA404" s="18"/>
      <c r="AB404" s="18"/>
      <c r="AC404" s="8" t="str">
        <f t="shared" si="94"/>
        <v/>
      </c>
      <c r="AD404" s="8"/>
      <c r="AE404" s="8"/>
      <c r="AF404" s="14"/>
      <c r="AG404" s="13"/>
      <c r="AH404" s="14"/>
      <c r="AI404" s="14"/>
      <c r="AJ404" s="8"/>
      <c r="AK404" s="8"/>
      <c r="AL404" s="8"/>
      <c r="AM404" s="8"/>
      <c r="AN404" s="631"/>
      <c r="AO404" s="18"/>
      <c r="AP404" s="18"/>
      <c r="AQ404" s="18"/>
      <c r="AR404" s="18"/>
      <c r="AS404" s="18"/>
      <c r="AU404" s="448"/>
      <c r="AV404" s="448"/>
      <c r="AW404" s="8" t="str">
        <f>IF(C404&gt;0,VLOOKUP(C404,Foundation_Calc!$A$2:$C$986,3,1),
IF(J404&gt;0,VLOOKUP(J404,Foundation_Calc!$A$2:$C$986,3,1),""))</f>
        <v/>
      </c>
      <c r="AX404" s="8" t="str">
        <f>IF(C404&gt;0,VLOOKUP(C404,Foundation_Calc!$E$2:$G$986,3,1),
IF(J404&gt;0,VLOOKUP(J404,Foundation_Calc!$E$2:$G$986,3,1),""))</f>
        <v/>
      </c>
      <c r="AY404" s="631" t="str">
        <f>IF(L404="","",
IF(AX404="PT",VLOOKUP(L404,Foundation_Calc!$K$4:$R$37,VLOOKUP(AW404,Foundation_Calc!$I$2:$J$8,2,FALSE),0),
IF(AX404="K",VLOOKUP(L404,Foundation_Calc!$K$41:$R$74,VLOOKUP(AW404,Foundation_Calc!$I$2:$J$8,2,FALSE),0),"")))</f>
        <v/>
      </c>
      <c r="AZ404" s="631" t="str">
        <f>IF(K404="","",
IF(AX404="PT",VLOOKUP(K404,Foundation_Calc!$K$4:$R$37,VLOOKUP(AW404,Foundation_Calc!$I$2:$J$8,2,FALSE),0),
IF(AX404="K",VLOOKUP(K404,Foundation_Calc!$K$41:$R$74,VLOOKUP(AW404,Foundation_Calc!$I$2:$J$8,2,FALSE),0),"")))</f>
        <v/>
      </c>
      <c r="BA404" s="632" t="str">
        <f t="shared" si="95"/>
        <v/>
      </c>
      <c r="BB404" s="632" t="str">
        <f t="shared" si="96"/>
        <v/>
      </c>
      <c r="BC404" s="632" t="str">
        <f t="shared" si="97"/>
        <v/>
      </c>
      <c r="BD404" s="633" t="str">
        <f>IF(AND(L404="",H404=""),"",
IF(H404="",Pole_Calc!A432,
IF(H404="MP",Pole_Calc!A433,
IF(H404="AnMP",Pole_Calc!A434,
IF(H404="A",Pole_Calc!A435,
IF(H404="S/A",Pole_Calc!A436,
IF(H404="A/S",Pole_Calc!A437,"Poner a mano")))))))</f>
        <v/>
      </c>
      <c r="BE404" s="448" t="s">
        <v>1726</v>
      </c>
      <c r="BF404" s="634"/>
      <c r="BG404" s="634"/>
      <c r="BH404" s="634"/>
      <c r="BI404" s="634"/>
    </row>
    <row r="405" spans="1:61" ht="16.2" customHeight="1">
      <c r="A405" s="12"/>
      <c r="B405" s="446"/>
      <c r="C405" s="89"/>
      <c r="D405" s="13"/>
      <c r="E405" s="14"/>
      <c r="F405" s="14"/>
      <c r="G405" s="15"/>
      <c r="H405" s="8"/>
      <c r="I405" s="8"/>
      <c r="J405" s="89"/>
      <c r="K405" s="8"/>
      <c r="L405" s="8"/>
      <c r="M405" s="8" t="str">
        <f>IF(L405="","",
IF(AX405="PT",VLOOKUP(L405,Foundation_Calc!$V$4:$X$37,VLOOKUP(AX405,Foundation_Calc!$I$10:$J$13,2,FALSE),0),
IF(AX405="K",VLOOKUP(L405,Foundation_Calc!$V$41:$X$74,VLOOKUP(AX405,Foundation_Calc!$I$10:$J$13,2,FALSE),0),"")))</f>
        <v/>
      </c>
      <c r="N405" s="8"/>
      <c r="O405" s="8"/>
      <c r="P405" s="8"/>
      <c r="Q405" s="14"/>
      <c r="R405" s="15"/>
      <c r="S405" s="15"/>
      <c r="T405" s="14"/>
      <c r="U405" s="14"/>
      <c r="V405" s="14"/>
      <c r="W405" s="18"/>
      <c r="X405" s="18"/>
      <c r="Y405" s="18"/>
      <c r="Z405" s="18"/>
      <c r="AA405" s="18"/>
      <c r="AB405" s="18"/>
      <c r="AC405" s="8" t="str">
        <f t="shared" si="94"/>
        <v/>
      </c>
      <c r="AD405" s="8"/>
      <c r="AE405" s="8"/>
      <c r="AF405" s="14"/>
      <c r="AG405" s="13"/>
      <c r="AH405" s="14"/>
      <c r="AI405" s="14"/>
      <c r="AJ405" s="8"/>
      <c r="AK405" s="8"/>
      <c r="AL405" s="8"/>
      <c r="AM405" s="8"/>
      <c r="AN405" s="631"/>
      <c r="AO405" s="18"/>
      <c r="AP405" s="18"/>
      <c r="AQ405" s="18"/>
      <c r="AR405" s="18"/>
      <c r="AS405" s="18"/>
      <c r="AU405" s="448"/>
      <c r="AV405" s="448"/>
      <c r="AW405" s="8" t="str">
        <f>IF(C405&gt;0,VLOOKUP(C405,Foundation_Calc!$A$2:$C$986,3,1),
IF(J405&gt;0,VLOOKUP(J405,Foundation_Calc!$A$2:$C$986,3,1),""))</f>
        <v/>
      </c>
      <c r="AX405" s="8" t="str">
        <f>IF(C405&gt;0,VLOOKUP(C405,Foundation_Calc!$E$2:$G$986,3,1),
IF(J405&gt;0,VLOOKUP(J405,Foundation_Calc!$E$2:$G$986,3,1),""))</f>
        <v/>
      </c>
      <c r="AY405" s="631" t="str">
        <f>IF(L405="","",
IF(AX405="PT",VLOOKUP(L405,Foundation_Calc!$K$4:$R$37,VLOOKUP(AW405,Foundation_Calc!$I$2:$J$8,2,FALSE),0),
IF(AX405="K",VLOOKUP(L405,Foundation_Calc!$K$41:$R$74,VLOOKUP(AW405,Foundation_Calc!$I$2:$J$8,2,FALSE),0),"")))</f>
        <v/>
      </c>
      <c r="AZ405" s="631" t="str">
        <f>IF(K405="","",
IF(AX405="PT",VLOOKUP(K405,Foundation_Calc!$K$4:$R$37,VLOOKUP(AW405,Foundation_Calc!$I$2:$J$8,2,FALSE),0),
IF(AX405="K",VLOOKUP(K405,Foundation_Calc!$K$41:$R$74,VLOOKUP(AW405,Foundation_Calc!$I$2:$J$8,2,FALSE),0),"")))</f>
        <v/>
      </c>
      <c r="BA405" s="632" t="str">
        <f t="shared" si="95"/>
        <v/>
      </c>
      <c r="BB405" s="632" t="str">
        <f t="shared" si="96"/>
        <v/>
      </c>
      <c r="BC405" s="632" t="str">
        <f t="shared" si="97"/>
        <v/>
      </c>
      <c r="BD405" s="633" t="str">
        <f>IF(AND(L405="",H405=""),"",
IF(H405="",Pole_Calc!A433,
IF(H405="MP",Pole_Calc!A434,
IF(H405="AnMP",Pole_Calc!A435,
IF(H405="A",Pole_Calc!A436,
IF(H405="S/A",Pole_Calc!A437,
IF(H405="A/S",Pole_Calc!A438,"Poner a mano")))))))</f>
        <v/>
      </c>
      <c r="BE405" s="448" t="s">
        <v>1726</v>
      </c>
      <c r="BF405" s="635"/>
      <c r="BG405" s="635"/>
      <c r="BH405" s="634"/>
      <c r="BI405" s="635"/>
    </row>
    <row r="406" spans="1:61" ht="16.2" customHeight="1">
      <c r="A406" s="12"/>
      <c r="B406" s="446"/>
      <c r="C406" s="89"/>
      <c r="D406" s="13"/>
      <c r="E406" s="14"/>
      <c r="F406" s="14"/>
      <c r="G406" s="15"/>
      <c r="H406" s="8"/>
      <c r="I406" s="8"/>
      <c r="J406" s="89"/>
      <c r="K406" s="8"/>
      <c r="L406" s="8"/>
      <c r="M406" s="8" t="str">
        <f>IF(L406="","",
IF(AX406="PT",VLOOKUP(L406,Foundation_Calc!$V$4:$X$37,VLOOKUP(AX406,Foundation_Calc!$I$10:$J$13,2,FALSE),0),
IF(AX406="K",VLOOKUP(L406,Foundation_Calc!$V$41:$X$74,VLOOKUP(AX406,Foundation_Calc!$I$10:$J$13,2,FALSE),0),"")))</f>
        <v/>
      </c>
      <c r="N406" s="8"/>
      <c r="O406" s="8"/>
      <c r="P406" s="8"/>
      <c r="Q406" s="14"/>
      <c r="R406" s="15"/>
      <c r="S406" s="15"/>
      <c r="T406" s="14"/>
      <c r="U406" s="14"/>
      <c r="V406" s="14"/>
      <c r="W406" s="18"/>
      <c r="X406" s="18"/>
      <c r="Y406" s="18"/>
      <c r="Z406" s="18"/>
      <c r="AA406" s="18"/>
      <c r="AB406" s="18"/>
      <c r="AC406" s="8" t="str">
        <f t="shared" si="94"/>
        <v/>
      </c>
      <c r="AD406" s="8"/>
      <c r="AE406" s="8"/>
      <c r="AF406" s="14"/>
      <c r="AG406" s="13"/>
      <c r="AH406" s="14"/>
      <c r="AI406" s="14"/>
      <c r="AJ406" s="8"/>
      <c r="AK406" s="8"/>
      <c r="AL406" s="8"/>
      <c r="AM406" s="8"/>
      <c r="AN406" s="631"/>
      <c r="AO406" s="18"/>
      <c r="AP406" s="18"/>
      <c r="AQ406" s="18"/>
      <c r="AR406" s="18"/>
      <c r="AS406" s="18"/>
      <c r="AU406" s="448"/>
      <c r="AV406" s="448"/>
      <c r="AW406" s="8" t="str">
        <f>IF(C406&gt;0,VLOOKUP(C406,Foundation_Calc!$A$2:$C$986,3,1),
IF(J406&gt;0,VLOOKUP(J406,Foundation_Calc!$A$2:$C$986,3,1),""))</f>
        <v/>
      </c>
      <c r="AX406" s="8" t="str">
        <f>IF(C406&gt;0,VLOOKUP(C406,Foundation_Calc!$E$2:$G$986,3,1),
IF(J406&gt;0,VLOOKUP(J406,Foundation_Calc!$E$2:$G$986,3,1),""))</f>
        <v/>
      </c>
      <c r="AY406" s="631" t="str">
        <f>IF(L406="","",
IF(AX406="PT",VLOOKUP(L406,Foundation_Calc!$K$4:$R$37,VLOOKUP(AW406,Foundation_Calc!$I$2:$J$8,2,FALSE),0),
IF(AX406="K",VLOOKUP(L406,Foundation_Calc!$K$41:$R$74,VLOOKUP(AW406,Foundation_Calc!$I$2:$J$8,2,FALSE),0),"")))</f>
        <v/>
      </c>
      <c r="AZ406" s="631" t="str">
        <f>IF(K406="","",
IF(AX406="PT",VLOOKUP(K406,Foundation_Calc!$K$4:$R$37,VLOOKUP(AW406,Foundation_Calc!$I$2:$J$8,2,FALSE),0),
IF(AX406="K",VLOOKUP(K406,Foundation_Calc!$K$41:$R$74,VLOOKUP(AW406,Foundation_Calc!$I$2:$J$8,2,FALSE),0),"")))</f>
        <v/>
      </c>
      <c r="BA406" s="632" t="str">
        <f t="shared" si="95"/>
        <v/>
      </c>
      <c r="BB406" s="632" t="str">
        <f t="shared" si="96"/>
        <v/>
      </c>
      <c r="BC406" s="632" t="str">
        <f t="shared" si="97"/>
        <v/>
      </c>
      <c r="BD406" s="633" t="str">
        <f>IF(AND(L406="",H406=""),"",
IF(H406="",Pole_Calc!A434,
IF(H406="MP",Pole_Calc!A435,
IF(H406="AnMP",Pole_Calc!A436,
IF(H406="A",Pole_Calc!A437,
IF(H406="S/A",Pole_Calc!A438,
IF(H406="A/S",Pole_Calc!A439,"Poner a mano")))))))</f>
        <v/>
      </c>
      <c r="BE406" s="448" t="s">
        <v>1726</v>
      </c>
      <c r="BF406" s="634"/>
      <c r="BG406" s="634"/>
      <c r="BH406" s="634"/>
      <c r="BI406" s="634"/>
    </row>
    <row r="407" spans="1:61" ht="16.2" customHeight="1">
      <c r="A407" s="12"/>
      <c r="B407" s="446"/>
      <c r="C407" s="89"/>
      <c r="D407" s="13"/>
      <c r="E407" s="14"/>
      <c r="F407" s="14"/>
      <c r="G407" s="15"/>
      <c r="H407" s="8"/>
      <c r="I407" s="8"/>
      <c r="J407" s="89"/>
      <c r="K407" s="8"/>
      <c r="L407" s="8"/>
      <c r="M407" s="8" t="str">
        <f>IF(L407="","",
IF(AX407="PT",VLOOKUP(L407,Foundation_Calc!$V$4:$X$37,VLOOKUP(AX407,Foundation_Calc!$I$10:$J$13,2,FALSE),0),
IF(AX407="K",VLOOKUP(L407,Foundation_Calc!$V$41:$X$74,VLOOKUP(AX407,Foundation_Calc!$I$10:$J$13,2,FALSE),0),"")))</f>
        <v/>
      </c>
      <c r="N407" s="8"/>
      <c r="O407" s="8"/>
      <c r="P407" s="8"/>
      <c r="Q407" s="14"/>
      <c r="R407" s="15"/>
      <c r="S407" s="15"/>
      <c r="T407" s="14"/>
      <c r="U407" s="14"/>
      <c r="V407" s="14"/>
      <c r="W407" s="18"/>
      <c r="X407" s="18"/>
      <c r="Y407" s="18"/>
      <c r="Z407" s="18"/>
      <c r="AA407" s="18"/>
      <c r="AB407" s="18"/>
      <c r="AC407" s="8" t="str">
        <f t="shared" si="94"/>
        <v/>
      </c>
      <c r="AD407" s="8"/>
      <c r="AE407" s="8"/>
      <c r="AF407" s="14"/>
      <c r="AG407" s="13"/>
      <c r="AH407" s="14"/>
      <c r="AI407" s="14"/>
      <c r="AJ407" s="8"/>
      <c r="AK407" s="8"/>
      <c r="AL407" s="8"/>
      <c r="AM407" s="8"/>
      <c r="AN407" s="631"/>
      <c r="AO407" s="18"/>
      <c r="AP407" s="18"/>
      <c r="AQ407" s="18"/>
      <c r="AR407" s="18"/>
      <c r="AS407" s="18"/>
      <c r="AU407" s="448"/>
      <c r="AV407" s="448"/>
      <c r="AW407" s="8" t="str">
        <f>IF(C407&gt;0,VLOOKUP(C407,Foundation_Calc!$A$2:$C$986,3,1),
IF(J407&gt;0,VLOOKUP(J407,Foundation_Calc!$A$2:$C$986,3,1),""))</f>
        <v/>
      </c>
      <c r="AX407" s="8" t="str">
        <f>IF(C407&gt;0,VLOOKUP(C407,Foundation_Calc!$E$2:$G$986,3,1),
IF(J407&gt;0,VLOOKUP(J407,Foundation_Calc!$E$2:$G$986,3,1),""))</f>
        <v/>
      </c>
      <c r="AY407" s="631" t="str">
        <f>IF(L407="","",
IF(AX407="PT",VLOOKUP(L407,Foundation_Calc!$K$4:$R$37,VLOOKUP(AW407,Foundation_Calc!$I$2:$J$8,2,FALSE),0),
IF(AX407="K",VLOOKUP(L407,Foundation_Calc!$K$41:$R$74,VLOOKUP(AW407,Foundation_Calc!$I$2:$J$8,2,FALSE),0),"")))</f>
        <v/>
      </c>
      <c r="AZ407" s="631" t="str">
        <f>IF(K407="","",
IF(AX407="PT",VLOOKUP(K407,Foundation_Calc!$K$4:$R$37,VLOOKUP(AW407,Foundation_Calc!$I$2:$J$8,2,FALSE),0),
IF(AX407="K",VLOOKUP(K407,Foundation_Calc!$K$41:$R$74,VLOOKUP(AW407,Foundation_Calc!$I$2:$J$8,2,FALSE),0),"")))</f>
        <v/>
      </c>
      <c r="BA407" s="632" t="str">
        <f t="shared" si="95"/>
        <v/>
      </c>
      <c r="BB407" s="632" t="str">
        <f t="shared" si="96"/>
        <v/>
      </c>
      <c r="BC407" s="632" t="str">
        <f t="shared" si="97"/>
        <v/>
      </c>
      <c r="BD407" s="633" t="str">
        <f>IF(AND(L407="",H407=""),"",
IF(H407="",Pole_Calc!A435,
IF(H407="MP",Pole_Calc!A436,
IF(H407="AnMP",Pole_Calc!A437,
IF(H407="A",Pole_Calc!A438,
IF(H407="S/A",Pole_Calc!A439,
IF(H407="A/S",Pole_Calc!A440,"Poner a mano")))))))</f>
        <v/>
      </c>
      <c r="BE407" s="448" t="s">
        <v>1726</v>
      </c>
      <c r="BF407" s="635"/>
      <c r="BG407" s="635"/>
      <c r="BH407" s="634"/>
      <c r="BI407" s="635"/>
    </row>
    <row r="408" spans="1:61" ht="16.2" customHeight="1">
      <c r="A408" s="12"/>
      <c r="B408" s="446"/>
      <c r="C408" s="89"/>
      <c r="D408" s="13"/>
      <c r="E408" s="14"/>
      <c r="F408" s="14"/>
      <c r="G408" s="15"/>
      <c r="H408" s="8"/>
      <c r="I408" s="8"/>
      <c r="J408" s="89"/>
      <c r="K408" s="8"/>
      <c r="L408" s="8"/>
      <c r="M408" s="8" t="str">
        <f>IF(L408="","",
IF(AX408="PT",VLOOKUP(L408,Foundation_Calc!$V$4:$X$37,VLOOKUP(AX408,Foundation_Calc!$I$10:$J$13,2,FALSE),0),
IF(AX408="K",VLOOKUP(L408,Foundation_Calc!$V$41:$X$74,VLOOKUP(AX408,Foundation_Calc!$I$10:$J$13,2,FALSE),0),"")))</f>
        <v/>
      </c>
      <c r="N408" s="8"/>
      <c r="O408" s="8"/>
      <c r="P408" s="8"/>
      <c r="Q408" s="14"/>
      <c r="R408" s="15"/>
      <c r="S408" s="15"/>
      <c r="T408" s="14"/>
      <c r="U408" s="14"/>
      <c r="V408" s="14"/>
      <c r="W408" s="18"/>
      <c r="X408" s="18"/>
      <c r="Y408" s="18"/>
      <c r="Z408" s="18"/>
      <c r="AA408" s="18"/>
      <c r="AB408" s="18"/>
      <c r="AC408" s="8" t="str">
        <f t="shared" si="94"/>
        <v/>
      </c>
      <c r="AD408" s="8"/>
      <c r="AE408" s="8"/>
      <c r="AF408" s="14"/>
      <c r="AG408" s="13"/>
      <c r="AH408" s="14"/>
      <c r="AI408" s="14"/>
      <c r="AJ408" s="8"/>
      <c r="AK408" s="8"/>
      <c r="AL408" s="8"/>
      <c r="AM408" s="8"/>
      <c r="AN408" s="631"/>
      <c r="AO408" s="18"/>
      <c r="AP408" s="18"/>
      <c r="AQ408" s="18"/>
      <c r="AR408" s="18"/>
      <c r="AS408" s="18"/>
      <c r="AU408" s="448"/>
      <c r="AV408" s="448"/>
      <c r="AW408" s="8" t="str">
        <f>IF(C408&gt;0,VLOOKUP(C408,Foundation_Calc!$A$2:$C$986,3,1),
IF(J408&gt;0,VLOOKUP(J408,Foundation_Calc!$A$2:$C$986,3,1),""))</f>
        <v/>
      </c>
      <c r="AX408" s="8" t="str">
        <f>IF(C408&gt;0,VLOOKUP(C408,Foundation_Calc!$E$2:$G$986,3,1),
IF(J408&gt;0,VLOOKUP(J408,Foundation_Calc!$E$2:$G$986,3,1),""))</f>
        <v/>
      </c>
      <c r="AY408" s="631" t="str">
        <f>IF(L408="","",
IF(AX408="PT",VLOOKUP(L408,Foundation_Calc!$K$4:$R$37,VLOOKUP(AW408,Foundation_Calc!$I$2:$J$8,2,FALSE),0),
IF(AX408="K",VLOOKUP(L408,Foundation_Calc!$K$41:$R$74,VLOOKUP(AW408,Foundation_Calc!$I$2:$J$8,2,FALSE),0),"")))</f>
        <v/>
      </c>
      <c r="AZ408" s="631" t="str">
        <f>IF(K408="","",
IF(AX408="PT",VLOOKUP(K408,Foundation_Calc!$K$4:$R$37,VLOOKUP(AW408,Foundation_Calc!$I$2:$J$8,2,FALSE),0),
IF(AX408="K",VLOOKUP(K408,Foundation_Calc!$K$41:$R$74,VLOOKUP(AW408,Foundation_Calc!$I$2:$J$8,2,FALSE),0),"")))</f>
        <v/>
      </c>
      <c r="BA408" s="632" t="str">
        <f t="shared" si="95"/>
        <v/>
      </c>
      <c r="BB408" s="632" t="str">
        <f t="shared" si="96"/>
        <v/>
      </c>
      <c r="BC408" s="632" t="str">
        <f t="shared" si="97"/>
        <v/>
      </c>
      <c r="BD408" s="633" t="str">
        <f>IF(AND(L408="",H408=""),"",
IF(H408="",Pole_Calc!A436,
IF(H408="MP",Pole_Calc!A437,
IF(H408="AnMP",Pole_Calc!A438,
IF(H408="A",Pole_Calc!A439,
IF(H408="S/A",Pole_Calc!A440,
IF(H408="A/S",Pole_Calc!A441,"Poner a mano")))))))</f>
        <v/>
      </c>
      <c r="BE408" s="448" t="s">
        <v>1726</v>
      </c>
      <c r="BF408" s="634"/>
      <c r="BG408" s="634"/>
      <c r="BH408" s="634"/>
      <c r="BI408" s="634"/>
    </row>
    <row r="409" spans="1:61" ht="16.2" customHeight="1">
      <c r="A409" s="12"/>
      <c r="B409" s="446"/>
      <c r="C409" s="89"/>
      <c r="D409" s="13"/>
      <c r="E409" s="14"/>
      <c r="F409" s="14"/>
      <c r="G409" s="15"/>
      <c r="H409" s="8"/>
      <c r="I409" s="8"/>
      <c r="J409" s="89"/>
      <c r="K409" s="8"/>
      <c r="L409" s="8"/>
      <c r="M409" s="8" t="str">
        <f>IF(L409="","",
IF(AX409="PT",VLOOKUP(L409,Foundation_Calc!$V$4:$X$37,VLOOKUP(AX409,Foundation_Calc!$I$10:$J$13,2,FALSE),0),
IF(AX409="K",VLOOKUP(L409,Foundation_Calc!$V$41:$X$74,VLOOKUP(AX409,Foundation_Calc!$I$10:$J$13,2,FALSE),0),"")))</f>
        <v/>
      </c>
      <c r="N409" s="8"/>
      <c r="O409" s="8"/>
      <c r="P409" s="8"/>
      <c r="Q409" s="14"/>
      <c r="R409" s="15"/>
      <c r="S409" s="15"/>
      <c r="T409" s="14"/>
      <c r="U409" s="14"/>
      <c r="V409" s="14"/>
      <c r="W409" s="18"/>
      <c r="X409" s="18"/>
      <c r="Y409" s="18"/>
      <c r="Z409" s="18"/>
      <c r="AA409" s="18"/>
      <c r="AB409" s="18"/>
      <c r="AC409" s="8" t="str">
        <f t="shared" si="94"/>
        <v/>
      </c>
      <c r="AD409" s="8"/>
      <c r="AE409" s="8"/>
      <c r="AF409" s="14"/>
      <c r="AG409" s="13"/>
      <c r="AH409" s="14"/>
      <c r="AI409" s="14"/>
      <c r="AJ409" s="8"/>
      <c r="AK409" s="8"/>
      <c r="AL409" s="8"/>
      <c r="AM409" s="8"/>
      <c r="AN409" s="631"/>
      <c r="AO409" s="18"/>
      <c r="AP409" s="18"/>
      <c r="AQ409" s="18"/>
      <c r="AR409" s="18"/>
      <c r="AS409" s="18"/>
      <c r="AU409" s="448"/>
      <c r="AV409" s="448"/>
      <c r="AW409" s="8" t="str">
        <f>IF(C409&gt;0,VLOOKUP(C409,Foundation_Calc!$A$2:$C$986,3,1),
IF(J409&gt;0,VLOOKUP(J409,Foundation_Calc!$A$2:$C$986,3,1),""))</f>
        <v/>
      </c>
      <c r="AX409" s="8" t="str">
        <f>IF(C409&gt;0,VLOOKUP(C409,Foundation_Calc!$E$2:$G$986,3,1),
IF(J409&gt;0,VLOOKUP(J409,Foundation_Calc!$E$2:$G$986,3,1),""))</f>
        <v/>
      </c>
      <c r="AY409" s="631" t="str">
        <f>IF(L409="","",
IF(AX409="PT",VLOOKUP(L409,Foundation_Calc!$K$4:$R$37,VLOOKUP(AW409,Foundation_Calc!$I$2:$J$8,2,FALSE),0),
IF(AX409="K",VLOOKUP(L409,Foundation_Calc!$K$41:$R$74,VLOOKUP(AW409,Foundation_Calc!$I$2:$J$8,2,FALSE),0),"")))</f>
        <v/>
      </c>
      <c r="AZ409" s="631" t="str">
        <f>IF(K409="","",
IF(AX409="PT",VLOOKUP(K409,Foundation_Calc!$K$4:$R$37,VLOOKUP(AW409,Foundation_Calc!$I$2:$J$8,2,FALSE),0),
IF(AX409="K",VLOOKUP(K409,Foundation_Calc!$K$41:$R$74,VLOOKUP(AW409,Foundation_Calc!$I$2:$J$8,2,FALSE),0),"")))</f>
        <v/>
      </c>
      <c r="BA409" s="632" t="str">
        <f t="shared" si="95"/>
        <v/>
      </c>
      <c r="BB409" s="632" t="str">
        <f t="shared" si="96"/>
        <v/>
      </c>
      <c r="BC409" s="632" t="str">
        <f t="shared" si="97"/>
        <v/>
      </c>
      <c r="BD409" s="633" t="str">
        <f>IF(AND(L409="",H409=""),"",
IF(H409="",Pole_Calc!A437,
IF(H409="MP",Pole_Calc!A438,
IF(H409="AnMP",Pole_Calc!A439,
IF(H409="A",Pole_Calc!A440,
IF(H409="S/A",Pole_Calc!A441,
IF(H409="A/S",Pole_Calc!A442,"Poner a mano")))))))</f>
        <v/>
      </c>
      <c r="BE409" s="448" t="s">
        <v>1726</v>
      </c>
      <c r="BF409" s="635"/>
      <c r="BG409" s="635"/>
      <c r="BH409" s="634"/>
      <c r="BI409" s="635"/>
    </row>
    <row r="410" spans="1:61" ht="16.2" customHeight="1">
      <c r="A410" s="12"/>
      <c r="B410" s="446"/>
      <c r="C410" s="89"/>
      <c r="D410" s="13"/>
      <c r="E410" s="14"/>
      <c r="F410" s="14"/>
      <c r="G410" s="15"/>
      <c r="H410" s="8"/>
      <c r="I410" s="8"/>
      <c r="J410" s="89"/>
      <c r="K410" s="8"/>
      <c r="L410" s="8"/>
      <c r="M410" s="8" t="str">
        <f>IF(L410="","",
IF(AX410="PT",VLOOKUP(L410,Foundation_Calc!$V$4:$X$37,VLOOKUP(AX410,Foundation_Calc!$I$10:$J$13,2,FALSE),0),
IF(AX410="K",VLOOKUP(L410,Foundation_Calc!$V$41:$X$74,VLOOKUP(AX410,Foundation_Calc!$I$10:$J$13,2,FALSE),0),"")))</f>
        <v/>
      </c>
      <c r="N410" s="8"/>
      <c r="O410" s="8"/>
      <c r="P410" s="8"/>
      <c r="Q410" s="14"/>
      <c r="R410" s="15"/>
      <c r="S410" s="15"/>
      <c r="T410" s="14"/>
      <c r="U410" s="14"/>
      <c r="V410" s="14"/>
      <c r="W410" s="18"/>
      <c r="X410" s="18"/>
      <c r="Y410" s="18"/>
      <c r="Z410" s="18"/>
      <c r="AA410" s="18"/>
      <c r="AB410" s="18"/>
      <c r="AC410" s="8" t="str">
        <f t="shared" si="94"/>
        <v/>
      </c>
      <c r="AD410" s="8"/>
      <c r="AE410" s="8"/>
      <c r="AF410" s="14"/>
      <c r="AG410" s="13"/>
      <c r="AH410" s="14"/>
      <c r="AI410" s="14"/>
      <c r="AJ410" s="8"/>
      <c r="AK410" s="8"/>
      <c r="AL410" s="8"/>
      <c r="AM410" s="8"/>
      <c r="AN410" s="631"/>
      <c r="AO410" s="18"/>
      <c r="AP410" s="18"/>
      <c r="AQ410" s="18"/>
      <c r="AR410" s="18"/>
      <c r="AS410" s="18"/>
      <c r="AU410" s="448"/>
      <c r="AV410" s="448"/>
      <c r="AW410" s="8" t="str">
        <f>IF(C410&gt;0,VLOOKUP(C410,Foundation_Calc!$A$2:$C$986,3,1),
IF(J410&gt;0,VLOOKUP(J410,Foundation_Calc!$A$2:$C$986,3,1),""))</f>
        <v/>
      </c>
      <c r="AX410" s="8" t="str">
        <f>IF(C410&gt;0,VLOOKUP(C410,Foundation_Calc!$E$2:$G$986,3,1),
IF(J410&gt;0,VLOOKUP(J410,Foundation_Calc!$E$2:$G$986,3,1),""))</f>
        <v/>
      </c>
      <c r="AY410" s="631" t="str">
        <f>IF(L410="","",
IF(AX410="PT",VLOOKUP(L410,Foundation_Calc!$K$4:$R$37,VLOOKUP(AW410,Foundation_Calc!$I$2:$J$8,2,FALSE),0),
IF(AX410="K",VLOOKUP(L410,Foundation_Calc!$K$41:$R$74,VLOOKUP(AW410,Foundation_Calc!$I$2:$J$8,2,FALSE),0),"")))</f>
        <v/>
      </c>
      <c r="AZ410" s="631" t="str">
        <f>IF(K410="","",
IF(AX410="PT",VLOOKUP(K410,Foundation_Calc!$K$4:$R$37,VLOOKUP(AW410,Foundation_Calc!$I$2:$J$8,2,FALSE),0),
IF(AX410="K",VLOOKUP(K410,Foundation_Calc!$K$41:$R$74,VLOOKUP(AW410,Foundation_Calc!$I$2:$J$8,2,FALSE),0),"")))</f>
        <v/>
      </c>
      <c r="BA410" s="632" t="str">
        <f t="shared" si="95"/>
        <v/>
      </c>
      <c r="BB410" s="632" t="str">
        <f t="shared" si="96"/>
        <v/>
      </c>
      <c r="BC410" s="632" t="str">
        <f t="shared" si="97"/>
        <v/>
      </c>
      <c r="BD410" s="633" t="str">
        <f>IF(AND(L410="",H410=""),"",
IF(H410="",Pole_Calc!A438,
IF(H410="MP",Pole_Calc!A439,
IF(H410="AnMP",Pole_Calc!A440,
IF(H410="A",Pole_Calc!A441,
IF(H410="S/A",Pole_Calc!A442,
IF(H410="A/S",Pole_Calc!A443,"Poner a mano")))))))</f>
        <v/>
      </c>
      <c r="BE410" s="448" t="s">
        <v>1726</v>
      </c>
      <c r="BF410" s="634"/>
      <c r="BG410" s="634"/>
      <c r="BH410" s="634"/>
      <c r="BI410" s="634"/>
    </row>
    <row r="411" spans="1:61" ht="16.2" customHeight="1">
      <c r="A411" s="12"/>
      <c r="B411" s="446"/>
      <c r="C411" s="89"/>
      <c r="D411" s="13"/>
      <c r="E411" s="14"/>
      <c r="F411" s="14"/>
      <c r="G411" s="15"/>
      <c r="H411" s="8"/>
      <c r="I411" s="8"/>
      <c r="J411" s="89"/>
      <c r="K411" s="8"/>
      <c r="L411" s="8"/>
      <c r="M411" s="8" t="str">
        <f>IF(L411="","",
IF(AX411="PT",VLOOKUP(L411,Foundation_Calc!$V$4:$X$37,VLOOKUP(AX411,Foundation_Calc!$I$10:$J$13,2,FALSE),0),
IF(AX411="K",VLOOKUP(L411,Foundation_Calc!$V$41:$X$74,VLOOKUP(AX411,Foundation_Calc!$I$10:$J$13,2,FALSE),0),"")))</f>
        <v/>
      </c>
      <c r="N411" s="8"/>
      <c r="O411" s="8"/>
      <c r="P411" s="8"/>
      <c r="Q411" s="14"/>
      <c r="R411" s="15"/>
      <c r="S411" s="15"/>
      <c r="T411" s="14"/>
      <c r="U411" s="14"/>
      <c r="V411" s="14"/>
      <c r="W411" s="18"/>
      <c r="X411" s="18"/>
      <c r="Y411" s="18"/>
      <c r="Z411" s="18"/>
      <c r="AA411" s="18"/>
      <c r="AB411" s="18"/>
      <c r="AC411" s="8" t="str">
        <f t="shared" si="94"/>
        <v/>
      </c>
      <c r="AD411" s="8"/>
      <c r="AE411" s="8"/>
      <c r="AF411" s="14"/>
      <c r="AG411" s="13"/>
      <c r="AH411" s="14"/>
      <c r="AI411" s="14"/>
      <c r="AJ411" s="8"/>
      <c r="AK411" s="8"/>
      <c r="AL411" s="8"/>
      <c r="AM411" s="8"/>
      <c r="AN411" s="631"/>
      <c r="AO411" s="18"/>
      <c r="AP411" s="18"/>
      <c r="AQ411" s="18"/>
      <c r="AR411" s="18"/>
      <c r="AS411" s="18"/>
      <c r="AU411" s="448"/>
      <c r="AV411" s="448"/>
      <c r="AW411" s="8" t="str">
        <f>IF(C411&gt;0,VLOOKUP(C411,Foundation_Calc!$A$2:$C$986,3,1),
IF(J411&gt;0,VLOOKUP(J411,Foundation_Calc!$A$2:$C$986,3,1),""))</f>
        <v/>
      </c>
      <c r="AX411" s="8" t="str">
        <f>IF(C411&gt;0,VLOOKUP(C411,Foundation_Calc!$E$2:$G$986,3,1),
IF(J411&gt;0,VLOOKUP(J411,Foundation_Calc!$E$2:$G$986,3,1),""))</f>
        <v/>
      </c>
      <c r="AY411" s="631" t="str">
        <f>IF(L411="","",
IF(AX411="PT",VLOOKUP(L411,Foundation_Calc!$K$4:$R$37,VLOOKUP(AW411,Foundation_Calc!$I$2:$J$8,2,FALSE),0),
IF(AX411="K",VLOOKUP(L411,Foundation_Calc!$K$41:$R$74,VLOOKUP(AW411,Foundation_Calc!$I$2:$J$8,2,FALSE),0),"")))</f>
        <v/>
      </c>
      <c r="AZ411" s="631" t="str">
        <f>IF(K411="","",
IF(AX411="PT",VLOOKUP(K411,Foundation_Calc!$K$4:$R$37,VLOOKUP(AW411,Foundation_Calc!$I$2:$J$8,2,FALSE),0),
IF(AX411="K",VLOOKUP(K411,Foundation_Calc!$K$41:$R$74,VLOOKUP(AW411,Foundation_Calc!$I$2:$J$8,2,FALSE),0),"")))</f>
        <v/>
      </c>
      <c r="BA411" s="632" t="str">
        <f t="shared" si="95"/>
        <v/>
      </c>
      <c r="BB411" s="632" t="str">
        <f t="shared" si="96"/>
        <v/>
      </c>
      <c r="BC411" s="632" t="str">
        <f t="shared" si="97"/>
        <v/>
      </c>
      <c r="BD411" s="633" t="str">
        <f>IF(AND(L411="",H411=""),"",
IF(H411="",Pole_Calc!A439,
IF(H411="MP",Pole_Calc!A440,
IF(H411="AnMP",Pole_Calc!A441,
IF(H411="A",Pole_Calc!A442,
IF(H411="S/A",Pole_Calc!A443,
IF(H411="A/S",Pole_Calc!A444,"Poner a mano")))))))</f>
        <v/>
      </c>
      <c r="BE411" s="448" t="s">
        <v>1726</v>
      </c>
      <c r="BF411" s="635"/>
      <c r="BG411" s="635"/>
      <c r="BH411" s="634"/>
      <c r="BI411" s="635"/>
    </row>
    <row r="412" spans="1:61" ht="16.2" customHeight="1">
      <c r="A412" s="12"/>
      <c r="B412" s="446"/>
      <c r="C412" s="89"/>
      <c r="D412" s="13"/>
      <c r="E412" s="14"/>
      <c r="F412" s="14"/>
      <c r="G412" s="15"/>
      <c r="H412" s="8"/>
      <c r="I412" s="8"/>
      <c r="J412" s="89"/>
      <c r="K412" s="8"/>
      <c r="L412" s="8"/>
      <c r="M412" s="8" t="str">
        <f>IF(L412="","",
IF(AX412="PT",VLOOKUP(L412,Foundation_Calc!$V$4:$X$37,VLOOKUP(AX412,Foundation_Calc!$I$10:$J$13,2,FALSE),0),
IF(AX412="K",VLOOKUP(L412,Foundation_Calc!$V$41:$X$74,VLOOKUP(AX412,Foundation_Calc!$I$10:$J$13,2,FALSE),0),"")))</f>
        <v/>
      </c>
      <c r="N412" s="8"/>
      <c r="O412" s="8"/>
      <c r="P412" s="8"/>
      <c r="Q412" s="14"/>
      <c r="R412" s="15"/>
      <c r="S412" s="15"/>
      <c r="T412" s="14"/>
      <c r="U412" s="14"/>
      <c r="V412" s="14"/>
      <c r="W412" s="18"/>
      <c r="X412" s="18"/>
      <c r="Y412" s="18"/>
      <c r="Z412" s="18"/>
      <c r="AA412" s="18"/>
      <c r="AB412" s="18"/>
      <c r="AC412" s="8" t="str">
        <f t="shared" si="94"/>
        <v/>
      </c>
      <c r="AD412" s="8"/>
      <c r="AE412" s="8"/>
      <c r="AF412" s="14"/>
      <c r="AG412" s="13"/>
      <c r="AH412" s="14"/>
      <c r="AI412" s="14"/>
      <c r="AJ412" s="8"/>
      <c r="AK412" s="8"/>
      <c r="AL412" s="8"/>
      <c r="AM412" s="8"/>
      <c r="AN412" s="631"/>
      <c r="AO412" s="18"/>
      <c r="AP412" s="18"/>
      <c r="AQ412" s="18"/>
      <c r="AR412" s="18"/>
      <c r="AS412" s="18"/>
      <c r="AU412" s="448"/>
      <c r="AV412" s="448"/>
      <c r="AW412" s="8" t="str">
        <f>IF(C412&gt;0,VLOOKUP(C412,Foundation_Calc!$A$2:$C$986,3,1),
IF(J412&gt;0,VLOOKUP(J412,Foundation_Calc!$A$2:$C$986,3,1),""))</f>
        <v/>
      </c>
      <c r="AX412" s="8" t="str">
        <f>IF(C412&gt;0,VLOOKUP(C412,Foundation_Calc!$E$2:$G$986,3,1),
IF(J412&gt;0,VLOOKUP(J412,Foundation_Calc!$E$2:$G$986,3,1),""))</f>
        <v/>
      </c>
      <c r="AY412" s="631" t="str">
        <f>IF(L412="","",
IF(AX412="PT",VLOOKUP(L412,Foundation_Calc!$K$4:$R$37,VLOOKUP(AW412,Foundation_Calc!$I$2:$J$8,2,FALSE),0),
IF(AX412="K",VLOOKUP(L412,Foundation_Calc!$K$41:$R$74,VLOOKUP(AW412,Foundation_Calc!$I$2:$J$8,2,FALSE),0),"")))</f>
        <v/>
      </c>
      <c r="AZ412" s="631" t="str">
        <f>IF(K412="","",
IF(AX412="PT",VLOOKUP(K412,Foundation_Calc!$K$4:$R$37,VLOOKUP(AW412,Foundation_Calc!$I$2:$J$8,2,FALSE),0),
IF(AX412="K",VLOOKUP(K412,Foundation_Calc!$K$41:$R$74,VLOOKUP(AW412,Foundation_Calc!$I$2:$J$8,2,FALSE),0),"")))</f>
        <v/>
      </c>
      <c r="BA412" s="632" t="str">
        <f t="shared" si="95"/>
        <v/>
      </c>
      <c r="BB412" s="632" t="str">
        <f t="shared" si="96"/>
        <v/>
      </c>
      <c r="BC412" s="632" t="str">
        <f t="shared" si="97"/>
        <v/>
      </c>
      <c r="BD412" s="633" t="str">
        <f>IF(AND(L412="",H412=""),"",
IF(H412="",Pole_Calc!A440,
IF(H412="MP",Pole_Calc!A441,
IF(H412="AnMP",Pole_Calc!A442,
IF(H412="A",Pole_Calc!A443,
IF(H412="S/A",Pole_Calc!A444,
IF(H412="A/S",Pole_Calc!A445,"Poner a mano")))))))</f>
        <v/>
      </c>
      <c r="BE412" s="448" t="s">
        <v>1726</v>
      </c>
      <c r="BF412" s="634"/>
      <c r="BG412" s="634"/>
      <c r="BH412" s="634"/>
      <c r="BI412" s="634"/>
    </row>
    <row r="413" spans="1:61" ht="16.2" customHeight="1">
      <c r="A413" s="12"/>
      <c r="B413" s="446"/>
      <c r="C413" s="89"/>
      <c r="D413" s="13"/>
      <c r="E413" s="14"/>
      <c r="F413" s="14"/>
      <c r="G413" s="15"/>
      <c r="H413" s="8"/>
      <c r="I413" s="8"/>
      <c r="J413" s="89"/>
      <c r="K413" s="8"/>
      <c r="L413" s="8"/>
      <c r="M413" s="8" t="str">
        <f>IF(L413="","",
IF(AX413="PT",VLOOKUP(L413,Foundation_Calc!$V$4:$X$37,VLOOKUP(AX413,Foundation_Calc!$I$10:$J$13,2,FALSE),0),
IF(AX413="K",VLOOKUP(L413,Foundation_Calc!$V$41:$X$74,VLOOKUP(AX413,Foundation_Calc!$I$10:$J$13,2,FALSE),0),"")))</f>
        <v/>
      </c>
      <c r="N413" s="8"/>
      <c r="O413" s="8"/>
      <c r="P413" s="8"/>
      <c r="Q413" s="14"/>
      <c r="R413" s="15"/>
      <c r="S413" s="15"/>
      <c r="T413" s="14"/>
      <c r="U413" s="14"/>
      <c r="V413" s="14"/>
      <c r="W413" s="18"/>
      <c r="X413" s="18"/>
      <c r="Y413" s="18"/>
      <c r="Z413" s="18"/>
      <c r="AA413" s="18"/>
      <c r="AB413" s="18"/>
      <c r="AC413" s="8" t="str">
        <f t="shared" si="94"/>
        <v/>
      </c>
      <c r="AD413" s="8"/>
      <c r="AE413" s="8"/>
      <c r="AF413" s="14"/>
      <c r="AG413" s="13"/>
      <c r="AH413" s="14"/>
      <c r="AI413" s="14"/>
      <c r="AJ413" s="8"/>
      <c r="AK413" s="8"/>
      <c r="AL413" s="8"/>
      <c r="AM413" s="8"/>
      <c r="AN413" s="631"/>
      <c r="AO413" s="18"/>
      <c r="AP413" s="18"/>
      <c r="AQ413" s="18"/>
      <c r="AR413" s="18"/>
      <c r="AS413" s="18"/>
      <c r="AU413" s="448"/>
      <c r="AV413" s="448"/>
      <c r="AW413" s="8" t="str">
        <f>IF(C413&gt;0,VLOOKUP(C413,Foundation_Calc!$A$2:$C$986,3,1),
IF(J413&gt;0,VLOOKUP(J413,Foundation_Calc!$A$2:$C$986,3,1),""))</f>
        <v/>
      </c>
      <c r="AX413" s="8" t="str">
        <f>IF(C413&gt;0,VLOOKUP(C413,Foundation_Calc!$E$2:$G$986,3,1),
IF(J413&gt;0,VLOOKUP(J413,Foundation_Calc!$E$2:$G$986,3,1),""))</f>
        <v/>
      </c>
      <c r="AY413" s="631" t="str">
        <f>IF(L413="","",
IF(AX413="PT",VLOOKUP(L413,Foundation_Calc!$K$4:$R$37,VLOOKUP(AW413,Foundation_Calc!$I$2:$J$8,2,FALSE),0),
IF(AX413="K",VLOOKUP(L413,Foundation_Calc!$K$41:$R$74,VLOOKUP(AW413,Foundation_Calc!$I$2:$J$8,2,FALSE),0),"")))</f>
        <v/>
      </c>
      <c r="AZ413" s="631" t="str">
        <f>IF(K413="","",
IF(AX413="PT",VLOOKUP(K413,Foundation_Calc!$K$4:$R$37,VLOOKUP(AW413,Foundation_Calc!$I$2:$J$8,2,FALSE),0),
IF(AX413="K",VLOOKUP(K413,Foundation_Calc!$K$41:$R$74,VLOOKUP(AW413,Foundation_Calc!$I$2:$J$8,2,FALSE),0),"")))</f>
        <v/>
      </c>
      <c r="BA413" s="632" t="str">
        <f t="shared" si="95"/>
        <v/>
      </c>
      <c r="BB413" s="632" t="str">
        <f t="shared" si="96"/>
        <v/>
      </c>
      <c r="BC413" s="632" t="str">
        <f t="shared" si="97"/>
        <v/>
      </c>
      <c r="BD413" s="633" t="str">
        <f>IF(AND(L413="",H413=""),"",
IF(H413="",Pole_Calc!A441,
IF(H413="MP",Pole_Calc!A442,
IF(H413="AnMP",Pole_Calc!A443,
IF(H413="A",Pole_Calc!A444,
IF(H413="S/A",Pole_Calc!A445,
IF(H413="A/S",Pole_Calc!A446,"Poner a mano")))))))</f>
        <v/>
      </c>
      <c r="BE413" s="448" t="s">
        <v>1726</v>
      </c>
      <c r="BF413" s="635"/>
      <c r="BG413" s="635"/>
      <c r="BH413" s="634"/>
      <c r="BI413" s="635"/>
    </row>
    <row r="414" spans="1:61" ht="16.2" customHeight="1">
      <c r="A414" s="12"/>
      <c r="B414" s="446"/>
      <c r="C414" s="89"/>
      <c r="D414" s="13"/>
      <c r="E414" s="14"/>
      <c r="F414" s="14"/>
      <c r="G414" s="15"/>
      <c r="H414" s="8"/>
      <c r="I414" s="8"/>
      <c r="J414" s="89"/>
      <c r="K414" s="8"/>
      <c r="L414" s="8"/>
      <c r="M414" s="8" t="str">
        <f>IF(L414="","",
IF(AX414="PT",VLOOKUP(L414,Foundation_Calc!$V$4:$X$37,VLOOKUP(AX414,Foundation_Calc!$I$10:$J$13,2,FALSE),0),
IF(AX414="K",VLOOKUP(L414,Foundation_Calc!$V$41:$X$74,VLOOKUP(AX414,Foundation_Calc!$I$10:$J$13,2,FALSE),0),"")))</f>
        <v/>
      </c>
      <c r="N414" s="8"/>
      <c r="O414" s="8"/>
      <c r="P414" s="8"/>
      <c r="Q414" s="14"/>
      <c r="R414" s="15"/>
      <c r="S414" s="15"/>
      <c r="T414" s="14"/>
      <c r="U414" s="14"/>
      <c r="V414" s="14"/>
      <c r="W414" s="18"/>
      <c r="X414" s="18"/>
      <c r="Y414" s="18"/>
      <c r="Z414" s="18"/>
      <c r="AA414" s="18"/>
      <c r="AB414" s="18"/>
      <c r="AC414" s="8" t="str">
        <f t="shared" si="94"/>
        <v/>
      </c>
      <c r="AD414" s="8"/>
      <c r="AE414" s="8"/>
      <c r="AF414" s="14"/>
      <c r="AG414" s="13"/>
      <c r="AH414" s="14"/>
      <c r="AI414" s="14"/>
      <c r="AJ414" s="8"/>
      <c r="AK414" s="8"/>
      <c r="AL414" s="8"/>
      <c r="AM414" s="8"/>
      <c r="AN414" s="631"/>
      <c r="AO414" s="18"/>
      <c r="AP414" s="18"/>
      <c r="AQ414" s="18"/>
      <c r="AR414" s="18"/>
      <c r="AS414" s="18"/>
      <c r="AU414" s="448"/>
      <c r="AV414" s="448"/>
      <c r="AW414" s="8" t="str">
        <f>IF(C414&gt;0,VLOOKUP(C414,Foundation_Calc!$A$2:$C$986,3,1),
IF(J414&gt;0,VLOOKUP(J414,Foundation_Calc!$A$2:$C$986,3,1),""))</f>
        <v/>
      </c>
      <c r="AX414" s="8" t="str">
        <f>IF(C414&gt;0,VLOOKUP(C414,Foundation_Calc!$E$2:$G$986,3,1),
IF(J414&gt;0,VLOOKUP(J414,Foundation_Calc!$E$2:$G$986,3,1),""))</f>
        <v/>
      </c>
      <c r="AY414" s="631" t="str">
        <f>IF(L414="","",
IF(AX414="PT",VLOOKUP(L414,Foundation_Calc!$K$4:$R$37,VLOOKUP(AW414,Foundation_Calc!$I$2:$J$8,2,FALSE),0),
IF(AX414="K",VLOOKUP(L414,Foundation_Calc!$K$41:$R$74,VLOOKUP(AW414,Foundation_Calc!$I$2:$J$8,2,FALSE),0),"")))</f>
        <v/>
      </c>
      <c r="AZ414" s="631" t="str">
        <f>IF(K414="","",
IF(AX414="PT",VLOOKUP(K414,Foundation_Calc!$K$4:$R$37,VLOOKUP(AW414,Foundation_Calc!$I$2:$J$8,2,FALSE),0),
IF(AX414="K",VLOOKUP(K414,Foundation_Calc!$K$41:$R$74,VLOOKUP(AW414,Foundation_Calc!$I$2:$J$8,2,FALSE),0),"")))</f>
        <v/>
      </c>
      <c r="BA414" s="632" t="str">
        <f t="shared" si="95"/>
        <v/>
      </c>
      <c r="BB414" s="632" t="str">
        <f t="shared" si="96"/>
        <v/>
      </c>
      <c r="BC414" s="632" t="str">
        <f t="shared" si="97"/>
        <v/>
      </c>
      <c r="BD414" s="633" t="str">
        <f>IF(AND(L414="",H414=""),"",
IF(H414="",Pole_Calc!A442,
IF(H414="MP",Pole_Calc!A443,
IF(H414="AnMP",Pole_Calc!A444,
IF(H414="A",Pole_Calc!A445,
IF(H414="S/A",Pole_Calc!A446,
IF(H414="A/S",Pole_Calc!A447,"Poner a mano")))))))</f>
        <v/>
      </c>
      <c r="BE414" s="448" t="s">
        <v>1726</v>
      </c>
      <c r="BF414" s="634"/>
      <c r="BG414" s="634"/>
      <c r="BH414" s="634"/>
      <c r="BI414" s="634"/>
    </row>
    <row r="415" spans="1:61" ht="16.2" customHeight="1">
      <c r="A415" s="12"/>
      <c r="B415" s="446"/>
      <c r="C415" s="89"/>
      <c r="D415" s="13"/>
      <c r="E415" s="14"/>
      <c r="F415" s="14"/>
      <c r="G415" s="15"/>
      <c r="H415" s="8"/>
      <c r="I415" s="8"/>
      <c r="J415" s="89"/>
      <c r="K415" s="8"/>
      <c r="L415" s="8"/>
      <c r="M415" s="8" t="str">
        <f>IF(L415="","",
IF(AX415="PT",VLOOKUP(L415,Foundation_Calc!$V$4:$X$37,VLOOKUP(AX415,Foundation_Calc!$I$10:$J$13,2,FALSE),0),
IF(AX415="K",VLOOKUP(L415,Foundation_Calc!$V$41:$X$74,VLOOKUP(AX415,Foundation_Calc!$I$10:$J$13,2,FALSE),0),"")))</f>
        <v/>
      </c>
      <c r="N415" s="8"/>
      <c r="O415" s="8"/>
      <c r="P415" s="8"/>
      <c r="Q415" s="14"/>
      <c r="R415" s="15"/>
      <c r="S415" s="15"/>
      <c r="T415" s="14"/>
      <c r="U415" s="14"/>
      <c r="V415" s="14"/>
      <c r="W415" s="18"/>
      <c r="X415" s="18"/>
      <c r="Y415" s="18"/>
      <c r="Z415" s="18"/>
      <c r="AA415" s="18"/>
      <c r="AB415" s="18"/>
      <c r="AC415" s="8" t="str">
        <f t="shared" si="94"/>
        <v/>
      </c>
      <c r="AD415" s="8"/>
      <c r="AE415" s="8"/>
      <c r="AF415" s="14"/>
      <c r="AG415" s="13"/>
      <c r="AH415" s="14"/>
      <c r="AI415" s="14"/>
      <c r="AJ415" s="8"/>
      <c r="AK415" s="8"/>
      <c r="AL415" s="8"/>
      <c r="AM415" s="8"/>
      <c r="AN415" s="631"/>
      <c r="AO415" s="18"/>
      <c r="AP415" s="18"/>
      <c r="AQ415" s="18"/>
      <c r="AR415" s="18"/>
      <c r="AS415" s="18"/>
      <c r="AU415" s="448"/>
      <c r="AV415" s="448"/>
      <c r="AW415" s="8" t="str">
        <f>IF(C415&gt;0,VLOOKUP(C415,Foundation_Calc!$A$2:$C$986,3,1),
IF(J415&gt;0,VLOOKUP(J415,Foundation_Calc!$A$2:$C$986,3,1),""))</f>
        <v/>
      </c>
      <c r="AX415" s="8" t="str">
        <f>IF(C415&gt;0,VLOOKUP(C415,Foundation_Calc!$E$2:$G$986,3,1),
IF(J415&gt;0,VLOOKUP(J415,Foundation_Calc!$E$2:$G$986,3,1),""))</f>
        <v/>
      </c>
      <c r="AY415" s="631" t="str">
        <f>IF(L415="","",
IF(AX415="PT",VLOOKUP(L415,Foundation_Calc!$K$4:$R$37,VLOOKUP(AW415,Foundation_Calc!$I$2:$J$8,2,FALSE),0),
IF(AX415="K",VLOOKUP(L415,Foundation_Calc!$K$41:$R$74,VLOOKUP(AW415,Foundation_Calc!$I$2:$J$8,2,FALSE),0),"")))</f>
        <v/>
      </c>
      <c r="AZ415" s="631" t="str">
        <f>IF(K415="","",
IF(AX415="PT",VLOOKUP(K415,Foundation_Calc!$K$4:$R$37,VLOOKUP(AW415,Foundation_Calc!$I$2:$J$8,2,FALSE),0),
IF(AX415="K",VLOOKUP(K415,Foundation_Calc!$K$41:$R$74,VLOOKUP(AW415,Foundation_Calc!$I$2:$J$8,2,FALSE),0),"")))</f>
        <v/>
      </c>
      <c r="BA415" s="632" t="str">
        <f t="shared" si="95"/>
        <v/>
      </c>
      <c r="BB415" s="632" t="str">
        <f t="shared" si="96"/>
        <v/>
      </c>
      <c r="BC415" s="632" t="str">
        <f t="shared" si="97"/>
        <v/>
      </c>
      <c r="BD415" s="633" t="str">
        <f>IF(AND(L415="",H415=""),"",
IF(H415="",Pole_Calc!A443,
IF(H415="MP",Pole_Calc!A444,
IF(H415="AnMP",Pole_Calc!A445,
IF(H415="A",Pole_Calc!A446,
IF(H415="S/A",Pole_Calc!A447,
IF(H415="A/S",Pole_Calc!A448,"Poner a mano")))))))</f>
        <v/>
      </c>
      <c r="BE415" s="448" t="s">
        <v>1726</v>
      </c>
      <c r="BF415" s="635"/>
      <c r="BG415" s="635"/>
      <c r="BH415" s="634"/>
      <c r="BI415" s="635"/>
    </row>
    <row r="416" spans="1:61" ht="16.2" customHeight="1">
      <c r="A416" s="12"/>
      <c r="B416" s="446"/>
      <c r="C416" s="89"/>
      <c r="D416" s="13"/>
      <c r="E416" s="14"/>
      <c r="F416" s="14"/>
      <c r="G416" s="15"/>
      <c r="H416" s="8"/>
      <c r="I416" s="8"/>
      <c r="J416" s="89"/>
      <c r="K416" s="8"/>
      <c r="L416" s="8"/>
      <c r="M416" s="8" t="str">
        <f>IF(L416="","",
IF(AX416="PT",VLOOKUP(L416,Foundation_Calc!$V$4:$X$37,VLOOKUP(AX416,Foundation_Calc!$I$10:$J$13,2,FALSE),0),
IF(AX416="K",VLOOKUP(L416,Foundation_Calc!$V$41:$X$74,VLOOKUP(AX416,Foundation_Calc!$I$10:$J$13,2,FALSE),0),"")))</f>
        <v/>
      </c>
      <c r="N416" s="8"/>
      <c r="O416" s="8"/>
      <c r="P416" s="8"/>
      <c r="Q416" s="14"/>
      <c r="R416" s="15"/>
      <c r="S416" s="15"/>
      <c r="T416" s="14"/>
      <c r="U416" s="14"/>
      <c r="V416" s="14"/>
      <c r="W416" s="18"/>
      <c r="X416" s="18"/>
      <c r="Y416" s="18"/>
      <c r="Z416" s="18"/>
      <c r="AA416" s="18"/>
      <c r="AB416" s="18"/>
      <c r="AC416" s="8" t="str">
        <f t="shared" si="94"/>
        <v/>
      </c>
      <c r="AD416" s="8"/>
      <c r="AE416" s="8"/>
      <c r="AF416" s="14"/>
      <c r="AG416" s="13"/>
      <c r="AH416" s="14"/>
      <c r="AI416" s="14"/>
      <c r="AJ416" s="8"/>
      <c r="AK416" s="8"/>
      <c r="AL416" s="8"/>
      <c r="AM416" s="8"/>
      <c r="AN416" s="631"/>
      <c r="AO416" s="18"/>
      <c r="AP416" s="18"/>
      <c r="AQ416" s="18"/>
      <c r="AR416" s="18"/>
      <c r="AS416" s="18"/>
      <c r="AU416" s="448"/>
      <c r="AV416" s="448"/>
      <c r="AW416" s="8" t="str">
        <f>IF(C416&gt;0,VLOOKUP(C416,Foundation_Calc!$A$2:$C$986,3,1),
IF(J416&gt;0,VLOOKUP(J416,Foundation_Calc!$A$2:$C$986,3,1),""))</f>
        <v/>
      </c>
      <c r="AX416" s="8" t="str">
        <f>IF(C416&gt;0,VLOOKUP(C416,Foundation_Calc!$E$2:$G$986,3,1),
IF(J416&gt;0,VLOOKUP(J416,Foundation_Calc!$E$2:$G$986,3,1),""))</f>
        <v/>
      </c>
      <c r="AY416" s="631" t="str">
        <f>IF(L416="","",
IF(AX416="PT",VLOOKUP(L416,Foundation_Calc!$K$4:$R$37,VLOOKUP(AW416,Foundation_Calc!$I$2:$J$8,2,FALSE),0),
IF(AX416="K",VLOOKUP(L416,Foundation_Calc!$K$41:$R$74,VLOOKUP(AW416,Foundation_Calc!$I$2:$J$8,2,FALSE),0),"")))</f>
        <v/>
      </c>
      <c r="AZ416" s="631" t="str">
        <f>IF(K416="","",
IF(AX416="PT",VLOOKUP(K416,Foundation_Calc!$K$4:$R$37,VLOOKUP(AW416,Foundation_Calc!$I$2:$J$8,2,FALSE),0),
IF(AX416="K",VLOOKUP(K416,Foundation_Calc!$K$41:$R$74,VLOOKUP(AW416,Foundation_Calc!$I$2:$J$8,2,FALSE),0),"")))</f>
        <v/>
      </c>
      <c r="BA416" s="632" t="str">
        <f t="shared" si="95"/>
        <v/>
      </c>
      <c r="BB416" s="632" t="str">
        <f t="shared" si="96"/>
        <v/>
      </c>
      <c r="BC416" s="632" t="str">
        <f t="shared" si="97"/>
        <v/>
      </c>
      <c r="BD416" s="633" t="str">
        <f>IF(AND(L416="",H416=""),"",
IF(H416="",Pole_Calc!A444,
IF(H416="MP",Pole_Calc!A445,
IF(H416="AnMP",Pole_Calc!A446,
IF(H416="A",Pole_Calc!A447,
IF(H416="S/A",Pole_Calc!A448,
IF(H416="A/S",Pole_Calc!A449,"Poner a mano")))))))</f>
        <v/>
      </c>
      <c r="BE416" s="448" t="s">
        <v>1726</v>
      </c>
      <c r="BF416" s="634"/>
      <c r="BG416" s="634"/>
      <c r="BH416" s="634"/>
      <c r="BI416" s="634"/>
    </row>
    <row r="417" spans="1:61" ht="16.2" customHeight="1">
      <c r="A417" s="12"/>
      <c r="B417" s="446"/>
      <c r="C417" s="89"/>
      <c r="D417" s="13"/>
      <c r="E417" s="14"/>
      <c r="F417" s="14"/>
      <c r="G417" s="15"/>
      <c r="H417" s="8"/>
      <c r="I417" s="8"/>
      <c r="J417" s="89"/>
      <c r="K417" s="8"/>
      <c r="L417" s="8"/>
      <c r="M417" s="8" t="str">
        <f>IF(L417="","",
IF(AX417="PT",VLOOKUP(L417,Foundation_Calc!$V$4:$X$37,VLOOKUP(AX417,Foundation_Calc!$I$10:$J$13,2,FALSE),0),
IF(AX417="K",VLOOKUP(L417,Foundation_Calc!$V$41:$X$74,VLOOKUP(AX417,Foundation_Calc!$I$10:$J$13,2,FALSE),0),"")))</f>
        <v/>
      </c>
      <c r="N417" s="8"/>
      <c r="O417" s="8"/>
      <c r="P417" s="8"/>
      <c r="Q417" s="14"/>
      <c r="R417" s="15"/>
      <c r="S417" s="15"/>
      <c r="T417" s="14"/>
      <c r="U417" s="14"/>
      <c r="V417" s="14"/>
      <c r="W417" s="18"/>
      <c r="X417" s="18"/>
      <c r="Y417" s="18"/>
      <c r="Z417" s="18"/>
      <c r="AA417" s="18"/>
      <c r="AB417" s="18"/>
      <c r="AC417" s="8" t="str">
        <f t="shared" si="94"/>
        <v/>
      </c>
      <c r="AD417" s="8"/>
      <c r="AE417" s="8"/>
      <c r="AF417" s="14"/>
      <c r="AG417" s="13"/>
      <c r="AH417" s="14"/>
      <c r="AI417" s="14"/>
      <c r="AJ417" s="8"/>
      <c r="AK417" s="8"/>
      <c r="AL417" s="8"/>
      <c r="AM417" s="8"/>
      <c r="AN417" s="631"/>
      <c r="AO417" s="18"/>
      <c r="AP417" s="18"/>
      <c r="AQ417" s="18"/>
      <c r="AR417" s="18"/>
      <c r="AS417" s="18"/>
      <c r="AU417" s="448"/>
      <c r="AV417" s="448"/>
      <c r="AW417" s="8" t="str">
        <f>IF(C417&gt;0,VLOOKUP(C417,Foundation_Calc!$A$2:$C$986,3,1),
IF(J417&gt;0,VLOOKUP(J417,Foundation_Calc!$A$2:$C$986,3,1),""))</f>
        <v/>
      </c>
      <c r="AX417" s="8" t="str">
        <f>IF(C417&gt;0,VLOOKUP(C417,Foundation_Calc!$E$2:$G$986,3,1),
IF(J417&gt;0,VLOOKUP(J417,Foundation_Calc!$E$2:$G$986,3,1),""))</f>
        <v/>
      </c>
      <c r="AY417" s="631" t="str">
        <f>IF(L417="","",
IF(AX417="PT",VLOOKUP(L417,Foundation_Calc!$K$4:$R$37,VLOOKUP(AW417,Foundation_Calc!$I$2:$J$8,2,FALSE),0),
IF(AX417="K",VLOOKUP(L417,Foundation_Calc!$K$41:$R$74,VLOOKUP(AW417,Foundation_Calc!$I$2:$J$8,2,FALSE),0),"")))</f>
        <v/>
      </c>
      <c r="AZ417" s="631" t="str">
        <f>IF(K417="","",
IF(AX417="PT",VLOOKUP(K417,Foundation_Calc!$K$4:$R$37,VLOOKUP(AW417,Foundation_Calc!$I$2:$J$8,2,FALSE),0),
IF(AX417="K",VLOOKUP(K417,Foundation_Calc!$K$41:$R$74,VLOOKUP(AW417,Foundation_Calc!$I$2:$J$8,2,FALSE),0),"")))</f>
        <v/>
      </c>
      <c r="BA417" s="632" t="str">
        <f t="shared" si="95"/>
        <v/>
      </c>
      <c r="BB417" s="632" t="str">
        <f t="shared" si="96"/>
        <v/>
      </c>
      <c r="BC417" s="632" t="str">
        <f t="shared" si="97"/>
        <v/>
      </c>
      <c r="BD417" s="633" t="str">
        <f>IF(AND(L417="",H417=""),"",
IF(H417="",Pole_Calc!A445,
IF(H417="MP",Pole_Calc!A446,
IF(H417="AnMP",Pole_Calc!A447,
IF(H417="A",Pole_Calc!A448,
IF(H417="S/A",Pole_Calc!A449,
IF(H417="A/S",Pole_Calc!A450,"Poner a mano")))))))</f>
        <v/>
      </c>
      <c r="BE417" s="448" t="s">
        <v>1726</v>
      </c>
      <c r="BF417" s="635"/>
      <c r="BG417" s="635"/>
      <c r="BH417" s="634"/>
      <c r="BI417" s="635"/>
    </row>
    <row r="418" spans="1:61" ht="16.2" customHeight="1">
      <c r="A418" s="12"/>
      <c r="B418" s="446"/>
      <c r="C418" s="89"/>
      <c r="D418" s="13"/>
      <c r="E418" s="14"/>
      <c r="F418" s="14"/>
      <c r="G418" s="15"/>
      <c r="H418" s="8"/>
      <c r="I418" s="8"/>
      <c r="J418" s="89"/>
      <c r="K418" s="8"/>
      <c r="L418" s="8"/>
      <c r="M418" s="8" t="str">
        <f>IF(L418="","",
IF(AX418="PT",VLOOKUP(L418,Foundation_Calc!$V$4:$X$37,VLOOKUP(AX418,Foundation_Calc!$I$10:$J$13,2,FALSE),0),
IF(AX418="K",VLOOKUP(L418,Foundation_Calc!$V$41:$X$74,VLOOKUP(AX418,Foundation_Calc!$I$10:$J$13,2,FALSE),0),"")))</f>
        <v/>
      </c>
      <c r="N418" s="8"/>
      <c r="O418" s="8"/>
      <c r="P418" s="8"/>
      <c r="Q418" s="14"/>
      <c r="R418" s="15"/>
      <c r="S418" s="15"/>
      <c r="T418" s="14"/>
      <c r="U418" s="14"/>
      <c r="V418" s="14"/>
      <c r="W418" s="18"/>
      <c r="X418" s="18"/>
      <c r="Y418" s="18"/>
      <c r="Z418" s="18"/>
      <c r="AA418" s="18"/>
      <c r="AB418" s="18"/>
      <c r="AC418" s="8" t="str">
        <f t="shared" si="94"/>
        <v/>
      </c>
      <c r="AD418" s="8"/>
      <c r="AE418" s="8"/>
      <c r="AF418" s="14"/>
      <c r="AG418" s="13"/>
      <c r="AH418" s="14"/>
      <c r="AI418" s="14"/>
      <c r="AJ418" s="8"/>
      <c r="AK418" s="8"/>
      <c r="AL418" s="8"/>
      <c r="AM418" s="8"/>
      <c r="AN418" s="631"/>
      <c r="AO418" s="18"/>
      <c r="AP418" s="18"/>
      <c r="AQ418" s="18"/>
      <c r="AR418" s="18"/>
      <c r="AS418" s="18"/>
      <c r="AU418" s="448"/>
      <c r="AV418" s="448"/>
      <c r="AW418" s="8" t="str">
        <f>IF(C418&gt;0,VLOOKUP(C418,Foundation_Calc!$A$2:$C$986,3,1),
IF(J418&gt;0,VLOOKUP(J418,Foundation_Calc!$A$2:$C$986,3,1),""))</f>
        <v/>
      </c>
      <c r="AX418" s="8" t="str">
        <f>IF(C418&gt;0,VLOOKUP(C418,Foundation_Calc!$E$2:$G$986,3,1),
IF(J418&gt;0,VLOOKUP(J418,Foundation_Calc!$E$2:$G$986,3,1),""))</f>
        <v/>
      </c>
      <c r="AY418" s="631" t="str">
        <f>IF(L418="","",
IF(AX418="PT",VLOOKUP(L418,Foundation_Calc!$K$4:$R$37,VLOOKUP(AW418,Foundation_Calc!$I$2:$J$8,2,FALSE),0),
IF(AX418="K",VLOOKUP(L418,Foundation_Calc!$K$41:$R$74,VLOOKUP(AW418,Foundation_Calc!$I$2:$J$8,2,FALSE),0),"")))</f>
        <v/>
      </c>
      <c r="AZ418" s="631" t="str">
        <f>IF(K418="","",
IF(AX418="PT",VLOOKUP(K418,Foundation_Calc!$K$4:$R$37,VLOOKUP(AW418,Foundation_Calc!$I$2:$J$8,2,FALSE),0),
IF(AX418="K",VLOOKUP(K418,Foundation_Calc!$K$41:$R$74,VLOOKUP(AW418,Foundation_Calc!$I$2:$J$8,2,FALSE),0),"")))</f>
        <v/>
      </c>
      <c r="BA418" s="632" t="str">
        <f t="shared" si="95"/>
        <v/>
      </c>
      <c r="BB418" s="632" t="str">
        <f t="shared" si="96"/>
        <v/>
      </c>
      <c r="BC418" s="632" t="str">
        <f t="shared" si="97"/>
        <v/>
      </c>
      <c r="BD418" s="633" t="str">
        <f>IF(AND(L418="",H418=""),"",
IF(H418="",Pole_Calc!A446,
IF(H418="MP",Pole_Calc!A447,
IF(H418="AnMP",Pole_Calc!A448,
IF(H418="A",Pole_Calc!A449,
IF(H418="S/A",Pole_Calc!A450,
IF(H418="A/S",Pole_Calc!A451,"Poner a mano")))))))</f>
        <v/>
      </c>
      <c r="BE418" s="448" t="s">
        <v>1726</v>
      </c>
      <c r="BF418" s="634"/>
      <c r="BG418" s="634"/>
      <c r="BH418" s="634"/>
      <c r="BI418" s="634"/>
    </row>
    <row r="419" spans="1:61" ht="16.2" customHeight="1">
      <c r="A419" s="12"/>
      <c r="B419" s="446"/>
      <c r="C419" s="89"/>
      <c r="D419" s="13"/>
      <c r="E419" s="14"/>
      <c r="F419" s="14"/>
      <c r="G419" s="15"/>
      <c r="H419" s="8"/>
      <c r="I419" s="8"/>
      <c r="J419" s="89"/>
      <c r="K419" s="8"/>
      <c r="L419" s="8"/>
      <c r="M419" s="8" t="str">
        <f>IF(L419="","",
IF(AX419="PT",VLOOKUP(L419,Foundation_Calc!$V$4:$X$37,VLOOKUP(AX419,Foundation_Calc!$I$10:$J$13,2,FALSE),0),
IF(AX419="K",VLOOKUP(L419,Foundation_Calc!$V$41:$X$74,VLOOKUP(AX419,Foundation_Calc!$I$10:$J$13,2,FALSE),0),"")))</f>
        <v/>
      </c>
      <c r="N419" s="8"/>
      <c r="O419" s="8"/>
      <c r="P419" s="8"/>
      <c r="Q419" s="14"/>
      <c r="R419" s="15"/>
      <c r="S419" s="15"/>
      <c r="T419" s="14"/>
      <c r="U419" s="14"/>
      <c r="V419" s="14"/>
      <c r="W419" s="18"/>
      <c r="X419" s="18"/>
      <c r="Y419" s="18"/>
      <c r="Z419" s="18"/>
      <c r="AA419" s="18"/>
      <c r="AB419" s="18"/>
      <c r="AC419" s="8" t="str">
        <f t="shared" si="94"/>
        <v/>
      </c>
      <c r="AD419" s="8"/>
      <c r="AE419" s="8"/>
      <c r="AF419" s="14"/>
      <c r="AG419" s="13"/>
      <c r="AH419" s="14"/>
      <c r="AI419" s="14"/>
      <c r="AJ419" s="8"/>
      <c r="AK419" s="8"/>
      <c r="AL419" s="8"/>
      <c r="AM419" s="8"/>
      <c r="AN419" s="631"/>
      <c r="AO419" s="18"/>
      <c r="AP419" s="18"/>
      <c r="AQ419" s="18"/>
      <c r="AR419" s="18"/>
      <c r="AS419" s="18"/>
      <c r="AU419" s="448"/>
      <c r="AV419" s="448"/>
      <c r="AW419" s="8" t="str">
        <f>IF(C419&gt;0,VLOOKUP(C419,Foundation_Calc!$A$2:$C$986,3,1),
IF(J419&gt;0,VLOOKUP(J419,Foundation_Calc!$A$2:$C$986,3,1),""))</f>
        <v/>
      </c>
      <c r="AX419" s="8" t="str">
        <f>IF(C419&gt;0,VLOOKUP(C419,Foundation_Calc!$E$2:$G$986,3,1),
IF(J419&gt;0,VLOOKUP(J419,Foundation_Calc!$E$2:$G$986,3,1),""))</f>
        <v/>
      </c>
      <c r="AY419" s="631" t="str">
        <f>IF(L419="","",
IF(AX419="PT",VLOOKUP(L419,Foundation_Calc!$K$4:$R$37,VLOOKUP(AW419,Foundation_Calc!$I$2:$J$8,2,FALSE),0),
IF(AX419="K",VLOOKUP(L419,Foundation_Calc!$K$41:$R$74,VLOOKUP(AW419,Foundation_Calc!$I$2:$J$8,2,FALSE),0),"")))</f>
        <v/>
      </c>
      <c r="AZ419" s="631" t="str">
        <f>IF(K419="","",
IF(AX419="PT",VLOOKUP(K419,Foundation_Calc!$K$4:$R$37,VLOOKUP(AW419,Foundation_Calc!$I$2:$J$8,2,FALSE),0),
IF(AX419="K",VLOOKUP(K419,Foundation_Calc!$K$41:$R$74,VLOOKUP(AW419,Foundation_Calc!$I$2:$J$8,2,FALSE),0),"")))</f>
        <v/>
      </c>
      <c r="BA419" s="632" t="str">
        <f t="shared" si="95"/>
        <v/>
      </c>
      <c r="BB419" s="632" t="str">
        <f t="shared" si="96"/>
        <v/>
      </c>
      <c r="BC419" s="632" t="str">
        <f t="shared" si="97"/>
        <v/>
      </c>
      <c r="BD419" s="633" t="str">
        <f>IF(AND(L419="",H419=""),"",
IF(H419="",Pole_Calc!A447,
IF(H419="MP",Pole_Calc!A448,
IF(H419="AnMP",Pole_Calc!A449,
IF(H419="A",Pole_Calc!A450,
IF(H419="S/A",Pole_Calc!A451,
IF(H419="A/S",Pole_Calc!A452,"Poner a mano")))))))</f>
        <v/>
      </c>
      <c r="BE419" s="448" t="s">
        <v>1726</v>
      </c>
      <c r="BF419" s="635"/>
      <c r="BG419" s="635"/>
      <c r="BH419" s="634"/>
      <c r="BI419" s="635"/>
    </row>
    <row r="420" spans="1:61" ht="16.2" customHeight="1">
      <c r="A420" s="12"/>
      <c r="B420" s="446"/>
      <c r="C420" s="89"/>
      <c r="D420" s="13"/>
      <c r="E420" s="14"/>
      <c r="F420" s="14"/>
      <c r="G420" s="15"/>
      <c r="H420" s="8"/>
      <c r="I420" s="8"/>
      <c r="J420" s="89"/>
      <c r="K420" s="8"/>
      <c r="L420" s="8"/>
      <c r="M420" s="8" t="str">
        <f>IF(L420="","",
IF(AX420="PT",VLOOKUP(L420,Foundation_Calc!$V$4:$X$37,VLOOKUP(AX420,Foundation_Calc!$I$10:$J$13,2,FALSE),0),
IF(AX420="K",VLOOKUP(L420,Foundation_Calc!$V$41:$X$74,VLOOKUP(AX420,Foundation_Calc!$I$10:$J$13,2,FALSE),0),"")))</f>
        <v/>
      </c>
      <c r="N420" s="8"/>
      <c r="O420" s="8"/>
      <c r="P420" s="8"/>
      <c r="Q420" s="14"/>
      <c r="R420" s="15"/>
      <c r="S420" s="15"/>
      <c r="T420" s="14"/>
      <c r="U420" s="14"/>
      <c r="V420" s="14"/>
      <c r="W420" s="18"/>
      <c r="X420" s="18"/>
      <c r="Y420" s="18"/>
      <c r="Z420" s="18"/>
      <c r="AA420" s="18"/>
      <c r="AB420" s="18"/>
      <c r="AC420" s="8" t="str">
        <f t="shared" si="94"/>
        <v/>
      </c>
      <c r="AD420" s="8"/>
      <c r="AE420" s="8"/>
      <c r="AF420" s="14"/>
      <c r="AG420" s="13"/>
      <c r="AH420" s="14"/>
      <c r="AI420" s="14"/>
      <c r="AJ420" s="8"/>
      <c r="AK420" s="8"/>
      <c r="AL420" s="8"/>
      <c r="AM420" s="8"/>
      <c r="AN420" s="631"/>
      <c r="AO420" s="18"/>
      <c r="AP420" s="18"/>
      <c r="AQ420" s="18"/>
      <c r="AR420" s="18"/>
      <c r="AS420" s="18"/>
      <c r="AU420" s="448"/>
      <c r="AV420" s="448"/>
      <c r="AW420" s="8" t="str">
        <f>IF(C420&gt;0,VLOOKUP(C420,Foundation_Calc!$A$2:$C$986,3,1),
IF(J420&gt;0,VLOOKUP(J420,Foundation_Calc!$A$2:$C$986,3,1),""))</f>
        <v/>
      </c>
      <c r="AX420" s="8" t="str">
        <f>IF(C420&gt;0,VLOOKUP(C420,Foundation_Calc!$E$2:$G$986,3,1),
IF(J420&gt;0,VLOOKUP(J420,Foundation_Calc!$E$2:$G$986,3,1),""))</f>
        <v/>
      </c>
      <c r="AY420" s="631" t="str">
        <f>IF(L420="","",
IF(AX420="PT",VLOOKUP(L420,Foundation_Calc!$K$4:$R$37,VLOOKUP(AW420,Foundation_Calc!$I$2:$J$8,2,FALSE),0),
IF(AX420="K",VLOOKUP(L420,Foundation_Calc!$K$41:$R$74,VLOOKUP(AW420,Foundation_Calc!$I$2:$J$8,2,FALSE),0),"")))</f>
        <v/>
      </c>
      <c r="AZ420" s="631" t="str">
        <f>IF(K420="","",
IF(AX420="PT",VLOOKUP(K420,Foundation_Calc!$K$4:$R$37,VLOOKUP(AW420,Foundation_Calc!$I$2:$J$8,2,FALSE),0),
IF(AX420="K",VLOOKUP(K420,Foundation_Calc!$K$41:$R$74,VLOOKUP(AW420,Foundation_Calc!$I$2:$J$8,2,FALSE),0),"")))</f>
        <v/>
      </c>
      <c r="BA420" s="632" t="str">
        <f t="shared" si="95"/>
        <v/>
      </c>
      <c r="BB420" s="632" t="str">
        <f t="shared" si="96"/>
        <v/>
      </c>
      <c r="BC420" s="632" t="str">
        <f t="shared" si="97"/>
        <v/>
      </c>
      <c r="BD420" s="633" t="str">
        <f>IF(AND(L420="",H420=""),"",
IF(H420="",Pole_Calc!A448,
IF(H420="MP",Pole_Calc!A449,
IF(H420="AnMP",Pole_Calc!A450,
IF(H420="A",Pole_Calc!A451,
IF(H420="S/A",Pole_Calc!A452,
IF(H420="A/S",Pole_Calc!A453,"Poner a mano")))))))</f>
        <v/>
      </c>
      <c r="BE420" s="448" t="s">
        <v>1726</v>
      </c>
      <c r="BF420" s="634"/>
      <c r="BG420" s="634"/>
      <c r="BH420" s="634"/>
      <c r="BI420" s="634"/>
    </row>
    <row r="421" spans="1:61" ht="16.2" customHeight="1">
      <c r="A421" s="12"/>
      <c r="B421" s="446"/>
      <c r="C421" s="89"/>
      <c r="D421" s="13"/>
      <c r="E421" s="14"/>
      <c r="F421" s="14"/>
      <c r="G421" s="15"/>
      <c r="H421" s="8"/>
      <c r="I421" s="8"/>
      <c r="J421" s="89"/>
      <c r="K421" s="8"/>
      <c r="L421" s="8"/>
      <c r="M421" s="8" t="str">
        <f>IF(L421="","",
IF(AX421="PT",VLOOKUP(L421,Foundation_Calc!$V$4:$X$37,VLOOKUP(AX421,Foundation_Calc!$I$10:$J$13,2,FALSE),0),
IF(AX421="K",VLOOKUP(L421,Foundation_Calc!$V$41:$X$74,VLOOKUP(AX421,Foundation_Calc!$I$10:$J$13,2,FALSE),0),"")))</f>
        <v/>
      </c>
      <c r="N421" s="8"/>
      <c r="O421" s="8"/>
      <c r="P421" s="8"/>
      <c r="Q421" s="14"/>
      <c r="R421" s="15"/>
      <c r="S421" s="15"/>
      <c r="T421" s="14"/>
      <c r="U421" s="14"/>
      <c r="V421" s="14"/>
      <c r="W421" s="18"/>
      <c r="X421" s="18"/>
      <c r="Y421" s="18"/>
      <c r="Z421" s="18"/>
      <c r="AA421" s="18"/>
      <c r="AB421" s="18"/>
      <c r="AC421" s="8" t="str">
        <f t="shared" si="94"/>
        <v/>
      </c>
      <c r="AD421" s="8"/>
      <c r="AE421" s="8"/>
      <c r="AF421" s="14"/>
      <c r="AG421" s="13"/>
      <c r="AH421" s="14"/>
      <c r="AI421" s="14"/>
      <c r="AJ421" s="8"/>
      <c r="AK421" s="8"/>
      <c r="AL421" s="8"/>
      <c r="AM421" s="8"/>
      <c r="AN421" s="631"/>
      <c r="AO421" s="18"/>
      <c r="AP421" s="18"/>
      <c r="AQ421" s="18"/>
      <c r="AR421" s="18"/>
      <c r="AS421" s="18"/>
      <c r="AU421" s="448"/>
      <c r="AV421" s="448"/>
      <c r="AW421" s="8" t="str">
        <f>IF(C421&gt;0,VLOOKUP(C421,Foundation_Calc!$A$2:$C$986,3,1),
IF(J421&gt;0,VLOOKUP(J421,Foundation_Calc!$A$2:$C$986,3,1),""))</f>
        <v/>
      </c>
      <c r="AX421" s="8" t="str">
        <f>IF(C421&gt;0,VLOOKUP(C421,Foundation_Calc!$E$2:$G$986,3,1),
IF(J421&gt;0,VLOOKUP(J421,Foundation_Calc!$E$2:$G$986,3,1),""))</f>
        <v/>
      </c>
      <c r="AY421" s="631" t="str">
        <f>IF(L421="","",
IF(AX421="PT",VLOOKUP(L421,Foundation_Calc!$K$4:$R$37,VLOOKUP(AW421,Foundation_Calc!$I$2:$J$8,2,FALSE),0),
IF(AX421="K",VLOOKUP(L421,Foundation_Calc!$K$41:$R$74,VLOOKUP(AW421,Foundation_Calc!$I$2:$J$8,2,FALSE),0),"")))</f>
        <v/>
      </c>
      <c r="AZ421" s="631" t="str">
        <f>IF(K421="","",
IF(AX421="PT",VLOOKUP(K421,Foundation_Calc!$K$4:$R$37,VLOOKUP(AW421,Foundation_Calc!$I$2:$J$8,2,FALSE),0),
IF(AX421="K",VLOOKUP(K421,Foundation_Calc!$K$41:$R$74,VLOOKUP(AW421,Foundation_Calc!$I$2:$J$8,2,FALSE),0),"")))</f>
        <v/>
      </c>
      <c r="BA421" s="632" t="str">
        <f t="shared" si="95"/>
        <v/>
      </c>
      <c r="BB421" s="632" t="str">
        <f t="shared" si="96"/>
        <v/>
      </c>
      <c r="BC421" s="632" t="str">
        <f t="shared" si="97"/>
        <v/>
      </c>
      <c r="BD421" s="633" t="str">
        <f>IF(AND(L421="",H421=""),"",
IF(H421="",Pole_Calc!A449,
IF(H421="MP",Pole_Calc!A450,
IF(H421="AnMP",Pole_Calc!A451,
IF(H421="A",Pole_Calc!A452,
IF(H421="S/A",Pole_Calc!A453,
IF(H421="A/S",Pole_Calc!A454,"Poner a mano")))))))</f>
        <v/>
      </c>
      <c r="BE421" s="448" t="s">
        <v>1726</v>
      </c>
      <c r="BF421" s="635"/>
      <c r="BG421" s="635"/>
      <c r="BH421" s="634"/>
      <c r="BI421" s="635"/>
    </row>
    <row r="422" spans="1:61" ht="16.2" customHeight="1">
      <c r="A422" s="12"/>
      <c r="B422" s="446"/>
      <c r="C422" s="89"/>
      <c r="D422" s="13"/>
      <c r="E422" s="14"/>
      <c r="F422" s="14"/>
      <c r="G422" s="15"/>
      <c r="H422" s="8"/>
      <c r="I422" s="8"/>
      <c r="J422" s="89"/>
      <c r="K422" s="8"/>
      <c r="L422" s="8"/>
      <c r="M422" s="8" t="str">
        <f>IF(L422="","",
IF(AX422="PT",VLOOKUP(L422,Foundation_Calc!$V$4:$X$37,VLOOKUP(AX422,Foundation_Calc!$I$10:$J$13,2,FALSE),0),
IF(AX422="K",VLOOKUP(L422,Foundation_Calc!$V$41:$X$74,VLOOKUP(AX422,Foundation_Calc!$I$10:$J$13,2,FALSE),0),"")))</f>
        <v/>
      </c>
      <c r="N422" s="8"/>
      <c r="O422" s="8"/>
      <c r="P422" s="8"/>
      <c r="Q422" s="14"/>
      <c r="R422" s="15"/>
      <c r="S422" s="15"/>
      <c r="T422" s="14"/>
      <c r="U422" s="14"/>
      <c r="V422" s="14"/>
      <c r="W422" s="18"/>
      <c r="X422" s="18"/>
      <c r="Y422" s="18"/>
      <c r="Z422" s="18"/>
      <c r="AA422" s="18"/>
      <c r="AB422" s="18"/>
      <c r="AC422" s="8" t="str">
        <f t="shared" si="94"/>
        <v/>
      </c>
      <c r="AD422" s="8"/>
      <c r="AE422" s="8"/>
      <c r="AF422" s="14"/>
      <c r="AG422" s="13"/>
      <c r="AH422" s="14"/>
      <c r="AI422" s="14"/>
      <c r="AJ422" s="8"/>
      <c r="AK422" s="8"/>
      <c r="AL422" s="8"/>
      <c r="AM422" s="8"/>
      <c r="AN422" s="631"/>
      <c r="AO422" s="18"/>
      <c r="AP422" s="18"/>
      <c r="AQ422" s="18"/>
      <c r="AR422" s="18"/>
      <c r="AS422" s="18"/>
      <c r="AU422" s="448"/>
      <c r="AV422" s="448"/>
      <c r="AW422" s="8" t="str">
        <f>IF(C422&gt;0,VLOOKUP(C422,Foundation_Calc!$A$2:$C$986,3,1),
IF(J422&gt;0,VLOOKUP(J422,Foundation_Calc!$A$2:$C$986,3,1),""))</f>
        <v/>
      </c>
      <c r="AX422" s="8" t="str">
        <f>IF(C422&gt;0,VLOOKUP(C422,Foundation_Calc!$E$2:$G$986,3,1),
IF(J422&gt;0,VLOOKUP(J422,Foundation_Calc!$E$2:$G$986,3,1),""))</f>
        <v/>
      </c>
      <c r="AY422" s="631" t="str">
        <f>IF(L422="","",
IF(AX422="PT",VLOOKUP(L422,Foundation_Calc!$K$4:$R$37,VLOOKUP(AW422,Foundation_Calc!$I$2:$J$8,2,FALSE),0),
IF(AX422="K",VLOOKUP(L422,Foundation_Calc!$K$41:$R$74,VLOOKUP(AW422,Foundation_Calc!$I$2:$J$8,2,FALSE),0),"")))</f>
        <v/>
      </c>
      <c r="AZ422" s="631" t="str">
        <f>IF(K422="","",
IF(AX422="PT",VLOOKUP(K422,Foundation_Calc!$K$4:$R$37,VLOOKUP(AW422,Foundation_Calc!$I$2:$J$8,2,FALSE),0),
IF(AX422="K",VLOOKUP(K422,Foundation_Calc!$K$41:$R$74,VLOOKUP(AW422,Foundation_Calc!$I$2:$J$8,2,FALSE),0),"")))</f>
        <v/>
      </c>
      <c r="BA422" s="632" t="str">
        <f t="shared" si="95"/>
        <v/>
      </c>
      <c r="BB422" s="632" t="str">
        <f t="shared" si="96"/>
        <v/>
      </c>
      <c r="BC422" s="632" t="str">
        <f t="shared" si="97"/>
        <v/>
      </c>
      <c r="BD422" s="633" t="str">
        <f>IF(AND(L422="",H422=""),"",
IF(H422="",Pole_Calc!A450,
IF(H422="MP",Pole_Calc!A451,
IF(H422="AnMP",Pole_Calc!A452,
IF(H422="A",Pole_Calc!A453,
IF(H422="S/A",Pole_Calc!A454,
IF(H422="A/S",Pole_Calc!A455,"Poner a mano")))))))</f>
        <v/>
      </c>
      <c r="BE422" s="448" t="s">
        <v>1726</v>
      </c>
      <c r="BF422" s="634"/>
      <c r="BG422" s="634"/>
      <c r="BH422" s="634"/>
      <c r="BI422" s="634"/>
    </row>
    <row r="423" spans="1:61" ht="16.2" customHeight="1">
      <c r="A423" s="12"/>
      <c r="B423" s="446"/>
      <c r="C423" s="89"/>
      <c r="D423" s="13"/>
      <c r="E423" s="14"/>
      <c r="F423" s="14"/>
      <c r="G423" s="15"/>
      <c r="H423" s="8"/>
      <c r="I423" s="8"/>
      <c r="J423" s="89"/>
      <c r="K423" s="8"/>
      <c r="L423" s="8"/>
      <c r="M423" s="8" t="str">
        <f>IF(L423="","",
IF(AX423="PT",VLOOKUP(L423,Foundation_Calc!$V$4:$X$37,VLOOKUP(AX423,Foundation_Calc!$I$10:$J$13,2,FALSE),0),
IF(AX423="K",VLOOKUP(L423,Foundation_Calc!$V$41:$X$74,VLOOKUP(AX423,Foundation_Calc!$I$10:$J$13,2,FALSE),0),"")))</f>
        <v/>
      </c>
      <c r="N423" s="8"/>
      <c r="O423" s="8"/>
      <c r="P423" s="8"/>
      <c r="Q423" s="14"/>
      <c r="R423" s="15"/>
      <c r="S423" s="15"/>
      <c r="T423" s="14"/>
      <c r="U423" s="14"/>
      <c r="V423" s="14"/>
      <c r="W423" s="18"/>
      <c r="X423" s="18"/>
      <c r="Y423" s="18"/>
      <c r="Z423" s="18"/>
      <c r="AA423" s="18"/>
      <c r="AB423" s="18"/>
      <c r="AC423" s="8" t="str">
        <f t="shared" si="94"/>
        <v/>
      </c>
      <c r="AD423" s="8"/>
      <c r="AE423" s="8"/>
      <c r="AF423" s="14"/>
      <c r="AG423" s="13"/>
      <c r="AH423" s="14"/>
      <c r="AI423" s="14"/>
      <c r="AJ423" s="8"/>
      <c r="AK423" s="8"/>
      <c r="AL423" s="8"/>
      <c r="AM423" s="8"/>
      <c r="AN423" s="631"/>
      <c r="AO423" s="18"/>
      <c r="AP423" s="18"/>
      <c r="AQ423" s="18"/>
      <c r="AR423" s="18"/>
      <c r="AS423" s="18"/>
      <c r="AU423" s="448"/>
      <c r="AV423" s="448"/>
      <c r="AW423" s="8" t="str">
        <f>IF(C423&gt;0,VLOOKUP(C423,Foundation_Calc!$A$2:$C$986,3,1),
IF(J423&gt;0,VLOOKUP(J423,Foundation_Calc!$A$2:$C$986,3,1),""))</f>
        <v/>
      </c>
      <c r="AX423" s="8" t="str">
        <f>IF(C423&gt;0,VLOOKUP(C423,Foundation_Calc!$E$2:$G$986,3,1),
IF(J423&gt;0,VLOOKUP(J423,Foundation_Calc!$E$2:$G$986,3,1),""))</f>
        <v/>
      </c>
      <c r="AY423" s="631" t="str">
        <f>IF(L423="","",
IF(AX423="PT",VLOOKUP(L423,Foundation_Calc!$K$4:$R$37,VLOOKUP(AW423,Foundation_Calc!$I$2:$J$8,2,FALSE),0),
IF(AX423="K",VLOOKUP(L423,Foundation_Calc!$K$41:$R$74,VLOOKUP(AW423,Foundation_Calc!$I$2:$J$8,2,FALSE),0),"")))</f>
        <v/>
      </c>
      <c r="AZ423" s="631" t="str">
        <f>IF(K423="","",
IF(AX423="PT",VLOOKUP(K423,Foundation_Calc!$K$4:$R$37,VLOOKUP(AW423,Foundation_Calc!$I$2:$J$8,2,FALSE),0),
IF(AX423="K",VLOOKUP(K423,Foundation_Calc!$K$41:$R$74,VLOOKUP(AW423,Foundation_Calc!$I$2:$J$8,2,FALSE),0),"")))</f>
        <v/>
      </c>
      <c r="BA423" s="632" t="str">
        <f t="shared" si="95"/>
        <v/>
      </c>
      <c r="BB423" s="632" t="str">
        <f t="shared" si="96"/>
        <v/>
      </c>
      <c r="BC423" s="632" t="str">
        <f t="shared" si="97"/>
        <v/>
      </c>
      <c r="BD423" s="633" t="str">
        <f>IF(AND(L423="",H423=""),"",
IF(H423="",Pole_Calc!A451,
IF(H423="MP",Pole_Calc!A452,
IF(H423="AnMP",Pole_Calc!A453,
IF(H423="A",Pole_Calc!A454,
IF(H423="S/A",Pole_Calc!A455,
IF(H423="A/S",Pole_Calc!A456,"Poner a mano")))))))</f>
        <v/>
      </c>
      <c r="BE423" s="448" t="s">
        <v>1726</v>
      </c>
      <c r="BF423" s="635"/>
      <c r="BG423" s="635"/>
      <c r="BH423" s="634"/>
      <c r="BI423" s="635"/>
    </row>
    <row r="424" spans="1:61" ht="16.2" customHeight="1">
      <c r="A424" s="12"/>
      <c r="B424" s="446"/>
      <c r="C424" s="89"/>
      <c r="D424" s="13"/>
      <c r="E424" s="14"/>
      <c r="F424" s="14"/>
      <c r="G424" s="15"/>
      <c r="H424" s="8"/>
      <c r="I424" s="8"/>
      <c r="J424" s="89"/>
      <c r="K424" s="8"/>
      <c r="L424" s="8"/>
      <c r="M424" s="8" t="str">
        <f>IF(L424="","",
IF(AX424="PT",VLOOKUP(L424,Foundation_Calc!$V$4:$X$37,VLOOKUP(AX424,Foundation_Calc!$I$10:$J$13,2,FALSE),0),
IF(AX424="K",VLOOKUP(L424,Foundation_Calc!$V$41:$X$74,VLOOKUP(AX424,Foundation_Calc!$I$10:$J$13,2,FALSE),0),"")))</f>
        <v/>
      </c>
      <c r="N424" s="8"/>
      <c r="O424" s="8"/>
      <c r="P424" s="8"/>
      <c r="Q424" s="14"/>
      <c r="R424" s="15"/>
      <c r="S424" s="15"/>
      <c r="T424" s="14"/>
      <c r="U424" s="14"/>
      <c r="V424" s="14"/>
      <c r="W424" s="18"/>
      <c r="X424" s="18"/>
      <c r="Y424" s="18"/>
      <c r="Z424" s="18"/>
      <c r="AA424" s="18"/>
      <c r="AB424" s="18"/>
      <c r="AC424" s="8" t="str">
        <f t="shared" si="94"/>
        <v/>
      </c>
      <c r="AD424" s="8"/>
      <c r="AE424" s="8"/>
      <c r="AF424" s="14"/>
      <c r="AG424" s="13"/>
      <c r="AH424" s="14"/>
      <c r="AI424" s="14"/>
      <c r="AJ424" s="8"/>
      <c r="AK424" s="8"/>
      <c r="AL424" s="8"/>
      <c r="AM424" s="8"/>
      <c r="AN424" s="631"/>
      <c r="AO424" s="18"/>
      <c r="AP424" s="18"/>
      <c r="AQ424" s="18"/>
      <c r="AR424" s="18"/>
      <c r="AS424" s="18"/>
      <c r="AU424" s="448"/>
      <c r="AV424" s="448"/>
      <c r="AW424" s="8" t="str">
        <f>IF(C424&gt;0,VLOOKUP(C424,Foundation_Calc!$A$2:$C$986,3,1),
IF(J424&gt;0,VLOOKUP(J424,Foundation_Calc!$A$2:$C$986,3,1),""))</f>
        <v/>
      </c>
      <c r="AX424" s="8" t="str">
        <f>IF(C424&gt;0,VLOOKUP(C424,Foundation_Calc!$E$2:$G$986,3,1),
IF(J424&gt;0,VLOOKUP(J424,Foundation_Calc!$E$2:$G$986,3,1),""))</f>
        <v/>
      </c>
      <c r="AY424" s="631" t="str">
        <f>IF(L424="","",
IF(AX424="PT",VLOOKUP(L424,Foundation_Calc!$K$4:$R$37,VLOOKUP(AW424,Foundation_Calc!$I$2:$J$8,2,FALSE),0),
IF(AX424="K",VLOOKUP(L424,Foundation_Calc!$K$41:$R$74,VLOOKUP(AW424,Foundation_Calc!$I$2:$J$8,2,FALSE),0),"")))</f>
        <v/>
      </c>
      <c r="AZ424" s="631" t="str">
        <f>IF(K424="","",
IF(AX424="PT",VLOOKUP(K424,Foundation_Calc!$K$4:$R$37,VLOOKUP(AW424,Foundation_Calc!$I$2:$J$8,2,FALSE),0),
IF(AX424="K",VLOOKUP(K424,Foundation_Calc!$K$41:$R$74,VLOOKUP(AW424,Foundation_Calc!$I$2:$J$8,2,FALSE),0),"")))</f>
        <v/>
      </c>
      <c r="BA424" s="632" t="str">
        <f t="shared" si="95"/>
        <v/>
      </c>
      <c r="BB424" s="632" t="str">
        <f t="shared" si="96"/>
        <v/>
      </c>
      <c r="BC424" s="632" t="str">
        <f t="shared" si="97"/>
        <v/>
      </c>
      <c r="BD424" s="633" t="str">
        <f>IF(AND(L424="",H424=""),"",
IF(H424="",Pole_Calc!A452,
IF(H424="MP",Pole_Calc!A453,
IF(H424="AnMP",Pole_Calc!A454,
IF(H424="A",Pole_Calc!A455,
IF(H424="S/A",Pole_Calc!A456,
IF(H424="A/S",Pole_Calc!A457,"Poner a mano")))))))</f>
        <v/>
      </c>
      <c r="BE424" s="448" t="s">
        <v>1726</v>
      </c>
      <c r="BF424" s="634"/>
      <c r="BG424" s="634"/>
      <c r="BH424" s="634"/>
      <c r="BI424" s="634"/>
    </row>
    <row r="425" spans="1:61" ht="16.2" customHeight="1">
      <c r="A425" s="12"/>
      <c r="B425" s="446"/>
      <c r="C425" s="89"/>
      <c r="D425" s="13"/>
      <c r="E425" s="14"/>
      <c r="F425" s="14"/>
      <c r="G425" s="15"/>
      <c r="H425" s="8"/>
      <c r="I425" s="8"/>
      <c r="J425" s="89"/>
      <c r="K425" s="8"/>
      <c r="L425" s="8"/>
      <c r="M425" s="8" t="str">
        <f>IF(L425="","",
IF(AX425="PT",VLOOKUP(L425,Foundation_Calc!$V$4:$X$37,VLOOKUP(AX425,Foundation_Calc!$I$10:$J$13,2,FALSE),0),
IF(AX425="K",VLOOKUP(L425,Foundation_Calc!$V$41:$X$74,VLOOKUP(AX425,Foundation_Calc!$I$10:$J$13,2,FALSE),0),"")))</f>
        <v/>
      </c>
      <c r="N425" s="8"/>
      <c r="O425" s="8"/>
      <c r="P425" s="8"/>
      <c r="Q425" s="14"/>
      <c r="R425" s="15"/>
      <c r="S425" s="15"/>
      <c r="T425" s="14"/>
      <c r="U425" s="14"/>
      <c r="V425" s="14"/>
      <c r="W425" s="18"/>
      <c r="X425" s="18"/>
      <c r="Y425" s="18"/>
      <c r="Z425" s="18"/>
      <c r="AA425" s="18"/>
      <c r="AB425" s="18"/>
      <c r="AC425" s="8" t="str">
        <f t="shared" si="94"/>
        <v/>
      </c>
      <c r="AD425" s="8"/>
      <c r="AE425" s="8"/>
      <c r="AF425" s="14"/>
      <c r="AG425" s="13"/>
      <c r="AH425" s="14"/>
      <c r="AI425" s="14"/>
      <c r="AJ425" s="8"/>
      <c r="AK425" s="8"/>
      <c r="AL425" s="8"/>
      <c r="AM425" s="8"/>
      <c r="AN425" s="631"/>
      <c r="AO425" s="18"/>
      <c r="AP425" s="18"/>
      <c r="AQ425" s="18"/>
      <c r="AR425" s="18"/>
      <c r="AS425" s="18"/>
      <c r="AU425" s="448"/>
      <c r="AV425" s="448"/>
      <c r="AW425" s="8" t="str">
        <f>IF(C425&gt;0,VLOOKUP(C425,Foundation_Calc!$A$2:$C$986,3,1),
IF(J425&gt;0,VLOOKUP(J425,Foundation_Calc!$A$2:$C$986,3,1),""))</f>
        <v/>
      </c>
      <c r="AX425" s="8" t="str">
        <f>IF(C425&gt;0,VLOOKUP(C425,Foundation_Calc!$E$2:$G$986,3,1),
IF(J425&gt;0,VLOOKUP(J425,Foundation_Calc!$E$2:$G$986,3,1),""))</f>
        <v/>
      </c>
      <c r="AY425" s="631" t="str">
        <f>IF(L425="","",
IF(AX425="PT",VLOOKUP(L425,Foundation_Calc!$K$4:$R$37,VLOOKUP(AW425,Foundation_Calc!$I$2:$J$8,2,FALSE),0),
IF(AX425="K",VLOOKUP(L425,Foundation_Calc!$K$41:$R$74,VLOOKUP(AW425,Foundation_Calc!$I$2:$J$8,2,FALSE),0),"")))</f>
        <v/>
      </c>
      <c r="AZ425" s="631" t="str">
        <f>IF(K425="","",
IF(AX425="PT",VLOOKUP(K425,Foundation_Calc!$K$4:$R$37,VLOOKUP(AW425,Foundation_Calc!$I$2:$J$8,2,FALSE),0),
IF(AX425="K",VLOOKUP(K425,Foundation_Calc!$K$41:$R$74,VLOOKUP(AW425,Foundation_Calc!$I$2:$J$8,2,FALSE),0),"")))</f>
        <v/>
      </c>
      <c r="BA425" s="632" t="str">
        <f t="shared" si="95"/>
        <v/>
      </c>
      <c r="BB425" s="632" t="str">
        <f t="shared" si="96"/>
        <v/>
      </c>
      <c r="BC425" s="632" t="str">
        <f t="shared" si="97"/>
        <v/>
      </c>
      <c r="BD425" s="633" t="str">
        <f>IF(AND(L425="",H425=""),"",
IF(H425="",Pole_Calc!A453,
IF(H425="MP",Pole_Calc!A454,
IF(H425="AnMP",Pole_Calc!A455,
IF(H425="A",Pole_Calc!A456,
IF(H425="S/A",Pole_Calc!A457,
IF(H425="A/S",Pole_Calc!A458,"Poner a mano")))))))</f>
        <v/>
      </c>
      <c r="BE425" s="448" t="s">
        <v>1726</v>
      </c>
      <c r="BF425" s="635"/>
      <c r="BG425" s="635"/>
      <c r="BH425" s="634"/>
      <c r="BI425" s="635"/>
    </row>
    <row r="426" spans="1:61" ht="16.2" customHeight="1">
      <c r="A426" s="12"/>
      <c r="B426" s="446"/>
      <c r="C426" s="89"/>
      <c r="D426" s="13"/>
      <c r="E426" s="14"/>
      <c r="F426" s="14"/>
      <c r="G426" s="15"/>
      <c r="H426" s="8"/>
      <c r="I426" s="8"/>
      <c r="J426" s="89"/>
      <c r="K426" s="8"/>
      <c r="L426" s="8"/>
      <c r="M426" s="8" t="str">
        <f>IF(L426="","",
IF(AX426="PT",VLOOKUP(L426,Foundation_Calc!$V$4:$X$37,VLOOKUP(AX426,Foundation_Calc!$I$10:$J$13,2,FALSE),0),
IF(AX426="K",VLOOKUP(L426,Foundation_Calc!$V$41:$X$74,VLOOKUP(AX426,Foundation_Calc!$I$10:$J$13,2,FALSE),0),"")))</f>
        <v/>
      </c>
      <c r="N426" s="8"/>
      <c r="O426" s="8"/>
      <c r="P426" s="8"/>
      <c r="Q426" s="14"/>
      <c r="R426" s="15"/>
      <c r="S426" s="15"/>
      <c r="T426" s="14"/>
      <c r="U426" s="14"/>
      <c r="V426" s="14"/>
      <c r="W426" s="18"/>
      <c r="X426" s="18"/>
      <c r="Y426" s="18"/>
      <c r="Z426" s="18"/>
      <c r="AA426" s="18"/>
      <c r="AB426" s="18"/>
      <c r="AC426" s="8" t="str">
        <f t="shared" si="94"/>
        <v/>
      </c>
      <c r="AD426" s="8"/>
      <c r="AE426" s="8"/>
      <c r="AF426" s="14"/>
      <c r="AG426" s="13"/>
      <c r="AH426" s="14"/>
      <c r="AI426" s="14"/>
      <c r="AJ426" s="8"/>
      <c r="AK426" s="8"/>
      <c r="AL426" s="8"/>
      <c r="AM426" s="8"/>
      <c r="AN426" s="631"/>
      <c r="AO426" s="18"/>
      <c r="AP426" s="18"/>
      <c r="AQ426" s="18"/>
      <c r="AR426" s="18"/>
      <c r="AS426" s="18"/>
      <c r="AU426" s="448"/>
      <c r="AV426" s="448"/>
      <c r="AW426" s="8" t="str">
        <f>IF(C426&gt;0,VLOOKUP(C426,Foundation_Calc!$A$2:$C$986,3,1),
IF(J426&gt;0,VLOOKUP(J426,Foundation_Calc!$A$2:$C$986,3,1),""))</f>
        <v/>
      </c>
      <c r="AX426" s="8" t="str">
        <f>IF(C426&gt;0,VLOOKUP(C426,Foundation_Calc!$E$2:$G$986,3,1),
IF(J426&gt;0,VLOOKUP(J426,Foundation_Calc!$E$2:$G$986,3,1),""))</f>
        <v/>
      </c>
      <c r="AY426" s="631" t="str">
        <f>IF(L426="","",
IF(AX426="PT",VLOOKUP(L426,Foundation_Calc!$K$4:$R$37,VLOOKUP(AW426,Foundation_Calc!$I$2:$J$8,2,FALSE),0),
IF(AX426="K",VLOOKUP(L426,Foundation_Calc!$K$41:$R$74,VLOOKUP(AW426,Foundation_Calc!$I$2:$J$8,2,FALSE),0),"")))</f>
        <v/>
      </c>
      <c r="AZ426" s="631" t="str">
        <f>IF(K426="","",
IF(AX426="PT",VLOOKUP(K426,Foundation_Calc!$K$4:$R$37,VLOOKUP(AW426,Foundation_Calc!$I$2:$J$8,2,FALSE),0),
IF(AX426="K",VLOOKUP(K426,Foundation_Calc!$K$41:$R$74,VLOOKUP(AW426,Foundation_Calc!$I$2:$J$8,2,FALSE),0),"")))</f>
        <v/>
      </c>
      <c r="BA426" s="632" t="str">
        <f t="shared" si="95"/>
        <v/>
      </c>
      <c r="BB426" s="632" t="str">
        <f t="shared" si="96"/>
        <v/>
      </c>
      <c r="BC426" s="632" t="str">
        <f t="shared" si="97"/>
        <v/>
      </c>
      <c r="BD426" s="633" t="str">
        <f>IF(AND(L426="",H426=""),"",
IF(H426="",Pole_Calc!A454,
IF(H426="MP",Pole_Calc!A455,
IF(H426="AnMP",Pole_Calc!A456,
IF(H426="A",Pole_Calc!A457,
IF(H426="S/A",Pole_Calc!A458,
IF(H426="A/S",Pole_Calc!A459,"Poner a mano")))))))</f>
        <v/>
      </c>
      <c r="BE426" s="448" t="s">
        <v>1726</v>
      </c>
      <c r="BF426" s="634"/>
      <c r="BG426" s="634"/>
      <c r="BH426" s="634"/>
      <c r="BI426" s="634"/>
    </row>
    <row r="427" spans="1:61" ht="16.2" customHeight="1">
      <c r="A427" s="12"/>
      <c r="B427" s="446"/>
      <c r="C427" s="89"/>
      <c r="D427" s="13"/>
      <c r="E427" s="14"/>
      <c r="F427" s="14"/>
      <c r="G427" s="15"/>
      <c r="H427" s="8"/>
      <c r="I427" s="8"/>
      <c r="J427" s="89"/>
      <c r="K427" s="8"/>
      <c r="L427" s="8"/>
      <c r="M427" s="8" t="str">
        <f>IF(L427="","",
IF(AX427="PT",VLOOKUP(L427,Foundation_Calc!$V$4:$X$37,VLOOKUP(AX427,Foundation_Calc!$I$10:$J$13,2,FALSE),0),
IF(AX427="K",VLOOKUP(L427,Foundation_Calc!$V$41:$X$74,VLOOKUP(AX427,Foundation_Calc!$I$10:$J$13,2,FALSE),0),"")))</f>
        <v/>
      </c>
      <c r="N427" s="8"/>
      <c r="O427" s="8"/>
      <c r="P427" s="8"/>
      <c r="Q427" s="14"/>
      <c r="R427" s="15"/>
      <c r="S427" s="15"/>
      <c r="T427" s="14"/>
      <c r="U427" s="14"/>
      <c r="V427" s="14"/>
      <c r="W427" s="18"/>
      <c r="X427" s="18"/>
      <c r="Y427" s="18"/>
      <c r="Z427" s="18"/>
      <c r="AA427" s="18"/>
      <c r="AB427" s="18"/>
      <c r="AC427" s="8" t="str">
        <f t="shared" si="94"/>
        <v/>
      </c>
      <c r="AD427" s="8"/>
      <c r="AE427" s="8"/>
      <c r="AF427" s="14"/>
      <c r="AG427" s="13"/>
      <c r="AH427" s="14"/>
      <c r="AI427" s="14"/>
      <c r="AJ427" s="8"/>
      <c r="AK427" s="8"/>
      <c r="AL427" s="8"/>
      <c r="AM427" s="8"/>
      <c r="AN427" s="631"/>
      <c r="AO427" s="18"/>
      <c r="AP427" s="18"/>
      <c r="AQ427" s="18"/>
      <c r="AR427" s="18"/>
      <c r="AS427" s="18"/>
      <c r="AU427" s="448"/>
      <c r="AV427" s="448"/>
      <c r="AW427" s="8" t="str">
        <f>IF(C427&gt;0,VLOOKUP(C427,Foundation_Calc!$A$2:$C$986,3,1),
IF(J427&gt;0,VLOOKUP(J427,Foundation_Calc!$A$2:$C$986,3,1),""))</f>
        <v/>
      </c>
      <c r="AX427" s="8" t="str">
        <f>IF(C427&gt;0,VLOOKUP(C427,Foundation_Calc!$E$2:$G$986,3,1),
IF(J427&gt;0,VLOOKUP(J427,Foundation_Calc!$E$2:$G$986,3,1),""))</f>
        <v/>
      </c>
      <c r="AY427" s="631" t="str">
        <f>IF(L427="","",
IF(AX427="PT",VLOOKUP(L427,Foundation_Calc!$K$4:$R$37,VLOOKUP(AW427,Foundation_Calc!$I$2:$J$8,2,FALSE),0),
IF(AX427="K",VLOOKUP(L427,Foundation_Calc!$K$41:$R$74,VLOOKUP(AW427,Foundation_Calc!$I$2:$J$8,2,FALSE),0),"")))</f>
        <v/>
      </c>
      <c r="AZ427" s="631" t="str">
        <f>IF(K427="","",
IF(AX427="PT",VLOOKUP(K427,Foundation_Calc!$K$4:$R$37,VLOOKUP(AW427,Foundation_Calc!$I$2:$J$8,2,FALSE),0),
IF(AX427="K",VLOOKUP(K427,Foundation_Calc!$K$41:$R$74,VLOOKUP(AW427,Foundation_Calc!$I$2:$J$8,2,FALSE),0),"")))</f>
        <v/>
      </c>
      <c r="BA427" s="632" t="str">
        <f t="shared" si="95"/>
        <v/>
      </c>
      <c r="BB427" s="632" t="str">
        <f t="shared" si="96"/>
        <v/>
      </c>
      <c r="BC427" s="632" t="str">
        <f t="shared" si="97"/>
        <v/>
      </c>
      <c r="BD427" s="633" t="str">
        <f>IF(AND(L427="",H427=""),"",
IF(H427="",Pole_Calc!A455,
IF(H427="MP",Pole_Calc!A456,
IF(H427="AnMP",Pole_Calc!A457,
IF(H427="A",Pole_Calc!A458,
IF(H427="S/A",Pole_Calc!A459,
IF(H427="A/S",Pole_Calc!A460,"Poner a mano")))))))</f>
        <v/>
      </c>
      <c r="BE427" s="448" t="s">
        <v>1726</v>
      </c>
      <c r="BF427" s="635"/>
      <c r="BG427" s="635"/>
      <c r="BH427" s="634"/>
      <c r="BI427" s="635"/>
    </row>
    <row r="428" spans="1:61" ht="16.2" customHeight="1">
      <c r="A428" s="12"/>
      <c r="B428" s="446"/>
      <c r="C428" s="89"/>
      <c r="D428" s="13"/>
      <c r="E428" s="14"/>
      <c r="F428" s="14"/>
      <c r="G428" s="15"/>
      <c r="H428" s="8"/>
      <c r="I428" s="8"/>
      <c r="J428" s="89"/>
      <c r="K428" s="8"/>
      <c r="L428" s="8"/>
      <c r="M428" s="8" t="str">
        <f>IF(L428="","",
IF(AX428="PT",VLOOKUP(L428,Foundation_Calc!$V$4:$X$37,VLOOKUP(AX428,Foundation_Calc!$I$10:$J$13,2,FALSE),0),
IF(AX428="K",VLOOKUP(L428,Foundation_Calc!$V$41:$X$74,VLOOKUP(AX428,Foundation_Calc!$I$10:$J$13,2,FALSE),0),"")))</f>
        <v/>
      </c>
      <c r="N428" s="8"/>
      <c r="O428" s="8"/>
      <c r="P428" s="8"/>
      <c r="Q428" s="14"/>
      <c r="R428" s="15"/>
      <c r="S428" s="15"/>
      <c r="T428" s="14"/>
      <c r="U428" s="14"/>
      <c r="V428" s="14"/>
      <c r="W428" s="18"/>
      <c r="X428" s="18"/>
      <c r="Y428" s="18"/>
      <c r="Z428" s="18"/>
      <c r="AA428" s="18"/>
      <c r="AB428" s="18"/>
      <c r="AC428" s="8" t="str">
        <f t="shared" si="94"/>
        <v/>
      </c>
      <c r="AD428" s="8"/>
      <c r="AE428" s="8"/>
      <c r="AF428" s="14"/>
      <c r="AG428" s="13"/>
      <c r="AH428" s="14"/>
      <c r="AI428" s="14"/>
      <c r="AJ428" s="8"/>
      <c r="AK428" s="8"/>
      <c r="AL428" s="8"/>
      <c r="AM428" s="8"/>
      <c r="AN428" s="631"/>
      <c r="AO428" s="18"/>
      <c r="AP428" s="18"/>
      <c r="AQ428" s="18"/>
      <c r="AR428" s="18"/>
      <c r="AS428" s="18"/>
      <c r="AU428" s="448"/>
      <c r="AV428" s="448"/>
      <c r="AW428" s="8" t="str">
        <f>IF(C428&gt;0,VLOOKUP(C428,Foundation_Calc!$A$2:$C$986,3,1),
IF(J428&gt;0,VLOOKUP(J428,Foundation_Calc!$A$2:$C$986,3,1),""))</f>
        <v/>
      </c>
      <c r="AX428" s="8" t="str">
        <f>IF(C428&gt;0,VLOOKUP(C428,Foundation_Calc!$E$2:$G$986,3,1),
IF(J428&gt;0,VLOOKUP(J428,Foundation_Calc!$E$2:$G$986,3,1),""))</f>
        <v/>
      </c>
      <c r="AY428" s="631" t="str">
        <f>IF(L428="","",
IF(AX428="PT",VLOOKUP(L428,Foundation_Calc!$K$4:$R$37,VLOOKUP(AW428,Foundation_Calc!$I$2:$J$8,2,FALSE),0),
IF(AX428="K",VLOOKUP(L428,Foundation_Calc!$K$41:$R$74,VLOOKUP(AW428,Foundation_Calc!$I$2:$J$8,2,FALSE),0),"")))</f>
        <v/>
      </c>
      <c r="AZ428" s="631" t="str">
        <f>IF(K428="","",
IF(AX428="PT",VLOOKUP(K428,Foundation_Calc!$K$4:$R$37,VLOOKUP(AW428,Foundation_Calc!$I$2:$J$8,2,FALSE),0),
IF(AX428="K",VLOOKUP(K428,Foundation_Calc!$K$41:$R$74,VLOOKUP(AW428,Foundation_Calc!$I$2:$J$8,2,FALSE),0),"")))</f>
        <v/>
      </c>
      <c r="BA428" s="632" t="str">
        <f t="shared" si="95"/>
        <v/>
      </c>
      <c r="BB428" s="632" t="str">
        <f t="shared" si="96"/>
        <v/>
      </c>
      <c r="BC428" s="632" t="str">
        <f t="shared" si="97"/>
        <v/>
      </c>
      <c r="BD428" s="633" t="str">
        <f>IF(AND(L428="",H428=""),"",
IF(H428="",Pole_Calc!A456,
IF(H428="MP",Pole_Calc!A457,
IF(H428="AnMP",Pole_Calc!A458,
IF(H428="A",Pole_Calc!A459,
IF(H428="S/A",Pole_Calc!A460,
IF(H428="A/S",Pole_Calc!A461,"Poner a mano")))))))</f>
        <v/>
      </c>
      <c r="BE428" s="448" t="s">
        <v>1726</v>
      </c>
      <c r="BF428" s="634"/>
      <c r="BG428" s="634"/>
      <c r="BH428" s="634"/>
      <c r="BI428" s="634"/>
    </row>
    <row r="429" spans="1:61" ht="16.2" customHeight="1">
      <c r="A429" s="12"/>
      <c r="B429" s="446"/>
      <c r="C429" s="89"/>
      <c r="D429" s="13"/>
      <c r="E429" s="14"/>
      <c r="F429" s="14"/>
      <c r="G429" s="15"/>
      <c r="H429" s="8"/>
      <c r="I429" s="8"/>
      <c r="J429" s="89"/>
      <c r="K429" s="8"/>
      <c r="L429" s="8"/>
      <c r="M429" s="8" t="str">
        <f>IF(L429="","",
IF(AX429="PT",VLOOKUP(L429,Foundation_Calc!$V$4:$X$37,VLOOKUP(AX429,Foundation_Calc!$I$10:$J$13,2,FALSE),0),
IF(AX429="K",VLOOKUP(L429,Foundation_Calc!$V$41:$X$74,VLOOKUP(AX429,Foundation_Calc!$I$10:$J$13,2,FALSE),0),"")))</f>
        <v/>
      </c>
      <c r="N429" s="8"/>
      <c r="O429" s="8"/>
      <c r="P429" s="8"/>
      <c r="Q429" s="14"/>
      <c r="R429" s="15"/>
      <c r="S429" s="15"/>
      <c r="T429" s="14"/>
      <c r="U429" s="14"/>
      <c r="V429" s="14"/>
      <c r="W429" s="18"/>
      <c r="X429" s="18"/>
      <c r="Y429" s="18"/>
      <c r="Z429" s="18"/>
      <c r="AA429" s="18"/>
      <c r="AB429" s="18"/>
      <c r="AC429" s="8" t="str">
        <f t="shared" si="94"/>
        <v/>
      </c>
      <c r="AD429" s="8"/>
      <c r="AE429" s="8"/>
      <c r="AF429" s="14"/>
      <c r="AG429" s="13"/>
      <c r="AH429" s="14"/>
      <c r="AI429" s="14"/>
      <c r="AJ429" s="8"/>
      <c r="AK429" s="8"/>
      <c r="AL429" s="8"/>
      <c r="AM429" s="8"/>
      <c r="AN429" s="631"/>
      <c r="AO429" s="18"/>
      <c r="AP429" s="18"/>
      <c r="AQ429" s="18"/>
      <c r="AR429" s="18"/>
      <c r="AS429" s="18"/>
      <c r="AU429" s="448"/>
      <c r="AV429" s="448"/>
      <c r="AW429" s="8" t="str">
        <f>IF(C429&gt;0,VLOOKUP(C429,Foundation_Calc!$A$2:$C$986,3,1),
IF(J429&gt;0,VLOOKUP(J429,Foundation_Calc!$A$2:$C$986,3,1),""))</f>
        <v/>
      </c>
      <c r="AX429" s="8" t="str">
        <f>IF(C429&gt;0,VLOOKUP(C429,Foundation_Calc!$E$2:$G$986,3,1),
IF(J429&gt;0,VLOOKUP(J429,Foundation_Calc!$E$2:$G$986,3,1),""))</f>
        <v/>
      </c>
      <c r="AY429" s="631" t="str">
        <f>IF(L429="","",
IF(AX429="PT",VLOOKUP(L429,Foundation_Calc!$K$4:$R$37,VLOOKUP(AW429,Foundation_Calc!$I$2:$J$8,2,FALSE),0),
IF(AX429="K",VLOOKUP(L429,Foundation_Calc!$K$41:$R$74,VLOOKUP(AW429,Foundation_Calc!$I$2:$J$8,2,FALSE),0),"")))</f>
        <v/>
      </c>
      <c r="AZ429" s="631" t="str">
        <f>IF(K429="","",
IF(AX429="PT",VLOOKUP(K429,Foundation_Calc!$K$4:$R$37,VLOOKUP(AW429,Foundation_Calc!$I$2:$J$8,2,FALSE),0),
IF(AX429="K",VLOOKUP(K429,Foundation_Calc!$K$41:$R$74,VLOOKUP(AW429,Foundation_Calc!$I$2:$J$8,2,FALSE),0),"")))</f>
        <v/>
      </c>
      <c r="BA429" s="632" t="str">
        <f t="shared" si="95"/>
        <v/>
      </c>
      <c r="BB429" s="632" t="str">
        <f t="shared" si="96"/>
        <v/>
      </c>
      <c r="BC429" s="632" t="str">
        <f t="shared" si="97"/>
        <v/>
      </c>
      <c r="BD429" s="633" t="str">
        <f>IF(AND(L429="",H429=""),"",
IF(H429="",Pole_Calc!A457,
IF(H429="MP",Pole_Calc!A458,
IF(H429="AnMP",Pole_Calc!A459,
IF(H429="A",Pole_Calc!A460,
IF(H429="S/A",Pole_Calc!A461,
IF(H429="A/S",Pole_Calc!A462,"Poner a mano")))))))</f>
        <v/>
      </c>
      <c r="BE429" s="448" t="s">
        <v>1726</v>
      </c>
      <c r="BF429" s="635"/>
      <c r="BG429" s="635"/>
      <c r="BH429" s="634"/>
      <c r="BI429" s="635"/>
    </row>
    <row r="430" spans="1:61" ht="16.2" customHeight="1">
      <c r="A430" s="12"/>
      <c r="B430" s="446"/>
      <c r="C430" s="89"/>
      <c r="D430" s="13"/>
      <c r="E430" s="14"/>
      <c r="F430" s="14"/>
      <c r="G430" s="15"/>
      <c r="H430" s="8"/>
      <c r="I430" s="8"/>
      <c r="J430" s="89"/>
      <c r="K430" s="8"/>
      <c r="L430" s="8"/>
      <c r="M430" s="8" t="str">
        <f>IF(L430="","",
IF(AX430="PT",VLOOKUP(L430,Foundation_Calc!$V$4:$X$37,VLOOKUP(AX430,Foundation_Calc!$I$10:$J$13,2,FALSE),0),
IF(AX430="K",VLOOKUP(L430,Foundation_Calc!$V$41:$X$74,VLOOKUP(AX430,Foundation_Calc!$I$10:$J$13,2,FALSE),0),"")))</f>
        <v/>
      </c>
      <c r="N430" s="8"/>
      <c r="O430" s="8"/>
      <c r="P430" s="8"/>
      <c r="Q430" s="14"/>
      <c r="R430" s="15"/>
      <c r="S430" s="15"/>
      <c r="T430" s="14"/>
      <c r="U430" s="14"/>
      <c r="V430" s="14"/>
      <c r="W430" s="18"/>
      <c r="X430" s="18"/>
      <c r="Y430" s="18"/>
      <c r="Z430" s="18"/>
      <c r="AA430" s="18"/>
      <c r="AB430" s="18"/>
      <c r="AC430" s="8" t="str">
        <f t="shared" si="94"/>
        <v/>
      </c>
      <c r="AD430" s="8"/>
      <c r="AE430" s="8"/>
      <c r="AF430" s="14"/>
      <c r="AG430" s="13"/>
      <c r="AH430" s="14"/>
      <c r="AI430" s="14"/>
      <c r="AJ430" s="8"/>
      <c r="AK430" s="8"/>
      <c r="AL430" s="8"/>
      <c r="AM430" s="8"/>
      <c r="AN430" s="631"/>
      <c r="AO430" s="18"/>
      <c r="AP430" s="18"/>
      <c r="AQ430" s="18"/>
      <c r="AR430" s="18"/>
      <c r="AS430" s="18"/>
      <c r="AU430" s="448"/>
      <c r="AV430" s="448"/>
      <c r="AW430" s="8" t="str">
        <f>IF(C430&gt;0,VLOOKUP(C430,Foundation_Calc!$A$2:$C$986,3,1),
IF(J430&gt;0,VLOOKUP(J430,Foundation_Calc!$A$2:$C$986,3,1),""))</f>
        <v/>
      </c>
      <c r="AX430" s="8" t="str">
        <f>IF(C430&gt;0,VLOOKUP(C430,Foundation_Calc!$E$2:$G$986,3,1),
IF(J430&gt;0,VLOOKUP(J430,Foundation_Calc!$E$2:$G$986,3,1),""))</f>
        <v/>
      </c>
      <c r="AY430" s="631" t="str">
        <f>IF(L430="","",
IF(AX430="PT",VLOOKUP(L430,Foundation_Calc!$K$4:$R$37,VLOOKUP(AW430,Foundation_Calc!$I$2:$J$8,2,FALSE),0),
IF(AX430="K",VLOOKUP(L430,Foundation_Calc!$K$41:$R$74,VLOOKUP(AW430,Foundation_Calc!$I$2:$J$8,2,FALSE),0),"")))</f>
        <v/>
      </c>
      <c r="AZ430" s="631" t="str">
        <f>IF(K430="","",
IF(AX430="PT",VLOOKUP(K430,Foundation_Calc!$K$4:$R$37,VLOOKUP(AW430,Foundation_Calc!$I$2:$J$8,2,FALSE),0),
IF(AX430="K",VLOOKUP(K430,Foundation_Calc!$K$41:$R$74,VLOOKUP(AW430,Foundation_Calc!$I$2:$J$8,2,FALSE),0),"")))</f>
        <v/>
      </c>
      <c r="BA430" s="632" t="str">
        <f t="shared" si="95"/>
        <v/>
      </c>
      <c r="BB430" s="632" t="str">
        <f t="shared" si="96"/>
        <v/>
      </c>
      <c r="BC430" s="632" t="str">
        <f t="shared" si="97"/>
        <v/>
      </c>
      <c r="BD430" s="633" t="str">
        <f>IF(AND(L430="",H430=""),"",
IF(H430="",Pole_Calc!A458,
IF(H430="MP",Pole_Calc!A459,
IF(H430="AnMP",Pole_Calc!A460,
IF(H430="A",Pole_Calc!A461,
IF(H430="S/A",Pole_Calc!A462,
IF(H430="A/S",Pole_Calc!A463,"Poner a mano")))))))</f>
        <v/>
      </c>
      <c r="BE430" s="448" t="s">
        <v>1726</v>
      </c>
      <c r="BF430" s="634"/>
      <c r="BG430" s="634"/>
      <c r="BH430" s="634"/>
      <c r="BI430" s="634"/>
    </row>
    <row r="431" spans="1:61" ht="16.2" customHeight="1">
      <c r="A431" s="12"/>
      <c r="B431" s="446"/>
      <c r="C431" s="89"/>
      <c r="D431" s="13"/>
      <c r="E431" s="14"/>
      <c r="F431" s="14"/>
      <c r="G431" s="15"/>
      <c r="H431" s="8"/>
      <c r="I431" s="8"/>
      <c r="J431" s="89"/>
      <c r="K431" s="8"/>
      <c r="L431" s="8"/>
      <c r="M431" s="8" t="str">
        <f>IF(L431="","",
IF(AX431="PT",VLOOKUP(L431,Foundation_Calc!$V$4:$X$37,VLOOKUP(AX431,Foundation_Calc!$I$10:$J$13,2,FALSE),0),
IF(AX431="K",VLOOKUP(L431,Foundation_Calc!$V$41:$X$74,VLOOKUP(AX431,Foundation_Calc!$I$10:$J$13,2,FALSE),0),"")))</f>
        <v/>
      </c>
      <c r="N431" s="8"/>
      <c r="O431" s="8"/>
      <c r="P431" s="8"/>
      <c r="Q431" s="14"/>
      <c r="R431" s="15"/>
      <c r="S431" s="15"/>
      <c r="T431" s="14"/>
      <c r="U431" s="14"/>
      <c r="V431" s="14"/>
      <c r="W431" s="18"/>
      <c r="X431" s="18"/>
      <c r="Y431" s="18"/>
      <c r="Z431" s="18"/>
      <c r="AA431" s="18"/>
      <c r="AB431" s="18"/>
      <c r="AC431" s="8" t="str">
        <f t="shared" si="94"/>
        <v/>
      </c>
      <c r="AD431" s="8"/>
      <c r="AE431" s="8"/>
      <c r="AF431" s="14"/>
      <c r="AG431" s="13"/>
      <c r="AH431" s="14"/>
      <c r="AI431" s="14"/>
      <c r="AJ431" s="8"/>
      <c r="AK431" s="8"/>
      <c r="AL431" s="8"/>
      <c r="AM431" s="8"/>
      <c r="AN431" s="631"/>
      <c r="AO431" s="18"/>
      <c r="AP431" s="18"/>
      <c r="AQ431" s="18"/>
      <c r="AR431" s="18"/>
      <c r="AS431" s="18"/>
      <c r="AU431" s="448"/>
      <c r="AV431" s="448"/>
      <c r="AW431" s="8" t="str">
        <f>IF(C431&gt;0,VLOOKUP(C431,Foundation_Calc!$A$2:$C$986,3,1),
IF(J431&gt;0,VLOOKUP(J431,Foundation_Calc!$A$2:$C$986,3,1),""))</f>
        <v/>
      </c>
      <c r="AX431" s="8" t="str">
        <f>IF(C431&gt;0,VLOOKUP(C431,Foundation_Calc!$E$2:$G$986,3,1),
IF(J431&gt;0,VLOOKUP(J431,Foundation_Calc!$E$2:$G$986,3,1),""))</f>
        <v/>
      </c>
      <c r="AY431" s="631" t="str">
        <f>IF(L431="","",
IF(AX431="PT",VLOOKUP(L431,Foundation_Calc!$K$4:$R$37,VLOOKUP(AW431,Foundation_Calc!$I$2:$J$8,2,FALSE),0),
IF(AX431="K",VLOOKUP(L431,Foundation_Calc!$K$41:$R$74,VLOOKUP(AW431,Foundation_Calc!$I$2:$J$8,2,FALSE),0),"")))</f>
        <v/>
      </c>
      <c r="AZ431" s="631" t="str">
        <f>IF(K431="","",
IF(AX431="PT",VLOOKUP(K431,Foundation_Calc!$K$4:$R$37,VLOOKUP(AW431,Foundation_Calc!$I$2:$J$8,2,FALSE),0),
IF(AX431="K",VLOOKUP(K431,Foundation_Calc!$K$41:$R$74,VLOOKUP(AW431,Foundation_Calc!$I$2:$J$8,2,FALSE),0),"")))</f>
        <v/>
      </c>
      <c r="BA431" s="632" t="str">
        <f t="shared" si="95"/>
        <v/>
      </c>
      <c r="BB431" s="632" t="str">
        <f t="shared" si="96"/>
        <v/>
      </c>
      <c r="BC431" s="632" t="str">
        <f t="shared" si="97"/>
        <v/>
      </c>
      <c r="BD431" s="633" t="str">
        <f>IF(AND(L431="",H431=""),"",
IF(H431="",Pole_Calc!A459,
IF(H431="MP",Pole_Calc!A460,
IF(H431="AnMP",Pole_Calc!A461,
IF(H431="A",Pole_Calc!A462,
IF(H431="S/A",Pole_Calc!A463,
IF(H431="A/S",Pole_Calc!A464,"Poner a mano")))))))</f>
        <v/>
      </c>
      <c r="BE431" s="448" t="s">
        <v>1726</v>
      </c>
      <c r="BF431" s="635"/>
      <c r="BG431" s="635"/>
      <c r="BH431" s="634"/>
      <c r="BI431" s="635"/>
    </row>
    <row r="432" spans="1:61" ht="16.2" customHeight="1">
      <c r="A432" s="12"/>
      <c r="B432" s="446"/>
      <c r="C432" s="89"/>
      <c r="D432" s="13"/>
      <c r="E432" s="14"/>
      <c r="F432" s="14"/>
      <c r="G432" s="15"/>
      <c r="H432" s="8"/>
      <c r="I432" s="8"/>
      <c r="J432" s="89"/>
      <c r="K432" s="8"/>
      <c r="L432" s="8"/>
      <c r="M432" s="8" t="str">
        <f>IF(L432="","",
IF(AX432="PT",VLOOKUP(L432,Foundation_Calc!$V$4:$X$37,VLOOKUP(AX432,Foundation_Calc!$I$10:$J$13,2,FALSE),0),
IF(AX432="K",VLOOKUP(L432,Foundation_Calc!$V$41:$X$74,VLOOKUP(AX432,Foundation_Calc!$I$10:$J$13,2,FALSE),0),"")))</f>
        <v/>
      </c>
      <c r="N432" s="8"/>
      <c r="O432" s="8"/>
      <c r="P432" s="8"/>
      <c r="Q432" s="14"/>
      <c r="R432" s="15"/>
      <c r="S432" s="15"/>
      <c r="T432" s="14"/>
      <c r="U432" s="14"/>
      <c r="V432" s="14"/>
      <c r="W432" s="18"/>
      <c r="X432" s="18"/>
      <c r="Y432" s="18"/>
      <c r="Z432" s="18"/>
      <c r="AA432" s="18"/>
      <c r="AB432" s="18"/>
      <c r="AC432" s="8" t="str">
        <f t="shared" si="94"/>
        <v/>
      </c>
      <c r="AD432" s="8"/>
      <c r="AE432" s="8"/>
      <c r="AF432" s="14"/>
      <c r="AG432" s="13"/>
      <c r="AH432" s="14"/>
      <c r="AI432" s="14"/>
      <c r="AJ432" s="8"/>
      <c r="AK432" s="8"/>
      <c r="AL432" s="8"/>
      <c r="AM432" s="8"/>
      <c r="AN432" s="631"/>
      <c r="AO432" s="18"/>
      <c r="AP432" s="18"/>
      <c r="AQ432" s="18"/>
      <c r="AR432" s="18"/>
      <c r="AS432" s="18"/>
      <c r="AU432" s="448"/>
      <c r="AV432" s="448"/>
      <c r="AW432" s="8" t="str">
        <f>IF(C432&gt;0,VLOOKUP(C432,Foundation_Calc!$A$2:$C$986,3,1),
IF(J432&gt;0,VLOOKUP(J432,Foundation_Calc!$A$2:$C$986,3,1),""))</f>
        <v/>
      </c>
      <c r="AX432" s="8" t="str">
        <f>IF(C432&gt;0,VLOOKUP(C432,Foundation_Calc!$E$2:$G$986,3,1),
IF(J432&gt;0,VLOOKUP(J432,Foundation_Calc!$E$2:$G$986,3,1),""))</f>
        <v/>
      </c>
      <c r="AY432" s="631" t="str">
        <f>IF(L432="","",
IF(AX432="PT",VLOOKUP(L432,Foundation_Calc!$K$4:$R$37,VLOOKUP(AW432,Foundation_Calc!$I$2:$J$8,2,FALSE),0),
IF(AX432="K",VLOOKUP(L432,Foundation_Calc!$K$41:$R$74,VLOOKUP(AW432,Foundation_Calc!$I$2:$J$8,2,FALSE),0),"")))</f>
        <v/>
      </c>
      <c r="AZ432" s="631" t="str">
        <f>IF(K432="","",
IF(AX432="PT",VLOOKUP(K432,Foundation_Calc!$K$4:$R$37,VLOOKUP(AW432,Foundation_Calc!$I$2:$J$8,2,FALSE),0),
IF(AX432="K",VLOOKUP(K432,Foundation_Calc!$K$41:$R$74,VLOOKUP(AW432,Foundation_Calc!$I$2:$J$8,2,FALSE),0),"")))</f>
        <v/>
      </c>
      <c r="BA432" s="632" t="str">
        <f t="shared" si="95"/>
        <v/>
      </c>
      <c r="BB432" s="632" t="str">
        <f t="shared" si="96"/>
        <v/>
      </c>
      <c r="BC432" s="632" t="str">
        <f t="shared" si="97"/>
        <v/>
      </c>
      <c r="BD432" s="633" t="str">
        <f>IF(AND(L432="",H432=""),"",
IF(H432="",Pole_Calc!A460,
IF(H432="MP",Pole_Calc!A461,
IF(H432="AnMP",Pole_Calc!A462,
IF(H432="A",Pole_Calc!A463,
IF(H432="S/A",Pole_Calc!A464,
IF(H432="A/S",Pole_Calc!A465,"Poner a mano")))))))</f>
        <v/>
      </c>
      <c r="BE432" s="448" t="s">
        <v>1726</v>
      </c>
      <c r="BF432" s="634"/>
      <c r="BG432" s="634"/>
      <c r="BH432" s="634"/>
      <c r="BI432" s="634"/>
    </row>
    <row r="433" spans="1:61" ht="16.2" customHeight="1">
      <c r="A433" s="12"/>
      <c r="B433" s="446"/>
      <c r="C433" s="89"/>
      <c r="D433" s="13"/>
      <c r="E433" s="14"/>
      <c r="F433" s="14"/>
      <c r="G433" s="15"/>
      <c r="H433" s="8"/>
      <c r="I433" s="8"/>
      <c r="J433" s="89"/>
      <c r="K433" s="8"/>
      <c r="L433" s="8"/>
      <c r="M433" s="8" t="str">
        <f>IF(L433="","",
IF(AX433="PT",VLOOKUP(L433,Foundation_Calc!$V$4:$X$37,VLOOKUP(AX433,Foundation_Calc!$I$10:$J$13,2,FALSE),0),
IF(AX433="K",VLOOKUP(L433,Foundation_Calc!$V$41:$X$74,VLOOKUP(AX433,Foundation_Calc!$I$10:$J$13,2,FALSE),0),"")))</f>
        <v/>
      </c>
      <c r="N433" s="8"/>
      <c r="O433" s="8"/>
      <c r="P433" s="8"/>
      <c r="Q433" s="14"/>
      <c r="R433" s="15"/>
      <c r="S433" s="15"/>
      <c r="T433" s="14"/>
      <c r="U433" s="14"/>
      <c r="V433" s="14"/>
      <c r="W433" s="18"/>
      <c r="X433" s="18"/>
      <c r="Y433" s="18"/>
      <c r="Z433" s="18"/>
      <c r="AA433" s="18"/>
      <c r="AB433" s="18"/>
      <c r="AC433" s="8" t="str">
        <f t="shared" si="94"/>
        <v/>
      </c>
      <c r="AD433" s="8"/>
      <c r="AE433" s="8"/>
      <c r="AF433" s="14"/>
      <c r="AG433" s="13"/>
      <c r="AH433" s="14"/>
      <c r="AI433" s="14"/>
      <c r="AJ433" s="8"/>
      <c r="AK433" s="8"/>
      <c r="AL433" s="8"/>
      <c r="AM433" s="8"/>
      <c r="AN433" s="631"/>
      <c r="AO433" s="18"/>
      <c r="AP433" s="18"/>
      <c r="AQ433" s="18"/>
      <c r="AR433" s="18"/>
      <c r="AS433" s="18"/>
      <c r="AU433" s="448"/>
      <c r="AV433" s="448"/>
      <c r="AW433" s="8" t="str">
        <f>IF(C433&gt;0,VLOOKUP(C433,Foundation_Calc!$A$2:$C$986,3,1),
IF(J433&gt;0,VLOOKUP(J433,Foundation_Calc!$A$2:$C$986,3,1),""))</f>
        <v/>
      </c>
      <c r="AX433" s="8" t="str">
        <f>IF(C433&gt;0,VLOOKUP(C433,Foundation_Calc!$E$2:$G$986,3,1),
IF(J433&gt;0,VLOOKUP(J433,Foundation_Calc!$E$2:$G$986,3,1),""))</f>
        <v/>
      </c>
      <c r="AY433" s="631" t="str">
        <f>IF(L433="","",
IF(AX433="PT",VLOOKUP(L433,Foundation_Calc!$K$4:$R$37,VLOOKUP(AW433,Foundation_Calc!$I$2:$J$8,2,FALSE),0),
IF(AX433="K",VLOOKUP(L433,Foundation_Calc!$K$41:$R$74,VLOOKUP(AW433,Foundation_Calc!$I$2:$J$8,2,FALSE),0),"")))</f>
        <v/>
      </c>
      <c r="AZ433" s="631" t="str">
        <f>IF(K433="","",
IF(AX433="PT",VLOOKUP(K433,Foundation_Calc!$K$4:$R$37,VLOOKUP(AW433,Foundation_Calc!$I$2:$J$8,2,FALSE),0),
IF(AX433="K",VLOOKUP(K433,Foundation_Calc!$K$41:$R$74,VLOOKUP(AW433,Foundation_Calc!$I$2:$J$8,2,FALSE),0),"")))</f>
        <v/>
      </c>
      <c r="BA433" s="632" t="str">
        <f t="shared" si="95"/>
        <v/>
      </c>
      <c r="BB433" s="632" t="str">
        <f t="shared" si="96"/>
        <v/>
      </c>
      <c r="BC433" s="632" t="str">
        <f t="shared" si="97"/>
        <v/>
      </c>
      <c r="BD433" s="633" t="str">
        <f>IF(AND(L433="",H433=""),"",
IF(H433="",Pole_Calc!A461,
IF(H433="MP",Pole_Calc!A462,
IF(H433="AnMP",Pole_Calc!A463,
IF(H433="A",Pole_Calc!A464,
IF(H433="S/A",Pole_Calc!A465,
IF(H433="A/S",Pole_Calc!A466,"Poner a mano")))))))</f>
        <v/>
      </c>
      <c r="BE433" s="448" t="s">
        <v>1726</v>
      </c>
      <c r="BF433" s="635"/>
      <c r="BG433" s="635"/>
      <c r="BH433" s="634"/>
      <c r="BI433" s="635"/>
    </row>
    <row r="434" spans="1:61" ht="16.2" customHeight="1">
      <c r="A434" s="12"/>
      <c r="B434" s="446"/>
      <c r="C434" s="89"/>
      <c r="D434" s="13"/>
      <c r="E434" s="14"/>
      <c r="F434" s="14"/>
      <c r="G434" s="15"/>
      <c r="H434" s="8"/>
      <c r="I434" s="8"/>
      <c r="J434" s="89"/>
      <c r="K434" s="8"/>
      <c r="L434" s="8"/>
      <c r="M434" s="8" t="str">
        <f>IF(L434="","",
IF(AX434="PT",VLOOKUP(L434,Foundation_Calc!$V$4:$X$37,VLOOKUP(AX434,Foundation_Calc!$I$10:$J$13,2,FALSE),0),
IF(AX434="K",VLOOKUP(L434,Foundation_Calc!$V$41:$X$74,VLOOKUP(AX434,Foundation_Calc!$I$10:$J$13,2,FALSE),0),"")))</f>
        <v/>
      </c>
      <c r="N434" s="8"/>
      <c r="O434" s="8"/>
      <c r="P434" s="8"/>
      <c r="Q434" s="14"/>
      <c r="R434" s="15"/>
      <c r="S434" s="15"/>
      <c r="T434" s="14"/>
      <c r="U434" s="14"/>
      <c r="V434" s="14"/>
      <c r="W434" s="18"/>
      <c r="X434" s="18"/>
      <c r="Y434" s="18"/>
      <c r="Z434" s="18"/>
      <c r="AA434" s="18"/>
      <c r="AB434" s="18"/>
      <c r="AC434" s="8" t="str">
        <f t="shared" si="94"/>
        <v/>
      </c>
      <c r="AD434" s="8"/>
      <c r="AE434" s="8"/>
      <c r="AF434" s="14"/>
      <c r="AG434" s="13"/>
      <c r="AH434" s="14"/>
      <c r="AI434" s="14"/>
      <c r="AJ434" s="8"/>
      <c r="AK434" s="8"/>
      <c r="AL434" s="8"/>
      <c r="AM434" s="8"/>
      <c r="AN434" s="631"/>
      <c r="AO434" s="18"/>
      <c r="AP434" s="18"/>
      <c r="AQ434" s="18"/>
      <c r="AR434" s="18"/>
      <c r="AS434" s="18"/>
      <c r="AU434" s="448"/>
      <c r="AV434" s="448"/>
      <c r="AW434" s="8" t="str">
        <f>IF(C434&gt;0,VLOOKUP(C434,Foundation_Calc!$A$2:$C$986,3,1),
IF(J434&gt;0,VLOOKUP(J434,Foundation_Calc!$A$2:$C$986,3,1),""))</f>
        <v/>
      </c>
      <c r="AX434" s="8" t="str">
        <f>IF(C434&gt;0,VLOOKUP(C434,Foundation_Calc!$E$2:$G$986,3,1),
IF(J434&gt;0,VLOOKUP(J434,Foundation_Calc!$E$2:$G$986,3,1),""))</f>
        <v/>
      </c>
      <c r="AY434" s="631" t="str">
        <f>IF(L434="","",
IF(AX434="PT",VLOOKUP(L434,Foundation_Calc!$K$4:$R$37,VLOOKUP(AW434,Foundation_Calc!$I$2:$J$8,2,FALSE),0),
IF(AX434="K",VLOOKUP(L434,Foundation_Calc!$K$41:$R$74,VLOOKUP(AW434,Foundation_Calc!$I$2:$J$8,2,FALSE),0),"")))</f>
        <v/>
      </c>
      <c r="AZ434" s="631" t="str">
        <f>IF(K434="","",
IF(AX434="PT",VLOOKUP(K434,Foundation_Calc!$K$4:$R$37,VLOOKUP(AW434,Foundation_Calc!$I$2:$J$8,2,FALSE),0),
IF(AX434="K",VLOOKUP(K434,Foundation_Calc!$K$41:$R$74,VLOOKUP(AW434,Foundation_Calc!$I$2:$J$8,2,FALSE),0),"")))</f>
        <v/>
      </c>
      <c r="BA434" s="632" t="str">
        <f t="shared" si="95"/>
        <v/>
      </c>
      <c r="BB434" s="632" t="str">
        <f t="shared" si="96"/>
        <v/>
      </c>
      <c r="BC434" s="632" t="str">
        <f t="shared" si="97"/>
        <v/>
      </c>
      <c r="BD434" s="633" t="str">
        <f>IF(AND(L434="",H434=""),"",
IF(H434="",Pole_Calc!A462,
IF(H434="MP",Pole_Calc!A463,
IF(H434="AnMP",Pole_Calc!A464,
IF(H434="A",Pole_Calc!A465,
IF(H434="S/A",Pole_Calc!A466,
IF(H434="A/S",Pole_Calc!A467,"Poner a mano")))))))</f>
        <v/>
      </c>
      <c r="BE434" s="448" t="s">
        <v>1726</v>
      </c>
      <c r="BF434" s="634"/>
      <c r="BG434" s="634"/>
      <c r="BH434" s="634"/>
      <c r="BI434" s="634"/>
    </row>
    <row r="435" spans="1:61" ht="16.2" customHeight="1">
      <c r="A435" s="12"/>
      <c r="B435" s="446"/>
      <c r="C435" s="89"/>
      <c r="D435" s="13"/>
      <c r="E435" s="14"/>
      <c r="F435" s="14"/>
      <c r="G435" s="15"/>
      <c r="H435" s="8"/>
      <c r="I435" s="8"/>
      <c r="J435" s="89"/>
      <c r="K435" s="8"/>
      <c r="L435" s="8"/>
      <c r="M435" s="8" t="str">
        <f>IF(L435="","",
IF(AX435="PT",VLOOKUP(L435,Foundation_Calc!$V$4:$X$37,VLOOKUP(AX435,Foundation_Calc!$I$10:$J$13,2,FALSE),0),
IF(AX435="K",VLOOKUP(L435,Foundation_Calc!$V$41:$X$74,VLOOKUP(AX435,Foundation_Calc!$I$10:$J$13,2,FALSE),0),"")))</f>
        <v/>
      </c>
      <c r="N435" s="8"/>
      <c r="O435" s="8"/>
      <c r="P435" s="8"/>
      <c r="Q435" s="14"/>
      <c r="R435" s="15"/>
      <c r="S435" s="15"/>
      <c r="T435" s="14"/>
      <c r="U435" s="14"/>
      <c r="V435" s="14"/>
      <c r="W435" s="18"/>
      <c r="X435" s="18"/>
      <c r="Y435" s="18"/>
      <c r="Z435" s="18"/>
      <c r="AA435" s="18"/>
      <c r="AB435" s="18"/>
      <c r="AC435" s="8" t="str">
        <f t="shared" si="94"/>
        <v/>
      </c>
      <c r="AD435" s="8"/>
      <c r="AE435" s="8"/>
      <c r="AF435" s="14"/>
      <c r="AG435" s="13"/>
      <c r="AH435" s="14"/>
      <c r="AI435" s="14"/>
      <c r="AJ435" s="8"/>
      <c r="AK435" s="8"/>
      <c r="AL435" s="8"/>
      <c r="AM435" s="8"/>
      <c r="AN435" s="631"/>
      <c r="AO435" s="18"/>
      <c r="AP435" s="18"/>
      <c r="AQ435" s="18"/>
      <c r="AR435" s="18"/>
      <c r="AS435" s="18"/>
      <c r="AU435" s="448"/>
      <c r="AV435" s="448"/>
      <c r="AW435" s="8" t="str">
        <f>IF(C435&gt;0,VLOOKUP(C435,Foundation_Calc!$A$2:$C$986,3,1),
IF(J435&gt;0,VLOOKUP(J435,Foundation_Calc!$A$2:$C$986,3,1),""))</f>
        <v/>
      </c>
      <c r="AX435" s="8" t="str">
        <f>IF(C435&gt;0,VLOOKUP(C435,Foundation_Calc!$E$2:$G$986,3,1),
IF(J435&gt;0,VLOOKUP(J435,Foundation_Calc!$E$2:$G$986,3,1),""))</f>
        <v/>
      </c>
      <c r="AY435" s="631" t="str">
        <f>IF(L435="","",
IF(AX435="PT",VLOOKUP(L435,Foundation_Calc!$K$4:$R$37,VLOOKUP(AW435,Foundation_Calc!$I$2:$J$8,2,FALSE),0),
IF(AX435="K",VLOOKUP(L435,Foundation_Calc!$K$41:$R$74,VLOOKUP(AW435,Foundation_Calc!$I$2:$J$8,2,FALSE),0),"")))</f>
        <v/>
      </c>
      <c r="AZ435" s="631" t="str">
        <f>IF(K435="","",
IF(AX435="PT",VLOOKUP(K435,Foundation_Calc!$K$4:$R$37,VLOOKUP(AW435,Foundation_Calc!$I$2:$J$8,2,FALSE),0),
IF(AX435="K",VLOOKUP(K435,Foundation_Calc!$K$41:$R$74,VLOOKUP(AW435,Foundation_Calc!$I$2:$J$8,2,FALSE),0),"")))</f>
        <v/>
      </c>
      <c r="BA435" s="632" t="str">
        <f t="shared" si="95"/>
        <v/>
      </c>
      <c r="BB435" s="632" t="str">
        <f t="shared" si="96"/>
        <v/>
      </c>
      <c r="BC435" s="632" t="str">
        <f t="shared" si="97"/>
        <v/>
      </c>
      <c r="BD435" s="633" t="str">
        <f>IF(AND(L435="",H435=""),"",
IF(H435="",Pole_Calc!A463,
IF(H435="MP",Pole_Calc!A464,
IF(H435="AnMP",Pole_Calc!A465,
IF(H435="A",Pole_Calc!A466,
IF(H435="S/A",Pole_Calc!A467,
IF(H435="A/S",Pole_Calc!A468,"Poner a mano")))))))</f>
        <v/>
      </c>
      <c r="BE435" s="448" t="s">
        <v>1726</v>
      </c>
      <c r="BF435" s="635"/>
      <c r="BG435" s="635"/>
      <c r="BH435" s="634"/>
      <c r="BI435" s="635"/>
    </row>
    <row r="436" spans="1:61" ht="16.2" customHeight="1">
      <c r="A436" s="12"/>
      <c r="B436" s="446"/>
      <c r="C436" s="89"/>
      <c r="D436" s="13"/>
      <c r="E436" s="14"/>
      <c r="F436" s="14"/>
      <c r="G436" s="15"/>
      <c r="H436" s="8"/>
      <c r="I436" s="8"/>
      <c r="J436" s="89"/>
      <c r="K436" s="8"/>
      <c r="L436" s="8"/>
      <c r="M436" s="8" t="str">
        <f>IF(L436="","",
IF(AX436="PT",VLOOKUP(L436,Foundation_Calc!$V$4:$X$37,VLOOKUP(AX436,Foundation_Calc!$I$10:$J$13,2,FALSE),0),
IF(AX436="K",VLOOKUP(L436,Foundation_Calc!$V$41:$X$74,VLOOKUP(AX436,Foundation_Calc!$I$10:$J$13,2,FALSE),0),"")))</f>
        <v/>
      </c>
      <c r="N436" s="8"/>
      <c r="O436" s="8"/>
      <c r="P436" s="8"/>
      <c r="Q436" s="14"/>
      <c r="R436" s="15"/>
      <c r="S436" s="15"/>
      <c r="T436" s="14"/>
      <c r="U436" s="14"/>
      <c r="V436" s="14"/>
      <c r="W436" s="18"/>
      <c r="X436" s="18"/>
      <c r="Y436" s="18"/>
      <c r="Z436" s="18"/>
      <c r="AA436" s="18"/>
      <c r="AB436" s="18"/>
      <c r="AC436" s="8" t="str">
        <f t="shared" si="94"/>
        <v/>
      </c>
      <c r="AD436" s="8"/>
      <c r="AE436" s="8"/>
      <c r="AF436" s="14"/>
      <c r="AG436" s="13"/>
      <c r="AH436" s="14"/>
      <c r="AI436" s="14"/>
      <c r="AJ436" s="8"/>
      <c r="AK436" s="8"/>
      <c r="AL436" s="8"/>
      <c r="AM436" s="8"/>
      <c r="AN436" s="631"/>
      <c r="AO436" s="18"/>
      <c r="AP436" s="18"/>
      <c r="AQ436" s="18"/>
      <c r="AR436" s="18"/>
      <c r="AS436" s="18"/>
      <c r="AU436" s="448"/>
      <c r="AV436" s="448"/>
      <c r="AW436" s="8" t="str">
        <f>IF(C436&gt;0,VLOOKUP(C436,Foundation_Calc!$A$2:$C$986,3,1),
IF(J436&gt;0,VLOOKUP(J436,Foundation_Calc!$A$2:$C$986,3,1),""))</f>
        <v/>
      </c>
      <c r="AX436" s="8" t="str">
        <f>IF(C436&gt;0,VLOOKUP(C436,Foundation_Calc!$E$2:$G$986,3,1),
IF(J436&gt;0,VLOOKUP(J436,Foundation_Calc!$E$2:$G$986,3,1),""))</f>
        <v/>
      </c>
      <c r="AY436" s="631" t="str">
        <f>IF(L436="","",
IF(AX436="PT",VLOOKUP(L436,Foundation_Calc!$K$4:$R$37,VLOOKUP(AW436,Foundation_Calc!$I$2:$J$8,2,FALSE),0),
IF(AX436="K",VLOOKUP(L436,Foundation_Calc!$K$41:$R$74,VLOOKUP(AW436,Foundation_Calc!$I$2:$J$8,2,FALSE),0),"")))</f>
        <v/>
      </c>
      <c r="AZ436" s="631" t="str">
        <f>IF(K436="","",
IF(AX436="PT",VLOOKUP(K436,Foundation_Calc!$K$4:$R$37,VLOOKUP(AW436,Foundation_Calc!$I$2:$J$8,2,FALSE),0),
IF(AX436="K",VLOOKUP(K436,Foundation_Calc!$K$41:$R$74,VLOOKUP(AW436,Foundation_Calc!$I$2:$J$8,2,FALSE),0),"")))</f>
        <v/>
      </c>
      <c r="BA436" s="632" t="str">
        <f t="shared" si="95"/>
        <v/>
      </c>
      <c r="BB436" s="632" t="str">
        <f t="shared" si="96"/>
        <v/>
      </c>
      <c r="BC436" s="632" t="str">
        <f t="shared" si="97"/>
        <v/>
      </c>
      <c r="BD436" s="633" t="str">
        <f>IF(AND(L436="",H436=""),"",
IF(H436="",Pole_Calc!A464,
IF(H436="MP",Pole_Calc!A465,
IF(H436="AnMP",Pole_Calc!A466,
IF(H436="A",Pole_Calc!A467,
IF(H436="S/A",Pole_Calc!A468,
IF(H436="A/S",Pole_Calc!A469,"Poner a mano")))))))</f>
        <v/>
      </c>
      <c r="BE436" s="448" t="s">
        <v>1726</v>
      </c>
      <c r="BF436" s="634"/>
      <c r="BG436" s="634"/>
      <c r="BH436" s="634"/>
      <c r="BI436" s="634"/>
    </row>
    <row r="437" spans="1:61" ht="16.2" customHeight="1">
      <c r="A437" s="12"/>
      <c r="B437" s="446"/>
      <c r="C437" s="89"/>
      <c r="D437" s="13"/>
      <c r="E437" s="14"/>
      <c r="F437" s="14"/>
      <c r="G437" s="15"/>
      <c r="H437" s="8"/>
      <c r="I437" s="8"/>
      <c r="J437" s="89"/>
      <c r="K437" s="8"/>
      <c r="L437" s="8"/>
      <c r="M437" s="8" t="str">
        <f>IF(L437="","",
IF(AX437="PT",VLOOKUP(L437,Foundation_Calc!$V$4:$X$37,VLOOKUP(AX437,Foundation_Calc!$I$10:$J$13,2,FALSE),0),
IF(AX437="K",VLOOKUP(L437,Foundation_Calc!$V$41:$X$74,VLOOKUP(AX437,Foundation_Calc!$I$10:$J$13,2,FALSE),0),"")))</f>
        <v/>
      </c>
      <c r="N437" s="8"/>
      <c r="O437" s="8"/>
      <c r="P437" s="8"/>
      <c r="Q437" s="14"/>
      <c r="R437" s="15"/>
      <c r="S437" s="15"/>
      <c r="T437" s="14"/>
      <c r="U437" s="14"/>
      <c r="V437" s="14"/>
      <c r="W437" s="18"/>
      <c r="X437" s="18"/>
      <c r="Y437" s="18"/>
      <c r="Z437" s="18"/>
      <c r="AA437" s="18"/>
      <c r="AB437" s="18"/>
      <c r="AC437" s="8" t="str">
        <f t="shared" si="94"/>
        <v/>
      </c>
      <c r="AD437" s="8"/>
      <c r="AE437" s="8"/>
      <c r="AF437" s="14"/>
      <c r="AG437" s="13"/>
      <c r="AH437" s="14"/>
      <c r="AI437" s="14"/>
      <c r="AJ437" s="8"/>
      <c r="AK437" s="8"/>
      <c r="AL437" s="8"/>
      <c r="AM437" s="8"/>
      <c r="AN437" s="631"/>
      <c r="AO437" s="18"/>
      <c r="AP437" s="18"/>
      <c r="AQ437" s="18"/>
      <c r="AR437" s="18"/>
      <c r="AS437" s="18"/>
      <c r="AU437" s="448"/>
      <c r="AV437" s="448"/>
      <c r="AW437" s="8" t="str">
        <f>IF(C437&gt;0,VLOOKUP(C437,Foundation_Calc!$A$2:$C$986,3,1),
IF(J437&gt;0,VLOOKUP(J437,Foundation_Calc!$A$2:$C$986,3,1),""))</f>
        <v/>
      </c>
      <c r="AX437" s="8" t="str">
        <f>IF(C437&gt;0,VLOOKUP(C437,Foundation_Calc!$E$2:$G$986,3,1),
IF(J437&gt;0,VLOOKUP(J437,Foundation_Calc!$E$2:$G$986,3,1),""))</f>
        <v/>
      </c>
      <c r="AY437" s="631" t="str">
        <f>IF(L437="","",
IF(AX437="PT",VLOOKUP(L437,Foundation_Calc!$K$4:$R$37,VLOOKUP(AW437,Foundation_Calc!$I$2:$J$8,2,FALSE),0),
IF(AX437="K",VLOOKUP(L437,Foundation_Calc!$K$41:$R$74,VLOOKUP(AW437,Foundation_Calc!$I$2:$J$8,2,FALSE),0),"")))</f>
        <v/>
      </c>
      <c r="AZ437" s="631" t="str">
        <f>IF(K437="","",
IF(AX437="PT",VLOOKUP(K437,Foundation_Calc!$K$4:$R$37,VLOOKUP(AW437,Foundation_Calc!$I$2:$J$8,2,FALSE),0),
IF(AX437="K",VLOOKUP(K437,Foundation_Calc!$K$41:$R$74,VLOOKUP(AW437,Foundation_Calc!$I$2:$J$8,2,FALSE),0),"")))</f>
        <v/>
      </c>
      <c r="BA437" s="632" t="str">
        <f t="shared" si="95"/>
        <v/>
      </c>
      <c r="BB437" s="632" t="str">
        <f t="shared" si="96"/>
        <v/>
      </c>
      <c r="BC437" s="632" t="str">
        <f t="shared" si="97"/>
        <v/>
      </c>
      <c r="BD437" s="633" t="str">
        <f>IF(AND(L437="",H437=""),"",
IF(H437="",Pole_Calc!A465,
IF(H437="MP",Pole_Calc!A466,
IF(H437="AnMP",Pole_Calc!A467,
IF(H437="A",Pole_Calc!A468,
IF(H437="S/A",Pole_Calc!A469,
IF(H437="A/S",Pole_Calc!A470,"Poner a mano")))))))</f>
        <v/>
      </c>
      <c r="BE437" s="448" t="s">
        <v>1726</v>
      </c>
      <c r="BF437" s="635"/>
      <c r="BG437" s="635"/>
      <c r="BH437" s="634"/>
      <c r="BI437" s="635"/>
    </row>
    <row r="438" spans="1:61" ht="16.2" customHeight="1">
      <c r="A438" s="12"/>
      <c r="B438" s="446"/>
      <c r="C438" s="89"/>
      <c r="D438" s="13"/>
      <c r="E438" s="14"/>
      <c r="F438" s="14"/>
      <c r="G438" s="15"/>
      <c r="H438" s="8"/>
      <c r="I438" s="8"/>
      <c r="J438" s="89"/>
      <c r="K438" s="8"/>
      <c r="L438" s="8"/>
      <c r="M438" s="8" t="str">
        <f>IF(L438="","",
IF(AX438="PT",VLOOKUP(L438,Foundation_Calc!$V$4:$X$37,VLOOKUP(AX438,Foundation_Calc!$I$10:$J$13,2,FALSE),0),
IF(AX438="K",VLOOKUP(L438,Foundation_Calc!$V$41:$X$74,VLOOKUP(AX438,Foundation_Calc!$I$10:$J$13,2,FALSE),0),"")))</f>
        <v/>
      </c>
      <c r="N438" s="8"/>
      <c r="O438" s="8"/>
      <c r="P438" s="8"/>
      <c r="Q438" s="14"/>
      <c r="R438" s="15"/>
      <c r="S438" s="15"/>
      <c r="T438" s="14"/>
      <c r="U438" s="14"/>
      <c r="V438" s="14"/>
      <c r="W438" s="18"/>
      <c r="X438" s="18"/>
      <c r="Y438" s="18"/>
      <c r="Z438" s="18"/>
      <c r="AA438" s="18"/>
      <c r="AB438" s="18"/>
      <c r="AC438" s="8" t="str">
        <f t="shared" si="94"/>
        <v/>
      </c>
      <c r="AD438" s="8"/>
      <c r="AE438" s="8"/>
      <c r="AF438" s="14"/>
      <c r="AG438" s="13"/>
      <c r="AH438" s="14"/>
      <c r="AI438" s="14"/>
      <c r="AJ438" s="8"/>
      <c r="AK438" s="8"/>
      <c r="AL438" s="8"/>
      <c r="AM438" s="8"/>
      <c r="AN438" s="631"/>
      <c r="AO438" s="18"/>
      <c r="AP438" s="18"/>
      <c r="AQ438" s="18"/>
      <c r="AR438" s="18"/>
      <c r="AS438" s="18"/>
      <c r="AU438" s="448"/>
      <c r="AV438" s="448"/>
      <c r="AW438" s="8" t="str">
        <f>IF(C438&gt;0,VLOOKUP(C438,Foundation_Calc!$A$2:$C$986,3,1),
IF(J438&gt;0,VLOOKUP(J438,Foundation_Calc!$A$2:$C$986,3,1),""))</f>
        <v/>
      </c>
      <c r="AX438" s="8" t="str">
        <f>IF(C438&gt;0,VLOOKUP(C438,Foundation_Calc!$E$2:$G$986,3,1),
IF(J438&gt;0,VLOOKUP(J438,Foundation_Calc!$E$2:$G$986,3,1),""))</f>
        <v/>
      </c>
      <c r="AY438" s="631" t="str">
        <f>IF(L438="","",
IF(AX438="PT",VLOOKUP(L438,Foundation_Calc!$K$4:$R$37,VLOOKUP(AW438,Foundation_Calc!$I$2:$J$8,2,FALSE),0),
IF(AX438="K",VLOOKUP(L438,Foundation_Calc!$K$41:$R$74,VLOOKUP(AW438,Foundation_Calc!$I$2:$J$8,2,FALSE),0),"")))</f>
        <v/>
      </c>
      <c r="AZ438" s="631" t="str">
        <f>IF(K438="","",
IF(AX438="PT",VLOOKUP(K438,Foundation_Calc!$K$4:$R$37,VLOOKUP(AW438,Foundation_Calc!$I$2:$J$8,2,FALSE),0),
IF(AX438="K",VLOOKUP(K438,Foundation_Calc!$K$41:$R$74,VLOOKUP(AW438,Foundation_Calc!$I$2:$J$8,2,FALSE),0),"")))</f>
        <v/>
      </c>
      <c r="BA438" s="632" t="str">
        <f t="shared" si="95"/>
        <v/>
      </c>
      <c r="BB438" s="632" t="str">
        <f t="shared" si="96"/>
        <v/>
      </c>
      <c r="BC438" s="632" t="str">
        <f t="shared" si="97"/>
        <v/>
      </c>
      <c r="BD438" s="633" t="str">
        <f>IF(AND(L438="",H438=""),"",
IF(H438="",Pole_Calc!A466,
IF(H438="MP",Pole_Calc!A467,
IF(H438="AnMP",Pole_Calc!A468,
IF(H438="A",Pole_Calc!A469,
IF(H438="S/A",Pole_Calc!A470,
IF(H438="A/S",Pole_Calc!A471,"Poner a mano")))))))</f>
        <v/>
      </c>
      <c r="BE438" s="448" t="s">
        <v>1726</v>
      </c>
      <c r="BF438" s="634"/>
      <c r="BG438" s="634"/>
      <c r="BH438" s="634"/>
      <c r="BI438" s="634"/>
    </row>
    <row r="439" spans="1:61" ht="16.2" customHeight="1">
      <c r="A439" s="12"/>
      <c r="B439" s="446"/>
      <c r="C439" s="89"/>
      <c r="D439" s="13"/>
      <c r="E439" s="14"/>
      <c r="F439" s="14"/>
      <c r="G439" s="15"/>
      <c r="H439" s="8"/>
      <c r="I439" s="8"/>
      <c r="J439" s="89"/>
      <c r="K439" s="8"/>
      <c r="L439" s="8"/>
      <c r="M439" s="8" t="str">
        <f>IF(L439="","",
IF(AX439="PT",VLOOKUP(L439,Foundation_Calc!$V$4:$X$37,VLOOKUP(AX439,Foundation_Calc!$I$10:$J$13,2,FALSE),0),
IF(AX439="K",VLOOKUP(L439,Foundation_Calc!$V$41:$X$74,VLOOKUP(AX439,Foundation_Calc!$I$10:$J$13,2,FALSE),0),"")))</f>
        <v/>
      </c>
      <c r="N439" s="8"/>
      <c r="O439" s="8"/>
      <c r="P439" s="8"/>
      <c r="Q439" s="14"/>
      <c r="R439" s="15"/>
      <c r="S439" s="15"/>
      <c r="T439" s="14"/>
      <c r="U439" s="14"/>
      <c r="V439" s="14"/>
      <c r="W439" s="18"/>
      <c r="X439" s="18"/>
      <c r="Y439" s="18"/>
      <c r="Z439" s="18"/>
      <c r="AA439" s="18"/>
      <c r="AB439" s="18"/>
      <c r="AC439" s="8" t="str">
        <f t="shared" si="94"/>
        <v/>
      </c>
      <c r="AD439" s="8"/>
      <c r="AE439" s="8"/>
      <c r="AF439" s="14"/>
      <c r="AG439" s="13"/>
      <c r="AH439" s="14"/>
      <c r="AI439" s="14"/>
      <c r="AJ439" s="8"/>
      <c r="AK439" s="8"/>
      <c r="AL439" s="8"/>
      <c r="AM439" s="8"/>
      <c r="AN439" s="631"/>
      <c r="AO439" s="18"/>
      <c r="AP439" s="18"/>
      <c r="AQ439" s="18"/>
      <c r="AR439" s="18"/>
      <c r="AS439" s="18"/>
      <c r="AU439" s="448"/>
      <c r="AV439" s="448"/>
      <c r="AW439" s="8" t="str">
        <f>IF(C439&gt;0,VLOOKUP(C439,Foundation_Calc!$A$2:$C$986,3,1),
IF(J439&gt;0,VLOOKUP(J439,Foundation_Calc!$A$2:$C$986,3,1),""))</f>
        <v/>
      </c>
      <c r="AX439" s="8" t="str">
        <f>IF(C439&gt;0,VLOOKUP(C439,Foundation_Calc!$E$2:$G$986,3,1),
IF(J439&gt;0,VLOOKUP(J439,Foundation_Calc!$E$2:$G$986,3,1),""))</f>
        <v/>
      </c>
      <c r="AY439" s="631" t="str">
        <f>IF(L439="","",
IF(AX439="PT",VLOOKUP(L439,Foundation_Calc!$K$4:$R$37,VLOOKUP(AW439,Foundation_Calc!$I$2:$J$8,2,FALSE),0),
IF(AX439="K",VLOOKUP(L439,Foundation_Calc!$K$41:$R$74,VLOOKUP(AW439,Foundation_Calc!$I$2:$J$8,2,FALSE),0),"")))</f>
        <v/>
      </c>
      <c r="AZ439" s="631" t="str">
        <f>IF(K439="","",
IF(AX439="PT",VLOOKUP(K439,Foundation_Calc!$K$4:$R$37,VLOOKUP(AW439,Foundation_Calc!$I$2:$J$8,2,FALSE),0),
IF(AX439="K",VLOOKUP(K439,Foundation_Calc!$K$41:$R$74,VLOOKUP(AW439,Foundation_Calc!$I$2:$J$8,2,FALSE),0),"")))</f>
        <v/>
      </c>
      <c r="BA439" s="632" t="str">
        <f t="shared" si="95"/>
        <v/>
      </c>
      <c r="BB439" s="632" t="str">
        <f t="shared" si="96"/>
        <v/>
      </c>
      <c r="BC439" s="632" t="str">
        <f t="shared" si="97"/>
        <v/>
      </c>
      <c r="BD439" s="633" t="str">
        <f>IF(AND(L439="",H439=""),"",
IF(H439="",Pole_Calc!A467,
IF(H439="MP",Pole_Calc!A468,
IF(H439="AnMP",Pole_Calc!A469,
IF(H439="A",Pole_Calc!A470,
IF(H439="S/A",Pole_Calc!A471,
IF(H439="A/S",Pole_Calc!A472,"Poner a mano")))))))</f>
        <v/>
      </c>
      <c r="BE439" s="448" t="s">
        <v>1726</v>
      </c>
      <c r="BF439" s="635"/>
      <c r="BG439" s="635"/>
      <c r="BH439" s="634"/>
      <c r="BI439" s="635"/>
    </row>
    <row r="440" spans="1:61" ht="16.2" customHeight="1">
      <c r="A440" s="12"/>
      <c r="B440" s="446"/>
      <c r="C440" s="89"/>
      <c r="D440" s="13"/>
      <c r="E440" s="14"/>
      <c r="F440" s="14"/>
      <c r="G440" s="15"/>
      <c r="H440" s="8"/>
      <c r="I440" s="8"/>
      <c r="J440" s="89"/>
      <c r="K440" s="8"/>
      <c r="L440" s="8"/>
      <c r="M440" s="8" t="str">
        <f>IF(L440="","",
IF(AX440="PT",VLOOKUP(L440,Foundation_Calc!$V$4:$X$37,VLOOKUP(AX440,Foundation_Calc!$I$10:$J$13,2,FALSE),0),
IF(AX440="K",VLOOKUP(L440,Foundation_Calc!$V$41:$X$74,VLOOKUP(AX440,Foundation_Calc!$I$10:$J$13,2,FALSE),0),"")))</f>
        <v/>
      </c>
      <c r="N440" s="8"/>
      <c r="O440" s="8"/>
      <c r="P440" s="8"/>
      <c r="Q440" s="14"/>
      <c r="R440" s="15"/>
      <c r="S440" s="15"/>
      <c r="T440" s="14"/>
      <c r="U440" s="14"/>
      <c r="V440" s="14"/>
      <c r="W440" s="18"/>
      <c r="X440" s="18"/>
      <c r="Y440" s="18"/>
      <c r="Z440" s="18"/>
      <c r="AA440" s="18"/>
      <c r="AB440" s="18"/>
      <c r="AC440" s="8" t="str">
        <f t="shared" si="94"/>
        <v/>
      </c>
      <c r="AD440" s="8"/>
      <c r="AE440" s="8"/>
      <c r="AF440" s="14"/>
      <c r="AG440" s="13"/>
      <c r="AH440" s="14"/>
      <c r="AI440" s="14"/>
      <c r="AJ440" s="8"/>
      <c r="AK440" s="8"/>
      <c r="AL440" s="8"/>
      <c r="AM440" s="8"/>
      <c r="AN440" s="631"/>
      <c r="AO440" s="18"/>
      <c r="AP440" s="18"/>
      <c r="AQ440" s="18"/>
      <c r="AR440" s="18"/>
      <c r="AS440" s="18"/>
      <c r="AU440" s="448"/>
      <c r="AV440" s="448"/>
      <c r="AW440" s="8" t="str">
        <f>IF(C440&gt;0,VLOOKUP(C440,Foundation_Calc!$A$2:$C$986,3,1),
IF(J440&gt;0,VLOOKUP(J440,Foundation_Calc!$A$2:$C$986,3,1),""))</f>
        <v/>
      </c>
      <c r="AX440" s="8" t="str">
        <f>IF(C440&gt;0,VLOOKUP(C440,Foundation_Calc!$E$2:$G$986,3,1),
IF(J440&gt;0,VLOOKUP(J440,Foundation_Calc!$E$2:$G$986,3,1),""))</f>
        <v/>
      </c>
      <c r="AY440" s="631" t="str">
        <f>IF(L440="","",
IF(AX440="PT",VLOOKUP(L440,Foundation_Calc!$K$4:$R$37,VLOOKUP(AW440,Foundation_Calc!$I$2:$J$8,2,FALSE),0),
IF(AX440="K",VLOOKUP(L440,Foundation_Calc!$K$41:$R$74,VLOOKUP(AW440,Foundation_Calc!$I$2:$J$8,2,FALSE),0),"")))</f>
        <v/>
      </c>
      <c r="AZ440" s="631" t="str">
        <f>IF(K440="","",
IF(AX440="PT",VLOOKUP(K440,Foundation_Calc!$K$4:$R$37,VLOOKUP(AW440,Foundation_Calc!$I$2:$J$8,2,FALSE),0),
IF(AX440="K",VLOOKUP(K440,Foundation_Calc!$K$41:$R$74,VLOOKUP(AW440,Foundation_Calc!$I$2:$J$8,2,FALSE),0),"")))</f>
        <v/>
      </c>
      <c r="BA440" s="632" t="str">
        <f t="shared" si="95"/>
        <v/>
      </c>
      <c r="BB440" s="632" t="str">
        <f t="shared" si="96"/>
        <v/>
      </c>
      <c r="BC440" s="632" t="str">
        <f t="shared" si="97"/>
        <v/>
      </c>
      <c r="BD440" s="633" t="str">
        <f>IF(AND(L440="",H440=""),"",
IF(H440="",Pole_Calc!A468,
IF(H440="MP",Pole_Calc!A469,
IF(H440="AnMP",Pole_Calc!A470,
IF(H440="A",Pole_Calc!A471,
IF(H440="S/A",Pole_Calc!A472,
IF(H440="A/S",Pole_Calc!A473,"Poner a mano")))))))</f>
        <v/>
      </c>
      <c r="BE440" s="448" t="s">
        <v>1726</v>
      </c>
      <c r="BF440" s="634"/>
      <c r="BG440" s="634"/>
      <c r="BH440" s="634"/>
      <c r="BI440" s="634"/>
    </row>
    <row r="441" spans="1:61" ht="16.2" customHeight="1">
      <c r="A441" s="12"/>
      <c r="B441" s="446"/>
      <c r="C441" s="89"/>
      <c r="D441" s="13"/>
      <c r="E441" s="14"/>
      <c r="F441" s="14"/>
      <c r="G441" s="15"/>
      <c r="H441" s="8"/>
      <c r="I441" s="8"/>
      <c r="J441" s="89"/>
      <c r="K441" s="8"/>
      <c r="L441" s="8"/>
      <c r="M441" s="8" t="str">
        <f>IF(L441="","",
IF(AX441="PT",VLOOKUP(L441,Foundation_Calc!$V$4:$X$37,VLOOKUP(AX441,Foundation_Calc!$I$10:$J$13,2,FALSE),0),
IF(AX441="K",VLOOKUP(L441,Foundation_Calc!$V$41:$X$74,VLOOKUP(AX441,Foundation_Calc!$I$10:$J$13,2,FALSE),0),"")))</f>
        <v/>
      </c>
      <c r="N441" s="8"/>
      <c r="O441" s="8"/>
      <c r="P441" s="8"/>
      <c r="Q441" s="14"/>
      <c r="R441" s="15"/>
      <c r="S441" s="15"/>
      <c r="T441" s="14"/>
      <c r="U441" s="14"/>
      <c r="V441" s="14"/>
      <c r="W441" s="18"/>
      <c r="X441" s="18"/>
      <c r="Y441" s="18"/>
      <c r="Z441" s="18"/>
      <c r="AA441" s="18"/>
      <c r="AB441" s="18"/>
      <c r="AC441" s="8" t="str">
        <f t="shared" si="94"/>
        <v/>
      </c>
      <c r="AD441" s="8"/>
      <c r="AE441" s="8"/>
      <c r="AF441" s="14"/>
      <c r="AG441" s="13"/>
      <c r="AH441" s="14"/>
      <c r="AI441" s="14"/>
      <c r="AJ441" s="8"/>
      <c r="AK441" s="8"/>
      <c r="AL441" s="8"/>
      <c r="AM441" s="8"/>
      <c r="AN441" s="631"/>
      <c r="AO441" s="18"/>
      <c r="AP441" s="18"/>
      <c r="AQ441" s="18"/>
      <c r="AR441" s="18"/>
      <c r="AS441" s="18"/>
      <c r="AU441" s="448"/>
      <c r="AV441" s="448"/>
      <c r="AW441" s="8" t="str">
        <f>IF(C441&gt;0,VLOOKUP(C441,Foundation_Calc!$A$2:$C$986,3,1),
IF(J441&gt;0,VLOOKUP(J441,Foundation_Calc!$A$2:$C$986,3,1),""))</f>
        <v/>
      </c>
      <c r="AX441" s="8" t="str">
        <f>IF(C441&gt;0,VLOOKUP(C441,Foundation_Calc!$E$2:$G$986,3,1),
IF(J441&gt;0,VLOOKUP(J441,Foundation_Calc!$E$2:$G$986,3,1),""))</f>
        <v/>
      </c>
      <c r="AY441" s="631" t="str">
        <f>IF(L441="","",
IF(AX441="PT",VLOOKUP(L441,Foundation_Calc!$K$4:$R$37,VLOOKUP(AW441,Foundation_Calc!$I$2:$J$8,2,FALSE),0),
IF(AX441="K",VLOOKUP(L441,Foundation_Calc!$K$41:$R$74,VLOOKUP(AW441,Foundation_Calc!$I$2:$J$8,2,FALSE),0),"")))</f>
        <v/>
      </c>
      <c r="AZ441" s="631" t="str">
        <f>IF(K441="","",
IF(AX441="PT",VLOOKUP(K441,Foundation_Calc!$K$4:$R$37,VLOOKUP(AW441,Foundation_Calc!$I$2:$J$8,2,FALSE),0),
IF(AX441="K",VLOOKUP(K441,Foundation_Calc!$K$41:$R$74,VLOOKUP(AW441,Foundation_Calc!$I$2:$J$8,2,FALSE),0),"")))</f>
        <v/>
      </c>
      <c r="BA441" s="632" t="str">
        <f t="shared" si="95"/>
        <v/>
      </c>
      <c r="BB441" s="632" t="str">
        <f t="shared" si="96"/>
        <v/>
      </c>
      <c r="BC441" s="632" t="str">
        <f t="shared" si="97"/>
        <v/>
      </c>
      <c r="BD441" s="633" t="str">
        <f>IF(AND(L441="",H441=""),"",
IF(H441="",Pole_Calc!A469,
IF(H441="MP",Pole_Calc!A470,
IF(H441="AnMP",Pole_Calc!A471,
IF(H441="A",Pole_Calc!A472,
IF(H441="S/A",Pole_Calc!A473,
IF(H441="A/S",Pole_Calc!A474,"Poner a mano")))))))</f>
        <v/>
      </c>
      <c r="BE441" s="448" t="s">
        <v>1726</v>
      </c>
      <c r="BF441" s="635"/>
      <c r="BG441" s="635"/>
      <c r="BH441" s="634"/>
      <c r="BI441" s="635"/>
    </row>
    <row r="442" spans="1:61" ht="16.2" customHeight="1">
      <c r="A442" s="12"/>
      <c r="B442" s="446"/>
      <c r="C442" s="89"/>
      <c r="D442" s="13"/>
      <c r="E442" s="14"/>
      <c r="F442" s="14"/>
      <c r="G442" s="15"/>
      <c r="H442" s="8"/>
      <c r="I442" s="8"/>
      <c r="J442" s="89"/>
      <c r="K442" s="8"/>
      <c r="L442" s="8"/>
      <c r="M442" s="8" t="str">
        <f>IF(L442="","",
IF(AX442="PT",VLOOKUP(L442,Foundation_Calc!$V$4:$X$37,VLOOKUP(AX442,Foundation_Calc!$I$10:$J$13,2,FALSE),0),
IF(AX442="K",VLOOKUP(L442,Foundation_Calc!$V$41:$X$74,VLOOKUP(AX442,Foundation_Calc!$I$10:$J$13,2,FALSE),0),"")))</f>
        <v/>
      </c>
      <c r="N442" s="8"/>
      <c r="O442" s="8"/>
      <c r="P442" s="8"/>
      <c r="Q442" s="14"/>
      <c r="R442" s="15"/>
      <c r="S442" s="15"/>
      <c r="T442" s="14"/>
      <c r="U442" s="14"/>
      <c r="V442" s="14"/>
      <c r="W442" s="18"/>
      <c r="X442" s="18"/>
      <c r="Y442" s="18"/>
      <c r="Z442" s="18"/>
      <c r="AA442" s="18"/>
      <c r="AB442" s="18"/>
      <c r="AC442" s="8" t="str">
        <f t="shared" si="94"/>
        <v/>
      </c>
      <c r="AD442" s="8"/>
      <c r="AE442" s="8"/>
      <c r="AF442" s="14"/>
      <c r="AG442" s="13"/>
      <c r="AH442" s="14"/>
      <c r="AI442" s="14"/>
      <c r="AJ442" s="8"/>
      <c r="AK442" s="8"/>
      <c r="AL442" s="8"/>
      <c r="AM442" s="8"/>
      <c r="AN442" s="631"/>
      <c r="AO442" s="18"/>
      <c r="AP442" s="18"/>
      <c r="AQ442" s="18"/>
      <c r="AR442" s="18"/>
      <c r="AS442" s="18"/>
      <c r="AU442" s="448"/>
      <c r="AV442" s="448"/>
      <c r="AW442" s="8" t="str">
        <f>IF(C442&gt;0,VLOOKUP(C442,Foundation_Calc!$A$2:$C$986,3,1),
IF(J442&gt;0,VLOOKUP(J442,Foundation_Calc!$A$2:$C$986,3,1),""))</f>
        <v/>
      </c>
      <c r="AX442" s="8" t="str">
        <f>IF(C442&gt;0,VLOOKUP(C442,Foundation_Calc!$E$2:$G$986,3,1),
IF(J442&gt;0,VLOOKUP(J442,Foundation_Calc!$E$2:$G$986,3,1),""))</f>
        <v/>
      </c>
      <c r="AY442" s="631" t="str">
        <f>IF(L442="","",
IF(AX442="PT",VLOOKUP(L442,Foundation_Calc!$K$4:$R$37,VLOOKUP(AW442,Foundation_Calc!$I$2:$J$8,2,FALSE),0),
IF(AX442="K",VLOOKUP(L442,Foundation_Calc!$K$41:$R$74,VLOOKUP(AW442,Foundation_Calc!$I$2:$J$8,2,FALSE),0),"")))</f>
        <v/>
      </c>
      <c r="AZ442" s="631" t="str">
        <f>IF(K442="","",
IF(AX442="PT",VLOOKUP(K442,Foundation_Calc!$K$4:$R$37,VLOOKUP(AW442,Foundation_Calc!$I$2:$J$8,2,FALSE),0),
IF(AX442="K",VLOOKUP(K442,Foundation_Calc!$K$41:$R$74,VLOOKUP(AW442,Foundation_Calc!$I$2:$J$8,2,FALSE),0),"")))</f>
        <v/>
      </c>
      <c r="BA442" s="632" t="str">
        <f t="shared" si="95"/>
        <v/>
      </c>
      <c r="BB442" s="632" t="str">
        <f t="shared" si="96"/>
        <v/>
      </c>
      <c r="BC442" s="632" t="str">
        <f t="shared" si="97"/>
        <v/>
      </c>
      <c r="BD442" s="633" t="str">
        <f>IF(AND(L442="",H442=""),"",
IF(H442="",Pole_Calc!A470,
IF(H442="MP",Pole_Calc!A471,
IF(H442="AnMP",Pole_Calc!A472,
IF(H442="A",Pole_Calc!A473,
IF(H442="S/A",Pole_Calc!A474,
IF(H442="A/S",Pole_Calc!A475,"Poner a mano")))))))</f>
        <v/>
      </c>
      <c r="BE442" s="448" t="s">
        <v>1726</v>
      </c>
      <c r="BF442" s="634"/>
      <c r="BG442" s="634"/>
      <c r="BH442" s="634"/>
      <c r="BI442" s="634"/>
    </row>
    <row r="443" spans="1:61" ht="16.2" customHeight="1">
      <c r="A443" s="12"/>
      <c r="B443" s="446"/>
      <c r="C443" s="89"/>
      <c r="D443" s="13"/>
      <c r="E443" s="14"/>
      <c r="F443" s="14"/>
      <c r="G443" s="15"/>
      <c r="H443" s="8"/>
      <c r="I443" s="8"/>
      <c r="J443" s="89"/>
      <c r="K443" s="8"/>
      <c r="L443" s="8"/>
      <c r="M443" s="8" t="str">
        <f>IF(L443="","",
IF(AX443="PT",VLOOKUP(L443,Foundation_Calc!$V$4:$X$37,VLOOKUP(AX443,Foundation_Calc!$I$10:$J$13,2,FALSE),0),
IF(AX443="K",VLOOKUP(L443,Foundation_Calc!$V$41:$X$74,VLOOKUP(AX443,Foundation_Calc!$I$10:$J$13,2,FALSE),0),"")))</f>
        <v/>
      </c>
      <c r="N443" s="8"/>
      <c r="O443" s="8"/>
      <c r="P443" s="8"/>
      <c r="Q443" s="14"/>
      <c r="R443" s="15"/>
      <c r="S443" s="15"/>
      <c r="T443" s="14"/>
      <c r="U443" s="14"/>
      <c r="V443" s="14"/>
      <c r="W443" s="18"/>
      <c r="X443" s="18"/>
      <c r="Y443" s="18"/>
      <c r="Z443" s="18"/>
      <c r="AA443" s="18"/>
      <c r="AB443" s="18"/>
      <c r="AC443" s="8" t="str">
        <f t="shared" si="94"/>
        <v/>
      </c>
      <c r="AD443" s="8"/>
      <c r="AE443" s="8"/>
      <c r="AF443" s="14"/>
      <c r="AG443" s="13"/>
      <c r="AH443" s="14"/>
      <c r="AI443" s="14"/>
      <c r="AJ443" s="8"/>
      <c r="AK443" s="8"/>
      <c r="AL443" s="8"/>
      <c r="AM443" s="8"/>
      <c r="AN443" s="631"/>
      <c r="AO443" s="18"/>
      <c r="AP443" s="18"/>
      <c r="AQ443" s="18"/>
      <c r="AR443" s="18"/>
      <c r="AS443" s="18"/>
      <c r="AU443" s="448"/>
      <c r="AV443" s="448"/>
      <c r="AW443" s="8" t="str">
        <f>IF(C443&gt;0,VLOOKUP(C443,Foundation_Calc!$A$2:$C$986,3,1),
IF(J443&gt;0,VLOOKUP(J443,Foundation_Calc!$A$2:$C$986,3,1),""))</f>
        <v/>
      </c>
      <c r="AX443" s="8" t="str">
        <f>IF(C443&gt;0,VLOOKUP(C443,Foundation_Calc!$E$2:$G$986,3,1),
IF(J443&gt;0,VLOOKUP(J443,Foundation_Calc!$E$2:$G$986,3,1),""))</f>
        <v/>
      </c>
      <c r="AY443" s="631" t="str">
        <f>IF(L443="","",
IF(AX443="PT",VLOOKUP(L443,Foundation_Calc!$K$4:$R$37,VLOOKUP(AW443,Foundation_Calc!$I$2:$J$8,2,FALSE),0),
IF(AX443="K",VLOOKUP(L443,Foundation_Calc!$K$41:$R$74,VLOOKUP(AW443,Foundation_Calc!$I$2:$J$8,2,FALSE),0),"")))</f>
        <v/>
      </c>
      <c r="AZ443" s="631" t="str">
        <f>IF(K443="","",
IF(AX443="PT",VLOOKUP(K443,Foundation_Calc!$K$4:$R$37,VLOOKUP(AW443,Foundation_Calc!$I$2:$J$8,2,FALSE),0),
IF(AX443="K",VLOOKUP(K443,Foundation_Calc!$K$41:$R$74,VLOOKUP(AW443,Foundation_Calc!$I$2:$J$8,2,FALSE),0),"")))</f>
        <v/>
      </c>
      <c r="BA443" s="632" t="str">
        <f t="shared" si="95"/>
        <v/>
      </c>
      <c r="BB443" s="632" t="str">
        <f t="shared" si="96"/>
        <v/>
      </c>
      <c r="BC443" s="632" t="str">
        <f t="shared" si="97"/>
        <v/>
      </c>
      <c r="BD443" s="633" t="str">
        <f>IF(AND(L443="",H443=""),"",
IF(H443="",Pole_Calc!A471,
IF(H443="MP",Pole_Calc!A472,
IF(H443="AnMP",Pole_Calc!A473,
IF(H443="A",Pole_Calc!A474,
IF(H443="S/A",Pole_Calc!A475,
IF(H443="A/S",Pole_Calc!A476,"Poner a mano")))))))</f>
        <v/>
      </c>
      <c r="BE443" s="448" t="s">
        <v>1726</v>
      </c>
      <c r="BF443" s="635"/>
      <c r="BG443" s="635"/>
      <c r="BH443" s="634"/>
      <c r="BI443" s="635"/>
    </row>
    <row r="444" spans="1:61" ht="16.2" customHeight="1">
      <c r="A444" s="12"/>
      <c r="B444" s="446"/>
      <c r="C444" s="89"/>
      <c r="D444" s="13"/>
      <c r="E444" s="14"/>
      <c r="F444" s="14"/>
      <c r="G444" s="15"/>
      <c r="H444" s="8"/>
      <c r="I444" s="8"/>
      <c r="J444" s="89"/>
      <c r="K444" s="8"/>
      <c r="L444" s="8"/>
      <c r="M444" s="8" t="str">
        <f>IF(L444="","",
IF(AX444="PT",VLOOKUP(L444,Foundation_Calc!$V$4:$X$37,VLOOKUP(AX444,Foundation_Calc!$I$10:$J$13,2,FALSE),0),
IF(AX444="K",VLOOKUP(L444,Foundation_Calc!$V$41:$X$74,VLOOKUP(AX444,Foundation_Calc!$I$10:$J$13,2,FALSE),0),"")))</f>
        <v/>
      </c>
      <c r="N444" s="8"/>
      <c r="O444" s="8"/>
      <c r="P444" s="8"/>
      <c r="Q444" s="14"/>
      <c r="R444" s="15"/>
      <c r="S444" s="15"/>
      <c r="T444" s="14"/>
      <c r="U444" s="14"/>
      <c r="V444" s="14"/>
      <c r="W444" s="18"/>
      <c r="X444" s="18"/>
      <c r="Y444" s="18"/>
      <c r="Z444" s="18"/>
      <c r="AA444" s="18"/>
      <c r="AB444" s="18"/>
      <c r="AC444" s="8" t="str">
        <f t="shared" si="94"/>
        <v/>
      </c>
      <c r="AD444" s="8"/>
      <c r="AE444" s="8"/>
      <c r="AF444" s="14"/>
      <c r="AG444" s="13"/>
      <c r="AH444" s="14"/>
      <c r="AI444" s="14"/>
      <c r="AJ444" s="8"/>
      <c r="AK444" s="8"/>
      <c r="AL444" s="8"/>
      <c r="AM444" s="8"/>
      <c r="AN444" s="631"/>
      <c r="AO444" s="18"/>
      <c r="AP444" s="18"/>
      <c r="AQ444" s="18"/>
      <c r="AR444" s="18"/>
      <c r="AS444" s="18"/>
      <c r="AU444" s="448"/>
      <c r="AV444" s="448"/>
      <c r="AW444" s="8" t="str">
        <f>IF(C444&gt;0,VLOOKUP(C444,Foundation_Calc!$A$2:$C$986,3,1),
IF(J444&gt;0,VLOOKUP(J444,Foundation_Calc!$A$2:$C$986,3,1),""))</f>
        <v/>
      </c>
      <c r="AX444" s="8" t="str">
        <f>IF(C444&gt;0,VLOOKUP(C444,Foundation_Calc!$E$2:$G$986,3,1),
IF(J444&gt;0,VLOOKUP(J444,Foundation_Calc!$E$2:$G$986,3,1),""))</f>
        <v/>
      </c>
      <c r="AY444" s="631" t="str">
        <f>IF(L444="","",
IF(AX444="PT",VLOOKUP(L444,Foundation_Calc!$K$4:$R$37,VLOOKUP(AW444,Foundation_Calc!$I$2:$J$8,2,FALSE),0),
IF(AX444="K",VLOOKUP(L444,Foundation_Calc!$K$41:$R$74,VLOOKUP(AW444,Foundation_Calc!$I$2:$J$8,2,FALSE),0),"")))</f>
        <v/>
      </c>
      <c r="AZ444" s="631" t="str">
        <f>IF(K444="","",
IF(AX444="PT",VLOOKUP(K444,Foundation_Calc!$K$4:$R$37,VLOOKUP(AW444,Foundation_Calc!$I$2:$J$8,2,FALSE),0),
IF(AX444="K",VLOOKUP(K444,Foundation_Calc!$K$41:$R$74,VLOOKUP(AW444,Foundation_Calc!$I$2:$J$8,2,FALSE),0),"")))</f>
        <v/>
      </c>
      <c r="BA444" s="632" t="str">
        <f t="shared" si="95"/>
        <v/>
      </c>
      <c r="BB444" s="632" t="str">
        <f t="shared" si="96"/>
        <v/>
      </c>
      <c r="BC444" s="632" t="str">
        <f t="shared" si="97"/>
        <v/>
      </c>
      <c r="BD444" s="633" t="str">
        <f>IF(AND(L444="",H444=""),"",
IF(H444="",Pole_Calc!A472,
IF(H444="MP",Pole_Calc!A473,
IF(H444="AnMP",Pole_Calc!A474,
IF(H444="A",Pole_Calc!A475,
IF(H444="S/A",Pole_Calc!A476,
IF(H444="A/S",Pole_Calc!A477,"Poner a mano")))))))</f>
        <v/>
      </c>
      <c r="BE444" s="448" t="s">
        <v>1726</v>
      </c>
      <c r="BF444" s="634"/>
      <c r="BG444" s="634"/>
      <c r="BH444" s="634"/>
      <c r="BI444" s="634"/>
    </row>
    <row r="445" spans="1:61" ht="16.2" customHeight="1">
      <c r="A445" s="12"/>
      <c r="B445" s="446"/>
      <c r="C445" s="89"/>
      <c r="D445" s="13"/>
      <c r="E445" s="14"/>
      <c r="F445" s="14"/>
      <c r="G445" s="15"/>
      <c r="H445" s="8"/>
      <c r="I445" s="8"/>
      <c r="J445" s="89"/>
      <c r="K445" s="8"/>
      <c r="L445" s="8"/>
      <c r="M445" s="8" t="str">
        <f>IF(L445="","",
IF(AX445="PT",VLOOKUP(L445,Foundation_Calc!$V$4:$X$37,VLOOKUP(AX445,Foundation_Calc!$I$10:$J$13,2,FALSE),0),
IF(AX445="K",VLOOKUP(L445,Foundation_Calc!$V$41:$X$74,VLOOKUP(AX445,Foundation_Calc!$I$10:$J$13,2,FALSE),0),"")))</f>
        <v/>
      </c>
      <c r="N445" s="8"/>
      <c r="O445" s="8"/>
      <c r="P445" s="8"/>
      <c r="Q445" s="14"/>
      <c r="R445" s="15"/>
      <c r="S445" s="15"/>
      <c r="T445" s="14"/>
      <c r="U445" s="14"/>
      <c r="V445" s="14"/>
      <c r="W445" s="18"/>
      <c r="X445" s="18"/>
      <c r="Y445" s="18"/>
      <c r="Z445" s="18"/>
      <c r="AA445" s="18"/>
      <c r="AB445" s="18"/>
      <c r="AC445" s="8" t="str">
        <f t="shared" si="94"/>
        <v/>
      </c>
      <c r="AD445" s="8"/>
      <c r="AE445" s="8"/>
      <c r="AF445" s="14"/>
      <c r="AG445" s="13"/>
      <c r="AH445" s="14"/>
      <c r="AI445" s="14"/>
      <c r="AJ445" s="8"/>
      <c r="AK445" s="8"/>
      <c r="AL445" s="8"/>
      <c r="AM445" s="8"/>
      <c r="AN445" s="631"/>
      <c r="AO445" s="18"/>
      <c r="AP445" s="18"/>
      <c r="AQ445" s="18"/>
      <c r="AR445" s="18"/>
      <c r="AS445" s="18"/>
      <c r="AU445" s="448"/>
      <c r="AV445" s="448"/>
      <c r="AW445" s="8" t="str">
        <f>IF(C445&gt;0,VLOOKUP(C445,Foundation_Calc!$A$2:$C$986,3,1),
IF(J445&gt;0,VLOOKUP(J445,Foundation_Calc!$A$2:$C$986,3,1),""))</f>
        <v/>
      </c>
      <c r="AX445" s="8" t="str">
        <f>IF(C445&gt;0,VLOOKUP(C445,Foundation_Calc!$E$2:$G$986,3,1),
IF(J445&gt;0,VLOOKUP(J445,Foundation_Calc!$E$2:$G$986,3,1),""))</f>
        <v/>
      </c>
      <c r="AY445" s="631" t="str">
        <f>IF(L445="","",
IF(AX445="PT",VLOOKUP(L445,Foundation_Calc!$K$4:$R$37,VLOOKUP(AW445,Foundation_Calc!$I$2:$J$8,2,FALSE),0),
IF(AX445="K",VLOOKUP(L445,Foundation_Calc!$K$41:$R$74,VLOOKUP(AW445,Foundation_Calc!$I$2:$J$8,2,FALSE),0),"")))</f>
        <v/>
      </c>
      <c r="AZ445" s="631" t="str">
        <f>IF(K445="","",
IF(AX445="PT",VLOOKUP(K445,Foundation_Calc!$K$4:$R$37,VLOOKUP(AW445,Foundation_Calc!$I$2:$J$8,2,FALSE),0),
IF(AX445="K",VLOOKUP(K445,Foundation_Calc!$K$41:$R$74,VLOOKUP(AW445,Foundation_Calc!$I$2:$J$8,2,FALSE),0),"")))</f>
        <v/>
      </c>
      <c r="BA445" s="632" t="str">
        <f t="shared" si="95"/>
        <v/>
      </c>
      <c r="BB445" s="632" t="str">
        <f t="shared" si="96"/>
        <v/>
      </c>
      <c r="BC445" s="632" t="str">
        <f t="shared" si="97"/>
        <v/>
      </c>
      <c r="BD445" s="633" t="str">
        <f>IF(AND(L445="",H445=""),"",
IF(H445="",Pole_Calc!A473,
IF(H445="MP",Pole_Calc!A474,
IF(H445="AnMP",Pole_Calc!A475,
IF(H445="A",Pole_Calc!A476,
IF(H445="S/A",Pole_Calc!A477,
IF(H445="A/S",Pole_Calc!A478,"Poner a mano")))))))</f>
        <v/>
      </c>
      <c r="BE445" s="448" t="s">
        <v>1726</v>
      </c>
      <c r="BF445" s="635"/>
      <c r="BG445" s="635"/>
      <c r="BH445" s="634"/>
      <c r="BI445" s="635"/>
    </row>
    <row r="446" spans="1:61" ht="16.2" customHeight="1">
      <c r="A446" s="12"/>
      <c r="B446" s="446"/>
      <c r="C446" s="89"/>
      <c r="D446" s="13"/>
      <c r="E446" s="14"/>
      <c r="F446" s="14"/>
      <c r="G446" s="15"/>
      <c r="H446" s="8"/>
      <c r="I446" s="8"/>
      <c r="J446" s="89"/>
      <c r="K446" s="8"/>
      <c r="L446" s="8"/>
      <c r="M446" s="8" t="str">
        <f>IF(L446="","",
IF(AX446="PT",VLOOKUP(L446,Foundation_Calc!$V$4:$X$37,VLOOKUP(AX446,Foundation_Calc!$I$10:$J$13,2,FALSE),0),
IF(AX446="K",VLOOKUP(L446,Foundation_Calc!$V$41:$X$74,VLOOKUP(AX446,Foundation_Calc!$I$10:$J$13,2,FALSE),0),"")))</f>
        <v/>
      </c>
      <c r="N446" s="8"/>
      <c r="O446" s="8"/>
      <c r="P446" s="8"/>
      <c r="Q446" s="14"/>
      <c r="R446" s="15"/>
      <c r="S446" s="15"/>
      <c r="T446" s="14"/>
      <c r="U446" s="14"/>
      <c r="V446" s="14"/>
      <c r="W446" s="18"/>
      <c r="X446" s="18"/>
      <c r="Y446" s="18"/>
      <c r="Z446" s="18"/>
      <c r="AA446" s="18"/>
      <c r="AB446" s="18"/>
      <c r="AC446" s="8" t="str">
        <f t="shared" si="94"/>
        <v/>
      </c>
      <c r="AD446" s="8"/>
      <c r="AE446" s="8"/>
      <c r="AF446" s="14"/>
      <c r="AG446" s="13"/>
      <c r="AH446" s="14"/>
      <c r="AI446" s="14"/>
      <c r="AJ446" s="8"/>
      <c r="AK446" s="8"/>
      <c r="AL446" s="8"/>
      <c r="AM446" s="8"/>
      <c r="AN446" s="631"/>
      <c r="AO446" s="18"/>
      <c r="AP446" s="18"/>
      <c r="AQ446" s="18"/>
      <c r="AR446" s="18"/>
      <c r="AS446" s="18"/>
      <c r="AU446" s="448"/>
      <c r="AV446" s="448"/>
      <c r="AW446" s="8" t="str">
        <f>IF(C446&gt;0,VLOOKUP(C446,Foundation_Calc!$A$2:$C$986,3,1),
IF(J446&gt;0,VLOOKUP(J446,Foundation_Calc!$A$2:$C$986,3,1),""))</f>
        <v/>
      </c>
      <c r="AX446" s="8" t="str">
        <f>IF(C446&gt;0,VLOOKUP(C446,Foundation_Calc!$E$2:$G$986,3,1),
IF(J446&gt;0,VLOOKUP(J446,Foundation_Calc!$E$2:$G$986,3,1),""))</f>
        <v/>
      </c>
      <c r="AY446" s="631" t="str">
        <f>IF(L446="","",
IF(AX446="PT",VLOOKUP(L446,Foundation_Calc!$K$4:$R$37,VLOOKUP(AW446,Foundation_Calc!$I$2:$J$8,2,FALSE),0),
IF(AX446="K",VLOOKUP(L446,Foundation_Calc!$K$41:$R$74,VLOOKUP(AW446,Foundation_Calc!$I$2:$J$8,2,FALSE),0),"")))</f>
        <v/>
      </c>
      <c r="AZ446" s="631" t="str">
        <f>IF(K446="","",
IF(AX446="PT",VLOOKUP(K446,Foundation_Calc!$K$4:$R$37,VLOOKUP(AW446,Foundation_Calc!$I$2:$J$8,2,FALSE),0),
IF(AX446="K",VLOOKUP(K446,Foundation_Calc!$K$41:$R$74,VLOOKUP(AW446,Foundation_Calc!$I$2:$J$8,2,FALSE),0),"")))</f>
        <v/>
      </c>
      <c r="BA446" s="632" t="str">
        <f t="shared" si="95"/>
        <v/>
      </c>
      <c r="BB446" s="632" t="str">
        <f t="shared" si="96"/>
        <v/>
      </c>
      <c r="BC446" s="632" t="str">
        <f t="shared" si="97"/>
        <v/>
      </c>
      <c r="BD446" s="633" t="str">
        <f>IF(AND(L446="",H446=""),"",
IF(H446="",Pole_Calc!A474,
IF(H446="MP",Pole_Calc!A475,
IF(H446="AnMP",Pole_Calc!A476,
IF(H446="A",Pole_Calc!A477,
IF(H446="S/A",Pole_Calc!A478,
IF(H446="A/S",Pole_Calc!A479,"Poner a mano")))))))</f>
        <v/>
      </c>
      <c r="BE446" s="448" t="s">
        <v>1726</v>
      </c>
      <c r="BF446" s="634"/>
      <c r="BG446" s="634"/>
      <c r="BH446" s="634"/>
      <c r="BI446" s="634"/>
    </row>
    <row r="447" spans="1:61" ht="16.2" customHeight="1">
      <c r="A447" s="12"/>
      <c r="B447" s="446"/>
      <c r="C447" s="89"/>
      <c r="D447" s="13"/>
      <c r="E447" s="14"/>
      <c r="F447" s="14"/>
      <c r="G447" s="15"/>
      <c r="H447" s="8"/>
      <c r="I447" s="8"/>
      <c r="J447" s="89"/>
      <c r="K447" s="8"/>
      <c r="L447" s="8"/>
      <c r="M447" s="8" t="str">
        <f>IF(L447="","",
IF(AX447="PT",VLOOKUP(L447,Foundation_Calc!$V$4:$X$37,VLOOKUP(AX447,Foundation_Calc!$I$10:$J$13,2,FALSE),0),
IF(AX447="K",VLOOKUP(L447,Foundation_Calc!$V$41:$X$74,VLOOKUP(AX447,Foundation_Calc!$I$10:$J$13,2,FALSE),0),"")))</f>
        <v/>
      </c>
      <c r="N447" s="8"/>
      <c r="O447" s="8"/>
      <c r="P447" s="8"/>
      <c r="Q447" s="14"/>
      <c r="R447" s="15"/>
      <c r="S447" s="15"/>
      <c r="T447" s="14"/>
      <c r="U447" s="14"/>
      <c r="V447" s="14"/>
      <c r="W447" s="18"/>
      <c r="X447" s="18"/>
      <c r="Y447" s="18"/>
      <c r="Z447" s="18"/>
      <c r="AA447" s="18"/>
      <c r="AB447" s="18"/>
      <c r="AC447" s="8" t="str">
        <f t="shared" si="94"/>
        <v/>
      </c>
      <c r="AD447" s="8"/>
      <c r="AE447" s="8"/>
      <c r="AF447" s="14"/>
      <c r="AG447" s="13"/>
      <c r="AH447" s="14"/>
      <c r="AI447" s="14"/>
      <c r="AJ447" s="8"/>
      <c r="AK447" s="8"/>
      <c r="AL447" s="8"/>
      <c r="AM447" s="8"/>
      <c r="AN447" s="631"/>
      <c r="AO447" s="18"/>
      <c r="AP447" s="18"/>
      <c r="AQ447" s="18"/>
      <c r="AR447" s="18"/>
      <c r="AS447" s="18"/>
      <c r="AU447" s="448"/>
      <c r="AV447" s="448"/>
      <c r="AW447" s="8" t="str">
        <f>IF(C447&gt;0,VLOOKUP(C447,Foundation_Calc!$A$2:$C$986,3,1),
IF(J447&gt;0,VLOOKUP(J447,Foundation_Calc!$A$2:$C$986,3,1),""))</f>
        <v/>
      </c>
      <c r="AX447" s="8" t="str">
        <f>IF(C447&gt;0,VLOOKUP(C447,Foundation_Calc!$E$2:$G$986,3,1),
IF(J447&gt;0,VLOOKUP(J447,Foundation_Calc!$E$2:$G$986,3,1),""))</f>
        <v/>
      </c>
      <c r="AY447" s="631" t="str">
        <f>IF(L447="","",
IF(AX447="PT",VLOOKUP(L447,Foundation_Calc!$K$4:$R$37,VLOOKUP(AW447,Foundation_Calc!$I$2:$J$8,2,FALSE),0),
IF(AX447="K",VLOOKUP(L447,Foundation_Calc!$K$41:$R$74,VLOOKUP(AW447,Foundation_Calc!$I$2:$J$8,2,FALSE),0),"")))</f>
        <v/>
      </c>
      <c r="AZ447" s="631" t="str">
        <f>IF(K447="","",
IF(AX447="PT",VLOOKUP(K447,Foundation_Calc!$K$4:$R$37,VLOOKUP(AW447,Foundation_Calc!$I$2:$J$8,2,FALSE),0),
IF(AX447="K",VLOOKUP(K447,Foundation_Calc!$K$41:$R$74,VLOOKUP(AW447,Foundation_Calc!$I$2:$J$8,2,FALSE),0),"")))</f>
        <v/>
      </c>
      <c r="BA447" s="632" t="str">
        <f t="shared" si="95"/>
        <v/>
      </c>
      <c r="BB447" s="632" t="str">
        <f t="shared" si="96"/>
        <v/>
      </c>
      <c r="BC447" s="632" t="str">
        <f t="shared" si="97"/>
        <v/>
      </c>
      <c r="BD447" s="633" t="str">
        <f>IF(AND(L447="",H447=""),"",
IF(H447="",Pole_Calc!A475,
IF(H447="MP",Pole_Calc!A476,
IF(H447="AnMP",Pole_Calc!A477,
IF(H447="A",Pole_Calc!A478,
IF(H447="S/A",Pole_Calc!A479,
IF(H447="A/S",Pole_Calc!A480,"Poner a mano")))))))</f>
        <v/>
      </c>
      <c r="BE447" s="448" t="s">
        <v>1726</v>
      </c>
      <c r="BF447" s="635"/>
      <c r="BG447" s="635"/>
      <c r="BH447" s="634"/>
      <c r="BI447" s="635"/>
    </row>
    <row r="448" spans="1:61" ht="16.2" customHeight="1">
      <c r="A448" s="12"/>
      <c r="B448" s="446"/>
      <c r="C448" s="89"/>
      <c r="D448" s="13"/>
      <c r="E448" s="14"/>
      <c r="F448" s="14"/>
      <c r="G448" s="15"/>
      <c r="H448" s="8"/>
      <c r="I448" s="8"/>
      <c r="J448" s="89"/>
      <c r="K448" s="8"/>
      <c r="L448" s="8"/>
      <c r="M448" s="8" t="str">
        <f>IF(L448="","",
IF(AX448="PT",VLOOKUP(L448,Foundation_Calc!$V$4:$X$37,VLOOKUP(AX448,Foundation_Calc!$I$10:$J$13,2,FALSE),0),
IF(AX448="K",VLOOKUP(L448,Foundation_Calc!$V$41:$X$74,VLOOKUP(AX448,Foundation_Calc!$I$10:$J$13,2,FALSE),0),"")))</f>
        <v/>
      </c>
      <c r="N448" s="8"/>
      <c r="O448" s="8"/>
      <c r="P448" s="8"/>
      <c r="Q448" s="14"/>
      <c r="R448" s="15"/>
      <c r="S448" s="15"/>
      <c r="T448" s="14"/>
      <c r="U448" s="14"/>
      <c r="V448" s="14"/>
      <c r="W448" s="18"/>
      <c r="X448" s="18"/>
      <c r="Y448" s="18"/>
      <c r="Z448" s="18"/>
      <c r="AA448" s="18"/>
      <c r="AB448" s="18"/>
      <c r="AC448" s="8" t="str">
        <f t="shared" si="94"/>
        <v/>
      </c>
      <c r="AD448" s="8"/>
      <c r="AE448" s="8"/>
      <c r="AF448" s="14"/>
      <c r="AG448" s="13"/>
      <c r="AH448" s="14"/>
      <c r="AI448" s="14"/>
      <c r="AJ448" s="8"/>
      <c r="AK448" s="8"/>
      <c r="AL448" s="8"/>
      <c r="AM448" s="8"/>
      <c r="AN448" s="631"/>
      <c r="AO448" s="18"/>
      <c r="AP448" s="18"/>
      <c r="AQ448" s="18"/>
      <c r="AR448" s="18"/>
      <c r="AS448" s="18"/>
      <c r="AU448" s="448"/>
      <c r="AV448" s="448"/>
      <c r="AW448" s="8" t="str">
        <f>IF(C448&gt;0,VLOOKUP(C448,Foundation_Calc!$A$2:$C$986,3,1),
IF(J448&gt;0,VLOOKUP(J448,Foundation_Calc!$A$2:$C$986,3,1),""))</f>
        <v/>
      </c>
      <c r="AX448" s="8" t="str">
        <f>IF(C448&gt;0,VLOOKUP(C448,Foundation_Calc!$E$2:$G$986,3,1),
IF(J448&gt;0,VLOOKUP(J448,Foundation_Calc!$E$2:$G$986,3,1),""))</f>
        <v/>
      </c>
      <c r="AY448" s="631" t="str">
        <f>IF(L448="","",
IF(AX448="PT",VLOOKUP(L448,Foundation_Calc!$K$4:$R$37,VLOOKUP(AW448,Foundation_Calc!$I$2:$J$8,2,FALSE),0),
IF(AX448="K",VLOOKUP(L448,Foundation_Calc!$K$41:$R$74,VLOOKUP(AW448,Foundation_Calc!$I$2:$J$8,2,FALSE),0),"")))</f>
        <v/>
      </c>
      <c r="AZ448" s="631" t="str">
        <f>IF(K448="","",
IF(AX448="PT",VLOOKUP(K448,Foundation_Calc!$K$4:$R$37,VLOOKUP(AW448,Foundation_Calc!$I$2:$J$8,2,FALSE),0),
IF(AX448="K",VLOOKUP(K448,Foundation_Calc!$K$41:$R$74,VLOOKUP(AW448,Foundation_Calc!$I$2:$J$8,2,FALSE),0),"")))</f>
        <v/>
      </c>
      <c r="BA448" s="632" t="str">
        <f t="shared" si="95"/>
        <v/>
      </c>
      <c r="BB448" s="632" t="str">
        <f t="shared" si="96"/>
        <v/>
      </c>
      <c r="BC448" s="632" t="str">
        <f t="shared" si="97"/>
        <v/>
      </c>
      <c r="BD448" s="633" t="str">
        <f>IF(AND(L448="",H448=""),"",
IF(H448="",Pole_Calc!A476,
IF(H448="MP",Pole_Calc!A477,
IF(H448="AnMP",Pole_Calc!A478,
IF(H448="A",Pole_Calc!A479,
IF(H448="S/A",Pole_Calc!A480,
IF(H448="A/S",Pole_Calc!A481,"Poner a mano")))))))</f>
        <v/>
      </c>
      <c r="BE448" s="448" t="s">
        <v>1726</v>
      </c>
      <c r="BF448" s="634"/>
      <c r="BG448" s="634"/>
      <c r="BH448" s="634"/>
      <c r="BI448" s="634"/>
    </row>
    <row r="449" spans="1:61" ht="16.2" customHeight="1">
      <c r="A449" s="12"/>
      <c r="B449" s="446"/>
      <c r="C449" s="89"/>
      <c r="D449" s="13"/>
      <c r="E449" s="14"/>
      <c r="F449" s="14"/>
      <c r="G449" s="15"/>
      <c r="H449" s="8"/>
      <c r="I449" s="8"/>
      <c r="J449" s="89"/>
      <c r="K449" s="8"/>
      <c r="L449" s="8"/>
      <c r="M449" s="8" t="str">
        <f>IF(L449="","",
IF(AX449="PT",VLOOKUP(L449,Foundation_Calc!$V$4:$X$37,VLOOKUP(AX449,Foundation_Calc!$I$10:$J$13,2,FALSE),0),
IF(AX449="K",VLOOKUP(L449,Foundation_Calc!$V$41:$X$74,VLOOKUP(AX449,Foundation_Calc!$I$10:$J$13,2,FALSE),0),"")))</f>
        <v/>
      </c>
      <c r="N449" s="8"/>
      <c r="O449" s="8"/>
      <c r="P449" s="8"/>
      <c r="Q449" s="14"/>
      <c r="R449" s="15"/>
      <c r="S449" s="15"/>
      <c r="T449" s="14"/>
      <c r="U449" s="14"/>
      <c r="V449" s="14"/>
      <c r="W449" s="18"/>
      <c r="X449" s="18"/>
      <c r="Y449" s="18"/>
      <c r="Z449" s="18"/>
      <c r="AA449" s="18"/>
      <c r="AB449" s="18"/>
      <c r="AC449" s="8" t="str">
        <f t="shared" si="94"/>
        <v/>
      </c>
      <c r="AD449" s="8"/>
      <c r="AE449" s="8"/>
      <c r="AF449" s="14"/>
      <c r="AG449" s="13"/>
      <c r="AH449" s="14"/>
      <c r="AI449" s="14"/>
      <c r="AJ449" s="8"/>
      <c r="AK449" s="8"/>
      <c r="AL449" s="8"/>
      <c r="AM449" s="8"/>
      <c r="AN449" s="631"/>
      <c r="AO449" s="18"/>
      <c r="AP449" s="18"/>
      <c r="AQ449" s="18"/>
      <c r="AR449" s="18"/>
      <c r="AS449" s="18"/>
      <c r="AU449" s="448"/>
      <c r="AV449" s="448"/>
      <c r="AW449" s="8" t="str">
        <f>IF(C449&gt;0,VLOOKUP(C449,Foundation_Calc!$A$2:$C$986,3,1),
IF(J449&gt;0,VLOOKUP(J449,Foundation_Calc!$A$2:$C$986,3,1),""))</f>
        <v/>
      </c>
      <c r="AX449" s="8" t="str">
        <f>IF(C449&gt;0,VLOOKUP(C449,Foundation_Calc!$E$2:$G$986,3,1),
IF(J449&gt;0,VLOOKUP(J449,Foundation_Calc!$E$2:$G$986,3,1),""))</f>
        <v/>
      </c>
      <c r="AY449" s="631" t="str">
        <f>IF(L449="","",
IF(AX449="PT",VLOOKUP(L449,Foundation_Calc!$K$4:$R$37,VLOOKUP(AW449,Foundation_Calc!$I$2:$J$8,2,FALSE),0),
IF(AX449="K",VLOOKUP(L449,Foundation_Calc!$K$41:$R$74,VLOOKUP(AW449,Foundation_Calc!$I$2:$J$8,2,FALSE),0),"")))</f>
        <v/>
      </c>
      <c r="AZ449" s="631" t="str">
        <f>IF(K449="","",
IF(AX449="PT",VLOOKUP(K449,Foundation_Calc!$K$4:$R$37,VLOOKUP(AW449,Foundation_Calc!$I$2:$J$8,2,FALSE),0),
IF(AX449="K",VLOOKUP(K449,Foundation_Calc!$K$41:$R$74,VLOOKUP(AW449,Foundation_Calc!$I$2:$J$8,2,FALSE),0),"")))</f>
        <v/>
      </c>
      <c r="BA449" s="632" t="str">
        <f t="shared" si="95"/>
        <v/>
      </c>
      <c r="BB449" s="632" t="str">
        <f t="shared" si="96"/>
        <v/>
      </c>
      <c r="BC449" s="632" t="str">
        <f t="shared" si="97"/>
        <v/>
      </c>
      <c r="BD449" s="633" t="str">
        <f>IF(AND(L449="",H449=""),"",
IF(H449="",Pole_Calc!A477,
IF(H449="MP",Pole_Calc!A478,
IF(H449="AnMP",Pole_Calc!A479,
IF(H449="A",Pole_Calc!A480,
IF(H449="S/A",Pole_Calc!A481,
IF(H449="A/S",Pole_Calc!A482,"Poner a mano")))))))</f>
        <v/>
      </c>
      <c r="BE449" s="448" t="s">
        <v>1726</v>
      </c>
      <c r="BF449" s="635"/>
      <c r="BG449" s="635"/>
      <c r="BH449" s="634"/>
      <c r="BI449" s="635"/>
    </row>
    <row r="450" spans="1:61" ht="16.2" customHeight="1">
      <c r="A450" s="12"/>
      <c r="B450" s="446"/>
      <c r="C450" s="89"/>
      <c r="D450" s="13"/>
      <c r="E450" s="14"/>
      <c r="F450" s="14"/>
      <c r="G450" s="15"/>
      <c r="H450" s="8"/>
      <c r="I450" s="8"/>
      <c r="J450" s="89"/>
      <c r="K450" s="8"/>
      <c r="L450" s="8"/>
      <c r="M450" s="8" t="str">
        <f>IF(L450="","",
IF(AX450="PT",VLOOKUP(L450,Foundation_Calc!$V$4:$X$37,VLOOKUP(AX450,Foundation_Calc!$I$10:$J$13,2,FALSE),0),
IF(AX450="K",VLOOKUP(L450,Foundation_Calc!$V$41:$X$74,VLOOKUP(AX450,Foundation_Calc!$I$10:$J$13,2,FALSE),0),"")))</f>
        <v/>
      </c>
      <c r="N450" s="8"/>
      <c r="O450" s="8"/>
      <c r="P450" s="8"/>
      <c r="Q450" s="14"/>
      <c r="R450" s="15"/>
      <c r="S450" s="15"/>
      <c r="T450" s="14"/>
      <c r="U450" s="14"/>
      <c r="V450" s="14"/>
      <c r="W450" s="18"/>
      <c r="X450" s="18"/>
      <c r="Y450" s="18"/>
      <c r="Z450" s="18"/>
      <c r="AA450" s="18"/>
      <c r="AB450" s="18"/>
      <c r="AC450" s="8" t="str">
        <f t="shared" si="94"/>
        <v/>
      </c>
      <c r="AD450" s="8"/>
      <c r="AE450" s="8"/>
      <c r="AF450" s="14"/>
      <c r="AG450" s="13"/>
      <c r="AH450" s="14"/>
      <c r="AI450" s="14"/>
      <c r="AJ450" s="8"/>
      <c r="AK450" s="8"/>
      <c r="AL450" s="8"/>
      <c r="AM450" s="8"/>
      <c r="AN450" s="631"/>
      <c r="AO450" s="18"/>
      <c r="AP450" s="18"/>
      <c r="AQ450" s="18"/>
      <c r="AR450" s="18"/>
      <c r="AS450" s="18"/>
      <c r="AU450" s="448"/>
      <c r="AV450" s="448"/>
      <c r="AW450" s="8" t="str">
        <f>IF(C450&gt;0,VLOOKUP(C450,Foundation_Calc!$A$2:$C$986,3,1),
IF(J450&gt;0,VLOOKUP(J450,Foundation_Calc!$A$2:$C$986,3,1),""))</f>
        <v/>
      </c>
      <c r="AX450" s="8" t="str">
        <f>IF(C450&gt;0,VLOOKUP(C450,Foundation_Calc!$E$2:$G$986,3,1),
IF(J450&gt;0,VLOOKUP(J450,Foundation_Calc!$E$2:$G$986,3,1),""))</f>
        <v/>
      </c>
      <c r="AY450" s="631" t="str">
        <f>IF(L450="","",
IF(AX450="PT",VLOOKUP(L450,Foundation_Calc!$K$4:$R$37,VLOOKUP(AW450,Foundation_Calc!$I$2:$J$8,2,FALSE),0),
IF(AX450="K",VLOOKUP(L450,Foundation_Calc!$K$41:$R$74,VLOOKUP(AW450,Foundation_Calc!$I$2:$J$8,2,FALSE),0),"")))</f>
        <v/>
      </c>
      <c r="AZ450" s="631" t="str">
        <f>IF(K450="","",
IF(AX450="PT",VLOOKUP(K450,Foundation_Calc!$K$4:$R$37,VLOOKUP(AW450,Foundation_Calc!$I$2:$J$8,2,FALSE),0),
IF(AX450="K",VLOOKUP(K450,Foundation_Calc!$K$41:$R$74,VLOOKUP(AW450,Foundation_Calc!$I$2:$J$8,2,FALSE),0),"")))</f>
        <v/>
      </c>
      <c r="BA450" s="632" t="str">
        <f t="shared" si="95"/>
        <v/>
      </c>
      <c r="BB450" s="632" t="str">
        <f t="shared" si="96"/>
        <v/>
      </c>
      <c r="BC450" s="632" t="str">
        <f t="shared" si="97"/>
        <v/>
      </c>
      <c r="BD450" s="633" t="str">
        <f>IF(AND(L450="",H450=""),"",
IF(H450="",Pole_Calc!A478,
IF(H450="MP",Pole_Calc!A479,
IF(H450="AnMP",Pole_Calc!A480,
IF(H450="A",Pole_Calc!A481,
IF(H450="S/A",Pole_Calc!A482,
IF(H450="A/S",Pole_Calc!A483,"Poner a mano")))))))</f>
        <v/>
      </c>
      <c r="BE450" s="448" t="s">
        <v>1726</v>
      </c>
      <c r="BF450" s="634"/>
      <c r="BG450" s="634"/>
      <c r="BH450" s="634"/>
      <c r="BI450" s="634"/>
    </row>
    <row r="451" spans="1:61" ht="16.2" customHeight="1">
      <c r="A451" s="12"/>
      <c r="B451" s="446"/>
      <c r="C451" s="89"/>
      <c r="D451" s="13"/>
      <c r="E451" s="14"/>
      <c r="F451" s="14"/>
      <c r="G451" s="15"/>
      <c r="H451" s="8"/>
      <c r="I451" s="8"/>
      <c r="J451" s="89"/>
      <c r="K451" s="8"/>
      <c r="L451" s="8"/>
      <c r="M451" s="8" t="str">
        <f>IF(L451="","",
IF(AX451="PT",VLOOKUP(L451,Foundation_Calc!$V$4:$X$37,VLOOKUP(AX451,Foundation_Calc!$I$10:$J$13,2,FALSE),0),
IF(AX451="K",VLOOKUP(L451,Foundation_Calc!$V$41:$X$74,VLOOKUP(AX451,Foundation_Calc!$I$10:$J$13,2,FALSE),0),"")))</f>
        <v/>
      </c>
      <c r="N451" s="8"/>
      <c r="O451" s="8"/>
      <c r="P451" s="8"/>
      <c r="Q451" s="14"/>
      <c r="R451" s="15"/>
      <c r="S451" s="15"/>
      <c r="T451" s="14"/>
      <c r="U451" s="14"/>
      <c r="V451" s="14"/>
      <c r="W451" s="18"/>
      <c r="X451" s="18"/>
      <c r="Y451" s="18"/>
      <c r="Z451" s="18"/>
      <c r="AA451" s="18"/>
      <c r="AB451" s="18"/>
      <c r="AC451" s="8" t="str">
        <f t="shared" si="94"/>
        <v/>
      </c>
      <c r="AD451" s="8"/>
      <c r="AE451" s="8"/>
      <c r="AF451" s="14"/>
      <c r="AG451" s="13"/>
      <c r="AH451" s="14"/>
      <c r="AI451" s="14"/>
      <c r="AJ451" s="8"/>
      <c r="AK451" s="8"/>
      <c r="AL451" s="8"/>
      <c r="AM451" s="8"/>
      <c r="AN451" s="631"/>
      <c r="AO451" s="18"/>
      <c r="AP451" s="18"/>
      <c r="AQ451" s="18"/>
      <c r="AR451" s="18"/>
      <c r="AS451" s="18"/>
      <c r="AU451" s="448"/>
      <c r="AV451" s="448"/>
      <c r="AW451" s="8" t="str">
        <f>IF(C451&gt;0,VLOOKUP(C451,Foundation_Calc!$A$2:$C$986,3,1),
IF(J451&gt;0,VLOOKUP(J451,Foundation_Calc!$A$2:$C$986,3,1),""))</f>
        <v/>
      </c>
      <c r="AX451" s="8" t="str">
        <f>IF(C451&gt;0,VLOOKUP(C451,Foundation_Calc!$E$2:$G$986,3,1),
IF(J451&gt;0,VLOOKUP(J451,Foundation_Calc!$E$2:$G$986,3,1),""))</f>
        <v/>
      </c>
      <c r="AY451" s="631" t="str">
        <f>IF(L451="","",
IF(AX451="PT",VLOOKUP(L451,Foundation_Calc!$K$4:$R$37,VLOOKUP(AW451,Foundation_Calc!$I$2:$J$8,2,FALSE),0),
IF(AX451="K",VLOOKUP(L451,Foundation_Calc!$K$41:$R$74,VLOOKUP(AW451,Foundation_Calc!$I$2:$J$8,2,FALSE),0),"")))</f>
        <v/>
      </c>
      <c r="AZ451" s="631" t="str">
        <f>IF(K451="","",
IF(AX451="PT",VLOOKUP(K451,Foundation_Calc!$K$4:$R$37,VLOOKUP(AW451,Foundation_Calc!$I$2:$J$8,2,FALSE),0),
IF(AX451="K",VLOOKUP(K451,Foundation_Calc!$K$41:$R$74,VLOOKUP(AW451,Foundation_Calc!$I$2:$J$8,2,FALSE),0),"")))</f>
        <v/>
      </c>
      <c r="BA451" s="632" t="str">
        <f t="shared" si="95"/>
        <v/>
      </c>
      <c r="BB451" s="632" t="str">
        <f t="shared" si="96"/>
        <v/>
      </c>
      <c r="BC451" s="632" t="str">
        <f t="shared" si="97"/>
        <v/>
      </c>
      <c r="BD451" s="633" t="str">
        <f>IF(AND(L451="",H451=""),"",
IF(H451="",Pole_Calc!A479,
IF(H451="MP",Pole_Calc!A480,
IF(H451="AnMP",Pole_Calc!A481,
IF(H451="A",Pole_Calc!A482,
IF(H451="S/A",Pole_Calc!A483,
IF(H451="A/S",Pole_Calc!A484,"Poner a mano")))))))</f>
        <v/>
      </c>
      <c r="BE451" s="448" t="s">
        <v>1726</v>
      </c>
      <c r="BF451" s="635"/>
      <c r="BG451" s="635"/>
      <c r="BH451" s="634"/>
      <c r="BI451" s="635"/>
    </row>
    <row r="452" spans="1:61" ht="16.2" customHeight="1">
      <c r="A452" s="12"/>
      <c r="B452" s="446"/>
      <c r="C452" s="89"/>
      <c r="D452" s="13"/>
      <c r="E452" s="14"/>
      <c r="F452" s="14"/>
      <c r="G452" s="15"/>
      <c r="H452" s="8"/>
      <c r="I452" s="8"/>
      <c r="J452" s="89"/>
      <c r="K452" s="8"/>
      <c r="L452" s="8"/>
      <c r="M452" s="8" t="str">
        <f>IF(L452="","",
IF(AX452="PT",VLOOKUP(L452,Foundation_Calc!$V$4:$X$37,VLOOKUP(AX452,Foundation_Calc!$I$10:$J$13,2,FALSE),0),
IF(AX452="K",VLOOKUP(L452,Foundation_Calc!$V$41:$X$74,VLOOKUP(AX452,Foundation_Calc!$I$10:$J$13,2,FALSE),0),"")))</f>
        <v/>
      </c>
      <c r="N452" s="8"/>
      <c r="O452" s="8"/>
      <c r="P452" s="8"/>
      <c r="Q452" s="14"/>
      <c r="R452" s="15"/>
      <c r="S452" s="15"/>
      <c r="T452" s="14"/>
      <c r="U452" s="14"/>
      <c r="V452" s="14"/>
      <c r="W452" s="18"/>
      <c r="X452" s="18"/>
      <c r="Y452" s="18"/>
      <c r="Z452" s="18"/>
      <c r="AA452" s="18"/>
      <c r="AB452" s="18"/>
      <c r="AC452" s="8" t="str">
        <f t="shared" si="94"/>
        <v/>
      </c>
      <c r="AD452" s="8"/>
      <c r="AE452" s="8"/>
      <c r="AF452" s="14"/>
      <c r="AG452" s="13"/>
      <c r="AH452" s="14"/>
      <c r="AI452" s="14"/>
      <c r="AJ452" s="8"/>
      <c r="AK452" s="8"/>
      <c r="AL452" s="8"/>
      <c r="AM452" s="8"/>
      <c r="AN452" s="631"/>
      <c r="AO452" s="18"/>
      <c r="AP452" s="18"/>
      <c r="AQ452" s="18"/>
      <c r="AR452" s="18"/>
      <c r="AS452" s="18"/>
      <c r="AU452" s="448"/>
      <c r="AV452" s="448"/>
      <c r="AW452" s="8" t="str">
        <f>IF(C452&gt;0,VLOOKUP(C452,Foundation_Calc!$A$2:$C$986,3,1),
IF(J452&gt;0,VLOOKUP(J452,Foundation_Calc!$A$2:$C$986,3,1),""))</f>
        <v/>
      </c>
      <c r="AX452" s="8" t="str">
        <f>IF(C452&gt;0,VLOOKUP(C452,Foundation_Calc!$E$2:$G$986,3,1),
IF(J452&gt;0,VLOOKUP(J452,Foundation_Calc!$E$2:$G$986,3,1),""))</f>
        <v/>
      </c>
      <c r="AY452" s="631" t="str">
        <f>IF(L452="","",
IF(AX452="PT",VLOOKUP(L452,Foundation_Calc!$K$4:$R$37,VLOOKUP(AW452,Foundation_Calc!$I$2:$J$8,2,FALSE),0),
IF(AX452="K",VLOOKUP(L452,Foundation_Calc!$K$41:$R$74,VLOOKUP(AW452,Foundation_Calc!$I$2:$J$8,2,FALSE),0),"")))</f>
        <v/>
      </c>
      <c r="AZ452" s="631" t="str">
        <f>IF(K452="","",
IF(AX452="PT",VLOOKUP(K452,Foundation_Calc!$K$4:$R$37,VLOOKUP(AW452,Foundation_Calc!$I$2:$J$8,2,FALSE),0),
IF(AX452="K",VLOOKUP(K452,Foundation_Calc!$K$41:$R$74,VLOOKUP(AW452,Foundation_Calc!$I$2:$J$8,2,FALSE),0),"")))</f>
        <v/>
      </c>
      <c r="BA452" s="632" t="str">
        <f t="shared" si="95"/>
        <v/>
      </c>
      <c r="BB452" s="632" t="str">
        <f t="shared" si="96"/>
        <v/>
      </c>
      <c r="BC452" s="632" t="str">
        <f t="shared" si="97"/>
        <v/>
      </c>
      <c r="BD452" s="633" t="str">
        <f>IF(AND(L452="",H452=""),"",
IF(H452="",Pole_Calc!A480,
IF(H452="MP",Pole_Calc!A481,
IF(H452="AnMP",Pole_Calc!A482,
IF(H452="A",Pole_Calc!A483,
IF(H452="S/A",Pole_Calc!A484,
IF(H452="A/S",Pole_Calc!A485,"Poner a mano")))))))</f>
        <v/>
      </c>
      <c r="BE452" s="448" t="s">
        <v>1726</v>
      </c>
      <c r="BF452" s="634"/>
      <c r="BG452" s="634"/>
      <c r="BH452" s="634"/>
      <c r="BI452" s="634"/>
    </row>
    <row r="453" spans="1:61" ht="16.2" customHeight="1">
      <c r="A453" s="12"/>
      <c r="B453" s="446"/>
      <c r="C453" s="89"/>
      <c r="D453" s="13"/>
      <c r="E453" s="14"/>
      <c r="F453" s="14"/>
      <c r="G453" s="15"/>
      <c r="H453" s="8"/>
      <c r="I453" s="8"/>
      <c r="J453" s="89"/>
      <c r="K453" s="8"/>
      <c r="L453" s="8"/>
      <c r="M453" s="8" t="str">
        <f>IF(L453="","",
IF(AX453="PT",VLOOKUP(L453,Foundation_Calc!$V$4:$X$37,VLOOKUP(AX453,Foundation_Calc!$I$10:$J$13,2,FALSE),0),
IF(AX453="K",VLOOKUP(L453,Foundation_Calc!$V$41:$X$74,VLOOKUP(AX453,Foundation_Calc!$I$10:$J$13,2,FALSE),0),"")))</f>
        <v/>
      </c>
      <c r="N453" s="8"/>
      <c r="O453" s="8"/>
      <c r="P453" s="8"/>
      <c r="Q453" s="14"/>
      <c r="R453" s="15"/>
      <c r="S453" s="15"/>
      <c r="T453" s="14"/>
      <c r="U453" s="14"/>
      <c r="V453" s="14"/>
      <c r="W453" s="18"/>
      <c r="X453" s="18"/>
      <c r="Y453" s="18"/>
      <c r="Z453" s="18"/>
      <c r="AA453" s="18"/>
      <c r="AB453" s="18"/>
      <c r="AC453" s="8" t="str">
        <f t="shared" si="94"/>
        <v/>
      </c>
      <c r="AD453" s="8"/>
      <c r="AE453" s="8"/>
      <c r="AF453" s="14"/>
      <c r="AG453" s="13"/>
      <c r="AH453" s="14"/>
      <c r="AI453" s="14"/>
      <c r="AJ453" s="8"/>
      <c r="AK453" s="8"/>
      <c r="AL453" s="8"/>
      <c r="AM453" s="8"/>
      <c r="AN453" s="631"/>
      <c r="AO453" s="18"/>
      <c r="AP453" s="18"/>
      <c r="AQ453" s="18"/>
      <c r="AR453" s="18"/>
      <c r="AS453" s="18"/>
      <c r="AU453" s="448"/>
      <c r="AV453" s="448"/>
      <c r="AW453" s="8" t="str">
        <f>IF(C453&gt;0,VLOOKUP(C453,Foundation_Calc!$A$2:$C$986,3,1),
IF(J453&gt;0,VLOOKUP(J453,Foundation_Calc!$A$2:$C$986,3,1),""))</f>
        <v/>
      </c>
      <c r="AX453" s="8" t="str">
        <f>IF(C453&gt;0,VLOOKUP(C453,Foundation_Calc!$E$2:$G$986,3,1),
IF(J453&gt;0,VLOOKUP(J453,Foundation_Calc!$E$2:$G$986,3,1),""))</f>
        <v/>
      </c>
      <c r="AY453" s="631" t="str">
        <f>IF(L453="","",
IF(AX453="PT",VLOOKUP(L453,Foundation_Calc!$K$4:$R$37,VLOOKUP(AW453,Foundation_Calc!$I$2:$J$8,2,FALSE),0),
IF(AX453="K",VLOOKUP(L453,Foundation_Calc!$K$41:$R$74,VLOOKUP(AW453,Foundation_Calc!$I$2:$J$8,2,FALSE),0),"")))</f>
        <v/>
      </c>
      <c r="AZ453" s="631" t="str">
        <f>IF(K453="","",
IF(AX453="PT",VLOOKUP(K453,Foundation_Calc!$K$4:$R$37,VLOOKUP(AW453,Foundation_Calc!$I$2:$J$8,2,FALSE),0),
IF(AX453="K",VLOOKUP(K453,Foundation_Calc!$K$41:$R$74,VLOOKUP(AW453,Foundation_Calc!$I$2:$J$8,2,FALSE),0),"")))</f>
        <v/>
      </c>
      <c r="BA453" s="632" t="str">
        <f t="shared" si="95"/>
        <v/>
      </c>
      <c r="BB453" s="632" t="str">
        <f t="shared" si="96"/>
        <v/>
      </c>
      <c r="BC453" s="632" t="str">
        <f t="shared" si="97"/>
        <v/>
      </c>
      <c r="BD453" s="633" t="str">
        <f>IF(AND(L453="",H453=""),"",
IF(H453="",Pole_Calc!A481,
IF(H453="MP",Pole_Calc!A482,
IF(H453="AnMP",Pole_Calc!A483,
IF(H453="A",Pole_Calc!A484,
IF(H453="S/A",Pole_Calc!A485,
IF(H453="A/S",Pole_Calc!A486,"Poner a mano")))))))</f>
        <v/>
      </c>
      <c r="BE453" s="448" t="s">
        <v>1726</v>
      </c>
      <c r="BF453" s="635"/>
      <c r="BG453" s="635"/>
      <c r="BH453" s="634"/>
      <c r="BI453" s="635"/>
    </row>
    <row r="454" spans="1:61" ht="16.2" customHeight="1">
      <c r="A454" s="12"/>
      <c r="B454" s="446"/>
      <c r="C454" s="89"/>
      <c r="D454" s="13"/>
      <c r="E454" s="14"/>
      <c r="F454" s="14"/>
      <c r="G454" s="15"/>
      <c r="H454" s="8"/>
      <c r="I454" s="8"/>
      <c r="J454" s="89"/>
      <c r="K454" s="8"/>
      <c r="L454" s="8"/>
      <c r="M454" s="8" t="str">
        <f>IF(L454="","",
IF(AX454="PT",VLOOKUP(L454,Foundation_Calc!$V$4:$X$37,VLOOKUP(AX454,Foundation_Calc!$I$10:$J$13,2,FALSE),0),
IF(AX454="K",VLOOKUP(L454,Foundation_Calc!$V$41:$X$74,VLOOKUP(AX454,Foundation_Calc!$I$10:$J$13,2,FALSE),0),"")))</f>
        <v/>
      </c>
      <c r="N454" s="8"/>
      <c r="O454" s="8"/>
      <c r="P454" s="8"/>
      <c r="Q454" s="14"/>
      <c r="R454" s="15"/>
      <c r="S454" s="15"/>
      <c r="T454" s="14"/>
      <c r="U454" s="14"/>
      <c r="V454" s="14"/>
      <c r="W454" s="18"/>
      <c r="X454" s="18"/>
      <c r="Y454" s="18"/>
      <c r="Z454" s="18"/>
      <c r="AA454" s="18"/>
      <c r="AB454" s="18"/>
      <c r="AC454" s="8" t="str">
        <f t="shared" ref="AC454:AC517" si="98">IF(OR(AT454&gt;8,AT454&lt;-8),"PH",
IF(OR(AT454&gt;5,AT454&lt;-5),"PHQ",
IF(OR(AT454&gt;1,AT454&lt;-1),
"PHC","")))</f>
        <v/>
      </c>
      <c r="AD454" s="8"/>
      <c r="AE454" s="8"/>
      <c r="AF454" s="14"/>
      <c r="AG454" s="13"/>
      <c r="AH454" s="14"/>
      <c r="AI454" s="14"/>
      <c r="AJ454" s="8"/>
      <c r="AK454" s="8"/>
      <c r="AL454" s="8"/>
      <c r="AM454" s="8"/>
      <c r="AN454" s="631"/>
      <c r="AO454" s="18"/>
      <c r="AP454" s="18"/>
      <c r="AQ454" s="18"/>
      <c r="AR454" s="18"/>
      <c r="AS454" s="18"/>
      <c r="AU454" s="448"/>
      <c r="AV454" s="448"/>
      <c r="AW454" s="8" t="str">
        <f>IF(C454&gt;0,VLOOKUP(C454,Foundation_Calc!$A$2:$C$986,3,1),
IF(J454&gt;0,VLOOKUP(J454,Foundation_Calc!$A$2:$C$986,3,1),""))</f>
        <v/>
      </c>
      <c r="AX454" s="8" t="str">
        <f>IF(C454&gt;0,VLOOKUP(C454,Foundation_Calc!$E$2:$G$986,3,1),
IF(J454&gt;0,VLOOKUP(J454,Foundation_Calc!$E$2:$G$986,3,1),""))</f>
        <v/>
      </c>
      <c r="AY454" s="631" t="str">
        <f>IF(L454="","",
IF(AX454="PT",VLOOKUP(L454,Foundation_Calc!$K$4:$R$37,VLOOKUP(AW454,Foundation_Calc!$I$2:$J$8,2,FALSE),0),
IF(AX454="K",VLOOKUP(L454,Foundation_Calc!$K$41:$R$74,VLOOKUP(AW454,Foundation_Calc!$I$2:$J$8,2,FALSE),0),"")))</f>
        <v/>
      </c>
      <c r="AZ454" s="631" t="str">
        <f>IF(K454="","",
IF(AX454="PT",VLOOKUP(K454,Foundation_Calc!$K$4:$R$37,VLOOKUP(AW454,Foundation_Calc!$I$2:$J$8,2,FALSE),0),
IF(AX454="K",VLOOKUP(K454,Foundation_Calc!$K$41:$R$74,VLOOKUP(AW454,Foundation_Calc!$I$2:$J$8,2,FALSE),0),"")))</f>
        <v/>
      </c>
      <c r="BA454" s="632" t="str">
        <f t="shared" ref="BA454:BA517" si="99">IF(AY454="","",IF(AY454&gt;0,"ü",""))</f>
        <v/>
      </c>
      <c r="BB454" s="632" t="str">
        <f t="shared" ref="BB454:BB517" si="100">IF(AZ454="","",IF(AZ454&gt;0,"ü",""))</f>
        <v/>
      </c>
      <c r="BC454" s="632" t="str">
        <f t="shared" ref="BC454:BC517" si="101">IF(M454="","",IF(M454="Unique Solution","ü",""))</f>
        <v/>
      </c>
      <c r="BD454" s="633" t="str">
        <f>IF(AND(L454="",H454=""),"",
IF(H454="",Pole_Calc!A482,
IF(H454="MP",Pole_Calc!A483,
IF(H454="AnMP",Pole_Calc!A484,
IF(H454="A",Pole_Calc!A485,
IF(H454="S/A",Pole_Calc!A486,
IF(H454="A/S",Pole_Calc!A487,"Poner a mano")))))))</f>
        <v/>
      </c>
      <c r="BE454" s="448" t="s">
        <v>1726</v>
      </c>
      <c r="BF454" s="634"/>
      <c r="BG454" s="634"/>
      <c r="BH454" s="634"/>
      <c r="BI454" s="634"/>
    </row>
    <row r="455" spans="1:61" ht="16.2" customHeight="1">
      <c r="A455" s="12"/>
      <c r="B455" s="446"/>
      <c r="C455" s="89"/>
      <c r="D455" s="13"/>
      <c r="E455" s="14"/>
      <c r="F455" s="14"/>
      <c r="G455" s="15"/>
      <c r="H455" s="8"/>
      <c r="I455" s="8"/>
      <c r="J455" s="89"/>
      <c r="K455" s="8"/>
      <c r="L455" s="8"/>
      <c r="M455" s="8" t="str">
        <f>IF(L455="","",
IF(AX455="PT",VLOOKUP(L455,Foundation_Calc!$V$4:$X$37,VLOOKUP(AX455,Foundation_Calc!$I$10:$J$13,2,FALSE),0),
IF(AX455="K",VLOOKUP(L455,Foundation_Calc!$V$41:$X$74,VLOOKUP(AX455,Foundation_Calc!$I$10:$J$13,2,FALSE),0),"")))</f>
        <v/>
      </c>
      <c r="N455" s="8"/>
      <c r="O455" s="8"/>
      <c r="P455" s="8"/>
      <c r="Q455" s="14"/>
      <c r="R455" s="15"/>
      <c r="S455" s="15"/>
      <c r="T455" s="14"/>
      <c r="U455" s="14"/>
      <c r="V455" s="14"/>
      <c r="W455" s="18"/>
      <c r="X455" s="18"/>
      <c r="Y455" s="18"/>
      <c r="Z455" s="18"/>
      <c r="AA455" s="18"/>
      <c r="AB455" s="18"/>
      <c r="AC455" s="8" t="str">
        <f t="shared" si="98"/>
        <v/>
      </c>
      <c r="AD455" s="8"/>
      <c r="AE455" s="8"/>
      <c r="AF455" s="14"/>
      <c r="AG455" s="13"/>
      <c r="AH455" s="14"/>
      <c r="AI455" s="14"/>
      <c r="AJ455" s="8"/>
      <c r="AK455" s="8"/>
      <c r="AL455" s="8"/>
      <c r="AM455" s="8"/>
      <c r="AN455" s="631"/>
      <c r="AO455" s="18"/>
      <c r="AP455" s="18"/>
      <c r="AQ455" s="18"/>
      <c r="AR455" s="18"/>
      <c r="AS455" s="18"/>
      <c r="AU455" s="448"/>
      <c r="AV455" s="448"/>
      <c r="AW455" s="8" t="str">
        <f>IF(C455&gt;0,VLOOKUP(C455,Foundation_Calc!$A$2:$C$986,3,1),
IF(J455&gt;0,VLOOKUP(J455,Foundation_Calc!$A$2:$C$986,3,1),""))</f>
        <v/>
      </c>
      <c r="AX455" s="8" t="str">
        <f>IF(C455&gt;0,VLOOKUP(C455,Foundation_Calc!$E$2:$G$986,3,1),
IF(J455&gt;0,VLOOKUP(J455,Foundation_Calc!$E$2:$G$986,3,1),""))</f>
        <v/>
      </c>
      <c r="AY455" s="631" t="str">
        <f>IF(L455="","",
IF(AX455="PT",VLOOKUP(L455,Foundation_Calc!$K$4:$R$37,VLOOKUP(AW455,Foundation_Calc!$I$2:$J$8,2,FALSE),0),
IF(AX455="K",VLOOKUP(L455,Foundation_Calc!$K$41:$R$74,VLOOKUP(AW455,Foundation_Calc!$I$2:$J$8,2,FALSE),0),"")))</f>
        <v/>
      </c>
      <c r="AZ455" s="631" t="str">
        <f>IF(K455="","",
IF(AX455="PT",VLOOKUP(K455,Foundation_Calc!$K$4:$R$37,VLOOKUP(AW455,Foundation_Calc!$I$2:$J$8,2,FALSE),0),
IF(AX455="K",VLOOKUP(K455,Foundation_Calc!$K$41:$R$74,VLOOKUP(AW455,Foundation_Calc!$I$2:$J$8,2,FALSE),0),"")))</f>
        <v/>
      </c>
      <c r="BA455" s="632" t="str">
        <f t="shared" si="99"/>
        <v/>
      </c>
      <c r="BB455" s="632" t="str">
        <f t="shared" si="100"/>
        <v/>
      </c>
      <c r="BC455" s="632" t="str">
        <f t="shared" si="101"/>
        <v/>
      </c>
      <c r="BD455" s="633" t="str">
        <f>IF(AND(L455="",H455=""),"",
IF(H455="",Pole_Calc!A483,
IF(H455="MP",Pole_Calc!A484,
IF(H455="AnMP",Pole_Calc!A485,
IF(H455="A",Pole_Calc!A486,
IF(H455="S/A",Pole_Calc!A487,
IF(H455="A/S",Pole_Calc!A488,"Poner a mano")))))))</f>
        <v/>
      </c>
      <c r="BE455" s="448" t="s">
        <v>1726</v>
      </c>
      <c r="BF455" s="635"/>
      <c r="BG455" s="635"/>
      <c r="BH455" s="634"/>
      <c r="BI455" s="635"/>
    </row>
    <row r="456" spans="1:61" ht="16.2" customHeight="1">
      <c r="A456" s="12"/>
      <c r="B456" s="446"/>
      <c r="C456" s="89"/>
      <c r="D456" s="13"/>
      <c r="E456" s="14"/>
      <c r="F456" s="14"/>
      <c r="G456" s="15"/>
      <c r="H456" s="8"/>
      <c r="I456" s="8"/>
      <c r="J456" s="89"/>
      <c r="K456" s="8"/>
      <c r="L456" s="8"/>
      <c r="M456" s="8" t="str">
        <f>IF(L456="","",
IF(AX456="PT",VLOOKUP(L456,Foundation_Calc!$V$4:$X$37,VLOOKUP(AX456,Foundation_Calc!$I$10:$J$13,2,FALSE),0),
IF(AX456="K",VLOOKUP(L456,Foundation_Calc!$V$41:$X$74,VLOOKUP(AX456,Foundation_Calc!$I$10:$J$13,2,FALSE),0),"")))</f>
        <v/>
      </c>
      <c r="N456" s="8"/>
      <c r="O456" s="8"/>
      <c r="P456" s="8"/>
      <c r="Q456" s="14"/>
      <c r="R456" s="15"/>
      <c r="S456" s="15"/>
      <c r="T456" s="14"/>
      <c r="U456" s="14"/>
      <c r="V456" s="14"/>
      <c r="W456" s="18"/>
      <c r="X456" s="18"/>
      <c r="Y456" s="18"/>
      <c r="Z456" s="18"/>
      <c r="AA456" s="18"/>
      <c r="AB456" s="18"/>
      <c r="AC456" s="8" t="str">
        <f t="shared" si="98"/>
        <v/>
      </c>
      <c r="AD456" s="8"/>
      <c r="AE456" s="8"/>
      <c r="AF456" s="14"/>
      <c r="AG456" s="13"/>
      <c r="AH456" s="14"/>
      <c r="AI456" s="14"/>
      <c r="AJ456" s="8"/>
      <c r="AK456" s="8"/>
      <c r="AL456" s="8"/>
      <c r="AM456" s="8"/>
      <c r="AN456" s="631"/>
      <c r="AO456" s="18"/>
      <c r="AP456" s="18"/>
      <c r="AQ456" s="18"/>
      <c r="AR456" s="18"/>
      <c r="AS456" s="18"/>
      <c r="AU456" s="448"/>
      <c r="AV456" s="448"/>
      <c r="AW456" s="8" t="str">
        <f>IF(C456&gt;0,VLOOKUP(C456,Foundation_Calc!$A$2:$C$986,3,1),
IF(J456&gt;0,VLOOKUP(J456,Foundation_Calc!$A$2:$C$986,3,1),""))</f>
        <v/>
      </c>
      <c r="AX456" s="8" t="str">
        <f>IF(C456&gt;0,VLOOKUP(C456,Foundation_Calc!$E$2:$G$986,3,1),
IF(J456&gt;0,VLOOKUP(J456,Foundation_Calc!$E$2:$G$986,3,1),""))</f>
        <v/>
      </c>
      <c r="AY456" s="631" t="str">
        <f>IF(L456="","",
IF(AX456="PT",VLOOKUP(L456,Foundation_Calc!$K$4:$R$37,VLOOKUP(AW456,Foundation_Calc!$I$2:$J$8,2,FALSE),0),
IF(AX456="K",VLOOKUP(L456,Foundation_Calc!$K$41:$R$74,VLOOKUP(AW456,Foundation_Calc!$I$2:$J$8,2,FALSE),0),"")))</f>
        <v/>
      </c>
      <c r="AZ456" s="631" t="str">
        <f>IF(K456="","",
IF(AX456="PT",VLOOKUP(K456,Foundation_Calc!$K$4:$R$37,VLOOKUP(AW456,Foundation_Calc!$I$2:$J$8,2,FALSE),0),
IF(AX456="K",VLOOKUP(K456,Foundation_Calc!$K$41:$R$74,VLOOKUP(AW456,Foundation_Calc!$I$2:$J$8,2,FALSE),0),"")))</f>
        <v/>
      </c>
      <c r="BA456" s="632" t="str">
        <f t="shared" si="99"/>
        <v/>
      </c>
      <c r="BB456" s="632" t="str">
        <f t="shared" si="100"/>
        <v/>
      </c>
      <c r="BC456" s="632" t="str">
        <f t="shared" si="101"/>
        <v/>
      </c>
      <c r="BD456" s="633" t="str">
        <f>IF(AND(L456="",H456=""),"",
IF(H456="",Pole_Calc!A484,
IF(H456="MP",Pole_Calc!A485,
IF(H456="AnMP",Pole_Calc!A486,
IF(H456="A",Pole_Calc!A487,
IF(H456="S/A",Pole_Calc!A488,
IF(H456="A/S",Pole_Calc!A489,"Poner a mano")))))))</f>
        <v/>
      </c>
      <c r="BE456" s="448" t="s">
        <v>1726</v>
      </c>
      <c r="BF456" s="634"/>
      <c r="BG456" s="634"/>
      <c r="BH456" s="634"/>
      <c r="BI456" s="634"/>
    </row>
    <row r="457" spans="1:61" ht="16.2" customHeight="1">
      <c r="A457" s="12"/>
      <c r="B457" s="446"/>
      <c r="C457" s="89"/>
      <c r="D457" s="13"/>
      <c r="E457" s="14"/>
      <c r="F457" s="14"/>
      <c r="G457" s="15"/>
      <c r="H457" s="8"/>
      <c r="I457" s="8"/>
      <c r="J457" s="89"/>
      <c r="K457" s="8"/>
      <c r="L457" s="8"/>
      <c r="M457" s="8" t="str">
        <f>IF(L457="","",
IF(AX457="PT",VLOOKUP(L457,Foundation_Calc!$V$4:$X$37,VLOOKUP(AX457,Foundation_Calc!$I$10:$J$13,2,FALSE),0),
IF(AX457="K",VLOOKUP(L457,Foundation_Calc!$V$41:$X$74,VLOOKUP(AX457,Foundation_Calc!$I$10:$J$13,2,FALSE),0),"")))</f>
        <v/>
      </c>
      <c r="N457" s="8"/>
      <c r="O457" s="8"/>
      <c r="P457" s="8"/>
      <c r="Q457" s="14"/>
      <c r="R457" s="15"/>
      <c r="S457" s="15"/>
      <c r="T457" s="14"/>
      <c r="U457" s="14"/>
      <c r="V457" s="14"/>
      <c r="W457" s="18"/>
      <c r="X457" s="18"/>
      <c r="Y457" s="18"/>
      <c r="Z457" s="18"/>
      <c r="AA457" s="18"/>
      <c r="AB457" s="18"/>
      <c r="AC457" s="8" t="str">
        <f t="shared" si="98"/>
        <v/>
      </c>
      <c r="AD457" s="8"/>
      <c r="AE457" s="8"/>
      <c r="AF457" s="14"/>
      <c r="AG457" s="13"/>
      <c r="AH457" s="14"/>
      <c r="AI457" s="14"/>
      <c r="AJ457" s="8"/>
      <c r="AK457" s="8"/>
      <c r="AL457" s="8"/>
      <c r="AM457" s="8"/>
      <c r="AN457" s="631"/>
      <c r="AO457" s="18"/>
      <c r="AP457" s="18"/>
      <c r="AQ457" s="18"/>
      <c r="AR457" s="18"/>
      <c r="AS457" s="18"/>
      <c r="AU457" s="448"/>
      <c r="AV457" s="448"/>
      <c r="AW457" s="8" t="str">
        <f>IF(C457&gt;0,VLOOKUP(C457,Foundation_Calc!$A$2:$C$986,3,1),
IF(J457&gt;0,VLOOKUP(J457,Foundation_Calc!$A$2:$C$986,3,1),""))</f>
        <v/>
      </c>
      <c r="AX457" s="8" t="str">
        <f>IF(C457&gt;0,VLOOKUP(C457,Foundation_Calc!$E$2:$G$986,3,1),
IF(J457&gt;0,VLOOKUP(J457,Foundation_Calc!$E$2:$G$986,3,1),""))</f>
        <v/>
      </c>
      <c r="AY457" s="631" t="str">
        <f>IF(L457="","",
IF(AX457="PT",VLOOKUP(L457,Foundation_Calc!$K$4:$R$37,VLOOKUP(AW457,Foundation_Calc!$I$2:$J$8,2,FALSE),0),
IF(AX457="K",VLOOKUP(L457,Foundation_Calc!$K$41:$R$74,VLOOKUP(AW457,Foundation_Calc!$I$2:$J$8,2,FALSE),0),"")))</f>
        <v/>
      </c>
      <c r="AZ457" s="631" t="str">
        <f>IF(K457="","",
IF(AX457="PT",VLOOKUP(K457,Foundation_Calc!$K$4:$R$37,VLOOKUP(AW457,Foundation_Calc!$I$2:$J$8,2,FALSE),0),
IF(AX457="K",VLOOKUP(K457,Foundation_Calc!$K$41:$R$74,VLOOKUP(AW457,Foundation_Calc!$I$2:$J$8,2,FALSE),0),"")))</f>
        <v/>
      </c>
      <c r="BA457" s="632" t="str">
        <f t="shared" si="99"/>
        <v/>
      </c>
      <c r="BB457" s="632" t="str">
        <f t="shared" si="100"/>
        <v/>
      </c>
      <c r="BC457" s="632" t="str">
        <f t="shared" si="101"/>
        <v/>
      </c>
      <c r="BD457" s="633" t="str">
        <f>IF(AND(L457="",H457=""),"",
IF(H457="",Pole_Calc!A485,
IF(H457="MP",Pole_Calc!A486,
IF(H457="AnMP",Pole_Calc!A487,
IF(H457="A",Pole_Calc!A488,
IF(H457="S/A",Pole_Calc!A489,
IF(H457="A/S",Pole_Calc!A490,"Poner a mano")))))))</f>
        <v/>
      </c>
      <c r="BE457" s="448" t="s">
        <v>1726</v>
      </c>
      <c r="BF457" s="635"/>
      <c r="BG457" s="635"/>
      <c r="BH457" s="634"/>
      <c r="BI457" s="635"/>
    </row>
    <row r="458" spans="1:61" ht="16.2" customHeight="1">
      <c r="A458" s="12"/>
      <c r="B458" s="446"/>
      <c r="C458" s="89"/>
      <c r="D458" s="13"/>
      <c r="E458" s="14"/>
      <c r="F458" s="14"/>
      <c r="G458" s="15"/>
      <c r="H458" s="8"/>
      <c r="I458" s="8"/>
      <c r="J458" s="89"/>
      <c r="K458" s="8"/>
      <c r="L458" s="8"/>
      <c r="M458" s="8" t="str">
        <f>IF(L458="","",
IF(AX458="PT",VLOOKUP(L458,Foundation_Calc!$V$4:$X$37,VLOOKUP(AX458,Foundation_Calc!$I$10:$J$13,2,FALSE),0),
IF(AX458="K",VLOOKUP(L458,Foundation_Calc!$V$41:$X$74,VLOOKUP(AX458,Foundation_Calc!$I$10:$J$13,2,FALSE),0),"")))</f>
        <v/>
      </c>
      <c r="N458" s="8"/>
      <c r="O458" s="8"/>
      <c r="P458" s="8"/>
      <c r="Q458" s="14"/>
      <c r="R458" s="15"/>
      <c r="S458" s="15"/>
      <c r="T458" s="14"/>
      <c r="U458" s="14"/>
      <c r="V458" s="14"/>
      <c r="W458" s="18"/>
      <c r="X458" s="18"/>
      <c r="Y458" s="18"/>
      <c r="Z458" s="18"/>
      <c r="AA458" s="18"/>
      <c r="AB458" s="18"/>
      <c r="AC458" s="8" t="str">
        <f t="shared" si="98"/>
        <v/>
      </c>
      <c r="AD458" s="8"/>
      <c r="AE458" s="8"/>
      <c r="AF458" s="14"/>
      <c r="AG458" s="13"/>
      <c r="AH458" s="14"/>
      <c r="AI458" s="14"/>
      <c r="AJ458" s="8"/>
      <c r="AK458" s="8"/>
      <c r="AL458" s="8"/>
      <c r="AM458" s="8"/>
      <c r="AN458" s="631"/>
      <c r="AO458" s="18"/>
      <c r="AP458" s="18"/>
      <c r="AQ458" s="18"/>
      <c r="AR458" s="18"/>
      <c r="AS458" s="18"/>
      <c r="AU458" s="448"/>
      <c r="AV458" s="448"/>
      <c r="AW458" s="8" t="str">
        <f>IF(C458&gt;0,VLOOKUP(C458,Foundation_Calc!$A$2:$C$986,3,1),
IF(J458&gt;0,VLOOKUP(J458,Foundation_Calc!$A$2:$C$986,3,1),""))</f>
        <v/>
      </c>
      <c r="AX458" s="8" t="str">
        <f>IF(C458&gt;0,VLOOKUP(C458,Foundation_Calc!$E$2:$G$986,3,1),
IF(J458&gt;0,VLOOKUP(J458,Foundation_Calc!$E$2:$G$986,3,1),""))</f>
        <v/>
      </c>
      <c r="AY458" s="631" t="str">
        <f>IF(L458="","",
IF(AX458="PT",VLOOKUP(L458,Foundation_Calc!$K$4:$R$37,VLOOKUP(AW458,Foundation_Calc!$I$2:$J$8,2,FALSE),0),
IF(AX458="K",VLOOKUP(L458,Foundation_Calc!$K$41:$R$74,VLOOKUP(AW458,Foundation_Calc!$I$2:$J$8,2,FALSE),0),"")))</f>
        <v/>
      </c>
      <c r="AZ458" s="631" t="str">
        <f>IF(K458="","",
IF(AX458="PT",VLOOKUP(K458,Foundation_Calc!$K$4:$R$37,VLOOKUP(AW458,Foundation_Calc!$I$2:$J$8,2,FALSE),0),
IF(AX458="K",VLOOKUP(K458,Foundation_Calc!$K$41:$R$74,VLOOKUP(AW458,Foundation_Calc!$I$2:$J$8,2,FALSE),0),"")))</f>
        <v/>
      </c>
      <c r="BA458" s="632" t="str">
        <f t="shared" si="99"/>
        <v/>
      </c>
      <c r="BB458" s="632" t="str">
        <f t="shared" si="100"/>
        <v/>
      </c>
      <c r="BC458" s="632" t="str">
        <f t="shared" si="101"/>
        <v/>
      </c>
      <c r="BD458" s="633" t="str">
        <f>IF(AND(L458="",H458=""),"",
IF(H458="",Pole_Calc!A486,
IF(H458="MP",Pole_Calc!A487,
IF(H458="AnMP",Pole_Calc!A488,
IF(H458="A",Pole_Calc!A489,
IF(H458="S/A",Pole_Calc!A490,
IF(H458="A/S",Pole_Calc!A491,"Poner a mano")))))))</f>
        <v/>
      </c>
      <c r="BE458" s="448" t="s">
        <v>1726</v>
      </c>
      <c r="BF458" s="634"/>
      <c r="BG458" s="634"/>
      <c r="BH458" s="634"/>
      <c r="BI458" s="634"/>
    </row>
    <row r="459" spans="1:61" ht="16.2" customHeight="1">
      <c r="A459" s="12"/>
      <c r="B459" s="446"/>
      <c r="C459" s="89"/>
      <c r="D459" s="13"/>
      <c r="E459" s="14"/>
      <c r="F459" s="14"/>
      <c r="G459" s="15"/>
      <c r="H459" s="8"/>
      <c r="I459" s="8"/>
      <c r="J459" s="89"/>
      <c r="K459" s="8"/>
      <c r="L459" s="8"/>
      <c r="M459" s="8" t="str">
        <f>IF(L459="","",
IF(AX459="PT",VLOOKUP(L459,Foundation_Calc!$V$4:$X$37,VLOOKUP(AX459,Foundation_Calc!$I$10:$J$13,2,FALSE),0),
IF(AX459="K",VLOOKUP(L459,Foundation_Calc!$V$41:$X$74,VLOOKUP(AX459,Foundation_Calc!$I$10:$J$13,2,FALSE),0),"")))</f>
        <v/>
      </c>
      <c r="N459" s="8"/>
      <c r="O459" s="8"/>
      <c r="P459" s="8"/>
      <c r="Q459" s="14"/>
      <c r="R459" s="15"/>
      <c r="S459" s="15"/>
      <c r="T459" s="14"/>
      <c r="U459" s="14"/>
      <c r="V459" s="14"/>
      <c r="W459" s="18"/>
      <c r="X459" s="18"/>
      <c r="Y459" s="18"/>
      <c r="Z459" s="18"/>
      <c r="AA459" s="18"/>
      <c r="AB459" s="18"/>
      <c r="AC459" s="8" t="str">
        <f t="shared" si="98"/>
        <v/>
      </c>
      <c r="AD459" s="8"/>
      <c r="AE459" s="8"/>
      <c r="AF459" s="14"/>
      <c r="AG459" s="13"/>
      <c r="AH459" s="14"/>
      <c r="AI459" s="14"/>
      <c r="AJ459" s="8"/>
      <c r="AK459" s="8"/>
      <c r="AL459" s="8"/>
      <c r="AM459" s="8"/>
      <c r="AN459" s="631"/>
      <c r="AO459" s="18"/>
      <c r="AP459" s="18"/>
      <c r="AQ459" s="18"/>
      <c r="AR459" s="18"/>
      <c r="AS459" s="18"/>
      <c r="AU459" s="448"/>
      <c r="AV459" s="448"/>
      <c r="AW459" s="8" t="str">
        <f>IF(C459&gt;0,VLOOKUP(C459,Foundation_Calc!$A$2:$C$986,3,1),
IF(J459&gt;0,VLOOKUP(J459,Foundation_Calc!$A$2:$C$986,3,1),""))</f>
        <v/>
      </c>
      <c r="AX459" s="8" t="str">
        <f>IF(C459&gt;0,VLOOKUP(C459,Foundation_Calc!$E$2:$G$986,3,1),
IF(J459&gt;0,VLOOKUP(J459,Foundation_Calc!$E$2:$G$986,3,1),""))</f>
        <v/>
      </c>
      <c r="AY459" s="631" t="str">
        <f>IF(L459="","",
IF(AX459="PT",VLOOKUP(L459,Foundation_Calc!$K$4:$R$37,VLOOKUP(AW459,Foundation_Calc!$I$2:$J$8,2,FALSE),0),
IF(AX459="K",VLOOKUP(L459,Foundation_Calc!$K$41:$R$74,VLOOKUP(AW459,Foundation_Calc!$I$2:$J$8,2,FALSE),0),"")))</f>
        <v/>
      </c>
      <c r="AZ459" s="631" t="str">
        <f>IF(K459="","",
IF(AX459="PT",VLOOKUP(K459,Foundation_Calc!$K$4:$R$37,VLOOKUP(AW459,Foundation_Calc!$I$2:$J$8,2,FALSE),0),
IF(AX459="K",VLOOKUP(K459,Foundation_Calc!$K$41:$R$74,VLOOKUP(AW459,Foundation_Calc!$I$2:$J$8,2,FALSE),0),"")))</f>
        <v/>
      </c>
      <c r="BA459" s="632" t="str">
        <f t="shared" si="99"/>
        <v/>
      </c>
      <c r="BB459" s="632" t="str">
        <f t="shared" si="100"/>
        <v/>
      </c>
      <c r="BC459" s="632" t="str">
        <f t="shared" si="101"/>
        <v/>
      </c>
      <c r="BD459" s="633" t="str">
        <f>IF(AND(L459="",H459=""),"",
IF(H459="",Pole_Calc!A487,
IF(H459="MP",Pole_Calc!A488,
IF(H459="AnMP",Pole_Calc!A489,
IF(H459="A",Pole_Calc!A490,
IF(H459="S/A",Pole_Calc!A491,
IF(H459="A/S",Pole_Calc!A492,"Poner a mano")))))))</f>
        <v/>
      </c>
      <c r="BE459" s="448" t="s">
        <v>1726</v>
      </c>
      <c r="BF459" s="635"/>
      <c r="BG459" s="635"/>
      <c r="BH459" s="634"/>
      <c r="BI459" s="635"/>
    </row>
    <row r="460" spans="1:61" ht="16.2" customHeight="1">
      <c r="A460" s="12"/>
      <c r="B460" s="446"/>
      <c r="C460" s="89"/>
      <c r="D460" s="13"/>
      <c r="E460" s="14"/>
      <c r="F460" s="14"/>
      <c r="G460" s="15"/>
      <c r="H460" s="8"/>
      <c r="I460" s="8"/>
      <c r="J460" s="89"/>
      <c r="K460" s="8"/>
      <c r="L460" s="8"/>
      <c r="M460" s="8" t="str">
        <f>IF(L460="","",
IF(AX460="PT",VLOOKUP(L460,Foundation_Calc!$V$4:$X$37,VLOOKUP(AX460,Foundation_Calc!$I$10:$J$13,2,FALSE),0),
IF(AX460="K",VLOOKUP(L460,Foundation_Calc!$V$41:$X$74,VLOOKUP(AX460,Foundation_Calc!$I$10:$J$13,2,FALSE),0),"")))</f>
        <v/>
      </c>
      <c r="N460" s="8"/>
      <c r="O460" s="8"/>
      <c r="P460" s="8"/>
      <c r="Q460" s="14"/>
      <c r="R460" s="15"/>
      <c r="S460" s="15"/>
      <c r="T460" s="14"/>
      <c r="U460" s="14"/>
      <c r="V460" s="14"/>
      <c r="W460" s="18"/>
      <c r="X460" s="18"/>
      <c r="Y460" s="18"/>
      <c r="Z460" s="18"/>
      <c r="AA460" s="18"/>
      <c r="AB460" s="18"/>
      <c r="AC460" s="8" t="str">
        <f t="shared" si="98"/>
        <v/>
      </c>
      <c r="AD460" s="8"/>
      <c r="AE460" s="8"/>
      <c r="AF460" s="14"/>
      <c r="AG460" s="13"/>
      <c r="AH460" s="14"/>
      <c r="AI460" s="14"/>
      <c r="AJ460" s="8"/>
      <c r="AK460" s="8"/>
      <c r="AL460" s="8"/>
      <c r="AM460" s="8"/>
      <c r="AN460" s="631"/>
      <c r="AO460" s="18"/>
      <c r="AP460" s="18"/>
      <c r="AQ460" s="18"/>
      <c r="AR460" s="18"/>
      <c r="AS460" s="18"/>
      <c r="AU460" s="448"/>
      <c r="AV460" s="448"/>
      <c r="AW460" s="8" t="str">
        <f>IF(C460&gt;0,VLOOKUP(C460,Foundation_Calc!$A$2:$C$986,3,1),
IF(J460&gt;0,VLOOKUP(J460,Foundation_Calc!$A$2:$C$986,3,1),""))</f>
        <v/>
      </c>
      <c r="AX460" s="8" t="str">
        <f>IF(C460&gt;0,VLOOKUP(C460,Foundation_Calc!$E$2:$G$986,3,1),
IF(J460&gt;0,VLOOKUP(J460,Foundation_Calc!$E$2:$G$986,3,1),""))</f>
        <v/>
      </c>
      <c r="AY460" s="631" t="str">
        <f>IF(L460="","",
IF(AX460="PT",VLOOKUP(L460,Foundation_Calc!$K$4:$R$37,VLOOKUP(AW460,Foundation_Calc!$I$2:$J$8,2,FALSE),0),
IF(AX460="K",VLOOKUP(L460,Foundation_Calc!$K$41:$R$74,VLOOKUP(AW460,Foundation_Calc!$I$2:$J$8,2,FALSE),0),"")))</f>
        <v/>
      </c>
      <c r="AZ460" s="631" t="str">
        <f>IF(K460="","",
IF(AX460="PT",VLOOKUP(K460,Foundation_Calc!$K$4:$R$37,VLOOKUP(AW460,Foundation_Calc!$I$2:$J$8,2,FALSE),0),
IF(AX460="K",VLOOKUP(K460,Foundation_Calc!$K$41:$R$74,VLOOKUP(AW460,Foundation_Calc!$I$2:$J$8,2,FALSE),0),"")))</f>
        <v/>
      </c>
      <c r="BA460" s="632" t="str">
        <f t="shared" si="99"/>
        <v/>
      </c>
      <c r="BB460" s="632" t="str">
        <f t="shared" si="100"/>
        <v/>
      </c>
      <c r="BC460" s="632" t="str">
        <f t="shared" si="101"/>
        <v/>
      </c>
      <c r="BD460" s="633" t="str">
        <f>IF(AND(L460="",H460=""),"",
IF(H460="",Pole_Calc!A488,
IF(H460="MP",Pole_Calc!A489,
IF(H460="AnMP",Pole_Calc!A490,
IF(H460="A",Pole_Calc!A491,
IF(H460="S/A",Pole_Calc!A492,
IF(H460="A/S",Pole_Calc!A493,"Poner a mano")))))))</f>
        <v/>
      </c>
      <c r="BE460" s="448" t="s">
        <v>1726</v>
      </c>
      <c r="BF460" s="634"/>
      <c r="BG460" s="634"/>
      <c r="BH460" s="634"/>
      <c r="BI460" s="634"/>
    </row>
    <row r="461" spans="1:61" ht="16.2" customHeight="1">
      <c r="A461" s="12"/>
      <c r="B461" s="446"/>
      <c r="C461" s="89"/>
      <c r="D461" s="13"/>
      <c r="E461" s="14"/>
      <c r="F461" s="14"/>
      <c r="G461" s="15"/>
      <c r="H461" s="8"/>
      <c r="I461" s="8"/>
      <c r="J461" s="89"/>
      <c r="K461" s="8"/>
      <c r="L461" s="8"/>
      <c r="M461" s="8" t="str">
        <f>IF(L461="","",
IF(AX461="PT",VLOOKUP(L461,Foundation_Calc!$V$4:$X$37,VLOOKUP(AX461,Foundation_Calc!$I$10:$J$13,2,FALSE),0),
IF(AX461="K",VLOOKUP(L461,Foundation_Calc!$V$41:$X$74,VLOOKUP(AX461,Foundation_Calc!$I$10:$J$13,2,FALSE),0),"")))</f>
        <v/>
      </c>
      <c r="N461" s="8"/>
      <c r="O461" s="8"/>
      <c r="P461" s="8"/>
      <c r="Q461" s="14"/>
      <c r="R461" s="15"/>
      <c r="S461" s="15"/>
      <c r="T461" s="14"/>
      <c r="U461" s="14"/>
      <c r="V461" s="14"/>
      <c r="W461" s="18"/>
      <c r="X461" s="18"/>
      <c r="Y461" s="18"/>
      <c r="Z461" s="18"/>
      <c r="AA461" s="18"/>
      <c r="AB461" s="18"/>
      <c r="AC461" s="8" t="str">
        <f t="shared" si="98"/>
        <v/>
      </c>
      <c r="AD461" s="8"/>
      <c r="AE461" s="8"/>
      <c r="AF461" s="14"/>
      <c r="AG461" s="13"/>
      <c r="AH461" s="14"/>
      <c r="AI461" s="14"/>
      <c r="AJ461" s="8"/>
      <c r="AK461" s="8"/>
      <c r="AL461" s="8"/>
      <c r="AM461" s="8"/>
      <c r="AN461" s="631"/>
      <c r="AO461" s="18"/>
      <c r="AP461" s="18"/>
      <c r="AQ461" s="18"/>
      <c r="AR461" s="18"/>
      <c r="AS461" s="18"/>
      <c r="AU461" s="448"/>
      <c r="AV461" s="448"/>
      <c r="AW461" s="8" t="str">
        <f>IF(C461&gt;0,VLOOKUP(C461,Foundation_Calc!$A$2:$C$986,3,1),
IF(J461&gt;0,VLOOKUP(J461,Foundation_Calc!$A$2:$C$986,3,1),""))</f>
        <v/>
      </c>
      <c r="AX461" s="8" t="str">
        <f>IF(C461&gt;0,VLOOKUP(C461,Foundation_Calc!$E$2:$G$986,3,1),
IF(J461&gt;0,VLOOKUP(J461,Foundation_Calc!$E$2:$G$986,3,1),""))</f>
        <v/>
      </c>
      <c r="AY461" s="631" t="str">
        <f>IF(L461="","",
IF(AX461="PT",VLOOKUP(L461,Foundation_Calc!$K$4:$R$37,VLOOKUP(AW461,Foundation_Calc!$I$2:$J$8,2,FALSE),0),
IF(AX461="K",VLOOKUP(L461,Foundation_Calc!$K$41:$R$74,VLOOKUP(AW461,Foundation_Calc!$I$2:$J$8,2,FALSE),0),"")))</f>
        <v/>
      </c>
      <c r="AZ461" s="631" t="str">
        <f>IF(K461="","",
IF(AX461="PT",VLOOKUP(K461,Foundation_Calc!$K$4:$R$37,VLOOKUP(AW461,Foundation_Calc!$I$2:$J$8,2,FALSE),0),
IF(AX461="K",VLOOKUP(K461,Foundation_Calc!$K$41:$R$74,VLOOKUP(AW461,Foundation_Calc!$I$2:$J$8,2,FALSE),0),"")))</f>
        <v/>
      </c>
      <c r="BA461" s="632" t="str">
        <f t="shared" si="99"/>
        <v/>
      </c>
      <c r="BB461" s="632" t="str">
        <f t="shared" si="100"/>
        <v/>
      </c>
      <c r="BC461" s="632" t="str">
        <f t="shared" si="101"/>
        <v/>
      </c>
      <c r="BD461" s="633" t="str">
        <f>IF(AND(L461="",H461=""),"",
IF(H461="",Pole_Calc!A489,
IF(H461="MP",Pole_Calc!A490,
IF(H461="AnMP",Pole_Calc!A491,
IF(H461="A",Pole_Calc!A492,
IF(H461="S/A",Pole_Calc!A493,
IF(H461="A/S",Pole_Calc!A494,"Poner a mano")))))))</f>
        <v/>
      </c>
      <c r="BE461" s="448" t="s">
        <v>1726</v>
      </c>
      <c r="BF461" s="635"/>
      <c r="BG461" s="635"/>
      <c r="BH461" s="634"/>
      <c r="BI461" s="635"/>
    </row>
    <row r="462" spans="1:61" ht="16.2" customHeight="1">
      <c r="A462" s="12"/>
      <c r="B462" s="446"/>
      <c r="C462" s="89"/>
      <c r="D462" s="13"/>
      <c r="E462" s="14"/>
      <c r="F462" s="14"/>
      <c r="G462" s="15"/>
      <c r="H462" s="8"/>
      <c r="I462" s="8"/>
      <c r="J462" s="89"/>
      <c r="K462" s="8"/>
      <c r="L462" s="8"/>
      <c r="M462" s="8" t="str">
        <f>IF(L462="","",
IF(AX462="PT",VLOOKUP(L462,Foundation_Calc!$V$4:$X$37,VLOOKUP(AX462,Foundation_Calc!$I$10:$J$13,2,FALSE),0),
IF(AX462="K",VLOOKUP(L462,Foundation_Calc!$V$41:$X$74,VLOOKUP(AX462,Foundation_Calc!$I$10:$J$13,2,FALSE),0),"")))</f>
        <v/>
      </c>
      <c r="N462" s="8"/>
      <c r="O462" s="8"/>
      <c r="P462" s="8"/>
      <c r="Q462" s="14"/>
      <c r="R462" s="15"/>
      <c r="S462" s="15"/>
      <c r="T462" s="14"/>
      <c r="U462" s="14"/>
      <c r="V462" s="14"/>
      <c r="W462" s="18"/>
      <c r="X462" s="18"/>
      <c r="Y462" s="18"/>
      <c r="Z462" s="18"/>
      <c r="AA462" s="18"/>
      <c r="AB462" s="18"/>
      <c r="AC462" s="8" t="str">
        <f t="shared" si="98"/>
        <v/>
      </c>
      <c r="AD462" s="8"/>
      <c r="AE462" s="8"/>
      <c r="AF462" s="14"/>
      <c r="AG462" s="13"/>
      <c r="AH462" s="14"/>
      <c r="AI462" s="14"/>
      <c r="AJ462" s="8"/>
      <c r="AK462" s="8"/>
      <c r="AL462" s="8"/>
      <c r="AM462" s="8"/>
      <c r="AN462" s="631"/>
      <c r="AO462" s="18"/>
      <c r="AP462" s="18"/>
      <c r="AQ462" s="18"/>
      <c r="AR462" s="18"/>
      <c r="AS462" s="18"/>
      <c r="AU462" s="448"/>
      <c r="AV462" s="448"/>
      <c r="AW462" s="8" t="str">
        <f>IF(C462&gt;0,VLOOKUP(C462,Foundation_Calc!$A$2:$C$986,3,1),
IF(J462&gt;0,VLOOKUP(J462,Foundation_Calc!$A$2:$C$986,3,1),""))</f>
        <v/>
      </c>
      <c r="AX462" s="8" t="str">
        <f>IF(C462&gt;0,VLOOKUP(C462,Foundation_Calc!$E$2:$G$986,3,1),
IF(J462&gt;0,VLOOKUP(J462,Foundation_Calc!$E$2:$G$986,3,1),""))</f>
        <v/>
      </c>
      <c r="AY462" s="631" t="str">
        <f>IF(L462="","",
IF(AX462="PT",VLOOKUP(L462,Foundation_Calc!$K$4:$R$37,VLOOKUP(AW462,Foundation_Calc!$I$2:$J$8,2,FALSE),0),
IF(AX462="K",VLOOKUP(L462,Foundation_Calc!$K$41:$R$74,VLOOKUP(AW462,Foundation_Calc!$I$2:$J$8,2,FALSE),0),"")))</f>
        <v/>
      </c>
      <c r="AZ462" s="631" t="str">
        <f>IF(K462="","",
IF(AX462="PT",VLOOKUP(K462,Foundation_Calc!$K$4:$R$37,VLOOKUP(AW462,Foundation_Calc!$I$2:$J$8,2,FALSE),0),
IF(AX462="K",VLOOKUP(K462,Foundation_Calc!$K$41:$R$74,VLOOKUP(AW462,Foundation_Calc!$I$2:$J$8,2,FALSE),0),"")))</f>
        <v/>
      </c>
      <c r="BA462" s="632" t="str">
        <f t="shared" si="99"/>
        <v/>
      </c>
      <c r="BB462" s="632" t="str">
        <f t="shared" si="100"/>
        <v/>
      </c>
      <c r="BC462" s="632" t="str">
        <f t="shared" si="101"/>
        <v/>
      </c>
      <c r="BD462" s="633" t="str">
        <f>IF(AND(L462="",H462=""),"",
IF(H462="",Pole_Calc!A490,
IF(H462="MP",Pole_Calc!A491,
IF(H462="AnMP",Pole_Calc!A492,
IF(H462="A",Pole_Calc!A493,
IF(H462="S/A",Pole_Calc!A494,
IF(H462="A/S",Pole_Calc!A495,"Poner a mano")))))))</f>
        <v/>
      </c>
      <c r="BE462" s="448" t="s">
        <v>1726</v>
      </c>
      <c r="BF462" s="634"/>
      <c r="BG462" s="634"/>
      <c r="BH462" s="634"/>
      <c r="BI462" s="634"/>
    </row>
    <row r="463" spans="1:61" ht="16.2" customHeight="1">
      <c r="A463" s="12"/>
      <c r="B463" s="446"/>
      <c r="C463" s="89"/>
      <c r="D463" s="13"/>
      <c r="E463" s="14"/>
      <c r="F463" s="14"/>
      <c r="G463" s="15"/>
      <c r="H463" s="8"/>
      <c r="I463" s="8"/>
      <c r="J463" s="89"/>
      <c r="K463" s="8"/>
      <c r="L463" s="8"/>
      <c r="M463" s="8" t="str">
        <f>IF(L463="","",
IF(AX463="PT",VLOOKUP(L463,Foundation_Calc!$V$4:$X$37,VLOOKUP(AX463,Foundation_Calc!$I$10:$J$13,2,FALSE),0),
IF(AX463="K",VLOOKUP(L463,Foundation_Calc!$V$41:$X$74,VLOOKUP(AX463,Foundation_Calc!$I$10:$J$13,2,FALSE),0),"")))</f>
        <v/>
      </c>
      <c r="N463" s="8"/>
      <c r="O463" s="8"/>
      <c r="P463" s="8"/>
      <c r="Q463" s="14"/>
      <c r="R463" s="15"/>
      <c r="S463" s="15"/>
      <c r="T463" s="14"/>
      <c r="U463" s="14"/>
      <c r="V463" s="14"/>
      <c r="W463" s="18"/>
      <c r="X463" s="18"/>
      <c r="Y463" s="18"/>
      <c r="Z463" s="18"/>
      <c r="AA463" s="18"/>
      <c r="AB463" s="18"/>
      <c r="AC463" s="8" t="str">
        <f t="shared" si="98"/>
        <v/>
      </c>
      <c r="AD463" s="8"/>
      <c r="AE463" s="8"/>
      <c r="AF463" s="14"/>
      <c r="AG463" s="13"/>
      <c r="AH463" s="14"/>
      <c r="AI463" s="14"/>
      <c r="AJ463" s="8"/>
      <c r="AK463" s="8"/>
      <c r="AL463" s="8"/>
      <c r="AM463" s="8"/>
      <c r="AN463" s="631"/>
      <c r="AO463" s="18"/>
      <c r="AP463" s="18"/>
      <c r="AQ463" s="18"/>
      <c r="AR463" s="18"/>
      <c r="AS463" s="18"/>
      <c r="AU463" s="448"/>
      <c r="AV463" s="448"/>
      <c r="AW463" s="8" t="str">
        <f>IF(C463&gt;0,VLOOKUP(C463,Foundation_Calc!$A$2:$C$986,3,1),
IF(J463&gt;0,VLOOKUP(J463,Foundation_Calc!$A$2:$C$986,3,1),""))</f>
        <v/>
      </c>
      <c r="AX463" s="8" t="str">
        <f>IF(C463&gt;0,VLOOKUP(C463,Foundation_Calc!$E$2:$G$986,3,1),
IF(J463&gt;0,VLOOKUP(J463,Foundation_Calc!$E$2:$G$986,3,1),""))</f>
        <v/>
      </c>
      <c r="AY463" s="631" t="str">
        <f>IF(L463="","",
IF(AX463="PT",VLOOKUP(L463,Foundation_Calc!$K$4:$R$37,VLOOKUP(AW463,Foundation_Calc!$I$2:$J$8,2,FALSE),0),
IF(AX463="K",VLOOKUP(L463,Foundation_Calc!$K$41:$R$74,VLOOKUP(AW463,Foundation_Calc!$I$2:$J$8,2,FALSE),0),"")))</f>
        <v/>
      </c>
      <c r="AZ463" s="631" t="str">
        <f>IF(K463="","",
IF(AX463="PT",VLOOKUP(K463,Foundation_Calc!$K$4:$R$37,VLOOKUP(AW463,Foundation_Calc!$I$2:$J$8,2,FALSE),0),
IF(AX463="K",VLOOKUP(K463,Foundation_Calc!$K$41:$R$74,VLOOKUP(AW463,Foundation_Calc!$I$2:$J$8,2,FALSE),0),"")))</f>
        <v/>
      </c>
      <c r="BA463" s="632" t="str">
        <f t="shared" si="99"/>
        <v/>
      </c>
      <c r="BB463" s="632" t="str">
        <f t="shared" si="100"/>
        <v/>
      </c>
      <c r="BC463" s="632" t="str">
        <f t="shared" si="101"/>
        <v/>
      </c>
      <c r="BD463" s="633" t="str">
        <f>IF(AND(L463="",H463=""),"",
IF(H463="",Pole_Calc!A491,
IF(H463="MP",Pole_Calc!A492,
IF(H463="AnMP",Pole_Calc!A493,
IF(H463="A",Pole_Calc!A494,
IF(H463="S/A",Pole_Calc!A495,
IF(H463="A/S",Pole_Calc!A496,"Poner a mano")))))))</f>
        <v/>
      </c>
      <c r="BE463" s="448" t="s">
        <v>1726</v>
      </c>
      <c r="BF463" s="635"/>
      <c r="BG463" s="635"/>
      <c r="BH463" s="634"/>
      <c r="BI463" s="635"/>
    </row>
    <row r="464" spans="1:61" ht="16.2" customHeight="1">
      <c r="A464" s="12"/>
      <c r="B464" s="446"/>
      <c r="C464" s="89"/>
      <c r="D464" s="13"/>
      <c r="E464" s="14"/>
      <c r="F464" s="14"/>
      <c r="G464" s="15"/>
      <c r="H464" s="8"/>
      <c r="I464" s="8"/>
      <c r="J464" s="89"/>
      <c r="K464" s="8"/>
      <c r="L464" s="8"/>
      <c r="M464" s="8" t="str">
        <f>IF(L464="","",
IF(AX464="PT",VLOOKUP(L464,Foundation_Calc!$V$4:$X$37,VLOOKUP(AX464,Foundation_Calc!$I$10:$J$13,2,FALSE),0),
IF(AX464="K",VLOOKUP(L464,Foundation_Calc!$V$41:$X$74,VLOOKUP(AX464,Foundation_Calc!$I$10:$J$13,2,FALSE),0),"")))</f>
        <v/>
      </c>
      <c r="N464" s="8"/>
      <c r="O464" s="8"/>
      <c r="P464" s="8"/>
      <c r="Q464" s="14"/>
      <c r="R464" s="15"/>
      <c r="S464" s="15"/>
      <c r="T464" s="14"/>
      <c r="U464" s="14"/>
      <c r="V464" s="14"/>
      <c r="W464" s="18"/>
      <c r="X464" s="18"/>
      <c r="Y464" s="18"/>
      <c r="Z464" s="18"/>
      <c r="AA464" s="18"/>
      <c r="AB464" s="18"/>
      <c r="AC464" s="8" t="str">
        <f t="shared" si="98"/>
        <v/>
      </c>
      <c r="AD464" s="8"/>
      <c r="AE464" s="8"/>
      <c r="AF464" s="14"/>
      <c r="AG464" s="13"/>
      <c r="AH464" s="14"/>
      <c r="AI464" s="14"/>
      <c r="AJ464" s="8"/>
      <c r="AK464" s="8"/>
      <c r="AL464" s="8"/>
      <c r="AM464" s="8"/>
      <c r="AN464" s="631"/>
      <c r="AO464" s="18"/>
      <c r="AP464" s="18"/>
      <c r="AQ464" s="18"/>
      <c r="AR464" s="18"/>
      <c r="AS464" s="18"/>
      <c r="AU464" s="448"/>
      <c r="AV464" s="448"/>
      <c r="AW464" s="8" t="str">
        <f>IF(C464&gt;0,VLOOKUP(C464,Foundation_Calc!$A$2:$C$986,3,1),
IF(J464&gt;0,VLOOKUP(J464,Foundation_Calc!$A$2:$C$986,3,1),""))</f>
        <v/>
      </c>
      <c r="AX464" s="8" t="str">
        <f>IF(C464&gt;0,VLOOKUP(C464,Foundation_Calc!$E$2:$G$986,3,1),
IF(J464&gt;0,VLOOKUP(J464,Foundation_Calc!$E$2:$G$986,3,1),""))</f>
        <v/>
      </c>
      <c r="AY464" s="631" t="str">
        <f>IF(L464="","",
IF(AX464="PT",VLOOKUP(L464,Foundation_Calc!$K$4:$R$37,VLOOKUP(AW464,Foundation_Calc!$I$2:$J$8,2,FALSE),0),
IF(AX464="K",VLOOKUP(L464,Foundation_Calc!$K$41:$R$74,VLOOKUP(AW464,Foundation_Calc!$I$2:$J$8,2,FALSE),0),"")))</f>
        <v/>
      </c>
      <c r="AZ464" s="631" t="str">
        <f>IF(K464="","",
IF(AX464="PT",VLOOKUP(K464,Foundation_Calc!$K$4:$R$37,VLOOKUP(AW464,Foundation_Calc!$I$2:$J$8,2,FALSE),0),
IF(AX464="K",VLOOKUP(K464,Foundation_Calc!$K$41:$R$74,VLOOKUP(AW464,Foundation_Calc!$I$2:$J$8,2,FALSE),0),"")))</f>
        <v/>
      </c>
      <c r="BA464" s="632" t="str">
        <f t="shared" si="99"/>
        <v/>
      </c>
      <c r="BB464" s="632" t="str">
        <f t="shared" si="100"/>
        <v/>
      </c>
      <c r="BC464" s="632" t="str">
        <f t="shared" si="101"/>
        <v/>
      </c>
      <c r="BD464" s="633" t="str">
        <f>IF(AND(L464="",H464=""),"",
IF(H464="",Pole_Calc!A492,
IF(H464="MP",Pole_Calc!A493,
IF(H464="AnMP",Pole_Calc!A494,
IF(H464="A",Pole_Calc!A495,
IF(H464="S/A",Pole_Calc!A496,
IF(H464="A/S",Pole_Calc!A497,"Poner a mano")))))))</f>
        <v/>
      </c>
      <c r="BE464" s="448" t="s">
        <v>1726</v>
      </c>
      <c r="BF464" s="634"/>
      <c r="BG464" s="634"/>
      <c r="BH464" s="634"/>
      <c r="BI464" s="634"/>
    </row>
    <row r="465" spans="1:61" ht="16.2" customHeight="1">
      <c r="A465" s="12"/>
      <c r="B465" s="446"/>
      <c r="C465" s="89"/>
      <c r="D465" s="13"/>
      <c r="E465" s="14"/>
      <c r="F465" s="14"/>
      <c r="G465" s="15"/>
      <c r="H465" s="8"/>
      <c r="I465" s="8"/>
      <c r="J465" s="89"/>
      <c r="K465" s="8"/>
      <c r="L465" s="8"/>
      <c r="M465" s="8" t="str">
        <f>IF(L465="","",
IF(AX465="PT",VLOOKUP(L465,Foundation_Calc!$V$4:$X$37,VLOOKUP(AX465,Foundation_Calc!$I$10:$J$13,2,FALSE),0),
IF(AX465="K",VLOOKUP(L465,Foundation_Calc!$V$41:$X$74,VLOOKUP(AX465,Foundation_Calc!$I$10:$J$13,2,FALSE),0),"")))</f>
        <v/>
      </c>
      <c r="N465" s="8"/>
      <c r="O465" s="8"/>
      <c r="P465" s="8"/>
      <c r="Q465" s="14"/>
      <c r="R465" s="15"/>
      <c r="S465" s="15"/>
      <c r="T465" s="14"/>
      <c r="U465" s="14"/>
      <c r="V465" s="14"/>
      <c r="W465" s="18"/>
      <c r="X465" s="18"/>
      <c r="Y465" s="18"/>
      <c r="Z465" s="18"/>
      <c r="AA465" s="18"/>
      <c r="AB465" s="18"/>
      <c r="AC465" s="8" t="str">
        <f t="shared" si="98"/>
        <v/>
      </c>
      <c r="AD465" s="8"/>
      <c r="AE465" s="8"/>
      <c r="AF465" s="14"/>
      <c r="AG465" s="13"/>
      <c r="AH465" s="14"/>
      <c r="AI465" s="14"/>
      <c r="AJ465" s="8"/>
      <c r="AK465" s="8"/>
      <c r="AL465" s="8"/>
      <c r="AM465" s="8"/>
      <c r="AN465" s="631"/>
      <c r="AO465" s="18"/>
      <c r="AP465" s="18"/>
      <c r="AQ465" s="18"/>
      <c r="AR465" s="18"/>
      <c r="AS465" s="18"/>
      <c r="AU465" s="448"/>
      <c r="AV465" s="448"/>
      <c r="AW465" s="8" t="str">
        <f>IF(C465&gt;0,VLOOKUP(C465,Foundation_Calc!$A$2:$C$986,3,1),
IF(J465&gt;0,VLOOKUP(J465,Foundation_Calc!$A$2:$C$986,3,1),""))</f>
        <v/>
      </c>
      <c r="AX465" s="8" t="str">
        <f>IF(C465&gt;0,VLOOKUP(C465,Foundation_Calc!$E$2:$G$986,3,1),
IF(J465&gt;0,VLOOKUP(J465,Foundation_Calc!$E$2:$G$986,3,1),""))</f>
        <v/>
      </c>
      <c r="AY465" s="631" t="str">
        <f>IF(L465="","",
IF(AX465="PT",VLOOKUP(L465,Foundation_Calc!$K$4:$R$37,VLOOKUP(AW465,Foundation_Calc!$I$2:$J$8,2,FALSE),0),
IF(AX465="K",VLOOKUP(L465,Foundation_Calc!$K$41:$R$74,VLOOKUP(AW465,Foundation_Calc!$I$2:$J$8,2,FALSE),0),"")))</f>
        <v/>
      </c>
      <c r="AZ465" s="631" t="str">
        <f>IF(K465="","",
IF(AX465="PT",VLOOKUP(K465,Foundation_Calc!$K$4:$R$37,VLOOKUP(AW465,Foundation_Calc!$I$2:$J$8,2,FALSE),0),
IF(AX465="K",VLOOKUP(K465,Foundation_Calc!$K$41:$R$74,VLOOKUP(AW465,Foundation_Calc!$I$2:$J$8,2,FALSE),0),"")))</f>
        <v/>
      </c>
      <c r="BA465" s="632" t="str">
        <f t="shared" si="99"/>
        <v/>
      </c>
      <c r="BB465" s="632" t="str">
        <f t="shared" si="100"/>
        <v/>
      </c>
      <c r="BC465" s="632" t="str">
        <f t="shared" si="101"/>
        <v/>
      </c>
      <c r="BD465" s="633" t="str">
        <f>IF(AND(L465="",H465=""),"",
IF(H465="",Pole_Calc!A493,
IF(H465="MP",Pole_Calc!A494,
IF(H465="AnMP",Pole_Calc!A495,
IF(H465="A",Pole_Calc!A496,
IF(H465="S/A",Pole_Calc!A497,
IF(H465="A/S",Pole_Calc!A498,"Poner a mano")))))))</f>
        <v/>
      </c>
      <c r="BE465" s="448" t="s">
        <v>1726</v>
      </c>
      <c r="BF465" s="635"/>
      <c r="BG465" s="635"/>
      <c r="BH465" s="634"/>
      <c r="BI465" s="635"/>
    </row>
    <row r="466" spans="1:61" ht="16.2" customHeight="1">
      <c r="A466" s="12"/>
      <c r="B466" s="446"/>
      <c r="C466" s="89"/>
      <c r="D466" s="13"/>
      <c r="E466" s="14"/>
      <c r="F466" s="14"/>
      <c r="G466" s="15"/>
      <c r="H466" s="8"/>
      <c r="I466" s="8"/>
      <c r="J466" s="89"/>
      <c r="K466" s="8"/>
      <c r="L466" s="8"/>
      <c r="M466" s="8" t="str">
        <f>IF(L466="","",
IF(AX466="PT",VLOOKUP(L466,Foundation_Calc!$V$4:$X$37,VLOOKUP(AX466,Foundation_Calc!$I$10:$J$13,2,FALSE),0),
IF(AX466="K",VLOOKUP(L466,Foundation_Calc!$V$41:$X$74,VLOOKUP(AX466,Foundation_Calc!$I$10:$J$13,2,FALSE),0),"")))</f>
        <v/>
      </c>
      <c r="N466" s="8"/>
      <c r="O466" s="8"/>
      <c r="P466" s="8"/>
      <c r="Q466" s="14"/>
      <c r="R466" s="15"/>
      <c r="S466" s="15"/>
      <c r="T466" s="14"/>
      <c r="U466" s="14"/>
      <c r="V466" s="14"/>
      <c r="W466" s="18"/>
      <c r="X466" s="18"/>
      <c r="Y466" s="18"/>
      <c r="Z466" s="18"/>
      <c r="AA466" s="18"/>
      <c r="AB466" s="18"/>
      <c r="AC466" s="8" t="str">
        <f t="shared" si="98"/>
        <v/>
      </c>
      <c r="AD466" s="8"/>
      <c r="AE466" s="8"/>
      <c r="AF466" s="14"/>
      <c r="AG466" s="13"/>
      <c r="AH466" s="14"/>
      <c r="AI466" s="14"/>
      <c r="AJ466" s="8"/>
      <c r="AK466" s="8"/>
      <c r="AL466" s="8"/>
      <c r="AM466" s="8"/>
      <c r="AN466" s="631"/>
      <c r="AO466" s="18"/>
      <c r="AP466" s="18"/>
      <c r="AQ466" s="18"/>
      <c r="AR466" s="18"/>
      <c r="AS466" s="18"/>
      <c r="AU466" s="448"/>
      <c r="AV466" s="448"/>
      <c r="AW466" s="8" t="str">
        <f>IF(C466&gt;0,VLOOKUP(C466,Foundation_Calc!$A$2:$C$986,3,1),
IF(J466&gt;0,VLOOKUP(J466,Foundation_Calc!$A$2:$C$986,3,1),""))</f>
        <v/>
      </c>
      <c r="AX466" s="8" t="str">
        <f>IF(C466&gt;0,VLOOKUP(C466,Foundation_Calc!$E$2:$G$986,3,1),
IF(J466&gt;0,VLOOKUP(J466,Foundation_Calc!$E$2:$G$986,3,1),""))</f>
        <v/>
      </c>
      <c r="AY466" s="631" t="str">
        <f>IF(L466="","",
IF(AX466="PT",VLOOKUP(L466,Foundation_Calc!$K$4:$R$37,VLOOKUP(AW466,Foundation_Calc!$I$2:$J$8,2,FALSE),0),
IF(AX466="K",VLOOKUP(L466,Foundation_Calc!$K$41:$R$74,VLOOKUP(AW466,Foundation_Calc!$I$2:$J$8,2,FALSE),0),"")))</f>
        <v/>
      </c>
      <c r="AZ466" s="631" t="str">
        <f>IF(K466="","",
IF(AX466="PT",VLOOKUP(K466,Foundation_Calc!$K$4:$R$37,VLOOKUP(AW466,Foundation_Calc!$I$2:$J$8,2,FALSE),0),
IF(AX466="K",VLOOKUP(K466,Foundation_Calc!$K$41:$R$74,VLOOKUP(AW466,Foundation_Calc!$I$2:$J$8,2,FALSE),0),"")))</f>
        <v/>
      </c>
      <c r="BA466" s="632" t="str">
        <f t="shared" si="99"/>
        <v/>
      </c>
      <c r="BB466" s="632" t="str">
        <f t="shared" si="100"/>
        <v/>
      </c>
      <c r="BC466" s="632" t="str">
        <f t="shared" si="101"/>
        <v/>
      </c>
      <c r="BD466" s="633" t="str">
        <f>IF(AND(L466="",H466=""),"",
IF(H466="",Pole_Calc!A494,
IF(H466="MP",Pole_Calc!A495,
IF(H466="AnMP",Pole_Calc!A496,
IF(H466="A",Pole_Calc!A497,
IF(H466="S/A",Pole_Calc!A498,
IF(H466="A/S",Pole_Calc!A499,"Poner a mano")))))))</f>
        <v/>
      </c>
      <c r="BE466" s="448" t="s">
        <v>1726</v>
      </c>
      <c r="BF466" s="634"/>
      <c r="BG466" s="634"/>
      <c r="BH466" s="634"/>
      <c r="BI466" s="634"/>
    </row>
    <row r="467" spans="1:61" ht="16.2" customHeight="1">
      <c r="A467" s="12"/>
      <c r="B467" s="446"/>
      <c r="C467" s="89"/>
      <c r="D467" s="13"/>
      <c r="E467" s="14"/>
      <c r="F467" s="14"/>
      <c r="G467" s="15"/>
      <c r="H467" s="8"/>
      <c r="I467" s="8"/>
      <c r="J467" s="89"/>
      <c r="K467" s="8"/>
      <c r="L467" s="8"/>
      <c r="M467" s="8" t="str">
        <f>IF(L467="","",
IF(AX467="PT",VLOOKUP(L467,Foundation_Calc!$V$4:$X$37,VLOOKUP(AX467,Foundation_Calc!$I$10:$J$13,2,FALSE),0),
IF(AX467="K",VLOOKUP(L467,Foundation_Calc!$V$41:$X$74,VLOOKUP(AX467,Foundation_Calc!$I$10:$J$13,2,FALSE),0),"")))</f>
        <v/>
      </c>
      <c r="N467" s="8"/>
      <c r="O467" s="8"/>
      <c r="P467" s="8"/>
      <c r="Q467" s="14"/>
      <c r="R467" s="15"/>
      <c r="S467" s="15"/>
      <c r="T467" s="14"/>
      <c r="U467" s="14"/>
      <c r="V467" s="14"/>
      <c r="W467" s="18"/>
      <c r="X467" s="18"/>
      <c r="Y467" s="18"/>
      <c r="Z467" s="18"/>
      <c r="AA467" s="18"/>
      <c r="AB467" s="18"/>
      <c r="AC467" s="8" t="str">
        <f t="shared" si="98"/>
        <v/>
      </c>
      <c r="AD467" s="8"/>
      <c r="AE467" s="8"/>
      <c r="AF467" s="14"/>
      <c r="AG467" s="13"/>
      <c r="AH467" s="14"/>
      <c r="AI467" s="14"/>
      <c r="AJ467" s="8"/>
      <c r="AK467" s="8"/>
      <c r="AL467" s="8"/>
      <c r="AM467" s="8"/>
      <c r="AN467" s="631"/>
      <c r="AO467" s="18"/>
      <c r="AP467" s="18"/>
      <c r="AQ467" s="18"/>
      <c r="AR467" s="18"/>
      <c r="AS467" s="18"/>
      <c r="AU467" s="448"/>
      <c r="AV467" s="448"/>
      <c r="AW467" s="8" t="str">
        <f>IF(C467&gt;0,VLOOKUP(C467,Foundation_Calc!$A$2:$C$986,3,1),
IF(J467&gt;0,VLOOKUP(J467,Foundation_Calc!$A$2:$C$986,3,1),""))</f>
        <v/>
      </c>
      <c r="AX467" s="8" t="str">
        <f>IF(C467&gt;0,VLOOKUP(C467,Foundation_Calc!$E$2:$G$986,3,1),
IF(J467&gt;0,VLOOKUP(J467,Foundation_Calc!$E$2:$G$986,3,1),""))</f>
        <v/>
      </c>
      <c r="AY467" s="631" t="str">
        <f>IF(L467="","",
IF(AX467="PT",VLOOKUP(L467,Foundation_Calc!$K$4:$R$37,VLOOKUP(AW467,Foundation_Calc!$I$2:$J$8,2,FALSE),0),
IF(AX467="K",VLOOKUP(L467,Foundation_Calc!$K$41:$R$74,VLOOKUP(AW467,Foundation_Calc!$I$2:$J$8,2,FALSE),0),"")))</f>
        <v/>
      </c>
      <c r="AZ467" s="631" t="str">
        <f>IF(K467="","",
IF(AX467="PT",VLOOKUP(K467,Foundation_Calc!$K$4:$R$37,VLOOKUP(AW467,Foundation_Calc!$I$2:$J$8,2,FALSE),0),
IF(AX467="K",VLOOKUP(K467,Foundation_Calc!$K$41:$R$74,VLOOKUP(AW467,Foundation_Calc!$I$2:$J$8,2,FALSE),0),"")))</f>
        <v/>
      </c>
      <c r="BA467" s="632" t="str">
        <f t="shared" si="99"/>
        <v/>
      </c>
      <c r="BB467" s="632" t="str">
        <f t="shared" si="100"/>
        <v/>
      </c>
      <c r="BC467" s="632" t="str">
        <f t="shared" si="101"/>
        <v/>
      </c>
      <c r="BD467" s="633" t="str">
        <f>IF(AND(L467="",H467=""),"",
IF(H467="",Pole_Calc!A495,
IF(H467="MP",Pole_Calc!A496,
IF(H467="AnMP",Pole_Calc!A497,
IF(H467="A",Pole_Calc!A498,
IF(H467="S/A",Pole_Calc!A499,
IF(H467="A/S",Pole_Calc!A500,"Poner a mano")))))))</f>
        <v/>
      </c>
      <c r="BE467" s="448" t="s">
        <v>1726</v>
      </c>
      <c r="BF467" s="635"/>
      <c r="BG467" s="635"/>
      <c r="BH467" s="634"/>
      <c r="BI467" s="635"/>
    </row>
    <row r="468" spans="1:61" ht="16.2" customHeight="1">
      <c r="A468" s="12"/>
      <c r="B468" s="446"/>
      <c r="C468" s="89"/>
      <c r="D468" s="13"/>
      <c r="E468" s="14"/>
      <c r="F468" s="14"/>
      <c r="G468" s="15"/>
      <c r="H468" s="8"/>
      <c r="I468" s="8"/>
      <c r="J468" s="89"/>
      <c r="K468" s="8"/>
      <c r="L468" s="8"/>
      <c r="M468" s="8" t="str">
        <f>IF(L468="","",
IF(AX468="PT",VLOOKUP(L468,Foundation_Calc!$V$4:$X$37,VLOOKUP(AX468,Foundation_Calc!$I$10:$J$13,2,FALSE),0),
IF(AX468="K",VLOOKUP(L468,Foundation_Calc!$V$41:$X$74,VLOOKUP(AX468,Foundation_Calc!$I$10:$J$13,2,FALSE),0),"")))</f>
        <v/>
      </c>
      <c r="N468" s="8"/>
      <c r="O468" s="8"/>
      <c r="P468" s="8"/>
      <c r="Q468" s="14"/>
      <c r="R468" s="15"/>
      <c r="S468" s="15"/>
      <c r="T468" s="14"/>
      <c r="U468" s="14"/>
      <c r="V468" s="14"/>
      <c r="W468" s="18"/>
      <c r="X468" s="18"/>
      <c r="Y468" s="18"/>
      <c r="Z468" s="18"/>
      <c r="AA468" s="18"/>
      <c r="AB468" s="18"/>
      <c r="AC468" s="8" t="str">
        <f t="shared" si="98"/>
        <v/>
      </c>
      <c r="AD468" s="8"/>
      <c r="AE468" s="8"/>
      <c r="AF468" s="14"/>
      <c r="AG468" s="13"/>
      <c r="AH468" s="14"/>
      <c r="AI468" s="14"/>
      <c r="AJ468" s="8"/>
      <c r="AK468" s="8"/>
      <c r="AL468" s="8"/>
      <c r="AM468" s="8"/>
      <c r="AN468" s="631"/>
      <c r="AO468" s="18"/>
      <c r="AP468" s="18"/>
      <c r="AQ468" s="18"/>
      <c r="AR468" s="18"/>
      <c r="AS468" s="18"/>
      <c r="AU468" s="448"/>
      <c r="AV468" s="448"/>
      <c r="AW468" s="8" t="str">
        <f>IF(C468&gt;0,VLOOKUP(C468,Foundation_Calc!$A$2:$C$986,3,1),
IF(J468&gt;0,VLOOKUP(J468,Foundation_Calc!$A$2:$C$986,3,1),""))</f>
        <v/>
      </c>
      <c r="AX468" s="8" t="str">
        <f>IF(C468&gt;0,VLOOKUP(C468,Foundation_Calc!$E$2:$G$986,3,1),
IF(J468&gt;0,VLOOKUP(J468,Foundation_Calc!$E$2:$G$986,3,1),""))</f>
        <v/>
      </c>
      <c r="AY468" s="631" t="str">
        <f>IF(L468="","",
IF(AX468="PT",VLOOKUP(L468,Foundation_Calc!$K$4:$R$37,VLOOKUP(AW468,Foundation_Calc!$I$2:$J$8,2,FALSE),0),
IF(AX468="K",VLOOKUP(L468,Foundation_Calc!$K$41:$R$74,VLOOKUP(AW468,Foundation_Calc!$I$2:$J$8,2,FALSE),0),"")))</f>
        <v/>
      </c>
      <c r="AZ468" s="631" t="str">
        <f>IF(K468="","",
IF(AX468="PT",VLOOKUP(K468,Foundation_Calc!$K$4:$R$37,VLOOKUP(AW468,Foundation_Calc!$I$2:$J$8,2,FALSE),0),
IF(AX468="K",VLOOKUP(K468,Foundation_Calc!$K$41:$R$74,VLOOKUP(AW468,Foundation_Calc!$I$2:$J$8,2,FALSE),0),"")))</f>
        <v/>
      </c>
      <c r="BA468" s="632" t="str">
        <f t="shared" si="99"/>
        <v/>
      </c>
      <c r="BB468" s="632" t="str">
        <f t="shared" si="100"/>
        <v/>
      </c>
      <c r="BC468" s="632" t="str">
        <f t="shared" si="101"/>
        <v/>
      </c>
      <c r="BD468" s="633" t="str">
        <f>IF(AND(L468="",H468=""),"",
IF(H468="",Pole_Calc!A496,
IF(H468="MP",Pole_Calc!A497,
IF(H468="AnMP",Pole_Calc!A498,
IF(H468="A",Pole_Calc!A499,
IF(H468="S/A",Pole_Calc!A500,
IF(H468="A/S",Pole_Calc!A501,"Poner a mano")))))))</f>
        <v/>
      </c>
      <c r="BE468" s="448" t="s">
        <v>1726</v>
      </c>
      <c r="BF468" s="634"/>
      <c r="BG468" s="634"/>
      <c r="BH468" s="634"/>
      <c r="BI468" s="634"/>
    </row>
    <row r="469" spans="1:61" ht="16.2" customHeight="1">
      <c r="A469" s="12"/>
      <c r="B469" s="446"/>
      <c r="C469" s="89"/>
      <c r="D469" s="13"/>
      <c r="E469" s="14"/>
      <c r="F469" s="14"/>
      <c r="G469" s="15"/>
      <c r="H469" s="8"/>
      <c r="I469" s="8"/>
      <c r="J469" s="89"/>
      <c r="K469" s="8"/>
      <c r="L469" s="8"/>
      <c r="M469" s="8" t="str">
        <f>IF(L469="","",
IF(AX469="PT",VLOOKUP(L469,Foundation_Calc!$V$4:$X$37,VLOOKUP(AX469,Foundation_Calc!$I$10:$J$13,2,FALSE),0),
IF(AX469="K",VLOOKUP(L469,Foundation_Calc!$V$41:$X$74,VLOOKUP(AX469,Foundation_Calc!$I$10:$J$13,2,FALSE),0),"")))</f>
        <v/>
      </c>
      <c r="N469" s="8"/>
      <c r="O469" s="8"/>
      <c r="P469" s="8"/>
      <c r="Q469" s="14"/>
      <c r="R469" s="15"/>
      <c r="S469" s="15"/>
      <c r="T469" s="14"/>
      <c r="U469" s="14"/>
      <c r="V469" s="14"/>
      <c r="W469" s="18"/>
      <c r="X469" s="18"/>
      <c r="Y469" s="18"/>
      <c r="Z469" s="18"/>
      <c r="AA469" s="18"/>
      <c r="AB469" s="18"/>
      <c r="AC469" s="8" t="str">
        <f t="shared" si="98"/>
        <v/>
      </c>
      <c r="AD469" s="8"/>
      <c r="AE469" s="8"/>
      <c r="AF469" s="14"/>
      <c r="AG469" s="13"/>
      <c r="AH469" s="14"/>
      <c r="AI469" s="14"/>
      <c r="AJ469" s="8"/>
      <c r="AK469" s="8"/>
      <c r="AL469" s="8"/>
      <c r="AM469" s="8"/>
      <c r="AN469" s="631"/>
      <c r="AO469" s="18"/>
      <c r="AP469" s="18"/>
      <c r="AQ469" s="18"/>
      <c r="AR469" s="18"/>
      <c r="AS469" s="18"/>
      <c r="AU469" s="448"/>
      <c r="AV469" s="448"/>
      <c r="AW469" s="8" t="str">
        <f>IF(C469&gt;0,VLOOKUP(C469,Foundation_Calc!$A$2:$C$986,3,1),
IF(J469&gt;0,VLOOKUP(J469,Foundation_Calc!$A$2:$C$986,3,1),""))</f>
        <v/>
      </c>
      <c r="AX469" s="8" t="str">
        <f>IF(C469&gt;0,VLOOKUP(C469,Foundation_Calc!$E$2:$G$986,3,1),
IF(J469&gt;0,VLOOKUP(J469,Foundation_Calc!$E$2:$G$986,3,1),""))</f>
        <v/>
      </c>
      <c r="AY469" s="631" t="str">
        <f>IF(L469="","",
IF(AX469="PT",VLOOKUP(L469,Foundation_Calc!$K$4:$R$37,VLOOKUP(AW469,Foundation_Calc!$I$2:$J$8,2,FALSE),0),
IF(AX469="K",VLOOKUP(L469,Foundation_Calc!$K$41:$R$74,VLOOKUP(AW469,Foundation_Calc!$I$2:$J$8,2,FALSE),0),"")))</f>
        <v/>
      </c>
      <c r="AZ469" s="631" t="str">
        <f>IF(K469="","",
IF(AX469="PT",VLOOKUP(K469,Foundation_Calc!$K$4:$R$37,VLOOKUP(AW469,Foundation_Calc!$I$2:$J$8,2,FALSE),0),
IF(AX469="K",VLOOKUP(K469,Foundation_Calc!$K$41:$R$74,VLOOKUP(AW469,Foundation_Calc!$I$2:$J$8,2,FALSE),0),"")))</f>
        <v/>
      </c>
      <c r="BA469" s="632" t="str">
        <f t="shared" si="99"/>
        <v/>
      </c>
      <c r="BB469" s="632" t="str">
        <f t="shared" si="100"/>
        <v/>
      </c>
      <c r="BC469" s="632" t="str">
        <f t="shared" si="101"/>
        <v/>
      </c>
      <c r="BD469" s="633" t="str">
        <f>IF(AND(L469="",H469=""),"",
IF(H469="",Pole_Calc!A497,
IF(H469="MP",Pole_Calc!A498,
IF(H469="AnMP",Pole_Calc!A499,
IF(H469="A",Pole_Calc!A500,
IF(H469="S/A",Pole_Calc!A501,
IF(H469="A/S",Pole_Calc!A502,"Poner a mano")))))))</f>
        <v/>
      </c>
      <c r="BE469" s="448" t="s">
        <v>1726</v>
      </c>
      <c r="BF469" s="635"/>
      <c r="BG469" s="635"/>
      <c r="BH469" s="634"/>
      <c r="BI469" s="635"/>
    </row>
    <row r="470" spans="1:61" ht="16.2" customHeight="1">
      <c r="A470" s="12"/>
      <c r="B470" s="446"/>
      <c r="C470" s="89"/>
      <c r="D470" s="13"/>
      <c r="E470" s="14"/>
      <c r="F470" s="14"/>
      <c r="G470" s="15"/>
      <c r="H470" s="8"/>
      <c r="I470" s="8"/>
      <c r="J470" s="89"/>
      <c r="K470" s="8"/>
      <c r="L470" s="8"/>
      <c r="M470" s="8" t="str">
        <f>IF(L470="","",
IF(AX470="PT",VLOOKUP(L470,Foundation_Calc!$V$4:$X$37,VLOOKUP(AX470,Foundation_Calc!$I$10:$J$13,2,FALSE),0),
IF(AX470="K",VLOOKUP(L470,Foundation_Calc!$V$41:$X$74,VLOOKUP(AX470,Foundation_Calc!$I$10:$J$13,2,FALSE),0),"")))</f>
        <v/>
      </c>
      <c r="N470" s="8"/>
      <c r="O470" s="8"/>
      <c r="P470" s="8"/>
      <c r="Q470" s="14"/>
      <c r="R470" s="15"/>
      <c r="S470" s="15"/>
      <c r="T470" s="14"/>
      <c r="U470" s="14"/>
      <c r="V470" s="14"/>
      <c r="W470" s="18"/>
      <c r="X470" s="18"/>
      <c r="Y470" s="18"/>
      <c r="Z470" s="18"/>
      <c r="AA470" s="18"/>
      <c r="AB470" s="18"/>
      <c r="AC470" s="8" t="str">
        <f t="shared" si="98"/>
        <v/>
      </c>
      <c r="AD470" s="8"/>
      <c r="AE470" s="8"/>
      <c r="AF470" s="14"/>
      <c r="AG470" s="13"/>
      <c r="AH470" s="14"/>
      <c r="AI470" s="14"/>
      <c r="AJ470" s="8"/>
      <c r="AK470" s="8"/>
      <c r="AL470" s="8"/>
      <c r="AM470" s="8"/>
      <c r="AN470" s="631"/>
      <c r="AO470" s="18"/>
      <c r="AP470" s="18"/>
      <c r="AQ470" s="18"/>
      <c r="AR470" s="18"/>
      <c r="AS470" s="18"/>
      <c r="AU470" s="448"/>
      <c r="AV470" s="448"/>
      <c r="AW470" s="8" t="str">
        <f>IF(C470&gt;0,VLOOKUP(C470,Foundation_Calc!$A$2:$C$986,3,1),
IF(J470&gt;0,VLOOKUP(J470,Foundation_Calc!$A$2:$C$986,3,1),""))</f>
        <v/>
      </c>
      <c r="AX470" s="8" t="str">
        <f>IF(C470&gt;0,VLOOKUP(C470,Foundation_Calc!$E$2:$G$986,3,1),
IF(J470&gt;0,VLOOKUP(J470,Foundation_Calc!$E$2:$G$986,3,1),""))</f>
        <v/>
      </c>
      <c r="AY470" s="631" t="str">
        <f>IF(L470="","",
IF(AX470="PT",VLOOKUP(L470,Foundation_Calc!$K$4:$R$37,VLOOKUP(AW470,Foundation_Calc!$I$2:$J$8,2,FALSE),0),
IF(AX470="K",VLOOKUP(L470,Foundation_Calc!$K$41:$R$74,VLOOKUP(AW470,Foundation_Calc!$I$2:$J$8,2,FALSE),0),"")))</f>
        <v/>
      </c>
      <c r="AZ470" s="631" t="str">
        <f>IF(K470="","",
IF(AX470="PT",VLOOKUP(K470,Foundation_Calc!$K$4:$R$37,VLOOKUP(AW470,Foundation_Calc!$I$2:$J$8,2,FALSE),0),
IF(AX470="K",VLOOKUP(K470,Foundation_Calc!$K$41:$R$74,VLOOKUP(AW470,Foundation_Calc!$I$2:$J$8,2,FALSE),0),"")))</f>
        <v/>
      </c>
      <c r="BA470" s="632" t="str">
        <f t="shared" si="99"/>
        <v/>
      </c>
      <c r="BB470" s="632" t="str">
        <f t="shared" si="100"/>
        <v/>
      </c>
      <c r="BC470" s="632" t="str">
        <f t="shared" si="101"/>
        <v/>
      </c>
      <c r="BD470" s="633" t="str">
        <f>IF(AND(L470="",H470=""),"",
IF(H470="",Pole_Calc!A498,
IF(H470="MP",Pole_Calc!A499,
IF(H470="AnMP",Pole_Calc!A500,
IF(H470="A",Pole_Calc!A501,
IF(H470="S/A",Pole_Calc!A502,
IF(H470="A/S",Pole_Calc!A503,"Poner a mano")))))))</f>
        <v/>
      </c>
      <c r="BE470" s="448" t="s">
        <v>1726</v>
      </c>
      <c r="BF470" s="634"/>
      <c r="BG470" s="634"/>
      <c r="BH470" s="634"/>
      <c r="BI470" s="634"/>
    </row>
    <row r="471" spans="1:61" ht="16.2" customHeight="1">
      <c r="A471" s="12"/>
      <c r="B471" s="446"/>
      <c r="C471" s="89"/>
      <c r="D471" s="13"/>
      <c r="E471" s="14"/>
      <c r="F471" s="14"/>
      <c r="G471" s="15"/>
      <c r="H471" s="8"/>
      <c r="I471" s="8"/>
      <c r="J471" s="89"/>
      <c r="K471" s="8"/>
      <c r="L471" s="8"/>
      <c r="M471" s="8" t="str">
        <f>IF(L471="","",
IF(AX471="PT",VLOOKUP(L471,Foundation_Calc!$V$4:$X$37,VLOOKUP(AX471,Foundation_Calc!$I$10:$J$13,2,FALSE),0),
IF(AX471="K",VLOOKUP(L471,Foundation_Calc!$V$41:$X$74,VLOOKUP(AX471,Foundation_Calc!$I$10:$J$13,2,FALSE),0),"")))</f>
        <v/>
      </c>
      <c r="N471" s="8"/>
      <c r="O471" s="8"/>
      <c r="P471" s="8"/>
      <c r="Q471" s="14"/>
      <c r="R471" s="15"/>
      <c r="S471" s="15"/>
      <c r="T471" s="14"/>
      <c r="U471" s="14"/>
      <c r="V471" s="14"/>
      <c r="W471" s="18"/>
      <c r="X471" s="18"/>
      <c r="Y471" s="18"/>
      <c r="Z471" s="18"/>
      <c r="AA471" s="18"/>
      <c r="AB471" s="18"/>
      <c r="AC471" s="8" t="str">
        <f t="shared" si="98"/>
        <v/>
      </c>
      <c r="AD471" s="8"/>
      <c r="AE471" s="8"/>
      <c r="AF471" s="14"/>
      <c r="AG471" s="13"/>
      <c r="AH471" s="14"/>
      <c r="AI471" s="14"/>
      <c r="AJ471" s="8"/>
      <c r="AK471" s="8"/>
      <c r="AL471" s="8"/>
      <c r="AM471" s="8"/>
      <c r="AN471" s="631"/>
      <c r="AO471" s="18"/>
      <c r="AP471" s="18"/>
      <c r="AQ471" s="18"/>
      <c r="AR471" s="18"/>
      <c r="AS471" s="18"/>
      <c r="AU471" s="448"/>
      <c r="AV471" s="448"/>
      <c r="AW471" s="8" t="str">
        <f>IF(C471&gt;0,VLOOKUP(C471,Foundation_Calc!$A$2:$C$986,3,1),
IF(J471&gt;0,VLOOKUP(J471,Foundation_Calc!$A$2:$C$986,3,1),""))</f>
        <v/>
      </c>
      <c r="AX471" s="8" t="str">
        <f>IF(C471&gt;0,VLOOKUP(C471,Foundation_Calc!$E$2:$G$986,3,1),
IF(J471&gt;0,VLOOKUP(J471,Foundation_Calc!$E$2:$G$986,3,1),""))</f>
        <v/>
      </c>
      <c r="AY471" s="631" t="str">
        <f>IF(L471="","",
IF(AX471="PT",VLOOKUP(L471,Foundation_Calc!$K$4:$R$37,VLOOKUP(AW471,Foundation_Calc!$I$2:$J$8,2,FALSE),0),
IF(AX471="K",VLOOKUP(L471,Foundation_Calc!$K$41:$R$74,VLOOKUP(AW471,Foundation_Calc!$I$2:$J$8,2,FALSE),0),"")))</f>
        <v/>
      </c>
      <c r="AZ471" s="631" t="str">
        <f>IF(K471="","",
IF(AX471="PT",VLOOKUP(K471,Foundation_Calc!$K$4:$R$37,VLOOKUP(AW471,Foundation_Calc!$I$2:$J$8,2,FALSE),0),
IF(AX471="K",VLOOKUP(K471,Foundation_Calc!$K$41:$R$74,VLOOKUP(AW471,Foundation_Calc!$I$2:$J$8,2,FALSE),0),"")))</f>
        <v/>
      </c>
      <c r="BA471" s="632" t="str">
        <f t="shared" si="99"/>
        <v/>
      </c>
      <c r="BB471" s="632" t="str">
        <f t="shared" si="100"/>
        <v/>
      </c>
      <c r="BC471" s="632" t="str">
        <f t="shared" si="101"/>
        <v/>
      </c>
      <c r="BD471" s="633" t="str">
        <f>IF(AND(L471="",H471=""),"",
IF(H471="",Pole_Calc!A499,
IF(H471="MP",Pole_Calc!A500,
IF(H471="AnMP",Pole_Calc!A501,
IF(H471="A",Pole_Calc!A502,
IF(H471="S/A",Pole_Calc!A503,
IF(H471="A/S",Pole_Calc!A504,"Poner a mano")))))))</f>
        <v/>
      </c>
      <c r="BE471" s="448" t="s">
        <v>1726</v>
      </c>
      <c r="BF471" s="635"/>
      <c r="BG471" s="635"/>
      <c r="BH471" s="634"/>
      <c r="BI471" s="635"/>
    </row>
    <row r="472" spans="1:61" ht="16.2" customHeight="1">
      <c r="A472" s="12"/>
      <c r="B472" s="446"/>
      <c r="C472" s="89"/>
      <c r="D472" s="13"/>
      <c r="E472" s="14"/>
      <c r="F472" s="14"/>
      <c r="G472" s="15"/>
      <c r="H472" s="8"/>
      <c r="I472" s="8"/>
      <c r="J472" s="89"/>
      <c r="K472" s="8"/>
      <c r="L472" s="8"/>
      <c r="M472" s="8" t="str">
        <f>IF(L472="","",
IF(AX472="PT",VLOOKUP(L472,Foundation_Calc!$V$4:$X$37,VLOOKUP(AX472,Foundation_Calc!$I$10:$J$13,2,FALSE),0),
IF(AX472="K",VLOOKUP(L472,Foundation_Calc!$V$41:$X$74,VLOOKUP(AX472,Foundation_Calc!$I$10:$J$13,2,FALSE),0),"")))</f>
        <v/>
      </c>
      <c r="N472" s="8"/>
      <c r="O472" s="8"/>
      <c r="P472" s="8"/>
      <c r="Q472" s="14"/>
      <c r="R472" s="15"/>
      <c r="S472" s="15"/>
      <c r="T472" s="14"/>
      <c r="U472" s="14"/>
      <c r="V472" s="14"/>
      <c r="W472" s="18"/>
      <c r="X472" s="18"/>
      <c r="Y472" s="18"/>
      <c r="Z472" s="18"/>
      <c r="AA472" s="18"/>
      <c r="AB472" s="18"/>
      <c r="AC472" s="8" t="str">
        <f t="shared" si="98"/>
        <v/>
      </c>
      <c r="AD472" s="8"/>
      <c r="AE472" s="8"/>
      <c r="AF472" s="14"/>
      <c r="AG472" s="13"/>
      <c r="AH472" s="14"/>
      <c r="AI472" s="14"/>
      <c r="AJ472" s="8"/>
      <c r="AK472" s="8"/>
      <c r="AL472" s="8"/>
      <c r="AM472" s="8"/>
      <c r="AN472" s="631"/>
      <c r="AO472" s="18"/>
      <c r="AP472" s="18"/>
      <c r="AQ472" s="18"/>
      <c r="AR472" s="18"/>
      <c r="AS472" s="18"/>
      <c r="AU472" s="448"/>
      <c r="AV472" s="448"/>
      <c r="AW472" s="8" t="str">
        <f>IF(C472&gt;0,VLOOKUP(C472,Foundation_Calc!$A$2:$C$986,3,1),
IF(J472&gt;0,VLOOKUP(J472,Foundation_Calc!$A$2:$C$986,3,1),""))</f>
        <v/>
      </c>
      <c r="AX472" s="8" t="str">
        <f>IF(C472&gt;0,VLOOKUP(C472,Foundation_Calc!$E$2:$G$986,3,1),
IF(J472&gt;0,VLOOKUP(J472,Foundation_Calc!$E$2:$G$986,3,1),""))</f>
        <v/>
      </c>
      <c r="AY472" s="631" t="str">
        <f>IF(L472="","",
IF(AX472="PT",VLOOKUP(L472,Foundation_Calc!$K$4:$R$37,VLOOKUP(AW472,Foundation_Calc!$I$2:$J$8,2,FALSE),0),
IF(AX472="K",VLOOKUP(L472,Foundation_Calc!$K$41:$R$74,VLOOKUP(AW472,Foundation_Calc!$I$2:$J$8,2,FALSE),0),"")))</f>
        <v/>
      </c>
      <c r="AZ472" s="631" t="str">
        <f>IF(K472="","",
IF(AX472="PT",VLOOKUP(K472,Foundation_Calc!$K$4:$R$37,VLOOKUP(AW472,Foundation_Calc!$I$2:$J$8,2,FALSE),0),
IF(AX472="K",VLOOKUP(K472,Foundation_Calc!$K$41:$R$74,VLOOKUP(AW472,Foundation_Calc!$I$2:$J$8,2,FALSE),0),"")))</f>
        <v/>
      </c>
      <c r="BA472" s="632" t="str">
        <f t="shared" si="99"/>
        <v/>
      </c>
      <c r="BB472" s="632" t="str">
        <f t="shared" si="100"/>
        <v/>
      </c>
      <c r="BC472" s="632" t="str">
        <f t="shared" si="101"/>
        <v/>
      </c>
      <c r="BD472" s="633" t="str">
        <f>IF(AND(L472="",H472=""),"",
IF(H472="",Pole_Calc!A500,
IF(H472="MP",Pole_Calc!A501,
IF(H472="AnMP",Pole_Calc!A502,
IF(H472="A",Pole_Calc!A503,
IF(H472="S/A",Pole_Calc!A504,
IF(H472="A/S",Pole_Calc!A505,"Poner a mano")))))))</f>
        <v/>
      </c>
      <c r="BE472" s="448" t="s">
        <v>1726</v>
      </c>
      <c r="BF472" s="634"/>
      <c r="BG472" s="634"/>
      <c r="BH472" s="634"/>
      <c r="BI472" s="634"/>
    </row>
    <row r="473" spans="1:61" ht="16.2" customHeight="1">
      <c r="A473" s="12"/>
      <c r="B473" s="446"/>
      <c r="C473" s="89"/>
      <c r="D473" s="13"/>
      <c r="E473" s="14"/>
      <c r="F473" s="14"/>
      <c r="G473" s="15"/>
      <c r="H473" s="8"/>
      <c r="I473" s="8"/>
      <c r="J473" s="89"/>
      <c r="K473" s="8"/>
      <c r="L473" s="8"/>
      <c r="M473" s="8" t="str">
        <f>IF(L473="","",
IF(AX473="PT",VLOOKUP(L473,Foundation_Calc!$V$4:$X$37,VLOOKUP(AX473,Foundation_Calc!$I$10:$J$13,2,FALSE),0),
IF(AX473="K",VLOOKUP(L473,Foundation_Calc!$V$41:$X$74,VLOOKUP(AX473,Foundation_Calc!$I$10:$J$13,2,FALSE),0),"")))</f>
        <v/>
      </c>
      <c r="N473" s="8"/>
      <c r="O473" s="8"/>
      <c r="P473" s="8"/>
      <c r="Q473" s="14"/>
      <c r="R473" s="15"/>
      <c r="S473" s="15"/>
      <c r="T473" s="14"/>
      <c r="U473" s="14"/>
      <c r="V473" s="14"/>
      <c r="W473" s="18"/>
      <c r="X473" s="18"/>
      <c r="Y473" s="18"/>
      <c r="Z473" s="18"/>
      <c r="AA473" s="18"/>
      <c r="AB473" s="18"/>
      <c r="AC473" s="8" t="str">
        <f t="shared" si="98"/>
        <v/>
      </c>
      <c r="AD473" s="8"/>
      <c r="AE473" s="8"/>
      <c r="AF473" s="14"/>
      <c r="AG473" s="13"/>
      <c r="AH473" s="14"/>
      <c r="AI473" s="14"/>
      <c r="AJ473" s="8"/>
      <c r="AK473" s="8"/>
      <c r="AL473" s="8"/>
      <c r="AM473" s="8"/>
      <c r="AN473" s="631"/>
      <c r="AO473" s="18"/>
      <c r="AP473" s="18"/>
      <c r="AQ473" s="18"/>
      <c r="AR473" s="18"/>
      <c r="AS473" s="18"/>
      <c r="AU473" s="448"/>
      <c r="AV473" s="448"/>
      <c r="AW473" s="8" t="str">
        <f>IF(C473&gt;0,VLOOKUP(C473,Foundation_Calc!$A$2:$C$986,3,1),
IF(J473&gt;0,VLOOKUP(J473,Foundation_Calc!$A$2:$C$986,3,1),""))</f>
        <v/>
      </c>
      <c r="AX473" s="8" t="str">
        <f>IF(C473&gt;0,VLOOKUP(C473,Foundation_Calc!$E$2:$G$986,3,1),
IF(J473&gt;0,VLOOKUP(J473,Foundation_Calc!$E$2:$G$986,3,1),""))</f>
        <v/>
      </c>
      <c r="AY473" s="631" t="str">
        <f>IF(L473="","",
IF(AX473="PT",VLOOKUP(L473,Foundation_Calc!$K$4:$R$37,VLOOKUP(AW473,Foundation_Calc!$I$2:$J$8,2,FALSE),0),
IF(AX473="K",VLOOKUP(L473,Foundation_Calc!$K$41:$R$74,VLOOKUP(AW473,Foundation_Calc!$I$2:$J$8,2,FALSE),0),"")))</f>
        <v/>
      </c>
      <c r="AZ473" s="631" t="str">
        <f>IF(K473="","",
IF(AX473="PT",VLOOKUP(K473,Foundation_Calc!$K$4:$R$37,VLOOKUP(AW473,Foundation_Calc!$I$2:$J$8,2,FALSE),0),
IF(AX473="K",VLOOKUP(K473,Foundation_Calc!$K$41:$R$74,VLOOKUP(AW473,Foundation_Calc!$I$2:$J$8,2,FALSE),0),"")))</f>
        <v/>
      </c>
      <c r="BA473" s="632" t="str">
        <f t="shared" si="99"/>
        <v/>
      </c>
      <c r="BB473" s="632" t="str">
        <f t="shared" si="100"/>
        <v/>
      </c>
      <c r="BC473" s="632" t="str">
        <f t="shared" si="101"/>
        <v/>
      </c>
      <c r="BD473" s="633" t="str">
        <f>IF(AND(L473="",H473=""),"",
IF(H473="",Pole_Calc!A501,
IF(H473="MP",Pole_Calc!A502,
IF(H473="AnMP",Pole_Calc!A503,
IF(H473="A",Pole_Calc!A504,
IF(H473="S/A",Pole_Calc!A505,
IF(H473="A/S",Pole_Calc!A506,"Poner a mano")))))))</f>
        <v/>
      </c>
      <c r="BE473" s="448" t="s">
        <v>1726</v>
      </c>
      <c r="BF473" s="635"/>
      <c r="BG473" s="635"/>
      <c r="BH473" s="634"/>
      <c r="BI473" s="635"/>
    </row>
    <row r="474" spans="1:61" ht="16.2" customHeight="1">
      <c r="A474" s="12"/>
      <c r="B474" s="446"/>
      <c r="C474" s="89"/>
      <c r="D474" s="13"/>
      <c r="E474" s="14"/>
      <c r="F474" s="14"/>
      <c r="G474" s="15"/>
      <c r="H474" s="8"/>
      <c r="I474" s="8"/>
      <c r="J474" s="89"/>
      <c r="K474" s="8"/>
      <c r="L474" s="8"/>
      <c r="M474" s="8" t="str">
        <f>IF(L474="","",
IF(AX474="PT",VLOOKUP(L474,Foundation_Calc!$V$4:$X$37,VLOOKUP(AX474,Foundation_Calc!$I$10:$J$13,2,FALSE),0),
IF(AX474="K",VLOOKUP(L474,Foundation_Calc!$V$41:$X$74,VLOOKUP(AX474,Foundation_Calc!$I$10:$J$13,2,FALSE),0),"")))</f>
        <v/>
      </c>
      <c r="N474" s="8"/>
      <c r="O474" s="8"/>
      <c r="P474" s="8"/>
      <c r="Q474" s="14"/>
      <c r="R474" s="15"/>
      <c r="S474" s="15"/>
      <c r="T474" s="14"/>
      <c r="U474" s="14"/>
      <c r="V474" s="14"/>
      <c r="W474" s="18"/>
      <c r="X474" s="18"/>
      <c r="Y474" s="18"/>
      <c r="Z474" s="18"/>
      <c r="AA474" s="18"/>
      <c r="AB474" s="18"/>
      <c r="AC474" s="8" t="str">
        <f t="shared" si="98"/>
        <v/>
      </c>
      <c r="AD474" s="8"/>
      <c r="AE474" s="8"/>
      <c r="AF474" s="14"/>
      <c r="AG474" s="13"/>
      <c r="AH474" s="14"/>
      <c r="AI474" s="14"/>
      <c r="AJ474" s="8"/>
      <c r="AK474" s="8"/>
      <c r="AL474" s="8"/>
      <c r="AM474" s="8"/>
      <c r="AN474" s="631"/>
      <c r="AO474" s="18"/>
      <c r="AP474" s="18"/>
      <c r="AQ474" s="18"/>
      <c r="AR474" s="18"/>
      <c r="AS474" s="18"/>
      <c r="AU474" s="448"/>
      <c r="AV474" s="448"/>
      <c r="AW474" s="8" t="str">
        <f>IF(C474&gt;0,VLOOKUP(C474,Foundation_Calc!$A$2:$C$986,3,1),
IF(J474&gt;0,VLOOKUP(J474,Foundation_Calc!$A$2:$C$986,3,1),""))</f>
        <v/>
      </c>
      <c r="AX474" s="8" t="str">
        <f>IF(C474&gt;0,VLOOKUP(C474,Foundation_Calc!$E$2:$G$986,3,1),
IF(J474&gt;0,VLOOKUP(J474,Foundation_Calc!$E$2:$G$986,3,1),""))</f>
        <v/>
      </c>
      <c r="AY474" s="631" t="str">
        <f>IF(L474="","",
IF(AX474="PT",VLOOKUP(L474,Foundation_Calc!$K$4:$R$37,VLOOKUP(AW474,Foundation_Calc!$I$2:$J$8,2,FALSE),0),
IF(AX474="K",VLOOKUP(L474,Foundation_Calc!$K$41:$R$74,VLOOKUP(AW474,Foundation_Calc!$I$2:$J$8,2,FALSE),0),"")))</f>
        <v/>
      </c>
      <c r="AZ474" s="631" t="str">
        <f>IF(K474="","",
IF(AX474="PT",VLOOKUP(K474,Foundation_Calc!$K$4:$R$37,VLOOKUP(AW474,Foundation_Calc!$I$2:$J$8,2,FALSE),0),
IF(AX474="K",VLOOKUP(K474,Foundation_Calc!$K$41:$R$74,VLOOKUP(AW474,Foundation_Calc!$I$2:$J$8,2,FALSE),0),"")))</f>
        <v/>
      </c>
      <c r="BA474" s="632" t="str">
        <f t="shared" si="99"/>
        <v/>
      </c>
      <c r="BB474" s="632" t="str">
        <f t="shared" si="100"/>
        <v/>
      </c>
      <c r="BC474" s="632" t="str">
        <f t="shared" si="101"/>
        <v/>
      </c>
      <c r="BD474" s="633" t="str">
        <f>IF(AND(L474="",H474=""),"",
IF(H474="",Pole_Calc!A502,
IF(H474="MP",Pole_Calc!A503,
IF(H474="AnMP",Pole_Calc!A504,
IF(H474="A",Pole_Calc!A505,
IF(H474="S/A",Pole_Calc!A506,
IF(H474="A/S",Pole_Calc!A507,"Poner a mano")))))))</f>
        <v/>
      </c>
      <c r="BE474" s="448" t="s">
        <v>1726</v>
      </c>
      <c r="BF474" s="634"/>
      <c r="BG474" s="634"/>
      <c r="BH474" s="634"/>
      <c r="BI474" s="634"/>
    </row>
    <row r="475" spans="1:61" ht="16.2" customHeight="1">
      <c r="A475" s="12"/>
      <c r="B475" s="446"/>
      <c r="C475" s="89"/>
      <c r="D475" s="13"/>
      <c r="E475" s="14"/>
      <c r="F475" s="14"/>
      <c r="G475" s="15"/>
      <c r="H475" s="8"/>
      <c r="I475" s="8"/>
      <c r="J475" s="89"/>
      <c r="K475" s="8"/>
      <c r="L475" s="8"/>
      <c r="M475" s="8" t="str">
        <f>IF(L475="","",
IF(AX475="PT",VLOOKUP(L475,Foundation_Calc!$V$4:$X$37,VLOOKUP(AX475,Foundation_Calc!$I$10:$J$13,2,FALSE),0),
IF(AX475="K",VLOOKUP(L475,Foundation_Calc!$V$41:$X$74,VLOOKUP(AX475,Foundation_Calc!$I$10:$J$13,2,FALSE),0),"")))</f>
        <v/>
      </c>
      <c r="N475" s="8"/>
      <c r="O475" s="8"/>
      <c r="P475" s="8"/>
      <c r="Q475" s="14"/>
      <c r="R475" s="15"/>
      <c r="S475" s="15"/>
      <c r="T475" s="14"/>
      <c r="U475" s="14"/>
      <c r="V475" s="14"/>
      <c r="W475" s="18"/>
      <c r="X475" s="18"/>
      <c r="Y475" s="18"/>
      <c r="Z475" s="18"/>
      <c r="AA475" s="18"/>
      <c r="AB475" s="18"/>
      <c r="AC475" s="8" t="str">
        <f t="shared" si="98"/>
        <v/>
      </c>
      <c r="AD475" s="8"/>
      <c r="AE475" s="8"/>
      <c r="AF475" s="14"/>
      <c r="AG475" s="13"/>
      <c r="AH475" s="14"/>
      <c r="AI475" s="14"/>
      <c r="AJ475" s="8"/>
      <c r="AK475" s="8"/>
      <c r="AL475" s="8"/>
      <c r="AM475" s="8"/>
      <c r="AN475" s="631"/>
      <c r="AO475" s="18"/>
      <c r="AP475" s="18"/>
      <c r="AQ475" s="18"/>
      <c r="AR475" s="18"/>
      <c r="AS475" s="18"/>
      <c r="AU475" s="448"/>
      <c r="AV475" s="448"/>
      <c r="AW475" s="8" t="str">
        <f>IF(C475&gt;0,VLOOKUP(C475,Foundation_Calc!$A$2:$C$986,3,1),
IF(J475&gt;0,VLOOKUP(J475,Foundation_Calc!$A$2:$C$986,3,1),""))</f>
        <v/>
      </c>
      <c r="AX475" s="8" t="str">
        <f>IF(C475&gt;0,VLOOKUP(C475,Foundation_Calc!$E$2:$G$986,3,1),
IF(J475&gt;0,VLOOKUP(J475,Foundation_Calc!$E$2:$G$986,3,1),""))</f>
        <v/>
      </c>
      <c r="AY475" s="631" t="str">
        <f>IF(L475="","",
IF(AX475="PT",VLOOKUP(L475,Foundation_Calc!$K$4:$R$37,VLOOKUP(AW475,Foundation_Calc!$I$2:$J$8,2,FALSE),0),
IF(AX475="K",VLOOKUP(L475,Foundation_Calc!$K$41:$R$74,VLOOKUP(AW475,Foundation_Calc!$I$2:$J$8,2,FALSE),0),"")))</f>
        <v/>
      </c>
      <c r="AZ475" s="631" t="str">
        <f>IF(K475="","",
IF(AX475="PT",VLOOKUP(K475,Foundation_Calc!$K$4:$R$37,VLOOKUP(AW475,Foundation_Calc!$I$2:$J$8,2,FALSE),0),
IF(AX475="K",VLOOKUP(K475,Foundation_Calc!$K$41:$R$74,VLOOKUP(AW475,Foundation_Calc!$I$2:$J$8,2,FALSE),0),"")))</f>
        <v/>
      </c>
      <c r="BA475" s="632" t="str">
        <f t="shared" si="99"/>
        <v/>
      </c>
      <c r="BB475" s="632" t="str">
        <f t="shared" si="100"/>
        <v/>
      </c>
      <c r="BC475" s="632" t="str">
        <f t="shared" si="101"/>
        <v/>
      </c>
      <c r="BD475" s="633" t="str">
        <f>IF(AND(L475="",H475=""),"",
IF(H475="",Pole_Calc!A503,
IF(H475="MP",Pole_Calc!A504,
IF(H475="AnMP",Pole_Calc!A505,
IF(H475="A",Pole_Calc!A506,
IF(H475="S/A",Pole_Calc!A507,
IF(H475="A/S",Pole_Calc!A508,"Poner a mano")))))))</f>
        <v/>
      </c>
      <c r="BE475" s="448" t="s">
        <v>1726</v>
      </c>
      <c r="BF475" s="635"/>
      <c r="BG475" s="635"/>
      <c r="BH475" s="634"/>
      <c r="BI475" s="635"/>
    </row>
    <row r="476" spans="1:61" ht="16.2" customHeight="1">
      <c r="A476" s="12"/>
      <c r="B476" s="446"/>
      <c r="C476" s="89"/>
      <c r="D476" s="13"/>
      <c r="E476" s="14"/>
      <c r="F476" s="14"/>
      <c r="G476" s="15"/>
      <c r="H476" s="8"/>
      <c r="I476" s="8"/>
      <c r="J476" s="89"/>
      <c r="K476" s="8"/>
      <c r="L476" s="8"/>
      <c r="M476" s="8" t="str">
        <f>IF(L476="","",
IF(AX476="PT",VLOOKUP(L476,Foundation_Calc!$V$4:$X$37,VLOOKUP(AX476,Foundation_Calc!$I$10:$J$13,2,FALSE),0),
IF(AX476="K",VLOOKUP(L476,Foundation_Calc!$V$41:$X$74,VLOOKUP(AX476,Foundation_Calc!$I$10:$J$13,2,FALSE),0),"")))</f>
        <v/>
      </c>
      <c r="N476" s="8"/>
      <c r="O476" s="8"/>
      <c r="P476" s="8"/>
      <c r="Q476" s="14"/>
      <c r="R476" s="15"/>
      <c r="S476" s="15"/>
      <c r="T476" s="14"/>
      <c r="U476" s="14"/>
      <c r="V476" s="14"/>
      <c r="W476" s="18"/>
      <c r="X476" s="18"/>
      <c r="Y476" s="18"/>
      <c r="Z476" s="18"/>
      <c r="AA476" s="18"/>
      <c r="AB476" s="18"/>
      <c r="AC476" s="8" t="str">
        <f t="shared" si="98"/>
        <v/>
      </c>
      <c r="AD476" s="8"/>
      <c r="AE476" s="8"/>
      <c r="AF476" s="14"/>
      <c r="AG476" s="13"/>
      <c r="AH476" s="14"/>
      <c r="AI476" s="14"/>
      <c r="AJ476" s="8"/>
      <c r="AK476" s="8"/>
      <c r="AL476" s="8"/>
      <c r="AM476" s="8"/>
      <c r="AN476" s="631"/>
      <c r="AO476" s="18"/>
      <c r="AP476" s="18"/>
      <c r="AQ476" s="18"/>
      <c r="AR476" s="18"/>
      <c r="AS476" s="18"/>
      <c r="AU476" s="448"/>
      <c r="AV476" s="448"/>
      <c r="AW476" s="8" t="str">
        <f>IF(C476&gt;0,VLOOKUP(C476,Foundation_Calc!$A$2:$C$986,3,1),
IF(J476&gt;0,VLOOKUP(J476,Foundation_Calc!$A$2:$C$986,3,1),""))</f>
        <v/>
      </c>
      <c r="AX476" s="8" t="str">
        <f>IF(C476&gt;0,VLOOKUP(C476,Foundation_Calc!$E$2:$G$986,3,1),
IF(J476&gt;0,VLOOKUP(J476,Foundation_Calc!$E$2:$G$986,3,1),""))</f>
        <v/>
      </c>
      <c r="AY476" s="631" t="str">
        <f>IF(L476="","",
IF(AX476="PT",VLOOKUP(L476,Foundation_Calc!$K$4:$R$37,VLOOKUP(AW476,Foundation_Calc!$I$2:$J$8,2,FALSE),0),
IF(AX476="K",VLOOKUP(L476,Foundation_Calc!$K$41:$R$74,VLOOKUP(AW476,Foundation_Calc!$I$2:$J$8,2,FALSE),0),"")))</f>
        <v/>
      </c>
      <c r="AZ476" s="631" t="str">
        <f>IF(K476="","",
IF(AX476="PT",VLOOKUP(K476,Foundation_Calc!$K$4:$R$37,VLOOKUP(AW476,Foundation_Calc!$I$2:$J$8,2,FALSE),0),
IF(AX476="K",VLOOKUP(K476,Foundation_Calc!$K$41:$R$74,VLOOKUP(AW476,Foundation_Calc!$I$2:$J$8,2,FALSE),0),"")))</f>
        <v/>
      </c>
      <c r="BA476" s="632" t="str">
        <f t="shared" si="99"/>
        <v/>
      </c>
      <c r="BB476" s="632" t="str">
        <f t="shared" si="100"/>
        <v/>
      </c>
      <c r="BC476" s="632" t="str">
        <f t="shared" si="101"/>
        <v/>
      </c>
      <c r="BD476" s="633" t="str">
        <f>IF(AND(L476="",H476=""),"",
IF(H476="",Pole_Calc!A504,
IF(H476="MP",Pole_Calc!A505,
IF(H476="AnMP",Pole_Calc!A506,
IF(H476="A",Pole_Calc!A507,
IF(H476="S/A",Pole_Calc!A508,
IF(H476="A/S",Pole_Calc!A509,"Poner a mano")))))))</f>
        <v/>
      </c>
      <c r="BE476" s="448" t="s">
        <v>1726</v>
      </c>
      <c r="BF476" s="634"/>
      <c r="BG476" s="634"/>
      <c r="BH476" s="634"/>
      <c r="BI476" s="634"/>
    </row>
    <row r="477" spans="1:61" ht="16.2" customHeight="1">
      <c r="A477" s="12"/>
      <c r="B477" s="446"/>
      <c r="C477" s="89"/>
      <c r="D477" s="13"/>
      <c r="E477" s="14"/>
      <c r="F477" s="14"/>
      <c r="G477" s="15"/>
      <c r="H477" s="8"/>
      <c r="I477" s="8"/>
      <c r="J477" s="89"/>
      <c r="K477" s="8"/>
      <c r="L477" s="8"/>
      <c r="M477" s="8" t="str">
        <f>IF(L477="","",
IF(AX477="PT",VLOOKUP(L477,Foundation_Calc!$V$4:$X$37,VLOOKUP(AX477,Foundation_Calc!$I$10:$J$13,2,FALSE),0),
IF(AX477="K",VLOOKUP(L477,Foundation_Calc!$V$41:$X$74,VLOOKUP(AX477,Foundation_Calc!$I$10:$J$13,2,FALSE),0),"")))</f>
        <v/>
      </c>
      <c r="N477" s="8"/>
      <c r="O477" s="8"/>
      <c r="P477" s="8"/>
      <c r="Q477" s="14"/>
      <c r="R477" s="15"/>
      <c r="S477" s="15"/>
      <c r="T477" s="14"/>
      <c r="U477" s="14"/>
      <c r="V477" s="14"/>
      <c r="W477" s="18"/>
      <c r="X477" s="18"/>
      <c r="Y477" s="18"/>
      <c r="Z477" s="18"/>
      <c r="AA477" s="18"/>
      <c r="AB477" s="18"/>
      <c r="AC477" s="8" t="str">
        <f t="shared" si="98"/>
        <v/>
      </c>
      <c r="AD477" s="8"/>
      <c r="AE477" s="8"/>
      <c r="AF477" s="14"/>
      <c r="AG477" s="13"/>
      <c r="AH477" s="14"/>
      <c r="AI477" s="14"/>
      <c r="AJ477" s="8"/>
      <c r="AK477" s="8"/>
      <c r="AL477" s="8"/>
      <c r="AM477" s="8"/>
      <c r="AN477" s="631"/>
      <c r="AO477" s="18"/>
      <c r="AP477" s="18"/>
      <c r="AQ477" s="18"/>
      <c r="AR477" s="18"/>
      <c r="AS477" s="18"/>
      <c r="AU477" s="448"/>
      <c r="AV477" s="448"/>
      <c r="AW477" s="8" t="str">
        <f>IF(C477&gt;0,VLOOKUP(C477,Foundation_Calc!$A$2:$C$986,3,1),
IF(J477&gt;0,VLOOKUP(J477,Foundation_Calc!$A$2:$C$986,3,1),""))</f>
        <v/>
      </c>
      <c r="AX477" s="8" t="str">
        <f>IF(C477&gt;0,VLOOKUP(C477,Foundation_Calc!$E$2:$G$986,3,1),
IF(J477&gt;0,VLOOKUP(J477,Foundation_Calc!$E$2:$G$986,3,1),""))</f>
        <v/>
      </c>
      <c r="AY477" s="631" t="str">
        <f>IF(L477="","",
IF(AX477="PT",VLOOKUP(L477,Foundation_Calc!$K$4:$R$37,VLOOKUP(AW477,Foundation_Calc!$I$2:$J$8,2,FALSE),0),
IF(AX477="K",VLOOKUP(L477,Foundation_Calc!$K$41:$R$74,VLOOKUP(AW477,Foundation_Calc!$I$2:$J$8,2,FALSE),0),"")))</f>
        <v/>
      </c>
      <c r="AZ477" s="631" t="str">
        <f>IF(K477="","",
IF(AX477="PT",VLOOKUP(K477,Foundation_Calc!$K$4:$R$37,VLOOKUP(AW477,Foundation_Calc!$I$2:$J$8,2,FALSE),0),
IF(AX477="K",VLOOKUP(K477,Foundation_Calc!$K$41:$R$74,VLOOKUP(AW477,Foundation_Calc!$I$2:$J$8,2,FALSE),0),"")))</f>
        <v/>
      </c>
      <c r="BA477" s="632" t="str">
        <f t="shared" si="99"/>
        <v/>
      </c>
      <c r="BB477" s="632" t="str">
        <f t="shared" si="100"/>
        <v/>
      </c>
      <c r="BC477" s="632" t="str">
        <f t="shared" si="101"/>
        <v/>
      </c>
      <c r="BD477" s="633" t="str">
        <f>IF(AND(L477="",H477=""),"",
IF(H477="",Pole_Calc!A505,
IF(H477="MP",Pole_Calc!A506,
IF(H477="AnMP",Pole_Calc!A507,
IF(H477="A",Pole_Calc!A508,
IF(H477="S/A",Pole_Calc!A509,
IF(H477="A/S",Pole_Calc!A510,"Poner a mano")))))))</f>
        <v/>
      </c>
      <c r="BE477" s="448" t="s">
        <v>1726</v>
      </c>
      <c r="BF477" s="635"/>
      <c r="BG477" s="635"/>
      <c r="BH477" s="634"/>
      <c r="BI477" s="635"/>
    </row>
    <row r="478" spans="1:61" ht="16.2" customHeight="1">
      <c r="A478" s="12"/>
      <c r="B478" s="446"/>
      <c r="C478" s="89"/>
      <c r="D478" s="13"/>
      <c r="E478" s="14"/>
      <c r="F478" s="14"/>
      <c r="G478" s="15"/>
      <c r="H478" s="8"/>
      <c r="I478" s="8"/>
      <c r="J478" s="89"/>
      <c r="K478" s="8"/>
      <c r="L478" s="8"/>
      <c r="M478" s="8" t="str">
        <f>IF(L478="","",
IF(AX478="PT",VLOOKUP(L478,Foundation_Calc!$V$4:$X$37,VLOOKUP(AX478,Foundation_Calc!$I$10:$J$13,2,FALSE),0),
IF(AX478="K",VLOOKUP(L478,Foundation_Calc!$V$41:$X$74,VLOOKUP(AX478,Foundation_Calc!$I$10:$J$13,2,FALSE),0),"")))</f>
        <v/>
      </c>
      <c r="N478" s="8"/>
      <c r="O478" s="8"/>
      <c r="P478" s="8"/>
      <c r="Q478" s="14"/>
      <c r="R478" s="15"/>
      <c r="S478" s="15"/>
      <c r="T478" s="14"/>
      <c r="U478" s="14"/>
      <c r="V478" s="14"/>
      <c r="W478" s="18"/>
      <c r="X478" s="18"/>
      <c r="Y478" s="18"/>
      <c r="Z478" s="18"/>
      <c r="AA478" s="18"/>
      <c r="AB478" s="18"/>
      <c r="AC478" s="8" t="str">
        <f t="shared" si="98"/>
        <v/>
      </c>
      <c r="AD478" s="8"/>
      <c r="AE478" s="8"/>
      <c r="AF478" s="14"/>
      <c r="AG478" s="13"/>
      <c r="AH478" s="14"/>
      <c r="AI478" s="14"/>
      <c r="AJ478" s="8"/>
      <c r="AK478" s="8"/>
      <c r="AL478" s="8"/>
      <c r="AM478" s="8"/>
      <c r="AN478" s="631"/>
      <c r="AO478" s="18"/>
      <c r="AP478" s="18"/>
      <c r="AQ478" s="18"/>
      <c r="AR478" s="18"/>
      <c r="AS478" s="18"/>
      <c r="AU478" s="448"/>
      <c r="AV478" s="448"/>
      <c r="AW478" s="8" t="str">
        <f>IF(C478&gt;0,VLOOKUP(C478,Foundation_Calc!$A$2:$C$986,3,1),
IF(J478&gt;0,VLOOKUP(J478,Foundation_Calc!$A$2:$C$986,3,1),""))</f>
        <v/>
      </c>
      <c r="AX478" s="8" t="str">
        <f>IF(C478&gt;0,VLOOKUP(C478,Foundation_Calc!$E$2:$G$986,3,1),
IF(J478&gt;0,VLOOKUP(J478,Foundation_Calc!$E$2:$G$986,3,1),""))</f>
        <v/>
      </c>
      <c r="AY478" s="631" t="str">
        <f>IF(L478="","",
IF(AX478="PT",VLOOKUP(L478,Foundation_Calc!$K$4:$R$37,VLOOKUP(AW478,Foundation_Calc!$I$2:$J$8,2,FALSE),0),
IF(AX478="K",VLOOKUP(L478,Foundation_Calc!$K$41:$R$74,VLOOKUP(AW478,Foundation_Calc!$I$2:$J$8,2,FALSE),0),"")))</f>
        <v/>
      </c>
      <c r="AZ478" s="631" t="str">
        <f>IF(K478="","",
IF(AX478="PT",VLOOKUP(K478,Foundation_Calc!$K$4:$R$37,VLOOKUP(AW478,Foundation_Calc!$I$2:$J$8,2,FALSE),0),
IF(AX478="K",VLOOKUP(K478,Foundation_Calc!$K$41:$R$74,VLOOKUP(AW478,Foundation_Calc!$I$2:$J$8,2,FALSE),0),"")))</f>
        <v/>
      </c>
      <c r="BA478" s="632" t="str">
        <f t="shared" si="99"/>
        <v/>
      </c>
      <c r="BB478" s="632" t="str">
        <f t="shared" si="100"/>
        <v/>
      </c>
      <c r="BC478" s="632" t="str">
        <f t="shared" si="101"/>
        <v/>
      </c>
      <c r="BD478" s="633" t="str">
        <f>IF(AND(L478="",H478=""),"",
IF(H478="",Pole_Calc!A506,
IF(H478="MP",Pole_Calc!A507,
IF(H478="AnMP",Pole_Calc!A508,
IF(H478="A",Pole_Calc!A509,
IF(H478="S/A",Pole_Calc!A510,
IF(H478="A/S",Pole_Calc!A511,"Poner a mano")))))))</f>
        <v/>
      </c>
      <c r="BE478" s="448" t="s">
        <v>1726</v>
      </c>
      <c r="BF478" s="634"/>
      <c r="BG478" s="634"/>
      <c r="BH478" s="634"/>
      <c r="BI478" s="634"/>
    </row>
    <row r="479" spans="1:61" ht="16.2" customHeight="1">
      <c r="A479" s="12"/>
      <c r="B479" s="446"/>
      <c r="C479" s="89"/>
      <c r="D479" s="13"/>
      <c r="E479" s="14"/>
      <c r="F479" s="14"/>
      <c r="G479" s="15"/>
      <c r="H479" s="8"/>
      <c r="I479" s="8"/>
      <c r="J479" s="89"/>
      <c r="K479" s="8"/>
      <c r="L479" s="8"/>
      <c r="M479" s="8" t="str">
        <f>IF(L479="","",
IF(AX479="PT",VLOOKUP(L479,Foundation_Calc!$V$4:$X$37,VLOOKUP(AX479,Foundation_Calc!$I$10:$J$13,2,FALSE),0),
IF(AX479="K",VLOOKUP(L479,Foundation_Calc!$V$41:$X$74,VLOOKUP(AX479,Foundation_Calc!$I$10:$J$13,2,FALSE),0),"")))</f>
        <v/>
      </c>
      <c r="N479" s="8"/>
      <c r="O479" s="8"/>
      <c r="P479" s="8"/>
      <c r="Q479" s="14"/>
      <c r="R479" s="15"/>
      <c r="S479" s="15"/>
      <c r="T479" s="14"/>
      <c r="U479" s="14"/>
      <c r="V479" s="14"/>
      <c r="W479" s="18"/>
      <c r="X479" s="18"/>
      <c r="Y479" s="18"/>
      <c r="Z479" s="18"/>
      <c r="AA479" s="18"/>
      <c r="AB479" s="18"/>
      <c r="AC479" s="8" t="str">
        <f t="shared" si="98"/>
        <v/>
      </c>
      <c r="AD479" s="8"/>
      <c r="AE479" s="8"/>
      <c r="AF479" s="14"/>
      <c r="AG479" s="13"/>
      <c r="AH479" s="14"/>
      <c r="AI479" s="14"/>
      <c r="AJ479" s="8"/>
      <c r="AK479" s="8"/>
      <c r="AL479" s="8"/>
      <c r="AM479" s="8"/>
      <c r="AN479" s="631"/>
      <c r="AO479" s="18"/>
      <c r="AP479" s="18"/>
      <c r="AQ479" s="18"/>
      <c r="AR479" s="18"/>
      <c r="AS479" s="18"/>
      <c r="AU479" s="448"/>
      <c r="AV479" s="448"/>
      <c r="AW479" s="8" t="str">
        <f>IF(C479&gt;0,VLOOKUP(C479,Foundation_Calc!$A$2:$C$986,3,1),
IF(J479&gt;0,VLOOKUP(J479,Foundation_Calc!$A$2:$C$986,3,1),""))</f>
        <v/>
      </c>
      <c r="AX479" s="8" t="str">
        <f>IF(C479&gt;0,VLOOKUP(C479,Foundation_Calc!$E$2:$G$986,3,1),
IF(J479&gt;0,VLOOKUP(J479,Foundation_Calc!$E$2:$G$986,3,1),""))</f>
        <v/>
      </c>
      <c r="AY479" s="631" t="str">
        <f>IF(L479="","",
IF(AX479="PT",VLOOKUP(L479,Foundation_Calc!$K$4:$R$37,VLOOKUP(AW479,Foundation_Calc!$I$2:$J$8,2,FALSE),0),
IF(AX479="K",VLOOKUP(L479,Foundation_Calc!$K$41:$R$74,VLOOKUP(AW479,Foundation_Calc!$I$2:$J$8,2,FALSE),0),"")))</f>
        <v/>
      </c>
      <c r="AZ479" s="631" t="str">
        <f>IF(K479="","",
IF(AX479="PT",VLOOKUP(K479,Foundation_Calc!$K$4:$R$37,VLOOKUP(AW479,Foundation_Calc!$I$2:$J$8,2,FALSE),0),
IF(AX479="K",VLOOKUP(K479,Foundation_Calc!$K$41:$R$74,VLOOKUP(AW479,Foundation_Calc!$I$2:$J$8,2,FALSE),0),"")))</f>
        <v/>
      </c>
      <c r="BA479" s="632" t="str">
        <f t="shared" si="99"/>
        <v/>
      </c>
      <c r="BB479" s="632" t="str">
        <f t="shared" si="100"/>
        <v/>
      </c>
      <c r="BC479" s="632" t="str">
        <f t="shared" si="101"/>
        <v/>
      </c>
      <c r="BD479" s="633" t="str">
        <f>IF(AND(L479="",H479=""),"",
IF(H479="",Pole_Calc!A507,
IF(H479="MP",Pole_Calc!A508,
IF(H479="AnMP",Pole_Calc!A509,
IF(H479="A",Pole_Calc!A510,
IF(H479="S/A",Pole_Calc!A511,
IF(H479="A/S",Pole_Calc!A512,"Poner a mano")))))))</f>
        <v/>
      </c>
      <c r="BE479" s="448" t="s">
        <v>1726</v>
      </c>
      <c r="BF479" s="635"/>
      <c r="BG479" s="635"/>
      <c r="BH479" s="634"/>
      <c r="BI479" s="635"/>
    </row>
    <row r="480" spans="1:61" ht="16.2" customHeight="1">
      <c r="A480" s="12"/>
      <c r="B480" s="446"/>
      <c r="C480" s="89"/>
      <c r="D480" s="13"/>
      <c r="E480" s="14"/>
      <c r="F480" s="14"/>
      <c r="G480" s="15"/>
      <c r="H480" s="8"/>
      <c r="I480" s="8"/>
      <c r="J480" s="89"/>
      <c r="K480" s="8"/>
      <c r="L480" s="8"/>
      <c r="M480" s="8" t="str">
        <f>IF(L480="","",
IF(AX480="PT",VLOOKUP(L480,Foundation_Calc!$V$4:$X$37,VLOOKUP(AX480,Foundation_Calc!$I$10:$J$13,2,FALSE),0),
IF(AX480="K",VLOOKUP(L480,Foundation_Calc!$V$41:$X$74,VLOOKUP(AX480,Foundation_Calc!$I$10:$J$13,2,FALSE),0),"")))</f>
        <v/>
      </c>
      <c r="N480" s="8"/>
      <c r="O480" s="8"/>
      <c r="P480" s="8"/>
      <c r="Q480" s="14"/>
      <c r="R480" s="15"/>
      <c r="S480" s="15"/>
      <c r="T480" s="14"/>
      <c r="U480" s="14"/>
      <c r="V480" s="14"/>
      <c r="W480" s="18"/>
      <c r="X480" s="18"/>
      <c r="Y480" s="18"/>
      <c r="Z480" s="18"/>
      <c r="AA480" s="18"/>
      <c r="AB480" s="18"/>
      <c r="AC480" s="8" t="str">
        <f t="shared" si="98"/>
        <v/>
      </c>
      <c r="AD480" s="8"/>
      <c r="AE480" s="8"/>
      <c r="AF480" s="14"/>
      <c r="AG480" s="13"/>
      <c r="AH480" s="14"/>
      <c r="AI480" s="14"/>
      <c r="AJ480" s="8"/>
      <c r="AK480" s="8"/>
      <c r="AL480" s="8"/>
      <c r="AM480" s="8"/>
      <c r="AN480" s="631"/>
      <c r="AO480" s="18"/>
      <c r="AP480" s="18"/>
      <c r="AQ480" s="18"/>
      <c r="AR480" s="18"/>
      <c r="AS480" s="18"/>
      <c r="AU480" s="448"/>
      <c r="AV480" s="448"/>
      <c r="AW480" s="8" t="str">
        <f>IF(C480&gt;0,VLOOKUP(C480,Foundation_Calc!$A$2:$C$986,3,1),
IF(J480&gt;0,VLOOKUP(J480,Foundation_Calc!$A$2:$C$986,3,1),""))</f>
        <v/>
      </c>
      <c r="AX480" s="8" t="str">
        <f>IF(C480&gt;0,VLOOKUP(C480,Foundation_Calc!$E$2:$G$986,3,1),
IF(J480&gt;0,VLOOKUP(J480,Foundation_Calc!$E$2:$G$986,3,1),""))</f>
        <v/>
      </c>
      <c r="AY480" s="631" t="str">
        <f>IF(L480="","",
IF(AX480="PT",VLOOKUP(L480,Foundation_Calc!$K$4:$R$37,VLOOKUP(AW480,Foundation_Calc!$I$2:$J$8,2,FALSE),0),
IF(AX480="K",VLOOKUP(L480,Foundation_Calc!$K$41:$R$74,VLOOKUP(AW480,Foundation_Calc!$I$2:$J$8,2,FALSE),0),"")))</f>
        <v/>
      </c>
      <c r="AZ480" s="631" t="str">
        <f>IF(K480="","",
IF(AX480="PT",VLOOKUP(K480,Foundation_Calc!$K$4:$R$37,VLOOKUP(AW480,Foundation_Calc!$I$2:$J$8,2,FALSE),0),
IF(AX480="K",VLOOKUP(K480,Foundation_Calc!$K$41:$R$74,VLOOKUP(AW480,Foundation_Calc!$I$2:$J$8,2,FALSE),0),"")))</f>
        <v/>
      </c>
      <c r="BA480" s="632" t="str">
        <f t="shared" si="99"/>
        <v/>
      </c>
      <c r="BB480" s="632" t="str">
        <f t="shared" si="100"/>
        <v/>
      </c>
      <c r="BC480" s="632" t="str">
        <f t="shared" si="101"/>
        <v/>
      </c>
      <c r="BD480" s="633" t="str">
        <f>IF(AND(L480="",H480=""),"",
IF(H480="",Pole_Calc!A508,
IF(H480="MP",Pole_Calc!A509,
IF(H480="AnMP",Pole_Calc!A510,
IF(H480="A",Pole_Calc!A511,
IF(H480="S/A",Pole_Calc!A512,
IF(H480="A/S",Pole_Calc!A513,"Poner a mano")))))))</f>
        <v/>
      </c>
      <c r="BE480" s="448" t="s">
        <v>1726</v>
      </c>
      <c r="BF480" s="634"/>
      <c r="BG480" s="634"/>
      <c r="BH480" s="634"/>
      <c r="BI480" s="634"/>
    </row>
    <row r="481" spans="1:61" ht="16.2" customHeight="1">
      <c r="A481" s="12"/>
      <c r="B481" s="446"/>
      <c r="C481" s="89"/>
      <c r="D481" s="13"/>
      <c r="E481" s="14"/>
      <c r="F481" s="14"/>
      <c r="G481" s="15"/>
      <c r="H481" s="8"/>
      <c r="I481" s="8"/>
      <c r="J481" s="89"/>
      <c r="K481" s="8"/>
      <c r="L481" s="8"/>
      <c r="M481" s="8" t="str">
        <f>IF(L481="","",
IF(AX481="PT",VLOOKUP(L481,Foundation_Calc!$V$4:$X$37,VLOOKUP(AX481,Foundation_Calc!$I$10:$J$13,2,FALSE),0),
IF(AX481="K",VLOOKUP(L481,Foundation_Calc!$V$41:$X$74,VLOOKUP(AX481,Foundation_Calc!$I$10:$J$13,2,FALSE),0),"")))</f>
        <v/>
      </c>
      <c r="N481" s="8"/>
      <c r="O481" s="8"/>
      <c r="P481" s="8"/>
      <c r="Q481" s="14"/>
      <c r="R481" s="15"/>
      <c r="S481" s="15"/>
      <c r="T481" s="14"/>
      <c r="U481" s="14"/>
      <c r="V481" s="14"/>
      <c r="W481" s="18"/>
      <c r="X481" s="18"/>
      <c r="Y481" s="18"/>
      <c r="Z481" s="18"/>
      <c r="AA481" s="18"/>
      <c r="AB481" s="18"/>
      <c r="AC481" s="8" t="str">
        <f t="shared" si="98"/>
        <v/>
      </c>
      <c r="AD481" s="8"/>
      <c r="AE481" s="8"/>
      <c r="AF481" s="14"/>
      <c r="AG481" s="13"/>
      <c r="AH481" s="14"/>
      <c r="AI481" s="14"/>
      <c r="AJ481" s="8"/>
      <c r="AK481" s="8"/>
      <c r="AL481" s="8"/>
      <c r="AM481" s="8"/>
      <c r="AN481" s="631"/>
      <c r="AO481" s="18"/>
      <c r="AP481" s="18"/>
      <c r="AQ481" s="18"/>
      <c r="AR481" s="18"/>
      <c r="AS481" s="18"/>
      <c r="AU481" s="448"/>
      <c r="AV481" s="448"/>
      <c r="AW481" s="8" t="str">
        <f>IF(C481&gt;0,VLOOKUP(C481,Foundation_Calc!$A$2:$C$986,3,1),
IF(J481&gt;0,VLOOKUP(J481,Foundation_Calc!$A$2:$C$986,3,1),""))</f>
        <v/>
      </c>
      <c r="AX481" s="8" t="str">
        <f>IF(C481&gt;0,VLOOKUP(C481,Foundation_Calc!$E$2:$G$986,3,1),
IF(J481&gt;0,VLOOKUP(J481,Foundation_Calc!$E$2:$G$986,3,1),""))</f>
        <v/>
      </c>
      <c r="AY481" s="631" t="str">
        <f>IF(L481="","",
IF(AX481="PT",VLOOKUP(L481,Foundation_Calc!$K$4:$R$37,VLOOKUP(AW481,Foundation_Calc!$I$2:$J$8,2,FALSE),0),
IF(AX481="K",VLOOKUP(L481,Foundation_Calc!$K$41:$R$74,VLOOKUP(AW481,Foundation_Calc!$I$2:$J$8,2,FALSE),0),"")))</f>
        <v/>
      </c>
      <c r="AZ481" s="631" t="str">
        <f>IF(K481="","",
IF(AX481="PT",VLOOKUP(K481,Foundation_Calc!$K$4:$R$37,VLOOKUP(AW481,Foundation_Calc!$I$2:$J$8,2,FALSE),0),
IF(AX481="K",VLOOKUP(K481,Foundation_Calc!$K$41:$R$74,VLOOKUP(AW481,Foundation_Calc!$I$2:$J$8,2,FALSE),0),"")))</f>
        <v/>
      </c>
      <c r="BA481" s="632" t="str">
        <f t="shared" si="99"/>
        <v/>
      </c>
      <c r="BB481" s="632" t="str">
        <f t="shared" si="100"/>
        <v/>
      </c>
      <c r="BC481" s="632" t="str">
        <f t="shared" si="101"/>
        <v/>
      </c>
      <c r="BD481" s="633" t="str">
        <f>IF(AND(L481="",H481=""),"",
IF(H481="",Pole_Calc!A509,
IF(H481="MP",Pole_Calc!A510,
IF(H481="AnMP",Pole_Calc!A511,
IF(H481="A",Pole_Calc!A512,
IF(H481="S/A",Pole_Calc!A513,
IF(H481="A/S",Pole_Calc!A514,"Poner a mano")))))))</f>
        <v/>
      </c>
      <c r="BE481" s="448" t="s">
        <v>1726</v>
      </c>
      <c r="BF481" s="635"/>
      <c r="BG481" s="635"/>
      <c r="BH481" s="634"/>
      <c r="BI481" s="635"/>
    </row>
    <row r="482" spans="1:61" ht="16.2" customHeight="1">
      <c r="A482" s="12"/>
      <c r="B482" s="446"/>
      <c r="C482" s="89"/>
      <c r="D482" s="13"/>
      <c r="E482" s="14"/>
      <c r="F482" s="14"/>
      <c r="G482" s="15"/>
      <c r="H482" s="8"/>
      <c r="I482" s="8"/>
      <c r="J482" s="89"/>
      <c r="K482" s="8"/>
      <c r="L482" s="8"/>
      <c r="M482" s="8" t="str">
        <f>IF(L482="","",
IF(AX482="PT",VLOOKUP(L482,Foundation_Calc!$V$4:$X$37,VLOOKUP(AX482,Foundation_Calc!$I$10:$J$13,2,FALSE),0),
IF(AX482="K",VLOOKUP(L482,Foundation_Calc!$V$41:$X$74,VLOOKUP(AX482,Foundation_Calc!$I$10:$J$13,2,FALSE),0),"")))</f>
        <v/>
      </c>
      <c r="N482" s="8"/>
      <c r="O482" s="8"/>
      <c r="P482" s="8"/>
      <c r="Q482" s="14"/>
      <c r="R482" s="15"/>
      <c r="S482" s="15"/>
      <c r="T482" s="14"/>
      <c r="U482" s="14"/>
      <c r="V482" s="14"/>
      <c r="W482" s="18"/>
      <c r="X482" s="18"/>
      <c r="Y482" s="18"/>
      <c r="Z482" s="18"/>
      <c r="AA482" s="18"/>
      <c r="AB482" s="18"/>
      <c r="AC482" s="8" t="str">
        <f t="shared" si="98"/>
        <v/>
      </c>
      <c r="AD482" s="8"/>
      <c r="AE482" s="8"/>
      <c r="AF482" s="14"/>
      <c r="AG482" s="13"/>
      <c r="AH482" s="14"/>
      <c r="AI482" s="14"/>
      <c r="AJ482" s="8"/>
      <c r="AK482" s="8"/>
      <c r="AL482" s="8"/>
      <c r="AM482" s="8"/>
      <c r="AN482" s="631"/>
      <c r="AO482" s="18"/>
      <c r="AP482" s="18"/>
      <c r="AQ482" s="18"/>
      <c r="AR482" s="18"/>
      <c r="AS482" s="18"/>
      <c r="AU482" s="448"/>
      <c r="AV482" s="448"/>
      <c r="AW482" s="8" t="str">
        <f>IF(C482&gt;0,VLOOKUP(C482,Foundation_Calc!$A$2:$C$986,3,1),
IF(J482&gt;0,VLOOKUP(J482,Foundation_Calc!$A$2:$C$986,3,1),""))</f>
        <v/>
      </c>
      <c r="AX482" s="8" t="str">
        <f>IF(C482&gt;0,VLOOKUP(C482,Foundation_Calc!$E$2:$G$986,3,1),
IF(J482&gt;0,VLOOKUP(J482,Foundation_Calc!$E$2:$G$986,3,1),""))</f>
        <v/>
      </c>
      <c r="AY482" s="631" t="str">
        <f>IF(L482="","",
IF(AX482="PT",VLOOKUP(L482,Foundation_Calc!$K$4:$R$37,VLOOKUP(AW482,Foundation_Calc!$I$2:$J$8,2,FALSE),0),
IF(AX482="K",VLOOKUP(L482,Foundation_Calc!$K$41:$R$74,VLOOKUP(AW482,Foundation_Calc!$I$2:$J$8,2,FALSE),0),"")))</f>
        <v/>
      </c>
      <c r="AZ482" s="631" t="str">
        <f>IF(K482="","",
IF(AX482="PT",VLOOKUP(K482,Foundation_Calc!$K$4:$R$37,VLOOKUP(AW482,Foundation_Calc!$I$2:$J$8,2,FALSE),0),
IF(AX482="K",VLOOKUP(K482,Foundation_Calc!$K$41:$R$74,VLOOKUP(AW482,Foundation_Calc!$I$2:$J$8,2,FALSE),0),"")))</f>
        <v/>
      </c>
      <c r="BA482" s="632" t="str">
        <f t="shared" si="99"/>
        <v/>
      </c>
      <c r="BB482" s="632" t="str">
        <f t="shared" si="100"/>
        <v/>
      </c>
      <c r="BC482" s="632" t="str">
        <f t="shared" si="101"/>
        <v/>
      </c>
      <c r="BD482" s="633" t="str">
        <f>IF(AND(L482="",H482=""),"",
IF(H482="",Pole_Calc!A510,
IF(H482="MP",Pole_Calc!A511,
IF(H482="AnMP",Pole_Calc!A512,
IF(H482="A",Pole_Calc!A513,
IF(H482="S/A",Pole_Calc!A514,
IF(H482="A/S",Pole_Calc!A515,"Poner a mano")))))))</f>
        <v/>
      </c>
      <c r="BE482" s="448" t="s">
        <v>1726</v>
      </c>
      <c r="BF482" s="634"/>
      <c r="BG482" s="634"/>
      <c r="BH482" s="634"/>
      <c r="BI482" s="634"/>
    </row>
    <row r="483" spans="1:61" ht="16.2" customHeight="1">
      <c r="A483" s="12"/>
      <c r="B483" s="446"/>
      <c r="C483" s="89"/>
      <c r="D483" s="13"/>
      <c r="E483" s="14"/>
      <c r="F483" s="14"/>
      <c r="G483" s="15"/>
      <c r="H483" s="8"/>
      <c r="I483" s="8"/>
      <c r="J483" s="89"/>
      <c r="K483" s="8"/>
      <c r="L483" s="8"/>
      <c r="M483" s="8" t="str">
        <f>IF(L483="","",
IF(AX483="PT",VLOOKUP(L483,Foundation_Calc!$V$4:$X$37,VLOOKUP(AX483,Foundation_Calc!$I$10:$J$13,2,FALSE),0),
IF(AX483="K",VLOOKUP(L483,Foundation_Calc!$V$41:$X$74,VLOOKUP(AX483,Foundation_Calc!$I$10:$J$13,2,FALSE),0),"")))</f>
        <v/>
      </c>
      <c r="N483" s="8"/>
      <c r="O483" s="8"/>
      <c r="P483" s="8"/>
      <c r="Q483" s="14"/>
      <c r="R483" s="15"/>
      <c r="S483" s="15"/>
      <c r="T483" s="14"/>
      <c r="U483" s="14"/>
      <c r="V483" s="14"/>
      <c r="W483" s="18"/>
      <c r="X483" s="18"/>
      <c r="Y483" s="18"/>
      <c r="Z483" s="18"/>
      <c r="AA483" s="18"/>
      <c r="AB483" s="18"/>
      <c r="AC483" s="8" t="str">
        <f t="shared" si="98"/>
        <v/>
      </c>
      <c r="AD483" s="8"/>
      <c r="AE483" s="8"/>
      <c r="AF483" s="14"/>
      <c r="AG483" s="13"/>
      <c r="AH483" s="14"/>
      <c r="AI483" s="14"/>
      <c r="AJ483" s="8"/>
      <c r="AK483" s="8"/>
      <c r="AL483" s="8"/>
      <c r="AM483" s="8"/>
      <c r="AN483" s="631"/>
      <c r="AO483" s="18"/>
      <c r="AP483" s="18"/>
      <c r="AQ483" s="18"/>
      <c r="AR483" s="18"/>
      <c r="AS483" s="18"/>
      <c r="AU483" s="448"/>
      <c r="AV483" s="448"/>
      <c r="AW483" s="8" t="str">
        <f>IF(C483&gt;0,VLOOKUP(C483,Foundation_Calc!$A$2:$C$986,3,1),
IF(J483&gt;0,VLOOKUP(J483,Foundation_Calc!$A$2:$C$986,3,1),""))</f>
        <v/>
      </c>
      <c r="AX483" s="8" t="str">
        <f>IF(C483&gt;0,VLOOKUP(C483,Foundation_Calc!$E$2:$G$986,3,1),
IF(J483&gt;0,VLOOKUP(J483,Foundation_Calc!$E$2:$G$986,3,1),""))</f>
        <v/>
      </c>
      <c r="AY483" s="631" t="str">
        <f>IF(L483="","",
IF(AX483="PT",VLOOKUP(L483,Foundation_Calc!$K$4:$R$37,VLOOKUP(AW483,Foundation_Calc!$I$2:$J$8,2,FALSE),0),
IF(AX483="K",VLOOKUP(L483,Foundation_Calc!$K$41:$R$74,VLOOKUP(AW483,Foundation_Calc!$I$2:$J$8,2,FALSE),0),"")))</f>
        <v/>
      </c>
      <c r="AZ483" s="631" t="str">
        <f>IF(K483="","",
IF(AX483="PT",VLOOKUP(K483,Foundation_Calc!$K$4:$R$37,VLOOKUP(AW483,Foundation_Calc!$I$2:$J$8,2,FALSE),0),
IF(AX483="K",VLOOKUP(K483,Foundation_Calc!$K$41:$R$74,VLOOKUP(AW483,Foundation_Calc!$I$2:$J$8,2,FALSE),0),"")))</f>
        <v/>
      </c>
      <c r="BA483" s="632" t="str">
        <f t="shared" si="99"/>
        <v/>
      </c>
      <c r="BB483" s="632" t="str">
        <f t="shared" si="100"/>
        <v/>
      </c>
      <c r="BC483" s="632" t="str">
        <f t="shared" si="101"/>
        <v/>
      </c>
      <c r="BD483" s="633" t="str">
        <f>IF(AND(L483="",H483=""),"",
IF(H483="",Pole_Calc!A511,
IF(H483="MP",Pole_Calc!A512,
IF(H483="AnMP",Pole_Calc!A513,
IF(H483="A",Pole_Calc!A514,
IF(H483="S/A",Pole_Calc!A515,
IF(H483="A/S",Pole_Calc!A516,"Poner a mano")))))))</f>
        <v/>
      </c>
      <c r="BE483" s="448" t="s">
        <v>1726</v>
      </c>
      <c r="BF483" s="635"/>
      <c r="BG483" s="635"/>
      <c r="BH483" s="634"/>
      <c r="BI483" s="635"/>
    </row>
    <row r="484" spans="1:61" ht="16.2" customHeight="1">
      <c r="A484" s="12"/>
      <c r="B484" s="446"/>
      <c r="C484" s="89"/>
      <c r="D484" s="13"/>
      <c r="E484" s="14"/>
      <c r="F484" s="14"/>
      <c r="G484" s="15"/>
      <c r="H484" s="8"/>
      <c r="I484" s="8"/>
      <c r="J484" s="89"/>
      <c r="K484" s="8"/>
      <c r="L484" s="8"/>
      <c r="M484" s="8" t="str">
        <f>IF(L484="","",
IF(AX484="PT",VLOOKUP(L484,Foundation_Calc!$V$4:$X$37,VLOOKUP(AX484,Foundation_Calc!$I$10:$J$13,2,FALSE),0),
IF(AX484="K",VLOOKUP(L484,Foundation_Calc!$V$41:$X$74,VLOOKUP(AX484,Foundation_Calc!$I$10:$J$13,2,FALSE),0),"")))</f>
        <v/>
      </c>
      <c r="N484" s="8"/>
      <c r="O484" s="8"/>
      <c r="P484" s="8"/>
      <c r="Q484" s="14"/>
      <c r="R484" s="15"/>
      <c r="S484" s="15"/>
      <c r="T484" s="14"/>
      <c r="U484" s="14"/>
      <c r="V484" s="14"/>
      <c r="W484" s="18"/>
      <c r="X484" s="18"/>
      <c r="Y484" s="18"/>
      <c r="Z484" s="18"/>
      <c r="AA484" s="18"/>
      <c r="AB484" s="18"/>
      <c r="AC484" s="8" t="str">
        <f t="shared" si="98"/>
        <v/>
      </c>
      <c r="AD484" s="8"/>
      <c r="AE484" s="8"/>
      <c r="AF484" s="14"/>
      <c r="AG484" s="13"/>
      <c r="AH484" s="14"/>
      <c r="AI484" s="14"/>
      <c r="AJ484" s="8"/>
      <c r="AK484" s="8"/>
      <c r="AL484" s="8"/>
      <c r="AM484" s="8"/>
      <c r="AN484" s="631"/>
      <c r="AO484" s="18"/>
      <c r="AP484" s="18"/>
      <c r="AQ484" s="18"/>
      <c r="AR484" s="18"/>
      <c r="AS484" s="18"/>
      <c r="AU484" s="448"/>
      <c r="AV484" s="448"/>
      <c r="AW484" s="8" t="str">
        <f>IF(C484&gt;0,VLOOKUP(C484,Foundation_Calc!$A$2:$C$986,3,1),
IF(J484&gt;0,VLOOKUP(J484,Foundation_Calc!$A$2:$C$986,3,1),""))</f>
        <v/>
      </c>
      <c r="AX484" s="8" t="str">
        <f>IF(C484&gt;0,VLOOKUP(C484,Foundation_Calc!$E$2:$G$986,3,1),
IF(J484&gt;0,VLOOKUP(J484,Foundation_Calc!$E$2:$G$986,3,1),""))</f>
        <v/>
      </c>
      <c r="AY484" s="631" t="str">
        <f>IF(L484="","",
IF(AX484="PT",VLOOKUP(L484,Foundation_Calc!$K$4:$R$37,VLOOKUP(AW484,Foundation_Calc!$I$2:$J$8,2,FALSE),0),
IF(AX484="K",VLOOKUP(L484,Foundation_Calc!$K$41:$R$74,VLOOKUP(AW484,Foundation_Calc!$I$2:$J$8,2,FALSE),0),"")))</f>
        <v/>
      </c>
      <c r="AZ484" s="631" t="str">
        <f>IF(K484="","",
IF(AX484="PT",VLOOKUP(K484,Foundation_Calc!$K$4:$R$37,VLOOKUP(AW484,Foundation_Calc!$I$2:$J$8,2,FALSE),0),
IF(AX484="K",VLOOKUP(K484,Foundation_Calc!$K$41:$R$74,VLOOKUP(AW484,Foundation_Calc!$I$2:$J$8,2,FALSE),0),"")))</f>
        <v/>
      </c>
      <c r="BA484" s="632" t="str">
        <f t="shared" si="99"/>
        <v/>
      </c>
      <c r="BB484" s="632" t="str">
        <f t="shared" si="100"/>
        <v/>
      </c>
      <c r="BC484" s="632" t="str">
        <f t="shared" si="101"/>
        <v/>
      </c>
      <c r="BD484" s="633" t="str">
        <f>IF(AND(L484="",H484=""),"",
IF(H484="",Pole_Calc!A512,
IF(H484="MP",Pole_Calc!A513,
IF(H484="AnMP",Pole_Calc!A514,
IF(H484="A",Pole_Calc!A515,
IF(H484="S/A",Pole_Calc!A516,
IF(H484="A/S",Pole_Calc!A517,"Poner a mano")))))))</f>
        <v/>
      </c>
      <c r="BE484" s="448" t="s">
        <v>1726</v>
      </c>
      <c r="BF484" s="634"/>
      <c r="BG484" s="634"/>
      <c r="BH484" s="634"/>
      <c r="BI484" s="634"/>
    </row>
    <row r="485" spans="1:61" ht="16.2" customHeight="1">
      <c r="A485" s="12"/>
      <c r="B485" s="446"/>
      <c r="C485" s="89"/>
      <c r="D485" s="13"/>
      <c r="E485" s="14"/>
      <c r="F485" s="14"/>
      <c r="G485" s="15"/>
      <c r="H485" s="8"/>
      <c r="I485" s="8"/>
      <c r="J485" s="89"/>
      <c r="K485" s="8"/>
      <c r="L485" s="8"/>
      <c r="M485" s="8" t="str">
        <f>IF(L485="","",
IF(AX485="PT",VLOOKUP(L485,Foundation_Calc!$V$4:$X$37,VLOOKUP(AX485,Foundation_Calc!$I$10:$J$13,2,FALSE),0),
IF(AX485="K",VLOOKUP(L485,Foundation_Calc!$V$41:$X$74,VLOOKUP(AX485,Foundation_Calc!$I$10:$J$13,2,FALSE),0),"")))</f>
        <v/>
      </c>
      <c r="N485" s="8"/>
      <c r="O485" s="8"/>
      <c r="P485" s="8"/>
      <c r="Q485" s="14"/>
      <c r="R485" s="15"/>
      <c r="S485" s="15"/>
      <c r="T485" s="14"/>
      <c r="U485" s="14"/>
      <c r="V485" s="14"/>
      <c r="W485" s="18"/>
      <c r="X485" s="18"/>
      <c r="Y485" s="18"/>
      <c r="Z485" s="18"/>
      <c r="AA485" s="18"/>
      <c r="AB485" s="18"/>
      <c r="AC485" s="8" t="str">
        <f t="shared" si="98"/>
        <v/>
      </c>
      <c r="AD485" s="8"/>
      <c r="AE485" s="8"/>
      <c r="AF485" s="14"/>
      <c r="AG485" s="13"/>
      <c r="AH485" s="14"/>
      <c r="AI485" s="14"/>
      <c r="AJ485" s="8"/>
      <c r="AK485" s="8"/>
      <c r="AL485" s="8"/>
      <c r="AM485" s="8"/>
      <c r="AN485" s="631"/>
      <c r="AO485" s="18"/>
      <c r="AP485" s="18"/>
      <c r="AQ485" s="18"/>
      <c r="AR485" s="18"/>
      <c r="AS485" s="18"/>
      <c r="AU485" s="448"/>
      <c r="AV485" s="448"/>
      <c r="AW485" s="8" t="str">
        <f>IF(C485&gt;0,VLOOKUP(C485,Foundation_Calc!$A$2:$C$986,3,1),
IF(J485&gt;0,VLOOKUP(J485,Foundation_Calc!$A$2:$C$986,3,1),""))</f>
        <v/>
      </c>
      <c r="AX485" s="8" t="str">
        <f>IF(C485&gt;0,VLOOKUP(C485,Foundation_Calc!$E$2:$G$986,3,1),
IF(J485&gt;0,VLOOKUP(J485,Foundation_Calc!$E$2:$G$986,3,1),""))</f>
        <v/>
      </c>
      <c r="AY485" s="631" t="str">
        <f>IF(L485="","",
IF(AX485="PT",VLOOKUP(L485,Foundation_Calc!$K$4:$R$37,VLOOKUP(AW485,Foundation_Calc!$I$2:$J$8,2,FALSE),0),
IF(AX485="K",VLOOKUP(L485,Foundation_Calc!$K$41:$R$74,VLOOKUP(AW485,Foundation_Calc!$I$2:$J$8,2,FALSE),0),"")))</f>
        <v/>
      </c>
      <c r="AZ485" s="631" t="str">
        <f>IF(K485="","",
IF(AX485="PT",VLOOKUP(K485,Foundation_Calc!$K$4:$R$37,VLOOKUP(AW485,Foundation_Calc!$I$2:$J$8,2,FALSE),0),
IF(AX485="K",VLOOKUP(K485,Foundation_Calc!$K$41:$R$74,VLOOKUP(AW485,Foundation_Calc!$I$2:$J$8,2,FALSE),0),"")))</f>
        <v/>
      </c>
      <c r="BA485" s="632" t="str">
        <f t="shared" si="99"/>
        <v/>
      </c>
      <c r="BB485" s="632" t="str">
        <f t="shared" si="100"/>
        <v/>
      </c>
      <c r="BC485" s="632" t="str">
        <f t="shared" si="101"/>
        <v/>
      </c>
      <c r="BD485" s="633" t="str">
        <f>IF(AND(L485="",H485=""),"",
IF(H485="",Pole_Calc!A513,
IF(H485="MP",Pole_Calc!A514,
IF(H485="AnMP",Pole_Calc!A515,
IF(H485="A",Pole_Calc!A516,
IF(H485="S/A",Pole_Calc!A517,
IF(H485="A/S",Pole_Calc!A518,"Poner a mano")))))))</f>
        <v/>
      </c>
      <c r="BE485" s="448" t="s">
        <v>1726</v>
      </c>
      <c r="BF485" s="635"/>
      <c r="BG485" s="635"/>
      <c r="BH485" s="634"/>
      <c r="BI485" s="635"/>
    </row>
    <row r="486" spans="1:61" ht="16.2" customHeight="1">
      <c r="A486" s="12"/>
      <c r="B486" s="446"/>
      <c r="C486" s="89"/>
      <c r="D486" s="13"/>
      <c r="E486" s="14"/>
      <c r="F486" s="14"/>
      <c r="G486" s="15"/>
      <c r="H486" s="8"/>
      <c r="I486" s="8"/>
      <c r="J486" s="89"/>
      <c r="K486" s="8"/>
      <c r="L486" s="8"/>
      <c r="M486" s="8" t="str">
        <f>IF(L486="","",
IF(AX486="PT",VLOOKUP(L486,Foundation_Calc!$V$4:$X$37,VLOOKUP(AX486,Foundation_Calc!$I$10:$J$13,2,FALSE),0),
IF(AX486="K",VLOOKUP(L486,Foundation_Calc!$V$41:$X$74,VLOOKUP(AX486,Foundation_Calc!$I$10:$J$13,2,FALSE),0),"")))</f>
        <v/>
      </c>
      <c r="N486" s="8"/>
      <c r="O486" s="8"/>
      <c r="P486" s="8"/>
      <c r="Q486" s="14"/>
      <c r="R486" s="15"/>
      <c r="S486" s="15"/>
      <c r="T486" s="14"/>
      <c r="U486" s="14"/>
      <c r="V486" s="14"/>
      <c r="W486" s="18"/>
      <c r="X486" s="18"/>
      <c r="Y486" s="18"/>
      <c r="Z486" s="18"/>
      <c r="AA486" s="18"/>
      <c r="AB486" s="18"/>
      <c r="AC486" s="8" t="str">
        <f t="shared" si="98"/>
        <v/>
      </c>
      <c r="AD486" s="8"/>
      <c r="AE486" s="8"/>
      <c r="AF486" s="14"/>
      <c r="AG486" s="13"/>
      <c r="AH486" s="14"/>
      <c r="AI486" s="14"/>
      <c r="AJ486" s="8"/>
      <c r="AK486" s="8"/>
      <c r="AL486" s="8"/>
      <c r="AM486" s="8"/>
      <c r="AN486" s="631"/>
      <c r="AO486" s="18"/>
      <c r="AP486" s="18"/>
      <c r="AQ486" s="18"/>
      <c r="AR486" s="18"/>
      <c r="AS486" s="18"/>
      <c r="AU486" s="448"/>
      <c r="AV486" s="448"/>
      <c r="AW486" s="8" t="str">
        <f>IF(C486&gt;0,VLOOKUP(C486,Foundation_Calc!$A$2:$C$986,3,1),
IF(J486&gt;0,VLOOKUP(J486,Foundation_Calc!$A$2:$C$986,3,1),""))</f>
        <v/>
      </c>
      <c r="AX486" s="8" t="str">
        <f>IF(C486&gt;0,VLOOKUP(C486,Foundation_Calc!$E$2:$G$986,3,1),
IF(J486&gt;0,VLOOKUP(J486,Foundation_Calc!$E$2:$G$986,3,1),""))</f>
        <v/>
      </c>
      <c r="AY486" s="631" t="str">
        <f>IF(L486="","",
IF(AX486="PT",VLOOKUP(L486,Foundation_Calc!$K$4:$R$37,VLOOKUP(AW486,Foundation_Calc!$I$2:$J$8,2,FALSE),0),
IF(AX486="K",VLOOKUP(L486,Foundation_Calc!$K$41:$R$74,VLOOKUP(AW486,Foundation_Calc!$I$2:$J$8,2,FALSE),0),"")))</f>
        <v/>
      </c>
      <c r="AZ486" s="631" t="str">
        <f>IF(K486="","",
IF(AX486="PT",VLOOKUP(K486,Foundation_Calc!$K$4:$R$37,VLOOKUP(AW486,Foundation_Calc!$I$2:$J$8,2,FALSE),0),
IF(AX486="K",VLOOKUP(K486,Foundation_Calc!$K$41:$R$74,VLOOKUP(AW486,Foundation_Calc!$I$2:$J$8,2,FALSE),0),"")))</f>
        <v/>
      </c>
      <c r="BA486" s="632" t="str">
        <f t="shared" si="99"/>
        <v/>
      </c>
      <c r="BB486" s="632" t="str">
        <f t="shared" si="100"/>
        <v/>
      </c>
      <c r="BC486" s="632" t="str">
        <f t="shared" si="101"/>
        <v/>
      </c>
      <c r="BD486" s="633" t="str">
        <f>IF(AND(L486="",H486=""),"",
IF(H486="",Pole_Calc!A514,
IF(H486="MP",Pole_Calc!A515,
IF(H486="AnMP",Pole_Calc!A516,
IF(H486="A",Pole_Calc!A517,
IF(H486="S/A",Pole_Calc!A518,
IF(H486="A/S",Pole_Calc!A519,"Poner a mano")))))))</f>
        <v/>
      </c>
      <c r="BE486" s="448" t="s">
        <v>1726</v>
      </c>
      <c r="BF486" s="634"/>
      <c r="BG486" s="634"/>
      <c r="BH486" s="634"/>
      <c r="BI486" s="634"/>
    </row>
    <row r="487" spans="1:61" ht="16.2" customHeight="1">
      <c r="A487" s="12"/>
      <c r="B487" s="446"/>
      <c r="C487" s="89"/>
      <c r="D487" s="13"/>
      <c r="E487" s="14"/>
      <c r="F487" s="14"/>
      <c r="G487" s="15"/>
      <c r="H487" s="8"/>
      <c r="I487" s="8"/>
      <c r="J487" s="89"/>
      <c r="K487" s="8"/>
      <c r="L487" s="8"/>
      <c r="M487" s="8" t="str">
        <f>IF(L487="","",
IF(AX487="PT",VLOOKUP(L487,Foundation_Calc!$V$4:$X$37,VLOOKUP(AX487,Foundation_Calc!$I$10:$J$13,2,FALSE),0),
IF(AX487="K",VLOOKUP(L487,Foundation_Calc!$V$41:$X$74,VLOOKUP(AX487,Foundation_Calc!$I$10:$J$13,2,FALSE),0),"")))</f>
        <v/>
      </c>
      <c r="N487" s="8"/>
      <c r="O487" s="8"/>
      <c r="P487" s="8"/>
      <c r="Q487" s="14"/>
      <c r="R487" s="15"/>
      <c r="S487" s="15"/>
      <c r="T487" s="14"/>
      <c r="U487" s="14"/>
      <c r="V487" s="14"/>
      <c r="W487" s="18"/>
      <c r="X487" s="18"/>
      <c r="Y487" s="18"/>
      <c r="Z487" s="18"/>
      <c r="AA487" s="18"/>
      <c r="AB487" s="18"/>
      <c r="AC487" s="8" t="str">
        <f t="shared" si="98"/>
        <v/>
      </c>
      <c r="AD487" s="8"/>
      <c r="AE487" s="8"/>
      <c r="AF487" s="14"/>
      <c r="AG487" s="13"/>
      <c r="AH487" s="14"/>
      <c r="AI487" s="14"/>
      <c r="AJ487" s="8"/>
      <c r="AK487" s="8"/>
      <c r="AL487" s="8"/>
      <c r="AM487" s="8"/>
      <c r="AN487" s="631"/>
      <c r="AO487" s="18"/>
      <c r="AP487" s="18"/>
      <c r="AQ487" s="18"/>
      <c r="AR487" s="18"/>
      <c r="AS487" s="18"/>
      <c r="AU487" s="448"/>
      <c r="AV487" s="448"/>
      <c r="AW487" s="8" t="str">
        <f>IF(C487&gt;0,VLOOKUP(C487,Foundation_Calc!$A$2:$C$986,3,1),
IF(J487&gt;0,VLOOKUP(J487,Foundation_Calc!$A$2:$C$986,3,1),""))</f>
        <v/>
      </c>
      <c r="AX487" s="8" t="str">
        <f>IF(C487&gt;0,VLOOKUP(C487,Foundation_Calc!$E$2:$G$986,3,1),
IF(J487&gt;0,VLOOKUP(J487,Foundation_Calc!$E$2:$G$986,3,1),""))</f>
        <v/>
      </c>
      <c r="AY487" s="631" t="str">
        <f>IF(L487="","",
IF(AX487="PT",VLOOKUP(L487,Foundation_Calc!$K$4:$R$37,VLOOKUP(AW487,Foundation_Calc!$I$2:$J$8,2,FALSE),0),
IF(AX487="K",VLOOKUP(L487,Foundation_Calc!$K$41:$R$74,VLOOKUP(AW487,Foundation_Calc!$I$2:$J$8,2,FALSE),0),"")))</f>
        <v/>
      </c>
      <c r="AZ487" s="631" t="str">
        <f>IF(K487="","",
IF(AX487="PT",VLOOKUP(K487,Foundation_Calc!$K$4:$R$37,VLOOKUP(AW487,Foundation_Calc!$I$2:$J$8,2,FALSE),0),
IF(AX487="K",VLOOKUP(K487,Foundation_Calc!$K$41:$R$74,VLOOKUP(AW487,Foundation_Calc!$I$2:$J$8,2,FALSE),0),"")))</f>
        <v/>
      </c>
      <c r="BA487" s="632" t="str">
        <f t="shared" si="99"/>
        <v/>
      </c>
      <c r="BB487" s="632" t="str">
        <f t="shared" si="100"/>
        <v/>
      </c>
      <c r="BC487" s="632" t="str">
        <f t="shared" si="101"/>
        <v/>
      </c>
      <c r="BD487" s="633" t="str">
        <f>IF(AND(L487="",H487=""),"",
IF(H487="",Pole_Calc!A515,
IF(H487="MP",Pole_Calc!A516,
IF(H487="AnMP",Pole_Calc!A517,
IF(H487="A",Pole_Calc!A518,
IF(H487="S/A",Pole_Calc!A519,
IF(H487="A/S",Pole_Calc!A520,"Poner a mano")))))))</f>
        <v/>
      </c>
      <c r="BE487" s="448" t="s">
        <v>1726</v>
      </c>
      <c r="BF487" s="635"/>
      <c r="BG487" s="635"/>
      <c r="BH487" s="634"/>
      <c r="BI487" s="635"/>
    </row>
    <row r="488" spans="1:61" ht="16.2" customHeight="1">
      <c r="A488" s="12"/>
      <c r="B488" s="446"/>
      <c r="C488" s="89"/>
      <c r="D488" s="13"/>
      <c r="E488" s="14"/>
      <c r="F488" s="14"/>
      <c r="G488" s="15"/>
      <c r="H488" s="8"/>
      <c r="I488" s="8"/>
      <c r="J488" s="89"/>
      <c r="K488" s="8"/>
      <c r="L488" s="8"/>
      <c r="M488" s="8" t="str">
        <f>IF(L488="","",
IF(AX488="PT",VLOOKUP(L488,Foundation_Calc!$V$4:$X$37,VLOOKUP(AX488,Foundation_Calc!$I$10:$J$13,2,FALSE),0),
IF(AX488="K",VLOOKUP(L488,Foundation_Calc!$V$41:$X$74,VLOOKUP(AX488,Foundation_Calc!$I$10:$J$13,2,FALSE),0),"")))</f>
        <v/>
      </c>
      <c r="N488" s="8"/>
      <c r="O488" s="8"/>
      <c r="P488" s="8"/>
      <c r="Q488" s="14"/>
      <c r="R488" s="15"/>
      <c r="S488" s="15"/>
      <c r="T488" s="14"/>
      <c r="U488" s="14"/>
      <c r="V488" s="14"/>
      <c r="W488" s="18"/>
      <c r="X488" s="18"/>
      <c r="Y488" s="18"/>
      <c r="Z488" s="18"/>
      <c r="AA488" s="18"/>
      <c r="AB488" s="18"/>
      <c r="AC488" s="8" t="str">
        <f t="shared" si="98"/>
        <v/>
      </c>
      <c r="AD488" s="8"/>
      <c r="AE488" s="8"/>
      <c r="AF488" s="14"/>
      <c r="AG488" s="13"/>
      <c r="AH488" s="14"/>
      <c r="AI488" s="14"/>
      <c r="AJ488" s="8"/>
      <c r="AK488" s="8"/>
      <c r="AL488" s="8"/>
      <c r="AM488" s="8"/>
      <c r="AN488" s="631"/>
      <c r="AO488" s="18"/>
      <c r="AP488" s="18"/>
      <c r="AQ488" s="18"/>
      <c r="AR488" s="18"/>
      <c r="AS488" s="18"/>
      <c r="AU488" s="448"/>
      <c r="AV488" s="448"/>
      <c r="AW488" s="8" t="str">
        <f>IF(C488&gt;0,VLOOKUP(C488,Foundation_Calc!$A$2:$C$986,3,1),
IF(J488&gt;0,VLOOKUP(J488,Foundation_Calc!$A$2:$C$986,3,1),""))</f>
        <v/>
      </c>
      <c r="AX488" s="8" t="str">
        <f>IF(C488&gt;0,VLOOKUP(C488,Foundation_Calc!$E$2:$G$986,3,1),
IF(J488&gt;0,VLOOKUP(J488,Foundation_Calc!$E$2:$G$986,3,1),""))</f>
        <v/>
      </c>
      <c r="AY488" s="631" t="str">
        <f>IF(L488="","",
IF(AX488="PT",VLOOKUP(L488,Foundation_Calc!$K$4:$R$37,VLOOKUP(AW488,Foundation_Calc!$I$2:$J$8,2,FALSE),0),
IF(AX488="K",VLOOKUP(L488,Foundation_Calc!$K$41:$R$74,VLOOKUP(AW488,Foundation_Calc!$I$2:$J$8,2,FALSE),0),"")))</f>
        <v/>
      </c>
      <c r="AZ488" s="631" t="str">
        <f>IF(K488="","",
IF(AX488="PT",VLOOKUP(K488,Foundation_Calc!$K$4:$R$37,VLOOKUP(AW488,Foundation_Calc!$I$2:$J$8,2,FALSE),0),
IF(AX488="K",VLOOKUP(K488,Foundation_Calc!$K$41:$R$74,VLOOKUP(AW488,Foundation_Calc!$I$2:$J$8,2,FALSE),0),"")))</f>
        <v/>
      </c>
      <c r="BA488" s="632" t="str">
        <f t="shared" si="99"/>
        <v/>
      </c>
      <c r="BB488" s="632" t="str">
        <f t="shared" si="100"/>
        <v/>
      </c>
      <c r="BC488" s="632" t="str">
        <f t="shared" si="101"/>
        <v/>
      </c>
      <c r="BD488" s="633" t="str">
        <f>IF(AND(L488="",H488=""),"",
IF(H488="",Pole_Calc!A516,
IF(H488="MP",Pole_Calc!A517,
IF(H488="AnMP",Pole_Calc!A518,
IF(H488="A",Pole_Calc!A519,
IF(H488="S/A",Pole_Calc!A520,
IF(H488="A/S",Pole_Calc!A521,"Poner a mano")))))))</f>
        <v/>
      </c>
      <c r="BE488" s="448" t="s">
        <v>1726</v>
      </c>
      <c r="BF488" s="634"/>
      <c r="BG488" s="634"/>
      <c r="BH488" s="634"/>
      <c r="BI488" s="634"/>
    </row>
    <row r="489" spans="1:61" ht="16.2" customHeight="1">
      <c r="A489" s="12"/>
      <c r="B489" s="446"/>
      <c r="C489" s="89"/>
      <c r="D489" s="13"/>
      <c r="E489" s="14"/>
      <c r="F489" s="14"/>
      <c r="G489" s="15"/>
      <c r="H489" s="8"/>
      <c r="I489" s="8"/>
      <c r="J489" s="89"/>
      <c r="K489" s="8"/>
      <c r="L489" s="8"/>
      <c r="M489" s="8" t="str">
        <f>IF(L489="","",
IF(AX489="PT",VLOOKUP(L489,Foundation_Calc!$V$4:$X$37,VLOOKUP(AX489,Foundation_Calc!$I$10:$J$13,2,FALSE),0),
IF(AX489="K",VLOOKUP(L489,Foundation_Calc!$V$41:$X$74,VLOOKUP(AX489,Foundation_Calc!$I$10:$J$13,2,FALSE),0),"")))</f>
        <v/>
      </c>
      <c r="N489" s="8"/>
      <c r="O489" s="8"/>
      <c r="P489" s="8"/>
      <c r="Q489" s="14"/>
      <c r="R489" s="15"/>
      <c r="S489" s="15"/>
      <c r="T489" s="14"/>
      <c r="U489" s="14"/>
      <c r="V489" s="14"/>
      <c r="W489" s="18"/>
      <c r="X489" s="18"/>
      <c r="Y489" s="18"/>
      <c r="Z489" s="18"/>
      <c r="AA489" s="18"/>
      <c r="AB489" s="18"/>
      <c r="AC489" s="8" t="str">
        <f t="shared" si="98"/>
        <v/>
      </c>
      <c r="AD489" s="8"/>
      <c r="AE489" s="8"/>
      <c r="AF489" s="14"/>
      <c r="AG489" s="13"/>
      <c r="AH489" s="14"/>
      <c r="AI489" s="14"/>
      <c r="AJ489" s="8"/>
      <c r="AK489" s="8"/>
      <c r="AL489" s="8"/>
      <c r="AM489" s="8"/>
      <c r="AN489" s="631"/>
      <c r="AO489" s="18"/>
      <c r="AP489" s="18"/>
      <c r="AQ489" s="18"/>
      <c r="AR489" s="18"/>
      <c r="AS489" s="18"/>
      <c r="AU489" s="448"/>
      <c r="AV489" s="448"/>
      <c r="AW489" s="8" t="str">
        <f>IF(C489&gt;0,VLOOKUP(C489,Foundation_Calc!$A$2:$C$986,3,1),
IF(J489&gt;0,VLOOKUP(J489,Foundation_Calc!$A$2:$C$986,3,1),""))</f>
        <v/>
      </c>
      <c r="AX489" s="8" t="str">
        <f>IF(C489&gt;0,VLOOKUP(C489,Foundation_Calc!$E$2:$G$986,3,1),
IF(J489&gt;0,VLOOKUP(J489,Foundation_Calc!$E$2:$G$986,3,1),""))</f>
        <v/>
      </c>
      <c r="AY489" s="631" t="str">
        <f>IF(L489="","",
IF(AX489="PT",VLOOKUP(L489,Foundation_Calc!$K$4:$R$37,VLOOKUP(AW489,Foundation_Calc!$I$2:$J$8,2,FALSE),0),
IF(AX489="K",VLOOKUP(L489,Foundation_Calc!$K$41:$R$74,VLOOKUP(AW489,Foundation_Calc!$I$2:$J$8,2,FALSE),0),"")))</f>
        <v/>
      </c>
      <c r="AZ489" s="631" t="str">
        <f>IF(K489="","",
IF(AX489="PT",VLOOKUP(K489,Foundation_Calc!$K$4:$R$37,VLOOKUP(AW489,Foundation_Calc!$I$2:$J$8,2,FALSE),0),
IF(AX489="K",VLOOKUP(K489,Foundation_Calc!$K$41:$R$74,VLOOKUP(AW489,Foundation_Calc!$I$2:$J$8,2,FALSE),0),"")))</f>
        <v/>
      </c>
      <c r="BA489" s="632" t="str">
        <f t="shared" si="99"/>
        <v/>
      </c>
      <c r="BB489" s="632" t="str">
        <f t="shared" si="100"/>
        <v/>
      </c>
      <c r="BC489" s="632" t="str">
        <f t="shared" si="101"/>
        <v/>
      </c>
      <c r="BD489" s="633" t="str">
        <f>IF(AND(L489="",H489=""),"",
IF(H489="",Pole_Calc!A517,
IF(H489="MP",Pole_Calc!A518,
IF(H489="AnMP",Pole_Calc!A519,
IF(H489="A",Pole_Calc!A520,
IF(H489="S/A",Pole_Calc!A521,
IF(H489="A/S",Pole_Calc!A522,"Poner a mano")))))))</f>
        <v/>
      </c>
      <c r="BE489" s="448" t="s">
        <v>1726</v>
      </c>
      <c r="BF489" s="635"/>
      <c r="BG489" s="635"/>
      <c r="BH489" s="634"/>
      <c r="BI489" s="635"/>
    </row>
    <row r="490" spans="1:61" ht="16.2" customHeight="1">
      <c r="A490" s="12"/>
      <c r="B490" s="446"/>
      <c r="C490" s="89"/>
      <c r="D490" s="13"/>
      <c r="E490" s="14"/>
      <c r="F490" s="14"/>
      <c r="G490" s="15"/>
      <c r="H490" s="8"/>
      <c r="I490" s="8"/>
      <c r="J490" s="89"/>
      <c r="K490" s="8"/>
      <c r="L490" s="8"/>
      <c r="M490" s="8" t="str">
        <f>IF(L490="","",
IF(AX490="PT",VLOOKUP(L490,Foundation_Calc!$V$4:$X$37,VLOOKUP(AX490,Foundation_Calc!$I$10:$J$13,2,FALSE),0),
IF(AX490="K",VLOOKUP(L490,Foundation_Calc!$V$41:$X$74,VLOOKUP(AX490,Foundation_Calc!$I$10:$J$13,2,FALSE),0),"")))</f>
        <v/>
      </c>
      <c r="N490" s="8"/>
      <c r="O490" s="8"/>
      <c r="P490" s="8"/>
      <c r="Q490" s="14"/>
      <c r="R490" s="15"/>
      <c r="S490" s="15"/>
      <c r="T490" s="14"/>
      <c r="U490" s="14"/>
      <c r="V490" s="14"/>
      <c r="W490" s="18"/>
      <c r="X490" s="18"/>
      <c r="Y490" s="18"/>
      <c r="Z490" s="18"/>
      <c r="AA490" s="18"/>
      <c r="AB490" s="18"/>
      <c r="AC490" s="8" t="str">
        <f t="shared" si="98"/>
        <v/>
      </c>
      <c r="AD490" s="8"/>
      <c r="AE490" s="8"/>
      <c r="AF490" s="14"/>
      <c r="AG490" s="13"/>
      <c r="AH490" s="14"/>
      <c r="AI490" s="14"/>
      <c r="AJ490" s="8"/>
      <c r="AK490" s="8"/>
      <c r="AL490" s="8"/>
      <c r="AM490" s="8"/>
      <c r="AN490" s="631"/>
      <c r="AO490" s="18"/>
      <c r="AP490" s="18"/>
      <c r="AQ490" s="18"/>
      <c r="AR490" s="18"/>
      <c r="AS490" s="18"/>
      <c r="AU490" s="448"/>
      <c r="AV490" s="448"/>
      <c r="AW490" s="8" t="str">
        <f>IF(C490&gt;0,VLOOKUP(C490,Foundation_Calc!$A$2:$C$986,3,1),
IF(J490&gt;0,VLOOKUP(J490,Foundation_Calc!$A$2:$C$986,3,1),""))</f>
        <v/>
      </c>
      <c r="AX490" s="8" t="str">
        <f>IF(C490&gt;0,VLOOKUP(C490,Foundation_Calc!$E$2:$G$986,3,1),
IF(J490&gt;0,VLOOKUP(J490,Foundation_Calc!$E$2:$G$986,3,1),""))</f>
        <v/>
      </c>
      <c r="AY490" s="631" t="str">
        <f>IF(L490="","",
IF(AX490="PT",VLOOKUP(L490,Foundation_Calc!$K$4:$R$37,VLOOKUP(AW490,Foundation_Calc!$I$2:$J$8,2,FALSE),0),
IF(AX490="K",VLOOKUP(L490,Foundation_Calc!$K$41:$R$74,VLOOKUP(AW490,Foundation_Calc!$I$2:$J$8,2,FALSE),0),"")))</f>
        <v/>
      </c>
      <c r="AZ490" s="631" t="str">
        <f>IF(K490="","",
IF(AX490="PT",VLOOKUP(K490,Foundation_Calc!$K$4:$R$37,VLOOKUP(AW490,Foundation_Calc!$I$2:$J$8,2,FALSE),0),
IF(AX490="K",VLOOKUP(K490,Foundation_Calc!$K$41:$R$74,VLOOKUP(AW490,Foundation_Calc!$I$2:$J$8,2,FALSE),0),"")))</f>
        <v/>
      </c>
      <c r="BA490" s="632" t="str">
        <f t="shared" si="99"/>
        <v/>
      </c>
      <c r="BB490" s="632" t="str">
        <f t="shared" si="100"/>
        <v/>
      </c>
      <c r="BC490" s="632" t="str">
        <f t="shared" si="101"/>
        <v/>
      </c>
      <c r="BD490" s="633" t="str">
        <f>IF(AND(L490="",H490=""),"",
IF(H490="",Pole_Calc!A518,
IF(H490="MP",Pole_Calc!A519,
IF(H490="AnMP",Pole_Calc!A520,
IF(H490="A",Pole_Calc!A521,
IF(H490="S/A",Pole_Calc!A522,
IF(H490="A/S",Pole_Calc!A523,"Poner a mano")))))))</f>
        <v/>
      </c>
      <c r="BE490" s="448" t="s">
        <v>1726</v>
      </c>
      <c r="BF490" s="634"/>
      <c r="BG490" s="634"/>
      <c r="BH490" s="634"/>
      <c r="BI490" s="634"/>
    </row>
    <row r="491" spans="1:61" ht="16.2" customHeight="1">
      <c r="A491" s="12"/>
      <c r="B491" s="446"/>
      <c r="C491" s="89"/>
      <c r="D491" s="13"/>
      <c r="E491" s="14"/>
      <c r="F491" s="14"/>
      <c r="G491" s="15"/>
      <c r="H491" s="8"/>
      <c r="I491" s="8"/>
      <c r="J491" s="89"/>
      <c r="K491" s="8"/>
      <c r="L491" s="8"/>
      <c r="M491" s="8" t="str">
        <f>IF(L491="","",
IF(AX491="PT",VLOOKUP(L491,Foundation_Calc!$V$4:$X$37,VLOOKUP(AX491,Foundation_Calc!$I$10:$J$13,2,FALSE),0),
IF(AX491="K",VLOOKUP(L491,Foundation_Calc!$V$41:$X$74,VLOOKUP(AX491,Foundation_Calc!$I$10:$J$13,2,FALSE),0),"")))</f>
        <v/>
      </c>
      <c r="N491" s="8"/>
      <c r="O491" s="8"/>
      <c r="P491" s="8"/>
      <c r="Q491" s="14"/>
      <c r="R491" s="15"/>
      <c r="S491" s="15"/>
      <c r="T491" s="14"/>
      <c r="U491" s="14"/>
      <c r="V491" s="14"/>
      <c r="W491" s="18"/>
      <c r="X491" s="18"/>
      <c r="Y491" s="18"/>
      <c r="Z491" s="18"/>
      <c r="AA491" s="18"/>
      <c r="AB491" s="18"/>
      <c r="AC491" s="8" t="str">
        <f t="shared" si="98"/>
        <v/>
      </c>
      <c r="AD491" s="8"/>
      <c r="AE491" s="8"/>
      <c r="AF491" s="14"/>
      <c r="AG491" s="13"/>
      <c r="AH491" s="14"/>
      <c r="AI491" s="14"/>
      <c r="AJ491" s="8"/>
      <c r="AK491" s="8"/>
      <c r="AL491" s="8"/>
      <c r="AM491" s="8"/>
      <c r="AN491" s="631"/>
      <c r="AO491" s="18"/>
      <c r="AP491" s="18"/>
      <c r="AQ491" s="18"/>
      <c r="AR491" s="18"/>
      <c r="AS491" s="18"/>
      <c r="AU491" s="448"/>
      <c r="AV491" s="448"/>
      <c r="AW491" s="8" t="str">
        <f>IF(C491&gt;0,VLOOKUP(C491,Foundation_Calc!$A$2:$C$986,3,1),
IF(J491&gt;0,VLOOKUP(J491,Foundation_Calc!$A$2:$C$986,3,1),""))</f>
        <v/>
      </c>
      <c r="AX491" s="8" t="str">
        <f>IF(C491&gt;0,VLOOKUP(C491,Foundation_Calc!$E$2:$G$986,3,1),
IF(J491&gt;0,VLOOKUP(J491,Foundation_Calc!$E$2:$G$986,3,1),""))</f>
        <v/>
      </c>
      <c r="AY491" s="631" t="str">
        <f>IF(L491="","",
IF(AX491="PT",VLOOKUP(L491,Foundation_Calc!$K$4:$R$37,VLOOKUP(AW491,Foundation_Calc!$I$2:$J$8,2,FALSE),0),
IF(AX491="K",VLOOKUP(L491,Foundation_Calc!$K$41:$R$74,VLOOKUP(AW491,Foundation_Calc!$I$2:$J$8,2,FALSE),0),"")))</f>
        <v/>
      </c>
      <c r="AZ491" s="631" t="str">
        <f>IF(K491="","",
IF(AX491="PT",VLOOKUP(K491,Foundation_Calc!$K$4:$R$37,VLOOKUP(AW491,Foundation_Calc!$I$2:$J$8,2,FALSE),0),
IF(AX491="K",VLOOKUP(K491,Foundation_Calc!$K$41:$R$74,VLOOKUP(AW491,Foundation_Calc!$I$2:$J$8,2,FALSE),0),"")))</f>
        <v/>
      </c>
      <c r="BA491" s="632" t="str">
        <f t="shared" si="99"/>
        <v/>
      </c>
      <c r="BB491" s="632" t="str">
        <f t="shared" si="100"/>
        <v/>
      </c>
      <c r="BC491" s="632" t="str">
        <f t="shared" si="101"/>
        <v/>
      </c>
      <c r="BD491" s="633" t="str">
        <f>IF(AND(L491="",H491=""),"",
IF(H491="",Pole_Calc!A519,
IF(H491="MP",Pole_Calc!A520,
IF(H491="AnMP",Pole_Calc!A521,
IF(H491="A",Pole_Calc!A522,
IF(H491="S/A",Pole_Calc!A523,
IF(H491="A/S",Pole_Calc!A524,"Poner a mano")))))))</f>
        <v/>
      </c>
      <c r="BE491" s="448" t="s">
        <v>1726</v>
      </c>
      <c r="BF491" s="635"/>
      <c r="BG491" s="635"/>
      <c r="BH491" s="634"/>
      <c r="BI491" s="635"/>
    </row>
    <row r="492" spans="1:61" ht="16.2" customHeight="1">
      <c r="A492" s="12"/>
      <c r="B492" s="446"/>
      <c r="C492" s="89"/>
      <c r="D492" s="13"/>
      <c r="E492" s="14"/>
      <c r="F492" s="14"/>
      <c r="G492" s="15"/>
      <c r="H492" s="8"/>
      <c r="I492" s="8"/>
      <c r="J492" s="89"/>
      <c r="K492" s="8"/>
      <c r="L492" s="8"/>
      <c r="M492" s="8" t="str">
        <f>IF(L492="","",
IF(AX492="PT",VLOOKUP(L492,Foundation_Calc!$V$4:$X$37,VLOOKUP(AX492,Foundation_Calc!$I$10:$J$13,2,FALSE),0),
IF(AX492="K",VLOOKUP(L492,Foundation_Calc!$V$41:$X$74,VLOOKUP(AX492,Foundation_Calc!$I$10:$J$13,2,FALSE),0),"")))</f>
        <v/>
      </c>
      <c r="N492" s="8"/>
      <c r="O492" s="8"/>
      <c r="P492" s="8"/>
      <c r="Q492" s="14"/>
      <c r="R492" s="15"/>
      <c r="S492" s="15"/>
      <c r="T492" s="14"/>
      <c r="U492" s="14"/>
      <c r="V492" s="14"/>
      <c r="W492" s="18"/>
      <c r="X492" s="18"/>
      <c r="Y492" s="18"/>
      <c r="Z492" s="18"/>
      <c r="AA492" s="18"/>
      <c r="AB492" s="18"/>
      <c r="AC492" s="8" t="str">
        <f t="shared" si="98"/>
        <v/>
      </c>
      <c r="AD492" s="8"/>
      <c r="AE492" s="8"/>
      <c r="AF492" s="14"/>
      <c r="AG492" s="13"/>
      <c r="AH492" s="14"/>
      <c r="AI492" s="14"/>
      <c r="AJ492" s="8"/>
      <c r="AK492" s="8"/>
      <c r="AL492" s="8"/>
      <c r="AM492" s="8"/>
      <c r="AN492" s="631"/>
      <c r="AO492" s="18"/>
      <c r="AP492" s="18"/>
      <c r="AQ492" s="18"/>
      <c r="AR492" s="18"/>
      <c r="AS492" s="18"/>
      <c r="AU492" s="448"/>
      <c r="AV492" s="448"/>
      <c r="AW492" s="8" t="str">
        <f>IF(C492&gt;0,VLOOKUP(C492,Foundation_Calc!$A$2:$C$986,3,1),
IF(J492&gt;0,VLOOKUP(J492,Foundation_Calc!$A$2:$C$986,3,1),""))</f>
        <v/>
      </c>
      <c r="AX492" s="8" t="str">
        <f>IF(C492&gt;0,VLOOKUP(C492,Foundation_Calc!$E$2:$G$986,3,1),
IF(J492&gt;0,VLOOKUP(J492,Foundation_Calc!$E$2:$G$986,3,1),""))</f>
        <v/>
      </c>
      <c r="AY492" s="631" t="str">
        <f>IF(L492="","",
IF(AX492="PT",VLOOKUP(L492,Foundation_Calc!$K$4:$R$37,VLOOKUP(AW492,Foundation_Calc!$I$2:$J$8,2,FALSE),0),
IF(AX492="K",VLOOKUP(L492,Foundation_Calc!$K$41:$R$74,VLOOKUP(AW492,Foundation_Calc!$I$2:$J$8,2,FALSE),0),"")))</f>
        <v/>
      </c>
      <c r="AZ492" s="631" t="str">
        <f>IF(K492="","",
IF(AX492="PT",VLOOKUP(K492,Foundation_Calc!$K$4:$R$37,VLOOKUP(AW492,Foundation_Calc!$I$2:$J$8,2,FALSE),0),
IF(AX492="K",VLOOKUP(K492,Foundation_Calc!$K$41:$R$74,VLOOKUP(AW492,Foundation_Calc!$I$2:$J$8,2,FALSE),0),"")))</f>
        <v/>
      </c>
      <c r="BA492" s="632" t="str">
        <f t="shared" si="99"/>
        <v/>
      </c>
      <c r="BB492" s="632" t="str">
        <f t="shared" si="100"/>
        <v/>
      </c>
      <c r="BC492" s="632" t="str">
        <f t="shared" si="101"/>
        <v/>
      </c>
      <c r="BD492" s="633" t="str">
        <f>IF(AND(L492="",H492=""),"",
IF(H492="",Pole_Calc!A520,
IF(H492="MP",Pole_Calc!A521,
IF(H492="AnMP",Pole_Calc!A522,
IF(H492="A",Pole_Calc!A523,
IF(H492="S/A",Pole_Calc!A524,
IF(H492="A/S",Pole_Calc!A525,"Poner a mano")))))))</f>
        <v/>
      </c>
      <c r="BE492" s="448" t="s">
        <v>1726</v>
      </c>
      <c r="BF492" s="634"/>
      <c r="BG492" s="634"/>
      <c r="BH492" s="634"/>
      <c r="BI492" s="634"/>
    </row>
    <row r="493" spans="1:61" ht="16.2" customHeight="1">
      <c r="A493" s="12"/>
      <c r="B493" s="446"/>
      <c r="C493" s="89"/>
      <c r="D493" s="13"/>
      <c r="E493" s="14"/>
      <c r="F493" s="14"/>
      <c r="G493" s="15"/>
      <c r="H493" s="8"/>
      <c r="I493" s="8"/>
      <c r="J493" s="89"/>
      <c r="K493" s="8"/>
      <c r="L493" s="8"/>
      <c r="M493" s="8" t="str">
        <f>IF(L493="","",
IF(AX493="PT",VLOOKUP(L493,Foundation_Calc!$V$4:$X$37,VLOOKUP(AX493,Foundation_Calc!$I$10:$J$13,2,FALSE),0),
IF(AX493="K",VLOOKUP(L493,Foundation_Calc!$V$41:$X$74,VLOOKUP(AX493,Foundation_Calc!$I$10:$J$13,2,FALSE),0),"")))</f>
        <v/>
      </c>
      <c r="N493" s="8"/>
      <c r="O493" s="8"/>
      <c r="P493" s="8"/>
      <c r="Q493" s="14"/>
      <c r="R493" s="15"/>
      <c r="S493" s="15"/>
      <c r="T493" s="14"/>
      <c r="U493" s="14"/>
      <c r="V493" s="14"/>
      <c r="W493" s="18"/>
      <c r="X493" s="18"/>
      <c r="Y493" s="18"/>
      <c r="Z493" s="18"/>
      <c r="AA493" s="18"/>
      <c r="AB493" s="18"/>
      <c r="AC493" s="8" t="str">
        <f t="shared" si="98"/>
        <v/>
      </c>
      <c r="AD493" s="8"/>
      <c r="AE493" s="8"/>
      <c r="AF493" s="14"/>
      <c r="AG493" s="13"/>
      <c r="AH493" s="14"/>
      <c r="AI493" s="14"/>
      <c r="AJ493" s="8"/>
      <c r="AK493" s="8"/>
      <c r="AL493" s="8"/>
      <c r="AM493" s="8"/>
      <c r="AN493" s="631"/>
      <c r="AO493" s="18"/>
      <c r="AP493" s="18"/>
      <c r="AQ493" s="18"/>
      <c r="AR493" s="18"/>
      <c r="AS493" s="18"/>
      <c r="AU493" s="448"/>
      <c r="AV493" s="448"/>
      <c r="AW493" s="8" t="str">
        <f>IF(C493&gt;0,VLOOKUP(C493,Foundation_Calc!$A$2:$C$986,3,1),
IF(J493&gt;0,VLOOKUP(J493,Foundation_Calc!$A$2:$C$986,3,1),""))</f>
        <v/>
      </c>
      <c r="AX493" s="8" t="str">
        <f>IF(C493&gt;0,VLOOKUP(C493,Foundation_Calc!$E$2:$G$986,3,1),
IF(J493&gt;0,VLOOKUP(J493,Foundation_Calc!$E$2:$G$986,3,1),""))</f>
        <v/>
      </c>
      <c r="AY493" s="631" t="str">
        <f>IF(L493="","",
IF(AX493="PT",VLOOKUP(L493,Foundation_Calc!$K$4:$R$37,VLOOKUP(AW493,Foundation_Calc!$I$2:$J$8,2,FALSE),0),
IF(AX493="K",VLOOKUP(L493,Foundation_Calc!$K$41:$R$74,VLOOKUP(AW493,Foundation_Calc!$I$2:$J$8,2,FALSE),0),"")))</f>
        <v/>
      </c>
      <c r="AZ493" s="631" t="str">
        <f>IF(K493="","",
IF(AX493="PT",VLOOKUP(K493,Foundation_Calc!$K$4:$R$37,VLOOKUP(AW493,Foundation_Calc!$I$2:$J$8,2,FALSE),0),
IF(AX493="K",VLOOKUP(K493,Foundation_Calc!$K$41:$R$74,VLOOKUP(AW493,Foundation_Calc!$I$2:$J$8,2,FALSE),0),"")))</f>
        <v/>
      </c>
      <c r="BA493" s="632" t="str">
        <f t="shared" si="99"/>
        <v/>
      </c>
      <c r="BB493" s="632" t="str">
        <f t="shared" si="100"/>
        <v/>
      </c>
      <c r="BC493" s="632" t="str">
        <f t="shared" si="101"/>
        <v/>
      </c>
      <c r="BD493" s="633" t="str">
        <f>IF(AND(L493="",H493=""),"",
IF(H493="",Pole_Calc!A521,
IF(H493="MP",Pole_Calc!A522,
IF(H493="AnMP",Pole_Calc!A523,
IF(H493="A",Pole_Calc!A524,
IF(H493="S/A",Pole_Calc!A525,
IF(H493="A/S",Pole_Calc!A526,"Poner a mano")))))))</f>
        <v/>
      </c>
      <c r="BE493" s="448" t="s">
        <v>1726</v>
      </c>
      <c r="BF493" s="635"/>
      <c r="BG493" s="635"/>
      <c r="BH493" s="634"/>
      <c r="BI493" s="635"/>
    </row>
    <row r="494" spans="1:61" ht="16.2" customHeight="1">
      <c r="A494" s="12"/>
      <c r="B494" s="446"/>
      <c r="C494" s="89"/>
      <c r="D494" s="13"/>
      <c r="E494" s="14"/>
      <c r="F494" s="14"/>
      <c r="G494" s="15"/>
      <c r="H494" s="8"/>
      <c r="I494" s="8"/>
      <c r="J494" s="89"/>
      <c r="K494" s="8"/>
      <c r="L494" s="8"/>
      <c r="M494" s="8" t="str">
        <f>IF(L494="","",
IF(AX494="PT",VLOOKUP(L494,Foundation_Calc!$V$4:$X$37,VLOOKUP(AX494,Foundation_Calc!$I$10:$J$13,2,FALSE),0),
IF(AX494="K",VLOOKUP(L494,Foundation_Calc!$V$41:$X$74,VLOOKUP(AX494,Foundation_Calc!$I$10:$J$13,2,FALSE),0),"")))</f>
        <v/>
      </c>
      <c r="N494" s="8"/>
      <c r="O494" s="8"/>
      <c r="P494" s="8"/>
      <c r="Q494" s="14"/>
      <c r="R494" s="15"/>
      <c r="S494" s="15"/>
      <c r="T494" s="14"/>
      <c r="U494" s="14"/>
      <c r="V494" s="14"/>
      <c r="W494" s="18"/>
      <c r="X494" s="18"/>
      <c r="Y494" s="18"/>
      <c r="Z494" s="18"/>
      <c r="AA494" s="18"/>
      <c r="AB494" s="18"/>
      <c r="AC494" s="8" t="str">
        <f t="shared" si="98"/>
        <v/>
      </c>
      <c r="AD494" s="8"/>
      <c r="AE494" s="8"/>
      <c r="AF494" s="14"/>
      <c r="AG494" s="13"/>
      <c r="AH494" s="14"/>
      <c r="AI494" s="14"/>
      <c r="AJ494" s="8"/>
      <c r="AK494" s="8"/>
      <c r="AL494" s="8"/>
      <c r="AM494" s="8"/>
      <c r="AN494" s="631"/>
      <c r="AO494" s="18"/>
      <c r="AP494" s="18"/>
      <c r="AQ494" s="18"/>
      <c r="AR494" s="18"/>
      <c r="AS494" s="18"/>
      <c r="AU494" s="448"/>
      <c r="AV494" s="448"/>
      <c r="AW494" s="8" t="str">
        <f>IF(C494&gt;0,VLOOKUP(C494,Foundation_Calc!$A$2:$C$986,3,1),
IF(J494&gt;0,VLOOKUP(J494,Foundation_Calc!$A$2:$C$986,3,1),""))</f>
        <v/>
      </c>
      <c r="AX494" s="8" t="str">
        <f>IF(C494&gt;0,VLOOKUP(C494,Foundation_Calc!$E$2:$G$986,3,1),
IF(J494&gt;0,VLOOKUP(J494,Foundation_Calc!$E$2:$G$986,3,1),""))</f>
        <v/>
      </c>
      <c r="AY494" s="631" t="str">
        <f>IF(L494="","",
IF(AX494="PT",VLOOKUP(L494,Foundation_Calc!$K$4:$R$37,VLOOKUP(AW494,Foundation_Calc!$I$2:$J$8,2,FALSE),0),
IF(AX494="K",VLOOKUP(L494,Foundation_Calc!$K$41:$R$74,VLOOKUP(AW494,Foundation_Calc!$I$2:$J$8,2,FALSE),0),"")))</f>
        <v/>
      </c>
      <c r="AZ494" s="631" t="str">
        <f>IF(K494="","",
IF(AX494="PT",VLOOKUP(K494,Foundation_Calc!$K$4:$R$37,VLOOKUP(AW494,Foundation_Calc!$I$2:$J$8,2,FALSE),0),
IF(AX494="K",VLOOKUP(K494,Foundation_Calc!$K$41:$R$74,VLOOKUP(AW494,Foundation_Calc!$I$2:$J$8,2,FALSE),0),"")))</f>
        <v/>
      </c>
      <c r="BA494" s="632" t="str">
        <f t="shared" si="99"/>
        <v/>
      </c>
      <c r="BB494" s="632" t="str">
        <f t="shared" si="100"/>
        <v/>
      </c>
      <c r="BC494" s="632" t="str">
        <f t="shared" si="101"/>
        <v/>
      </c>
      <c r="BD494" s="633" t="str">
        <f>IF(AND(L494="",H494=""),"",
IF(H494="",Pole_Calc!A522,
IF(H494="MP",Pole_Calc!A523,
IF(H494="AnMP",Pole_Calc!A524,
IF(H494="A",Pole_Calc!A525,
IF(H494="S/A",Pole_Calc!A526,
IF(H494="A/S",Pole_Calc!A527,"Poner a mano")))))))</f>
        <v/>
      </c>
      <c r="BE494" s="448" t="s">
        <v>1726</v>
      </c>
      <c r="BF494" s="634"/>
      <c r="BG494" s="634"/>
      <c r="BH494" s="634"/>
      <c r="BI494" s="634"/>
    </row>
    <row r="495" spans="1:61" ht="16.2" customHeight="1">
      <c r="A495" s="12"/>
      <c r="B495" s="446"/>
      <c r="C495" s="89"/>
      <c r="D495" s="13"/>
      <c r="E495" s="14"/>
      <c r="F495" s="14"/>
      <c r="G495" s="15"/>
      <c r="H495" s="8"/>
      <c r="I495" s="8"/>
      <c r="J495" s="89"/>
      <c r="K495" s="8"/>
      <c r="L495" s="8"/>
      <c r="M495" s="8" t="str">
        <f>IF(L495="","",
IF(AX495="PT",VLOOKUP(L495,Foundation_Calc!$V$4:$X$37,VLOOKUP(AX495,Foundation_Calc!$I$10:$J$13,2,FALSE),0),
IF(AX495="K",VLOOKUP(L495,Foundation_Calc!$V$41:$X$74,VLOOKUP(AX495,Foundation_Calc!$I$10:$J$13,2,FALSE),0),"")))</f>
        <v/>
      </c>
      <c r="N495" s="8"/>
      <c r="O495" s="8"/>
      <c r="P495" s="8"/>
      <c r="Q495" s="14"/>
      <c r="R495" s="15"/>
      <c r="S495" s="15"/>
      <c r="T495" s="14"/>
      <c r="U495" s="14"/>
      <c r="V495" s="14"/>
      <c r="W495" s="18"/>
      <c r="X495" s="18"/>
      <c r="Y495" s="18"/>
      <c r="Z495" s="18"/>
      <c r="AA495" s="18"/>
      <c r="AB495" s="18"/>
      <c r="AC495" s="8" t="str">
        <f t="shared" si="98"/>
        <v/>
      </c>
      <c r="AD495" s="8"/>
      <c r="AE495" s="8"/>
      <c r="AF495" s="14"/>
      <c r="AG495" s="13"/>
      <c r="AH495" s="14"/>
      <c r="AI495" s="14"/>
      <c r="AJ495" s="8"/>
      <c r="AK495" s="8"/>
      <c r="AL495" s="8"/>
      <c r="AM495" s="8"/>
      <c r="AN495" s="631"/>
      <c r="AO495" s="18"/>
      <c r="AP495" s="18"/>
      <c r="AQ495" s="18"/>
      <c r="AR495" s="18"/>
      <c r="AS495" s="18"/>
      <c r="AU495" s="448"/>
      <c r="AV495" s="448"/>
      <c r="AW495" s="8" t="str">
        <f>IF(C495&gt;0,VLOOKUP(C495,Foundation_Calc!$A$2:$C$986,3,1),
IF(J495&gt;0,VLOOKUP(J495,Foundation_Calc!$A$2:$C$986,3,1),""))</f>
        <v/>
      </c>
      <c r="AX495" s="8" t="str">
        <f>IF(C495&gt;0,VLOOKUP(C495,Foundation_Calc!$E$2:$G$986,3,1),
IF(J495&gt;0,VLOOKUP(J495,Foundation_Calc!$E$2:$G$986,3,1),""))</f>
        <v/>
      </c>
      <c r="AY495" s="631" t="str">
        <f>IF(L495="","",
IF(AX495="PT",VLOOKUP(L495,Foundation_Calc!$K$4:$R$37,VLOOKUP(AW495,Foundation_Calc!$I$2:$J$8,2,FALSE),0),
IF(AX495="K",VLOOKUP(L495,Foundation_Calc!$K$41:$R$74,VLOOKUP(AW495,Foundation_Calc!$I$2:$J$8,2,FALSE),0),"")))</f>
        <v/>
      </c>
      <c r="AZ495" s="631" t="str">
        <f>IF(K495="","",
IF(AX495="PT",VLOOKUP(K495,Foundation_Calc!$K$4:$R$37,VLOOKUP(AW495,Foundation_Calc!$I$2:$J$8,2,FALSE),0),
IF(AX495="K",VLOOKUP(K495,Foundation_Calc!$K$41:$R$74,VLOOKUP(AW495,Foundation_Calc!$I$2:$J$8,2,FALSE),0),"")))</f>
        <v/>
      </c>
      <c r="BA495" s="632" t="str">
        <f t="shared" si="99"/>
        <v/>
      </c>
      <c r="BB495" s="632" t="str">
        <f t="shared" si="100"/>
        <v/>
      </c>
      <c r="BC495" s="632" t="str">
        <f t="shared" si="101"/>
        <v/>
      </c>
      <c r="BD495" s="633" t="str">
        <f>IF(AND(L495="",H495=""),"",
IF(H495="",Pole_Calc!A523,
IF(H495="MP",Pole_Calc!A524,
IF(H495="AnMP",Pole_Calc!A525,
IF(H495="A",Pole_Calc!A526,
IF(H495="S/A",Pole_Calc!A527,
IF(H495="A/S",Pole_Calc!A528,"Poner a mano")))))))</f>
        <v/>
      </c>
      <c r="BE495" s="448" t="s">
        <v>1726</v>
      </c>
      <c r="BF495" s="635"/>
      <c r="BG495" s="635"/>
      <c r="BH495" s="634"/>
      <c r="BI495" s="635"/>
    </row>
    <row r="496" spans="1:61" ht="16.2" customHeight="1">
      <c r="A496" s="12"/>
      <c r="B496" s="446"/>
      <c r="C496" s="89"/>
      <c r="D496" s="13"/>
      <c r="E496" s="14"/>
      <c r="F496" s="14"/>
      <c r="G496" s="15"/>
      <c r="H496" s="8"/>
      <c r="I496" s="8"/>
      <c r="J496" s="89"/>
      <c r="K496" s="8"/>
      <c r="L496" s="8"/>
      <c r="M496" s="8" t="str">
        <f>IF(L496="","",
IF(AX496="PT",VLOOKUP(L496,Foundation_Calc!$V$4:$X$37,VLOOKUP(AX496,Foundation_Calc!$I$10:$J$13,2,FALSE),0),
IF(AX496="K",VLOOKUP(L496,Foundation_Calc!$V$41:$X$74,VLOOKUP(AX496,Foundation_Calc!$I$10:$J$13,2,FALSE),0),"")))</f>
        <v/>
      </c>
      <c r="N496" s="8"/>
      <c r="O496" s="8"/>
      <c r="P496" s="8"/>
      <c r="Q496" s="14"/>
      <c r="R496" s="15"/>
      <c r="S496" s="15"/>
      <c r="T496" s="14"/>
      <c r="U496" s="14"/>
      <c r="V496" s="14"/>
      <c r="W496" s="18"/>
      <c r="X496" s="18"/>
      <c r="Y496" s="18"/>
      <c r="Z496" s="18"/>
      <c r="AA496" s="18"/>
      <c r="AB496" s="18"/>
      <c r="AC496" s="8" t="str">
        <f t="shared" si="98"/>
        <v/>
      </c>
      <c r="AD496" s="8"/>
      <c r="AE496" s="8"/>
      <c r="AF496" s="14"/>
      <c r="AG496" s="13"/>
      <c r="AH496" s="14"/>
      <c r="AI496" s="14"/>
      <c r="AJ496" s="8"/>
      <c r="AK496" s="8"/>
      <c r="AL496" s="8"/>
      <c r="AM496" s="8"/>
      <c r="AN496" s="631"/>
      <c r="AO496" s="18"/>
      <c r="AP496" s="18"/>
      <c r="AQ496" s="18"/>
      <c r="AR496" s="18"/>
      <c r="AS496" s="18"/>
      <c r="AU496" s="448"/>
      <c r="AV496" s="448"/>
      <c r="AW496" s="8" t="str">
        <f>IF(C496&gt;0,VLOOKUP(C496,Foundation_Calc!$A$2:$C$986,3,1),
IF(J496&gt;0,VLOOKUP(J496,Foundation_Calc!$A$2:$C$986,3,1),""))</f>
        <v/>
      </c>
      <c r="AX496" s="8" t="str">
        <f>IF(C496&gt;0,VLOOKUP(C496,Foundation_Calc!$E$2:$G$986,3,1),
IF(J496&gt;0,VLOOKUP(J496,Foundation_Calc!$E$2:$G$986,3,1),""))</f>
        <v/>
      </c>
      <c r="AY496" s="631" t="str">
        <f>IF(L496="","",
IF(AX496="PT",VLOOKUP(L496,Foundation_Calc!$K$4:$R$37,VLOOKUP(AW496,Foundation_Calc!$I$2:$J$8,2,FALSE),0),
IF(AX496="K",VLOOKUP(L496,Foundation_Calc!$K$41:$R$74,VLOOKUP(AW496,Foundation_Calc!$I$2:$J$8,2,FALSE),0),"")))</f>
        <v/>
      </c>
      <c r="AZ496" s="631" t="str">
        <f>IF(K496="","",
IF(AX496="PT",VLOOKUP(K496,Foundation_Calc!$K$4:$R$37,VLOOKUP(AW496,Foundation_Calc!$I$2:$J$8,2,FALSE),0),
IF(AX496="K",VLOOKUP(K496,Foundation_Calc!$K$41:$R$74,VLOOKUP(AW496,Foundation_Calc!$I$2:$J$8,2,FALSE),0),"")))</f>
        <v/>
      </c>
      <c r="BA496" s="632" t="str">
        <f t="shared" si="99"/>
        <v/>
      </c>
      <c r="BB496" s="632" t="str">
        <f t="shared" si="100"/>
        <v/>
      </c>
      <c r="BC496" s="632" t="str">
        <f t="shared" si="101"/>
        <v/>
      </c>
      <c r="BD496" s="633" t="str">
        <f>IF(AND(L496="",H496=""),"",
IF(H496="",Pole_Calc!A524,
IF(H496="MP",Pole_Calc!A525,
IF(H496="AnMP",Pole_Calc!A526,
IF(H496="A",Pole_Calc!A527,
IF(H496="S/A",Pole_Calc!A528,
IF(H496="A/S",Pole_Calc!A529,"Poner a mano")))))))</f>
        <v/>
      </c>
      <c r="BE496" s="448" t="s">
        <v>1726</v>
      </c>
      <c r="BF496" s="634"/>
      <c r="BG496" s="634"/>
      <c r="BH496" s="634"/>
      <c r="BI496" s="634"/>
    </row>
    <row r="497" spans="1:61" ht="16.2" customHeight="1">
      <c r="A497" s="12"/>
      <c r="B497" s="446"/>
      <c r="C497" s="89"/>
      <c r="D497" s="13"/>
      <c r="E497" s="14"/>
      <c r="F497" s="14"/>
      <c r="G497" s="15"/>
      <c r="H497" s="8"/>
      <c r="I497" s="8"/>
      <c r="J497" s="89"/>
      <c r="K497" s="8"/>
      <c r="L497" s="8"/>
      <c r="M497" s="8" t="str">
        <f>IF(L497="","",
IF(AX497="PT",VLOOKUP(L497,Foundation_Calc!$V$4:$X$37,VLOOKUP(AX497,Foundation_Calc!$I$10:$J$13,2,FALSE),0),
IF(AX497="K",VLOOKUP(L497,Foundation_Calc!$V$41:$X$74,VLOOKUP(AX497,Foundation_Calc!$I$10:$J$13,2,FALSE),0),"")))</f>
        <v/>
      </c>
      <c r="N497" s="8"/>
      <c r="O497" s="8"/>
      <c r="P497" s="8"/>
      <c r="Q497" s="14"/>
      <c r="R497" s="15"/>
      <c r="S497" s="15"/>
      <c r="T497" s="14"/>
      <c r="U497" s="14"/>
      <c r="V497" s="14"/>
      <c r="W497" s="18"/>
      <c r="X497" s="18"/>
      <c r="Y497" s="18"/>
      <c r="Z497" s="18"/>
      <c r="AA497" s="18"/>
      <c r="AB497" s="18"/>
      <c r="AC497" s="8" t="str">
        <f t="shared" si="98"/>
        <v/>
      </c>
      <c r="AD497" s="8"/>
      <c r="AE497" s="8"/>
      <c r="AF497" s="14"/>
      <c r="AG497" s="13"/>
      <c r="AH497" s="14"/>
      <c r="AI497" s="14"/>
      <c r="AJ497" s="8"/>
      <c r="AK497" s="8"/>
      <c r="AL497" s="8"/>
      <c r="AM497" s="8"/>
      <c r="AN497" s="631"/>
      <c r="AO497" s="18"/>
      <c r="AP497" s="18"/>
      <c r="AQ497" s="18"/>
      <c r="AR497" s="18"/>
      <c r="AS497" s="18"/>
      <c r="AU497" s="448"/>
      <c r="AV497" s="448"/>
      <c r="AW497" s="8" t="str">
        <f>IF(C497&gt;0,VLOOKUP(C497,Foundation_Calc!$A$2:$C$986,3,1),
IF(J497&gt;0,VLOOKUP(J497,Foundation_Calc!$A$2:$C$986,3,1),""))</f>
        <v/>
      </c>
      <c r="AX497" s="8" t="str">
        <f>IF(C497&gt;0,VLOOKUP(C497,Foundation_Calc!$E$2:$G$986,3,1),
IF(J497&gt;0,VLOOKUP(J497,Foundation_Calc!$E$2:$G$986,3,1),""))</f>
        <v/>
      </c>
      <c r="AY497" s="631" t="str">
        <f>IF(L497="","",
IF(AX497="PT",VLOOKUP(L497,Foundation_Calc!$K$4:$R$37,VLOOKUP(AW497,Foundation_Calc!$I$2:$J$8,2,FALSE),0),
IF(AX497="K",VLOOKUP(L497,Foundation_Calc!$K$41:$R$74,VLOOKUP(AW497,Foundation_Calc!$I$2:$J$8,2,FALSE),0),"")))</f>
        <v/>
      </c>
      <c r="AZ497" s="631" t="str">
        <f>IF(K497="","",
IF(AX497="PT",VLOOKUP(K497,Foundation_Calc!$K$4:$R$37,VLOOKUP(AW497,Foundation_Calc!$I$2:$J$8,2,FALSE),0),
IF(AX497="K",VLOOKUP(K497,Foundation_Calc!$K$41:$R$74,VLOOKUP(AW497,Foundation_Calc!$I$2:$J$8,2,FALSE),0),"")))</f>
        <v/>
      </c>
      <c r="BA497" s="632" t="str">
        <f t="shared" si="99"/>
        <v/>
      </c>
      <c r="BB497" s="632" t="str">
        <f t="shared" si="100"/>
        <v/>
      </c>
      <c r="BC497" s="632" t="str">
        <f t="shared" si="101"/>
        <v/>
      </c>
      <c r="BD497" s="633" t="str">
        <f>IF(AND(L497="",H497=""),"",
IF(H497="",Pole_Calc!A525,
IF(H497="MP",Pole_Calc!A526,
IF(H497="AnMP",Pole_Calc!A527,
IF(H497="A",Pole_Calc!A528,
IF(H497="S/A",Pole_Calc!A529,
IF(H497="A/S",Pole_Calc!A530,"Poner a mano")))))))</f>
        <v/>
      </c>
      <c r="BE497" s="448" t="s">
        <v>1726</v>
      </c>
      <c r="BF497" s="635"/>
      <c r="BG497" s="635"/>
      <c r="BH497" s="634"/>
      <c r="BI497" s="635"/>
    </row>
    <row r="498" spans="1:61" ht="16.2" customHeight="1">
      <c r="A498" s="12"/>
      <c r="B498" s="446"/>
      <c r="C498" s="89"/>
      <c r="D498" s="13"/>
      <c r="E498" s="14"/>
      <c r="F498" s="14"/>
      <c r="G498" s="15"/>
      <c r="H498" s="8"/>
      <c r="I498" s="8"/>
      <c r="J498" s="89"/>
      <c r="K498" s="8"/>
      <c r="L498" s="8"/>
      <c r="M498" s="8" t="str">
        <f>IF(L498="","",
IF(AX498="PT",VLOOKUP(L498,Foundation_Calc!$V$4:$X$37,VLOOKUP(AX498,Foundation_Calc!$I$10:$J$13,2,FALSE),0),
IF(AX498="K",VLOOKUP(L498,Foundation_Calc!$V$41:$X$74,VLOOKUP(AX498,Foundation_Calc!$I$10:$J$13,2,FALSE),0),"")))</f>
        <v/>
      </c>
      <c r="N498" s="8"/>
      <c r="O498" s="8"/>
      <c r="P498" s="8"/>
      <c r="Q498" s="14"/>
      <c r="R498" s="15"/>
      <c r="S498" s="15"/>
      <c r="T498" s="14"/>
      <c r="U498" s="14"/>
      <c r="V498" s="14"/>
      <c r="W498" s="18"/>
      <c r="X498" s="18"/>
      <c r="Y498" s="18"/>
      <c r="Z498" s="18"/>
      <c r="AA498" s="18"/>
      <c r="AB498" s="18"/>
      <c r="AC498" s="8" t="str">
        <f t="shared" si="98"/>
        <v/>
      </c>
      <c r="AD498" s="8"/>
      <c r="AE498" s="8"/>
      <c r="AF498" s="14"/>
      <c r="AG498" s="13"/>
      <c r="AH498" s="14"/>
      <c r="AI498" s="14"/>
      <c r="AJ498" s="8"/>
      <c r="AK498" s="8"/>
      <c r="AL498" s="8"/>
      <c r="AM498" s="8"/>
      <c r="AN498" s="631"/>
      <c r="AO498" s="18"/>
      <c r="AP498" s="18"/>
      <c r="AQ498" s="18"/>
      <c r="AR498" s="18"/>
      <c r="AS498" s="18"/>
      <c r="AU498" s="448"/>
      <c r="AV498" s="448"/>
      <c r="AW498" s="8" t="str">
        <f>IF(C498&gt;0,VLOOKUP(C498,Foundation_Calc!$A$2:$C$986,3,1),
IF(J498&gt;0,VLOOKUP(J498,Foundation_Calc!$A$2:$C$986,3,1),""))</f>
        <v/>
      </c>
      <c r="AX498" s="8" t="str">
        <f>IF(C498&gt;0,VLOOKUP(C498,Foundation_Calc!$E$2:$G$986,3,1),
IF(J498&gt;0,VLOOKUP(J498,Foundation_Calc!$E$2:$G$986,3,1),""))</f>
        <v/>
      </c>
      <c r="AY498" s="631" t="str">
        <f>IF(L498="","",
IF(AX498="PT",VLOOKUP(L498,Foundation_Calc!$K$4:$R$37,VLOOKUP(AW498,Foundation_Calc!$I$2:$J$8,2,FALSE),0),
IF(AX498="K",VLOOKUP(L498,Foundation_Calc!$K$41:$R$74,VLOOKUP(AW498,Foundation_Calc!$I$2:$J$8,2,FALSE),0),"")))</f>
        <v/>
      </c>
      <c r="AZ498" s="631" t="str">
        <f>IF(K498="","",
IF(AX498="PT",VLOOKUP(K498,Foundation_Calc!$K$4:$R$37,VLOOKUP(AW498,Foundation_Calc!$I$2:$J$8,2,FALSE),0),
IF(AX498="K",VLOOKUP(K498,Foundation_Calc!$K$41:$R$74,VLOOKUP(AW498,Foundation_Calc!$I$2:$J$8,2,FALSE),0),"")))</f>
        <v/>
      </c>
      <c r="BA498" s="632" t="str">
        <f t="shared" si="99"/>
        <v/>
      </c>
      <c r="BB498" s="632" t="str">
        <f t="shared" si="100"/>
        <v/>
      </c>
      <c r="BC498" s="632" t="str">
        <f t="shared" si="101"/>
        <v/>
      </c>
      <c r="BD498" s="633" t="str">
        <f>IF(AND(L498="",H498=""),"",
IF(H498="",Pole_Calc!A526,
IF(H498="MP",Pole_Calc!A527,
IF(H498="AnMP",Pole_Calc!A528,
IF(H498="A",Pole_Calc!A529,
IF(H498="S/A",Pole_Calc!A530,
IF(H498="A/S",Pole_Calc!A531,"Poner a mano")))))))</f>
        <v/>
      </c>
      <c r="BE498" s="448" t="s">
        <v>1726</v>
      </c>
      <c r="BF498" s="634"/>
      <c r="BG498" s="634"/>
      <c r="BH498" s="634"/>
      <c r="BI498" s="634"/>
    </row>
    <row r="499" spans="1:61" ht="16.2" customHeight="1">
      <c r="A499" s="12"/>
      <c r="B499" s="446"/>
      <c r="C499" s="89"/>
      <c r="D499" s="13"/>
      <c r="E499" s="14"/>
      <c r="F499" s="14"/>
      <c r="G499" s="15"/>
      <c r="H499" s="8"/>
      <c r="I499" s="8"/>
      <c r="J499" s="89"/>
      <c r="K499" s="8"/>
      <c r="L499" s="8"/>
      <c r="M499" s="8" t="str">
        <f>IF(L499="","",
IF(AX499="PT",VLOOKUP(L499,Foundation_Calc!$V$4:$X$37,VLOOKUP(AX499,Foundation_Calc!$I$10:$J$13,2,FALSE),0),
IF(AX499="K",VLOOKUP(L499,Foundation_Calc!$V$41:$X$74,VLOOKUP(AX499,Foundation_Calc!$I$10:$J$13,2,FALSE),0),"")))</f>
        <v/>
      </c>
      <c r="N499" s="8"/>
      <c r="O499" s="8"/>
      <c r="P499" s="8"/>
      <c r="Q499" s="14"/>
      <c r="R499" s="15"/>
      <c r="S499" s="15"/>
      <c r="T499" s="14"/>
      <c r="U499" s="14"/>
      <c r="V499" s="14"/>
      <c r="W499" s="18"/>
      <c r="X499" s="18"/>
      <c r="Y499" s="18"/>
      <c r="Z499" s="18"/>
      <c r="AA499" s="18"/>
      <c r="AB499" s="18"/>
      <c r="AC499" s="8" t="str">
        <f t="shared" si="98"/>
        <v/>
      </c>
      <c r="AD499" s="8"/>
      <c r="AE499" s="8"/>
      <c r="AF499" s="14"/>
      <c r="AG499" s="13"/>
      <c r="AH499" s="14"/>
      <c r="AI499" s="14"/>
      <c r="AJ499" s="8"/>
      <c r="AK499" s="8"/>
      <c r="AL499" s="8"/>
      <c r="AM499" s="8"/>
      <c r="AN499" s="631"/>
      <c r="AO499" s="18"/>
      <c r="AP499" s="18"/>
      <c r="AQ499" s="18"/>
      <c r="AR499" s="18"/>
      <c r="AS499" s="18"/>
      <c r="AU499" s="448"/>
      <c r="AV499" s="448"/>
      <c r="AW499" s="8" t="str">
        <f>IF(C499&gt;0,VLOOKUP(C499,Foundation_Calc!$A$2:$C$986,3,1),
IF(J499&gt;0,VLOOKUP(J499,Foundation_Calc!$A$2:$C$986,3,1),""))</f>
        <v/>
      </c>
      <c r="AX499" s="8" t="str">
        <f>IF(C499&gt;0,VLOOKUP(C499,Foundation_Calc!$E$2:$G$986,3,1),
IF(J499&gt;0,VLOOKUP(J499,Foundation_Calc!$E$2:$G$986,3,1),""))</f>
        <v/>
      </c>
      <c r="AY499" s="631" t="str">
        <f>IF(L499="","",
IF(AX499="PT",VLOOKUP(L499,Foundation_Calc!$K$4:$R$37,VLOOKUP(AW499,Foundation_Calc!$I$2:$J$8,2,FALSE),0),
IF(AX499="K",VLOOKUP(L499,Foundation_Calc!$K$41:$R$74,VLOOKUP(AW499,Foundation_Calc!$I$2:$J$8,2,FALSE),0),"")))</f>
        <v/>
      </c>
      <c r="AZ499" s="631" t="str">
        <f>IF(K499="","",
IF(AX499="PT",VLOOKUP(K499,Foundation_Calc!$K$4:$R$37,VLOOKUP(AW499,Foundation_Calc!$I$2:$J$8,2,FALSE),0),
IF(AX499="K",VLOOKUP(K499,Foundation_Calc!$K$41:$R$74,VLOOKUP(AW499,Foundation_Calc!$I$2:$J$8,2,FALSE),0),"")))</f>
        <v/>
      </c>
      <c r="BA499" s="632" t="str">
        <f t="shared" si="99"/>
        <v/>
      </c>
      <c r="BB499" s="632" t="str">
        <f t="shared" si="100"/>
        <v/>
      </c>
      <c r="BC499" s="632" t="str">
        <f t="shared" si="101"/>
        <v/>
      </c>
      <c r="BD499" s="633" t="str">
        <f>IF(AND(L499="",H499=""),"",
IF(H499="",Pole_Calc!A527,
IF(H499="MP",Pole_Calc!A528,
IF(H499="AnMP",Pole_Calc!A529,
IF(H499="A",Pole_Calc!A530,
IF(H499="S/A",Pole_Calc!A531,
IF(H499="A/S",Pole_Calc!A532,"Poner a mano")))))))</f>
        <v/>
      </c>
      <c r="BE499" s="448" t="s">
        <v>1726</v>
      </c>
      <c r="BF499" s="635"/>
      <c r="BG499" s="635"/>
      <c r="BH499" s="634"/>
      <c r="BI499" s="635"/>
    </row>
    <row r="500" spans="1:61" ht="16.2" customHeight="1">
      <c r="A500" s="12"/>
      <c r="B500" s="446"/>
      <c r="C500" s="89"/>
      <c r="D500" s="13"/>
      <c r="E500" s="14"/>
      <c r="F500" s="14"/>
      <c r="G500" s="15"/>
      <c r="H500" s="8"/>
      <c r="I500" s="8"/>
      <c r="J500" s="89"/>
      <c r="K500" s="8"/>
      <c r="L500" s="8"/>
      <c r="M500" s="8" t="str">
        <f>IF(L500="","",
IF(AX500="PT",VLOOKUP(L500,Foundation_Calc!$V$4:$X$37,VLOOKUP(AX500,Foundation_Calc!$I$10:$J$13,2,FALSE),0),
IF(AX500="K",VLOOKUP(L500,Foundation_Calc!$V$41:$X$74,VLOOKUP(AX500,Foundation_Calc!$I$10:$J$13,2,FALSE),0),"")))</f>
        <v/>
      </c>
      <c r="N500" s="8"/>
      <c r="O500" s="8"/>
      <c r="P500" s="8"/>
      <c r="Q500" s="14"/>
      <c r="R500" s="15"/>
      <c r="S500" s="15"/>
      <c r="T500" s="14"/>
      <c r="U500" s="14"/>
      <c r="V500" s="14"/>
      <c r="W500" s="18"/>
      <c r="X500" s="18"/>
      <c r="Y500" s="18"/>
      <c r="Z500" s="18"/>
      <c r="AA500" s="18"/>
      <c r="AB500" s="18"/>
      <c r="AC500" s="8" t="str">
        <f t="shared" si="98"/>
        <v/>
      </c>
      <c r="AD500" s="8"/>
      <c r="AE500" s="8"/>
      <c r="AF500" s="14"/>
      <c r="AG500" s="13"/>
      <c r="AH500" s="14"/>
      <c r="AI500" s="14"/>
      <c r="AJ500" s="8"/>
      <c r="AK500" s="8"/>
      <c r="AL500" s="8"/>
      <c r="AM500" s="8"/>
      <c r="AN500" s="631"/>
      <c r="AO500" s="18"/>
      <c r="AP500" s="18"/>
      <c r="AQ500" s="18"/>
      <c r="AR500" s="18"/>
      <c r="AS500" s="18"/>
      <c r="AU500" s="448"/>
      <c r="AV500" s="448"/>
      <c r="AW500" s="8" t="str">
        <f>IF(C500&gt;0,VLOOKUP(C500,Foundation_Calc!$A$2:$C$986,3,1),
IF(J500&gt;0,VLOOKUP(J500,Foundation_Calc!$A$2:$C$986,3,1),""))</f>
        <v/>
      </c>
      <c r="AX500" s="8" t="str">
        <f>IF(C500&gt;0,VLOOKUP(C500,Foundation_Calc!$E$2:$G$986,3,1),
IF(J500&gt;0,VLOOKUP(J500,Foundation_Calc!$E$2:$G$986,3,1),""))</f>
        <v/>
      </c>
      <c r="AY500" s="631" t="str">
        <f>IF(L500="","",
IF(AX500="PT",VLOOKUP(L500,Foundation_Calc!$K$4:$R$37,VLOOKUP(AW500,Foundation_Calc!$I$2:$J$8,2,FALSE),0),
IF(AX500="K",VLOOKUP(L500,Foundation_Calc!$K$41:$R$74,VLOOKUP(AW500,Foundation_Calc!$I$2:$J$8,2,FALSE),0),"")))</f>
        <v/>
      </c>
      <c r="AZ500" s="631" t="str">
        <f>IF(K500="","",
IF(AX500="PT",VLOOKUP(K500,Foundation_Calc!$K$4:$R$37,VLOOKUP(AW500,Foundation_Calc!$I$2:$J$8,2,FALSE),0),
IF(AX500="K",VLOOKUP(K500,Foundation_Calc!$K$41:$R$74,VLOOKUP(AW500,Foundation_Calc!$I$2:$J$8,2,FALSE),0),"")))</f>
        <v/>
      </c>
      <c r="BA500" s="632" t="str">
        <f t="shared" si="99"/>
        <v/>
      </c>
      <c r="BB500" s="632" t="str">
        <f t="shared" si="100"/>
        <v/>
      </c>
      <c r="BC500" s="632" t="str">
        <f t="shared" si="101"/>
        <v/>
      </c>
      <c r="BD500" s="633" t="str">
        <f>IF(AND(L500="",H500=""),"",
IF(H500="",Pole_Calc!A528,
IF(H500="MP",Pole_Calc!A529,
IF(H500="AnMP",Pole_Calc!A530,
IF(H500="A",Pole_Calc!A531,
IF(H500="S/A",Pole_Calc!A532,
IF(H500="A/S",Pole_Calc!A533,"Poner a mano")))))))</f>
        <v/>
      </c>
      <c r="BE500" s="448" t="s">
        <v>1726</v>
      </c>
      <c r="BF500" s="634"/>
      <c r="BG500" s="634"/>
      <c r="BH500" s="634"/>
      <c r="BI500" s="634"/>
    </row>
    <row r="501" spans="1:61" ht="16.2" customHeight="1">
      <c r="A501" s="12"/>
      <c r="B501" s="446"/>
      <c r="C501" s="89"/>
      <c r="D501" s="13"/>
      <c r="E501" s="14"/>
      <c r="F501" s="14"/>
      <c r="G501" s="15"/>
      <c r="H501" s="8"/>
      <c r="I501" s="8"/>
      <c r="J501" s="89"/>
      <c r="K501" s="8"/>
      <c r="L501" s="8"/>
      <c r="M501" s="8" t="str">
        <f>IF(L501="","",
IF(AX501="PT",VLOOKUP(L501,Foundation_Calc!$V$4:$X$37,VLOOKUP(AX501,Foundation_Calc!$I$10:$J$13,2,FALSE),0),
IF(AX501="K",VLOOKUP(L501,Foundation_Calc!$V$41:$X$74,VLOOKUP(AX501,Foundation_Calc!$I$10:$J$13,2,FALSE),0),"")))</f>
        <v/>
      </c>
      <c r="N501" s="8"/>
      <c r="O501" s="8"/>
      <c r="P501" s="8"/>
      <c r="Q501" s="14"/>
      <c r="R501" s="15"/>
      <c r="S501" s="15"/>
      <c r="T501" s="14"/>
      <c r="U501" s="14"/>
      <c r="V501" s="14"/>
      <c r="W501" s="18"/>
      <c r="X501" s="18"/>
      <c r="Y501" s="18"/>
      <c r="Z501" s="18"/>
      <c r="AA501" s="18"/>
      <c r="AB501" s="18"/>
      <c r="AC501" s="8" t="str">
        <f t="shared" si="98"/>
        <v/>
      </c>
      <c r="AD501" s="8"/>
      <c r="AE501" s="8"/>
      <c r="AF501" s="14"/>
      <c r="AG501" s="13"/>
      <c r="AH501" s="14"/>
      <c r="AI501" s="14"/>
      <c r="AJ501" s="8"/>
      <c r="AK501" s="8"/>
      <c r="AL501" s="8"/>
      <c r="AM501" s="8"/>
      <c r="AN501" s="631"/>
      <c r="AO501" s="18"/>
      <c r="AP501" s="18"/>
      <c r="AQ501" s="18"/>
      <c r="AR501" s="18"/>
      <c r="AS501" s="18"/>
      <c r="AU501" s="448"/>
      <c r="AV501" s="448"/>
      <c r="AW501" s="8" t="str">
        <f>IF(C501&gt;0,VLOOKUP(C501,Foundation_Calc!$A$2:$C$986,3,1),
IF(J501&gt;0,VLOOKUP(J501,Foundation_Calc!$A$2:$C$986,3,1),""))</f>
        <v/>
      </c>
      <c r="AX501" s="8" t="str">
        <f>IF(C501&gt;0,VLOOKUP(C501,Foundation_Calc!$E$2:$G$986,3,1),
IF(J501&gt;0,VLOOKUP(J501,Foundation_Calc!$E$2:$G$986,3,1),""))</f>
        <v/>
      </c>
      <c r="AY501" s="631" t="str">
        <f>IF(L501="","",
IF(AX501="PT",VLOOKUP(L501,Foundation_Calc!$K$4:$R$37,VLOOKUP(AW501,Foundation_Calc!$I$2:$J$8,2,FALSE),0),
IF(AX501="K",VLOOKUP(L501,Foundation_Calc!$K$41:$R$74,VLOOKUP(AW501,Foundation_Calc!$I$2:$J$8,2,FALSE),0),"")))</f>
        <v/>
      </c>
      <c r="AZ501" s="631" t="str">
        <f>IF(K501="","",
IF(AX501="PT",VLOOKUP(K501,Foundation_Calc!$K$4:$R$37,VLOOKUP(AW501,Foundation_Calc!$I$2:$J$8,2,FALSE),0),
IF(AX501="K",VLOOKUP(K501,Foundation_Calc!$K$41:$R$74,VLOOKUP(AW501,Foundation_Calc!$I$2:$J$8,2,FALSE),0),"")))</f>
        <v/>
      </c>
      <c r="BA501" s="632" t="str">
        <f t="shared" si="99"/>
        <v/>
      </c>
      <c r="BB501" s="632" t="str">
        <f t="shared" si="100"/>
        <v/>
      </c>
      <c r="BC501" s="632" t="str">
        <f t="shared" si="101"/>
        <v/>
      </c>
      <c r="BD501" s="633" t="str">
        <f>IF(AND(L501="",H501=""),"",
IF(H501="",Pole_Calc!A529,
IF(H501="MP",Pole_Calc!A530,
IF(H501="AnMP",Pole_Calc!A531,
IF(H501="A",Pole_Calc!A532,
IF(H501="S/A",Pole_Calc!A533,
IF(H501="A/S",Pole_Calc!A534,"Poner a mano")))))))</f>
        <v/>
      </c>
      <c r="BE501" s="448" t="s">
        <v>1726</v>
      </c>
      <c r="BF501" s="635"/>
      <c r="BG501" s="635"/>
      <c r="BH501" s="634"/>
      <c r="BI501" s="635"/>
    </row>
    <row r="502" spans="1:61" ht="16.2" customHeight="1">
      <c r="A502" s="12"/>
      <c r="B502" s="446"/>
      <c r="C502" s="89"/>
      <c r="D502" s="13"/>
      <c r="E502" s="14"/>
      <c r="F502" s="14"/>
      <c r="G502" s="15"/>
      <c r="H502" s="8"/>
      <c r="I502" s="8"/>
      <c r="J502" s="89"/>
      <c r="K502" s="8"/>
      <c r="L502" s="8"/>
      <c r="M502" s="8" t="str">
        <f>IF(L502="","",
IF(AX502="PT",VLOOKUP(L502,Foundation_Calc!$V$4:$X$37,VLOOKUP(AX502,Foundation_Calc!$I$10:$J$13,2,FALSE),0),
IF(AX502="K",VLOOKUP(L502,Foundation_Calc!$V$41:$X$74,VLOOKUP(AX502,Foundation_Calc!$I$10:$J$13,2,FALSE),0),"")))</f>
        <v/>
      </c>
      <c r="N502" s="8"/>
      <c r="O502" s="8"/>
      <c r="P502" s="8"/>
      <c r="Q502" s="14"/>
      <c r="R502" s="15"/>
      <c r="S502" s="15"/>
      <c r="T502" s="14"/>
      <c r="U502" s="14"/>
      <c r="V502" s="14"/>
      <c r="W502" s="18"/>
      <c r="X502" s="18"/>
      <c r="Y502" s="18"/>
      <c r="Z502" s="18"/>
      <c r="AA502" s="18"/>
      <c r="AB502" s="18"/>
      <c r="AC502" s="8" t="str">
        <f t="shared" si="98"/>
        <v/>
      </c>
      <c r="AD502" s="8"/>
      <c r="AE502" s="8"/>
      <c r="AF502" s="14"/>
      <c r="AG502" s="13"/>
      <c r="AH502" s="14"/>
      <c r="AI502" s="14"/>
      <c r="AJ502" s="8"/>
      <c r="AK502" s="8"/>
      <c r="AL502" s="8"/>
      <c r="AM502" s="8"/>
      <c r="AN502" s="631"/>
      <c r="AO502" s="18"/>
      <c r="AP502" s="18"/>
      <c r="AQ502" s="18"/>
      <c r="AR502" s="18"/>
      <c r="AS502" s="18"/>
      <c r="AU502" s="448"/>
      <c r="AV502" s="448"/>
      <c r="AW502" s="8" t="str">
        <f>IF(C502&gt;0,VLOOKUP(C502,Foundation_Calc!$A$2:$C$986,3,1),
IF(J502&gt;0,VLOOKUP(J502,Foundation_Calc!$A$2:$C$986,3,1),""))</f>
        <v/>
      </c>
      <c r="AX502" s="8" t="str">
        <f>IF(C502&gt;0,VLOOKUP(C502,Foundation_Calc!$E$2:$G$986,3,1),
IF(J502&gt;0,VLOOKUP(J502,Foundation_Calc!$E$2:$G$986,3,1),""))</f>
        <v/>
      </c>
      <c r="AY502" s="631" t="str">
        <f>IF(L502="","",
IF(AX502="PT",VLOOKUP(L502,Foundation_Calc!$K$4:$R$37,VLOOKUP(AW502,Foundation_Calc!$I$2:$J$8,2,FALSE),0),
IF(AX502="K",VLOOKUP(L502,Foundation_Calc!$K$41:$R$74,VLOOKUP(AW502,Foundation_Calc!$I$2:$J$8,2,FALSE),0),"")))</f>
        <v/>
      </c>
      <c r="AZ502" s="631" t="str">
        <f>IF(K502="","",
IF(AX502="PT",VLOOKUP(K502,Foundation_Calc!$K$4:$R$37,VLOOKUP(AW502,Foundation_Calc!$I$2:$J$8,2,FALSE),0),
IF(AX502="K",VLOOKUP(K502,Foundation_Calc!$K$41:$R$74,VLOOKUP(AW502,Foundation_Calc!$I$2:$J$8,2,FALSE),0),"")))</f>
        <v/>
      </c>
      <c r="BA502" s="632" t="str">
        <f t="shared" si="99"/>
        <v/>
      </c>
      <c r="BB502" s="632" t="str">
        <f t="shared" si="100"/>
        <v/>
      </c>
      <c r="BC502" s="632" t="str">
        <f t="shared" si="101"/>
        <v/>
      </c>
      <c r="BD502" s="633" t="str">
        <f>IF(AND(L502="",H502=""),"",
IF(H502="",Pole_Calc!A530,
IF(H502="MP",Pole_Calc!A531,
IF(H502="AnMP",Pole_Calc!A532,
IF(H502="A",Pole_Calc!A533,
IF(H502="S/A",Pole_Calc!A534,
IF(H502="A/S",Pole_Calc!A535,"Poner a mano")))))))</f>
        <v/>
      </c>
      <c r="BE502" s="448" t="s">
        <v>1726</v>
      </c>
      <c r="BF502" s="634"/>
      <c r="BG502" s="634"/>
      <c r="BH502" s="634"/>
      <c r="BI502" s="634"/>
    </row>
    <row r="503" spans="1:61" ht="16.2" customHeight="1">
      <c r="A503" s="12"/>
      <c r="B503" s="446"/>
      <c r="C503" s="89"/>
      <c r="D503" s="13"/>
      <c r="E503" s="14"/>
      <c r="F503" s="14"/>
      <c r="G503" s="15"/>
      <c r="H503" s="8"/>
      <c r="I503" s="8"/>
      <c r="J503" s="89"/>
      <c r="K503" s="8"/>
      <c r="L503" s="8"/>
      <c r="M503" s="8" t="str">
        <f>IF(L503="","",
IF(AX503="PT",VLOOKUP(L503,Foundation_Calc!$V$4:$X$37,VLOOKUP(AX503,Foundation_Calc!$I$10:$J$13,2,FALSE),0),
IF(AX503="K",VLOOKUP(L503,Foundation_Calc!$V$41:$X$74,VLOOKUP(AX503,Foundation_Calc!$I$10:$J$13,2,FALSE),0),"")))</f>
        <v/>
      </c>
      <c r="N503" s="8"/>
      <c r="O503" s="8"/>
      <c r="P503" s="8"/>
      <c r="Q503" s="14"/>
      <c r="R503" s="15"/>
      <c r="S503" s="15"/>
      <c r="T503" s="14"/>
      <c r="U503" s="14"/>
      <c r="V503" s="14"/>
      <c r="W503" s="18"/>
      <c r="X503" s="18"/>
      <c r="Y503" s="18"/>
      <c r="Z503" s="18"/>
      <c r="AA503" s="18"/>
      <c r="AB503" s="18"/>
      <c r="AC503" s="8" t="str">
        <f t="shared" si="98"/>
        <v/>
      </c>
      <c r="AD503" s="8"/>
      <c r="AE503" s="8"/>
      <c r="AF503" s="14"/>
      <c r="AG503" s="13"/>
      <c r="AH503" s="14"/>
      <c r="AI503" s="14"/>
      <c r="AJ503" s="8"/>
      <c r="AK503" s="8"/>
      <c r="AL503" s="8"/>
      <c r="AM503" s="8"/>
      <c r="AN503" s="631"/>
      <c r="AO503" s="18"/>
      <c r="AP503" s="18"/>
      <c r="AQ503" s="18"/>
      <c r="AR503" s="18"/>
      <c r="AS503" s="18"/>
      <c r="AU503" s="448"/>
      <c r="AV503" s="448"/>
      <c r="AW503" s="8" t="str">
        <f>IF(C503&gt;0,VLOOKUP(C503,Foundation_Calc!$A$2:$C$986,3,1),
IF(J503&gt;0,VLOOKUP(J503,Foundation_Calc!$A$2:$C$986,3,1),""))</f>
        <v/>
      </c>
      <c r="AX503" s="8" t="str">
        <f>IF(C503&gt;0,VLOOKUP(C503,Foundation_Calc!$E$2:$G$986,3,1),
IF(J503&gt;0,VLOOKUP(J503,Foundation_Calc!$E$2:$G$986,3,1),""))</f>
        <v/>
      </c>
      <c r="AY503" s="631" t="str">
        <f>IF(L503="","",
IF(AX503="PT",VLOOKUP(L503,Foundation_Calc!$K$4:$R$37,VLOOKUP(AW503,Foundation_Calc!$I$2:$J$8,2,FALSE),0),
IF(AX503="K",VLOOKUP(L503,Foundation_Calc!$K$41:$R$74,VLOOKUP(AW503,Foundation_Calc!$I$2:$J$8,2,FALSE),0),"")))</f>
        <v/>
      </c>
      <c r="AZ503" s="631" t="str">
        <f>IF(K503="","",
IF(AX503="PT",VLOOKUP(K503,Foundation_Calc!$K$4:$R$37,VLOOKUP(AW503,Foundation_Calc!$I$2:$J$8,2,FALSE),0),
IF(AX503="K",VLOOKUP(K503,Foundation_Calc!$K$41:$R$74,VLOOKUP(AW503,Foundation_Calc!$I$2:$J$8,2,FALSE),0),"")))</f>
        <v/>
      </c>
      <c r="BA503" s="632" t="str">
        <f t="shared" si="99"/>
        <v/>
      </c>
      <c r="BB503" s="632" t="str">
        <f t="shared" si="100"/>
        <v/>
      </c>
      <c r="BC503" s="632" t="str">
        <f t="shared" si="101"/>
        <v/>
      </c>
      <c r="BD503" s="633" t="str">
        <f>IF(AND(L503="",H503=""),"",
IF(H503="",Pole_Calc!A531,
IF(H503="MP",Pole_Calc!A532,
IF(H503="AnMP",Pole_Calc!A533,
IF(H503="A",Pole_Calc!A534,
IF(H503="S/A",Pole_Calc!A535,
IF(H503="A/S",Pole_Calc!A536,"Poner a mano")))))))</f>
        <v/>
      </c>
      <c r="BE503" s="448" t="s">
        <v>1726</v>
      </c>
      <c r="BF503" s="635"/>
      <c r="BG503" s="635"/>
      <c r="BH503" s="634"/>
      <c r="BI503" s="635"/>
    </row>
    <row r="504" spans="1:61" ht="16.2" customHeight="1">
      <c r="A504" s="12"/>
      <c r="B504" s="446"/>
      <c r="C504" s="89"/>
      <c r="D504" s="13"/>
      <c r="E504" s="14"/>
      <c r="F504" s="14"/>
      <c r="G504" s="15"/>
      <c r="H504" s="8"/>
      <c r="I504" s="8"/>
      <c r="J504" s="89"/>
      <c r="K504" s="8"/>
      <c r="L504" s="8"/>
      <c r="M504" s="8" t="str">
        <f>IF(L504="","",
IF(AX504="PT",VLOOKUP(L504,Foundation_Calc!$V$4:$X$37,VLOOKUP(AX504,Foundation_Calc!$I$10:$J$13,2,FALSE),0),
IF(AX504="K",VLOOKUP(L504,Foundation_Calc!$V$41:$X$74,VLOOKUP(AX504,Foundation_Calc!$I$10:$J$13,2,FALSE),0),"")))</f>
        <v/>
      </c>
      <c r="N504" s="8"/>
      <c r="O504" s="8"/>
      <c r="P504" s="8"/>
      <c r="Q504" s="14"/>
      <c r="R504" s="15"/>
      <c r="S504" s="15"/>
      <c r="T504" s="14"/>
      <c r="U504" s="14"/>
      <c r="V504" s="14"/>
      <c r="W504" s="18"/>
      <c r="X504" s="18"/>
      <c r="Y504" s="18"/>
      <c r="Z504" s="18"/>
      <c r="AA504" s="18"/>
      <c r="AB504" s="18"/>
      <c r="AC504" s="8" t="str">
        <f t="shared" si="98"/>
        <v/>
      </c>
      <c r="AD504" s="8"/>
      <c r="AE504" s="8"/>
      <c r="AF504" s="14"/>
      <c r="AG504" s="13"/>
      <c r="AH504" s="14"/>
      <c r="AI504" s="14"/>
      <c r="AJ504" s="8"/>
      <c r="AK504" s="8"/>
      <c r="AL504" s="8"/>
      <c r="AM504" s="8"/>
      <c r="AN504" s="631"/>
      <c r="AO504" s="18"/>
      <c r="AP504" s="18"/>
      <c r="AQ504" s="18"/>
      <c r="AR504" s="18"/>
      <c r="AS504" s="18"/>
      <c r="AU504" s="448"/>
      <c r="AV504" s="448"/>
      <c r="AW504" s="8" t="str">
        <f>IF(C504&gt;0,VLOOKUP(C504,Foundation_Calc!$A$2:$C$986,3,1),
IF(J504&gt;0,VLOOKUP(J504,Foundation_Calc!$A$2:$C$986,3,1),""))</f>
        <v/>
      </c>
      <c r="AX504" s="8" t="str">
        <f>IF(C504&gt;0,VLOOKUP(C504,Foundation_Calc!$E$2:$G$986,3,1),
IF(J504&gt;0,VLOOKUP(J504,Foundation_Calc!$E$2:$G$986,3,1),""))</f>
        <v/>
      </c>
      <c r="AY504" s="631" t="str">
        <f>IF(L504="","",
IF(AX504="PT",VLOOKUP(L504,Foundation_Calc!$K$4:$R$37,VLOOKUP(AW504,Foundation_Calc!$I$2:$J$8,2,FALSE),0),
IF(AX504="K",VLOOKUP(L504,Foundation_Calc!$K$41:$R$74,VLOOKUP(AW504,Foundation_Calc!$I$2:$J$8,2,FALSE),0),"")))</f>
        <v/>
      </c>
      <c r="AZ504" s="631" t="str">
        <f>IF(K504="","",
IF(AX504="PT",VLOOKUP(K504,Foundation_Calc!$K$4:$R$37,VLOOKUP(AW504,Foundation_Calc!$I$2:$J$8,2,FALSE),0),
IF(AX504="K",VLOOKUP(K504,Foundation_Calc!$K$41:$R$74,VLOOKUP(AW504,Foundation_Calc!$I$2:$J$8,2,FALSE),0),"")))</f>
        <v/>
      </c>
      <c r="BA504" s="632" t="str">
        <f t="shared" si="99"/>
        <v/>
      </c>
      <c r="BB504" s="632" t="str">
        <f t="shared" si="100"/>
        <v/>
      </c>
      <c r="BC504" s="632" t="str">
        <f t="shared" si="101"/>
        <v/>
      </c>
      <c r="BD504" s="633" t="str">
        <f>IF(AND(L504="",H504=""),"",
IF(H504="",Pole_Calc!A532,
IF(H504="MP",Pole_Calc!A533,
IF(H504="AnMP",Pole_Calc!A534,
IF(H504="A",Pole_Calc!A535,
IF(H504="S/A",Pole_Calc!A536,
IF(H504="A/S",Pole_Calc!A537,"Poner a mano")))))))</f>
        <v/>
      </c>
      <c r="BE504" s="448" t="s">
        <v>1726</v>
      </c>
      <c r="BF504" s="634"/>
      <c r="BG504" s="634"/>
      <c r="BH504" s="634"/>
      <c r="BI504" s="634"/>
    </row>
    <row r="505" spans="1:61" ht="16.2" customHeight="1">
      <c r="A505" s="12"/>
      <c r="B505" s="446"/>
      <c r="C505" s="89"/>
      <c r="D505" s="13"/>
      <c r="E505" s="14"/>
      <c r="F505" s="14"/>
      <c r="G505" s="15"/>
      <c r="H505" s="8"/>
      <c r="I505" s="8"/>
      <c r="J505" s="89"/>
      <c r="K505" s="8"/>
      <c r="L505" s="8"/>
      <c r="M505" s="8" t="str">
        <f>IF(L505="","",
IF(AX505="PT",VLOOKUP(L505,Foundation_Calc!$V$4:$X$37,VLOOKUP(AX505,Foundation_Calc!$I$10:$J$13,2,FALSE),0),
IF(AX505="K",VLOOKUP(L505,Foundation_Calc!$V$41:$X$74,VLOOKUP(AX505,Foundation_Calc!$I$10:$J$13,2,FALSE),0),"")))</f>
        <v/>
      </c>
      <c r="N505" s="8"/>
      <c r="O505" s="8"/>
      <c r="P505" s="8"/>
      <c r="Q505" s="14"/>
      <c r="R505" s="15"/>
      <c r="S505" s="15"/>
      <c r="T505" s="14"/>
      <c r="U505" s="14"/>
      <c r="V505" s="14"/>
      <c r="W505" s="18"/>
      <c r="X505" s="18"/>
      <c r="Y505" s="18"/>
      <c r="Z505" s="18"/>
      <c r="AA505" s="18"/>
      <c r="AB505" s="18"/>
      <c r="AC505" s="8" t="str">
        <f t="shared" si="98"/>
        <v/>
      </c>
      <c r="AD505" s="8"/>
      <c r="AE505" s="8"/>
      <c r="AF505" s="14"/>
      <c r="AG505" s="13"/>
      <c r="AH505" s="14"/>
      <c r="AI505" s="14"/>
      <c r="AJ505" s="8"/>
      <c r="AK505" s="8"/>
      <c r="AL505" s="8"/>
      <c r="AM505" s="8"/>
      <c r="AN505" s="631"/>
      <c r="AO505" s="18"/>
      <c r="AP505" s="18"/>
      <c r="AQ505" s="18"/>
      <c r="AR505" s="18"/>
      <c r="AS505" s="18"/>
      <c r="AU505" s="448"/>
      <c r="AV505" s="448"/>
      <c r="AW505" s="8" t="str">
        <f>IF(C505&gt;0,VLOOKUP(C505,Foundation_Calc!$A$2:$C$986,3,1),
IF(J505&gt;0,VLOOKUP(J505,Foundation_Calc!$A$2:$C$986,3,1),""))</f>
        <v/>
      </c>
      <c r="AX505" s="8" t="str">
        <f>IF(C505&gt;0,VLOOKUP(C505,Foundation_Calc!$E$2:$G$986,3,1),
IF(J505&gt;0,VLOOKUP(J505,Foundation_Calc!$E$2:$G$986,3,1),""))</f>
        <v/>
      </c>
      <c r="AY505" s="631" t="str">
        <f>IF(L505="","",
IF(AX505="PT",VLOOKUP(L505,Foundation_Calc!$K$4:$R$37,VLOOKUP(AW505,Foundation_Calc!$I$2:$J$8,2,FALSE),0),
IF(AX505="K",VLOOKUP(L505,Foundation_Calc!$K$41:$R$74,VLOOKUP(AW505,Foundation_Calc!$I$2:$J$8,2,FALSE),0),"")))</f>
        <v/>
      </c>
      <c r="AZ505" s="631" t="str">
        <f>IF(K505="","",
IF(AX505="PT",VLOOKUP(K505,Foundation_Calc!$K$4:$R$37,VLOOKUP(AW505,Foundation_Calc!$I$2:$J$8,2,FALSE),0),
IF(AX505="K",VLOOKUP(K505,Foundation_Calc!$K$41:$R$74,VLOOKUP(AW505,Foundation_Calc!$I$2:$J$8,2,FALSE),0),"")))</f>
        <v/>
      </c>
      <c r="BA505" s="632" t="str">
        <f t="shared" si="99"/>
        <v/>
      </c>
      <c r="BB505" s="632" t="str">
        <f t="shared" si="100"/>
        <v/>
      </c>
      <c r="BC505" s="632" t="str">
        <f t="shared" si="101"/>
        <v/>
      </c>
      <c r="BD505" s="633" t="str">
        <f>IF(AND(L505="",H505=""),"",
IF(H505="",Pole_Calc!A533,
IF(H505="MP",Pole_Calc!A534,
IF(H505="AnMP",Pole_Calc!A535,
IF(H505="A",Pole_Calc!A536,
IF(H505="S/A",Pole_Calc!A537,
IF(H505="A/S",Pole_Calc!A538,"Poner a mano")))))))</f>
        <v/>
      </c>
      <c r="BE505" s="448" t="s">
        <v>1726</v>
      </c>
      <c r="BF505" s="635"/>
      <c r="BG505" s="635"/>
      <c r="BH505" s="634"/>
      <c r="BI505" s="635"/>
    </row>
    <row r="506" spans="1:61" ht="16.2" customHeight="1">
      <c r="A506" s="12"/>
      <c r="B506" s="446"/>
      <c r="C506" s="89"/>
      <c r="D506" s="13"/>
      <c r="E506" s="14"/>
      <c r="F506" s="14"/>
      <c r="G506" s="15"/>
      <c r="H506" s="8"/>
      <c r="I506" s="8"/>
      <c r="J506" s="89"/>
      <c r="K506" s="8"/>
      <c r="L506" s="8"/>
      <c r="M506" s="8" t="str">
        <f>IF(L506="","",
IF(AX506="PT",VLOOKUP(L506,Foundation_Calc!$V$4:$X$37,VLOOKUP(AX506,Foundation_Calc!$I$10:$J$13,2,FALSE),0),
IF(AX506="K",VLOOKUP(L506,Foundation_Calc!$V$41:$X$74,VLOOKUP(AX506,Foundation_Calc!$I$10:$J$13,2,FALSE),0),"")))</f>
        <v/>
      </c>
      <c r="N506" s="8"/>
      <c r="O506" s="8"/>
      <c r="P506" s="8"/>
      <c r="Q506" s="14"/>
      <c r="R506" s="15"/>
      <c r="S506" s="15"/>
      <c r="T506" s="14"/>
      <c r="U506" s="14"/>
      <c r="V506" s="14"/>
      <c r="W506" s="18"/>
      <c r="X506" s="18"/>
      <c r="Y506" s="18"/>
      <c r="Z506" s="18"/>
      <c r="AA506" s="18"/>
      <c r="AB506" s="18"/>
      <c r="AC506" s="8" t="str">
        <f t="shared" si="98"/>
        <v/>
      </c>
      <c r="AD506" s="8"/>
      <c r="AE506" s="8"/>
      <c r="AF506" s="14"/>
      <c r="AG506" s="13"/>
      <c r="AH506" s="14"/>
      <c r="AI506" s="14"/>
      <c r="AJ506" s="8"/>
      <c r="AK506" s="8"/>
      <c r="AL506" s="8"/>
      <c r="AM506" s="8"/>
      <c r="AN506" s="631"/>
      <c r="AO506" s="18"/>
      <c r="AP506" s="18"/>
      <c r="AQ506" s="18"/>
      <c r="AR506" s="18"/>
      <c r="AS506" s="18"/>
      <c r="AU506" s="448"/>
      <c r="AV506" s="448"/>
      <c r="AW506" s="8" t="str">
        <f>IF(C506&gt;0,VLOOKUP(C506,Foundation_Calc!$A$2:$C$986,3,1),
IF(J506&gt;0,VLOOKUP(J506,Foundation_Calc!$A$2:$C$986,3,1),""))</f>
        <v/>
      </c>
      <c r="AX506" s="8" t="str">
        <f>IF(C506&gt;0,VLOOKUP(C506,Foundation_Calc!$E$2:$G$986,3,1),
IF(J506&gt;0,VLOOKUP(J506,Foundation_Calc!$E$2:$G$986,3,1),""))</f>
        <v/>
      </c>
      <c r="AY506" s="631" t="str">
        <f>IF(L506="","",
IF(AX506="PT",VLOOKUP(L506,Foundation_Calc!$K$4:$R$37,VLOOKUP(AW506,Foundation_Calc!$I$2:$J$8,2,FALSE),0),
IF(AX506="K",VLOOKUP(L506,Foundation_Calc!$K$41:$R$74,VLOOKUP(AW506,Foundation_Calc!$I$2:$J$8,2,FALSE),0),"")))</f>
        <v/>
      </c>
      <c r="AZ506" s="631" t="str">
        <f>IF(K506="","",
IF(AX506="PT",VLOOKUP(K506,Foundation_Calc!$K$4:$R$37,VLOOKUP(AW506,Foundation_Calc!$I$2:$J$8,2,FALSE),0),
IF(AX506="K",VLOOKUP(K506,Foundation_Calc!$K$41:$R$74,VLOOKUP(AW506,Foundation_Calc!$I$2:$J$8,2,FALSE),0),"")))</f>
        <v/>
      </c>
      <c r="BA506" s="632" t="str">
        <f t="shared" si="99"/>
        <v/>
      </c>
      <c r="BB506" s="632" t="str">
        <f t="shared" si="100"/>
        <v/>
      </c>
      <c r="BC506" s="632" t="str">
        <f t="shared" si="101"/>
        <v/>
      </c>
      <c r="BD506" s="633" t="str">
        <f>IF(AND(L506="",H506=""),"",
IF(H506="",Pole_Calc!A534,
IF(H506="MP",Pole_Calc!A535,
IF(H506="AnMP",Pole_Calc!A536,
IF(H506="A",Pole_Calc!A537,
IF(H506="S/A",Pole_Calc!A538,
IF(H506="A/S",Pole_Calc!A539,"Poner a mano")))))))</f>
        <v/>
      </c>
      <c r="BE506" s="448" t="s">
        <v>1726</v>
      </c>
      <c r="BF506" s="634"/>
      <c r="BG506" s="634"/>
      <c r="BH506" s="634"/>
      <c r="BI506" s="634"/>
    </row>
    <row r="507" spans="1:61" ht="16.2" customHeight="1">
      <c r="A507" s="12"/>
      <c r="B507" s="446"/>
      <c r="C507" s="89"/>
      <c r="D507" s="13"/>
      <c r="E507" s="14"/>
      <c r="F507" s="14"/>
      <c r="G507" s="15"/>
      <c r="H507" s="8"/>
      <c r="I507" s="8"/>
      <c r="J507" s="89"/>
      <c r="K507" s="8"/>
      <c r="L507" s="8"/>
      <c r="M507" s="8" t="str">
        <f>IF(L507="","",
IF(AX507="PT",VLOOKUP(L507,Foundation_Calc!$V$4:$X$37,VLOOKUP(AX507,Foundation_Calc!$I$10:$J$13,2,FALSE),0),
IF(AX507="K",VLOOKUP(L507,Foundation_Calc!$V$41:$X$74,VLOOKUP(AX507,Foundation_Calc!$I$10:$J$13,2,FALSE),0),"")))</f>
        <v/>
      </c>
      <c r="N507" s="8"/>
      <c r="O507" s="8"/>
      <c r="P507" s="8"/>
      <c r="Q507" s="14"/>
      <c r="R507" s="15"/>
      <c r="S507" s="15"/>
      <c r="T507" s="14"/>
      <c r="U507" s="14"/>
      <c r="V507" s="14"/>
      <c r="W507" s="18"/>
      <c r="X507" s="18"/>
      <c r="Y507" s="18"/>
      <c r="Z507" s="18"/>
      <c r="AA507" s="18"/>
      <c r="AB507" s="18"/>
      <c r="AC507" s="8" t="str">
        <f t="shared" si="98"/>
        <v/>
      </c>
      <c r="AD507" s="8"/>
      <c r="AE507" s="8"/>
      <c r="AF507" s="14"/>
      <c r="AG507" s="13"/>
      <c r="AH507" s="14"/>
      <c r="AI507" s="14"/>
      <c r="AJ507" s="8"/>
      <c r="AK507" s="8"/>
      <c r="AL507" s="8"/>
      <c r="AM507" s="8"/>
      <c r="AN507" s="631"/>
      <c r="AO507" s="18"/>
      <c r="AP507" s="18"/>
      <c r="AQ507" s="18"/>
      <c r="AR507" s="18"/>
      <c r="AS507" s="18"/>
      <c r="AU507" s="448"/>
      <c r="AV507" s="448"/>
      <c r="AW507" s="8" t="str">
        <f>IF(C507&gt;0,VLOOKUP(C507,Foundation_Calc!$A$2:$C$986,3,1),
IF(J507&gt;0,VLOOKUP(J507,Foundation_Calc!$A$2:$C$986,3,1),""))</f>
        <v/>
      </c>
      <c r="AX507" s="8" t="str">
        <f>IF(C507&gt;0,VLOOKUP(C507,Foundation_Calc!$E$2:$G$986,3,1),
IF(J507&gt;0,VLOOKUP(J507,Foundation_Calc!$E$2:$G$986,3,1),""))</f>
        <v/>
      </c>
      <c r="AY507" s="631" t="str">
        <f>IF(L507="","",
IF(AX507="PT",VLOOKUP(L507,Foundation_Calc!$K$4:$R$37,VLOOKUP(AW507,Foundation_Calc!$I$2:$J$8,2,FALSE),0),
IF(AX507="K",VLOOKUP(L507,Foundation_Calc!$K$41:$R$74,VLOOKUP(AW507,Foundation_Calc!$I$2:$J$8,2,FALSE),0),"")))</f>
        <v/>
      </c>
      <c r="AZ507" s="631" t="str">
        <f>IF(K507="","",
IF(AX507="PT",VLOOKUP(K507,Foundation_Calc!$K$4:$R$37,VLOOKUP(AW507,Foundation_Calc!$I$2:$J$8,2,FALSE),0),
IF(AX507="K",VLOOKUP(K507,Foundation_Calc!$K$41:$R$74,VLOOKUP(AW507,Foundation_Calc!$I$2:$J$8,2,FALSE),0),"")))</f>
        <v/>
      </c>
      <c r="BA507" s="632" t="str">
        <f t="shared" si="99"/>
        <v/>
      </c>
      <c r="BB507" s="632" t="str">
        <f t="shared" si="100"/>
        <v/>
      </c>
      <c r="BC507" s="632" t="str">
        <f t="shared" si="101"/>
        <v/>
      </c>
      <c r="BD507" s="633" t="str">
        <f>IF(AND(L507="",H507=""),"",
IF(H507="",Pole_Calc!A535,
IF(H507="MP",Pole_Calc!A536,
IF(H507="AnMP",Pole_Calc!A537,
IF(H507="A",Pole_Calc!A538,
IF(H507="S/A",Pole_Calc!A539,
IF(H507="A/S",Pole_Calc!A540,"Poner a mano")))))))</f>
        <v/>
      </c>
      <c r="BE507" s="448" t="s">
        <v>1726</v>
      </c>
      <c r="BF507" s="635"/>
      <c r="BG507" s="635"/>
      <c r="BH507" s="634"/>
      <c r="BI507" s="635"/>
    </row>
    <row r="508" spans="1:61" ht="16.2" customHeight="1">
      <c r="A508" s="12"/>
      <c r="B508" s="446"/>
      <c r="C508" s="89"/>
      <c r="D508" s="13"/>
      <c r="E508" s="14"/>
      <c r="F508" s="14"/>
      <c r="G508" s="15"/>
      <c r="H508" s="8"/>
      <c r="I508" s="8"/>
      <c r="J508" s="89"/>
      <c r="K508" s="8"/>
      <c r="L508" s="8"/>
      <c r="M508" s="8" t="str">
        <f>IF(L508="","",
IF(AX508="PT",VLOOKUP(L508,Foundation_Calc!$V$4:$X$37,VLOOKUP(AX508,Foundation_Calc!$I$10:$J$13,2,FALSE),0),
IF(AX508="K",VLOOKUP(L508,Foundation_Calc!$V$41:$X$74,VLOOKUP(AX508,Foundation_Calc!$I$10:$J$13,2,FALSE),0),"")))</f>
        <v/>
      </c>
      <c r="N508" s="8"/>
      <c r="O508" s="8"/>
      <c r="P508" s="8"/>
      <c r="Q508" s="14"/>
      <c r="R508" s="15"/>
      <c r="S508" s="15"/>
      <c r="T508" s="14"/>
      <c r="U508" s="14"/>
      <c r="V508" s="14"/>
      <c r="W508" s="18"/>
      <c r="X508" s="18"/>
      <c r="Y508" s="18"/>
      <c r="Z508" s="18"/>
      <c r="AA508" s="18"/>
      <c r="AB508" s="18"/>
      <c r="AC508" s="8" t="str">
        <f t="shared" si="98"/>
        <v/>
      </c>
      <c r="AD508" s="8"/>
      <c r="AE508" s="8"/>
      <c r="AF508" s="14"/>
      <c r="AG508" s="13"/>
      <c r="AH508" s="14"/>
      <c r="AI508" s="14"/>
      <c r="AJ508" s="8"/>
      <c r="AK508" s="8"/>
      <c r="AL508" s="8"/>
      <c r="AM508" s="8"/>
      <c r="AN508" s="631"/>
      <c r="AO508" s="18"/>
      <c r="AP508" s="18"/>
      <c r="AQ508" s="18"/>
      <c r="AR508" s="18"/>
      <c r="AS508" s="18"/>
      <c r="AU508" s="448"/>
      <c r="AV508" s="448"/>
      <c r="AW508" s="8" t="str">
        <f>IF(C508&gt;0,VLOOKUP(C508,Foundation_Calc!$A$2:$C$986,3,1),
IF(J508&gt;0,VLOOKUP(J508,Foundation_Calc!$A$2:$C$986,3,1),""))</f>
        <v/>
      </c>
      <c r="AX508" s="8" t="str">
        <f>IF(C508&gt;0,VLOOKUP(C508,Foundation_Calc!$E$2:$G$986,3,1),
IF(J508&gt;0,VLOOKUP(J508,Foundation_Calc!$E$2:$G$986,3,1),""))</f>
        <v/>
      </c>
      <c r="AY508" s="631" t="str">
        <f>IF(L508="","",
IF(AX508="PT",VLOOKUP(L508,Foundation_Calc!$K$4:$R$37,VLOOKUP(AW508,Foundation_Calc!$I$2:$J$8,2,FALSE),0),
IF(AX508="K",VLOOKUP(L508,Foundation_Calc!$K$41:$R$74,VLOOKUP(AW508,Foundation_Calc!$I$2:$J$8,2,FALSE),0),"")))</f>
        <v/>
      </c>
      <c r="AZ508" s="631" t="str">
        <f>IF(K508="","",
IF(AX508="PT",VLOOKUP(K508,Foundation_Calc!$K$4:$R$37,VLOOKUP(AW508,Foundation_Calc!$I$2:$J$8,2,FALSE),0),
IF(AX508="K",VLOOKUP(K508,Foundation_Calc!$K$41:$R$74,VLOOKUP(AW508,Foundation_Calc!$I$2:$J$8,2,FALSE),0),"")))</f>
        <v/>
      </c>
      <c r="BA508" s="632" t="str">
        <f t="shared" si="99"/>
        <v/>
      </c>
      <c r="BB508" s="632" t="str">
        <f t="shared" si="100"/>
        <v/>
      </c>
      <c r="BC508" s="632" t="str">
        <f t="shared" si="101"/>
        <v/>
      </c>
      <c r="BD508" s="633" t="str">
        <f>IF(AND(L508="",H508=""),"",
IF(H508="",Pole_Calc!A536,
IF(H508="MP",Pole_Calc!A537,
IF(H508="AnMP",Pole_Calc!A538,
IF(H508="A",Pole_Calc!A539,
IF(H508="S/A",Pole_Calc!A540,
IF(H508="A/S",Pole_Calc!A541,"Poner a mano")))))))</f>
        <v/>
      </c>
      <c r="BE508" s="448" t="s">
        <v>1726</v>
      </c>
      <c r="BF508" s="634"/>
      <c r="BG508" s="634"/>
      <c r="BH508" s="634"/>
      <c r="BI508" s="634"/>
    </row>
    <row r="509" spans="1:61" ht="16.2" customHeight="1">
      <c r="A509" s="12"/>
      <c r="B509" s="446"/>
      <c r="C509" s="89"/>
      <c r="D509" s="13"/>
      <c r="E509" s="14"/>
      <c r="F509" s="14"/>
      <c r="G509" s="15"/>
      <c r="H509" s="8"/>
      <c r="I509" s="8"/>
      <c r="J509" s="89"/>
      <c r="K509" s="8"/>
      <c r="L509" s="8"/>
      <c r="M509" s="8" t="str">
        <f>IF(L509="","",
IF(AX509="PT",VLOOKUP(L509,Foundation_Calc!$V$4:$X$37,VLOOKUP(AX509,Foundation_Calc!$I$10:$J$13,2,FALSE),0),
IF(AX509="K",VLOOKUP(L509,Foundation_Calc!$V$41:$X$74,VLOOKUP(AX509,Foundation_Calc!$I$10:$J$13,2,FALSE),0),"")))</f>
        <v/>
      </c>
      <c r="N509" s="8"/>
      <c r="O509" s="8"/>
      <c r="P509" s="8"/>
      <c r="Q509" s="14"/>
      <c r="R509" s="15"/>
      <c r="S509" s="15"/>
      <c r="T509" s="14"/>
      <c r="U509" s="14"/>
      <c r="V509" s="14"/>
      <c r="W509" s="18"/>
      <c r="X509" s="18"/>
      <c r="Y509" s="18"/>
      <c r="Z509" s="18"/>
      <c r="AA509" s="18"/>
      <c r="AB509" s="18"/>
      <c r="AC509" s="8" t="str">
        <f t="shared" si="98"/>
        <v/>
      </c>
      <c r="AD509" s="8"/>
      <c r="AE509" s="8"/>
      <c r="AF509" s="14"/>
      <c r="AG509" s="13"/>
      <c r="AH509" s="14"/>
      <c r="AI509" s="14"/>
      <c r="AJ509" s="8"/>
      <c r="AK509" s="8"/>
      <c r="AL509" s="8"/>
      <c r="AM509" s="8"/>
      <c r="AN509" s="631"/>
      <c r="AO509" s="18"/>
      <c r="AP509" s="18"/>
      <c r="AQ509" s="18"/>
      <c r="AR509" s="18"/>
      <c r="AS509" s="18"/>
      <c r="AU509" s="448"/>
      <c r="AV509" s="448"/>
      <c r="AW509" s="8" t="str">
        <f>IF(C509&gt;0,VLOOKUP(C509,Foundation_Calc!$A$2:$C$986,3,1),
IF(J509&gt;0,VLOOKUP(J509,Foundation_Calc!$A$2:$C$986,3,1),""))</f>
        <v/>
      </c>
      <c r="AX509" s="8" t="str">
        <f>IF(C509&gt;0,VLOOKUP(C509,Foundation_Calc!$E$2:$G$986,3,1),
IF(J509&gt;0,VLOOKUP(J509,Foundation_Calc!$E$2:$G$986,3,1),""))</f>
        <v/>
      </c>
      <c r="AY509" s="631" t="str">
        <f>IF(L509="","",
IF(AX509="PT",VLOOKUP(L509,Foundation_Calc!$K$4:$R$37,VLOOKUP(AW509,Foundation_Calc!$I$2:$J$8,2,FALSE),0),
IF(AX509="K",VLOOKUP(L509,Foundation_Calc!$K$41:$R$74,VLOOKUP(AW509,Foundation_Calc!$I$2:$J$8,2,FALSE),0),"")))</f>
        <v/>
      </c>
      <c r="AZ509" s="631" t="str">
        <f>IF(K509="","",
IF(AX509="PT",VLOOKUP(K509,Foundation_Calc!$K$4:$R$37,VLOOKUP(AW509,Foundation_Calc!$I$2:$J$8,2,FALSE),0),
IF(AX509="K",VLOOKUP(K509,Foundation_Calc!$K$41:$R$74,VLOOKUP(AW509,Foundation_Calc!$I$2:$J$8,2,FALSE),0),"")))</f>
        <v/>
      </c>
      <c r="BA509" s="632" t="str">
        <f t="shared" si="99"/>
        <v/>
      </c>
      <c r="BB509" s="632" t="str">
        <f t="shared" si="100"/>
        <v/>
      </c>
      <c r="BC509" s="632" t="str">
        <f t="shared" si="101"/>
        <v/>
      </c>
      <c r="BD509" s="633" t="str">
        <f>IF(AND(L509="",H509=""),"",
IF(H509="",Pole_Calc!A537,
IF(H509="MP",Pole_Calc!A538,
IF(H509="AnMP",Pole_Calc!A539,
IF(H509="A",Pole_Calc!A540,
IF(H509="S/A",Pole_Calc!A541,
IF(H509="A/S",Pole_Calc!A542,"Poner a mano")))))))</f>
        <v/>
      </c>
      <c r="BE509" s="448" t="s">
        <v>1726</v>
      </c>
      <c r="BF509" s="635"/>
      <c r="BG509" s="635"/>
      <c r="BH509" s="634"/>
      <c r="BI509" s="635"/>
    </row>
    <row r="510" spans="1:61" ht="16.2" customHeight="1">
      <c r="A510" s="12"/>
      <c r="B510" s="446"/>
      <c r="C510" s="89"/>
      <c r="D510" s="13"/>
      <c r="E510" s="14"/>
      <c r="F510" s="14"/>
      <c r="G510" s="15"/>
      <c r="H510" s="8"/>
      <c r="I510" s="8"/>
      <c r="J510" s="89"/>
      <c r="K510" s="8"/>
      <c r="L510" s="8"/>
      <c r="M510" s="8" t="str">
        <f>IF(L510="","",
IF(AX510="PT",VLOOKUP(L510,Foundation_Calc!$V$4:$X$37,VLOOKUP(AX510,Foundation_Calc!$I$10:$J$13,2,FALSE),0),
IF(AX510="K",VLOOKUP(L510,Foundation_Calc!$V$41:$X$74,VLOOKUP(AX510,Foundation_Calc!$I$10:$J$13,2,FALSE),0),"")))</f>
        <v/>
      </c>
      <c r="N510" s="8"/>
      <c r="O510" s="8"/>
      <c r="P510" s="8"/>
      <c r="Q510" s="14"/>
      <c r="R510" s="15"/>
      <c r="S510" s="15"/>
      <c r="T510" s="14"/>
      <c r="U510" s="14"/>
      <c r="V510" s="14"/>
      <c r="W510" s="18"/>
      <c r="X510" s="18"/>
      <c r="Y510" s="18"/>
      <c r="Z510" s="18"/>
      <c r="AA510" s="18"/>
      <c r="AB510" s="18"/>
      <c r="AC510" s="8" t="str">
        <f t="shared" si="98"/>
        <v/>
      </c>
      <c r="AD510" s="8"/>
      <c r="AE510" s="8"/>
      <c r="AF510" s="14"/>
      <c r="AG510" s="13"/>
      <c r="AH510" s="14"/>
      <c r="AI510" s="14"/>
      <c r="AJ510" s="8"/>
      <c r="AK510" s="8"/>
      <c r="AL510" s="8"/>
      <c r="AM510" s="8"/>
      <c r="AN510" s="631"/>
      <c r="AO510" s="18"/>
      <c r="AP510" s="18"/>
      <c r="AQ510" s="18"/>
      <c r="AR510" s="18"/>
      <c r="AS510" s="18"/>
      <c r="AU510" s="448"/>
      <c r="AV510" s="448"/>
      <c r="AW510" s="8" t="str">
        <f>IF(C510&gt;0,VLOOKUP(C510,Foundation_Calc!$A$2:$C$986,3,1),
IF(J510&gt;0,VLOOKUP(J510,Foundation_Calc!$A$2:$C$986,3,1),""))</f>
        <v/>
      </c>
      <c r="AX510" s="8" t="str">
        <f>IF(C510&gt;0,VLOOKUP(C510,Foundation_Calc!$E$2:$G$986,3,1),
IF(J510&gt;0,VLOOKUP(J510,Foundation_Calc!$E$2:$G$986,3,1),""))</f>
        <v/>
      </c>
      <c r="AY510" s="631" t="str">
        <f>IF(L510="","",
IF(AX510="PT",VLOOKUP(L510,Foundation_Calc!$K$4:$R$37,VLOOKUP(AW510,Foundation_Calc!$I$2:$J$8,2,FALSE),0),
IF(AX510="K",VLOOKUP(L510,Foundation_Calc!$K$41:$R$74,VLOOKUP(AW510,Foundation_Calc!$I$2:$J$8,2,FALSE),0),"")))</f>
        <v/>
      </c>
      <c r="AZ510" s="631" t="str">
        <f>IF(K510="","",
IF(AX510="PT",VLOOKUP(K510,Foundation_Calc!$K$4:$R$37,VLOOKUP(AW510,Foundation_Calc!$I$2:$J$8,2,FALSE),0),
IF(AX510="K",VLOOKUP(K510,Foundation_Calc!$K$41:$R$74,VLOOKUP(AW510,Foundation_Calc!$I$2:$J$8,2,FALSE),0),"")))</f>
        <v/>
      </c>
      <c r="BA510" s="632" t="str">
        <f t="shared" si="99"/>
        <v/>
      </c>
      <c r="BB510" s="632" t="str">
        <f t="shared" si="100"/>
        <v/>
      </c>
      <c r="BC510" s="632" t="str">
        <f t="shared" si="101"/>
        <v/>
      </c>
      <c r="BD510" s="633" t="str">
        <f>IF(AND(L510="",H510=""),"",
IF(H510="",Pole_Calc!A538,
IF(H510="MP",Pole_Calc!A539,
IF(H510="AnMP",Pole_Calc!A540,
IF(H510="A",Pole_Calc!A541,
IF(H510="S/A",Pole_Calc!A542,
IF(H510="A/S",Pole_Calc!A543,"Poner a mano")))))))</f>
        <v/>
      </c>
      <c r="BE510" s="448" t="s">
        <v>1726</v>
      </c>
      <c r="BF510" s="634"/>
      <c r="BG510" s="634"/>
      <c r="BH510" s="634"/>
      <c r="BI510" s="634"/>
    </row>
    <row r="511" spans="1:61" ht="16.2" customHeight="1">
      <c r="A511" s="12"/>
      <c r="B511" s="446"/>
      <c r="C511" s="89"/>
      <c r="D511" s="13"/>
      <c r="E511" s="14"/>
      <c r="F511" s="14"/>
      <c r="G511" s="15"/>
      <c r="H511" s="8"/>
      <c r="I511" s="8"/>
      <c r="J511" s="89"/>
      <c r="K511" s="8"/>
      <c r="L511" s="8"/>
      <c r="M511" s="8" t="str">
        <f>IF(L511="","",
IF(AX511="PT",VLOOKUP(L511,Foundation_Calc!$V$4:$X$37,VLOOKUP(AX511,Foundation_Calc!$I$10:$J$13,2,FALSE),0),
IF(AX511="K",VLOOKUP(L511,Foundation_Calc!$V$41:$X$74,VLOOKUP(AX511,Foundation_Calc!$I$10:$J$13,2,FALSE),0),"")))</f>
        <v/>
      </c>
      <c r="N511" s="8"/>
      <c r="O511" s="8"/>
      <c r="P511" s="8"/>
      <c r="Q511" s="14"/>
      <c r="R511" s="15"/>
      <c r="S511" s="15"/>
      <c r="T511" s="14"/>
      <c r="U511" s="14"/>
      <c r="V511" s="14"/>
      <c r="W511" s="18"/>
      <c r="X511" s="18"/>
      <c r="Y511" s="18"/>
      <c r="Z511" s="18"/>
      <c r="AA511" s="18"/>
      <c r="AB511" s="18"/>
      <c r="AC511" s="8" t="str">
        <f t="shared" si="98"/>
        <v/>
      </c>
      <c r="AD511" s="8"/>
      <c r="AE511" s="8"/>
      <c r="AF511" s="14"/>
      <c r="AG511" s="13"/>
      <c r="AH511" s="14"/>
      <c r="AI511" s="14"/>
      <c r="AJ511" s="8"/>
      <c r="AK511" s="8"/>
      <c r="AL511" s="8"/>
      <c r="AM511" s="8"/>
      <c r="AN511" s="631"/>
      <c r="AO511" s="18"/>
      <c r="AP511" s="18"/>
      <c r="AQ511" s="18"/>
      <c r="AR511" s="18"/>
      <c r="AS511" s="18"/>
      <c r="AU511" s="448"/>
      <c r="AV511" s="448"/>
      <c r="AW511" s="8" t="str">
        <f>IF(C511&gt;0,VLOOKUP(C511,Foundation_Calc!$A$2:$C$986,3,1),
IF(J511&gt;0,VLOOKUP(J511,Foundation_Calc!$A$2:$C$986,3,1),""))</f>
        <v/>
      </c>
      <c r="AX511" s="8" t="str">
        <f>IF(C511&gt;0,VLOOKUP(C511,Foundation_Calc!$E$2:$G$986,3,1),
IF(J511&gt;0,VLOOKUP(J511,Foundation_Calc!$E$2:$G$986,3,1),""))</f>
        <v/>
      </c>
      <c r="AY511" s="631" t="str">
        <f>IF(L511="","",
IF(AX511="PT",VLOOKUP(L511,Foundation_Calc!$K$4:$R$37,VLOOKUP(AW511,Foundation_Calc!$I$2:$J$8,2,FALSE),0),
IF(AX511="K",VLOOKUP(L511,Foundation_Calc!$K$41:$R$74,VLOOKUP(AW511,Foundation_Calc!$I$2:$J$8,2,FALSE),0),"")))</f>
        <v/>
      </c>
      <c r="AZ511" s="631" t="str">
        <f>IF(K511="","",
IF(AX511="PT",VLOOKUP(K511,Foundation_Calc!$K$4:$R$37,VLOOKUP(AW511,Foundation_Calc!$I$2:$J$8,2,FALSE),0),
IF(AX511="K",VLOOKUP(K511,Foundation_Calc!$K$41:$R$74,VLOOKUP(AW511,Foundation_Calc!$I$2:$J$8,2,FALSE),0),"")))</f>
        <v/>
      </c>
      <c r="BA511" s="632" t="str">
        <f t="shared" si="99"/>
        <v/>
      </c>
      <c r="BB511" s="632" t="str">
        <f t="shared" si="100"/>
        <v/>
      </c>
      <c r="BC511" s="632" t="str">
        <f t="shared" si="101"/>
        <v/>
      </c>
      <c r="BD511" s="633" t="str">
        <f>IF(AND(L511="",H511=""),"",
IF(H511="",Pole_Calc!A539,
IF(H511="MP",Pole_Calc!A540,
IF(H511="AnMP",Pole_Calc!A541,
IF(H511="A",Pole_Calc!A542,
IF(H511="S/A",Pole_Calc!A543,
IF(H511="A/S",Pole_Calc!A544,"Poner a mano")))))))</f>
        <v/>
      </c>
      <c r="BE511" s="448" t="s">
        <v>1726</v>
      </c>
      <c r="BF511" s="635"/>
      <c r="BG511" s="635"/>
      <c r="BH511" s="634"/>
      <c r="BI511" s="635"/>
    </row>
    <row r="512" spans="1:61" ht="16.2" customHeight="1">
      <c r="A512" s="12"/>
      <c r="B512" s="446"/>
      <c r="C512" s="89"/>
      <c r="D512" s="13"/>
      <c r="E512" s="14"/>
      <c r="F512" s="14"/>
      <c r="G512" s="15"/>
      <c r="H512" s="8"/>
      <c r="I512" s="8"/>
      <c r="J512" s="89"/>
      <c r="K512" s="8"/>
      <c r="L512" s="8"/>
      <c r="M512" s="8" t="str">
        <f>IF(L512="","",
IF(AX512="PT",VLOOKUP(L512,Foundation_Calc!$V$4:$X$37,VLOOKUP(AX512,Foundation_Calc!$I$10:$J$13,2,FALSE),0),
IF(AX512="K",VLOOKUP(L512,Foundation_Calc!$V$41:$X$74,VLOOKUP(AX512,Foundation_Calc!$I$10:$J$13,2,FALSE),0),"")))</f>
        <v/>
      </c>
      <c r="N512" s="8"/>
      <c r="O512" s="8"/>
      <c r="P512" s="8"/>
      <c r="Q512" s="14"/>
      <c r="R512" s="15"/>
      <c r="S512" s="15"/>
      <c r="T512" s="14"/>
      <c r="U512" s="14"/>
      <c r="V512" s="14"/>
      <c r="W512" s="18"/>
      <c r="X512" s="18"/>
      <c r="Y512" s="18"/>
      <c r="Z512" s="18"/>
      <c r="AA512" s="18"/>
      <c r="AB512" s="18"/>
      <c r="AC512" s="8" t="str">
        <f t="shared" si="98"/>
        <v/>
      </c>
      <c r="AD512" s="8"/>
      <c r="AE512" s="8"/>
      <c r="AF512" s="14"/>
      <c r="AG512" s="13"/>
      <c r="AH512" s="14"/>
      <c r="AI512" s="14"/>
      <c r="AJ512" s="8"/>
      <c r="AK512" s="8"/>
      <c r="AL512" s="8"/>
      <c r="AM512" s="8"/>
      <c r="AN512" s="631"/>
      <c r="AO512" s="18"/>
      <c r="AP512" s="18"/>
      <c r="AQ512" s="18"/>
      <c r="AR512" s="18"/>
      <c r="AS512" s="18"/>
      <c r="AU512" s="448"/>
      <c r="AV512" s="448"/>
      <c r="AW512" s="8" t="str">
        <f>IF(C512&gt;0,VLOOKUP(C512,Foundation_Calc!$A$2:$C$986,3,1),
IF(J512&gt;0,VLOOKUP(J512,Foundation_Calc!$A$2:$C$986,3,1),""))</f>
        <v/>
      </c>
      <c r="AX512" s="8" t="str">
        <f>IF(C512&gt;0,VLOOKUP(C512,Foundation_Calc!$E$2:$G$986,3,1),
IF(J512&gt;0,VLOOKUP(J512,Foundation_Calc!$E$2:$G$986,3,1),""))</f>
        <v/>
      </c>
      <c r="AY512" s="631" t="str">
        <f>IF(L512="","",
IF(AX512="PT",VLOOKUP(L512,Foundation_Calc!$K$4:$R$37,VLOOKUP(AW512,Foundation_Calc!$I$2:$J$8,2,FALSE),0),
IF(AX512="K",VLOOKUP(L512,Foundation_Calc!$K$41:$R$74,VLOOKUP(AW512,Foundation_Calc!$I$2:$J$8,2,FALSE),0),"")))</f>
        <v/>
      </c>
      <c r="AZ512" s="631" t="str">
        <f>IF(K512="","",
IF(AX512="PT",VLOOKUP(K512,Foundation_Calc!$K$4:$R$37,VLOOKUP(AW512,Foundation_Calc!$I$2:$J$8,2,FALSE),0),
IF(AX512="K",VLOOKUP(K512,Foundation_Calc!$K$41:$R$74,VLOOKUP(AW512,Foundation_Calc!$I$2:$J$8,2,FALSE),0),"")))</f>
        <v/>
      </c>
      <c r="BA512" s="632" t="str">
        <f t="shared" si="99"/>
        <v/>
      </c>
      <c r="BB512" s="632" t="str">
        <f t="shared" si="100"/>
        <v/>
      </c>
      <c r="BC512" s="632" t="str">
        <f t="shared" si="101"/>
        <v/>
      </c>
      <c r="BD512" s="633" t="str">
        <f>IF(AND(L512="",H512=""),"",
IF(H512="",Pole_Calc!A540,
IF(H512="MP",Pole_Calc!A541,
IF(H512="AnMP",Pole_Calc!A542,
IF(H512="A",Pole_Calc!A543,
IF(H512="S/A",Pole_Calc!A544,
IF(H512="A/S",Pole_Calc!A545,"Poner a mano")))))))</f>
        <v/>
      </c>
      <c r="BE512" s="448" t="s">
        <v>1726</v>
      </c>
      <c r="BF512" s="634"/>
      <c r="BG512" s="634"/>
      <c r="BH512" s="634"/>
      <c r="BI512" s="634"/>
    </row>
    <row r="513" spans="1:61" ht="16.2" customHeight="1">
      <c r="A513" s="12"/>
      <c r="B513" s="446"/>
      <c r="C513" s="89"/>
      <c r="D513" s="13"/>
      <c r="E513" s="14"/>
      <c r="F513" s="14"/>
      <c r="G513" s="15"/>
      <c r="H513" s="8"/>
      <c r="I513" s="8"/>
      <c r="J513" s="89"/>
      <c r="K513" s="8"/>
      <c r="L513" s="8"/>
      <c r="M513" s="8" t="str">
        <f>IF(L513="","",
IF(AX513="PT",VLOOKUP(L513,Foundation_Calc!$V$4:$X$37,VLOOKUP(AX513,Foundation_Calc!$I$10:$J$13,2,FALSE),0),
IF(AX513="K",VLOOKUP(L513,Foundation_Calc!$V$41:$X$74,VLOOKUP(AX513,Foundation_Calc!$I$10:$J$13,2,FALSE),0),"")))</f>
        <v/>
      </c>
      <c r="N513" s="8"/>
      <c r="O513" s="8"/>
      <c r="P513" s="8"/>
      <c r="Q513" s="14"/>
      <c r="R513" s="15"/>
      <c r="S513" s="15"/>
      <c r="T513" s="14"/>
      <c r="U513" s="14"/>
      <c r="V513" s="14"/>
      <c r="W513" s="18"/>
      <c r="X513" s="18"/>
      <c r="Y513" s="18"/>
      <c r="Z513" s="18"/>
      <c r="AA513" s="18"/>
      <c r="AB513" s="18"/>
      <c r="AC513" s="8" t="str">
        <f t="shared" si="98"/>
        <v/>
      </c>
      <c r="AD513" s="8"/>
      <c r="AE513" s="8"/>
      <c r="AF513" s="14"/>
      <c r="AG513" s="13"/>
      <c r="AH513" s="14"/>
      <c r="AI513" s="14"/>
      <c r="AJ513" s="8"/>
      <c r="AK513" s="8"/>
      <c r="AL513" s="8"/>
      <c r="AM513" s="8"/>
      <c r="AN513" s="631"/>
      <c r="AO513" s="18"/>
      <c r="AP513" s="18"/>
      <c r="AQ513" s="18"/>
      <c r="AR513" s="18"/>
      <c r="AS513" s="18"/>
      <c r="AU513" s="448"/>
      <c r="AV513" s="448"/>
      <c r="AW513" s="8" t="str">
        <f>IF(C513&gt;0,VLOOKUP(C513,Foundation_Calc!$A$2:$C$986,3,1),
IF(J513&gt;0,VLOOKUP(J513,Foundation_Calc!$A$2:$C$986,3,1),""))</f>
        <v/>
      </c>
      <c r="AX513" s="8" t="str">
        <f>IF(C513&gt;0,VLOOKUP(C513,Foundation_Calc!$E$2:$G$986,3,1),
IF(J513&gt;0,VLOOKUP(J513,Foundation_Calc!$E$2:$G$986,3,1),""))</f>
        <v/>
      </c>
      <c r="AY513" s="631" t="str">
        <f>IF(L513="","",
IF(AX513="PT",VLOOKUP(L513,Foundation_Calc!$K$4:$R$37,VLOOKUP(AW513,Foundation_Calc!$I$2:$J$8,2,FALSE),0),
IF(AX513="K",VLOOKUP(L513,Foundation_Calc!$K$41:$R$74,VLOOKUP(AW513,Foundation_Calc!$I$2:$J$8,2,FALSE),0),"")))</f>
        <v/>
      </c>
      <c r="AZ513" s="631" t="str">
        <f>IF(K513="","",
IF(AX513="PT",VLOOKUP(K513,Foundation_Calc!$K$4:$R$37,VLOOKUP(AW513,Foundation_Calc!$I$2:$J$8,2,FALSE),0),
IF(AX513="K",VLOOKUP(K513,Foundation_Calc!$K$41:$R$74,VLOOKUP(AW513,Foundation_Calc!$I$2:$J$8,2,FALSE),0),"")))</f>
        <v/>
      </c>
      <c r="BA513" s="632" t="str">
        <f t="shared" si="99"/>
        <v/>
      </c>
      <c r="BB513" s="632" t="str">
        <f t="shared" si="100"/>
        <v/>
      </c>
      <c r="BC513" s="632" t="str">
        <f t="shared" si="101"/>
        <v/>
      </c>
      <c r="BD513" s="633" t="str">
        <f>IF(AND(L513="",H513=""),"",
IF(H513="",Pole_Calc!A541,
IF(H513="MP",Pole_Calc!A542,
IF(H513="AnMP",Pole_Calc!A543,
IF(H513="A",Pole_Calc!A544,
IF(H513="S/A",Pole_Calc!A545,
IF(H513="A/S",Pole_Calc!A546,"Poner a mano")))))))</f>
        <v/>
      </c>
      <c r="BE513" s="448" t="s">
        <v>1726</v>
      </c>
      <c r="BF513" s="635"/>
      <c r="BG513" s="635"/>
      <c r="BH513" s="634"/>
      <c r="BI513" s="635"/>
    </row>
    <row r="514" spans="1:61" ht="16.2" customHeight="1">
      <c r="A514" s="12"/>
      <c r="B514" s="446"/>
      <c r="C514" s="89"/>
      <c r="D514" s="13"/>
      <c r="E514" s="14"/>
      <c r="F514" s="14"/>
      <c r="G514" s="15"/>
      <c r="H514" s="8"/>
      <c r="I514" s="8"/>
      <c r="J514" s="89"/>
      <c r="K514" s="8"/>
      <c r="L514" s="8"/>
      <c r="M514" s="8" t="str">
        <f>IF(L514="","",
IF(AX514="PT",VLOOKUP(L514,Foundation_Calc!$V$4:$X$37,VLOOKUP(AX514,Foundation_Calc!$I$10:$J$13,2,FALSE),0),
IF(AX514="K",VLOOKUP(L514,Foundation_Calc!$V$41:$X$74,VLOOKUP(AX514,Foundation_Calc!$I$10:$J$13,2,FALSE),0),"")))</f>
        <v/>
      </c>
      <c r="N514" s="8"/>
      <c r="O514" s="8"/>
      <c r="P514" s="8"/>
      <c r="Q514" s="14"/>
      <c r="R514" s="15"/>
      <c r="S514" s="15"/>
      <c r="T514" s="14"/>
      <c r="U514" s="14"/>
      <c r="V514" s="14"/>
      <c r="W514" s="18"/>
      <c r="X514" s="18"/>
      <c r="Y514" s="18"/>
      <c r="Z514" s="18"/>
      <c r="AA514" s="18"/>
      <c r="AB514" s="18"/>
      <c r="AC514" s="8" t="str">
        <f t="shared" si="98"/>
        <v/>
      </c>
      <c r="AD514" s="8"/>
      <c r="AE514" s="8"/>
      <c r="AF514" s="14"/>
      <c r="AG514" s="13"/>
      <c r="AH514" s="14"/>
      <c r="AI514" s="14"/>
      <c r="AJ514" s="8"/>
      <c r="AK514" s="8"/>
      <c r="AL514" s="8"/>
      <c r="AM514" s="8"/>
      <c r="AN514" s="631"/>
      <c r="AO514" s="18"/>
      <c r="AP514" s="18"/>
      <c r="AQ514" s="18"/>
      <c r="AR514" s="18"/>
      <c r="AS514" s="18"/>
      <c r="AU514" s="448"/>
      <c r="AV514" s="448"/>
      <c r="AW514" s="8" t="str">
        <f>IF(C514&gt;0,VLOOKUP(C514,Foundation_Calc!$A$2:$C$986,3,1),
IF(J514&gt;0,VLOOKUP(J514,Foundation_Calc!$A$2:$C$986,3,1),""))</f>
        <v/>
      </c>
      <c r="AX514" s="8" t="str">
        <f>IF(C514&gt;0,VLOOKUP(C514,Foundation_Calc!$E$2:$G$986,3,1),
IF(J514&gt;0,VLOOKUP(J514,Foundation_Calc!$E$2:$G$986,3,1),""))</f>
        <v/>
      </c>
      <c r="AY514" s="631" t="str">
        <f>IF(L514="","",
IF(AX514="PT",VLOOKUP(L514,Foundation_Calc!$K$4:$R$37,VLOOKUP(AW514,Foundation_Calc!$I$2:$J$8,2,FALSE),0),
IF(AX514="K",VLOOKUP(L514,Foundation_Calc!$K$41:$R$74,VLOOKUP(AW514,Foundation_Calc!$I$2:$J$8,2,FALSE),0),"")))</f>
        <v/>
      </c>
      <c r="AZ514" s="631" t="str">
        <f>IF(K514="","",
IF(AX514="PT",VLOOKUP(K514,Foundation_Calc!$K$4:$R$37,VLOOKUP(AW514,Foundation_Calc!$I$2:$J$8,2,FALSE),0),
IF(AX514="K",VLOOKUP(K514,Foundation_Calc!$K$41:$R$74,VLOOKUP(AW514,Foundation_Calc!$I$2:$J$8,2,FALSE),0),"")))</f>
        <v/>
      </c>
      <c r="BA514" s="632" t="str">
        <f t="shared" si="99"/>
        <v/>
      </c>
      <c r="BB514" s="632" t="str">
        <f t="shared" si="100"/>
        <v/>
      </c>
      <c r="BC514" s="632" t="str">
        <f t="shared" si="101"/>
        <v/>
      </c>
      <c r="BD514" s="633" t="str">
        <f>IF(AND(L514="",H514=""),"",
IF(H514="",Pole_Calc!A542,
IF(H514="MP",Pole_Calc!A543,
IF(H514="AnMP",Pole_Calc!A544,
IF(H514="A",Pole_Calc!A545,
IF(H514="S/A",Pole_Calc!A546,
IF(H514="A/S",Pole_Calc!A547,"Poner a mano")))))))</f>
        <v/>
      </c>
      <c r="BE514" s="448" t="s">
        <v>1726</v>
      </c>
      <c r="BF514" s="634"/>
      <c r="BG514" s="634"/>
      <c r="BH514" s="634"/>
      <c r="BI514" s="634"/>
    </row>
    <row r="515" spans="1:61" ht="16.2" customHeight="1">
      <c r="A515" s="12"/>
      <c r="B515" s="446"/>
      <c r="C515" s="89"/>
      <c r="D515" s="13"/>
      <c r="E515" s="14"/>
      <c r="F515" s="14"/>
      <c r="G515" s="15"/>
      <c r="H515" s="8"/>
      <c r="I515" s="8"/>
      <c r="J515" s="89"/>
      <c r="K515" s="8"/>
      <c r="L515" s="8"/>
      <c r="M515" s="8" t="str">
        <f>IF(L515="","",
IF(AX515="PT",VLOOKUP(L515,Foundation_Calc!$V$4:$X$37,VLOOKUP(AX515,Foundation_Calc!$I$10:$J$13,2,FALSE),0),
IF(AX515="K",VLOOKUP(L515,Foundation_Calc!$V$41:$X$74,VLOOKUP(AX515,Foundation_Calc!$I$10:$J$13,2,FALSE),0),"")))</f>
        <v/>
      </c>
      <c r="N515" s="8"/>
      <c r="O515" s="8"/>
      <c r="P515" s="8"/>
      <c r="Q515" s="14"/>
      <c r="R515" s="15"/>
      <c r="S515" s="15"/>
      <c r="T515" s="14"/>
      <c r="U515" s="14"/>
      <c r="V515" s="14"/>
      <c r="W515" s="18"/>
      <c r="X515" s="18"/>
      <c r="Y515" s="18"/>
      <c r="Z515" s="18"/>
      <c r="AA515" s="18"/>
      <c r="AB515" s="18"/>
      <c r="AC515" s="8" t="str">
        <f t="shared" si="98"/>
        <v/>
      </c>
      <c r="AD515" s="8"/>
      <c r="AE515" s="8"/>
      <c r="AF515" s="14"/>
      <c r="AG515" s="13"/>
      <c r="AH515" s="14"/>
      <c r="AI515" s="14"/>
      <c r="AJ515" s="8"/>
      <c r="AK515" s="8"/>
      <c r="AL515" s="8"/>
      <c r="AM515" s="8"/>
      <c r="AN515" s="631"/>
      <c r="AO515" s="18"/>
      <c r="AP515" s="18"/>
      <c r="AQ515" s="18"/>
      <c r="AR515" s="18"/>
      <c r="AS515" s="18"/>
      <c r="AU515" s="448"/>
      <c r="AV515" s="448"/>
      <c r="AW515" s="8" t="str">
        <f>IF(C515&gt;0,VLOOKUP(C515,Foundation_Calc!$A$2:$C$986,3,1),
IF(J515&gt;0,VLOOKUP(J515,Foundation_Calc!$A$2:$C$986,3,1),""))</f>
        <v/>
      </c>
      <c r="AX515" s="8" t="str">
        <f>IF(C515&gt;0,VLOOKUP(C515,Foundation_Calc!$E$2:$G$986,3,1),
IF(J515&gt;0,VLOOKUP(J515,Foundation_Calc!$E$2:$G$986,3,1),""))</f>
        <v/>
      </c>
      <c r="AY515" s="631" t="str">
        <f>IF(L515="","",
IF(AX515="PT",VLOOKUP(L515,Foundation_Calc!$K$4:$R$37,VLOOKUP(AW515,Foundation_Calc!$I$2:$J$8,2,FALSE),0),
IF(AX515="K",VLOOKUP(L515,Foundation_Calc!$K$41:$R$74,VLOOKUP(AW515,Foundation_Calc!$I$2:$J$8,2,FALSE),0),"")))</f>
        <v/>
      </c>
      <c r="AZ515" s="631" t="str">
        <f>IF(K515="","",
IF(AX515="PT",VLOOKUP(K515,Foundation_Calc!$K$4:$R$37,VLOOKUP(AW515,Foundation_Calc!$I$2:$J$8,2,FALSE),0),
IF(AX515="K",VLOOKUP(K515,Foundation_Calc!$K$41:$R$74,VLOOKUP(AW515,Foundation_Calc!$I$2:$J$8,2,FALSE),0),"")))</f>
        <v/>
      </c>
      <c r="BA515" s="632" t="str">
        <f t="shared" si="99"/>
        <v/>
      </c>
      <c r="BB515" s="632" t="str">
        <f t="shared" si="100"/>
        <v/>
      </c>
      <c r="BC515" s="632" t="str">
        <f t="shared" si="101"/>
        <v/>
      </c>
      <c r="BD515" s="633" t="str">
        <f>IF(AND(L515="",H515=""),"",
IF(H515="",Pole_Calc!A543,
IF(H515="MP",Pole_Calc!A544,
IF(H515="AnMP",Pole_Calc!A545,
IF(H515="A",Pole_Calc!A546,
IF(H515="S/A",Pole_Calc!A547,
IF(H515="A/S",Pole_Calc!A548,"Poner a mano")))))))</f>
        <v/>
      </c>
      <c r="BE515" s="448" t="s">
        <v>1726</v>
      </c>
      <c r="BF515" s="635"/>
      <c r="BG515" s="635"/>
      <c r="BH515" s="634"/>
      <c r="BI515" s="635"/>
    </row>
    <row r="516" spans="1:61" ht="16.2" customHeight="1">
      <c r="A516" s="12"/>
      <c r="B516" s="446"/>
      <c r="C516" s="89"/>
      <c r="D516" s="13"/>
      <c r="E516" s="14"/>
      <c r="F516" s="14"/>
      <c r="G516" s="15"/>
      <c r="H516" s="8"/>
      <c r="I516" s="8"/>
      <c r="J516" s="89"/>
      <c r="K516" s="8"/>
      <c r="L516" s="8"/>
      <c r="M516" s="8" t="str">
        <f>IF(L516="","",
IF(AX516="PT",VLOOKUP(L516,Foundation_Calc!$V$4:$X$37,VLOOKUP(AX516,Foundation_Calc!$I$10:$J$13,2,FALSE),0),
IF(AX516="K",VLOOKUP(L516,Foundation_Calc!$V$41:$X$74,VLOOKUP(AX516,Foundation_Calc!$I$10:$J$13,2,FALSE),0),"")))</f>
        <v/>
      </c>
      <c r="N516" s="8"/>
      <c r="O516" s="8"/>
      <c r="P516" s="8"/>
      <c r="Q516" s="14"/>
      <c r="R516" s="15"/>
      <c r="S516" s="15"/>
      <c r="T516" s="14"/>
      <c r="U516" s="14"/>
      <c r="V516" s="14"/>
      <c r="W516" s="18"/>
      <c r="X516" s="18"/>
      <c r="Y516" s="18"/>
      <c r="Z516" s="18"/>
      <c r="AA516" s="18"/>
      <c r="AB516" s="18"/>
      <c r="AC516" s="8" t="str">
        <f t="shared" si="98"/>
        <v/>
      </c>
      <c r="AD516" s="8"/>
      <c r="AE516" s="8"/>
      <c r="AF516" s="14"/>
      <c r="AG516" s="13"/>
      <c r="AH516" s="14"/>
      <c r="AI516" s="14"/>
      <c r="AJ516" s="8"/>
      <c r="AK516" s="8"/>
      <c r="AL516" s="8"/>
      <c r="AM516" s="8"/>
      <c r="AN516" s="631"/>
      <c r="AO516" s="18"/>
      <c r="AP516" s="18"/>
      <c r="AQ516" s="18"/>
      <c r="AR516" s="18"/>
      <c r="AS516" s="18"/>
      <c r="AU516" s="448"/>
      <c r="AV516" s="448"/>
      <c r="AW516" s="8" t="str">
        <f>IF(C516&gt;0,VLOOKUP(C516,Foundation_Calc!$A$2:$C$986,3,1),
IF(J516&gt;0,VLOOKUP(J516,Foundation_Calc!$A$2:$C$986,3,1),""))</f>
        <v/>
      </c>
      <c r="AX516" s="8" t="str">
        <f>IF(C516&gt;0,VLOOKUP(C516,Foundation_Calc!$E$2:$G$986,3,1),
IF(J516&gt;0,VLOOKUP(J516,Foundation_Calc!$E$2:$G$986,3,1),""))</f>
        <v/>
      </c>
      <c r="AY516" s="631" t="str">
        <f>IF(L516="","",
IF(AX516="PT",VLOOKUP(L516,Foundation_Calc!$K$4:$R$37,VLOOKUP(AW516,Foundation_Calc!$I$2:$J$8,2,FALSE),0),
IF(AX516="K",VLOOKUP(L516,Foundation_Calc!$K$41:$R$74,VLOOKUP(AW516,Foundation_Calc!$I$2:$J$8,2,FALSE),0),"")))</f>
        <v/>
      </c>
      <c r="AZ516" s="631" t="str">
        <f>IF(K516="","",
IF(AX516="PT",VLOOKUP(K516,Foundation_Calc!$K$4:$R$37,VLOOKUP(AW516,Foundation_Calc!$I$2:$J$8,2,FALSE),0),
IF(AX516="K",VLOOKUP(K516,Foundation_Calc!$K$41:$R$74,VLOOKUP(AW516,Foundation_Calc!$I$2:$J$8,2,FALSE),0),"")))</f>
        <v/>
      </c>
      <c r="BA516" s="632" t="str">
        <f t="shared" si="99"/>
        <v/>
      </c>
      <c r="BB516" s="632" t="str">
        <f t="shared" si="100"/>
        <v/>
      </c>
      <c r="BC516" s="632" t="str">
        <f t="shared" si="101"/>
        <v/>
      </c>
      <c r="BD516" s="633" t="str">
        <f>IF(AND(L516="",H516=""),"",
IF(H516="",Pole_Calc!A544,
IF(H516="MP",Pole_Calc!A545,
IF(H516="AnMP",Pole_Calc!A546,
IF(H516="A",Pole_Calc!A547,
IF(H516="S/A",Pole_Calc!A548,
IF(H516="A/S",Pole_Calc!A549,"Poner a mano")))))))</f>
        <v/>
      </c>
      <c r="BE516" s="448" t="s">
        <v>1726</v>
      </c>
      <c r="BF516" s="634"/>
      <c r="BG516" s="634"/>
      <c r="BH516" s="634"/>
      <c r="BI516" s="634"/>
    </row>
    <row r="517" spans="1:61" ht="16.2" customHeight="1">
      <c r="A517" s="12"/>
      <c r="B517" s="446"/>
      <c r="C517" s="89"/>
      <c r="D517" s="13"/>
      <c r="E517" s="14"/>
      <c r="F517" s="14"/>
      <c r="G517" s="15"/>
      <c r="H517" s="8"/>
      <c r="I517" s="8"/>
      <c r="J517" s="89"/>
      <c r="K517" s="8"/>
      <c r="L517" s="8"/>
      <c r="M517" s="8" t="str">
        <f>IF(L517="","",
IF(AX517="PT",VLOOKUP(L517,Foundation_Calc!$V$4:$X$37,VLOOKUP(AX517,Foundation_Calc!$I$10:$J$13,2,FALSE),0),
IF(AX517="K",VLOOKUP(L517,Foundation_Calc!$V$41:$X$74,VLOOKUP(AX517,Foundation_Calc!$I$10:$J$13,2,FALSE),0),"")))</f>
        <v/>
      </c>
      <c r="N517" s="8"/>
      <c r="O517" s="8"/>
      <c r="P517" s="8"/>
      <c r="Q517" s="14"/>
      <c r="R517" s="15"/>
      <c r="S517" s="15"/>
      <c r="T517" s="14"/>
      <c r="U517" s="14"/>
      <c r="V517" s="14"/>
      <c r="W517" s="18"/>
      <c r="X517" s="18"/>
      <c r="Y517" s="18"/>
      <c r="Z517" s="18"/>
      <c r="AA517" s="18"/>
      <c r="AB517" s="18"/>
      <c r="AC517" s="8" t="str">
        <f t="shared" si="98"/>
        <v/>
      </c>
      <c r="AD517" s="8"/>
      <c r="AE517" s="8"/>
      <c r="AF517" s="14"/>
      <c r="AG517" s="13"/>
      <c r="AH517" s="14"/>
      <c r="AI517" s="14"/>
      <c r="AJ517" s="8"/>
      <c r="AK517" s="8"/>
      <c r="AL517" s="8"/>
      <c r="AM517" s="8"/>
      <c r="AN517" s="631"/>
      <c r="AO517" s="18"/>
      <c r="AP517" s="18"/>
      <c r="AQ517" s="18"/>
      <c r="AR517" s="18"/>
      <c r="AS517" s="18"/>
      <c r="AU517" s="448"/>
      <c r="AV517" s="448"/>
      <c r="AW517" s="8" t="str">
        <f>IF(C517&gt;0,VLOOKUP(C517,Foundation_Calc!$A$2:$C$986,3,1),
IF(J517&gt;0,VLOOKUP(J517,Foundation_Calc!$A$2:$C$986,3,1),""))</f>
        <v/>
      </c>
      <c r="AX517" s="8" t="str">
        <f>IF(C517&gt;0,VLOOKUP(C517,Foundation_Calc!$E$2:$G$986,3,1),
IF(J517&gt;0,VLOOKUP(J517,Foundation_Calc!$E$2:$G$986,3,1),""))</f>
        <v/>
      </c>
      <c r="AY517" s="631" t="str">
        <f>IF(L517="","",
IF(AX517="PT",VLOOKUP(L517,Foundation_Calc!$K$4:$R$37,VLOOKUP(AW517,Foundation_Calc!$I$2:$J$8,2,FALSE),0),
IF(AX517="K",VLOOKUP(L517,Foundation_Calc!$K$41:$R$74,VLOOKUP(AW517,Foundation_Calc!$I$2:$J$8,2,FALSE),0),"")))</f>
        <v/>
      </c>
      <c r="AZ517" s="631" t="str">
        <f>IF(K517="","",
IF(AX517="PT",VLOOKUP(K517,Foundation_Calc!$K$4:$R$37,VLOOKUP(AW517,Foundation_Calc!$I$2:$J$8,2,FALSE),0),
IF(AX517="K",VLOOKUP(K517,Foundation_Calc!$K$41:$R$74,VLOOKUP(AW517,Foundation_Calc!$I$2:$J$8,2,FALSE),0),"")))</f>
        <v/>
      </c>
      <c r="BA517" s="632" t="str">
        <f t="shared" si="99"/>
        <v/>
      </c>
      <c r="BB517" s="632" t="str">
        <f t="shared" si="100"/>
        <v/>
      </c>
      <c r="BC517" s="632" t="str">
        <f t="shared" si="101"/>
        <v/>
      </c>
      <c r="BD517" s="633" t="str">
        <f>IF(AND(L517="",H517=""),"",
IF(H517="",Pole_Calc!A545,
IF(H517="MP",Pole_Calc!A546,
IF(H517="AnMP",Pole_Calc!A547,
IF(H517="A",Pole_Calc!A548,
IF(H517="S/A",Pole_Calc!A549,
IF(H517="A/S",Pole_Calc!A550,"Poner a mano")))))))</f>
        <v/>
      </c>
      <c r="BE517" s="448" t="s">
        <v>1726</v>
      </c>
      <c r="BF517" s="635"/>
      <c r="BG517" s="635"/>
      <c r="BH517" s="634"/>
      <c r="BI517" s="635"/>
    </row>
    <row r="518" spans="1:61" ht="16.2" customHeight="1">
      <c r="A518" s="12"/>
      <c r="B518" s="446"/>
      <c r="C518" s="89"/>
      <c r="D518" s="13"/>
      <c r="E518" s="14"/>
      <c r="F518" s="14"/>
      <c r="G518" s="15"/>
      <c r="H518" s="8"/>
      <c r="I518" s="8"/>
      <c r="J518" s="89"/>
      <c r="K518" s="8"/>
      <c r="L518" s="8"/>
      <c r="M518" s="8" t="str">
        <f>IF(L518="","",
IF(AX518="PT",VLOOKUP(L518,Foundation_Calc!$V$4:$X$37,VLOOKUP(AX518,Foundation_Calc!$I$10:$J$13,2,FALSE),0),
IF(AX518="K",VLOOKUP(L518,Foundation_Calc!$V$41:$X$74,VLOOKUP(AX518,Foundation_Calc!$I$10:$J$13,2,FALSE),0),"")))</f>
        <v/>
      </c>
      <c r="N518" s="8"/>
      <c r="O518" s="8"/>
      <c r="P518" s="8"/>
      <c r="Q518" s="14"/>
      <c r="R518" s="15"/>
      <c r="S518" s="15"/>
      <c r="T518" s="14"/>
      <c r="U518" s="14"/>
      <c r="V518" s="14"/>
      <c r="W518" s="18"/>
      <c r="X518" s="18"/>
      <c r="Y518" s="18"/>
      <c r="Z518" s="18"/>
      <c r="AA518" s="18"/>
      <c r="AB518" s="18"/>
      <c r="AC518" s="8" t="str">
        <f t="shared" ref="AC518:AC581" si="102">IF(OR(AT518&gt;8,AT518&lt;-8),"PH",
IF(OR(AT518&gt;5,AT518&lt;-5),"PHQ",
IF(OR(AT518&gt;1,AT518&lt;-1),
"PHC","")))</f>
        <v/>
      </c>
      <c r="AD518" s="8"/>
      <c r="AE518" s="8"/>
      <c r="AF518" s="14"/>
      <c r="AG518" s="13"/>
      <c r="AH518" s="14"/>
      <c r="AI518" s="14"/>
      <c r="AJ518" s="8"/>
      <c r="AK518" s="8"/>
      <c r="AL518" s="8"/>
      <c r="AM518" s="8"/>
      <c r="AN518" s="631"/>
      <c r="AO518" s="18"/>
      <c r="AP518" s="18"/>
      <c r="AQ518" s="18"/>
      <c r="AR518" s="18"/>
      <c r="AS518" s="18"/>
      <c r="AU518" s="448"/>
      <c r="AV518" s="448"/>
      <c r="AW518" s="8" t="str">
        <f>IF(C518&gt;0,VLOOKUP(C518,Foundation_Calc!$A$2:$C$986,3,1),
IF(J518&gt;0,VLOOKUP(J518,Foundation_Calc!$A$2:$C$986,3,1),""))</f>
        <v/>
      </c>
      <c r="AX518" s="8" t="str">
        <f>IF(C518&gt;0,VLOOKUP(C518,Foundation_Calc!$E$2:$G$986,3,1),
IF(J518&gt;0,VLOOKUP(J518,Foundation_Calc!$E$2:$G$986,3,1),""))</f>
        <v/>
      </c>
      <c r="AY518" s="631" t="str">
        <f>IF(L518="","",
IF(AX518="PT",VLOOKUP(L518,Foundation_Calc!$K$4:$R$37,VLOOKUP(AW518,Foundation_Calc!$I$2:$J$8,2,FALSE),0),
IF(AX518="K",VLOOKUP(L518,Foundation_Calc!$K$41:$R$74,VLOOKUP(AW518,Foundation_Calc!$I$2:$J$8,2,FALSE),0),"")))</f>
        <v/>
      </c>
      <c r="AZ518" s="631" t="str">
        <f>IF(K518="","",
IF(AX518="PT",VLOOKUP(K518,Foundation_Calc!$K$4:$R$37,VLOOKUP(AW518,Foundation_Calc!$I$2:$J$8,2,FALSE),0),
IF(AX518="K",VLOOKUP(K518,Foundation_Calc!$K$41:$R$74,VLOOKUP(AW518,Foundation_Calc!$I$2:$J$8,2,FALSE),0),"")))</f>
        <v/>
      </c>
      <c r="BA518" s="632" t="str">
        <f t="shared" ref="BA518:BA581" si="103">IF(AY518="","",IF(AY518&gt;0,"ü",""))</f>
        <v/>
      </c>
      <c r="BB518" s="632" t="str">
        <f t="shared" ref="BB518:BB581" si="104">IF(AZ518="","",IF(AZ518&gt;0,"ü",""))</f>
        <v/>
      </c>
      <c r="BC518" s="632" t="str">
        <f t="shared" ref="BC518:BC581" si="105">IF(M518="","",IF(M518="Unique Solution","ü",""))</f>
        <v/>
      </c>
      <c r="BD518" s="633" t="str">
        <f>IF(AND(L518="",H518=""),"",
IF(H518="",Pole_Calc!A546,
IF(H518="MP",Pole_Calc!A547,
IF(H518="AnMP",Pole_Calc!A548,
IF(H518="A",Pole_Calc!A549,
IF(H518="S/A",Pole_Calc!A550,
IF(H518="A/S",Pole_Calc!A551,"Poner a mano")))))))</f>
        <v/>
      </c>
      <c r="BE518" s="448" t="s">
        <v>1726</v>
      </c>
      <c r="BF518" s="634"/>
      <c r="BG518" s="634"/>
      <c r="BH518" s="634"/>
      <c r="BI518" s="634"/>
    </row>
    <row r="519" spans="1:61" ht="16.2" customHeight="1">
      <c r="A519" s="12"/>
      <c r="B519" s="446"/>
      <c r="C519" s="89"/>
      <c r="D519" s="13"/>
      <c r="E519" s="14"/>
      <c r="F519" s="14"/>
      <c r="G519" s="15"/>
      <c r="H519" s="8"/>
      <c r="I519" s="8"/>
      <c r="J519" s="89"/>
      <c r="K519" s="8"/>
      <c r="L519" s="8"/>
      <c r="M519" s="8" t="str">
        <f>IF(L519="","",
IF(AX519="PT",VLOOKUP(L519,Foundation_Calc!$V$4:$X$37,VLOOKUP(AX519,Foundation_Calc!$I$10:$J$13,2,FALSE),0),
IF(AX519="K",VLOOKUP(L519,Foundation_Calc!$V$41:$X$74,VLOOKUP(AX519,Foundation_Calc!$I$10:$J$13,2,FALSE),0),"")))</f>
        <v/>
      </c>
      <c r="N519" s="8"/>
      <c r="O519" s="8"/>
      <c r="P519" s="8"/>
      <c r="Q519" s="14"/>
      <c r="R519" s="15"/>
      <c r="S519" s="15"/>
      <c r="T519" s="14"/>
      <c r="U519" s="14"/>
      <c r="V519" s="14"/>
      <c r="W519" s="18"/>
      <c r="X519" s="18"/>
      <c r="Y519" s="18"/>
      <c r="Z519" s="18"/>
      <c r="AA519" s="18"/>
      <c r="AB519" s="18"/>
      <c r="AC519" s="8" t="str">
        <f t="shared" si="102"/>
        <v/>
      </c>
      <c r="AD519" s="8"/>
      <c r="AE519" s="8"/>
      <c r="AF519" s="14"/>
      <c r="AG519" s="13"/>
      <c r="AH519" s="14"/>
      <c r="AI519" s="14"/>
      <c r="AJ519" s="8"/>
      <c r="AK519" s="8"/>
      <c r="AL519" s="8"/>
      <c r="AM519" s="8"/>
      <c r="AN519" s="631"/>
      <c r="AO519" s="18"/>
      <c r="AP519" s="18"/>
      <c r="AQ519" s="18"/>
      <c r="AR519" s="18"/>
      <c r="AS519" s="18"/>
      <c r="AU519" s="448"/>
      <c r="AV519" s="448"/>
      <c r="AW519" s="8" t="str">
        <f>IF(C519&gt;0,VLOOKUP(C519,Foundation_Calc!$A$2:$C$986,3,1),
IF(J519&gt;0,VLOOKUP(J519,Foundation_Calc!$A$2:$C$986,3,1),""))</f>
        <v/>
      </c>
      <c r="AX519" s="8" t="str">
        <f>IF(C519&gt;0,VLOOKUP(C519,Foundation_Calc!$E$2:$G$986,3,1),
IF(J519&gt;0,VLOOKUP(J519,Foundation_Calc!$E$2:$G$986,3,1),""))</f>
        <v/>
      </c>
      <c r="AY519" s="631" t="str">
        <f>IF(L519="","",
IF(AX519="PT",VLOOKUP(L519,Foundation_Calc!$K$4:$R$37,VLOOKUP(AW519,Foundation_Calc!$I$2:$J$8,2,FALSE),0),
IF(AX519="K",VLOOKUP(L519,Foundation_Calc!$K$41:$R$74,VLOOKUP(AW519,Foundation_Calc!$I$2:$J$8,2,FALSE),0),"")))</f>
        <v/>
      </c>
      <c r="AZ519" s="631" t="str">
        <f>IF(K519="","",
IF(AX519="PT",VLOOKUP(K519,Foundation_Calc!$K$4:$R$37,VLOOKUP(AW519,Foundation_Calc!$I$2:$J$8,2,FALSE),0),
IF(AX519="K",VLOOKUP(K519,Foundation_Calc!$K$41:$R$74,VLOOKUP(AW519,Foundation_Calc!$I$2:$J$8,2,FALSE),0),"")))</f>
        <v/>
      </c>
      <c r="BA519" s="632" t="str">
        <f t="shared" si="103"/>
        <v/>
      </c>
      <c r="BB519" s="632" t="str">
        <f t="shared" si="104"/>
        <v/>
      </c>
      <c r="BC519" s="632" t="str">
        <f t="shared" si="105"/>
        <v/>
      </c>
      <c r="BD519" s="633" t="str">
        <f>IF(AND(L519="",H519=""),"",
IF(H519="",Pole_Calc!A547,
IF(H519="MP",Pole_Calc!A548,
IF(H519="AnMP",Pole_Calc!A549,
IF(H519="A",Pole_Calc!A550,
IF(H519="S/A",Pole_Calc!A551,
IF(H519="A/S",Pole_Calc!A552,"Poner a mano")))))))</f>
        <v/>
      </c>
      <c r="BE519" s="448" t="s">
        <v>1726</v>
      </c>
      <c r="BF519" s="635"/>
      <c r="BG519" s="635"/>
      <c r="BH519" s="634"/>
      <c r="BI519" s="635"/>
    </row>
    <row r="520" spans="1:61" ht="16.2" customHeight="1">
      <c r="A520" s="12"/>
      <c r="B520" s="446"/>
      <c r="C520" s="89"/>
      <c r="D520" s="13"/>
      <c r="E520" s="14"/>
      <c r="F520" s="14"/>
      <c r="G520" s="15"/>
      <c r="H520" s="8"/>
      <c r="I520" s="8"/>
      <c r="J520" s="89"/>
      <c r="K520" s="8"/>
      <c r="L520" s="8"/>
      <c r="M520" s="8" t="str">
        <f>IF(L520="","",
IF(AX520="PT",VLOOKUP(L520,Foundation_Calc!$V$4:$X$37,VLOOKUP(AX520,Foundation_Calc!$I$10:$J$13,2,FALSE),0),
IF(AX520="K",VLOOKUP(L520,Foundation_Calc!$V$41:$X$74,VLOOKUP(AX520,Foundation_Calc!$I$10:$J$13,2,FALSE),0),"")))</f>
        <v/>
      </c>
      <c r="N520" s="8"/>
      <c r="O520" s="8"/>
      <c r="P520" s="8"/>
      <c r="Q520" s="14"/>
      <c r="R520" s="15"/>
      <c r="S520" s="15"/>
      <c r="T520" s="14"/>
      <c r="U520" s="14"/>
      <c r="V520" s="14"/>
      <c r="W520" s="18"/>
      <c r="X520" s="18"/>
      <c r="Y520" s="18"/>
      <c r="Z520" s="18"/>
      <c r="AA520" s="18"/>
      <c r="AB520" s="18"/>
      <c r="AC520" s="8" t="str">
        <f t="shared" si="102"/>
        <v/>
      </c>
      <c r="AD520" s="8"/>
      <c r="AE520" s="8"/>
      <c r="AF520" s="14"/>
      <c r="AG520" s="13"/>
      <c r="AH520" s="14"/>
      <c r="AI520" s="14"/>
      <c r="AJ520" s="8"/>
      <c r="AK520" s="8"/>
      <c r="AL520" s="8"/>
      <c r="AM520" s="8"/>
      <c r="AN520" s="631"/>
      <c r="AO520" s="18"/>
      <c r="AP520" s="18"/>
      <c r="AQ520" s="18"/>
      <c r="AR520" s="18"/>
      <c r="AS520" s="18"/>
      <c r="AU520" s="448"/>
      <c r="AV520" s="448"/>
      <c r="AW520" s="8" t="str">
        <f>IF(C520&gt;0,VLOOKUP(C520,Foundation_Calc!$A$2:$C$986,3,1),
IF(J520&gt;0,VLOOKUP(J520,Foundation_Calc!$A$2:$C$986,3,1),""))</f>
        <v/>
      </c>
      <c r="AX520" s="8" t="str">
        <f>IF(C520&gt;0,VLOOKUP(C520,Foundation_Calc!$E$2:$G$986,3,1),
IF(J520&gt;0,VLOOKUP(J520,Foundation_Calc!$E$2:$G$986,3,1),""))</f>
        <v/>
      </c>
      <c r="AY520" s="631" t="str">
        <f>IF(L520="","",
IF(AX520="PT",VLOOKUP(L520,Foundation_Calc!$K$4:$R$37,VLOOKUP(AW520,Foundation_Calc!$I$2:$J$8,2,FALSE),0),
IF(AX520="K",VLOOKUP(L520,Foundation_Calc!$K$41:$R$74,VLOOKUP(AW520,Foundation_Calc!$I$2:$J$8,2,FALSE),0),"")))</f>
        <v/>
      </c>
      <c r="AZ520" s="631" t="str">
        <f>IF(K520="","",
IF(AX520="PT",VLOOKUP(K520,Foundation_Calc!$K$4:$R$37,VLOOKUP(AW520,Foundation_Calc!$I$2:$J$8,2,FALSE),0),
IF(AX520="K",VLOOKUP(K520,Foundation_Calc!$K$41:$R$74,VLOOKUP(AW520,Foundation_Calc!$I$2:$J$8,2,FALSE),0),"")))</f>
        <v/>
      </c>
      <c r="BA520" s="632" t="str">
        <f t="shared" si="103"/>
        <v/>
      </c>
      <c r="BB520" s="632" t="str">
        <f t="shared" si="104"/>
        <v/>
      </c>
      <c r="BC520" s="632" t="str">
        <f t="shared" si="105"/>
        <v/>
      </c>
      <c r="BD520" s="633" t="str">
        <f>IF(AND(L520="",H520=""),"",
IF(H520="",Pole_Calc!A548,
IF(H520="MP",Pole_Calc!A549,
IF(H520="AnMP",Pole_Calc!A550,
IF(H520="A",Pole_Calc!A551,
IF(H520="S/A",Pole_Calc!A552,
IF(H520="A/S",Pole_Calc!A553,"Poner a mano")))))))</f>
        <v/>
      </c>
      <c r="BE520" s="448" t="s">
        <v>1726</v>
      </c>
      <c r="BF520" s="634"/>
      <c r="BG520" s="634"/>
      <c r="BH520" s="634"/>
      <c r="BI520" s="634"/>
    </row>
    <row r="521" spans="1:61" ht="16.2" customHeight="1">
      <c r="A521" s="12"/>
      <c r="B521" s="446"/>
      <c r="C521" s="89"/>
      <c r="D521" s="13"/>
      <c r="E521" s="14"/>
      <c r="F521" s="14"/>
      <c r="G521" s="15"/>
      <c r="H521" s="8"/>
      <c r="I521" s="8"/>
      <c r="J521" s="89"/>
      <c r="K521" s="8"/>
      <c r="L521" s="8"/>
      <c r="M521" s="8" t="str">
        <f>IF(L521="","",
IF(AX521="PT",VLOOKUP(L521,Foundation_Calc!$V$4:$X$37,VLOOKUP(AX521,Foundation_Calc!$I$10:$J$13,2,FALSE),0),
IF(AX521="K",VLOOKUP(L521,Foundation_Calc!$V$41:$X$74,VLOOKUP(AX521,Foundation_Calc!$I$10:$J$13,2,FALSE),0),"")))</f>
        <v/>
      </c>
      <c r="N521" s="8"/>
      <c r="O521" s="8"/>
      <c r="P521" s="8"/>
      <c r="Q521" s="14"/>
      <c r="R521" s="15"/>
      <c r="S521" s="15"/>
      <c r="T521" s="14"/>
      <c r="U521" s="14"/>
      <c r="V521" s="14"/>
      <c r="W521" s="18"/>
      <c r="X521" s="18"/>
      <c r="Y521" s="18"/>
      <c r="Z521" s="18"/>
      <c r="AA521" s="18"/>
      <c r="AB521" s="18"/>
      <c r="AC521" s="8" t="str">
        <f t="shared" si="102"/>
        <v/>
      </c>
      <c r="AD521" s="8"/>
      <c r="AE521" s="8"/>
      <c r="AF521" s="14"/>
      <c r="AG521" s="13"/>
      <c r="AH521" s="14"/>
      <c r="AI521" s="14"/>
      <c r="AJ521" s="8"/>
      <c r="AK521" s="8"/>
      <c r="AL521" s="8"/>
      <c r="AM521" s="8"/>
      <c r="AN521" s="631"/>
      <c r="AO521" s="18"/>
      <c r="AP521" s="18"/>
      <c r="AQ521" s="18"/>
      <c r="AR521" s="18"/>
      <c r="AS521" s="18"/>
      <c r="AU521" s="448"/>
      <c r="AV521" s="448"/>
      <c r="AW521" s="8" t="str">
        <f>IF(C521&gt;0,VLOOKUP(C521,Foundation_Calc!$A$2:$C$986,3,1),
IF(J521&gt;0,VLOOKUP(J521,Foundation_Calc!$A$2:$C$986,3,1),""))</f>
        <v/>
      </c>
      <c r="AX521" s="8" t="str">
        <f>IF(C521&gt;0,VLOOKUP(C521,Foundation_Calc!$E$2:$G$986,3,1),
IF(J521&gt;0,VLOOKUP(J521,Foundation_Calc!$E$2:$G$986,3,1),""))</f>
        <v/>
      </c>
      <c r="AY521" s="631" t="str">
        <f>IF(L521="","",
IF(AX521="PT",VLOOKUP(L521,Foundation_Calc!$K$4:$R$37,VLOOKUP(AW521,Foundation_Calc!$I$2:$J$8,2,FALSE),0),
IF(AX521="K",VLOOKUP(L521,Foundation_Calc!$K$41:$R$74,VLOOKUP(AW521,Foundation_Calc!$I$2:$J$8,2,FALSE),0),"")))</f>
        <v/>
      </c>
      <c r="AZ521" s="631" t="str">
        <f>IF(K521="","",
IF(AX521="PT",VLOOKUP(K521,Foundation_Calc!$K$4:$R$37,VLOOKUP(AW521,Foundation_Calc!$I$2:$J$8,2,FALSE),0),
IF(AX521="K",VLOOKUP(K521,Foundation_Calc!$K$41:$R$74,VLOOKUP(AW521,Foundation_Calc!$I$2:$J$8,2,FALSE),0),"")))</f>
        <v/>
      </c>
      <c r="BA521" s="632" t="str">
        <f t="shared" si="103"/>
        <v/>
      </c>
      <c r="BB521" s="632" t="str">
        <f t="shared" si="104"/>
        <v/>
      </c>
      <c r="BC521" s="632" t="str">
        <f t="shared" si="105"/>
        <v/>
      </c>
      <c r="BD521" s="633" t="str">
        <f>IF(AND(L521="",H521=""),"",
IF(H521="",Pole_Calc!A549,
IF(H521="MP",Pole_Calc!A550,
IF(H521="AnMP",Pole_Calc!A551,
IF(H521="A",Pole_Calc!A552,
IF(H521="S/A",Pole_Calc!A553,
IF(H521="A/S",Pole_Calc!A554,"Poner a mano")))))))</f>
        <v/>
      </c>
      <c r="BE521" s="448" t="s">
        <v>1726</v>
      </c>
      <c r="BF521" s="635"/>
      <c r="BG521" s="635"/>
      <c r="BH521" s="634"/>
      <c r="BI521" s="635"/>
    </row>
    <row r="522" spans="1:61" ht="16.2" customHeight="1">
      <c r="A522" s="12"/>
      <c r="B522" s="446"/>
      <c r="C522" s="89"/>
      <c r="D522" s="13"/>
      <c r="E522" s="14"/>
      <c r="F522" s="14"/>
      <c r="G522" s="15"/>
      <c r="H522" s="8"/>
      <c r="I522" s="8"/>
      <c r="J522" s="89"/>
      <c r="K522" s="8"/>
      <c r="L522" s="8"/>
      <c r="M522" s="8" t="str">
        <f>IF(L522="","",
IF(AX522="PT",VLOOKUP(L522,Foundation_Calc!$V$4:$X$37,VLOOKUP(AX522,Foundation_Calc!$I$10:$J$13,2,FALSE),0),
IF(AX522="K",VLOOKUP(L522,Foundation_Calc!$V$41:$X$74,VLOOKUP(AX522,Foundation_Calc!$I$10:$J$13,2,FALSE),0),"")))</f>
        <v/>
      </c>
      <c r="N522" s="8"/>
      <c r="O522" s="8"/>
      <c r="P522" s="8"/>
      <c r="Q522" s="14"/>
      <c r="R522" s="15"/>
      <c r="S522" s="15"/>
      <c r="T522" s="14"/>
      <c r="U522" s="14"/>
      <c r="V522" s="14"/>
      <c r="W522" s="18"/>
      <c r="X522" s="18"/>
      <c r="Y522" s="18"/>
      <c r="Z522" s="18"/>
      <c r="AA522" s="18"/>
      <c r="AB522" s="18"/>
      <c r="AC522" s="8" t="str">
        <f t="shared" si="102"/>
        <v/>
      </c>
      <c r="AD522" s="8"/>
      <c r="AE522" s="8"/>
      <c r="AF522" s="14"/>
      <c r="AG522" s="13"/>
      <c r="AH522" s="14"/>
      <c r="AI522" s="14"/>
      <c r="AJ522" s="8"/>
      <c r="AK522" s="8"/>
      <c r="AL522" s="8"/>
      <c r="AM522" s="8"/>
      <c r="AN522" s="631"/>
      <c r="AO522" s="18"/>
      <c r="AP522" s="18"/>
      <c r="AQ522" s="18"/>
      <c r="AR522" s="18"/>
      <c r="AS522" s="18"/>
      <c r="AU522" s="448"/>
      <c r="AV522" s="448"/>
      <c r="AW522" s="8" t="str">
        <f>IF(C522&gt;0,VLOOKUP(C522,Foundation_Calc!$A$2:$C$986,3,1),
IF(J522&gt;0,VLOOKUP(J522,Foundation_Calc!$A$2:$C$986,3,1),""))</f>
        <v/>
      </c>
      <c r="AX522" s="8" t="str">
        <f>IF(C522&gt;0,VLOOKUP(C522,Foundation_Calc!$E$2:$G$986,3,1),
IF(J522&gt;0,VLOOKUP(J522,Foundation_Calc!$E$2:$G$986,3,1),""))</f>
        <v/>
      </c>
      <c r="AY522" s="631" t="str">
        <f>IF(L522="","",
IF(AX522="PT",VLOOKUP(L522,Foundation_Calc!$K$4:$R$37,VLOOKUP(AW522,Foundation_Calc!$I$2:$J$8,2,FALSE),0),
IF(AX522="K",VLOOKUP(L522,Foundation_Calc!$K$41:$R$74,VLOOKUP(AW522,Foundation_Calc!$I$2:$J$8,2,FALSE),0),"")))</f>
        <v/>
      </c>
      <c r="AZ522" s="631" t="str">
        <f>IF(K522="","",
IF(AX522="PT",VLOOKUP(K522,Foundation_Calc!$K$4:$R$37,VLOOKUP(AW522,Foundation_Calc!$I$2:$J$8,2,FALSE),0),
IF(AX522="K",VLOOKUP(K522,Foundation_Calc!$K$41:$R$74,VLOOKUP(AW522,Foundation_Calc!$I$2:$J$8,2,FALSE),0),"")))</f>
        <v/>
      </c>
      <c r="BA522" s="632" t="str">
        <f t="shared" si="103"/>
        <v/>
      </c>
      <c r="BB522" s="632" t="str">
        <f t="shared" si="104"/>
        <v/>
      </c>
      <c r="BC522" s="632" t="str">
        <f t="shared" si="105"/>
        <v/>
      </c>
      <c r="BD522" s="633" t="str">
        <f>IF(AND(L522="",H522=""),"",
IF(H522="",Pole_Calc!A550,
IF(H522="MP",Pole_Calc!A551,
IF(H522="AnMP",Pole_Calc!A552,
IF(H522="A",Pole_Calc!A553,
IF(H522="S/A",Pole_Calc!A554,
IF(H522="A/S",Pole_Calc!A555,"Poner a mano")))))))</f>
        <v/>
      </c>
      <c r="BE522" s="448" t="s">
        <v>1726</v>
      </c>
      <c r="BF522" s="634"/>
      <c r="BG522" s="634"/>
      <c r="BH522" s="634"/>
      <c r="BI522" s="634"/>
    </row>
    <row r="523" spans="1:61" ht="16.2" customHeight="1">
      <c r="A523" s="12"/>
      <c r="B523" s="446"/>
      <c r="C523" s="89"/>
      <c r="D523" s="13"/>
      <c r="E523" s="14"/>
      <c r="F523" s="14"/>
      <c r="G523" s="15"/>
      <c r="H523" s="8"/>
      <c r="I523" s="8"/>
      <c r="J523" s="89"/>
      <c r="K523" s="8"/>
      <c r="L523" s="8"/>
      <c r="M523" s="8" t="str">
        <f>IF(L523="","",
IF(AX523="PT",VLOOKUP(L523,Foundation_Calc!$V$4:$X$37,VLOOKUP(AX523,Foundation_Calc!$I$10:$J$13,2,FALSE),0),
IF(AX523="K",VLOOKUP(L523,Foundation_Calc!$V$41:$X$74,VLOOKUP(AX523,Foundation_Calc!$I$10:$J$13,2,FALSE),0),"")))</f>
        <v/>
      </c>
      <c r="N523" s="8"/>
      <c r="O523" s="8"/>
      <c r="P523" s="8"/>
      <c r="Q523" s="14"/>
      <c r="R523" s="15"/>
      <c r="S523" s="15"/>
      <c r="T523" s="14"/>
      <c r="U523" s="14"/>
      <c r="V523" s="14"/>
      <c r="W523" s="18"/>
      <c r="X523" s="18"/>
      <c r="Y523" s="18"/>
      <c r="Z523" s="18"/>
      <c r="AA523" s="18"/>
      <c r="AB523" s="18"/>
      <c r="AC523" s="8" t="str">
        <f t="shared" si="102"/>
        <v/>
      </c>
      <c r="AD523" s="8"/>
      <c r="AE523" s="8"/>
      <c r="AF523" s="14"/>
      <c r="AG523" s="13"/>
      <c r="AH523" s="14"/>
      <c r="AI523" s="14"/>
      <c r="AJ523" s="8"/>
      <c r="AK523" s="8"/>
      <c r="AL523" s="8"/>
      <c r="AM523" s="8"/>
      <c r="AN523" s="631"/>
      <c r="AO523" s="18"/>
      <c r="AP523" s="18"/>
      <c r="AQ523" s="18"/>
      <c r="AR523" s="18"/>
      <c r="AS523" s="18"/>
      <c r="AU523" s="448"/>
      <c r="AV523" s="448"/>
      <c r="AW523" s="8" t="str">
        <f>IF(C523&gt;0,VLOOKUP(C523,Foundation_Calc!$A$2:$C$986,3,1),
IF(J523&gt;0,VLOOKUP(J523,Foundation_Calc!$A$2:$C$986,3,1),""))</f>
        <v/>
      </c>
      <c r="AX523" s="8" t="str">
        <f>IF(C523&gt;0,VLOOKUP(C523,Foundation_Calc!$E$2:$G$986,3,1),
IF(J523&gt;0,VLOOKUP(J523,Foundation_Calc!$E$2:$G$986,3,1),""))</f>
        <v/>
      </c>
      <c r="AY523" s="631" t="str">
        <f>IF(L523="","",
IF(AX523="PT",VLOOKUP(L523,Foundation_Calc!$K$4:$R$37,VLOOKUP(AW523,Foundation_Calc!$I$2:$J$8,2,FALSE),0),
IF(AX523="K",VLOOKUP(L523,Foundation_Calc!$K$41:$R$74,VLOOKUP(AW523,Foundation_Calc!$I$2:$J$8,2,FALSE),0),"")))</f>
        <v/>
      </c>
      <c r="AZ523" s="631" t="str">
        <f>IF(K523="","",
IF(AX523="PT",VLOOKUP(K523,Foundation_Calc!$K$4:$R$37,VLOOKUP(AW523,Foundation_Calc!$I$2:$J$8,2,FALSE),0),
IF(AX523="K",VLOOKUP(K523,Foundation_Calc!$K$41:$R$74,VLOOKUP(AW523,Foundation_Calc!$I$2:$J$8,2,FALSE),0),"")))</f>
        <v/>
      </c>
      <c r="BA523" s="632" t="str">
        <f t="shared" si="103"/>
        <v/>
      </c>
      <c r="BB523" s="632" t="str">
        <f t="shared" si="104"/>
        <v/>
      </c>
      <c r="BC523" s="632" t="str">
        <f t="shared" si="105"/>
        <v/>
      </c>
      <c r="BD523" s="633" t="str">
        <f>IF(AND(L523="",H523=""),"",
IF(H523="",Pole_Calc!A551,
IF(H523="MP",Pole_Calc!A552,
IF(H523="AnMP",Pole_Calc!A553,
IF(H523="A",Pole_Calc!A554,
IF(H523="S/A",Pole_Calc!A555,
IF(H523="A/S",Pole_Calc!A556,"Poner a mano")))))))</f>
        <v/>
      </c>
      <c r="BE523" s="448" t="s">
        <v>1726</v>
      </c>
      <c r="BF523" s="635"/>
      <c r="BG523" s="635"/>
      <c r="BH523" s="634"/>
      <c r="BI523" s="635"/>
    </row>
    <row r="524" spans="1:61" ht="16.2" customHeight="1">
      <c r="A524" s="12"/>
      <c r="B524" s="446"/>
      <c r="C524" s="89"/>
      <c r="D524" s="13"/>
      <c r="E524" s="14"/>
      <c r="F524" s="14"/>
      <c r="G524" s="15"/>
      <c r="H524" s="8"/>
      <c r="I524" s="8"/>
      <c r="J524" s="89"/>
      <c r="K524" s="8"/>
      <c r="L524" s="8"/>
      <c r="M524" s="8" t="str">
        <f>IF(L524="","",
IF(AX524="PT",VLOOKUP(L524,Foundation_Calc!$V$4:$X$37,VLOOKUP(AX524,Foundation_Calc!$I$10:$J$13,2,FALSE),0),
IF(AX524="K",VLOOKUP(L524,Foundation_Calc!$V$41:$X$74,VLOOKUP(AX524,Foundation_Calc!$I$10:$J$13,2,FALSE),0),"")))</f>
        <v/>
      </c>
      <c r="N524" s="8"/>
      <c r="O524" s="8"/>
      <c r="P524" s="8"/>
      <c r="Q524" s="14"/>
      <c r="R524" s="15"/>
      <c r="S524" s="15"/>
      <c r="T524" s="14"/>
      <c r="U524" s="14"/>
      <c r="V524" s="14"/>
      <c r="W524" s="18"/>
      <c r="X524" s="18"/>
      <c r="Y524" s="18"/>
      <c r="Z524" s="18"/>
      <c r="AA524" s="18"/>
      <c r="AB524" s="18"/>
      <c r="AC524" s="8" t="str">
        <f t="shared" si="102"/>
        <v/>
      </c>
      <c r="AD524" s="8"/>
      <c r="AE524" s="8"/>
      <c r="AF524" s="14"/>
      <c r="AG524" s="13"/>
      <c r="AH524" s="14"/>
      <c r="AI524" s="14"/>
      <c r="AJ524" s="8"/>
      <c r="AK524" s="8"/>
      <c r="AL524" s="8"/>
      <c r="AM524" s="8"/>
      <c r="AN524" s="631"/>
      <c r="AO524" s="18"/>
      <c r="AP524" s="18"/>
      <c r="AQ524" s="18"/>
      <c r="AR524" s="18"/>
      <c r="AS524" s="18"/>
      <c r="AU524" s="448"/>
      <c r="AV524" s="448"/>
      <c r="AW524" s="8" t="str">
        <f>IF(C524&gt;0,VLOOKUP(C524,Foundation_Calc!$A$2:$C$986,3,1),
IF(J524&gt;0,VLOOKUP(J524,Foundation_Calc!$A$2:$C$986,3,1),""))</f>
        <v/>
      </c>
      <c r="AX524" s="8" t="str">
        <f>IF(C524&gt;0,VLOOKUP(C524,Foundation_Calc!$E$2:$G$986,3,1),
IF(J524&gt;0,VLOOKUP(J524,Foundation_Calc!$E$2:$G$986,3,1),""))</f>
        <v/>
      </c>
      <c r="AY524" s="631" t="str">
        <f>IF(L524="","",
IF(AX524="PT",VLOOKUP(L524,Foundation_Calc!$K$4:$R$37,VLOOKUP(AW524,Foundation_Calc!$I$2:$J$8,2,FALSE),0),
IF(AX524="K",VLOOKUP(L524,Foundation_Calc!$K$41:$R$74,VLOOKUP(AW524,Foundation_Calc!$I$2:$J$8,2,FALSE),0),"")))</f>
        <v/>
      </c>
      <c r="AZ524" s="631" t="str">
        <f>IF(K524="","",
IF(AX524="PT",VLOOKUP(K524,Foundation_Calc!$K$4:$R$37,VLOOKUP(AW524,Foundation_Calc!$I$2:$J$8,2,FALSE),0),
IF(AX524="K",VLOOKUP(K524,Foundation_Calc!$K$41:$R$74,VLOOKUP(AW524,Foundation_Calc!$I$2:$J$8,2,FALSE),0),"")))</f>
        <v/>
      </c>
      <c r="BA524" s="632" t="str">
        <f t="shared" si="103"/>
        <v/>
      </c>
      <c r="BB524" s="632" t="str">
        <f t="shared" si="104"/>
        <v/>
      </c>
      <c r="BC524" s="632" t="str">
        <f t="shared" si="105"/>
        <v/>
      </c>
      <c r="BD524" s="633" t="str">
        <f>IF(AND(L524="",H524=""),"",
IF(H524="",Pole_Calc!A552,
IF(H524="MP",Pole_Calc!A553,
IF(H524="AnMP",Pole_Calc!A554,
IF(H524="A",Pole_Calc!A555,
IF(H524="S/A",Pole_Calc!A556,
IF(H524="A/S",Pole_Calc!A557,"Poner a mano")))))))</f>
        <v/>
      </c>
      <c r="BE524" s="448" t="s">
        <v>1726</v>
      </c>
      <c r="BF524" s="634"/>
      <c r="BG524" s="634"/>
      <c r="BH524" s="634"/>
      <c r="BI524" s="634"/>
    </row>
    <row r="525" spans="1:61" ht="16.2" customHeight="1">
      <c r="A525" s="12"/>
      <c r="B525" s="446"/>
      <c r="C525" s="89"/>
      <c r="D525" s="13"/>
      <c r="E525" s="14"/>
      <c r="F525" s="14"/>
      <c r="G525" s="15"/>
      <c r="H525" s="8"/>
      <c r="I525" s="8"/>
      <c r="J525" s="89"/>
      <c r="K525" s="8"/>
      <c r="L525" s="8"/>
      <c r="M525" s="8" t="str">
        <f>IF(L525="","",
IF(AX525="PT",VLOOKUP(L525,Foundation_Calc!$V$4:$X$37,VLOOKUP(AX525,Foundation_Calc!$I$10:$J$13,2,FALSE),0),
IF(AX525="K",VLOOKUP(L525,Foundation_Calc!$V$41:$X$74,VLOOKUP(AX525,Foundation_Calc!$I$10:$J$13,2,FALSE),0),"")))</f>
        <v/>
      </c>
      <c r="N525" s="8"/>
      <c r="O525" s="8"/>
      <c r="P525" s="8"/>
      <c r="Q525" s="14"/>
      <c r="R525" s="15"/>
      <c r="S525" s="15"/>
      <c r="T525" s="14"/>
      <c r="U525" s="14"/>
      <c r="V525" s="14"/>
      <c r="W525" s="18"/>
      <c r="X525" s="18"/>
      <c r="Y525" s="18"/>
      <c r="Z525" s="18"/>
      <c r="AA525" s="18"/>
      <c r="AB525" s="18"/>
      <c r="AC525" s="8" t="str">
        <f t="shared" si="102"/>
        <v/>
      </c>
      <c r="AD525" s="8"/>
      <c r="AE525" s="8"/>
      <c r="AF525" s="14"/>
      <c r="AG525" s="13"/>
      <c r="AH525" s="14"/>
      <c r="AI525" s="14"/>
      <c r="AJ525" s="8"/>
      <c r="AK525" s="8"/>
      <c r="AL525" s="8"/>
      <c r="AM525" s="8"/>
      <c r="AN525" s="631"/>
      <c r="AO525" s="18"/>
      <c r="AP525" s="18"/>
      <c r="AQ525" s="18"/>
      <c r="AR525" s="18"/>
      <c r="AS525" s="18"/>
      <c r="AU525" s="448"/>
      <c r="AV525" s="448"/>
      <c r="AW525" s="8" t="str">
        <f>IF(C525&gt;0,VLOOKUP(C525,Foundation_Calc!$A$2:$C$986,3,1),
IF(J525&gt;0,VLOOKUP(J525,Foundation_Calc!$A$2:$C$986,3,1),""))</f>
        <v/>
      </c>
      <c r="AX525" s="8" t="str">
        <f>IF(C525&gt;0,VLOOKUP(C525,Foundation_Calc!$E$2:$G$986,3,1),
IF(J525&gt;0,VLOOKUP(J525,Foundation_Calc!$E$2:$G$986,3,1),""))</f>
        <v/>
      </c>
      <c r="AY525" s="631" t="str">
        <f>IF(L525="","",
IF(AX525="PT",VLOOKUP(L525,Foundation_Calc!$K$4:$R$37,VLOOKUP(AW525,Foundation_Calc!$I$2:$J$8,2,FALSE),0),
IF(AX525="K",VLOOKUP(L525,Foundation_Calc!$K$41:$R$74,VLOOKUP(AW525,Foundation_Calc!$I$2:$J$8,2,FALSE),0),"")))</f>
        <v/>
      </c>
      <c r="AZ525" s="631" t="str">
        <f>IF(K525="","",
IF(AX525="PT",VLOOKUP(K525,Foundation_Calc!$K$4:$R$37,VLOOKUP(AW525,Foundation_Calc!$I$2:$J$8,2,FALSE),0),
IF(AX525="K",VLOOKUP(K525,Foundation_Calc!$K$41:$R$74,VLOOKUP(AW525,Foundation_Calc!$I$2:$J$8,2,FALSE),0),"")))</f>
        <v/>
      </c>
      <c r="BA525" s="632" t="str">
        <f t="shared" si="103"/>
        <v/>
      </c>
      <c r="BB525" s="632" t="str">
        <f t="shared" si="104"/>
        <v/>
      </c>
      <c r="BC525" s="632" t="str">
        <f t="shared" si="105"/>
        <v/>
      </c>
      <c r="BD525" s="633" t="str">
        <f>IF(AND(L525="",H525=""),"",
IF(H525="",Pole_Calc!A553,
IF(H525="MP",Pole_Calc!A554,
IF(H525="AnMP",Pole_Calc!A555,
IF(H525="A",Pole_Calc!A556,
IF(H525="S/A",Pole_Calc!A557,
IF(H525="A/S",Pole_Calc!A558,"Poner a mano")))))))</f>
        <v/>
      </c>
      <c r="BE525" s="448" t="s">
        <v>1726</v>
      </c>
      <c r="BF525" s="635"/>
      <c r="BG525" s="635"/>
      <c r="BH525" s="634"/>
      <c r="BI525" s="635"/>
    </row>
    <row r="526" spans="1:61" ht="16.2" customHeight="1">
      <c r="A526" s="12"/>
      <c r="B526" s="446"/>
      <c r="C526" s="89"/>
      <c r="D526" s="13"/>
      <c r="E526" s="14"/>
      <c r="F526" s="14"/>
      <c r="G526" s="15"/>
      <c r="H526" s="8"/>
      <c r="I526" s="8"/>
      <c r="J526" s="89"/>
      <c r="K526" s="8"/>
      <c r="L526" s="8"/>
      <c r="M526" s="8" t="str">
        <f>IF(L526="","",
IF(AX526="PT",VLOOKUP(L526,Foundation_Calc!$V$4:$X$37,VLOOKUP(AX526,Foundation_Calc!$I$10:$J$13,2,FALSE),0),
IF(AX526="K",VLOOKUP(L526,Foundation_Calc!$V$41:$X$74,VLOOKUP(AX526,Foundation_Calc!$I$10:$J$13,2,FALSE),0),"")))</f>
        <v/>
      </c>
      <c r="N526" s="8"/>
      <c r="O526" s="8"/>
      <c r="P526" s="8"/>
      <c r="Q526" s="14"/>
      <c r="R526" s="15"/>
      <c r="S526" s="15"/>
      <c r="T526" s="14"/>
      <c r="U526" s="14"/>
      <c r="V526" s="14"/>
      <c r="W526" s="18"/>
      <c r="X526" s="18"/>
      <c r="Y526" s="18"/>
      <c r="Z526" s="18"/>
      <c r="AA526" s="18"/>
      <c r="AB526" s="18"/>
      <c r="AC526" s="8" t="str">
        <f t="shared" si="102"/>
        <v/>
      </c>
      <c r="AD526" s="8"/>
      <c r="AE526" s="8"/>
      <c r="AF526" s="14"/>
      <c r="AG526" s="13"/>
      <c r="AH526" s="14"/>
      <c r="AI526" s="14"/>
      <c r="AJ526" s="8"/>
      <c r="AK526" s="8"/>
      <c r="AL526" s="8"/>
      <c r="AM526" s="8"/>
      <c r="AN526" s="631"/>
      <c r="AO526" s="18"/>
      <c r="AP526" s="18"/>
      <c r="AQ526" s="18"/>
      <c r="AR526" s="18"/>
      <c r="AS526" s="18"/>
      <c r="AU526" s="448"/>
      <c r="AV526" s="448"/>
      <c r="AW526" s="8" t="str">
        <f>IF(C526&gt;0,VLOOKUP(C526,Foundation_Calc!$A$2:$C$986,3,1),
IF(J526&gt;0,VLOOKUP(J526,Foundation_Calc!$A$2:$C$986,3,1),""))</f>
        <v/>
      </c>
      <c r="AX526" s="8" t="str">
        <f>IF(C526&gt;0,VLOOKUP(C526,Foundation_Calc!$E$2:$G$986,3,1),
IF(J526&gt;0,VLOOKUP(J526,Foundation_Calc!$E$2:$G$986,3,1),""))</f>
        <v/>
      </c>
      <c r="AY526" s="631" t="str">
        <f>IF(L526="","",
IF(AX526="PT",VLOOKUP(L526,Foundation_Calc!$K$4:$R$37,VLOOKUP(AW526,Foundation_Calc!$I$2:$J$8,2,FALSE),0),
IF(AX526="K",VLOOKUP(L526,Foundation_Calc!$K$41:$R$74,VLOOKUP(AW526,Foundation_Calc!$I$2:$J$8,2,FALSE),0),"")))</f>
        <v/>
      </c>
      <c r="AZ526" s="631" t="str">
        <f>IF(K526="","",
IF(AX526="PT",VLOOKUP(K526,Foundation_Calc!$K$4:$R$37,VLOOKUP(AW526,Foundation_Calc!$I$2:$J$8,2,FALSE),0),
IF(AX526="K",VLOOKUP(K526,Foundation_Calc!$K$41:$R$74,VLOOKUP(AW526,Foundation_Calc!$I$2:$J$8,2,FALSE),0),"")))</f>
        <v/>
      </c>
      <c r="BA526" s="632" t="str">
        <f t="shared" si="103"/>
        <v/>
      </c>
      <c r="BB526" s="632" t="str">
        <f t="shared" si="104"/>
        <v/>
      </c>
      <c r="BC526" s="632" t="str">
        <f t="shared" si="105"/>
        <v/>
      </c>
      <c r="BD526" s="633" t="str">
        <f>IF(AND(L526="",H526=""),"",
IF(H526="",Pole_Calc!A554,
IF(H526="MP",Pole_Calc!A555,
IF(H526="AnMP",Pole_Calc!A556,
IF(H526="A",Pole_Calc!A557,
IF(H526="S/A",Pole_Calc!A558,
IF(H526="A/S",Pole_Calc!A559,"Poner a mano")))))))</f>
        <v/>
      </c>
      <c r="BE526" s="448" t="s">
        <v>1726</v>
      </c>
      <c r="BF526" s="634"/>
      <c r="BG526" s="634"/>
      <c r="BH526" s="634"/>
      <c r="BI526" s="634"/>
    </row>
    <row r="527" spans="1:61" ht="16.2" customHeight="1">
      <c r="A527" s="12"/>
      <c r="B527" s="446"/>
      <c r="C527" s="89"/>
      <c r="D527" s="13"/>
      <c r="E527" s="14"/>
      <c r="F527" s="14"/>
      <c r="G527" s="15"/>
      <c r="H527" s="8"/>
      <c r="I527" s="8"/>
      <c r="J527" s="89"/>
      <c r="K527" s="8"/>
      <c r="L527" s="8"/>
      <c r="M527" s="8" t="str">
        <f>IF(L527="","",
IF(AX527="PT",VLOOKUP(L527,Foundation_Calc!$V$4:$X$37,VLOOKUP(AX527,Foundation_Calc!$I$10:$J$13,2,FALSE),0),
IF(AX527="K",VLOOKUP(L527,Foundation_Calc!$V$41:$X$74,VLOOKUP(AX527,Foundation_Calc!$I$10:$J$13,2,FALSE),0),"")))</f>
        <v/>
      </c>
      <c r="N527" s="8"/>
      <c r="O527" s="8"/>
      <c r="P527" s="8"/>
      <c r="Q527" s="14"/>
      <c r="R527" s="15"/>
      <c r="S527" s="15"/>
      <c r="T527" s="14"/>
      <c r="U527" s="14"/>
      <c r="V527" s="14"/>
      <c r="W527" s="18"/>
      <c r="X527" s="18"/>
      <c r="Y527" s="18"/>
      <c r="Z527" s="18"/>
      <c r="AA527" s="18"/>
      <c r="AB527" s="18"/>
      <c r="AC527" s="8" t="str">
        <f t="shared" si="102"/>
        <v/>
      </c>
      <c r="AD527" s="8"/>
      <c r="AE527" s="8"/>
      <c r="AF527" s="14"/>
      <c r="AG527" s="13"/>
      <c r="AH527" s="14"/>
      <c r="AI527" s="14"/>
      <c r="AJ527" s="8"/>
      <c r="AK527" s="8"/>
      <c r="AL527" s="8"/>
      <c r="AM527" s="8"/>
      <c r="AN527" s="631"/>
      <c r="AO527" s="18"/>
      <c r="AP527" s="18"/>
      <c r="AQ527" s="18"/>
      <c r="AR527" s="18"/>
      <c r="AS527" s="18"/>
      <c r="AU527" s="448"/>
      <c r="AV527" s="448"/>
      <c r="AW527" s="8" t="str">
        <f>IF(C527&gt;0,VLOOKUP(C527,Foundation_Calc!$A$2:$C$986,3,1),
IF(J527&gt;0,VLOOKUP(J527,Foundation_Calc!$A$2:$C$986,3,1),""))</f>
        <v/>
      </c>
      <c r="AX527" s="8" t="str">
        <f>IF(C527&gt;0,VLOOKUP(C527,Foundation_Calc!$E$2:$G$986,3,1),
IF(J527&gt;0,VLOOKUP(J527,Foundation_Calc!$E$2:$G$986,3,1),""))</f>
        <v/>
      </c>
      <c r="AY527" s="631" t="str">
        <f>IF(L527="","",
IF(AX527="PT",VLOOKUP(L527,Foundation_Calc!$K$4:$R$37,VLOOKUP(AW527,Foundation_Calc!$I$2:$J$8,2,FALSE),0),
IF(AX527="K",VLOOKUP(L527,Foundation_Calc!$K$41:$R$74,VLOOKUP(AW527,Foundation_Calc!$I$2:$J$8,2,FALSE),0),"")))</f>
        <v/>
      </c>
      <c r="AZ527" s="631" t="str">
        <f>IF(K527="","",
IF(AX527="PT",VLOOKUP(K527,Foundation_Calc!$K$4:$R$37,VLOOKUP(AW527,Foundation_Calc!$I$2:$J$8,2,FALSE),0),
IF(AX527="K",VLOOKUP(K527,Foundation_Calc!$K$41:$R$74,VLOOKUP(AW527,Foundation_Calc!$I$2:$J$8,2,FALSE),0),"")))</f>
        <v/>
      </c>
      <c r="BA527" s="632" t="str">
        <f t="shared" si="103"/>
        <v/>
      </c>
      <c r="BB527" s="632" t="str">
        <f t="shared" si="104"/>
        <v/>
      </c>
      <c r="BC527" s="632" t="str">
        <f t="shared" si="105"/>
        <v/>
      </c>
      <c r="BD527" s="633" t="str">
        <f>IF(AND(L527="",H527=""),"",
IF(H527="",Pole_Calc!A555,
IF(H527="MP",Pole_Calc!A556,
IF(H527="AnMP",Pole_Calc!A557,
IF(H527="A",Pole_Calc!A558,
IF(H527="S/A",Pole_Calc!A559,
IF(H527="A/S",Pole_Calc!A560,"Poner a mano")))))))</f>
        <v/>
      </c>
      <c r="BE527" s="448" t="s">
        <v>1726</v>
      </c>
      <c r="BF527" s="635"/>
      <c r="BG527" s="635"/>
      <c r="BH527" s="634"/>
      <c r="BI527" s="635"/>
    </row>
    <row r="528" spans="1:61" ht="16.2" customHeight="1">
      <c r="A528" s="12"/>
      <c r="B528" s="446"/>
      <c r="C528" s="89"/>
      <c r="D528" s="13"/>
      <c r="E528" s="14"/>
      <c r="F528" s="14"/>
      <c r="G528" s="15"/>
      <c r="H528" s="8"/>
      <c r="I528" s="8"/>
      <c r="J528" s="89"/>
      <c r="K528" s="8"/>
      <c r="L528" s="8"/>
      <c r="M528" s="8" t="str">
        <f>IF(L528="","",
IF(AX528="PT",VLOOKUP(L528,Foundation_Calc!$V$4:$X$37,VLOOKUP(AX528,Foundation_Calc!$I$10:$J$13,2,FALSE),0),
IF(AX528="K",VLOOKUP(L528,Foundation_Calc!$V$41:$X$74,VLOOKUP(AX528,Foundation_Calc!$I$10:$J$13,2,FALSE),0),"")))</f>
        <v/>
      </c>
      <c r="N528" s="8"/>
      <c r="O528" s="8"/>
      <c r="P528" s="8"/>
      <c r="Q528" s="14"/>
      <c r="R528" s="15"/>
      <c r="S528" s="15"/>
      <c r="T528" s="14"/>
      <c r="U528" s="14"/>
      <c r="V528" s="14"/>
      <c r="W528" s="18"/>
      <c r="X528" s="18"/>
      <c r="Y528" s="18"/>
      <c r="Z528" s="18"/>
      <c r="AA528" s="18"/>
      <c r="AB528" s="18"/>
      <c r="AC528" s="8" t="str">
        <f t="shared" si="102"/>
        <v/>
      </c>
      <c r="AD528" s="8"/>
      <c r="AE528" s="8"/>
      <c r="AF528" s="14"/>
      <c r="AG528" s="13"/>
      <c r="AH528" s="14"/>
      <c r="AI528" s="14"/>
      <c r="AJ528" s="8"/>
      <c r="AK528" s="8"/>
      <c r="AL528" s="8"/>
      <c r="AM528" s="8"/>
      <c r="AN528" s="631"/>
      <c r="AO528" s="18"/>
      <c r="AP528" s="18"/>
      <c r="AQ528" s="18"/>
      <c r="AR528" s="18"/>
      <c r="AS528" s="18"/>
      <c r="AU528" s="448"/>
      <c r="AV528" s="448"/>
      <c r="AW528" s="8" t="str">
        <f>IF(C528&gt;0,VLOOKUP(C528,Foundation_Calc!$A$2:$C$986,3,1),
IF(J528&gt;0,VLOOKUP(J528,Foundation_Calc!$A$2:$C$986,3,1),""))</f>
        <v/>
      </c>
      <c r="AX528" s="8" t="str">
        <f>IF(C528&gt;0,VLOOKUP(C528,Foundation_Calc!$E$2:$G$986,3,1),
IF(J528&gt;0,VLOOKUP(J528,Foundation_Calc!$E$2:$G$986,3,1),""))</f>
        <v/>
      </c>
      <c r="AY528" s="631" t="str">
        <f>IF(L528="","",
IF(AX528="PT",VLOOKUP(L528,Foundation_Calc!$K$4:$R$37,VLOOKUP(AW528,Foundation_Calc!$I$2:$J$8,2,FALSE),0),
IF(AX528="K",VLOOKUP(L528,Foundation_Calc!$K$41:$R$74,VLOOKUP(AW528,Foundation_Calc!$I$2:$J$8,2,FALSE),0),"")))</f>
        <v/>
      </c>
      <c r="AZ528" s="631" t="str">
        <f>IF(K528="","",
IF(AX528="PT",VLOOKUP(K528,Foundation_Calc!$K$4:$R$37,VLOOKUP(AW528,Foundation_Calc!$I$2:$J$8,2,FALSE),0),
IF(AX528="K",VLOOKUP(K528,Foundation_Calc!$K$41:$R$74,VLOOKUP(AW528,Foundation_Calc!$I$2:$J$8,2,FALSE),0),"")))</f>
        <v/>
      </c>
      <c r="BA528" s="632" t="str">
        <f t="shared" si="103"/>
        <v/>
      </c>
      <c r="BB528" s="632" t="str">
        <f t="shared" si="104"/>
        <v/>
      </c>
      <c r="BC528" s="632" t="str">
        <f t="shared" si="105"/>
        <v/>
      </c>
      <c r="BD528" s="633" t="str">
        <f>IF(AND(L528="",H528=""),"",
IF(H528="",Pole_Calc!A556,
IF(H528="MP",Pole_Calc!A557,
IF(H528="AnMP",Pole_Calc!A558,
IF(H528="A",Pole_Calc!A559,
IF(H528="S/A",Pole_Calc!A560,
IF(H528="A/S",Pole_Calc!A561,"Poner a mano")))))))</f>
        <v/>
      </c>
      <c r="BE528" s="448" t="s">
        <v>1726</v>
      </c>
      <c r="BF528" s="634"/>
      <c r="BG528" s="634"/>
      <c r="BH528" s="634"/>
      <c r="BI528" s="634"/>
    </row>
    <row r="529" spans="1:61" ht="16.2" customHeight="1">
      <c r="A529" s="12"/>
      <c r="B529" s="446"/>
      <c r="C529" s="89"/>
      <c r="D529" s="13"/>
      <c r="E529" s="14"/>
      <c r="F529" s="14"/>
      <c r="G529" s="15"/>
      <c r="H529" s="8"/>
      <c r="I529" s="8"/>
      <c r="J529" s="89"/>
      <c r="K529" s="8"/>
      <c r="L529" s="8"/>
      <c r="M529" s="8" t="str">
        <f>IF(L529="","",
IF(AX529="PT",VLOOKUP(L529,Foundation_Calc!$V$4:$X$37,VLOOKUP(AX529,Foundation_Calc!$I$10:$J$13,2,FALSE),0),
IF(AX529="K",VLOOKUP(L529,Foundation_Calc!$V$41:$X$74,VLOOKUP(AX529,Foundation_Calc!$I$10:$J$13,2,FALSE),0),"")))</f>
        <v/>
      </c>
      <c r="N529" s="8"/>
      <c r="O529" s="8"/>
      <c r="P529" s="8"/>
      <c r="Q529" s="14"/>
      <c r="R529" s="15"/>
      <c r="S529" s="15"/>
      <c r="T529" s="14"/>
      <c r="U529" s="14"/>
      <c r="V529" s="14"/>
      <c r="W529" s="18"/>
      <c r="X529" s="18"/>
      <c r="Y529" s="18"/>
      <c r="Z529" s="18"/>
      <c r="AA529" s="18"/>
      <c r="AB529" s="18"/>
      <c r="AC529" s="8" t="str">
        <f t="shared" si="102"/>
        <v/>
      </c>
      <c r="AD529" s="8"/>
      <c r="AE529" s="8"/>
      <c r="AF529" s="14"/>
      <c r="AG529" s="13"/>
      <c r="AH529" s="14"/>
      <c r="AI529" s="14"/>
      <c r="AJ529" s="8"/>
      <c r="AK529" s="8"/>
      <c r="AL529" s="8"/>
      <c r="AM529" s="8"/>
      <c r="AN529" s="631"/>
      <c r="AO529" s="18"/>
      <c r="AP529" s="18"/>
      <c r="AQ529" s="18"/>
      <c r="AR529" s="18"/>
      <c r="AS529" s="18"/>
      <c r="AU529" s="448"/>
      <c r="AV529" s="448"/>
      <c r="AW529" s="8" t="str">
        <f>IF(C529&gt;0,VLOOKUP(C529,Foundation_Calc!$A$2:$C$986,3,1),
IF(J529&gt;0,VLOOKUP(J529,Foundation_Calc!$A$2:$C$986,3,1),""))</f>
        <v/>
      </c>
      <c r="AX529" s="8" t="str">
        <f>IF(C529&gt;0,VLOOKUP(C529,Foundation_Calc!$E$2:$G$986,3,1),
IF(J529&gt;0,VLOOKUP(J529,Foundation_Calc!$E$2:$G$986,3,1),""))</f>
        <v/>
      </c>
      <c r="AY529" s="631" t="str">
        <f>IF(L529="","",
IF(AX529="PT",VLOOKUP(L529,Foundation_Calc!$K$4:$R$37,VLOOKUP(AW529,Foundation_Calc!$I$2:$J$8,2,FALSE),0),
IF(AX529="K",VLOOKUP(L529,Foundation_Calc!$K$41:$R$74,VLOOKUP(AW529,Foundation_Calc!$I$2:$J$8,2,FALSE),0),"")))</f>
        <v/>
      </c>
      <c r="AZ529" s="631" t="str">
        <f>IF(K529="","",
IF(AX529="PT",VLOOKUP(K529,Foundation_Calc!$K$4:$R$37,VLOOKUP(AW529,Foundation_Calc!$I$2:$J$8,2,FALSE),0),
IF(AX529="K",VLOOKUP(K529,Foundation_Calc!$K$41:$R$74,VLOOKUP(AW529,Foundation_Calc!$I$2:$J$8,2,FALSE),0),"")))</f>
        <v/>
      </c>
      <c r="BA529" s="632" t="str">
        <f t="shared" si="103"/>
        <v/>
      </c>
      <c r="BB529" s="632" t="str">
        <f t="shared" si="104"/>
        <v/>
      </c>
      <c r="BC529" s="632" t="str">
        <f t="shared" si="105"/>
        <v/>
      </c>
      <c r="BD529" s="633" t="str">
        <f>IF(AND(L529="",H529=""),"",
IF(H529="",Pole_Calc!A557,
IF(H529="MP",Pole_Calc!A558,
IF(H529="AnMP",Pole_Calc!A559,
IF(H529="A",Pole_Calc!A560,
IF(H529="S/A",Pole_Calc!A561,
IF(H529="A/S",Pole_Calc!A562,"Poner a mano")))))))</f>
        <v/>
      </c>
      <c r="BE529" s="448" t="s">
        <v>1726</v>
      </c>
      <c r="BF529" s="635"/>
      <c r="BG529" s="635"/>
      <c r="BH529" s="634"/>
      <c r="BI529" s="635"/>
    </row>
    <row r="530" spans="1:61" ht="16.2" customHeight="1">
      <c r="A530" s="12"/>
      <c r="B530" s="446"/>
      <c r="C530" s="89"/>
      <c r="D530" s="13"/>
      <c r="E530" s="14"/>
      <c r="F530" s="14"/>
      <c r="G530" s="15"/>
      <c r="H530" s="8"/>
      <c r="I530" s="8"/>
      <c r="J530" s="89"/>
      <c r="K530" s="8"/>
      <c r="L530" s="8"/>
      <c r="M530" s="8" t="str">
        <f>IF(L530="","",
IF(AX530="PT",VLOOKUP(L530,Foundation_Calc!$V$4:$X$37,VLOOKUP(AX530,Foundation_Calc!$I$10:$J$13,2,FALSE),0),
IF(AX530="K",VLOOKUP(L530,Foundation_Calc!$V$41:$X$74,VLOOKUP(AX530,Foundation_Calc!$I$10:$J$13,2,FALSE),0),"")))</f>
        <v/>
      </c>
      <c r="N530" s="8"/>
      <c r="O530" s="8"/>
      <c r="P530" s="8"/>
      <c r="Q530" s="14"/>
      <c r="R530" s="15"/>
      <c r="S530" s="15"/>
      <c r="T530" s="14"/>
      <c r="U530" s="14"/>
      <c r="V530" s="14"/>
      <c r="W530" s="18"/>
      <c r="X530" s="18"/>
      <c r="Y530" s="18"/>
      <c r="Z530" s="18"/>
      <c r="AA530" s="18"/>
      <c r="AB530" s="18"/>
      <c r="AC530" s="8" t="str">
        <f t="shared" si="102"/>
        <v/>
      </c>
      <c r="AD530" s="8"/>
      <c r="AE530" s="8"/>
      <c r="AF530" s="14"/>
      <c r="AG530" s="13"/>
      <c r="AH530" s="14"/>
      <c r="AI530" s="14"/>
      <c r="AJ530" s="8"/>
      <c r="AK530" s="8"/>
      <c r="AL530" s="8"/>
      <c r="AM530" s="8"/>
      <c r="AN530" s="631"/>
      <c r="AO530" s="18"/>
      <c r="AP530" s="18"/>
      <c r="AQ530" s="18"/>
      <c r="AR530" s="18"/>
      <c r="AS530" s="18"/>
      <c r="AU530" s="448"/>
      <c r="AV530" s="448"/>
      <c r="AW530" s="8" t="str">
        <f>IF(C530&gt;0,VLOOKUP(C530,Foundation_Calc!$A$2:$C$986,3,1),
IF(J530&gt;0,VLOOKUP(J530,Foundation_Calc!$A$2:$C$986,3,1),""))</f>
        <v/>
      </c>
      <c r="AX530" s="8" t="str">
        <f>IF(C530&gt;0,VLOOKUP(C530,Foundation_Calc!$E$2:$G$986,3,1),
IF(J530&gt;0,VLOOKUP(J530,Foundation_Calc!$E$2:$G$986,3,1),""))</f>
        <v/>
      </c>
      <c r="AY530" s="631" t="str">
        <f>IF(L530="","",
IF(AX530="PT",VLOOKUP(L530,Foundation_Calc!$K$4:$R$37,VLOOKUP(AW530,Foundation_Calc!$I$2:$J$8,2,FALSE),0),
IF(AX530="K",VLOOKUP(L530,Foundation_Calc!$K$41:$R$74,VLOOKUP(AW530,Foundation_Calc!$I$2:$J$8,2,FALSE),0),"")))</f>
        <v/>
      </c>
      <c r="AZ530" s="631" t="str">
        <f>IF(K530="","",
IF(AX530="PT",VLOOKUP(K530,Foundation_Calc!$K$4:$R$37,VLOOKUP(AW530,Foundation_Calc!$I$2:$J$8,2,FALSE),0),
IF(AX530="K",VLOOKUP(K530,Foundation_Calc!$K$41:$R$74,VLOOKUP(AW530,Foundation_Calc!$I$2:$J$8,2,FALSE),0),"")))</f>
        <v/>
      </c>
      <c r="BA530" s="632" t="str">
        <f t="shared" si="103"/>
        <v/>
      </c>
      <c r="BB530" s="632" t="str">
        <f t="shared" si="104"/>
        <v/>
      </c>
      <c r="BC530" s="632" t="str">
        <f t="shared" si="105"/>
        <v/>
      </c>
      <c r="BD530" s="633" t="str">
        <f>IF(AND(L530="",H530=""),"",
IF(H530="",Pole_Calc!A558,
IF(H530="MP",Pole_Calc!A559,
IF(H530="AnMP",Pole_Calc!A560,
IF(H530="A",Pole_Calc!A561,
IF(H530="S/A",Pole_Calc!A562,
IF(H530="A/S",Pole_Calc!A563,"Poner a mano")))))))</f>
        <v/>
      </c>
      <c r="BE530" s="448" t="s">
        <v>1726</v>
      </c>
      <c r="BF530" s="634"/>
      <c r="BG530" s="634"/>
      <c r="BH530" s="634"/>
      <c r="BI530" s="634"/>
    </row>
    <row r="531" spans="1:61" ht="16.2" customHeight="1">
      <c r="A531" s="12"/>
      <c r="B531" s="446"/>
      <c r="C531" s="89"/>
      <c r="D531" s="13"/>
      <c r="E531" s="14"/>
      <c r="F531" s="14"/>
      <c r="G531" s="15"/>
      <c r="H531" s="8"/>
      <c r="I531" s="8"/>
      <c r="J531" s="89"/>
      <c r="K531" s="8"/>
      <c r="L531" s="8"/>
      <c r="M531" s="8" t="str">
        <f>IF(L531="","",
IF(AX531="PT",VLOOKUP(L531,Foundation_Calc!$V$4:$X$37,VLOOKUP(AX531,Foundation_Calc!$I$10:$J$13,2,FALSE),0),
IF(AX531="K",VLOOKUP(L531,Foundation_Calc!$V$41:$X$74,VLOOKUP(AX531,Foundation_Calc!$I$10:$J$13,2,FALSE),0),"")))</f>
        <v/>
      </c>
      <c r="N531" s="8"/>
      <c r="O531" s="8"/>
      <c r="P531" s="8"/>
      <c r="Q531" s="14"/>
      <c r="R531" s="15"/>
      <c r="S531" s="15"/>
      <c r="T531" s="14"/>
      <c r="U531" s="14"/>
      <c r="V531" s="14"/>
      <c r="W531" s="18"/>
      <c r="X531" s="18"/>
      <c r="Y531" s="18"/>
      <c r="Z531" s="18"/>
      <c r="AA531" s="18"/>
      <c r="AB531" s="18"/>
      <c r="AC531" s="8" t="str">
        <f t="shared" si="102"/>
        <v/>
      </c>
      <c r="AD531" s="8"/>
      <c r="AE531" s="8"/>
      <c r="AF531" s="14"/>
      <c r="AG531" s="13"/>
      <c r="AH531" s="14"/>
      <c r="AI531" s="14"/>
      <c r="AJ531" s="8"/>
      <c r="AK531" s="8"/>
      <c r="AL531" s="8"/>
      <c r="AM531" s="8"/>
      <c r="AN531" s="631"/>
      <c r="AO531" s="18"/>
      <c r="AP531" s="18"/>
      <c r="AQ531" s="18"/>
      <c r="AR531" s="18"/>
      <c r="AS531" s="18"/>
      <c r="AU531" s="448"/>
      <c r="AV531" s="448"/>
      <c r="AW531" s="8" t="str">
        <f>IF(C531&gt;0,VLOOKUP(C531,Foundation_Calc!$A$2:$C$986,3,1),
IF(J531&gt;0,VLOOKUP(J531,Foundation_Calc!$A$2:$C$986,3,1),""))</f>
        <v/>
      </c>
      <c r="AX531" s="8" t="str">
        <f>IF(C531&gt;0,VLOOKUP(C531,Foundation_Calc!$E$2:$G$986,3,1),
IF(J531&gt;0,VLOOKUP(J531,Foundation_Calc!$E$2:$G$986,3,1),""))</f>
        <v/>
      </c>
      <c r="AY531" s="631" t="str">
        <f>IF(L531="","",
IF(AX531="PT",VLOOKUP(L531,Foundation_Calc!$K$4:$R$37,VLOOKUP(AW531,Foundation_Calc!$I$2:$J$8,2,FALSE),0),
IF(AX531="K",VLOOKUP(L531,Foundation_Calc!$K$41:$R$74,VLOOKUP(AW531,Foundation_Calc!$I$2:$J$8,2,FALSE),0),"")))</f>
        <v/>
      </c>
      <c r="AZ531" s="631" t="str">
        <f>IF(K531="","",
IF(AX531="PT",VLOOKUP(K531,Foundation_Calc!$K$4:$R$37,VLOOKUP(AW531,Foundation_Calc!$I$2:$J$8,2,FALSE),0),
IF(AX531="K",VLOOKUP(K531,Foundation_Calc!$K$41:$R$74,VLOOKUP(AW531,Foundation_Calc!$I$2:$J$8,2,FALSE),0),"")))</f>
        <v/>
      </c>
      <c r="BA531" s="632" t="str">
        <f t="shared" si="103"/>
        <v/>
      </c>
      <c r="BB531" s="632" t="str">
        <f t="shared" si="104"/>
        <v/>
      </c>
      <c r="BC531" s="632" t="str">
        <f t="shared" si="105"/>
        <v/>
      </c>
      <c r="BD531" s="633" t="str">
        <f>IF(AND(L531="",H531=""),"",
IF(H531="",Pole_Calc!A559,
IF(H531="MP",Pole_Calc!A560,
IF(H531="AnMP",Pole_Calc!A561,
IF(H531="A",Pole_Calc!A562,
IF(H531="S/A",Pole_Calc!A563,
IF(H531="A/S",Pole_Calc!A564,"Poner a mano")))))))</f>
        <v/>
      </c>
      <c r="BE531" s="448" t="s">
        <v>1726</v>
      </c>
      <c r="BF531" s="635"/>
      <c r="BG531" s="635"/>
      <c r="BH531" s="634"/>
      <c r="BI531" s="635"/>
    </row>
    <row r="532" spans="1:61" ht="16.2" customHeight="1">
      <c r="A532" s="12"/>
      <c r="B532" s="446"/>
      <c r="C532" s="89"/>
      <c r="D532" s="13"/>
      <c r="E532" s="14"/>
      <c r="F532" s="14"/>
      <c r="G532" s="15"/>
      <c r="H532" s="8"/>
      <c r="I532" s="8"/>
      <c r="J532" s="89"/>
      <c r="K532" s="8"/>
      <c r="L532" s="8"/>
      <c r="M532" s="8" t="str">
        <f>IF(L532="","",
IF(AX532="PT",VLOOKUP(L532,Foundation_Calc!$V$4:$X$37,VLOOKUP(AX532,Foundation_Calc!$I$10:$J$13,2,FALSE),0),
IF(AX532="K",VLOOKUP(L532,Foundation_Calc!$V$41:$X$74,VLOOKUP(AX532,Foundation_Calc!$I$10:$J$13,2,FALSE),0),"")))</f>
        <v/>
      </c>
      <c r="N532" s="8"/>
      <c r="O532" s="8"/>
      <c r="P532" s="8"/>
      <c r="Q532" s="14"/>
      <c r="R532" s="15"/>
      <c r="S532" s="15"/>
      <c r="T532" s="14"/>
      <c r="U532" s="14"/>
      <c r="V532" s="14"/>
      <c r="W532" s="18"/>
      <c r="X532" s="18"/>
      <c r="Y532" s="18"/>
      <c r="Z532" s="18"/>
      <c r="AA532" s="18"/>
      <c r="AB532" s="18"/>
      <c r="AC532" s="8" t="str">
        <f t="shared" si="102"/>
        <v/>
      </c>
      <c r="AD532" s="8"/>
      <c r="AE532" s="8"/>
      <c r="AF532" s="14"/>
      <c r="AG532" s="13"/>
      <c r="AH532" s="14"/>
      <c r="AI532" s="14"/>
      <c r="AJ532" s="8"/>
      <c r="AK532" s="8"/>
      <c r="AL532" s="8"/>
      <c r="AM532" s="8"/>
      <c r="AN532" s="631"/>
      <c r="AO532" s="18"/>
      <c r="AP532" s="18"/>
      <c r="AQ532" s="18"/>
      <c r="AR532" s="18"/>
      <c r="AS532" s="18"/>
      <c r="AU532" s="448"/>
      <c r="AV532" s="448"/>
      <c r="AW532" s="8" t="str">
        <f>IF(C532&gt;0,VLOOKUP(C532,Foundation_Calc!$A$2:$C$986,3,1),
IF(J532&gt;0,VLOOKUP(J532,Foundation_Calc!$A$2:$C$986,3,1),""))</f>
        <v/>
      </c>
      <c r="AX532" s="8" t="str">
        <f>IF(C532&gt;0,VLOOKUP(C532,Foundation_Calc!$E$2:$G$986,3,1),
IF(J532&gt;0,VLOOKUP(J532,Foundation_Calc!$E$2:$G$986,3,1),""))</f>
        <v/>
      </c>
      <c r="AY532" s="631" t="str">
        <f>IF(L532="","",
IF(AX532="PT",VLOOKUP(L532,Foundation_Calc!$K$4:$R$37,VLOOKUP(AW532,Foundation_Calc!$I$2:$J$8,2,FALSE),0),
IF(AX532="K",VLOOKUP(L532,Foundation_Calc!$K$41:$R$74,VLOOKUP(AW532,Foundation_Calc!$I$2:$J$8,2,FALSE),0),"")))</f>
        <v/>
      </c>
      <c r="AZ532" s="631" t="str">
        <f>IF(K532="","",
IF(AX532="PT",VLOOKUP(K532,Foundation_Calc!$K$4:$R$37,VLOOKUP(AW532,Foundation_Calc!$I$2:$J$8,2,FALSE),0),
IF(AX532="K",VLOOKUP(K532,Foundation_Calc!$K$41:$R$74,VLOOKUP(AW532,Foundation_Calc!$I$2:$J$8,2,FALSE),0),"")))</f>
        <v/>
      </c>
      <c r="BA532" s="632" t="str">
        <f t="shared" si="103"/>
        <v/>
      </c>
      <c r="BB532" s="632" t="str">
        <f t="shared" si="104"/>
        <v/>
      </c>
      <c r="BC532" s="632" t="str">
        <f t="shared" si="105"/>
        <v/>
      </c>
      <c r="BD532" s="633" t="str">
        <f>IF(AND(L532="",H532=""),"",
IF(H532="",Pole_Calc!A560,
IF(H532="MP",Pole_Calc!A561,
IF(H532="AnMP",Pole_Calc!A562,
IF(H532="A",Pole_Calc!A563,
IF(H532="S/A",Pole_Calc!A564,
IF(H532="A/S",Pole_Calc!A565,"Poner a mano")))))))</f>
        <v/>
      </c>
      <c r="BE532" s="448" t="s">
        <v>1726</v>
      </c>
      <c r="BF532" s="634"/>
      <c r="BG532" s="634"/>
      <c r="BH532" s="634"/>
      <c r="BI532" s="634"/>
    </row>
    <row r="533" spans="1:61" ht="16.2" customHeight="1">
      <c r="A533" s="12"/>
      <c r="B533" s="446"/>
      <c r="C533" s="89"/>
      <c r="D533" s="13"/>
      <c r="E533" s="14"/>
      <c r="F533" s="14"/>
      <c r="G533" s="15"/>
      <c r="H533" s="8"/>
      <c r="I533" s="8"/>
      <c r="J533" s="89"/>
      <c r="K533" s="8"/>
      <c r="L533" s="8"/>
      <c r="M533" s="8" t="str">
        <f>IF(L533="","",
IF(AX533="PT",VLOOKUP(L533,Foundation_Calc!$V$4:$X$37,VLOOKUP(AX533,Foundation_Calc!$I$10:$J$13,2,FALSE),0),
IF(AX533="K",VLOOKUP(L533,Foundation_Calc!$V$41:$X$74,VLOOKUP(AX533,Foundation_Calc!$I$10:$J$13,2,FALSE),0),"")))</f>
        <v/>
      </c>
      <c r="N533" s="8"/>
      <c r="O533" s="8"/>
      <c r="P533" s="8"/>
      <c r="Q533" s="14"/>
      <c r="R533" s="15"/>
      <c r="S533" s="15"/>
      <c r="T533" s="14"/>
      <c r="U533" s="14"/>
      <c r="V533" s="14"/>
      <c r="W533" s="18"/>
      <c r="X533" s="18"/>
      <c r="Y533" s="18"/>
      <c r="Z533" s="18"/>
      <c r="AA533" s="18"/>
      <c r="AB533" s="18"/>
      <c r="AC533" s="8" t="str">
        <f t="shared" si="102"/>
        <v/>
      </c>
      <c r="AD533" s="8"/>
      <c r="AE533" s="8"/>
      <c r="AF533" s="14"/>
      <c r="AG533" s="13"/>
      <c r="AH533" s="14"/>
      <c r="AI533" s="14"/>
      <c r="AJ533" s="8"/>
      <c r="AK533" s="8"/>
      <c r="AL533" s="8"/>
      <c r="AM533" s="8"/>
      <c r="AN533" s="631"/>
      <c r="AO533" s="18"/>
      <c r="AP533" s="18"/>
      <c r="AQ533" s="18"/>
      <c r="AR533" s="18"/>
      <c r="AS533" s="18"/>
      <c r="AU533" s="448"/>
      <c r="AV533" s="448"/>
      <c r="AW533" s="8" t="str">
        <f>IF(C533&gt;0,VLOOKUP(C533,Foundation_Calc!$A$2:$C$986,3,1),
IF(J533&gt;0,VLOOKUP(J533,Foundation_Calc!$A$2:$C$986,3,1),""))</f>
        <v/>
      </c>
      <c r="AX533" s="8" t="str">
        <f>IF(C533&gt;0,VLOOKUP(C533,Foundation_Calc!$E$2:$G$986,3,1),
IF(J533&gt;0,VLOOKUP(J533,Foundation_Calc!$E$2:$G$986,3,1),""))</f>
        <v/>
      </c>
      <c r="AY533" s="631" t="str">
        <f>IF(L533="","",
IF(AX533="PT",VLOOKUP(L533,Foundation_Calc!$K$4:$R$37,VLOOKUP(AW533,Foundation_Calc!$I$2:$J$8,2,FALSE),0),
IF(AX533="K",VLOOKUP(L533,Foundation_Calc!$K$41:$R$74,VLOOKUP(AW533,Foundation_Calc!$I$2:$J$8,2,FALSE),0),"")))</f>
        <v/>
      </c>
      <c r="AZ533" s="631" t="str">
        <f>IF(K533="","",
IF(AX533="PT",VLOOKUP(K533,Foundation_Calc!$K$4:$R$37,VLOOKUP(AW533,Foundation_Calc!$I$2:$J$8,2,FALSE),0),
IF(AX533="K",VLOOKUP(K533,Foundation_Calc!$K$41:$R$74,VLOOKUP(AW533,Foundation_Calc!$I$2:$J$8,2,FALSE),0),"")))</f>
        <v/>
      </c>
      <c r="BA533" s="632" t="str">
        <f t="shared" si="103"/>
        <v/>
      </c>
      <c r="BB533" s="632" t="str">
        <f t="shared" si="104"/>
        <v/>
      </c>
      <c r="BC533" s="632" t="str">
        <f t="shared" si="105"/>
        <v/>
      </c>
      <c r="BD533" s="633" t="str">
        <f>IF(AND(L533="",H533=""),"",
IF(H533="",Pole_Calc!A561,
IF(H533="MP",Pole_Calc!A562,
IF(H533="AnMP",Pole_Calc!A563,
IF(H533="A",Pole_Calc!A564,
IF(H533="S/A",Pole_Calc!A565,
IF(H533="A/S",Pole_Calc!A566,"Poner a mano")))))))</f>
        <v/>
      </c>
      <c r="BE533" s="448" t="s">
        <v>1726</v>
      </c>
      <c r="BF533" s="635"/>
      <c r="BG533" s="635"/>
      <c r="BH533" s="634"/>
      <c r="BI533" s="635"/>
    </row>
    <row r="534" spans="1:61" ht="16.2" customHeight="1">
      <c r="A534" s="12"/>
      <c r="B534" s="446"/>
      <c r="C534" s="89"/>
      <c r="D534" s="13"/>
      <c r="E534" s="14"/>
      <c r="F534" s="14"/>
      <c r="G534" s="15"/>
      <c r="H534" s="8"/>
      <c r="I534" s="8"/>
      <c r="J534" s="89"/>
      <c r="K534" s="8"/>
      <c r="L534" s="8"/>
      <c r="M534" s="8" t="str">
        <f>IF(L534="","",
IF(AX534="PT",VLOOKUP(L534,Foundation_Calc!$V$4:$X$37,VLOOKUP(AX534,Foundation_Calc!$I$10:$J$13,2,FALSE),0),
IF(AX534="K",VLOOKUP(L534,Foundation_Calc!$V$41:$X$74,VLOOKUP(AX534,Foundation_Calc!$I$10:$J$13,2,FALSE),0),"")))</f>
        <v/>
      </c>
      <c r="N534" s="8"/>
      <c r="O534" s="8"/>
      <c r="P534" s="8"/>
      <c r="Q534" s="14"/>
      <c r="R534" s="15"/>
      <c r="S534" s="15"/>
      <c r="T534" s="14"/>
      <c r="U534" s="14"/>
      <c r="V534" s="14"/>
      <c r="W534" s="18"/>
      <c r="X534" s="18"/>
      <c r="Y534" s="18"/>
      <c r="Z534" s="18"/>
      <c r="AA534" s="18"/>
      <c r="AB534" s="18"/>
      <c r="AC534" s="8" t="str">
        <f t="shared" si="102"/>
        <v/>
      </c>
      <c r="AD534" s="8"/>
      <c r="AE534" s="8"/>
      <c r="AF534" s="14"/>
      <c r="AG534" s="13"/>
      <c r="AH534" s="14"/>
      <c r="AI534" s="14"/>
      <c r="AJ534" s="8"/>
      <c r="AK534" s="8"/>
      <c r="AL534" s="8"/>
      <c r="AM534" s="8"/>
      <c r="AN534" s="631"/>
      <c r="AO534" s="18"/>
      <c r="AP534" s="18"/>
      <c r="AQ534" s="18"/>
      <c r="AR534" s="18"/>
      <c r="AS534" s="18"/>
      <c r="AU534" s="448"/>
      <c r="AV534" s="448"/>
      <c r="AW534" s="8" t="str">
        <f>IF(C534&gt;0,VLOOKUP(C534,Foundation_Calc!$A$2:$C$986,3,1),
IF(J534&gt;0,VLOOKUP(J534,Foundation_Calc!$A$2:$C$986,3,1),""))</f>
        <v/>
      </c>
      <c r="AX534" s="8" t="str">
        <f>IF(C534&gt;0,VLOOKUP(C534,Foundation_Calc!$E$2:$G$986,3,1),
IF(J534&gt;0,VLOOKUP(J534,Foundation_Calc!$E$2:$G$986,3,1),""))</f>
        <v/>
      </c>
      <c r="AY534" s="631" t="str">
        <f>IF(L534="","",
IF(AX534="PT",VLOOKUP(L534,Foundation_Calc!$K$4:$R$37,VLOOKUP(AW534,Foundation_Calc!$I$2:$J$8,2,FALSE),0),
IF(AX534="K",VLOOKUP(L534,Foundation_Calc!$K$41:$R$74,VLOOKUP(AW534,Foundation_Calc!$I$2:$J$8,2,FALSE),0),"")))</f>
        <v/>
      </c>
      <c r="AZ534" s="631" t="str">
        <f>IF(K534="","",
IF(AX534="PT",VLOOKUP(K534,Foundation_Calc!$K$4:$R$37,VLOOKUP(AW534,Foundation_Calc!$I$2:$J$8,2,FALSE),0),
IF(AX534="K",VLOOKUP(K534,Foundation_Calc!$K$41:$R$74,VLOOKUP(AW534,Foundation_Calc!$I$2:$J$8,2,FALSE),0),"")))</f>
        <v/>
      </c>
      <c r="BA534" s="632" t="str">
        <f t="shared" si="103"/>
        <v/>
      </c>
      <c r="BB534" s="632" t="str">
        <f t="shared" si="104"/>
        <v/>
      </c>
      <c r="BC534" s="632" t="str">
        <f t="shared" si="105"/>
        <v/>
      </c>
      <c r="BD534" s="633" t="str">
        <f>IF(AND(L534="",H534=""),"",
IF(H534="",Pole_Calc!A562,
IF(H534="MP",Pole_Calc!A563,
IF(H534="AnMP",Pole_Calc!A564,
IF(H534="A",Pole_Calc!A565,
IF(H534="S/A",Pole_Calc!A566,
IF(H534="A/S",Pole_Calc!A567,"Poner a mano")))))))</f>
        <v/>
      </c>
      <c r="BE534" s="448" t="s">
        <v>1726</v>
      </c>
      <c r="BF534" s="634"/>
      <c r="BG534" s="634"/>
      <c r="BH534" s="634"/>
      <c r="BI534" s="634"/>
    </row>
    <row r="535" spans="1:61" ht="16.2" customHeight="1">
      <c r="A535" s="12"/>
      <c r="B535" s="446"/>
      <c r="C535" s="89"/>
      <c r="D535" s="13"/>
      <c r="E535" s="14"/>
      <c r="F535" s="14"/>
      <c r="G535" s="15"/>
      <c r="H535" s="8"/>
      <c r="I535" s="8"/>
      <c r="J535" s="89"/>
      <c r="K535" s="8"/>
      <c r="L535" s="8"/>
      <c r="M535" s="8" t="str">
        <f>IF(L535="","",
IF(AX535="PT",VLOOKUP(L535,Foundation_Calc!$V$4:$X$37,VLOOKUP(AX535,Foundation_Calc!$I$10:$J$13,2,FALSE),0),
IF(AX535="K",VLOOKUP(L535,Foundation_Calc!$V$41:$X$74,VLOOKUP(AX535,Foundation_Calc!$I$10:$J$13,2,FALSE),0),"")))</f>
        <v/>
      </c>
      <c r="N535" s="8"/>
      <c r="O535" s="8"/>
      <c r="P535" s="8"/>
      <c r="Q535" s="14"/>
      <c r="R535" s="15"/>
      <c r="S535" s="15"/>
      <c r="T535" s="14"/>
      <c r="U535" s="14"/>
      <c r="V535" s="14"/>
      <c r="W535" s="18"/>
      <c r="X535" s="18"/>
      <c r="Y535" s="18"/>
      <c r="Z535" s="18"/>
      <c r="AA535" s="18"/>
      <c r="AB535" s="18"/>
      <c r="AC535" s="8" t="str">
        <f t="shared" si="102"/>
        <v/>
      </c>
      <c r="AD535" s="8"/>
      <c r="AE535" s="8"/>
      <c r="AF535" s="14"/>
      <c r="AG535" s="13"/>
      <c r="AH535" s="14"/>
      <c r="AI535" s="14"/>
      <c r="AJ535" s="8"/>
      <c r="AK535" s="8"/>
      <c r="AL535" s="8"/>
      <c r="AM535" s="8"/>
      <c r="AN535" s="631"/>
      <c r="AO535" s="18"/>
      <c r="AP535" s="18"/>
      <c r="AQ535" s="18"/>
      <c r="AR535" s="18"/>
      <c r="AS535" s="18"/>
      <c r="AU535" s="448"/>
      <c r="AV535" s="448"/>
      <c r="AW535" s="8" t="str">
        <f>IF(C535&gt;0,VLOOKUP(C535,Foundation_Calc!$A$2:$C$986,3,1),
IF(J535&gt;0,VLOOKUP(J535,Foundation_Calc!$A$2:$C$986,3,1),""))</f>
        <v/>
      </c>
      <c r="AX535" s="8" t="str">
        <f>IF(C535&gt;0,VLOOKUP(C535,Foundation_Calc!$E$2:$G$986,3,1),
IF(J535&gt;0,VLOOKUP(J535,Foundation_Calc!$E$2:$G$986,3,1),""))</f>
        <v/>
      </c>
      <c r="AY535" s="631" t="str">
        <f>IF(L535="","",
IF(AX535="PT",VLOOKUP(L535,Foundation_Calc!$K$4:$R$37,VLOOKUP(AW535,Foundation_Calc!$I$2:$J$8,2,FALSE),0),
IF(AX535="K",VLOOKUP(L535,Foundation_Calc!$K$41:$R$74,VLOOKUP(AW535,Foundation_Calc!$I$2:$J$8,2,FALSE),0),"")))</f>
        <v/>
      </c>
      <c r="AZ535" s="631" t="str">
        <f>IF(K535="","",
IF(AX535="PT",VLOOKUP(K535,Foundation_Calc!$K$4:$R$37,VLOOKUP(AW535,Foundation_Calc!$I$2:$J$8,2,FALSE),0),
IF(AX535="K",VLOOKUP(K535,Foundation_Calc!$K$41:$R$74,VLOOKUP(AW535,Foundation_Calc!$I$2:$J$8,2,FALSE),0),"")))</f>
        <v/>
      </c>
      <c r="BA535" s="632" t="str">
        <f t="shared" si="103"/>
        <v/>
      </c>
      <c r="BB535" s="632" t="str">
        <f t="shared" si="104"/>
        <v/>
      </c>
      <c r="BC535" s="632" t="str">
        <f t="shared" si="105"/>
        <v/>
      </c>
      <c r="BD535" s="633" t="str">
        <f>IF(AND(L535="",H535=""),"",
IF(H535="",Pole_Calc!A563,
IF(H535="MP",Pole_Calc!A564,
IF(H535="AnMP",Pole_Calc!A565,
IF(H535="A",Pole_Calc!A566,
IF(H535="S/A",Pole_Calc!A567,
IF(H535="A/S",Pole_Calc!A568,"Poner a mano")))))))</f>
        <v/>
      </c>
      <c r="BE535" s="448" t="s">
        <v>1726</v>
      </c>
      <c r="BF535" s="635"/>
      <c r="BG535" s="635"/>
      <c r="BH535" s="634"/>
      <c r="BI535" s="635"/>
    </row>
    <row r="536" spans="1:61" ht="16.2" customHeight="1">
      <c r="A536" s="12"/>
      <c r="B536" s="446"/>
      <c r="C536" s="89"/>
      <c r="D536" s="13"/>
      <c r="E536" s="14"/>
      <c r="F536" s="14"/>
      <c r="G536" s="15"/>
      <c r="H536" s="8"/>
      <c r="I536" s="8"/>
      <c r="J536" s="89"/>
      <c r="K536" s="8"/>
      <c r="L536" s="8"/>
      <c r="M536" s="8" t="str">
        <f>IF(L536="","",
IF(AX536="PT",VLOOKUP(L536,Foundation_Calc!$V$4:$X$37,VLOOKUP(AX536,Foundation_Calc!$I$10:$J$13,2,FALSE),0),
IF(AX536="K",VLOOKUP(L536,Foundation_Calc!$V$41:$X$74,VLOOKUP(AX536,Foundation_Calc!$I$10:$J$13,2,FALSE),0),"")))</f>
        <v/>
      </c>
      <c r="N536" s="8"/>
      <c r="O536" s="8"/>
      <c r="P536" s="8"/>
      <c r="Q536" s="14"/>
      <c r="R536" s="15"/>
      <c r="S536" s="15"/>
      <c r="T536" s="14"/>
      <c r="U536" s="14"/>
      <c r="V536" s="14"/>
      <c r="W536" s="18"/>
      <c r="X536" s="18"/>
      <c r="Y536" s="18"/>
      <c r="Z536" s="18"/>
      <c r="AA536" s="18"/>
      <c r="AB536" s="18"/>
      <c r="AC536" s="8" t="str">
        <f t="shared" si="102"/>
        <v/>
      </c>
      <c r="AD536" s="8"/>
      <c r="AE536" s="8"/>
      <c r="AF536" s="14"/>
      <c r="AG536" s="13"/>
      <c r="AH536" s="14"/>
      <c r="AI536" s="14"/>
      <c r="AJ536" s="8"/>
      <c r="AK536" s="8"/>
      <c r="AL536" s="8"/>
      <c r="AM536" s="8"/>
      <c r="AN536" s="631"/>
      <c r="AO536" s="18"/>
      <c r="AP536" s="18"/>
      <c r="AQ536" s="18"/>
      <c r="AR536" s="18"/>
      <c r="AS536" s="18"/>
      <c r="AU536" s="448"/>
      <c r="AV536" s="448"/>
      <c r="AW536" s="8" t="str">
        <f>IF(C536&gt;0,VLOOKUP(C536,Foundation_Calc!$A$2:$C$986,3,1),
IF(J536&gt;0,VLOOKUP(J536,Foundation_Calc!$A$2:$C$986,3,1),""))</f>
        <v/>
      </c>
      <c r="AX536" s="8" t="str">
        <f>IF(C536&gt;0,VLOOKUP(C536,Foundation_Calc!$E$2:$G$986,3,1),
IF(J536&gt;0,VLOOKUP(J536,Foundation_Calc!$E$2:$G$986,3,1),""))</f>
        <v/>
      </c>
      <c r="AY536" s="631" t="str">
        <f>IF(L536="","",
IF(AX536="PT",VLOOKUP(L536,Foundation_Calc!$K$4:$R$37,VLOOKUP(AW536,Foundation_Calc!$I$2:$J$8,2,FALSE),0),
IF(AX536="K",VLOOKUP(L536,Foundation_Calc!$K$41:$R$74,VLOOKUP(AW536,Foundation_Calc!$I$2:$J$8,2,FALSE),0),"")))</f>
        <v/>
      </c>
      <c r="AZ536" s="631" t="str">
        <f>IF(K536="","",
IF(AX536="PT",VLOOKUP(K536,Foundation_Calc!$K$4:$R$37,VLOOKUP(AW536,Foundation_Calc!$I$2:$J$8,2,FALSE),0),
IF(AX536="K",VLOOKUP(K536,Foundation_Calc!$K$41:$R$74,VLOOKUP(AW536,Foundation_Calc!$I$2:$J$8,2,FALSE),0),"")))</f>
        <v/>
      </c>
      <c r="BA536" s="632" t="str">
        <f t="shared" si="103"/>
        <v/>
      </c>
      <c r="BB536" s="632" t="str">
        <f t="shared" si="104"/>
        <v/>
      </c>
      <c r="BC536" s="632" t="str">
        <f t="shared" si="105"/>
        <v/>
      </c>
      <c r="BD536" s="633" t="str">
        <f>IF(AND(L536="",H536=""),"",
IF(H536="",Pole_Calc!A564,
IF(H536="MP",Pole_Calc!A565,
IF(H536="AnMP",Pole_Calc!A566,
IF(H536="A",Pole_Calc!A567,
IF(H536="S/A",Pole_Calc!A568,
IF(H536="A/S",Pole_Calc!A569,"Poner a mano")))))))</f>
        <v/>
      </c>
      <c r="BE536" s="448" t="s">
        <v>1726</v>
      </c>
      <c r="BF536" s="634"/>
      <c r="BG536" s="634"/>
      <c r="BH536" s="634"/>
      <c r="BI536" s="634"/>
    </row>
    <row r="537" spans="1:61" ht="16.2" customHeight="1">
      <c r="A537" s="12"/>
      <c r="B537" s="446"/>
      <c r="C537" s="89"/>
      <c r="D537" s="13"/>
      <c r="E537" s="14"/>
      <c r="F537" s="14"/>
      <c r="G537" s="15"/>
      <c r="H537" s="8"/>
      <c r="I537" s="8"/>
      <c r="J537" s="89"/>
      <c r="K537" s="8"/>
      <c r="L537" s="8"/>
      <c r="M537" s="8" t="str">
        <f>IF(L537="","",
IF(AX537="PT",VLOOKUP(L537,Foundation_Calc!$V$4:$X$37,VLOOKUP(AX537,Foundation_Calc!$I$10:$J$13,2,FALSE),0),
IF(AX537="K",VLOOKUP(L537,Foundation_Calc!$V$41:$X$74,VLOOKUP(AX537,Foundation_Calc!$I$10:$J$13,2,FALSE),0),"")))</f>
        <v/>
      </c>
      <c r="N537" s="8"/>
      <c r="O537" s="8"/>
      <c r="P537" s="8"/>
      <c r="Q537" s="14"/>
      <c r="R537" s="15"/>
      <c r="S537" s="15"/>
      <c r="T537" s="14"/>
      <c r="U537" s="14"/>
      <c r="V537" s="14"/>
      <c r="W537" s="18"/>
      <c r="X537" s="18"/>
      <c r="Y537" s="18"/>
      <c r="Z537" s="18"/>
      <c r="AA537" s="18"/>
      <c r="AB537" s="18"/>
      <c r="AC537" s="8" t="str">
        <f t="shared" si="102"/>
        <v/>
      </c>
      <c r="AD537" s="8"/>
      <c r="AE537" s="8"/>
      <c r="AF537" s="14"/>
      <c r="AG537" s="13"/>
      <c r="AH537" s="14"/>
      <c r="AI537" s="14"/>
      <c r="AJ537" s="8"/>
      <c r="AK537" s="8"/>
      <c r="AL537" s="8"/>
      <c r="AM537" s="8"/>
      <c r="AN537" s="631"/>
      <c r="AO537" s="18"/>
      <c r="AP537" s="18"/>
      <c r="AQ537" s="18"/>
      <c r="AR537" s="18"/>
      <c r="AS537" s="18"/>
      <c r="AU537" s="448"/>
      <c r="AV537" s="448"/>
      <c r="AW537" s="8" t="str">
        <f>IF(C537&gt;0,VLOOKUP(C537,Foundation_Calc!$A$2:$C$986,3,1),
IF(J537&gt;0,VLOOKUP(J537,Foundation_Calc!$A$2:$C$986,3,1),""))</f>
        <v/>
      </c>
      <c r="AX537" s="8" t="str">
        <f>IF(C537&gt;0,VLOOKUP(C537,Foundation_Calc!$E$2:$G$986,3,1),
IF(J537&gt;0,VLOOKUP(J537,Foundation_Calc!$E$2:$G$986,3,1),""))</f>
        <v/>
      </c>
      <c r="AY537" s="631" t="str">
        <f>IF(L537="","",
IF(AX537="PT",VLOOKUP(L537,Foundation_Calc!$K$4:$R$37,VLOOKUP(AW537,Foundation_Calc!$I$2:$J$8,2,FALSE),0),
IF(AX537="K",VLOOKUP(L537,Foundation_Calc!$K$41:$R$74,VLOOKUP(AW537,Foundation_Calc!$I$2:$J$8,2,FALSE),0),"")))</f>
        <v/>
      </c>
      <c r="AZ537" s="631" t="str">
        <f>IF(K537="","",
IF(AX537="PT",VLOOKUP(K537,Foundation_Calc!$K$4:$R$37,VLOOKUP(AW537,Foundation_Calc!$I$2:$J$8,2,FALSE),0),
IF(AX537="K",VLOOKUP(K537,Foundation_Calc!$K$41:$R$74,VLOOKUP(AW537,Foundation_Calc!$I$2:$J$8,2,FALSE),0),"")))</f>
        <v/>
      </c>
      <c r="BA537" s="632" t="str">
        <f t="shared" si="103"/>
        <v/>
      </c>
      <c r="BB537" s="632" t="str">
        <f t="shared" si="104"/>
        <v/>
      </c>
      <c r="BC537" s="632" t="str">
        <f t="shared" si="105"/>
        <v/>
      </c>
      <c r="BD537" s="633" t="str">
        <f>IF(AND(L537="",H537=""),"",
IF(H537="",Pole_Calc!A565,
IF(H537="MP",Pole_Calc!A566,
IF(H537="AnMP",Pole_Calc!A567,
IF(H537="A",Pole_Calc!A568,
IF(H537="S/A",Pole_Calc!A569,
IF(H537="A/S",Pole_Calc!A570,"Poner a mano")))))))</f>
        <v/>
      </c>
      <c r="BE537" s="448" t="s">
        <v>1726</v>
      </c>
      <c r="BF537" s="635"/>
      <c r="BG537" s="635"/>
      <c r="BH537" s="634"/>
      <c r="BI537" s="635"/>
    </row>
    <row r="538" spans="1:61" ht="16.2" customHeight="1">
      <c r="A538" s="12"/>
      <c r="B538" s="446"/>
      <c r="C538" s="89"/>
      <c r="D538" s="13"/>
      <c r="E538" s="14"/>
      <c r="F538" s="14"/>
      <c r="G538" s="15"/>
      <c r="H538" s="8"/>
      <c r="I538" s="8"/>
      <c r="J538" s="89"/>
      <c r="K538" s="8"/>
      <c r="L538" s="8"/>
      <c r="M538" s="8" t="str">
        <f>IF(L538="","",
IF(AX538="PT",VLOOKUP(L538,Foundation_Calc!$V$4:$X$37,VLOOKUP(AX538,Foundation_Calc!$I$10:$J$13,2,FALSE),0),
IF(AX538="K",VLOOKUP(L538,Foundation_Calc!$V$41:$X$74,VLOOKUP(AX538,Foundation_Calc!$I$10:$J$13,2,FALSE),0),"")))</f>
        <v/>
      </c>
      <c r="N538" s="8"/>
      <c r="O538" s="8"/>
      <c r="P538" s="8"/>
      <c r="Q538" s="14"/>
      <c r="R538" s="15"/>
      <c r="S538" s="15"/>
      <c r="T538" s="14"/>
      <c r="U538" s="14"/>
      <c r="V538" s="14"/>
      <c r="W538" s="18"/>
      <c r="X538" s="18"/>
      <c r="Y538" s="18"/>
      <c r="Z538" s="18"/>
      <c r="AA538" s="18"/>
      <c r="AB538" s="18"/>
      <c r="AC538" s="8" t="str">
        <f t="shared" si="102"/>
        <v/>
      </c>
      <c r="AD538" s="8"/>
      <c r="AE538" s="8"/>
      <c r="AF538" s="14"/>
      <c r="AG538" s="13"/>
      <c r="AH538" s="14"/>
      <c r="AI538" s="14"/>
      <c r="AJ538" s="8"/>
      <c r="AK538" s="8"/>
      <c r="AL538" s="8"/>
      <c r="AM538" s="8"/>
      <c r="AN538" s="631"/>
      <c r="AO538" s="18"/>
      <c r="AP538" s="18"/>
      <c r="AQ538" s="18"/>
      <c r="AR538" s="18"/>
      <c r="AS538" s="18"/>
      <c r="AU538" s="448"/>
      <c r="AV538" s="448"/>
      <c r="AW538" s="8" t="str">
        <f>IF(C538&gt;0,VLOOKUP(C538,Foundation_Calc!$A$2:$C$986,3,1),
IF(J538&gt;0,VLOOKUP(J538,Foundation_Calc!$A$2:$C$986,3,1),""))</f>
        <v/>
      </c>
      <c r="AX538" s="8" t="str">
        <f>IF(C538&gt;0,VLOOKUP(C538,Foundation_Calc!$E$2:$G$986,3,1),
IF(J538&gt;0,VLOOKUP(J538,Foundation_Calc!$E$2:$G$986,3,1),""))</f>
        <v/>
      </c>
      <c r="AY538" s="631" t="str">
        <f>IF(L538="","",
IF(AX538="PT",VLOOKUP(L538,Foundation_Calc!$K$4:$R$37,VLOOKUP(AW538,Foundation_Calc!$I$2:$J$8,2,FALSE),0),
IF(AX538="K",VLOOKUP(L538,Foundation_Calc!$K$41:$R$74,VLOOKUP(AW538,Foundation_Calc!$I$2:$J$8,2,FALSE),0),"")))</f>
        <v/>
      </c>
      <c r="AZ538" s="631" t="str">
        <f>IF(K538="","",
IF(AX538="PT",VLOOKUP(K538,Foundation_Calc!$K$4:$R$37,VLOOKUP(AW538,Foundation_Calc!$I$2:$J$8,2,FALSE),0),
IF(AX538="K",VLOOKUP(K538,Foundation_Calc!$K$41:$R$74,VLOOKUP(AW538,Foundation_Calc!$I$2:$J$8,2,FALSE),0),"")))</f>
        <v/>
      </c>
      <c r="BA538" s="632" t="str">
        <f t="shared" si="103"/>
        <v/>
      </c>
      <c r="BB538" s="632" t="str">
        <f t="shared" si="104"/>
        <v/>
      </c>
      <c r="BC538" s="632" t="str">
        <f t="shared" si="105"/>
        <v/>
      </c>
      <c r="BD538" s="633" t="str">
        <f>IF(AND(L538="",H538=""),"",
IF(H538="",Pole_Calc!A566,
IF(H538="MP",Pole_Calc!A567,
IF(H538="AnMP",Pole_Calc!A568,
IF(H538="A",Pole_Calc!A569,
IF(H538="S/A",Pole_Calc!A570,
IF(H538="A/S",Pole_Calc!A571,"Poner a mano")))))))</f>
        <v/>
      </c>
      <c r="BE538" s="448" t="s">
        <v>1726</v>
      </c>
      <c r="BF538" s="634"/>
      <c r="BG538" s="634"/>
      <c r="BH538" s="634"/>
      <c r="BI538" s="634"/>
    </row>
    <row r="539" spans="1:61" ht="16.2" customHeight="1">
      <c r="A539" s="12"/>
      <c r="B539" s="446"/>
      <c r="C539" s="89"/>
      <c r="D539" s="13"/>
      <c r="E539" s="14"/>
      <c r="F539" s="14"/>
      <c r="G539" s="15"/>
      <c r="H539" s="8"/>
      <c r="I539" s="8"/>
      <c r="J539" s="89"/>
      <c r="K539" s="8"/>
      <c r="L539" s="8"/>
      <c r="M539" s="8" t="str">
        <f>IF(L539="","",
IF(AX539="PT",VLOOKUP(L539,Foundation_Calc!$V$4:$X$37,VLOOKUP(AX539,Foundation_Calc!$I$10:$J$13,2,FALSE),0),
IF(AX539="K",VLOOKUP(L539,Foundation_Calc!$V$41:$X$74,VLOOKUP(AX539,Foundation_Calc!$I$10:$J$13,2,FALSE),0),"")))</f>
        <v/>
      </c>
      <c r="N539" s="8"/>
      <c r="O539" s="8"/>
      <c r="P539" s="8"/>
      <c r="Q539" s="14"/>
      <c r="R539" s="15"/>
      <c r="S539" s="15"/>
      <c r="T539" s="14"/>
      <c r="U539" s="14"/>
      <c r="V539" s="14"/>
      <c r="W539" s="18"/>
      <c r="X539" s="18"/>
      <c r="Y539" s="18"/>
      <c r="Z539" s="18"/>
      <c r="AA539" s="18"/>
      <c r="AB539" s="18"/>
      <c r="AC539" s="8" t="str">
        <f t="shared" si="102"/>
        <v/>
      </c>
      <c r="AD539" s="8"/>
      <c r="AE539" s="8"/>
      <c r="AF539" s="14"/>
      <c r="AG539" s="13"/>
      <c r="AH539" s="14"/>
      <c r="AI539" s="14"/>
      <c r="AJ539" s="8"/>
      <c r="AK539" s="8"/>
      <c r="AL539" s="8"/>
      <c r="AM539" s="8"/>
      <c r="AN539" s="631"/>
      <c r="AO539" s="18"/>
      <c r="AP539" s="18"/>
      <c r="AQ539" s="18"/>
      <c r="AR539" s="18"/>
      <c r="AS539" s="18"/>
      <c r="AU539" s="448"/>
      <c r="AV539" s="448"/>
      <c r="AW539" s="8" t="str">
        <f>IF(C539&gt;0,VLOOKUP(C539,Foundation_Calc!$A$2:$C$986,3,1),
IF(J539&gt;0,VLOOKUP(J539,Foundation_Calc!$A$2:$C$986,3,1),""))</f>
        <v/>
      </c>
      <c r="AX539" s="8" t="str">
        <f>IF(C539&gt;0,VLOOKUP(C539,Foundation_Calc!$E$2:$G$986,3,1),
IF(J539&gt;0,VLOOKUP(J539,Foundation_Calc!$E$2:$G$986,3,1),""))</f>
        <v/>
      </c>
      <c r="AY539" s="631" t="str">
        <f>IF(L539="","",
IF(AX539="PT",VLOOKUP(L539,Foundation_Calc!$K$4:$R$37,VLOOKUP(AW539,Foundation_Calc!$I$2:$J$8,2,FALSE),0),
IF(AX539="K",VLOOKUP(L539,Foundation_Calc!$K$41:$R$74,VLOOKUP(AW539,Foundation_Calc!$I$2:$J$8,2,FALSE),0),"")))</f>
        <v/>
      </c>
      <c r="AZ539" s="631" t="str">
        <f>IF(K539="","",
IF(AX539="PT",VLOOKUP(K539,Foundation_Calc!$K$4:$R$37,VLOOKUP(AW539,Foundation_Calc!$I$2:$J$8,2,FALSE),0),
IF(AX539="K",VLOOKUP(K539,Foundation_Calc!$K$41:$R$74,VLOOKUP(AW539,Foundation_Calc!$I$2:$J$8,2,FALSE),0),"")))</f>
        <v/>
      </c>
      <c r="BA539" s="632" t="str">
        <f t="shared" si="103"/>
        <v/>
      </c>
      <c r="BB539" s="632" t="str">
        <f t="shared" si="104"/>
        <v/>
      </c>
      <c r="BC539" s="632" t="str">
        <f t="shared" si="105"/>
        <v/>
      </c>
      <c r="BD539" s="633" t="str">
        <f>IF(AND(L539="",H539=""),"",
IF(H539="",Pole_Calc!A567,
IF(H539="MP",Pole_Calc!A568,
IF(H539="AnMP",Pole_Calc!A569,
IF(H539="A",Pole_Calc!A570,
IF(H539="S/A",Pole_Calc!A571,
IF(H539="A/S",Pole_Calc!A572,"Poner a mano")))))))</f>
        <v/>
      </c>
      <c r="BE539" s="448" t="s">
        <v>1726</v>
      </c>
      <c r="BF539" s="635"/>
      <c r="BG539" s="635"/>
      <c r="BH539" s="634"/>
      <c r="BI539" s="635"/>
    </row>
    <row r="540" spans="1:61" ht="16.2" customHeight="1">
      <c r="A540" s="12"/>
      <c r="B540" s="446"/>
      <c r="C540" s="89"/>
      <c r="D540" s="13"/>
      <c r="E540" s="14"/>
      <c r="F540" s="14"/>
      <c r="G540" s="15"/>
      <c r="H540" s="8"/>
      <c r="I540" s="8"/>
      <c r="J540" s="89"/>
      <c r="K540" s="8"/>
      <c r="L540" s="8"/>
      <c r="M540" s="8" t="str">
        <f>IF(L540="","",
IF(AX540="PT",VLOOKUP(L540,Foundation_Calc!$V$4:$X$37,VLOOKUP(AX540,Foundation_Calc!$I$10:$J$13,2,FALSE),0),
IF(AX540="K",VLOOKUP(L540,Foundation_Calc!$V$41:$X$74,VLOOKUP(AX540,Foundation_Calc!$I$10:$J$13,2,FALSE),0),"")))</f>
        <v/>
      </c>
      <c r="N540" s="8"/>
      <c r="O540" s="8"/>
      <c r="P540" s="8"/>
      <c r="Q540" s="14"/>
      <c r="R540" s="15"/>
      <c r="S540" s="15"/>
      <c r="T540" s="14"/>
      <c r="U540" s="14"/>
      <c r="V540" s="14"/>
      <c r="W540" s="18"/>
      <c r="X540" s="18"/>
      <c r="Y540" s="18"/>
      <c r="Z540" s="18"/>
      <c r="AA540" s="18"/>
      <c r="AB540" s="18"/>
      <c r="AC540" s="8" t="str">
        <f t="shared" si="102"/>
        <v/>
      </c>
      <c r="AD540" s="8"/>
      <c r="AE540" s="8"/>
      <c r="AF540" s="14"/>
      <c r="AG540" s="13"/>
      <c r="AH540" s="14"/>
      <c r="AI540" s="14"/>
      <c r="AJ540" s="8"/>
      <c r="AK540" s="8"/>
      <c r="AL540" s="8"/>
      <c r="AM540" s="8"/>
      <c r="AN540" s="631"/>
      <c r="AO540" s="18"/>
      <c r="AP540" s="18"/>
      <c r="AQ540" s="18"/>
      <c r="AR540" s="18"/>
      <c r="AS540" s="18"/>
      <c r="AU540" s="448"/>
      <c r="AV540" s="448"/>
      <c r="AW540" s="8" t="str">
        <f>IF(C540&gt;0,VLOOKUP(C540,Foundation_Calc!$A$2:$C$986,3,1),
IF(J540&gt;0,VLOOKUP(J540,Foundation_Calc!$A$2:$C$986,3,1),""))</f>
        <v/>
      </c>
      <c r="AX540" s="8" t="str">
        <f>IF(C540&gt;0,VLOOKUP(C540,Foundation_Calc!$E$2:$G$986,3,1),
IF(J540&gt;0,VLOOKUP(J540,Foundation_Calc!$E$2:$G$986,3,1),""))</f>
        <v/>
      </c>
      <c r="AY540" s="631" t="str">
        <f>IF(L540="","",
IF(AX540="PT",VLOOKUP(L540,Foundation_Calc!$K$4:$R$37,VLOOKUP(AW540,Foundation_Calc!$I$2:$J$8,2,FALSE),0),
IF(AX540="K",VLOOKUP(L540,Foundation_Calc!$K$41:$R$74,VLOOKUP(AW540,Foundation_Calc!$I$2:$J$8,2,FALSE),0),"")))</f>
        <v/>
      </c>
      <c r="AZ540" s="631" t="str">
        <f>IF(K540="","",
IF(AX540="PT",VLOOKUP(K540,Foundation_Calc!$K$4:$R$37,VLOOKUP(AW540,Foundation_Calc!$I$2:$J$8,2,FALSE),0),
IF(AX540="K",VLOOKUP(K540,Foundation_Calc!$K$41:$R$74,VLOOKUP(AW540,Foundation_Calc!$I$2:$J$8,2,FALSE),0),"")))</f>
        <v/>
      </c>
      <c r="BA540" s="632" t="str">
        <f t="shared" si="103"/>
        <v/>
      </c>
      <c r="BB540" s="632" t="str">
        <f t="shared" si="104"/>
        <v/>
      </c>
      <c r="BC540" s="632" t="str">
        <f t="shared" si="105"/>
        <v/>
      </c>
      <c r="BD540" s="633" t="str">
        <f>IF(AND(L540="",H540=""),"",
IF(H540="",Pole_Calc!A568,
IF(H540="MP",Pole_Calc!A569,
IF(H540="AnMP",Pole_Calc!A570,
IF(H540="A",Pole_Calc!A571,
IF(H540="S/A",Pole_Calc!A572,
IF(H540="A/S",Pole_Calc!A573,"Poner a mano")))))))</f>
        <v/>
      </c>
      <c r="BE540" s="448" t="s">
        <v>1726</v>
      </c>
      <c r="BF540" s="634"/>
      <c r="BG540" s="634"/>
      <c r="BH540" s="634"/>
      <c r="BI540" s="634"/>
    </row>
    <row r="541" spans="1:61" ht="16.2" customHeight="1">
      <c r="A541" s="12"/>
      <c r="B541" s="446"/>
      <c r="C541" s="89"/>
      <c r="D541" s="13"/>
      <c r="E541" s="14"/>
      <c r="F541" s="14"/>
      <c r="G541" s="15"/>
      <c r="H541" s="8"/>
      <c r="I541" s="8"/>
      <c r="J541" s="89"/>
      <c r="K541" s="8"/>
      <c r="L541" s="8"/>
      <c r="M541" s="8" t="str">
        <f>IF(L541="","",
IF(AX541="PT",VLOOKUP(L541,Foundation_Calc!$V$4:$X$37,VLOOKUP(AX541,Foundation_Calc!$I$10:$J$13,2,FALSE),0),
IF(AX541="K",VLOOKUP(L541,Foundation_Calc!$V$41:$X$74,VLOOKUP(AX541,Foundation_Calc!$I$10:$J$13,2,FALSE),0),"")))</f>
        <v/>
      </c>
      <c r="N541" s="8"/>
      <c r="O541" s="8"/>
      <c r="P541" s="8"/>
      <c r="Q541" s="14"/>
      <c r="R541" s="15"/>
      <c r="S541" s="15"/>
      <c r="T541" s="14"/>
      <c r="U541" s="14"/>
      <c r="V541" s="14"/>
      <c r="W541" s="18"/>
      <c r="X541" s="18"/>
      <c r="Y541" s="18"/>
      <c r="Z541" s="18"/>
      <c r="AA541" s="18"/>
      <c r="AB541" s="18"/>
      <c r="AC541" s="8" t="str">
        <f t="shared" si="102"/>
        <v/>
      </c>
      <c r="AD541" s="8"/>
      <c r="AE541" s="8"/>
      <c r="AF541" s="14"/>
      <c r="AG541" s="13"/>
      <c r="AH541" s="14"/>
      <c r="AI541" s="14"/>
      <c r="AJ541" s="8"/>
      <c r="AK541" s="8"/>
      <c r="AL541" s="8"/>
      <c r="AM541" s="8"/>
      <c r="AN541" s="631"/>
      <c r="AO541" s="18"/>
      <c r="AP541" s="18"/>
      <c r="AQ541" s="18"/>
      <c r="AR541" s="18"/>
      <c r="AS541" s="18"/>
      <c r="AU541" s="448"/>
      <c r="AV541" s="448"/>
      <c r="AW541" s="8" t="str">
        <f>IF(C541&gt;0,VLOOKUP(C541,Foundation_Calc!$A$2:$C$986,3,1),
IF(J541&gt;0,VLOOKUP(J541,Foundation_Calc!$A$2:$C$986,3,1),""))</f>
        <v/>
      </c>
      <c r="AX541" s="8" t="str">
        <f>IF(C541&gt;0,VLOOKUP(C541,Foundation_Calc!$E$2:$G$986,3,1),
IF(J541&gt;0,VLOOKUP(J541,Foundation_Calc!$E$2:$G$986,3,1),""))</f>
        <v/>
      </c>
      <c r="AY541" s="631" t="str">
        <f>IF(L541="","",
IF(AX541="PT",VLOOKUP(L541,Foundation_Calc!$K$4:$R$37,VLOOKUP(AW541,Foundation_Calc!$I$2:$J$8,2,FALSE),0),
IF(AX541="K",VLOOKUP(L541,Foundation_Calc!$K$41:$R$74,VLOOKUP(AW541,Foundation_Calc!$I$2:$J$8,2,FALSE),0),"")))</f>
        <v/>
      </c>
      <c r="AZ541" s="631" t="str">
        <f>IF(K541="","",
IF(AX541="PT",VLOOKUP(K541,Foundation_Calc!$K$4:$R$37,VLOOKUP(AW541,Foundation_Calc!$I$2:$J$8,2,FALSE),0),
IF(AX541="K",VLOOKUP(K541,Foundation_Calc!$K$41:$R$74,VLOOKUP(AW541,Foundation_Calc!$I$2:$J$8,2,FALSE),0),"")))</f>
        <v/>
      </c>
      <c r="BA541" s="632" t="str">
        <f t="shared" si="103"/>
        <v/>
      </c>
      <c r="BB541" s="632" t="str">
        <f t="shared" si="104"/>
        <v/>
      </c>
      <c r="BC541" s="632" t="str">
        <f t="shared" si="105"/>
        <v/>
      </c>
      <c r="BD541" s="633" t="str">
        <f>IF(AND(L541="",H541=""),"",
IF(H541="",Pole_Calc!A569,
IF(H541="MP",Pole_Calc!A570,
IF(H541="AnMP",Pole_Calc!A571,
IF(H541="A",Pole_Calc!A572,
IF(H541="S/A",Pole_Calc!A573,
IF(H541="A/S",Pole_Calc!A574,"Poner a mano")))))))</f>
        <v/>
      </c>
      <c r="BE541" s="448" t="s">
        <v>1726</v>
      </c>
      <c r="BF541" s="635"/>
      <c r="BG541" s="635"/>
      <c r="BH541" s="634"/>
      <c r="BI541" s="635"/>
    </row>
    <row r="542" spans="1:61" ht="16.2" customHeight="1">
      <c r="A542" s="12"/>
      <c r="B542" s="446"/>
      <c r="C542" s="89"/>
      <c r="D542" s="13"/>
      <c r="E542" s="14"/>
      <c r="F542" s="14"/>
      <c r="G542" s="15"/>
      <c r="H542" s="8"/>
      <c r="I542" s="8"/>
      <c r="J542" s="89"/>
      <c r="K542" s="8"/>
      <c r="L542" s="8"/>
      <c r="M542" s="8" t="str">
        <f>IF(L542="","",
IF(AX542="PT",VLOOKUP(L542,Foundation_Calc!$V$4:$X$37,VLOOKUP(AX542,Foundation_Calc!$I$10:$J$13,2,FALSE),0),
IF(AX542="K",VLOOKUP(L542,Foundation_Calc!$V$41:$X$74,VLOOKUP(AX542,Foundation_Calc!$I$10:$J$13,2,FALSE),0),"")))</f>
        <v/>
      </c>
      <c r="N542" s="8"/>
      <c r="O542" s="8"/>
      <c r="P542" s="8"/>
      <c r="Q542" s="14"/>
      <c r="R542" s="15"/>
      <c r="S542" s="15"/>
      <c r="T542" s="14"/>
      <c r="U542" s="14"/>
      <c r="V542" s="14"/>
      <c r="W542" s="18"/>
      <c r="X542" s="18"/>
      <c r="Y542" s="18"/>
      <c r="Z542" s="18"/>
      <c r="AA542" s="18"/>
      <c r="AB542" s="18"/>
      <c r="AC542" s="8" t="str">
        <f t="shared" si="102"/>
        <v/>
      </c>
      <c r="AD542" s="8"/>
      <c r="AE542" s="8"/>
      <c r="AF542" s="14"/>
      <c r="AG542" s="13"/>
      <c r="AH542" s="14"/>
      <c r="AI542" s="14"/>
      <c r="AJ542" s="8"/>
      <c r="AK542" s="8"/>
      <c r="AL542" s="8"/>
      <c r="AM542" s="8"/>
      <c r="AN542" s="631"/>
      <c r="AO542" s="18"/>
      <c r="AP542" s="18"/>
      <c r="AQ542" s="18"/>
      <c r="AR542" s="18"/>
      <c r="AS542" s="18"/>
      <c r="AU542" s="448"/>
      <c r="AV542" s="448"/>
      <c r="AW542" s="8" t="str">
        <f>IF(C542&gt;0,VLOOKUP(C542,Foundation_Calc!$A$2:$C$986,3,1),
IF(J542&gt;0,VLOOKUP(J542,Foundation_Calc!$A$2:$C$986,3,1),""))</f>
        <v/>
      </c>
      <c r="AX542" s="8" t="str">
        <f>IF(C542&gt;0,VLOOKUP(C542,Foundation_Calc!$E$2:$G$986,3,1),
IF(J542&gt;0,VLOOKUP(J542,Foundation_Calc!$E$2:$G$986,3,1),""))</f>
        <v/>
      </c>
      <c r="AY542" s="631" t="str">
        <f>IF(L542="","",
IF(AX542="PT",VLOOKUP(L542,Foundation_Calc!$K$4:$R$37,VLOOKUP(AW542,Foundation_Calc!$I$2:$J$8,2,FALSE),0),
IF(AX542="K",VLOOKUP(L542,Foundation_Calc!$K$41:$R$74,VLOOKUP(AW542,Foundation_Calc!$I$2:$J$8,2,FALSE),0),"")))</f>
        <v/>
      </c>
      <c r="AZ542" s="631" t="str">
        <f>IF(K542="","",
IF(AX542="PT",VLOOKUP(K542,Foundation_Calc!$K$4:$R$37,VLOOKUP(AW542,Foundation_Calc!$I$2:$J$8,2,FALSE),0),
IF(AX542="K",VLOOKUP(K542,Foundation_Calc!$K$41:$R$74,VLOOKUP(AW542,Foundation_Calc!$I$2:$J$8,2,FALSE),0),"")))</f>
        <v/>
      </c>
      <c r="BA542" s="632" t="str">
        <f t="shared" si="103"/>
        <v/>
      </c>
      <c r="BB542" s="632" t="str">
        <f t="shared" si="104"/>
        <v/>
      </c>
      <c r="BC542" s="632" t="str">
        <f t="shared" si="105"/>
        <v/>
      </c>
      <c r="BD542" s="633" t="str">
        <f>IF(AND(L542="",H542=""),"",
IF(H542="",Pole_Calc!A570,
IF(H542="MP",Pole_Calc!A571,
IF(H542="AnMP",Pole_Calc!A572,
IF(H542="A",Pole_Calc!A573,
IF(H542="S/A",Pole_Calc!A574,
IF(H542="A/S",Pole_Calc!A575,"Poner a mano")))))))</f>
        <v/>
      </c>
      <c r="BE542" s="448" t="s">
        <v>1726</v>
      </c>
      <c r="BF542" s="634"/>
      <c r="BG542" s="634"/>
      <c r="BH542" s="634"/>
      <c r="BI542" s="634"/>
    </row>
    <row r="543" spans="1:61" ht="16.2" customHeight="1">
      <c r="A543" s="12"/>
      <c r="B543" s="446"/>
      <c r="C543" s="89"/>
      <c r="D543" s="13"/>
      <c r="E543" s="14"/>
      <c r="F543" s="14"/>
      <c r="G543" s="15"/>
      <c r="H543" s="8"/>
      <c r="I543" s="8"/>
      <c r="J543" s="89"/>
      <c r="K543" s="8"/>
      <c r="L543" s="8"/>
      <c r="M543" s="8" t="str">
        <f>IF(L543="","",
IF(AX543="PT",VLOOKUP(L543,Foundation_Calc!$V$4:$X$37,VLOOKUP(AX543,Foundation_Calc!$I$10:$J$13,2,FALSE),0),
IF(AX543="K",VLOOKUP(L543,Foundation_Calc!$V$41:$X$74,VLOOKUP(AX543,Foundation_Calc!$I$10:$J$13,2,FALSE),0),"")))</f>
        <v/>
      </c>
      <c r="N543" s="8"/>
      <c r="O543" s="8"/>
      <c r="P543" s="8"/>
      <c r="Q543" s="14"/>
      <c r="R543" s="15"/>
      <c r="S543" s="15"/>
      <c r="T543" s="14"/>
      <c r="U543" s="14"/>
      <c r="V543" s="14"/>
      <c r="W543" s="18"/>
      <c r="X543" s="18"/>
      <c r="Y543" s="18"/>
      <c r="Z543" s="18"/>
      <c r="AA543" s="18"/>
      <c r="AB543" s="18"/>
      <c r="AC543" s="8" t="str">
        <f t="shared" si="102"/>
        <v/>
      </c>
      <c r="AD543" s="8"/>
      <c r="AE543" s="8"/>
      <c r="AF543" s="14"/>
      <c r="AG543" s="13"/>
      <c r="AH543" s="14"/>
      <c r="AI543" s="14"/>
      <c r="AJ543" s="8"/>
      <c r="AK543" s="8"/>
      <c r="AL543" s="8"/>
      <c r="AM543" s="8"/>
      <c r="AN543" s="631"/>
      <c r="AO543" s="18"/>
      <c r="AP543" s="18"/>
      <c r="AQ543" s="18"/>
      <c r="AR543" s="18"/>
      <c r="AS543" s="18"/>
      <c r="AU543" s="448"/>
      <c r="AV543" s="448"/>
      <c r="AW543" s="8" t="str">
        <f>IF(C543&gt;0,VLOOKUP(C543,Foundation_Calc!$A$2:$C$986,3,1),
IF(J543&gt;0,VLOOKUP(J543,Foundation_Calc!$A$2:$C$986,3,1),""))</f>
        <v/>
      </c>
      <c r="AX543" s="8" t="str">
        <f>IF(C543&gt;0,VLOOKUP(C543,Foundation_Calc!$E$2:$G$986,3,1),
IF(J543&gt;0,VLOOKUP(J543,Foundation_Calc!$E$2:$G$986,3,1),""))</f>
        <v/>
      </c>
      <c r="AY543" s="631" t="str">
        <f>IF(L543="","",
IF(AX543="PT",VLOOKUP(L543,Foundation_Calc!$K$4:$R$37,VLOOKUP(AW543,Foundation_Calc!$I$2:$J$8,2,FALSE),0),
IF(AX543="K",VLOOKUP(L543,Foundation_Calc!$K$41:$R$74,VLOOKUP(AW543,Foundation_Calc!$I$2:$J$8,2,FALSE),0),"")))</f>
        <v/>
      </c>
      <c r="AZ543" s="631" t="str">
        <f>IF(K543="","",
IF(AX543="PT",VLOOKUP(K543,Foundation_Calc!$K$4:$R$37,VLOOKUP(AW543,Foundation_Calc!$I$2:$J$8,2,FALSE),0),
IF(AX543="K",VLOOKUP(K543,Foundation_Calc!$K$41:$R$74,VLOOKUP(AW543,Foundation_Calc!$I$2:$J$8,2,FALSE),0),"")))</f>
        <v/>
      </c>
      <c r="BA543" s="632" t="str">
        <f t="shared" si="103"/>
        <v/>
      </c>
      <c r="BB543" s="632" t="str">
        <f t="shared" si="104"/>
        <v/>
      </c>
      <c r="BC543" s="632" t="str">
        <f t="shared" si="105"/>
        <v/>
      </c>
      <c r="BD543" s="633" t="str">
        <f>IF(AND(L543="",H543=""),"",
IF(H543="",Pole_Calc!A571,
IF(H543="MP",Pole_Calc!A572,
IF(H543="AnMP",Pole_Calc!A573,
IF(H543="A",Pole_Calc!A574,
IF(H543="S/A",Pole_Calc!A575,
IF(H543="A/S",Pole_Calc!A576,"Poner a mano")))))))</f>
        <v/>
      </c>
      <c r="BE543" s="448" t="s">
        <v>1726</v>
      </c>
      <c r="BF543" s="635"/>
      <c r="BG543" s="635"/>
      <c r="BH543" s="634"/>
      <c r="BI543" s="635"/>
    </row>
    <row r="544" spans="1:61" ht="16.2" customHeight="1">
      <c r="A544" s="12"/>
      <c r="B544" s="446"/>
      <c r="C544" s="89"/>
      <c r="D544" s="13"/>
      <c r="E544" s="14"/>
      <c r="F544" s="14"/>
      <c r="G544" s="15"/>
      <c r="H544" s="8"/>
      <c r="I544" s="8"/>
      <c r="J544" s="89"/>
      <c r="K544" s="8"/>
      <c r="L544" s="8"/>
      <c r="M544" s="8" t="str">
        <f>IF(L544="","",
IF(AX544="PT",VLOOKUP(L544,Foundation_Calc!$V$4:$X$37,VLOOKUP(AX544,Foundation_Calc!$I$10:$J$13,2,FALSE),0),
IF(AX544="K",VLOOKUP(L544,Foundation_Calc!$V$41:$X$74,VLOOKUP(AX544,Foundation_Calc!$I$10:$J$13,2,FALSE),0),"")))</f>
        <v/>
      </c>
      <c r="N544" s="8"/>
      <c r="O544" s="8"/>
      <c r="P544" s="8"/>
      <c r="Q544" s="14"/>
      <c r="R544" s="15"/>
      <c r="S544" s="15"/>
      <c r="T544" s="14"/>
      <c r="U544" s="14"/>
      <c r="V544" s="14"/>
      <c r="W544" s="18"/>
      <c r="X544" s="18"/>
      <c r="Y544" s="18"/>
      <c r="Z544" s="18"/>
      <c r="AA544" s="18"/>
      <c r="AB544" s="18"/>
      <c r="AC544" s="8" t="str">
        <f t="shared" si="102"/>
        <v/>
      </c>
      <c r="AD544" s="8"/>
      <c r="AE544" s="8"/>
      <c r="AF544" s="14"/>
      <c r="AG544" s="13"/>
      <c r="AH544" s="14"/>
      <c r="AI544" s="14"/>
      <c r="AJ544" s="8"/>
      <c r="AK544" s="8"/>
      <c r="AL544" s="8"/>
      <c r="AM544" s="8"/>
      <c r="AN544" s="631"/>
      <c r="AO544" s="18"/>
      <c r="AP544" s="18"/>
      <c r="AQ544" s="18"/>
      <c r="AR544" s="18"/>
      <c r="AS544" s="18"/>
      <c r="AU544" s="448"/>
      <c r="AV544" s="448"/>
      <c r="AW544" s="8" t="str">
        <f>IF(C544&gt;0,VLOOKUP(C544,Foundation_Calc!$A$2:$C$986,3,1),
IF(J544&gt;0,VLOOKUP(J544,Foundation_Calc!$A$2:$C$986,3,1),""))</f>
        <v/>
      </c>
      <c r="AX544" s="8" t="str">
        <f>IF(C544&gt;0,VLOOKUP(C544,Foundation_Calc!$E$2:$G$986,3,1),
IF(J544&gt;0,VLOOKUP(J544,Foundation_Calc!$E$2:$G$986,3,1),""))</f>
        <v/>
      </c>
      <c r="AY544" s="631" t="str">
        <f>IF(L544="","",
IF(AX544="PT",VLOOKUP(L544,Foundation_Calc!$K$4:$R$37,VLOOKUP(AW544,Foundation_Calc!$I$2:$J$8,2,FALSE),0),
IF(AX544="K",VLOOKUP(L544,Foundation_Calc!$K$41:$R$74,VLOOKUP(AW544,Foundation_Calc!$I$2:$J$8,2,FALSE),0),"")))</f>
        <v/>
      </c>
      <c r="AZ544" s="631" t="str">
        <f>IF(K544="","",
IF(AX544="PT",VLOOKUP(K544,Foundation_Calc!$K$4:$R$37,VLOOKUP(AW544,Foundation_Calc!$I$2:$J$8,2,FALSE),0),
IF(AX544="K",VLOOKUP(K544,Foundation_Calc!$K$41:$R$74,VLOOKUP(AW544,Foundation_Calc!$I$2:$J$8,2,FALSE),0),"")))</f>
        <v/>
      </c>
      <c r="BA544" s="632" t="str">
        <f t="shared" si="103"/>
        <v/>
      </c>
      <c r="BB544" s="632" t="str">
        <f t="shared" si="104"/>
        <v/>
      </c>
      <c r="BC544" s="632" t="str">
        <f t="shared" si="105"/>
        <v/>
      </c>
      <c r="BD544" s="633" t="str">
        <f>IF(AND(L544="",H544=""),"",
IF(H544="",Pole_Calc!A572,
IF(H544="MP",Pole_Calc!A573,
IF(H544="AnMP",Pole_Calc!A574,
IF(H544="A",Pole_Calc!A575,
IF(H544="S/A",Pole_Calc!A576,
IF(H544="A/S",Pole_Calc!A577,"Poner a mano")))))))</f>
        <v/>
      </c>
      <c r="BE544" s="448" t="s">
        <v>1726</v>
      </c>
      <c r="BF544" s="634"/>
      <c r="BG544" s="634"/>
      <c r="BH544" s="634"/>
      <c r="BI544" s="634"/>
    </row>
    <row r="545" spans="1:61" ht="16.2" customHeight="1">
      <c r="A545" s="12"/>
      <c r="B545" s="446"/>
      <c r="C545" s="89"/>
      <c r="D545" s="13"/>
      <c r="E545" s="14"/>
      <c r="F545" s="14"/>
      <c r="G545" s="15"/>
      <c r="H545" s="8"/>
      <c r="I545" s="8"/>
      <c r="J545" s="89"/>
      <c r="K545" s="8"/>
      <c r="L545" s="8"/>
      <c r="M545" s="8" t="str">
        <f>IF(L545="","",
IF(AX545="PT",VLOOKUP(L545,Foundation_Calc!$V$4:$X$37,VLOOKUP(AX545,Foundation_Calc!$I$10:$J$13,2,FALSE),0),
IF(AX545="K",VLOOKUP(L545,Foundation_Calc!$V$41:$X$74,VLOOKUP(AX545,Foundation_Calc!$I$10:$J$13,2,FALSE),0),"")))</f>
        <v/>
      </c>
      <c r="N545" s="8"/>
      <c r="O545" s="8"/>
      <c r="P545" s="8"/>
      <c r="Q545" s="14"/>
      <c r="R545" s="15"/>
      <c r="S545" s="15"/>
      <c r="T545" s="14"/>
      <c r="U545" s="14"/>
      <c r="V545" s="14"/>
      <c r="W545" s="18"/>
      <c r="X545" s="18"/>
      <c r="Y545" s="18"/>
      <c r="Z545" s="18"/>
      <c r="AA545" s="18"/>
      <c r="AB545" s="18"/>
      <c r="AC545" s="8" t="str">
        <f t="shared" si="102"/>
        <v/>
      </c>
      <c r="AD545" s="8"/>
      <c r="AE545" s="8"/>
      <c r="AF545" s="14"/>
      <c r="AG545" s="13"/>
      <c r="AH545" s="14"/>
      <c r="AI545" s="14"/>
      <c r="AJ545" s="8"/>
      <c r="AK545" s="8"/>
      <c r="AL545" s="8"/>
      <c r="AM545" s="8"/>
      <c r="AN545" s="631"/>
      <c r="AO545" s="18"/>
      <c r="AP545" s="18"/>
      <c r="AQ545" s="18"/>
      <c r="AR545" s="18"/>
      <c r="AS545" s="18"/>
      <c r="AU545" s="448"/>
      <c r="AV545" s="448"/>
      <c r="AW545" s="8" t="str">
        <f>IF(C545&gt;0,VLOOKUP(C545,Foundation_Calc!$A$2:$C$986,3,1),
IF(J545&gt;0,VLOOKUP(J545,Foundation_Calc!$A$2:$C$986,3,1),""))</f>
        <v/>
      </c>
      <c r="AX545" s="8" t="str">
        <f>IF(C545&gt;0,VLOOKUP(C545,Foundation_Calc!$E$2:$G$986,3,1),
IF(J545&gt;0,VLOOKUP(J545,Foundation_Calc!$E$2:$G$986,3,1),""))</f>
        <v/>
      </c>
      <c r="AY545" s="631" t="str">
        <f>IF(L545="","",
IF(AX545="PT",VLOOKUP(L545,Foundation_Calc!$K$4:$R$37,VLOOKUP(AW545,Foundation_Calc!$I$2:$J$8,2,FALSE),0),
IF(AX545="K",VLOOKUP(L545,Foundation_Calc!$K$41:$R$74,VLOOKUP(AW545,Foundation_Calc!$I$2:$J$8,2,FALSE),0),"")))</f>
        <v/>
      </c>
      <c r="AZ545" s="631" t="str">
        <f>IF(K545="","",
IF(AX545="PT",VLOOKUP(K545,Foundation_Calc!$K$4:$R$37,VLOOKUP(AW545,Foundation_Calc!$I$2:$J$8,2,FALSE),0),
IF(AX545="K",VLOOKUP(K545,Foundation_Calc!$K$41:$R$74,VLOOKUP(AW545,Foundation_Calc!$I$2:$J$8,2,FALSE),0),"")))</f>
        <v/>
      </c>
      <c r="BA545" s="632" t="str">
        <f t="shared" si="103"/>
        <v/>
      </c>
      <c r="BB545" s="632" t="str">
        <f t="shared" si="104"/>
        <v/>
      </c>
      <c r="BC545" s="632" t="str">
        <f t="shared" si="105"/>
        <v/>
      </c>
      <c r="BD545" s="633" t="str">
        <f>IF(AND(L545="",H545=""),"",
IF(H545="",Pole_Calc!A573,
IF(H545="MP",Pole_Calc!A574,
IF(H545="AnMP",Pole_Calc!A575,
IF(H545="A",Pole_Calc!A576,
IF(H545="S/A",Pole_Calc!A577,
IF(H545="A/S",Pole_Calc!A578,"Poner a mano")))))))</f>
        <v/>
      </c>
      <c r="BE545" s="448" t="s">
        <v>1726</v>
      </c>
      <c r="BF545" s="635"/>
      <c r="BG545" s="635"/>
      <c r="BH545" s="634"/>
      <c r="BI545" s="635"/>
    </row>
    <row r="546" spans="1:61" ht="16.2" customHeight="1">
      <c r="A546" s="12"/>
      <c r="B546" s="446"/>
      <c r="C546" s="89"/>
      <c r="D546" s="13"/>
      <c r="E546" s="14"/>
      <c r="F546" s="14"/>
      <c r="G546" s="15"/>
      <c r="H546" s="8"/>
      <c r="I546" s="8"/>
      <c r="J546" s="89"/>
      <c r="K546" s="8"/>
      <c r="L546" s="8"/>
      <c r="M546" s="8" t="str">
        <f>IF(L546="","",
IF(AX546="PT",VLOOKUP(L546,Foundation_Calc!$V$4:$X$37,VLOOKUP(AX546,Foundation_Calc!$I$10:$J$13,2,FALSE),0),
IF(AX546="K",VLOOKUP(L546,Foundation_Calc!$V$41:$X$74,VLOOKUP(AX546,Foundation_Calc!$I$10:$J$13,2,FALSE),0),"")))</f>
        <v/>
      </c>
      <c r="N546" s="8"/>
      <c r="O546" s="8"/>
      <c r="P546" s="8"/>
      <c r="Q546" s="14"/>
      <c r="R546" s="15"/>
      <c r="S546" s="15"/>
      <c r="T546" s="14"/>
      <c r="U546" s="14"/>
      <c r="V546" s="14"/>
      <c r="W546" s="18"/>
      <c r="X546" s="18"/>
      <c r="Y546" s="18"/>
      <c r="Z546" s="18"/>
      <c r="AA546" s="18"/>
      <c r="AB546" s="18"/>
      <c r="AC546" s="8" t="str">
        <f t="shared" si="102"/>
        <v/>
      </c>
      <c r="AD546" s="8"/>
      <c r="AE546" s="8"/>
      <c r="AF546" s="14"/>
      <c r="AG546" s="13"/>
      <c r="AH546" s="14"/>
      <c r="AI546" s="14"/>
      <c r="AJ546" s="8"/>
      <c r="AK546" s="8"/>
      <c r="AL546" s="8"/>
      <c r="AM546" s="8"/>
      <c r="AN546" s="631"/>
      <c r="AO546" s="18"/>
      <c r="AP546" s="18"/>
      <c r="AQ546" s="18"/>
      <c r="AR546" s="18"/>
      <c r="AS546" s="18"/>
      <c r="AU546" s="448"/>
      <c r="AV546" s="448"/>
      <c r="AW546" s="8" t="str">
        <f>IF(C546&gt;0,VLOOKUP(C546,Foundation_Calc!$A$2:$C$986,3,1),
IF(J546&gt;0,VLOOKUP(J546,Foundation_Calc!$A$2:$C$986,3,1),""))</f>
        <v/>
      </c>
      <c r="AX546" s="8" t="str">
        <f>IF(C546&gt;0,VLOOKUP(C546,Foundation_Calc!$E$2:$G$986,3,1),
IF(J546&gt;0,VLOOKUP(J546,Foundation_Calc!$E$2:$G$986,3,1),""))</f>
        <v/>
      </c>
      <c r="AY546" s="631" t="str">
        <f>IF(L546="","",
IF(AX546="PT",VLOOKUP(L546,Foundation_Calc!$K$4:$R$37,VLOOKUP(AW546,Foundation_Calc!$I$2:$J$8,2,FALSE),0),
IF(AX546="K",VLOOKUP(L546,Foundation_Calc!$K$41:$R$74,VLOOKUP(AW546,Foundation_Calc!$I$2:$J$8,2,FALSE),0),"")))</f>
        <v/>
      </c>
      <c r="AZ546" s="631" t="str">
        <f>IF(K546="","",
IF(AX546="PT",VLOOKUP(K546,Foundation_Calc!$K$4:$R$37,VLOOKUP(AW546,Foundation_Calc!$I$2:$J$8,2,FALSE),0),
IF(AX546="K",VLOOKUP(K546,Foundation_Calc!$K$41:$R$74,VLOOKUP(AW546,Foundation_Calc!$I$2:$J$8,2,FALSE),0),"")))</f>
        <v/>
      </c>
      <c r="BA546" s="632" t="str">
        <f t="shared" si="103"/>
        <v/>
      </c>
      <c r="BB546" s="632" t="str">
        <f t="shared" si="104"/>
        <v/>
      </c>
      <c r="BC546" s="632" t="str">
        <f t="shared" si="105"/>
        <v/>
      </c>
      <c r="BD546" s="633" t="str">
        <f>IF(AND(L546="",H546=""),"",
IF(H546="",Pole_Calc!A574,
IF(H546="MP",Pole_Calc!A575,
IF(H546="AnMP",Pole_Calc!A576,
IF(H546="A",Pole_Calc!A577,
IF(H546="S/A",Pole_Calc!A578,
IF(H546="A/S",Pole_Calc!A579,"Poner a mano")))))))</f>
        <v/>
      </c>
      <c r="BE546" s="448" t="s">
        <v>1726</v>
      </c>
      <c r="BF546" s="634"/>
      <c r="BG546" s="634"/>
      <c r="BH546" s="634"/>
      <c r="BI546" s="634"/>
    </row>
    <row r="547" spans="1:61" ht="16.2" customHeight="1">
      <c r="A547" s="12"/>
      <c r="B547" s="446"/>
      <c r="C547" s="89"/>
      <c r="D547" s="13"/>
      <c r="E547" s="14"/>
      <c r="F547" s="14"/>
      <c r="G547" s="15"/>
      <c r="H547" s="8"/>
      <c r="I547" s="8"/>
      <c r="J547" s="89"/>
      <c r="K547" s="8"/>
      <c r="L547" s="8"/>
      <c r="M547" s="8" t="str">
        <f>IF(L547="","",
IF(AX547="PT",VLOOKUP(L547,Foundation_Calc!$V$4:$X$37,VLOOKUP(AX547,Foundation_Calc!$I$10:$J$13,2,FALSE),0),
IF(AX547="K",VLOOKUP(L547,Foundation_Calc!$V$41:$X$74,VLOOKUP(AX547,Foundation_Calc!$I$10:$J$13,2,FALSE),0),"")))</f>
        <v/>
      </c>
      <c r="N547" s="8"/>
      <c r="O547" s="8"/>
      <c r="P547" s="8"/>
      <c r="Q547" s="14"/>
      <c r="R547" s="15"/>
      <c r="S547" s="15"/>
      <c r="T547" s="14"/>
      <c r="U547" s="14"/>
      <c r="V547" s="14"/>
      <c r="W547" s="18"/>
      <c r="X547" s="18"/>
      <c r="Y547" s="18"/>
      <c r="Z547" s="18"/>
      <c r="AA547" s="18"/>
      <c r="AB547" s="18"/>
      <c r="AC547" s="8" t="str">
        <f t="shared" si="102"/>
        <v/>
      </c>
      <c r="AD547" s="8"/>
      <c r="AE547" s="8"/>
      <c r="AF547" s="14"/>
      <c r="AG547" s="13"/>
      <c r="AH547" s="14"/>
      <c r="AI547" s="14"/>
      <c r="AJ547" s="8"/>
      <c r="AK547" s="8"/>
      <c r="AL547" s="8"/>
      <c r="AM547" s="8"/>
      <c r="AN547" s="631"/>
      <c r="AO547" s="18"/>
      <c r="AP547" s="18"/>
      <c r="AQ547" s="18"/>
      <c r="AR547" s="18"/>
      <c r="AS547" s="18"/>
      <c r="AU547" s="448"/>
      <c r="AV547" s="448"/>
      <c r="AW547" s="8" t="str">
        <f>IF(C547&gt;0,VLOOKUP(C547,Foundation_Calc!$A$2:$C$986,3,1),
IF(J547&gt;0,VLOOKUP(J547,Foundation_Calc!$A$2:$C$986,3,1),""))</f>
        <v/>
      </c>
      <c r="AX547" s="8" t="str">
        <f>IF(C547&gt;0,VLOOKUP(C547,Foundation_Calc!$E$2:$G$986,3,1),
IF(J547&gt;0,VLOOKUP(J547,Foundation_Calc!$E$2:$G$986,3,1),""))</f>
        <v/>
      </c>
      <c r="AY547" s="631" t="str">
        <f>IF(L547="","",
IF(AX547="PT",VLOOKUP(L547,Foundation_Calc!$K$4:$R$37,VLOOKUP(AW547,Foundation_Calc!$I$2:$J$8,2,FALSE),0),
IF(AX547="K",VLOOKUP(L547,Foundation_Calc!$K$41:$R$74,VLOOKUP(AW547,Foundation_Calc!$I$2:$J$8,2,FALSE),0),"")))</f>
        <v/>
      </c>
      <c r="AZ547" s="631" t="str">
        <f>IF(K547="","",
IF(AX547="PT",VLOOKUP(K547,Foundation_Calc!$K$4:$R$37,VLOOKUP(AW547,Foundation_Calc!$I$2:$J$8,2,FALSE),0),
IF(AX547="K",VLOOKUP(K547,Foundation_Calc!$K$41:$R$74,VLOOKUP(AW547,Foundation_Calc!$I$2:$J$8,2,FALSE),0),"")))</f>
        <v/>
      </c>
      <c r="BA547" s="632" t="str">
        <f t="shared" si="103"/>
        <v/>
      </c>
      <c r="BB547" s="632" t="str">
        <f t="shared" si="104"/>
        <v/>
      </c>
      <c r="BC547" s="632" t="str">
        <f t="shared" si="105"/>
        <v/>
      </c>
      <c r="BD547" s="633" t="str">
        <f>IF(AND(L547="",H547=""),"",
IF(H547="",Pole_Calc!A575,
IF(H547="MP",Pole_Calc!A576,
IF(H547="AnMP",Pole_Calc!A577,
IF(H547="A",Pole_Calc!A578,
IF(H547="S/A",Pole_Calc!A579,
IF(H547="A/S",Pole_Calc!A580,"Poner a mano")))))))</f>
        <v/>
      </c>
      <c r="BE547" s="448" t="s">
        <v>1726</v>
      </c>
      <c r="BF547" s="635"/>
      <c r="BG547" s="635"/>
      <c r="BH547" s="634"/>
      <c r="BI547" s="635"/>
    </row>
    <row r="548" spans="1:61" ht="16.2" customHeight="1">
      <c r="A548" s="12"/>
      <c r="B548" s="446"/>
      <c r="C548" s="89"/>
      <c r="D548" s="13"/>
      <c r="E548" s="14"/>
      <c r="F548" s="14"/>
      <c r="G548" s="15"/>
      <c r="H548" s="8"/>
      <c r="I548" s="8"/>
      <c r="J548" s="89"/>
      <c r="K548" s="8"/>
      <c r="L548" s="8"/>
      <c r="M548" s="8" t="str">
        <f>IF(L548="","",
IF(AX548="PT",VLOOKUP(L548,Foundation_Calc!$V$4:$X$37,VLOOKUP(AX548,Foundation_Calc!$I$10:$J$13,2,FALSE),0),
IF(AX548="K",VLOOKUP(L548,Foundation_Calc!$V$41:$X$74,VLOOKUP(AX548,Foundation_Calc!$I$10:$J$13,2,FALSE),0),"")))</f>
        <v/>
      </c>
      <c r="N548" s="8"/>
      <c r="O548" s="8"/>
      <c r="P548" s="8"/>
      <c r="Q548" s="14"/>
      <c r="R548" s="15"/>
      <c r="S548" s="15"/>
      <c r="T548" s="14"/>
      <c r="U548" s="14"/>
      <c r="V548" s="14"/>
      <c r="W548" s="18"/>
      <c r="X548" s="18"/>
      <c r="Y548" s="18"/>
      <c r="Z548" s="18"/>
      <c r="AA548" s="18"/>
      <c r="AB548" s="18"/>
      <c r="AC548" s="8" t="str">
        <f t="shared" si="102"/>
        <v/>
      </c>
      <c r="AD548" s="8"/>
      <c r="AE548" s="8"/>
      <c r="AF548" s="14"/>
      <c r="AG548" s="13"/>
      <c r="AH548" s="14"/>
      <c r="AI548" s="14"/>
      <c r="AJ548" s="8"/>
      <c r="AK548" s="8"/>
      <c r="AL548" s="8"/>
      <c r="AM548" s="8"/>
      <c r="AN548" s="631"/>
      <c r="AO548" s="18"/>
      <c r="AP548" s="18"/>
      <c r="AQ548" s="18"/>
      <c r="AR548" s="18"/>
      <c r="AS548" s="18"/>
      <c r="AU548" s="448"/>
      <c r="AV548" s="448"/>
      <c r="AW548" s="8" t="str">
        <f>IF(C548&gt;0,VLOOKUP(C548,Foundation_Calc!$A$2:$C$986,3,1),
IF(J548&gt;0,VLOOKUP(J548,Foundation_Calc!$A$2:$C$986,3,1),""))</f>
        <v/>
      </c>
      <c r="AX548" s="8" t="str">
        <f>IF(C548&gt;0,VLOOKUP(C548,Foundation_Calc!$E$2:$G$986,3,1),
IF(J548&gt;0,VLOOKUP(J548,Foundation_Calc!$E$2:$G$986,3,1),""))</f>
        <v/>
      </c>
      <c r="AY548" s="631" t="str">
        <f>IF(L548="","",
IF(AX548="PT",VLOOKUP(L548,Foundation_Calc!$K$4:$R$37,VLOOKUP(AW548,Foundation_Calc!$I$2:$J$8,2,FALSE),0),
IF(AX548="K",VLOOKUP(L548,Foundation_Calc!$K$41:$R$74,VLOOKUP(AW548,Foundation_Calc!$I$2:$J$8,2,FALSE),0),"")))</f>
        <v/>
      </c>
      <c r="AZ548" s="631" t="str">
        <f>IF(K548="","",
IF(AX548="PT",VLOOKUP(K548,Foundation_Calc!$K$4:$R$37,VLOOKUP(AW548,Foundation_Calc!$I$2:$J$8,2,FALSE),0),
IF(AX548="K",VLOOKUP(K548,Foundation_Calc!$K$41:$R$74,VLOOKUP(AW548,Foundation_Calc!$I$2:$J$8,2,FALSE),0),"")))</f>
        <v/>
      </c>
      <c r="BA548" s="632" t="str">
        <f t="shared" si="103"/>
        <v/>
      </c>
      <c r="BB548" s="632" t="str">
        <f t="shared" si="104"/>
        <v/>
      </c>
      <c r="BC548" s="632" t="str">
        <f t="shared" si="105"/>
        <v/>
      </c>
      <c r="BD548" s="633" t="str">
        <f>IF(AND(L548="",H548=""),"",
IF(H548="",Pole_Calc!A576,
IF(H548="MP",Pole_Calc!A577,
IF(H548="AnMP",Pole_Calc!A578,
IF(H548="A",Pole_Calc!A579,
IF(H548="S/A",Pole_Calc!A580,
IF(H548="A/S",Pole_Calc!A581,"Poner a mano")))))))</f>
        <v/>
      </c>
      <c r="BE548" s="448" t="s">
        <v>1726</v>
      </c>
      <c r="BF548" s="634"/>
      <c r="BG548" s="634"/>
      <c r="BH548" s="634"/>
      <c r="BI548" s="634"/>
    </row>
    <row r="549" spans="1:61" ht="16.2" customHeight="1">
      <c r="A549" s="12"/>
      <c r="B549" s="446"/>
      <c r="C549" s="89"/>
      <c r="D549" s="13"/>
      <c r="E549" s="14"/>
      <c r="F549" s="14"/>
      <c r="G549" s="15"/>
      <c r="H549" s="8"/>
      <c r="I549" s="8"/>
      <c r="J549" s="89"/>
      <c r="K549" s="8"/>
      <c r="L549" s="8"/>
      <c r="M549" s="8" t="str">
        <f>IF(L549="","",
IF(AX549="PT",VLOOKUP(L549,Foundation_Calc!$V$4:$X$37,VLOOKUP(AX549,Foundation_Calc!$I$10:$J$13,2,FALSE),0),
IF(AX549="K",VLOOKUP(L549,Foundation_Calc!$V$41:$X$74,VLOOKUP(AX549,Foundation_Calc!$I$10:$J$13,2,FALSE),0),"")))</f>
        <v/>
      </c>
      <c r="N549" s="8"/>
      <c r="O549" s="8"/>
      <c r="P549" s="8"/>
      <c r="Q549" s="14"/>
      <c r="R549" s="15"/>
      <c r="S549" s="15"/>
      <c r="T549" s="14"/>
      <c r="U549" s="14"/>
      <c r="V549" s="14"/>
      <c r="W549" s="18"/>
      <c r="X549" s="18"/>
      <c r="Y549" s="18"/>
      <c r="Z549" s="18"/>
      <c r="AA549" s="18"/>
      <c r="AB549" s="18"/>
      <c r="AC549" s="8" t="str">
        <f t="shared" si="102"/>
        <v/>
      </c>
      <c r="AD549" s="8"/>
      <c r="AE549" s="8"/>
      <c r="AF549" s="14"/>
      <c r="AG549" s="13"/>
      <c r="AH549" s="14"/>
      <c r="AI549" s="14"/>
      <c r="AJ549" s="8"/>
      <c r="AK549" s="8"/>
      <c r="AL549" s="8"/>
      <c r="AM549" s="8"/>
      <c r="AN549" s="631"/>
      <c r="AO549" s="18"/>
      <c r="AP549" s="18"/>
      <c r="AQ549" s="18"/>
      <c r="AR549" s="18"/>
      <c r="AS549" s="18"/>
      <c r="AU549" s="448"/>
      <c r="AV549" s="448"/>
      <c r="AW549" s="8" t="str">
        <f>IF(C549&gt;0,VLOOKUP(C549,Foundation_Calc!$A$2:$C$986,3,1),
IF(J549&gt;0,VLOOKUP(J549,Foundation_Calc!$A$2:$C$986,3,1),""))</f>
        <v/>
      </c>
      <c r="AX549" s="8" t="str">
        <f>IF(C549&gt;0,VLOOKUP(C549,Foundation_Calc!$E$2:$G$986,3,1),
IF(J549&gt;0,VLOOKUP(J549,Foundation_Calc!$E$2:$G$986,3,1),""))</f>
        <v/>
      </c>
      <c r="AY549" s="631" t="str">
        <f>IF(L549="","",
IF(AX549="PT",VLOOKUP(L549,Foundation_Calc!$K$4:$R$37,VLOOKUP(AW549,Foundation_Calc!$I$2:$J$8,2,FALSE),0),
IF(AX549="K",VLOOKUP(L549,Foundation_Calc!$K$41:$R$74,VLOOKUP(AW549,Foundation_Calc!$I$2:$J$8,2,FALSE),0),"")))</f>
        <v/>
      </c>
      <c r="AZ549" s="631" t="str">
        <f>IF(K549="","",
IF(AX549="PT",VLOOKUP(K549,Foundation_Calc!$K$4:$R$37,VLOOKUP(AW549,Foundation_Calc!$I$2:$J$8,2,FALSE),0),
IF(AX549="K",VLOOKUP(K549,Foundation_Calc!$K$41:$R$74,VLOOKUP(AW549,Foundation_Calc!$I$2:$J$8,2,FALSE),0),"")))</f>
        <v/>
      </c>
      <c r="BA549" s="632" t="str">
        <f t="shared" si="103"/>
        <v/>
      </c>
      <c r="BB549" s="632" t="str">
        <f t="shared" si="104"/>
        <v/>
      </c>
      <c r="BC549" s="632" t="str">
        <f t="shared" si="105"/>
        <v/>
      </c>
      <c r="BD549" s="633" t="str">
        <f>IF(AND(L549="",H549=""),"",
IF(H549="",Pole_Calc!A577,
IF(H549="MP",Pole_Calc!A578,
IF(H549="AnMP",Pole_Calc!A579,
IF(H549="A",Pole_Calc!A580,
IF(H549="S/A",Pole_Calc!A581,
IF(H549="A/S",Pole_Calc!A582,"Poner a mano")))))))</f>
        <v/>
      </c>
      <c r="BE549" s="448" t="s">
        <v>1726</v>
      </c>
      <c r="BF549" s="635"/>
      <c r="BG549" s="635"/>
      <c r="BH549" s="634"/>
      <c r="BI549" s="635"/>
    </row>
    <row r="550" spans="1:61" ht="16.2" customHeight="1">
      <c r="A550" s="12"/>
      <c r="B550" s="446"/>
      <c r="C550" s="89"/>
      <c r="D550" s="13"/>
      <c r="E550" s="14"/>
      <c r="F550" s="14"/>
      <c r="G550" s="15"/>
      <c r="H550" s="8"/>
      <c r="I550" s="8"/>
      <c r="J550" s="89"/>
      <c r="K550" s="8"/>
      <c r="L550" s="8"/>
      <c r="M550" s="8" t="str">
        <f>IF(L550="","",
IF(AX550="PT",VLOOKUP(L550,Foundation_Calc!$V$4:$X$37,VLOOKUP(AX550,Foundation_Calc!$I$10:$J$13,2,FALSE),0),
IF(AX550="K",VLOOKUP(L550,Foundation_Calc!$V$41:$X$74,VLOOKUP(AX550,Foundation_Calc!$I$10:$J$13,2,FALSE),0),"")))</f>
        <v/>
      </c>
      <c r="N550" s="8"/>
      <c r="O550" s="8"/>
      <c r="P550" s="8"/>
      <c r="Q550" s="14"/>
      <c r="R550" s="15"/>
      <c r="S550" s="15"/>
      <c r="T550" s="14"/>
      <c r="U550" s="14"/>
      <c r="V550" s="14"/>
      <c r="W550" s="18"/>
      <c r="X550" s="18"/>
      <c r="Y550" s="18"/>
      <c r="Z550" s="18"/>
      <c r="AA550" s="18"/>
      <c r="AB550" s="18"/>
      <c r="AC550" s="8" t="str">
        <f t="shared" si="102"/>
        <v/>
      </c>
      <c r="AD550" s="8"/>
      <c r="AE550" s="8"/>
      <c r="AF550" s="14"/>
      <c r="AG550" s="13"/>
      <c r="AH550" s="14"/>
      <c r="AI550" s="14"/>
      <c r="AJ550" s="8"/>
      <c r="AK550" s="8"/>
      <c r="AL550" s="8"/>
      <c r="AM550" s="8"/>
      <c r="AN550" s="631"/>
      <c r="AO550" s="18"/>
      <c r="AP550" s="18"/>
      <c r="AQ550" s="18"/>
      <c r="AR550" s="18"/>
      <c r="AS550" s="18"/>
      <c r="AU550" s="448"/>
      <c r="AV550" s="448"/>
      <c r="AW550" s="8" t="str">
        <f>IF(C550&gt;0,VLOOKUP(C550,Foundation_Calc!$A$2:$C$986,3,1),
IF(J550&gt;0,VLOOKUP(J550,Foundation_Calc!$A$2:$C$986,3,1),""))</f>
        <v/>
      </c>
      <c r="AX550" s="8" t="str">
        <f>IF(C550&gt;0,VLOOKUP(C550,Foundation_Calc!$E$2:$G$986,3,1),
IF(J550&gt;0,VLOOKUP(J550,Foundation_Calc!$E$2:$G$986,3,1),""))</f>
        <v/>
      </c>
      <c r="AY550" s="631" t="str">
        <f>IF(L550="","",
IF(AX550="PT",VLOOKUP(L550,Foundation_Calc!$K$4:$R$37,VLOOKUP(AW550,Foundation_Calc!$I$2:$J$8,2,FALSE),0),
IF(AX550="K",VLOOKUP(L550,Foundation_Calc!$K$41:$R$74,VLOOKUP(AW550,Foundation_Calc!$I$2:$J$8,2,FALSE),0),"")))</f>
        <v/>
      </c>
      <c r="AZ550" s="631" t="str">
        <f>IF(K550="","",
IF(AX550="PT",VLOOKUP(K550,Foundation_Calc!$K$4:$R$37,VLOOKUP(AW550,Foundation_Calc!$I$2:$J$8,2,FALSE),0),
IF(AX550="K",VLOOKUP(K550,Foundation_Calc!$K$41:$R$74,VLOOKUP(AW550,Foundation_Calc!$I$2:$J$8,2,FALSE),0),"")))</f>
        <v/>
      </c>
      <c r="BA550" s="632" t="str">
        <f t="shared" si="103"/>
        <v/>
      </c>
      <c r="BB550" s="632" t="str">
        <f t="shared" si="104"/>
        <v/>
      </c>
      <c r="BC550" s="632" t="str">
        <f t="shared" si="105"/>
        <v/>
      </c>
      <c r="BD550" s="633" t="str">
        <f>IF(AND(L550="",H550=""),"",
IF(H550="",Pole_Calc!A578,
IF(H550="MP",Pole_Calc!A579,
IF(H550="AnMP",Pole_Calc!A580,
IF(H550="A",Pole_Calc!A581,
IF(H550="S/A",Pole_Calc!A582,
IF(H550="A/S",Pole_Calc!A583,"Poner a mano")))))))</f>
        <v/>
      </c>
      <c r="BE550" s="448" t="s">
        <v>1726</v>
      </c>
      <c r="BF550" s="634"/>
      <c r="BG550" s="634"/>
      <c r="BH550" s="634"/>
      <c r="BI550" s="634"/>
    </row>
    <row r="551" spans="1:61" ht="16.2" customHeight="1">
      <c r="A551" s="12"/>
      <c r="B551" s="446"/>
      <c r="C551" s="89"/>
      <c r="D551" s="13"/>
      <c r="E551" s="14"/>
      <c r="F551" s="14"/>
      <c r="G551" s="15"/>
      <c r="H551" s="8"/>
      <c r="I551" s="8"/>
      <c r="J551" s="89"/>
      <c r="K551" s="8"/>
      <c r="L551" s="8"/>
      <c r="M551" s="8" t="str">
        <f>IF(L551="","",
IF(AX551="PT",VLOOKUP(L551,Foundation_Calc!$V$4:$X$37,VLOOKUP(AX551,Foundation_Calc!$I$10:$J$13,2,FALSE),0),
IF(AX551="K",VLOOKUP(L551,Foundation_Calc!$V$41:$X$74,VLOOKUP(AX551,Foundation_Calc!$I$10:$J$13,2,FALSE),0),"")))</f>
        <v/>
      </c>
      <c r="N551" s="8"/>
      <c r="O551" s="8"/>
      <c r="P551" s="8"/>
      <c r="Q551" s="14"/>
      <c r="R551" s="15"/>
      <c r="S551" s="15"/>
      <c r="T551" s="14"/>
      <c r="U551" s="14"/>
      <c r="V551" s="14"/>
      <c r="W551" s="18"/>
      <c r="X551" s="18"/>
      <c r="Y551" s="18"/>
      <c r="Z551" s="18"/>
      <c r="AA551" s="18"/>
      <c r="AB551" s="18"/>
      <c r="AC551" s="8" t="str">
        <f t="shared" si="102"/>
        <v/>
      </c>
      <c r="AD551" s="8"/>
      <c r="AE551" s="8"/>
      <c r="AF551" s="14"/>
      <c r="AG551" s="13"/>
      <c r="AH551" s="14"/>
      <c r="AI551" s="14"/>
      <c r="AJ551" s="8"/>
      <c r="AK551" s="8"/>
      <c r="AL551" s="8"/>
      <c r="AM551" s="8"/>
      <c r="AN551" s="631"/>
      <c r="AO551" s="18"/>
      <c r="AP551" s="18"/>
      <c r="AQ551" s="18"/>
      <c r="AR551" s="18"/>
      <c r="AS551" s="18"/>
      <c r="AU551" s="448"/>
      <c r="AV551" s="448"/>
      <c r="AW551" s="8" t="str">
        <f>IF(C551&gt;0,VLOOKUP(C551,Foundation_Calc!$A$2:$C$986,3,1),
IF(J551&gt;0,VLOOKUP(J551,Foundation_Calc!$A$2:$C$986,3,1),""))</f>
        <v/>
      </c>
      <c r="AX551" s="8" t="str">
        <f>IF(C551&gt;0,VLOOKUP(C551,Foundation_Calc!$E$2:$G$986,3,1),
IF(J551&gt;0,VLOOKUP(J551,Foundation_Calc!$E$2:$G$986,3,1),""))</f>
        <v/>
      </c>
      <c r="AY551" s="631" t="str">
        <f>IF(L551="","",
IF(AX551="PT",VLOOKUP(L551,Foundation_Calc!$K$4:$R$37,VLOOKUP(AW551,Foundation_Calc!$I$2:$J$8,2,FALSE),0),
IF(AX551="K",VLOOKUP(L551,Foundation_Calc!$K$41:$R$74,VLOOKUP(AW551,Foundation_Calc!$I$2:$J$8,2,FALSE),0),"")))</f>
        <v/>
      </c>
      <c r="AZ551" s="631" t="str">
        <f>IF(K551="","",
IF(AX551="PT",VLOOKUP(K551,Foundation_Calc!$K$4:$R$37,VLOOKUP(AW551,Foundation_Calc!$I$2:$J$8,2,FALSE),0),
IF(AX551="K",VLOOKUP(K551,Foundation_Calc!$K$41:$R$74,VLOOKUP(AW551,Foundation_Calc!$I$2:$J$8,2,FALSE),0),"")))</f>
        <v/>
      </c>
      <c r="BA551" s="632" t="str">
        <f t="shared" si="103"/>
        <v/>
      </c>
      <c r="BB551" s="632" t="str">
        <f t="shared" si="104"/>
        <v/>
      </c>
      <c r="BC551" s="632" t="str">
        <f t="shared" si="105"/>
        <v/>
      </c>
      <c r="BD551" s="633" t="str">
        <f>IF(AND(L551="",H551=""),"",
IF(H551="",Pole_Calc!A579,
IF(H551="MP",Pole_Calc!A580,
IF(H551="AnMP",Pole_Calc!A581,
IF(H551="A",Pole_Calc!A582,
IF(H551="S/A",Pole_Calc!A583,
IF(H551="A/S",Pole_Calc!A584,"Poner a mano")))))))</f>
        <v/>
      </c>
      <c r="BE551" s="448" t="s">
        <v>1726</v>
      </c>
      <c r="BF551" s="635"/>
      <c r="BG551" s="635"/>
      <c r="BH551" s="634"/>
      <c r="BI551" s="635"/>
    </row>
    <row r="552" spans="1:61" ht="16.2" customHeight="1">
      <c r="A552" s="12"/>
      <c r="B552" s="446"/>
      <c r="C552" s="89"/>
      <c r="D552" s="13"/>
      <c r="E552" s="14"/>
      <c r="F552" s="14"/>
      <c r="G552" s="15"/>
      <c r="H552" s="8"/>
      <c r="I552" s="8"/>
      <c r="J552" s="89"/>
      <c r="K552" s="8"/>
      <c r="L552" s="8"/>
      <c r="M552" s="8" t="str">
        <f>IF(L552="","",
IF(AX552="PT",VLOOKUP(L552,Foundation_Calc!$V$4:$X$37,VLOOKUP(AX552,Foundation_Calc!$I$10:$J$13,2,FALSE),0),
IF(AX552="K",VLOOKUP(L552,Foundation_Calc!$V$41:$X$74,VLOOKUP(AX552,Foundation_Calc!$I$10:$J$13,2,FALSE),0),"")))</f>
        <v/>
      </c>
      <c r="N552" s="8"/>
      <c r="O552" s="8"/>
      <c r="P552" s="8"/>
      <c r="Q552" s="14"/>
      <c r="R552" s="15"/>
      <c r="S552" s="15"/>
      <c r="T552" s="14"/>
      <c r="U552" s="14"/>
      <c r="V552" s="14"/>
      <c r="W552" s="18"/>
      <c r="X552" s="18"/>
      <c r="Y552" s="18"/>
      <c r="Z552" s="18"/>
      <c r="AA552" s="18"/>
      <c r="AB552" s="18"/>
      <c r="AC552" s="8" t="str">
        <f t="shared" si="102"/>
        <v/>
      </c>
      <c r="AD552" s="8"/>
      <c r="AE552" s="8"/>
      <c r="AF552" s="14"/>
      <c r="AG552" s="13"/>
      <c r="AH552" s="14"/>
      <c r="AI552" s="14"/>
      <c r="AJ552" s="8"/>
      <c r="AK552" s="8"/>
      <c r="AL552" s="8"/>
      <c r="AM552" s="8"/>
      <c r="AN552" s="631"/>
      <c r="AO552" s="18"/>
      <c r="AP552" s="18"/>
      <c r="AQ552" s="18"/>
      <c r="AR552" s="18"/>
      <c r="AS552" s="18"/>
      <c r="AU552" s="448"/>
      <c r="AV552" s="448"/>
      <c r="AW552" s="8" t="str">
        <f>IF(C552&gt;0,VLOOKUP(C552,Foundation_Calc!$A$2:$C$986,3,1),
IF(J552&gt;0,VLOOKUP(J552,Foundation_Calc!$A$2:$C$986,3,1),""))</f>
        <v/>
      </c>
      <c r="AX552" s="8" t="str">
        <f>IF(C552&gt;0,VLOOKUP(C552,Foundation_Calc!$E$2:$G$986,3,1),
IF(J552&gt;0,VLOOKUP(J552,Foundation_Calc!$E$2:$G$986,3,1),""))</f>
        <v/>
      </c>
      <c r="AY552" s="631" t="str">
        <f>IF(L552="","",
IF(AX552="PT",VLOOKUP(L552,Foundation_Calc!$K$4:$R$37,VLOOKUP(AW552,Foundation_Calc!$I$2:$J$8,2,FALSE),0),
IF(AX552="K",VLOOKUP(L552,Foundation_Calc!$K$41:$R$74,VLOOKUP(AW552,Foundation_Calc!$I$2:$J$8,2,FALSE),0),"")))</f>
        <v/>
      </c>
      <c r="AZ552" s="631" t="str">
        <f>IF(K552="","",
IF(AX552="PT",VLOOKUP(K552,Foundation_Calc!$K$4:$R$37,VLOOKUP(AW552,Foundation_Calc!$I$2:$J$8,2,FALSE),0),
IF(AX552="K",VLOOKUP(K552,Foundation_Calc!$K$41:$R$74,VLOOKUP(AW552,Foundation_Calc!$I$2:$J$8,2,FALSE),0),"")))</f>
        <v/>
      </c>
      <c r="BA552" s="632" t="str">
        <f t="shared" si="103"/>
        <v/>
      </c>
      <c r="BB552" s="632" t="str">
        <f t="shared" si="104"/>
        <v/>
      </c>
      <c r="BC552" s="632" t="str">
        <f t="shared" si="105"/>
        <v/>
      </c>
      <c r="BD552" s="633" t="str">
        <f>IF(AND(L552="",H552=""),"",
IF(H552="",Pole_Calc!A580,
IF(H552="MP",Pole_Calc!A581,
IF(H552="AnMP",Pole_Calc!A582,
IF(H552="A",Pole_Calc!A583,
IF(H552="S/A",Pole_Calc!A584,
IF(H552="A/S",Pole_Calc!A585,"Poner a mano")))))))</f>
        <v/>
      </c>
      <c r="BE552" s="448" t="s">
        <v>1726</v>
      </c>
      <c r="BF552" s="634"/>
      <c r="BG552" s="634"/>
      <c r="BH552" s="634"/>
      <c r="BI552" s="634"/>
    </row>
    <row r="553" spans="1:61" ht="16.2" customHeight="1">
      <c r="A553" s="12"/>
      <c r="B553" s="446"/>
      <c r="C553" s="89"/>
      <c r="D553" s="13"/>
      <c r="E553" s="14"/>
      <c r="F553" s="14"/>
      <c r="G553" s="15"/>
      <c r="H553" s="8"/>
      <c r="I553" s="8"/>
      <c r="J553" s="89"/>
      <c r="K553" s="8"/>
      <c r="L553" s="8"/>
      <c r="M553" s="8" t="str">
        <f>IF(L553="","",
IF(AX553="PT",VLOOKUP(L553,Foundation_Calc!$V$4:$X$37,VLOOKUP(AX553,Foundation_Calc!$I$10:$J$13,2,FALSE),0),
IF(AX553="K",VLOOKUP(L553,Foundation_Calc!$V$41:$X$74,VLOOKUP(AX553,Foundation_Calc!$I$10:$J$13,2,FALSE),0),"")))</f>
        <v/>
      </c>
      <c r="N553" s="8"/>
      <c r="O553" s="8"/>
      <c r="P553" s="8"/>
      <c r="Q553" s="14"/>
      <c r="R553" s="15"/>
      <c r="S553" s="15"/>
      <c r="T553" s="14"/>
      <c r="U553" s="14"/>
      <c r="V553" s="14"/>
      <c r="W553" s="18"/>
      <c r="X553" s="18"/>
      <c r="Y553" s="18"/>
      <c r="Z553" s="18"/>
      <c r="AA553" s="18"/>
      <c r="AB553" s="18"/>
      <c r="AC553" s="8" t="str">
        <f t="shared" si="102"/>
        <v/>
      </c>
      <c r="AD553" s="8"/>
      <c r="AE553" s="8"/>
      <c r="AF553" s="14"/>
      <c r="AG553" s="13"/>
      <c r="AH553" s="14"/>
      <c r="AI553" s="14"/>
      <c r="AJ553" s="8"/>
      <c r="AK553" s="8"/>
      <c r="AL553" s="8"/>
      <c r="AM553" s="8"/>
      <c r="AN553" s="631"/>
      <c r="AO553" s="18"/>
      <c r="AP553" s="18"/>
      <c r="AQ553" s="18"/>
      <c r="AR553" s="18"/>
      <c r="AS553" s="18"/>
      <c r="AU553" s="448"/>
      <c r="AV553" s="448"/>
      <c r="AW553" s="8" t="str">
        <f>IF(C553&gt;0,VLOOKUP(C553,Foundation_Calc!$A$2:$C$986,3,1),
IF(J553&gt;0,VLOOKUP(J553,Foundation_Calc!$A$2:$C$986,3,1),""))</f>
        <v/>
      </c>
      <c r="AX553" s="8" t="str">
        <f>IF(C553&gt;0,VLOOKUP(C553,Foundation_Calc!$E$2:$G$986,3,1),
IF(J553&gt;0,VLOOKUP(J553,Foundation_Calc!$E$2:$G$986,3,1),""))</f>
        <v/>
      </c>
      <c r="AY553" s="631" t="str">
        <f>IF(L553="","",
IF(AX553="PT",VLOOKUP(L553,Foundation_Calc!$K$4:$R$37,VLOOKUP(AW553,Foundation_Calc!$I$2:$J$8,2,FALSE),0),
IF(AX553="K",VLOOKUP(L553,Foundation_Calc!$K$41:$R$74,VLOOKUP(AW553,Foundation_Calc!$I$2:$J$8,2,FALSE),0),"")))</f>
        <v/>
      </c>
      <c r="AZ553" s="631" t="str">
        <f>IF(K553="","",
IF(AX553="PT",VLOOKUP(K553,Foundation_Calc!$K$4:$R$37,VLOOKUP(AW553,Foundation_Calc!$I$2:$J$8,2,FALSE),0),
IF(AX553="K",VLOOKUP(K553,Foundation_Calc!$K$41:$R$74,VLOOKUP(AW553,Foundation_Calc!$I$2:$J$8,2,FALSE),0),"")))</f>
        <v/>
      </c>
      <c r="BA553" s="632" t="str">
        <f t="shared" si="103"/>
        <v/>
      </c>
      <c r="BB553" s="632" t="str">
        <f t="shared" si="104"/>
        <v/>
      </c>
      <c r="BC553" s="632" t="str">
        <f t="shared" si="105"/>
        <v/>
      </c>
      <c r="BD553" s="633" t="str">
        <f>IF(AND(L553="",H553=""),"",
IF(H553="",Pole_Calc!A581,
IF(H553="MP",Pole_Calc!A582,
IF(H553="AnMP",Pole_Calc!A583,
IF(H553="A",Pole_Calc!A584,
IF(H553="S/A",Pole_Calc!A585,
IF(H553="A/S",Pole_Calc!A586,"Poner a mano")))))))</f>
        <v/>
      </c>
      <c r="BE553" s="448" t="s">
        <v>1726</v>
      </c>
      <c r="BF553" s="635"/>
      <c r="BG553" s="635"/>
      <c r="BH553" s="634"/>
      <c r="BI553" s="635"/>
    </row>
    <row r="554" spans="1:61" ht="16.2" customHeight="1">
      <c r="A554" s="12"/>
      <c r="B554" s="446"/>
      <c r="C554" s="89"/>
      <c r="D554" s="13"/>
      <c r="E554" s="14"/>
      <c r="F554" s="14"/>
      <c r="G554" s="15"/>
      <c r="H554" s="8"/>
      <c r="I554" s="8"/>
      <c r="J554" s="89"/>
      <c r="K554" s="8"/>
      <c r="L554" s="8"/>
      <c r="M554" s="8" t="str">
        <f>IF(L554="","",
IF(AX554="PT",VLOOKUP(L554,Foundation_Calc!$V$4:$X$37,VLOOKUP(AX554,Foundation_Calc!$I$10:$J$13,2,FALSE),0),
IF(AX554="K",VLOOKUP(L554,Foundation_Calc!$V$41:$X$74,VLOOKUP(AX554,Foundation_Calc!$I$10:$J$13,2,FALSE),0),"")))</f>
        <v/>
      </c>
      <c r="N554" s="8"/>
      <c r="O554" s="8"/>
      <c r="P554" s="8"/>
      <c r="Q554" s="14"/>
      <c r="R554" s="15"/>
      <c r="S554" s="15"/>
      <c r="T554" s="14"/>
      <c r="U554" s="14"/>
      <c r="V554" s="14"/>
      <c r="W554" s="18"/>
      <c r="X554" s="18"/>
      <c r="Y554" s="18"/>
      <c r="Z554" s="18"/>
      <c r="AA554" s="18"/>
      <c r="AB554" s="18"/>
      <c r="AC554" s="8" t="str">
        <f t="shared" si="102"/>
        <v/>
      </c>
      <c r="AD554" s="8"/>
      <c r="AE554" s="8"/>
      <c r="AF554" s="14"/>
      <c r="AG554" s="13"/>
      <c r="AH554" s="14"/>
      <c r="AI554" s="14"/>
      <c r="AJ554" s="8"/>
      <c r="AK554" s="8"/>
      <c r="AL554" s="8"/>
      <c r="AM554" s="8"/>
      <c r="AN554" s="631"/>
      <c r="AO554" s="18"/>
      <c r="AP554" s="18"/>
      <c r="AQ554" s="18"/>
      <c r="AR554" s="18"/>
      <c r="AS554" s="18"/>
      <c r="AU554" s="448"/>
      <c r="AV554" s="448"/>
      <c r="AW554" s="8" t="str">
        <f>IF(C554&gt;0,VLOOKUP(C554,Foundation_Calc!$A$2:$C$986,3,1),
IF(J554&gt;0,VLOOKUP(J554,Foundation_Calc!$A$2:$C$986,3,1),""))</f>
        <v/>
      </c>
      <c r="AX554" s="8" t="str">
        <f>IF(C554&gt;0,VLOOKUP(C554,Foundation_Calc!$E$2:$G$986,3,1),
IF(J554&gt;0,VLOOKUP(J554,Foundation_Calc!$E$2:$G$986,3,1),""))</f>
        <v/>
      </c>
      <c r="AY554" s="631" t="str">
        <f>IF(L554="","",
IF(AX554="PT",VLOOKUP(L554,Foundation_Calc!$K$4:$R$37,VLOOKUP(AW554,Foundation_Calc!$I$2:$J$8,2,FALSE),0),
IF(AX554="K",VLOOKUP(L554,Foundation_Calc!$K$41:$R$74,VLOOKUP(AW554,Foundation_Calc!$I$2:$J$8,2,FALSE),0),"")))</f>
        <v/>
      </c>
      <c r="AZ554" s="631" t="str">
        <f>IF(K554="","",
IF(AX554="PT",VLOOKUP(K554,Foundation_Calc!$K$4:$R$37,VLOOKUP(AW554,Foundation_Calc!$I$2:$J$8,2,FALSE),0),
IF(AX554="K",VLOOKUP(K554,Foundation_Calc!$K$41:$R$74,VLOOKUP(AW554,Foundation_Calc!$I$2:$J$8,2,FALSE),0),"")))</f>
        <v/>
      </c>
      <c r="BA554" s="632" t="str">
        <f t="shared" si="103"/>
        <v/>
      </c>
      <c r="BB554" s="632" t="str">
        <f t="shared" si="104"/>
        <v/>
      </c>
      <c r="BC554" s="632" t="str">
        <f t="shared" si="105"/>
        <v/>
      </c>
      <c r="BD554" s="633" t="str">
        <f>IF(AND(L554="",H554=""),"",
IF(H554="",Pole_Calc!A582,
IF(H554="MP",Pole_Calc!A583,
IF(H554="AnMP",Pole_Calc!A584,
IF(H554="A",Pole_Calc!A585,
IF(H554="S/A",Pole_Calc!A586,
IF(H554="A/S",Pole_Calc!A587,"Poner a mano")))))))</f>
        <v/>
      </c>
      <c r="BE554" s="448" t="s">
        <v>1726</v>
      </c>
      <c r="BF554" s="634"/>
      <c r="BG554" s="634"/>
      <c r="BH554" s="634"/>
      <c r="BI554" s="634"/>
    </row>
    <row r="555" spans="1:61" ht="16.2" customHeight="1">
      <c r="A555" s="12"/>
      <c r="B555" s="446"/>
      <c r="C555" s="89"/>
      <c r="D555" s="13"/>
      <c r="E555" s="14"/>
      <c r="F555" s="14"/>
      <c r="G555" s="15"/>
      <c r="H555" s="8"/>
      <c r="I555" s="8"/>
      <c r="J555" s="89"/>
      <c r="K555" s="8"/>
      <c r="L555" s="8"/>
      <c r="M555" s="8" t="str">
        <f>IF(L555="","",
IF(AX555="PT",VLOOKUP(L555,Foundation_Calc!$V$4:$X$37,VLOOKUP(AX555,Foundation_Calc!$I$10:$J$13,2,FALSE),0),
IF(AX555="K",VLOOKUP(L555,Foundation_Calc!$V$41:$X$74,VLOOKUP(AX555,Foundation_Calc!$I$10:$J$13,2,FALSE),0),"")))</f>
        <v/>
      </c>
      <c r="N555" s="8"/>
      <c r="O555" s="8"/>
      <c r="P555" s="8"/>
      <c r="Q555" s="14"/>
      <c r="R555" s="15"/>
      <c r="S555" s="15"/>
      <c r="T555" s="14"/>
      <c r="U555" s="14"/>
      <c r="V555" s="14"/>
      <c r="W555" s="18"/>
      <c r="X555" s="18"/>
      <c r="Y555" s="18"/>
      <c r="Z555" s="18"/>
      <c r="AA555" s="18"/>
      <c r="AB555" s="18"/>
      <c r="AC555" s="8" t="str">
        <f t="shared" si="102"/>
        <v/>
      </c>
      <c r="AD555" s="8"/>
      <c r="AE555" s="8"/>
      <c r="AF555" s="14"/>
      <c r="AG555" s="13"/>
      <c r="AH555" s="14"/>
      <c r="AI555" s="14"/>
      <c r="AJ555" s="8"/>
      <c r="AK555" s="8"/>
      <c r="AL555" s="8"/>
      <c r="AM555" s="8"/>
      <c r="AN555" s="631"/>
      <c r="AO555" s="18"/>
      <c r="AP555" s="18"/>
      <c r="AQ555" s="18"/>
      <c r="AR555" s="18"/>
      <c r="AS555" s="18"/>
      <c r="AU555" s="448"/>
      <c r="AV555" s="448"/>
      <c r="AW555" s="8" t="str">
        <f>IF(C555&gt;0,VLOOKUP(C555,Foundation_Calc!$A$2:$C$986,3,1),
IF(J555&gt;0,VLOOKUP(J555,Foundation_Calc!$A$2:$C$986,3,1),""))</f>
        <v/>
      </c>
      <c r="AX555" s="8" t="str">
        <f>IF(C555&gt;0,VLOOKUP(C555,Foundation_Calc!$E$2:$G$986,3,1),
IF(J555&gt;0,VLOOKUP(J555,Foundation_Calc!$E$2:$G$986,3,1),""))</f>
        <v/>
      </c>
      <c r="AY555" s="631" t="str">
        <f>IF(L555="","",
IF(AX555="PT",VLOOKUP(L555,Foundation_Calc!$K$4:$R$37,VLOOKUP(AW555,Foundation_Calc!$I$2:$J$8,2,FALSE),0),
IF(AX555="K",VLOOKUP(L555,Foundation_Calc!$K$41:$R$74,VLOOKUP(AW555,Foundation_Calc!$I$2:$J$8,2,FALSE),0),"")))</f>
        <v/>
      </c>
      <c r="AZ555" s="631" t="str">
        <f>IF(K555="","",
IF(AX555="PT",VLOOKUP(K555,Foundation_Calc!$K$4:$R$37,VLOOKUP(AW555,Foundation_Calc!$I$2:$J$8,2,FALSE),0),
IF(AX555="K",VLOOKUP(K555,Foundation_Calc!$K$41:$R$74,VLOOKUP(AW555,Foundation_Calc!$I$2:$J$8,2,FALSE),0),"")))</f>
        <v/>
      </c>
      <c r="BA555" s="632" t="str">
        <f t="shared" si="103"/>
        <v/>
      </c>
      <c r="BB555" s="632" t="str">
        <f t="shared" si="104"/>
        <v/>
      </c>
      <c r="BC555" s="632" t="str">
        <f t="shared" si="105"/>
        <v/>
      </c>
      <c r="BD555" s="633" t="str">
        <f>IF(AND(L555="",H555=""),"",
IF(H555="",Pole_Calc!A583,
IF(H555="MP",Pole_Calc!A584,
IF(H555="AnMP",Pole_Calc!A585,
IF(H555="A",Pole_Calc!A586,
IF(H555="S/A",Pole_Calc!A587,
IF(H555="A/S",Pole_Calc!A588,"Poner a mano")))))))</f>
        <v/>
      </c>
      <c r="BE555" s="448" t="s">
        <v>1726</v>
      </c>
      <c r="BF555" s="635"/>
      <c r="BG555" s="635"/>
      <c r="BH555" s="634"/>
      <c r="BI555" s="635"/>
    </row>
    <row r="556" spans="1:61" ht="16.2" customHeight="1">
      <c r="A556" s="12"/>
      <c r="B556" s="446"/>
      <c r="C556" s="89"/>
      <c r="D556" s="13"/>
      <c r="E556" s="14"/>
      <c r="F556" s="14"/>
      <c r="G556" s="15"/>
      <c r="H556" s="8"/>
      <c r="I556" s="8"/>
      <c r="J556" s="89"/>
      <c r="K556" s="8"/>
      <c r="L556" s="8"/>
      <c r="M556" s="8" t="str">
        <f>IF(L556="","",
IF(AX556="PT",VLOOKUP(L556,Foundation_Calc!$V$4:$X$37,VLOOKUP(AX556,Foundation_Calc!$I$10:$J$13,2,FALSE),0),
IF(AX556="K",VLOOKUP(L556,Foundation_Calc!$V$41:$X$74,VLOOKUP(AX556,Foundation_Calc!$I$10:$J$13,2,FALSE),0),"")))</f>
        <v/>
      </c>
      <c r="N556" s="8"/>
      <c r="O556" s="8"/>
      <c r="P556" s="8"/>
      <c r="Q556" s="14"/>
      <c r="R556" s="15"/>
      <c r="S556" s="15"/>
      <c r="T556" s="14"/>
      <c r="U556" s="14"/>
      <c r="V556" s="14"/>
      <c r="W556" s="18"/>
      <c r="X556" s="18"/>
      <c r="Y556" s="18"/>
      <c r="Z556" s="18"/>
      <c r="AA556" s="18"/>
      <c r="AB556" s="18"/>
      <c r="AC556" s="8" t="str">
        <f t="shared" si="102"/>
        <v/>
      </c>
      <c r="AD556" s="8"/>
      <c r="AE556" s="8"/>
      <c r="AF556" s="14"/>
      <c r="AG556" s="13"/>
      <c r="AH556" s="14"/>
      <c r="AI556" s="14"/>
      <c r="AJ556" s="8"/>
      <c r="AK556" s="8"/>
      <c r="AL556" s="8"/>
      <c r="AM556" s="8"/>
      <c r="AN556" s="631"/>
      <c r="AO556" s="18"/>
      <c r="AP556" s="18"/>
      <c r="AQ556" s="18"/>
      <c r="AR556" s="18"/>
      <c r="AS556" s="18"/>
      <c r="AU556" s="448"/>
      <c r="AV556" s="448"/>
      <c r="AW556" s="8" t="str">
        <f>IF(C556&gt;0,VLOOKUP(C556,Foundation_Calc!$A$2:$C$986,3,1),
IF(J556&gt;0,VLOOKUP(J556,Foundation_Calc!$A$2:$C$986,3,1),""))</f>
        <v/>
      </c>
      <c r="AX556" s="8" t="str">
        <f>IF(C556&gt;0,VLOOKUP(C556,Foundation_Calc!$E$2:$G$986,3,1),
IF(J556&gt;0,VLOOKUP(J556,Foundation_Calc!$E$2:$G$986,3,1),""))</f>
        <v/>
      </c>
      <c r="AY556" s="631" t="str">
        <f>IF(L556="","",
IF(AX556="PT",VLOOKUP(L556,Foundation_Calc!$K$4:$R$37,VLOOKUP(AW556,Foundation_Calc!$I$2:$J$8,2,FALSE),0),
IF(AX556="K",VLOOKUP(L556,Foundation_Calc!$K$41:$R$74,VLOOKUP(AW556,Foundation_Calc!$I$2:$J$8,2,FALSE),0),"")))</f>
        <v/>
      </c>
      <c r="AZ556" s="631" t="str">
        <f>IF(K556="","",
IF(AX556="PT",VLOOKUP(K556,Foundation_Calc!$K$4:$R$37,VLOOKUP(AW556,Foundation_Calc!$I$2:$J$8,2,FALSE),0),
IF(AX556="K",VLOOKUP(K556,Foundation_Calc!$K$41:$R$74,VLOOKUP(AW556,Foundation_Calc!$I$2:$J$8,2,FALSE),0),"")))</f>
        <v/>
      </c>
      <c r="BA556" s="632" t="str">
        <f t="shared" si="103"/>
        <v/>
      </c>
      <c r="BB556" s="632" t="str">
        <f t="shared" si="104"/>
        <v/>
      </c>
      <c r="BC556" s="632" t="str">
        <f t="shared" si="105"/>
        <v/>
      </c>
      <c r="BD556" s="633" t="str">
        <f>IF(AND(L556="",H556=""),"",
IF(H556="",Pole_Calc!A584,
IF(H556="MP",Pole_Calc!A585,
IF(H556="AnMP",Pole_Calc!A586,
IF(H556="A",Pole_Calc!A587,
IF(H556="S/A",Pole_Calc!A588,
IF(H556="A/S",Pole_Calc!A589,"Poner a mano")))))))</f>
        <v/>
      </c>
      <c r="BE556" s="448" t="s">
        <v>1726</v>
      </c>
      <c r="BF556" s="634"/>
      <c r="BG556" s="634"/>
      <c r="BH556" s="634"/>
      <c r="BI556" s="634"/>
    </row>
    <row r="557" spans="1:61" ht="16.2" customHeight="1">
      <c r="A557" s="12"/>
      <c r="B557" s="446"/>
      <c r="C557" s="89"/>
      <c r="D557" s="13"/>
      <c r="E557" s="14"/>
      <c r="F557" s="14"/>
      <c r="G557" s="15"/>
      <c r="H557" s="8"/>
      <c r="I557" s="8"/>
      <c r="J557" s="89"/>
      <c r="K557" s="8"/>
      <c r="L557" s="8"/>
      <c r="M557" s="8" t="str">
        <f>IF(L557="","",
IF(AX557="PT",VLOOKUP(L557,Foundation_Calc!$V$4:$X$37,VLOOKUP(AX557,Foundation_Calc!$I$10:$J$13,2,FALSE),0),
IF(AX557="K",VLOOKUP(L557,Foundation_Calc!$V$41:$X$74,VLOOKUP(AX557,Foundation_Calc!$I$10:$J$13,2,FALSE),0),"")))</f>
        <v/>
      </c>
      <c r="N557" s="8"/>
      <c r="O557" s="8"/>
      <c r="P557" s="8"/>
      <c r="Q557" s="14"/>
      <c r="R557" s="15"/>
      <c r="S557" s="15"/>
      <c r="T557" s="14"/>
      <c r="U557" s="14"/>
      <c r="V557" s="14"/>
      <c r="W557" s="18"/>
      <c r="X557" s="18"/>
      <c r="Y557" s="18"/>
      <c r="Z557" s="18"/>
      <c r="AA557" s="18"/>
      <c r="AB557" s="18"/>
      <c r="AC557" s="8" t="str">
        <f t="shared" si="102"/>
        <v/>
      </c>
      <c r="AD557" s="8"/>
      <c r="AE557" s="8"/>
      <c r="AF557" s="14"/>
      <c r="AG557" s="13"/>
      <c r="AH557" s="14"/>
      <c r="AI557" s="14"/>
      <c r="AJ557" s="8"/>
      <c r="AK557" s="8"/>
      <c r="AL557" s="8"/>
      <c r="AM557" s="8"/>
      <c r="AN557" s="631"/>
      <c r="AO557" s="18"/>
      <c r="AP557" s="18"/>
      <c r="AQ557" s="18"/>
      <c r="AR557" s="18"/>
      <c r="AS557" s="18"/>
      <c r="AU557" s="448"/>
      <c r="AV557" s="448"/>
      <c r="AW557" s="8" t="str">
        <f>IF(C557&gt;0,VLOOKUP(C557,Foundation_Calc!$A$2:$C$986,3,1),
IF(J557&gt;0,VLOOKUP(J557,Foundation_Calc!$A$2:$C$986,3,1),""))</f>
        <v/>
      </c>
      <c r="AX557" s="8" t="str">
        <f>IF(C557&gt;0,VLOOKUP(C557,Foundation_Calc!$E$2:$G$986,3,1),
IF(J557&gt;0,VLOOKUP(J557,Foundation_Calc!$E$2:$G$986,3,1),""))</f>
        <v/>
      </c>
      <c r="AY557" s="631" t="str">
        <f>IF(L557="","",
IF(AX557="PT",VLOOKUP(L557,Foundation_Calc!$K$4:$R$37,VLOOKUP(AW557,Foundation_Calc!$I$2:$J$8,2,FALSE),0),
IF(AX557="K",VLOOKUP(L557,Foundation_Calc!$K$41:$R$74,VLOOKUP(AW557,Foundation_Calc!$I$2:$J$8,2,FALSE),0),"")))</f>
        <v/>
      </c>
      <c r="AZ557" s="631" t="str">
        <f>IF(K557="","",
IF(AX557="PT",VLOOKUP(K557,Foundation_Calc!$K$4:$R$37,VLOOKUP(AW557,Foundation_Calc!$I$2:$J$8,2,FALSE),0),
IF(AX557="K",VLOOKUP(K557,Foundation_Calc!$K$41:$R$74,VLOOKUP(AW557,Foundation_Calc!$I$2:$J$8,2,FALSE),0),"")))</f>
        <v/>
      </c>
      <c r="BA557" s="632" t="str">
        <f t="shared" si="103"/>
        <v/>
      </c>
      <c r="BB557" s="632" t="str">
        <f t="shared" si="104"/>
        <v/>
      </c>
      <c r="BC557" s="632" t="str">
        <f t="shared" si="105"/>
        <v/>
      </c>
      <c r="BD557" s="633" t="str">
        <f>IF(AND(L557="",H557=""),"",
IF(H557="",Pole_Calc!A585,
IF(H557="MP",Pole_Calc!A586,
IF(H557="AnMP",Pole_Calc!A587,
IF(H557="A",Pole_Calc!A588,
IF(H557="S/A",Pole_Calc!A589,
IF(H557="A/S",Pole_Calc!A590,"Poner a mano")))))))</f>
        <v/>
      </c>
      <c r="BE557" s="448" t="s">
        <v>1726</v>
      </c>
      <c r="BF557" s="635"/>
      <c r="BG557" s="635"/>
      <c r="BH557" s="634"/>
      <c r="BI557" s="635"/>
    </row>
    <row r="558" spans="1:61" ht="16.2" customHeight="1">
      <c r="A558" s="12"/>
      <c r="B558" s="446"/>
      <c r="C558" s="89"/>
      <c r="D558" s="13"/>
      <c r="E558" s="14"/>
      <c r="F558" s="14"/>
      <c r="G558" s="15"/>
      <c r="H558" s="8"/>
      <c r="I558" s="8"/>
      <c r="J558" s="89"/>
      <c r="K558" s="8"/>
      <c r="L558" s="8"/>
      <c r="M558" s="8" t="str">
        <f>IF(L558="","",
IF(AX558="PT",VLOOKUP(L558,Foundation_Calc!$V$4:$X$37,VLOOKUP(AX558,Foundation_Calc!$I$10:$J$13,2,FALSE),0),
IF(AX558="K",VLOOKUP(L558,Foundation_Calc!$V$41:$X$74,VLOOKUP(AX558,Foundation_Calc!$I$10:$J$13,2,FALSE),0),"")))</f>
        <v/>
      </c>
      <c r="N558" s="8"/>
      <c r="O558" s="8"/>
      <c r="P558" s="8"/>
      <c r="Q558" s="14"/>
      <c r="R558" s="15"/>
      <c r="S558" s="15"/>
      <c r="T558" s="14"/>
      <c r="U558" s="14"/>
      <c r="V558" s="14"/>
      <c r="W558" s="18"/>
      <c r="X558" s="18"/>
      <c r="Y558" s="18"/>
      <c r="Z558" s="18"/>
      <c r="AA558" s="18"/>
      <c r="AB558" s="18"/>
      <c r="AC558" s="8" t="str">
        <f t="shared" si="102"/>
        <v/>
      </c>
      <c r="AD558" s="8"/>
      <c r="AE558" s="8"/>
      <c r="AF558" s="14"/>
      <c r="AG558" s="13"/>
      <c r="AH558" s="14"/>
      <c r="AI558" s="14"/>
      <c r="AJ558" s="8"/>
      <c r="AK558" s="8"/>
      <c r="AL558" s="8"/>
      <c r="AM558" s="8"/>
      <c r="AN558" s="631"/>
      <c r="AO558" s="18"/>
      <c r="AP558" s="18"/>
      <c r="AQ558" s="18"/>
      <c r="AR558" s="18"/>
      <c r="AS558" s="18"/>
      <c r="AU558" s="448"/>
      <c r="AV558" s="448"/>
      <c r="AW558" s="8" t="str">
        <f>IF(C558&gt;0,VLOOKUP(C558,Foundation_Calc!$A$2:$C$986,3,1),
IF(J558&gt;0,VLOOKUP(J558,Foundation_Calc!$A$2:$C$986,3,1),""))</f>
        <v/>
      </c>
      <c r="AX558" s="8" t="str">
        <f>IF(C558&gt;0,VLOOKUP(C558,Foundation_Calc!$E$2:$G$986,3,1),
IF(J558&gt;0,VLOOKUP(J558,Foundation_Calc!$E$2:$G$986,3,1),""))</f>
        <v/>
      </c>
      <c r="AY558" s="631" t="str">
        <f>IF(L558="","",
IF(AX558="PT",VLOOKUP(L558,Foundation_Calc!$K$4:$R$37,VLOOKUP(AW558,Foundation_Calc!$I$2:$J$8,2,FALSE),0),
IF(AX558="K",VLOOKUP(L558,Foundation_Calc!$K$41:$R$74,VLOOKUP(AW558,Foundation_Calc!$I$2:$J$8,2,FALSE),0),"")))</f>
        <v/>
      </c>
      <c r="AZ558" s="631" t="str">
        <f>IF(K558="","",
IF(AX558="PT",VLOOKUP(K558,Foundation_Calc!$K$4:$R$37,VLOOKUP(AW558,Foundation_Calc!$I$2:$J$8,2,FALSE),0),
IF(AX558="K",VLOOKUP(K558,Foundation_Calc!$K$41:$R$74,VLOOKUP(AW558,Foundation_Calc!$I$2:$J$8,2,FALSE),0),"")))</f>
        <v/>
      </c>
      <c r="BA558" s="632" t="str">
        <f t="shared" si="103"/>
        <v/>
      </c>
      <c r="BB558" s="632" t="str">
        <f t="shared" si="104"/>
        <v/>
      </c>
      <c r="BC558" s="632" t="str">
        <f t="shared" si="105"/>
        <v/>
      </c>
      <c r="BD558" s="633" t="str">
        <f>IF(AND(L558="",H558=""),"",
IF(H558="",Pole_Calc!A586,
IF(H558="MP",Pole_Calc!A587,
IF(H558="AnMP",Pole_Calc!A588,
IF(H558="A",Pole_Calc!A589,
IF(H558="S/A",Pole_Calc!A590,
IF(H558="A/S",Pole_Calc!A591,"Poner a mano")))))))</f>
        <v/>
      </c>
      <c r="BE558" s="448" t="s">
        <v>1726</v>
      </c>
      <c r="BF558" s="634"/>
      <c r="BG558" s="634"/>
      <c r="BH558" s="634"/>
      <c r="BI558" s="634"/>
    </row>
    <row r="559" spans="1:61" ht="16.2" customHeight="1">
      <c r="A559" s="12"/>
      <c r="B559" s="446"/>
      <c r="C559" s="89"/>
      <c r="D559" s="13"/>
      <c r="E559" s="14"/>
      <c r="F559" s="14"/>
      <c r="G559" s="15"/>
      <c r="H559" s="8"/>
      <c r="I559" s="8"/>
      <c r="J559" s="89"/>
      <c r="K559" s="8"/>
      <c r="L559" s="8"/>
      <c r="M559" s="8" t="str">
        <f>IF(L559="","",
IF(AX559="PT",VLOOKUP(L559,Foundation_Calc!$V$4:$X$37,VLOOKUP(AX559,Foundation_Calc!$I$10:$J$13,2,FALSE),0),
IF(AX559="K",VLOOKUP(L559,Foundation_Calc!$V$41:$X$74,VLOOKUP(AX559,Foundation_Calc!$I$10:$J$13,2,FALSE),0),"")))</f>
        <v/>
      </c>
      <c r="N559" s="8"/>
      <c r="O559" s="8"/>
      <c r="P559" s="8"/>
      <c r="Q559" s="14"/>
      <c r="R559" s="15"/>
      <c r="S559" s="15"/>
      <c r="T559" s="14"/>
      <c r="U559" s="14"/>
      <c r="V559" s="14"/>
      <c r="W559" s="18"/>
      <c r="X559" s="18"/>
      <c r="Y559" s="18"/>
      <c r="Z559" s="18"/>
      <c r="AA559" s="18"/>
      <c r="AB559" s="18"/>
      <c r="AC559" s="8" t="str">
        <f t="shared" si="102"/>
        <v/>
      </c>
      <c r="AD559" s="8"/>
      <c r="AE559" s="8"/>
      <c r="AF559" s="14"/>
      <c r="AG559" s="13"/>
      <c r="AH559" s="14"/>
      <c r="AI559" s="14"/>
      <c r="AJ559" s="8"/>
      <c r="AK559" s="8"/>
      <c r="AL559" s="8"/>
      <c r="AM559" s="8"/>
      <c r="AN559" s="631"/>
      <c r="AO559" s="18"/>
      <c r="AP559" s="18"/>
      <c r="AQ559" s="18"/>
      <c r="AR559" s="18"/>
      <c r="AS559" s="18"/>
      <c r="AU559" s="448"/>
      <c r="AV559" s="448"/>
      <c r="AW559" s="8" t="str">
        <f>IF(C559&gt;0,VLOOKUP(C559,Foundation_Calc!$A$2:$C$986,3,1),
IF(J559&gt;0,VLOOKUP(J559,Foundation_Calc!$A$2:$C$986,3,1),""))</f>
        <v/>
      </c>
      <c r="AX559" s="8" t="str">
        <f>IF(C559&gt;0,VLOOKUP(C559,Foundation_Calc!$E$2:$G$986,3,1),
IF(J559&gt;0,VLOOKUP(J559,Foundation_Calc!$E$2:$G$986,3,1),""))</f>
        <v/>
      </c>
      <c r="AY559" s="631" t="str">
        <f>IF(L559="","",
IF(AX559="PT",VLOOKUP(L559,Foundation_Calc!$K$4:$R$37,VLOOKUP(AW559,Foundation_Calc!$I$2:$J$8,2,FALSE),0),
IF(AX559="K",VLOOKUP(L559,Foundation_Calc!$K$41:$R$74,VLOOKUP(AW559,Foundation_Calc!$I$2:$J$8,2,FALSE),0),"")))</f>
        <v/>
      </c>
      <c r="AZ559" s="631" t="str">
        <f>IF(K559="","",
IF(AX559="PT",VLOOKUP(K559,Foundation_Calc!$K$4:$R$37,VLOOKUP(AW559,Foundation_Calc!$I$2:$J$8,2,FALSE),0),
IF(AX559="K",VLOOKUP(K559,Foundation_Calc!$K$41:$R$74,VLOOKUP(AW559,Foundation_Calc!$I$2:$J$8,2,FALSE),0),"")))</f>
        <v/>
      </c>
      <c r="BA559" s="632" t="str">
        <f t="shared" si="103"/>
        <v/>
      </c>
      <c r="BB559" s="632" t="str">
        <f t="shared" si="104"/>
        <v/>
      </c>
      <c r="BC559" s="632" t="str">
        <f t="shared" si="105"/>
        <v/>
      </c>
      <c r="BD559" s="633" t="str">
        <f>IF(AND(L559="",H559=""),"",
IF(H559="",Pole_Calc!A587,
IF(H559="MP",Pole_Calc!A588,
IF(H559="AnMP",Pole_Calc!A589,
IF(H559="A",Pole_Calc!A590,
IF(H559="S/A",Pole_Calc!A591,
IF(H559="A/S",Pole_Calc!A592,"Poner a mano")))))))</f>
        <v/>
      </c>
      <c r="BE559" s="448" t="s">
        <v>1726</v>
      </c>
      <c r="BF559" s="635"/>
      <c r="BG559" s="635"/>
      <c r="BH559" s="634"/>
      <c r="BI559" s="635"/>
    </row>
    <row r="560" spans="1:61" ht="16.2" customHeight="1">
      <c r="A560" s="12"/>
      <c r="B560" s="446"/>
      <c r="C560" s="89"/>
      <c r="D560" s="13"/>
      <c r="E560" s="14"/>
      <c r="F560" s="14"/>
      <c r="G560" s="15"/>
      <c r="H560" s="8"/>
      <c r="I560" s="8"/>
      <c r="J560" s="89"/>
      <c r="K560" s="8"/>
      <c r="L560" s="8"/>
      <c r="M560" s="8" t="str">
        <f>IF(L560="","",
IF(AX560="PT",VLOOKUP(L560,Foundation_Calc!$V$4:$X$37,VLOOKUP(AX560,Foundation_Calc!$I$10:$J$13,2,FALSE),0),
IF(AX560="K",VLOOKUP(L560,Foundation_Calc!$V$41:$X$74,VLOOKUP(AX560,Foundation_Calc!$I$10:$J$13,2,FALSE),0),"")))</f>
        <v/>
      </c>
      <c r="N560" s="8"/>
      <c r="O560" s="8"/>
      <c r="P560" s="8"/>
      <c r="Q560" s="14"/>
      <c r="R560" s="15"/>
      <c r="S560" s="15"/>
      <c r="T560" s="14"/>
      <c r="U560" s="14"/>
      <c r="V560" s="14"/>
      <c r="W560" s="18"/>
      <c r="X560" s="18"/>
      <c r="Y560" s="18"/>
      <c r="Z560" s="18"/>
      <c r="AA560" s="18"/>
      <c r="AB560" s="18"/>
      <c r="AC560" s="8" t="str">
        <f t="shared" si="102"/>
        <v/>
      </c>
      <c r="AD560" s="8"/>
      <c r="AE560" s="8"/>
      <c r="AF560" s="14"/>
      <c r="AG560" s="13"/>
      <c r="AH560" s="14"/>
      <c r="AI560" s="14"/>
      <c r="AJ560" s="8"/>
      <c r="AK560" s="8"/>
      <c r="AL560" s="8"/>
      <c r="AM560" s="8"/>
      <c r="AN560" s="631"/>
      <c r="AO560" s="18"/>
      <c r="AP560" s="18"/>
      <c r="AQ560" s="18"/>
      <c r="AR560" s="18"/>
      <c r="AS560" s="18"/>
      <c r="AU560" s="448"/>
      <c r="AV560" s="448"/>
      <c r="AW560" s="8" t="str">
        <f>IF(C560&gt;0,VLOOKUP(C560,Foundation_Calc!$A$2:$C$986,3,1),
IF(J560&gt;0,VLOOKUP(J560,Foundation_Calc!$A$2:$C$986,3,1),""))</f>
        <v/>
      </c>
      <c r="AX560" s="8" t="str">
        <f>IF(C560&gt;0,VLOOKUP(C560,Foundation_Calc!$E$2:$G$986,3,1),
IF(J560&gt;0,VLOOKUP(J560,Foundation_Calc!$E$2:$G$986,3,1),""))</f>
        <v/>
      </c>
      <c r="AY560" s="631" t="str">
        <f>IF(L560="","",
IF(AX560="PT",VLOOKUP(L560,Foundation_Calc!$K$4:$R$37,VLOOKUP(AW560,Foundation_Calc!$I$2:$J$8,2,FALSE),0),
IF(AX560="K",VLOOKUP(L560,Foundation_Calc!$K$41:$R$74,VLOOKUP(AW560,Foundation_Calc!$I$2:$J$8,2,FALSE),0),"")))</f>
        <v/>
      </c>
      <c r="AZ560" s="631" t="str">
        <f>IF(K560="","",
IF(AX560="PT",VLOOKUP(K560,Foundation_Calc!$K$4:$R$37,VLOOKUP(AW560,Foundation_Calc!$I$2:$J$8,2,FALSE),0),
IF(AX560="K",VLOOKUP(K560,Foundation_Calc!$K$41:$R$74,VLOOKUP(AW560,Foundation_Calc!$I$2:$J$8,2,FALSE),0),"")))</f>
        <v/>
      </c>
      <c r="BA560" s="632" t="str">
        <f t="shared" si="103"/>
        <v/>
      </c>
      <c r="BB560" s="632" t="str">
        <f t="shared" si="104"/>
        <v/>
      </c>
      <c r="BC560" s="632" t="str">
        <f t="shared" si="105"/>
        <v/>
      </c>
      <c r="BD560" s="633" t="str">
        <f>IF(AND(L560="",H560=""),"",
IF(H560="",Pole_Calc!A588,
IF(H560="MP",Pole_Calc!A589,
IF(H560="AnMP",Pole_Calc!A590,
IF(H560="A",Pole_Calc!A591,
IF(H560="S/A",Pole_Calc!A592,
IF(H560="A/S",Pole_Calc!A593,"Poner a mano")))))))</f>
        <v/>
      </c>
      <c r="BE560" s="448" t="s">
        <v>1726</v>
      </c>
      <c r="BF560" s="634"/>
      <c r="BG560" s="634"/>
      <c r="BH560" s="634"/>
      <c r="BI560" s="634"/>
    </row>
    <row r="561" spans="1:61" ht="16.2" customHeight="1">
      <c r="A561" s="12"/>
      <c r="B561" s="446"/>
      <c r="C561" s="89"/>
      <c r="D561" s="13"/>
      <c r="E561" s="14"/>
      <c r="F561" s="14"/>
      <c r="G561" s="15"/>
      <c r="H561" s="8"/>
      <c r="I561" s="8"/>
      <c r="J561" s="89"/>
      <c r="K561" s="8"/>
      <c r="L561" s="8"/>
      <c r="M561" s="8" t="str">
        <f>IF(L561="","",
IF(AX561="PT",VLOOKUP(L561,Foundation_Calc!$V$4:$X$37,VLOOKUP(AX561,Foundation_Calc!$I$10:$J$13,2,FALSE),0),
IF(AX561="K",VLOOKUP(L561,Foundation_Calc!$V$41:$X$74,VLOOKUP(AX561,Foundation_Calc!$I$10:$J$13,2,FALSE),0),"")))</f>
        <v/>
      </c>
      <c r="N561" s="8"/>
      <c r="O561" s="8"/>
      <c r="P561" s="8"/>
      <c r="Q561" s="14"/>
      <c r="R561" s="15"/>
      <c r="S561" s="15"/>
      <c r="T561" s="14"/>
      <c r="U561" s="14"/>
      <c r="V561" s="14"/>
      <c r="W561" s="18"/>
      <c r="X561" s="18"/>
      <c r="Y561" s="18"/>
      <c r="Z561" s="18"/>
      <c r="AA561" s="18"/>
      <c r="AB561" s="18"/>
      <c r="AC561" s="8" t="str">
        <f t="shared" si="102"/>
        <v/>
      </c>
      <c r="AD561" s="8"/>
      <c r="AE561" s="8"/>
      <c r="AF561" s="14"/>
      <c r="AG561" s="13"/>
      <c r="AH561" s="14"/>
      <c r="AI561" s="14"/>
      <c r="AJ561" s="8"/>
      <c r="AK561" s="8"/>
      <c r="AL561" s="8"/>
      <c r="AM561" s="8"/>
      <c r="AN561" s="631"/>
      <c r="AO561" s="18"/>
      <c r="AP561" s="18"/>
      <c r="AQ561" s="18"/>
      <c r="AR561" s="18"/>
      <c r="AS561" s="18"/>
      <c r="AU561" s="448"/>
      <c r="AV561" s="448"/>
      <c r="AW561" s="8" t="str">
        <f>IF(C561&gt;0,VLOOKUP(C561,Foundation_Calc!$A$2:$C$986,3,1),
IF(J561&gt;0,VLOOKUP(J561,Foundation_Calc!$A$2:$C$986,3,1),""))</f>
        <v/>
      </c>
      <c r="AX561" s="8" t="str">
        <f>IF(C561&gt;0,VLOOKUP(C561,Foundation_Calc!$E$2:$G$986,3,1),
IF(J561&gt;0,VLOOKUP(J561,Foundation_Calc!$E$2:$G$986,3,1),""))</f>
        <v/>
      </c>
      <c r="AY561" s="631" t="str">
        <f>IF(L561="","",
IF(AX561="PT",VLOOKUP(L561,Foundation_Calc!$K$4:$R$37,VLOOKUP(AW561,Foundation_Calc!$I$2:$J$8,2,FALSE),0),
IF(AX561="K",VLOOKUP(L561,Foundation_Calc!$K$41:$R$74,VLOOKUP(AW561,Foundation_Calc!$I$2:$J$8,2,FALSE),0),"")))</f>
        <v/>
      </c>
      <c r="AZ561" s="631" t="str">
        <f>IF(K561="","",
IF(AX561="PT",VLOOKUP(K561,Foundation_Calc!$K$4:$R$37,VLOOKUP(AW561,Foundation_Calc!$I$2:$J$8,2,FALSE),0),
IF(AX561="K",VLOOKUP(K561,Foundation_Calc!$K$41:$R$74,VLOOKUP(AW561,Foundation_Calc!$I$2:$J$8,2,FALSE),0),"")))</f>
        <v/>
      </c>
      <c r="BA561" s="632" t="str">
        <f t="shared" si="103"/>
        <v/>
      </c>
      <c r="BB561" s="632" t="str">
        <f t="shared" si="104"/>
        <v/>
      </c>
      <c r="BC561" s="632" t="str">
        <f t="shared" si="105"/>
        <v/>
      </c>
      <c r="BD561" s="633" t="str">
        <f>IF(AND(L561="",H561=""),"",
IF(H561="",Pole_Calc!A589,
IF(H561="MP",Pole_Calc!A590,
IF(H561="AnMP",Pole_Calc!A591,
IF(H561="A",Pole_Calc!A592,
IF(H561="S/A",Pole_Calc!A593,
IF(H561="A/S",Pole_Calc!A594,"Poner a mano")))))))</f>
        <v/>
      </c>
      <c r="BE561" s="448" t="s">
        <v>1726</v>
      </c>
      <c r="BF561" s="635"/>
      <c r="BG561" s="635"/>
      <c r="BH561" s="634"/>
      <c r="BI561" s="635"/>
    </row>
    <row r="562" spans="1:61" ht="16.2" customHeight="1">
      <c r="A562" s="12"/>
      <c r="B562" s="446"/>
      <c r="C562" s="89"/>
      <c r="D562" s="13"/>
      <c r="E562" s="14"/>
      <c r="F562" s="14"/>
      <c r="G562" s="15"/>
      <c r="H562" s="8"/>
      <c r="I562" s="8"/>
      <c r="J562" s="89"/>
      <c r="K562" s="8"/>
      <c r="L562" s="8"/>
      <c r="M562" s="8" t="str">
        <f>IF(L562="","",
IF(AX562="PT",VLOOKUP(L562,Foundation_Calc!$V$4:$X$37,VLOOKUP(AX562,Foundation_Calc!$I$10:$J$13,2,FALSE),0),
IF(AX562="K",VLOOKUP(L562,Foundation_Calc!$V$41:$X$74,VLOOKUP(AX562,Foundation_Calc!$I$10:$J$13,2,FALSE),0),"")))</f>
        <v/>
      </c>
      <c r="N562" s="8"/>
      <c r="O562" s="8"/>
      <c r="P562" s="8"/>
      <c r="Q562" s="14"/>
      <c r="R562" s="15"/>
      <c r="S562" s="15"/>
      <c r="T562" s="14"/>
      <c r="U562" s="14"/>
      <c r="V562" s="14"/>
      <c r="W562" s="18"/>
      <c r="X562" s="18"/>
      <c r="Y562" s="18"/>
      <c r="Z562" s="18"/>
      <c r="AA562" s="18"/>
      <c r="AB562" s="18"/>
      <c r="AC562" s="8" t="str">
        <f t="shared" si="102"/>
        <v/>
      </c>
      <c r="AD562" s="8"/>
      <c r="AE562" s="8"/>
      <c r="AF562" s="14"/>
      <c r="AG562" s="13"/>
      <c r="AH562" s="14"/>
      <c r="AI562" s="14"/>
      <c r="AJ562" s="8"/>
      <c r="AK562" s="8"/>
      <c r="AL562" s="8"/>
      <c r="AM562" s="8"/>
      <c r="AN562" s="631"/>
      <c r="AO562" s="18"/>
      <c r="AP562" s="18"/>
      <c r="AQ562" s="18"/>
      <c r="AR562" s="18"/>
      <c r="AS562" s="18"/>
      <c r="AU562" s="448"/>
      <c r="AV562" s="448"/>
      <c r="AW562" s="8" t="str">
        <f>IF(C562&gt;0,VLOOKUP(C562,Foundation_Calc!$A$2:$C$986,3,1),
IF(J562&gt;0,VLOOKUP(J562,Foundation_Calc!$A$2:$C$986,3,1),""))</f>
        <v/>
      </c>
      <c r="AX562" s="8" t="str">
        <f>IF(C562&gt;0,VLOOKUP(C562,Foundation_Calc!$E$2:$G$986,3,1),
IF(J562&gt;0,VLOOKUP(J562,Foundation_Calc!$E$2:$G$986,3,1),""))</f>
        <v/>
      </c>
      <c r="AY562" s="631" t="str">
        <f>IF(L562="","",
IF(AX562="PT",VLOOKUP(L562,Foundation_Calc!$K$4:$R$37,VLOOKUP(AW562,Foundation_Calc!$I$2:$J$8,2,FALSE),0),
IF(AX562="K",VLOOKUP(L562,Foundation_Calc!$K$41:$R$74,VLOOKUP(AW562,Foundation_Calc!$I$2:$J$8,2,FALSE),0),"")))</f>
        <v/>
      </c>
      <c r="AZ562" s="631" t="str">
        <f>IF(K562="","",
IF(AX562="PT",VLOOKUP(K562,Foundation_Calc!$K$4:$R$37,VLOOKUP(AW562,Foundation_Calc!$I$2:$J$8,2,FALSE),0),
IF(AX562="K",VLOOKUP(K562,Foundation_Calc!$K$41:$R$74,VLOOKUP(AW562,Foundation_Calc!$I$2:$J$8,2,FALSE),0),"")))</f>
        <v/>
      </c>
      <c r="BA562" s="632" t="str">
        <f t="shared" si="103"/>
        <v/>
      </c>
      <c r="BB562" s="632" t="str">
        <f t="shared" si="104"/>
        <v/>
      </c>
      <c r="BC562" s="632" t="str">
        <f t="shared" si="105"/>
        <v/>
      </c>
      <c r="BD562" s="633" t="str">
        <f>IF(AND(L562="",H562=""),"",
IF(H562="",Pole_Calc!A590,
IF(H562="MP",Pole_Calc!A591,
IF(H562="AnMP",Pole_Calc!A592,
IF(H562="A",Pole_Calc!A593,
IF(H562="S/A",Pole_Calc!A594,
IF(H562="A/S",Pole_Calc!A595,"Poner a mano")))))))</f>
        <v/>
      </c>
      <c r="BE562" s="448" t="s">
        <v>1726</v>
      </c>
      <c r="BF562" s="634"/>
      <c r="BG562" s="634"/>
      <c r="BH562" s="634"/>
      <c r="BI562" s="634"/>
    </row>
    <row r="563" spans="1:61" ht="16.2" customHeight="1">
      <c r="A563" s="12"/>
      <c r="B563" s="446"/>
      <c r="C563" s="89"/>
      <c r="D563" s="13"/>
      <c r="E563" s="14"/>
      <c r="F563" s="14"/>
      <c r="G563" s="15"/>
      <c r="H563" s="8"/>
      <c r="I563" s="8"/>
      <c r="J563" s="89"/>
      <c r="K563" s="8"/>
      <c r="L563" s="8"/>
      <c r="M563" s="8" t="str">
        <f>IF(L563="","",
IF(AX563="PT",VLOOKUP(L563,Foundation_Calc!$V$4:$X$37,VLOOKUP(AX563,Foundation_Calc!$I$10:$J$13,2,FALSE),0),
IF(AX563="K",VLOOKUP(L563,Foundation_Calc!$V$41:$X$74,VLOOKUP(AX563,Foundation_Calc!$I$10:$J$13,2,FALSE),0),"")))</f>
        <v/>
      </c>
      <c r="N563" s="8"/>
      <c r="O563" s="8"/>
      <c r="P563" s="8"/>
      <c r="Q563" s="14"/>
      <c r="R563" s="15"/>
      <c r="S563" s="15"/>
      <c r="T563" s="14"/>
      <c r="U563" s="14"/>
      <c r="V563" s="14"/>
      <c r="W563" s="18"/>
      <c r="X563" s="18"/>
      <c r="Y563" s="18"/>
      <c r="Z563" s="18"/>
      <c r="AA563" s="18"/>
      <c r="AB563" s="18"/>
      <c r="AC563" s="8" t="str">
        <f t="shared" si="102"/>
        <v/>
      </c>
      <c r="AD563" s="8"/>
      <c r="AE563" s="8"/>
      <c r="AF563" s="14"/>
      <c r="AG563" s="13"/>
      <c r="AH563" s="14"/>
      <c r="AI563" s="14"/>
      <c r="AJ563" s="8"/>
      <c r="AK563" s="8"/>
      <c r="AL563" s="8"/>
      <c r="AM563" s="8"/>
      <c r="AN563" s="631"/>
      <c r="AO563" s="18"/>
      <c r="AP563" s="18"/>
      <c r="AQ563" s="18"/>
      <c r="AR563" s="18"/>
      <c r="AS563" s="18"/>
      <c r="AU563" s="448"/>
      <c r="AV563" s="448"/>
      <c r="AW563" s="8" t="str">
        <f>IF(C563&gt;0,VLOOKUP(C563,Foundation_Calc!$A$2:$C$986,3,1),
IF(J563&gt;0,VLOOKUP(J563,Foundation_Calc!$A$2:$C$986,3,1),""))</f>
        <v/>
      </c>
      <c r="AX563" s="8" t="str">
        <f>IF(C563&gt;0,VLOOKUP(C563,Foundation_Calc!$E$2:$G$986,3,1),
IF(J563&gt;0,VLOOKUP(J563,Foundation_Calc!$E$2:$G$986,3,1),""))</f>
        <v/>
      </c>
      <c r="AY563" s="631" t="str">
        <f>IF(L563="","",
IF(AX563="PT",VLOOKUP(L563,Foundation_Calc!$K$4:$R$37,VLOOKUP(AW563,Foundation_Calc!$I$2:$J$8,2,FALSE),0),
IF(AX563="K",VLOOKUP(L563,Foundation_Calc!$K$41:$R$74,VLOOKUP(AW563,Foundation_Calc!$I$2:$J$8,2,FALSE),0),"")))</f>
        <v/>
      </c>
      <c r="AZ563" s="631" t="str">
        <f>IF(K563="","",
IF(AX563="PT",VLOOKUP(K563,Foundation_Calc!$K$4:$R$37,VLOOKUP(AW563,Foundation_Calc!$I$2:$J$8,2,FALSE),0),
IF(AX563="K",VLOOKUP(K563,Foundation_Calc!$K$41:$R$74,VLOOKUP(AW563,Foundation_Calc!$I$2:$J$8,2,FALSE),0),"")))</f>
        <v/>
      </c>
      <c r="BA563" s="632" t="str">
        <f t="shared" si="103"/>
        <v/>
      </c>
      <c r="BB563" s="632" t="str">
        <f t="shared" si="104"/>
        <v/>
      </c>
      <c r="BC563" s="632" t="str">
        <f t="shared" si="105"/>
        <v/>
      </c>
      <c r="BD563" s="633" t="str">
        <f>IF(AND(L563="",H563=""),"",
IF(H563="",Pole_Calc!A591,
IF(H563="MP",Pole_Calc!A592,
IF(H563="AnMP",Pole_Calc!A593,
IF(H563="A",Pole_Calc!A594,
IF(H563="S/A",Pole_Calc!A595,
IF(H563="A/S",Pole_Calc!A596,"Poner a mano")))))))</f>
        <v/>
      </c>
      <c r="BE563" s="448" t="s">
        <v>1726</v>
      </c>
      <c r="BF563" s="635"/>
      <c r="BG563" s="635"/>
      <c r="BH563" s="634"/>
      <c r="BI563" s="635"/>
    </row>
    <row r="564" spans="1:61" ht="16.2" customHeight="1">
      <c r="A564" s="12"/>
      <c r="B564" s="446"/>
      <c r="C564" s="89"/>
      <c r="D564" s="13"/>
      <c r="E564" s="14"/>
      <c r="F564" s="14"/>
      <c r="G564" s="15"/>
      <c r="H564" s="8"/>
      <c r="I564" s="8"/>
      <c r="J564" s="89"/>
      <c r="K564" s="8"/>
      <c r="L564" s="8"/>
      <c r="M564" s="8" t="str">
        <f>IF(L564="","",
IF(AX564="PT",VLOOKUP(L564,Foundation_Calc!$V$4:$X$37,VLOOKUP(AX564,Foundation_Calc!$I$10:$J$13,2,FALSE),0),
IF(AX564="K",VLOOKUP(L564,Foundation_Calc!$V$41:$X$74,VLOOKUP(AX564,Foundation_Calc!$I$10:$J$13,2,FALSE),0),"")))</f>
        <v/>
      </c>
      <c r="N564" s="8"/>
      <c r="O564" s="8"/>
      <c r="P564" s="8"/>
      <c r="Q564" s="14"/>
      <c r="R564" s="15"/>
      <c r="S564" s="15"/>
      <c r="T564" s="14"/>
      <c r="U564" s="14"/>
      <c r="V564" s="14"/>
      <c r="W564" s="18"/>
      <c r="X564" s="18"/>
      <c r="Y564" s="18"/>
      <c r="Z564" s="18"/>
      <c r="AA564" s="18"/>
      <c r="AB564" s="18"/>
      <c r="AC564" s="8" t="str">
        <f t="shared" si="102"/>
        <v/>
      </c>
      <c r="AD564" s="8"/>
      <c r="AE564" s="8"/>
      <c r="AF564" s="14"/>
      <c r="AG564" s="13"/>
      <c r="AH564" s="14"/>
      <c r="AI564" s="14"/>
      <c r="AJ564" s="8"/>
      <c r="AK564" s="8"/>
      <c r="AL564" s="8"/>
      <c r="AM564" s="8"/>
      <c r="AN564" s="631"/>
      <c r="AO564" s="18"/>
      <c r="AP564" s="18"/>
      <c r="AQ564" s="18"/>
      <c r="AR564" s="18"/>
      <c r="AS564" s="18"/>
      <c r="AU564" s="448"/>
      <c r="AV564" s="448"/>
      <c r="AW564" s="8" t="str">
        <f>IF(C564&gt;0,VLOOKUP(C564,Foundation_Calc!$A$2:$C$986,3,1),
IF(J564&gt;0,VLOOKUP(J564,Foundation_Calc!$A$2:$C$986,3,1),""))</f>
        <v/>
      </c>
      <c r="AX564" s="8" t="str">
        <f>IF(C564&gt;0,VLOOKUP(C564,Foundation_Calc!$E$2:$G$986,3,1),
IF(J564&gt;0,VLOOKUP(J564,Foundation_Calc!$E$2:$G$986,3,1),""))</f>
        <v/>
      </c>
      <c r="AY564" s="631" t="str">
        <f>IF(L564="","",
IF(AX564="PT",VLOOKUP(L564,Foundation_Calc!$K$4:$R$37,VLOOKUP(AW564,Foundation_Calc!$I$2:$J$8,2,FALSE),0),
IF(AX564="K",VLOOKUP(L564,Foundation_Calc!$K$41:$R$74,VLOOKUP(AW564,Foundation_Calc!$I$2:$J$8,2,FALSE),0),"")))</f>
        <v/>
      </c>
      <c r="AZ564" s="631" t="str">
        <f>IF(K564="","",
IF(AX564="PT",VLOOKUP(K564,Foundation_Calc!$K$4:$R$37,VLOOKUP(AW564,Foundation_Calc!$I$2:$J$8,2,FALSE),0),
IF(AX564="K",VLOOKUP(K564,Foundation_Calc!$K$41:$R$74,VLOOKUP(AW564,Foundation_Calc!$I$2:$J$8,2,FALSE),0),"")))</f>
        <v/>
      </c>
      <c r="BA564" s="632" t="str">
        <f t="shared" si="103"/>
        <v/>
      </c>
      <c r="BB564" s="632" t="str">
        <f t="shared" si="104"/>
        <v/>
      </c>
      <c r="BC564" s="632" t="str">
        <f t="shared" si="105"/>
        <v/>
      </c>
      <c r="BD564" s="633" t="str">
        <f>IF(AND(L564="",H564=""),"",
IF(H564="",Pole_Calc!A592,
IF(H564="MP",Pole_Calc!A593,
IF(H564="AnMP",Pole_Calc!A594,
IF(H564="A",Pole_Calc!A595,
IF(H564="S/A",Pole_Calc!A596,
IF(H564="A/S",Pole_Calc!A597,"Poner a mano")))))))</f>
        <v/>
      </c>
      <c r="BE564" s="448" t="s">
        <v>1726</v>
      </c>
      <c r="BF564" s="634"/>
      <c r="BG564" s="634"/>
      <c r="BH564" s="634"/>
      <c r="BI564" s="634"/>
    </row>
    <row r="565" spans="1:61" ht="16.2" customHeight="1">
      <c r="A565" s="12"/>
      <c r="B565" s="446"/>
      <c r="C565" s="89"/>
      <c r="D565" s="13"/>
      <c r="E565" s="14"/>
      <c r="F565" s="14"/>
      <c r="G565" s="15"/>
      <c r="H565" s="8"/>
      <c r="I565" s="8"/>
      <c r="J565" s="89"/>
      <c r="K565" s="8"/>
      <c r="L565" s="8"/>
      <c r="M565" s="8" t="str">
        <f>IF(L565="","",
IF(AX565="PT",VLOOKUP(L565,Foundation_Calc!$V$4:$X$37,VLOOKUP(AX565,Foundation_Calc!$I$10:$J$13,2,FALSE),0),
IF(AX565="K",VLOOKUP(L565,Foundation_Calc!$V$41:$X$74,VLOOKUP(AX565,Foundation_Calc!$I$10:$J$13,2,FALSE),0),"")))</f>
        <v/>
      </c>
      <c r="N565" s="8"/>
      <c r="O565" s="8"/>
      <c r="P565" s="8"/>
      <c r="Q565" s="14"/>
      <c r="R565" s="15"/>
      <c r="S565" s="15"/>
      <c r="T565" s="14"/>
      <c r="U565" s="14"/>
      <c r="V565" s="14"/>
      <c r="W565" s="18"/>
      <c r="X565" s="18"/>
      <c r="Y565" s="18"/>
      <c r="Z565" s="18"/>
      <c r="AA565" s="18"/>
      <c r="AB565" s="18"/>
      <c r="AC565" s="8" t="str">
        <f t="shared" si="102"/>
        <v/>
      </c>
      <c r="AD565" s="8"/>
      <c r="AE565" s="8"/>
      <c r="AF565" s="14"/>
      <c r="AG565" s="13"/>
      <c r="AH565" s="14"/>
      <c r="AI565" s="14"/>
      <c r="AJ565" s="8"/>
      <c r="AK565" s="8"/>
      <c r="AL565" s="8"/>
      <c r="AM565" s="8"/>
      <c r="AN565" s="631"/>
      <c r="AO565" s="18"/>
      <c r="AP565" s="18"/>
      <c r="AQ565" s="18"/>
      <c r="AR565" s="18"/>
      <c r="AS565" s="18"/>
      <c r="AU565" s="448"/>
      <c r="AV565" s="448"/>
      <c r="AW565" s="8" t="str">
        <f>IF(C565&gt;0,VLOOKUP(C565,Foundation_Calc!$A$2:$C$986,3,1),
IF(J565&gt;0,VLOOKUP(J565,Foundation_Calc!$A$2:$C$986,3,1),""))</f>
        <v/>
      </c>
      <c r="AX565" s="8" t="str">
        <f>IF(C565&gt;0,VLOOKUP(C565,Foundation_Calc!$E$2:$G$986,3,1),
IF(J565&gt;0,VLOOKUP(J565,Foundation_Calc!$E$2:$G$986,3,1),""))</f>
        <v/>
      </c>
      <c r="AY565" s="631" t="str">
        <f>IF(L565="","",
IF(AX565="PT",VLOOKUP(L565,Foundation_Calc!$K$4:$R$37,VLOOKUP(AW565,Foundation_Calc!$I$2:$J$8,2,FALSE),0),
IF(AX565="K",VLOOKUP(L565,Foundation_Calc!$K$41:$R$74,VLOOKUP(AW565,Foundation_Calc!$I$2:$J$8,2,FALSE),0),"")))</f>
        <v/>
      </c>
      <c r="AZ565" s="631" t="str">
        <f>IF(K565="","",
IF(AX565="PT",VLOOKUP(K565,Foundation_Calc!$K$4:$R$37,VLOOKUP(AW565,Foundation_Calc!$I$2:$J$8,2,FALSE),0),
IF(AX565="K",VLOOKUP(K565,Foundation_Calc!$K$41:$R$74,VLOOKUP(AW565,Foundation_Calc!$I$2:$J$8,2,FALSE),0),"")))</f>
        <v/>
      </c>
      <c r="BA565" s="632" t="str">
        <f t="shared" si="103"/>
        <v/>
      </c>
      <c r="BB565" s="632" t="str">
        <f t="shared" si="104"/>
        <v/>
      </c>
      <c r="BC565" s="632" t="str">
        <f t="shared" si="105"/>
        <v/>
      </c>
      <c r="BD565" s="633" t="str">
        <f>IF(AND(L565="",H565=""),"",
IF(H565="",Pole_Calc!A593,
IF(H565="MP",Pole_Calc!A594,
IF(H565="AnMP",Pole_Calc!A595,
IF(H565="A",Pole_Calc!A596,
IF(H565="S/A",Pole_Calc!A597,
IF(H565="A/S",Pole_Calc!A598,"Poner a mano")))))))</f>
        <v/>
      </c>
      <c r="BE565" s="448" t="s">
        <v>1726</v>
      </c>
      <c r="BF565" s="635"/>
      <c r="BG565" s="635"/>
      <c r="BH565" s="634"/>
      <c r="BI565" s="635"/>
    </row>
    <row r="566" spans="1:61" ht="16.2" customHeight="1">
      <c r="A566" s="12"/>
      <c r="B566" s="446"/>
      <c r="C566" s="89"/>
      <c r="D566" s="13"/>
      <c r="E566" s="14"/>
      <c r="F566" s="14"/>
      <c r="G566" s="15"/>
      <c r="H566" s="8"/>
      <c r="I566" s="8"/>
      <c r="J566" s="89"/>
      <c r="K566" s="8"/>
      <c r="L566" s="8"/>
      <c r="M566" s="8" t="str">
        <f>IF(L566="","",
IF(AX566="PT",VLOOKUP(L566,Foundation_Calc!$V$4:$X$37,VLOOKUP(AX566,Foundation_Calc!$I$10:$J$13,2,FALSE),0),
IF(AX566="K",VLOOKUP(L566,Foundation_Calc!$V$41:$X$74,VLOOKUP(AX566,Foundation_Calc!$I$10:$J$13,2,FALSE),0),"")))</f>
        <v/>
      </c>
      <c r="N566" s="8"/>
      <c r="O566" s="8"/>
      <c r="P566" s="8"/>
      <c r="Q566" s="14"/>
      <c r="R566" s="15"/>
      <c r="S566" s="15"/>
      <c r="T566" s="14"/>
      <c r="U566" s="14"/>
      <c r="V566" s="14"/>
      <c r="W566" s="18"/>
      <c r="X566" s="18"/>
      <c r="Y566" s="18"/>
      <c r="Z566" s="18"/>
      <c r="AA566" s="18"/>
      <c r="AB566" s="18"/>
      <c r="AC566" s="8" t="str">
        <f t="shared" si="102"/>
        <v/>
      </c>
      <c r="AD566" s="8"/>
      <c r="AE566" s="8"/>
      <c r="AF566" s="14"/>
      <c r="AG566" s="13"/>
      <c r="AH566" s="14"/>
      <c r="AI566" s="14"/>
      <c r="AJ566" s="8"/>
      <c r="AK566" s="8"/>
      <c r="AL566" s="8"/>
      <c r="AM566" s="8"/>
      <c r="AN566" s="631"/>
      <c r="AO566" s="18"/>
      <c r="AP566" s="18"/>
      <c r="AQ566" s="18"/>
      <c r="AR566" s="18"/>
      <c r="AS566" s="18"/>
      <c r="AU566" s="448"/>
      <c r="AV566" s="448"/>
      <c r="AW566" s="8" t="str">
        <f>IF(C566&gt;0,VLOOKUP(C566,Foundation_Calc!$A$2:$C$986,3,1),
IF(J566&gt;0,VLOOKUP(J566,Foundation_Calc!$A$2:$C$986,3,1),""))</f>
        <v/>
      </c>
      <c r="AX566" s="8" t="str">
        <f>IF(C566&gt;0,VLOOKUP(C566,Foundation_Calc!$E$2:$G$986,3,1),
IF(J566&gt;0,VLOOKUP(J566,Foundation_Calc!$E$2:$G$986,3,1),""))</f>
        <v/>
      </c>
      <c r="AY566" s="631" t="str">
        <f>IF(L566="","",
IF(AX566="PT",VLOOKUP(L566,Foundation_Calc!$K$4:$R$37,VLOOKUP(AW566,Foundation_Calc!$I$2:$J$8,2,FALSE),0),
IF(AX566="K",VLOOKUP(L566,Foundation_Calc!$K$41:$R$74,VLOOKUP(AW566,Foundation_Calc!$I$2:$J$8,2,FALSE),0),"")))</f>
        <v/>
      </c>
      <c r="AZ566" s="631" t="str">
        <f>IF(K566="","",
IF(AX566="PT",VLOOKUP(K566,Foundation_Calc!$K$4:$R$37,VLOOKUP(AW566,Foundation_Calc!$I$2:$J$8,2,FALSE),0),
IF(AX566="K",VLOOKUP(K566,Foundation_Calc!$K$41:$R$74,VLOOKUP(AW566,Foundation_Calc!$I$2:$J$8,2,FALSE),0),"")))</f>
        <v/>
      </c>
      <c r="BA566" s="632" t="str">
        <f t="shared" si="103"/>
        <v/>
      </c>
      <c r="BB566" s="632" t="str">
        <f t="shared" si="104"/>
        <v/>
      </c>
      <c r="BC566" s="632" t="str">
        <f t="shared" si="105"/>
        <v/>
      </c>
      <c r="BD566" s="633" t="str">
        <f>IF(AND(L566="",H566=""),"",
IF(H566="",Pole_Calc!A594,
IF(H566="MP",Pole_Calc!A595,
IF(H566="AnMP",Pole_Calc!A596,
IF(H566="A",Pole_Calc!A597,
IF(H566="S/A",Pole_Calc!A598,
IF(H566="A/S",Pole_Calc!A599,"Poner a mano")))))))</f>
        <v/>
      </c>
      <c r="BE566" s="448" t="s">
        <v>1726</v>
      </c>
      <c r="BF566" s="634"/>
      <c r="BG566" s="634"/>
      <c r="BH566" s="634"/>
      <c r="BI566" s="634"/>
    </row>
    <row r="567" spans="1:61" ht="16.2" customHeight="1">
      <c r="A567" s="12"/>
      <c r="B567" s="446"/>
      <c r="C567" s="89"/>
      <c r="D567" s="13"/>
      <c r="E567" s="14"/>
      <c r="F567" s="14"/>
      <c r="G567" s="15"/>
      <c r="H567" s="8"/>
      <c r="I567" s="8"/>
      <c r="J567" s="89"/>
      <c r="K567" s="8"/>
      <c r="L567" s="8"/>
      <c r="M567" s="8" t="str">
        <f>IF(L567="","",
IF(AX567="PT",VLOOKUP(L567,Foundation_Calc!$V$4:$X$37,VLOOKUP(AX567,Foundation_Calc!$I$10:$J$13,2,FALSE),0),
IF(AX567="K",VLOOKUP(L567,Foundation_Calc!$V$41:$X$74,VLOOKUP(AX567,Foundation_Calc!$I$10:$J$13,2,FALSE),0),"")))</f>
        <v/>
      </c>
      <c r="N567" s="8"/>
      <c r="O567" s="8"/>
      <c r="P567" s="8"/>
      <c r="Q567" s="14"/>
      <c r="R567" s="15"/>
      <c r="S567" s="15"/>
      <c r="T567" s="14"/>
      <c r="U567" s="14"/>
      <c r="V567" s="14"/>
      <c r="W567" s="18"/>
      <c r="X567" s="18"/>
      <c r="Y567" s="18"/>
      <c r="Z567" s="18"/>
      <c r="AA567" s="18"/>
      <c r="AB567" s="18"/>
      <c r="AC567" s="8" t="str">
        <f t="shared" si="102"/>
        <v/>
      </c>
      <c r="AD567" s="8"/>
      <c r="AE567" s="8"/>
      <c r="AF567" s="14"/>
      <c r="AG567" s="13"/>
      <c r="AH567" s="14"/>
      <c r="AI567" s="14"/>
      <c r="AJ567" s="8"/>
      <c r="AK567" s="8"/>
      <c r="AL567" s="8"/>
      <c r="AM567" s="8"/>
      <c r="AN567" s="631"/>
      <c r="AO567" s="18"/>
      <c r="AP567" s="18"/>
      <c r="AQ567" s="18"/>
      <c r="AR567" s="18"/>
      <c r="AS567" s="18"/>
      <c r="AU567" s="448"/>
      <c r="AV567" s="448"/>
      <c r="AW567" s="8" t="str">
        <f>IF(C567&gt;0,VLOOKUP(C567,Foundation_Calc!$A$2:$C$986,3,1),
IF(J567&gt;0,VLOOKUP(J567,Foundation_Calc!$A$2:$C$986,3,1),""))</f>
        <v/>
      </c>
      <c r="AX567" s="8" t="str">
        <f>IF(C567&gt;0,VLOOKUP(C567,Foundation_Calc!$E$2:$G$986,3,1),
IF(J567&gt;0,VLOOKUP(J567,Foundation_Calc!$E$2:$G$986,3,1),""))</f>
        <v/>
      </c>
      <c r="AY567" s="631" t="str">
        <f>IF(L567="","",
IF(AX567="PT",VLOOKUP(L567,Foundation_Calc!$K$4:$R$37,VLOOKUP(AW567,Foundation_Calc!$I$2:$J$8,2,FALSE),0),
IF(AX567="K",VLOOKUP(L567,Foundation_Calc!$K$41:$R$74,VLOOKUP(AW567,Foundation_Calc!$I$2:$J$8,2,FALSE),0),"")))</f>
        <v/>
      </c>
      <c r="AZ567" s="631" t="str">
        <f>IF(K567="","",
IF(AX567="PT",VLOOKUP(K567,Foundation_Calc!$K$4:$R$37,VLOOKUP(AW567,Foundation_Calc!$I$2:$J$8,2,FALSE),0),
IF(AX567="K",VLOOKUP(K567,Foundation_Calc!$K$41:$R$74,VLOOKUP(AW567,Foundation_Calc!$I$2:$J$8,2,FALSE),0),"")))</f>
        <v/>
      </c>
      <c r="BA567" s="632" t="str">
        <f t="shared" si="103"/>
        <v/>
      </c>
      <c r="BB567" s="632" t="str">
        <f t="shared" si="104"/>
        <v/>
      </c>
      <c r="BC567" s="632" t="str">
        <f t="shared" si="105"/>
        <v/>
      </c>
      <c r="BD567" s="633" t="str">
        <f>IF(AND(L567="",H567=""),"",
IF(H567="",Pole_Calc!A595,
IF(H567="MP",Pole_Calc!A596,
IF(H567="AnMP",Pole_Calc!A597,
IF(H567="A",Pole_Calc!A598,
IF(H567="S/A",Pole_Calc!A599,
IF(H567="A/S",Pole_Calc!A600,"Poner a mano")))))))</f>
        <v/>
      </c>
      <c r="BE567" s="448" t="s">
        <v>1726</v>
      </c>
      <c r="BF567" s="635"/>
      <c r="BG567" s="635"/>
      <c r="BH567" s="634"/>
      <c r="BI567" s="635"/>
    </row>
    <row r="568" spans="1:61" ht="16.2" customHeight="1">
      <c r="A568" s="12"/>
      <c r="B568" s="446"/>
      <c r="C568" s="89"/>
      <c r="D568" s="13"/>
      <c r="E568" s="14"/>
      <c r="F568" s="14"/>
      <c r="G568" s="15"/>
      <c r="H568" s="8"/>
      <c r="I568" s="8"/>
      <c r="J568" s="89"/>
      <c r="K568" s="8"/>
      <c r="L568" s="8"/>
      <c r="M568" s="8" t="str">
        <f>IF(L568="","",
IF(AX568="PT",VLOOKUP(L568,Foundation_Calc!$V$4:$X$37,VLOOKUP(AX568,Foundation_Calc!$I$10:$J$13,2,FALSE),0),
IF(AX568="K",VLOOKUP(L568,Foundation_Calc!$V$41:$X$74,VLOOKUP(AX568,Foundation_Calc!$I$10:$J$13,2,FALSE),0),"")))</f>
        <v/>
      </c>
      <c r="N568" s="8"/>
      <c r="O568" s="8"/>
      <c r="P568" s="8"/>
      <c r="Q568" s="14"/>
      <c r="R568" s="15"/>
      <c r="S568" s="15"/>
      <c r="T568" s="14"/>
      <c r="U568" s="14"/>
      <c r="V568" s="14"/>
      <c r="W568" s="18"/>
      <c r="X568" s="18"/>
      <c r="Y568" s="18"/>
      <c r="Z568" s="18"/>
      <c r="AA568" s="18"/>
      <c r="AB568" s="18"/>
      <c r="AC568" s="8" t="str">
        <f t="shared" si="102"/>
        <v/>
      </c>
      <c r="AD568" s="8"/>
      <c r="AE568" s="8"/>
      <c r="AF568" s="14"/>
      <c r="AG568" s="13"/>
      <c r="AH568" s="14"/>
      <c r="AI568" s="14"/>
      <c r="AJ568" s="8"/>
      <c r="AK568" s="8"/>
      <c r="AL568" s="8"/>
      <c r="AM568" s="8"/>
      <c r="AN568" s="631"/>
      <c r="AO568" s="18"/>
      <c r="AP568" s="18"/>
      <c r="AQ568" s="18"/>
      <c r="AR568" s="18"/>
      <c r="AS568" s="18"/>
      <c r="AU568" s="448"/>
      <c r="AV568" s="448"/>
      <c r="AW568" s="8" t="str">
        <f>IF(C568&gt;0,VLOOKUP(C568,Foundation_Calc!$A$2:$C$986,3,1),
IF(J568&gt;0,VLOOKUP(J568,Foundation_Calc!$A$2:$C$986,3,1),""))</f>
        <v/>
      </c>
      <c r="AX568" s="8" t="str">
        <f>IF(C568&gt;0,VLOOKUP(C568,Foundation_Calc!$E$2:$G$986,3,1),
IF(J568&gt;0,VLOOKUP(J568,Foundation_Calc!$E$2:$G$986,3,1),""))</f>
        <v/>
      </c>
      <c r="AY568" s="631" t="str">
        <f>IF(L568="","",
IF(AX568="PT",VLOOKUP(L568,Foundation_Calc!$K$4:$R$37,VLOOKUP(AW568,Foundation_Calc!$I$2:$J$8,2,FALSE),0),
IF(AX568="K",VLOOKUP(L568,Foundation_Calc!$K$41:$R$74,VLOOKUP(AW568,Foundation_Calc!$I$2:$J$8,2,FALSE),0),"")))</f>
        <v/>
      </c>
      <c r="AZ568" s="631" t="str">
        <f>IF(K568="","",
IF(AX568="PT",VLOOKUP(K568,Foundation_Calc!$K$4:$R$37,VLOOKUP(AW568,Foundation_Calc!$I$2:$J$8,2,FALSE),0),
IF(AX568="K",VLOOKUP(K568,Foundation_Calc!$K$41:$R$74,VLOOKUP(AW568,Foundation_Calc!$I$2:$J$8,2,FALSE),0),"")))</f>
        <v/>
      </c>
      <c r="BA568" s="632" t="str">
        <f t="shared" si="103"/>
        <v/>
      </c>
      <c r="BB568" s="632" t="str">
        <f t="shared" si="104"/>
        <v/>
      </c>
      <c r="BC568" s="632" t="str">
        <f t="shared" si="105"/>
        <v/>
      </c>
      <c r="BD568" s="633" t="str">
        <f>IF(AND(L568="",H568=""),"",
IF(H568="",Pole_Calc!A596,
IF(H568="MP",Pole_Calc!A597,
IF(H568="AnMP",Pole_Calc!A598,
IF(H568="A",Pole_Calc!A599,
IF(H568="S/A",Pole_Calc!A600,
IF(H568="A/S",Pole_Calc!A601,"Poner a mano")))))))</f>
        <v/>
      </c>
      <c r="BE568" s="448" t="s">
        <v>1726</v>
      </c>
      <c r="BF568" s="634"/>
      <c r="BG568" s="634"/>
      <c r="BH568" s="634"/>
      <c r="BI568" s="634"/>
    </row>
    <row r="569" spans="1:61" ht="16.2" customHeight="1">
      <c r="A569" s="12"/>
      <c r="B569" s="446"/>
      <c r="C569" s="89"/>
      <c r="D569" s="13"/>
      <c r="E569" s="14"/>
      <c r="F569" s="14"/>
      <c r="G569" s="15"/>
      <c r="H569" s="8"/>
      <c r="I569" s="8"/>
      <c r="J569" s="89"/>
      <c r="K569" s="8"/>
      <c r="L569" s="8"/>
      <c r="M569" s="8" t="str">
        <f>IF(L569="","",
IF(AX569="PT",VLOOKUP(L569,Foundation_Calc!$V$4:$X$37,VLOOKUP(AX569,Foundation_Calc!$I$10:$J$13,2,FALSE),0),
IF(AX569="K",VLOOKUP(L569,Foundation_Calc!$V$41:$X$74,VLOOKUP(AX569,Foundation_Calc!$I$10:$J$13,2,FALSE),0),"")))</f>
        <v/>
      </c>
      <c r="N569" s="8"/>
      <c r="O569" s="8"/>
      <c r="P569" s="8"/>
      <c r="Q569" s="14"/>
      <c r="R569" s="15"/>
      <c r="S569" s="15"/>
      <c r="T569" s="14"/>
      <c r="U569" s="14"/>
      <c r="V569" s="14"/>
      <c r="W569" s="18"/>
      <c r="X569" s="18"/>
      <c r="Y569" s="18"/>
      <c r="Z569" s="18"/>
      <c r="AA569" s="18"/>
      <c r="AB569" s="18"/>
      <c r="AC569" s="8" t="str">
        <f t="shared" si="102"/>
        <v/>
      </c>
      <c r="AD569" s="8"/>
      <c r="AE569" s="8"/>
      <c r="AF569" s="14"/>
      <c r="AG569" s="13"/>
      <c r="AH569" s="14"/>
      <c r="AI569" s="14"/>
      <c r="AJ569" s="8"/>
      <c r="AK569" s="8"/>
      <c r="AL569" s="8"/>
      <c r="AM569" s="8"/>
      <c r="AN569" s="631"/>
      <c r="AO569" s="18"/>
      <c r="AP569" s="18"/>
      <c r="AQ569" s="18"/>
      <c r="AR569" s="18"/>
      <c r="AS569" s="18"/>
      <c r="AU569" s="448"/>
      <c r="AV569" s="448"/>
      <c r="AW569" s="8" t="str">
        <f>IF(C569&gt;0,VLOOKUP(C569,Foundation_Calc!$A$2:$C$986,3,1),
IF(J569&gt;0,VLOOKUP(J569,Foundation_Calc!$A$2:$C$986,3,1),""))</f>
        <v/>
      </c>
      <c r="AX569" s="8" t="str">
        <f>IF(C569&gt;0,VLOOKUP(C569,Foundation_Calc!$E$2:$G$986,3,1),
IF(J569&gt;0,VLOOKUP(J569,Foundation_Calc!$E$2:$G$986,3,1),""))</f>
        <v/>
      </c>
      <c r="AY569" s="631" t="str">
        <f>IF(L569="","",
IF(AX569="PT",VLOOKUP(L569,Foundation_Calc!$K$4:$R$37,VLOOKUP(AW569,Foundation_Calc!$I$2:$J$8,2,FALSE),0),
IF(AX569="K",VLOOKUP(L569,Foundation_Calc!$K$41:$R$74,VLOOKUP(AW569,Foundation_Calc!$I$2:$J$8,2,FALSE),0),"")))</f>
        <v/>
      </c>
      <c r="AZ569" s="631" t="str">
        <f>IF(K569="","",
IF(AX569="PT",VLOOKUP(K569,Foundation_Calc!$K$4:$R$37,VLOOKUP(AW569,Foundation_Calc!$I$2:$J$8,2,FALSE),0),
IF(AX569="K",VLOOKUP(K569,Foundation_Calc!$K$41:$R$74,VLOOKUP(AW569,Foundation_Calc!$I$2:$J$8,2,FALSE),0),"")))</f>
        <v/>
      </c>
      <c r="BA569" s="632" t="str">
        <f t="shared" si="103"/>
        <v/>
      </c>
      <c r="BB569" s="632" t="str">
        <f t="shared" si="104"/>
        <v/>
      </c>
      <c r="BC569" s="632" t="str">
        <f t="shared" si="105"/>
        <v/>
      </c>
      <c r="BD569" s="633" t="str">
        <f>IF(AND(L569="",H569=""),"",
IF(H569="",Pole_Calc!A597,
IF(H569="MP",Pole_Calc!A598,
IF(H569="AnMP",Pole_Calc!A599,
IF(H569="A",Pole_Calc!A600,
IF(H569="S/A",Pole_Calc!A601,
IF(H569="A/S",Pole_Calc!A602,"Poner a mano")))))))</f>
        <v/>
      </c>
      <c r="BE569" s="448" t="s">
        <v>1726</v>
      </c>
      <c r="BF569" s="635"/>
      <c r="BG569" s="635"/>
      <c r="BH569" s="634"/>
      <c r="BI569" s="635"/>
    </row>
    <row r="570" spans="1:61" ht="16.2" customHeight="1">
      <c r="A570" s="12"/>
      <c r="B570" s="446"/>
      <c r="C570" s="89"/>
      <c r="D570" s="13"/>
      <c r="E570" s="14"/>
      <c r="F570" s="14"/>
      <c r="G570" s="15"/>
      <c r="H570" s="8"/>
      <c r="I570" s="8"/>
      <c r="J570" s="89"/>
      <c r="K570" s="8"/>
      <c r="L570" s="8"/>
      <c r="M570" s="8" t="str">
        <f>IF(L570="","",
IF(AX570="PT",VLOOKUP(L570,Foundation_Calc!$V$4:$X$37,VLOOKUP(AX570,Foundation_Calc!$I$10:$J$13,2,FALSE),0),
IF(AX570="K",VLOOKUP(L570,Foundation_Calc!$V$41:$X$74,VLOOKUP(AX570,Foundation_Calc!$I$10:$J$13,2,FALSE),0),"")))</f>
        <v/>
      </c>
      <c r="N570" s="8"/>
      <c r="O570" s="8"/>
      <c r="P570" s="8"/>
      <c r="Q570" s="14"/>
      <c r="R570" s="15"/>
      <c r="S570" s="15"/>
      <c r="T570" s="14"/>
      <c r="U570" s="14"/>
      <c r="V570" s="14"/>
      <c r="W570" s="18"/>
      <c r="X570" s="18"/>
      <c r="Y570" s="18"/>
      <c r="Z570" s="18"/>
      <c r="AA570" s="18"/>
      <c r="AB570" s="18"/>
      <c r="AC570" s="8" t="str">
        <f t="shared" si="102"/>
        <v/>
      </c>
      <c r="AD570" s="8"/>
      <c r="AE570" s="8"/>
      <c r="AF570" s="14"/>
      <c r="AG570" s="13"/>
      <c r="AH570" s="14"/>
      <c r="AI570" s="14"/>
      <c r="AJ570" s="8"/>
      <c r="AK570" s="8"/>
      <c r="AL570" s="8"/>
      <c r="AM570" s="8"/>
      <c r="AN570" s="631"/>
      <c r="AO570" s="18"/>
      <c r="AP570" s="18"/>
      <c r="AQ570" s="18"/>
      <c r="AR570" s="18"/>
      <c r="AS570" s="18"/>
      <c r="AU570" s="448"/>
      <c r="AV570" s="448"/>
      <c r="AW570" s="8" t="str">
        <f>IF(C570&gt;0,VLOOKUP(C570,Foundation_Calc!$A$2:$C$986,3,1),
IF(J570&gt;0,VLOOKUP(J570,Foundation_Calc!$A$2:$C$986,3,1),""))</f>
        <v/>
      </c>
      <c r="AX570" s="8" t="str">
        <f>IF(C570&gt;0,VLOOKUP(C570,Foundation_Calc!$E$2:$G$986,3,1),
IF(J570&gt;0,VLOOKUP(J570,Foundation_Calc!$E$2:$G$986,3,1),""))</f>
        <v/>
      </c>
      <c r="AY570" s="631" t="str">
        <f>IF(L570="","",
IF(AX570="PT",VLOOKUP(L570,Foundation_Calc!$K$4:$R$37,VLOOKUP(AW570,Foundation_Calc!$I$2:$J$8,2,FALSE),0),
IF(AX570="K",VLOOKUP(L570,Foundation_Calc!$K$41:$R$74,VLOOKUP(AW570,Foundation_Calc!$I$2:$J$8,2,FALSE),0),"")))</f>
        <v/>
      </c>
      <c r="AZ570" s="631" t="str">
        <f>IF(K570="","",
IF(AX570="PT",VLOOKUP(K570,Foundation_Calc!$K$4:$R$37,VLOOKUP(AW570,Foundation_Calc!$I$2:$J$8,2,FALSE),0),
IF(AX570="K",VLOOKUP(K570,Foundation_Calc!$K$41:$R$74,VLOOKUP(AW570,Foundation_Calc!$I$2:$J$8,2,FALSE),0),"")))</f>
        <v/>
      </c>
      <c r="BA570" s="632" t="str">
        <f t="shared" si="103"/>
        <v/>
      </c>
      <c r="BB570" s="632" t="str">
        <f t="shared" si="104"/>
        <v/>
      </c>
      <c r="BC570" s="632" t="str">
        <f t="shared" si="105"/>
        <v/>
      </c>
      <c r="BD570" s="633" t="str">
        <f>IF(AND(L570="",H570=""),"",
IF(H570="",Pole_Calc!A598,
IF(H570="MP",Pole_Calc!A599,
IF(H570="AnMP",Pole_Calc!A600,
IF(H570="A",Pole_Calc!A601,
IF(H570="S/A",Pole_Calc!A602,
IF(H570="A/S",Pole_Calc!A603,"Poner a mano")))))))</f>
        <v/>
      </c>
      <c r="BE570" s="448" t="s">
        <v>1726</v>
      </c>
      <c r="BF570" s="634"/>
      <c r="BG570" s="634"/>
      <c r="BH570" s="634"/>
      <c r="BI570" s="634"/>
    </row>
    <row r="571" spans="1:61" ht="16.2" customHeight="1">
      <c r="A571" s="12"/>
      <c r="B571" s="446"/>
      <c r="C571" s="89"/>
      <c r="D571" s="13"/>
      <c r="E571" s="14"/>
      <c r="F571" s="14"/>
      <c r="G571" s="15"/>
      <c r="H571" s="8"/>
      <c r="I571" s="8"/>
      <c r="J571" s="89"/>
      <c r="K571" s="8"/>
      <c r="L571" s="8"/>
      <c r="M571" s="8" t="str">
        <f>IF(L571="","",
IF(AX571="PT",VLOOKUP(L571,Foundation_Calc!$V$4:$X$37,VLOOKUP(AX571,Foundation_Calc!$I$10:$J$13,2,FALSE),0),
IF(AX571="K",VLOOKUP(L571,Foundation_Calc!$V$41:$X$74,VLOOKUP(AX571,Foundation_Calc!$I$10:$J$13,2,FALSE),0),"")))</f>
        <v/>
      </c>
      <c r="N571" s="8"/>
      <c r="O571" s="8"/>
      <c r="P571" s="8"/>
      <c r="Q571" s="14"/>
      <c r="R571" s="15"/>
      <c r="S571" s="15"/>
      <c r="T571" s="14"/>
      <c r="U571" s="14"/>
      <c r="V571" s="14"/>
      <c r="W571" s="18"/>
      <c r="X571" s="18"/>
      <c r="Y571" s="18"/>
      <c r="Z571" s="18"/>
      <c r="AA571" s="18"/>
      <c r="AB571" s="18"/>
      <c r="AC571" s="8" t="str">
        <f t="shared" si="102"/>
        <v/>
      </c>
      <c r="AD571" s="8"/>
      <c r="AE571" s="8"/>
      <c r="AF571" s="14"/>
      <c r="AG571" s="13"/>
      <c r="AH571" s="14"/>
      <c r="AI571" s="14"/>
      <c r="AJ571" s="8"/>
      <c r="AK571" s="8"/>
      <c r="AL571" s="8"/>
      <c r="AM571" s="8"/>
      <c r="AN571" s="631"/>
      <c r="AO571" s="18"/>
      <c r="AP571" s="18"/>
      <c r="AQ571" s="18"/>
      <c r="AR571" s="18"/>
      <c r="AS571" s="18"/>
      <c r="AU571" s="448"/>
      <c r="AV571" s="448"/>
      <c r="AW571" s="8" t="str">
        <f>IF(C571&gt;0,VLOOKUP(C571,Foundation_Calc!$A$2:$C$986,3,1),
IF(J571&gt;0,VLOOKUP(J571,Foundation_Calc!$A$2:$C$986,3,1),""))</f>
        <v/>
      </c>
      <c r="AX571" s="8" t="str">
        <f>IF(C571&gt;0,VLOOKUP(C571,Foundation_Calc!$E$2:$G$986,3,1),
IF(J571&gt;0,VLOOKUP(J571,Foundation_Calc!$E$2:$G$986,3,1),""))</f>
        <v/>
      </c>
      <c r="AY571" s="631" t="str">
        <f>IF(L571="","",
IF(AX571="PT",VLOOKUP(L571,Foundation_Calc!$K$4:$R$37,VLOOKUP(AW571,Foundation_Calc!$I$2:$J$8,2,FALSE),0),
IF(AX571="K",VLOOKUP(L571,Foundation_Calc!$K$41:$R$74,VLOOKUP(AW571,Foundation_Calc!$I$2:$J$8,2,FALSE),0),"")))</f>
        <v/>
      </c>
      <c r="AZ571" s="631" t="str">
        <f>IF(K571="","",
IF(AX571="PT",VLOOKUP(K571,Foundation_Calc!$K$4:$R$37,VLOOKUP(AW571,Foundation_Calc!$I$2:$J$8,2,FALSE),0),
IF(AX571="K",VLOOKUP(K571,Foundation_Calc!$K$41:$R$74,VLOOKUP(AW571,Foundation_Calc!$I$2:$J$8,2,FALSE),0),"")))</f>
        <v/>
      </c>
      <c r="BA571" s="632" t="str">
        <f t="shared" si="103"/>
        <v/>
      </c>
      <c r="BB571" s="632" t="str">
        <f t="shared" si="104"/>
        <v/>
      </c>
      <c r="BC571" s="632" t="str">
        <f t="shared" si="105"/>
        <v/>
      </c>
      <c r="BD571" s="633" t="str">
        <f>IF(AND(L571="",H571=""),"",
IF(H571="",Pole_Calc!A599,
IF(H571="MP",Pole_Calc!A600,
IF(H571="AnMP",Pole_Calc!A601,
IF(H571="A",Pole_Calc!A602,
IF(H571="S/A",Pole_Calc!A603,
IF(H571="A/S",Pole_Calc!A604,"Poner a mano")))))))</f>
        <v/>
      </c>
      <c r="BE571" s="448" t="s">
        <v>1726</v>
      </c>
      <c r="BF571" s="635"/>
      <c r="BG571" s="635"/>
      <c r="BH571" s="634"/>
      <c r="BI571" s="635"/>
    </row>
    <row r="572" spans="1:61" ht="16.2" customHeight="1">
      <c r="A572" s="12"/>
      <c r="B572" s="446"/>
      <c r="C572" s="89"/>
      <c r="D572" s="13"/>
      <c r="E572" s="14"/>
      <c r="F572" s="14"/>
      <c r="G572" s="15"/>
      <c r="H572" s="8"/>
      <c r="I572" s="8"/>
      <c r="J572" s="89"/>
      <c r="K572" s="8"/>
      <c r="L572" s="8"/>
      <c r="M572" s="8" t="str">
        <f>IF(L572="","",
IF(AX572="PT",VLOOKUP(L572,Foundation_Calc!$V$4:$X$37,VLOOKUP(AX572,Foundation_Calc!$I$10:$J$13,2,FALSE),0),
IF(AX572="K",VLOOKUP(L572,Foundation_Calc!$V$41:$X$74,VLOOKUP(AX572,Foundation_Calc!$I$10:$J$13,2,FALSE),0),"")))</f>
        <v/>
      </c>
      <c r="N572" s="8"/>
      <c r="O572" s="8"/>
      <c r="P572" s="8"/>
      <c r="Q572" s="14"/>
      <c r="R572" s="15"/>
      <c r="S572" s="15"/>
      <c r="T572" s="14"/>
      <c r="U572" s="14"/>
      <c r="V572" s="14"/>
      <c r="W572" s="18"/>
      <c r="X572" s="18"/>
      <c r="Y572" s="18"/>
      <c r="Z572" s="18"/>
      <c r="AA572" s="18"/>
      <c r="AB572" s="18"/>
      <c r="AC572" s="8" t="str">
        <f t="shared" si="102"/>
        <v/>
      </c>
      <c r="AD572" s="8"/>
      <c r="AE572" s="8"/>
      <c r="AF572" s="14"/>
      <c r="AG572" s="13"/>
      <c r="AH572" s="14"/>
      <c r="AI572" s="14"/>
      <c r="AJ572" s="8"/>
      <c r="AK572" s="8"/>
      <c r="AL572" s="8"/>
      <c r="AM572" s="8"/>
      <c r="AN572" s="631"/>
      <c r="AO572" s="18"/>
      <c r="AP572" s="18"/>
      <c r="AQ572" s="18"/>
      <c r="AR572" s="18"/>
      <c r="AS572" s="18"/>
      <c r="AU572" s="448"/>
      <c r="AV572" s="448"/>
      <c r="AW572" s="8" t="str">
        <f>IF(C572&gt;0,VLOOKUP(C572,Foundation_Calc!$A$2:$C$986,3,1),
IF(J572&gt;0,VLOOKUP(J572,Foundation_Calc!$A$2:$C$986,3,1),""))</f>
        <v/>
      </c>
      <c r="AX572" s="8" t="str">
        <f>IF(C572&gt;0,VLOOKUP(C572,Foundation_Calc!$E$2:$G$986,3,1),
IF(J572&gt;0,VLOOKUP(J572,Foundation_Calc!$E$2:$G$986,3,1),""))</f>
        <v/>
      </c>
      <c r="AY572" s="631" t="str">
        <f>IF(L572="","",
IF(AX572="PT",VLOOKUP(L572,Foundation_Calc!$K$4:$R$37,VLOOKUP(AW572,Foundation_Calc!$I$2:$J$8,2,FALSE),0),
IF(AX572="K",VLOOKUP(L572,Foundation_Calc!$K$41:$R$74,VLOOKUP(AW572,Foundation_Calc!$I$2:$J$8,2,FALSE),0),"")))</f>
        <v/>
      </c>
      <c r="AZ572" s="631" t="str">
        <f>IF(K572="","",
IF(AX572="PT",VLOOKUP(K572,Foundation_Calc!$K$4:$R$37,VLOOKUP(AW572,Foundation_Calc!$I$2:$J$8,2,FALSE),0),
IF(AX572="K",VLOOKUP(K572,Foundation_Calc!$K$41:$R$74,VLOOKUP(AW572,Foundation_Calc!$I$2:$J$8,2,FALSE),0),"")))</f>
        <v/>
      </c>
      <c r="BA572" s="632" t="str">
        <f t="shared" si="103"/>
        <v/>
      </c>
      <c r="BB572" s="632" t="str">
        <f t="shared" si="104"/>
        <v/>
      </c>
      <c r="BC572" s="632" t="str">
        <f t="shared" si="105"/>
        <v/>
      </c>
      <c r="BD572" s="633" t="str">
        <f>IF(AND(L572="",H572=""),"",
IF(H572="",Pole_Calc!A600,
IF(H572="MP",Pole_Calc!A601,
IF(H572="AnMP",Pole_Calc!A602,
IF(H572="A",Pole_Calc!A603,
IF(H572="S/A",Pole_Calc!A604,
IF(H572="A/S",Pole_Calc!A605,"Poner a mano")))))))</f>
        <v/>
      </c>
      <c r="BE572" s="448" t="s">
        <v>1726</v>
      </c>
      <c r="BF572" s="634"/>
      <c r="BG572" s="634"/>
      <c r="BH572" s="634"/>
      <c r="BI572" s="634"/>
    </row>
    <row r="573" spans="1:61" ht="16.2" customHeight="1">
      <c r="A573" s="12"/>
      <c r="B573" s="446"/>
      <c r="C573" s="89"/>
      <c r="D573" s="13"/>
      <c r="E573" s="14"/>
      <c r="F573" s="14"/>
      <c r="G573" s="15"/>
      <c r="H573" s="8"/>
      <c r="I573" s="8"/>
      <c r="J573" s="89"/>
      <c r="K573" s="8"/>
      <c r="L573" s="8"/>
      <c r="M573" s="8" t="str">
        <f>IF(L573="","",
IF(AX573="PT",VLOOKUP(L573,Foundation_Calc!$V$4:$X$37,VLOOKUP(AX573,Foundation_Calc!$I$10:$J$13,2,FALSE),0),
IF(AX573="K",VLOOKUP(L573,Foundation_Calc!$V$41:$X$74,VLOOKUP(AX573,Foundation_Calc!$I$10:$J$13,2,FALSE),0),"")))</f>
        <v/>
      </c>
      <c r="N573" s="8"/>
      <c r="O573" s="8"/>
      <c r="P573" s="8"/>
      <c r="Q573" s="14"/>
      <c r="R573" s="15"/>
      <c r="S573" s="15"/>
      <c r="T573" s="14"/>
      <c r="U573" s="14"/>
      <c r="V573" s="14"/>
      <c r="W573" s="18"/>
      <c r="X573" s="18"/>
      <c r="Y573" s="18"/>
      <c r="Z573" s="18"/>
      <c r="AA573" s="18"/>
      <c r="AB573" s="18"/>
      <c r="AC573" s="8" t="str">
        <f t="shared" si="102"/>
        <v/>
      </c>
      <c r="AD573" s="8"/>
      <c r="AE573" s="8"/>
      <c r="AF573" s="14"/>
      <c r="AG573" s="13"/>
      <c r="AH573" s="14"/>
      <c r="AI573" s="14"/>
      <c r="AJ573" s="8"/>
      <c r="AK573" s="8"/>
      <c r="AL573" s="8"/>
      <c r="AM573" s="8"/>
      <c r="AN573" s="631"/>
      <c r="AO573" s="18"/>
      <c r="AP573" s="18"/>
      <c r="AQ573" s="18"/>
      <c r="AR573" s="18"/>
      <c r="AS573" s="18"/>
      <c r="AU573" s="448"/>
      <c r="AV573" s="448"/>
      <c r="AW573" s="8" t="str">
        <f>IF(C573&gt;0,VLOOKUP(C573,Foundation_Calc!$A$2:$C$986,3,1),
IF(J573&gt;0,VLOOKUP(J573,Foundation_Calc!$A$2:$C$986,3,1),""))</f>
        <v/>
      </c>
      <c r="AX573" s="8" t="str">
        <f>IF(C573&gt;0,VLOOKUP(C573,Foundation_Calc!$E$2:$G$986,3,1),
IF(J573&gt;0,VLOOKUP(J573,Foundation_Calc!$E$2:$G$986,3,1),""))</f>
        <v/>
      </c>
      <c r="AY573" s="631" t="str">
        <f>IF(L573="","",
IF(AX573="PT",VLOOKUP(L573,Foundation_Calc!$K$4:$R$37,VLOOKUP(AW573,Foundation_Calc!$I$2:$J$8,2,FALSE),0),
IF(AX573="K",VLOOKUP(L573,Foundation_Calc!$K$41:$R$74,VLOOKUP(AW573,Foundation_Calc!$I$2:$J$8,2,FALSE),0),"")))</f>
        <v/>
      </c>
      <c r="AZ573" s="631" t="str">
        <f>IF(K573="","",
IF(AX573="PT",VLOOKUP(K573,Foundation_Calc!$K$4:$R$37,VLOOKUP(AW573,Foundation_Calc!$I$2:$J$8,2,FALSE),0),
IF(AX573="K",VLOOKUP(K573,Foundation_Calc!$K$41:$R$74,VLOOKUP(AW573,Foundation_Calc!$I$2:$J$8,2,FALSE),0),"")))</f>
        <v/>
      </c>
      <c r="BA573" s="632" t="str">
        <f t="shared" si="103"/>
        <v/>
      </c>
      <c r="BB573" s="632" t="str">
        <f t="shared" si="104"/>
        <v/>
      </c>
      <c r="BC573" s="632" t="str">
        <f t="shared" si="105"/>
        <v/>
      </c>
      <c r="BD573" s="633" t="str">
        <f>IF(AND(L573="",H573=""),"",
IF(H573="",Pole_Calc!A601,
IF(H573="MP",Pole_Calc!A602,
IF(H573="AnMP",Pole_Calc!A603,
IF(H573="A",Pole_Calc!A604,
IF(H573="S/A",Pole_Calc!A605,
IF(H573="A/S",Pole_Calc!A606,"Poner a mano")))))))</f>
        <v/>
      </c>
      <c r="BE573" s="448" t="s">
        <v>1726</v>
      </c>
      <c r="BF573" s="635"/>
      <c r="BG573" s="635"/>
      <c r="BH573" s="634"/>
      <c r="BI573" s="635"/>
    </row>
    <row r="574" spans="1:61" ht="16.2" customHeight="1">
      <c r="A574" s="12"/>
      <c r="B574" s="446"/>
      <c r="C574" s="89"/>
      <c r="D574" s="13"/>
      <c r="E574" s="14"/>
      <c r="F574" s="14"/>
      <c r="G574" s="15"/>
      <c r="H574" s="8"/>
      <c r="I574" s="8"/>
      <c r="J574" s="89"/>
      <c r="K574" s="8"/>
      <c r="L574" s="8"/>
      <c r="M574" s="8" t="str">
        <f>IF(L574="","",
IF(AX574="PT",VLOOKUP(L574,Foundation_Calc!$V$4:$X$37,VLOOKUP(AX574,Foundation_Calc!$I$10:$J$13,2,FALSE),0),
IF(AX574="K",VLOOKUP(L574,Foundation_Calc!$V$41:$X$74,VLOOKUP(AX574,Foundation_Calc!$I$10:$J$13,2,FALSE),0),"")))</f>
        <v/>
      </c>
      <c r="N574" s="8"/>
      <c r="O574" s="8"/>
      <c r="P574" s="8"/>
      <c r="Q574" s="14"/>
      <c r="R574" s="15"/>
      <c r="S574" s="15"/>
      <c r="T574" s="14"/>
      <c r="U574" s="14"/>
      <c r="V574" s="14"/>
      <c r="W574" s="18"/>
      <c r="X574" s="18"/>
      <c r="Y574" s="18"/>
      <c r="Z574" s="18"/>
      <c r="AA574" s="18"/>
      <c r="AB574" s="18"/>
      <c r="AC574" s="8" t="str">
        <f t="shared" si="102"/>
        <v/>
      </c>
      <c r="AD574" s="8"/>
      <c r="AE574" s="8"/>
      <c r="AF574" s="14"/>
      <c r="AG574" s="13"/>
      <c r="AH574" s="14"/>
      <c r="AI574" s="14"/>
      <c r="AJ574" s="8"/>
      <c r="AK574" s="8"/>
      <c r="AL574" s="8"/>
      <c r="AM574" s="8"/>
      <c r="AN574" s="631"/>
      <c r="AO574" s="18"/>
      <c r="AP574" s="18"/>
      <c r="AQ574" s="18"/>
      <c r="AR574" s="18"/>
      <c r="AS574" s="18"/>
      <c r="AU574" s="448"/>
      <c r="AV574" s="448"/>
      <c r="AW574" s="8" t="str">
        <f>IF(C574&gt;0,VLOOKUP(C574,Foundation_Calc!$A$2:$C$986,3,1),
IF(J574&gt;0,VLOOKUP(J574,Foundation_Calc!$A$2:$C$986,3,1),""))</f>
        <v/>
      </c>
      <c r="AX574" s="8" t="str">
        <f>IF(C574&gt;0,VLOOKUP(C574,Foundation_Calc!$E$2:$G$986,3,1),
IF(J574&gt;0,VLOOKUP(J574,Foundation_Calc!$E$2:$G$986,3,1),""))</f>
        <v/>
      </c>
      <c r="AY574" s="631" t="str">
        <f>IF(L574="","",
IF(AX574="PT",VLOOKUP(L574,Foundation_Calc!$K$4:$R$37,VLOOKUP(AW574,Foundation_Calc!$I$2:$J$8,2,FALSE),0),
IF(AX574="K",VLOOKUP(L574,Foundation_Calc!$K$41:$R$74,VLOOKUP(AW574,Foundation_Calc!$I$2:$J$8,2,FALSE),0),"")))</f>
        <v/>
      </c>
      <c r="AZ574" s="631" t="str">
        <f>IF(K574="","",
IF(AX574="PT",VLOOKUP(K574,Foundation_Calc!$K$4:$R$37,VLOOKUP(AW574,Foundation_Calc!$I$2:$J$8,2,FALSE),0),
IF(AX574="K",VLOOKUP(K574,Foundation_Calc!$K$41:$R$74,VLOOKUP(AW574,Foundation_Calc!$I$2:$J$8,2,FALSE),0),"")))</f>
        <v/>
      </c>
      <c r="BA574" s="632" t="str">
        <f t="shared" si="103"/>
        <v/>
      </c>
      <c r="BB574" s="632" t="str">
        <f t="shared" si="104"/>
        <v/>
      </c>
      <c r="BC574" s="632" t="str">
        <f t="shared" si="105"/>
        <v/>
      </c>
      <c r="BD574" s="633" t="str">
        <f>IF(AND(L574="",H574=""),"",
IF(H574="",Pole_Calc!A602,
IF(H574="MP",Pole_Calc!A603,
IF(H574="AnMP",Pole_Calc!A604,
IF(H574="A",Pole_Calc!A605,
IF(H574="S/A",Pole_Calc!A606,
IF(H574="A/S",Pole_Calc!A607,"Poner a mano")))))))</f>
        <v/>
      </c>
      <c r="BE574" s="448" t="s">
        <v>1726</v>
      </c>
      <c r="BF574" s="634"/>
      <c r="BG574" s="634"/>
      <c r="BH574" s="634"/>
      <c r="BI574" s="634"/>
    </row>
    <row r="575" spans="1:61" ht="16.2" customHeight="1">
      <c r="A575" s="12"/>
      <c r="B575" s="446"/>
      <c r="C575" s="89"/>
      <c r="D575" s="13"/>
      <c r="E575" s="14"/>
      <c r="F575" s="14"/>
      <c r="G575" s="15"/>
      <c r="H575" s="8"/>
      <c r="I575" s="8"/>
      <c r="J575" s="89"/>
      <c r="K575" s="8"/>
      <c r="L575" s="8"/>
      <c r="M575" s="8" t="str">
        <f>IF(L575="","",
IF(AX575="PT",VLOOKUP(L575,Foundation_Calc!$V$4:$X$37,VLOOKUP(AX575,Foundation_Calc!$I$10:$J$13,2,FALSE),0),
IF(AX575="K",VLOOKUP(L575,Foundation_Calc!$V$41:$X$74,VLOOKUP(AX575,Foundation_Calc!$I$10:$J$13,2,FALSE),0),"")))</f>
        <v/>
      </c>
      <c r="N575" s="8"/>
      <c r="O575" s="8"/>
      <c r="P575" s="8"/>
      <c r="Q575" s="14"/>
      <c r="R575" s="15"/>
      <c r="S575" s="15"/>
      <c r="T575" s="14"/>
      <c r="U575" s="14"/>
      <c r="V575" s="14"/>
      <c r="W575" s="18"/>
      <c r="X575" s="18"/>
      <c r="Y575" s="18"/>
      <c r="Z575" s="18"/>
      <c r="AA575" s="18"/>
      <c r="AB575" s="18"/>
      <c r="AC575" s="8" t="str">
        <f t="shared" si="102"/>
        <v/>
      </c>
      <c r="AD575" s="8"/>
      <c r="AE575" s="8"/>
      <c r="AF575" s="14"/>
      <c r="AG575" s="13"/>
      <c r="AH575" s="14"/>
      <c r="AI575" s="14"/>
      <c r="AJ575" s="8"/>
      <c r="AK575" s="8"/>
      <c r="AL575" s="8"/>
      <c r="AM575" s="8"/>
      <c r="AN575" s="631"/>
      <c r="AO575" s="18"/>
      <c r="AP575" s="18"/>
      <c r="AQ575" s="18"/>
      <c r="AR575" s="18"/>
      <c r="AS575" s="18"/>
      <c r="AU575" s="448"/>
      <c r="AV575" s="448"/>
      <c r="AW575" s="8" t="str">
        <f>IF(C575&gt;0,VLOOKUP(C575,Foundation_Calc!$A$2:$C$986,3,1),
IF(J575&gt;0,VLOOKUP(J575,Foundation_Calc!$A$2:$C$986,3,1),""))</f>
        <v/>
      </c>
      <c r="AX575" s="8" t="str">
        <f>IF(C575&gt;0,VLOOKUP(C575,Foundation_Calc!$E$2:$G$986,3,1),
IF(J575&gt;0,VLOOKUP(J575,Foundation_Calc!$E$2:$G$986,3,1),""))</f>
        <v/>
      </c>
      <c r="AY575" s="631" t="str">
        <f>IF(L575="","",
IF(AX575="PT",VLOOKUP(L575,Foundation_Calc!$K$4:$R$37,VLOOKUP(AW575,Foundation_Calc!$I$2:$J$8,2,FALSE),0),
IF(AX575="K",VLOOKUP(L575,Foundation_Calc!$K$41:$R$74,VLOOKUP(AW575,Foundation_Calc!$I$2:$J$8,2,FALSE),0),"")))</f>
        <v/>
      </c>
      <c r="AZ575" s="631" t="str">
        <f>IF(K575="","",
IF(AX575="PT",VLOOKUP(K575,Foundation_Calc!$K$4:$R$37,VLOOKUP(AW575,Foundation_Calc!$I$2:$J$8,2,FALSE),0),
IF(AX575="K",VLOOKUP(K575,Foundation_Calc!$K$41:$R$74,VLOOKUP(AW575,Foundation_Calc!$I$2:$J$8,2,FALSE),0),"")))</f>
        <v/>
      </c>
      <c r="BA575" s="632" t="str">
        <f t="shared" si="103"/>
        <v/>
      </c>
      <c r="BB575" s="632" t="str">
        <f t="shared" si="104"/>
        <v/>
      </c>
      <c r="BC575" s="632" t="str">
        <f t="shared" si="105"/>
        <v/>
      </c>
      <c r="BD575" s="633" t="str">
        <f>IF(AND(L575="",H575=""),"",
IF(H575="",Pole_Calc!A603,
IF(H575="MP",Pole_Calc!A604,
IF(H575="AnMP",Pole_Calc!A605,
IF(H575="A",Pole_Calc!A606,
IF(H575="S/A",Pole_Calc!A607,
IF(H575="A/S",Pole_Calc!A608,"Poner a mano")))))))</f>
        <v/>
      </c>
      <c r="BE575" s="448" t="s">
        <v>1726</v>
      </c>
      <c r="BF575" s="635"/>
      <c r="BG575" s="635"/>
      <c r="BH575" s="634"/>
      <c r="BI575" s="635"/>
    </row>
    <row r="576" spans="1:61" ht="16.2" customHeight="1">
      <c r="A576" s="12"/>
      <c r="B576" s="446"/>
      <c r="C576" s="89"/>
      <c r="D576" s="13"/>
      <c r="E576" s="14"/>
      <c r="F576" s="14"/>
      <c r="G576" s="15"/>
      <c r="H576" s="8"/>
      <c r="I576" s="8"/>
      <c r="J576" s="89"/>
      <c r="K576" s="8"/>
      <c r="L576" s="8"/>
      <c r="M576" s="8" t="str">
        <f>IF(L576="","",
IF(AX576="PT",VLOOKUP(L576,Foundation_Calc!$V$4:$X$37,VLOOKUP(AX576,Foundation_Calc!$I$10:$J$13,2,FALSE),0),
IF(AX576="K",VLOOKUP(L576,Foundation_Calc!$V$41:$X$74,VLOOKUP(AX576,Foundation_Calc!$I$10:$J$13,2,FALSE),0),"")))</f>
        <v/>
      </c>
      <c r="N576" s="8"/>
      <c r="O576" s="8"/>
      <c r="P576" s="8"/>
      <c r="Q576" s="14"/>
      <c r="R576" s="15"/>
      <c r="S576" s="15"/>
      <c r="T576" s="14"/>
      <c r="U576" s="14"/>
      <c r="V576" s="14"/>
      <c r="W576" s="18"/>
      <c r="X576" s="18"/>
      <c r="Y576" s="18"/>
      <c r="Z576" s="18"/>
      <c r="AA576" s="18"/>
      <c r="AB576" s="18"/>
      <c r="AC576" s="8" t="str">
        <f t="shared" si="102"/>
        <v/>
      </c>
      <c r="AD576" s="8"/>
      <c r="AE576" s="8"/>
      <c r="AF576" s="14"/>
      <c r="AG576" s="13"/>
      <c r="AH576" s="14"/>
      <c r="AI576" s="14"/>
      <c r="AJ576" s="8"/>
      <c r="AK576" s="8"/>
      <c r="AL576" s="8"/>
      <c r="AM576" s="8"/>
      <c r="AN576" s="631"/>
      <c r="AO576" s="18"/>
      <c r="AP576" s="18"/>
      <c r="AQ576" s="18"/>
      <c r="AR576" s="18"/>
      <c r="AS576" s="18"/>
      <c r="AU576" s="448"/>
      <c r="AV576" s="448"/>
      <c r="AW576" s="8" t="str">
        <f>IF(C576&gt;0,VLOOKUP(C576,Foundation_Calc!$A$2:$C$986,3,1),
IF(J576&gt;0,VLOOKUP(J576,Foundation_Calc!$A$2:$C$986,3,1),""))</f>
        <v/>
      </c>
      <c r="AX576" s="8" t="str">
        <f>IF(C576&gt;0,VLOOKUP(C576,Foundation_Calc!$E$2:$G$986,3,1),
IF(J576&gt;0,VLOOKUP(J576,Foundation_Calc!$E$2:$G$986,3,1),""))</f>
        <v/>
      </c>
      <c r="AY576" s="631" t="str">
        <f>IF(L576="","",
IF(AX576="PT",VLOOKUP(L576,Foundation_Calc!$K$4:$R$37,VLOOKUP(AW576,Foundation_Calc!$I$2:$J$8,2,FALSE),0),
IF(AX576="K",VLOOKUP(L576,Foundation_Calc!$K$41:$R$74,VLOOKUP(AW576,Foundation_Calc!$I$2:$J$8,2,FALSE),0),"")))</f>
        <v/>
      </c>
      <c r="AZ576" s="631" t="str">
        <f>IF(K576="","",
IF(AX576="PT",VLOOKUP(K576,Foundation_Calc!$K$4:$R$37,VLOOKUP(AW576,Foundation_Calc!$I$2:$J$8,2,FALSE),0),
IF(AX576="K",VLOOKUP(K576,Foundation_Calc!$K$41:$R$74,VLOOKUP(AW576,Foundation_Calc!$I$2:$J$8,2,FALSE),0),"")))</f>
        <v/>
      </c>
      <c r="BA576" s="632" t="str">
        <f t="shared" si="103"/>
        <v/>
      </c>
      <c r="BB576" s="632" t="str">
        <f t="shared" si="104"/>
        <v/>
      </c>
      <c r="BC576" s="632" t="str">
        <f t="shared" si="105"/>
        <v/>
      </c>
      <c r="BD576" s="633" t="str">
        <f>IF(AND(L576="",H576=""),"",
IF(H576="",Pole_Calc!A604,
IF(H576="MP",Pole_Calc!A605,
IF(H576="AnMP",Pole_Calc!A606,
IF(H576="A",Pole_Calc!A607,
IF(H576="S/A",Pole_Calc!A608,
IF(H576="A/S",Pole_Calc!A609,"Poner a mano")))))))</f>
        <v/>
      </c>
      <c r="BE576" s="448" t="s">
        <v>1726</v>
      </c>
      <c r="BF576" s="634"/>
      <c r="BG576" s="634"/>
      <c r="BH576" s="634"/>
      <c r="BI576" s="634"/>
    </row>
    <row r="577" spans="1:61" ht="16.2" customHeight="1">
      <c r="A577" s="12"/>
      <c r="B577" s="446"/>
      <c r="C577" s="89"/>
      <c r="D577" s="13"/>
      <c r="E577" s="14"/>
      <c r="F577" s="14"/>
      <c r="G577" s="15"/>
      <c r="H577" s="8"/>
      <c r="I577" s="8"/>
      <c r="J577" s="89"/>
      <c r="K577" s="8"/>
      <c r="L577" s="8"/>
      <c r="M577" s="8" t="str">
        <f>IF(L577="","",
IF(AX577="PT",VLOOKUP(L577,Foundation_Calc!$V$4:$X$37,VLOOKUP(AX577,Foundation_Calc!$I$10:$J$13,2,FALSE),0),
IF(AX577="K",VLOOKUP(L577,Foundation_Calc!$V$41:$X$74,VLOOKUP(AX577,Foundation_Calc!$I$10:$J$13,2,FALSE),0),"")))</f>
        <v/>
      </c>
      <c r="N577" s="8"/>
      <c r="O577" s="8"/>
      <c r="P577" s="8"/>
      <c r="Q577" s="14"/>
      <c r="R577" s="15"/>
      <c r="S577" s="15"/>
      <c r="T577" s="14"/>
      <c r="U577" s="14"/>
      <c r="V577" s="14"/>
      <c r="W577" s="18"/>
      <c r="X577" s="18"/>
      <c r="Y577" s="18"/>
      <c r="Z577" s="18"/>
      <c r="AA577" s="18"/>
      <c r="AB577" s="18"/>
      <c r="AC577" s="8" t="str">
        <f t="shared" si="102"/>
        <v/>
      </c>
      <c r="AD577" s="8"/>
      <c r="AE577" s="8"/>
      <c r="AF577" s="14"/>
      <c r="AG577" s="13"/>
      <c r="AH577" s="14"/>
      <c r="AI577" s="14"/>
      <c r="AJ577" s="8"/>
      <c r="AK577" s="8"/>
      <c r="AL577" s="8"/>
      <c r="AM577" s="8"/>
      <c r="AN577" s="631"/>
      <c r="AO577" s="18"/>
      <c r="AP577" s="18"/>
      <c r="AQ577" s="18"/>
      <c r="AR577" s="18"/>
      <c r="AS577" s="18"/>
      <c r="AU577" s="448"/>
      <c r="AV577" s="448"/>
      <c r="AW577" s="8" t="str">
        <f>IF(C577&gt;0,VLOOKUP(C577,Foundation_Calc!$A$2:$C$986,3,1),
IF(J577&gt;0,VLOOKUP(J577,Foundation_Calc!$A$2:$C$986,3,1),""))</f>
        <v/>
      </c>
      <c r="AX577" s="8" t="str">
        <f>IF(C577&gt;0,VLOOKUP(C577,Foundation_Calc!$E$2:$G$986,3,1),
IF(J577&gt;0,VLOOKUP(J577,Foundation_Calc!$E$2:$G$986,3,1),""))</f>
        <v/>
      </c>
      <c r="AY577" s="631" t="str">
        <f>IF(L577="","",
IF(AX577="PT",VLOOKUP(L577,Foundation_Calc!$K$4:$R$37,VLOOKUP(AW577,Foundation_Calc!$I$2:$J$8,2,FALSE),0),
IF(AX577="K",VLOOKUP(L577,Foundation_Calc!$K$41:$R$74,VLOOKUP(AW577,Foundation_Calc!$I$2:$J$8,2,FALSE),0),"")))</f>
        <v/>
      </c>
      <c r="AZ577" s="631" t="str">
        <f>IF(K577="","",
IF(AX577="PT",VLOOKUP(K577,Foundation_Calc!$K$4:$R$37,VLOOKUP(AW577,Foundation_Calc!$I$2:$J$8,2,FALSE),0),
IF(AX577="K",VLOOKUP(K577,Foundation_Calc!$K$41:$R$74,VLOOKUP(AW577,Foundation_Calc!$I$2:$J$8,2,FALSE),0),"")))</f>
        <v/>
      </c>
      <c r="BA577" s="632" t="str">
        <f t="shared" si="103"/>
        <v/>
      </c>
      <c r="BB577" s="632" t="str">
        <f t="shared" si="104"/>
        <v/>
      </c>
      <c r="BC577" s="632" t="str">
        <f t="shared" si="105"/>
        <v/>
      </c>
      <c r="BD577" s="633" t="str">
        <f>IF(AND(L577="",H577=""),"",
IF(H577="",Pole_Calc!A605,
IF(H577="MP",Pole_Calc!A606,
IF(H577="AnMP",Pole_Calc!A607,
IF(H577="A",Pole_Calc!A608,
IF(H577="S/A",Pole_Calc!A609,
IF(H577="A/S",Pole_Calc!A610,"Poner a mano")))))))</f>
        <v/>
      </c>
      <c r="BE577" s="448" t="s">
        <v>1726</v>
      </c>
      <c r="BF577" s="635"/>
      <c r="BG577" s="635"/>
      <c r="BH577" s="634"/>
      <c r="BI577" s="635"/>
    </row>
    <row r="578" spans="1:61" ht="16.2" customHeight="1">
      <c r="A578" s="12"/>
      <c r="B578" s="446"/>
      <c r="C578" s="89"/>
      <c r="D578" s="13"/>
      <c r="E578" s="14"/>
      <c r="F578" s="14"/>
      <c r="G578" s="15"/>
      <c r="H578" s="8"/>
      <c r="I578" s="8"/>
      <c r="J578" s="89"/>
      <c r="K578" s="8"/>
      <c r="L578" s="8"/>
      <c r="M578" s="8" t="str">
        <f>IF(L578="","",
IF(AX578="PT",VLOOKUP(L578,Foundation_Calc!$V$4:$X$37,VLOOKUP(AX578,Foundation_Calc!$I$10:$J$13,2,FALSE),0),
IF(AX578="K",VLOOKUP(L578,Foundation_Calc!$V$41:$X$74,VLOOKUP(AX578,Foundation_Calc!$I$10:$J$13,2,FALSE),0),"")))</f>
        <v/>
      </c>
      <c r="N578" s="8"/>
      <c r="O578" s="8"/>
      <c r="P578" s="8"/>
      <c r="Q578" s="14"/>
      <c r="R578" s="15"/>
      <c r="S578" s="15"/>
      <c r="T578" s="14"/>
      <c r="U578" s="14"/>
      <c r="V578" s="14"/>
      <c r="W578" s="18"/>
      <c r="X578" s="18"/>
      <c r="Y578" s="18"/>
      <c r="Z578" s="18"/>
      <c r="AA578" s="18"/>
      <c r="AB578" s="18"/>
      <c r="AC578" s="8" t="str">
        <f t="shared" si="102"/>
        <v/>
      </c>
      <c r="AD578" s="8"/>
      <c r="AE578" s="8"/>
      <c r="AF578" s="14"/>
      <c r="AG578" s="13"/>
      <c r="AH578" s="14"/>
      <c r="AI578" s="14"/>
      <c r="AJ578" s="8"/>
      <c r="AK578" s="8"/>
      <c r="AL578" s="8"/>
      <c r="AM578" s="8"/>
      <c r="AN578" s="631"/>
      <c r="AO578" s="18"/>
      <c r="AP578" s="18"/>
      <c r="AQ578" s="18"/>
      <c r="AR578" s="18"/>
      <c r="AS578" s="18"/>
      <c r="AU578" s="448"/>
      <c r="AV578" s="448"/>
      <c r="AW578" s="8" t="str">
        <f>IF(C578&gt;0,VLOOKUP(C578,Foundation_Calc!$A$2:$C$986,3,1),
IF(J578&gt;0,VLOOKUP(J578,Foundation_Calc!$A$2:$C$986,3,1),""))</f>
        <v/>
      </c>
      <c r="AX578" s="8" t="str">
        <f>IF(C578&gt;0,VLOOKUP(C578,Foundation_Calc!$E$2:$G$986,3,1),
IF(J578&gt;0,VLOOKUP(J578,Foundation_Calc!$E$2:$G$986,3,1),""))</f>
        <v/>
      </c>
      <c r="AY578" s="631" t="str">
        <f>IF(L578="","",
IF(AX578="PT",VLOOKUP(L578,Foundation_Calc!$K$4:$R$37,VLOOKUP(AW578,Foundation_Calc!$I$2:$J$8,2,FALSE),0),
IF(AX578="K",VLOOKUP(L578,Foundation_Calc!$K$41:$R$74,VLOOKUP(AW578,Foundation_Calc!$I$2:$J$8,2,FALSE),0),"")))</f>
        <v/>
      </c>
      <c r="AZ578" s="631" t="str">
        <f>IF(K578="","",
IF(AX578="PT",VLOOKUP(K578,Foundation_Calc!$K$4:$R$37,VLOOKUP(AW578,Foundation_Calc!$I$2:$J$8,2,FALSE),0),
IF(AX578="K",VLOOKUP(K578,Foundation_Calc!$K$41:$R$74,VLOOKUP(AW578,Foundation_Calc!$I$2:$J$8,2,FALSE),0),"")))</f>
        <v/>
      </c>
      <c r="BA578" s="632" t="str">
        <f t="shared" si="103"/>
        <v/>
      </c>
      <c r="BB578" s="632" t="str">
        <f t="shared" si="104"/>
        <v/>
      </c>
      <c r="BC578" s="632" t="str">
        <f t="shared" si="105"/>
        <v/>
      </c>
      <c r="BD578" s="633" t="str">
        <f>IF(AND(L578="",H578=""),"",
IF(H578="",Pole_Calc!A606,
IF(H578="MP",Pole_Calc!A607,
IF(H578="AnMP",Pole_Calc!A608,
IF(H578="A",Pole_Calc!A609,
IF(H578="S/A",Pole_Calc!A610,
IF(H578="A/S",Pole_Calc!A611,"Poner a mano")))))))</f>
        <v/>
      </c>
      <c r="BE578" s="448" t="s">
        <v>1726</v>
      </c>
      <c r="BF578" s="634"/>
      <c r="BG578" s="634"/>
      <c r="BH578" s="634"/>
      <c r="BI578" s="634"/>
    </row>
    <row r="579" spans="1:61" ht="16.2" customHeight="1">
      <c r="A579" s="12"/>
      <c r="B579" s="446"/>
      <c r="C579" s="89"/>
      <c r="D579" s="13"/>
      <c r="E579" s="14"/>
      <c r="F579" s="14"/>
      <c r="G579" s="15"/>
      <c r="H579" s="8"/>
      <c r="I579" s="8"/>
      <c r="J579" s="89"/>
      <c r="K579" s="8"/>
      <c r="L579" s="8"/>
      <c r="M579" s="8" t="str">
        <f>IF(L579="","",
IF(AX579="PT",VLOOKUP(L579,Foundation_Calc!$V$4:$X$37,VLOOKUP(AX579,Foundation_Calc!$I$10:$J$13,2,FALSE),0),
IF(AX579="K",VLOOKUP(L579,Foundation_Calc!$V$41:$X$74,VLOOKUP(AX579,Foundation_Calc!$I$10:$J$13,2,FALSE),0),"")))</f>
        <v/>
      </c>
      <c r="N579" s="8"/>
      <c r="O579" s="8"/>
      <c r="P579" s="8"/>
      <c r="Q579" s="14"/>
      <c r="R579" s="15"/>
      <c r="S579" s="15"/>
      <c r="T579" s="14"/>
      <c r="U579" s="14"/>
      <c r="V579" s="14"/>
      <c r="W579" s="18"/>
      <c r="X579" s="18"/>
      <c r="Y579" s="18"/>
      <c r="Z579" s="18"/>
      <c r="AA579" s="18"/>
      <c r="AB579" s="18"/>
      <c r="AC579" s="8" t="str">
        <f t="shared" si="102"/>
        <v/>
      </c>
      <c r="AD579" s="8"/>
      <c r="AE579" s="8"/>
      <c r="AF579" s="14"/>
      <c r="AG579" s="13"/>
      <c r="AH579" s="14"/>
      <c r="AI579" s="14"/>
      <c r="AJ579" s="8"/>
      <c r="AK579" s="8"/>
      <c r="AL579" s="8"/>
      <c r="AM579" s="8"/>
      <c r="AN579" s="631"/>
      <c r="AO579" s="18"/>
      <c r="AP579" s="18"/>
      <c r="AQ579" s="18"/>
      <c r="AR579" s="18"/>
      <c r="AS579" s="18"/>
      <c r="AU579" s="448"/>
      <c r="AV579" s="448"/>
      <c r="AW579" s="8" t="str">
        <f>IF(C579&gt;0,VLOOKUP(C579,Foundation_Calc!$A$2:$C$986,3,1),
IF(J579&gt;0,VLOOKUP(J579,Foundation_Calc!$A$2:$C$986,3,1),""))</f>
        <v/>
      </c>
      <c r="AX579" s="8" t="str">
        <f>IF(C579&gt;0,VLOOKUP(C579,Foundation_Calc!$E$2:$G$986,3,1),
IF(J579&gt;0,VLOOKUP(J579,Foundation_Calc!$E$2:$G$986,3,1),""))</f>
        <v/>
      </c>
      <c r="AY579" s="631" t="str">
        <f>IF(L579="","",
IF(AX579="PT",VLOOKUP(L579,Foundation_Calc!$K$4:$R$37,VLOOKUP(AW579,Foundation_Calc!$I$2:$J$8,2,FALSE),0),
IF(AX579="K",VLOOKUP(L579,Foundation_Calc!$K$41:$R$74,VLOOKUP(AW579,Foundation_Calc!$I$2:$J$8,2,FALSE),0),"")))</f>
        <v/>
      </c>
      <c r="AZ579" s="631" t="str">
        <f>IF(K579="","",
IF(AX579="PT",VLOOKUP(K579,Foundation_Calc!$K$4:$R$37,VLOOKUP(AW579,Foundation_Calc!$I$2:$J$8,2,FALSE),0),
IF(AX579="K",VLOOKUP(K579,Foundation_Calc!$K$41:$R$74,VLOOKUP(AW579,Foundation_Calc!$I$2:$J$8,2,FALSE),0),"")))</f>
        <v/>
      </c>
      <c r="BA579" s="632" t="str">
        <f t="shared" si="103"/>
        <v/>
      </c>
      <c r="BB579" s="632" t="str">
        <f t="shared" si="104"/>
        <v/>
      </c>
      <c r="BC579" s="632" t="str">
        <f t="shared" si="105"/>
        <v/>
      </c>
      <c r="BD579" s="633" t="str">
        <f>IF(AND(L579="",H579=""),"",
IF(H579="",Pole_Calc!A607,
IF(H579="MP",Pole_Calc!A608,
IF(H579="AnMP",Pole_Calc!A609,
IF(H579="A",Pole_Calc!A610,
IF(H579="S/A",Pole_Calc!A611,
IF(H579="A/S",Pole_Calc!A612,"Poner a mano")))))))</f>
        <v/>
      </c>
      <c r="BE579" s="448" t="s">
        <v>1726</v>
      </c>
      <c r="BF579" s="635"/>
      <c r="BG579" s="635"/>
      <c r="BH579" s="634"/>
      <c r="BI579" s="635"/>
    </row>
    <row r="580" spans="1:61" ht="16.2" customHeight="1">
      <c r="A580" s="12"/>
      <c r="B580" s="446"/>
      <c r="C580" s="89"/>
      <c r="D580" s="13"/>
      <c r="E580" s="14"/>
      <c r="F580" s="14"/>
      <c r="G580" s="15"/>
      <c r="H580" s="8"/>
      <c r="I580" s="8"/>
      <c r="J580" s="89"/>
      <c r="K580" s="8"/>
      <c r="L580" s="8"/>
      <c r="M580" s="8" t="str">
        <f>IF(L580="","",
IF(AX580="PT",VLOOKUP(L580,Foundation_Calc!$V$4:$X$37,VLOOKUP(AX580,Foundation_Calc!$I$10:$J$13,2,FALSE),0),
IF(AX580="K",VLOOKUP(L580,Foundation_Calc!$V$41:$X$74,VLOOKUP(AX580,Foundation_Calc!$I$10:$J$13,2,FALSE),0),"")))</f>
        <v/>
      </c>
      <c r="N580" s="8"/>
      <c r="O580" s="8"/>
      <c r="P580" s="8"/>
      <c r="Q580" s="14"/>
      <c r="R580" s="15"/>
      <c r="S580" s="15"/>
      <c r="T580" s="14"/>
      <c r="U580" s="14"/>
      <c r="V580" s="14"/>
      <c r="W580" s="18"/>
      <c r="X580" s="18"/>
      <c r="Y580" s="18"/>
      <c r="Z580" s="18"/>
      <c r="AA580" s="18"/>
      <c r="AB580" s="18"/>
      <c r="AC580" s="8" t="str">
        <f t="shared" si="102"/>
        <v/>
      </c>
      <c r="AD580" s="8"/>
      <c r="AE580" s="8"/>
      <c r="AF580" s="14"/>
      <c r="AG580" s="13"/>
      <c r="AH580" s="14"/>
      <c r="AI580" s="14"/>
      <c r="AJ580" s="8"/>
      <c r="AK580" s="8"/>
      <c r="AL580" s="8"/>
      <c r="AM580" s="8"/>
      <c r="AN580" s="631"/>
      <c r="AO580" s="18"/>
      <c r="AP580" s="18"/>
      <c r="AQ580" s="18"/>
      <c r="AR580" s="18"/>
      <c r="AS580" s="18"/>
      <c r="AU580" s="448"/>
      <c r="AV580" s="448"/>
      <c r="AW580" s="8" t="str">
        <f>IF(C580&gt;0,VLOOKUP(C580,Foundation_Calc!$A$2:$C$986,3,1),
IF(J580&gt;0,VLOOKUP(J580,Foundation_Calc!$A$2:$C$986,3,1),""))</f>
        <v/>
      </c>
      <c r="AX580" s="8" t="str">
        <f>IF(C580&gt;0,VLOOKUP(C580,Foundation_Calc!$E$2:$G$986,3,1),
IF(J580&gt;0,VLOOKUP(J580,Foundation_Calc!$E$2:$G$986,3,1),""))</f>
        <v/>
      </c>
      <c r="AY580" s="631" t="str">
        <f>IF(L580="","",
IF(AX580="PT",VLOOKUP(L580,Foundation_Calc!$K$4:$R$37,VLOOKUP(AW580,Foundation_Calc!$I$2:$J$8,2,FALSE),0),
IF(AX580="K",VLOOKUP(L580,Foundation_Calc!$K$41:$R$74,VLOOKUP(AW580,Foundation_Calc!$I$2:$J$8,2,FALSE),0),"")))</f>
        <v/>
      </c>
      <c r="AZ580" s="631" t="str">
        <f>IF(K580="","",
IF(AX580="PT",VLOOKUP(K580,Foundation_Calc!$K$4:$R$37,VLOOKUP(AW580,Foundation_Calc!$I$2:$J$8,2,FALSE),0),
IF(AX580="K",VLOOKUP(K580,Foundation_Calc!$K$41:$R$74,VLOOKUP(AW580,Foundation_Calc!$I$2:$J$8,2,FALSE),0),"")))</f>
        <v/>
      </c>
      <c r="BA580" s="632" t="str">
        <f t="shared" si="103"/>
        <v/>
      </c>
      <c r="BB580" s="632" t="str">
        <f t="shared" si="104"/>
        <v/>
      </c>
      <c r="BC580" s="632" t="str">
        <f t="shared" si="105"/>
        <v/>
      </c>
      <c r="BD580" s="633" t="str">
        <f>IF(AND(L580="",H580=""),"",
IF(H580="",Pole_Calc!A608,
IF(H580="MP",Pole_Calc!A609,
IF(H580="AnMP",Pole_Calc!A610,
IF(H580="A",Pole_Calc!A611,
IF(H580="S/A",Pole_Calc!A612,
IF(H580="A/S",Pole_Calc!A613,"Poner a mano")))))))</f>
        <v/>
      </c>
      <c r="BE580" s="448" t="s">
        <v>1726</v>
      </c>
      <c r="BF580" s="634"/>
      <c r="BG580" s="634"/>
      <c r="BH580" s="634"/>
      <c r="BI580" s="634"/>
    </row>
    <row r="581" spans="1:61" ht="16.2" customHeight="1">
      <c r="A581" s="12"/>
      <c r="B581" s="446"/>
      <c r="C581" s="89"/>
      <c r="D581" s="13"/>
      <c r="E581" s="14"/>
      <c r="F581" s="14"/>
      <c r="G581" s="15"/>
      <c r="H581" s="8"/>
      <c r="I581" s="8"/>
      <c r="J581" s="89"/>
      <c r="K581" s="8"/>
      <c r="L581" s="8"/>
      <c r="M581" s="8" t="str">
        <f>IF(L581="","",
IF(AX581="PT",VLOOKUP(L581,Foundation_Calc!$V$4:$X$37,VLOOKUP(AX581,Foundation_Calc!$I$10:$J$13,2,FALSE),0),
IF(AX581="K",VLOOKUP(L581,Foundation_Calc!$V$41:$X$74,VLOOKUP(AX581,Foundation_Calc!$I$10:$J$13,2,FALSE),0),"")))</f>
        <v/>
      </c>
      <c r="N581" s="8"/>
      <c r="O581" s="8"/>
      <c r="P581" s="8"/>
      <c r="Q581" s="14"/>
      <c r="R581" s="15"/>
      <c r="S581" s="15"/>
      <c r="T581" s="14"/>
      <c r="U581" s="14"/>
      <c r="V581" s="14"/>
      <c r="W581" s="18"/>
      <c r="X581" s="18"/>
      <c r="Y581" s="18"/>
      <c r="Z581" s="18"/>
      <c r="AA581" s="18"/>
      <c r="AB581" s="18"/>
      <c r="AC581" s="8" t="str">
        <f t="shared" si="102"/>
        <v/>
      </c>
      <c r="AD581" s="8"/>
      <c r="AE581" s="8"/>
      <c r="AF581" s="14"/>
      <c r="AG581" s="13"/>
      <c r="AH581" s="14"/>
      <c r="AI581" s="14"/>
      <c r="AJ581" s="8"/>
      <c r="AK581" s="8"/>
      <c r="AL581" s="8"/>
      <c r="AM581" s="8"/>
      <c r="AN581" s="631"/>
      <c r="AO581" s="18"/>
      <c r="AP581" s="18"/>
      <c r="AQ581" s="18"/>
      <c r="AR581" s="18"/>
      <c r="AS581" s="18"/>
      <c r="AU581" s="448"/>
      <c r="AV581" s="448"/>
      <c r="AW581" s="8" t="str">
        <f>IF(C581&gt;0,VLOOKUP(C581,Foundation_Calc!$A$2:$C$986,3,1),
IF(J581&gt;0,VLOOKUP(J581,Foundation_Calc!$A$2:$C$986,3,1),""))</f>
        <v/>
      </c>
      <c r="AX581" s="8" t="str">
        <f>IF(C581&gt;0,VLOOKUP(C581,Foundation_Calc!$E$2:$G$986,3,1),
IF(J581&gt;0,VLOOKUP(J581,Foundation_Calc!$E$2:$G$986,3,1),""))</f>
        <v/>
      </c>
      <c r="AY581" s="631" t="str">
        <f>IF(L581="","",
IF(AX581="PT",VLOOKUP(L581,Foundation_Calc!$K$4:$R$37,VLOOKUP(AW581,Foundation_Calc!$I$2:$J$8,2,FALSE),0),
IF(AX581="K",VLOOKUP(L581,Foundation_Calc!$K$41:$R$74,VLOOKUP(AW581,Foundation_Calc!$I$2:$J$8,2,FALSE),0),"")))</f>
        <v/>
      </c>
      <c r="AZ581" s="631" t="str">
        <f>IF(K581="","",
IF(AX581="PT",VLOOKUP(K581,Foundation_Calc!$K$4:$R$37,VLOOKUP(AW581,Foundation_Calc!$I$2:$J$8,2,FALSE),0),
IF(AX581="K",VLOOKUP(K581,Foundation_Calc!$K$41:$R$74,VLOOKUP(AW581,Foundation_Calc!$I$2:$J$8,2,FALSE),0),"")))</f>
        <v/>
      </c>
      <c r="BA581" s="632" t="str">
        <f t="shared" si="103"/>
        <v/>
      </c>
      <c r="BB581" s="632" t="str">
        <f t="shared" si="104"/>
        <v/>
      </c>
      <c r="BC581" s="632" t="str">
        <f t="shared" si="105"/>
        <v/>
      </c>
      <c r="BD581" s="633" t="str">
        <f>IF(AND(L581="",H581=""),"",
IF(H581="",Pole_Calc!A609,
IF(H581="MP",Pole_Calc!A610,
IF(H581="AnMP",Pole_Calc!A611,
IF(H581="A",Pole_Calc!A612,
IF(H581="S/A",Pole_Calc!A613,
IF(H581="A/S",Pole_Calc!A614,"Poner a mano")))))))</f>
        <v/>
      </c>
      <c r="BE581" s="448" t="s">
        <v>1726</v>
      </c>
      <c r="BF581" s="635"/>
      <c r="BG581" s="635"/>
      <c r="BH581" s="634"/>
      <c r="BI581" s="635"/>
    </row>
    <row r="582" spans="1:61" ht="16.2" customHeight="1">
      <c r="A582" s="12"/>
      <c r="B582" s="446"/>
      <c r="C582" s="89"/>
      <c r="D582" s="13"/>
      <c r="E582" s="14"/>
      <c r="F582" s="14"/>
      <c r="G582" s="15"/>
      <c r="H582" s="8"/>
      <c r="I582" s="8"/>
      <c r="J582" s="89"/>
      <c r="K582" s="8"/>
      <c r="L582" s="8"/>
      <c r="M582" s="8" t="str">
        <f>IF(L582="","",
IF(AX582="PT",VLOOKUP(L582,Foundation_Calc!$V$4:$X$37,VLOOKUP(AX582,Foundation_Calc!$I$10:$J$13,2,FALSE),0),
IF(AX582="K",VLOOKUP(L582,Foundation_Calc!$V$41:$X$74,VLOOKUP(AX582,Foundation_Calc!$I$10:$J$13,2,FALSE),0),"")))</f>
        <v/>
      </c>
      <c r="N582" s="8"/>
      <c r="O582" s="8"/>
      <c r="P582" s="8"/>
      <c r="Q582" s="14"/>
      <c r="R582" s="15"/>
      <c r="S582" s="15"/>
      <c r="T582" s="14"/>
      <c r="U582" s="14"/>
      <c r="V582" s="14"/>
      <c r="W582" s="18"/>
      <c r="X582" s="18"/>
      <c r="Y582" s="18"/>
      <c r="Z582" s="18"/>
      <c r="AA582" s="18"/>
      <c r="AB582" s="18"/>
      <c r="AC582" s="8" t="str">
        <f t="shared" ref="AC582:AC645" si="106">IF(OR(AT582&gt;8,AT582&lt;-8),"PH",
IF(OR(AT582&gt;5,AT582&lt;-5),"PHQ",
IF(OR(AT582&gt;1,AT582&lt;-1),
"PHC","")))</f>
        <v/>
      </c>
      <c r="AD582" s="8"/>
      <c r="AE582" s="8"/>
      <c r="AF582" s="14"/>
      <c r="AG582" s="13"/>
      <c r="AH582" s="14"/>
      <c r="AI582" s="14"/>
      <c r="AJ582" s="8"/>
      <c r="AK582" s="8"/>
      <c r="AL582" s="8"/>
      <c r="AM582" s="8"/>
      <c r="AN582" s="631"/>
      <c r="AO582" s="18"/>
      <c r="AP582" s="18"/>
      <c r="AQ582" s="18"/>
      <c r="AR582" s="18"/>
      <c r="AS582" s="18"/>
      <c r="AU582" s="448"/>
      <c r="AV582" s="448"/>
      <c r="AW582" s="8" t="str">
        <f>IF(C582&gt;0,VLOOKUP(C582,Foundation_Calc!$A$2:$C$986,3,1),
IF(J582&gt;0,VLOOKUP(J582,Foundation_Calc!$A$2:$C$986,3,1),""))</f>
        <v/>
      </c>
      <c r="AX582" s="8" t="str">
        <f>IF(C582&gt;0,VLOOKUP(C582,Foundation_Calc!$E$2:$G$986,3,1),
IF(J582&gt;0,VLOOKUP(J582,Foundation_Calc!$E$2:$G$986,3,1),""))</f>
        <v/>
      </c>
      <c r="AY582" s="631" t="str">
        <f>IF(L582="","",
IF(AX582="PT",VLOOKUP(L582,Foundation_Calc!$K$4:$R$37,VLOOKUP(AW582,Foundation_Calc!$I$2:$J$8,2,FALSE),0),
IF(AX582="K",VLOOKUP(L582,Foundation_Calc!$K$41:$R$74,VLOOKUP(AW582,Foundation_Calc!$I$2:$J$8,2,FALSE),0),"")))</f>
        <v/>
      </c>
      <c r="AZ582" s="631" t="str">
        <f>IF(K582="","",
IF(AX582="PT",VLOOKUP(K582,Foundation_Calc!$K$4:$R$37,VLOOKUP(AW582,Foundation_Calc!$I$2:$J$8,2,FALSE),0),
IF(AX582="K",VLOOKUP(K582,Foundation_Calc!$K$41:$R$74,VLOOKUP(AW582,Foundation_Calc!$I$2:$J$8,2,FALSE),0),"")))</f>
        <v/>
      </c>
      <c r="BA582" s="632" t="str">
        <f t="shared" ref="BA582:BA645" si="107">IF(AY582="","",IF(AY582&gt;0,"ü",""))</f>
        <v/>
      </c>
      <c r="BB582" s="632" t="str">
        <f t="shared" ref="BB582:BB645" si="108">IF(AZ582="","",IF(AZ582&gt;0,"ü",""))</f>
        <v/>
      </c>
      <c r="BC582" s="632" t="str">
        <f t="shared" ref="BC582:BC645" si="109">IF(M582="","",IF(M582="Unique Solution","ü",""))</f>
        <v/>
      </c>
      <c r="BD582" s="633" t="str">
        <f>IF(AND(L582="",H582=""),"",
IF(H582="",Pole_Calc!A610,
IF(H582="MP",Pole_Calc!A611,
IF(H582="AnMP",Pole_Calc!A612,
IF(H582="A",Pole_Calc!A613,
IF(H582="S/A",Pole_Calc!A614,
IF(H582="A/S",Pole_Calc!A615,"Poner a mano")))))))</f>
        <v/>
      </c>
      <c r="BE582" s="448" t="s">
        <v>1726</v>
      </c>
      <c r="BF582" s="634"/>
      <c r="BG582" s="634"/>
      <c r="BH582" s="634"/>
      <c r="BI582" s="634"/>
    </row>
    <row r="583" spans="1:61" ht="16.2" customHeight="1">
      <c r="A583" s="12"/>
      <c r="B583" s="446"/>
      <c r="C583" s="89"/>
      <c r="D583" s="13"/>
      <c r="E583" s="14"/>
      <c r="F583" s="14"/>
      <c r="G583" s="15"/>
      <c r="H583" s="8"/>
      <c r="I583" s="8"/>
      <c r="J583" s="89"/>
      <c r="K583" s="8"/>
      <c r="L583" s="8"/>
      <c r="M583" s="8" t="str">
        <f>IF(L583="","",
IF(AX583="PT",VLOOKUP(L583,Foundation_Calc!$V$4:$X$37,VLOOKUP(AX583,Foundation_Calc!$I$10:$J$13,2,FALSE),0),
IF(AX583="K",VLOOKUP(L583,Foundation_Calc!$V$41:$X$74,VLOOKUP(AX583,Foundation_Calc!$I$10:$J$13,2,FALSE),0),"")))</f>
        <v/>
      </c>
      <c r="N583" s="8"/>
      <c r="O583" s="8"/>
      <c r="P583" s="8"/>
      <c r="Q583" s="14"/>
      <c r="R583" s="15"/>
      <c r="S583" s="15"/>
      <c r="T583" s="14"/>
      <c r="U583" s="14"/>
      <c r="V583" s="14"/>
      <c r="W583" s="18"/>
      <c r="X583" s="18"/>
      <c r="Y583" s="18"/>
      <c r="Z583" s="18"/>
      <c r="AA583" s="18"/>
      <c r="AB583" s="18"/>
      <c r="AC583" s="8" t="str">
        <f t="shared" si="106"/>
        <v/>
      </c>
      <c r="AD583" s="8"/>
      <c r="AE583" s="8"/>
      <c r="AF583" s="14"/>
      <c r="AG583" s="13"/>
      <c r="AH583" s="14"/>
      <c r="AI583" s="14"/>
      <c r="AJ583" s="8"/>
      <c r="AK583" s="8"/>
      <c r="AL583" s="8"/>
      <c r="AM583" s="8"/>
      <c r="AN583" s="631"/>
      <c r="AO583" s="18"/>
      <c r="AP583" s="18"/>
      <c r="AQ583" s="18"/>
      <c r="AR583" s="18"/>
      <c r="AS583" s="18"/>
      <c r="AU583" s="448"/>
      <c r="AV583" s="448"/>
      <c r="AW583" s="8" t="str">
        <f>IF(C583&gt;0,VLOOKUP(C583,Foundation_Calc!$A$2:$C$986,3,1),
IF(J583&gt;0,VLOOKUP(J583,Foundation_Calc!$A$2:$C$986,3,1),""))</f>
        <v/>
      </c>
      <c r="AX583" s="8" t="str">
        <f>IF(C583&gt;0,VLOOKUP(C583,Foundation_Calc!$E$2:$G$986,3,1),
IF(J583&gt;0,VLOOKUP(J583,Foundation_Calc!$E$2:$G$986,3,1),""))</f>
        <v/>
      </c>
      <c r="AY583" s="631" t="str">
        <f>IF(L583="","",
IF(AX583="PT",VLOOKUP(L583,Foundation_Calc!$K$4:$R$37,VLOOKUP(AW583,Foundation_Calc!$I$2:$J$8,2,FALSE),0),
IF(AX583="K",VLOOKUP(L583,Foundation_Calc!$K$41:$R$74,VLOOKUP(AW583,Foundation_Calc!$I$2:$J$8,2,FALSE),0),"")))</f>
        <v/>
      </c>
      <c r="AZ583" s="631" t="str">
        <f>IF(K583="","",
IF(AX583="PT",VLOOKUP(K583,Foundation_Calc!$K$4:$R$37,VLOOKUP(AW583,Foundation_Calc!$I$2:$J$8,2,FALSE),0),
IF(AX583="K",VLOOKUP(K583,Foundation_Calc!$K$41:$R$74,VLOOKUP(AW583,Foundation_Calc!$I$2:$J$8,2,FALSE),0),"")))</f>
        <v/>
      </c>
      <c r="BA583" s="632" t="str">
        <f t="shared" si="107"/>
        <v/>
      </c>
      <c r="BB583" s="632" t="str">
        <f t="shared" si="108"/>
        <v/>
      </c>
      <c r="BC583" s="632" t="str">
        <f t="shared" si="109"/>
        <v/>
      </c>
      <c r="BD583" s="633" t="str">
        <f>IF(AND(L583="",H583=""),"",
IF(H583="",Pole_Calc!A611,
IF(H583="MP",Pole_Calc!A612,
IF(H583="AnMP",Pole_Calc!A613,
IF(H583="A",Pole_Calc!A614,
IF(H583="S/A",Pole_Calc!A615,
IF(H583="A/S",Pole_Calc!A616,"Poner a mano")))))))</f>
        <v/>
      </c>
      <c r="BE583" s="448" t="s">
        <v>1726</v>
      </c>
      <c r="BF583" s="635"/>
      <c r="BG583" s="635"/>
      <c r="BH583" s="634"/>
      <c r="BI583" s="635"/>
    </row>
    <row r="584" spans="1:61" ht="16.2" customHeight="1">
      <c r="A584" s="12"/>
      <c r="B584" s="446"/>
      <c r="C584" s="89"/>
      <c r="D584" s="13"/>
      <c r="E584" s="14"/>
      <c r="F584" s="14"/>
      <c r="G584" s="15"/>
      <c r="H584" s="8"/>
      <c r="I584" s="8"/>
      <c r="J584" s="89"/>
      <c r="K584" s="8"/>
      <c r="L584" s="8"/>
      <c r="M584" s="8" t="str">
        <f>IF(L584="","",
IF(AX584="PT",VLOOKUP(L584,Foundation_Calc!$V$4:$X$37,VLOOKUP(AX584,Foundation_Calc!$I$10:$J$13,2,FALSE),0),
IF(AX584="K",VLOOKUP(L584,Foundation_Calc!$V$41:$X$74,VLOOKUP(AX584,Foundation_Calc!$I$10:$J$13,2,FALSE),0),"")))</f>
        <v/>
      </c>
      <c r="N584" s="8"/>
      <c r="O584" s="8"/>
      <c r="P584" s="8"/>
      <c r="Q584" s="14"/>
      <c r="R584" s="15"/>
      <c r="S584" s="15"/>
      <c r="T584" s="14"/>
      <c r="U584" s="14"/>
      <c r="V584" s="14"/>
      <c r="W584" s="18"/>
      <c r="X584" s="18"/>
      <c r="Y584" s="18"/>
      <c r="Z584" s="18"/>
      <c r="AA584" s="18"/>
      <c r="AB584" s="18"/>
      <c r="AC584" s="8" t="str">
        <f t="shared" si="106"/>
        <v/>
      </c>
      <c r="AD584" s="8"/>
      <c r="AE584" s="8"/>
      <c r="AF584" s="14"/>
      <c r="AG584" s="13"/>
      <c r="AH584" s="14"/>
      <c r="AI584" s="14"/>
      <c r="AJ584" s="8"/>
      <c r="AK584" s="8"/>
      <c r="AL584" s="8"/>
      <c r="AM584" s="8"/>
      <c r="AN584" s="631"/>
      <c r="AO584" s="18"/>
      <c r="AP584" s="18"/>
      <c r="AQ584" s="18"/>
      <c r="AR584" s="18"/>
      <c r="AS584" s="18"/>
      <c r="AU584" s="448"/>
      <c r="AV584" s="448"/>
      <c r="AW584" s="8" t="str">
        <f>IF(C584&gt;0,VLOOKUP(C584,Foundation_Calc!$A$2:$C$986,3,1),
IF(J584&gt;0,VLOOKUP(J584,Foundation_Calc!$A$2:$C$986,3,1),""))</f>
        <v/>
      </c>
      <c r="AX584" s="8" t="str">
        <f>IF(C584&gt;0,VLOOKUP(C584,Foundation_Calc!$E$2:$G$986,3,1),
IF(J584&gt;0,VLOOKUP(J584,Foundation_Calc!$E$2:$G$986,3,1),""))</f>
        <v/>
      </c>
      <c r="AY584" s="631" t="str">
        <f>IF(L584="","",
IF(AX584="PT",VLOOKUP(L584,Foundation_Calc!$K$4:$R$37,VLOOKUP(AW584,Foundation_Calc!$I$2:$J$8,2,FALSE),0),
IF(AX584="K",VLOOKUP(L584,Foundation_Calc!$K$41:$R$74,VLOOKUP(AW584,Foundation_Calc!$I$2:$J$8,2,FALSE),0),"")))</f>
        <v/>
      </c>
      <c r="AZ584" s="631" t="str">
        <f>IF(K584="","",
IF(AX584="PT",VLOOKUP(K584,Foundation_Calc!$K$4:$R$37,VLOOKUP(AW584,Foundation_Calc!$I$2:$J$8,2,FALSE),0),
IF(AX584="K",VLOOKUP(K584,Foundation_Calc!$K$41:$R$74,VLOOKUP(AW584,Foundation_Calc!$I$2:$J$8,2,FALSE),0),"")))</f>
        <v/>
      </c>
      <c r="BA584" s="632" t="str">
        <f t="shared" si="107"/>
        <v/>
      </c>
      <c r="BB584" s="632" t="str">
        <f t="shared" si="108"/>
        <v/>
      </c>
      <c r="BC584" s="632" t="str">
        <f t="shared" si="109"/>
        <v/>
      </c>
      <c r="BD584" s="633" t="str">
        <f>IF(AND(L584="",H584=""),"",
IF(H584="",Pole_Calc!A612,
IF(H584="MP",Pole_Calc!A613,
IF(H584="AnMP",Pole_Calc!A614,
IF(H584="A",Pole_Calc!A615,
IF(H584="S/A",Pole_Calc!A616,
IF(H584="A/S",Pole_Calc!A617,"Poner a mano")))))))</f>
        <v/>
      </c>
      <c r="BE584" s="448" t="s">
        <v>1726</v>
      </c>
      <c r="BF584" s="634"/>
      <c r="BG584" s="634"/>
      <c r="BH584" s="634"/>
      <c r="BI584" s="634"/>
    </row>
    <row r="585" spans="1:61" ht="16.2" customHeight="1">
      <c r="A585" s="12"/>
      <c r="B585" s="446"/>
      <c r="C585" s="89"/>
      <c r="D585" s="13"/>
      <c r="E585" s="14"/>
      <c r="F585" s="14"/>
      <c r="G585" s="15"/>
      <c r="H585" s="8"/>
      <c r="I585" s="8"/>
      <c r="J585" s="89"/>
      <c r="K585" s="8"/>
      <c r="L585" s="8"/>
      <c r="M585" s="8" t="str">
        <f>IF(L585="","",
IF(AX585="PT",VLOOKUP(L585,Foundation_Calc!$V$4:$X$37,VLOOKUP(AX585,Foundation_Calc!$I$10:$J$13,2,FALSE),0),
IF(AX585="K",VLOOKUP(L585,Foundation_Calc!$V$41:$X$74,VLOOKUP(AX585,Foundation_Calc!$I$10:$J$13,2,FALSE),0),"")))</f>
        <v/>
      </c>
      <c r="N585" s="8"/>
      <c r="O585" s="8"/>
      <c r="P585" s="8"/>
      <c r="Q585" s="14"/>
      <c r="R585" s="15"/>
      <c r="S585" s="15"/>
      <c r="T585" s="14"/>
      <c r="U585" s="14"/>
      <c r="V585" s="14"/>
      <c r="W585" s="18"/>
      <c r="X585" s="18"/>
      <c r="Y585" s="18"/>
      <c r="Z585" s="18"/>
      <c r="AA585" s="18"/>
      <c r="AB585" s="18"/>
      <c r="AC585" s="8" t="str">
        <f t="shared" si="106"/>
        <v/>
      </c>
      <c r="AD585" s="8"/>
      <c r="AE585" s="8"/>
      <c r="AF585" s="14"/>
      <c r="AG585" s="13"/>
      <c r="AH585" s="14"/>
      <c r="AI585" s="14"/>
      <c r="AJ585" s="8"/>
      <c r="AK585" s="8"/>
      <c r="AL585" s="8"/>
      <c r="AM585" s="8"/>
      <c r="AN585" s="631"/>
      <c r="AO585" s="18"/>
      <c r="AP585" s="18"/>
      <c r="AQ585" s="18"/>
      <c r="AR585" s="18"/>
      <c r="AS585" s="18"/>
      <c r="AU585" s="448"/>
      <c r="AV585" s="448"/>
      <c r="AW585" s="8" t="str">
        <f>IF(C585&gt;0,VLOOKUP(C585,Foundation_Calc!$A$2:$C$986,3,1),
IF(J585&gt;0,VLOOKUP(J585,Foundation_Calc!$A$2:$C$986,3,1),""))</f>
        <v/>
      </c>
      <c r="AX585" s="8" t="str">
        <f>IF(C585&gt;0,VLOOKUP(C585,Foundation_Calc!$E$2:$G$986,3,1),
IF(J585&gt;0,VLOOKUP(J585,Foundation_Calc!$E$2:$G$986,3,1),""))</f>
        <v/>
      </c>
      <c r="AY585" s="631" t="str">
        <f>IF(L585="","",
IF(AX585="PT",VLOOKUP(L585,Foundation_Calc!$K$4:$R$37,VLOOKUP(AW585,Foundation_Calc!$I$2:$J$8,2,FALSE),0),
IF(AX585="K",VLOOKUP(L585,Foundation_Calc!$K$41:$R$74,VLOOKUP(AW585,Foundation_Calc!$I$2:$J$8,2,FALSE),0),"")))</f>
        <v/>
      </c>
      <c r="AZ585" s="631" t="str">
        <f>IF(K585="","",
IF(AX585="PT",VLOOKUP(K585,Foundation_Calc!$K$4:$R$37,VLOOKUP(AW585,Foundation_Calc!$I$2:$J$8,2,FALSE),0),
IF(AX585="K",VLOOKUP(K585,Foundation_Calc!$K$41:$R$74,VLOOKUP(AW585,Foundation_Calc!$I$2:$J$8,2,FALSE),0),"")))</f>
        <v/>
      </c>
      <c r="BA585" s="632" t="str">
        <f t="shared" si="107"/>
        <v/>
      </c>
      <c r="BB585" s="632" t="str">
        <f t="shared" si="108"/>
        <v/>
      </c>
      <c r="BC585" s="632" t="str">
        <f t="shared" si="109"/>
        <v/>
      </c>
      <c r="BD585" s="633" t="str">
        <f>IF(AND(L585="",H585=""),"",
IF(H585="",Pole_Calc!A613,
IF(H585="MP",Pole_Calc!A614,
IF(H585="AnMP",Pole_Calc!A615,
IF(H585="A",Pole_Calc!A616,
IF(H585="S/A",Pole_Calc!A617,
IF(H585="A/S",Pole_Calc!A618,"Poner a mano")))))))</f>
        <v/>
      </c>
      <c r="BE585" s="448" t="s">
        <v>1726</v>
      </c>
      <c r="BF585" s="635"/>
      <c r="BG585" s="635"/>
      <c r="BH585" s="634"/>
      <c r="BI585" s="635"/>
    </row>
    <row r="586" spans="1:61" ht="16.2" customHeight="1">
      <c r="A586" s="12"/>
      <c r="B586" s="446"/>
      <c r="C586" s="89"/>
      <c r="D586" s="13"/>
      <c r="E586" s="14"/>
      <c r="F586" s="14"/>
      <c r="G586" s="15"/>
      <c r="H586" s="8"/>
      <c r="I586" s="8"/>
      <c r="J586" s="89"/>
      <c r="K586" s="8"/>
      <c r="L586" s="8"/>
      <c r="M586" s="8" t="str">
        <f>IF(L586="","",
IF(AX586="PT",VLOOKUP(L586,Foundation_Calc!$V$4:$X$37,VLOOKUP(AX586,Foundation_Calc!$I$10:$J$13,2,FALSE),0),
IF(AX586="K",VLOOKUP(L586,Foundation_Calc!$V$41:$X$74,VLOOKUP(AX586,Foundation_Calc!$I$10:$J$13,2,FALSE),0),"")))</f>
        <v/>
      </c>
      <c r="N586" s="8"/>
      <c r="O586" s="8"/>
      <c r="P586" s="8"/>
      <c r="Q586" s="14"/>
      <c r="R586" s="15"/>
      <c r="S586" s="15"/>
      <c r="T586" s="14"/>
      <c r="U586" s="14"/>
      <c r="V586" s="14"/>
      <c r="W586" s="18"/>
      <c r="X586" s="18"/>
      <c r="Y586" s="18"/>
      <c r="Z586" s="18"/>
      <c r="AA586" s="18"/>
      <c r="AB586" s="18"/>
      <c r="AC586" s="8" t="str">
        <f t="shared" si="106"/>
        <v/>
      </c>
      <c r="AD586" s="8"/>
      <c r="AE586" s="8"/>
      <c r="AF586" s="14"/>
      <c r="AG586" s="13"/>
      <c r="AH586" s="14"/>
      <c r="AI586" s="14"/>
      <c r="AJ586" s="8"/>
      <c r="AK586" s="8"/>
      <c r="AL586" s="8"/>
      <c r="AM586" s="8"/>
      <c r="AN586" s="631"/>
      <c r="AO586" s="18"/>
      <c r="AP586" s="18"/>
      <c r="AQ586" s="18"/>
      <c r="AR586" s="18"/>
      <c r="AS586" s="18"/>
      <c r="AU586" s="448"/>
      <c r="AV586" s="448"/>
      <c r="AW586" s="8" t="str">
        <f>IF(C586&gt;0,VLOOKUP(C586,Foundation_Calc!$A$2:$C$986,3,1),
IF(J586&gt;0,VLOOKUP(J586,Foundation_Calc!$A$2:$C$986,3,1),""))</f>
        <v/>
      </c>
      <c r="AX586" s="8" t="str">
        <f>IF(C586&gt;0,VLOOKUP(C586,Foundation_Calc!$E$2:$G$986,3,1),
IF(J586&gt;0,VLOOKUP(J586,Foundation_Calc!$E$2:$G$986,3,1),""))</f>
        <v/>
      </c>
      <c r="AY586" s="631" t="str">
        <f>IF(L586="","",
IF(AX586="PT",VLOOKUP(L586,Foundation_Calc!$K$4:$R$37,VLOOKUP(AW586,Foundation_Calc!$I$2:$J$8,2,FALSE),0),
IF(AX586="K",VLOOKUP(L586,Foundation_Calc!$K$41:$R$74,VLOOKUP(AW586,Foundation_Calc!$I$2:$J$8,2,FALSE),0),"")))</f>
        <v/>
      </c>
      <c r="AZ586" s="631" t="str">
        <f>IF(K586="","",
IF(AX586="PT",VLOOKUP(K586,Foundation_Calc!$K$4:$R$37,VLOOKUP(AW586,Foundation_Calc!$I$2:$J$8,2,FALSE),0),
IF(AX586="K",VLOOKUP(K586,Foundation_Calc!$K$41:$R$74,VLOOKUP(AW586,Foundation_Calc!$I$2:$J$8,2,FALSE),0),"")))</f>
        <v/>
      </c>
      <c r="BA586" s="632" t="str">
        <f t="shared" si="107"/>
        <v/>
      </c>
      <c r="BB586" s="632" t="str">
        <f t="shared" si="108"/>
        <v/>
      </c>
      <c r="BC586" s="632" t="str">
        <f t="shared" si="109"/>
        <v/>
      </c>
      <c r="BD586" s="633" t="str">
        <f>IF(AND(L586="",H586=""),"",
IF(H586="",Pole_Calc!A614,
IF(H586="MP",Pole_Calc!A615,
IF(H586="AnMP",Pole_Calc!A616,
IF(H586="A",Pole_Calc!A617,
IF(H586="S/A",Pole_Calc!A618,
IF(H586="A/S",Pole_Calc!A619,"Poner a mano")))))))</f>
        <v/>
      </c>
      <c r="BE586" s="448" t="s">
        <v>1726</v>
      </c>
      <c r="BF586" s="634"/>
      <c r="BG586" s="634"/>
      <c r="BH586" s="634"/>
      <c r="BI586" s="634"/>
    </row>
    <row r="587" spans="1:61" ht="16.2" customHeight="1">
      <c r="A587" s="12"/>
      <c r="B587" s="446"/>
      <c r="C587" s="89"/>
      <c r="D587" s="13"/>
      <c r="E587" s="14"/>
      <c r="F587" s="14"/>
      <c r="G587" s="15"/>
      <c r="H587" s="8"/>
      <c r="I587" s="8"/>
      <c r="J587" s="89"/>
      <c r="K587" s="8"/>
      <c r="L587" s="8"/>
      <c r="M587" s="8" t="str">
        <f>IF(L587="","",
IF(AX587="PT",VLOOKUP(L587,Foundation_Calc!$V$4:$X$37,VLOOKUP(AX587,Foundation_Calc!$I$10:$J$13,2,FALSE),0),
IF(AX587="K",VLOOKUP(L587,Foundation_Calc!$V$41:$X$74,VLOOKUP(AX587,Foundation_Calc!$I$10:$J$13,2,FALSE),0),"")))</f>
        <v/>
      </c>
      <c r="N587" s="8"/>
      <c r="O587" s="8"/>
      <c r="P587" s="8"/>
      <c r="Q587" s="14"/>
      <c r="R587" s="15"/>
      <c r="S587" s="15"/>
      <c r="T587" s="14"/>
      <c r="U587" s="14"/>
      <c r="V587" s="14"/>
      <c r="W587" s="18"/>
      <c r="X587" s="18"/>
      <c r="Y587" s="18"/>
      <c r="Z587" s="18"/>
      <c r="AA587" s="18"/>
      <c r="AB587" s="18"/>
      <c r="AC587" s="8" t="str">
        <f t="shared" si="106"/>
        <v/>
      </c>
      <c r="AD587" s="8"/>
      <c r="AE587" s="8"/>
      <c r="AF587" s="14"/>
      <c r="AG587" s="13"/>
      <c r="AH587" s="14"/>
      <c r="AI587" s="14"/>
      <c r="AJ587" s="8"/>
      <c r="AK587" s="8"/>
      <c r="AL587" s="8"/>
      <c r="AM587" s="8"/>
      <c r="AN587" s="631"/>
      <c r="AO587" s="18"/>
      <c r="AP587" s="18"/>
      <c r="AQ587" s="18"/>
      <c r="AR587" s="18"/>
      <c r="AS587" s="18"/>
      <c r="AU587" s="448"/>
      <c r="AV587" s="448"/>
      <c r="AW587" s="8" t="str">
        <f>IF(C587&gt;0,VLOOKUP(C587,Foundation_Calc!$A$2:$C$986,3,1),
IF(J587&gt;0,VLOOKUP(J587,Foundation_Calc!$A$2:$C$986,3,1),""))</f>
        <v/>
      </c>
      <c r="AX587" s="8" t="str">
        <f>IF(C587&gt;0,VLOOKUP(C587,Foundation_Calc!$E$2:$G$986,3,1),
IF(J587&gt;0,VLOOKUP(J587,Foundation_Calc!$E$2:$G$986,3,1),""))</f>
        <v/>
      </c>
      <c r="AY587" s="631" t="str">
        <f>IF(L587="","",
IF(AX587="PT",VLOOKUP(L587,Foundation_Calc!$K$4:$R$37,VLOOKUP(AW587,Foundation_Calc!$I$2:$J$8,2,FALSE),0),
IF(AX587="K",VLOOKUP(L587,Foundation_Calc!$K$41:$R$74,VLOOKUP(AW587,Foundation_Calc!$I$2:$J$8,2,FALSE),0),"")))</f>
        <v/>
      </c>
      <c r="AZ587" s="631" t="str">
        <f>IF(K587="","",
IF(AX587="PT",VLOOKUP(K587,Foundation_Calc!$K$4:$R$37,VLOOKUP(AW587,Foundation_Calc!$I$2:$J$8,2,FALSE),0),
IF(AX587="K",VLOOKUP(K587,Foundation_Calc!$K$41:$R$74,VLOOKUP(AW587,Foundation_Calc!$I$2:$J$8,2,FALSE),0),"")))</f>
        <v/>
      </c>
      <c r="BA587" s="632" t="str">
        <f t="shared" si="107"/>
        <v/>
      </c>
      <c r="BB587" s="632" t="str">
        <f t="shared" si="108"/>
        <v/>
      </c>
      <c r="BC587" s="632" t="str">
        <f t="shared" si="109"/>
        <v/>
      </c>
      <c r="BD587" s="633" t="str">
        <f>IF(AND(L587="",H587=""),"",
IF(H587="",Pole_Calc!A615,
IF(H587="MP",Pole_Calc!A616,
IF(H587="AnMP",Pole_Calc!A617,
IF(H587="A",Pole_Calc!A618,
IF(H587="S/A",Pole_Calc!A619,
IF(H587="A/S",Pole_Calc!A620,"Poner a mano")))))))</f>
        <v/>
      </c>
      <c r="BE587" s="448" t="s">
        <v>1726</v>
      </c>
      <c r="BF587" s="635"/>
      <c r="BG587" s="635"/>
      <c r="BH587" s="634"/>
      <c r="BI587" s="635"/>
    </row>
    <row r="588" spans="1:61" ht="16.2" customHeight="1">
      <c r="A588" s="12"/>
      <c r="B588" s="446"/>
      <c r="C588" s="89"/>
      <c r="D588" s="13"/>
      <c r="E588" s="14"/>
      <c r="F588" s="14"/>
      <c r="G588" s="15"/>
      <c r="H588" s="8"/>
      <c r="I588" s="8"/>
      <c r="J588" s="89"/>
      <c r="K588" s="8"/>
      <c r="L588" s="8"/>
      <c r="M588" s="8" t="str">
        <f>IF(L588="","",
IF(AX588="PT",VLOOKUP(L588,Foundation_Calc!$V$4:$X$37,VLOOKUP(AX588,Foundation_Calc!$I$10:$J$13,2,FALSE),0),
IF(AX588="K",VLOOKUP(L588,Foundation_Calc!$V$41:$X$74,VLOOKUP(AX588,Foundation_Calc!$I$10:$J$13,2,FALSE),0),"")))</f>
        <v/>
      </c>
      <c r="N588" s="8"/>
      <c r="O588" s="8"/>
      <c r="P588" s="8"/>
      <c r="Q588" s="14"/>
      <c r="R588" s="15"/>
      <c r="S588" s="15"/>
      <c r="T588" s="14"/>
      <c r="U588" s="14"/>
      <c r="V588" s="14"/>
      <c r="W588" s="18"/>
      <c r="X588" s="18"/>
      <c r="Y588" s="18"/>
      <c r="Z588" s="18"/>
      <c r="AA588" s="18"/>
      <c r="AB588" s="18"/>
      <c r="AC588" s="8" t="str">
        <f t="shared" si="106"/>
        <v/>
      </c>
      <c r="AD588" s="8"/>
      <c r="AE588" s="8"/>
      <c r="AF588" s="14"/>
      <c r="AG588" s="13"/>
      <c r="AH588" s="14"/>
      <c r="AI588" s="14"/>
      <c r="AJ588" s="8"/>
      <c r="AK588" s="8"/>
      <c r="AL588" s="8"/>
      <c r="AM588" s="8"/>
      <c r="AN588" s="631"/>
      <c r="AO588" s="18"/>
      <c r="AP588" s="18"/>
      <c r="AQ588" s="18"/>
      <c r="AR588" s="18"/>
      <c r="AS588" s="18"/>
      <c r="AU588" s="448"/>
      <c r="AV588" s="448"/>
      <c r="AW588" s="8" t="str">
        <f>IF(C588&gt;0,VLOOKUP(C588,Foundation_Calc!$A$2:$C$986,3,1),
IF(J588&gt;0,VLOOKUP(J588,Foundation_Calc!$A$2:$C$986,3,1),""))</f>
        <v/>
      </c>
      <c r="AX588" s="8" t="str">
        <f>IF(C588&gt;0,VLOOKUP(C588,Foundation_Calc!$E$2:$G$986,3,1),
IF(J588&gt;0,VLOOKUP(J588,Foundation_Calc!$E$2:$G$986,3,1),""))</f>
        <v/>
      </c>
      <c r="AY588" s="631" t="str">
        <f>IF(L588="","",
IF(AX588="PT",VLOOKUP(L588,Foundation_Calc!$K$4:$R$37,VLOOKUP(AW588,Foundation_Calc!$I$2:$J$8,2,FALSE),0),
IF(AX588="K",VLOOKUP(L588,Foundation_Calc!$K$41:$R$74,VLOOKUP(AW588,Foundation_Calc!$I$2:$J$8,2,FALSE),0),"")))</f>
        <v/>
      </c>
      <c r="AZ588" s="631" t="str">
        <f>IF(K588="","",
IF(AX588="PT",VLOOKUP(K588,Foundation_Calc!$K$4:$R$37,VLOOKUP(AW588,Foundation_Calc!$I$2:$J$8,2,FALSE),0),
IF(AX588="K",VLOOKUP(K588,Foundation_Calc!$K$41:$R$74,VLOOKUP(AW588,Foundation_Calc!$I$2:$J$8,2,FALSE),0),"")))</f>
        <v/>
      </c>
      <c r="BA588" s="632" t="str">
        <f t="shared" si="107"/>
        <v/>
      </c>
      <c r="BB588" s="632" t="str">
        <f t="shared" si="108"/>
        <v/>
      </c>
      <c r="BC588" s="632" t="str">
        <f t="shared" si="109"/>
        <v/>
      </c>
      <c r="BD588" s="633" t="str">
        <f>IF(AND(L588="",H588=""),"",
IF(H588="",Pole_Calc!A616,
IF(H588="MP",Pole_Calc!A617,
IF(H588="AnMP",Pole_Calc!A618,
IF(H588="A",Pole_Calc!A619,
IF(H588="S/A",Pole_Calc!A620,
IF(H588="A/S",Pole_Calc!A621,"Poner a mano")))))))</f>
        <v/>
      </c>
      <c r="BE588" s="448" t="s">
        <v>1726</v>
      </c>
      <c r="BF588" s="634"/>
      <c r="BG588" s="634"/>
      <c r="BH588" s="634"/>
      <c r="BI588" s="634"/>
    </row>
    <row r="589" spans="1:61" ht="16.2" customHeight="1">
      <c r="A589" s="12"/>
      <c r="B589" s="446"/>
      <c r="C589" s="89"/>
      <c r="D589" s="13"/>
      <c r="E589" s="14"/>
      <c r="F589" s="14"/>
      <c r="G589" s="15"/>
      <c r="H589" s="8"/>
      <c r="I589" s="8"/>
      <c r="J589" s="89"/>
      <c r="K589" s="8"/>
      <c r="L589" s="8"/>
      <c r="M589" s="8" t="str">
        <f>IF(L589="","",
IF(AX589="PT",VLOOKUP(L589,Foundation_Calc!$V$4:$X$37,VLOOKUP(AX589,Foundation_Calc!$I$10:$J$13,2,FALSE),0),
IF(AX589="K",VLOOKUP(L589,Foundation_Calc!$V$41:$X$74,VLOOKUP(AX589,Foundation_Calc!$I$10:$J$13,2,FALSE),0),"")))</f>
        <v/>
      </c>
      <c r="N589" s="8"/>
      <c r="O589" s="8"/>
      <c r="P589" s="8"/>
      <c r="Q589" s="14"/>
      <c r="R589" s="15"/>
      <c r="S589" s="15"/>
      <c r="T589" s="14"/>
      <c r="U589" s="14"/>
      <c r="V589" s="14"/>
      <c r="W589" s="18"/>
      <c r="X589" s="18"/>
      <c r="Y589" s="18"/>
      <c r="Z589" s="18"/>
      <c r="AA589" s="18"/>
      <c r="AB589" s="18"/>
      <c r="AC589" s="8" t="str">
        <f t="shared" si="106"/>
        <v/>
      </c>
      <c r="AD589" s="8"/>
      <c r="AE589" s="8"/>
      <c r="AF589" s="14"/>
      <c r="AG589" s="13"/>
      <c r="AH589" s="14"/>
      <c r="AI589" s="14"/>
      <c r="AJ589" s="8"/>
      <c r="AK589" s="8"/>
      <c r="AL589" s="8"/>
      <c r="AM589" s="8"/>
      <c r="AN589" s="631"/>
      <c r="AO589" s="18"/>
      <c r="AP589" s="18"/>
      <c r="AQ589" s="18"/>
      <c r="AR589" s="18"/>
      <c r="AS589" s="18"/>
      <c r="AU589" s="448"/>
      <c r="AV589" s="448"/>
      <c r="AW589" s="8" t="str">
        <f>IF(C589&gt;0,VLOOKUP(C589,Foundation_Calc!$A$2:$C$986,3,1),
IF(J589&gt;0,VLOOKUP(J589,Foundation_Calc!$A$2:$C$986,3,1),""))</f>
        <v/>
      </c>
      <c r="AX589" s="8" t="str">
        <f>IF(C589&gt;0,VLOOKUP(C589,Foundation_Calc!$E$2:$G$986,3,1),
IF(J589&gt;0,VLOOKUP(J589,Foundation_Calc!$E$2:$G$986,3,1),""))</f>
        <v/>
      </c>
      <c r="AY589" s="631" t="str">
        <f>IF(L589="","",
IF(AX589="PT",VLOOKUP(L589,Foundation_Calc!$K$4:$R$37,VLOOKUP(AW589,Foundation_Calc!$I$2:$J$8,2,FALSE),0),
IF(AX589="K",VLOOKUP(L589,Foundation_Calc!$K$41:$R$74,VLOOKUP(AW589,Foundation_Calc!$I$2:$J$8,2,FALSE),0),"")))</f>
        <v/>
      </c>
      <c r="AZ589" s="631" t="str">
        <f>IF(K589="","",
IF(AX589="PT",VLOOKUP(K589,Foundation_Calc!$K$4:$R$37,VLOOKUP(AW589,Foundation_Calc!$I$2:$J$8,2,FALSE),0),
IF(AX589="K",VLOOKUP(K589,Foundation_Calc!$K$41:$R$74,VLOOKUP(AW589,Foundation_Calc!$I$2:$J$8,2,FALSE),0),"")))</f>
        <v/>
      </c>
      <c r="BA589" s="632" t="str">
        <f t="shared" si="107"/>
        <v/>
      </c>
      <c r="BB589" s="632" t="str">
        <f t="shared" si="108"/>
        <v/>
      </c>
      <c r="BC589" s="632" t="str">
        <f t="shared" si="109"/>
        <v/>
      </c>
      <c r="BD589" s="633" t="str">
        <f>IF(AND(L589="",H589=""),"",
IF(H589="",Pole_Calc!A617,
IF(H589="MP",Pole_Calc!A618,
IF(H589="AnMP",Pole_Calc!A619,
IF(H589="A",Pole_Calc!A620,
IF(H589="S/A",Pole_Calc!A621,
IF(H589="A/S",Pole_Calc!A622,"Poner a mano")))))))</f>
        <v/>
      </c>
      <c r="BE589" s="448" t="s">
        <v>1726</v>
      </c>
      <c r="BF589" s="635"/>
      <c r="BG589" s="635"/>
      <c r="BH589" s="634"/>
      <c r="BI589" s="635"/>
    </row>
    <row r="590" spans="1:61" ht="16.2" customHeight="1">
      <c r="A590" s="12"/>
      <c r="B590" s="446"/>
      <c r="C590" s="89"/>
      <c r="D590" s="13"/>
      <c r="E590" s="14"/>
      <c r="F590" s="14"/>
      <c r="G590" s="15"/>
      <c r="H590" s="8"/>
      <c r="I590" s="8"/>
      <c r="J590" s="89"/>
      <c r="K590" s="8"/>
      <c r="L590" s="8"/>
      <c r="M590" s="8" t="str">
        <f>IF(L590="","",
IF(AX590="PT",VLOOKUP(L590,Foundation_Calc!$V$4:$X$37,VLOOKUP(AX590,Foundation_Calc!$I$10:$J$13,2,FALSE),0),
IF(AX590="K",VLOOKUP(L590,Foundation_Calc!$V$41:$X$74,VLOOKUP(AX590,Foundation_Calc!$I$10:$J$13,2,FALSE),0),"")))</f>
        <v/>
      </c>
      <c r="N590" s="8"/>
      <c r="O590" s="8"/>
      <c r="P590" s="8"/>
      <c r="Q590" s="14"/>
      <c r="R590" s="15"/>
      <c r="S590" s="15"/>
      <c r="T590" s="14"/>
      <c r="U590" s="14"/>
      <c r="V590" s="14"/>
      <c r="W590" s="18"/>
      <c r="X590" s="18"/>
      <c r="Y590" s="18"/>
      <c r="Z590" s="18"/>
      <c r="AA590" s="18"/>
      <c r="AB590" s="18"/>
      <c r="AC590" s="8" t="str">
        <f t="shared" si="106"/>
        <v/>
      </c>
      <c r="AD590" s="8"/>
      <c r="AE590" s="8"/>
      <c r="AF590" s="14"/>
      <c r="AG590" s="13"/>
      <c r="AH590" s="14"/>
      <c r="AI590" s="14"/>
      <c r="AJ590" s="8"/>
      <c r="AK590" s="8"/>
      <c r="AL590" s="8"/>
      <c r="AM590" s="8"/>
      <c r="AN590" s="631"/>
      <c r="AO590" s="18"/>
      <c r="AP590" s="18"/>
      <c r="AQ590" s="18"/>
      <c r="AR590" s="18"/>
      <c r="AS590" s="18"/>
      <c r="AU590" s="448"/>
      <c r="AV590" s="448"/>
      <c r="AW590" s="8" t="str">
        <f>IF(C590&gt;0,VLOOKUP(C590,Foundation_Calc!$A$2:$C$986,3,1),
IF(J590&gt;0,VLOOKUP(J590,Foundation_Calc!$A$2:$C$986,3,1),""))</f>
        <v/>
      </c>
      <c r="AX590" s="8" t="str">
        <f>IF(C590&gt;0,VLOOKUP(C590,Foundation_Calc!$E$2:$G$986,3,1),
IF(J590&gt;0,VLOOKUP(J590,Foundation_Calc!$E$2:$G$986,3,1),""))</f>
        <v/>
      </c>
      <c r="AY590" s="631" t="str">
        <f>IF(L590="","",
IF(AX590="PT",VLOOKUP(L590,Foundation_Calc!$K$4:$R$37,VLOOKUP(AW590,Foundation_Calc!$I$2:$J$8,2,FALSE),0),
IF(AX590="K",VLOOKUP(L590,Foundation_Calc!$K$41:$R$74,VLOOKUP(AW590,Foundation_Calc!$I$2:$J$8,2,FALSE),0),"")))</f>
        <v/>
      </c>
      <c r="AZ590" s="631" t="str">
        <f>IF(K590="","",
IF(AX590="PT",VLOOKUP(K590,Foundation_Calc!$K$4:$R$37,VLOOKUP(AW590,Foundation_Calc!$I$2:$J$8,2,FALSE),0),
IF(AX590="K",VLOOKUP(K590,Foundation_Calc!$K$41:$R$74,VLOOKUP(AW590,Foundation_Calc!$I$2:$J$8,2,FALSE),0),"")))</f>
        <v/>
      </c>
      <c r="BA590" s="632" t="str">
        <f t="shared" si="107"/>
        <v/>
      </c>
      <c r="BB590" s="632" t="str">
        <f t="shared" si="108"/>
        <v/>
      </c>
      <c r="BC590" s="632" t="str">
        <f t="shared" si="109"/>
        <v/>
      </c>
      <c r="BD590" s="633" t="str">
        <f>IF(AND(L590="",H590=""),"",
IF(H590="",Pole_Calc!A618,
IF(H590="MP",Pole_Calc!A619,
IF(H590="AnMP",Pole_Calc!A620,
IF(H590="A",Pole_Calc!A621,
IF(H590="S/A",Pole_Calc!A622,
IF(H590="A/S",Pole_Calc!A623,"Poner a mano")))))))</f>
        <v/>
      </c>
      <c r="BE590" s="448" t="s">
        <v>1726</v>
      </c>
      <c r="BF590" s="634"/>
      <c r="BG590" s="634"/>
      <c r="BH590" s="634"/>
      <c r="BI590" s="634"/>
    </row>
    <row r="591" spans="1:61" ht="16.2" customHeight="1">
      <c r="A591" s="12"/>
      <c r="B591" s="446"/>
      <c r="C591" s="89"/>
      <c r="D591" s="13"/>
      <c r="E591" s="14"/>
      <c r="F591" s="14"/>
      <c r="G591" s="15"/>
      <c r="H591" s="8"/>
      <c r="I591" s="8"/>
      <c r="J591" s="89"/>
      <c r="K591" s="8"/>
      <c r="L591" s="8"/>
      <c r="M591" s="8" t="str">
        <f>IF(L591="","",
IF(AX591="PT",VLOOKUP(L591,Foundation_Calc!$V$4:$X$37,VLOOKUP(AX591,Foundation_Calc!$I$10:$J$13,2,FALSE),0),
IF(AX591="K",VLOOKUP(L591,Foundation_Calc!$V$41:$X$74,VLOOKUP(AX591,Foundation_Calc!$I$10:$J$13,2,FALSE),0),"")))</f>
        <v/>
      </c>
      <c r="N591" s="8"/>
      <c r="O591" s="8"/>
      <c r="P591" s="8"/>
      <c r="Q591" s="14"/>
      <c r="R591" s="15"/>
      <c r="S591" s="15"/>
      <c r="T591" s="14"/>
      <c r="U591" s="14"/>
      <c r="V591" s="14"/>
      <c r="W591" s="18"/>
      <c r="X591" s="18"/>
      <c r="Y591" s="18"/>
      <c r="Z591" s="18"/>
      <c r="AA591" s="18"/>
      <c r="AB591" s="18"/>
      <c r="AC591" s="8" t="str">
        <f t="shared" si="106"/>
        <v/>
      </c>
      <c r="AD591" s="8"/>
      <c r="AE591" s="8"/>
      <c r="AF591" s="14"/>
      <c r="AG591" s="13"/>
      <c r="AH591" s="14"/>
      <c r="AI591" s="14"/>
      <c r="AJ591" s="8"/>
      <c r="AK591" s="8"/>
      <c r="AL591" s="8"/>
      <c r="AM591" s="8"/>
      <c r="AN591" s="631"/>
      <c r="AO591" s="18"/>
      <c r="AP591" s="18"/>
      <c r="AQ591" s="18"/>
      <c r="AR591" s="18"/>
      <c r="AS591" s="18"/>
      <c r="AU591" s="448"/>
      <c r="AV591" s="448"/>
      <c r="AW591" s="8" t="str">
        <f>IF(C591&gt;0,VLOOKUP(C591,Foundation_Calc!$A$2:$C$986,3,1),
IF(J591&gt;0,VLOOKUP(J591,Foundation_Calc!$A$2:$C$986,3,1),""))</f>
        <v/>
      </c>
      <c r="AX591" s="8" t="str">
        <f>IF(C591&gt;0,VLOOKUP(C591,Foundation_Calc!$E$2:$G$986,3,1),
IF(J591&gt;0,VLOOKUP(J591,Foundation_Calc!$E$2:$G$986,3,1),""))</f>
        <v/>
      </c>
      <c r="AY591" s="631" t="str">
        <f>IF(L591="","",
IF(AX591="PT",VLOOKUP(L591,Foundation_Calc!$K$4:$R$37,VLOOKUP(AW591,Foundation_Calc!$I$2:$J$8,2,FALSE),0),
IF(AX591="K",VLOOKUP(L591,Foundation_Calc!$K$41:$R$74,VLOOKUP(AW591,Foundation_Calc!$I$2:$J$8,2,FALSE),0),"")))</f>
        <v/>
      </c>
      <c r="AZ591" s="631" t="str">
        <f>IF(K591="","",
IF(AX591="PT",VLOOKUP(K591,Foundation_Calc!$K$4:$R$37,VLOOKUP(AW591,Foundation_Calc!$I$2:$J$8,2,FALSE),0),
IF(AX591="K",VLOOKUP(K591,Foundation_Calc!$K$41:$R$74,VLOOKUP(AW591,Foundation_Calc!$I$2:$J$8,2,FALSE),0),"")))</f>
        <v/>
      </c>
      <c r="BA591" s="632" t="str">
        <f t="shared" si="107"/>
        <v/>
      </c>
      <c r="BB591" s="632" t="str">
        <f t="shared" si="108"/>
        <v/>
      </c>
      <c r="BC591" s="632" t="str">
        <f t="shared" si="109"/>
        <v/>
      </c>
      <c r="BD591" s="633" t="str">
        <f>IF(AND(L591="",H591=""),"",
IF(H591="",Pole_Calc!A619,
IF(H591="MP",Pole_Calc!A620,
IF(H591="AnMP",Pole_Calc!A621,
IF(H591="A",Pole_Calc!A622,
IF(H591="S/A",Pole_Calc!A623,
IF(H591="A/S",Pole_Calc!A624,"Poner a mano")))))))</f>
        <v/>
      </c>
      <c r="BE591" s="448" t="s">
        <v>1726</v>
      </c>
      <c r="BF591" s="635"/>
      <c r="BG591" s="635"/>
      <c r="BH591" s="634"/>
      <c r="BI591" s="635"/>
    </row>
    <row r="592" spans="1:61" ht="16.2" customHeight="1">
      <c r="A592" s="12"/>
      <c r="B592" s="446"/>
      <c r="C592" s="89"/>
      <c r="D592" s="13"/>
      <c r="E592" s="14"/>
      <c r="F592" s="14"/>
      <c r="G592" s="15"/>
      <c r="H592" s="8"/>
      <c r="I592" s="8"/>
      <c r="J592" s="89"/>
      <c r="K592" s="8"/>
      <c r="L592" s="8"/>
      <c r="M592" s="8" t="str">
        <f>IF(L592="","",
IF(AX592="PT",VLOOKUP(L592,Foundation_Calc!$V$4:$X$37,VLOOKUP(AX592,Foundation_Calc!$I$10:$J$13,2,FALSE),0),
IF(AX592="K",VLOOKUP(L592,Foundation_Calc!$V$41:$X$74,VLOOKUP(AX592,Foundation_Calc!$I$10:$J$13,2,FALSE),0),"")))</f>
        <v/>
      </c>
      <c r="N592" s="8"/>
      <c r="O592" s="8"/>
      <c r="P592" s="8"/>
      <c r="Q592" s="14"/>
      <c r="R592" s="15"/>
      <c r="S592" s="15"/>
      <c r="T592" s="14"/>
      <c r="U592" s="14"/>
      <c r="V592" s="14"/>
      <c r="W592" s="18"/>
      <c r="X592" s="18"/>
      <c r="Y592" s="18"/>
      <c r="Z592" s="18"/>
      <c r="AA592" s="18"/>
      <c r="AB592" s="18"/>
      <c r="AC592" s="8" t="str">
        <f t="shared" si="106"/>
        <v/>
      </c>
      <c r="AD592" s="8"/>
      <c r="AE592" s="8"/>
      <c r="AF592" s="14"/>
      <c r="AG592" s="13"/>
      <c r="AH592" s="14"/>
      <c r="AI592" s="14"/>
      <c r="AJ592" s="8"/>
      <c r="AK592" s="8"/>
      <c r="AL592" s="8"/>
      <c r="AM592" s="8"/>
      <c r="AN592" s="631"/>
      <c r="AO592" s="18"/>
      <c r="AP592" s="18"/>
      <c r="AQ592" s="18"/>
      <c r="AR592" s="18"/>
      <c r="AS592" s="18"/>
      <c r="AU592" s="448"/>
      <c r="AV592" s="448"/>
      <c r="AW592" s="8" t="str">
        <f>IF(C592&gt;0,VLOOKUP(C592,Foundation_Calc!$A$2:$C$986,3,1),
IF(J592&gt;0,VLOOKUP(J592,Foundation_Calc!$A$2:$C$986,3,1),""))</f>
        <v/>
      </c>
      <c r="AX592" s="8" t="str">
        <f>IF(C592&gt;0,VLOOKUP(C592,Foundation_Calc!$E$2:$G$986,3,1),
IF(J592&gt;0,VLOOKUP(J592,Foundation_Calc!$E$2:$G$986,3,1),""))</f>
        <v/>
      </c>
      <c r="AY592" s="631" t="str">
        <f>IF(L592="","",
IF(AX592="PT",VLOOKUP(L592,Foundation_Calc!$K$4:$R$37,VLOOKUP(AW592,Foundation_Calc!$I$2:$J$8,2,FALSE),0),
IF(AX592="K",VLOOKUP(L592,Foundation_Calc!$K$41:$R$74,VLOOKUP(AW592,Foundation_Calc!$I$2:$J$8,2,FALSE),0),"")))</f>
        <v/>
      </c>
      <c r="AZ592" s="631" t="str">
        <f>IF(K592="","",
IF(AX592="PT",VLOOKUP(K592,Foundation_Calc!$K$4:$R$37,VLOOKUP(AW592,Foundation_Calc!$I$2:$J$8,2,FALSE),0),
IF(AX592="K",VLOOKUP(K592,Foundation_Calc!$K$41:$R$74,VLOOKUP(AW592,Foundation_Calc!$I$2:$J$8,2,FALSE),0),"")))</f>
        <v/>
      </c>
      <c r="BA592" s="632" t="str">
        <f t="shared" si="107"/>
        <v/>
      </c>
      <c r="BB592" s="632" t="str">
        <f t="shared" si="108"/>
        <v/>
      </c>
      <c r="BC592" s="632" t="str">
        <f t="shared" si="109"/>
        <v/>
      </c>
      <c r="BD592" s="633" t="str">
        <f>IF(AND(L592="",H592=""),"",
IF(H592="",Pole_Calc!A620,
IF(H592="MP",Pole_Calc!A621,
IF(H592="AnMP",Pole_Calc!A622,
IF(H592="A",Pole_Calc!A623,
IF(H592="S/A",Pole_Calc!A624,
IF(H592="A/S",Pole_Calc!A625,"Poner a mano")))))))</f>
        <v/>
      </c>
      <c r="BE592" s="448" t="s">
        <v>1726</v>
      </c>
      <c r="BF592" s="634"/>
      <c r="BG592" s="634"/>
      <c r="BH592" s="634"/>
      <c r="BI592" s="634"/>
    </row>
    <row r="593" spans="1:61" ht="16.2" customHeight="1">
      <c r="A593" s="12"/>
      <c r="B593" s="446"/>
      <c r="C593" s="89"/>
      <c r="D593" s="13"/>
      <c r="E593" s="14"/>
      <c r="F593" s="14"/>
      <c r="G593" s="15"/>
      <c r="H593" s="8"/>
      <c r="I593" s="8"/>
      <c r="J593" s="89"/>
      <c r="K593" s="8"/>
      <c r="L593" s="8"/>
      <c r="M593" s="8" t="str">
        <f>IF(L593="","",
IF(AX593="PT",VLOOKUP(L593,Foundation_Calc!$V$4:$X$37,VLOOKUP(AX593,Foundation_Calc!$I$10:$J$13,2,FALSE),0),
IF(AX593="K",VLOOKUP(L593,Foundation_Calc!$V$41:$X$74,VLOOKUP(AX593,Foundation_Calc!$I$10:$J$13,2,FALSE),0),"")))</f>
        <v/>
      </c>
      <c r="N593" s="8"/>
      <c r="O593" s="8"/>
      <c r="P593" s="8"/>
      <c r="Q593" s="14"/>
      <c r="R593" s="15"/>
      <c r="S593" s="15"/>
      <c r="T593" s="14"/>
      <c r="U593" s="14"/>
      <c r="V593" s="14"/>
      <c r="W593" s="18"/>
      <c r="X593" s="18"/>
      <c r="Y593" s="18"/>
      <c r="Z593" s="18"/>
      <c r="AA593" s="18"/>
      <c r="AB593" s="18"/>
      <c r="AC593" s="8" t="str">
        <f t="shared" si="106"/>
        <v/>
      </c>
      <c r="AD593" s="8"/>
      <c r="AE593" s="8"/>
      <c r="AF593" s="14"/>
      <c r="AG593" s="13"/>
      <c r="AH593" s="14"/>
      <c r="AI593" s="14"/>
      <c r="AJ593" s="8"/>
      <c r="AK593" s="8"/>
      <c r="AL593" s="8"/>
      <c r="AM593" s="8"/>
      <c r="AN593" s="631"/>
      <c r="AO593" s="18"/>
      <c r="AP593" s="18"/>
      <c r="AQ593" s="18"/>
      <c r="AR593" s="18"/>
      <c r="AS593" s="18"/>
      <c r="AU593" s="448"/>
      <c r="AV593" s="448"/>
      <c r="AW593" s="8" t="str">
        <f>IF(C593&gt;0,VLOOKUP(C593,Foundation_Calc!$A$2:$C$986,3,1),
IF(J593&gt;0,VLOOKUP(J593,Foundation_Calc!$A$2:$C$986,3,1),""))</f>
        <v/>
      </c>
      <c r="AX593" s="8" t="str">
        <f>IF(C593&gt;0,VLOOKUP(C593,Foundation_Calc!$E$2:$G$986,3,1),
IF(J593&gt;0,VLOOKUP(J593,Foundation_Calc!$E$2:$G$986,3,1),""))</f>
        <v/>
      </c>
      <c r="AY593" s="631" t="str">
        <f>IF(L593="","",
IF(AX593="PT",VLOOKUP(L593,Foundation_Calc!$K$4:$R$37,VLOOKUP(AW593,Foundation_Calc!$I$2:$J$8,2,FALSE),0),
IF(AX593="K",VLOOKUP(L593,Foundation_Calc!$K$41:$R$74,VLOOKUP(AW593,Foundation_Calc!$I$2:$J$8,2,FALSE),0),"")))</f>
        <v/>
      </c>
      <c r="AZ593" s="631" t="str">
        <f>IF(K593="","",
IF(AX593="PT",VLOOKUP(K593,Foundation_Calc!$K$4:$R$37,VLOOKUP(AW593,Foundation_Calc!$I$2:$J$8,2,FALSE),0),
IF(AX593="K",VLOOKUP(K593,Foundation_Calc!$K$41:$R$74,VLOOKUP(AW593,Foundation_Calc!$I$2:$J$8,2,FALSE),0),"")))</f>
        <v/>
      </c>
      <c r="BA593" s="632" t="str">
        <f t="shared" si="107"/>
        <v/>
      </c>
      <c r="BB593" s="632" t="str">
        <f t="shared" si="108"/>
        <v/>
      </c>
      <c r="BC593" s="632" t="str">
        <f t="shared" si="109"/>
        <v/>
      </c>
      <c r="BD593" s="633" t="str">
        <f>IF(AND(L593="",H593=""),"",
IF(H593="",Pole_Calc!A621,
IF(H593="MP",Pole_Calc!A622,
IF(H593="AnMP",Pole_Calc!A623,
IF(H593="A",Pole_Calc!A624,
IF(H593="S/A",Pole_Calc!A625,
IF(H593="A/S",Pole_Calc!A626,"Poner a mano")))))))</f>
        <v/>
      </c>
      <c r="BE593" s="448" t="s">
        <v>1726</v>
      </c>
      <c r="BF593" s="635"/>
      <c r="BG593" s="635"/>
      <c r="BH593" s="634"/>
      <c r="BI593" s="635"/>
    </row>
    <row r="594" spans="1:61" ht="16.2" customHeight="1">
      <c r="A594" s="12"/>
      <c r="B594" s="446"/>
      <c r="C594" s="89"/>
      <c r="D594" s="13"/>
      <c r="E594" s="14"/>
      <c r="F594" s="14"/>
      <c r="G594" s="15"/>
      <c r="H594" s="8"/>
      <c r="I594" s="8"/>
      <c r="J594" s="89"/>
      <c r="K594" s="8"/>
      <c r="L594" s="8"/>
      <c r="M594" s="8" t="str">
        <f>IF(L594="","",
IF(AX594="PT",VLOOKUP(L594,Foundation_Calc!$V$4:$X$37,VLOOKUP(AX594,Foundation_Calc!$I$10:$J$13,2,FALSE),0),
IF(AX594="K",VLOOKUP(L594,Foundation_Calc!$V$41:$X$74,VLOOKUP(AX594,Foundation_Calc!$I$10:$J$13,2,FALSE),0),"")))</f>
        <v/>
      </c>
      <c r="N594" s="8"/>
      <c r="O594" s="8"/>
      <c r="P594" s="8"/>
      <c r="Q594" s="14"/>
      <c r="R594" s="15"/>
      <c r="S594" s="15"/>
      <c r="T594" s="14"/>
      <c r="U594" s="14"/>
      <c r="V594" s="14"/>
      <c r="W594" s="18"/>
      <c r="X594" s="18"/>
      <c r="Y594" s="18"/>
      <c r="Z594" s="18"/>
      <c r="AA594" s="18"/>
      <c r="AB594" s="18"/>
      <c r="AC594" s="8" t="str">
        <f t="shared" si="106"/>
        <v/>
      </c>
      <c r="AD594" s="8"/>
      <c r="AE594" s="8"/>
      <c r="AF594" s="14"/>
      <c r="AG594" s="13"/>
      <c r="AH594" s="14"/>
      <c r="AI594" s="14"/>
      <c r="AJ594" s="8"/>
      <c r="AK594" s="8"/>
      <c r="AL594" s="8"/>
      <c r="AM594" s="8"/>
      <c r="AN594" s="631"/>
      <c r="AO594" s="18"/>
      <c r="AP594" s="18"/>
      <c r="AQ594" s="18"/>
      <c r="AR594" s="18"/>
      <c r="AS594" s="18"/>
      <c r="AU594" s="448"/>
      <c r="AV594" s="448"/>
      <c r="AW594" s="8" t="str">
        <f>IF(C594&gt;0,VLOOKUP(C594,Foundation_Calc!$A$2:$C$986,3,1),
IF(J594&gt;0,VLOOKUP(J594,Foundation_Calc!$A$2:$C$986,3,1),""))</f>
        <v/>
      </c>
      <c r="AX594" s="8" t="str">
        <f>IF(C594&gt;0,VLOOKUP(C594,Foundation_Calc!$E$2:$G$986,3,1),
IF(J594&gt;0,VLOOKUP(J594,Foundation_Calc!$E$2:$G$986,3,1),""))</f>
        <v/>
      </c>
      <c r="AY594" s="631" t="str">
        <f>IF(L594="","",
IF(AX594="PT",VLOOKUP(L594,Foundation_Calc!$K$4:$R$37,VLOOKUP(AW594,Foundation_Calc!$I$2:$J$8,2,FALSE),0),
IF(AX594="K",VLOOKUP(L594,Foundation_Calc!$K$41:$R$74,VLOOKUP(AW594,Foundation_Calc!$I$2:$J$8,2,FALSE),0),"")))</f>
        <v/>
      </c>
      <c r="AZ594" s="631" t="str">
        <f>IF(K594="","",
IF(AX594="PT",VLOOKUP(K594,Foundation_Calc!$K$4:$R$37,VLOOKUP(AW594,Foundation_Calc!$I$2:$J$8,2,FALSE),0),
IF(AX594="K",VLOOKUP(K594,Foundation_Calc!$K$41:$R$74,VLOOKUP(AW594,Foundation_Calc!$I$2:$J$8,2,FALSE),0),"")))</f>
        <v/>
      </c>
      <c r="BA594" s="632" t="str">
        <f t="shared" si="107"/>
        <v/>
      </c>
      <c r="BB594" s="632" t="str">
        <f t="shared" si="108"/>
        <v/>
      </c>
      <c r="BC594" s="632" t="str">
        <f t="shared" si="109"/>
        <v/>
      </c>
      <c r="BD594" s="633" t="str">
        <f>IF(AND(L594="",H594=""),"",
IF(H594="",Pole_Calc!A622,
IF(H594="MP",Pole_Calc!A623,
IF(H594="AnMP",Pole_Calc!A624,
IF(H594="A",Pole_Calc!A625,
IF(H594="S/A",Pole_Calc!A626,
IF(H594="A/S",Pole_Calc!A627,"Poner a mano")))))))</f>
        <v/>
      </c>
      <c r="BE594" s="448" t="s">
        <v>1726</v>
      </c>
      <c r="BF594" s="634"/>
      <c r="BG594" s="634"/>
      <c r="BH594" s="634"/>
      <c r="BI594" s="634"/>
    </row>
    <row r="595" spans="1:61" ht="16.2" customHeight="1">
      <c r="A595" s="12"/>
      <c r="B595" s="446"/>
      <c r="C595" s="89"/>
      <c r="D595" s="13"/>
      <c r="E595" s="14"/>
      <c r="F595" s="14"/>
      <c r="G595" s="15"/>
      <c r="H595" s="8"/>
      <c r="I595" s="8"/>
      <c r="J595" s="89"/>
      <c r="K595" s="8"/>
      <c r="L595" s="8"/>
      <c r="M595" s="8" t="str">
        <f>IF(L595="","",
IF(AX595="PT",VLOOKUP(L595,Foundation_Calc!$V$4:$X$37,VLOOKUP(AX595,Foundation_Calc!$I$10:$J$13,2,FALSE),0),
IF(AX595="K",VLOOKUP(L595,Foundation_Calc!$V$41:$X$74,VLOOKUP(AX595,Foundation_Calc!$I$10:$J$13,2,FALSE),0),"")))</f>
        <v/>
      </c>
      <c r="N595" s="8"/>
      <c r="O595" s="8"/>
      <c r="P595" s="8"/>
      <c r="Q595" s="14"/>
      <c r="R595" s="15"/>
      <c r="S595" s="15"/>
      <c r="T595" s="14"/>
      <c r="U595" s="14"/>
      <c r="V595" s="14"/>
      <c r="W595" s="18"/>
      <c r="X595" s="18"/>
      <c r="Y595" s="18"/>
      <c r="Z595" s="18"/>
      <c r="AA595" s="18"/>
      <c r="AB595" s="18"/>
      <c r="AC595" s="8" t="str">
        <f t="shared" si="106"/>
        <v/>
      </c>
      <c r="AD595" s="8"/>
      <c r="AE595" s="8"/>
      <c r="AF595" s="14"/>
      <c r="AG595" s="13"/>
      <c r="AH595" s="14"/>
      <c r="AI595" s="14"/>
      <c r="AJ595" s="8"/>
      <c r="AK595" s="8"/>
      <c r="AL595" s="8"/>
      <c r="AM595" s="8"/>
      <c r="AN595" s="631"/>
      <c r="AO595" s="18"/>
      <c r="AP595" s="18"/>
      <c r="AQ595" s="18"/>
      <c r="AR595" s="18"/>
      <c r="AS595" s="18"/>
      <c r="AU595" s="448"/>
      <c r="AV595" s="448"/>
      <c r="AW595" s="8" t="str">
        <f>IF(C595&gt;0,VLOOKUP(C595,Foundation_Calc!$A$2:$C$986,3,1),
IF(J595&gt;0,VLOOKUP(J595,Foundation_Calc!$A$2:$C$986,3,1),""))</f>
        <v/>
      </c>
      <c r="AX595" s="8" t="str">
        <f>IF(C595&gt;0,VLOOKUP(C595,Foundation_Calc!$E$2:$G$986,3,1),
IF(J595&gt;0,VLOOKUP(J595,Foundation_Calc!$E$2:$G$986,3,1),""))</f>
        <v/>
      </c>
      <c r="AY595" s="631" t="str">
        <f>IF(L595="","",
IF(AX595="PT",VLOOKUP(L595,Foundation_Calc!$K$4:$R$37,VLOOKUP(AW595,Foundation_Calc!$I$2:$J$8,2,FALSE),0),
IF(AX595="K",VLOOKUP(L595,Foundation_Calc!$K$41:$R$74,VLOOKUP(AW595,Foundation_Calc!$I$2:$J$8,2,FALSE),0),"")))</f>
        <v/>
      </c>
      <c r="AZ595" s="631" t="str">
        <f>IF(K595="","",
IF(AX595="PT",VLOOKUP(K595,Foundation_Calc!$K$4:$R$37,VLOOKUP(AW595,Foundation_Calc!$I$2:$J$8,2,FALSE),0),
IF(AX595="K",VLOOKUP(K595,Foundation_Calc!$K$41:$R$74,VLOOKUP(AW595,Foundation_Calc!$I$2:$J$8,2,FALSE),0),"")))</f>
        <v/>
      </c>
      <c r="BA595" s="632" t="str">
        <f t="shared" si="107"/>
        <v/>
      </c>
      <c r="BB595" s="632" t="str">
        <f t="shared" si="108"/>
        <v/>
      </c>
      <c r="BC595" s="632" t="str">
        <f t="shared" si="109"/>
        <v/>
      </c>
      <c r="BD595" s="633" t="str">
        <f>IF(AND(L595="",H595=""),"",
IF(H595="",Pole_Calc!A623,
IF(H595="MP",Pole_Calc!A624,
IF(H595="AnMP",Pole_Calc!A625,
IF(H595="A",Pole_Calc!A626,
IF(H595="S/A",Pole_Calc!A627,
IF(H595="A/S",Pole_Calc!A628,"Poner a mano")))))))</f>
        <v/>
      </c>
      <c r="BE595" s="448" t="s">
        <v>1726</v>
      </c>
      <c r="BF595" s="635"/>
      <c r="BG595" s="635"/>
      <c r="BH595" s="634"/>
      <c r="BI595" s="635"/>
    </row>
    <row r="596" spans="1:61" ht="16.2" customHeight="1">
      <c r="A596" s="12"/>
      <c r="B596" s="446"/>
      <c r="C596" s="89"/>
      <c r="D596" s="13"/>
      <c r="E596" s="14"/>
      <c r="F596" s="14"/>
      <c r="G596" s="15"/>
      <c r="H596" s="8"/>
      <c r="I596" s="8"/>
      <c r="J596" s="89"/>
      <c r="K596" s="8"/>
      <c r="L596" s="8"/>
      <c r="M596" s="8" t="str">
        <f>IF(L596="","",
IF(AX596="PT",VLOOKUP(L596,Foundation_Calc!$V$4:$X$37,VLOOKUP(AX596,Foundation_Calc!$I$10:$J$13,2,FALSE),0),
IF(AX596="K",VLOOKUP(L596,Foundation_Calc!$V$41:$X$74,VLOOKUP(AX596,Foundation_Calc!$I$10:$J$13,2,FALSE),0),"")))</f>
        <v/>
      </c>
      <c r="N596" s="8"/>
      <c r="O596" s="8"/>
      <c r="P596" s="8"/>
      <c r="Q596" s="14"/>
      <c r="R596" s="15"/>
      <c r="S596" s="15"/>
      <c r="T596" s="14"/>
      <c r="U596" s="14"/>
      <c r="V596" s="14"/>
      <c r="W596" s="18"/>
      <c r="X596" s="18"/>
      <c r="Y596" s="18"/>
      <c r="Z596" s="18"/>
      <c r="AA596" s="18"/>
      <c r="AB596" s="18"/>
      <c r="AC596" s="8" t="str">
        <f t="shared" si="106"/>
        <v/>
      </c>
      <c r="AD596" s="8"/>
      <c r="AE596" s="8"/>
      <c r="AF596" s="14"/>
      <c r="AG596" s="13"/>
      <c r="AH596" s="14"/>
      <c r="AI596" s="14"/>
      <c r="AJ596" s="8"/>
      <c r="AK596" s="8"/>
      <c r="AL596" s="8"/>
      <c r="AM596" s="8"/>
      <c r="AN596" s="631"/>
      <c r="AO596" s="18"/>
      <c r="AP596" s="18"/>
      <c r="AQ596" s="18"/>
      <c r="AR596" s="18"/>
      <c r="AS596" s="18"/>
      <c r="AU596" s="448"/>
      <c r="AV596" s="448"/>
      <c r="AW596" s="8" t="str">
        <f>IF(C596&gt;0,VLOOKUP(C596,Foundation_Calc!$A$2:$C$986,3,1),
IF(J596&gt;0,VLOOKUP(J596,Foundation_Calc!$A$2:$C$986,3,1),""))</f>
        <v/>
      </c>
      <c r="AX596" s="8" t="str">
        <f>IF(C596&gt;0,VLOOKUP(C596,Foundation_Calc!$E$2:$G$986,3,1),
IF(J596&gt;0,VLOOKUP(J596,Foundation_Calc!$E$2:$G$986,3,1),""))</f>
        <v/>
      </c>
      <c r="AY596" s="631" t="str">
        <f>IF(L596="","",
IF(AX596="PT",VLOOKUP(L596,Foundation_Calc!$K$4:$R$37,VLOOKUP(AW596,Foundation_Calc!$I$2:$J$8,2,FALSE),0),
IF(AX596="K",VLOOKUP(L596,Foundation_Calc!$K$41:$R$74,VLOOKUP(AW596,Foundation_Calc!$I$2:$J$8,2,FALSE),0),"")))</f>
        <v/>
      </c>
      <c r="AZ596" s="631" t="str">
        <f>IF(K596="","",
IF(AX596="PT",VLOOKUP(K596,Foundation_Calc!$K$4:$R$37,VLOOKUP(AW596,Foundation_Calc!$I$2:$J$8,2,FALSE),0),
IF(AX596="K",VLOOKUP(K596,Foundation_Calc!$K$41:$R$74,VLOOKUP(AW596,Foundation_Calc!$I$2:$J$8,2,FALSE),0),"")))</f>
        <v/>
      </c>
      <c r="BA596" s="632" t="str">
        <f t="shared" si="107"/>
        <v/>
      </c>
      <c r="BB596" s="632" t="str">
        <f t="shared" si="108"/>
        <v/>
      </c>
      <c r="BC596" s="632" t="str">
        <f t="shared" si="109"/>
        <v/>
      </c>
      <c r="BD596" s="633" t="str">
        <f>IF(AND(L596="",H596=""),"",
IF(H596="",Pole_Calc!A624,
IF(H596="MP",Pole_Calc!A625,
IF(H596="AnMP",Pole_Calc!A626,
IF(H596="A",Pole_Calc!A627,
IF(H596="S/A",Pole_Calc!A628,
IF(H596="A/S",Pole_Calc!A629,"Poner a mano")))))))</f>
        <v/>
      </c>
      <c r="BE596" s="448" t="s">
        <v>1726</v>
      </c>
      <c r="BF596" s="634"/>
      <c r="BG596" s="634"/>
      <c r="BH596" s="634"/>
      <c r="BI596" s="634"/>
    </row>
    <row r="597" spans="1:61" ht="16.2" customHeight="1">
      <c r="A597" s="12"/>
      <c r="B597" s="446"/>
      <c r="C597" s="89"/>
      <c r="D597" s="13"/>
      <c r="E597" s="14"/>
      <c r="F597" s="14"/>
      <c r="G597" s="15"/>
      <c r="H597" s="8"/>
      <c r="I597" s="8"/>
      <c r="J597" s="89"/>
      <c r="K597" s="8"/>
      <c r="L597" s="8"/>
      <c r="M597" s="8" t="str">
        <f>IF(L597="","",
IF(AX597="PT",VLOOKUP(L597,Foundation_Calc!$V$4:$X$37,VLOOKUP(AX597,Foundation_Calc!$I$10:$J$13,2,FALSE),0),
IF(AX597="K",VLOOKUP(L597,Foundation_Calc!$V$41:$X$74,VLOOKUP(AX597,Foundation_Calc!$I$10:$J$13,2,FALSE),0),"")))</f>
        <v/>
      </c>
      <c r="N597" s="8"/>
      <c r="O597" s="8"/>
      <c r="P597" s="8"/>
      <c r="Q597" s="14"/>
      <c r="R597" s="15"/>
      <c r="S597" s="15"/>
      <c r="T597" s="14"/>
      <c r="U597" s="14"/>
      <c r="V597" s="14"/>
      <c r="W597" s="18"/>
      <c r="X597" s="18"/>
      <c r="Y597" s="18"/>
      <c r="Z597" s="18"/>
      <c r="AA597" s="18"/>
      <c r="AB597" s="18"/>
      <c r="AC597" s="8" t="str">
        <f t="shared" si="106"/>
        <v/>
      </c>
      <c r="AD597" s="8"/>
      <c r="AE597" s="8"/>
      <c r="AF597" s="14"/>
      <c r="AG597" s="13"/>
      <c r="AH597" s="14"/>
      <c r="AI597" s="14"/>
      <c r="AJ597" s="8"/>
      <c r="AK597" s="8"/>
      <c r="AL597" s="8"/>
      <c r="AM597" s="8"/>
      <c r="AN597" s="631"/>
      <c r="AO597" s="18"/>
      <c r="AP597" s="18"/>
      <c r="AQ597" s="18"/>
      <c r="AR597" s="18"/>
      <c r="AS597" s="18"/>
      <c r="AU597" s="448"/>
      <c r="AV597" s="448"/>
      <c r="AW597" s="8" t="str">
        <f>IF(C597&gt;0,VLOOKUP(C597,Foundation_Calc!$A$2:$C$986,3,1),
IF(J597&gt;0,VLOOKUP(J597,Foundation_Calc!$A$2:$C$986,3,1),""))</f>
        <v/>
      </c>
      <c r="AX597" s="8" t="str">
        <f>IF(C597&gt;0,VLOOKUP(C597,Foundation_Calc!$E$2:$G$986,3,1),
IF(J597&gt;0,VLOOKUP(J597,Foundation_Calc!$E$2:$G$986,3,1),""))</f>
        <v/>
      </c>
      <c r="AY597" s="631" t="str">
        <f>IF(L597="","",
IF(AX597="PT",VLOOKUP(L597,Foundation_Calc!$K$4:$R$37,VLOOKUP(AW597,Foundation_Calc!$I$2:$J$8,2,FALSE),0),
IF(AX597="K",VLOOKUP(L597,Foundation_Calc!$K$41:$R$74,VLOOKUP(AW597,Foundation_Calc!$I$2:$J$8,2,FALSE),0),"")))</f>
        <v/>
      </c>
      <c r="AZ597" s="631" t="str">
        <f>IF(K597="","",
IF(AX597="PT",VLOOKUP(K597,Foundation_Calc!$K$4:$R$37,VLOOKUP(AW597,Foundation_Calc!$I$2:$J$8,2,FALSE),0),
IF(AX597="K",VLOOKUP(K597,Foundation_Calc!$K$41:$R$74,VLOOKUP(AW597,Foundation_Calc!$I$2:$J$8,2,FALSE),0),"")))</f>
        <v/>
      </c>
      <c r="BA597" s="632" t="str">
        <f t="shared" si="107"/>
        <v/>
      </c>
      <c r="BB597" s="632" t="str">
        <f t="shared" si="108"/>
        <v/>
      </c>
      <c r="BC597" s="632" t="str">
        <f t="shared" si="109"/>
        <v/>
      </c>
      <c r="BD597" s="633" t="str">
        <f>IF(AND(L597="",H597=""),"",
IF(H597="",Pole_Calc!A625,
IF(H597="MP",Pole_Calc!A626,
IF(H597="AnMP",Pole_Calc!A627,
IF(H597="A",Pole_Calc!A628,
IF(H597="S/A",Pole_Calc!A629,
IF(H597="A/S",Pole_Calc!A630,"Poner a mano")))))))</f>
        <v/>
      </c>
      <c r="BE597" s="448" t="s">
        <v>1726</v>
      </c>
      <c r="BF597" s="635"/>
      <c r="BG597" s="635"/>
      <c r="BH597" s="634"/>
      <c r="BI597" s="635"/>
    </row>
    <row r="598" spans="1:61" ht="16.2" customHeight="1">
      <c r="A598" s="12"/>
      <c r="B598" s="446"/>
      <c r="C598" s="89"/>
      <c r="D598" s="13"/>
      <c r="E598" s="14"/>
      <c r="F598" s="14"/>
      <c r="G598" s="15"/>
      <c r="H598" s="8"/>
      <c r="I598" s="8"/>
      <c r="J598" s="89"/>
      <c r="K598" s="8"/>
      <c r="L598" s="8"/>
      <c r="M598" s="8" t="str">
        <f>IF(L598="","",
IF(AX598="PT",VLOOKUP(L598,Foundation_Calc!$V$4:$X$37,VLOOKUP(AX598,Foundation_Calc!$I$10:$J$13,2,FALSE),0),
IF(AX598="K",VLOOKUP(L598,Foundation_Calc!$V$41:$X$74,VLOOKUP(AX598,Foundation_Calc!$I$10:$J$13,2,FALSE),0),"")))</f>
        <v/>
      </c>
      <c r="N598" s="8"/>
      <c r="O598" s="8"/>
      <c r="P598" s="8"/>
      <c r="Q598" s="14"/>
      <c r="R598" s="15"/>
      <c r="S598" s="15"/>
      <c r="T598" s="14"/>
      <c r="U598" s="14"/>
      <c r="V598" s="14"/>
      <c r="W598" s="18"/>
      <c r="X598" s="18"/>
      <c r="Y598" s="18"/>
      <c r="Z598" s="18"/>
      <c r="AA598" s="18"/>
      <c r="AB598" s="18"/>
      <c r="AC598" s="8" t="str">
        <f t="shared" si="106"/>
        <v/>
      </c>
      <c r="AD598" s="8"/>
      <c r="AE598" s="8"/>
      <c r="AF598" s="14"/>
      <c r="AG598" s="13"/>
      <c r="AH598" s="14"/>
      <c r="AI598" s="14"/>
      <c r="AJ598" s="8"/>
      <c r="AK598" s="8"/>
      <c r="AL598" s="8"/>
      <c r="AM598" s="8"/>
      <c r="AN598" s="631"/>
      <c r="AO598" s="18"/>
      <c r="AP598" s="18"/>
      <c r="AQ598" s="18"/>
      <c r="AR598" s="18"/>
      <c r="AS598" s="18"/>
      <c r="AU598" s="448"/>
      <c r="AV598" s="448"/>
      <c r="AW598" s="8" t="str">
        <f>IF(C598&gt;0,VLOOKUP(C598,Foundation_Calc!$A$2:$C$986,3,1),
IF(J598&gt;0,VLOOKUP(J598,Foundation_Calc!$A$2:$C$986,3,1),""))</f>
        <v/>
      </c>
      <c r="AX598" s="8" t="str">
        <f>IF(C598&gt;0,VLOOKUP(C598,Foundation_Calc!$E$2:$G$986,3,1),
IF(J598&gt;0,VLOOKUP(J598,Foundation_Calc!$E$2:$G$986,3,1),""))</f>
        <v/>
      </c>
      <c r="AY598" s="631" t="str">
        <f>IF(L598="","",
IF(AX598="PT",VLOOKUP(L598,Foundation_Calc!$K$4:$R$37,VLOOKUP(AW598,Foundation_Calc!$I$2:$J$8,2,FALSE),0),
IF(AX598="K",VLOOKUP(L598,Foundation_Calc!$K$41:$R$74,VLOOKUP(AW598,Foundation_Calc!$I$2:$J$8,2,FALSE),0),"")))</f>
        <v/>
      </c>
      <c r="AZ598" s="631" t="str">
        <f>IF(K598="","",
IF(AX598="PT",VLOOKUP(K598,Foundation_Calc!$K$4:$R$37,VLOOKUP(AW598,Foundation_Calc!$I$2:$J$8,2,FALSE),0),
IF(AX598="K",VLOOKUP(K598,Foundation_Calc!$K$41:$R$74,VLOOKUP(AW598,Foundation_Calc!$I$2:$J$8,2,FALSE),0),"")))</f>
        <v/>
      </c>
      <c r="BA598" s="632" t="str">
        <f t="shared" si="107"/>
        <v/>
      </c>
      <c r="BB598" s="632" t="str">
        <f t="shared" si="108"/>
        <v/>
      </c>
      <c r="BC598" s="632" t="str">
        <f t="shared" si="109"/>
        <v/>
      </c>
      <c r="BD598" s="633" t="str">
        <f>IF(AND(L598="",H598=""),"",
IF(H598="",Pole_Calc!A626,
IF(H598="MP",Pole_Calc!A627,
IF(H598="AnMP",Pole_Calc!A628,
IF(H598="A",Pole_Calc!A629,
IF(H598="S/A",Pole_Calc!A630,
IF(H598="A/S",Pole_Calc!A631,"Poner a mano")))))))</f>
        <v/>
      </c>
      <c r="BE598" s="448" t="s">
        <v>1726</v>
      </c>
      <c r="BF598" s="634"/>
      <c r="BG598" s="634"/>
      <c r="BH598" s="634"/>
      <c r="BI598" s="634"/>
    </row>
    <row r="599" spans="1:61" ht="16.2" customHeight="1">
      <c r="A599" s="12"/>
      <c r="B599" s="446"/>
      <c r="C599" s="89"/>
      <c r="D599" s="13"/>
      <c r="E599" s="14"/>
      <c r="F599" s="14"/>
      <c r="G599" s="15"/>
      <c r="H599" s="8"/>
      <c r="I599" s="8"/>
      <c r="J599" s="89"/>
      <c r="K599" s="8"/>
      <c r="L599" s="8"/>
      <c r="M599" s="8" t="str">
        <f>IF(L599="","",
IF(AX599="PT",VLOOKUP(L599,Foundation_Calc!$V$4:$X$37,VLOOKUP(AX599,Foundation_Calc!$I$10:$J$13,2,FALSE),0),
IF(AX599="K",VLOOKUP(L599,Foundation_Calc!$V$41:$X$74,VLOOKUP(AX599,Foundation_Calc!$I$10:$J$13,2,FALSE),0),"")))</f>
        <v/>
      </c>
      <c r="N599" s="8"/>
      <c r="O599" s="8"/>
      <c r="P599" s="8"/>
      <c r="Q599" s="14"/>
      <c r="R599" s="15"/>
      <c r="S599" s="15"/>
      <c r="T599" s="14"/>
      <c r="U599" s="14"/>
      <c r="V599" s="14"/>
      <c r="W599" s="18"/>
      <c r="X599" s="18"/>
      <c r="Y599" s="18"/>
      <c r="Z599" s="18"/>
      <c r="AA599" s="18"/>
      <c r="AB599" s="18"/>
      <c r="AC599" s="8" t="str">
        <f t="shared" si="106"/>
        <v/>
      </c>
      <c r="AD599" s="8"/>
      <c r="AE599" s="8"/>
      <c r="AF599" s="14"/>
      <c r="AG599" s="13"/>
      <c r="AH599" s="14"/>
      <c r="AI599" s="14"/>
      <c r="AJ599" s="8"/>
      <c r="AK599" s="8"/>
      <c r="AL599" s="8"/>
      <c r="AM599" s="8"/>
      <c r="AN599" s="631"/>
      <c r="AO599" s="18"/>
      <c r="AP599" s="18"/>
      <c r="AQ599" s="18"/>
      <c r="AR599" s="18"/>
      <c r="AS599" s="18"/>
      <c r="AU599" s="448"/>
      <c r="AV599" s="448"/>
      <c r="AW599" s="8" t="str">
        <f>IF(C599&gt;0,VLOOKUP(C599,Foundation_Calc!$A$2:$C$986,3,1),
IF(J599&gt;0,VLOOKUP(J599,Foundation_Calc!$A$2:$C$986,3,1),""))</f>
        <v/>
      </c>
      <c r="AX599" s="8" t="str">
        <f>IF(C599&gt;0,VLOOKUP(C599,Foundation_Calc!$E$2:$G$986,3,1),
IF(J599&gt;0,VLOOKUP(J599,Foundation_Calc!$E$2:$G$986,3,1),""))</f>
        <v/>
      </c>
      <c r="AY599" s="631" t="str">
        <f>IF(L599="","",
IF(AX599="PT",VLOOKUP(L599,Foundation_Calc!$K$4:$R$37,VLOOKUP(AW599,Foundation_Calc!$I$2:$J$8,2,FALSE),0),
IF(AX599="K",VLOOKUP(L599,Foundation_Calc!$K$41:$R$74,VLOOKUP(AW599,Foundation_Calc!$I$2:$J$8,2,FALSE),0),"")))</f>
        <v/>
      </c>
      <c r="AZ599" s="631" t="str">
        <f>IF(K599="","",
IF(AX599="PT",VLOOKUP(K599,Foundation_Calc!$K$4:$R$37,VLOOKUP(AW599,Foundation_Calc!$I$2:$J$8,2,FALSE),0),
IF(AX599="K",VLOOKUP(K599,Foundation_Calc!$K$41:$R$74,VLOOKUP(AW599,Foundation_Calc!$I$2:$J$8,2,FALSE),0),"")))</f>
        <v/>
      </c>
      <c r="BA599" s="632" t="str">
        <f t="shared" si="107"/>
        <v/>
      </c>
      <c r="BB599" s="632" t="str">
        <f t="shared" si="108"/>
        <v/>
      </c>
      <c r="BC599" s="632" t="str">
        <f t="shared" si="109"/>
        <v/>
      </c>
      <c r="BD599" s="633" t="str">
        <f>IF(AND(L599="",H599=""),"",
IF(H599="",Pole_Calc!A627,
IF(H599="MP",Pole_Calc!A628,
IF(H599="AnMP",Pole_Calc!A629,
IF(H599="A",Pole_Calc!A630,
IF(H599="S/A",Pole_Calc!A631,
IF(H599="A/S",Pole_Calc!A632,"Poner a mano")))))))</f>
        <v/>
      </c>
      <c r="BE599" s="448" t="s">
        <v>1726</v>
      </c>
      <c r="BF599" s="635"/>
      <c r="BG599" s="635"/>
      <c r="BH599" s="634"/>
      <c r="BI599" s="635"/>
    </row>
    <row r="600" spans="1:61" ht="16.2" customHeight="1">
      <c r="A600" s="12"/>
      <c r="B600" s="446"/>
      <c r="C600" s="89"/>
      <c r="D600" s="13"/>
      <c r="E600" s="14"/>
      <c r="F600" s="14"/>
      <c r="G600" s="15"/>
      <c r="H600" s="8"/>
      <c r="I600" s="8"/>
      <c r="J600" s="89"/>
      <c r="K600" s="8"/>
      <c r="L600" s="8"/>
      <c r="M600" s="8" t="str">
        <f>IF(L600="","",
IF(AX600="PT",VLOOKUP(L600,Foundation_Calc!$V$4:$X$37,VLOOKUP(AX600,Foundation_Calc!$I$10:$J$13,2,FALSE),0),
IF(AX600="K",VLOOKUP(L600,Foundation_Calc!$V$41:$X$74,VLOOKUP(AX600,Foundation_Calc!$I$10:$J$13,2,FALSE),0),"")))</f>
        <v/>
      </c>
      <c r="N600" s="8"/>
      <c r="O600" s="8"/>
      <c r="P600" s="8"/>
      <c r="Q600" s="14"/>
      <c r="R600" s="15"/>
      <c r="S600" s="15"/>
      <c r="T600" s="14"/>
      <c r="U600" s="14"/>
      <c r="V600" s="14"/>
      <c r="W600" s="18"/>
      <c r="X600" s="18"/>
      <c r="Y600" s="18"/>
      <c r="Z600" s="18"/>
      <c r="AA600" s="18"/>
      <c r="AB600" s="18"/>
      <c r="AC600" s="8" t="str">
        <f t="shared" si="106"/>
        <v/>
      </c>
      <c r="AD600" s="8"/>
      <c r="AE600" s="8"/>
      <c r="AF600" s="14"/>
      <c r="AG600" s="13"/>
      <c r="AH600" s="14"/>
      <c r="AI600" s="14"/>
      <c r="AJ600" s="8"/>
      <c r="AK600" s="8"/>
      <c r="AL600" s="8"/>
      <c r="AM600" s="8"/>
      <c r="AN600" s="631"/>
      <c r="AO600" s="18"/>
      <c r="AP600" s="18"/>
      <c r="AQ600" s="18"/>
      <c r="AR600" s="18"/>
      <c r="AS600" s="18"/>
      <c r="AU600" s="448"/>
      <c r="AV600" s="448"/>
      <c r="AW600" s="8" t="str">
        <f>IF(C600&gt;0,VLOOKUP(C600,Foundation_Calc!$A$2:$C$986,3,1),
IF(J600&gt;0,VLOOKUP(J600,Foundation_Calc!$A$2:$C$986,3,1),""))</f>
        <v/>
      </c>
      <c r="AX600" s="8" t="str">
        <f>IF(C600&gt;0,VLOOKUP(C600,Foundation_Calc!$E$2:$G$986,3,1),
IF(J600&gt;0,VLOOKUP(J600,Foundation_Calc!$E$2:$G$986,3,1),""))</f>
        <v/>
      </c>
      <c r="AY600" s="631" t="str">
        <f>IF(L600="","",
IF(AX600="PT",VLOOKUP(L600,Foundation_Calc!$K$4:$R$37,VLOOKUP(AW600,Foundation_Calc!$I$2:$J$8,2,FALSE),0),
IF(AX600="K",VLOOKUP(L600,Foundation_Calc!$K$41:$R$74,VLOOKUP(AW600,Foundation_Calc!$I$2:$J$8,2,FALSE),0),"")))</f>
        <v/>
      </c>
      <c r="AZ600" s="631" t="str">
        <f>IF(K600="","",
IF(AX600="PT",VLOOKUP(K600,Foundation_Calc!$K$4:$R$37,VLOOKUP(AW600,Foundation_Calc!$I$2:$J$8,2,FALSE),0),
IF(AX600="K",VLOOKUP(K600,Foundation_Calc!$K$41:$R$74,VLOOKUP(AW600,Foundation_Calc!$I$2:$J$8,2,FALSE),0),"")))</f>
        <v/>
      </c>
      <c r="BA600" s="632" t="str">
        <f t="shared" si="107"/>
        <v/>
      </c>
      <c r="BB600" s="632" t="str">
        <f t="shared" si="108"/>
        <v/>
      </c>
      <c r="BC600" s="632" t="str">
        <f t="shared" si="109"/>
        <v/>
      </c>
      <c r="BD600" s="633" t="str">
        <f>IF(AND(L600="",H600=""),"",
IF(H600="",Pole_Calc!A628,
IF(H600="MP",Pole_Calc!A629,
IF(H600="AnMP",Pole_Calc!A630,
IF(H600="A",Pole_Calc!A631,
IF(H600="S/A",Pole_Calc!A632,
IF(H600="A/S",Pole_Calc!A633,"Poner a mano")))))))</f>
        <v/>
      </c>
      <c r="BE600" s="448" t="s">
        <v>1726</v>
      </c>
      <c r="BF600" s="634"/>
      <c r="BG600" s="634"/>
      <c r="BH600" s="634"/>
      <c r="BI600" s="634"/>
    </row>
    <row r="601" spans="1:61" ht="16.2" customHeight="1">
      <c r="A601" s="12"/>
      <c r="B601" s="446"/>
      <c r="C601" s="89"/>
      <c r="D601" s="13"/>
      <c r="E601" s="14"/>
      <c r="F601" s="14"/>
      <c r="G601" s="15"/>
      <c r="H601" s="8"/>
      <c r="I601" s="8"/>
      <c r="J601" s="89"/>
      <c r="K601" s="8"/>
      <c r="L601" s="8"/>
      <c r="M601" s="8" t="str">
        <f>IF(L601="","",
IF(AX601="PT",VLOOKUP(L601,Foundation_Calc!$V$4:$X$37,VLOOKUP(AX601,Foundation_Calc!$I$10:$J$13,2,FALSE),0),
IF(AX601="K",VLOOKUP(L601,Foundation_Calc!$V$41:$X$74,VLOOKUP(AX601,Foundation_Calc!$I$10:$J$13,2,FALSE),0),"")))</f>
        <v/>
      </c>
      <c r="N601" s="8"/>
      <c r="O601" s="8"/>
      <c r="P601" s="8"/>
      <c r="Q601" s="14"/>
      <c r="R601" s="15"/>
      <c r="S601" s="15"/>
      <c r="T601" s="14"/>
      <c r="U601" s="14"/>
      <c r="V601" s="14"/>
      <c r="W601" s="18"/>
      <c r="X601" s="18"/>
      <c r="Y601" s="18"/>
      <c r="Z601" s="18"/>
      <c r="AA601" s="18"/>
      <c r="AB601" s="18"/>
      <c r="AC601" s="8" t="str">
        <f t="shared" si="106"/>
        <v/>
      </c>
      <c r="AD601" s="8"/>
      <c r="AE601" s="8"/>
      <c r="AF601" s="14"/>
      <c r="AG601" s="13"/>
      <c r="AH601" s="14"/>
      <c r="AI601" s="14"/>
      <c r="AJ601" s="8"/>
      <c r="AK601" s="8"/>
      <c r="AL601" s="8"/>
      <c r="AM601" s="8"/>
      <c r="AN601" s="631"/>
      <c r="AO601" s="18"/>
      <c r="AP601" s="18"/>
      <c r="AQ601" s="18"/>
      <c r="AR601" s="18"/>
      <c r="AS601" s="18"/>
      <c r="AU601" s="448"/>
      <c r="AV601" s="448"/>
      <c r="AW601" s="8" t="str">
        <f>IF(C601&gt;0,VLOOKUP(C601,Foundation_Calc!$A$2:$C$986,3,1),
IF(J601&gt;0,VLOOKUP(J601,Foundation_Calc!$A$2:$C$986,3,1),""))</f>
        <v/>
      </c>
      <c r="AX601" s="8" t="str">
        <f>IF(C601&gt;0,VLOOKUP(C601,Foundation_Calc!$E$2:$G$986,3,1),
IF(J601&gt;0,VLOOKUP(J601,Foundation_Calc!$E$2:$G$986,3,1),""))</f>
        <v/>
      </c>
      <c r="AY601" s="631" t="str">
        <f>IF(L601="","",
IF(AX601="PT",VLOOKUP(L601,Foundation_Calc!$K$4:$R$37,VLOOKUP(AW601,Foundation_Calc!$I$2:$J$8,2,FALSE),0),
IF(AX601="K",VLOOKUP(L601,Foundation_Calc!$K$41:$R$74,VLOOKUP(AW601,Foundation_Calc!$I$2:$J$8,2,FALSE),0),"")))</f>
        <v/>
      </c>
      <c r="AZ601" s="631" t="str">
        <f>IF(K601="","",
IF(AX601="PT",VLOOKUP(K601,Foundation_Calc!$K$4:$R$37,VLOOKUP(AW601,Foundation_Calc!$I$2:$J$8,2,FALSE),0),
IF(AX601="K",VLOOKUP(K601,Foundation_Calc!$K$41:$R$74,VLOOKUP(AW601,Foundation_Calc!$I$2:$J$8,2,FALSE),0),"")))</f>
        <v/>
      </c>
      <c r="BA601" s="632" t="str">
        <f t="shared" si="107"/>
        <v/>
      </c>
      <c r="BB601" s="632" t="str">
        <f t="shared" si="108"/>
        <v/>
      </c>
      <c r="BC601" s="632" t="str">
        <f t="shared" si="109"/>
        <v/>
      </c>
      <c r="BD601" s="633" t="str">
        <f>IF(AND(L601="",H601=""),"",
IF(H601="",Pole_Calc!A629,
IF(H601="MP",Pole_Calc!A630,
IF(H601="AnMP",Pole_Calc!A631,
IF(H601="A",Pole_Calc!A632,
IF(H601="S/A",Pole_Calc!A633,
IF(H601="A/S",Pole_Calc!A634,"Poner a mano")))))))</f>
        <v/>
      </c>
      <c r="BE601" s="448" t="s">
        <v>1726</v>
      </c>
      <c r="BF601" s="635"/>
      <c r="BG601" s="635"/>
      <c r="BH601" s="634"/>
      <c r="BI601" s="635"/>
    </row>
    <row r="602" spans="1:61" ht="16.2" customHeight="1">
      <c r="A602" s="12"/>
      <c r="B602" s="446"/>
      <c r="C602" s="89"/>
      <c r="D602" s="13"/>
      <c r="E602" s="14"/>
      <c r="F602" s="14"/>
      <c r="G602" s="15"/>
      <c r="H602" s="8"/>
      <c r="I602" s="8"/>
      <c r="J602" s="89"/>
      <c r="K602" s="8"/>
      <c r="L602" s="8"/>
      <c r="M602" s="8" t="str">
        <f>IF(L602="","",
IF(AX602="PT",VLOOKUP(L602,Foundation_Calc!$V$4:$X$37,VLOOKUP(AX602,Foundation_Calc!$I$10:$J$13,2,FALSE),0),
IF(AX602="K",VLOOKUP(L602,Foundation_Calc!$V$41:$X$74,VLOOKUP(AX602,Foundation_Calc!$I$10:$J$13,2,FALSE),0),"")))</f>
        <v/>
      </c>
      <c r="N602" s="8"/>
      <c r="O602" s="8"/>
      <c r="P602" s="8"/>
      <c r="Q602" s="14"/>
      <c r="R602" s="15"/>
      <c r="S602" s="15"/>
      <c r="T602" s="14"/>
      <c r="U602" s="14"/>
      <c r="V602" s="14"/>
      <c r="W602" s="18"/>
      <c r="X602" s="18"/>
      <c r="Y602" s="18"/>
      <c r="Z602" s="18"/>
      <c r="AA602" s="18"/>
      <c r="AB602" s="18"/>
      <c r="AC602" s="8" t="str">
        <f t="shared" si="106"/>
        <v/>
      </c>
      <c r="AD602" s="8"/>
      <c r="AE602" s="8"/>
      <c r="AF602" s="14"/>
      <c r="AG602" s="13"/>
      <c r="AH602" s="14"/>
      <c r="AI602" s="14"/>
      <c r="AJ602" s="8"/>
      <c r="AK602" s="8"/>
      <c r="AL602" s="8"/>
      <c r="AM602" s="8"/>
      <c r="AN602" s="631"/>
      <c r="AO602" s="18"/>
      <c r="AP602" s="18"/>
      <c r="AQ602" s="18"/>
      <c r="AR602" s="18"/>
      <c r="AS602" s="18"/>
      <c r="AU602" s="448"/>
      <c r="AV602" s="448"/>
      <c r="AW602" s="8" t="str">
        <f>IF(C602&gt;0,VLOOKUP(C602,Foundation_Calc!$A$2:$C$986,3,1),
IF(J602&gt;0,VLOOKUP(J602,Foundation_Calc!$A$2:$C$986,3,1),""))</f>
        <v/>
      </c>
      <c r="AX602" s="8" t="str">
        <f>IF(C602&gt;0,VLOOKUP(C602,Foundation_Calc!$E$2:$G$986,3,1),
IF(J602&gt;0,VLOOKUP(J602,Foundation_Calc!$E$2:$G$986,3,1),""))</f>
        <v/>
      </c>
      <c r="AY602" s="631" t="str">
        <f>IF(L602="","",
IF(AX602="PT",VLOOKUP(L602,Foundation_Calc!$K$4:$R$37,VLOOKUP(AW602,Foundation_Calc!$I$2:$J$8,2,FALSE),0),
IF(AX602="K",VLOOKUP(L602,Foundation_Calc!$K$41:$R$74,VLOOKUP(AW602,Foundation_Calc!$I$2:$J$8,2,FALSE),0),"")))</f>
        <v/>
      </c>
      <c r="AZ602" s="631" t="str">
        <f>IF(K602="","",
IF(AX602="PT",VLOOKUP(K602,Foundation_Calc!$K$4:$R$37,VLOOKUP(AW602,Foundation_Calc!$I$2:$J$8,2,FALSE),0),
IF(AX602="K",VLOOKUP(K602,Foundation_Calc!$K$41:$R$74,VLOOKUP(AW602,Foundation_Calc!$I$2:$J$8,2,FALSE),0),"")))</f>
        <v/>
      </c>
      <c r="BA602" s="632" t="str">
        <f t="shared" si="107"/>
        <v/>
      </c>
      <c r="BB602" s="632" t="str">
        <f t="shared" si="108"/>
        <v/>
      </c>
      <c r="BC602" s="632" t="str">
        <f t="shared" si="109"/>
        <v/>
      </c>
      <c r="BD602" s="633" t="str">
        <f>IF(AND(L602="",H602=""),"",
IF(H602="",Pole_Calc!A630,
IF(H602="MP",Pole_Calc!A631,
IF(H602="AnMP",Pole_Calc!A632,
IF(H602="A",Pole_Calc!A633,
IF(H602="S/A",Pole_Calc!A634,
IF(H602="A/S",Pole_Calc!A635,"Poner a mano")))))))</f>
        <v/>
      </c>
      <c r="BE602" s="448" t="s">
        <v>1726</v>
      </c>
      <c r="BF602" s="634"/>
      <c r="BG602" s="634"/>
      <c r="BH602" s="634"/>
      <c r="BI602" s="634"/>
    </row>
    <row r="603" spans="1:61" ht="16.2" customHeight="1">
      <c r="A603" s="12"/>
      <c r="B603" s="446"/>
      <c r="C603" s="89"/>
      <c r="D603" s="13"/>
      <c r="E603" s="14"/>
      <c r="F603" s="14"/>
      <c r="G603" s="15"/>
      <c r="H603" s="8"/>
      <c r="I603" s="8"/>
      <c r="J603" s="89"/>
      <c r="K603" s="8"/>
      <c r="L603" s="8"/>
      <c r="M603" s="8" t="str">
        <f>IF(L603="","",
IF(AX603="PT",VLOOKUP(L603,Foundation_Calc!$V$4:$X$37,VLOOKUP(AX603,Foundation_Calc!$I$10:$J$13,2,FALSE),0),
IF(AX603="K",VLOOKUP(L603,Foundation_Calc!$V$41:$X$74,VLOOKUP(AX603,Foundation_Calc!$I$10:$J$13,2,FALSE),0),"")))</f>
        <v/>
      </c>
      <c r="N603" s="8"/>
      <c r="O603" s="8"/>
      <c r="P603" s="8"/>
      <c r="Q603" s="14"/>
      <c r="R603" s="15"/>
      <c r="S603" s="15"/>
      <c r="T603" s="14"/>
      <c r="U603" s="14"/>
      <c r="V603" s="14"/>
      <c r="W603" s="18"/>
      <c r="X603" s="18"/>
      <c r="Y603" s="18"/>
      <c r="Z603" s="18"/>
      <c r="AA603" s="18"/>
      <c r="AB603" s="18"/>
      <c r="AC603" s="8" t="str">
        <f t="shared" si="106"/>
        <v/>
      </c>
      <c r="AD603" s="8"/>
      <c r="AE603" s="8"/>
      <c r="AF603" s="14"/>
      <c r="AG603" s="13"/>
      <c r="AH603" s="14"/>
      <c r="AI603" s="14"/>
      <c r="AJ603" s="8"/>
      <c r="AK603" s="8"/>
      <c r="AL603" s="8"/>
      <c r="AM603" s="8"/>
      <c r="AN603" s="631"/>
      <c r="AO603" s="18"/>
      <c r="AP603" s="18"/>
      <c r="AQ603" s="18"/>
      <c r="AR603" s="18"/>
      <c r="AS603" s="18"/>
      <c r="AU603" s="448"/>
      <c r="AV603" s="448"/>
      <c r="AW603" s="8" t="str">
        <f>IF(C603&gt;0,VLOOKUP(C603,Foundation_Calc!$A$2:$C$986,3,1),
IF(J603&gt;0,VLOOKUP(J603,Foundation_Calc!$A$2:$C$986,3,1),""))</f>
        <v/>
      </c>
      <c r="AX603" s="8" t="str">
        <f>IF(C603&gt;0,VLOOKUP(C603,Foundation_Calc!$E$2:$G$986,3,1),
IF(J603&gt;0,VLOOKUP(J603,Foundation_Calc!$E$2:$G$986,3,1),""))</f>
        <v/>
      </c>
      <c r="AY603" s="631" t="str">
        <f>IF(L603="","",
IF(AX603="PT",VLOOKUP(L603,Foundation_Calc!$K$4:$R$37,VLOOKUP(AW603,Foundation_Calc!$I$2:$J$8,2,FALSE),0),
IF(AX603="K",VLOOKUP(L603,Foundation_Calc!$K$41:$R$74,VLOOKUP(AW603,Foundation_Calc!$I$2:$J$8,2,FALSE),0),"")))</f>
        <v/>
      </c>
      <c r="AZ603" s="631" t="str">
        <f>IF(K603="","",
IF(AX603="PT",VLOOKUP(K603,Foundation_Calc!$K$4:$R$37,VLOOKUP(AW603,Foundation_Calc!$I$2:$J$8,2,FALSE),0),
IF(AX603="K",VLOOKUP(K603,Foundation_Calc!$K$41:$R$74,VLOOKUP(AW603,Foundation_Calc!$I$2:$J$8,2,FALSE),0),"")))</f>
        <v/>
      </c>
      <c r="BA603" s="632" t="str">
        <f t="shared" si="107"/>
        <v/>
      </c>
      <c r="BB603" s="632" t="str">
        <f t="shared" si="108"/>
        <v/>
      </c>
      <c r="BC603" s="632" t="str">
        <f t="shared" si="109"/>
        <v/>
      </c>
      <c r="BD603" s="633" t="str">
        <f>IF(AND(L603="",H603=""),"",
IF(H603="",Pole_Calc!A631,
IF(H603="MP",Pole_Calc!A632,
IF(H603="AnMP",Pole_Calc!A633,
IF(H603="A",Pole_Calc!A634,
IF(H603="S/A",Pole_Calc!A635,
IF(H603="A/S",Pole_Calc!A636,"Poner a mano")))))))</f>
        <v/>
      </c>
      <c r="BE603" s="448" t="s">
        <v>1726</v>
      </c>
      <c r="BF603" s="635"/>
      <c r="BG603" s="635"/>
      <c r="BH603" s="634"/>
      <c r="BI603" s="635"/>
    </row>
    <row r="604" spans="1:61" ht="16.2" customHeight="1">
      <c r="A604" s="12"/>
      <c r="B604" s="446"/>
      <c r="C604" s="89"/>
      <c r="D604" s="13"/>
      <c r="E604" s="14"/>
      <c r="F604" s="14"/>
      <c r="G604" s="15"/>
      <c r="H604" s="8"/>
      <c r="I604" s="8"/>
      <c r="J604" s="89"/>
      <c r="K604" s="8"/>
      <c r="L604" s="8"/>
      <c r="M604" s="8" t="str">
        <f>IF(L604="","",
IF(AX604="PT",VLOOKUP(L604,Foundation_Calc!$V$4:$X$37,VLOOKUP(AX604,Foundation_Calc!$I$10:$J$13,2,FALSE),0),
IF(AX604="K",VLOOKUP(L604,Foundation_Calc!$V$41:$X$74,VLOOKUP(AX604,Foundation_Calc!$I$10:$J$13,2,FALSE),0),"")))</f>
        <v/>
      </c>
      <c r="N604" s="8"/>
      <c r="O604" s="8"/>
      <c r="P604" s="8"/>
      <c r="Q604" s="14"/>
      <c r="R604" s="15"/>
      <c r="S604" s="15"/>
      <c r="T604" s="14"/>
      <c r="U604" s="14"/>
      <c r="V604" s="14"/>
      <c r="W604" s="18"/>
      <c r="X604" s="18"/>
      <c r="Y604" s="18"/>
      <c r="Z604" s="18"/>
      <c r="AA604" s="18"/>
      <c r="AB604" s="18"/>
      <c r="AC604" s="8" t="str">
        <f t="shared" si="106"/>
        <v/>
      </c>
      <c r="AD604" s="8"/>
      <c r="AE604" s="8"/>
      <c r="AF604" s="14"/>
      <c r="AG604" s="13"/>
      <c r="AH604" s="14"/>
      <c r="AI604" s="14"/>
      <c r="AJ604" s="8"/>
      <c r="AK604" s="8"/>
      <c r="AL604" s="8"/>
      <c r="AM604" s="8"/>
      <c r="AN604" s="631"/>
      <c r="AO604" s="18"/>
      <c r="AP604" s="18"/>
      <c r="AQ604" s="18"/>
      <c r="AR604" s="18"/>
      <c r="AS604" s="18"/>
      <c r="AU604" s="448"/>
      <c r="AV604" s="448"/>
      <c r="AW604" s="8" t="str">
        <f>IF(C604&gt;0,VLOOKUP(C604,Foundation_Calc!$A$2:$C$986,3,1),
IF(J604&gt;0,VLOOKUP(J604,Foundation_Calc!$A$2:$C$986,3,1),""))</f>
        <v/>
      </c>
      <c r="AX604" s="8" t="str">
        <f>IF(C604&gt;0,VLOOKUP(C604,Foundation_Calc!$E$2:$G$986,3,1),
IF(J604&gt;0,VLOOKUP(J604,Foundation_Calc!$E$2:$G$986,3,1),""))</f>
        <v/>
      </c>
      <c r="AY604" s="631" t="str">
        <f>IF(L604="","",
IF(AX604="PT",VLOOKUP(L604,Foundation_Calc!$K$4:$R$37,VLOOKUP(AW604,Foundation_Calc!$I$2:$J$8,2,FALSE),0),
IF(AX604="K",VLOOKUP(L604,Foundation_Calc!$K$41:$R$74,VLOOKUP(AW604,Foundation_Calc!$I$2:$J$8,2,FALSE),0),"")))</f>
        <v/>
      </c>
      <c r="AZ604" s="631" t="str">
        <f>IF(K604="","",
IF(AX604="PT",VLOOKUP(K604,Foundation_Calc!$K$4:$R$37,VLOOKUP(AW604,Foundation_Calc!$I$2:$J$8,2,FALSE),0),
IF(AX604="K",VLOOKUP(K604,Foundation_Calc!$K$41:$R$74,VLOOKUP(AW604,Foundation_Calc!$I$2:$J$8,2,FALSE),0),"")))</f>
        <v/>
      </c>
      <c r="BA604" s="632" t="str">
        <f t="shared" si="107"/>
        <v/>
      </c>
      <c r="BB604" s="632" t="str">
        <f t="shared" si="108"/>
        <v/>
      </c>
      <c r="BC604" s="632" t="str">
        <f t="shared" si="109"/>
        <v/>
      </c>
      <c r="BD604" s="633" t="str">
        <f>IF(AND(L604="",H604=""),"",
IF(H604="",Pole_Calc!A632,
IF(H604="MP",Pole_Calc!A633,
IF(H604="AnMP",Pole_Calc!A634,
IF(H604="A",Pole_Calc!A635,
IF(H604="S/A",Pole_Calc!A636,
IF(H604="A/S",Pole_Calc!A637,"Poner a mano")))))))</f>
        <v/>
      </c>
      <c r="BE604" s="448" t="s">
        <v>1726</v>
      </c>
      <c r="BF604" s="634"/>
      <c r="BG604" s="634"/>
      <c r="BH604" s="634"/>
      <c r="BI604" s="634"/>
    </row>
    <row r="605" spans="1:61" ht="16.2" customHeight="1">
      <c r="A605" s="12"/>
      <c r="B605" s="446"/>
      <c r="C605" s="89"/>
      <c r="D605" s="13"/>
      <c r="E605" s="14"/>
      <c r="F605" s="14"/>
      <c r="G605" s="15"/>
      <c r="H605" s="8"/>
      <c r="I605" s="8"/>
      <c r="J605" s="89"/>
      <c r="K605" s="8"/>
      <c r="L605" s="8"/>
      <c r="M605" s="8" t="str">
        <f>IF(L605="","",
IF(AX605="PT",VLOOKUP(L605,Foundation_Calc!$V$4:$X$37,VLOOKUP(AX605,Foundation_Calc!$I$10:$J$13,2,FALSE),0),
IF(AX605="K",VLOOKUP(L605,Foundation_Calc!$V$41:$X$74,VLOOKUP(AX605,Foundation_Calc!$I$10:$J$13,2,FALSE),0),"")))</f>
        <v/>
      </c>
      <c r="N605" s="8"/>
      <c r="O605" s="8"/>
      <c r="P605" s="8"/>
      <c r="Q605" s="14"/>
      <c r="R605" s="15"/>
      <c r="S605" s="15"/>
      <c r="T605" s="14"/>
      <c r="U605" s="14"/>
      <c r="V605" s="14"/>
      <c r="W605" s="18"/>
      <c r="X605" s="18"/>
      <c r="Y605" s="18"/>
      <c r="Z605" s="18"/>
      <c r="AA605" s="18"/>
      <c r="AB605" s="18"/>
      <c r="AC605" s="8" t="str">
        <f t="shared" si="106"/>
        <v/>
      </c>
      <c r="AD605" s="8"/>
      <c r="AE605" s="8"/>
      <c r="AF605" s="14"/>
      <c r="AG605" s="13"/>
      <c r="AH605" s="14"/>
      <c r="AI605" s="14"/>
      <c r="AJ605" s="8"/>
      <c r="AK605" s="8"/>
      <c r="AL605" s="8"/>
      <c r="AM605" s="8"/>
      <c r="AN605" s="631"/>
      <c r="AO605" s="18"/>
      <c r="AP605" s="18"/>
      <c r="AQ605" s="18"/>
      <c r="AR605" s="18"/>
      <c r="AS605" s="18"/>
      <c r="AU605" s="448"/>
      <c r="AV605" s="448"/>
      <c r="AW605" s="8" t="str">
        <f>IF(C605&gt;0,VLOOKUP(C605,Foundation_Calc!$A$2:$C$986,3,1),
IF(J605&gt;0,VLOOKUP(J605,Foundation_Calc!$A$2:$C$986,3,1),""))</f>
        <v/>
      </c>
      <c r="AX605" s="8" t="str">
        <f>IF(C605&gt;0,VLOOKUP(C605,Foundation_Calc!$E$2:$G$986,3,1),
IF(J605&gt;0,VLOOKUP(J605,Foundation_Calc!$E$2:$G$986,3,1),""))</f>
        <v/>
      </c>
      <c r="AY605" s="631" t="str">
        <f>IF(L605="","",
IF(AX605="PT",VLOOKUP(L605,Foundation_Calc!$K$4:$R$37,VLOOKUP(AW605,Foundation_Calc!$I$2:$J$8,2,FALSE),0),
IF(AX605="K",VLOOKUP(L605,Foundation_Calc!$K$41:$R$74,VLOOKUP(AW605,Foundation_Calc!$I$2:$J$8,2,FALSE),0),"")))</f>
        <v/>
      </c>
      <c r="AZ605" s="631" t="str">
        <f>IF(K605="","",
IF(AX605="PT",VLOOKUP(K605,Foundation_Calc!$K$4:$R$37,VLOOKUP(AW605,Foundation_Calc!$I$2:$J$8,2,FALSE),0),
IF(AX605="K",VLOOKUP(K605,Foundation_Calc!$K$41:$R$74,VLOOKUP(AW605,Foundation_Calc!$I$2:$J$8,2,FALSE),0),"")))</f>
        <v/>
      </c>
      <c r="BA605" s="632" t="str">
        <f t="shared" si="107"/>
        <v/>
      </c>
      <c r="BB605" s="632" t="str">
        <f t="shared" si="108"/>
        <v/>
      </c>
      <c r="BC605" s="632" t="str">
        <f t="shared" si="109"/>
        <v/>
      </c>
      <c r="BD605" s="633" t="str">
        <f>IF(AND(L605="",H605=""),"",
IF(H605="",Pole_Calc!A633,
IF(H605="MP",Pole_Calc!A634,
IF(H605="AnMP",Pole_Calc!A635,
IF(H605="A",Pole_Calc!A636,
IF(H605="S/A",Pole_Calc!A637,
IF(H605="A/S",Pole_Calc!A638,"Poner a mano")))))))</f>
        <v/>
      </c>
      <c r="BE605" s="448" t="s">
        <v>1726</v>
      </c>
      <c r="BF605" s="635"/>
      <c r="BG605" s="635"/>
      <c r="BH605" s="634"/>
      <c r="BI605" s="635"/>
    </row>
    <row r="606" spans="1:61" ht="16.2" customHeight="1">
      <c r="A606" s="12"/>
      <c r="B606" s="446"/>
      <c r="C606" s="89"/>
      <c r="D606" s="13"/>
      <c r="E606" s="14"/>
      <c r="F606" s="14"/>
      <c r="G606" s="15"/>
      <c r="H606" s="8"/>
      <c r="I606" s="8"/>
      <c r="J606" s="89"/>
      <c r="K606" s="8"/>
      <c r="L606" s="8"/>
      <c r="M606" s="8" t="str">
        <f>IF(L606="","",
IF(AX606="PT",VLOOKUP(L606,Foundation_Calc!$V$4:$X$37,VLOOKUP(AX606,Foundation_Calc!$I$10:$J$13,2,FALSE),0),
IF(AX606="K",VLOOKUP(L606,Foundation_Calc!$V$41:$X$74,VLOOKUP(AX606,Foundation_Calc!$I$10:$J$13,2,FALSE),0),"")))</f>
        <v/>
      </c>
      <c r="N606" s="8"/>
      <c r="O606" s="8"/>
      <c r="P606" s="8"/>
      <c r="Q606" s="14"/>
      <c r="R606" s="15"/>
      <c r="S606" s="15"/>
      <c r="T606" s="14"/>
      <c r="U606" s="14"/>
      <c r="V606" s="14"/>
      <c r="W606" s="18"/>
      <c r="X606" s="18"/>
      <c r="Y606" s="18"/>
      <c r="Z606" s="18"/>
      <c r="AA606" s="18"/>
      <c r="AB606" s="18"/>
      <c r="AC606" s="8" t="str">
        <f t="shared" si="106"/>
        <v/>
      </c>
      <c r="AD606" s="8"/>
      <c r="AE606" s="8"/>
      <c r="AF606" s="14"/>
      <c r="AG606" s="13"/>
      <c r="AH606" s="14"/>
      <c r="AI606" s="14"/>
      <c r="AJ606" s="8"/>
      <c r="AK606" s="8"/>
      <c r="AL606" s="8"/>
      <c r="AM606" s="8"/>
      <c r="AN606" s="631"/>
      <c r="AO606" s="18"/>
      <c r="AP606" s="18"/>
      <c r="AQ606" s="18"/>
      <c r="AR606" s="18"/>
      <c r="AS606" s="18"/>
      <c r="AU606" s="448"/>
      <c r="AV606" s="448"/>
      <c r="AW606" s="8" t="str">
        <f>IF(C606&gt;0,VLOOKUP(C606,Foundation_Calc!$A$2:$C$986,3,1),
IF(J606&gt;0,VLOOKUP(J606,Foundation_Calc!$A$2:$C$986,3,1),""))</f>
        <v/>
      </c>
      <c r="AX606" s="8" t="str">
        <f>IF(C606&gt;0,VLOOKUP(C606,Foundation_Calc!$E$2:$G$986,3,1),
IF(J606&gt;0,VLOOKUP(J606,Foundation_Calc!$E$2:$G$986,3,1),""))</f>
        <v/>
      </c>
      <c r="AY606" s="631" t="str">
        <f>IF(L606="","",
IF(AX606="PT",VLOOKUP(L606,Foundation_Calc!$K$4:$R$37,VLOOKUP(AW606,Foundation_Calc!$I$2:$J$8,2,FALSE),0),
IF(AX606="K",VLOOKUP(L606,Foundation_Calc!$K$41:$R$74,VLOOKUP(AW606,Foundation_Calc!$I$2:$J$8,2,FALSE),0),"")))</f>
        <v/>
      </c>
      <c r="AZ606" s="631" t="str">
        <f>IF(K606="","",
IF(AX606="PT",VLOOKUP(K606,Foundation_Calc!$K$4:$R$37,VLOOKUP(AW606,Foundation_Calc!$I$2:$J$8,2,FALSE),0),
IF(AX606="K",VLOOKUP(K606,Foundation_Calc!$K$41:$R$74,VLOOKUP(AW606,Foundation_Calc!$I$2:$J$8,2,FALSE),0),"")))</f>
        <v/>
      </c>
      <c r="BA606" s="632" t="str">
        <f t="shared" si="107"/>
        <v/>
      </c>
      <c r="BB606" s="632" t="str">
        <f t="shared" si="108"/>
        <v/>
      </c>
      <c r="BC606" s="632" t="str">
        <f t="shared" si="109"/>
        <v/>
      </c>
      <c r="BD606" s="633" t="str">
        <f>IF(AND(L606="",H606=""),"",
IF(H606="",Pole_Calc!A634,
IF(H606="MP",Pole_Calc!A635,
IF(H606="AnMP",Pole_Calc!A636,
IF(H606="A",Pole_Calc!A637,
IF(H606="S/A",Pole_Calc!A638,
IF(H606="A/S",Pole_Calc!A639,"Poner a mano")))))))</f>
        <v/>
      </c>
      <c r="BE606" s="448" t="s">
        <v>1726</v>
      </c>
      <c r="BF606" s="634"/>
      <c r="BG606" s="634"/>
      <c r="BH606" s="634"/>
      <c r="BI606" s="634"/>
    </row>
    <row r="607" spans="1:61" ht="16.2" customHeight="1">
      <c r="A607" s="12"/>
      <c r="B607" s="446"/>
      <c r="C607" s="89"/>
      <c r="D607" s="13"/>
      <c r="E607" s="14"/>
      <c r="F607" s="14"/>
      <c r="G607" s="15"/>
      <c r="H607" s="8"/>
      <c r="I607" s="8"/>
      <c r="J607" s="89"/>
      <c r="K607" s="8"/>
      <c r="L607" s="8"/>
      <c r="M607" s="8" t="str">
        <f>IF(L607="","",
IF(AX607="PT",VLOOKUP(L607,Foundation_Calc!$V$4:$X$37,VLOOKUP(AX607,Foundation_Calc!$I$10:$J$13,2,FALSE),0),
IF(AX607="K",VLOOKUP(L607,Foundation_Calc!$V$41:$X$74,VLOOKUP(AX607,Foundation_Calc!$I$10:$J$13,2,FALSE),0),"")))</f>
        <v/>
      </c>
      <c r="N607" s="8"/>
      <c r="O607" s="8"/>
      <c r="P607" s="8"/>
      <c r="Q607" s="14"/>
      <c r="R607" s="15"/>
      <c r="S607" s="15"/>
      <c r="T607" s="14"/>
      <c r="U607" s="14"/>
      <c r="V607" s="14"/>
      <c r="W607" s="18"/>
      <c r="X607" s="18"/>
      <c r="Y607" s="18"/>
      <c r="Z607" s="18"/>
      <c r="AA607" s="18"/>
      <c r="AB607" s="18"/>
      <c r="AC607" s="8" t="str">
        <f t="shared" si="106"/>
        <v/>
      </c>
      <c r="AD607" s="8"/>
      <c r="AE607" s="8"/>
      <c r="AF607" s="14"/>
      <c r="AG607" s="13"/>
      <c r="AH607" s="14"/>
      <c r="AI607" s="14"/>
      <c r="AJ607" s="8"/>
      <c r="AK607" s="8"/>
      <c r="AL607" s="8"/>
      <c r="AM607" s="8"/>
      <c r="AN607" s="631"/>
      <c r="AO607" s="18"/>
      <c r="AP607" s="18"/>
      <c r="AQ607" s="18"/>
      <c r="AR607" s="18"/>
      <c r="AS607" s="18"/>
      <c r="AU607" s="448"/>
      <c r="AV607" s="448"/>
      <c r="AW607" s="8" t="str">
        <f>IF(C607&gt;0,VLOOKUP(C607,Foundation_Calc!$A$2:$C$986,3,1),
IF(J607&gt;0,VLOOKUP(J607,Foundation_Calc!$A$2:$C$986,3,1),""))</f>
        <v/>
      </c>
      <c r="AX607" s="8" t="str">
        <f>IF(C607&gt;0,VLOOKUP(C607,Foundation_Calc!$E$2:$G$986,3,1),
IF(J607&gt;0,VLOOKUP(J607,Foundation_Calc!$E$2:$G$986,3,1),""))</f>
        <v/>
      </c>
      <c r="AY607" s="631" t="str">
        <f>IF(L607="","",
IF(AX607="PT",VLOOKUP(L607,Foundation_Calc!$K$4:$R$37,VLOOKUP(AW607,Foundation_Calc!$I$2:$J$8,2,FALSE),0),
IF(AX607="K",VLOOKUP(L607,Foundation_Calc!$K$41:$R$74,VLOOKUP(AW607,Foundation_Calc!$I$2:$J$8,2,FALSE),0),"")))</f>
        <v/>
      </c>
      <c r="AZ607" s="631" t="str">
        <f>IF(K607="","",
IF(AX607="PT",VLOOKUP(K607,Foundation_Calc!$K$4:$R$37,VLOOKUP(AW607,Foundation_Calc!$I$2:$J$8,2,FALSE),0),
IF(AX607="K",VLOOKUP(K607,Foundation_Calc!$K$41:$R$74,VLOOKUP(AW607,Foundation_Calc!$I$2:$J$8,2,FALSE),0),"")))</f>
        <v/>
      </c>
      <c r="BA607" s="632" t="str">
        <f t="shared" si="107"/>
        <v/>
      </c>
      <c r="BB607" s="632" t="str">
        <f t="shared" si="108"/>
        <v/>
      </c>
      <c r="BC607" s="632" t="str">
        <f t="shared" si="109"/>
        <v/>
      </c>
      <c r="BD607" s="633" t="str">
        <f>IF(AND(L607="",H607=""),"",
IF(H607="",Pole_Calc!A635,
IF(H607="MP",Pole_Calc!A636,
IF(H607="AnMP",Pole_Calc!A637,
IF(H607="A",Pole_Calc!A638,
IF(H607="S/A",Pole_Calc!A639,
IF(H607="A/S",Pole_Calc!A640,"Poner a mano")))))))</f>
        <v/>
      </c>
      <c r="BE607" s="448" t="s">
        <v>1726</v>
      </c>
      <c r="BF607" s="635"/>
      <c r="BG607" s="635"/>
      <c r="BH607" s="634"/>
      <c r="BI607" s="635"/>
    </row>
    <row r="608" spans="1:61" ht="16.2" customHeight="1">
      <c r="A608" s="12"/>
      <c r="B608" s="446"/>
      <c r="C608" s="89"/>
      <c r="D608" s="13"/>
      <c r="E608" s="14"/>
      <c r="F608" s="14"/>
      <c r="G608" s="15"/>
      <c r="H608" s="8"/>
      <c r="I608" s="8"/>
      <c r="J608" s="89"/>
      <c r="K608" s="8"/>
      <c r="L608" s="8"/>
      <c r="M608" s="8" t="str">
        <f>IF(L608="","",
IF(AX608="PT",VLOOKUP(L608,Foundation_Calc!$V$4:$X$37,VLOOKUP(AX608,Foundation_Calc!$I$10:$J$13,2,FALSE),0),
IF(AX608="K",VLOOKUP(L608,Foundation_Calc!$V$41:$X$74,VLOOKUP(AX608,Foundation_Calc!$I$10:$J$13,2,FALSE),0),"")))</f>
        <v/>
      </c>
      <c r="N608" s="8"/>
      <c r="O608" s="8"/>
      <c r="P608" s="8"/>
      <c r="Q608" s="14"/>
      <c r="R608" s="15"/>
      <c r="S608" s="15"/>
      <c r="T608" s="14"/>
      <c r="U608" s="14"/>
      <c r="V608" s="14"/>
      <c r="W608" s="18"/>
      <c r="X608" s="18"/>
      <c r="Y608" s="18"/>
      <c r="Z608" s="18"/>
      <c r="AA608" s="18"/>
      <c r="AB608" s="18"/>
      <c r="AC608" s="8" t="str">
        <f t="shared" si="106"/>
        <v/>
      </c>
      <c r="AD608" s="8"/>
      <c r="AE608" s="8"/>
      <c r="AF608" s="14"/>
      <c r="AG608" s="13"/>
      <c r="AH608" s="14"/>
      <c r="AI608" s="14"/>
      <c r="AJ608" s="8"/>
      <c r="AK608" s="8"/>
      <c r="AL608" s="8"/>
      <c r="AM608" s="8"/>
      <c r="AN608" s="631"/>
      <c r="AO608" s="18"/>
      <c r="AP608" s="18"/>
      <c r="AQ608" s="18"/>
      <c r="AR608" s="18"/>
      <c r="AS608" s="18"/>
      <c r="AU608" s="448"/>
      <c r="AV608" s="448"/>
      <c r="AW608" s="8" t="str">
        <f>IF(C608&gt;0,VLOOKUP(C608,Foundation_Calc!$A$2:$C$986,3,1),
IF(J608&gt;0,VLOOKUP(J608,Foundation_Calc!$A$2:$C$986,3,1),""))</f>
        <v/>
      </c>
      <c r="AX608" s="8" t="str">
        <f>IF(C608&gt;0,VLOOKUP(C608,Foundation_Calc!$E$2:$G$986,3,1),
IF(J608&gt;0,VLOOKUP(J608,Foundation_Calc!$E$2:$G$986,3,1),""))</f>
        <v/>
      </c>
      <c r="AY608" s="631" t="str">
        <f>IF(L608="","",
IF(AX608="PT",VLOOKUP(L608,Foundation_Calc!$K$4:$R$37,VLOOKUP(AW608,Foundation_Calc!$I$2:$J$8,2,FALSE),0),
IF(AX608="K",VLOOKUP(L608,Foundation_Calc!$K$41:$R$74,VLOOKUP(AW608,Foundation_Calc!$I$2:$J$8,2,FALSE),0),"")))</f>
        <v/>
      </c>
      <c r="AZ608" s="631" t="str">
        <f>IF(K608="","",
IF(AX608="PT",VLOOKUP(K608,Foundation_Calc!$K$4:$R$37,VLOOKUP(AW608,Foundation_Calc!$I$2:$J$8,2,FALSE),0),
IF(AX608="K",VLOOKUP(K608,Foundation_Calc!$K$41:$R$74,VLOOKUP(AW608,Foundation_Calc!$I$2:$J$8,2,FALSE),0),"")))</f>
        <v/>
      </c>
      <c r="BA608" s="632" t="str">
        <f t="shared" si="107"/>
        <v/>
      </c>
      <c r="BB608" s="632" t="str">
        <f t="shared" si="108"/>
        <v/>
      </c>
      <c r="BC608" s="632" t="str">
        <f t="shared" si="109"/>
        <v/>
      </c>
      <c r="BD608" s="633" t="str">
        <f>IF(AND(L608="",H608=""),"",
IF(H608="",Pole_Calc!A636,
IF(H608="MP",Pole_Calc!A637,
IF(H608="AnMP",Pole_Calc!A638,
IF(H608="A",Pole_Calc!A639,
IF(H608="S/A",Pole_Calc!A640,
IF(H608="A/S",Pole_Calc!A641,"Poner a mano")))))))</f>
        <v/>
      </c>
      <c r="BE608" s="448" t="s">
        <v>1726</v>
      </c>
      <c r="BF608" s="634"/>
      <c r="BG608" s="634"/>
      <c r="BH608" s="634"/>
      <c r="BI608" s="634"/>
    </row>
    <row r="609" spans="1:61" ht="16.2" customHeight="1">
      <c r="A609" s="12"/>
      <c r="B609" s="446"/>
      <c r="C609" s="89"/>
      <c r="D609" s="13"/>
      <c r="E609" s="14"/>
      <c r="F609" s="14"/>
      <c r="G609" s="15"/>
      <c r="H609" s="8"/>
      <c r="I609" s="8"/>
      <c r="J609" s="89"/>
      <c r="K609" s="8"/>
      <c r="L609" s="8"/>
      <c r="M609" s="8" t="str">
        <f>IF(L609="","",
IF(AX609="PT",VLOOKUP(L609,Foundation_Calc!$V$4:$X$37,VLOOKUP(AX609,Foundation_Calc!$I$10:$J$13,2,FALSE),0),
IF(AX609="K",VLOOKUP(L609,Foundation_Calc!$V$41:$X$74,VLOOKUP(AX609,Foundation_Calc!$I$10:$J$13,2,FALSE),0),"")))</f>
        <v/>
      </c>
      <c r="N609" s="8"/>
      <c r="O609" s="8"/>
      <c r="P609" s="8"/>
      <c r="Q609" s="14"/>
      <c r="R609" s="15"/>
      <c r="S609" s="15"/>
      <c r="T609" s="14"/>
      <c r="U609" s="14"/>
      <c r="V609" s="14"/>
      <c r="W609" s="18"/>
      <c r="X609" s="18"/>
      <c r="Y609" s="18"/>
      <c r="Z609" s="18"/>
      <c r="AA609" s="18"/>
      <c r="AB609" s="18"/>
      <c r="AC609" s="8" t="str">
        <f t="shared" si="106"/>
        <v/>
      </c>
      <c r="AD609" s="8"/>
      <c r="AE609" s="8"/>
      <c r="AF609" s="14"/>
      <c r="AG609" s="13"/>
      <c r="AH609" s="14"/>
      <c r="AI609" s="14"/>
      <c r="AJ609" s="8"/>
      <c r="AK609" s="8"/>
      <c r="AL609" s="8"/>
      <c r="AM609" s="8"/>
      <c r="AN609" s="631"/>
      <c r="AO609" s="18"/>
      <c r="AP609" s="18"/>
      <c r="AQ609" s="18"/>
      <c r="AR609" s="18"/>
      <c r="AS609" s="18"/>
      <c r="AU609" s="448"/>
      <c r="AV609" s="448"/>
      <c r="AW609" s="8" t="str">
        <f>IF(C609&gt;0,VLOOKUP(C609,Foundation_Calc!$A$2:$C$986,3,1),
IF(J609&gt;0,VLOOKUP(J609,Foundation_Calc!$A$2:$C$986,3,1),""))</f>
        <v/>
      </c>
      <c r="AX609" s="8" t="str">
        <f>IF(C609&gt;0,VLOOKUP(C609,Foundation_Calc!$E$2:$G$986,3,1),
IF(J609&gt;0,VLOOKUP(J609,Foundation_Calc!$E$2:$G$986,3,1),""))</f>
        <v/>
      </c>
      <c r="AY609" s="631" t="str">
        <f>IF(L609="","",
IF(AX609="PT",VLOOKUP(L609,Foundation_Calc!$K$4:$R$37,VLOOKUP(AW609,Foundation_Calc!$I$2:$J$8,2,FALSE),0),
IF(AX609="K",VLOOKUP(L609,Foundation_Calc!$K$41:$R$74,VLOOKUP(AW609,Foundation_Calc!$I$2:$J$8,2,FALSE),0),"")))</f>
        <v/>
      </c>
      <c r="AZ609" s="631" t="str">
        <f>IF(K609="","",
IF(AX609="PT",VLOOKUP(K609,Foundation_Calc!$K$4:$R$37,VLOOKUP(AW609,Foundation_Calc!$I$2:$J$8,2,FALSE),0),
IF(AX609="K",VLOOKUP(K609,Foundation_Calc!$K$41:$R$74,VLOOKUP(AW609,Foundation_Calc!$I$2:$J$8,2,FALSE),0),"")))</f>
        <v/>
      </c>
      <c r="BA609" s="632" t="str">
        <f t="shared" si="107"/>
        <v/>
      </c>
      <c r="BB609" s="632" t="str">
        <f t="shared" si="108"/>
        <v/>
      </c>
      <c r="BC609" s="632" t="str">
        <f t="shared" si="109"/>
        <v/>
      </c>
      <c r="BD609" s="633" t="str">
        <f>IF(AND(L609="",H609=""),"",
IF(H609="",Pole_Calc!A637,
IF(H609="MP",Pole_Calc!A638,
IF(H609="AnMP",Pole_Calc!A639,
IF(H609="A",Pole_Calc!A640,
IF(H609="S/A",Pole_Calc!A641,
IF(H609="A/S",Pole_Calc!A642,"Poner a mano")))))))</f>
        <v/>
      </c>
      <c r="BE609" s="448" t="s">
        <v>1726</v>
      </c>
      <c r="BF609" s="635"/>
      <c r="BG609" s="635"/>
      <c r="BH609" s="634"/>
      <c r="BI609" s="635"/>
    </row>
    <row r="610" spans="1:61" ht="16.2" customHeight="1">
      <c r="A610" s="12"/>
      <c r="B610" s="446"/>
      <c r="C610" s="89"/>
      <c r="D610" s="13"/>
      <c r="E610" s="14"/>
      <c r="F610" s="14"/>
      <c r="G610" s="15"/>
      <c r="H610" s="8"/>
      <c r="I610" s="8"/>
      <c r="J610" s="89"/>
      <c r="K610" s="8"/>
      <c r="L610" s="8"/>
      <c r="M610" s="8" t="str">
        <f>IF(L610="","",
IF(AX610="PT",VLOOKUP(L610,Foundation_Calc!$V$4:$X$37,VLOOKUP(AX610,Foundation_Calc!$I$10:$J$13,2,FALSE),0),
IF(AX610="K",VLOOKUP(L610,Foundation_Calc!$V$41:$X$74,VLOOKUP(AX610,Foundation_Calc!$I$10:$J$13,2,FALSE),0),"")))</f>
        <v/>
      </c>
      <c r="N610" s="8"/>
      <c r="O610" s="8"/>
      <c r="P610" s="8"/>
      <c r="Q610" s="14"/>
      <c r="R610" s="15"/>
      <c r="S610" s="15"/>
      <c r="T610" s="14"/>
      <c r="U610" s="14"/>
      <c r="V610" s="14"/>
      <c r="W610" s="18"/>
      <c r="X610" s="18"/>
      <c r="Y610" s="18"/>
      <c r="Z610" s="18"/>
      <c r="AA610" s="18"/>
      <c r="AB610" s="18"/>
      <c r="AC610" s="8" t="str">
        <f t="shared" si="106"/>
        <v/>
      </c>
      <c r="AD610" s="8"/>
      <c r="AE610" s="8"/>
      <c r="AF610" s="14"/>
      <c r="AG610" s="13"/>
      <c r="AH610" s="14"/>
      <c r="AI610" s="14"/>
      <c r="AJ610" s="8"/>
      <c r="AK610" s="8"/>
      <c r="AL610" s="8"/>
      <c r="AM610" s="8"/>
      <c r="AN610" s="631"/>
      <c r="AO610" s="18"/>
      <c r="AP610" s="18"/>
      <c r="AQ610" s="18"/>
      <c r="AR610" s="18"/>
      <c r="AS610" s="18"/>
      <c r="AU610" s="448"/>
      <c r="AV610" s="448"/>
      <c r="AW610" s="8" t="str">
        <f>IF(C610&gt;0,VLOOKUP(C610,Foundation_Calc!$A$2:$C$986,3,1),
IF(J610&gt;0,VLOOKUP(J610,Foundation_Calc!$A$2:$C$986,3,1),""))</f>
        <v/>
      </c>
      <c r="AX610" s="8" t="str">
        <f>IF(C610&gt;0,VLOOKUP(C610,Foundation_Calc!$E$2:$G$986,3,1),
IF(J610&gt;0,VLOOKUP(J610,Foundation_Calc!$E$2:$G$986,3,1),""))</f>
        <v/>
      </c>
      <c r="AY610" s="631" t="str">
        <f>IF(L610="","",
IF(AX610="PT",VLOOKUP(L610,Foundation_Calc!$K$4:$R$37,VLOOKUP(AW610,Foundation_Calc!$I$2:$J$8,2,FALSE),0),
IF(AX610="K",VLOOKUP(L610,Foundation_Calc!$K$41:$R$74,VLOOKUP(AW610,Foundation_Calc!$I$2:$J$8,2,FALSE),0),"")))</f>
        <v/>
      </c>
      <c r="AZ610" s="631" t="str">
        <f>IF(K610="","",
IF(AX610="PT",VLOOKUP(K610,Foundation_Calc!$K$4:$R$37,VLOOKUP(AW610,Foundation_Calc!$I$2:$J$8,2,FALSE),0),
IF(AX610="K",VLOOKUP(K610,Foundation_Calc!$K$41:$R$74,VLOOKUP(AW610,Foundation_Calc!$I$2:$J$8,2,FALSE),0),"")))</f>
        <v/>
      </c>
      <c r="BA610" s="632" t="str">
        <f t="shared" si="107"/>
        <v/>
      </c>
      <c r="BB610" s="632" t="str">
        <f t="shared" si="108"/>
        <v/>
      </c>
      <c r="BC610" s="632" t="str">
        <f t="shared" si="109"/>
        <v/>
      </c>
      <c r="BD610" s="633" t="str">
        <f>IF(AND(L610="",H610=""),"",
IF(H610="",Pole_Calc!A638,
IF(H610="MP",Pole_Calc!A639,
IF(H610="AnMP",Pole_Calc!A640,
IF(H610="A",Pole_Calc!A641,
IF(H610="S/A",Pole_Calc!A642,
IF(H610="A/S",Pole_Calc!A643,"Poner a mano")))))))</f>
        <v/>
      </c>
      <c r="BE610" s="448" t="s">
        <v>1726</v>
      </c>
      <c r="BF610" s="634"/>
      <c r="BG610" s="634"/>
      <c r="BH610" s="634"/>
      <c r="BI610" s="634"/>
    </row>
    <row r="611" spans="1:61" ht="16.2" customHeight="1">
      <c r="A611" s="12"/>
      <c r="B611" s="446"/>
      <c r="C611" s="89"/>
      <c r="D611" s="13"/>
      <c r="E611" s="14"/>
      <c r="F611" s="14"/>
      <c r="G611" s="15"/>
      <c r="H611" s="8"/>
      <c r="I611" s="8"/>
      <c r="J611" s="89"/>
      <c r="K611" s="8"/>
      <c r="L611" s="8"/>
      <c r="M611" s="8" t="str">
        <f>IF(L611="","",
IF(AX611="PT",VLOOKUP(L611,Foundation_Calc!$V$4:$X$37,VLOOKUP(AX611,Foundation_Calc!$I$10:$J$13,2,FALSE),0),
IF(AX611="K",VLOOKUP(L611,Foundation_Calc!$V$41:$X$74,VLOOKUP(AX611,Foundation_Calc!$I$10:$J$13,2,FALSE),0),"")))</f>
        <v/>
      </c>
      <c r="N611" s="8"/>
      <c r="O611" s="8"/>
      <c r="P611" s="8"/>
      <c r="Q611" s="14"/>
      <c r="R611" s="15"/>
      <c r="S611" s="15"/>
      <c r="T611" s="14"/>
      <c r="U611" s="14"/>
      <c r="V611" s="14"/>
      <c r="W611" s="18"/>
      <c r="X611" s="18"/>
      <c r="Y611" s="18"/>
      <c r="Z611" s="18"/>
      <c r="AA611" s="18"/>
      <c r="AB611" s="18"/>
      <c r="AC611" s="8" t="str">
        <f t="shared" si="106"/>
        <v/>
      </c>
      <c r="AD611" s="8"/>
      <c r="AE611" s="8"/>
      <c r="AF611" s="14"/>
      <c r="AG611" s="13"/>
      <c r="AH611" s="14"/>
      <c r="AI611" s="14"/>
      <c r="AJ611" s="8"/>
      <c r="AK611" s="8"/>
      <c r="AL611" s="8"/>
      <c r="AM611" s="8"/>
      <c r="AN611" s="631"/>
      <c r="AO611" s="18"/>
      <c r="AP611" s="18"/>
      <c r="AQ611" s="18"/>
      <c r="AR611" s="18"/>
      <c r="AS611" s="18"/>
      <c r="AU611" s="448"/>
      <c r="AV611" s="448"/>
      <c r="AW611" s="8" t="str">
        <f>IF(C611&gt;0,VLOOKUP(C611,Foundation_Calc!$A$2:$C$986,3,1),
IF(J611&gt;0,VLOOKUP(J611,Foundation_Calc!$A$2:$C$986,3,1),""))</f>
        <v/>
      </c>
      <c r="AX611" s="8" t="str">
        <f>IF(C611&gt;0,VLOOKUP(C611,Foundation_Calc!$E$2:$G$986,3,1),
IF(J611&gt;0,VLOOKUP(J611,Foundation_Calc!$E$2:$G$986,3,1),""))</f>
        <v/>
      </c>
      <c r="AY611" s="631" t="str">
        <f>IF(L611="","",
IF(AX611="PT",VLOOKUP(L611,Foundation_Calc!$K$4:$R$37,VLOOKUP(AW611,Foundation_Calc!$I$2:$J$8,2,FALSE),0),
IF(AX611="K",VLOOKUP(L611,Foundation_Calc!$K$41:$R$74,VLOOKUP(AW611,Foundation_Calc!$I$2:$J$8,2,FALSE),0),"")))</f>
        <v/>
      </c>
      <c r="AZ611" s="631" t="str">
        <f>IF(K611="","",
IF(AX611="PT",VLOOKUP(K611,Foundation_Calc!$K$4:$R$37,VLOOKUP(AW611,Foundation_Calc!$I$2:$J$8,2,FALSE),0),
IF(AX611="K",VLOOKUP(K611,Foundation_Calc!$K$41:$R$74,VLOOKUP(AW611,Foundation_Calc!$I$2:$J$8,2,FALSE),0),"")))</f>
        <v/>
      </c>
      <c r="BA611" s="632" t="str">
        <f t="shared" si="107"/>
        <v/>
      </c>
      <c r="BB611" s="632" t="str">
        <f t="shared" si="108"/>
        <v/>
      </c>
      <c r="BC611" s="632" t="str">
        <f t="shared" si="109"/>
        <v/>
      </c>
      <c r="BD611" s="633" t="str">
        <f>IF(AND(L611="",H611=""),"",
IF(H611="",Pole_Calc!A639,
IF(H611="MP",Pole_Calc!A640,
IF(H611="AnMP",Pole_Calc!A641,
IF(H611="A",Pole_Calc!A642,
IF(H611="S/A",Pole_Calc!A643,
IF(H611="A/S",Pole_Calc!A644,"Poner a mano")))))))</f>
        <v/>
      </c>
      <c r="BE611" s="448" t="s">
        <v>1726</v>
      </c>
      <c r="BF611" s="635"/>
      <c r="BG611" s="635"/>
      <c r="BH611" s="634"/>
      <c r="BI611" s="635"/>
    </row>
    <row r="612" spans="1:61" ht="16.2" customHeight="1">
      <c r="A612" s="12"/>
      <c r="B612" s="446"/>
      <c r="C612" s="89"/>
      <c r="D612" s="13"/>
      <c r="E612" s="14"/>
      <c r="F612" s="14"/>
      <c r="G612" s="15"/>
      <c r="H612" s="8"/>
      <c r="I612" s="8"/>
      <c r="J612" s="89"/>
      <c r="K612" s="8"/>
      <c r="L612" s="8"/>
      <c r="M612" s="8" t="str">
        <f>IF(L612="","",
IF(AX612="PT",VLOOKUP(L612,Foundation_Calc!$V$4:$X$37,VLOOKUP(AX612,Foundation_Calc!$I$10:$J$13,2,FALSE),0),
IF(AX612="K",VLOOKUP(L612,Foundation_Calc!$V$41:$X$74,VLOOKUP(AX612,Foundation_Calc!$I$10:$J$13,2,FALSE),0),"")))</f>
        <v/>
      </c>
      <c r="N612" s="8"/>
      <c r="O612" s="8"/>
      <c r="P612" s="8"/>
      <c r="Q612" s="14"/>
      <c r="R612" s="15"/>
      <c r="S612" s="15"/>
      <c r="T612" s="14"/>
      <c r="U612" s="14"/>
      <c r="V612" s="14"/>
      <c r="W612" s="18"/>
      <c r="X612" s="18"/>
      <c r="Y612" s="18"/>
      <c r="Z612" s="18"/>
      <c r="AA612" s="18"/>
      <c r="AB612" s="18"/>
      <c r="AC612" s="8" t="str">
        <f t="shared" si="106"/>
        <v/>
      </c>
      <c r="AD612" s="8"/>
      <c r="AE612" s="8"/>
      <c r="AF612" s="14"/>
      <c r="AG612" s="13"/>
      <c r="AH612" s="14"/>
      <c r="AI612" s="14"/>
      <c r="AJ612" s="8"/>
      <c r="AK612" s="8"/>
      <c r="AL612" s="8"/>
      <c r="AM612" s="8"/>
      <c r="AN612" s="631"/>
      <c r="AO612" s="18"/>
      <c r="AP612" s="18"/>
      <c r="AQ612" s="18"/>
      <c r="AR612" s="18"/>
      <c r="AS612" s="18"/>
      <c r="AU612" s="448"/>
      <c r="AV612" s="448"/>
      <c r="AW612" s="8" t="str">
        <f>IF(C612&gt;0,VLOOKUP(C612,Foundation_Calc!$A$2:$C$986,3,1),
IF(J612&gt;0,VLOOKUP(J612,Foundation_Calc!$A$2:$C$986,3,1),""))</f>
        <v/>
      </c>
      <c r="AX612" s="8" t="str">
        <f>IF(C612&gt;0,VLOOKUP(C612,Foundation_Calc!$E$2:$G$986,3,1),
IF(J612&gt;0,VLOOKUP(J612,Foundation_Calc!$E$2:$G$986,3,1),""))</f>
        <v/>
      </c>
      <c r="AY612" s="631" t="str">
        <f>IF(L612="","",
IF(AX612="PT",VLOOKUP(L612,Foundation_Calc!$K$4:$R$37,VLOOKUP(AW612,Foundation_Calc!$I$2:$J$8,2,FALSE),0),
IF(AX612="K",VLOOKUP(L612,Foundation_Calc!$K$41:$R$74,VLOOKUP(AW612,Foundation_Calc!$I$2:$J$8,2,FALSE),0),"")))</f>
        <v/>
      </c>
      <c r="AZ612" s="631" t="str">
        <f>IF(K612="","",
IF(AX612="PT",VLOOKUP(K612,Foundation_Calc!$K$4:$R$37,VLOOKUP(AW612,Foundation_Calc!$I$2:$J$8,2,FALSE),0),
IF(AX612="K",VLOOKUP(K612,Foundation_Calc!$K$41:$R$74,VLOOKUP(AW612,Foundation_Calc!$I$2:$J$8,2,FALSE),0),"")))</f>
        <v/>
      </c>
      <c r="BA612" s="632" t="str">
        <f t="shared" si="107"/>
        <v/>
      </c>
      <c r="BB612" s="632" t="str">
        <f t="shared" si="108"/>
        <v/>
      </c>
      <c r="BC612" s="632" t="str">
        <f t="shared" si="109"/>
        <v/>
      </c>
      <c r="BD612" s="633" t="str">
        <f>IF(AND(L612="",H612=""),"",
IF(H612="",Pole_Calc!A640,
IF(H612="MP",Pole_Calc!A641,
IF(H612="AnMP",Pole_Calc!A642,
IF(H612="A",Pole_Calc!A643,
IF(H612="S/A",Pole_Calc!A644,
IF(H612="A/S",Pole_Calc!A645,"Poner a mano")))))))</f>
        <v/>
      </c>
      <c r="BE612" s="448" t="s">
        <v>1726</v>
      </c>
      <c r="BF612" s="634"/>
      <c r="BG612" s="634"/>
      <c r="BH612" s="634"/>
      <c r="BI612" s="634"/>
    </row>
    <row r="613" spans="1:61" ht="16.2" customHeight="1">
      <c r="A613" s="12"/>
      <c r="B613" s="446"/>
      <c r="C613" s="89"/>
      <c r="D613" s="13"/>
      <c r="E613" s="14"/>
      <c r="F613" s="14"/>
      <c r="G613" s="15"/>
      <c r="H613" s="8"/>
      <c r="I613" s="8"/>
      <c r="J613" s="89"/>
      <c r="K613" s="8"/>
      <c r="L613" s="8"/>
      <c r="M613" s="8" t="str">
        <f>IF(L613="","",
IF(AX613="PT",VLOOKUP(L613,Foundation_Calc!$V$4:$X$37,VLOOKUP(AX613,Foundation_Calc!$I$10:$J$13,2,FALSE),0),
IF(AX613="K",VLOOKUP(L613,Foundation_Calc!$V$41:$X$74,VLOOKUP(AX613,Foundation_Calc!$I$10:$J$13,2,FALSE),0),"")))</f>
        <v/>
      </c>
      <c r="N613" s="8"/>
      <c r="O613" s="8"/>
      <c r="P613" s="8"/>
      <c r="Q613" s="14"/>
      <c r="R613" s="15"/>
      <c r="S613" s="15"/>
      <c r="T613" s="14"/>
      <c r="U613" s="14"/>
      <c r="V613" s="14"/>
      <c r="W613" s="18"/>
      <c r="X613" s="18"/>
      <c r="Y613" s="18"/>
      <c r="Z613" s="18"/>
      <c r="AA613" s="18"/>
      <c r="AB613" s="18"/>
      <c r="AC613" s="8" t="str">
        <f t="shared" si="106"/>
        <v/>
      </c>
      <c r="AD613" s="8"/>
      <c r="AE613" s="8"/>
      <c r="AF613" s="14"/>
      <c r="AG613" s="13"/>
      <c r="AH613" s="14"/>
      <c r="AI613" s="14"/>
      <c r="AJ613" s="8"/>
      <c r="AK613" s="8"/>
      <c r="AL613" s="8"/>
      <c r="AM613" s="8"/>
      <c r="AN613" s="631"/>
      <c r="AO613" s="18"/>
      <c r="AP613" s="18"/>
      <c r="AQ613" s="18"/>
      <c r="AR613" s="18"/>
      <c r="AS613" s="18"/>
      <c r="AU613" s="448"/>
      <c r="AV613" s="448"/>
      <c r="AW613" s="8" t="str">
        <f>IF(C613&gt;0,VLOOKUP(C613,Foundation_Calc!$A$2:$C$986,3,1),
IF(J613&gt;0,VLOOKUP(J613,Foundation_Calc!$A$2:$C$986,3,1),""))</f>
        <v/>
      </c>
      <c r="AX613" s="8" t="str">
        <f>IF(C613&gt;0,VLOOKUP(C613,Foundation_Calc!$E$2:$G$986,3,1),
IF(J613&gt;0,VLOOKUP(J613,Foundation_Calc!$E$2:$G$986,3,1),""))</f>
        <v/>
      </c>
      <c r="AY613" s="631" t="str">
        <f>IF(L613="","",
IF(AX613="PT",VLOOKUP(L613,Foundation_Calc!$K$4:$R$37,VLOOKUP(AW613,Foundation_Calc!$I$2:$J$8,2,FALSE),0),
IF(AX613="K",VLOOKUP(L613,Foundation_Calc!$K$41:$R$74,VLOOKUP(AW613,Foundation_Calc!$I$2:$J$8,2,FALSE),0),"")))</f>
        <v/>
      </c>
      <c r="AZ613" s="631" t="str">
        <f>IF(K613="","",
IF(AX613="PT",VLOOKUP(K613,Foundation_Calc!$K$4:$R$37,VLOOKUP(AW613,Foundation_Calc!$I$2:$J$8,2,FALSE),0),
IF(AX613="K",VLOOKUP(K613,Foundation_Calc!$K$41:$R$74,VLOOKUP(AW613,Foundation_Calc!$I$2:$J$8,2,FALSE),0),"")))</f>
        <v/>
      </c>
      <c r="BA613" s="632" t="str">
        <f t="shared" si="107"/>
        <v/>
      </c>
      <c r="BB613" s="632" t="str">
        <f t="shared" si="108"/>
        <v/>
      </c>
      <c r="BC613" s="632" t="str">
        <f t="shared" si="109"/>
        <v/>
      </c>
      <c r="BD613" s="633" t="str">
        <f>IF(AND(L613="",H613=""),"",
IF(H613="",Pole_Calc!A641,
IF(H613="MP",Pole_Calc!A642,
IF(H613="AnMP",Pole_Calc!A643,
IF(H613="A",Pole_Calc!A644,
IF(H613="S/A",Pole_Calc!A645,
IF(H613="A/S",Pole_Calc!A646,"Poner a mano")))))))</f>
        <v/>
      </c>
      <c r="BE613" s="448" t="s">
        <v>1726</v>
      </c>
      <c r="BF613" s="635"/>
      <c r="BG613" s="635"/>
      <c r="BH613" s="634"/>
      <c r="BI613" s="635"/>
    </row>
    <row r="614" spans="1:61" ht="16.2" customHeight="1">
      <c r="A614" s="12"/>
      <c r="B614" s="446"/>
      <c r="C614" s="89"/>
      <c r="D614" s="13"/>
      <c r="E614" s="14"/>
      <c r="F614" s="14"/>
      <c r="G614" s="15"/>
      <c r="H614" s="8"/>
      <c r="I614" s="8"/>
      <c r="J614" s="89"/>
      <c r="K614" s="8"/>
      <c r="L614" s="8"/>
      <c r="M614" s="8" t="str">
        <f>IF(L614="","",
IF(AX614="PT",VLOOKUP(L614,Foundation_Calc!$V$4:$X$37,VLOOKUP(AX614,Foundation_Calc!$I$10:$J$13,2,FALSE),0),
IF(AX614="K",VLOOKUP(L614,Foundation_Calc!$V$41:$X$74,VLOOKUP(AX614,Foundation_Calc!$I$10:$J$13,2,FALSE),0),"")))</f>
        <v/>
      </c>
      <c r="N614" s="8"/>
      <c r="O614" s="8"/>
      <c r="P614" s="8"/>
      <c r="Q614" s="14"/>
      <c r="R614" s="15"/>
      <c r="S614" s="15"/>
      <c r="T614" s="14"/>
      <c r="U614" s="14"/>
      <c r="V614" s="14"/>
      <c r="W614" s="18"/>
      <c r="X614" s="18"/>
      <c r="Y614" s="18"/>
      <c r="Z614" s="18"/>
      <c r="AA614" s="18"/>
      <c r="AB614" s="18"/>
      <c r="AC614" s="8" t="str">
        <f t="shared" si="106"/>
        <v/>
      </c>
      <c r="AD614" s="8"/>
      <c r="AE614" s="8"/>
      <c r="AF614" s="14"/>
      <c r="AG614" s="13"/>
      <c r="AH614" s="14"/>
      <c r="AI614" s="14"/>
      <c r="AJ614" s="8"/>
      <c r="AK614" s="8"/>
      <c r="AL614" s="8"/>
      <c r="AM614" s="8"/>
      <c r="AN614" s="631"/>
      <c r="AO614" s="18"/>
      <c r="AP614" s="18"/>
      <c r="AQ614" s="18"/>
      <c r="AR614" s="18"/>
      <c r="AS614" s="18"/>
      <c r="AU614" s="448"/>
      <c r="AV614" s="448"/>
      <c r="AW614" s="8" t="str">
        <f>IF(C614&gt;0,VLOOKUP(C614,Foundation_Calc!$A$2:$C$986,3,1),
IF(J614&gt;0,VLOOKUP(J614,Foundation_Calc!$A$2:$C$986,3,1),""))</f>
        <v/>
      </c>
      <c r="AX614" s="8" t="str">
        <f>IF(C614&gt;0,VLOOKUP(C614,Foundation_Calc!$E$2:$G$986,3,1),
IF(J614&gt;0,VLOOKUP(J614,Foundation_Calc!$E$2:$G$986,3,1),""))</f>
        <v/>
      </c>
      <c r="AY614" s="631" t="str">
        <f>IF(L614="","",
IF(AX614="PT",VLOOKUP(L614,Foundation_Calc!$K$4:$R$37,VLOOKUP(AW614,Foundation_Calc!$I$2:$J$8,2,FALSE),0),
IF(AX614="K",VLOOKUP(L614,Foundation_Calc!$K$41:$R$74,VLOOKUP(AW614,Foundation_Calc!$I$2:$J$8,2,FALSE),0),"")))</f>
        <v/>
      </c>
      <c r="AZ614" s="631" t="str">
        <f>IF(K614="","",
IF(AX614="PT",VLOOKUP(K614,Foundation_Calc!$K$4:$R$37,VLOOKUP(AW614,Foundation_Calc!$I$2:$J$8,2,FALSE),0),
IF(AX614="K",VLOOKUP(K614,Foundation_Calc!$K$41:$R$74,VLOOKUP(AW614,Foundation_Calc!$I$2:$J$8,2,FALSE),0),"")))</f>
        <v/>
      </c>
      <c r="BA614" s="632" t="str">
        <f t="shared" si="107"/>
        <v/>
      </c>
      <c r="BB614" s="632" t="str">
        <f t="shared" si="108"/>
        <v/>
      </c>
      <c r="BC614" s="632" t="str">
        <f t="shared" si="109"/>
        <v/>
      </c>
      <c r="BD614" s="633" t="str">
        <f>IF(AND(L614="",H614=""),"",
IF(H614="",Pole_Calc!A642,
IF(H614="MP",Pole_Calc!A643,
IF(H614="AnMP",Pole_Calc!A644,
IF(H614="A",Pole_Calc!A645,
IF(H614="S/A",Pole_Calc!A646,
IF(H614="A/S",Pole_Calc!A647,"Poner a mano")))))))</f>
        <v/>
      </c>
      <c r="BE614" s="448" t="s">
        <v>1726</v>
      </c>
      <c r="BF614" s="634"/>
      <c r="BG614" s="634"/>
      <c r="BH614" s="634"/>
      <c r="BI614" s="634"/>
    </row>
    <row r="615" spans="1:61" ht="16.2" customHeight="1">
      <c r="A615" s="12"/>
      <c r="B615" s="446"/>
      <c r="C615" s="89"/>
      <c r="D615" s="13"/>
      <c r="E615" s="14"/>
      <c r="F615" s="14"/>
      <c r="G615" s="15"/>
      <c r="H615" s="8"/>
      <c r="I615" s="8"/>
      <c r="J615" s="89"/>
      <c r="K615" s="8"/>
      <c r="L615" s="8"/>
      <c r="M615" s="8" t="str">
        <f>IF(L615="","",
IF(AX615="PT",VLOOKUP(L615,Foundation_Calc!$V$4:$X$37,VLOOKUP(AX615,Foundation_Calc!$I$10:$J$13,2,FALSE),0),
IF(AX615="K",VLOOKUP(L615,Foundation_Calc!$V$41:$X$74,VLOOKUP(AX615,Foundation_Calc!$I$10:$J$13,2,FALSE),0),"")))</f>
        <v/>
      </c>
      <c r="N615" s="8"/>
      <c r="O615" s="8"/>
      <c r="P615" s="8"/>
      <c r="Q615" s="14"/>
      <c r="R615" s="15"/>
      <c r="S615" s="15"/>
      <c r="T615" s="14"/>
      <c r="U615" s="14"/>
      <c r="V615" s="14"/>
      <c r="W615" s="18"/>
      <c r="X615" s="18"/>
      <c r="Y615" s="18"/>
      <c r="Z615" s="18"/>
      <c r="AA615" s="18"/>
      <c r="AB615" s="18"/>
      <c r="AC615" s="8" t="str">
        <f t="shared" si="106"/>
        <v/>
      </c>
      <c r="AD615" s="8"/>
      <c r="AE615" s="8"/>
      <c r="AF615" s="14"/>
      <c r="AG615" s="13"/>
      <c r="AH615" s="14"/>
      <c r="AI615" s="14"/>
      <c r="AJ615" s="8"/>
      <c r="AK615" s="8"/>
      <c r="AL615" s="8"/>
      <c r="AM615" s="8"/>
      <c r="AN615" s="631"/>
      <c r="AO615" s="18"/>
      <c r="AP615" s="18"/>
      <c r="AQ615" s="18"/>
      <c r="AR615" s="18"/>
      <c r="AS615" s="18"/>
      <c r="AU615" s="448"/>
      <c r="AV615" s="448"/>
      <c r="AW615" s="8" t="str">
        <f>IF(C615&gt;0,VLOOKUP(C615,Foundation_Calc!$A$2:$C$986,3,1),
IF(J615&gt;0,VLOOKUP(J615,Foundation_Calc!$A$2:$C$986,3,1),""))</f>
        <v/>
      </c>
      <c r="AX615" s="8" t="str">
        <f>IF(C615&gt;0,VLOOKUP(C615,Foundation_Calc!$E$2:$G$986,3,1),
IF(J615&gt;0,VLOOKUP(J615,Foundation_Calc!$E$2:$G$986,3,1),""))</f>
        <v/>
      </c>
      <c r="AY615" s="631" t="str">
        <f>IF(L615="","",
IF(AX615="PT",VLOOKUP(L615,Foundation_Calc!$K$4:$R$37,VLOOKUP(AW615,Foundation_Calc!$I$2:$J$8,2,FALSE),0),
IF(AX615="K",VLOOKUP(L615,Foundation_Calc!$K$41:$R$74,VLOOKUP(AW615,Foundation_Calc!$I$2:$J$8,2,FALSE),0),"")))</f>
        <v/>
      </c>
      <c r="AZ615" s="631" t="str">
        <f>IF(K615="","",
IF(AX615="PT",VLOOKUP(K615,Foundation_Calc!$K$4:$R$37,VLOOKUP(AW615,Foundation_Calc!$I$2:$J$8,2,FALSE),0),
IF(AX615="K",VLOOKUP(K615,Foundation_Calc!$K$41:$R$74,VLOOKUP(AW615,Foundation_Calc!$I$2:$J$8,2,FALSE),0),"")))</f>
        <v/>
      </c>
      <c r="BA615" s="632" t="str">
        <f t="shared" si="107"/>
        <v/>
      </c>
      <c r="BB615" s="632" t="str">
        <f t="shared" si="108"/>
        <v/>
      </c>
      <c r="BC615" s="632" t="str">
        <f t="shared" si="109"/>
        <v/>
      </c>
      <c r="BD615" s="633" t="str">
        <f>IF(AND(L615="",H615=""),"",
IF(H615="",Pole_Calc!A643,
IF(H615="MP",Pole_Calc!A644,
IF(H615="AnMP",Pole_Calc!A645,
IF(H615="A",Pole_Calc!A646,
IF(H615="S/A",Pole_Calc!A647,
IF(H615="A/S",Pole_Calc!A648,"Poner a mano")))))))</f>
        <v/>
      </c>
      <c r="BE615" s="448" t="s">
        <v>1726</v>
      </c>
      <c r="BF615" s="635"/>
      <c r="BG615" s="635"/>
      <c r="BH615" s="634"/>
      <c r="BI615" s="635"/>
    </row>
    <row r="616" spans="1:61" ht="16.2" customHeight="1">
      <c r="A616" s="12"/>
      <c r="B616" s="446"/>
      <c r="C616" s="89"/>
      <c r="D616" s="13"/>
      <c r="E616" s="14"/>
      <c r="F616" s="14"/>
      <c r="G616" s="15"/>
      <c r="H616" s="8"/>
      <c r="I616" s="8"/>
      <c r="J616" s="89"/>
      <c r="K616" s="8"/>
      <c r="L616" s="8"/>
      <c r="M616" s="8" t="str">
        <f>IF(L616="","",
IF(AX616="PT",VLOOKUP(L616,Foundation_Calc!$V$4:$X$37,VLOOKUP(AX616,Foundation_Calc!$I$10:$J$13,2,FALSE),0),
IF(AX616="K",VLOOKUP(L616,Foundation_Calc!$V$41:$X$74,VLOOKUP(AX616,Foundation_Calc!$I$10:$J$13,2,FALSE),0),"")))</f>
        <v/>
      </c>
      <c r="N616" s="8"/>
      <c r="O616" s="8"/>
      <c r="P616" s="8"/>
      <c r="Q616" s="14"/>
      <c r="R616" s="15"/>
      <c r="S616" s="15"/>
      <c r="T616" s="14"/>
      <c r="U616" s="14"/>
      <c r="V616" s="14"/>
      <c r="W616" s="18"/>
      <c r="X616" s="18"/>
      <c r="Y616" s="18"/>
      <c r="Z616" s="18"/>
      <c r="AA616" s="18"/>
      <c r="AB616" s="18"/>
      <c r="AC616" s="8" t="str">
        <f t="shared" si="106"/>
        <v/>
      </c>
      <c r="AD616" s="8"/>
      <c r="AE616" s="8"/>
      <c r="AF616" s="14"/>
      <c r="AG616" s="13"/>
      <c r="AH616" s="14"/>
      <c r="AI616" s="14"/>
      <c r="AJ616" s="8"/>
      <c r="AK616" s="8"/>
      <c r="AL616" s="8"/>
      <c r="AM616" s="8"/>
      <c r="AN616" s="631"/>
      <c r="AO616" s="18"/>
      <c r="AP616" s="18"/>
      <c r="AQ616" s="18"/>
      <c r="AR616" s="18"/>
      <c r="AS616" s="18"/>
      <c r="AU616" s="448"/>
      <c r="AV616" s="448"/>
      <c r="AW616" s="8" t="str">
        <f>IF(C616&gt;0,VLOOKUP(C616,Foundation_Calc!$A$2:$C$986,3,1),
IF(J616&gt;0,VLOOKUP(J616,Foundation_Calc!$A$2:$C$986,3,1),""))</f>
        <v/>
      </c>
      <c r="AX616" s="8" t="str">
        <f>IF(C616&gt;0,VLOOKUP(C616,Foundation_Calc!$E$2:$G$986,3,1),
IF(J616&gt;0,VLOOKUP(J616,Foundation_Calc!$E$2:$G$986,3,1),""))</f>
        <v/>
      </c>
      <c r="AY616" s="631" t="str">
        <f>IF(L616="","",
IF(AX616="PT",VLOOKUP(L616,Foundation_Calc!$K$4:$R$37,VLOOKUP(AW616,Foundation_Calc!$I$2:$J$8,2,FALSE),0),
IF(AX616="K",VLOOKUP(L616,Foundation_Calc!$K$41:$R$74,VLOOKUP(AW616,Foundation_Calc!$I$2:$J$8,2,FALSE),0),"")))</f>
        <v/>
      </c>
      <c r="AZ616" s="631" t="str">
        <f>IF(K616="","",
IF(AX616="PT",VLOOKUP(K616,Foundation_Calc!$K$4:$R$37,VLOOKUP(AW616,Foundation_Calc!$I$2:$J$8,2,FALSE),0),
IF(AX616="K",VLOOKUP(K616,Foundation_Calc!$K$41:$R$74,VLOOKUP(AW616,Foundation_Calc!$I$2:$J$8,2,FALSE),0),"")))</f>
        <v/>
      </c>
      <c r="BA616" s="632" t="str">
        <f t="shared" si="107"/>
        <v/>
      </c>
      <c r="BB616" s="632" t="str">
        <f t="shared" si="108"/>
        <v/>
      </c>
      <c r="BC616" s="632" t="str">
        <f t="shared" si="109"/>
        <v/>
      </c>
      <c r="BD616" s="633" t="str">
        <f>IF(AND(L616="",H616=""),"",
IF(H616="",Pole_Calc!A644,
IF(H616="MP",Pole_Calc!A645,
IF(H616="AnMP",Pole_Calc!A646,
IF(H616="A",Pole_Calc!A647,
IF(H616="S/A",Pole_Calc!A648,
IF(H616="A/S",Pole_Calc!A649,"Poner a mano")))))))</f>
        <v/>
      </c>
      <c r="BE616" s="448" t="s">
        <v>1726</v>
      </c>
      <c r="BF616" s="634"/>
      <c r="BG616" s="634"/>
      <c r="BH616" s="634"/>
      <c r="BI616" s="634"/>
    </row>
    <row r="617" spans="1:61" ht="16.2" customHeight="1">
      <c r="A617" s="12"/>
      <c r="B617" s="446"/>
      <c r="C617" s="89"/>
      <c r="D617" s="13"/>
      <c r="E617" s="14"/>
      <c r="F617" s="14"/>
      <c r="G617" s="15"/>
      <c r="H617" s="8"/>
      <c r="I617" s="8"/>
      <c r="J617" s="89"/>
      <c r="K617" s="8"/>
      <c r="L617" s="8"/>
      <c r="M617" s="8" t="str">
        <f>IF(L617="","",
IF(AX617="PT",VLOOKUP(L617,Foundation_Calc!$V$4:$X$37,VLOOKUP(AX617,Foundation_Calc!$I$10:$J$13,2,FALSE),0),
IF(AX617="K",VLOOKUP(L617,Foundation_Calc!$V$41:$X$74,VLOOKUP(AX617,Foundation_Calc!$I$10:$J$13,2,FALSE),0),"")))</f>
        <v/>
      </c>
      <c r="N617" s="8"/>
      <c r="O617" s="8"/>
      <c r="P617" s="8"/>
      <c r="Q617" s="14"/>
      <c r="R617" s="15"/>
      <c r="S617" s="15"/>
      <c r="T617" s="14"/>
      <c r="U617" s="14"/>
      <c r="V617" s="14"/>
      <c r="W617" s="18"/>
      <c r="X617" s="18"/>
      <c r="Y617" s="18"/>
      <c r="Z617" s="18"/>
      <c r="AA617" s="18"/>
      <c r="AB617" s="18"/>
      <c r="AC617" s="8" t="str">
        <f t="shared" si="106"/>
        <v/>
      </c>
      <c r="AD617" s="8"/>
      <c r="AE617" s="8"/>
      <c r="AF617" s="14"/>
      <c r="AG617" s="13"/>
      <c r="AH617" s="14"/>
      <c r="AI617" s="14"/>
      <c r="AJ617" s="8"/>
      <c r="AK617" s="8"/>
      <c r="AL617" s="8"/>
      <c r="AM617" s="8"/>
      <c r="AN617" s="631"/>
      <c r="AO617" s="18"/>
      <c r="AP617" s="18"/>
      <c r="AQ617" s="18"/>
      <c r="AR617" s="18"/>
      <c r="AS617" s="18"/>
      <c r="AU617" s="448"/>
      <c r="AV617" s="448"/>
      <c r="AW617" s="8" t="str">
        <f>IF(C617&gt;0,VLOOKUP(C617,Foundation_Calc!$A$2:$C$986,3,1),
IF(J617&gt;0,VLOOKUP(J617,Foundation_Calc!$A$2:$C$986,3,1),""))</f>
        <v/>
      </c>
      <c r="AX617" s="8" t="str">
        <f>IF(C617&gt;0,VLOOKUP(C617,Foundation_Calc!$E$2:$G$986,3,1),
IF(J617&gt;0,VLOOKUP(J617,Foundation_Calc!$E$2:$G$986,3,1),""))</f>
        <v/>
      </c>
      <c r="AY617" s="631" t="str">
        <f>IF(L617="","",
IF(AX617="PT",VLOOKUP(L617,Foundation_Calc!$K$4:$R$37,VLOOKUP(AW617,Foundation_Calc!$I$2:$J$8,2,FALSE),0),
IF(AX617="K",VLOOKUP(L617,Foundation_Calc!$K$41:$R$74,VLOOKUP(AW617,Foundation_Calc!$I$2:$J$8,2,FALSE),0),"")))</f>
        <v/>
      </c>
      <c r="AZ617" s="631" t="str">
        <f>IF(K617="","",
IF(AX617="PT",VLOOKUP(K617,Foundation_Calc!$K$4:$R$37,VLOOKUP(AW617,Foundation_Calc!$I$2:$J$8,2,FALSE),0),
IF(AX617="K",VLOOKUP(K617,Foundation_Calc!$K$41:$R$74,VLOOKUP(AW617,Foundation_Calc!$I$2:$J$8,2,FALSE),0),"")))</f>
        <v/>
      </c>
      <c r="BA617" s="632" t="str">
        <f t="shared" si="107"/>
        <v/>
      </c>
      <c r="BB617" s="632" t="str">
        <f t="shared" si="108"/>
        <v/>
      </c>
      <c r="BC617" s="632" t="str">
        <f t="shared" si="109"/>
        <v/>
      </c>
      <c r="BD617" s="633" t="str">
        <f>IF(AND(L617="",H617=""),"",
IF(H617="",Pole_Calc!A645,
IF(H617="MP",Pole_Calc!A646,
IF(H617="AnMP",Pole_Calc!A647,
IF(H617="A",Pole_Calc!A648,
IF(H617="S/A",Pole_Calc!A649,
IF(H617="A/S",Pole_Calc!A650,"Poner a mano")))))))</f>
        <v/>
      </c>
      <c r="BE617" s="448" t="s">
        <v>1726</v>
      </c>
      <c r="BF617" s="635"/>
      <c r="BG617" s="635"/>
      <c r="BH617" s="634"/>
      <c r="BI617" s="635"/>
    </row>
    <row r="618" spans="1:61" ht="16.2" customHeight="1">
      <c r="A618" s="12"/>
      <c r="B618" s="446"/>
      <c r="C618" s="89"/>
      <c r="D618" s="13"/>
      <c r="E618" s="14"/>
      <c r="F618" s="14"/>
      <c r="G618" s="15"/>
      <c r="H618" s="8"/>
      <c r="I618" s="8"/>
      <c r="J618" s="89"/>
      <c r="K618" s="8"/>
      <c r="L618" s="8"/>
      <c r="M618" s="8" t="str">
        <f>IF(L618="","",
IF(AX618="PT",VLOOKUP(L618,Foundation_Calc!$V$4:$X$37,VLOOKUP(AX618,Foundation_Calc!$I$10:$J$13,2,FALSE),0),
IF(AX618="K",VLOOKUP(L618,Foundation_Calc!$V$41:$X$74,VLOOKUP(AX618,Foundation_Calc!$I$10:$J$13,2,FALSE),0),"")))</f>
        <v/>
      </c>
      <c r="N618" s="8"/>
      <c r="O618" s="8"/>
      <c r="P618" s="8"/>
      <c r="Q618" s="14"/>
      <c r="R618" s="15"/>
      <c r="S618" s="15"/>
      <c r="T618" s="14"/>
      <c r="U618" s="14"/>
      <c r="V618" s="14"/>
      <c r="W618" s="18"/>
      <c r="X618" s="18"/>
      <c r="Y618" s="18"/>
      <c r="Z618" s="18"/>
      <c r="AA618" s="18"/>
      <c r="AB618" s="18"/>
      <c r="AC618" s="8" t="str">
        <f t="shared" si="106"/>
        <v/>
      </c>
      <c r="AD618" s="8"/>
      <c r="AE618" s="8"/>
      <c r="AF618" s="14"/>
      <c r="AG618" s="13"/>
      <c r="AH618" s="14"/>
      <c r="AI618" s="14"/>
      <c r="AJ618" s="8"/>
      <c r="AK618" s="8"/>
      <c r="AL618" s="8"/>
      <c r="AM618" s="8"/>
      <c r="AN618" s="631"/>
      <c r="AO618" s="18"/>
      <c r="AP618" s="18"/>
      <c r="AQ618" s="18"/>
      <c r="AR618" s="18"/>
      <c r="AS618" s="18"/>
      <c r="AU618" s="448"/>
      <c r="AV618" s="448"/>
      <c r="AW618" s="8" t="str">
        <f>IF(C618&gt;0,VLOOKUP(C618,Foundation_Calc!$A$2:$C$986,3,1),
IF(J618&gt;0,VLOOKUP(J618,Foundation_Calc!$A$2:$C$986,3,1),""))</f>
        <v/>
      </c>
      <c r="AX618" s="8" t="str">
        <f>IF(C618&gt;0,VLOOKUP(C618,Foundation_Calc!$E$2:$G$986,3,1),
IF(J618&gt;0,VLOOKUP(J618,Foundation_Calc!$E$2:$G$986,3,1),""))</f>
        <v/>
      </c>
      <c r="AY618" s="631" t="str">
        <f>IF(L618="","",
IF(AX618="PT",VLOOKUP(L618,Foundation_Calc!$K$4:$R$37,VLOOKUP(AW618,Foundation_Calc!$I$2:$J$8,2,FALSE),0),
IF(AX618="K",VLOOKUP(L618,Foundation_Calc!$K$41:$R$74,VLOOKUP(AW618,Foundation_Calc!$I$2:$J$8,2,FALSE),0),"")))</f>
        <v/>
      </c>
      <c r="AZ618" s="631" t="str">
        <f>IF(K618="","",
IF(AX618="PT",VLOOKUP(K618,Foundation_Calc!$K$4:$R$37,VLOOKUP(AW618,Foundation_Calc!$I$2:$J$8,2,FALSE),0),
IF(AX618="K",VLOOKUP(K618,Foundation_Calc!$K$41:$R$74,VLOOKUP(AW618,Foundation_Calc!$I$2:$J$8,2,FALSE),0),"")))</f>
        <v/>
      </c>
      <c r="BA618" s="632" t="str">
        <f t="shared" si="107"/>
        <v/>
      </c>
      <c r="BB618" s="632" t="str">
        <f t="shared" si="108"/>
        <v/>
      </c>
      <c r="BC618" s="632" t="str">
        <f t="shared" si="109"/>
        <v/>
      </c>
      <c r="BD618" s="633" t="str">
        <f>IF(AND(L618="",H618=""),"",
IF(H618="",Pole_Calc!A646,
IF(H618="MP",Pole_Calc!A647,
IF(H618="AnMP",Pole_Calc!A648,
IF(H618="A",Pole_Calc!A649,
IF(H618="S/A",Pole_Calc!A650,
IF(H618="A/S",Pole_Calc!A651,"Poner a mano")))))))</f>
        <v/>
      </c>
      <c r="BE618" s="448" t="s">
        <v>1726</v>
      </c>
      <c r="BF618" s="634"/>
      <c r="BG618" s="634"/>
      <c r="BH618" s="634"/>
      <c r="BI618" s="634"/>
    </row>
    <row r="619" spans="1:61" ht="16.2" customHeight="1">
      <c r="A619" s="12"/>
      <c r="B619" s="446"/>
      <c r="C619" s="89"/>
      <c r="D619" s="13"/>
      <c r="E619" s="14"/>
      <c r="F619" s="14"/>
      <c r="G619" s="15"/>
      <c r="H619" s="8"/>
      <c r="I619" s="8"/>
      <c r="J619" s="89"/>
      <c r="K619" s="8"/>
      <c r="L619" s="8"/>
      <c r="M619" s="8" t="str">
        <f>IF(L619="","",
IF(AX619="PT",VLOOKUP(L619,Foundation_Calc!$V$4:$X$37,VLOOKUP(AX619,Foundation_Calc!$I$10:$J$13,2,FALSE),0),
IF(AX619="K",VLOOKUP(L619,Foundation_Calc!$V$41:$X$74,VLOOKUP(AX619,Foundation_Calc!$I$10:$J$13,2,FALSE),0),"")))</f>
        <v/>
      </c>
      <c r="N619" s="8"/>
      <c r="O619" s="8"/>
      <c r="P619" s="8"/>
      <c r="Q619" s="14"/>
      <c r="R619" s="15"/>
      <c r="S619" s="15"/>
      <c r="T619" s="14"/>
      <c r="U619" s="14"/>
      <c r="V619" s="14"/>
      <c r="W619" s="18"/>
      <c r="X619" s="18"/>
      <c r="Y619" s="18"/>
      <c r="Z619" s="18"/>
      <c r="AA619" s="18"/>
      <c r="AB619" s="18"/>
      <c r="AC619" s="8" t="str">
        <f t="shared" si="106"/>
        <v/>
      </c>
      <c r="AD619" s="8"/>
      <c r="AE619" s="8"/>
      <c r="AF619" s="14"/>
      <c r="AG619" s="13"/>
      <c r="AH619" s="14"/>
      <c r="AI619" s="14"/>
      <c r="AJ619" s="8"/>
      <c r="AK619" s="8"/>
      <c r="AL619" s="8"/>
      <c r="AM619" s="8"/>
      <c r="AN619" s="631"/>
      <c r="AO619" s="18"/>
      <c r="AP619" s="18"/>
      <c r="AQ619" s="18"/>
      <c r="AR619" s="18"/>
      <c r="AS619" s="18"/>
      <c r="AU619" s="448"/>
      <c r="AV619" s="448"/>
      <c r="AW619" s="8" t="str">
        <f>IF(C619&gt;0,VLOOKUP(C619,Foundation_Calc!$A$2:$C$986,3,1),
IF(J619&gt;0,VLOOKUP(J619,Foundation_Calc!$A$2:$C$986,3,1),""))</f>
        <v/>
      </c>
      <c r="AX619" s="8" t="str">
        <f>IF(C619&gt;0,VLOOKUP(C619,Foundation_Calc!$E$2:$G$986,3,1),
IF(J619&gt;0,VLOOKUP(J619,Foundation_Calc!$E$2:$G$986,3,1),""))</f>
        <v/>
      </c>
      <c r="AY619" s="631" t="str">
        <f>IF(L619="","",
IF(AX619="PT",VLOOKUP(L619,Foundation_Calc!$K$4:$R$37,VLOOKUP(AW619,Foundation_Calc!$I$2:$J$8,2,FALSE),0),
IF(AX619="K",VLOOKUP(L619,Foundation_Calc!$K$41:$R$74,VLOOKUP(AW619,Foundation_Calc!$I$2:$J$8,2,FALSE),0),"")))</f>
        <v/>
      </c>
      <c r="AZ619" s="631" t="str">
        <f>IF(K619="","",
IF(AX619="PT",VLOOKUP(K619,Foundation_Calc!$K$4:$R$37,VLOOKUP(AW619,Foundation_Calc!$I$2:$J$8,2,FALSE),0),
IF(AX619="K",VLOOKUP(K619,Foundation_Calc!$K$41:$R$74,VLOOKUP(AW619,Foundation_Calc!$I$2:$J$8,2,FALSE),0),"")))</f>
        <v/>
      </c>
      <c r="BA619" s="632" t="str">
        <f t="shared" si="107"/>
        <v/>
      </c>
      <c r="BB619" s="632" t="str">
        <f t="shared" si="108"/>
        <v/>
      </c>
      <c r="BC619" s="632" t="str">
        <f t="shared" si="109"/>
        <v/>
      </c>
      <c r="BD619" s="633" t="str">
        <f>IF(AND(L619="",H619=""),"",
IF(H619="",Pole_Calc!A647,
IF(H619="MP",Pole_Calc!A648,
IF(H619="AnMP",Pole_Calc!A649,
IF(H619="A",Pole_Calc!A650,
IF(H619="S/A",Pole_Calc!A651,
IF(H619="A/S",Pole_Calc!A652,"Poner a mano")))))))</f>
        <v/>
      </c>
      <c r="BE619" s="448" t="s">
        <v>1726</v>
      </c>
      <c r="BF619" s="635"/>
      <c r="BG619" s="635"/>
      <c r="BH619" s="634"/>
      <c r="BI619" s="635"/>
    </row>
    <row r="620" spans="1:61" ht="16.2" customHeight="1">
      <c r="A620" s="12"/>
      <c r="B620" s="446"/>
      <c r="C620" s="89"/>
      <c r="D620" s="13"/>
      <c r="E620" s="14"/>
      <c r="F620" s="14"/>
      <c r="G620" s="15"/>
      <c r="H620" s="8"/>
      <c r="I620" s="8"/>
      <c r="J620" s="89"/>
      <c r="K620" s="8"/>
      <c r="L620" s="8"/>
      <c r="M620" s="8" t="str">
        <f>IF(L620="","",
IF(AX620="PT",VLOOKUP(L620,Foundation_Calc!$V$4:$X$37,VLOOKUP(AX620,Foundation_Calc!$I$10:$J$13,2,FALSE),0),
IF(AX620="K",VLOOKUP(L620,Foundation_Calc!$V$41:$X$74,VLOOKUP(AX620,Foundation_Calc!$I$10:$J$13,2,FALSE),0),"")))</f>
        <v/>
      </c>
      <c r="N620" s="8"/>
      <c r="O620" s="8"/>
      <c r="P620" s="8"/>
      <c r="Q620" s="14"/>
      <c r="R620" s="15"/>
      <c r="S620" s="15"/>
      <c r="T620" s="14"/>
      <c r="U620" s="14"/>
      <c r="V620" s="14"/>
      <c r="W620" s="18"/>
      <c r="X620" s="18"/>
      <c r="Y620" s="18"/>
      <c r="Z620" s="18"/>
      <c r="AA620" s="18"/>
      <c r="AB620" s="18"/>
      <c r="AC620" s="8" t="str">
        <f t="shared" si="106"/>
        <v/>
      </c>
      <c r="AD620" s="8"/>
      <c r="AE620" s="8"/>
      <c r="AF620" s="14"/>
      <c r="AG620" s="13"/>
      <c r="AH620" s="14"/>
      <c r="AI620" s="14"/>
      <c r="AJ620" s="8"/>
      <c r="AK620" s="8"/>
      <c r="AL620" s="8"/>
      <c r="AM620" s="8"/>
      <c r="AN620" s="631"/>
      <c r="AO620" s="18"/>
      <c r="AP620" s="18"/>
      <c r="AQ620" s="18"/>
      <c r="AR620" s="18"/>
      <c r="AS620" s="18"/>
      <c r="AU620" s="448"/>
      <c r="AV620" s="448"/>
      <c r="AW620" s="8" t="str">
        <f>IF(C620&gt;0,VLOOKUP(C620,Foundation_Calc!$A$2:$C$986,3,1),
IF(J620&gt;0,VLOOKUP(J620,Foundation_Calc!$A$2:$C$986,3,1),""))</f>
        <v/>
      </c>
      <c r="AX620" s="8" t="str">
        <f>IF(C620&gt;0,VLOOKUP(C620,Foundation_Calc!$E$2:$G$986,3,1),
IF(J620&gt;0,VLOOKUP(J620,Foundation_Calc!$E$2:$G$986,3,1),""))</f>
        <v/>
      </c>
      <c r="AY620" s="631" t="str">
        <f>IF(L620="","",
IF(AX620="PT",VLOOKUP(L620,Foundation_Calc!$K$4:$R$37,VLOOKUP(AW620,Foundation_Calc!$I$2:$J$8,2,FALSE),0),
IF(AX620="K",VLOOKUP(L620,Foundation_Calc!$K$41:$R$74,VLOOKUP(AW620,Foundation_Calc!$I$2:$J$8,2,FALSE),0),"")))</f>
        <v/>
      </c>
      <c r="AZ620" s="631" t="str">
        <f>IF(K620="","",
IF(AX620="PT",VLOOKUP(K620,Foundation_Calc!$K$4:$R$37,VLOOKUP(AW620,Foundation_Calc!$I$2:$J$8,2,FALSE),0),
IF(AX620="K",VLOOKUP(K620,Foundation_Calc!$K$41:$R$74,VLOOKUP(AW620,Foundation_Calc!$I$2:$J$8,2,FALSE),0),"")))</f>
        <v/>
      </c>
      <c r="BA620" s="632" t="str">
        <f t="shared" si="107"/>
        <v/>
      </c>
      <c r="BB620" s="632" t="str">
        <f t="shared" si="108"/>
        <v/>
      </c>
      <c r="BC620" s="632" t="str">
        <f t="shared" si="109"/>
        <v/>
      </c>
      <c r="BD620" s="633" t="str">
        <f>IF(AND(L620="",H620=""),"",
IF(H620="",Pole_Calc!A648,
IF(H620="MP",Pole_Calc!A649,
IF(H620="AnMP",Pole_Calc!A650,
IF(H620="A",Pole_Calc!A651,
IF(H620="S/A",Pole_Calc!A652,
IF(H620="A/S",Pole_Calc!A653,"Poner a mano")))))))</f>
        <v/>
      </c>
      <c r="BE620" s="448" t="s">
        <v>1726</v>
      </c>
      <c r="BF620" s="634"/>
      <c r="BG620" s="634"/>
      <c r="BH620" s="634"/>
      <c r="BI620" s="634"/>
    </row>
    <row r="621" spans="1:61" ht="16.2" customHeight="1">
      <c r="A621" s="12"/>
      <c r="B621" s="446"/>
      <c r="C621" s="89"/>
      <c r="D621" s="13"/>
      <c r="E621" s="14"/>
      <c r="F621" s="14"/>
      <c r="G621" s="15"/>
      <c r="H621" s="8"/>
      <c r="I621" s="8"/>
      <c r="J621" s="89"/>
      <c r="K621" s="8"/>
      <c r="L621" s="8"/>
      <c r="M621" s="8" t="str">
        <f>IF(L621="","",
IF(AX621="PT",VLOOKUP(L621,Foundation_Calc!$V$4:$X$37,VLOOKUP(AX621,Foundation_Calc!$I$10:$J$13,2,FALSE),0),
IF(AX621="K",VLOOKUP(L621,Foundation_Calc!$V$41:$X$74,VLOOKUP(AX621,Foundation_Calc!$I$10:$J$13,2,FALSE),0),"")))</f>
        <v/>
      </c>
      <c r="N621" s="8"/>
      <c r="O621" s="8"/>
      <c r="P621" s="8"/>
      <c r="Q621" s="14"/>
      <c r="R621" s="15"/>
      <c r="S621" s="15"/>
      <c r="T621" s="14"/>
      <c r="U621" s="14"/>
      <c r="V621" s="14"/>
      <c r="W621" s="18"/>
      <c r="X621" s="18"/>
      <c r="Y621" s="18"/>
      <c r="Z621" s="18"/>
      <c r="AA621" s="18"/>
      <c r="AB621" s="18"/>
      <c r="AC621" s="8" t="str">
        <f t="shared" si="106"/>
        <v/>
      </c>
      <c r="AD621" s="8"/>
      <c r="AE621" s="8"/>
      <c r="AF621" s="14"/>
      <c r="AG621" s="13"/>
      <c r="AH621" s="14"/>
      <c r="AI621" s="14"/>
      <c r="AJ621" s="8"/>
      <c r="AK621" s="8"/>
      <c r="AL621" s="8"/>
      <c r="AM621" s="8"/>
      <c r="AN621" s="631"/>
      <c r="AO621" s="18"/>
      <c r="AP621" s="18"/>
      <c r="AQ621" s="18"/>
      <c r="AR621" s="18"/>
      <c r="AS621" s="18"/>
      <c r="AU621" s="448"/>
      <c r="AV621" s="448"/>
      <c r="AW621" s="8" t="str">
        <f>IF(C621&gt;0,VLOOKUP(C621,Foundation_Calc!$A$2:$C$986,3,1),
IF(J621&gt;0,VLOOKUP(J621,Foundation_Calc!$A$2:$C$986,3,1),""))</f>
        <v/>
      </c>
      <c r="AX621" s="8" t="str">
        <f>IF(C621&gt;0,VLOOKUP(C621,Foundation_Calc!$E$2:$G$986,3,1),
IF(J621&gt;0,VLOOKUP(J621,Foundation_Calc!$E$2:$G$986,3,1),""))</f>
        <v/>
      </c>
      <c r="AY621" s="631" t="str">
        <f>IF(L621="","",
IF(AX621="PT",VLOOKUP(L621,Foundation_Calc!$K$4:$R$37,VLOOKUP(AW621,Foundation_Calc!$I$2:$J$8,2,FALSE),0),
IF(AX621="K",VLOOKUP(L621,Foundation_Calc!$K$41:$R$74,VLOOKUP(AW621,Foundation_Calc!$I$2:$J$8,2,FALSE),0),"")))</f>
        <v/>
      </c>
      <c r="AZ621" s="631" t="str">
        <f>IF(K621="","",
IF(AX621="PT",VLOOKUP(K621,Foundation_Calc!$K$4:$R$37,VLOOKUP(AW621,Foundation_Calc!$I$2:$J$8,2,FALSE),0),
IF(AX621="K",VLOOKUP(K621,Foundation_Calc!$K$41:$R$74,VLOOKUP(AW621,Foundation_Calc!$I$2:$J$8,2,FALSE),0),"")))</f>
        <v/>
      </c>
      <c r="BA621" s="632" t="str">
        <f t="shared" si="107"/>
        <v/>
      </c>
      <c r="BB621" s="632" t="str">
        <f t="shared" si="108"/>
        <v/>
      </c>
      <c r="BC621" s="632" t="str">
        <f t="shared" si="109"/>
        <v/>
      </c>
      <c r="BD621" s="633" t="str">
        <f>IF(AND(L621="",H621=""),"",
IF(H621="",Pole_Calc!A649,
IF(H621="MP",Pole_Calc!A650,
IF(H621="AnMP",Pole_Calc!A651,
IF(H621="A",Pole_Calc!A652,
IF(H621="S/A",Pole_Calc!A653,
IF(H621="A/S",Pole_Calc!A654,"Poner a mano")))))))</f>
        <v/>
      </c>
      <c r="BE621" s="448" t="s">
        <v>1726</v>
      </c>
      <c r="BF621" s="635"/>
      <c r="BG621" s="635"/>
      <c r="BH621" s="634"/>
      <c r="BI621" s="635"/>
    </row>
    <row r="622" spans="1:61" ht="16.2" customHeight="1">
      <c r="A622" s="12"/>
      <c r="B622" s="446"/>
      <c r="C622" s="89"/>
      <c r="D622" s="13"/>
      <c r="E622" s="14"/>
      <c r="F622" s="14"/>
      <c r="G622" s="15"/>
      <c r="H622" s="8"/>
      <c r="I622" s="8"/>
      <c r="J622" s="89"/>
      <c r="K622" s="8"/>
      <c r="L622" s="8"/>
      <c r="M622" s="8" t="str">
        <f>IF(L622="","",
IF(AX622="PT",VLOOKUP(L622,Foundation_Calc!$V$4:$X$37,VLOOKUP(AX622,Foundation_Calc!$I$10:$J$13,2,FALSE),0),
IF(AX622="K",VLOOKUP(L622,Foundation_Calc!$V$41:$X$74,VLOOKUP(AX622,Foundation_Calc!$I$10:$J$13,2,FALSE),0),"")))</f>
        <v/>
      </c>
      <c r="N622" s="8"/>
      <c r="O622" s="8"/>
      <c r="P622" s="8"/>
      <c r="Q622" s="14"/>
      <c r="R622" s="15"/>
      <c r="S622" s="15"/>
      <c r="T622" s="14"/>
      <c r="U622" s="14"/>
      <c r="V622" s="14"/>
      <c r="W622" s="18"/>
      <c r="X622" s="18"/>
      <c r="Y622" s="18"/>
      <c r="Z622" s="18"/>
      <c r="AA622" s="18"/>
      <c r="AB622" s="18"/>
      <c r="AC622" s="8" t="str">
        <f t="shared" si="106"/>
        <v/>
      </c>
      <c r="AD622" s="8"/>
      <c r="AE622" s="8"/>
      <c r="AF622" s="14"/>
      <c r="AG622" s="13"/>
      <c r="AH622" s="14"/>
      <c r="AI622" s="14"/>
      <c r="AJ622" s="8"/>
      <c r="AK622" s="8"/>
      <c r="AL622" s="8"/>
      <c r="AM622" s="8"/>
      <c r="AN622" s="631"/>
      <c r="AO622" s="18"/>
      <c r="AP622" s="18"/>
      <c r="AQ622" s="18"/>
      <c r="AR622" s="18"/>
      <c r="AS622" s="18"/>
      <c r="AU622" s="448"/>
      <c r="AV622" s="448"/>
      <c r="AW622" s="8" t="str">
        <f>IF(C622&gt;0,VLOOKUP(C622,Foundation_Calc!$A$2:$C$986,3,1),
IF(J622&gt;0,VLOOKUP(J622,Foundation_Calc!$A$2:$C$986,3,1),""))</f>
        <v/>
      </c>
      <c r="AX622" s="8" t="str">
        <f>IF(C622&gt;0,VLOOKUP(C622,Foundation_Calc!$E$2:$G$986,3,1),
IF(J622&gt;0,VLOOKUP(J622,Foundation_Calc!$E$2:$G$986,3,1),""))</f>
        <v/>
      </c>
      <c r="AY622" s="631" t="str">
        <f>IF(L622="","",
IF(AX622="PT",VLOOKUP(L622,Foundation_Calc!$K$4:$R$37,VLOOKUP(AW622,Foundation_Calc!$I$2:$J$8,2,FALSE),0),
IF(AX622="K",VLOOKUP(L622,Foundation_Calc!$K$41:$R$74,VLOOKUP(AW622,Foundation_Calc!$I$2:$J$8,2,FALSE),0),"")))</f>
        <v/>
      </c>
      <c r="AZ622" s="631" t="str">
        <f>IF(K622="","",
IF(AX622="PT",VLOOKUP(K622,Foundation_Calc!$K$4:$R$37,VLOOKUP(AW622,Foundation_Calc!$I$2:$J$8,2,FALSE),0),
IF(AX622="K",VLOOKUP(K622,Foundation_Calc!$K$41:$R$74,VLOOKUP(AW622,Foundation_Calc!$I$2:$J$8,2,FALSE),0),"")))</f>
        <v/>
      </c>
      <c r="BA622" s="632" t="str">
        <f t="shared" si="107"/>
        <v/>
      </c>
      <c r="BB622" s="632" t="str">
        <f t="shared" si="108"/>
        <v/>
      </c>
      <c r="BC622" s="632" t="str">
        <f t="shared" si="109"/>
        <v/>
      </c>
      <c r="BD622" s="633" t="str">
        <f>IF(AND(L622="",H622=""),"",
IF(H622="",Pole_Calc!A650,
IF(H622="MP",Pole_Calc!A651,
IF(H622="AnMP",Pole_Calc!A652,
IF(H622="A",Pole_Calc!A653,
IF(H622="S/A",Pole_Calc!A654,
IF(H622="A/S",Pole_Calc!A655,"Poner a mano")))))))</f>
        <v/>
      </c>
      <c r="BE622" s="448" t="s">
        <v>1726</v>
      </c>
      <c r="BF622" s="634"/>
      <c r="BG622" s="634"/>
      <c r="BH622" s="634"/>
      <c r="BI622" s="634"/>
    </row>
    <row r="623" spans="1:61" ht="16.2" customHeight="1">
      <c r="A623" s="12"/>
      <c r="B623" s="446"/>
      <c r="C623" s="89"/>
      <c r="D623" s="13"/>
      <c r="E623" s="14"/>
      <c r="F623" s="14"/>
      <c r="G623" s="15"/>
      <c r="H623" s="8"/>
      <c r="I623" s="8"/>
      <c r="J623" s="89"/>
      <c r="K623" s="8"/>
      <c r="L623" s="8"/>
      <c r="M623" s="8" t="str">
        <f>IF(L623="","",
IF(AX623="PT",VLOOKUP(L623,Foundation_Calc!$V$4:$X$37,VLOOKUP(AX623,Foundation_Calc!$I$10:$J$13,2,FALSE),0),
IF(AX623="K",VLOOKUP(L623,Foundation_Calc!$V$41:$X$74,VLOOKUP(AX623,Foundation_Calc!$I$10:$J$13,2,FALSE),0),"")))</f>
        <v/>
      </c>
      <c r="N623" s="8"/>
      <c r="O623" s="8"/>
      <c r="P623" s="8"/>
      <c r="Q623" s="14"/>
      <c r="R623" s="15"/>
      <c r="S623" s="15"/>
      <c r="T623" s="14"/>
      <c r="U623" s="14"/>
      <c r="V623" s="14"/>
      <c r="W623" s="18"/>
      <c r="X623" s="18"/>
      <c r="Y623" s="18"/>
      <c r="Z623" s="18"/>
      <c r="AA623" s="18"/>
      <c r="AB623" s="18"/>
      <c r="AC623" s="8" t="str">
        <f t="shared" si="106"/>
        <v/>
      </c>
      <c r="AD623" s="8"/>
      <c r="AE623" s="8"/>
      <c r="AF623" s="14"/>
      <c r="AG623" s="13"/>
      <c r="AH623" s="14"/>
      <c r="AI623" s="14"/>
      <c r="AJ623" s="8"/>
      <c r="AK623" s="8"/>
      <c r="AL623" s="8"/>
      <c r="AM623" s="8"/>
      <c r="AN623" s="631"/>
      <c r="AO623" s="18"/>
      <c r="AP623" s="18"/>
      <c r="AQ623" s="18"/>
      <c r="AR623" s="18"/>
      <c r="AS623" s="18"/>
      <c r="AU623" s="448"/>
      <c r="AV623" s="448"/>
      <c r="AW623" s="8" t="str">
        <f>IF(C623&gt;0,VLOOKUP(C623,Foundation_Calc!$A$2:$C$986,3,1),
IF(J623&gt;0,VLOOKUP(J623,Foundation_Calc!$A$2:$C$986,3,1),""))</f>
        <v/>
      </c>
      <c r="AX623" s="8" t="str">
        <f>IF(C623&gt;0,VLOOKUP(C623,Foundation_Calc!$E$2:$G$986,3,1),
IF(J623&gt;0,VLOOKUP(J623,Foundation_Calc!$E$2:$G$986,3,1),""))</f>
        <v/>
      </c>
      <c r="AY623" s="631" t="str">
        <f>IF(L623="","",
IF(AX623="PT",VLOOKUP(L623,Foundation_Calc!$K$4:$R$37,VLOOKUP(AW623,Foundation_Calc!$I$2:$J$8,2,FALSE),0),
IF(AX623="K",VLOOKUP(L623,Foundation_Calc!$K$41:$R$74,VLOOKUP(AW623,Foundation_Calc!$I$2:$J$8,2,FALSE),0),"")))</f>
        <v/>
      </c>
      <c r="AZ623" s="631" t="str">
        <f>IF(K623="","",
IF(AX623="PT",VLOOKUP(K623,Foundation_Calc!$K$4:$R$37,VLOOKUP(AW623,Foundation_Calc!$I$2:$J$8,2,FALSE),0),
IF(AX623="K",VLOOKUP(K623,Foundation_Calc!$K$41:$R$74,VLOOKUP(AW623,Foundation_Calc!$I$2:$J$8,2,FALSE),0),"")))</f>
        <v/>
      </c>
      <c r="BA623" s="632" t="str">
        <f t="shared" si="107"/>
        <v/>
      </c>
      <c r="BB623" s="632" t="str">
        <f t="shared" si="108"/>
        <v/>
      </c>
      <c r="BC623" s="632" t="str">
        <f t="shared" si="109"/>
        <v/>
      </c>
      <c r="BD623" s="633" t="str">
        <f>IF(AND(L623="",H623=""),"",
IF(H623="",Pole_Calc!A651,
IF(H623="MP",Pole_Calc!A652,
IF(H623="AnMP",Pole_Calc!A653,
IF(H623="A",Pole_Calc!A654,
IF(H623="S/A",Pole_Calc!A655,
IF(H623="A/S",Pole_Calc!A656,"Poner a mano")))))))</f>
        <v/>
      </c>
      <c r="BE623" s="448" t="s">
        <v>1726</v>
      </c>
      <c r="BF623" s="635"/>
      <c r="BG623" s="635"/>
      <c r="BH623" s="634"/>
      <c r="BI623" s="635"/>
    </row>
    <row r="624" spans="1:61" ht="16.2" customHeight="1">
      <c r="A624" s="12"/>
      <c r="B624" s="446"/>
      <c r="C624" s="89"/>
      <c r="D624" s="13"/>
      <c r="E624" s="14"/>
      <c r="F624" s="14"/>
      <c r="G624" s="15"/>
      <c r="H624" s="8"/>
      <c r="I624" s="8"/>
      <c r="J624" s="89"/>
      <c r="K624" s="8"/>
      <c r="L624" s="8"/>
      <c r="M624" s="8" t="str">
        <f>IF(L624="","",
IF(AX624="PT",VLOOKUP(L624,Foundation_Calc!$V$4:$X$37,VLOOKUP(AX624,Foundation_Calc!$I$10:$J$13,2,FALSE),0),
IF(AX624="K",VLOOKUP(L624,Foundation_Calc!$V$41:$X$74,VLOOKUP(AX624,Foundation_Calc!$I$10:$J$13,2,FALSE),0),"")))</f>
        <v/>
      </c>
      <c r="N624" s="8"/>
      <c r="O624" s="8"/>
      <c r="P624" s="8"/>
      <c r="Q624" s="14"/>
      <c r="R624" s="15"/>
      <c r="S624" s="15"/>
      <c r="T624" s="14"/>
      <c r="U624" s="14"/>
      <c r="V624" s="14"/>
      <c r="W624" s="18"/>
      <c r="X624" s="18"/>
      <c r="Y624" s="18"/>
      <c r="Z624" s="18"/>
      <c r="AA624" s="18"/>
      <c r="AB624" s="18"/>
      <c r="AC624" s="8" t="str">
        <f t="shared" si="106"/>
        <v/>
      </c>
      <c r="AD624" s="8"/>
      <c r="AE624" s="8"/>
      <c r="AF624" s="14"/>
      <c r="AG624" s="13"/>
      <c r="AH624" s="14"/>
      <c r="AI624" s="14"/>
      <c r="AJ624" s="8"/>
      <c r="AK624" s="8"/>
      <c r="AL624" s="8"/>
      <c r="AM624" s="8"/>
      <c r="AN624" s="631"/>
      <c r="AO624" s="18"/>
      <c r="AP624" s="18"/>
      <c r="AQ624" s="18"/>
      <c r="AR624" s="18"/>
      <c r="AS624" s="18"/>
      <c r="AU624" s="448"/>
      <c r="AV624" s="448"/>
      <c r="AW624" s="8" t="str">
        <f>IF(C624&gt;0,VLOOKUP(C624,Foundation_Calc!$A$2:$C$986,3,1),
IF(J624&gt;0,VLOOKUP(J624,Foundation_Calc!$A$2:$C$986,3,1),""))</f>
        <v/>
      </c>
      <c r="AX624" s="8" t="str">
        <f>IF(C624&gt;0,VLOOKUP(C624,Foundation_Calc!$E$2:$G$986,3,1),
IF(J624&gt;0,VLOOKUP(J624,Foundation_Calc!$E$2:$G$986,3,1),""))</f>
        <v/>
      </c>
      <c r="AY624" s="631" t="str">
        <f>IF(L624="","",
IF(AX624="PT",VLOOKUP(L624,Foundation_Calc!$K$4:$R$37,VLOOKUP(AW624,Foundation_Calc!$I$2:$J$8,2,FALSE),0),
IF(AX624="K",VLOOKUP(L624,Foundation_Calc!$K$41:$R$74,VLOOKUP(AW624,Foundation_Calc!$I$2:$J$8,2,FALSE),0),"")))</f>
        <v/>
      </c>
      <c r="AZ624" s="631" t="str">
        <f>IF(K624="","",
IF(AX624="PT",VLOOKUP(K624,Foundation_Calc!$K$4:$R$37,VLOOKUP(AW624,Foundation_Calc!$I$2:$J$8,2,FALSE),0),
IF(AX624="K",VLOOKUP(K624,Foundation_Calc!$K$41:$R$74,VLOOKUP(AW624,Foundation_Calc!$I$2:$J$8,2,FALSE),0),"")))</f>
        <v/>
      </c>
      <c r="BA624" s="632" t="str">
        <f t="shared" si="107"/>
        <v/>
      </c>
      <c r="BB624" s="632" t="str">
        <f t="shared" si="108"/>
        <v/>
      </c>
      <c r="BC624" s="632" t="str">
        <f t="shared" si="109"/>
        <v/>
      </c>
      <c r="BD624" s="633" t="str">
        <f>IF(AND(L624="",H624=""),"",
IF(H624="",Pole_Calc!A652,
IF(H624="MP",Pole_Calc!A653,
IF(H624="AnMP",Pole_Calc!A654,
IF(H624="A",Pole_Calc!A655,
IF(H624="S/A",Pole_Calc!A656,
IF(H624="A/S",Pole_Calc!A657,"Poner a mano")))))))</f>
        <v/>
      </c>
      <c r="BE624" s="448" t="s">
        <v>1726</v>
      </c>
      <c r="BF624" s="634"/>
      <c r="BG624" s="634"/>
      <c r="BH624" s="634"/>
      <c r="BI624" s="634"/>
    </row>
    <row r="625" spans="1:61" ht="16.2" customHeight="1">
      <c r="A625" s="12"/>
      <c r="B625" s="446"/>
      <c r="C625" s="89"/>
      <c r="D625" s="13"/>
      <c r="E625" s="14"/>
      <c r="F625" s="14"/>
      <c r="G625" s="15"/>
      <c r="H625" s="8"/>
      <c r="I625" s="8"/>
      <c r="J625" s="89"/>
      <c r="K625" s="8"/>
      <c r="L625" s="8"/>
      <c r="M625" s="8" t="str">
        <f>IF(L625="","",
IF(AX625="PT",VLOOKUP(L625,Foundation_Calc!$V$4:$X$37,VLOOKUP(AX625,Foundation_Calc!$I$10:$J$13,2,FALSE),0),
IF(AX625="K",VLOOKUP(L625,Foundation_Calc!$V$41:$X$74,VLOOKUP(AX625,Foundation_Calc!$I$10:$J$13,2,FALSE),0),"")))</f>
        <v/>
      </c>
      <c r="N625" s="8"/>
      <c r="O625" s="8"/>
      <c r="P625" s="8"/>
      <c r="Q625" s="14"/>
      <c r="R625" s="15"/>
      <c r="S625" s="15"/>
      <c r="T625" s="14"/>
      <c r="U625" s="14"/>
      <c r="V625" s="14"/>
      <c r="W625" s="18"/>
      <c r="X625" s="18"/>
      <c r="Y625" s="18"/>
      <c r="Z625" s="18"/>
      <c r="AA625" s="18"/>
      <c r="AB625" s="18"/>
      <c r="AC625" s="8" t="str">
        <f t="shared" si="106"/>
        <v/>
      </c>
      <c r="AD625" s="8"/>
      <c r="AE625" s="8"/>
      <c r="AF625" s="14"/>
      <c r="AG625" s="13"/>
      <c r="AH625" s="14"/>
      <c r="AI625" s="14"/>
      <c r="AJ625" s="8"/>
      <c r="AK625" s="8"/>
      <c r="AL625" s="8"/>
      <c r="AM625" s="8"/>
      <c r="AN625" s="631"/>
      <c r="AO625" s="18"/>
      <c r="AP625" s="18"/>
      <c r="AQ625" s="18"/>
      <c r="AR625" s="18"/>
      <c r="AS625" s="18"/>
      <c r="AU625" s="448"/>
      <c r="AV625" s="448"/>
      <c r="AW625" s="8" t="str">
        <f>IF(C625&gt;0,VLOOKUP(C625,Foundation_Calc!$A$2:$C$986,3,1),
IF(J625&gt;0,VLOOKUP(J625,Foundation_Calc!$A$2:$C$986,3,1),""))</f>
        <v/>
      </c>
      <c r="AX625" s="8" t="str">
        <f>IF(C625&gt;0,VLOOKUP(C625,Foundation_Calc!$E$2:$G$986,3,1),
IF(J625&gt;0,VLOOKUP(J625,Foundation_Calc!$E$2:$G$986,3,1),""))</f>
        <v/>
      </c>
      <c r="AY625" s="631" t="str">
        <f>IF(L625="","",
IF(AX625="PT",VLOOKUP(L625,Foundation_Calc!$K$4:$R$37,VLOOKUP(AW625,Foundation_Calc!$I$2:$J$8,2,FALSE),0),
IF(AX625="K",VLOOKUP(L625,Foundation_Calc!$K$41:$R$74,VLOOKUP(AW625,Foundation_Calc!$I$2:$J$8,2,FALSE),0),"")))</f>
        <v/>
      </c>
      <c r="AZ625" s="631" t="str">
        <f>IF(K625="","",
IF(AX625="PT",VLOOKUP(K625,Foundation_Calc!$K$4:$R$37,VLOOKUP(AW625,Foundation_Calc!$I$2:$J$8,2,FALSE),0),
IF(AX625="K",VLOOKUP(K625,Foundation_Calc!$K$41:$R$74,VLOOKUP(AW625,Foundation_Calc!$I$2:$J$8,2,FALSE),0),"")))</f>
        <v/>
      </c>
      <c r="BA625" s="632" t="str">
        <f t="shared" si="107"/>
        <v/>
      </c>
      <c r="BB625" s="632" t="str">
        <f t="shared" si="108"/>
        <v/>
      </c>
      <c r="BC625" s="632" t="str">
        <f t="shared" si="109"/>
        <v/>
      </c>
      <c r="BD625" s="633" t="str">
        <f>IF(AND(L625="",H625=""),"",
IF(H625="",Pole_Calc!A653,
IF(H625="MP",Pole_Calc!A654,
IF(H625="AnMP",Pole_Calc!A655,
IF(H625="A",Pole_Calc!A656,
IF(H625="S/A",Pole_Calc!A657,
IF(H625="A/S",Pole_Calc!A658,"Poner a mano")))))))</f>
        <v/>
      </c>
      <c r="BE625" s="448" t="s">
        <v>1726</v>
      </c>
      <c r="BF625" s="635"/>
      <c r="BG625" s="635"/>
      <c r="BH625" s="634"/>
      <c r="BI625" s="635"/>
    </row>
    <row r="626" spans="1:61" ht="16.2" customHeight="1">
      <c r="A626" s="12"/>
      <c r="B626" s="446"/>
      <c r="C626" s="89"/>
      <c r="D626" s="13"/>
      <c r="E626" s="14"/>
      <c r="F626" s="14"/>
      <c r="G626" s="15"/>
      <c r="H626" s="8"/>
      <c r="I626" s="8"/>
      <c r="J626" s="89"/>
      <c r="K626" s="8"/>
      <c r="L626" s="8"/>
      <c r="M626" s="8" t="str">
        <f>IF(L626="","",
IF(AX626="PT",VLOOKUP(L626,Foundation_Calc!$V$4:$X$37,VLOOKUP(AX626,Foundation_Calc!$I$10:$J$13,2,FALSE),0),
IF(AX626="K",VLOOKUP(L626,Foundation_Calc!$V$41:$X$74,VLOOKUP(AX626,Foundation_Calc!$I$10:$J$13,2,FALSE),0),"")))</f>
        <v/>
      </c>
      <c r="N626" s="8"/>
      <c r="O626" s="8"/>
      <c r="P626" s="8"/>
      <c r="Q626" s="14"/>
      <c r="R626" s="15"/>
      <c r="S626" s="15"/>
      <c r="T626" s="14"/>
      <c r="U626" s="14"/>
      <c r="V626" s="14"/>
      <c r="W626" s="18"/>
      <c r="X626" s="18"/>
      <c r="Y626" s="18"/>
      <c r="Z626" s="18"/>
      <c r="AA626" s="18"/>
      <c r="AB626" s="18"/>
      <c r="AC626" s="8" t="str">
        <f t="shared" si="106"/>
        <v/>
      </c>
      <c r="AD626" s="8"/>
      <c r="AE626" s="8"/>
      <c r="AF626" s="14"/>
      <c r="AG626" s="13"/>
      <c r="AH626" s="14"/>
      <c r="AI626" s="14"/>
      <c r="AJ626" s="8"/>
      <c r="AK626" s="8"/>
      <c r="AL626" s="8"/>
      <c r="AM626" s="8"/>
      <c r="AN626" s="631"/>
      <c r="AO626" s="18"/>
      <c r="AP626" s="18"/>
      <c r="AQ626" s="18"/>
      <c r="AR626" s="18"/>
      <c r="AS626" s="18"/>
      <c r="AU626" s="448"/>
      <c r="AV626" s="448"/>
      <c r="AW626" s="8" t="str">
        <f>IF(C626&gt;0,VLOOKUP(C626,Foundation_Calc!$A$2:$C$986,3,1),
IF(J626&gt;0,VLOOKUP(J626,Foundation_Calc!$A$2:$C$986,3,1),""))</f>
        <v/>
      </c>
      <c r="AX626" s="8" t="str">
        <f>IF(C626&gt;0,VLOOKUP(C626,Foundation_Calc!$E$2:$G$986,3,1),
IF(J626&gt;0,VLOOKUP(J626,Foundation_Calc!$E$2:$G$986,3,1),""))</f>
        <v/>
      </c>
      <c r="AY626" s="631" t="str">
        <f>IF(L626="","",
IF(AX626="PT",VLOOKUP(L626,Foundation_Calc!$K$4:$R$37,VLOOKUP(AW626,Foundation_Calc!$I$2:$J$8,2,FALSE),0),
IF(AX626="K",VLOOKUP(L626,Foundation_Calc!$K$41:$R$74,VLOOKUP(AW626,Foundation_Calc!$I$2:$J$8,2,FALSE),0),"")))</f>
        <v/>
      </c>
      <c r="AZ626" s="631" t="str">
        <f>IF(K626="","",
IF(AX626="PT",VLOOKUP(K626,Foundation_Calc!$K$4:$R$37,VLOOKUP(AW626,Foundation_Calc!$I$2:$J$8,2,FALSE),0),
IF(AX626="K",VLOOKUP(K626,Foundation_Calc!$K$41:$R$74,VLOOKUP(AW626,Foundation_Calc!$I$2:$J$8,2,FALSE),0),"")))</f>
        <v/>
      </c>
      <c r="BA626" s="632" t="str">
        <f t="shared" si="107"/>
        <v/>
      </c>
      <c r="BB626" s="632" t="str">
        <f t="shared" si="108"/>
        <v/>
      </c>
      <c r="BC626" s="632" t="str">
        <f t="shared" si="109"/>
        <v/>
      </c>
      <c r="BD626" s="633" t="str">
        <f>IF(AND(L626="",H626=""),"",
IF(H626="",Pole_Calc!A654,
IF(H626="MP",Pole_Calc!A655,
IF(H626="AnMP",Pole_Calc!A656,
IF(H626="A",Pole_Calc!A657,
IF(H626="S/A",Pole_Calc!A658,
IF(H626="A/S",Pole_Calc!A659,"Poner a mano")))))))</f>
        <v/>
      </c>
      <c r="BE626" s="448" t="s">
        <v>1726</v>
      </c>
      <c r="BF626" s="634"/>
      <c r="BG626" s="634"/>
      <c r="BH626" s="634"/>
      <c r="BI626" s="634"/>
    </row>
    <row r="627" spans="1:61" ht="16.2" customHeight="1">
      <c r="A627" s="12"/>
      <c r="B627" s="446"/>
      <c r="C627" s="89"/>
      <c r="D627" s="13"/>
      <c r="E627" s="14"/>
      <c r="F627" s="14"/>
      <c r="G627" s="15"/>
      <c r="H627" s="8"/>
      <c r="I627" s="8"/>
      <c r="J627" s="89"/>
      <c r="K627" s="8"/>
      <c r="L627" s="8"/>
      <c r="M627" s="8" t="str">
        <f>IF(L627="","",
IF(AX627="PT",VLOOKUP(L627,Foundation_Calc!$V$4:$X$37,VLOOKUP(AX627,Foundation_Calc!$I$10:$J$13,2,FALSE),0),
IF(AX627="K",VLOOKUP(L627,Foundation_Calc!$V$41:$X$74,VLOOKUP(AX627,Foundation_Calc!$I$10:$J$13,2,FALSE),0),"")))</f>
        <v/>
      </c>
      <c r="N627" s="8"/>
      <c r="O627" s="8"/>
      <c r="P627" s="8"/>
      <c r="Q627" s="14"/>
      <c r="R627" s="15"/>
      <c r="S627" s="15"/>
      <c r="T627" s="14"/>
      <c r="U627" s="14"/>
      <c r="V627" s="14"/>
      <c r="W627" s="18"/>
      <c r="X627" s="18"/>
      <c r="Y627" s="18"/>
      <c r="Z627" s="18"/>
      <c r="AA627" s="18"/>
      <c r="AB627" s="18"/>
      <c r="AC627" s="8" t="str">
        <f t="shared" si="106"/>
        <v/>
      </c>
      <c r="AD627" s="8"/>
      <c r="AE627" s="8"/>
      <c r="AF627" s="14"/>
      <c r="AG627" s="13"/>
      <c r="AH627" s="14"/>
      <c r="AI627" s="14"/>
      <c r="AJ627" s="8"/>
      <c r="AK627" s="8"/>
      <c r="AL627" s="8"/>
      <c r="AM627" s="8"/>
      <c r="AN627" s="631"/>
      <c r="AO627" s="18"/>
      <c r="AP627" s="18"/>
      <c r="AQ627" s="18"/>
      <c r="AR627" s="18"/>
      <c r="AS627" s="18"/>
      <c r="AU627" s="448"/>
      <c r="AV627" s="448"/>
      <c r="AW627" s="8" t="str">
        <f>IF(C627&gt;0,VLOOKUP(C627,Foundation_Calc!$A$2:$C$986,3,1),
IF(J627&gt;0,VLOOKUP(J627,Foundation_Calc!$A$2:$C$986,3,1),""))</f>
        <v/>
      </c>
      <c r="AX627" s="8" t="str">
        <f>IF(C627&gt;0,VLOOKUP(C627,Foundation_Calc!$E$2:$G$986,3,1),
IF(J627&gt;0,VLOOKUP(J627,Foundation_Calc!$E$2:$G$986,3,1),""))</f>
        <v/>
      </c>
      <c r="AY627" s="631" t="str">
        <f>IF(L627="","",
IF(AX627="PT",VLOOKUP(L627,Foundation_Calc!$K$4:$R$37,VLOOKUP(AW627,Foundation_Calc!$I$2:$J$8,2,FALSE),0),
IF(AX627="K",VLOOKUP(L627,Foundation_Calc!$K$41:$R$74,VLOOKUP(AW627,Foundation_Calc!$I$2:$J$8,2,FALSE),0),"")))</f>
        <v/>
      </c>
      <c r="AZ627" s="631" t="str">
        <f>IF(K627="","",
IF(AX627="PT",VLOOKUP(K627,Foundation_Calc!$K$4:$R$37,VLOOKUP(AW627,Foundation_Calc!$I$2:$J$8,2,FALSE),0),
IF(AX627="K",VLOOKUP(K627,Foundation_Calc!$K$41:$R$74,VLOOKUP(AW627,Foundation_Calc!$I$2:$J$8,2,FALSE),0),"")))</f>
        <v/>
      </c>
      <c r="BA627" s="632" t="str">
        <f t="shared" si="107"/>
        <v/>
      </c>
      <c r="BB627" s="632" t="str">
        <f t="shared" si="108"/>
        <v/>
      </c>
      <c r="BC627" s="632" t="str">
        <f t="shared" si="109"/>
        <v/>
      </c>
      <c r="BD627" s="633" t="str">
        <f>IF(AND(L627="",H627=""),"",
IF(H627="",Pole_Calc!A655,
IF(H627="MP",Pole_Calc!A656,
IF(H627="AnMP",Pole_Calc!A657,
IF(H627="A",Pole_Calc!A658,
IF(H627="S/A",Pole_Calc!A659,
IF(H627="A/S",Pole_Calc!A660,"Poner a mano")))))))</f>
        <v/>
      </c>
      <c r="BE627" s="448" t="s">
        <v>1726</v>
      </c>
      <c r="BF627" s="635"/>
      <c r="BG627" s="635"/>
      <c r="BH627" s="634"/>
      <c r="BI627" s="635"/>
    </row>
    <row r="628" spans="1:61" ht="16.2" customHeight="1">
      <c r="A628" s="12"/>
      <c r="B628" s="446"/>
      <c r="C628" s="89"/>
      <c r="D628" s="13"/>
      <c r="E628" s="14"/>
      <c r="F628" s="14"/>
      <c r="G628" s="15"/>
      <c r="H628" s="8"/>
      <c r="I628" s="8"/>
      <c r="J628" s="89"/>
      <c r="K628" s="8"/>
      <c r="L628" s="8"/>
      <c r="M628" s="8" t="str">
        <f>IF(L628="","",
IF(AX628="PT",VLOOKUP(L628,Foundation_Calc!$V$4:$X$37,VLOOKUP(AX628,Foundation_Calc!$I$10:$J$13,2,FALSE),0),
IF(AX628="K",VLOOKUP(L628,Foundation_Calc!$V$41:$X$74,VLOOKUP(AX628,Foundation_Calc!$I$10:$J$13,2,FALSE),0),"")))</f>
        <v/>
      </c>
      <c r="N628" s="8"/>
      <c r="O628" s="8"/>
      <c r="P628" s="8"/>
      <c r="Q628" s="14"/>
      <c r="R628" s="15"/>
      <c r="S628" s="15"/>
      <c r="T628" s="14"/>
      <c r="U628" s="14"/>
      <c r="V628" s="14"/>
      <c r="W628" s="18"/>
      <c r="X628" s="18"/>
      <c r="Y628" s="18"/>
      <c r="Z628" s="18"/>
      <c r="AA628" s="18"/>
      <c r="AB628" s="18"/>
      <c r="AC628" s="8" t="str">
        <f t="shared" si="106"/>
        <v/>
      </c>
      <c r="AD628" s="8"/>
      <c r="AE628" s="8"/>
      <c r="AF628" s="14"/>
      <c r="AG628" s="13"/>
      <c r="AH628" s="14"/>
      <c r="AI628" s="14"/>
      <c r="AJ628" s="8"/>
      <c r="AK628" s="8"/>
      <c r="AL628" s="8"/>
      <c r="AM628" s="8"/>
      <c r="AN628" s="631"/>
      <c r="AO628" s="18"/>
      <c r="AP628" s="18"/>
      <c r="AQ628" s="18"/>
      <c r="AR628" s="18"/>
      <c r="AS628" s="18"/>
      <c r="AU628" s="448"/>
      <c r="AV628" s="448"/>
      <c r="AW628" s="8" t="str">
        <f>IF(C628&gt;0,VLOOKUP(C628,Foundation_Calc!$A$2:$C$986,3,1),
IF(J628&gt;0,VLOOKUP(J628,Foundation_Calc!$A$2:$C$986,3,1),""))</f>
        <v/>
      </c>
      <c r="AX628" s="8" t="str">
        <f>IF(C628&gt;0,VLOOKUP(C628,Foundation_Calc!$E$2:$G$986,3,1),
IF(J628&gt;0,VLOOKUP(J628,Foundation_Calc!$E$2:$G$986,3,1),""))</f>
        <v/>
      </c>
      <c r="AY628" s="631" t="str">
        <f>IF(L628="","",
IF(AX628="PT",VLOOKUP(L628,Foundation_Calc!$K$4:$R$37,VLOOKUP(AW628,Foundation_Calc!$I$2:$J$8,2,FALSE),0),
IF(AX628="K",VLOOKUP(L628,Foundation_Calc!$K$41:$R$74,VLOOKUP(AW628,Foundation_Calc!$I$2:$J$8,2,FALSE),0),"")))</f>
        <v/>
      </c>
      <c r="AZ628" s="631" t="str">
        <f>IF(K628="","",
IF(AX628="PT",VLOOKUP(K628,Foundation_Calc!$K$4:$R$37,VLOOKUP(AW628,Foundation_Calc!$I$2:$J$8,2,FALSE),0),
IF(AX628="K",VLOOKUP(K628,Foundation_Calc!$K$41:$R$74,VLOOKUP(AW628,Foundation_Calc!$I$2:$J$8,2,FALSE),0),"")))</f>
        <v/>
      </c>
      <c r="BA628" s="632" t="str">
        <f t="shared" si="107"/>
        <v/>
      </c>
      <c r="BB628" s="632" t="str">
        <f t="shared" si="108"/>
        <v/>
      </c>
      <c r="BC628" s="632" t="str">
        <f t="shared" si="109"/>
        <v/>
      </c>
      <c r="BD628" s="633" t="str">
        <f>IF(AND(L628="",H628=""),"",
IF(H628="",Pole_Calc!A656,
IF(H628="MP",Pole_Calc!A657,
IF(H628="AnMP",Pole_Calc!A658,
IF(H628="A",Pole_Calc!A659,
IF(H628="S/A",Pole_Calc!A660,
IF(H628="A/S",Pole_Calc!A661,"Poner a mano")))))))</f>
        <v/>
      </c>
      <c r="BE628" s="448" t="s">
        <v>1726</v>
      </c>
      <c r="BF628" s="634"/>
      <c r="BG628" s="634"/>
      <c r="BH628" s="634"/>
      <c r="BI628" s="634"/>
    </row>
    <row r="629" spans="1:61" ht="16.2" customHeight="1">
      <c r="A629" s="12"/>
      <c r="B629" s="446"/>
      <c r="C629" s="89"/>
      <c r="D629" s="13"/>
      <c r="E629" s="14"/>
      <c r="F629" s="14"/>
      <c r="G629" s="15"/>
      <c r="H629" s="8"/>
      <c r="I629" s="8"/>
      <c r="J629" s="89"/>
      <c r="K629" s="8"/>
      <c r="L629" s="8"/>
      <c r="M629" s="8" t="str">
        <f>IF(L629="","",
IF(AX629="PT",VLOOKUP(L629,Foundation_Calc!$V$4:$X$37,VLOOKUP(AX629,Foundation_Calc!$I$10:$J$13,2,FALSE),0),
IF(AX629="K",VLOOKUP(L629,Foundation_Calc!$V$41:$X$74,VLOOKUP(AX629,Foundation_Calc!$I$10:$J$13,2,FALSE),0),"")))</f>
        <v/>
      </c>
      <c r="N629" s="8"/>
      <c r="O629" s="8"/>
      <c r="P629" s="8"/>
      <c r="Q629" s="14"/>
      <c r="R629" s="15"/>
      <c r="S629" s="15"/>
      <c r="T629" s="14"/>
      <c r="U629" s="14"/>
      <c r="V629" s="14"/>
      <c r="W629" s="18"/>
      <c r="X629" s="18"/>
      <c r="Y629" s="18"/>
      <c r="Z629" s="18"/>
      <c r="AA629" s="18"/>
      <c r="AB629" s="18"/>
      <c r="AC629" s="8" t="str">
        <f t="shared" si="106"/>
        <v/>
      </c>
      <c r="AD629" s="8"/>
      <c r="AE629" s="8"/>
      <c r="AF629" s="14"/>
      <c r="AG629" s="13"/>
      <c r="AH629" s="14"/>
      <c r="AI629" s="14"/>
      <c r="AJ629" s="8"/>
      <c r="AK629" s="8"/>
      <c r="AL629" s="8"/>
      <c r="AM629" s="8"/>
      <c r="AN629" s="631"/>
      <c r="AO629" s="18"/>
      <c r="AP629" s="18"/>
      <c r="AQ629" s="18"/>
      <c r="AR629" s="18"/>
      <c r="AS629" s="18"/>
      <c r="AU629" s="448"/>
      <c r="AV629" s="448"/>
      <c r="AW629" s="8" t="str">
        <f>IF(C629&gt;0,VLOOKUP(C629,Foundation_Calc!$A$2:$C$986,3,1),
IF(J629&gt;0,VLOOKUP(J629,Foundation_Calc!$A$2:$C$986,3,1),""))</f>
        <v/>
      </c>
      <c r="AX629" s="8" t="str">
        <f>IF(C629&gt;0,VLOOKUP(C629,Foundation_Calc!$E$2:$G$986,3,1),
IF(J629&gt;0,VLOOKUP(J629,Foundation_Calc!$E$2:$G$986,3,1),""))</f>
        <v/>
      </c>
      <c r="AY629" s="631" t="str">
        <f>IF(L629="","",
IF(AX629="PT",VLOOKUP(L629,Foundation_Calc!$K$4:$R$37,VLOOKUP(AW629,Foundation_Calc!$I$2:$J$8,2,FALSE),0),
IF(AX629="K",VLOOKUP(L629,Foundation_Calc!$K$41:$R$74,VLOOKUP(AW629,Foundation_Calc!$I$2:$J$8,2,FALSE),0),"")))</f>
        <v/>
      </c>
      <c r="AZ629" s="631" t="str">
        <f>IF(K629="","",
IF(AX629="PT",VLOOKUP(K629,Foundation_Calc!$K$4:$R$37,VLOOKUP(AW629,Foundation_Calc!$I$2:$J$8,2,FALSE),0),
IF(AX629="K",VLOOKUP(K629,Foundation_Calc!$K$41:$R$74,VLOOKUP(AW629,Foundation_Calc!$I$2:$J$8,2,FALSE),0),"")))</f>
        <v/>
      </c>
      <c r="BA629" s="632" t="str">
        <f t="shared" si="107"/>
        <v/>
      </c>
      <c r="BB629" s="632" t="str">
        <f t="shared" si="108"/>
        <v/>
      </c>
      <c r="BC629" s="632" t="str">
        <f t="shared" si="109"/>
        <v/>
      </c>
      <c r="BD629" s="633" t="str">
        <f>IF(AND(L629="",H629=""),"",
IF(H629="",Pole_Calc!A657,
IF(H629="MP",Pole_Calc!A658,
IF(H629="AnMP",Pole_Calc!A659,
IF(H629="A",Pole_Calc!A660,
IF(H629="S/A",Pole_Calc!A661,
IF(H629="A/S",Pole_Calc!A662,"Poner a mano")))))))</f>
        <v/>
      </c>
      <c r="BE629" s="448" t="s">
        <v>1726</v>
      </c>
      <c r="BF629" s="635"/>
      <c r="BG629" s="635"/>
      <c r="BH629" s="634"/>
      <c r="BI629" s="635"/>
    </row>
    <row r="630" spans="1:61" ht="16.2" customHeight="1">
      <c r="A630" s="12"/>
      <c r="B630" s="446"/>
      <c r="C630" s="89"/>
      <c r="D630" s="13"/>
      <c r="E630" s="14"/>
      <c r="F630" s="14"/>
      <c r="G630" s="15"/>
      <c r="H630" s="8"/>
      <c r="I630" s="8"/>
      <c r="J630" s="89"/>
      <c r="K630" s="8"/>
      <c r="L630" s="8"/>
      <c r="M630" s="8" t="str">
        <f>IF(L630="","",
IF(AX630="PT",VLOOKUP(L630,Foundation_Calc!$V$4:$X$37,VLOOKUP(AX630,Foundation_Calc!$I$10:$J$13,2,FALSE),0),
IF(AX630="K",VLOOKUP(L630,Foundation_Calc!$V$41:$X$74,VLOOKUP(AX630,Foundation_Calc!$I$10:$J$13,2,FALSE),0),"")))</f>
        <v/>
      </c>
      <c r="N630" s="8"/>
      <c r="O630" s="8"/>
      <c r="P630" s="8"/>
      <c r="Q630" s="14"/>
      <c r="R630" s="15"/>
      <c r="S630" s="15"/>
      <c r="T630" s="14"/>
      <c r="U630" s="14"/>
      <c r="V630" s="14"/>
      <c r="W630" s="18"/>
      <c r="X630" s="18"/>
      <c r="Y630" s="18"/>
      <c r="Z630" s="18"/>
      <c r="AA630" s="18"/>
      <c r="AB630" s="18"/>
      <c r="AC630" s="8" t="str">
        <f t="shared" si="106"/>
        <v/>
      </c>
      <c r="AD630" s="8"/>
      <c r="AE630" s="8"/>
      <c r="AF630" s="14"/>
      <c r="AG630" s="13"/>
      <c r="AH630" s="14"/>
      <c r="AI630" s="14"/>
      <c r="AJ630" s="8"/>
      <c r="AK630" s="8"/>
      <c r="AL630" s="8"/>
      <c r="AM630" s="8"/>
      <c r="AN630" s="631"/>
      <c r="AO630" s="18"/>
      <c r="AP630" s="18"/>
      <c r="AQ630" s="18"/>
      <c r="AR630" s="18"/>
      <c r="AS630" s="18"/>
      <c r="AU630" s="448"/>
      <c r="AV630" s="448"/>
      <c r="AW630" s="8" t="str">
        <f>IF(C630&gt;0,VLOOKUP(C630,Foundation_Calc!$A$2:$C$986,3,1),
IF(J630&gt;0,VLOOKUP(J630,Foundation_Calc!$A$2:$C$986,3,1),""))</f>
        <v/>
      </c>
      <c r="AX630" s="8" t="str">
        <f>IF(C630&gt;0,VLOOKUP(C630,Foundation_Calc!$E$2:$G$986,3,1),
IF(J630&gt;0,VLOOKUP(J630,Foundation_Calc!$E$2:$G$986,3,1),""))</f>
        <v/>
      </c>
      <c r="AY630" s="631" t="str">
        <f>IF(L630="","",
IF(AX630="PT",VLOOKUP(L630,Foundation_Calc!$K$4:$R$37,VLOOKUP(AW630,Foundation_Calc!$I$2:$J$8,2,FALSE),0),
IF(AX630="K",VLOOKUP(L630,Foundation_Calc!$K$41:$R$74,VLOOKUP(AW630,Foundation_Calc!$I$2:$J$8,2,FALSE),0),"")))</f>
        <v/>
      </c>
      <c r="AZ630" s="631" t="str">
        <f>IF(K630="","",
IF(AX630="PT",VLOOKUP(K630,Foundation_Calc!$K$4:$R$37,VLOOKUP(AW630,Foundation_Calc!$I$2:$J$8,2,FALSE),0),
IF(AX630="K",VLOOKUP(K630,Foundation_Calc!$K$41:$R$74,VLOOKUP(AW630,Foundation_Calc!$I$2:$J$8,2,FALSE),0),"")))</f>
        <v/>
      </c>
      <c r="BA630" s="632" t="str">
        <f t="shared" si="107"/>
        <v/>
      </c>
      <c r="BB630" s="632" t="str">
        <f t="shared" si="108"/>
        <v/>
      </c>
      <c r="BC630" s="632" t="str">
        <f t="shared" si="109"/>
        <v/>
      </c>
      <c r="BD630" s="633" t="str">
        <f>IF(AND(L630="",H630=""),"",
IF(H630="",Pole_Calc!A658,
IF(H630="MP",Pole_Calc!A659,
IF(H630="AnMP",Pole_Calc!A660,
IF(H630="A",Pole_Calc!A661,
IF(H630="S/A",Pole_Calc!A662,
IF(H630="A/S",Pole_Calc!A663,"Poner a mano")))))))</f>
        <v/>
      </c>
      <c r="BE630" s="448" t="s">
        <v>1726</v>
      </c>
      <c r="BF630" s="634"/>
      <c r="BG630" s="634"/>
      <c r="BH630" s="634"/>
      <c r="BI630" s="634"/>
    </row>
    <row r="631" spans="1:61" ht="16.2" customHeight="1">
      <c r="A631" s="12"/>
      <c r="B631" s="446"/>
      <c r="C631" s="89"/>
      <c r="D631" s="13"/>
      <c r="E631" s="14"/>
      <c r="F631" s="14"/>
      <c r="G631" s="15"/>
      <c r="H631" s="8"/>
      <c r="I631" s="8"/>
      <c r="J631" s="89"/>
      <c r="K631" s="8"/>
      <c r="L631" s="8"/>
      <c r="M631" s="8" t="str">
        <f>IF(L631="","",
IF(AX631="PT",VLOOKUP(L631,Foundation_Calc!$V$4:$X$37,VLOOKUP(AX631,Foundation_Calc!$I$10:$J$13,2,FALSE),0),
IF(AX631="K",VLOOKUP(L631,Foundation_Calc!$V$41:$X$74,VLOOKUP(AX631,Foundation_Calc!$I$10:$J$13,2,FALSE),0),"")))</f>
        <v/>
      </c>
      <c r="N631" s="8"/>
      <c r="O631" s="8"/>
      <c r="P631" s="8"/>
      <c r="Q631" s="14"/>
      <c r="R631" s="15"/>
      <c r="S631" s="15"/>
      <c r="T631" s="14"/>
      <c r="U631" s="14"/>
      <c r="V631" s="14"/>
      <c r="W631" s="18"/>
      <c r="X631" s="18"/>
      <c r="Y631" s="18"/>
      <c r="Z631" s="18"/>
      <c r="AA631" s="18"/>
      <c r="AB631" s="18"/>
      <c r="AC631" s="8" t="str">
        <f t="shared" si="106"/>
        <v/>
      </c>
      <c r="AD631" s="8"/>
      <c r="AE631" s="8"/>
      <c r="AF631" s="14"/>
      <c r="AG631" s="13"/>
      <c r="AH631" s="14"/>
      <c r="AI631" s="14"/>
      <c r="AJ631" s="8"/>
      <c r="AK631" s="8"/>
      <c r="AL631" s="8"/>
      <c r="AM631" s="8"/>
      <c r="AN631" s="631"/>
      <c r="AO631" s="18"/>
      <c r="AP631" s="18"/>
      <c r="AQ631" s="18"/>
      <c r="AR631" s="18"/>
      <c r="AS631" s="18"/>
      <c r="AU631" s="448"/>
      <c r="AV631" s="448"/>
      <c r="AW631" s="8" t="str">
        <f>IF(C631&gt;0,VLOOKUP(C631,Foundation_Calc!$A$2:$C$986,3,1),
IF(J631&gt;0,VLOOKUP(J631,Foundation_Calc!$A$2:$C$986,3,1),""))</f>
        <v/>
      </c>
      <c r="AX631" s="8" t="str">
        <f>IF(C631&gt;0,VLOOKUP(C631,Foundation_Calc!$E$2:$G$986,3,1),
IF(J631&gt;0,VLOOKUP(J631,Foundation_Calc!$E$2:$G$986,3,1),""))</f>
        <v/>
      </c>
      <c r="AY631" s="631" t="str">
        <f>IF(L631="","",
IF(AX631="PT",VLOOKUP(L631,Foundation_Calc!$K$4:$R$37,VLOOKUP(AW631,Foundation_Calc!$I$2:$J$8,2,FALSE),0),
IF(AX631="K",VLOOKUP(L631,Foundation_Calc!$K$41:$R$74,VLOOKUP(AW631,Foundation_Calc!$I$2:$J$8,2,FALSE),0),"")))</f>
        <v/>
      </c>
      <c r="AZ631" s="631" t="str">
        <f>IF(K631="","",
IF(AX631="PT",VLOOKUP(K631,Foundation_Calc!$K$4:$R$37,VLOOKUP(AW631,Foundation_Calc!$I$2:$J$8,2,FALSE),0),
IF(AX631="K",VLOOKUP(K631,Foundation_Calc!$K$41:$R$74,VLOOKUP(AW631,Foundation_Calc!$I$2:$J$8,2,FALSE),0),"")))</f>
        <v/>
      </c>
      <c r="BA631" s="632" t="str">
        <f t="shared" si="107"/>
        <v/>
      </c>
      <c r="BB631" s="632" t="str">
        <f t="shared" si="108"/>
        <v/>
      </c>
      <c r="BC631" s="632" t="str">
        <f t="shared" si="109"/>
        <v/>
      </c>
      <c r="BD631" s="633" t="str">
        <f>IF(AND(L631="",H631=""),"",
IF(H631="",Pole_Calc!A659,
IF(H631="MP",Pole_Calc!A660,
IF(H631="AnMP",Pole_Calc!A661,
IF(H631="A",Pole_Calc!A662,
IF(H631="S/A",Pole_Calc!A663,
IF(H631="A/S",Pole_Calc!A664,"Poner a mano")))))))</f>
        <v/>
      </c>
      <c r="BE631" s="448" t="s">
        <v>1726</v>
      </c>
      <c r="BF631" s="635"/>
      <c r="BG631" s="635"/>
      <c r="BH631" s="634"/>
      <c r="BI631" s="635"/>
    </row>
    <row r="632" spans="1:61" ht="16.2" customHeight="1">
      <c r="A632" s="12"/>
      <c r="B632" s="446"/>
      <c r="C632" s="89"/>
      <c r="D632" s="13"/>
      <c r="E632" s="14"/>
      <c r="F632" s="14"/>
      <c r="G632" s="15"/>
      <c r="H632" s="8"/>
      <c r="I632" s="8"/>
      <c r="J632" s="89"/>
      <c r="K632" s="8"/>
      <c r="L632" s="8"/>
      <c r="M632" s="8" t="str">
        <f>IF(L632="","",
IF(AX632="PT",VLOOKUP(L632,Foundation_Calc!$V$4:$X$37,VLOOKUP(AX632,Foundation_Calc!$I$10:$J$13,2,FALSE),0),
IF(AX632="K",VLOOKUP(L632,Foundation_Calc!$V$41:$X$74,VLOOKUP(AX632,Foundation_Calc!$I$10:$J$13,2,FALSE),0),"")))</f>
        <v/>
      </c>
      <c r="N632" s="8"/>
      <c r="O632" s="8"/>
      <c r="P632" s="8"/>
      <c r="Q632" s="14"/>
      <c r="R632" s="15"/>
      <c r="S632" s="15"/>
      <c r="T632" s="14"/>
      <c r="U632" s="14"/>
      <c r="V632" s="14"/>
      <c r="W632" s="18"/>
      <c r="X632" s="18"/>
      <c r="Y632" s="18"/>
      <c r="Z632" s="18"/>
      <c r="AA632" s="18"/>
      <c r="AB632" s="18"/>
      <c r="AC632" s="8" t="str">
        <f t="shared" si="106"/>
        <v/>
      </c>
      <c r="AD632" s="8"/>
      <c r="AE632" s="8"/>
      <c r="AF632" s="14"/>
      <c r="AG632" s="13"/>
      <c r="AH632" s="14"/>
      <c r="AI632" s="14"/>
      <c r="AJ632" s="8"/>
      <c r="AK632" s="8"/>
      <c r="AL632" s="8"/>
      <c r="AM632" s="8"/>
      <c r="AN632" s="631"/>
      <c r="AO632" s="18"/>
      <c r="AP632" s="18"/>
      <c r="AQ632" s="18"/>
      <c r="AR632" s="18"/>
      <c r="AS632" s="18"/>
      <c r="AU632" s="448"/>
      <c r="AV632" s="448"/>
      <c r="AW632" s="8" t="str">
        <f>IF(C632&gt;0,VLOOKUP(C632,Foundation_Calc!$A$2:$C$986,3,1),
IF(J632&gt;0,VLOOKUP(J632,Foundation_Calc!$A$2:$C$986,3,1),""))</f>
        <v/>
      </c>
      <c r="AX632" s="8" t="str">
        <f>IF(C632&gt;0,VLOOKUP(C632,Foundation_Calc!$E$2:$G$986,3,1),
IF(J632&gt;0,VLOOKUP(J632,Foundation_Calc!$E$2:$G$986,3,1),""))</f>
        <v/>
      </c>
      <c r="AY632" s="631" t="str">
        <f>IF(L632="","",
IF(AX632="PT",VLOOKUP(L632,Foundation_Calc!$K$4:$R$37,VLOOKUP(AW632,Foundation_Calc!$I$2:$J$8,2,FALSE),0),
IF(AX632="K",VLOOKUP(L632,Foundation_Calc!$K$41:$R$74,VLOOKUP(AW632,Foundation_Calc!$I$2:$J$8,2,FALSE),0),"")))</f>
        <v/>
      </c>
      <c r="AZ632" s="631" t="str">
        <f>IF(K632="","",
IF(AX632="PT",VLOOKUP(K632,Foundation_Calc!$K$4:$R$37,VLOOKUP(AW632,Foundation_Calc!$I$2:$J$8,2,FALSE),0),
IF(AX632="K",VLOOKUP(K632,Foundation_Calc!$K$41:$R$74,VLOOKUP(AW632,Foundation_Calc!$I$2:$J$8,2,FALSE),0),"")))</f>
        <v/>
      </c>
      <c r="BA632" s="632" t="str">
        <f t="shared" si="107"/>
        <v/>
      </c>
      <c r="BB632" s="632" t="str">
        <f t="shared" si="108"/>
        <v/>
      </c>
      <c r="BC632" s="632" t="str">
        <f t="shared" si="109"/>
        <v/>
      </c>
      <c r="BD632" s="633" t="str">
        <f>IF(AND(L632="",H632=""),"",
IF(H632="",Pole_Calc!A660,
IF(H632="MP",Pole_Calc!A661,
IF(H632="AnMP",Pole_Calc!A662,
IF(H632="A",Pole_Calc!A663,
IF(H632="S/A",Pole_Calc!A664,
IF(H632="A/S",Pole_Calc!A665,"Poner a mano")))))))</f>
        <v/>
      </c>
      <c r="BE632" s="448" t="s">
        <v>1726</v>
      </c>
      <c r="BF632" s="634"/>
      <c r="BG632" s="634"/>
      <c r="BH632" s="634"/>
      <c r="BI632" s="634"/>
    </row>
    <row r="633" spans="1:61" ht="16.2" customHeight="1">
      <c r="A633" s="12"/>
      <c r="B633" s="446"/>
      <c r="C633" s="89"/>
      <c r="D633" s="13"/>
      <c r="E633" s="14"/>
      <c r="F633" s="14"/>
      <c r="G633" s="15"/>
      <c r="H633" s="8"/>
      <c r="I633" s="8"/>
      <c r="J633" s="89"/>
      <c r="K633" s="8"/>
      <c r="L633" s="8"/>
      <c r="M633" s="8" t="str">
        <f>IF(L633="","",
IF(AX633="PT",VLOOKUP(L633,Foundation_Calc!$V$4:$X$37,VLOOKUP(AX633,Foundation_Calc!$I$10:$J$13,2,FALSE),0),
IF(AX633="K",VLOOKUP(L633,Foundation_Calc!$V$41:$X$74,VLOOKUP(AX633,Foundation_Calc!$I$10:$J$13,2,FALSE),0),"")))</f>
        <v/>
      </c>
      <c r="N633" s="8"/>
      <c r="O633" s="8"/>
      <c r="P633" s="8"/>
      <c r="Q633" s="14"/>
      <c r="R633" s="15"/>
      <c r="S633" s="15"/>
      <c r="T633" s="14"/>
      <c r="U633" s="14"/>
      <c r="V633" s="14"/>
      <c r="W633" s="18"/>
      <c r="X633" s="18"/>
      <c r="Y633" s="18"/>
      <c r="Z633" s="18"/>
      <c r="AA633" s="18"/>
      <c r="AB633" s="18"/>
      <c r="AC633" s="8" t="str">
        <f t="shared" si="106"/>
        <v/>
      </c>
      <c r="AD633" s="8"/>
      <c r="AE633" s="8"/>
      <c r="AF633" s="14"/>
      <c r="AG633" s="13"/>
      <c r="AH633" s="14"/>
      <c r="AI633" s="14"/>
      <c r="AJ633" s="8"/>
      <c r="AK633" s="8"/>
      <c r="AL633" s="8"/>
      <c r="AM633" s="8"/>
      <c r="AN633" s="631"/>
      <c r="AO633" s="18"/>
      <c r="AP633" s="18"/>
      <c r="AQ633" s="18"/>
      <c r="AR633" s="18"/>
      <c r="AS633" s="18"/>
      <c r="AU633" s="448"/>
      <c r="AV633" s="448"/>
      <c r="AW633" s="8" t="str">
        <f>IF(C633&gt;0,VLOOKUP(C633,Foundation_Calc!$A$2:$C$986,3,1),
IF(J633&gt;0,VLOOKUP(J633,Foundation_Calc!$A$2:$C$986,3,1),""))</f>
        <v/>
      </c>
      <c r="AX633" s="8" t="str">
        <f>IF(C633&gt;0,VLOOKUP(C633,Foundation_Calc!$E$2:$G$986,3,1),
IF(J633&gt;0,VLOOKUP(J633,Foundation_Calc!$E$2:$G$986,3,1),""))</f>
        <v/>
      </c>
      <c r="AY633" s="631" t="str">
        <f>IF(L633="","",
IF(AX633="PT",VLOOKUP(L633,Foundation_Calc!$K$4:$R$37,VLOOKUP(AW633,Foundation_Calc!$I$2:$J$8,2,FALSE),0),
IF(AX633="K",VLOOKUP(L633,Foundation_Calc!$K$41:$R$74,VLOOKUP(AW633,Foundation_Calc!$I$2:$J$8,2,FALSE),0),"")))</f>
        <v/>
      </c>
      <c r="AZ633" s="631" t="str">
        <f>IF(K633="","",
IF(AX633="PT",VLOOKUP(K633,Foundation_Calc!$K$4:$R$37,VLOOKUP(AW633,Foundation_Calc!$I$2:$J$8,2,FALSE),0),
IF(AX633="K",VLOOKUP(K633,Foundation_Calc!$K$41:$R$74,VLOOKUP(AW633,Foundation_Calc!$I$2:$J$8,2,FALSE),0),"")))</f>
        <v/>
      </c>
      <c r="BA633" s="632" t="str">
        <f t="shared" si="107"/>
        <v/>
      </c>
      <c r="BB633" s="632" t="str">
        <f t="shared" si="108"/>
        <v/>
      </c>
      <c r="BC633" s="632" t="str">
        <f t="shared" si="109"/>
        <v/>
      </c>
      <c r="BD633" s="633" t="str">
        <f>IF(AND(L633="",H633=""),"",
IF(H633="",Pole_Calc!A661,
IF(H633="MP",Pole_Calc!A662,
IF(H633="AnMP",Pole_Calc!A663,
IF(H633="A",Pole_Calc!A664,
IF(H633="S/A",Pole_Calc!A665,
IF(H633="A/S",Pole_Calc!A666,"Poner a mano")))))))</f>
        <v/>
      </c>
      <c r="BE633" s="448" t="s">
        <v>1726</v>
      </c>
      <c r="BF633" s="635"/>
      <c r="BG633" s="635"/>
      <c r="BH633" s="634"/>
      <c r="BI633" s="635"/>
    </row>
    <row r="634" spans="1:61" ht="16.2" customHeight="1">
      <c r="A634" s="12"/>
      <c r="B634" s="446"/>
      <c r="C634" s="89"/>
      <c r="D634" s="13"/>
      <c r="E634" s="14"/>
      <c r="F634" s="14"/>
      <c r="G634" s="15"/>
      <c r="H634" s="8"/>
      <c r="I634" s="8"/>
      <c r="J634" s="89"/>
      <c r="K634" s="8"/>
      <c r="L634" s="8"/>
      <c r="M634" s="8" t="str">
        <f>IF(L634="","",
IF(AX634="PT",VLOOKUP(L634,Foundation_Calc!$V$4:$X$37,VLOOKUP(AX634,Foundation_Calc!$I$10:$J$13,2,FALSE),0),
IF(AX634="K",VLOOKUP(L634,Foundation_Calc!$V$41:$X$74,VLOOKUP(AX634,Foundation_Calc!$I$10:$J$13,2,FALSE),0),"")))</f>
        <v/>
      </c>
      <c r="N634" s="8"/>
      <c r="O634" s="8"/>
      <c r="P634" s="8"/>
      <c r="Q634" s="14"/>
      <c r="R634" s="15"/>
      <c r="S634" s="15"/>
      <c r="T634" s="14"/>
      <c r="U634" s="14"/>
      <c r="V634" s="14"/>
      <c r="W634" s="18"/>
      <c r="X634" s="18"/>
      <c r="Y634" s="18"/>
      <c r="Z634" s="18"/>
      <c r="AA634" s="18"/>
      <c r="AB634" s="18"/>
      <c r="AC634" s="8" t="str">
        <f t="shared" si="106"/>
        <v/>
      </c>
      <c r="AD634" s="8"/>
      <c r="AE634" s="8"/>
      <c r="AF634" s="14"/>
      <c r="AG634" s="13"/>
      <c r="AH634" s="14"/>
      <c r="AI634" s="14"/>
      <c r="AJ634" s="8"/>
      <c r="AK634" s="8"/>
      <c r="AL634" s="8"/>
      <c r="AM634" s="8"/>
      <c r="AN634" s="631"/>
      <c r="AO634" s="18"/>
      <c r="AP634" s="18"/>
      <c r="AQ634" s="18"/>
      <c r="AR634" s="18"/>
      <c r="AS634" s="18"/>
      <c r="AU634" s="448"/>
      <c r="AV634" s="448"/>
      <c r="AW634" s="8" t="str">
        <f>IF(C634&gt;0,VLOOKUP(C634,Foundation_Calc!$A$2:$C$986,3,1),
IF(J634&gt;0,VLOOKUP(J634,Foundation_Calc!$A$2:$C$986,3,1),""))</f>
        <v/>
      </c>
      <c r="AX634" s="8" t="str">
        <f>IF(C634&gt;0,VLOOKUP(C634,Foundation_Calc!$E$2:$G$986,3,1),
IF(J634&gt;0,VLOOKUP(J634,Foundation_Calc!$E$2:$G$986,3,1),""))</f>
        <v/>
      </c>
      <c r="AY634" s="631" t="str">
        <f>IF(L634="","",
IF(AX634="PT",VLOOKUP(L634,Foundation_Calc!$K$4:$R$37,VLOOKUP(AW634,Foundation_Calc!$I$2:$J$8,2,FALSE),0),
IF(AX634="K",VLOOKUP(L634,Foundation_Calc!$K$41:$R$74,VLOOKUP(AW634,Foundation_Calc!$I$2:$J$8,2,FALSE),0),"")))</f>
        <v/>
      </c>
      <c r="AZ634" s="631" t="str">
        <f>IF(K634="","",
IF(AX634="PT",VLOOKUP(K634,Foundation_Calc!$K$4:$R$37,VLOOKUP(AW634,Foundation_Calc!$I$2:$J$8,2,FALSE),0),
IF(AX634="K",VLOOKUP(K634,Foundation_Calc!$K$41:$R$74,VLOOKUP(AW634,Foundation_Calc!$I$2:$J$8,2,FALSE),0),"")))</f>
        <v/>
      </c>
      <c r="BA634" s="632" t="str">
        <f t="shared" si="107"/>
        <v/>
      </c>
      <c r="BB634" s="632" t="str">
        <f t="shared" si="108"/>
        <v/>
      </c>
      <c r="BC634" s="632" t="str">
        <f t="shared" si="109"/>
        <v/>
      </c>
      <c r="BD634" s="633" t="str">
        <f>IF(AND(L634="",H634=""),"",
IF(H634="",Pole_Calc!A662,
IF(H634="MP",Pole_Calc!A663,
IF(H634="AnMP",Pole_Calc!A664,
IF(H634="A",Pole_Calc!A665,
IF(H634="S/A",Pole_Calc!A666,
IF(H634="A/S",Pole_Calc!A667,"Poner a mano")))))))</f>
        <v/>
      </c>
      <c r="BE634" s="448" t="s">
        <v>1726</v>
      </c>
      <c r="BF634" s="634"/>
      <c r="BG634" s="634"/>
      <c r="BH634" s="634"/>
      <c r="BI634" s="634"/>
    </row>
    <row r="635" spans="1:61" ht="16.2" customHeight="1">
      <c r="A635" s="12"/>
      <c r="B635" s="446"/>
      <c r="C635" s="89"/>
      <c r="D635" s="13"/>
      <c r="E635" s="14"/>
      <c r="F635" s="14"/>
      <c r="G635" s="15"/>
      <c r="H635" s="8"/>
      <c r="I635" s="8"/>
      <c r="J635" s="89"/>
      <c r="K635" s="8"/>
      <c r="L635" s="8"/>
      <c r="M635" s="8" t="str">
        <f>IF(L635="","",
IF(AX635="PT",VLOOKUP(L635,Foundation_Calc!$V$4:$X$37,VLOOKUP(AX635,Foundation_Calc!$I$10:$J$13,2,FALSE),0),
IF(AX635="K",VLOOKUP(L635,Foundation_Calc!$V$41:$X$74,VLOOKUP(AX635,Foundation_Calc!$I$10:$J$13,2,FALSE),0),"")))</f>
        <v/>
      </c>
      <c r="N635" s="8"/>
      <c r="O635" s="8"/>
      <c r="P635" s="8"/>
      <c r="Q635" s="14"/>
      <c r="R635" s="15"/>
      <c r="S635" s="15"/>
      <c r="T635" s="14"/>
      <c r="U635" s="14"/>
      <c r="V635" s="14"/>
      <c r="W635" s="18"/>
      <c r="X635" s="18"/>
      <c r="Y635" s="18"/>
      <c r="Z635" s="18"/>
      <c r="AA635" s="18"/>
      <c r="AB635" s="18"/>
      <c r="AC635" s="8" t="str">
        <f t="shared" si="106"/>
        <v/>
      </c>
      <c r="AD635" s="8"/>
      <c r="AE635" s="8"/>
      <c r="AF635" s="14"/>
      <c r="AG635" s="13"/>
      <c r="AH635" s="14"/>
      <c r="AI635" s="14"/>
      <c r="AJ635" s="8"/>
      <c r="AK635" s="8"/>
      <c r="AL635" s="8"/>
      <c r="AM635" s="8"/>
      <c r="AN635" s="631"/>
      <c r="AO635" s="18"/>
      <c r="AP635" s="18"/>
      <c r="AQ635" s="18"/>
      <c r="AR635" s="18"/>
      <c r="AS635" s="18"/>
      <c r="AU635" s="448"/>
      <c r="AV635" s="448"/>
      <c r="AW635" s="8" t="str">
        <f>IF(C635&gt;0,VLOOKUP(C635,Foundation_Calc!$A$2:$C$986,3,1),
IF(J635&gt;0,VLOOKUP(J635,Foundation_Calc!$A$2:$C$986,3,1),""))</f>
        <v/>
      </c>
      <c r="AX635" s="8" t="str">
        <f>IF(C635&gt;0,VLOOKUP(C635,Foundation_Calc!$E$2:$G$986,3,1),
IF(J635&gt;0,VLOOKUP(J635,Foundation_Calc!$E$2:$G$986,3,1),""))</f>
        <v/>
      </c>
      <c r="AY635" s="631" t="str">
        <f>IF(L635="","",
IF(AX635="PT",VLOOKUP(L635,Foundation_Calc!$K$4:$R$37,VLOOKUP(AW635,Foundation_Calc!$I$2:$J$8,2,FALSE),0),
IF(AX635="K",VLOOKUP(L635,Foundation_Calc!$K$41:$R$74,VLOOKUP(AW635,Foundation_Calc!$I$2:$J$8,2,FALSE),0),"")))</f>
        <v/>
      </c>
      <c r="AZ635" s="631" t="str">
        <f>IF(K635="","",
IF(AX635="PT",VLOOKUP(K635,Foundation_Calc!$K$4:$R$37,VLOOKUP(AW635,Foundation_Calc!$I$2:$J$8,2,FALSE),0),
IF(AX635="K",VLOOKUP(K635,Foundation_Calc!$K$41:$R$74,VLOOKUP(AW635,Foundation_Calc!$I$2:$J$8,2,FALSE),0),"")))</f>
        <v/>
      </c>
      <c r="BA635" s="632" t="str">
        <f t="shared" si="107"/>
        <v/>
      </c>
      <c r="BB635" s="632" t="str">
        <f t="shared" si="108"/>
        <v/>
      </c>
      <c r="BC635" s="632" t="str">
        <f t="shared" si="109"/>
        <v/>
      </c>
      <c r="BD635" s="633" t="str">
        <f>IF(AND(L635="",H635=""),"",
IF(H635="",Pole_Calc!A663,
IF(H635="MP",Pole_Calc!A664,
IF(H635="AnMP",Pole_Calc!A665,
IF(H635="A",Pole_Calc!A666,
IF(H635="S/A",Pole_Calc!A667,
IF(H635="A/S",Pole_Calc!A668,"Poner a mano")))))))</f>
        <v/>
      </c>
      <c r="BE635" s="448" t="s">
        <v>1726</v>
      </c>
      <c r="BF635" s="635"/>
      <c r="BG635" s="635"/>
      <c r="BH635" s="634"/>
      <c r="BI635" s="635"/>
    </row>
    <row r="636" spans="1:61" ht="16.2" customHeight="1">
      <c r="A636" s="12"/>
      <c r="B636" s="446"/>
      <c r="C636" s="89"/>
      <c r="D636" s="13"/>
      <c r="E636" s="14"/>
      <c r="F636" s="14"/>
      <c r="G636" s="15"/>
      <c r="H636" s="8"/>
      <c r="I636" s="8"/>
      <c r="J636" s="89"/>
      <c r="K636" s="8"/>
      <c r="L636" s="8"/>
      <c r="M636" s="8" t="str">
        <f>IF(L636="","",
IF(AX636="PT",VLOOKUP(L636,Foundation_Calc!$V$4:$X$37,VLOOKUP(AX636,Foundation_Calc!$I$10:$J$13,2,FALSE),0),
IF(AX636="K",VLOOKUP(L636,Foundation_Calc!$V$41:$X$74,VLOOKUP(AX636,Foundation_Calc!$I$10:$J$13,2,FALSE),0),"")))</f>
        <v/>
      </c>
      <c r="N636" s="8"/>
      <c r="O636" s="8"/>
      <c r="P636" s="8"/>
      <c r="Q636" s="14"/>
      <c r="R636" s="15"/>
      <c r="S636" s="15"/>
      <c r="T636" s="14"/>
      <c r="U636" s="14"/>
      <c r="V636" s="14"/>
      <c r="W636" s="18"/>
      <c r="X636" s="18"/>
      <c r="Y636" s="18"/>
      <c r="Z636" s="18"/>
      <c r="AA636" s="18"/>
      <c r="AB636" s="18"/>
      <c r="AC636" s="8" t="str">
        <f t="shared" si="106"/>
        <v/>
      </c>
      <c r="AD636" s="8"/>
      <c r="AE636" s="8"/>
      <c r="AF636" s="14"/>
      <c r="AG636" s="13"/>
      <c r="AH636" s="14"/>
      <c r="AI636" s="14"/>
      <c r="AJ636" s="8"/>
      <c r="AK636" s="8"/>
      <c r="AL636" s="8"/>
      <c r="AM636" s="8"/>
      <c r="AN636" s="631"/>
      <c r="AO636" s="18"/>
      <c r="AP636" s="18"/>
      <c r="AQ636" s="18"/>
      <c r="AR636" s="18"/>
      <c r="AS636" s="18"/>
      <c r="AU636" s="448"/>
      <c r="AV636" s="448"/>
      <c r="AW636" s="8" t="str">
        <f>IF(C636&gt;0,VLOOKUP(C636,Foundation_Calc!$A$2:$C$986,3,1),
IF(J636&gt;0,VLOOKUP(J636,Foundation_Calc!$A$2:$C$986,3,1),""))</f>
        <v/>
      </c>
      <c r="AX636" s="8" t="str">
        <f>IF(C636&gt;0,VLOOKUP(C636,Foundation_Calc!$E$2:$G$986,3,1),
IF(J636&gt;0,VLOOKUP(J636,Foundation_Calc!$E$2:$G$986,3,1),""))</f>
        <v/>
      </c>
      <c r="AY636" s="631" t="str">
        <f>IF(L636="","",
IF(AX636="PT",VLOOKUP(L636,Foundation_Calc!$K$4:$R$37,VLOOKUP(AW636,Foundation_Calc!$I$2:$J$8,2,FALSE),0),
IF(AX636="K",VLOOKUP(L636,Foundation_Calc!$K$41:$R$74,VLOOKUP(AW636,Foundation_Calc!$I$2:$J$8,2,FALSE),0),"")))</f>
        <v/>
      </c>
      <c r="AZ636" s="631" t="str">
        <f>IF(K636="","",
IF(AX636="PT",VLOOKUP(K636,Foundation_Calc!$K$4:$R$37,VLOOKUP(AW636,Foundation_Calc!$I$2:$J$8,2,FALSE),0),
IF(AX636="K",VLOOKUP(K636,Foundation_Calc!$K$41:$R$74,VLOOKUP(AW636,Foundation_Calc!$I$2:$J$8,2,FALSE),0),"")))</f>
        <v/>
      </c>
      <c r="BA636" s="632" t="str">
        <f t="shared" si="107"/>
        <v/>
      </c>
      <c r="BB636" s="632" t="str">
        <f t="shared" si="108"/>
        <v/>
      </c>
      <c r="BC636" s="632" t="str">
        <f t="shared" si="109"/>
        <v/>
      </c>
      <c r="BD636" s="633" t="str">
        <f>IF(AND(L636="",H636=""),"",
IF(H636="",Pole_Calc!A664,
IF(H636="MP",Pole_Calc!A665,
IF(H636="AnMP",Pole_Calc!A666,
IF(H636="A",Pole_Calc!A667,
IF(H636="S/A",Pole_Calc!A668,
IF(H636="A/S",Pole_Calc!A669,"Poner a mano")))))))</f>
        <v/>
      </c>
      <c r="BE636" s="448" t="s">
        <v>1726</v>
      </c>
      <c r="BF636" s="634"/>
      <c r="BG636" s="634"/>
      <c r="BH636" s="634"/>
      <c r="BI636" s="634"/>
    </row>
    <row r="637" spans="1:61" ht="16.2" customHeight="1">
      <c r="A637" s="12"/>
      <c r="B637" s="446"/>
      <c r="C637" s="89"/>
      <c r="D637" s="13"/>
      <c r="E637" s="14"/>
      <c r="F637" s="14"/>
      <c r="G637" s="15"/>
      <c r="H637" s="8"/>
      <c r="I637" s="8"/>
      <c r="J637" s="89"/>
      <c r="K637" s="8"/>
      <c r="L637" s="8"/>
      <c r="M637" s="8" t="str">
        <f>IF(L637="","",
IF(AX637="PT",VLOOKUP(L637,Foundation_Calc!$V$4:$X$37,VLOOKUP(AX637,Foundation_Calc!$I$10:$J$13,2,FALSE),0),
IF(AX637="K",VLOOKUP(L637,Foundation_Calc!$V$41:$X$74,VLOOKUP(AX637,Foundation_Calc!$I$10:$J$13,2,FALSE),0),"")))</f>
        <v/>
      </c>
      <c r="N637" s="8"/>
      <c r="O637" s="8"/>
      <c r="P637" s="8"/>
      <c r="Q637" s="14"/>
      <c r="R637" s="15"/>
      <c r="S637" s="15"/>
      <c r="T637" s="14"/>
      <c r="U637" s="14"/>
      <c r="V637" s="14"/>
      <c r="W637" s="18"/>
      <c r="X637" s="18"/>
      <c r="Y637" s="18"/>
      <c r="Z637" s="18"/>
      <c r="AA637" s="18"/>
      <c r="AB637" s="18"/>
      <c r="AC637" s="8" t="str">
        <f t="shared" si="106"/>
        <v/>
      </c>
      <c r="AD637" s="8"/>
      <c r="AE637" s="8"/>
      <c r="AF637" s="14"/>
      <c r="AG637" s="13"/>
      <c r="AH637" s="14"/>
      <c r="AI637" s="14"/>
      <c r="AJ637" s="8"/>
      <c r="AK637" s="8"/>
      <c r="AL637" s="8"/>
      <c r="AM637" s="8"/>
      <c r="AN637" s="631"/>
      <c r="AO637" s="18"/>
      <c r="AP637" s="18"/>
      <c r="AQ637" s="18"/>
      <c r="AR637" s="18"/>
      <c r="AS637" s="18"/>
      <c r="AU637" s="448"/>
      <c r="AV637" s="448"/>
      <c r="AW637" s="8" t="str">
        <f>IF(C637&gt;0,VLOOKUP(C637,Foundation_Calc!$A$2:$C$986,3,1),
IF(J637&gt;0,VLOOKUP(J637,Foundation_Calc!$A$2:$C$986,3,1),""))</f>
        <v/>
      </c>
      <c r="AX637" s="8" t="str">
        <f>IF(C637&gt;0,VLOOKUP(C637,Foundation_Calc!$E$2:$G$986,3,1),
IF(J637&gt;0,VLOOKUP(J637,Foundation_Calc!$E$2:$G$986,3,1),""))</f>
        <v/>
      </c>
      <c r="AY637" s="631" t="str">
        <f>IF(L637="","",
IF(AX637="PT",VLOOKUP(L637,Foundation_Calc!$K$4:$R$37,VLOOKUP(AW637,Foundation_Calc!$I$2:$J$8,2,FALSE),0),
IF(AX637="K",VLOOKUP(L637,Foundation_Calc!$K$41:$R$74,VLOOKUP(AW637,Foundation_Calc!$I$2:$J$8,2,FALSE),0),"")))</f>
        <v/>
      </c>
      <c r="AZ637" s="631" t="str">
        <f>IF(K637="","",
IF(AX637="PT",VLOOKUP(K637,Foundation_Calc!$K$4:$R$37,VLOOKUP(AW637,Foundation_Calc!$I$2:$J$8,2,FALSE),0),
IF(AX637="K",VLOOKUP(K637,Foundation_Calc!$K$41:$R$74,VLOOKUP(AW637,Foundation_Calc!$I$2:$J$8,2,FALSE),0),"")))</f>
        <v/>
      </c>
      <c r="BA637" s="632" t="str">
        <f t="shared" si="107"/>
        <v/>
      </c>
      <c r="BB637" s="632" t="str">
        <f t="shared" si="108"/>
        <v/>
      </c>
      <c r="BC637" s="632" t="str">
        <f t="shared" si="109"/>
        <v/>
      </c>
      <c r="BD637" s="633" t="str">
        <f>IF(AND(L637="",H637=""),"",
IF(H637="",Pole_Calc!A665,
IF(H637="MP",Pole_Calc!A666,
IF(H637="AnMP",Pole_Calc!A667,
IF(H637="A",Pole_Calc!A668,
IF(H637="S/A",Pole_Calc!A669,
IF(H637="A/S",Pole_Calc!A670,"Poner a mano")))))))</f>
        <v/>
      </c>
      <c r="BE637" s="448" t="s">
        <v>1726</v>
      </c>
      <c r="BF637" s="635"/>
      <c r="BG637" s="635"/>
      <c r="BH637" s="634"/>
      <c r="BI637" s="635"/>
    </row>
    <row r="638" spans="1:61" ht="16.2" customHeight="1">
      <c r="A638" s="12"/>
      <c r="B638" s="446"/>
      <c r="C638" s="89"/>
      <c r="D638" s="13"/>
      <c r="E638" s="14"/>
      <c r="F638" s="14"/>
      <c r="G638" s="15"/>
      <c r="H638" s="8"/>
      <c r="I638" s="8"/>
      <c r="J638" s="89"/>
      <c r="K638" s="8"/>
      <c r="L638" s="8"/>
      <c r="M638" s="8" t="str">
        <f>IF(L638="","",
IF(AX638="PT",VLOOKUP(L638,Foundation_Calc!$V$4:$X$37,VLOOKUP(AX638,Foundation_Calc!$I$10:$J$13,2,FALSE),0),
IF(AX638="K",VLOOKUP(L638,Foundation_Calc!$V$41:$X$74,VLOOKUP(AX638,Foundation_Calc!$I$10:$J$13,2,FALSE),0),"")))</f>
        <v/>
      </c>
      <c r="N638" s="8"/>
      <c r="O638" s="8"/>
      <c r="P638" s="8"/>
      <c r="Q638" s="14"/>
      <c r="R638" s="15"/>
      <c r="S638" s="15"/>
      <c r="T638" s="14"/>
      <c r="U638" s="14"/>
      <c r="V638" s="14"/>
      <c r="W638" s="18"/>
      <c r="X638" s="18"/>
      <c r="Y638" s="18"/>
      <c r="Z638" s="18"/>
      <c r="AA638" s="18"/>
      <c r="AB638" s="18"/>
      <c r="AC638" s="8" t="str">
        <f t="shared" si="106"/>
        <v/>
      </c>
      <c r="AD638" s="8"/>
      <c r="AE638" s="8"/>
      <c r="AF638" s="14"/>
      <c r="AG638" s="13"/>
      <c r="AH638" s="14"/>
      <c r="AI638" s="14"/>
      <c r="AJ638" s="8"/>
      <c r="AK638" s="8"/>
      <c r="AL638" s="8"/>
      <c r="AM638" s="8"/>
      <c r="AN638" s="631"/>
      <c r="AO638" s="18"/>
      <c r="AP638" s="18"/>
      <c r="AQ638" s="18"/>
      <c r="AR638" s="18"/>
      <c r="AS638" s="18"/>
      <c r="AU638" s="448"/>
      <c r="AV638" s="448"/>
      <c r="AW638" s="8" t="str">
        <f>IF(C638&gt;0,VLOOKUP(C638,Foundation_Calc!$A$2:$C$986,3,1),
IF(J638&gt;0,VLOOKUP(J638,Foundation_Calc!$A$2:$C$986,3,1),""))</f>
        <v/>
      </c>
      <c r="AX638" s="8" t="str">
        <f>IF(C638&gt;0,VLOOKUP(C638,Foundation_Calc!$E$2:$G$986,3,1),
IF(J638&gt;0,VLOOKUP(J638,Foundation_Calc!$E$2:$G$986,3,1),""))</f>
        <v/>
      </c>
      <c r="AY638" s="631" t="str">
        <f>IF(L638="","",
IF(AX638="PT",VLOOKUP(L638,Foundation_Calc!$K$4:$R$37,VLOOKUP(AW638,Foundation_Calc!$I$2:$J$8,2,FALSE),0),
IF(AX638="K",VLOOKUP(L638,Foundation_Calc!$K$41:$R$74,VLOOKUP(AW638,Foundation_Calc!$I$2:$J$8,2,FALSE),0),"")))</f>
        <v/>
      </c>
      <c r="AZ638" s="631" t="str">
        <f>IF(K638="","",
IF(AX638="PT",VLOOKUP(K638,Foundation_Calc!$K$4:$R$37,VLOOKUP(AW638,Foundation_Calc!$I$2:$J$8,2,FALSE),0),
IF(AX638="K",VLOOKUP(K638,Foundation_Calc!$K$41:$R$74,VLOOKUP(AW638,Foundation_Calc!$I$2:$J$8,2,FALSE),0),"")))</f>
        <v/>
      </c>
      <c r="BA638" s="632" t="str">
        <f t="shared" si="107"/>
        <v/>
      </c>
      <c r="BB638" s="632" t="str">
        <f t="shared" si="108"/>
        <v/>
      </c>
      <c r="BC638" s="632" t="str">
        <f t="shared" si="109"/>
        <v/>
      </c>
      <c r="BD638" s="633" t="str">
        <f>IF(AND(L638="",H638=""),"",
IF(H638="",Pole_Calc!A666,
IF(H638="MP",Pole_Calc!A667,
IF(H638="AnMP",Pole_Calc!A668,
IF(H638="A",Pole_Calc!A669,
IF(H638="S/A",Pole_Calc!A670,
IF(H638="A/S",Pole_Calc!A671,"Poner a mano")))))))</f>
        <v/>
      </c>
      <c r="BE638" s="448" t="s">
        <v>1726</v>
      </c>
      <c r="BF638" s="634"/>
      <c r="BG638" s="634"/>
      <c r="BH638" s="634"/>
      <c r="BI638" s="634"/>
    </row>
    <row r="639" spans="1:61" ht="16.2" customHeight="1">
      <c r="A639" s="12"/>
      <c r="B639" s="446"/>
      <c r="C639" s="89"/>
      <c r="D639" s="13"/>
      <c r="E639" s="14"/>
      <c r="F639" s="14"/>
      <c r="G639" s="15"/>
      <c r="H639" s="8"/>
      <c r="I639" s="8"/>
      <c r="J639" s="89"/>
      <c r="K639" s="8"/>
      <c r="L639" s="8"/>
      <c r="M639" s="8" t="str">
        <f>IF(L639="","",
IF(AX639="PT",VLOOKUP(L639,Foundation_Calc!$V$4:$X$37,VLOOKUP(AX639,Foundation_Calc!$I$10:$J$13,2,FALSE),0),
IF(AX639="K",VLOOKUP(L639,Foundation_Calc!$V$41:$X$74,VLOOKUP(AX639,Foundation_Calc!$I$10:$J$13,2,FALSE),0),"")))</f>
        <v/>
      </c>
      <c r="N639" s="8"/>
      <c r="O639" s="8"/>
      <c r="P639" s="8"/>
      <c r="Q639" s="14"/>
      <c r="R639" s="15"/>
      <c r="S639" s="15"/>
      <c r="T639" s="14"/>
      <c r="U639" s="14"/>
      <c r="V639" s="14"/>
      <c r="W639" s="18"/>
      <c r="X639" s="18"/>
      <c r="Y639" s="18"/>
      <c r="Z639" s="18"/>
      <c r="AA639" s="18"/>
      <c r="AB639" s="18"/>
      <c r="AC639" s="8" t="str">
        <f t="shared" si="106"/>
        <v/>
      </c>
      <c r="AD639" s="8"/>
      <c r="AE639" s="8"/>
      <c r="AF639" s="14"/>
      <c r="AG639" s="13"/>
      <c r="AH639" s="14"/>
      <c r="AI639" s="14"/>
      <c r="AJ639" s="8"/>
      <c r="AK639" s="8"/>
      <c r="AL639" s="8"/>
      <c r="AM639" s="8"/>
      <c r="AN639" s="631"/>
      <c r="AO639" s="18"/>
      <c r="AP639" s="18"/>
      <c r="AQ639" s="18"/>
      <c r="AR639" s="18"/>
      <c r="AS639" s="18"/>
      <c r="AU639" s="448"/>
      <c r="AV639" s="448"/>
      <c r="AW639" s="8" t="str">
        <f>IF(C639&gt;0,VLOOKUP(C639,Foundation_Calc!$A$2:$C$986,3,1),
IF(J639&gt;0,VLOOKUP(J639,Foundation_Calc!$A$2:$C$986,3,1),""))</f>
        <v/>
      </c>
      <c r="AX639" s="8" t="str">
        <f>IF(C639&gt;0,VLOOKUP(C639,Foundation_Calc!$E$2:$G$986,3,1),
IF(J639&gt;0,VLOOKUP(J639,Foundation_Calc!$E$2:$G$986,3,1),""))</f>
        <v/>
      </c>
      <c r="AY639" s="631" t="str">
        <f>IF(L639="","",
IF(AX639="PT",VLOOKUP(L639,Foundation_Calc!$K$4:$R$37,VLOOKUP(AW639,Foundation_Calc!$I$2:$J$8,2,FALSE),0),
IF(AX639="K",VLOOKUP(L639,Foundation_Calc!$K$41:$R$74,VLOOKUP(AW639,Foundation_Calc!$I$2:$J$8,2,FALSE),0),"")))</f>
        <v/>
      </c>
      <c r="AZ639" s="631" t="str">
        <f>IF(K639="","",
IF(AX639="PT",VLOOKUP(K639,Foundation_Calc!$K$4:$R$37,VLOOKUP(AW639,Foundation_Calc!$I$2:$J$8,2,FALSE),0),
IF(AX639="K",VLOOKUP(K639,Foundation_Calc!$K$41:$R$74,VLOOKUP(AW639,Foundation_Calc!$I$2:$J$8,2,FALSE),0),"")))</f>
        <v/>
      </c>
      <c r="BA639" s="632" t="str">
        <f t="shared" si="107"/>
        <v/>
      </c>
      <c r="BB639" s="632" t="str">
        <f t="shared" si="108"/>
        <v/>
      </c>
      <c r="BC639" s="632" t="str">
        <f t="shared" si="109"/>
        <v/>
      </c>
      <c r="BD639" s="633" t="str">
        <f>IF(AND(L639="",H639=""),"",
IF(H639="",Pole_Calc!A667,
IF(H639="MP",Pole_Calc!A668,
IF(H639="AnMP",Pole_Calc!A669,
IF(H639="A",Pole_Calc!A670,
IF(H639="S/A",Pole_Calc!A671,
IF(H639="A/S",Pole_Calc!A672,"Poner a mano")))))))</f>
        <v/>
      </c>
      <c r="BE639" s="448" t="s">
        <v>1726</v>
      </c>
      <c r="BF639" s="635"/>
      <c r="BG639" s="635"/>
      <c r="BH639" s="634"/>
      <c r="BI639" s="635"/>
    </row>
    <row r="640" spans="1:61" ht="16.2" customHeight="1">
      <c r="A640" s="12"/>
      <c r="B640" s="446"/>
      <c r="C640" s="89"/>
      <c r="D640" s="13"/>
      <c r="E640" s="14"/>
      <c r="F640" s="14"/>
      <c r="G640" s="15"/>
      <c r="H640" s="8"/>
      <c r="I640" s="8"/>
      <c r="J640" s="89"/>
      <c r="K640" s="8"/>
      <c r="L640" s="8"/>
      <c r="M640" s="8" t="str">
        <f>IF(L640="","",
IF(AX640="PT",VLOOKUP(L640,Foundation_Calc!$V$4:$X$37,VLOOKUP(AX640,Foundation_Calc!$I$10:$J$13,2,FALSE),0),
IF(AX640="K",VLOOKUP(L640,Foundation_Calc!$V$41:$X$74,VLOOKUP(AX640,Foundation_Calc!$I$10:$J$13,2,FALSE),0),"")))</f>
        <v/>
      </c>
      <c r="N640" s="8"/>
      <c r="O640" s="8"/>
      <c r="P640" s="8"/>
      <c r="Q640" s="14"/>
      <c r="R640" s="15"/>
      <c r="S640" s="15"/>
      <c r="T640" s="14"/>
      <c r="U640" s="14"/>
      <c r="V640" s="14"/>
      <c r="W640" s="18"/>
      <c r="X640" s="18"/>
      <c r="Y640" s="18"/>
      <c r="Z640" s="18"/>
      <c r="AA640" s="18"/>
      <c r="AB640" s="18"/>
      <c r="AC640" s="8" t="str">
        <f t="shared" si="106"/>
        <v/>
      </c>
      <c r="AD640" s="8"/>
      <c r="AE640" s="8"/>
      <c r="AF640" s="14"/>
      <c r="AG640" s="13"/>
      <c r="AH640" s="14"/>
      <c r="AI640" s="14"/>
      <c r="AJ640" s="8"/>
      <c r="AK640" s="8"/>
      <c r="AL640" s="8"/>
      <c r="AM640" s="8"/>
      <c r="AN640" s="631"/>
      <c r="AO640" s="18"/>
      <c r="AP640" s="18"/>
      <c r="AQ640" s="18"/>
      <c r="AR640" s="18"/>
      <c r="AS640" s="18"/>
      <c r="AU640" s="448"/>
      <c r="AV640" s="448"/>
      <c r="AW640" s="8" t="str">
        <f>IF(C640&gt;0,VLOOKUP(C640,Foundation_Calc!$A$2:$C$986,3,1),
IF(J640&gt;0,VLOOKUP(J640,Foundation_Calc!$A$2:$C$986,3,1),""))</f>
        <v/>
      </c>
      <c r="AX640" s="8" t="str">
        <f>IF(C640&gt;0,VLOOKUP(C640,Foundation_Calc!$E$2:$G$986,3,1),
IF(J640&gt;0,VLOOKUP(J640,Foundation_Calc!$E$2:$G$986,3,1),""))</f>
        <v/>
      </c>
      <c r="AY640" s="631" t="str">
        <f>IF(L640="","",
IF(AX640="PT",VLOOKUP(L640,Foundation_Calc!$K$4:$R$37,VLOOKUP(AW640,Foundation_Calc!$I$2:$J$8,2,FALSE),0),
IF(AX640="K",VLOOKUP(L640,Foundation_Calc!$K$41:$R$74,VLOOKUP(AW640,Foundation_Calc!$I$2:$J$8,2,FALSE),0),"")))</f>
        <v/>
      </c>
      <c r="AZ640" s="631" t="str">
        <f>IF(K640="","",
IF(AX640="PT",VLOOKUP(K640,Foundation_Calc!$K$4:$R$37,VLOOKUP(AW640,Foundation_Calc!$I$2:$J$8,2,FALSE),0),
IF(AX640="K",VLOOKUP(K640,Foundation_Calc!$K$41:$R$74,VLOOKUP(AW640,Foundation_Calc!$I$2:$J$8,2,FALSE),0),"")))</f>
        <v/>
      </c>
      <c r="BA640" s="632" t="str">
        <f t="shared" si="107"/>
        <v/>
      </c>
      <c r="BB640" s="632" t="str">
        <f t="shared" si="108"/>
        <v/>
      </c>
      <c r="BC640" s="632" t="str">
        <f t="shared" si="109"/>
        <v/>
      </c>
      <c r="BD640" s="633" t="str">
        <f>IF(AND(L640="",H640=""),"",
IF(H640="",Pole_Calc!A668,
IF(H640="MP",Pole_Calc!A669,
IF(H640="AnMP",Pole_Calc!A670,
IF(H640="A",Pole_Calc!A671,
IF(H640="S/A",Pole_Calc!A672,
IF(H640="A/S",Pole_Calc!A673,"Poner a mano")))))))</f>
        <v/>
      </c>
      <c r="BE640" s="448" t="s">
        <v>1726</v>
      </c>
      <c r="BF640" s="634"/>
      <c r="BG640" s="634"/>
      <c r="BH640" s="634"/>
      <c r="BI640" s="634"/>
    </row>
    <row r="641" spans="1:61" ht="16.2" customHeight="1">
      <c r="A641" s="12"/>
      <c r="B641" s="446"/>
      <c r="C641" s="89"/>
      <c r="D641" s="13"/>
      <c r="E641" s="14"/>
      <c r="F641" s="14"/>
      <c r="G641" s="15"/>
      <c r="H641" s="8"/>
      <c r="I641" s="8"/>
      <c r="J641" s="89"/>
      <c r="K641" s="8"/>
      <c r="L641" s="8"/>
      <c r="M641" s="8" t="str">
        <f>IF(L641="","",
IF(AX641="PT",VLOOKUP(L641,Foundation_Calc!$V$4:$X$37,VLOOKUP(AX641,Foundation_Calc!$I$10:$J$13,2,FALSE),0),
IF(AX641="K",VLOOKUP(L641,Foundation_Calc!$V$41:$X$74,VLOOKUP(AX641,Foundation_Calc!$I$10:$J$13,2,FALSE),0),"")))</f>
        <v/>
      </c>
      <c r="N641" s="8"/>
      <c r="O641" s="8"/>
      <c r="P641" s="8"/>
      <c r="Q641" s="14"/>
      <c r="R641" s="15"/>
      <c r="S641" s="15"/>
      <c r="T641" s="14"/>
      <c r="U641" s="14"/>
      <c r="V641" s="14"/>
      <c r="W641" s="18"/>
      <c r="X641" s="18"/>
      <c r="Y641" s="18"/>
      <c r="Z641" s="18"/>
      <c r="AA641" s="18"/>
      <c r="AB641" s="18"/>
      <c r="AC641" s="8" t="str">
        <f t="shared" si="106"/>
        <v/>
      </c>
      <c r="AD641" s="8"/>
      <c r="AE641" s="8"/>
      <c r="AF641" s="14"/>
      <c r="AG641" s="13"/>
      <c r="AH641" s="14"/>
      <c r="AI641" s="14"/>
      <c r="AJ641" s="8"/>
      <c r="AK641" s="8"/>
      <c r="AL641" s="8"/>
      <c r="AM641" s="8"/>
      <c r="AN641" s="631"/>
      <c r="AO641" s="18"/>
      <c r="AP641" s="18"/>
      <c r="AQ641" s="18"/>
      <c r="AR641" s="18"/>
      <c r="AS641" s="18"/>
      <c r="AU641" s="448"/>
      <c r="AV641" s="448"/>
      <c r="AW641" s="8" t="str">
        <f>IF(C641&gt;0,VLOOKUP(C641,Foundation_Calc!$A$2:$C$986,3,1),
IF(J641&gt;0,VLOOKUP(J641,Foundation_Calc!$A$2:$C$986,3,1),""))</f>
        <v/>
      </c>
      <c r="AX641" s="8" t="str">
        <f>IF(C641&gt;0,VLOOKUP(C641,Foundation_Calc!$E$2:$G$986,3,1),
IF(J641&gt;0,VLOOKUP(J641,Foundation_Calc!$E$2:$G$986,3,1),""))</f>
        <v/>
      </c>
      <c r="AY641" s="631" t="str">
        <f>IF(L641="","",
IF(AX641="PT",VLOOKUP(L641,Foundation_Calc!$K$4:$R$37,VLOOKUP(AW641,Foundation_Calc!$I$2:$J$8,2,FALSE),0),
IF(AX641="K",VLOOKUP(L641,Foundation_Calc!$K$41:$R$74,VLOOKUP(AW641,Foundation_Calc!$I$2:$J$8,2,FALSE),0),"")))</f>
        <v/>
      </c>
      <c r="AZ641" s="631" t="str">
        <f>IF(K641="","",
IF(AX641="PT",VLOOKUP(K641,Foundation_Calc!$K$4:$R$37,VLOOKUP(AW641,Foundation_Calc!$I$2:$J$8,2,FALSE),0),
IF(AX641="K",VLOOKUP(K641,Foundation_Calc!$K$41:$R$74,VLOOKUP(AW641,Foundation_Calc!$I$2:$J$8,2,FALSE),0),"")))</f>
        <v/>
      </c>
      <c r="BA641" s="632" t="str">
        <f t="shared" si="107"/>
        <v/>
      </c>
      <c r="BB641" s="632" t="str">
        <f t="shared" si="108"/>
        <v/>
      </c>
      <c r="BC641" s="632" t="str">
        <f t="shared" si="109"/>
        <v/>
      </c>
      <c r="BD641" s="633" t="str">
        <f>IF(AND(L641="",H641=""),"",
IF(H641="",Pole_Calc!A669,
IF(H641="MP",Pole_Calc!A670,
IF(H641="AnMP",Pole_Calc!A671,
IF(H641="A",Pole_Calc!A672,
IF(H641="S/A",Pole_Calc!A673,
IF(H641="A/S",Pole_Calc!A674,"Poner a mano")))))))</f>
        <v/>
      </c>
      <c r="BE641" s="448" t="s">
        <v>1726</v>
      </c>
      <c r="BF641" s="635"/>
      <c r="BG641" s="635"/>
      <c r="BH641" s="634"/>
      <c r="BI641" s="635"/>
    </row>
    <row r="642" spans="1:61" ht="16.2" customHeight="1">
      <c r="A642" s="12"/>
      <c r="B642" s="446"/>
      <c r="C642" s="89"/>
      <c r="D642" s="13"/>
      <c r="E642" s="14"/>
      <c r="F642" s="14"/>
      <c r="G642" s="15"/>
      <c r="H642" s="8"/>
      <c r="I642" s="8"/>
      <c r="J642" s="89"/>
      <c r="K642" s="8"/>
      <c r="L642" s="8"/>
      <c r="M642" s="8" t="str">
        <f>IF(L642="","",
IF(AX642="PT",VLOOKUP(L642,Foundation_Calc!$V$4:$X$37,VLOOKUP(AX642,Foundation_Calc!$I$10:$J$13,2,FALSE),0),
IF(AX642="K",VLOOKUP(L642,Foundation_Calc!$V$41:$X$74,VLOOKUP(AX642,Foundation_Calc!$I$10:$J$13,2,FALSE),0),"")))</f>
        <v/>
      </c>
      <c r="N642" s="8"/>
      <c r="O642" s="8"/>
      <c r="P642" s="8"/>
      <c r="Q642" s="14"/>
      <c r="R642" s="15"/>
      <c r="S642" s="15"/>
      <c r="T642" s="14"/>
      <c r="U642" s="14"/>
      <c r="V642" s="14"/>
      <c r="W642" s="18"/>
      <c r="X642" s="18"/>
      <c r="Y642" s="18"/>
      <c r="Z642" s="18"/>
      <c r="AA642" s="18"/>
      <c r="AB642" s="18"/>
      <c r="AC642" s="8" t="str">
        <f t="shared" si="106"/>
        <v/>
      </c>
      <c r="AD642" s="8"/>
      <c r="AE642" s="8"/>
      <c r="AF642" s="14"/>
      <c r="AG642" s="13"/>
      <c r="AH642" s="14"/>
      <c r="AI642" s="14"/>
      <c r="AJ642" s="8"/>
      <c r="AK642" s="8"/>
      <c r="AL642" s="8"/>
      <c r="AM642" s="8"/>
      <c r="AN642" s="631"/>
      <c r="AO642" s="18"/>
      <c r="AP642" s="18"/>
      <c r="AQ642" s="18"/>
      <c r="AR642" s="18"/>
      <c r="AS642" s="18"/>
      <c r="AU642" s="448"/>
      <c r="AV642" s="448"/>
      <c r="AW642" s="8" t="str">
        <f>IF(C642&gt;0,VLOOKUP(C642,Foundation_Calc!$A$2:$C$986,3,1),
IF(J642&gt;0,VLOOKUP(J642,Foundation_Calc!$A$2:$C$986,3,1),""))</f>
        <v/>
      </c>
      <c r="AX642" s="8" t="str">
        <f>IF(C642&gt;0,VLOOKUP(C642,Foundation_Calc!$E$2:$G$986,3,1),
IF(J642&gt;0,VLOOKUP(J642,Foundation_Calc!$E$2:$G$986,3,1),""))</f>
        <v/>
      </c>
      <c r="AY642" s="631" t="str">
        <f>IF(L642="","",
IF(AX642="PT",VLOOKUP(L642,Foundation_Calc!$K$4:$R$37,VLOOKUP(AW642,Foundation_Calc!$I$2:$J$8,2,FALSE),0),
IF(AX642="K",VLOOKUP(L642,Foundation_Calc!$K$41:$R$74,VLOOKUP(AW642,Foundation_Calc!$I$2:$J$8,2,FALSE),0),"")))</f>
        <v/>
      </c>
      <c r="AZ642" s="631" t="str">
        <f>IF(K642="","",
IF(AX642="PT",VLOOKUP(K642,Foundation_Calc!$K$4:$R$37,VLOOKUP(AW642,Foundation_Calc!$I$2:$J$8,2,FALSE),0),
IF(AX642="K",VLOOKUP(K642,Foundation_Calc!$K$41:$R$74,VLOOKUP(AW642,Foundation_Calc!$I$2:$J$8,2,FALSE),0),"")))</f>
        <v/>
      </c>
      <c r="BA642" s="632" t="str">
        <f t="shared" si="107"/>
        <v/>
      </c>
      <c r="BB642" s="632" t="str">
        <f t="shared" si="108"/>
        <v/>
      </c>
      <c r="BC642" s="632" t="str">
        <f t="shared" si="109"/>
        <v/>
      </c>
      <c r="BD642" s="633" t="str">
        <f>IF(AND(L642="",H642=""),"",
IF(H642="",Pole_Calc!A670,
IF(H642="MP",Pole_Calc!A671,
IF(H642="AnMP",Pole_Calc!A672,
IF(H642="A",Pole_Calc!A673,
IF(H642="S/A",Pole_Calc!A674,
IF(H642="A/S",Pole_Calc!A675,"Poner a mano")))))))</f>
        <v/>
      </c>
      <c r="BE642" s="448" t="s">
        <v>1726</v>
      </c>
      <c r="BF642" s="634"/>
      <c r="BG642" s="634"/>
      <c r="BH642" s="634"/>
      <c r="BI642" s="634"/>
    </row>
    <row r="643" spans="1:61" ht="16.2" customHeight="1">
      <c r="A643" s="12"/>
      <c r="B643" s="446"/>
      <c r="C643" s="89"/>
      <c r="D643" s="13"/>
      <c r="E643" s="14"/>
      <c r="F643" s="14"/>
      <c r="G643" s="15"/>
      <c r="H643" s="8"/>
      <c r="I643" s="8"/>
      <c r="J643" s="89"/>
      <c r="K643" s="8"/>
      <c r="L643" s="8"/>
      <c r="M643" s="8" t="str">
        <f>IF(L643="","",
IF(AX643="PT",VLOOKUP(L643,Foundation_Calc!$V$4:$X$37,VLOOKUP(AX643,Foundation_Calc!$I$10:$J$13,2,FALSE),0),
IF(AX643="K",VLOOKUP(L643,Foundation_Calc!$V$41:$X$74,VLOOKUP(AX643,Foundation_Calc!$I$10:$J$13,2,FALSE),0),"")))</f>
        <v/>
      </c>
      <c r="N643" s="8"/>
      <c r="O643" s="8"/>
      <c r="P643" s="8"/>
      <c r="Q643" s="14"/>
      <c r="R643" s="15"/>
      <c r="S643" s="15"/>
      <c r="T643" s="14"/>
      <c r="U643" s="14"/>
      <c r="V643" s="14"/>
      <c r="W643" s="18"/>
      <c r="X643" s="18"/>
      <c r="Y643" s="18"/>
      <c r="Z643" s="18"/>
      <c r="AA643" s="18"/>
      <c r="AB643" s="18"/>
      <c r="AC643" s="8" t="str">
        <f t="shared" si="106"/>
        <v/>
      </c>
      <c r="AD643" s="8"/>
      <c r="AE643" s="8"/>
      <c r="AF643" s="14"/>
      <c r="AG643" s="13"/>
      <c r="AH643" s="14"/>
      <c r="AI643" s="14"/>
      <c r="AJ643" s="8"/>
      <c r="AK643" s="8"/>
      <c r="AL643" s="8"/>
      <c r="AM643" s="8"/>
      <c r="AN643" s="631"/>
      <c r="AO643" s="18"/>
      <c r="AP643" s="18"/>
      <c r="AQ643" s="18"/>
      <c r="AR643" s="18"/>
      <c r="AS643" s="18"/>
      <c r="AU643" s="448"/>
      <c r="AV643" s="448"/>
      <c r="AW643" s="8" t="str">
        <f>IF(C643&gt;0,VLOOKUP(C643,Foundation_Calc!$A$2:$C$986,3,1),
IF(J643&gt;0,VLOOKUP(J643,Foundation_Calc!$A$2:$C$986,3,1),""))</f>
        <v/>
      </c>
      <c r="AX643" s="8" t="str">
        <f>IF(C643&gt;0,VLOOKUP(C643,Foundation_Calc!$E$2:$G$986,3,1),
IF(J643&gt;0,VLOOKUP(J643,Foundation_Calc!$E$2:$G$986,3,1),""))</f>
        <v/>
      </c>
      <c r="AY643" s="631" t="str">
        <f>IF(L643="","",
IF(AX643="PT",VLOOKUP(L643,Foundation_Calc!$K$4:$R$37,VLOOKUP(AW643,Foundation_Calc!$I$2:$J$8,2,FALSE),0),
IF(AX643="K",VLOOKUP(L643,Foundation_Calc!$K$41:$R$74,VLOOKUP(AW643,Foundation_Calc!$I$2:$J$8,2,FALSE),0),"")))</f>
        <v/>
      </c>
      <c r="AZ643" s="631" t="str">
        <f>IF(K643="","",
IF(AX643="PT",VLOOKUP(K643,Foundation_Calc!$K$4:$R$37,VLOOKUP(AW643,Foundation_Calc!$I$2:$J$8,2,FALSE),0),
IF(AX643="K",VLOOKUP(K643,Foundation_Calc!$K$41:$R$74,VLOOKUP(AW643,Foundation_Calc!$I$2:$J$8,2,FALSE),0),"")))</f>
        <v/>
      </c>
      <c r="BA643" s="632" t="str">
        <f t="shared" si="107"/>
        <v/>
      </c>
      <c r="BB643" s="632" t="str">
        <f t="shared" si="108"/>
        <v/>
      </c>
      <c r="BC643" s="632" t="str">
        <f t="shared" si="109"/>
        <v/>
      </c>
      <c r="BD643" s="633" t="str">
        <f>IF(AND(L643="",H643=""),"",
IF(H643="",Pole_Calc!A671,
IF(H643="MP",Pole_Calc!A672,
IF(H643="AnMP",Pole_Calc!A673,
IF(H643="A",Pole_Calc!A674,
IF(H643="S/A",Pole_Calc!A675,
IF(H643="A/S",Pole_Calc!A676,"Poner a mano")))))))</f>
        <v/>
      </c>
      <c r="BE643" s="448" t="s">
        <v>1726</v>
      </c>
      <c r="BF643" s="635"/>
      <c r="BG643" s="635"/>
      <c r="BH643" s="634"/>
      <c r="BI643" s="635"/>
    </row>
    <row r="644" spans="1:61" ht="16.2" customHeight="1">
      <c r="A644" s="12"/>
      <c r="B644" s="446"/>
      <c r="C644" s="89"/>
      <c r="D644" s="13"/>
      <c r="E644" s="14"/>
      <c r="F644" s="14"/>
      <c r="G644" s="15"/>
      <c r="H644" s="8"/>
      <c r="I644" s="8"/>
      <c r="J644" s="89"/>
      <c r="K644" s="8"/>
      <c r="L644" s="8"/>
      <c r="M644" s="8" t="str">
        <f>IF(L644="","",
IF(AX644="PT",VLOOKUP(L644,Foundation_Calc!$V$4:$X$37,VLOOKUP(AX644,Foundation_Calc!$I$10:$J$13,2,FALSE),0),
IF(AX644="K",VLOOKUP(L644,Foundation_Calc!$V$41:$X$74,VLOOKUP(AX644,Foundation_Calc!$I$10:$J$13,2,FALSE),0),"")))</f>
        <v/>
      </c>
      <c r="N644" s="8"/>
      <c r="O644" s="8"/>
      <c r="P644" s="8"/>
      <c r="Q644" s="14"/>
      <c r="R644" s="15"/>
      <c r="S644" s="15"/>
      <c r="T644" s="14"/>
      <c r="U644" s="14"/>
      <c r="V644" s="14"/>
      <c r="W644" s="18"/>
      <c r="X644" s="18"/>
      <c r="Y644" s="18"/>
      <c r="Z644" s="18"/>
      <c r="AA644" s="18"/>
      <c r="AB644" s="18"/>
      <c r="AC644" s="8" t="str">
        <f t="shared" si="106"/>
        <v/>
      </c>
      <c r="AD644" s="8"/>
      <c r="AE644" s="8"/>
      <c r="AF644" s="14"/>
      <c r="AG644" s="13"/>
      <c r="AH644" s="14"/>
      <c r="AI644" s="14"/>
      <c r="AJ644" s="8"/>
      <c r="AK644" s="8"/>
      <c r="AL644" s="8"/>
      <c r="AM644" s="8"/>
      <c r="AN644" s="631"/>
      <c r="AO644" s="18"/>
      <c r="AP644" s="18"/>
      <c r="AQ644" s="18"/>
      <c r="AR644" s="18"/>
      <c r="AS644" s="18"/>
      <c r="AU644" s="448"/>
      <c r="AV644" s="448"/>
      <c r="AW644" s="8" t="str">
        <f>IF(C644&gt;0,VLOOKUP(C644,Foundation_Calc!$A$2:$C$986,3,1),
IF(J644&gt;0,VLOOKUP(J644,Foundation_Calc!$A$2:$C$986,3,1),""))</f>
        <v/>
      </c>
      <c r="AX644" s="8" t="str">
        <f>IF(C644&gt;0,VLOOKUP(C644,Foundation_Calc!$E$2:$G$986,3,1),
IF(J644&gt;0,VLOOKUP(J644,Foundation_Calc!$E$2:$G$986,3,1),""))</f>
        <v/>
      </c>
      <c r="AY644" s="631" t="str">
        <f>IF(L644="","",
IF(AX644="PT",VLOOKUP(L644,Foundation_Calc!$K$4:$R$37,VLOOKUP(AW644,Foundation_Calc!$I$2:$J$8,2,FALSE),0),
IF(AX644="K",VLOOKUP(L644,Foundation_Calc!$K$41:$R$74,VLOOKUP(AW644,Foundation_Calc!$I$2:$J$8,2,FALSE),0),"")))</f>
        <v/>
      </c>
      <c r="AZ644" s="631" t="str">
        <f>IF(K644="","",
IF(AX644="PT",VLOOKUP(K644,Foundation_Calc!$K$4:$R$37,VLOOKUP(AW644,Foundation_Calc!$I$2:$J$8,2,FALSE),0),
IF(AX644="K",VLOOKUP(K644,Foundation_Calc!$K$41:$R$74,VLOOKUP(AW644,Foundation_Calc!$I$2:$J$8,2,FALSE),0),"")))</f>
        <v/>
      </c>
      <c r="BA644" s="632" t="str">
        <f t="shared" si="107"/>
        <v/>
      </c>
      <c r="BB644" s="632" t="str">
        <f t="shared" si="108"/>
        <v/>
      </c>
      <c r="BC644" s="632" t="str">
        <f t="shared" si="109"/>
        <v/>
      </c>
      <c r="BD644" s="633" t="str">
        <f>IF(AND(L644="",H644=""),"",
IF(H644="",Pole_Calc!A672,
IF(H644="MP",Pole_Calc!A673,
IF(H644="AnMP",Pole_Calc!A674,
IF(H644="A",Pole_Calc!A675,
IF(H644="S/A",Pole_Calc!A676,
IF(H644="A/S",Pole_Calc!A677,"Poner a mano")))))))</f>
        <v/>
      </c>
      <c r="BE644" s="448" t="s">
        <v>1726</v>
      </c>
      <c r="BF644" s="634"/>
      <c r="BG644" s="634"/>
      <c r="BH644" s="634"/>
      <c r="BI644" s="634"/>
    </row>
    <row r="645" spans="1:61" ht="16.2" customHeight="1">
      <c r="A645" s="12"/>
      <c r="B645" s="446"/>
      <c r="C645" s="89"/>
      <c r="D645" s="13"/>
      <c r="E645" s="14"/>
      <c r="F645" s="14"/>
      <c r="G645" s="15"/>
      <c r="H645" s="8"/>
      <c r="I645" s="8"/>
      <c r="J645" s="89"/>
      <c r="K645" s="8"/>
      <c r="L645" s="8"/>
      <c r="M645" s="8" t="str">
        <f>IF(L645="","",
IF(AX645="PT",VLOOKUP(L645,Foundation_Calc!$V$4:$X$37,VLOOKUP(AX645,Foundation_Calc!$I$10:$J$13,2,FALSE),0),
IF(AX645="K",VLOOKUP(L645,Foundation_Calc!$V$41:$X$74,VLOOKUP(AX645,Foundation_Calc!$I$10:$J$13,2,FALSE),0),"")))</f>
        <v/>
      </c>
      <c r="N645" s="8"/>
      <c r="O645" s="8"/>
      <c r="P645" s="8"/>
      <c r="Q645" s="14"/>
      <c r="R645" s="15"/>
      <c r="S645" s="15"/>
      <c r="T645" s="14"/>
      <c r="U645" s="14"/>
      <c r="V645" s="14"/>
      <c r="W645" s="18"/>
      <c r="X645" s="18"/>
      <c r="Y645" s="18"/>
      <c r="Z645" s="18"/>
      <c r="AA645" s="18"/>
      <c r="AB645" s="18"/>
      <c r="AC645" s="8" t="str">
        <f t="shared" si="106"/>
        <v/>
      </c>
      <c r="AD645" s="8"/>
      <c r="AE645" s="8"/>
      <c r="AF645" s="14"/>
      <c r="AG645" s="13"/>
      <c r="AH645" s="14"/>
      <c r="AI645" s="14"/>
      <c r="AJ645" s="8"/>
      <c r="AK645" s="8"/>
      <c r="AL645" s="8"/>
      <c r="AM645" s="8"/>
      <c r="AN645" s="631"/>
      <c r="AO645" s="18"/>
      <c r="AP645" s="18"/>
      <c r="AQ645" s="18"/>
      <c r="AR645" s="18"/>
      <c r="AS645" s="18"/>
      <c r="AU645" s="448"/>
      <c r="AV645" s="448"/>
      <c r="AW645" s="8" t="str">
        <f>IF(C645&gt;0,VLOOKUP(C645,Foundation_Calc!$A$2:$C$986,3,1),
IF(J645&gt;0,VLOOKUP(J645,Foundation_Calc!$A$2:$C$986,3,1),""))</f>
        <v/>
      </c>
      <c r="AX645" s="8" t="str">
        <f>IF(C645&gt;0,VLOOKUP(C645,Foundation_Calc!$E$2:$G$986,3,1),
IF(J645&gt;0,VLOOKUP(J645,Foundation_Calc!$E$2:$G$986,3,1),""))</f>
        <v/>
      </c>
      <c r="AY645" s="631" t="str">
        <f>IF(L645="","",
IF(AX645="PT",VLOOKUP(L645,Foundation_Calc!$K$4:$R$37,VLOOKUP(AW645,Foundation_Calc!$I$2:$J$8,2,FALSE),0),
IF(AX645="K",VLOOKUP(L645,Foundation_Calc!$K$41:$R$74,VLOOKUP(AW645,Foundation_Calc!$I$2:$J$8,2,FALSE),0),"")))</f>
        <v/>
      </c>
      <c r="AZ645" s="631" t="str">
        <f>IF(K645="","",
IF(AX645="PT",VLOOKUP(K645,Foundation_Calc!$K$4:$R$37,VLOOKUP(AW645,Foundation_Calc!$I$2:$J$8,2,FALSE),0),
IF(AX645="K",VLOOKUP(K645,Foundation_Calc!$K$41:$R$74,VLOOKUP(AW645,Foundation_Calc!$I$2:$J$8,2,FALSE),0),"")))</f>
        <v/>
      </c>
      <c r="BA645" s="632" t="str">
        <f t="shared" si="107"/>
        <v/>
      </c>
      <c r="BB645" s="632" t="str">
        <f t="shared" si="108"/>
        <v/>
      </c>
      <c r="BC645" s="632" t="str">
        <f t="shared" si="109"/>
        <v/>
      </c>
      <c r="BD645" s="633" t="str">
        <f>IF(AND(L645="",H645=""),"",
IF(H645="",Pole_Calc!A673,
IF(H645="MP",Pole_Calc!A674,
IF(H645="AnMP",Pole_Calc!A675,
IF(H645="A",Pole_Calc!A676,
IF(H645="S/A",Pole_Calc!A677,
IF(H645="A/S",Pole_Calc!A678,"Poner a mano")))))))</f>
        <v/>
      </c>
      <c r="BE645" s="448" t="s">
        <v>1726</v>
      </c>
      <c r="BF645" s="635"/>
      <c r="BG645" s="635"/>
      <c r="BH645" s="634"/>
      <c r="BI645" s="635"/>
    </row>
    <row r="646" spans="1:61" ht="16.2" customHeight="1">
      <c r="A646" s="12"/>
      <c r="B646" s="446"/>
      <c r="C646" s="89"/>
      <c r="D646" s="13"/>
      <c r="E646" s="14"/>
      <c r="F646" s="14"/>
      <c r="G646" s="15"/>
      <c r="H646" s="8"/>
      <c r="I646" s="8"/>
      <c r="J646" s="89"/>
      <c r="K646" s="8"/>
      <c r="L646" s="8"/>
      <c r="M646" s="8" t="str">
        <f>IF(L646="","",
IF(AX646="PT",VLOOKUP(L646,Foundation_Calc!$V$4:$X$37,VLOOKUP(AX646,Foundation_Calc!$I$10:$J$13,2,FALSE),0),
IF(AX646="K",VLOOKUP(L646,Foundation_Calc!$V$41:$X$74,VLOOKUP(AX646,Foundation_Calc!$I$10:$J$13,2,FALSE),0),"")))</f>
        <v/>
      </c>
      <c r="N646" s="8"/>
      <c r="O646" s="8"/>
      <c r="P646" s="8"/>
      <c r="Q646" s="14"/>
      <c r="R646" s="15"/>
      <c r="S646" s="15"/>
      <c r="T646" s="14"/>
      <c r="U646" s="14"/>
      <c r="V646" s="14"/>
      <c r="W646" s="18"/>
      <c r="X646" s="18"/>
      <c r="Y646" s="18"/>
      <c r="Z646" s="18"/>
      <c r="AA646" s="18"/>
      <c r="AB646" s="18"/>
      <c r="AC646" s="8" t="str">
        <f t="shared" ref="AC646:AC709" si="110">IF(OR(AT646&gt;8,AT646&lt;-8),"PH",
IF(OR(AT646&gt;5,AT646&lt;-5),"PHQ",
IF(OR(AT646&gt;1,AT646&lt;-1),
"PHC","")))</f>
        <v/>
      </c>
      <c r="AD646" s="8"/>
      <c r="AE646" s="8"/>
      <c r="AF646" s="14"/>
      <c r="AG646" s="13"/>
      <c r="AH646" s="14"/>
      <c r="AI646" s="14"/>
      <c r="AJ646" s="8"/>
      <c r="AK646" s="8"/>
      <c r="AL646" s="8"/>
      <c r="AM646" s="8"/>
      <c r="AN646" s="631"/>
      <c r="AO646" s="18"/>
      <c r="AP646" s="18"/>
      <c r="AQ646" s="18"/>
      <c r="AR646" s="18"/>
      <c r="AS646" s="18"/>
      <c r="AU646" s="448"/>
      <c r="AV646" s="448"/>
      <c r="AW646" s="8" t="str">
        <f>IF(C646&gt;0,VLOOKUP(C646,Foundation_Calc!$A$2:$C$986,3,1),
IF(J646&gt;0,VLOOKUP(J646,Foundation_Calc!$A$2:$C$986,3,1),""))</f>
        <v/>
      </c>
      <c r="AX646" s="8" t="str">
        <f>IF(C646&gt;0,VLOOKUP(C646,Foundation_Calc!$E$2:$G$986,3,1),
IF(J646&gt;0,VLOOKUP(J646,Foundation_Calc!$E$2:$G$986,3,1),""))</f>
        <v/>
      </c>
      <c r="AY646" s="631" t="str">
        <f>IF(L646="","",
IF(AX646="PT",VLOOKUP(L646,Foundation_Calc!$K$4:$R$37,VLOOKUP(AW646,Foundation_Calc!$I$2:$J$8,2,FALSE),0),
IF(AX646="K",VLOOKUP(L646,Foundation_Calc!$K$41:$R$74,VLOOKUP(AW646,Foundation_Calc!$I$2:$J$8,2,FALSE),0),"")))</f>
        <v/>
      </c>
      <c r="AZ646" s="631" t="str">
        <f>IF(K646="","",
IF(AX646="PT",VLOOKUP(K646,Foundation_Calc!$K$4:$R$37,VLOOKUP(AW646,Foundation_Calc!$I$2:$J$8,2,FALSE),0),
IF(AX646="K",VLOOKUP(K646,Foundation_Calc!$K$41:$R$74,VLOOKUP(AW646,Foundation_Calc!$I$2:$J$8,2,FALSE),0),"")))</f>
        <v/>
      </c>
      <c r="BA646" s="632" t="str">
        <f t="shared" ref="BA646:BA709" si="111">IF(AY646="","",IF(AY646&gt;0,"ü",""))</f>
        <v/>
      </c>
      <c r="BB646" s="632" t="str">
        <f t="shared" ref="BB646:BB709" si="112">IF(AZ646="","",IF(AZ646&gt;0,"ü",""))</f>
        <v/>
      </c>
      <c r="BC646" s="632" t="str">
        <f t="shared" ref="BC646:BC709" si="113">IF(M646="","",IF(M646="Unique Solution","ü",""))</f>
        <v/>
      </c>
      <c r="BD646" s="633" t="str">
        <f>IF(AND(L646="",H646=""),"",
IF(H646="",Pole_Calc!A674,
IF(H646="MP",Pole_Calc!A675,
IF(H646="AnMP",Pole_Calc!A676,
IF(H646="A",Pole_Calc!A677,
IF(H646="S/A",Pole_Calc!A678,
IF(H646="A/S",Pole_Calc!A679,"Poner a mano")))))))</f>
        <v/>
      </c>
      <c r="BE646" s="448" t="s">
        <v>1726</v>
      </c>
      <c r="BF646" s="634"/>
      <c r="BG646" s="634"/>
      <c r="BH646" s="634"/>
      <c r="BI646" s="634"/>
    </row>
    <row r="647" spans="1:61" ht="16.2" customHeight="1">
      <c r="A647" s="12"/>
      <c r="B647" s="446"/>
      <c r="C647" s="89"/>
      <c r="D647" s="13"/>
      <c r="E647" s="14"/>
      <c r="F647" s="14"/>
      <c r="G647" s="15"/>
      <c r="H647" s="8"/>
      <c r="I647" s="8"/>
      <c r="J647" s="89"/>
      <c r="K647" s="8"/>
      <c r="L647" s="8"/>
      <c r="M647" s="8" t="str">
        <f>IF(L647="","",
IF(AX647="PT",VLOOKUP(L647,Foundation_Calc!$V$4:$X$37,VLOOKUP(AX647,Foundation_Calc!$I$10:$J$13,2,FALSE),0),
IF(AX647="K",VLOOKUP(L647,Foundation_Calc!$V$41:$X$74,VLOOKUP(AX647,Foundation_Calc!$I$10:$J$13,2,FALSE),0),"")))</f>
        <v/>
      </c>
      <c r="N647" s="8"/>
      <c r="O647" s="8"/>
      <c r="P647" s="8"/>
      <c r="Q647" s="14"/>
      <c r="R647" s="15"/>
      <c r="S647" s="15"/>
      <c r="T647" s="14"/>
      <c r="U647" s="14"/>
      <c r="V647" s="14"/>
      <c r="W647" s="18"/>
      <c r="X647" s="18"/>
      <c r="Y647" s="18"/>
      <c r="Z647" s="18"/>
      <c r="AA647" s="18"/>
      <c r="AB647" s="18"/>
      <c r="AC647" s="8" t="str">
        <f t="shared" si="110"/>
        <v/>
      </c>
      <c r="AD647" s="8"/>
      <c r="AE647" s="8"/>
      <c r="AF647" s="14"/>
      <c r="AG647" s="13"/>
      <c r="AH647" s="14"/>
      <c r="AI647" s="14"/>
      <c r="AJ647" s="8"/>
      <c r="AK647" s="8"/>
      <c r="AL647" s="8"/>
      <c r="AM647" s="8"/>
      <c r="AN647" s="631"/>
      <c r="AO647" s="18"/>
      <c r="AP647" s="18"/>
      <c r="AQ647" s="18"/>
      <c r="AR647" s="18"/>
      <c r="AS647" s="18"/>
      <c r="AU647" s="448"/>
      <c r="AV647" s="448"/>
      <c r="AW647" s="8" t="str">
        <f>IF(C647&gt;0,VLOOKUP(C647,Foundation_Calc!$A$2:$C$986,3,1),
IF(J647&gt;0,VLOOKUP(J647,Foundation_Calc!$A$2:$C$986,3,1),""))</f>
        <v/>
      </c>
      <c r="AX647" s="8" t="str">
        <f>IF(C647&gt;0,VLOOKUP(C647,Foundation_Calc!$E$2:$G$986,3,1),
IF(J647&gt;0,VLOOKUP(J647,Foundation_Calc!$E$2:$G$986,3,1),""))</f>
        <v/>
      </c>
      <c r="AY647" s="631" t="str">
        <f>IF(L647="","",
IF(AX647="PT",VLOOKUP(L647,Foundation_Calc!$K$4:$R$37,VLOOKUP(AW647,Foundation_Calc!$I$2:$J$8,2,FALSE),0),
IF(AX647="K",VLOOKUP(L647,Foundation_Calc!$K$41:$R$74,VLOOKUP(AW647,Foundation_Calc!$I$2:$J$8,2,FALSE),0),"")))</f>
        <v/>
      </c>
      <c r="AZ647" s="631" t="str">
        <f>IF(K647="","",
IF(AX647="PT",VLOOKUP(K647,Foundation_Calc!$K$4:$R$37,VLOOKUP(AW647,Foundation_Calc!$I$2:$J$8,2,FALSE),0),
IF(AX647="K",VLOOKUP(K647,Foundation_Calc!$K$41:$R$74,VLOOKUP(AW647,Foundation_Calc!$I$2:$J$8,2,FALSE),0),"")))</f>
        <v/>
      </c>
      <c r="BA647" s="632" t="str">
        <f t="shared" si="111"/>
        <v/>
      </c>
      <c r="BB647" s="632" t="str">
        <f t="shared" si="112"/>
        <v/>
      </c>
      <c r="BC647" s="632" t="str">
        <f t="shared" si="113"/>
        <v/>
      </c>
      <c r="BD647" s="633" t="str">
        <f>IF(AND(L647="",H647=""),"",
IF(H647="",Pole_Calc!A675,
IF(H647="MP",Pole_Calc!A676,
IF(H647="AnMP",Pole_Calc!A677,
IF(H647="A",Pole_Calc!A678,
IF(H647="S/A",Pole_Calc!A679,
IF(H647="A/S",Pole_Calc!A680,"Poner a mano")))))))</f>
        <v/>
      </c>
      <c r="BE647" s="448" t="s">
        <v>1726</v>
      </c>
      <c r="BF647" s="635"/>
      <c r="BG647" s="635"/>
      <c r="BH647" s="634"/>
      <c r="BI647" s="635"/>
    </row>
    <row r="648" spans="1:61" ht="16.2" customHeight="1">
      <c r="A648" s="12"/>
      <c r="B648" s="446"/>
      <c r="C648" s="89"/>
      <c r="D648" s="13"/>
      <c r="E648" s="14"/>
      <c r="F648" s="14"/>
      <c r="G648" s="15"/>
      <c r="H648" s="8"/>
      <c r="I648" s="8"/>
      <c r="J648" s="89"/>
      <c r="K648" s="8"/>
      <c r="L648" s="8"/>
      <c r="M648" s="8" t="str">
        <f>IF(L648="","",
IF(AX648="PT",VLOOKUP(L648,Foundation_Calc!$V$4:$X$37,VLOOKUP(AX648,Foundation_Calc!$I$10:$J$13,2,FALSE),0),
IF(AX648="K",VLOOKUP(L648,Foundation_Calc!$V$41:$X$74,VLOOKUP(AX648,Foundation_Calc!$I$10:$J$13,2,FALSE),0),"")))</f>
        <v/>
      </c>
      <c r="N648" s="8"/>
      <c r="O648" s="8"/>
      <c r="P648" s="8"/>
      <c r="Q648" s="14"/>
      <c r="R648" s="15"/>
      <c r="S648" s="15"/>
      <c r="T648" s="14"/>
      <c r="U648" s="14"/>
      <c r="V648" s="14"/>
      <c r="W648" s="18"/>
      <c r="X648" s="18"/>
      <c r="Y648" s="18"/>
      <c r="Z648" s="18"/>
      <c r="AA648" s="18"/>
      <c r="AB648" s="18"/>
      <c r="AC648" s="8" t="str">
        <f t="shared" si="110"/>
        <v/>
      </c>
      <c r="AD648" s="8"/>
      <c r="AE648" s="8"/>
      <c r="AF648" s="14"/>
      <c r="AG648" s="13"/>
      <c r="AH648" s="14"/>
      <c r="AI648" s="14"/>
      <c r="AJ648" s="8"/>
      <c r="AK648" s="8"/>
      <c r="AL648" s="8"/>
      <c r="AM648" s="8"/>
      <c r="AN648" s="631"/>
      <c r="AO648" s="18"/>
      <c r="AP648" s="18"/>
      <c r="AQ648" s="18"/>
      <c r="AR648" s="18"/>
      <c r="AS648" s="18"/>
      <c r="AU648" s="448"/>
      <c r="AV648" s="448"/>
      <c r="AW648" s="8" t="str">
        <f>IF(C648&gt;0,VLOOKUP(C648,Foundation_Calc!$A$2:$C$986,3,1),
IF(J648&gt;0,VLOOKUP(J648,Foundation_Calc!$A$2:$C$986,3,1),""))</f>
        <v/>
      </c>
      <c r="AX648" s="8" t="str">
        <f>IF(C648&gt;0,VLOOKUP(C648,Foundation_Calc!$E$2:$G$986,3,1),
IF(J648&gt;0,VLOOKUP(J648,Foundation_Calc!$E$2:$G$986,3,1),""))</f>
        <v/>
      </c>
      <c r="AY648" s="631" t="str">
        <f>IF(L648="","",
IF(AX648="PT",VLOOKUP(L648,Foundation_Calc!$K$4:$R$37,VLOOKUP(AW648,Foundation_Calc!$I$2:$J$8,2,FALSE),0),
IF(AX648="K",VLOOKUP(L648,Foundation_Calc!$K$41:$R$74,VLOOKUP(AW648,Foundation_Calc!$I$2:$J$8,2,FALSE),0),"")))</f>
        <v/>
      </c>
      <c r="AZ648" s="631" t="str">
        <f>IF(K648="","",
IF(AX648="PT",VLOOKUP(K648,Foundation_Calc!$K$4:$R$37,VLOOKUP(AW648,Foundation_Calc!$I$2:$J$8,2,FALSE),0),
IF(AX648="K",VLOOKUP(K648,Foundation_Calc!$K$41:$R$74,VLOOKUP(AW648,Foundation_Calc!$I$2:$J$8,2,FALSE),0),"")))</f>
        <v/>
      </c>
      <c r="BA648" s="632" t="str">
        <f t="shared" si="111"/>
        <v/>
      </c>
      <c r="BB648" s="632" t="str">
        <f t="shared" si="112"/>
        <v/>
      </c>
      <c r="BC648" s="632" t="str">
        <f t="shared" si="113"/>
        <v/>
      </c>
      <c r="BD648" s="633" t="str">
        <f>IF(AND(L648="",H648=""),"",
IF(H648="",Pole_Calc!A676,
IF(H648="MP",Pole_Calc!A677,
IF(H648="AnMP",Pole_Calc!A678,
IF(H648="A",Pole_Calc!A679,
IF(H648="S/A",Pole_Calc!A680,
IF(H648="A/S",Pole_Calc!A681,"Poner a mano")))))))</f>
        <v/>
      </c>
      <c r="BE648" s="448" t="s">
        <v>1726</v>
      </c>
      <c r="BF648" s="634"/>
      <c r="BG648" s="634"/>
      <c r="BH648" s="634"/>
      <c r="BI648" s="634"/>
    </row>
    <row r="649" spans="1:61" ht="16.2" customHeight="1">
      <c r="A649" s="12"/>
      <c r="B649" s="446"/>
      <c r="C649" s="89"/>
      <c r="D649" s="13"/>
      <c r="E649" s="14"/>
      <c r="F649" s="14"/>
      <c r="G649" s="15"/>
      <c r="H649" s="8"/>
      <c r="I649" s="8"/>
      <c r="J649" s="89"/>
      <c r="K649" s="8"/>
      <c r="L649" s="8"/>
      <c r="M649" s="8" t="str">
        <f>IF(L649="","",
IF(AX649="PT",VLOOKUP(L649,Foundation_Calc!$V$4:$X$37,VLOOKUP(AX649,Foundation_Calc!$I$10:$J$13,2,FALSE),0),
IF(AX649="K",VLOOKUP(L649,Foundation_Calc!$V$41:$X$74,VLOOKUP(AX649,Foundation_Calc!$I$10:$J$13,2,FALSE),0),"")))</f>
        <v/>
      </c>
      <c r="N649" s="8"/>
      <c r="O649" s="8"/>
      <c r="P649" s="8"/>
      <c r="Q649" s="14"/>
      <c r="R649" s="15"/>
      <c r="S649" s="15"/>
      <c r="T649" s="14"/>
      <c r="U649" s="14"/>
      <c r="V649" s="14"/>
      <c r="W649" s="18"/>
      <c r="X649" s="18"/>
      <c r="Y649" s="18"/>
      <c r="Z649" s="18"/>
      <c r="AA649" s="18"/>
      <c r="AB649" s="18"/>
      <c r="AC649" s="8" t="str">
        <f t="shared" si="110"/>
        <v/>
      </c>
      <c r="AD649" s="8"/>
      <c r="AE649" s="8"/>
      <c r="AF649" s="14"/>
      <c r="AG649" s="13"/>
      <c r="AH649" s="14"/>
      <c r="AI649" s="14"/>
      <c r="AJ649" s="8"/>
      <c r="AK649" s="8"/>
      <c r="AL649" s="8"/>
      <c r="AM649" s="8"/>
      <c r="AN649" s="631"/>
      <c r="AO649" s="18"/>
      <c r="AP649" s="18"/>
      <c r="AQ649" s="18"/>
      <c r="AR649" s="18"/>
      <c r="AS649" s="18"/>
      <c r="AU649" s="448"/>
      <c r="AV649" s="448"/>
      <c r="AW649" s="8" t="str">
        <f>IF(C649&gt;0,VLOOKUP(C649,Foundation_Calc!$A$2:$C$986,3,1),
IF(J649&gt;0,VLOOKUP(J649,Foundation_Calc!$A$2:$C$986,3,1),""))</f>
        <v/>
      </c>
      <c r="AX649" s="8" t="str">
        <f>IF(C649&gt;0,VLOOKUP(C649,Foundation_Calc!$E$2:$G$986,3,1),
IF(J649&gt;0,VLOOKUP(J649,Foundation_Calc!$E$2:$G$986,3,1),""))</f>
        <v/>
      </c>
      <c r="AY649" s="631" t="str">
        <f>IF(L649="","",
IF(AX649="PT",VLOOKUP(L649,Foundation_Calc!$K$4:$R$37,VLOOKUP(AW649,Foundation_Calc!$I$2:$J$8,2,FALSE),0),
IF(AX649="K",VLOOKUP(L649,Foundation_Calc!$K$41:$R$74,VLOOKUP(AW649,Foundation_Calc!$I$2:$J$8,2,FALSE),0),"")))</f>
        <v/>
      </c>
      <c r="AZ649" s="631" t="str">
        <f>IF(K649="","",
IF(AX649="PT",VLOOKUP(K649,Foundation_Calc!$K$4:$R$37,VLOOKUP(AW649,Foundation_Calc!$I$2:$J$8,2,FALSE),0),
IF(AX649="K",VLOOKUP(K649,Foundation_Calc!$K$41:$R$74,VLOOKUP(AW649,Foundation_Calc!$I$2:$J$8,2,FALSE),0),"")))</f>
        <v/>
      </c>
      <c r="BA649" s="632" t="str">
        <f t="shared" si="111"/>
        <v/>
      </c>
      <c r="BB649" s="632" t="str">
        <f t="shared" si="112"/>
        <v/>
      </c>
      <c r="BC649" s="632" t="str">
        <f t="shared" si="113"/>
        <v/>
      </c>
      <c r="BD649" s="633" t="str">
        <f>IF(AND(L649="",H649=""),"",
IF(H649="",Pole_Calc!A677,
IF(H649="MP",Pole_Calc!A678,
IF(H649="AnMP",Pole_Calc!A679,
IF(H649="A",Pole_Calc!A680,
IF(H649="S/A",Pole_Calc!A681,
IF(H649="A/S",Pole_Calc!A682,"Poner a mano")))))))</f>
        <v/>
      </c>
      <c r="BE649" s="448" t="s">
        <v>1726</v>
      </c>
      <c r="BF649" s="635"/>
      <c r="BG649" s="635"/>
      <c r="BH649" s="634"/>
      <c r="BI649" s="635"/>
    </row>
    <row r="650" spans="1:61" ht="16.2" customHeight="1">
      <c r="A650" s="12"/>
      <c r="B650" s="446"/>
      <c r="C650" s="89"/>
      <c r="D650" s="13"/>
      <c r="E650" s="14"/>
      <c r="F650" s="14"/>
      <c r="G650" s="15"/>
      <c r="H650" s="8"/>
      <c r="I650" s="8"/>
      <c r="J650" s="89"/>
      <c r="K650" s="8"/>
      <c r="L650" s="8"/>
      <c r="M650" s="8" t="str">
        <f>IF(L650="","",
IF(AX650="PT",VLOOKUP(L650,Foundation_Calc!$V$4:$X$37,VLOOKUP(AX650,Foundation_Calc!$I$10:$J$13,2,FALSE),0),
IF(AX650="K",VLOOKUP(L650,Foundation_Calc!$V$41:$X$74,VLOOKUP(AX650,Foundation_Calc!$I$10:$J$13,2,FALSE),0),"")))</f>
        <v/>
      </c>
      <c r="N650" s="8"/>
      <c r="O650" s="8"/>
      <c r="P650" s="8"/>
      <c r="Q650" s="14"/>
      <c r="R650" s="15"/>
      <c r="S650" s="15"/>
      <c r="T650" s="14"/>
      <c r="U650" s="14"/>
      <c r="V650" s="14"/>
      <c r="W650" s="18"/>
      <c r="X650" s="18"/>
      <c r="Y650" s="18"/>
      <c r="Z650" s="18"/>
      <c r="AA650" s="18"/>
      <c r="AB650" s="18"/>
      <c r="AC650" s="8" t="str">
        <f t="shared" si="110"/>
        <v/>
      </c>
      <c r="AD650" s="8"/>
      <c r="AE650" s="8"/>
      <c r="AF650" s="14"/>
      <c r="AG650" s="13"/>
      <c r="AH650" s="14"/>
      <c r="AI650" s="14"/>
      <c r="AJ650" s="8"/>
      <c r="AK650" s="8"/>
      <c r="AL650" s="8"/>
      <c r="AM650" s="8"/>
      <c r="AN650" s="631"/>
      <c r="AO650" s="18"/>
      <c r="AP650" s="18"/>
      <c r="AQ650" s="18"/>
      <c r="AR650" s="18"/>
      <c r="AS650" s="18"/>
      <c r="AU650" s="448"/>
      <c r="AV650" s="448"/>
      <c r="AW650" s="8" t="str">
        <f>IF(C650&gt;0,VLOOKUP(C650,Foundation_Calc!$A$2:$C$986,3,1),
IF(J650&gt;0,VLOOKUP(J650,Foundation_Calc!$A$2:$C$986,3,1),""))</f>
        <v/>
      </c>
      <c r="AX650" s="8" t="str">
        <f>IF(C650&gt;0,VLOOKUP(C650,Foundation_Calc!$E$2:$G$986,3,1),
IF(J650&gt;0,VLOOKUP(J650,Foundation_Calc!$E$2:$G$986,3,1),""))</f>
        <v/>
      </c>
      <c r="AY650" s="631" t="str">
        <f>IF(L650="","",
IF(AX650="PT",VLOOKUP(L650,Foundation_Calc!$K$4:$R$37,VLOOKUP(AW650,Foundation_Calc!$I$2:$J$8,2,FALSE),0),
IF(AX650="K",VLOOKUP(L650,Foundation_Calc!$K$41:$R$74,VLOOKUP(AW650,Foundation_Calc!$I$2:$J$8,2,FALSE),0),"")))</f>
        <v/>
      </c>
      <c r="AZ650" s="631" t="str">
        <f>IF(K650="","",
IF(AX650="PT",VLOOKUP(K650,Foundation_Calc!$K$4:$R$37,VLOOKUP(AW650,Foundation_Calc!$I$2:$J$8,2,FALSE),0),
IF(AX650="K",VLOOKUP(K650,Foundation_Calc!$K$41:$R$74,VLOOKUP(AW650,Foundation_Calc!$I$2:$J$8,2,FALSE),0),"")))</f>
        <v/>
      </c>
      <c r="BA650" s="632" t="str">
        <f t="shared" si="111"/>
        <v/>
      </c>
      <c r="BB650" s="632" t="str">
        <f t="shared" si="112"/>
        <v/>
      </c>
      <c r="BC650" s="632" t="str">
        <f t="shared" si="113"/>
        <v/>
      </c>
      <c r="BD650" s="633" t="str">
        <f>IF(AND(L650="",H650=""),"",
IF(H650="",Pole_Calc!A678,
IF(H650="MP",Pole_Calc!A679,
IF(H650="AnMP",Pole_Calc!A680,
IF(H650="A",Pole_Calc!A681,
IF(H650="S/A",Pole_Calc!A682,
IF(H650="A/S",Pole_Calc!A683,"Poner a mano")))))))</f>
        <v/>
      </c>
      <c r="BE650" s="448" t="s">
        <v>1726</v>
      </c>
      <c r="BF650" s="634"/>
      <c r="BG650" s="634"/>
      <c r="BH650" s="634"/>
      <c r="BI650" s="634"/>
    </row>
    <row r="651" spans="1:61" ht="16.2" customHeight="1">
      <c r="A651" s="12"/>
      <c r="B651" s="446"/>
      <c r="C651" s="89"/>
      <c r="D651" s="13"/>
      <c r="E651" s="14"/>
      <c r="F651" s="14"/>
      <c r="G651" s="15"/>
      <c r="H651" s="8"/>
      <c r="I651" s="8"/>
      <c r="J651" s="89"/>
      <c r="K651" s="8"/>
      <c r="L651" s="8"/>
      <c r="M651" s="8" t="str">
        <f>IF(L651="","",
IF(AX651="PT",VLOOKUP(L651,Foundation_Calc!$V$4:$X$37,VLOOKUP(AX651,Foundation_Calc!$I$10:$J$13,2,FALSE),0),
IF(AX651="K",VLOOKUP(L651,Foundation_Calc!$V$41:$X$74,VLOOKUP(AX651,Foundation_Calc!$I$10:$J$13,2,FALSE),0),"")))</f>
        <v/>
      </c>
      <c r="N651" s="8"/>
      <c r="O651" s="8"/>
      <c r="P651" s="8"/>
      <c r="Q651" s="14"/>
      <c r="R651" s="15"/>
      <c r="S651" s="15"/>
      <c r="T651" s="14"/>
      <c r="U651" s="14"/>
      <c r="V651" s="14"/>
      <c r="W651" s="18"/>
      <c r="X651" s="18"/>
      <c r="Y651" s="18"/>
      <c r="Z651" s="18"/>
      <c r="AA651" s="18"/>
      <c r="AB651" s="18"/>
      <c r="AC651" s="8" t="str">
        <f t="shared" si="110"/>
        <v/>
      </c>
      <c r="AD651" s="8"/>
      <c r="AE651" s="8"/>
      <c r="AF651" s="14"/>
      <c r="AG651" s="13"/>
      <c r="AH651" s="14"/>
      <c r="AI651" s="14"/>
      <c r="AJ651" s="8"/>
      <c r="AK651" s="8"/>
      <c r="AL651" s="8"/>
      <c r="AM651" s="8"/>
      <c r="AN651" s="631"/>
      <c r="AO651" s="18"/>
      <c r="AP651" s="18"/>
      <c r="AQ651" s="18"/>
      <c r="AR651" s="18"/>
      <c r="AS651" s="18"/>
      <c r="AU651" s="448"/>
      <c r="AV651" s="448"/>
      <c r="AW651" s="8" t="str">
        <f>IF(C651&gt;0,VLOOKUP(C651,Foundation_Calc!$A$2:$C$986,3,1),
IF(J651&gt;0,VLOOKUP(J651,Foundation_Calc!$A$2:$C$986,3,1),""))</f>
        <v/>
      </c>
      <c r="AX651" s="8" t="str">
        <f>IF(C651&gt;0,VLOOKUP(C651,Foundation_Calc!$E$2:$G$986,3,1),
IF(J651&gt;0,VLOOKUP(J651,Foundation_Calc!$E$2:$G$986,3,1),""))</f>
        <v/>
      </c>
      <c r="AY651" s="631" t="str">
        <f>IF(L651="","",
IF(AX651="PT",VLOOKUP(L651,Foundation_Calc!$K$4:$R$37,VLOOKUP(AW651,Foundation_Calc!$I$2:$J$8,2,FALSE),0),
IF(AX651="K",VLOOKUP(L651,Foundation_Calc!$K$41:$R$74,VLOOKUP(AW651,Foundation_Calc!$I$2:$J$8,2,FALSE),0),"")))</f>
        <v/>
      </c>
      <c r="AZ651" s="631" t="str">
        <f>IF(K651="","",
IF(AX651="PT",VLOOKUP(K651,Foundation_Calc!$K$4:$R$37,VLOOKUP(AW651,Foundation_Calc!$I$2:$J$8,2,FALSE),0),
IF(AX651="K",VLOOKUP(K651,Foundation_Calc!$K$41:$R$74,VLOOKUP(AW651,Foundation_Calc!$I$2:$J$8,2,FALSE),0),"")))</f>
        <v/>
      </c>
      <c r="BA651" s="632" t="str">
        <f t="shared" si="111"/>
        <v/>
      </c>
      <c r="BB651" s="632" t="str">
        <f t="shared" si="112"/>
        <v/>
      </c>
      <c r="BC651" s="632" t="str">
        <f t="shared" si="113"/>
        <v/>
      </c>
      <c r="BD651" s="633" t="str">
        <f>IF(AND(L651="",H651=""),"",
IF(H651="",Pole_Calc!A679,
IF(H651="MP",Pole_Calc!A680,
IF(H651="AnMP",Pole_Calc!A681,
IF(H651="A",Pole_Calc!A682,
IF(H651="S/A",Pole_Calc!A683,
IF(H651="A/S",Pole_Calc!A684,"Poner a mano")))))))</f>
        <v/>
      </c>
      <c r="BE651" s="448" t="s">
        <v>1726</v>
      </c>
      <c r="BF651" s="635"/>
      <c r="BG651" s="635"/>
      <c r="BH651" s="634"/>
      <c r="BI651" s="635"/>
    </row>
    <row r="652" spans="1:61" ht="16.2" customHeight="1">
      <c r="A652" s="12"/>
      <c r="B652" s="446"/>
      <c r="C652" s="89"/>
      <c r="D652" s="13"/>
      <c r="E652" s="14"/>
      <c r="F652" s="14"/>
      <c r="G652" s="15"/>
      <c r="H652" s="8"/>
      <c r="I652" s="8"/>
      <c r="J652" s="89"/>
      <c r="K652" s="8"/>
      <c r="L652" s="8"/>
      <c r="M652" s="8" t="str">
        <f>IF(L652="","",
IF(AX652="PT",VLOOKUP(L652,Foundation_Calc!$V$4:$X$37,VLOOKUP(AX652,Foundation_Calc!$I$10:$J$13,2,FALSE),0),
IF(AX652="K",VLOOKUP(L652,Foundation_Calc!$V$41:$X$74,VLOOKUP(AX652,Foundation_Calc!$I$10:$J$13,2,FALSE),0),"")))</f>
        <v/>
      </c>
      <c r="N652" s="8"/>
      <c r="O652" s="8"/>
      <c r="P652" s="8"/>
      <c r="Q652" s="14"/>
      <c r="R652" s="15"/>
      <c r="S652" s="15"/>
      <c r="T652" s="14"/>
      <c r="U652" s="14"/>
      <c r="V652" s="14"/>
      <c r="W652" s="18"/>
      <c r="X652" s="18"/>
      <c r="Y652" s="18"/>
      <c r="Z652" s="18"/>
      <c r="AA652" s="18"/>
      <c r="AB652" s="18"/>
      <c r="AC652" s="8" t="str">
        <f t="shared" si="110"/>
        <v/>
      </c>
      <c r="AD652" s="8"/>
      <c r="AE652" s="8"/>
      <c r="AF652" s="14"/>
      <c r="AG652" s="13"/>
      <c r="AH652" s="14"/>
      <c r="AI652" s="14"/>
      <c r="AJ652" s="8"/>
      <c r="AK652" s="8"/>
      <c r="AL652" s="8"/>
      <c r="AM652" s="8"/>
      <c r="AN652" s="631"/>
      <c r="AO652" s="18"/>
      <c r="AP652" s="18"/>
      <c r="AQ652" s="18"/>
      <c r="AR652" s="18"/>
      <c r="AS652" s="18"/>
      <c r="AU652" s="448"/>
      <c r="AV652" s="448"/>
      <c r="AW652" s="8" t="str">
        <f>IF(C652&gt;0,VLOOKUP(C652,Foundation_Calc!$A$2:$C$986,3,1),
IF(J652&gt;0,VLOOKUP(J652,Foundation_Calc!$A$2:$C$986,3,1),""))</f>
        <v/>
      </c>
      <c r="AX652" s="8" t="str">
        <f>IF(C652&gt;0,VLOOKUP(C652,Foundation_Calc!$E$2:$G$986,3,1),
IF(J652&gt;0,VLOOKUP(J652,Foundation_Calc!$E$2:$G$986,3,1),""))</f>
        <v/>
      </c>
      <c r="AY652" s="631" t="str">
        <f>IF(L652="","",
IF(AX652="PT",VLOOKUP(L652,Foundation_Calc!$K$4:$R$37,VLOOKUP(AW652,Foundation_Calc!$I$2:$J$8,2,FALSE),0),
IF(AX652="K",VLOOKUP(L652,Foundation_Calc!$K$41:$R$74,VLOOKUP(AW652,Foundation_Calc!$I$2:$J$8,2,FALSE),0),"")))</f>
        <v/>
      </c>
      <c r="AZ652" s="631" t="str">
        <f>IF(K652="","",
IF(AX652="PT",VLOOKUP(K652,Foundation_Calc!$K$4:$R$37,VLOOKUP(AW652,Foundation_Calc!$I$2:$J$8,2,FALSE),0),
IF(AX652="K",VLOOKUP(K652,Foundation_Calc!$K$41:$R$74,VLOOKUP(AW652,Foundation_Calc!$I$2:$J$8,2,FALSE),0),"")))</f>
        <v/>
      </c>
      <c r="BA652" s="632" t="str">
        <f t="shared" si="111"/>
        <v/>
      </c>
      <c r="BB652" s="632" t="str">
        <f t="shared" si="112"/>
        <v/>
      </c>
      <c r="BC652" s="632" t="str">
        <f t="shared" si="113"/>
        <v/>
      </c>
      <c r="BD652" s="633" t="str">
        <f>IF(AND(L652="",H652=""),"",
IF(H652="",Pole_Calc!A680,
IF(H652="MP",Pole_Calc!A681,
IF(H652="AnMP",Pole_Calc!A682,
IF(H652="A",Pole_Calc!A683,
IF(H652="S/A",Pole_Calc!A684,
IF(H652="A/S",Pole_Calc!A685,"Poner a mano")))))))</f>
        <v/>
      </c>
      <c r="BE652" s="448" t="s">
        <v>1726</v>
      </c>
      <c r="BF652" s="634"/>
      <c r="BG652" s="634"/>
      <c r="BH652" s="634"/>
      <c r="BI652" s="634"/>
    </row>
    <row r="653" spans="1:61" ht="16.2" customHeight="1">
      <c r="A653" s="12"/>
      <c r="B653" s="446"/>
      <c r="C653" s="89"/>
      <c r="D653" s="13"/>
      <c r="E653" s="14"/>
      <c r="F653" s="14"/>
      <c r="G653" s="15"/>
      <c r="H653" s="8"/>
      <c r="I653" s="8"/>
      <c r="J653" s="89"/>
      <c r="K653" s="8"/>
      <c r="L653" s="8"/>
      <c r="M653" s="8" t="str">
        <f>IF(L653="","",
IF(AX653="PT",VLOOKUP(L653,Foundation_Calc!$V$4:$X$37,VLOOKUP(AX653,Foundation_Calc!$I$10:$J$13,2,FALSE),0),
IF(AX653="K",VLOOKUP(L653,Foundation_Calc!$V$41:$X$74,VLOOKUP(AX653,Foundation_Calc!$I$10:$J$13,2,FALSE),0),"")))</f>
        <v/>
      </c>
      <c r="N653" s="8"/>
      <c r="O653" s="8"/>
      <c r="P653" s="8"/>
      <c r="Q653" s="14"/>
      <c r="R653" s="15"/>
      <c r="S653" s="15"/>
      <c r="T653" s="14"/>
      <c r="U653" s="14"/>
      <c r="V653" s="14"/>
      <c r="W653" s="18"/>
      <c r="X653" s="18"/>
      <c r="Y653" s="18"/>
      <c r="Z653" s="18"/>
      <c r="AA653" s="18"/>
      <c r="AB653" s="18"/>
      <c r="AC653" s="8" t="str">
        <f t="shared" si="110"/>
        <v/>
      </c>
      <c r="AD653" s="8"/>
      <c r="AE653" s="8"/>
      <c r="AF653" s="14"/>
      <c r="AG653" s="13"/>
      <c r="AH653" s="14"/>
      <c r="AI653" s="14"/>
      <c r="AJ653" s="8"/>
      <c r="AK653" s="8"/>
      <c r="AL653" s="8"/>
      <c r="AM653" s="8"/>
      <c r="AN653" s="631"/>
      <c r="AO653" s="18"/>
      <c r="AP653" s="18"/>
      <c r="AQ653" s="18"/>
      <c r="AR653" s="18"/>
      <c r="AS653" s="18"/>
      <c r="AU653" s="448"/>
      <c r="AV653" s="448"/>
      <c r="AW653" s="8" t="str">
        <f>IF(C653&gt;0,VLOOKUP(C653,Foundation_Calc!$A$2:$C$986,3,1),
IF(J653&gt;0,VLOOKUP(J653,Foundation_Calc!$A$2:$C$986,3,1),""))</f>
        <v/>
      </c>
      <c r="AX653" s="8" t="str">
        <f>IF(C653&gt;0,VLOOKUP(C653,Foundation_Calc!$E$2:$G$986,3,1),
IF(J653&gt;0,VLOOKUP(J653,Foundation_Calc!$E$2:$G$986,3,1),""))</f>
        <v/>
      </c>
      <c r="AY653" s="631" t="str">
        <f>IF(L653="","",
IF(AX653="PT",VLOOKUP(L653,Foundation_Calc!$K$4:$R$37,VLOOKUP(AW653,Foundation_Calc!$I$2:$J$8,2,FALSE),0),
IF(AX653="K",VLOOKUP(L653,Foundation_Calc!$K$41:$R$74,VLOOKUP(AW653,Foundation_Calc!$I$2:$J$8,2,FALSE),0),"")))</f>
        <v/>
      </c>
      <c r="AZ653" s="631" t="str">
        <f>IF(K653="","",
IF(AX653="PT",VLOOKUP(K653,Foundation_Calc!$K$4:$R$37,VLOOKUP(AW653,Foundation_Calc!$I$2:$J$8,2,FALSE),0),
IF(AX653="K",VLOOKUP(K653,Foundation_Calc!$K$41:$R$74,VLOOKUP(AW653,Foundation_Calc!$I$2:$J$8,2,FALSE),0),"")))</f>
        <v/>
      </c>
      <c r="BA653" s="632" t="str">
        <f t="shared" si="111"/>
        <v/>
      </c>
      <c r="BB653" s="632" t="str">
        <f t="shared" si="112"/>
        <v/>
      </c>
      <c r="BC653" s="632" t="str">
        <f t="shared" si="113"/>
        <v/>
      </c>
      <c r="BD653" s="633" t="str">
        <f>IF(AND(L653="",H653=""),"",
IF(H653="",Pole_Calc!A681,
IF(H653="MP",Pole_Calc!A682,
IF(H653="AnMP",Pole_Calc!A683,
IF(H653="A",Pole_Calc!A684,
IF(H653="S/A",Pole_Calc!A685,
IF(H653="A/S",Pole_Calc!A686,"Poner a mano")))))))</f>
        <v/>
      </c>
      <c r="BE653" s="448" t="s">
        <v>1726</v>
      </c>
      <c r="BF653" s="635"/>
      <c r="BG653" s="635"/>
      <c r="BH653" s="634"/>
      <c r="BI653" s="635"/>
    </row>
    <row r="654" spans="1:61" ht="16.2" customHeight="1">
      <c r="A654" s="12"/>
      <c r="B654" s="446"/>
      <c r="C654" s="89"/>
      <c r="D654" s="13"/>
      <c r="E654" s="14"/>
      <c r="F654" s="14"/>
      <c r="G654" s="15"/>
      <c r="H654" s="8"/>
      <c r="I654" s="8"/>
      <c r="J654" s="89"/>
      <c r="K654" s="8"/>
      <c r="L654" s="8"/>
      <c r="M654" s="8" t="str">
        <f>IF(L654="","",
IF(AX654="PT",VLOOKUP(L654,Foundation_Calc!$V$4:$X$37,VLOOKUP(AX654,Foundation_Calc!$I$10:$J$13,2,FALSE),0),
IF(AX654="K",VLOOKUP(L654,Foundation_Calc!$V$41:$X$74,VLOOKUP(AX654,Foundation_Calc!$I$10:$J$13,2,FALSE),0),"")))</f>
        <v/>
      </c>
      <c r="N654" s="8"/>
      <c r="O654" s="8"/>
      <c r="P654" s="8"/>
      <c r="Q654" s="14"/>
      <c r="R654" s="15"/>
      <c r="S654" s="15"/>
      <c r="T654" s="14"/>
      <c r="U654" s="14"/>
      <c r="V654" s="14"/>
      <c r="W654" s="18"/>
      <c r="X654" s="18"/>
      <c r="Y654" s="18"/>
      <c r="Z654" s="18"/>
      <c r="AA654" s="18"/>
      <c r="AB654" s="18"/>
      <c r="AC654" s="8" t="str">
        <f t="shared" si="110"/>
        <v/>
      </c>
      <c r="AD654" s="8"/>
      <c r="AE654" s="8"/>
      <c r="AF654" s="14"/>
      <c r="AG654" s="13"/>
      <c r="AH654" s="14"/>
      <c r="AI654" s="14"/>
      <c r="AJ654" s="8"/>
      <c r="AK654" s="8"/>
      <c r="AL654" s="8"/>
      <c r="AM654" s="8"/>
      <c r="AN654" s="631"/>
      <c r="AO654" s="18"/>
      <c r="AP654" s="18"/>
      <c r="AQ654" s="18"/>
      <c r="AR654" s="18"/>
      <c r="AS654" s="18"/>
      <c r="AU654" s="448"/>
      <c r="AV654" s="448"/>
      <c r="AW654" s="8" t="str">
        <f>IF(C654&gt;0,VLOOKUP(C654,Foundation_Calc!$A$2:$C$986,3,1),
IF(J654&gt;0,VLOOKUP(J654,Foundation_Calc!$A$2:$C$986,3,1),""))</f>
        <v/>
      </c>
      <c r="AX654" s="8" t="str">
        <f>IF(C654&gt;0,VLOOKUP(C654,Foundation_Calc!$E$2:$G$986,3,1),
IF(J654&gt;0,VLOOKUP(J654,Foundation_Calc!$E$2:$G$986,3,1),""))</f>
        <v/>
      </c>
      <c r="AY654" s="631" t="str">
        <f>IF(L654="","",
IF(AX654="PT",VLOOKUP(L654,Foundation_Calc!$K$4:$R$37,VLOOKUP(AW654,Foundation_Calc!$I$2:$J$8,2,FALSE),0),
IF(AX654="K",VLOOKUP(L654,Foundation_Calc!$K$41:$R$74,VLOOKUP(AW654,Foundation_Calc!$I$2:$J$8,2,FALSE),0),"")))</f>
        <v/>
      </c>
      <c r="AZ654" s="631" t="str">
        <f>IF(K654="","",
IF(AX654="PT",VLOOKUP(K654,Foundation_Calc!$K$4:$R$37,VLOOKUP(AW654,Foundation_Calc!$I$2:$J$8,2,FALSE),0),
IF(AX654="K",VLOOKUP(K654,Foundation_Calc!$K$41:$R$74,VLOOKUP(AW654,Foundation_Calc!$I$2:$J$8,2,FALSE),0),"")))</f>
        <v/>
      </c>
      <c r="BA654" s="632" t="str">
        <f t="shared" si="111"/>
        <v/>
      </c>
      <c r="BB654" s="632" t="str">
        <f t="shared" si="112"/>
        <v/>
      </c>
      <c r="BC654" s="632" t="str">
        <f t="shared" si="113"/>
        <v/>
      </c>
      <c r="BD654" s="633" t="str">
        <f>IF(AND(L654="",H654=""),"",
IF(H654="",Pole_Calc!A682,
IF(H654="MP",Pole_Calc!A683,
IF(H654="AnMP",Pole_Calc!A684,
IF(H654="A",Pole_Calc!A685,
IF(H654="S/A",Pole_Calc!A686,
IF(H654="A/S",Pole_Calc!A687,"Poner a mano")))))))</f>
        <v/>
      </c>
      <c r="BE654" s="448" t="s">
        <v>1726</v>
      </c>
      <c r="BF654" s="634"/>
      <c r="BG654" s="634"/>
      <c r="BH654" s="634"/>
      <c r="BI654" s="634"/>
    </row>
    <row r="655" spans="1:61" ht="16.2" customHeight="1">
      <c r="A655" s="12"/>
      <c r="B655" s="446"/>
      <c r="C655" s="89"/>
      <c r="D655" s="13"/>
      <c r="E655" s="14"/>
      <c r="F655" s="14"/>
      <c r="G655" s="15"/>
      <c r="H655" s="8"/>
      <c r="I655" s="8"/>
      <c r="J655" s="89"/>
      <c r="K655" s="8"/>
      <c r="L655" s="8"/>
      <c r="M655" s="8" t="str">
        <f>IF(L655="","",
IF(AX655="PT",VLOOKUP(L655,Foundation_Calc!$V$4:$X$37,VLOOKUP(AX655,Foundation_Calc!$I$10:$J$13,2,FALSE),0),
IF(AX655="K",VLOOKUP(L655,Foundation_Calc!$V$41:$X$74,VLOOKUP(AX655,Foundation_Calc!$I$10:$J$13,2,FALSE),0),"")))</f>
        <v/>
      </c>
      <c r="N655" s="8"/>
      <c r="O655" s="8"/>
      <c r="P655" s="8"/>
      <c r="Q655" s="14"/>
      <c r="R655" s="15"/>
      <c r="S655" s="15"/>
      <c r="T655" s="14"/>
      <c r="U655" s="14"/>
      <c r="V655" s="14"/>
      <c r="W655" s="18"/>
      <c r="X655" s="18"/>
      <c r="Y655" s="18"/>
      <c r="Z655" s="18"/>
      <c r="AA655" s="18"/>
      <c r="AB655" s="18"/>
      <c r="AC655" s="8" t="str">
        <f t="shared" si="110"/>
        <v/>
      </c>
      <c r="AD655" s="8"/>
      <c r="AE655" s="8"/>
      <c r="AF655" s="14"/>
      <c r="AG655" s="13"/>
      <c r="AH655" s="14"/>
      <c r="AI655" s="14"/>
      <c r="AJ655" s="8"/>
      <c r="AK655" s="8"/>
      <c r="AL655" s="8"/>
      <c r="AM655" s="8"/>
      <c r="AN655" s="631"/>
      <c r="AO655" s="18"/>
      <c r="AP655" s="18"/>
      <c r="AQ655" s="18"/>
      <c r="AR655" s="18"/>
      <c r="AS655" s="18"/>
      <c r="AU655" s="448"/>
      <c r="AV655" s="448"/>
      <c r="AW655" s="8" t="str">
        <f>IF(C655&gt;0,VLOOKUP(C655,Foundation_Calc!$A$2:$C$986,3,1),
IF(J655&gt;0,VLOOKUP(J655,Foundation_Calc!$A$2:$C$986,3,1),""))</f>
        <v/>
      </c>
      <c r="AX655" s="8" t="str">
        <f>IF(C655&gt;0,VLOOKUP(C655,Foundation_Calc!$E$2:$G$986,3,1),
IF(J655&gt;0,VLOOKUP(J655,Foundation_Calc!$E$2:$G$986,3,1),""))</f>
        <v/>
      </c>
      <c r="AY655" s="631" t="str">
        <f>IF(L655="","",
IF(AX655="PT",VLOOKUP(L655,Foundation_Calc!$K$4:$R$37,VLOOKUP(AW655,Foundation_Calc!$I$2:$J$8,2,FALSE),0),
IF(AX655="K",VLOOKUP(L655,Foundation_Calc!$K$41:$R$74,VLOOKUP(AW655,Foundation_Calc!$I$2:$J$8,2,FALSE),0),"")))</f>
        <v/>
      </c>
      <c r="AZ655" s="631" t="str">
        <f>IF(K655="","",
IF(AX655="PT",VLOOKUP(K655,Foundation_Calc!$K$4:$R$37,VLOOKUP(AW655,Foundation_Calc!$I$2:$J$8,2,FALSE),0),
IF(AX655="K",VLOOKUP(K655,Foundation_Calc!$K$41:$R$74,VLOOKUP(AW655,Foundation_Calc!$I$2:$J$8,2,FALSE),0),"")))</f>
        <v/>
      </c>
      <c r="BA655" s="632" t="str">
        <f t="shared" si="111"/>
        <v/>
      </c>
      <c r="BB655" s="632" t="str">
        <f t="shared" si="112"/>
        <v/>
      </c>
      <c r="BC655" s="632" t="str">
        <f t="shared" si="113"/>
        <v/>
      </c>
      <c r="BD655" s="633" t="str">
        <f>IF(AND(L655="",H655=""),"",
IF(H655="",Pole_Calc!A683,
IF(H655="MP",Pole_Calc!A684,
IF(H655="AnMP",Pole_Calc!A685,
IF(H655="A",Pole_Calc!A686,
IF(H655="S/A",Pole_Calc!A687,
IF(H655="A/S",Pole_Calc!A688,"Poner a mano")))))))</f>
        <v/>
      </c>
      <c r="BE655" s="448" t="s">
        <v>1726</v>
      </c>
      <c r="BF655" s="635"/>
      <c r="BG655" s="635"/>
      <c r="BH655" s="634"/>
      <c r="BI655" s="635"/>
    </row>
    <row r="656" spans="1:61" ht="16.2" customHeight="1">
      <c r="A656" s="12"/>
      <c r="B656" s="446"/>
      <c r="C656" s="89"/>
      <c r="D656" s="13"/>
      <c r="E656" s="14"/>
      <c r="F656" s="14"/>
      <c r="G656" s="15"/>
      <c r="H656" s="8"/>
      <c r="I656" s="8"/>
      <c r="J656" s="89"/>
      <c r="K656" s="8"/>
      <c r="L656" s="8"/>
      <c r="M656" s="8" t="str">
        <f>IF(L656="","",
IF(AX656="PT",VLOOKUP(L656,Foundation_Calc!$V$4:$X$37,VLOOKUP(AX656,Foundation_Calc!$I$10:$J$13,2,FALSE),0),
IF(AX656="K",VLOOKUP(L656,Foundation_Calc!$V$41:$X$74,VLOOKUP(AX656,Foundation_Calc!$I$10:$J$13,2,FALSE),0),"")))</f>
        <v/>
      </c>
      <c r="N656" s="8"/>
      <c r="O656" s="8"/>
      <c r="P656" s="8"/>
      <c r="Q656" s="14"/>
      <c r="R656" s="15"/>
      <c r="S656" s="15"/>
      <c r="T656" s="14"/>
      <c r="U656" s="14"/>
      <c r="V656" s="14"/>
      <c r="W656" s="18"/>
      <c r="X656" s="18"/>
      <c r="Y656" s="18"/>
      <c r="Z656" s="18"/>
      <c r="AA656" s="18"/>
      <c r="AB656" s="18"/>
      <c r="AC656" s="8" t="str">
        <f t="shared" si="110"/>
        <v/>
      </c>
      <c r="AD656" s="8"/>
      <c r="AE656" s="8"/>
      <c r="AF656" s="14"/>
      <c r="AG656" s="13"/>
      <c r="AH656" s="14"/>
      <c r="AI656" s="14"/>
      <c r="AJ656" s="8"/>
      <c r="AK656" s="8"/>
      <c r="AL656" s="8"/>
      <c r="AM656" s="8"/>
      <c r="AN656" s="631"/>
      <c r="AO656" s="18"/>
      <c r="AP656" s="18"/>
      <c r="AQ656" s="18"/>
      <c r="AR656" s="18"/>
      <c r="AS656" s="18"/>
      <c r="AU656" s="448"/>
      <c r="AV656" s="448"/>
      <c r="AW656" s="8" t="str">
        <f>IF(C656&gt;0,VLOOKUP(C656,Foundation_Calc!$A$2:$C$986,3,1),
IF(J656&gt;0,VLOOKUP(J656,Foundation_Calc!$A$2:$C$986,3,1),""))</f>
        <v/>
      </c>
      <c r="AX656" s="8" t="str">
        <f>IF(C656&gt;0,VLOOKUP(C656,Foundation_Calc!$E$2:$G$986,3,1),
IF(J656&gt;0,VLOOKUP(J656,Foundation_Calc!$E$2:$G$986,3,1),""))</f>
        <v/>
      </c>
      <c r="AY656" s="631" t="str">
        <f>IF(L656="","",
IF(AX656="PT",VLOOKUP(L656,Foundation_Calc!$K$4:$R$37,VLOOKUP(AW656,Foundation_Calc!$I$2:$J$8,2,FALSE),0),
IF(AX656="K",VLOOKUP(L656,Foundation_Calc!$K$41:$R$74,VLOOKUP(AW656,Foundation_Calc!$I$2:$J$8,2,FALSE),0),"")))</f>
        <v/>
      </c>
      <c r="AZ656" s="631" t="str">
        <f>IF(K656="","",
IF(AX656="PT",VLOOKUP(K656,Foundation_Calc!$K$4:$R$37,VLOOKUP(AW656,Foundation_Calc!$I$2:$J$8,2,FALSE),0),
IF(AX656="K",VLOOKUP(K656,Foundation_Calc!$K$41:$R$74,VLOOKUP(AW656,Foundation_Calc!$I$2:$J$8,2,FALSE),0),"")))</f>
        <v/>
      </c>
      <c r="BA656" s="632" t="str">
        <f t="shared" si="111"/>
        <v/>
      </c>
      <c r="BB656" s="632" t="str">
        <f t="shared" si="112"/>
        <v/>
      </c>
      <c r="BC656" s="632" t="str">
        <f t="shared" si="113"/>
        <v/>
      </c>
      <c r="BD656" s="633" t="str">
        <f>IF(AND(L656="",H656=""),"",
IF(H656="",Pole_Calc!A684,
IF(H656="MP",Pole_Calc!A685,
IF(H656="AnMP",Pole_Calc!A686,
IF(H656="A",Pole_Calc!A687,
IF(H656="S/A",Pole_Calc!A688,
IF(H656="A/S",Pole_Calc!A689,"Poner a mano")))))))</f>
        <v/>
      </c>
      <c r="BE656" s="448" t="s">
        <v>1726</v>
      </c>
      <c r="BF656" s="634"/>
      <c r="BG656" s="634"/>
      <c r="BH656" s="634"/>
      <c r="BI656" s="634"/>
    </row>
    <row r="657" spans="1:61" ht="16.2" customHeight="1">
      <c r="A657" s="12"/>
      <c r="B657" s="446"/>
      <c r="C657" s="89"/>
      <c r="D657" s="13"/>
      <c r="E657" s="14"/>
      <c r="F657" s="14"/>
      <c r="G657" s="15"/>
      <c r="H657" s="8"/>
      <c r="I657" s="8"/>
      <c r="J657" s="89"/>
      <c r="K657" s="8"/>
      <c r="L657" s="8"/>
      <c r="M657" s="8" t="str">
        <f>IF(L657="","",
IF(AX657="PT",VLOOKUP(L657,Foundation_Calc!$V$4:$X$37,VLOOKUP(AX657,Foundation_Calc!$I$10:$J$13,2,FALSE),0),
IF(AX657="K",VLOOKUP(L657,Foundation_Calc!$V$41:$X$74,VLOOKUP(AX657,Foundation_Calc!$I$10:$J$13,2,FALSE),0),"")))</f>
        <v/>
      </c>
      <c r="N657" s="8"/>
      <c r="O657" s="8"/>
      <c r="P657" s="8"/>
      <c r="Q657" s="14"/>
      <c r="R657" s="15"/>
      <c r="S657" s="15"/>
      <c r="T657" s="14"/>
      <c r="U657" s="14"/>
      <c r="V657" s="14"/>
      <c r="W657" s="18"/>
      <c r="X657" s="18"/>
      <c r="Y657" s="18"/>
      <c r="Z657" s="18"/>
      <c r="AA657" s="18"/>
      <c r="AB657" s="18"/>
      <c r="AC657" s="8" t="str">
        <f t="shared" si="110"/>
        <v/>
      </c>
      <c r="AD657" s="8"/>
      <c r="AE657" s="8"/>
      <c r="AF657" s="14"/>
      <c r="AG657" s="13"/>
      <c r="AH657" s="14"/>
      <c r="AI657" s="14"/>
      <c r="AJ657" s="8"/>
      <c r="AK657" s="8"/>
      <c r="AL657" s="8"/>
      <c r="AM657" s="8"/>
      <c r="AN657" s="631"/>
      <c r="AO657" s="18"/>
      <c r="AP657" s="18"/>
      <c r="AQ657" s="18"/>
      <c r="AR657" s="18"/>
      <c r="AS657" s="18"/>
      <c r="AU657" s="448"/>
      <c r="AV657" s="448"/>
      <c r="AW657" s="8" t="str">
        <f>IF(C657&gt;0,VLOOKUP(C657,Foundation_Calc!$A$2:$C$986,3,1),
IF(J657&gt;0,VLOOKUP(J657,Foundation_Calc!$A$2:$C$986,3,1),""))</f>
        <v/>
      </c>
      <c r="AX657" s="8" t="str">
        <f>IF(C657&gt;0,VLOOKUP(C657,Foundation_Calc!$E$2:$G$986,3,1),
IF(J657&gt;0,VLOOKUP(J657,Foundation_Calc!$E$2:$G$986,3,1),""))</f>
        <v/>
      </c>
      <c r="AY657" s="631" t="str">
        <f>IF(L657="","",
IF(AX657="PT",VLOOKUP(L657,Foundation_Calc!$K$4:$R$37,VLOOKUP(AW657,Foundation_Calc!$I$2:$J$8,2,FALSE),0),
IF(AX657="K",VLOOKUP(L657,Foundation_Calc!$K$41:$R$74,VLOOKUP(AW657,Foundation_Calc!$I$2:$J$8,2,FALSE),0),"")))</f>
        <v/>
      </c>
      <c r="AZ657" s="631" t="str">
        <f>IF(K657="","",
IF(AX657="PT",VLOOKUP(K657,Foundation_Calc!$K$4:$R$37,VLOOKUP(AW657,Foundation_Calc!$I$2:$J$8,2,FALSE),0),
IF(AX657="K",VLOOKUP(K657,Foundation_Calc!$K$41:$R$74,VLOOKUP(AW657,Foundation_Calc!$I$2:$J$8,2,FALSE),0),"")))</f>
        <v/>
      </c>
      <c r="BA657" s="632" t="str">
        <f t="shared" si="111"/>
        <v/>
      </c>
      <c r="BB657" s="632" t="str">
        <f t="shared" si="112"/>
        <v/>
      </c>
      <c r="BC657" s="632" t="str">
        <f t="shared" si="113"/>
        <v/>
      </c>
      <c r="BD657" s="633" t="str">
        <f>IF(AND(L657="",H657=""),"",
IF(H657="",Pole_Calc!A685,
IF(H657="MP",Pole_Calc!A686,
IF(H657="AnMP",Pole_Calc!A687,
IF(H657="A",Pole_Calc!A688,
IF(H657="S/A",Pole_Calc!A689,
IF(H657="A/S",Pole_Calc!A690,"Poner a mano")))))))</f>
        <v/>
      </c>
      <c r="BE657" s="448" t="s">
        <v>1726</v>
      </c>
      <c r="BF657" s="635"/>
      <c r="BG657" s="635"/>
      <c r="BH657" s="634"/>
      <c r="BI657" s="635"/>
    </row>
    <row r="658" spans="1:61" ht="16.2" customHeight="1">
      <c r="A658" s="12"/>
      <c r="B658" s="446"/>
      <c r="C658" s="89"/>
      <c r="D658" s="13"/>
      <c r="E658" s="14"/>
      <c r="F658" s="14"/>
      <c r="G658" s="15"/>
      <c r="H658" s="8"/>
      <c r="I658" s="8"/>
      <c r="J658" s="89"/>
      <c r="K658" s="8"/>
      <c r="L658" s="8"/>
      <c r="M658" s="8" t="str">
        <f>IF(L658="","",
IF(AX658="PT",VLOOKUP(L658,Foundation_Calc!$V$4:$X$37,VLOOKUP(AX658,Foundation_Calc!$I$10:$J$13,2,FALSE),0),
IF(AX658="K",VLOOKUP(L658,Foundation_Calc!$V$41:$X$74,VLOOKUP(AX658,Foundation_Calc!$I$10:$J$13,2,FALSE),0),"")))</f>
        <v/>
      </c>
      <c r="N658" s="8"/>
      <c r="O658" s="8"/>
      <c r="P658" s="8"/>
      <c r="Q658" s="14"/>
      <c r="R658" s="15"/>
      <c r="S658" s="15"/>
      <c r="T658" s="14"/>
      <c r="U658" s="14"/>
      <c r="V658" s="14"/>
      <c r="W658" s="18"/>
      <c r="X658" s="18"/>
      <c r="Y658" s="18"/>
      <c r="Z658" s="18"/>
      <c r="AA658" s="18"/>
      <c r="AB658" s="18"/>
      <c r="AC658" s="8" t="str">
        <f t="shared" si="110"/>
        <v/>
      </c>
      <c r="AD658" s="8"/>
      <c r="AE658" s="8"/>
      <c r="AF658" s="14"/>
      <c r="AG658" s="13"/>
      <c r="AH658" s="14"/>
      <c r="AI658" s="14"/>
      <c r="AJ658" s="8"/>
      <c r="AK658" s="8"/>
      <c r="AL658" s="8"/>
      <c r="AM658" s="8"/>
      <c r="AN658" s="631"/>
      <c r="AO658" s="18"/>
      <c r="AP658" s="18"/>
      <c r="AQ658" s="18"/>
      <c r="AR658" s="18"/>
      <c r="AS658" s="18"/>
      <c r="AU658" s="448"/>
      <c r="AV658" s="448"/>
      <c r="AW658" s="8" t="str">
        <f>IF(C658&gt;0,VLOOKUP(C658,Foundation_Calc!$A$2:$C$986,3,1),
IF(J658&gt;0,VLOOKUP(J658,Foundation_Calc!$A$2:$C$986,3,1),""))</f>
        <v/>
      </c>
      <c r="AX658" s="8" t="str">
        <f>IF(C658&gt;0,VLOOKUP(C658,Foundation_Calc!$E$2:$G$986,3,1),
IF(J658&gt;0,VLOOKUP(J658,Foundation_Calc!$E$2:$G$986,3,1),""))</f>
        <v/>
      </c>
      <c r="AY658" s="631" t="str">
        <f>IF(L658="","",
IF(AX658="PT",VLOOKUP(L658,Foundation_Calc!$K$4:$R$37,VLOOKUP(AW658,Foundation_Calc!$I$2:$J$8,2,FALSE),0),
IF(AX658="K",VLOOKUP(L658,Foundation_Calc!$K$41:$R$74,VLOOKUP(AW658,Foundation_Calc!$I$2:$J$8,2,FALSE),0),"")))</f>
        <v/>
      </c>
      <c r="AZ658" s="631" t="str">
        <f>IF(K658="","",
IF(AX658="PT",VLOOKUP(K658,Foundation_Calc!$K$4:$R$37,VLOOKUP(AW658,Foundation_Calc!$I$2:$J$8,2,FALSE),0),
IF(AX658="K",VLOOKUP(K658,Foundation_Calc!$K$41:$R$74,VLOOKUP(AW658,Foundation_Calc!$I$2:$J$8,2,FALSE),0),"")))</f>
        <v/>
      </c>
      <c r="BA658" s="632" t="str">
        <f t="shared" si="111"/>
        <v/>
      </c>
      <c r="BB658" s="632" t="str">
        <f t="shared" si="112"/>
        <v/>
      </c>
      <c r="BC658" s="632" t="str">
        <f t="shared" si="113"/>
        <v/>
      </c>
      <c r="BD658" s="633" t="str">
        <f>IF(AND(L658="",H658=""),"",
IF(H658="",Pole_Calc!A686,
IF(H658="MP",Pole_Calc!A687,
IF(H658="AnMP",Pole_Calc!A688,
IF(H658="A",Pole_Calc!A689,
IF(H658="S/A",Pole_Calc!A690,
IF(H658="A/S",Pole_Calc!A691,"Poner a mano")))))))</f>
        <v/>
      </c>
      <c r="BE658" s="448" t="s">
        <v>1726</v>
      </c>
      <c r="BF658" s="634"/>
      <c r="BG658" s="634"/>
      <c r="BH658" s="634"/>
      <c r="BI658" s="634"/>
    </row>
    <row r="659" spans="1:61" ht="16.2" customHeight="1">
      <c r="A659" s="12"/>
      <c r="B659" s="446"/>
      <c r="C659" s="89"/>
      <c r="D659" s="13"/>
      <c r="E659" s="14"/>
      <c r="F659" s="14"/>
      <c r="G659" s="15"/>
      <c r="H659" s="8"/>
      <c r="I659" s="8"/>
      <c r="J659" s="89"/>
      <c r="K659" s="8"/>
      <c r="L659" s="8"/>
      <c r="M659" s="8" t="str">
        <f>IF(L659="","",
IF(AX659="PT",VLOOKUP(L659,Foundation_Calc!$V$4:$X$37,VLOOKUP(AX659,Foundation_Calc!$I$10:$J$13,2,FALSE),0),
IF(AX659="K",VLOOKUP(L659,Foundation_Calc!$V$41:$X$74,VLOOKUP(AX659,Foundation_Calc!$I$10:$J$13,2,FALSE),0),"")))</f>
        <v/>
      </c>
      <c r="N659" s="8"/>
      <c r="O659" s="8"/>
      <c r="P659" s="8"/>
      <c r="Q659" s="14"/>
      <c r="R659" s="15"/>
      <c r="S659" s="15"/>
      <c r="T659" s="14"/>
      <c r="U659" s="14"/>
      <c r="V659" s="14"/>
      <c r="W659" s="18"/>
      <c r="X659" s="18"/>
      <c r="Y659" s="18"/>
      <c r="Z659" s="18"/>
      <c r="AA659" s="18"/>
      <c r="AB659" s="18"/>
      <c r="AC659" s="8" t="str">
        <f t="shared" si="110"/>
        <v/>
      </c>
      <c r="AD659" s="8"/>
      <c r="AE659" s="8"/>
      <c r="AF659" s="14"/>
      <c r="AG659" s="13"/>
      <c r="AH659" s="14"/>
      <c r="AI659" s="14"/>
      <c r="AJ659" s="8"/>
      <c r="AK659" s="8"/>
      <c r="AL659" s="8"/>
      <c r="AM659" s="8"/>
      <c r="AN659" s="631"/>
      <c r="AO659" s="18"/>
      <c r="AP659" s="18"/>
      <c r="AQ659" s="18"/>
      <c r="AR659" s="18"/>
      <c r="AS659" s="18"/>
      <c r="AU659" s="448"/>
      <c r="AV659" s="448"/>
      <c r="AW659" s="8" t="str">
        <f>IF(C659&gt;0,VLOOKUP(C659,Foundation_Calc!$A$2:$C$986,3,1),
IF(J659&gt;0,VLOOKUP(J659,Foundation_Calc!$A$2:$C$986,3,1),""))</f>
        <v/>
      </c>
      <c r="AX659" s="8" t="str">
        <f>IF(C659&gt;0,VLOOKUP(C659,Foundation_Calc!$E$2:$G$986,3,1),
IF(J659&gt;0,VLOOKUP(J659,Foundation_Calc!$E$2:$G$986,3,1),""))</f>
        <v/>
      </c>
      <c r="AY659" s="631" t="str">
        <f>IF(L659="","",
IF(AX659="PT",VLOOKUP(L659,Foundation_Calc!$K$4:$R$37,VLOOKUP(AW659,Foundation_Calc!$I$2:$J$8,2,FALSE),0),
IF(AX659="K",VLOOKUP(L659,Foundation_Calc!$K$41:$R$74,VLOOKUP(AW659,Foundation_Calc!$I$2:$J$8,2,FALSE),0),"")))</f>
        <v/>
      </c>
      <c r="AZ659" s="631" t="str">
        <f>IF(K659="","",
IF(AX659="PT",VLOOKUP(K659,Foundation_Calc!$K$4:$R$37,VLOOKUP(AW659,Foundation_Calc!$I$2:$J$8,2,FALSE),0),
IF(AX659="K",VLOOKUP(K659,Foundation_Calc!$K$41:$R$74,VLOOKUP(AW659,Foundation_Calc!$I$2:$J$8,2,FALSE),0),"")))</f>
        <v/>
      </c>
      <c r="BA659" s="632" t="str">
        <f t="shared" si="111"/>
        <v/>
      </c>
      <c r="BB659" s="632" t="str">
        <f t="shared" si="112"/>
        <v/>
      </c>
      <c r="BC659" s="632" t="str">
        <f t="shared" si="113"/>
        <v/>
      </c>
      <c r="BD659" s="633" t="str">
        <f>IF(AND(L659="",H659=""),"",
IF(H659="",Pole_Calc!A687,
IF(H659="MP",Pole_Calc!A688,
IF(H659="AnMP",Pole_Calc!A689,
IF(H659="A",Pole_Calc!A690,
IF(H659="S/A",Pole_Calc!A691,
IF(H659="A/S",Pole_Calc!A692,"Poner a mano")))))))</f>
        <v/>
      </c>
      <c r="BE659" s="448" t="s">
        <v>1726</v>
      </c>
      <c r="BF659" s="635"/>
      <c r="BG659" s="635"/>
      <c r="BH659" s="634"/>
      <c r="BI659" s="635"/>
    </row>
    <row r="660" spans="1:61" ht="16.2" customHeight="1">
      <c r="A660" s="12"/>
      <c r="B660" s="446"/>
      <c r="C660" s="89"/>
      <c r="D660" s="13"/>
      <c r="E660" s="14"/>
      <c r="F660" s="14"/>
      <c r="G660" s="15"/>
      <c r="H660" s="8"/>
      <c r="I660" s="8"/>
      <c r="J660" s="89"/>
      <c r="K660" s="8"/>
      <c r="L660" s="8"/>
      <c r="M660" s="8" t="str">
        <f>IF(L660="","",
IF(AX660="PT",VLOOKUP(L660,Foundation_Calc!$V$4:$X$37,VLOOKUP(AX660,Foundation_Calc!$I$10:$J$13,2,FALSE),0),
IF(AX660="K",VLOOKUP(L660,Foundation_Calc!$V$41:$X$74,VLOOKUP(AX660,Foundation_Calc!$I$10:$J$13,2,FALSE),0),"")))</f>
        <v/>
      </c>
      <c r="N660" s="8"/>
      <c r="O660" s="8"/>
      <c r="P660" s="8"/>
      <c r="Q660" s="14"/>
      <c r="R660" s="15"/>
      <c r="S660" s="15"/>
      <c r="T660" s="14"/>
      <c r="U660" s="14"/>
      <c r="V660" s="14"/>
      <c r="W660" s="18"/>
      <c r="X660" s="18"/>
      <c r="Y660" s="18"/>
      <c r="Z660" s="18"/>
      <c r="AA660" s="18"/>
      <c r="AB660" s="18"/>
      <c r="AC660" s="8" t="str">
        <f t="shared" si="110"/>
        <v/>
      </c>
      <c r="AD660" s="8"/>
      <c r="AE660" s="8"/>
      <c r="AF660" s="14"/>
      <c r="AG660" s="13"/>
      <c r="AH660" s="14"/>
      <c r="AI660" s="14"/>
      <c r="AJ660" s="8"/>
      <c r="AK660" s="8"/>
      <c r="AL660" s="8"/>
      <c r="AM660" s="8"/>
      <c r="AN660" s="631"/>
      <c r="AO660" s="18"/>
      <c r="AP660" s="18"/>
      <c r="AQ660" s="18"/>
      <c r="AR660" s="18"/>
      <c r="AS660" s="18"/>
      <c r="AU660" s="448"/>
      <c r="AV660" s="448"/>
      <c r="AW660" s="8" t="str">
        <f>IF(C660&gt;0,VLOOKUP(C660,Foundation_Calc!$A$2:$C$986,3,1),
IF(J660&gt;0,VLOOKUP(J660,Foundation_Calc!$A$2:$C$986,3,1),""))</f>
        <v/>
      </c>
      <c r="AX660" s="8" t="str">
        <f>IF(C660&gt;0,VLOOKUP(C660,Foundation_Calc!$E$2:$G$986,3,1),
IF(J660&gt;0,VLOOKUP(J660,Foundation_Calc!$E$2:$G$986,3,1),""))</f>
        <v/>
      </c>
      <c r="AY660" s="631" t="str">
        <f>IF(L660="","",
IF(AX660="PT",VLOOKUP(L660,Foundation_Calc!$K$4:$R$37,VLOOKUP(AW660,Foundation_Calc!$I$2:$J$8,2,FALSE),0),
IF(AX660="K",VLOOKUP(L660,Foundation_Calc!$K$41:$R$74,VLOOKUP(AW660,Foundation_Calc!$I$2:$J$8,2,FALSE),0),"")))</f>
        <v/>
      </c>
      <c r="AZ660" s="631" t="str">
        <f>IF(K660="","",
IF(AX660="PT",VLOOKUP(K660,Foundation_Calc!$K$4:$R$37,VLOOKUP(AW660,Foundation_Calc!$I$2:$J$8,2,FALSE),0),
IF(AX660="K",VLOOKUP(K660,Foundation_Calc!$K$41:$R$74,VLOOKUP(AW660,Foundation_Calc!$I$2:$J$8,2,FALSE),0),"")))</f>
        <v/>
      </c>
      <c r="BA660" s="632" t="str">
        <f t="shared" si="111"/>
        <v/>
      </c>
      <c r="BB660" s="632" t="str">
        <f t="shared" si="112"/>
        <v/>
      </c>
      <c r="BC660" s="632" t="str">
        <f t="shared" si="113"/>
        <v/>
      </c>
      <c r="BD660" s="633" t="str">
        <f>IF(AND(L660="",H660=""),"",
IF(H660="",Pole_Calc!A688,
IF(H660="MP",Pole_Calc!A689,
IF(H660="AnMP",Pole_Calc!A690,
IF(H660="A",Pole_Calc!A691,
IF(H660="S/A",Pole_Calc!A692,
IF(H660="A/S",Pole_Calc!A693,"Poner a mano")))))))</f>
        <v/>
      </c>
      <c r="BE660" s="448" t="s">
        <v>1726</v>
      </c>
      <c r="BF660" s="634"/>
      <c r="BG660" s="634"/>
      <c r="BH660" s="634"/>
      <c r="BI660" s="634"/>
    </row>
    <row r="661" spans="1:61" ht="16.2" customHeight="1">
      <c r="A661" s="12"/>
      <c r="B661" s="446"/>
      <c r="C661" s="89"/>
      <c r="D661" s="13"/>
      <c r="E661" s="14"/>
      <c r="F661" s="14"/>
      <c r="G661" s="15"/>
      <c r="H661" s="8"/>
      <c r="I661" s="8"/>
      <c r="J661" s="89"/>
      <c r="K661" s="8"/>
      <c r="L661" s="8"/>
      <c r="M661" s="8" t="str">
        <f>IF(L661="","",
IF(AX661="PT",VLOOKUP(L661,Foundation_Calc!$V$4:$X$37,VLOOKUP(AX661,Foundation_Calc!$I$10:$J$13,2,FALSE),0),
IF(AX661="K",VLOOKUP(L661,Foundation_Calc!$V$41:$X$74,VLOOKUP(AX661,Foundation_Calc!$I$10:$J$13,2,FALSE),0),"")))</f>
        <v/>
      </c>
      <c r="N661" s="8"/>
      <c r="O661" s="8"/>
      <c r="P661" s="8"/>
      <c r="Q661" s="14"/>
      <c r="R661" s="15"/>
      <c r="S661" s="15"/>
      <c r="T661" s="14"/>
      <c r="U661" s="14"/>
      <c r="V661" s="14"/>
      <c r="W661" s="18"/>
      <c r="X661" s="18"/>
      <c r="Y661" s="18"/>
      <c r="Z661" s="18"/>
      <c r="AA661" s="18"/>
      <c r="AB661" s="18"/>
      <c r="AC661" s="8" t="str">
        <f t="shared" si="110"/>
        <v/>
      </c>
      <c r="AD661" s="8"/>
      <c r="AE661" s="8"/>
      <c r="AF661" s="14"/>
      <c r="AG661" s="13"/>
      <c r="AH661" s="14"/>
      <c r="AI661" s="14"/>
      <c r="AJ661" s="8"/>
      <c r="AK661" s="8"/>
      <c r="AL661" s="8"/>
      <c r="AM661" s="8"/>
      <c r="AN661" s="631"/>
      <c r="AO661" s="18"/>
      <c r="AP661" s="18"/>
      <c r="AQ661" s="18"/>
      <c r="AR661" s="18"/>
      <c r="AS661" s="18"/>
      <c r="AU661" s="448"/>
      <c r="AV661" s="448"/>
      <c r="AW661" s="8" t="str">
        <f>IF(C661&gt;0,VLOOKUP(C661,Foundation_Calc!$A$2:$C$986,3,1),
IF(J661&gt;0,VLOOKUP(J661,Foundation_Calc!$A$2:$C$986,3,1),""))</f>
        <v/>
      </c>
      <c r="AX661" s="8" t="str">
        <f>IF(C661&gt;0,VLOOKUP(C661,Foundation_Calc!$E$2:$G$986,3,1),
IF(J661&gt;0,VLOOKUP(J661,Foundation_Calc!$E$2:$G$986,3,1),""))</f>
        <v/>
      </c>
      <c r="AY661" s="631" t="str">
        <f>IF(L661="","",
IF(AX661="PT",VLOOKUP(L661,Foundation_Calc!$K$4:$R$37,VLOOKUP(AW661,Foundation_Calc!$I$2:$J$8,2,FALSE),0),
IF(AX661="K",VLOOKUP(L661,Foundation_Calc!$K$41:$R$74,VLOOKUP(AW661,Foundation_Calc!$I$2:$J$8,2,FALSE),0),"")))</f>
        <v/>
      </c>
      <c r="AZ661" s="631" t="str">
        <f>IF(K661="","",
IF(AX661="PT",VLOOKUP(K661,Foundation_Calc!$K$4:$R$37,VLOOKUP(AW661,Foundation_Calc!$I$2:$J$8,2,FALSE),0),
IF(AX661="K",VLOOKUP(K661,Foundation_Calc!$K$41:$R$74,VLOOKUP(AW661,Foundation_Calc!$I$2:$J$8,2,FALSE),0),"")))</f>
        <v/>
      </c>
      <c r="BA661" s="632" t="str">
        <f t="shared" si="111"/>
        <v/>
      </c>
      <c r="BB661" s="632" t="str">
        <f t="shared" si="112"/>
        <v/>
      </c>
      <c r="BC661" s="632" t="str">
        <f t="shared" si="113"/>
        <v/>
      </c>
      <c r="BD661" s="633" t="str">
        <f>IF(AND(L661="",H661=""),"",
IF(H661="",Pole_Calc!A689,
IF(H661="MP",Pole_Calc!A690,
IF(H661="AnMP",Pole_Calc!A691,
IF(H661="A",Pole_Calc!A692,
IF(H661="S/A",Pole_Calc!A693,
IF(H661="A/S",Pole_Calc!A694,"Poner a mano")))))))</f>
        <v/>
      </c>
      <c r="BE661" s="448" t="s">
        <v>1726</v>
      </c>
      <c r="BF661" s="635"/>
      <c r="BG661" s="635"/>
      <c r="BH661" s="634"/>
      <c r="BI661" s="635"/>
    </row>
    <row r="662" spans="1:61" ht="16.2" customHeight="1">
      <c r="A662" s="12"/>
      <c r="B662" s="446"/>
      <c r="C662" s="89"/>
      <c r="D662" s="13"/>
      <c r="E662" s="14"/>
      <c r="F662" s="14"/>
      <c r="G662" s="15"/>
      <c r="H662" s="8"/>
      <c r="I662" s="8"/>
      <c r="J662" s="89"/>
      <c r="K662" s="8"/>
      <c r="L662" s="8"/>
      <c r="M662" s="8" t="str">
        <f>IF(L662="","",
IF(AX662="PT",VLOOKUP(L662,Foundation_Calc!$V$4:$X$37,VLOOKUP(AX662,Foundation_Calc!$I$10:$J$13,2,FALSE),0),
IF(AX662="K",VLOOKUP(L662,Foundation_Calc!$V$41:$X$74,VLOOKUP(AX662,Foundation_Calc!$I$10:$J$13,2,FALSE),0),"")))</f>
        <v/>
      </c>
      <c r="N662" s="8"/>
      <c r="O662" s="8"/>
      <c r="P662" s="8"/>
      <c r="Q662" s="14"/>
      <c r="R662" s="15"/>
      <c r="S662" s="15"/>
      <c r="T662" s="14"/>
      <c r="U662" s="14"/>
      <c r="V662" s="14"/>
      <c r="W662" s="18"/>
      <c r="X662" s="18"/>
      <c r="Y662" s="18"/>
      <c r="Z662" s="18"/>
      <c r="AA662" s="18"/>
      <c r="AB662" s="18"/>
      <c r="AC662" s="8" t="str">
        <f t="shared" si="110"/>
        <v/>
      </c>
      <c r="AD662" s="8"/>
      <c r="AE662" s="8"/>
      <c r="AF662" s="14"/>
      <c r="AG662" s="13"/>
      <c r="AH662" s="14"/>
      <c r="AI662" s="14"/>
      <c r="AJ662" s="8"/>
      <c r="AK662" s="8"/>
      <c r="AL662" s="8"/>
      <c r="AM662" s="8"/>
      <c r="AN662" s="631"/>
      <c r="AO662" s="18"/>
      <c r="AP662" s="18"/>
      <c r="AQ662" s="18"/>
      <c r="AR662" s="18"/>
      <c r="AS662" s="18"/>
      <c r="AU662" s="448"/>
      <c r="AV662" s="448"/>
      <c r="AW662" s="8" t="str">
        <f>IF(C662&gt;0,VLOOKUP(C662,Foundation_Calc!$A$2:$C$986,3,1),
IF(J662&gt;0,VLOOKUP(J662,Foundation_Calc!$A$2:$C$986,3,1),""))</f>
        <v/>
      </c>
      <c r="AX662" s="8" t="str">
        <f>IF(C662&gt;0,VLOOKUP(C662,Foundation_Calc!$E$2:$G$986,3,1),
IF(J662&gt;0,VLOOKUP(J662,Foundation_Calc!$E$2:$G$986,3,1),""))</f>
        <v/>
      </c>
      <c r="AY662" s="631" t="str">
        <f>IF(L662="","",
IF(AX662="PT",VLOOKUP(L662,Foundation_Calc!$K$4:$R$37,VLOOKUP(AW662,Foundation_Calc!$I$2:$J$8,2,FALSE),0),
IF(AX662="K",VLOOKUP(L662,Foundation_Calc!$K$41:$R$74,VLOOKUP(AW662,Foundation_Calc!$I$2:$J$8,2,FALSE),0),"")))</f>
        <v/>
      </c>
      <c r="AZ662" s="631" t="str">
        <f>IF(K662="","",
IF(AX662="PT",VLOOKUP(K662,Foundation_Calc!$K$4:$R$37,VLOOKUP(AW662,Foundation_Calc!$I$2:$J$8,2,FALSE),0),
IF(AX662="K",VLOOKUP(K662,Foundation_Calc!$K$41:$R$74,VLOOKUP(AW662,Foundation_Calc!$I$2:$J$8,2,FALSE),0),"")))</f>
        <v/>
      </c>
      <c r="BA662" s="632" t="str">
        <f t="shared" si="111"/>
        <v/>
      </c>
      <c r="BB662" s="632" t="str">
        <f t="shared" si="112"/>
        <v/>
      </c>
      <c r="BC662" s="632" t="str">
        <f t="shared" si="113"/>
        <v/>
      </c>
      <c r="BD662" s="633" t="str">
        <f>IF(AND(L662="",H662=""),"",
IF(H662="",Pole_Calc!A690,
IF(H662="MP",Pole_Calc!A691,
IF(H662="AnMP",Pole_Calc!A692,
IF(H662="A",Pole_Calc!A693,
IF(H662="S/A",Pole_Calc!A694,
IF(H662="A/S",Pole_Calc!A695,"Poner a mano")))))))</f>
        <v/>
      </c>
      <c r="BE662" s="448" t="s">
        <v>1726</v>
      </c>
      <c r="BF662" s="634"/>
      <c r="BG662" s="634"/>
      <c r="BH662" s="634"/>
      <c r="BI662" s="634"/>
    </row>
    <row r="663" spans="1:61" ht="16.2" customHeight="1">
      <c r="A663" s="12"/>
      <c r="B663" s="446"/>
      <c r="C663" s="89"/>
      <c r="D663" s="13"/>
      <c r="E663" s="14"/>
      <c r="F663" s="14"/>
      <c r="G663" s="15"/>
      <c r="H663" s="8"/>
      <c r="I663" s="8"/>
      <c r="J663" s="89"/>
      <c r="K663" s="8"/>
      <c r="L663" s="8"/>
      <c r="M663" s="8" t="str">
        <f>IF(L663="","",
IF(AX663="PT",VLOOKUP(L663,Foundation_Calc!$V$4:$X$37,VLOOKUP(AX663,Foundation_Calc!$I$10:$J$13,2,FALSE),0),
IF(AX663="K",VLOOKUP(L663,Foundation_Calc!$V$41:$X$74,VLOOKUP(AX663,Foundation_Calc!$I$10:$J$13,2,FALSE),0),"")))</f>
        <v/>
      </c>
      <c r="N663" s="8"/>
      <c r="O663" s="8"/>
      <c r="P663" s="8"/>
      <c r="Q663" s="14"/>
      <c r="R663" s="15"/>
      <c r="S663" s="15"/>
      <c r="T663" s="14"/>
      <c r="U663" s="14"/>
      <c r="V663" s="14"/>
      <c r="W663" s="18"/>
      <c r="X663" s="18"/>
      <c r="Y663" s="18"/>
      <c r="Z663" s="18"/>
      <c r="AA663" s="18"/>
      <c r="AB663" s="18"/>
      <c r="AC663" s="8" t="str">
        <f t="shared" si="110"/>
        <v/>
      </c>
      <c r="AD663" s="8"/>
      <c r="AE663" s="8"/>
      <c r="AF663" s="14"/>
      <c r="AG663" s="13"/>
      <c r="AH663" s="14"/>
      <c r="AI663" s="14"/>
      <c r="AJ663" s="8"/>
      <c r="AK663" s="8"/>
      <c r="AL663" s="8"/>
      <c r="AM663" s="8"/>
      <c r="AN663" s="631"/>
      <c r="AO663" s="18"/>
      <c r="AP663" s="18"/>
      <c r="AQ663" s="18"/>
      <c r="AR663" s="18"/>
      <c r="AS663" s="18"/>
      <c r="AU663" s="448"/>
      <c r="AV663" s="448"/>
      <c r="AW663" s="8" t="str">
        <f>IF(C663&gt;0,VLOOKUP(C663,Foundation_Calc!$A$2:$C$986,3,1),
IF(J663&gt;0,VLOOKUP(J663,Foundation_Calc!$A$2:$C$986,3,1),""))</f>
        <v/>
      </c>
      <c r="AX663" s="8" t="str">
        <f>IF(C663&gt;0,VLOOKUP(C663,Foundation_Calc!$E$2:$G$986,3,1),
IF(J663&gt;0,VLOOKUP(J663,Foundation_Calc!$E$2:$G$986,3,1),""))</f>
        <v/>
      </c>
      <c r="AY663" s="631" t="str">
        <f>IF(L663="","",
IF(AX663="PT",VLOOKUP(L663,Foundation_Calc!$K$4:$R$37,VLOOKUP(AW663,Foundation_Calc!$I$2:$J$8,2,FALSE),0),
IF(AX663="K",VLOOKUP(L663,Foundation_Calc!$K$41:$R$74,VLOOKUP(AW663,Foundation_Calc!$I$2:$J$8,2,FALSE),0),"")))</f>
        <v/>
      </c>
      <c r="AZ663" s="631" t="str">
        <f>IF(K663="","",
IF(AX663="PT",VLOOKUP(K663,Foundation_Calc!$K$4:$R$37,VLOOKUP(AW663,Foundation_Calc!$I$2:$J$8,2,FALSE),0),
IF(AX663="K",VLOOKUP(K663,Foundation_Calc!$K$41:$R$74,VLOOKUP(AW663,Foundation_Calc!$I$2:$J$8,2,FALSE),0),"")))</f>
        <v/>
      </c>
      <c r="BA663" s="632" t="str">
        <f t="shared" si="111"/>
        <v/>
      </c>
      <c r="BB663" s="632" t="str">
        <f t="shared" si="112"/>
        <v/>
      </c>
      <c r="BC663" s="632" t="str">
        <f t="shared" si="113"/>
        <v/>
      </c>
      <c r="BD663" s="633" t="str">
        <f>IF(AND(L663="",H663=""),"",
IF(H663="",Pole_Calc!A691,
IF(H663="MP",Pole_Calc!A692,
IF(H663="AnMP",Pole_Calc!A693,
IF(H663="A",Pole_Calc!A694,
IF(H663="S/A",Pole_Calc!A695,
IF(H663="A/S",Pole_Calc!A696,"Poner a mano")))))))</f>
        <v/>
      </c>
      <c r="BE663" s="448" t="s">
        <v>1726</v>
      </c>
      <c r="BF663" s="635"/>
      <c r="BG663" s="635"/>
      <c r="BH663" s="634"/>
      <c r="BI663" s="635"/>
    </row>
    <row r="664" spans="1:61" ht="16.2" customHeight="1">
      <c r="A664" s="12"/>
      <c r="B664" s="446"/>
      <c r="C664" s="89"/>
      <c r="D664" s="13"/>
      <c r="E664" s="14"/>
      <c r="F664" s="14"/>
      <c r="G664" s="15"/>
      <c r="H664" s="8"/>
      <c r="I664" s="8"/>
      <c r="J664" s="89"/>
      <c r="K664" s="8"/>
      <c r="L664" s="8"/>
      <c r="M664" s="8" t="str">
        <f>IF(L664="","",
IF(AX664="PT",VLOOKUP(L664,Foundation_Calc!$V$4:$X$37,VLOOKUP(AX664,Foundation_Calc!$I$10:$J$13,2,FALSE),0),
IF(AX664="K",VLOOKUP(L664,Foundation_Calc!$V$41:$X$74,VLOOKUP(AX664,Foundation_Calc!$I$10:$J$13,2,FALSE),0),"")))</f>
        <v/>
      </c>
      <c r="N664" s="8"/>
      <c r="O664" s="8"/>
      <c r="P664" s="8"/>
      <c r="Q664" s="14"/>
      <c r="R664" s="15"/>
      <c r="S664" s="15"/>
      <c r="T664" s="14"/>
      <c r="U664" s="14"/>
      <c r="V664" s="14"/>
      <c r="W664" s="18"/>
      <c r="X664" s="18"/>
      <c r="Y664" s="18"/>
      <c r="Z664" s="18"/>
      <c r="AA664" s="18"/>
      <c r="AB664" s="18"/>
      <c r="AC664" s="8" t="str">
        <f t="shared" si="110"/>
        <v/>
      </c>
      <c r="AD664" s="8"/>
      <c r="AE664" s="8"/>
      <c r="AF664" s="14"/>
      <c r="AG664" s="13"/>
      <c r="AH664" s="14"/>
      <c r="AI664" s="14"/>
      <c r="AJ664" s="8"/>
      <c r="AK664" s="8"/>
      <c r="AL664" s="8"/>
      <c r="AM664" s="8"/>
      <c r="AN664" s="631"/>
      <c r="AO664" s="18"/>
      <c r="AP664" s="18"/>
      <c r="AQ664" s="18"/>
      <c r="AR664" s="18"/>
      <c r="AS664" s="18"/>
      <c r="AU664" s="448"/>
      <c r="AV664" s="448"/>
      <c r="AW664" s="8" t="str">
        <f>IF(C664&gt;0,VLOOKUP(C664,Foundation_Calc!$A$2:$C$986,3,1),
IF(J664&gt;0,VLOOKUP(J664,Foundation_Calc!$A$2:$C$986,3,1),""))</f>
        <v/>
      </c>
      <c r="AX664" s="8" t="str">
        <f>IF(C664&gt;0,VLOOKUP(C664,Foundation_Calc!$E$2:$G$986,3,1),
IF(J664&gt;0,VLOOKUP(J664,Foundation_Calc!$E$2:$G$986,3,1),""))</f>
        <v/>
      </c>
      <c r="AY664" s="631" t="str">
        <f>IF(L664="","",
IF(AX664="PT",VLOOKUP(L664,Foundation_Calc!$K$4:$R$37,VLOOKUP(AW664,Foundation_Calc!$I$2:$J$8,2,FALSE),0),
IF(AX664="K",VLOOKUP(L664,Foundation_Calc!$K$41:$R$74,VLOOKUP(AW664,Foundation_Calc!$I$2:$J$8,2,FALSE),0),"")))</f>
        <v/>
      </c>
      <c r="AZ664" s="631" t="str">
        <f>IF(K664="","",
IF(AX664="PT",VLOOKUP(K664,Foundation_Calc!$K$4:$R$37,VLOOKUP(AW664,Foundation_Calc!$I$2:$J$8,2,FALSE),0),
IF(AX664="K",VLOOKUP(K664,Foundation_Calc!$K$41:$R$74,VLOOKUP(AW664,Foundation_Calc!$I$2:$J$8,2,FALSE),0),"")))</f>
        <v/>
      </c>
      <c r="BA664" s="632" t="str">
        <f t="shared" si="111"/>
        <v/>
      </c>
      <c r="BB664" s="632" t="str">
        <f t="shared" si="112"/>
        <v/>
      </c>
      <c r="BC664" s="632" t="str">
        <f t="shared" si="113"/>
        <v/>
      </c>
      <c r="BD664" s="633" t="str">
        <f>IF(AND(L664="",H664=""),"",
IF(H664="",Pole_Calc!A692,
IF(H664="MP",Pole_Calc!A693,
IF(H664="AnMP",Pole_Calc!A694,
IF(H664="A",Pole_Calc!A695,
IF(H664="S/A",Pole_Calc!A696,
IF(H664="A/S",Pole_Calc!A697,"Poner a mano")))))))</f>
        <v/>
      </c>
      <c r="BE664" s="448" t="s">
        <v>1726</v>
      </c>
      <c r="BF664" s="634"/>
      <c r="BG664" s="634"/>
      <c r="BH664" s="634"/>
      <c r="BI664" s="634"/>
    </row>
    <row r="665" spans="1:61" ht="16.2" customHeight="1">
      <c r="A665" s="12"/>
      <c r="B665" s="446"/>
      <c r="C665" s="89"/>
      <c r="D665" s="13"/>
      <c r="E665" s="14"/>
      <c r="F665" s="14"/>
      <c r="G665" s="15"/>
      <c r="H665" s="8"/>
      <c r="I665" s="8"/>
      <c r="J665" s="89"/>
      <c r="K665" s="8"/>
      <c r="L665" s="8"/>
      <c r="M665" s="8" t="str">
        <f>IF(L665="","",
IF(AX665="PT",VLOOKUP(L665,Foundation_Calc!$V$4:$X$37,VLOOKUP(AX665,Foundation_Calc!$I$10:$J$13,2,FALSE),0),
IF(AX665="K",VLOOKUP(L665,Foundation_Calc!$V$41:$X$74,VLOOKUP(AX665,Foundation_Calc!$I$10:$J$13,2,FALSE),0),"")))</f>
        <v/>
      </c>
      <c r="N665" s="8"/>
      <c r="O665" s="8"/>
      <c r="P665" s="8"/>
      <c r="Q665" s="14"/>
      <c r="R665" s="15"/>
      <c r="S665" s="15"/>
      <c r="T665" s="14"/>
      <c r="U665" s="14"/>
      <c r="V665" s="14"/>
      <c r="W665" s="18"/>
      <c r="X665" s="18"/>
      <c r="Y665" s="18"/>
      <c r="Z665" s="18"/>
      <c r="AA665" s="18"/>
      <c r="AB665" s="18"/>
      <c r="AC665" s="8" t="str">
        <f t="shared" si="110"/>
        <v/>
      </c>
      <c r="AD665" s="8"/>
      <c r="AE665" s="8"/>
      <c r="AF665" s="14"/>
      <c r="AG665" s="13"/>
      <c r="AH665" s="14"/>
      <c r="AI665" s="14"/>
      <c r="AJ665" s="8"/>
      <c r="AK665" s="8"/>
      <c r="AL665" s="8"/>
      <c r="AM665" s="8"/>
      <c r="AN665" s="631"/>
      <c r="AO665" s="18"/>
      <c r="AP665" s="18"/>
      <c r="AQ665" s="18"/>
      <c r="AR665" s="18"/>
      <c r="AS665" s="18"/>
      <c r="AU665" s="448"/>
      <c r="AV665" s="448"/>
      <c r="AW665" s="8" t="str">
        <f>IF(C665&gt;0,VLOOKUP(C665,Foundation_Calc!$A$2:$C$986,3,1),
IF(J665&gt;0,VLOOKUP(J665,Foundation_Calc!$A$2:$C$986,3,1),""))</f>
        <v/>
      </c>
      <c r="AX665" s="8" t="str">
        <f>IF(C665&gt;0,VLOOKUP(C665,Foundation_Calc!$E$2:$G$986,3,1),
IF(J665&gt;0,VLOOKUP(J665,Foundation_Calc!$E$2:$G$986,3,1),""))</f>
        <v/>
      </c>
      <c r="AY665" s="631" t="str">
        <f>IF(L665="","",
IF(AX665="PT",VLOOKUP(L665,Foundation_Calc!$K$4:$R$37,VLOOKUP(AW665,Foundation_Calc!$I$2:$J$8,2,FALSE),0),
IF(AX665="K",VLOOKUP(L665,Foundation_Calc!$K$41:$R$74,VLOOKUP(AW665,Foundation_Calc!$I$2:$J$8,2,FALSE),0),"")))</f>
        <v/>
      </c>
      <c r="AZ665" s="631" t="str">
        <f>IF(K665="","",
IF(AX665="PT",VLOOKUP(K665,Foundation_Calc!$K$4:$R$37,VLOOKUP(AW665,Foundation_Calc!$I$2:$J$8,2,FALSE),0),
IF(AX665="K",VLOOKUP(K665,Foundation_Calc!$K$41:$R$74,VLOOKUP(AW665,Foundation_Calc!$I$2:$J$8,2,FALSE),0),"")))</f>
        <v/>
      </c>
      <c r="BA665" s="632" t="str">
        <f t="shared" si="111"/>
        <v/>
      </c>
      <c r="BB665" s="632" t="str">
        <f t="shared" si="112"/>
        <v/>
      </c>
      <c r="BC665" s="632" t="str">
        <f t="shared" si="113"/>
        <v/>
      </c>
      <c r="BD665" s="633" t="str">
        <f>IF(AND(L665="",H665=""),"",
IF(H665="",Pole_Calc!A693,
IF(H665="MP",Pole_Calc!A694,
IF(H665="AnMP",Pole_Calc!A695,
IF(H665="A",Pole_Calc!A696,
IF(H665="S/A",Pole_Calc!A697,
IF(H665="A/S",Pole_Calc!A698,"Poner a mano")))))))</f>
        <v/>
      </c>
      <c r="BE665" s="448" t="s">
        <v>1726</v>
      </c>
      <c r="BF665" s="635"/>
      <c r="BG665" s="635"/>
      <c r="BH665" s="634"/>
      <c r="BI665" s="635"/>
    </row>
    <row r="666" spans="1:61" ht="16.2" customHeight="1">
      <c r="A666" s="12"/>
      <c r="B666" s="446"/>
      <c r="C666" s="89"/>
      <c r="D666" s="13"/>
      <c r="E666" s="14"/>
      <c r="F666" s="14"/>
      <c r="G666" s="15"/>
      <c r="H666" s="8"/>
      <c r="I666" s="8"/>
      <c r="J666" s="89"/>
      <c r="K666" s="8"/>
      <c r="L666" s="8"/>
      <c r="M666" s="8" t="str">
        <f>IF(L666="","",
IF(AX666="PT",VLOOKUP(L666,Foundation_Calc!$V$4:$X$37,VLOOKUP(AX666,Foundation_Calc!$I$10:$J$13,2,FALSE),0),
IF(AX666="K",VLOOKUP(L666,Foundation_Calc!$V$41:$X$74,VLOOKUP(AX666,Foundation_Calc!$I$10:$J$13,2,FALSE),0),"")))</f>
        <v/>
      </c>
      <c r="N666" s="8"/>
      <c r="O666" s="8"/>
      <c r="P666" s="8"/>
      <c r="Q666" s="14"/>
      <c r="R666" s="15"/>
      <c r="S666" s="15"/>
      <c r="T666" s="14"/>
      <c r="U666" s="14"/>
      <c r="V666" s="14"/>
      <c r="W666" s="18"/>
      <c r="X666" s="18"/>
      <c r="Y666" s="18"/>
      <c r="Z666" s="18"/>
      <c r="AA666" s="18"/>
      <c r="AB666" s="18"/>
      <c r="AC666" s="8" t="str">
        <f t="shared" si="110"/>
        <v/>
      </c>
      <c r="AD666" s="8"/>
      <c r="AE666" s="8"/>
      <c r="AF666" s="14"/>
      <c r="AG666" s="13"/>
      <c r="AH666" s="14"/>
      <c r="AI666" s="14"/>
      <c r="AJ666" s="8"/>
      <c r="AK666" s="8"/>
      <c r="AL666" s="8"/>
      <c r="AM666" s="8"/>
      <c r="AN666" s="631"/>
      <c r="AO666" s="18"/>
      <c r="AP666" s="18"/>
      <c r="AQ666" s="18"/>
      <c r="AR666" s="18"/>
      <c r="AS666" s="18"/>
      <c r="AU666" s="448"/>
      <c r="AV666" s="448"/>
      <c r="AW666" s="8" t="str">
        <f>IF(C666&gt;0,VLOOKUP(C666,Foundation_Calc!$A$2:$C$986,3,1),
IF(J666&gt;0,VLOOKUP(J666,Foundation_Calc!$A$2:$C$986,3,1),""))</f>
        <v/>
      </c>
      <c r="AX666" s="8" t="str">
        <f>IF(C666&gt;0,VLOOKUP(C666,Foundation_Calc!$E$2:$G$986,3,1),
IF(J666&gt;0,VLOOKUP(J666,Foundation_Calc!$E$2:$G$986,3,1),""))</f>
        <v/>
      </c>
      <c r="AY666" s="631" t="str">
        <f>IF(L666="","",
IF(AX666="PT",VLOOKUP(L666,Foundation_Calc!$K$4:$R$37,VLOOKUP(AW666,Foundation_Calc!$I$2:$J$8,2,FALSE),0),
IF(AX666="K",VLOOKUP(L666,Foundation_Calc!$K$41:$R$74,VLOOKUP(AW666,Foundation_Calc!$I$2:$J$8,2,FALSE),0),"")))</f>
        <v/>
      </c>
      <c r="AZ666" s="631" t="str">
        <f>IF(K666="","",
IF(AX666="PT",VLOOKUP(K666,Foundation_Calc!$K$4:$R$37,VLOOKUP(AW666,Foundation_Calc!$I$2:$J$8,2,FALSE),0),
IF(AX666="K",VLOOKUP(K666,Foundation_Calc!$K$41:$R$74,VLOOKUP(AW666,Foundation_Calc!$I$2:$J$8,2,FALSE),0),"")))</f>
        <v/>
      </c>
      <c r="BA666" s="632" t="str">
        <f t="shared" si="111"/>
        <v/>
      </c>
      <c r="BB666" s="632" t="str">
        <f t="shared" si="112"/>
        <v/>
      </c>
      <c r="BC666" s="632" t="str">
        <f t="shared" si="113"/>
        <v/>
      </c>
      <c r="BD666" s="633" t="str">
        <f>IF(AND(L666="",H666=""),"",
IF(H666="",Pole_Calc!A694,
IF(H666="MP",Pole_Calc!A695,
IF(H666="AnMP",Pole_Calc!A696,
IF(H666="A",Pole_Calc!A697,
IF(H666="S/A",Pole_Calc!A698,
IF(H666="A/S",Pole_Calc!A699,"Poner a mano")))))))</f>
        <v/>
      </c>
      <c r="BE666" s="448" t="s">
        <v>1726</v>
      </c>
      <c r="BF666" s="634"/>
      <c r="BG666" s="634"/>
      <c r="BH666" s="634"/>
      <c r="BI666" s="634"/>
    </row>
    <row r="667" spans="1:61" ht="16.2" customHeight="1">
      <c r="A667" s="12"/>
      <c r="B667" s="446"/>
      <c r="C667" s="89"/>
      <c r="D667" s="13"/>
      <c r="E667" s="14"/>
      <c r="F667" s="14"/>
      <c r="G667" s="15"/>
      <c r="H667" s="8"/>
      <c r="I667" s="8"/>
      <c r="J667" s="89"/>
      <c r="K667" s="8"/>
      <c r="L667" s="8"/>
      <c r="M667" s="8" t="str">
        <f>IF(L667="","",
IF(AX667="PT",VLOOKUP(L667,Foundation_Calc!$V$4:$X$37,VLOOKUP(AX667,Foundation_Calc!$I$10:$J$13,2,FALSE),0),
IF(AX667="K",VLOOKUP(L667,Foundation_Calc!$V$41:$X$74,VLOOKUP(AX667,Foundation_Calc!$I$10:$J$13,2,FALSE),0),"")))</f>
        <v/>
      </c>
      <c r="N667" s="8"/>
      <c r="O667" s="8"/>
      <c r="P667" s="8"/>
      <c r="Q667" s="14"/>
      <c r="R667" s="15"/>
      <c r="S667" s="15"/>
      <c r="T667" s="14"/>
      <c r="U667" s="14"/>
      <c r="V667" s="14"/>
      <c r="W667" s="18"/>
      <c r="X667" s="18"/>
      <c r="Y667" s="18"/>
      <c r="Z667" s="18"/>
      <c r="AA667" s="18"/>
      <c r="AB667" s="18"/>
      <c r="AC667" s="8" t="str">
        <f t="shared" si="110"/>
        <v/>
      </c>
      <c r="AD667" s="8"/>
      <c r="AE667" s="8"/>
      <c r="AF667" s="14"/>
      <c r="AG667" s="13"/>
      <c r="AH667" s="14"/>
      <c r="AI667" s="14"/>
      <c r="AJ667" s="8"/>
      <c r="AK667" s="8"/>
      <c r="AL667" s="8"/>
      <c r="AM667" s="8"/>
      <c r="AN667" s="631"/>
      <c r="AO667" s="18"/>
      <c r="AP667" s="18"/>
      <c r="AQ667" s="18"/>
      <c r="AR667" s="18"/>
      <c r="AS667" s="18"/>
      <c r="AU667" s="448"/>
      <c r="AV667" s="448"/>
      <c r="AW667" s="8" t="str">
        <f>IF(C667&gt;0,VLOOKUP(C667,Foundation_Calc!$A$2:$C$986,3,1),
IF(J667&gt;0,VLOOKUP(J667,Foundation_Calc!$A$2:$C$986,3,1),""))</f>
        <v/>
      </c>
      <c r="AX667" s="8" t="str">
        <f>IF(C667&gt;0,VLOOKUP(C667,Foundation_Calc!$E$2:$G$986,3,1),
IF(J667&gt;0,VLOOKUP(J667,Foundation_Calc!$E$2:$G$986,3,1),""))</f>
        <v/>
      </c>
      <c r="AY667" s="631" t="str">
        <f>IF(L667="","",
IF(AX667="PT",VLOOKUP(L667,Foundation_Calc!$K$4:$R$37,VLOOKUP(AW667,Foundation_Calc!$I$2:$J$8,2,FALSE),0),
IF(AX667="K",VLOOKUP(L667,Foundation_Calc!$K$41:$R$74,VLOOKUP(AW667,Foundation_Calc!$I$2:$J$8,2,FALSE),0),"")))</f>
        <v/>
      </c>
      <c r="AZ667" s="631" t="str">
        <f>IF(K667="","",
IF(AX667="PT",VLOOKUP(K667,Foundation_Calc!$K$4:$R$37,VLOOKUP(AW667,Foundation_Calc!$I$2:$J$8,2,FALSE),0),
IF(AX667="K",VLOOKUP(K667,Foundation_Calc!$K$41:$R$74,VLOOKUP(AW667,Foundation_Calc!$I$2:$J$8,2,FALSE),0),"")))</f>
        <v/>
      </c>
      <c r="BA667" s="632" t="str">
        <f t="shared" si="111"/>
        <v/>
      </c>
      <c r="BB667" s="632" t="str">
        <f t="shared" si="112"/>
        <v/>
      </c>
      <c r="BC667" s="632" t="str">
        <f t="shared" si="113"/>
        <v/>
      </c>
      <c r="BD667" s="633" t="str">
        <f>IF(AND(L667="",H667=""),"",
IF(H667="",Pole_Calc!A695,
IF(H667="MP",Pole_Calc!A696,
IF(H667="AnMP",Pole_Calc!A697,
IF(H667="A",Pole_Calc!A698,
IF(H667="S/A",Pole_Calc!A699,
IF(H667="A/S",Pole_Calc!A700,"Poner a mano")))))))</f>
        <v/>
      </c>
      <c r="BE667" s="448" t="s">
        <v>1726</v>
      </c>
      <c r="BF667" s="635"/>
      <c r="BG667" s="635"/>
      <c r="BH667" s="634"/>
      <c r="BI667" s="635"/>
    </row>
    <row r="668" spans="1:61" ht="16.2" customHeight="1">
      <c r="A668" s="12"/>
      <c r="B668" s="446"/>
      <c r="C668" s="89"/>
      <c r="D668" s="13"/>
      <c r="E668" s="14"/>
      <c r="F668" s="14"/>
      <c r="G668" s="15"/>
      <c r="H668" s="8"/>
      <c r="I668" s="8"/>
      <c r="J668" s="89"/>
      <c r="K668" s="8"/>
      <c r="L668" s="8"/>
      <c r="M668" s="8" t="str">
        <f>IF(L668="","",
IF(AX668="PT",VLOOKUP(L668,Foundation_Calc!$V$4:$X$37,VLOOKUP(AX668,Foundation_Calc!$I$10:$J$13,2,FALSE),0),
IF(AX668="K",VLOOKUP(L668,Foundation_Calc!$V$41:$X$74,VLOOKUP(AX668,Foundation_Calc!$I$10:$J$13,2,FALSE),0),"")))</f>
        <v/>
      </c>
      <c r="N668" s="8"/>
      <c r="O668" s="8"/>
      <c r="P668" s="8"/>
      <c r="Q668" s="14"/>
      <c r="R668" s="15"/>
      <c r="S668" s="15"/>
      <c r="T668" s="14"/>
      <c r="U668" s="14"/>
      <c r="V668" s="14"/>
      <c r="W668" s="18"/>
      <c r="X668" s="18"/>
      <c r="Y668" s="18"/>
      <c r="Z668" s="18"/>
      <c r="AA668" s="18"/>
      <c r="AB668" s="18"/>
      <c r="AC668" s="8" t="str">
        <f t="shared" si="110"/>
        <v/>
      </c>
      <c r="AD668" s="8"/>
      <c r="AE668" s="8"/>
      <c r="AF668" s="14"/>
      <c r="AG668" s="13"/>
      <c r="AH668" s="14"/>
      <c r="AI668" s="14"/>
      <c r="AJ668" s="8"/>
      <c r="AK668" s="8"/>
      <c r="AL668" s="8"/>
      <c r="AM668" s="8"/>
      <c r="AN668" s="631"/>
      <c r="AO668" s="18"/>
      <c r="AP668" s="18"/>
      <c r="AQ668" s="18"/>
      <c r="AR668" s="18"/>
      <c r="AS668" s="18"/>
      <c r="AU668" s="448"/>
      <c r="AV668" s="448"/>
      <c r="AW668" s="8" t="str">
        <f>IF(C668&gt;0,VLOOKUP(C668,Foundation_Calc!$A$2:$C$986,3,1),
IF(J668&gt;0,VLOOKUP(J668,Foundation_Calc!$A$2:$C$986,3,1),""))</f>
        <v/>
      </c>
      <c r="AX668" s="8" t="str">
        <f>IF(C668&gt;0,VLOOKUP(C668,Foundation_Calc!$E$2:$G$986,3,1),
IF(J668&gt;0,VLOOKUP(J668,Foundation_Calc!$E$2:$G$986,3,1),""))</f>
        <v/>
      </c>
      <c r="AY668" s="631" t="str">
        <f>IF(L668="","",
IF(AX668="PT",VLOOKUP(L668,Foundation_Calc!$K$4:$R$37,VLOOKUP(AW668,Foundation_Calc!$I$2:$J$8,2,FALSE),0),
IF(AX668="K",VLOOKUP(L668,Foundation_Calc!$K$41:$R$74,VLOOKUP(AW668,Foundation_Calc!$I$2:$J$8,2,FALSE),0),"")))</f>
        <v/>
      </c>
      <c r="AZ668" s="631" t="str">
        <f>IF(K668="","",
IF(AX668="PT",VLOOKUP(K668,Foundation_Calc!$K$4:$R$37,VLOOKUP(AW668,Foundation_Calc!$I$2:$J$8,2,FALSE),0),
IF(AX668="K",VLOOKUP(K668,Foundation_Calc!$K$41:$R$74,VLOOKUP(AW668,Foundation_Calc!$I$2:$J$8,2,FALSE),0),"")))</f>
        <v/>
      </c>
      <c r="BA668" s="632" t="str">
        <f t="shared" si="111"/>
        <v/>
      </c>
      <c r="BB668" s="632" t="str">
        <f t="shared" si="112"/>
        <v/>
      </c>
      <c r="BC668" s="632" t="str">
        <f t="shared" si="113"/>
        <v/>
      </c>
      <c r="BD668" s="633" t="str">
        <f>IF(AND(L668="",H668=""),"",
IF(H668="",Pole_Calc!A696,
IF(H668="MP",Pole_Calc!A697,
IF(H668="AnMP",Pole_Calc!A698,
IF(H668="A",Pole_Calc!A699,
IF(H668="S/A",Pole_Calc!A700,
IF(H668="A/S",Pole_Calc!A701,"Poner a mano")))))))</f>
        <v/>
      </c>
      <c r="BE668" s="448" t="s">
        <v>1726</v>
      </c>
      <c r="BF668" s="634"/>
      <c r="BG668" s="634"/>
      <c r="BH668" s="634"/>
      <c r="BI668" s="634"/>
    </row>
    <row r="669" spans="1:61" ht="16.2" customHeight="1">
      <c r="A669" s="12"/>
      <c r="B669" s="446"/>
      <c r="C669" s="89"/>
      <c r="D669" s="13"/>
      <c r="E669" s="14"/>
      <c r="F669" s="14"/>
      <c r="G669" s="15"/>
      <c r="H669" s="8"/>
      <c r="I669" s="8"/>
      <c r="J669" s="89"/>
      <c r="K669" s="8"/>
      <c r="L669" s="8"/>
      <c r="M669" s="8" t="str">
        <f>IF(L669="","",
IF(AX669="PT",VLOOKUP(L669,Foundation_Calc!$V$4:$X$37,VLOOKUP(AX669,Foundation_Calc!$I$10:$J$13,2,FALSE),0),
IF(AX669="K",VLOOKUP(L669,Foundation_Calc!$V$41:$X$74,VLOOKUP(AX669,Foundation_Calc!$I$10:$J$13,2,FALSE),0),"")))</f>
        <v/>
      </c>
      <c r="N669" s="8"/>
      <c r="O669" s="8"/>
      <c r="P669" s="8"/>
      <c r="Q669" s="14"/>
      <c r="R669" s="15"/>
      <c r="S669" s="15"/>
      <c r="T669" s="14"/>
      <c r="U669" s="14"/>
      <c r="V669" s="14"/>
      <c r="W669" s="18"/>
      <c r="X669" s="18"/>
      <c r="Y669" s="18"/>
      <c r="Z669" s="18"/>
      <c r="AA669" s="18"/>
      <c r="AB669" s="18"/>
      <c r="AC669" s="8" t="str">
        <f t="shared" si="110"/>
        <v/>
      </c>
      <c r="AD669" s="8"/>
      <c r="AE669" s="8"/>
      <c r="AF669" s="14"/>
      <c r="AG669" s="13"/>
      <c r="AH669" s="14"/>
      <c r="AI669" s="14"/>
      <c r="AJ669" s="8"/>
      <c r="AK669" s="8"/>
      <c r="AL669" s="8"/>
      <c r="AM669" s="8"/>
      <c r="AN669" s="631"/>
      <c r="AO669" s="18"/>
      <c r="AP669" s="18"/>
      <c r="AQ669" s="18"/>
      <c r="AR669" s="18"/>
      <c r="AS669" s="18"/>
      <c r="AU669" s="448"/>
      <c r="AV669" s="448"/>
      <c r="AW669" s="8" t="str">
        <f>IF(C669&gt;0,VLOOKUP(C669,Foundation_Calc!$A$2:$C$986,3,1),
IF(J669&gt;0,VLOOKUP(J669,Foundation_Calc!$A$2:$C$986,3,1),""))</f>
        <v/>
      </c>
      <c r="AX669" s="8" t="str">
        <f>IF(C669&gt;0,VLOOKUP(C669,Foundation_Calc!$E$2:$G$986,3,1),
IF(J669&gt;0,VLOOKUP(J669,Foundation_Calc!$E$2:$G$986,3,1),""))</f>
        <v/>
      </c>
      <c r="AY669" s="631" t="str">
        <f>IF(L669="","",
IF(AX669="PT",VLOOKUP(L669,Foundation_Calc!$K$4:$R$37,VLOOKUP(AW669,Foundation_Calc!$I$2:$J$8,2,FALSE),0),
IF(AX669="K",VLOOKUP(L669,Foundation_Calc!$K$41:$R$74,VLOOKUP(AW669,Foundation_Calc!$I$2:$J$8,2,FALSE),0),"")))</f>
        <v/>
      </c>
      <c r="AZ669" s="631" t="str">
        <f>IF(K669="","",
IF(AX669="PT",VLOOKUP(K669,Foundation_Calc!$K$4:$R$37,VLOOKUP(AW669,Foundation_Calc!$I$2:$J$8,2,FALSE),0),
IF(AX669="K",VLOOKUP(K669,Foundation_Calc!$K$41:$R$74,VLOOKUP(AW669,Foundation_Calc!$I$2:$J$8,2,FALSE),0),"")))</f>
        <v/>
      </c>
      <c r="BA669" s="632" t="str">
        <f t="shared" si="111"/>
        <v/>
      </c>
      <c r="BB669" s="632" t="str">
        <f t="shared" si="112"/>
        <v/>
      </c>
      <c r="BC669" s="632" t="str">
        <f t="shared" si="113"/>
        <v/>
      </c>
      <c r="BD669" s="633" t="str">
        <f>IF(AND(L669="",H669=""),"",
IF(H669="",Pole_Calc!A697,
IF(H669="MP",Pole_Calc!A698,
IF(H669="AnMP",Pole_Calc!A699,
IF(H669="A",Pole_Calc!A700,
IF(H669="S/A",Pole_Calc!A701,
IF(H669="A/S",Pole_Calc!A702,"Poner a mano")))))))</f>
        <v/>
      </c>
      <c r="BE669" s="448" t="s">
        <v>1726</v>
      </c>
      <c r="BF669" s="635"/>
      <c r="BG669" s="635"/>
      <c r="BH669" s="634"/>
      <c r="BI669" s="635"/>
    </row>
    <row r="670" spans="1:61" ht="16.2" customHeight="1">
      <c r="A670" s="12"/>
      <c r="B670" s="446"/>
      <c r="C670" s="89"/>
      <c r="D670" s="13"/>
      <c r="E670" s="14"/>
      <c r="F670" s="14"/>
      <c r="G670" s="15"/>
      <c r="H670" s="8"/>
      <c r="I670" s="8"/>
      <c r="J670" s="89"/>
      <c r="K670" s="8"/>
      <c r="L670" s="8"/>
      <c r="M670" s="8" t="str">
        <f>IF(L670="","",
IF(AX670="PT",VLOOKUP(L670,Foundation_Calc!$V$4:$X$37,VLOOKUP(AX670,Foundation_Calc!$I$10:$J$13,2,FALSE),0),
IF(AX670="K",VLOOKUP(L670,Foundation_Calc!$V$41:$X$74,VLOOKUP(AX670,Foundation_Calc!$I$10:$J$13,2,FALSE),0),"")))</f>
        <v/>
      </c>
      <c r="N670" s="8"/>
      <c r="O670" s="8"/>
      <c r="P670" s="8"/>
      <c r="Q670" s="14"/>
      <c r="R670" s="15"/>
      <c r="S670" s="15"/>
      <c r="T670" s="14"/>
      <c r="U670" s="14"/>
      <c r="V670" s="14"/>
      <c r="W670" s="18"/>
      <c r="X670" s="18"/>
      <c r="Y670" s="18"/>
      <c r="Z670" s="18"/>
      <c r="AA670" s="18"/>
      <c r="AB670" s="18"/>
      <c r="AC670" s="8" t="str">
        <f t="shared" si="110"/>
        <v/>
      </c>
      <c r="AD670" s="8"/>
      <c r="AE670" s="8"/>
      <c r="AF670" s="14"/>
      <c r="AG670" s="13"/>
      <c r="AH670" s="14"/>
      <c r="AI670" s="14"/>
      <c r="AJ670" s="8"/>
      <c r="AK670" s="8"/>
      <c r="AL670" s="8"/>
      <c r="AM670" s="8"/>
      <c r="AN670" s="631"/>
      <c r="AO670" s="18"/>
      <c r="AP670" s="18"/>
      <c r="AQ670" s="18"/>
      <c r="AR670" s="18"/>
      <c r="AS670" s="18"/>
      <c r="AU670" s="448"/>
      <c r="AV670" s="448"/>
      <c r="AW670" s="8" t="str">
        <f>IF(C670&gt;0,VLOOKUP(C670,Foundation_Calc!$A$2:$C$986,3,1),
IF(J670&gt;0,VLOOKUP(J670,Foundation_Calc!$A$2:$C$986,3,1),""))</f>
        <v/>
      </c>
      <c r="AX670" s="8" t="str">
        <f>IF(C670&gt;0,VLOOKUP(C670,Foundation_Calc!$E$2:$G$986,3,1),
IF(J670&gt;0,VLOOKUP(J670,Foundation_Calc!$E$2:$G$986,3,1),""))</f>
        <v/>
      </c>
      <c r="AY670" s="631" t="str">
        <f>IF(L670="","",
IF(AX670="PT",VLOOKUP(L670,Foundation_Calc!$K$4:$R$37,VLOOKUP(AW670,Foundation_Calc!$I$2:$J$8,2,FALSE),0),
IF(AX670="K",VLOOKUP(L670,Foundation_Calc!$K$41:$R$74,VLOOKUP(AW670,Foundation_Calc!$I$2:$J$8,2,FALSE),0),"")))</f>
        <v/>
      </c>
      <c r="AZ670" s="631" t="str">
        <f>IF(K670="","",
IF(AX670="PT",VLOOKUP(K670,Foundation_Calc!$K$4:$R$37,VLOOKUP(AW670,Foundation_Calc!$I$2:$J$8,2,FALSE),0),
IF(AX670="K",VLOOKUP(K670,Foundation_Calc!$K$41:$R$74,VLOOKUP(AW670,Foundation_Calc!$I$2:$J$8,2,FALSE),0),"")))</f>
        <v/>
      </c>
      <c r="BA670" s="632" t="str">
        <f t="shared" si="111"/>
        <v/>
      </c>
      <c r="BB670" s="632" t="str">
        <f t="shared" si="112"/>
        <v/>
      </c>
      <c r="BC670" s="632" t="str">
        <f t="shared" si="113"/>
        <v/>
      </c>
      <c r="BD670" s="633" t="str">
        <f>IF(AND(L670="",H670=""),"",
IF(H670="",Pole_Calc!A698,
IF(H670="MP",Pole_Calc!A699,
IF(H670="AnMP",Pole_Calc!A700,
IF(H670="A",Pole_Calc!A701,
IF(H670="S/A",Pole_Calc!A702,
IF(H670="A/S",Pole_Calc!A703,"Poner a mano")))))))</f>
        <v/>
      </c>
      <c r="BE670" s="448" t="s">
        <v>1726</v>
      </c>
      <c r="BF670" s="634"/>
      <c r="BG670" s="634"/>
      <c r="BH670" s="634"/>
      <c r="BI670" s="634"/>
    </row>
    <row r="671" spans="1:61" ht="16.2" customHeight="1">
      <c r="A671" s="12"/>
      <c r="B671" s="446"/>
      <c r="C671" s="89"/>
      <c r="D671" s="13"/>
      <c r="E671" s="14"/>
      <c r="F671" s="14"/>
      <c r="G671" s="15"/>
      <c r="H671" s="8"/>
      <c r="I671" s="8"/>
      <c r="J671" s="89"/>
      <c r="K671" s="8"/>
      <c r="L671" s="8"/>
      <c r="M671" s="8" t="str">
        <f>IF(L671="","",
IF(AX671="PT",VLOOKUP(L671,Foundation_Calc!$V$4:$X$37,VLOOKUP(AX671,Foundation_Calc!$I$10:$J$13,2,FALSE),0),
IF(AX671="K",VLOOKUP(L671,Foundation_Calc!$V$41:$X$74,VLOOKUP(AX671,Foundation_Calc!$I$10:$J$13,2,FALSE),0),"")))</f>
        <v/>
      </c>
      <c r="N671" s="8"/>
      <c r="O671" s="8"/>
      <c r="P671" s="8"/>
      <c r="Q671" s="14"/>
      <c r="R671" s="15"/>
      <c r="S671" s="15"/>
      <c r="T671" s="14"/>
      <c r="U671" s="14"/>
      <c r="V671" s="14"/>
      <c r="W671" s="18"/>
      <c r="X671" s="18"/>
      <c r="Y671" s="18"/>
      <c r="Z671" s="18"/>
      <c r="AA671" s="18"/>
      <c r="AB671" s="18"/>
      <c r="AC671" s="8" t="str">
        <f t="shared" si="110"/>
        <v/>
      </c>
      <c r="AD671" s="8"/>
      <c r="AE671" s="8"/>
      <c r="AF671" s="14"/>
      <c r="AG671" s="13"/>
      <c r="AH671" s="14"/>
      <c r="AI671" s="14"/>
      <c r="AJ671" s="8"/>
      <c r="AK671" s="8"/>
      <c r="AL671" s="8"/>
      <c r="AM671" s="8"/>
      <c r="AN671" s="631"/>
      <c r="AO671" s="18"/>
      <c r="AP671" s="18"/>
      <c r="AQ671" s="18"/>
      <c r="AR671" s="18"/>
      <c r="AS671" s="18"/>
      <c r="AU671" s="448"/>
      <c r="AV671" s="448"/>
      <c r="AW671" s="8" t="str">
        <f>IF(C671&gt;0,VLOOKUP(C671,Foundation_Calc!$A$2:$C$986,3,1),
IF(J671&gt;0,VLOOKUP(J671,Foundation_Calc!$A$2:$C$986,3,1),""))</f>
        <v/>
      </c>
      <c r="AX671" s="8" t="str">
        <f>IF(C671&gt;0,VLOOKUP(C671,Foundation_Calc!$E$2:$G$986,3,1),
IF(J671&gt;0,VLOOKUP(J671,Foundation_Calc!$E$2:$G$986,3,1),""))</f>
        <v/>
      </c>
      <c r="AY671" s="631" t="str">
        <f>IF(L671="","",
IF(AX671="PT",VLOOKUP(L671,Foundation_Calc!$K$4:$R$37,VLOOKUP(AW671,Foundation_Calc!$I$2:$J$8,2,FALSE),0),
IF(AX671="K",VLOOKUP(L671,Foundation_Calc!$K$41:$R$74,VLOOKUP(AW671,Foundation_Calc!$I$2:$J$8,2,FALSE),0),"")))</f>
        <v/>
      </c>
      <c r="AZ671" s="631" t="str">
        <f>IF(K671="","",
IF(AX671="PT",VLOOKUP(K671,Foundation_Calc!$K$4:$R$37,VLOOKUP(AW671,Foundation_Calc!$I$2:$J$8,2,FALSE),0),
IF(AX671="K",VLOOKUP(K671,Foundation_Calc!$K$41:$R$74,VLOOKUP(AW671,Foundation_Calc!$I$2:$J$8,2,FALSE),0),"")))</f>
        <v/>
      </c>
      <c r="BA671" s="632" t="str">
        <f t="shared" si="111"/>
        <v/>
      </c>
      <c r="BB671" s="632" t="str">
        <f t="shared" si="112"/>
        <v/>
      </c>
      <c r="BC671" s="632" t="str">
        <f t="shared" si="113"/>
        <v/>
      </c>
      <c r="BD671" s="633" t="str">
        <f>IF(AND(L671="",H671=""),"",
IF(H671="",Pole_Calc!A699,
IF(H671="MP",Pole_Calc!A700,
IF(H671="AnMP",Pole_Calc!A701,
IF(H671="A",Pole_Calc!A702,
IF(H671="S/A",Pole_Calc!A703,
IF(H671="A/S",Pole_Calc!A704,"Poner a mano")))))))</f>
        <v/>
      </c>
      <c r="BE671" s="448" t="s">
        <v>1726</v>
      </c>
      <c r="BF671" s="635"/>
      <c r="BG671" s="635"/>
      <c r="BH671" s="634"/>
      <c r="BI671" s="635"/>
    </row>
    <row r="672" spans="1:61" ht="16.2" customHeight="1">
      <c r="A672" s="12"/>
      <c r="B672" s="446"/>
      <c r="C672" s="89"/>
      <c r="D672" s="13"/>
      <c r="E672" s="14"/>
      <c r="F672" s="14"/>
      <c r="G672" s="15"/>
      <c r="H672" s="8"/>
      <c r="I672" s="8"/>
      <c r="J672" s="89"/>
      <c r="K672" s="8"/>
      <c r="L672" s="8"/>
      <c r="M672" s="8" t="str">
        <f>IF(L672="","",
IF(AX672="PT",VLOOKUP(L672,Foundation_Calc!$V$4:$X$37,VLOOKUP(AX672,Foundation_Calc!$I$10:$J$13,2,FALSE),0),
IF(AX672="K",VLOOKUP(L672,Foundation_Calc!$V$41:$X$74,VLOOKUP(AX672,Foundation_Calc!$I$10:$J$13,2,FALSE),0),"")))</f>
        <v/>
      </c>
      <c r="N672" s="8"/>
      <c r="O672" s="8"/>
      <c r="P672" s="8"/>
      <c r="Q672" s="14"/>
      <c r="R672" s="15"/>
      <c r="S672" s="15"/>
      <c r="T672" s="14"/>
      <c r="U672" s="14"/>
      <c r="V672" s="14"/>
      <c r="W672" s="18"/>
      <c r="X672" s="18"/>
      <c r="Y672" s="18"/>
      <c r="Z672" s="18"/>
      <c r="AA672" s="18"/>
      <c r="AB672" s="18"/>
      <c r="AC672" s="8" t="str">
        <f t="shared" si="110"/>
        <v/>
      </c>
      <c r="AD672" s="8"/>
      <c r="AE672" s="8"/>
      <c r="AF672" s="14"/>
      <c r="AG672" s="13"/>
      <c r="AH672" s="14"/>
      <c r="AI672" s="14"/>
      <c r="AJ672" s="8"/>
      <c r="AK672" s="8"/>
      <c r="AL672" s="8"/>
      <c r="AM672" s="8"/>
      <c r="AN672" s="631"/>
      <c r="AO672" s="18"/>
      <c r="AP672" s="18"/>
      <c r="AQ672" s="18"/>
      <c r="AR672" s="18"/>
      <c r="AS672" s="18"/>
      <c r="AU672" s="448"/>
      <c r="AV672" s="448"/>
      <c r="AW672" s="8" t="str">
        <f>IF(C672&gt;0,VLOOKUP(C672,Foundation_Calc!$A$2:$C$986,3,1),
IF(J672&gt;0,VLOOKUP(J672,Foundation_Calc!$A$2:$C$986,3,1),""))</f>
        <v/>
      </c>
      <c r="AX672" s="8" t="str">
        <f>IF(C672&gt;0,VLOOKUP(C672,Foundation_Calc!$E$2:$G$986,3,1),
IF(J672&gt;0,VLOOKUP(J672,Foundation_Calc!$E$2:$G$986,3,1),""))</f>
        <v/>
      </c>
      <c r="AY672" s="631" t="str">
        <f>IF(L672="","",
IF(AX672="PT",VLOOKUP(L672,Foundation_Calc!$K$4:$R$37,VLOOKUP(AW672,Foundation_Calc!$I$2:$J$8,2,FALSE),0),
IF(AX672="K",VLOOKUP(L672,Foundation_Calc!$K$41:$R$74,VLOOKUP(AW672,Foundation_Calc!$I$2:$J$8,2,FALSE),0),"")))</f>
        <v/>
      </c>
      <c r="AZ672" s="631" t="str">
        <f>IF(K672="","",
IF(AX672="PT",VLOOKUP(K672,Foundation_Calc!$K$4:$R$37,VLOOKUP(AW672,Foundation_Calc!$I$2:$J$8,2,FALSE),0),
IF(AX672="K",VLOOKUP(K672,Foundation_Calc!$K$41:$R$74,VLOOKUP(AW672,Foundation_Calc!$I$2:$J$8,2,FALSE),0),"")))</f>
        <v/>
      </c>
      <c r="BA672" s="632" t="str">
        <f t="shared" si="111"/>
        <v/>
      </c>
      <c r="BB672" s="632" t="str">
        <f t="shared" si="112"/>
        <v/>
      </c>
      <c r="BC672" s="632" t="str">
        <f t="shared" si="113"/>
        <v/>
      </c>
      <c r="BD672" s="633" t="str">
        <f>IF(AND(L672="",H672=""),"",
IF(H672="",Pole_Calc!A700,
IF(H672="MP",Pole_Calc!A701,
IF(H672="AnMP",Pole_Calc!A702,
IF(H672="A",Pole_Calc!A703,
IF(H672="S/A",Pole_Calc!A704,
IF(H672="A/S",Pole_Calc!A705,"Poner a mano")))))))</f>
        <v/>
      </c>
      <c r="BE672" s="448" t="s">
        <v>1726</v>
      </c>
      <c r="BF672" s="634"/>
      <c r="BG672" s="634"/>
      <c r="BH672" s="634"/>
      <c r="BI672" s="634"/>
    </row>
    <row r="673" spans="1:61" ht="16.2" customHeight="1">
      <c r="A673" s="12"/>
      <c r="B673" s="446"/>
      <c r="C673" s="89"/>
      <c r="D673" s="13"/>
      <c r="E673" s="14"/>
      <c r="F673" s="14"/>
      <c r="G673" s="15"/>
      <c r="H673" s="8"/>
      <c r="I673" s="8"/>
      <c r="J673" s="89"/>
      <c r="K673" s="8"/>
      <c r="L673" s="8"/>
      <c r="M673" s="8" t="str">
        <f>IF(L673="","",
IF(AX673="PT",VLOOKUP(L673,Foundation_Calc!$V$4:$X$37,VLOOKUP(AX673,Foundation_Calc!$I$10:$J$13,2,FALSE),0),
IF(AX673="K",VLOOKUP(L673,Foundation_Calc!$V$41:$X$74,VLOOKUP(AX673,Foundation_Calc!$I$10:$J$13,2,FALSE),0),"")))</f>
        <v/>
      </c>
      <c r="N673" s="8"/>
      <c r="O673" s="8"/>
      <c r="P673" s="8"/>
      <c r="Q673" s="14"/>
      <c r="R673" s="15"/>
      <c r="S673" s="15"/>
      <c r="T673" s="14"/>
      <c r="U673" s="14"/>
      <c r="V673" s="14"/>
      <c r="W673" s="18"/>
      <c r="X673" s="18"/>
      <c r="Y673" s="18"/>
      <c r="Z673" s="18"/>
      <c r="AA673" s="18"/>
      <c r="AB673" s="18"/>
      <c r="AC673" s="8" t="str">
        <f t="shared" si="110"/>
        <v/>
      </c>
      <c r="AD673" s="8"/>
      <c r="AE673" s="8"/>
      <c r="AF673" s="14"/>
      <c r="AG673" s="13"/>
      <c r="AH673" s="14"/>
      <c r="AI673" s="14"/>
      <c r="AJ673" s="8"/>
      <c r="AK673" s="8"/>
      <c r="AL673" s="8"/>
      <c r="AM673" s="8"/>
      <c r="AN673" s="631"/>
      <c r="AO673" s="18"/>
      <c r="AP673" s="18"/>
      <c r="AQ673" s="18"/>
      <c r="AR673" s="18"/>
      <c r="AS673" s="18"/>
      <c r="AU673" s="448"/>
      <c r="AV673" s="448"/>
      <c r="AW673" s="8" t="str">
        <f>IF(C673&gt;0,VLOOKUP(C673,Foundation_Calc!$A$2:$C$986,3,1),
IF(J673&gt;0,VLOOKUP(J673,Foundation_Calc!$A$2:$C$986,3,1),""))</f>
        <v/>
      </c>
      <c r="AX673" s="8" t="str">
        <f>IF(C673&gt;0,VLOOKUP(C673,Foundation_Calc!$E$2:$G$986,3,1),
IF(J673&gt;0,VLOOKUP(J673,Foundation_Calc!$E$2:$G$986,3,1),""))</f>
        <v/>
      </c>
      <c r="AY673" s="631" t="str">
        <f>IF(L673="","",
IF(AX673="PT",VLOOKUP(L673,Foundation_Calc!$K$4:$R$37,VLOOKUP(AW673,Foundation_Calc!$I$2:$J$8,2,FALSE),0),
IF(AX673="K",VLOOKUP(L673,Foundation_Calc!$K$41:$R$74,VLOOKUP(AW673,Foundation_Calc!$I$2:$J$8,2,FALSE),0),"")))</f>
        <v/>
      </c>
      <c r="AZ673" s="631" t="str">
        <f>IF(K673="","",
IF(AX673="PT",VLOOKUP(K673,Foundation_Calc!$K$4:$R$37,VLOOKUP(AW673,Foundation_Calc!$I$2:$J$8,2,FALSE),0),
IF(AX673="K",VLOOKUP(K673,Foundation_Calc!$K$41:$R$74,VLOOKUP(AW673,Foundation_Calc!$I$2:$J$8,2,FALSE),0),"")))</f>
        <v/>
      </c>
      <c r="BA673" s="632" t="str">
        <f t="shared" si="111"/>
        <v/>
      </c>
      <c r="BB673" s="632" t="str">
        <f t="shared" si="112"/>
        <v/>
      </c>
      <c r="BC673" s="632" t="str">
        <f t="shared" si="113"/>
        <v/>
      </c>
      <c r="BD673" s="633" t="str">
        <f>IF(AND(L673="",H673=""),"",
IF(H673="",Pole_Calc!A701,
IF(H673="MP",Pole_Calc!A702,
IF(H673="AnMP",Pole_Calc!A703,
IF(H673="A",Pole_Calc!A704,
IF(H673="S/A",Pole_Calc!A705,
IF(H673="A/S",Pole_Calc!A706,"Poner a mano")))))))</f>
        <v/>
      </c>
      <c r="BE673" s="448" t="s">
        <v>1726</v>
      </c>
      <c r="BF673" s="635"/>
      <c r="BG673" s="635"/>
      <c r="BH673" s="634"/>
      <c r="BI673" s="635"/>
    </row>
    <row r="674" spans="1:61" ht="16.2" customHeight="1">
      <c r="A674" s="12"/>
      <c r="B674" s="446"/>
      <c r="C674" s="89"/>
      <c r="D674" s="13"/>
      <c r="E674" s="14"/>
      <c r="F674" s="14"/>
      <c r="G674" s="15"/>
      <c r="H674" s="8"/>
      <c r="I674" s="8"/>
      <c r="J674" s="89"/>
      <c r="K674" s="8"/>
      <c r="L674" s="8"/>
      <c r="M674" s="8" t="str">
        <f>IF(L674="","",
IF(AX674="PT",VLOOKUP(L674,Foundation_Calc!$V$4:$X$37,VLOOKUP(AX674,Foundation_Calc!$I$10:$J$13,2,FALSE),0),
IF(AX674="K",VLOOKUP(L674,Foundation_Calc!$V$41:$X$74,VLOOKUP(AX674,Foundation_Calc!$I$10:$J$13,2,FALSE),0),"")))</f>
        <v/>
      </c>
      <c r="N674" s="8"/>
      <c r="O674" s="8"/>
      <c r="P674" s="8"/>
      <c r="Q674" s="14"/>
      <c r="R674" s="15"/>
      <c r="S674" s="15"/>
      <c r="T674" s="14"/>
      <c r="U674" s="14"/>
      <c r="V674" s="14"/>
      <c r="W674" s="18"/>
      <c r="X674" s="18"/>
      <c r="Y674" s="18"/>
      <c r="Z674" s="18"/>
      <c r="AA674" s="18"/>
      <c r="AB674" s="18"/>
      <c r="AC674" s="8" t="str">
        <f t="shared" si="110"/>
        <v/>
      </c>
      <c r="AD674" s="8"/>
      <c r="AE674" s="8"/>
      <c r="AF674" s="14"/>
      <c r="AG674" s="13"/>
      <c r="AH674" s="14"/>
      <c r="AI674" s="14"/>
      <c r="AJ674" s="8"/>
      <c r="AK674" s="8"/>
      <c r="AL674" s="8"/>
      <c r="AM674" s="8"/>
      <c r="AN674" s="631"/>
      <c r="AO674" s="18"/>
      <c r="AP674" s="18"/>
      <c r="AQ674" s="18"/>
      <c r="AR674" s="18"/>
      <c r="AS674" s="18"/>
      <c r="AU674" s="448"/>
      <c r="AV674" s="448"/>
      <c r="AW674" s="8" t="str">
        <f>IF(C674&gt;0,VLOOKUP(C674,Foundation_Calc!$A$2:$C$986,3,1),
IF(J674&gt;0,VLOOKUP(J674,Foundation_Calc!$A$2:$C$986,3,1),""))</f>
        <v/>
      </c>
      <c r="AX674" s="8" t="str">
        <f>IF(C674&gt;0,VLOOKUP(C674,Foundation_Calc!$E$2:$G$986,3,1),
IF(J674&gt;0,VLOOKUP(J674,Foundation_Calc!$E$2:$G$986,3,1),""))</f>
        <v/>
      </c>
      <c r="AY674" s="631" t="str">
        <f>IF(L674="","",
IF(AX674="PT",VLOOKUP(L674,Foundation_Calc!$K$4:$R$37,VLOOKUP(AW674,Foundation_Calc!$I$2:$J$8,2,FALSE),0),
IF(AX674="K",VLOOKUP(L674,Foundation_Calc!$K$41:$R$74,VLOOKUP(AW674,Foundation_Calc!$I$2:$J$8,2,FALSE),0),"")))</f>
        <v/>
      </c>
      <c r="AZ674" s="631" t="str">
        <f>IF(K674="","",
IF(AX674="PT",VLOOKUP(K674,Foundation_Calc!$K$4:$R$37,VLOOKUP(AW674,Foundation_Calc!$I$2:$J$8,2,FALSE),0),
IF(AX674="K",VLOOKUP(K674,Foundation_Calc!$K$41:$R$74,VLOOKUP(AW674,Foundation_Calc!$I$2:$J$8,2,FALSE),0),"")))</f>
        <v/>
      </c>
      <c r="BA674" s="632" t="str">
        <f t="shared" si="111"/>
        <v/>
      </c>
      <c r="BB674" s="632" t="str">
        <f t="shared" si="112"/>
        <v/>
      </c>
      <c r="BC674" s="632" t="str">
        <f t="shared" si="113"/>
        <v/>
      </c>
      <c r="BD674" s="633" t="str">
        <f>IF(AND(L674="",H674=""),"",
IF(H674="",Pole_Calc!A702,
IF(H674="MP",Pole_Calc!A703,
IF(H674="AnMP",Pole_Calc!A704,
IF(H674="A",Pole_Calc!A705,
IF(H674="S/A",Pole_Calc!A706,
IF(H674="A/S",Pole_Calc!A707,"Poner a mano")))))))</f>
        <v/>
      </c>
      <c r="BE674" s="448" t="s">
        <v>1726</v>
      </c>
      <c r="BF674" s="634"/>
      <c r="BG674" s="634"/>
      <c r="BH674" s="634"/>
      <c r="BI674" s="634"/>
    </row>
    <row r="675" spans="1:61" ht="16.2" customHeight="1">
      <c r="A675" s="12"/>
      <c r="B675" s="446"/>
      <c r="C675" s="89"/>
      <c r="D675" s="13"/>
      <c r="E675" s="14"/>
      <c r="F675" s="14"/>
      <c r="G675" s="15"/>
      <c r="H675" s="8"/>
      <c r="I675" s="8"/>
      <c r="J675" s="89"/>
      <c r="K675" s="8"/>
      <c r="L675" s="8"/>
      <c r="M675" s="8" t="str">
        <f>IF(L675="","",
IF(AX675="PT",VLOOKUP(L675,Foundation_Calc!$V$4:$X$37,VLOOKUP(AX675,Foundation_Calc!$I$10:$J$13,2,FALSE),0),
IF(AX675="K",VLOOKUP(L675,Foundation_Calc!$V$41:$X$74,VLOOKUP(AX675,Foundation_Calc!$I$10:$J$13,2,FALSE),0),"")))</f>
        <v/>
      </c>
      <c r="N675" s="8"/>
      <c r="O675" s="8"/>
      <c r="P675" s="8"/>
      <c r="Q675" s="14"/>
      <c r="R675" s="15"/>
      <c r="S675" s="15"/>
      <c r="T675" s="14"/>
      <c r="U675" s="14"/>
      <c r="V675" s="14"/>
      <c r="W675" s="18"/>
      <c r="X675" s="18"/>
      <c r="Y675" s="18"/>
      <c r="Z675" s="18"/>
      <c r="AA675" s="18"/>
      <c r="AB675" s="18"/>
      <c r="AC675" s="8" t="str">
        <f t="shared" si="110"/>
        <v/>
      </c>
      <c r="AD675" s="8"/>
      <c r="AE675" s="8"/>
      <c r="AF675" s="14"/>
      <c r="AG675" s="13"/>
      <c r="AH675" s="14"/>
      <c r="AI675" s="14"/>
      <c r="AJ675" s="8"/>
      <c r="AK675" s="8"/>
      <c r="AL675" s="8"/>
      <c r="AM675" s="8"/>
      <c r="AN675" s="631"/>
      <c r="AO675" s="18"/>
      <c r="AP675" s="18"/>
      <c r="AQ675" s="18"/>
      <c r="AR675" s="18"/>
      <c r="AS675" s="18"/>
      <c r="AU675" s="448"/>
      <c r="AV675" s="448"/>
      <c r="AW675" s="8" t="str">
        <f>IF(C675&gt;0,VLOOKUP(C675,Foundation_Calc!$A$2:$C$986,3,1),
IF(J675&gt;0,VLOOKUP(J675,Foundation_Calc!$A$2:$C$986,3,1),""))</f>
        <v/>
      </c>
      <c r="AX675" s="8" t="str">
        <f>IF(C675&gt;0,VLOOKUP(C675,Foundation_Calc!$E$2:$G$986,3,1),
IF(J675&gt;0,VLOOKUP(J675,Foundation_Calc!$E$2:$G$986,3,1),""))</f>
        <v/>
      </c>
      <c r="AY675" s="631" t="str">
        <f>IF(L675="","",
IF(AX675="PT",VLOOKUP(L675,Foundation_Calc!$K$4:$R$37,VLOOKUP(AW675,Foundation_Calc!$I$2:$J$8,2,FALSE),0),
IF(AX675="K",VLOOKUP(L675,Foundation_Calc!$K$41:$R$74,VLOOKUP(AW675,Foundation_Calc!$I$2:$J$8,2,FALSE),0),"")))</f>
        <v/>
      </c>
      <c r="AZ675" s="631" t="str">
        <f>IF(K675="","",
IF(AX675="PT",VLOOKUP(K675,Foundation_Calc!$K$4:$R$37,VLOOKUP(AW675,Foundation_Calc!$I$2:$J$8,2,FALSE),0),
IF(AX675="K",VLOOKUP(K675,Foundation_Calc!$K$41:$R$74,VLOOKUP(AW675,Foundation_Calc!$I$2:$J$8,2,FALSE),0),"")))</f>
        <v/>
      </c>
      <c r="BA675" s="632" t="str">
        <f t="shared" si="111"/>
        <v/>
      </c>
      <c r="BB675" s="632" t="str">
        <f t="shared" si="112"/>
        <v/>
      </c>
      <c r="BC675" s="632" t="str">
        <f t="shared" si="113"/>
        <v/>
      </c>
      <c r="BD675" s="633" t="str">
        <f>IF(AND(L675="",H675=""),"",
IF(H675="",Pole_Calc!A703,
IF(H675="MP",Pole_Calc!A704,
IF(H675="AnMP",Pole_Calc!A705,
IF(H675="A",Pole_Calc!A706,
IF(H675="S/A",Pole_Calc!A707,
IF(H675="A/S",Pole_Calc!A708,"Poner a mano")))))))</f>
        <v/>
      </c>
      <c r="BE675" s="448" t="s">
        <v>1726</v>
      </c>
      <c r="BF675" s="635"/>
      <c r="BG675" s="635"/>
      <c r="BH675" s="634"/>
      <c r="BI675" s="635"/>
    </row>
    <row r="676" spans="1:61" ht="16.2" customHeight="1">
      <c r="A676" s="12"/>
      <c r="B676" s="446"/>
      <c r="C676" s="89"/>
      <c r="D676" s="13"/>
      <c r="E676" s="14"/>
      <c r="F676" s="14"/>
      <c r="G676" s="15"/>
      <c r="H676" s="8"/>
      <c r="I676" s="8"/>
      <c r="J676" s="89"/>
      <c r="K676" s="8"/>
      <c r="L676" s="8"/>
      <c r="M676" s="8" t="str">
        <f>IF(L676="","",
IF(AX676="PT",VLOOKUP(L676,Foundation_Calc!$V$4:$X$37,VLOOKUP(AX676,Foundation_Calc!$I$10:$J$13,2,FALSE),0),
IF(AX676="K",VLOOKUP(L676,Foundation_Calc!$V$41:$X$74,VLOOKUP(AX676,Foundation_Calc!$I$10:$J$13,2,FALSE),0),"")))</f>
        <v/>
      </c>
      <c r="N676" s="8"/>
      <c r="O676" s="8"/>
      <c r="P676" s="8"/>
      <c r="Q676" s="14"/>
      <c r="R676" s="15"/>
      <c r="S676" s="15"/>
      <c r="T676" s="14"/>
      <c r="U676" s="14"/>
      <c r="V676" s="14"/>
      <c r="W676" s="18"/>
      <c r="X676" s="18"/>
      <c r="Y676" s="18"/>
      <c r="Z676" s="18"/>
      <c r="AA676" s="18"/>
      <c r="AB676" s="18"/>
      <c r="AC676" s="8" t="str">
        <f t="shared" si="110"/>
        <v/>
      </c>
      <c r="AD676" s="8"/>
      <c r="AE676" s="8"/>
      <c r="AF676" s="14"/>
      <c r="AG676" s="13"/>
      <c r="AH676" s="14"/>
      <c r="AI676" s="14"/>
      <c r="AJ676" s="8"/>
      <c r="AK676" s="8"/>
      <c r="AL676" s="8"/>
      <c r="AM676" s="8"/>
      <c r="AN676" s="631"/>
      <c r="AO676" s="18"/>
      <c r="AP676" s="18"/>
      <c r="AQ676" s="18"/>
      <c r="AR676" s="18"/>
      <c r="AS676" s="18"/>
      <c r="AU676" s="448"/>
      <c r="AV676" s="448"/>
      <c r="AW676" s="8" t="str">
        <f>IF(C676&gt;0,VLOOKUP(C676,Foundation_Calc!$A$2:$C$986,3,1),
IF(J676&gt;0,VLOOKUP(J676,Foundation_Calc!$A$2:$C$986,3,1),""))</f>
        <v/>
      </c>
      <c r="AX676" s="8" t="str">
        <f>IF(C676&gt;0,VLOOKUP(C676,Foundation_Calc!$E$2:$G$986,3,1),
IF(J676&gt;0,VLOOKUP(J676,Foundation_Calc!$E$2:$G$986,3,1),""))</f>
        <v/>
      </c>
      <c r="AY676" s="631" t="str">
        <f>IF(L676="","",
IF(AX676="PT",VLOOKUP(L676,Foundation_Calc!$K$4:$R$37,VLOOKUP(AW676,Foundation_Calc!$I$2:$J$8,2,FALSE),0),
IF(AX676="K",VLOOKUP(L676,Foundation_Calc!$K$41:$R$74,VLOOKUP(AW676,Foundation_Calc!$I$2:$J$8,2,FALSE),0),"")))</f>
        <v/>
      </c>
      <c r="AZ676" s="631" t="str">
        <f>IF(K676="","",
IF(AX676="PT",VLOOKUP(K676,Foundation_Calc!$K$4:$R$37,VLOOKUP(AW676,Foundation_Calc!$I$2:$J$8,2,FALSE),0),
IF(AX676="K",VLOOKUP(K676,Foundation_Calc!$K$41:$R$74,VLOOKUP(AW676,Foundation_Calc!$I$2:$J$8,2,FALSE),0),"")))</f>
        <v/>
      </c>
      <c r="BA676" s="632" t="str">
        <f t="shared" si="111"/>
        <v/>
      </c>
      <c r="BB676" s="632" t="str">
        <f t="shared" si="112"/>
        <v/>
      </c>
      <c r="BC676" s="632" t="str">
        <f t="shared" si="113"/>
        <v/>
      </c>
      <c r="BD676" s="633" t="str">
        <f>IF(AND(L676="",H676=""),"",
IF(H676="",Pole_Calc!A704,
IF(H676="MP",Pole_Calc!A705,
IF(H676="AnMP",Pole_Calc!A706,
IF(H676="A",Pole_Calc!A707,
IF(H676="S/A",Pole_Calc!A708,
IF(H676="A/S",Pole_Calc!A709,"Poner a mano")))))))</f>
        <v/>
      </c>
      <c r="BE676" s="448" t="s">
        <v>1726</v>
      </c>
      <c r="BF676" s="634"/>
      <c r="BG676" s="634"/>
      <c r="BH676" s="634"/>
      <c r="BI676" s="634"/>
    </row>
    <row r="677" spans="1:61" ht="16.2" customHeight="1">
      <c r="A677" s="12"/>
      <c r="B677" s="446"/>
      <c r="C677" s="89"/>
      <c r="D677" s="13"/>
      <c r="E677" s="14"/>
      <c r="F677" s="14"/>
      <c r="G677" s="15"/>
      <c r="H677" s="8"/>
      <c r="I677" s="8"/>
      <c r="J677" s="89"/>
      <c r="K677" s="8"/>
      <c r="L677" s="8"/>
      <c r="M677" s="8" t="str">
        <f>IF(L677="","",
IF(AX677="PT",VLOOKUP(L677,Foundation_Calc!$V$4:$X$37,VLOOKUP(AX677,Foundation_Calc!$I$10:$J$13,2,FALSE),0),
IF(AX677="K",VLOOKUP(L677,Foundation_Calc!$V$41:$X$74,VLOOKUP(AX677,Foundation_Calc!$I$10:$J$13,2,FALSE),0),"")))</f>
        <v/>
      </c>
      <c r="N677" s="8"/>
      <c r="O677" s="8"/>
      <c r="P677" s="8"/>
      <c r="Q677" s="14"/>
      <c r="R677" s="15"/>
      <c r="S677" s="15"/>
      <c r="T677" s="14"/>
      <c r="U677" s="14"/>
      <c r="V677" s="14"/>
      <c r="W677" s="18"/>
      <c r="X677" s="18"/>
      <c r="Y677" s="18"/>
      <c r="Z677" s="18"/>
      <c r="AA677" s="18"/>
      <c r="AB677" s="18"/>
      <c r="AC677" s="8" t="str">
        <f t="shared" si="110"/>
        <v/>
      </c>
      <c r="AD677" s="8"/>
      <c r="AE677" s="8"/>
      <c r="AF677" s="14"/>
      <c r="AG677" s="13"/>
      <c r="AH677" s="14"/>
      <c r="AI677" s="14"/>
      <c r="AJ677" s="8"/>
      <c r="AK677" s="8"/>
      <c r="AL677" s="8"/>
      <c r="AM677" s="8"/>
      <c r="AN677" s="631"/>
      <c r="AO677" s="18"/>
      <c r="AP677" s="18"/>
      <c r="AQ677" s="18"/>
      <c r="AR677" s="18"/>
      <c r="AS677" s="18"/>
      <c r="AU677" s="448"/>
      <c r="AV677" s="448"/>
      <c r="AW677" s="8" t="str">
        <f>IF(C677&gt;0,VLOOKUP(C677,Foundation_Calc!$A$2:$C$986,3,1),
IF(J677&gt;0,VLOOKUP(J677,Foundation_Calc!$A$2:$C$986,3,1),""))</f>
        <v/>
      </c>
      <c r="AX677" s="8" t="str">
        <f>IF(C677&gt;0,VLOOKUP(C677,Foundation_Calc!$E$2:$G$986,3,1),
IF(J677&gt;0,VLOOKUP(J677,Foundation_Calc!$E$2:$G$986,3,1),""))</f>
        <v/>
      </c>
      <c r="AY677" s="631" t="str">
        <f>IF(L677="","",
IF(AX677="PT",VLOOKUP(L677,Foundation_Calc!$K$4:$R$37,VLOOKUP(AW677,Foundation_Calc!$I$2:$J$8,2,FALSE),0),
IF(AX677="K",VLOOKUP(L677,Foundation_Calc!$K$41:$R$74,VLOOKUP(AW677,Foundation_Calc!$I$2:$J$8,2,FALSE),0),"")))</f>
        <v/>
      </c>
      <c r="AZ677" s="631" t="str">
        <f>IF(K677="","",
IF(AX677="PT",VLOOKUP(K677,Foundation_Calc!$K$4:$R$37,VLOOKUP(AW677,Foundation_Calc!$I$2:$J$8,2,FALSE),0),
IF(AX677="K",VLOOKUP(K677,Foundation_Calc!$K$41:$R$74,VLOOKUP(AW677,Foundation_Calc!$I$2:$J$8,2,FALSE),0),"")))</f>
        <v/>
      </c>
      <c r="BA677" s="632" t="str">
        <f t="shared" si="111"/>
        <v/>
      </c>
      <c r="BB677" s="632" t="str">
        <f t="shared" si="112"/>
        <v/>
      </c>
      <c r="BC677" s="632" t="str">
        <f t="shared" si="113"/>
        <v/>
      </c>
      <c r="BD677" s="633" t="str">
        <f>IF(AND(L677="",H677=""),"",
IF(H677="",Pole_Calc!A705,
IF(H677="MP",Pole_Calc!A706,
IF(H677="AnMP",Pole_Calc!A707,
IF(H677="A",Pole_Calc!A708,
IF(H677="S/A",Pole_Calc!A709,
IF(H677="A/S",Pole_Calc!A710,"Poner a mano")))))))</f>
        <v/>
      </c>
      <c r="BE677" s="448" t="s">
        <v>1726</v>
      </c>
      <c r="BF677" s="635"/>
      <c r="BG677" s="635"/>
      <c r="BH677" s="634"/>
      <c r="BI677" s="635"/>
    </row>
    <row r="678" spans="1:61" ht="16.2" customHeight="1">
      <c r="A678" s="12"/>
      <c r="B678" s="446"/>
      <c r="C678" s="89"/>
      <c r="D678" s="13"/>
      <c r="E678" s="14"/>
      <c r="F678" s="14"/>
      <c r="G678" s="15"/>
      <c r="H678" s="8"/>
      <c r="I678" s="8"/>
      <c r="J678" s="89"/>
      <c r="K678" s="8"/>
      <c r="L678" s="8"/>
      <c r="M678" s="8" t="str">
        <f>IF(L678="","",
IF(AX678="PT",VLOOKUP(L678,Foundation_Calc!$V$4:$X$37,VLOOKUP(AX678,Foundation_Calc!$I$10:$J$13,2,FALSE),0),
IF(AX678="K",VLOOKUP(L678,Foundation_Calc!$V$41:$X$74,VLOOKUP(AX678,Foundation_Calc!$I$10:$J$13,2,FALSE),0),"")))</f>
        <v/>
      </c>
      <c r="N678" s="8"/>
      <c r="O678" s="8"/>
      <c r="P678" s="8"/>
      <c r="Q678" s="14"/>
      <c r="R678" s="15"/>
      <c r="S678" s="15"/>
      <c r="T678" s="14"/>
      <c r="U678" s="14"/>
      <c r="V678" s="14"/>
      <c r="W678" s="18"/>
      <c r="X678" s="18"/>
      <c r="Y678" s="18"/>
      <c r="Z678" s="18"/>
      <c r="AA678" s="18"/>
      <c r="AB678" s="18"/>
      <c r="AC678" s="8" t="str">
        <f t="shared" si="110"/>
        <v/>
      </c>
      <c r="AD678" s="8"/>
      <c r="AE678" s="8"/>
      <c r="AF678" s="14"/>
      <c r="AG678" s="13"/>
      <c r="AH678" s="14"/>
      <c r="AI678" s="14"/>
      <c r="AJ678" s="8"/>
      <c r="AK678" s="8"/>
      <c r="AL678" s="8"/>
      <c r="AM678" s="8"/>
      <c r="AN678" s="631"/>
      <c r="AO678" s="18"/>
      <c r="AP678" s="18"/>
      <c r="AQ678" s="18"/>
      <c r="AR678" s="18"/>
      <c r="AS678" s="18"/>
      <c r="AU678" s="448"/>
      <c r="AV678" s="448"/>
      <c r="AW678" s="8" t="str">
        <f>IF(C678&gt;0,VLOOKUP(C678,Foundation_Calc!$A$2:$C$986,3,1),
IF(J678&gt;0,VLOOKUP(J678,Foundation_Calc!$A$2:$C$986,3,1),""))</f>
        <v/>
      </c>
      <c r="AX678" s="8" t="str">
        <f>IF(C678&gt;0,VLOOKUP(C678,Foundation_Calc!$E$2:$G$986,3,1),
IF(J678&gt;0,VLOOKUP(J678,Foundation_Calc!$E$2:$G$986,3,1),""))</f>
        <v/>
      </c>
      <c r="AY678" s="631" t="str">
        <f>IF(L678="","",
IF(AX678="PT",VLOOKUP(L678,Foundation_Calc!$K$4:$R$37,VLOOKUP(AW678,Foundation_Calc!$I$2:$J$8,2,FALSE),0),
IF(AX678="K",VLOOKUP(L678,Foundation_Calc!$K$41:$R$74,VLOOKUP(AW678,Foundation_Calc!$I$2:$J$8,2,FALSE),0),"")))</f>
        <v/>
      </c>
      <c r="AZ678" s="631" t="str">
        <f>IF(K678="","",
IF(AX678="PT",VLOOKUP(K678,Foundation_Calc!$K$4:$R$37,VLOOKUP(AW678,Foundation_Calc!$I$2:$J$8,2,FALSE),0),
IF(AX678="K",VLOOKUP(K678,Foundation_Calc!$K$41:$R$74,VLOOKUP(AW678,Foundation_Calc!$I$2:$J$8,2,FALSE),0),"")))</f>
        <v/>
      </c>
      <c r="BA678" s="632" t="str">
        <f t="shared" si="111"/>
        <v/>
      </c>
      <c r="BB678" s="632" t="str">
        <f t="shared" si="112"/>
        <v/>
      </c>
      <c r="BC678" s="632" t="str">
        <f t="shared" si="113"/>
        <v/>
      </c>
      <c r="BD678" s="633" t="str">
        <f>IF(AND(L678="",H678=""),"",
IF(H678="",Pole_Calc!A706,
IF(H678="MP",Pole_Calc!A707,
IF(H678="AnMP",Pole_Calc!A708,
IF(H678="A",Pole_Calc!A709,
IF(H678="S/A",Pole_Calc!A710,
IF(H678="A/S",Pole_Calc!A711,"Poner a mano")))))))</f>
        <v/>
      </c>
      <c r="BE678" s="448" t="s">
        <v>1726</v>
      </c>
      <c r="BF678" s="634"/>
      <c r="BG678" s="634"/>
      <c r="BH678" s="634"/>
      <c r="BI678" s="634"/>
    </row>
    <row r="679" spans="1:61" ht="16.2" customHeight="1">
      <c r="A679" s="12"/>
      <c r="B679" s="446"/>
      <c r="C679" s="89"/>
      <c r="D679" s="13"/>
      <c r="E679" s="14"/>
      <c r="F679" s="14"/>
      <c r="G679" s="15"/>
      <c r="H679" s="8"/>
      <c r="I679" s="8"/>
      <c r="J679" s="89"/>
      <c r="K679" s="8"/>
      <c r="L679" s="8"/>
      <c r="M679" s="8" t="str">
        <f>IF(L679="","",
IF(AX679="PT",VLOOKUP(L679,Foundation_Calc!$V$4:$X$37,VLOOKUP(AX679,Foundation_Calc!$I$10:$J$13,2,FALSE),0),
IF(AX679="K",VLOOKUP(L679,Foundation_Calc!$V$41:$X$74,VLOOKUP(AX679,Foundation_Calc!$I$10:$J$13,2,FALSE),0),"")))</f>
        <v/>
      </c>
      <c r="N679" s="8"/>
      <c r="O679" s="8"/>
      <c r="P679" s="8"/>
      <c r="Q679" s="14"/>
      <c r="R679" s="15"/>
      <c r="S679" s="15"/>
      <c r="T679" s="14"/>
      <c r="U679" s="14"/>
      <c r="V679" s="14"/>
      <c r="W679" s="18"/>
      <c r="X679" s="18"/>
      <c r="Y679" s="18"/>
      <c r="Z679" s="18"/>
      <c r="AA679" s="18"/>
      <c r="AB679" s="18"/>
      <c r="AC679" s="8" t="str">
        <f t="shared" si="110"/>
        <v/>
      </c>
      <c r="AD679" s="8"/>
      <c r="AE679" s="8"/>
      <c r="AF679" s="14"/>
      <c r="AG679" s="13"/>
      <c r="AH679" s="14"/>
      <c r="AI679" s="14"/>
      <c r="AJ679" s="8"/>
      <c r="AK679" s="8"/>
      <c r="AL679" s="8"/>
      <c r="AM679" s="8"/>
      <c r="AN679" s="631"/>
      <c r="AO679" s="18"/>
      <c r="AP679" s="18"/>
      <c r="AQ679" s="18"/>
      <c r="AR679" s="18"/>
      <c r="AS679" s="18"/>
      <c r="AU679" s="448"/>
      <c r="AV679" s="448"/>
      <c r="AW679" s="8" t="str">
        <f>IF(C679&gt;0,VLOOKUP(C679,Foundation_Calc!$A$2:$C$986,3,1),
IF(J679&gt;0,VLOOKUP(J679,Foundation_Calc!$A$2:$C$986,3,1),""))</f>
        <v/>
      </c>
      <c r="AX679" s="8" t="str">
        <f>IF(C679&gt;0,VLOOKUP(C679,Foundation_Calc!$E$2:$G$986,3,1),
IF(J679&gt;0,VLOOKUP(J679,Foundation_Calc!$E$2:$G$986,3,1),""))</f>
        <v/>
      </c>
      <c r="AY679" s="631" t="str">
        <f>IF(L679="","",
IF(AX679="PT",VLOOKUP(L679,Foundation_Calc!$K$4:$R$37,VLOOKUP(AW679,Foundation_Calc!$I$2:$J$8,2,FALSE),0),
IF(AX679="K",VLOOKUP(L679,Foundation_Calc!$K$41:$R$74,VLOOKUP(AW679,Foundation_Calc!$I$2:$J$8,2,FALSE),0),"")))</f>
        <v/>
      </c>
      <c r="AZ679" s="631" t="str">
        <f>IF(K679="","",
IF(AX679="PT",VLOOKUP(K679,Foundation_Calc!$K$4:$R$37,VLOOKUP(AW679,Foundation_Calc!$I$2:$J$8,2,FALSE),0),
IF(AX679="K",VLOOKUP(K679,Foundation_Calc!$K$41:$R$74,VLOOKUP(AW679,Foundation_Calc!$I$2:$J$8,2,FALSE),0),"")))</f>
        <v/>
      </c>
      <c r="BA679" s="632" t="str">
        <f t="shared" si="111"/>
        <v/>
      </c>
      <c r="BB679" s="632" t="str">
        <f t="shared" si="112"/>
        <v/>
      </c>
      <c r="BC679" s="632" t="str">
        <f t="shared" si="113"/>
        <v/>
      </c>
      <c r="BD679" s="633" t="str">
        <f>IF(AND(L679="",H679=""),"",
IF(H679="",Pole_Calc!A707,
IF(H679="MP",Pole_Calc!A708,
IF(H679="AnMP",Pole_Calc!A709,
IF(H679="A",Pole_Calc!A710,
IF(H679="S/A",Pole_Calc!A711,
IF(H679="A/S",Pole_Calc!A712,"Poner a mano")))))))</f>
        <v/>
      </c>
      <c r="BE679" s="448" t="s">
        <v>1726</v>
      </c>
      <c r="BF679" s="635"/>
      <c r="BG679" s="635"/>
      <c r="BH679" s="634"/>
      <c r="BI679" s="635"/>
    </row>
    <row r="680" spans="1:61" ht="16.2" customHeight="1">
      <c r="A680" s="12"/>
      <c r="B680" s="446"/>
      <c r="C680" s="89"/>
      <c r="D680" s="13"/>
      <c r="E680" s="14"/>
      <c r="F680" s="14"/>
      <c r="G680" s="15"/>
      <c r="H680" s="8"/>
      <c r="I680" s="8"/>
      <c r="J680" s="89"/>
      <c r="K680" s="8"/>
      <c r="L680" s="8"/>
      <c r="M680" s="8" t="str">
        <f>IF(L680="","",
IF(AX680="PT",VLOOKUP(L680,Foundation_Calc!$V$4:$X$37,VLOOKUP(AX680,Foundation_Calc!$I$10:$J$13,2,FALSE),0),
IF(AX680="K",VLOOKUP(L680,Foundation_Calc!$V$41:$X$74,VLOOKUP(AX680,Foundation_Calc!$I$10:$J$13,2,FALSE),0),"")))</f>
        <v/>
      </c>
      <c r="N680" s="8"/>
      <c r="O680" s="8"/>
      <c r="P680" s="8"/>
      <c r="Q680" s="14"/>
      <c r="R680" s="15"/>
      <c r="S680" s="15"/>
      <c r="T680" s="14"/>
      <c r="U680" s="14"/>
      <c r="V680" s="14"/>
      <c r="W680" s="18"/>
      <c r="X680" s="18"/>
      <c r="Y680" s="18"/>
      <c r="Z680" s="18"/>
      <c r="AA680" s="18"/>
      <c r="AB680" s="18"/>
      <c r="AC680" s="8" t="str">
        <f t="shared" si="110"/>
        <v/>
      </c>
      <c r="AD680" s="8"/>
      <c r="AE680" s="8"/>
      <c r="AF680" s="14"/>
      <c r="AG680" s="13"/>
      <c r="AH680" s="14"/>
      <c r="AI680" s="14"/>
      <c r="AJ680" s="8"/>
      <c r="AK680" s="8"/>
      <c r="AL680" s="8"/>
      <c r="AM680" s="8"/>
      <c r="AN680" s="631"/>
      <c r="AO680" s="18"/>
      <c r="AP680" s="18"/>
      <c r="AQ680" s="18"/>
      <c r="AR680" s="18"/>
      <c r="AS680" s="18"/>
      <c r="AU680" s="448"/>
      <c r="AV680" s="448"/>
      <c r="AW680" s="8" t="str">
        <f>IF(C680&gt;0,VLOOKUP(C680,Foundation_Calc!$A$2:$C$986,3,1),
IF(J680&gt;0,VLOOKUP(J680,Foundation_Calc!$A$2:$C$986,3,1),""))</f>
        <v/>
      </c>
      <c r="AX680" s="8" t="str">
        <f>IF(C680&gt;0,VLOOKUP(C680,Foundation_Calc!$E$2:$G$986,3,1),
IF(J680&gt;0,VLOOKUP(J680,Foundation_Calc!$E$2:$G$986,3,1),""))</f>
        <v/>
      </c>
      <c r="AY680" s="631" t="str">
        <f>IF(L680="","",
IF(AX680="PT",VLOOKUP(L680,Foundation_Calc!$K$4:$R$37,VLOOKUP(AW680,Foundation_Calc!$I$2:$J$8,2,FALSE),0),
IF(AX680="K",VLOOKUP(L680,Foundation_Calc!$K$41:$R$74,VLOOKUP(AW680,Foundation_Calc!$I$2:$J$8,2,FALSE),0),"")))</f>
        <v/>
      </c>
      <c r="AZ680" s="631" t="str">
        <f>IF(K680="","",
IF(AX680="PT",VLOOKUP(K680,Foundation_Calc!$K$4:$R$37,VLOOKUP(AW680,Foundation_Calc!$I$2:$J$8,2,FALSE),0),
IF(AX680="K",VLOOKUP(K680,Foundation_Calc!$K$41:$R$74,VLOOKUP(AW680,Foundation_Calc!$I$2:$J$8,2,FALSE),0),"")))</f>
        <v/>
      </c>
      <c r="BA680" s="632" t="str">
        <f t="shared" si="111"/>
        <v/>
      </c>
      <c r="BB680" s="632" t="str">
        <f t="shared" si="112"/>
        <v/>
      </c>
      <c r="BC680" s="632" t="str">
        <f t="shared" si="113"/>
        <v/>
      </c>
      <c r="BD680" s="633" t="str">
        <f>IF(AND(L680="",H680=""),"",
IF(H680="",Pole_Calc!A708,
IF(H680="MP",Pole_Calc!A709,
IF(H680="AnMP",Pole_Calc!A710,
IF(H680="A",Pole_Calc!A711,
IF(H680="S/A",Pole_Calc!A712,
IF(H680="A/S",Pole_Calc!A713,"Poner a mano")))))))</f>
        <v/>
      </c>
      <c r="BE680" s="448" t="s">
        <v>1726</v>
      </c>
      <c r="BF680" s="634"/>
      <c r="BG680" s="634"/>
      <c r="BH680" s="634"/>
      <c r="BI680" s="634"/>
    </row>
    <row r="681" spans="1:61" ht="16.2" customHeight="1">
      <c r="A681" s="12"/>
      <c r="B681" s="446"/>
      <c r="C681" s="89"/>
      <c r="D681" s="13"/>
      <c r="E681" s="14"/>
      <c r="F681" s="14"/>
      <c r="G681" s="15"/>
      <c r="H681" s="8"/>
      <c r="I681" s="8"/>
      <c r="J681" s="89"/>
      <c r="K681" s="8"/>
      <c r="L681" s="8"/>
      <c r="M681" s="8" t="str">
        <f>IF(L681="","",
IF(AX681="PT",VLOOKUP(L681,Foundation_Calc!$V$4:$X$37,VLOOKUP(AX681,Foundation_Calc!$I$10:$J$13,2,FALSE),0),
IF(AX681="K",VLOOKUP(L681,Foundation_Calc!$V$41:$X$74,VLOOKUP(AX681,Foundation_Calc!$I$10:$J$13,2,FALSE),0),"")))</f>
        <v/>
      </c>
      <c r="N681" s="8"/>
      <c r="O681" s="8"/>
      <c r="P681" s="8"/>
      <c r="Q681" s="14"/>
      <c r="R681" s="15"/>
      <c r="S681" s="15"/>
      <c r="T681" s="14"/>
      <c r="U681" s="14"/>
      <c r="V681" s="14"/>
      <c r="W681" s="18"/>
      <c r="X681" s="18"/>
      <c r="Y681" s="18"/>
      <c r="Z681" s="18"/>
      <c r="AA681" s="18"/>
      <c r="AB681" s="18"/>
      <c r="AC681" s="8" t="str">
        <f t="shared" si="110"/>
        <v/>
      </c>
      <c r="AD681" s="8"/>
      <c r="AE681" s="8"/>
      <c r="AF681" s="14"/>
      <c r="AG681" s="13"/>
      <c r="AH681" s="14"/>
      <c r="AI681" s="14"/>
      <c r="AJ681" s="8"/>
      <c r="AK681" s="8"/>
      <c r="AL681" s="8"/>
      <c r="AM681" s="8"/>
      <c r="AN681" s="631"/>
      <c r="AO681" s="18"/>
      <c r="AP681" s="18"/>
      <c r="AQ681" s="18"/>
      <c r="AR681" s="18"/>
      <c r="AS681" s="18"/>
      <c r="AU681" s="448"/>
      <c r="AV681" s="448"/>
      <c r="AW681" s="8" t="str">
        <f>IF(C681&gt;0,VLOOKUP(C681,Foundation_Calc!$A$2:$C$986,3,1),
IF(J681&gt;0,VLOOKUP(J681,Foundation_Calc!$A$2:$C$986,3,1),""))</f>
        <v/>
      </c>
      <c r="AX681" s="8" t="str">
        <f>IF(C681&gt;0,VLOOKUP(C681,Foundation_Calc!$E$2:$G$986,3,1),
IF(J681&gt;0,VLOOKUP(J681,Foundation_Calc!$E$2:$G$986,3,1),""))</f>
        <v/>
      </c>
      <c r="AY681" s="631" t="str">
        <f>IF(L681="","",
IF(AX681="PT",VLOOKUP(L681,Foundation_Calc!$K$4:$R$37,VLOOKUP(AW681,Foundation_Calc!$I$2:$J$8,2,FALSE),0),
IF(AX681="K",VLOOKUP(L681,Foundation_Calc!$K$41:$R$74,VLOOKUP(AW681,Foundation_Calc!$I$2:$J$8,2,FALSE),0),"")))</f>
        <v/>
      </c>
      <c r="AZ681" s="631" t="str">
        <f>IF(K681="","",
IF(AX681="PT",VLOOKUP(K681,Foundation_Calc!$K$4:$R$37,VLOOKUP(AW681,Foundation_Calc!$I$2:$J$8,2,FALSE),0),
IF(AX681="K",VLOOKUP(K681,Foundation_Calc!$K$41:$R$74,VLOOKUP(AW681,Foundation_Calc!$I$2:$J$8,2,FALSE),0),"")))</f>
        <v/>
      </c>
      <c r="BA681" s="632" t="str">
        <f t="shared" si="111"/>
        <v/>
      </c>
      <c r="BB681" s="632" t="str">
        <f t="shared" si="112"/>
        <v/>
      </c>
      <c r="BC681" s="632" t="str">
        <f t="shared" si="113"/>
        <v/>
      </c>
      <c r="BD681" s="633" t="str">
        <f>IF(AND(L681="",H681=""),"",
IF(H681="",Pole_Calc!A709,
IF(H681="MP",Pole_Calc!A710,
IF(H681="AnMP",Pole_Calc!A711,
IF(H681="A",Pole_Calc!A712,
IF(H681="S/A",Pole_Calc!A713,
IF(H681="A/S",Pole_Calc!A714,"Poner a mano")))))))</f>
        <v/>
      </c>
      <c r="BE681" s="448" t="s">
        <v>1726</v>
      </c>
      <c r="BF681" s="635"/>
      <c r="BG681" s="635"/>
      <c r="BH681" s="634"/>
      <c r="BI681" s="635"/>
    </row>
    <row r="682" spans="1:61" ht="16.2" customHeight="1">
      <c r="A682" s="12"/>
      <c r="B682" s="446"/>
      <c r="C682" s="89"/>
      <c r="D682" s="13"/>
      <c r="E682" s="14"/>
      <c r="F682" s="14"/>
      <c r="G682" s="15"/>
      <c r="H682" s="8"/>
      <c r="I682" s="8"/>
      <c r="J682" s="89"/>
      <c r="K682" s="8"/>
      <c r="L682" s="8"/>
      <c r="M682" s="8" t="str">
        <f>IF(L682="","",
IF(AX682="PT",VLOOKUP(L682,Foundation_Calc!$V$4:$X$37,VLOOKUP(AX682,Foundation_Calc!$I$10:$J$13,2,FALSE),0),
IF(AX682="K",VLOOKUP(L682,Foundation_Calc!$V$41:$X$74,VLOOKUP(AX682,Foundation_Calc!$I$10:$J$13,2,FALSE),0),"")))</f>
        <v/>
      </c>
      <c r="N682" s="8"/>
      <c r="O682" s="8"/>
      <c r="P682" s="8"/>
      <c r="Q682" s="14"/>
      <c r="R682" s="15"/>
      <c r="S682" s="15"/>
      <c r="T682" s="14"/>
      <c r="U682" s="14"/>
      <c r="V682" s="14"/>
      <c r="W682" s="18"/>
      <c r="X682" s="18"/>
      <c r="Y682" s="18"/>
      <c r="Z682" s="18"/>
      <c r="AA682" s="18"/>
      <c r="AB682" s="18"/>
      <c r="AC682" s="8" t="str">
        <f t="shared" si="110"/>
        <v/>
      </c>
      <c r="AD682" s="8"/>
      <c r="AE682" s="8"/>
      <c r="AF682" s="14"/>
      <c r="AG682" s="13"/>
      <c r="AH682" s="14"/>
      <c r="AI682" s="14"/>
      <c r="AJ682" s="8"/>
      <c r="AK682" s="8"/>
      <c r="AL682" s="8"/>
      <c r="AM682" s="8"/>
      <c r="AN682" s="631"/>
      <c r="AO682" s="18"/>
      <c r="AP682" s="18"/>
      <c r="AQ682" s="18"/>
      <c r="AR682" s="18"/>
      <c r="AS682" s="18"/>
      <c r="AU682" s="448"/>
      <c r="AV682" s="448"/>
      <c r="AW682" s="8" t="str">
        <f>IF(C682&gt;0,VLOOKUP(C682,Foundation_Calc!$A$2:$C$986,3,1),
IF(J682&gt;0,VLOOKUP(J682,Foundation_Calc!$A$2:$C$986,3,1),""))</f>
        <v/>
      </c>
      <c r="AX682" s="8" t="str">
        <f>IF(C682&gt;0,VLOOKUP(C682,Foundation_Calc!$E$2:$G$986,3,1),
IF(J682&gt;0,VLOOKUP(J682,Foundation_Calc!$E$2:$G$986,3,1),""))</f>
        <v/>
      </c>
      <c r="AY682" s="631" t="str">
        <f>IF(L682="","",
IF(AX682="PT",VLOOKUP(L682,Foundation_Calc!$K$4:$R$37,VLOOKUP(AW682,Foundation_Calc!$I$2:$J$8,2,FALSE),0),
IF(AX682="K",VLOOKUP(L682,Foundation_Calc!$K$41:$R$74,VLOOKUP(AW682,Foundation_Calc!$I$2:$J$8,2,FALSE),0),"")))</f>
        <v/>
      </c>
      <c r="AZ682" s="631" t="str">
        <f>IF(K682="","",
IF(AX682="PT",VLOOKUP(K682,Foundation_Calc!$K$4:$R$37,VLOOKUP(AW682,Foundation_Calc!$I$2:$J$8,2,FALSE),0),
IF(AX682="K",VLOOKUP(K682,Foundation_Calc!$K$41:$R$74,VLOOKUP(AW682,Foundation_Calc!$I$2:$J$8,2,FALSE),0),"")))</f>
        <v/>
      </c>
      <c r="BA682" s="632" t="str">
        <f t="shared" si="111"/>
        <v/>
      </c>
      <c r="BB682" s="632" t="str">
        <f t="shared" si="112"/>
        <v/>
      </c>
      <c r="BC682" s="632" t="str">
        <f t="shared" si="113"/>
        <v/>
      </c>
      <c r="BD682" s="633" t="str">
        <f>IF(AND(L682="",H682=""),"",
IF(H682="",Pole_Calc!A710,
IF(H682="MP",Pole_Calc!A711,
IF(H682="AnMP",Pole_Calc!A712,
IF(H682="A",Pole_Calc!A713,
IF(H682="S/A",Pole_Calc!A714,
IF(H682="A/S",Pole_Calc!A715,"Poner a mano")))))))</f>
        <v/>
      </c>
      <c r="BE682" s="448" t="s">
        <v>1726</v>
      </c>
      <c r="BF682" s="634"/>
      <c r="BG682" s="634"/>
      <c r="BH682" s="634"/>
      <c r="BI682" s="634"/>
    </row>
    <row r="683" spans="1:61" ht="16.2" customHeight="1">
      <c r="A683" s="12"/>
      <c r="B683" s="446"/>
      <c r="C683" s="89"/>
      <c r="D683" s="13"/>
      <c r="E683" s="14"/>
      <c r="F683" s="14"/>
      <c r="G683" s="15"/>
      <c r="H683" s="8"/>
      <c r="I683" s="8"/>
      <c r="J683" s="89"/>
      <c r="K683" s="8"/>
      <c r="L683" s="8"/>
      <c r="M683" s="8" t="str">
        <f>IF(L683="","",
IF(AX683="PT",VLOOKUP(L683,Foundation_Calc!$V$4:$X$37,VLOOKUP(AX683,Foundation_Calc!$I$10:$J$13,2,FALSE),0),
IF(AX683="K",VLOOKUP(L683,Foundation_Calc!$V$41:$X$74,VLOOKUP(AX683,Foundation_Calc!$I$10:$J$13,2,FALSE),0),"")))</f>
        <v/>
      </c>
      <c r="N683" s="8"/>
      <c r="O683" s="8"/>
      <c r="P683" s="8"/>
      <c r="Q683" s="14"/>
      <c r="R683" s="15"/>
      <c r="S683" s="15"/>
      <c r="T683" s="14"/>
      <c r="U683" s="14"/>
      <c r="V683" s="14"/>
      <c r="W683" s="18"/>
      <c r="X683" s="18"/>
      <c r="Y683" s="18"/>
      <c r="Z683" s="18"/>
      <c r="AA683" s="18"/>
      <c r="AB683" s="18"/>
      <c r="AC683" s="8" t="str">
        <f t="shared" si="110"/>
        <v/>
      </c>
      <c r="AD683" s="8"/>
      <c r="AE683" s="8"/>
      <c r="AF683" s="14"/>
      <c r="AG683" s="13"/>
      <c r="AH683" s="14"/>
      <c r="AI683" s="14"/>
      <c r="AJ683" s="8"/>
      <c r="AK683" s="8"/>
      <c r="AL683" s="8"/>
      <c r="AM683" s="8"/>
      <c r="AN683" s="631"/>
      <c r="AO683" s="18"/>
      <c r="AP683" s="18"/>
      <c r="AQ683" s="18"/>
      <c r="AR683" s="18"/>
      <c r="AS683" s="18"/>
      <c r="AU683" s="448"/>
      <c r="AV683" s="448"/>
      <c r="AW683" s="8" t="str">
        <f>IF(C683&gt;0,VLOOKUP(C683,Foundation_Calc!$A$2:$C$986,3,1),
IF(J683&gt;0,VLOOKUP(J683,Foundation_Calc!$A$2:$C$986,3,1),""))</f>
        <v/>
      </c>
      <c r="AX683" s="8" t="str">
        <f>IF(C683&gt;0,VLOOKUP(C683,Foundation_Calc!$E$2:$G$986,3,1),
IF(J683&gt;0,VLOOKUP(J683,Foundation_Calc!$E$2:$G$986,3,1),""))</f>
        <v/>
      </c>
      <c r="AY683" s="631" t="str">
        <f>IF(L683="","",
IF(AX683="PT",VLOOKUP(L683,Foundation_Calc!$K$4:$R$37,VLOOKUP(AW683,Foundation_Calc!$I$2:$J$8,2,FALSE),0),
IF(AX683="K",VLOOKUP(L683,Foundation_Calc!$K$41:$R$74,VLOOKUP(AW683,Foundation_Calc!$I$2:$J$8,2,FALSE),0),"")))</f>
        <v/>
      </c>
      <c r="AZ683" s="631" t="str">
        <f>IF(K683="","",
IF(AX683="PT",VLOOKUP(K683,Foundation_Calc!$K$4:$R$37,VLOOKUP(AW683,Foundation_Calc!$I$2:$J$8,2,FALSE),0),
IF(AX683="K",VLOOKUP(K683,Foundation_Calc!$K$41:$R$74,VLOOKUP(AW683,Foundation_Calc!$I$2:$J$8,2,FALSE),0),"")))</f>
        <v/>
      </c>
      <c r="BA683" s="632" t="str">
        <f t="shared" si="111"/>
        <v/>
      </c>
      <c r="BB683" s="632" t="str">
        <f t="shared" si="112"/>
        <v/>
      </c>
      <c r="BC683" s="632" t="str">
        <f t="shared" si="113"/>
        <v/>
      </c>
      <c r="BD683" s="633" t="str">
        <f>IF(AND(L683="",H683=""),"",
IF(H683="",Pole_Calc!A711,
IF(H683="MP",Pole_Calc!A712,
IF(H683="AnMP",Pole_Calc!A713,
IF(H683="A",Pole_Calc!A714,
IF(H683="S/A",Pole_Calc!A715,
IF(H683="A/S",Pole_Calc!A716,"Poner a mano")))))))</f>
        <v/>
      </c>
      <c r="BE683" s="448" t="s">
        <v>1726</v>
      </c>
      <c r="BF683" s="635"/>
      <c r="BG683" s="635"/>
      <c r="BH683" s="634"/>
      <c r="BI683" s="635"/>
    </row>
    <row r="684" spans="1:61" ht="16.2" customHeight="1">
      <c r="A684" s="12"/>
      <c r="B684" s="446"/>
      <c r="C684" s="89"/>
      <c r="D684" s="13"/>
      <c r="E684" s="14"/>
      <c r="F684" s="14"/>
      <c r="G684" s="15"/>
      <c r="H684" s="8"/>
      <c r="I684" s="8"/>
      <c r="J684" s="89"/>
      <c r="K684" s="8"/>
      <c r="L684" s="8"/>
      <c r="M684" s="8" t="str">
        <f>IF(L684="","",
IF(AX684="PT",VLOOKUP(L684,Foundation_Calc!$V$4:$X$37,VLOOKUP(AX684,Foundation_Calc!$I$10:$J$13,2,FALSE),0),
IF(AX684="K",VLOOKUP(L684,Foundation_Calc!$V$41:$X$74,VLOOKUP(AX684,Foundation_Calc!$I$10:$J$13,2,FALSE),0),"")))</f>
        <v/>
      </c>
      <c r="N684" s="8"/>
      <c r="O684" s="8"/>
      <c r="P684" s="8"/>
      <c r="Q684" s="14"/>
      <c r="R684" s="15"/>
      <c r="S684" s="15"/>
      <c r="T684" s="14"/>
      <c r="U684" s="14"/>
      <c r="V684" s="14"/>
      <c r="W684" s="18"/>
      <c r="X684" s="18"/>
      <c r="Y684" s="18"/>
      <c r="Z684" s="18"/>
      <c r="AA684" s="18"/>
      <c r="AB684" s="18"/>
      <c r="AC684" s="8" t="str">
        <f t="shared" si="110"/>
        <v/>
      </c>
      <c r="AD684" s="8"/>
      <c r="AE684" s="8"/>
      <c r="AF684" s="14"/>
      <c r="AG684" s="13"/>
      <c r="AH684" s="14"/>
      <c r="AI684" s="14"/>
      <c r="AJ684" s="8"/>
      <c r="AK684" s="8"/>
      <c r="AL684" s="8"/>
      <c r="AM684" s="8"/>
      <c r="AN684" s="631"/>
      <c r="AO684" s="18"/>
      <c r="AP684" s="18"/>
      <c r="AQ684" s="18"/>
      <c r="AR684" s="18"/>
      <c r="AS684" s="18"/>
      <c r="AU684" s="448"/>
      <c r="AV684" s="448"/>
      <c r="AW684" s="8" t="str">
        <f>IF(C684&gt;0,VLOOKUP(C684,Foundation_Calc!$A$2:$C$986,3,1),
IF(J684&gt;0,VLOOKUP(J684,Foundation_Calc!$A$2:$C$986,3,1),""))</f>
        <v/>
      </c>
      <c r="AX684" s="8" t="str">
        <f>IF(C684&gt;0,VLOOKUP(C684,Foundation_Calc!$E$2:$G$986,3,1),
IF(J684&gt;0,VLOOKUP(J684,Foundation_Calc!$E$2:$G$986,3,1),""))</f>
        <v/>
      </c>
      <c r="AY684" s="631" t="str">
        <f>IF(L684="","",
IF(AX684="PT",VLOOKUP(L684,Foundation_Calc!$K$4:$R$37,VLOOKUP(AW684,Foundation_Calc!$I$2:$J$8,2,FALSE),0),
IF(AX684="K",VLOOKUP(L684,Foundation_Calc!$K$41:$R$74,VLOOKUP(AW684,Foundation_Calc!$I$2:$J$8,2,FALSE),0),"")))</f>
        <v/>
      </c>
      <c r="AZ684" s="631" t="str">
        <f>IF(K684="","",
IF(AX684="PT",VLOOKUP(K684,Foundation_Calc!$K$4:$R$37,VLOOKUP(AW684,Foundation_Calc!$I$2:$J$8,2,FALSE),0),
IF(AX684="K",VLOOKUP(K684,Foundation_Calc!$K$41:$R$74,VLOOKUP(AW684,Foundation_Calc!$I$2:$J$8,2,FALSE),0),"")))</f>
        <v/>
      </c>
      <c r="BA684" s="632" t="str">
        <f t="shared" si="111"/>
        <v/>
      </c>
      <c r="BB684" s="632" t="str">
        <f t="shared" si="112"/>
        <v/>
      </c>
      <c r="BC684" s="632" t="str">
        <f t="shared" si="113"/>
        <v/>
      </c>
      <c r="BD684" s="633" t="str">
        <f>IF(AND(L684="",H684=""),"",
IF(H684="",Pole_Calc!A712,
IF(H684="MP",Pole_Calc!A713,
IF(H684="AnMP",Pole_Calc!A714,
IF(H684="A",Pole_Calc!A715,
IF(H684="S/A",Pole_Calc!A716,
IF(H684="A/S",Pole_Calc!A717,"Poner a mano")))))))</f>
        <v/>
      </c>
      <c r="BE684" s="448" t="s">
        <v>1726</v>
      </c>
      <c r="BF684" s="634"/>
      <c r="BG684" s="634"/>
      <c r="BH684" s="634"/>
      <c r="BI684" s="634"/>
    </row>
    <row r="685" spans="1:61" ht="16.2" customHeight="1">
      <c r="A685" s="12"/>
      <c r="B685" s="446"/>
      <c r="C685" s="89"/>
      <c r="D685" s="13"/>
      <c r="E685" s="14"/>
      <c r="F685" s="14"/>
      <c r="G685" s="15"/>
      <c r="H685" s="8"/>
      <c r="I685" s="8"/>
      <c r="J685" s="89"/>
      <c r="K685" s="8"/>
      <c r="L685" s="8"/>
      <c r="M685" s="8" t="str">
        <f>IF(L685="","",
IF(AX685="PT",VLOOKUP(L685,Foundation_Calc!$V$4:$X$37,VLOOKUP(AX685,Foundation_Calc!$I$10:$J$13,2,FALSE),0),
IF(AX685="K",VLOOKUP(L685,Foundation_Calc!$V$41:$X$74,VLOOKUP(AX685,Foundation_Calc!$I$10:$J$13,2,FALSE),0),"")))</f>
        <v/>
      </c>
      <c r="N685" s="8"/>
      <c r="O685" s="8"/>
      <c r="P685" s="8"/>
      <c r="Q685" s="14"/>
      <c r="R685" s="15"/>
      <c r="S685" s="15"/>
      <c r="T685" s="14"/>
      <c r="U685" s="14"/>
      <c r="V685" s="14"/>
      <c r="W685" s="18"/>
      <c r="X685" s="18"/>
      <c r="Y685" s="18"/>
      <c r="Z685" s="18"/>
      <c r="AA685" s="18"/>
      <c r="AB685" s="18"/>
      <c r="AC685" s="8" t="str">
        <f t="shared" si="110"/>
        <v/>
      </c>
      <c r="AD685" s="8"/>
      <c r="AE685" s="8"/>
      <c r="AF685" s="14"/>
      <c r="AG685" s="13"/>
      <c r="AH685" s="14"/>
      <c r="AI685" s="14"/>
      <c r="AJ685" s="8"/>
      <c r="AK685" s="8"/>
      <c r="AL685" s="8"/>
      <c r="AM685" s="8"/>
      <c r="AN685" s="631"/>
      <c r="AO685" s="18"/>
      <c r="AP685" s="18"/>
      <c r="AQ685" s="18"/>
      <c r="AR685" s="18"/>
      <c r="AS685" s="18"/>
      <c r="AU685" s="448"/>
      <c r="AV685" s="448"/>
      <c r="AW685" s="8" t="str">
        <f>IF(C685&gt;0,VLOOKUP(C685,Foundation_Calc!$A$2:$C$986,3,1),
IF(J685&gt;0,VLOOKUP(J685,Foundation_Calc!$A$2:$C$986,3,1),""))</f>
        <v/>
      </c>
      <c r="AX685" s="8" t="str">
        <f>IF(C685&gt;0,VLOOKUP(C685,Foundation_Calc!$E$2:$G$986,3,1),
IF(J685&gt;0,VLOOKUP(J685,Foundation_Calc!$E$2:$G$986,3,1),""))</f>
        <v/>
      </c>
      <c r="AY685" s="631" t="str">
        <f>IF(L685="","",
IF(AX685="PT",VLOOKUP(L685,Foundation_Calc!$K$4:$R$37,VLOOKUP(AW685,Foundation_Calc!$I$2:$J$8,2,FALSE),0),
IF(AX685="K",VLOOKUP(L685,Foundation_Calc!$K$41:$R$74,VLOOKUP(AW685,Foundation_Calc!$I$2:$J$8,2,FALSE),0),"")))</f>
        <v/>
      </c>
      <c r="AZ685" s="631" t="str">
        <f>IF(K685="","",
IF(AX685="PT",VLOOKUP(K685,Foundation_Calc!$K$4:$R$37,VLOOKUP(AW685,Foundation_Calc!$I$2:$J$8,2,FALSE),0),
IF(AX685="K",VLOOKUP(K685,Foundation_Calc!$K$41:$R$74,VLOOKUP(AW685,Foundation_Calc!$I$2:$J$8,2,FALSE),0),"")))</f>
        <v/>
      </c>
      <c r="BA685" s="632" t="str">
        <f t="shared" si="111"/>
        <v/>
      </c>
      <c r="BB685" s="632" t="str">
        <f t="shared" si="112"/>
        <v/>
      </c>
      <c r="BC685" s="632" t="str">
        <f t="shared" si="113"/>
        <v/>
      </c>
      <c r="BD685" s="633" t="str">
        <f>IF(AND(L685="",H685=""),"",
IF(H685="",Pole_Calc!A713,
IF(H685="MP",Pole_Calc!A714,
IF(H685="AnMP",Pole_Calc!A715,
IF(H685="A",Pole_Calc!A716,
IF(H685="S/A",Pole_Calc!A717,
IF(H685="A/S",Pole_Calc!A718,"Poner a mano")))))))</f>
        <v/>
      </c>
      <c r="BE685" s="448" t="s">
        <v>1726</v>
      </c>
      <c r="BF685" s="635"/>
      <c r="BG685" s="635"/>
      <c r="BH685" s="634"/>
      <c r="BI685" s="635"/>
    </row>
    <row r="686" spans="1:61" ht="16.2" customHeight="1">
      <c r="A686" s="12"/>
      <c r="B686" s="446"/>
      <c r="C686" s="89"/>
      <c r="D686" s="13"/>
      <c r="E686" s="14"/>
      <c r="F686" s="14"/>
      <c r="G686" s="15"/>
      <c r="H686" s="8"/>
      <c r="I686" s="8"/>
      <c r="J686" s="89"/>
      <c r="K686" s="8"/>
      <c r="L686" s="8"/>
      <c r="M686" s="8" t="str">
        <f>IF(L686="","",
IF(AX686="PT",VLOOKUP(L686,Foundation_Calc!$V$4:$X$37,VLOOKUP(AX686,Foundation_Calc!$I$10:$J$13,2,FALSE),0),
IF(AX686="K",VLOOKUP(L686,Foundation_Calc!$V$41:$X$74,VLOOKUP(AX686,Foundation_Calc!$I$10:$J$13,2,FALSE),0),"")))</f>
        <v/>
      </c>
      <c r="N686" s="8"/>
      <c r="O686" s="8"/>
      <c r="P686" s="8"/>
      <c r="Q686" s="14"/>
      <c r="R686" s="15"/>
      <c r="S686" s="15"/>
      <c r="T686" s="14"/>
      <c r="U686" s="14"/>
      <c r="V686" s="14"/>
      <c r="W686" s="18"/>
      <c r="X686" s="18"/>
      <c r="Y686" s="18"/>
      <c r="Z686" s="18"/>
      <c r="AA686" s="18"/>
      <c r="AB686" s="18"/>
      <c r="AC686" s="8" t="str">
        <f t="shared" si="110"/>
        <v/>
      </c>
      <c r="AD686" s="8"/>
      <c r="AE686" s="8"/>
      <c r="AF686" s="14"/>
      <c r="AG686" s="13"/>
      <c r="AH686" s="14"/>
      <c r="AI686" s="14"/>
      <c r="AJ686" s="8"/>
      <c r="AK686" s="8"/>
      <c r="AL686" s="8"/>
      <c r="AM686" s="8"/>
      <c r="AN686" s="631"/>
      <c r="AO686" s="18"/>
      <c r="AP686" s="18"/>
      <c r="AQ686" s="18"/>
      <c r="AR686" s="18"/>
      <c r="AS686" s="18"/>
      <c r="AU686" s="448"/>
      <c r="AV686" s="448"/>
      <c r="AW686" s="8" t="str">
        <f>IF(C686&gt;0,VLOOKUP(C686,Foundation_Calc!$A$2:$C$986,3,1),
IF(J686&gt;0,VLOOKUP(J686,Foundation_Calc!$A$2:$C$986,3,1),""))</f>
        <v/>
      </c>
      <c r="AX686" s="8" t="str">
        <f>IF(C686&gt;0,VLOOKUP(C686,Foundation_Calc!$E$2:$G$986,3,1),
IF(J686&gt;0,VLOOKUP(J686,Foundation_Calc!$E$2:$G$986,3,1),""))</f>
        <v/>
      </c>
      <c r="AY686" s="631" t="str">
        <f>IF(L686="","",
IF(AX686="PT",VLOOKUP(L686,Foundation_Calc!$K$4:$R$37,VLOOKUP(AW686,Foundation_Calc!$I$2:$J$8,2,FALSE),0),
IF(AX686="K",VLOOKUP(L686,Foundation_Calc!$K$41:$R$74,VLOOKUP(AW686,Foundation_Calc!$I$2:$J$8,2,FALSE),0),"")))</f>
        <v/>
      </c>
      <c r="AZ686" s="631" t="str">
        <f>IF(K686="","",
IF(AX686="PT",VLOOKUP(K686,Foundation_Calc!$K$4:$R$37,VLOOKUP(AW686,Foundation_Calc!$I$2:$J$8,2,FALSE),0),
IF(AX686="K",VLOOKUP(K686,Foundation_Calc!$K$41:$R$74,VLOOKUP(AW686,Foundation_Calc!$I$2:$J$8,2,FALSE),0),"")))</f>
        <v/>
      </c>
      <c r="BA686" s="632" t="str">
        <f t="shared" si="111"/>
        <v/>
      </c>
      <c r="BB686" s="632" t="str">
        <f t="shared" si="112"/>
        <v/>
      </c>
      <c r="BC686" s="632" t="str">
        <f t="shared" si="113"/>
        <v/>
      </c>
      <c r="BD686" s="633" t="str">
        <f>IF(AND(L686="",H686=""),"",
IF(H686="",Pole_Calc!A714,
IF(H686="MP",Pole_Calc!A715,
IF(H686="AnMP",Pole_Calc!A716,
IF(H686="A",Pole_Calc!A717,
IF(H686="S/A",Pole_Calc!A718,
IF(H686="A/S",Pole_Calc!A719,"Poner a mano")))))))</f>
        <v/>
      </c>
      <c r="BE686" s="448" t="s">
        <v>1726</v>
      </c>
      <c r="BF686" s="634"/>
      <c r="BG686" s="634"/>
      <c r="BH686" s="634"/>
      <c r="BI686" s="634"/>
    </row>
    <row r="687" spans="1:61" ht="16.2" customHeight="1">
      <c r="A687" s="12"/>
      <c r="B687" s="446"/>
      <c r="C687" s="89"/>
      <c r="D687" s="13"/>
      <c r="E687" s="14"/>
      <c r="F687" s="14"/>
      <c r="G687" s="15"/>
      <c r="H687" s="8"/>
      <c r="I687" s="8"/>
      <c r="J687" s="89"/>
      <c r="K687" s="8"/>
      <c r="L687" s="8"/>
      <c r="M687" s="8" t="str">
        <f>IF(L687="","",
IF(AX687="PT",VLOOKUP(L687,Foundation_Calc!$V$4:$X$37,VLOOKUP(AX687,Foundation_Calc!$I$10:$J$13,2,FALSE),0),
IF(AX687="K",VLOOKUP(L687,Foundation_Calc!$V$41:$X$74,VLOOKUP(AX687,Foundation_Calc!$I$10:$J$13,2,FALSE),0),"")))</f>
        <v/>
      </c>
      <c r="N687" s="8"/>
      <c r="O687" s="8"/>
      <c r="P687" s="8"/>
      <c r="Q687" s="14"/>
      <c r="R687" s="15"/>
      <c r="S687" s="15"/>
      <c r="T687" s="14"/>
      <c r="U687" s="14"/>
      <c r="V687" s="14"/>
      <c r="W687" s="18"/>
      <c r="X687" s="18"/>
      <c r="Y687" s="18"/>
      <c r="Z687" s="18"/>
      <c r="AA687" s="18"/>
      <c r="AB687" s="18"/>
      <c r="AC687" s="8" t="str">
        <f t="shared" si="110"/>
        <v/>
      </c>
      <c r="AD687" s="8"/>
      <c r="AE687" s="8"/>
      <c r="AF687" s="14"/>
      <c r="AG687" s="13"/>
      <c r="AH687" s="14"/>
      <c r="AI687" s="14"/>
      <c r="AJ687" s="8"/>
      <c r="AK687" s="8"/>
      <c r="AL687" s="8"/>
      <c r="AM687" s="8"/>
      <c r="AN687" s="631"/>
      <c r="AO687" s="18"/>
      <c r="AP687" s="18"/>
      <c r="AQ687" s="18"/>
      <c r="AR687" s="18"/>
      <c r="AS687" s="18"/>
      <c r="AU687" s="448"/>
      <c r="AV687" s="448"/>
      <c r="AW687" s="8" t="str">
        <f>IF(C687&gt;0,VLOOKUP(C687,Foundation_Calc!$A$2:$C$986,3,1),
IF(J687&gt;0,VLOOKUP(J687,Foundation_Calc!$A$2:$C$986,3,1),""))</f>
        <v/>
      </c>
      <c r="AX687" s="8" t="str">
        <f>IF(C687&gt;0,VLOOKUP(C687,Foundation_Calc!$E$2:$G$986,3,1),
IF(J687&gt;0,VLOOKUP(J687,Foundation_Calc!$E$2:$G$986,3,1),""))</f>
        <v/>
      </c>
      <c r="AY687" s="631" t="str">
        <f>IF(L687="","",
IF(AX687="PT",VLOOKUP(L687,Foundation_Calc!$K$4:$R$37,VLOOKUP(AW687,Foundation_Calc!$I$2:$J$8,2,FALSE),0),
IF(AX687="K",VLOOKUP(L687,Foundation_Calc!$K$41:$R$74,VLOOKUP(AW687,Foundation_Calc!$I$2:$J$8,2,FALSE),0),"")))</f>
        <v/>
      </c>
      <c r="AZ687" s="631" t="str">
        <f>IF(K687="","",
IF(AX687="PT",VLOOKUP(K687,Foundation_Calc!$K$4:$R$37,VLOOKUP(AW687,Foundation_Calc!$I$2:$J$8,2,FALSE),0),
IF(AX687="K",VLOOKUP(K687,Foundation_Calc!$K$41:$R$74,VLOOKUP(AW687,Foundation_Calc!$I$2:$J$8,2,FALSE),0),"")))</f>
        <v/>
      </c>
      <c r="BA687" s="632" t="str">
        <f t="shared" si="111"/>
        <v/>
      </c>
      <c r="BB687" s="632" t="str">
        <f t="shared" si="112"/>
        <v/>
      </c>
      <c r="BC687" s="632" t="str">
        <f t="shared" si="113"/>
        <v/>
      </c>
      <c r="BD687" s="633" t="str">
        <f>IF(AND(L687="",H687=""),"",
IF(H687="",Pole_Calc!A715,
IF(H687="MP",Pole_Calc!A716,
IF(H687="AnMP",Pole_Calc!A717,
IF(H687="A",Pole_Calc!A718,
IF(H687="S/A",Pole_Calc!A719,
IF(H687="A/S",Pole_Calc!A720,"Poner a mano")))))))</f>
        <v/>
      </c>
      <c r="BE687" s="448" t="s">
        <v>1726</v>
      </c>
      <c r="BF687" s="635"/>
      <c r="BG687" s="635"/>
      <c r="BH687" s="634"/>
      <c r="BI687" s="635"/>
    </row>
    <row r="688" spans="1:61" ht="16.2" customHeight="1">
      <c r="A688" s="12"/>
      <c r="B688" s="446"/>
      <c r="C688" s="89"/>
      <c r="D688" s="13"/>
      <c r="E688" s="14"/>
      <c r="F688" s="14"/>
      <c r="G688" s="15"/>
      <c r="H688" s="8"/>
      <c r="I688" s="8"/>
      <c r="J688" s="89"/>
      <c r="K688" s="8"/>
      <c r="L688" s="8"/>
      <c r="M688" s="8" t="str">
        <f>IF(L688="","",
IF(AX688="PT",VLOOKUP(L688,Foundation_Calc!$V$4:$X$37,VLOOKUP(AX688,Foundation_Calc!$I$10:$J$13,2,FALSE),0),
IF(AX688="K",VLOOKUP(L688,Foundation_Calc!$V$41:$X$74,VLOOKUP(AX688,Foundation_Calc!$I$10:$J$13,2,FALSE),0),"")))</f>
        <v/>
      </c>
      <c r="N688" s="8"/>
      <c r="O688" s="8"/>
      <c r="P688" s="8"/>
      <c r="Q688" s="14"/>
      <c r="R688" s="15"/>
      <c r="S688" s="15"/>
      <c r="T688" s="14"/>
      <c r="U688" s="14"/>
      <c r="V688" s="14"/>
      <c r="W688" s="18"/>
      <c r="X688" s="18"/>
      <c r="Y688" s="18"/>
      <c r="Z688" s="18"/>
      <c r="AA688" s="18"/>
      <c r="AB688" s="18"/>
      <c r="AC688" s="8" t="str">
        <f t="shared" si="110"/>
        <v/>
      </c>
      <c r="AD688" s="8"/>
      <c r="AE688" s="8"/>
      <c r="AF688" s="14"/>
      <c r="AG688" s="13"/>
      <c r="AH688" s="14"/>
      <c r="AI688" s="14"/>
      <c r="AJ688" s="8"/>
      <c r="AK688" s="8"/>
      <c r="AL688" s="8"/>
      <c r="AM688" s="8"/>
      <c r="AN688" s="631"/>
      <c r="AO688" s="18"/>
      <c r="AP688" s="18"/>
      <c r="AQ688" s="18"/>
      <c r="AR688" s="18"/>
      <c r="AS688" s="18"/>
      <c r="AU688" s="448"/>
      <c r="AV688" s="448"/>
      <c r="AW688" s="8" t="str">
        <f>IF(C688&gt;0,VLOOKUP(C688,Foundation_Calc!$A$2:$C$986,3,1),
IF(J688&gt;0,VLOOKUP(J688,Foundation_Calc!$A$2:$C$986,3,1),""))</f>
        <v/>
      </c>
      <c r="AX688" s="8" t="str">
        <f>IF(C688&gt;0,VLOOKUP(C688,Foundation_Calc!$E$2:$G$986,3,1),
IF(J688&gt;0,VLOOKUP(J688,Foundation_Calc!$E$2:$G$986,3,1),""))</f>
        <v/>
      </c>
      <c r="AY688" s="631" t="str">
        <f>IF(L688="","",
IF(AX688="PT",VLOOKUP(L688,Foundation_Calc!$K$4:$R$37,VLOOKUP(AW688,Foundation_Calc!$I$2:$J$8,2,FALSE),0),
IF(AX688="K",VLOOKUP(L688,Foundation_Calc!$K$41:$R$74,VLOOKUP(AW688,Foundation_Calc!$I$2:$J$8,2,FALSE),0),"")))</f>
        <v/>
      </c>
      <c r="AZ688" s="631" t="str">
        <f>IF(K688="","",
IF(AX688="PT",VLOOKUP(K688,Foundation_Calc!$K$4:$R$37,VLOOKUP(AW688,Foundation_Calc!$I$2:$J$8,2,FALSE),0),
IF(AX688="K",VLOOKUP(K688,Foundation_Calc!$K$41:$R$74,VLOOKUP(AW688,Foundation_Calc!$I$2:$J$8,2,FALSE),0),"")))</f>
        <v/>
      </c>
      <c r="BA688" s="632" t="str">
        <f t="shared" si="111"/>
        <v/>
      </c>
      <c r="BB688" s="632" t="str">
        <f t="shared" si="112"/>
        <v/>
      </c>
      <c r="BC688" s="632" t="str">
        <f t="shared" si="113"/>
        <v/>
      </c>
      <c r="BD688" s="633" t="str">
        <f>IF(AND(L688="",H688=""),"",
IF(H688="",Pole_Calc!A716,
IF(H688="MP",Pole_Calc!A717,
IF(H688="AnMP",Pole_Calc!A718,
IF(H688="A",Pole_Calc!A719,
IF(H688="S/A",Pole_Calc!A720,
IF(H688="A/S",Pole_Calc!A721,"Poner a mano")))))))</f>
        <v/>
      </c>
      <c r="BE688" s="448" t="s">
        <v>1726</v>
      </c>
      <c r="BF688" s="634"/>
      <c r="BG688" s="634"/>
      <c r="BH688" s="634"/>
      <c r="BI688" s="634"/>
    </row>
    <row r="689" spans="1:61" ht="16.2" customHeight="1">
      <c r="A689" s="12"/>
      <c r="B689" s="446"/>
      <c r="C689" s="89"/>
      <c r="D689" s="13"/>
      <c r="E689" s="14"/>
      <c r="F689" s="14"/>
      <c r="G689" s="15"/>
      <c r="H689" s="8"/>
      <c r="I689" s="8"/>
      <c r="J689" s="89"/>
      <c r="K689" s="8"/>
      <c r="L689" s="8"/>
      <c r="M689" s="8" t="str">
        <f>IF(L689="","",
IF(AX689="PT",VLOOKUP(L689,Foundation_Calc!$V$4:$X$37,VLOOKUP(AX689,Foundation_Calc!$I$10:$J$13,2,FALSE),0),
IF(AX689="K",VLOOKUP(L689,Foundation_Calc!$V$41:$X$74,VLOOKUP(AX689,Foundation_Calc!$I$10:$J$13,2,FALSE),0),"")))</f>
        <v/>
      </c>
      <c r="N689" s="8"/>
      <c r="O689" s="8"/>
      <c r="P689" s="8"/>
      <c r="Q689" s="14"/>
      <c r="R689" s="15"/>
      <c r="S689" s="15"/>
      <c r="T689" s="14"/>
      <c r="U689" s="14"/>
      <c r="V689" s="14"/>
      <c r="W689" s="18"/>
      <c r="X689" s="18"/>
      <c r="Y689" s="18"/>
      <c r="Z689" s="18"/>
      <c r="AA689" s="18"/>
      <c r="AB689" s="18"/>
      <c r="AC689" s="8" t="str">
        <f t="shared" si="110"/>
        <v/>
      </c>
      <c r="AD689" s="8"/>
      <c r="AE689" s="8"/>
      <c r="AF689" s="14"/>
      <c r="AG689" s="13"/>
      <c r="AH689" s="14"/>
      <c r="AI689" s="14"/>
      <c r="AJ689" s="8"/>
      <c r="AK689" s="8"/>
      <c r="AL689" s="8"/>
      <c r="AM689" s="8"/>
      <c r="AN689" s="631"/>
      <c r="AO689" s="18"/>
      <c r="AP689" s="18"/>
      <c r="AQ689" s="18"/>
      <c r="AR689" s="18"/>
      <c r="AS689" s="18"/>
      <c r="AU689" s="448"/>
      <c r="AV689" s="448"/>
      <c r="AW689" s="8" t="str">
        <f>IF(C689&gt;0,VLOOKUP(C689,Foundation_Calc!$A$2:$C$986,3,1),
IF(J689&gt;0,VLOOKUP(J689,Foundation_Calc!$A$2:$C$986,3,1),""))</f>
        <v/>
      </c>
      <c r="AX689" s="8" t="str">
        <f>IF(C689&gt;0,VLOOKUP(C689,Foundation_Calc!$E$2:$G$986,3,1),
IF(J689&gt;0,VLOOKUP(J689,Foundation_Calc!$E$2:$G$986,3,1),""))</f>
        <v/>
      </c>
      <c r="AY689" s="631" t="str">
        <f>IF(L689="","",
IF(AX689="PT",VLOOKUP(L689,Foundation_Calc!$K$4:$R$37,VLOOKUP(AW689,Foundation_Calc!$I$2:$J$8,2,FALSE),0),
IF(AX689="K",VLOOKUP(L689,Foundation_Calc!$K$41:$R$74,VLOOKUP(AW689,Foundation_Calc!$I$2:$J$8,2,FALSE),0),"")))</f>
        <v/>
      </c>
      <c r="AZ689" s="631" t="str">
        <f>IF(K689="","",
IF(AX689="PT",VLOOKUP(K689,Foundation_Calc!$K$4:$R$37,VLOOKUP(AW689,Foundation_Calc!$I$2:$J$8,2,FALSE),0),
IF(AX689="K",VLOOKUP(K689,Foundation_Calc!$K$41:$R$74,VLOOKUP(AW689,Foundation_Calc!$I$2:$J$8,2,FALSE),0),"")))</f>
        <v/>
      </c>
      <c r="BA689" s="632" t="str">
        <f t="shared" si="111"/>
        <v/>
      </c>
      <c r="BB689" s="632" t="str">
        <f t="shared" si="112"/>
        <v/>
      </c>
      <c r="BC689" s="632" t="str">
        <f t="shared" si="113"/>
        <v/>
      </c>
      <c r="BD689" s="633" t="str">
        <f>IF(AND(L689="",H689=""),"",
IF(H689="",Pole_Calc!A717,
IF(H689="MP",Pole_Calc!A718,
IF(H689="AnMP",Pole_Calc!A719,
IF(H689="A",Pole_Calc!A720,
IF(H689="S/A",Pole_Calc!A721,
IF(H689="A/S",Pole_Calc!A722,"Poner a mano")))))))</f>
        <v/>
      </c>
      <c r="BE689" s="448" t="s">
        <v>1726</v>
      </c>
      <c r="BF689" s="635"/>
      <c r="BG689" s="635"/>
      <c r="BH689" s="634"/>
      <c r="BI689" s="635"/>
    </row>
    <row r="690" spans="1:61" ht="16.2" customHeight="1">
      <c r="A690" s="12"/>
      <c r="B690" s="446"/>
      <c r="C690" s="89"/>
      <c r="D690" s="13"/>
      <c r="E690" s="14"/>
      <c r="F690" s="14"/>
      <c r="G690" s="15"/>
      <c r="H690" s="8"/>
      <c r="I690" s="8"/>
      <c r="J690" s="89"/>
      <c r="K690" s="8"/>
      <c r="L690" s="8"/>
      <c r="M690" s="8" t="str">
        <f>IF(L690="","",
IF(AX690="PT",VLOOKUP(L690,Foundation_Calc!$V$4:$X$37,VLOOKUP(AX690,Foundation_Calc!$I$10:$J$13,2,FALSE),0),
IF(AX690="K",VLOOKUP(L690,Foundation_Calc!$V$41:$X$74,VLOOKUP(AX690,Foundation_Calc!$I$10:$J$13,2,FALSE),0),"")))</f>
        <v/>
      </c>
      <c r="N690" s="8"/>
      <c r="O690" s="8"/>
      <c r="P690" s="8"/>
      <c r="Q690" s="14"/>
      <c r="R690" s="15"/>
      <c r="S690" s="15"/>
      <c r="T690" s="14"/>
      <c r="U690" s="14"/>
      <c r="V690" s="14"/>
      <c r="W690" s="18"/>
      <c r="X690" s="18"/>
      <c r="Y690" s="18"/>
      <c r="Z690" s="18"/>
      <c r="AA690" s="18"/>
      <c r="AB690" s="18"/>
      <c r="AC690" s="8" t="str">
        <f t="shared" si="110"/>
        <v/>
      </c>
      <c r="AD690" s="8"/>
      <c r="AE690" s="8"/>
      <c r="AF690" s="14"/>
      <c r="AG690" s="13"/>
      <c r="AH690" s="14"/>
      <c r="AI690" s="14"/>
      <c r="AJ690" s="8"/>
      <c r="AK690" s="8"/>
      <c r="AL690" s="8"/>
      <c r="AM690" s="8"/>
      <c r="AN690" s="631"/>
      <c r="AO690" s="18"/>
      <c r="AP690" s="18"/>
      <c r="AQ690" s="18"/>
      <c r="AR690" s="18"/>
      <c r="AS690" s="18"/>
      <c r="AU690" s="448"/>
      <c r="AV690" s="448"/>
      <c r="AW690" s="8" t="str">
        <f>IF(C690&gt;0,VLOOKUP(C690,Foundation_Calc!$A$2:$C$986,3,1),
IF(J690&gt;0,VLOOKUP(J690,Foundation_Calc!$A$2:$C$986,3,1),""))</f>
        <v/>
      </c>
      <c r="AX690" s="8" t="str">
        <f>IF(C690&gt;0,VLOOKUP(C690,Foundation_Calc!$E$2:$G$986,3,1),
IF(J690&gt;0,VLOOKUP(J690,Foundation_Calc!$E$2:$G$986,3,1),""))</f>
        <v/>
      </c>
      <c r="AY690" s="631" t="str">
        <f>IF(L690="","",
IF(AX690="PT",VLOOKUP(L690,Foundation_Calc!$K$4:$R$37,VLOOKUP(AW690,Foundation_Calc!$I$2:$J$8,2,FALSE),0),
IF(AX690="K",VLOOKUP(L690,Foundation_Calc!$K$41:$R$74,VLOOKUP(AW690,Foundation_Calc!$I$2:$J$8,2,FALSE),0),"")))</f>
        <v/>
      </c>
      <c r="AZ690" s="631" t="str">
        <f>IF(K690="","",
IF(AX690="PT",VLOOKUP(K690,Foundation_Calc!$K$4:$R$37,VLOOKUP(AW690,Foundation_Calc!$I$2:$J$8,2,FALSE),0),
IF(AX690="K",VLOOKUP(K690,Foundation_Calc!$K$41:$R$74,VLOOKUP(AW690,Foundation_Calc!$I$2:$J$8,2,FALSE),0),"")))</f>
        <v/>
      </c>
      <c r="BA690" s="632" t="str">
        <f t="shared" si="111"/>
        <v/>
      </c>
      <c r="BB690" s="632" t="str">
        <f t="shared" si="112"/>
        <v/>
      </c>
      <c r="BC690" s="632" t="str">
        <f t="shared" si="113"/>
        <v/>
      </c>
      <c r="BD690" s="633" t="str">
        <f>IF(AND(L690="",H690=""),"",
IF(H690="",Pole_Calc!A718,
IF(H690="MP",Pole_Calc!A719,
IF(H690="AnMP",Pole_Calc!A720,
IF(H690="A",Pole_Calc!A721,
IF(H690="S/A",Pole_Calc!A722,
IF(H690="A/S",Pole_Calc!A723,"Poner a mano")))))))</f>
        <v/>
      </c>
      <c r="BE690" s="448" t="s">
        <v>1726</v>
      </c>
      <c r="BF690" s="634"/>
      <c r="BG690" s="634"/>
      <c r="BH690" s="634"/>
      <c r="BI690" s="634"/>
    </row>
    <row r="691" spans="1:61" ht="16.2" customHeight="1">
      <c r="A691" s="12"/>
      <c r="B691" s="446"/>
      <c r="C691" s="89"/>
      <c r="D691" s="13"/>
      <c r="E691" s="14"/>
      <c r="F691" s="14"/>
      <c r="G691" s="15"/>
      <c r="H691" s="8"/>
      <c r="I691" s="8"/>
      <c r="J691" s="89"/>
      <c r="K691" s="8"/>
      <c r="L691" s="8"/>
      <c r="M691" s="8" t="str">
        <f>IF(L691="","",
IF(AX691="PT",VLOOKUP(L691,Foundation_Calc!$V$4:$X$37,VLOOKUP(AX691,Foundation_Calc!$I$10:$J$13,2,FALSE),0),
IF(AX691="K",VLOOKUP(L691,Foundation_Calc!$V$41:$X$74,VLOOKUP(AX691,Foundation_Calc!$I$10:$J$13,2,FALSE),0),"")))</f>
        <v/>
      </c>
      <c r="N691" s="8"/>
      <c r="O691" s="8"/>
      <c r="P691" s="8"/>
      <c r="Q691" s="14"/>
      <c r="R691" s="15"/>
      <c r="S691" s="15"/>
      <c r="T691" s="14"/>
      <c r="U691" s="14"/>
      <c r="V691" s="14"/>
      <c r="W691" s="18"/>
      <c r="X691" s="18"/>
      <c r="Y691" s="18"/>
      <c r="Z691" s="18"/>
      <c r="AA691" s="18"/>
      <c r="AB691" s="18"/>
      <c r="AC691" s="8" t="str">
        <f t="shared" si="110"/>
        <v/>
      </c>
      <c r="AD691" s="8"/>
      <c r="AE691" s="8"/>
      <c r="AF691" s="14"/>
      <c r="AG691" s="13"/>
      <c r="AH691" s="14"/>
      <c r="AI691" s="14"/>
      <c r="AJ691" s="8"/>
      <c r="AK691" s="8"/>
      <c r="AL691" s="8"/>
      <c r="AM691" s="8"/>
      <c r="AN691" s="631"/>
      <c r="AO691" s="18"/>
      <c r="AP691" s="18"/>
      <c r="AQ691" s="18"/>
      <c r="AR691" s="18"/>
      <c r="AS691" s="18"/>
      <c r="AU691" s="448"/>
      <c r="AV691" s="448"/>
      <c r="AW691" s="8" t="str">
        <f>IF(C691&gt;0,VLOOKUP(C691,Foundation_Calc!$A$2:$C$986,3,1),
IF(J691&gt;0,VLOOKUP(J691,Foundation_Calc!$A$2:$C$986,3,1),""))</f>
        <v/>
      </c>
      <c r="AX691" s="8" t="str">
        <f>IF(C691&gt;0,VLOOKUP(C691,Foundation_Calc!$E$2:$G$986,3,1),
IF(J691&gt;0,VLOOKUP(J691,Foundation_Calc!$E$2:$G$986,3,1),""))</f>
        <v/>
      </c>
      <c r="AY691" s="631" t="str">
        <f>IF(L691="","",
IF(AX691="PT",VLOOKUP(L691,Foundation_Calc!$K$4:$R$37,VLOOKUP(AW691,Foundation_Calc!$I$2:$J$8,2,FALSE),0),
IF(AX691="K",VLOOKUP(L691,Foundation_Calc!$K$41:$R$74,VLOOKUP(AW691,Foundation_Calc!$I$2:$J$8,2,FALSE),0),"")))</f>
        <v/>
      </c>
      <c r="AZ691" s="631" t="str">
        <f>IF(K691="","",
IF(AX691="PT",VLOOKUP(K691,Foundation_Calc!$K$4:$R$37,VLOOKUP(AW691,Foundation_Calc!$I$2:$J$8,2,FALSE),0),
IF(AX691="K",VLOOKUP(K691,Foundation_Calc!$K$41:$R$74,VLOOKUP(AW691,Foundation_Calc!$I$2:$J$8,2,FALSE),0),"")))</f>
        <v/>
      </c>
      <c r="BA691" s="632" t="str">
        <f t="shared" si="111"/>
        <v/>
      </c>
      <c r="BB691" s="632" t="str">
        <f t="shared" si="112"/>
        <v/>
      </c>
      <c r="BC691" s="632" t="str">
        <f t="shared" si="113"/>
        <v/>
      </c>
      <c r="BD691" s="633" t="str">
        <f>IF(AND(L691="",H691=""),"",
IF(H691="",Pole_Calc!A719,
IF(H691="MP",Pole_Calc!A720,
IF(H691="AnMP",Pole_Calc!A721,
IF(H691="A",Pole_Calc!A722,
IF(H691="S/A",Pole_Calc!A723,
IF(H691="A/S",Pole_Calc!A724,"Poner a mano")))))))</f>
        <v/>
      </c>
      <c r="BE691" s="448" t="s">
        <v>1726</v>
      </c>
      <c r="BF691" s="635"/>
      <c r="BG691" s="635"/>
      <c r="BH691" s="634"/>
      <c r="BI691" s="635"/>
    </row>
    <row r="692" spans="1:61" ht="16.2" customHeight="1">
      <c r="A692" s="12"/>
      <c r="B692" s="446"/>
      <c r="C692" s="89"/>
      <c r="D692" s="13"/>
      <c r="E692" s="14"/>
      <c r="F692" s="14"/>
      <c r="G692" s="15"/>
      <c r="H692" s="8"/>
      <c r="I692" s="8"/>
      <c r="J692" s="89"/>
      <c r="K692" s="8"/>
      <c r="L692" s="8"/>
      <c r="M692" s="8" t="str">
        <f>IF(L692="","",
IF(AX692="PT",VLOOKUP(L692,Foundation_Calc!$V$4:$X$37,VLOOKUP(AX692,Foundation_Calc!$I$10:$J$13,2,FALSE),0),
IF(AX692="K",VLOOKUP(L692,Foundation_Calc!$V$41:$X$74,VLOOKUP(AX692,Foundation_Calc!$I$10:$J$13,2,FALSE),0),"")))</f>
        <v/>
      </c>
      <c r="N692" s="8"/>
      <c r="O692" s="8"/>
      <c r="P692" s="8"/>
      <c r="Q692" s="14"/>
      <c r="R692" s="15"/>
      <c r="S692" s="15"/>
      <c r="T692" s="14"/>
      <c r="U692" s="14"/>
      <c r="V692" s="14"/>
      <c r="W692" s="18"/>
      <c r="X692" s="18"/>
      <c r="Y692" s="18"/>
      <c r="Z692" s="18"/>
      <c r="AA692" s="18"/>
      <c r="AB692" s="18"/>
      <c r="AC692" s="8" t="str">
        <f t="shared" si="110"/>
        <v/>
      </c>
      <c r="AD692" s="8"/>
      <c r="AE692" s="8"/>
      <c r="AF692" s="14"/>
      <c r="AG692" s="13"/>
      <c r="AH692" s="14"/>
      <c r="AI692" s="14"/>
      <c r="AJ692" s="8"/>
      <c r="AK692" s="8"/>
      <c r="AL692" s="8"/>
      <c r="AM692" s="8"/>
      <c r="AN692" s="631"/>
      <c r="AO692" s="18"/>
      <c r="AP692" s="18"/>
      <c r="AQ692" s="18"/>
      <c r="AR692" s="18"/>
      <c r="AS692" s="18"/>
      <c r="AU692" s="448"/>
      <c r="AV692" s="448"/>
      <c r="AW692" s="8" t="str">
        <f>IF(C692&gt;0,VLOOKUP(C692,Foundation_Calc!$A$2:$C$986,3,1),
IF(J692&gt;0,VLOOKUP(J692,Foundation_Calc!$A$2:$C$986,3,1),""))</f>
        <v/>
      </c>
      <c r="AX692" s="8" t="str">
        <f>IF(C692&gt;0,VLOOKUP(C692,Foundation_Calc!$E$2:$G$986,3,1),
IF(J692&gt;0,VLOOKUP(J692,Foundation_Calc!$E$2:$G$986,3,1),""))</f>
        <v/>
      </c>
      <c r="AY692" s="631" t="str">
        <f>IF(L692="","",
IF(AX692="PT",VLOOKUP(L692,Foundation_Calc!$K$4:$R$37,VLOOKUP(AW692,Foundation_Calc!$I$2:$J$8,2,FALSE),0),
IF(AX692="K",VLOOKUP(L692,Foundation_Calc!$K$41:$R$74,VLOOKUP(AW692,Foundation_Calc!$I$2:$J$8,2,FALSE),0),"")))</f>
        <v/>
      </c>
      <c r="AZ692" s="631" t="str">
        <f>IF(K692="","",
IF(AX692="PT",VLOOKUP(K692,Foundation_Calc!$K$4:$R$37,VLOOKUP(AW692,Foundation_Calc!$I$2:$J$8,2,FALSE),0),
IF(AX692="K",VLOOKUP(K692,Foundation_Calc!$K$41:$R$74,VLOOKUP(AW692,Foundation_Calc!$I$2:$J$8,2,FALSE),0),"")))</f>
        <v/>
      </c>
      <c r="BA692" s="632" t="str">
        <f t="shared" si="111"/>
        <v/>
      </c>
      <c r="BB692" s="632" t="str">
        <f t="shared" si="112"/>
        <v/>
      </c>
      <c r="BC692" s="632" t="str">
        <f t="shared" si="113"/>
        <v/>
      </c>
      <c r="BD692" s="633" t="str">
        <f>IF(AND(L692="",H692=""),"",
IF(H692="",Pole_Calc!A720,
IF(H692="MP",Pole_Calc!A721,
IF(H692="AnMP",Pole_Calc!A722,
IF(H692="A",Pole_Calc!A723,
IF(H692="S/A",Pole_Calc!A724,
IF(H692="A/S",Pole_Calc!A725,"Poner a mano")))))))</f>
        <v/>
      </c>
      <c r="BE692" s="448" t="s">
        <v>1726</v>
      </c>
      <c r="BF692" s="634"/>
      <c r="BG692" s="634"/>
      <c r="BH692" s="634"/>
      <c r="BI692" s="634"/>
    </row>
    <row r="693" spans="1:61" ht="16.2" customHeight="1">
      <c r="A693" s="12"/>
      <c r="B693" s="446"/>
      <c r="C693" s="89"/>
      <c r="D693" s="13"/>
      <c r="E693" s="14"/>
      <c r="F693" s="14"/>
      <c r="G693" s="15"/>
      <c r="H693" s="8"/>
      <c r="I693" s="8"/>
      <c r="J693" s="89"/>
      <c r="K693" s="8"/>
      <c r="L693" s="8"/>
      <c r="M693" s="8" t="str">
        <f>IF(L693="","",
IF(AX693="PT",VLOOKUP(L693,Foundation_Calc!$V$4:$X$37,VLOOKUP(AX693,Foundation_Calc!$I$10:$J$13,2,FALSE),0),
IF(AX693="K",VLOOKUP(L693,Foundation_Calc!$V$41:$X$74,VLOOKUP(AX693,Foundation_Calc!$I$10:$J$13,2,FALSE),0),"")))</f>
        <v/>
      </c>
      <c r="N693" s="8"/>
      <c r="O693" s="8"/>
      <c r="P693" s="8"/>
      <c r="Q693" s="14"/>
      <c r="R693" s="15"/>
      <c r="S693" s="15"/>
      <c r="T693" s="14"/>
      <c r="U693" s="14"/>
      <c r="V693" s="14"/>
      <c r="W693" s="18"/>
      <c r="X693" s="18"/>
      <c r="Y693" s="18"/>
      <c r="Z693" s="18"/>
      <c r="AA693" s="18"/>
      <c r="AB693" s="18"/>
      <c r="AC693" s="8" t="str">
        <f t="shared" si="110"/>
        <v/>
      </c>
      <c r="AD693" s="8"/>
      <c r="AE693" s="8"/>
      <c r="AF693" s="14"/>
      <c r="AG693" s="13"/>
      <c r="AH693" s="14"/>
      <c r="AI693" s="14"/>
      <c r="AJ693" s="8"/>
      <c r="AK693" s="8"/>
      <c r="AL693" s="8"/>
      <c r="AM693" s="8"/>
      <c r="AN693" s="631"/>
      <c r="AO693" s="18"/>
      <c r="AP693" s="18"/>
      <c r="AQ693" s="18"/>
      <c r="AR693" s="18"/>
      <c r="AS693" s="18"/>
      <c r="AU693" s="448"/>
      <c r="AV693" s="448"/>
      <c r="AW693" s="8" t="str">
        <f>IF(C693&gt;0,VLOOKUP(C693,Foundation_Calc!$A$2:$C$986,3,1),
IF(J693&gt;0,VLOOKUP(J693,Foundation_Calc!$A$2:$C$986,3,1),""))</f>
        <v/>
      </c>
      <c r="AX693" s="8" t="str">
        <f>IF(C693&gt;0,VLOOKUP(C693,Foundation_Calc!$E$2:$G$986,3,1),
IF(J693&gt;0,VLOOKUP(J693,Foundation_Calc!$E$2:$G$986,3,1),""))</f>
        <v/>
      </c>
      <c r="AY693" s="631" t="str">
        <f>IF(L693="","",
IF(AX693="PT",VLOOKUP(L693,Foundation_Calc!$K$4:$R$37,VLOOKUP(AW693,Foundation_Calc!$I$2:$J$8,2,FALSE),0),
IF(AX693="K",VLOOKUP(L693,Foundation_Calc!$K$41:$R$74,VLOOKUP(AW693,Foundation_Calc!$I$2:$J$8,2,FALSE),0),"")))</f>
        <v/>
      </c>
      <c r="AZ693" s="631" t="str">
        <f>IF(K693="","",
IF(AX693="PT",VLOOKUP(K693,Foundation_Calc!$K$4:$R$37,VLOOKUP(AW693,Foundation_Calc!$I$2:$J$8,2,FALSE),0),
IF(AX693="K",VLOOKUP(K693,Foundation_Calc!$K$41:$R$74,VLOOKUP(AW693,Foundation_Calc!$I$2:$J$8,2,FALSE),0),"")))</f>
        <v/>
      </c>
      <c r="BA693" s="632" t="str">
        <f t="shared" si="111"/>
        <v/>
      </c>
      <c r="BB693" s="632" t="str">
        <f t="shared" si="112"/>
        <v/>
      </c>
      <c r="BC693" s="632" t="str">
        <f t="shared" si="113"/>
        <v/>
      </c>
      <c r="BD693" s="633" t="str">
        <f>IF(AND(L693="",H693=""),"",
IF(H693="",Pole_Calc!A721,
IF(H693="MP",Pole_Calc!A722,
IF(H693="AnMP",Pole_Calc!A723,
IF(H693="A",Pole_Calc!A724,
IF(H693="S/A",Pole_Calc!A725,
IF(H693="A/S",Pole_Calc!A726,"Poner a mano")))))))</f>
        <v/>
      </c>
      <c r="BE693" s="448" t="s">
        <v>1726</v>
      </c>
      <c r="BF693" s="635"/>
      <c r="BG693" s="635"/>
      <c r="BH693" s="634"/>
      <c r="BI693" s="635"/>
    </row>
    <row r="694" spans="1:61" ht="16.2" customHeight="1">
      <c r="A694" s="12"/>
      <c r="B694" s="446"/>
      <c r="C694" s="89"/>
      <c r="D694" s="13"/>
      <c r="E694" s="14"/>
      <c r="F694" s="14"/>
      <c r="G694" s="15"/>
      <c r="H694" s="8"/>
      <c r="I694" s="8"/>
      <c r="J694" s="89"/>
      <c r="K694" s="8"/>
      <c r="L694" s="8"/>
      <c r="M694" s="8" t="str">
        <f>IF(L694="","",
IF(AX694="PT",VLOOKUP(L694,Foundation_Calc!$V$4:$X$37,VLOOKUP(AX694,Foundation_Calc!$I$10:$J$13,2,FALSE),0),
IF(AX694="K",VLOOKUP(L694,Foundation_Calc!$V$41:$X$74,VLOOKUP(AX694,Foundation_Calc!$I$10:$J$13,2,FALSE),0),"")))</f>
        <v/>
      </c>
      <c r="N694" s="8"/>
      <c r="O694" s="8"/>
      <c r="P694" s="8"/>
      <c r="Q694" s="14"/>
      <c r="R694" s="15"/>
      <c r="S694" s="15"/>
      <c r="T694" s="14"/>
      <c r="U694" s="14"/>
      <c r="V694" s="14"/>
      <c r="W694" s="18"/>
      <c r="X694" s="18"/>
      <c r="Y694" s="18"/>
      <c r="Z694" s="18"/>
      <c r="AA694" s="18"/>
      <c r="AB694" s="18"/>
      <c r="AC694" s="8" t="str">
        <f t="shared" si="110"/>
        <v/>
      </c>
      <c r="AD694" s="8"/>
      <c r="AE694" s="8"/>
      <c r="AF694" s="14"/>
      <c r="AG694" s="13"/>
      <c r="AH694" s="14"/>
      <c r="AI694" s="14"/>
      <c r="AJ694" s="8"/>
      <c r="AK694" s="8"/>
      <c r="AL694" s="8"/>
      <c r="AM694" s="8"/>
      <c r="AN694" s="631"/>
      <c r="AO694" s="18"/>
      <c r="AP694" s="18"/>
      <c r="AQ694" s="18"/>
      <c r="AR694" s="18"/>
      <c r="AS694" s="18"/>
      <c r="AU694" s="448"/>
      <c r="AV694" s="448"/>
      <c r="AW694" s="8" t="str">
        <f>IF(C694&gt;0,VLOOKUP(C694,Foundation_Calc!$A$2:$C$986,3,1),
IF(J694&gt;0,VLOOKUP(J694,Foundation_Calc!$A$2:$C$986,3,1),""))</f>
        <v/>
      </c>
      <c r="AX694" s="8" t="str">
        <f>IF(C694&gt;0,VLOOKUP(C694,Foundation_Calc!$E$2:$G$986,3,1),
IF(J694&gt;0,VLOOKUP(J694,Foundation_Calc!$E$2:$G$986,3,1),""))</f>
        <v/>
      </c>
      <c r="AY694" s="631" t="str">
        <f>IF(L694="","",
IF(AX694="PT",VLOOKUP(L694,Foundation_Calc!$K$4:$R$37,VLOOKUP(AW694,Foundation_Calc!$I$2:$J$8,2,FALSE),0),
IF(AX694="K",VLOOKUP(L694,Foundation_Calc!$K$41:$R$74,VLOOKUP(AW694,Foundation_Calc!$I$2:$J$8,2,FALSE),0),"")))</f>
        <v/>
      </c>
      <c r="AZ694" s="631" t="str">
        <f>IF(K694="","",
IF(AX694="PT",VLOOKUP(K694,Foundation_Calc!$K$4:$R$37,VLOOKUP(AW694,Foundation_Calc!$I$2:$J$8,2,FALSE),0),
IF(AX694="K",VLOOKUP(K694,Foundation_Calc!$K$41:$R$74,VLOOKUP(AW694,Foundation_Calc!$I$2:$J$8,2,FALSE),0),"")))</f>
        <v/>
      </c>
      <c r="BA694" s="632" t="str">
        <f t="shared" si="111"/>
        <v/>
      </c>
      <c r="BB694" s="632" t="str">
        <f t="shared" si="112"/>
        <v/>
      </c>
      <c r="BC694" s="632" t="str">
        <f t="shared" si="113"/>
        <v/>
      </c>
      <c r="BD694" s="633" t="str">
        <f>IF(AND(L694="",H694=""),"",
IF(H694="",Pole_Calc!A722,
IF(H694="MP",Pole_Calc!A723,
IF(H694="AnMP",Pole_Calc!A724,
IF(H694="A",Pole_Calc!A725,
IF(H694="S/A",Pole_Calc!A726,
IF(H694="A/S",Pole_Calc!A727,"Poner a mano")))))))</f>
        <v/>
      </c>
      <c r="BE694" s="448" t="s">
        <v>1726</v>
      </c>
      <c r="BF694" s="634"/>
      <c r="BG694" s="634"/>
      <c r="BH694" s="634"/>
      <c r="BI694" s="634"/>
    </row>
    <row r="695" spans="1:61" ht="16.2" customHeight="1">
      <c r="A695" s="12"/>
      <c r="B695" s="446"/>
      <c r="C695" s="89"/>
      <c r="D695" s="13"/>
      <c r="E695" s="14"/>
      <c r="F695" s="14"/>
      <c r="G695" s="15"/>
      <c r="H695" s="8"/>
      <c r="I695" s="8"/>
      <c r="J695" s="89"/>
      <c r="K695" s="8"/>
      <c r="L695" s="8"/>
      <c r="M695" s="8" t="str">
        <f>IF(L695="","",
IF(AX695="PT",VLOOKUP(L695,Foundation_Calc!$V$4:$X$37,VLOOKUP(AX695,Foundation_Calc!$I$10:$J$13,2,FALSE),0),
IF(AX695="K",VLOOKUP(L695,Foundation_Calc!$V$41:$X$74,VLOOKUP(AX695,Foundation_Calc!$I$10:$J$13,2,FALSE),0),"")))</f>
        <v/>
      </c>
      <c r="N695" s="8"/>
      <c r="O695" s="8"/>
      <c r="P695" s="8"/>
      <c r="Q695" s="14"/>
      <c r="R695" s="15"/>
      <c r="S695" s="15"/>
      <c r="T695" s="14"/>
      <c r="U695" s="14"/>
      <c r="V695" s="14"/>
      <c r="W695" s="18"/>
      <c r="X695" s="18"/>
      <c r="Y695" s="18"/>
      <c r="Z695" s="18"/>
      <c r="AA695" s="18"/>
      <c r="AB695" s="18"/>
      <c r="AC695" s="8" t="str">
        <f t="shared" si="110"/>
        <v/>
      </c>
      <c r="AD695" s="8"/>
      <c r="AE695" s="8"/>
      <c r="AF695" s="14"/>
      <c r="AG695" s="13"/>
      <c r="AH695" s="14"/>
      <c r="AI695" s="14"/>
      <c r="AJ695" s="8"/>
      <c r="AK695" s="8"/>
      <c r="AL695" s="8"/>
      <c r="AM695" s="8"/>
      <c r="AN695" s="631"/>
      <c r="AO695" s="18"/>
      <c r="AP695" s="18"/>
      <c r="AQ695" s="18"/>
      <c r="AR695" s="18"/>
      <c r="AS695" s="18"/>
      <c r="AU695" s="448"/>
      <c r="AV695" s="448"/>
      <c r="AW695" s="8" t="str">
        <f>IF(C695&gt;0,VLOOKUP(C695,Foundation_Calc!$A$2:$C$986,3,1),
IF(J695&gt;0,VLOOKUP(J695,Foundation_Calc!$A$2:$C$986,3,1),""))</f>
        <v/>
      </c>
      <c r="AX695" s="8" t="str">
        <f>IF(C695&gt;0,VLOOKUP(C695,Foundation_Calc!$E$2:$G$986,3,1),
IF(J695&gt;0,VLOOKUP(J695,Foundation_Calc!$E$2:$G$986,3,1),""))</f>
        <v/>
      </c>
      <c r="AY695" s="631" t="str">
        <f>IF(L695="","",
IF(AX695="PT",VLOOKUP(L695,Foundation_Calc!$K$4:$R$37,VLOOKUP(AW695,Foundation_Calc!$I$2:$J$8,2,FALSE),0),
IF(AX695="K",VLOOKUP(L695,Foundation_Calc!$K$41:$R$74,VLOOKUP(AW695,Foundation_Calc!$I$2:$J$8,2,FALSE),0),"")))</f>
        <v/>
      </c>
      <c r="AZ695" s="631" t="str">
        <f>IF(K695="","",
IF(AX695="PT",VLOOKUP(K695,Foundation_Calc!$K$4:$R$37,VLOOKUP(AW695,Foundation_Calc!$I$2:$J$8,2,FALSE),0),
IF(AX695="K",VLOOKUP(K695,Foundation_Calc!$K$41:$R$74,VLOOKUP(AW695,Foundation_Calc!$I$2:$J$8,2,FALSE),0),"")))</f>
        <v/>
      </c>
      <c r="BA695" s="632" t="str">
        <f t="shared" si="111"/>
        <v/>
      </c>
      <c r="BB695" s="632" t="str">
        <f t="shared" si="112"/>
        <v/>
      </c>
      <c r="BC695" s="632" t="str">
        <f t="shared" si="113"/>
        <v/>
      </c>
      <c r="BD695" s="633" t="str">
        <f>IF(AND(L695="",H695=""),"",
IF(H695="",Pole_Calc!A723,
IF(H695="MP",Pole_Calc!A724,
IF(H695="AnMP",Pole_Calc!A725,
IF(H695="A",Pole_Calc!A726,
IF(H695="S/A",Pole_Calc!A727,
IF(H695="A/S",Pole_Calc!A728,"Poner a mano")))))))</f>
        <v/>
      </c>
      <c r="BE695" s="448" t="s">
        <v>1726</v>
      </c>
      <c r="BF695" s="635"/>
      <c r="BG695" s="635"/>
      <c r="BH695" s="634"/>
      <c r="BI695" s="635"/>
    </row>
    <row r="696" spans="1:61" ht="16.2" customHeight="1">
      <c r="A696" s="12"/>
      <c r="B696" s="446"/>
      <c r="C696" s="89"/>
      <c r="D696" s="13"/>
      <c r="E696" s="14"/>
      <c r="F696" s="14"/>
      <c r="G696" s="15"/>
      <c r="H696" s="8"/>
      <c r="I696" s="8"/>
      <c r="J696" s="89"/>
      <c r="K696" s="8"/>
      <c r="L696" s="8"/>
      <c r="M696" s="8" t="str">
        <f>IF(L696="","",
IF(AX696="PT",VLOOKUP(L696,Foundation_Calc!$V$4:$X$37,VLOOKUP(AX696,Foundation_Calc!$I$10:$J$13,2,FALSE),0),
IF(AX696="K",VLOOKUP(L696,Foundation_Calc!$V$41:$X$74,VLOOKUP(AX696,Foundation_Calc!$I$10:$J$13,2,FALSE),0),"")))</f>
        <v/>
      </c>
      <c r="N696" s="8"/>
      <c r="O696" s="8"/>
      <c r="P696" s="8"/>
      <c r="Q696" s="14"/>
      <c r="R696" s="15"/>
      <c r="S696" s="15"/>
      <c r="T696" s="14"/>
      <c r="U696" s="14"/>
      <c r="V696" s="14"/>
      <c r="W696" s="18"/>
      <c r="X696" s="18"/>
      <c r="Y696" s="18"/>
      <c r="Z696" s="18"/>
      <c r="AA696" s="18"/>
      <c r="AB696" s="18"/>
      <c r="AC696" s="8" t="str">
        <f t="shared" si="110"/>
        <v/>
      </c>
      <c r="AD696" s="8"/>
      <c r="AE696" s="8"/>
      <c r="AF696" s="14"/>
      <c r="AG696" s="13"/>
      <c r="AH696" s="14"/>
      <c r="AI696" s="14"/>
      <c r="AJ696" s="8"/>
      <c r="AK696" s="8"/>
      <c r="AL696" s="8"/>
      <c r="AM696" s="8"/>
      <c r="AN696" s="631"/>
      <c r="AO696" s="18"/>
      <c r="AP696" s="18"/>
      <c r="AQ696" s="18"/>
      <c r="AR696" s="18"/>
      <c r="AS696" s="18"/>
      <c r="AU696" s="448"/>
      <c r="AV696" s="448"/>
      <c r="AW696" s="8" t="str">
        <f>IF(C696&gt;0,VLOOKUP(C696,Foundation_Calc!$A$2:$C$986,3,1),
IF(J696&gt;0,VLOOKUP(J696,Foundation_Calc!$A$2:$C$986,3,1),""))</f>
        <v/>
      </c>
      <c r="AX696" s="8" t="str">
        <f>IF(C696&gt;0,VLOOKUP(C696,Foundation_Calc!$E$2:$G$986,3,1),
IF(J696&gt;0,VLOOKUP(J696,Foundation_Calc!$E$2:$G$986,3,1),""))</f>
        <v/>
      </c>
      <c r="AY696" s="631" t="str">
        <f>IF(L696="","",
IF(AX696="PT",VLOOKUP(L696,Foundation_Calc!$K$4:$R$37,VLOOKUP(AW696,Foundation_Calc!$I$2:$J$8,2,FALSE),0),
IF(AX696="K",VLOOKUP(L696,Foundation_Calc!$K$41:$R$74,VLOOKUP(AW696,Foundation_Calc!$I$2:$J$8,2,FALSE),0),"")))</f>
        <v/>
      </c>
      <c r="AZ696" s="631" t="str">
        <f>IF(K696="","",
IF(AX696="PT",VLOOKUP(K696,Foundation_Calc!$K$4:$R$37,VLOOKUP(AW696,Foundation_Calc!$I$2:$J$8,2,FALSE),0),
IF(AX696="K",VLOOKUP(K696,Foundation_Calc!$K$41:$R$74,VLOOKUP(AW696,Foundation_Calc!$I$2:$J$8,2,FALSE),0),"")))</f>
        <v/>
      </c>
      <c r="BA696" s="632" t="str">
        <f t="shared" si="111"/>
        <v/>
      </c>
      <c r="BB696" s="632" t="str">
        <f t="shared" si="112"/>
        <v/>
      </c>
      <c r="BC696" s="632" t="str">
        <f t="shared" si="113"/>
        <v/>
      </c>
      <c r="BD696" s="633" t="str">
        <f>IF(AND(L696="",H696=""),"",
IF(H696="",Pole_Calc!A724,
IF(H696="MP",Pole_Calc!A725,
IF(H696="AnMP",Pole_Calc!A726,
IF(H696="A",Pole_Calc!A727,
IF(H696="S/A",Pole_Calc!A728,
IF(H696="A/S",Pole_Calc!A729,"Poner a mano")))))))</f>
        <v/>
      </c>
      <c r="BE696" s="448" t="s">
        <v>1726</v>
      </c>
      <c r="BF696" s="634"/>
      <c r="BG696" s="634"/>
      <c r="BH696" s="634"/>
      <c r="BI696" s="634"/>
    </row>
    <row r="697" spans="1:61" ht="16.2" customHeight="1">
      <c r="A697" s="12"/>
      <c r="B697" s="446"/>
      <c r="C697" s="89"/>
      <c r="D697" s="13"/>
      <c r="E697" s="14"/>
      <c r="F697" s="14"/>
      <c r="G697" s="15"/>
      <c r="H697" s="8"/>
      <c r="I697" s="8"/>
      <c r="J697" s="89"/>
      <c r="K697" s="8"/>
      <c r="L697" s="8"/>
      <c r="M697" s="8" t="str">
        <f>IF(L697="","",
IF(AX697="PT",VLOOKUP(L697,Foundation_Calc!$V$4:$X$37,VLOOKUP(AX697,Foundation_Calc!$I$10:$J$13,2,FALSE),0),
IF(AX697="K",VLOOKUP(L697,Foundation_Calc!$V$41:$X$74,VLOOKUP(AX697,Foundation_Calc!$I$10:$J$13,2,FALSE),0),"")))</f>
        <v/>
      </c>
      <c r="N697" s="8"/>
      <c r="O697" s="8"/>
      <c r="P697" s="8"/>
      <c r="Q697" s="14"/>
      <c r="R697" s="15"/>
      <c r="S697" s="15"/>
      <c r="T697" s="14"/>
      <c r="U697" s="14"/>
      <c r="V697" s="14"/>
      <c r="W697" s="18"/>
      <c r="X697" s="18"/>
      <c r="Y697" s="18"/>
      <c r="Z697" s="18"/>
      <c r="AA697" s="18"/>
      <c r="AB697" s="18"/>
      <c r="AC697" s="8" t="str">
        <f t="shared" si="110"/>
        <v/>
      </c>
      <c r="AD697" s="8"/>
      <c r="AE697" s="8"/>
      <c r="AF697" s="14"/>
      <c r="AG697" s="13"/>
      <c r="AH697" s="14"/>
      <c r="AI697" s="14"/>
      <c r="AJ697" s="8"/>
      <c r="AK697" s="8"/>
      <c r="AL697" s="8"/>
      <c r="AM697" s="8"/>
      <c r="AN697" s="631"/>
      <c r="AO697" s="18"/>
      <c r="AP697" s="18"/>
      <c r="AQ697" s="18"/>
      <c r="AR697" s="18"/>
      <c r="AS697" s="18"/>
      <c r="AU697" s="448"/>
      <c r="AV697" s="448"/>
      <c r="AW697" s="8" t="str">
        <f>IF(C697&gt;0,VLOOKUP(C697,Foundation_Calc!$A$2:$C$986,3,1),
IF(J697&gt;0,VLOOKUP(J697,Foundation_Calc!$A$2:$C$986,3,1),""))</f>
        <v/>
      </c>
      <c r="AX697" s="8" t="str">
        <f>IF(C697&gt;0,VLOOKUP(C697,Foundation_Calc!$E$2:$G$986,3,1),
IF(J697&gt;0,VLOOKUP(J697,Foundation_Calc!$E$2:$G$986,3,1),""))</f>
        <v/>
      </c>
      <c r="AY697" s="631" t="str">
        <f>IF(L697="","",
IF(AX697="PT",VLOOKUP(L697,Foundation_Calc!$K$4:$R$37,VLOOKUP(AW697,Foundation_Calc!$I$2:$J$8,2,FALSE),0),
IF(AX697="K",VLOOKUP(L697,Foundation_Calc!$K$41:$R$74,VLOOKUP(AW697,Foundation_Calc!$I$2:$J$8,2,FALSE),0),"")))</f>
        <v/>
      </c>
      <c r="AZ697" s="631" t="str">
        <f>IF(K697="","",
IF(AX697="PT",VLOOKUP(K697,Foundation_Calc!$K$4:$R$37,VLOOKUP(AW697,Foundation_Calc!$I$2:$J$8,2,FALSE),0),
IF(AX697="K",VLOOKUP(K697,Foundation_Calc!$K$41:$R$74,VLOOKUP(AW697,Foundation_Calc!$I$2:$J$8,2,FALSE),0),"")))</f>
        <v/>
      </c>
      <c r="BA697" s="632" t="str">
        <f t="shared" si="111"/>
        <v/>
      </c>
      <c r="BB697" s="632" t="str">
        <f t="shared" si="112"/>
        <v/>
      </c>
      <c r="BC697" s="632" t="str">
        <f t="shared" si="113"/>
        <v/>
      </c>
      <c r="BD697" s="633" t="str">
        <f>IF(AND(L697="",H697=""),"",
IF(H697="",Pole_Calc!A725,
IF(H697="MP",Pole_Calc!A726,
IF(H697="AnMP",Pole_Calc!A727,
IF(H697="A",Pole_Calc!A728,
IF(H697="S/A",Pole_Calc!A729,
IF(H697="A/S",Pole_Calc!A730,"Poner a mano")))))))</f>
        <v/>
      </c>
      <c r="BE697" s="448" t="s">
        <v>1726</v>
      </c>
      <c r="BF697" s="635"/>
      <c r="BG697" s="635"/>
      <c r="BH697" s="634"/>
      <c r="BI697" s="635"/>
    </row>
    <row r="698" spans="1:61" ht="16.2" customHeight="1">
      <c r="A698" s="12"/>
      <c r="B698" s="446"/>
      <c r="C698" s="89"/>
      <c r="D698" s="13"/>
      <c r="E698" s="14"/>
      <c r="F698" s="14"/>
      <c r="G698" s="15"/>
      <c r="H698" s="8"/>
      <c r="I698" s="8"/>
      <c r="J698" s="89"/>
      <c r="K698" s="8"/>
      <c r="L698" s="8"/>
      <c r="M698" s="8" t="str">
        <f>IF(L698="","",
IF(AX698="PT",VLOOKUP(L698,Foundation_Calc!$V$4:$X$37,VLOOKUP(AX698,Foundation_Calc!$I$10:$J$13,2,FALSE),0),
IF(AX698="K",VLOOKUP(L698,Foundation_Calc!$V$41:$X$74,VLOOKUP(AX698,Foundation_Calc!$I$10:$J$13,2,FALSE),0),"")))</f>
        <v/>
      </c>
      <c r="N698" s="8"/>
      <c r="O698" s="8"/>
      <c r="P698" s="8"/>
      <c r="Q698" s="14"/>
      <c r="R698" s="15"/>
      <c r="S698" s="15"/>
      <c r="T698" s="14"/>
      <c r="U698" s="14"/>
      <c r="V698" s="14"/>
      <c r="W698" s="18"/>
      <c r="X698" s="18"/>
      <c r="Y698" s="18"/>
      <c r="Z698" s="18"/>
      <c r="AA698" s="18"/>
      <c r="AB698" s="18"/>
      <c r="AC698" s="8" t="str">
        <f t="shared" si="110"/>
        <v/>
      </c>
      <c r="AD698" s="8"/>
      <c r="AE698" s="8"/>
      <c r="AF698" s="14"/>
      <c r="AG698" s="13"/>
      <c r="AH698" s="14"/>
      <c r="AI698" s="14"/>
      <c r="AJ698" s="8"/>
      <c r="AK698" s="8"/>
      <c r="AL698" s="8"/>
      <c r="AM698" s="8"/>
      <c r="AN698" s="631"/>
      <c r="AO698" s="18"/>
      <c r="AP698" s="18"/>
      <c r="AQ698" s="18"/>
      <c r="AR698" s="18"/>
      <c r="AS698" s="18"/>
      <c r="AU698" s="448"/>
      <c r="AV698" s="448"/>
      <c r="AW698" s="8" t="str">
        <f>IF(C698&gt;0,VLOOKUP(C698,Foundation_Calc!$A$2:$C$986,3,1),
IF(J698&gt;0,VLOOKUP(J698,Foundation_Calc!$A$2:$C$986,3,1),""))</f>
        <v/>
      </c>
      <c r="AX698" s="8" t="str">
        <f>IF(C698&gt;0,VLOOKUP(C698,Foundation_Calc!$E$2:$G$986,3,1),
IF(J698&gt;0,VLOOKUP(J698,Foundation_Calc!$E$2:$G$986,3,1),""))</f>
        <v/>
      </c>
      <c r="AY698" s="631" t="str">
        <f>IF(L698="","",
IF(AX698="PT",VLOOKUP(L698,Foundation_Calc!$K$4:$R$37,VLOOKUP(AW698,Foundation_Calc!$I$2:$J$8,2,FALSE),0),
IF(AX698="K",VLOOKUP(L698,Foundation_Calc!$K$41:$R$74,VLOOKUP(AW698,Foundation_Calc!$I$2:$J$8,2,FALSE),0),"")))</f>
        <v/>
      </c>
      <c r="AZ698" s="631" t="str">
        <f>IF(K698="","",
IF(AX698="PT",VLOOKUP(K698,Foundation_Calc!$K$4:$R$37,VLOOKUP(AW698,Foundation_Calc!$I$2:$J$8,2,FALSE),0),
IF(AX698="K",VLOOKUP(K698,Foundation_Calc!$K$41:$R$74,VLOOKUP(AW698,Foundation_Calc!$I$2:$J$8,2,FALSE),0),"")))</f>
        <v/>
      </c>
      <c r="BA698" s="632" t="str">
        <f t="shared" si="111"/>
        <v/>
      </c>
      <c r="BB698" s="632" t="str">
        <f t="shared" si="112"/>
        <v/>
      </c>
      <c r="BC698" s="632" t="str">
        <f t="shared" si="113"/>
        <v/>
      </c>
      <c r="BD698" s="633" t="str">
        <f>IF(AND(L698="",H698=""),"",
IF(H698="",Pole_Calc!A726,
IF(H698="MP",Pole_Calc!A727,
IF(H698="AnMP",Pole_Calc!A728,
IF(H698="A",Pole_Calc!A729,
IF(H698="S/A",Pole_Calc!A730,
IF(H698="A/S",Pole_Calc!A731,"Poner a mano")))))))</f>
        <v/>
      </c>
      <c r="BE698" s="448" t="s">
        <v>1726</v>
      </c>
      <c r="BF698" s="634"/>
      <c r="BG698" s="634"/>
      <c r="BH698" s="634"/>
      <c r="BI698" s="634"/>
    </row>
    <row r="699" spans="1:61" ht="16.2" customHeight="1">
      <c r="A699" s="12"/>
      <c r="B699" s="446"/>
      <c r="C699" s="89"/>
      <c r="D699" s="13"/>
      <c r="E699" s="14"/>
      <c r="F699" s="14"/>
      <c r="G699" s="15"/>
      <c r="H699" s="8"/>
      <c r="I699" s="8"/>
      <c r="J699" s="89"/>
      <c r="K699" s="8"/>
      <c r="L699" s="8"/>
      <c r="M699" s="8" t="str">
        <f>IF(L699="","",
IF(AX699="PT",VLOOKUP(L699,Foundation_Calc!$V$4:$X$37,VLOOKUP(AX699,Foundation_Calc!$I$10:$J$13,2,FALSE),0),
IF(AX699="K",VLOOKUP(L699,Foundation_Calc!$V$41:$X$74,VLOOKUP(AX699,Foundation_Calc!$I$10:$J$13,2,FALSE),0),"")))</f>
        <v/>
      </c>
      <c r="N699" s="8"/>
      <c r="O699" s="8"/>
      <c r="P699" s="8"/>
      <c r="Q699" s="14"/>
      <c r="R699" s="15"/>
      <c r="S699" s="15"/>
      <c r="T699" s="14"/>
      <c r="U699" s="14"/>
      <c r="V699" s="14"/>
      <c r="W699" s="18"/>
      <c r="X699" s="18"/>
      <c r="Y699" s="18"/>
      <c r="Z699" s="18"/>
      <c r="AA699" s="18"/>
      <c r="AB699" s="18"/>
      <c r="AC699" s="8" t="str">
        <f t="shared" si="110"/>
        <v/>
      </c>
      <c r="AD699" s="8"/>
      <c r="AE699" s="8"/>
      <c r="AF699" s="14"/>
      <c r="AG699" s="13"/>
      <c r="AH699" s="14"/>
      <c r="AI699" s="14"/>
      <c r="AJ699" s="8"/>
      <c r="AK699" s="8"/>
      <c r="AL699" s="8"/>
      <c r="AM699" s="8"/>
      <c r="AN699" s="631"/>
      <c r="AO699" s="18"/>
      <c r="AP699" s="18"/>
      <c r="AQ699" s="18"/>
      <c r="AR699" s="18"/>
      <c r="AS699" s="18"/>
      <c r="AU699" s="448"/>
      <c r="AV699" s="448"/>
      <c r="AW699" s="8" t="str">
        <f>IF(C699&gt;0,VLOOKUP(C699,Foundation_Calc!$A$2:$C$986,3,1),
IF(J699&gt;0,VLOOKUP(J699,Foundation_Calc!$A$2:$C$986,3,1),""))</f>
        <v/>
      </c>
      <c r="AX699" s="8" t="str">
        <f>IF(C699&gt;0,VLOOKUP(C699,Foundation_Calc!$E$2:$G$986,3,1),
IF(J699&gt;0,VLOOKUP(J699,Foundation_Calc!$E$2:$G$986,3,1),""))</f>
        <v/>
      </c>
      <c r="AY699" s="631" t="str">
        <f>IF(L699="","",
IF(AX699="PT",VLOOKUP(L699,Foundation_Calc!$K$4:$R$37,VLOOKUP(AW699,Foundation_Calc!$I$2:$J$8,2,FALSE),0),
IF(AX699="K",VLOOKUP(L699,Foundation_Calc!$K$41:$R$74,VLOOKUP(AW699,Foundation_Calc!$I$2:$J$8,2,FALSE),0),"")))</f>
        <v/>
      </c>
      <c r="AZ699" s="631" t="str">
        <f>IF(K699="","",
IF(AX699="PT",VLOOKUP(K699,Foundation_Calc!$K$4:$R$37,VLOOKUP(AW699,Foundation_Calc!$I$2:$J$8,2,FALSE),0),
IF(AX699="K",VLOOKUP(K699,Foundation_Calc!$K$41:$R$74,VLOOKUP(AW699,Foundation_Calc!$I$2:$J$8,2,FALSE),0),"")))</f>
        <v/>
      </c>
      <c r="BA699" s="632" t="str">
        <f t="shared" si="111"/>
        <v/>
      </c>
      <c r="BB699" s="632" t="str">
        <f t="shared" si="112"/>
        <v/>
      </c>
      <c r="BC699" s="632" t="str">
        <f t="shared" si="113"/>
        <v/>
      </c>
      <c r="BD699" s="633" t="str">
        <f>IF(AND(L699="",H699=""),"",
IF(H699="",Pole_Calc!A727,
IF(H699="MP",Pole_Calc!A728,
IF(H699="AnMP",Pole_Calc!A729,
IF(H699="A",Pole_Calc!A730,
IF(H699="S/A",Pole_Calc!A731,
IF(H699="A/S",Pole_Calc!A732,"Poner a mano")))))))</f>
        <v/>
      </c>
      <c r="BE699" s="448" t="s">
        <v>1726</v>
      </c>
      <c r="BF699" s="635"/>
      <c r="BG699" s="635"/>
      <c r="BH699" s="634"/>
      <c r="BI699" s="635"/>
    </row>
    <row r="700" spans="1:61" ht="16.2" customHeight="1">
      <c r="A700" s="12"/>
      <c r="B700" s="446"/>
      <c r="C700" s="89"/>
      <c r="D700" s="13"/>
      <c r="E700" s="14"/>
      <c r="F700" s="14"/>
      <c r="G700" s="15"/>
      <c r="H700" s="8"/>
      <c r="I700" s="8"/>
      <c r="J700" s="89"/>
      <c r="K700" s="8"/>
      <c r="L700" s="8"/>
      <c r="M700" s="8" t="str">
        <f>IF(L700="","",
IF(AX700="PT",VLOOKUP(L700,Foundation_Calc!$V$4:$X$37,VLOOKUP(AX700,Foundation_Calc!$I$10:$J$13,2,FALSE),0),
IF(AX700="K",VLOOKUP(L700,Foundation_Calc!$V$41:$X$74,VLOOKUP(AX700,Foundation_Calc!$I$10:$J$13,2,FALSE),0),"")))</f>
        <v/>
      </c>
      <c r="N700" s="8"/>
      <c r="O700" s="8"/>
      <c r="P700" s="8"/>
      <c r="Q700" s="14"/>
      <c r="R700" s="15"/>
      <c r="S700" s="15"/>
      <c r="T700" s="14"/>
      <c r="U700" s="14"/>
      <c r="V700" s="14"/>
      <c r="W700" s="18"/>
      <c r="X700" s="18"/>
      <c r="Y700" s="18"/>
      <c r="Z700" s="18"/>
      <c r="AA700" s="18"/>
      <c r="AB700" s="18"/>
      <c r="AC700" s="8" t="str">
        <f t="shared" si="110"/>
        <v/>
      </c>
      <c r="AD700" s="8"/>
      <c r="AE700" s="8"/>
      <c r="AF700" s="14"/>
      <c r="AG700" s="13"/>
      <c r="AH700" s="14"/>
      <c r="AI700" s="14"/>
      <c r="AJ700" s="8"/>
      <c r="AK700" s="8"/>
      <c r="AL700" s="8"/>
      <c r="AM700" s="8"/>
      <c r="AN700" s="631"/>
      <c r="AO700" s="18"/>
      <c r="AP700" s="18"/>
      <c r="AQ700" s="18"/>
      <c r="AR700" s="18"/>
      <c r="AS700" s="18"/>
      <c r="AU700" s="448"/>
      <c r="AV700" s="448"/>
      <c r="AW700" s="8" t="str">
        <f>IF(C700&gt;0,VLOOKUP(C700,Foundation_Calc!$A$2:$C$986,3,1),
IF(J700&gt;0,VLOOKUP(J700,Foundation_Calc!$A$2:$C$986,3,1),""))</f>
        <v/>
      </c>
      <c r="AX700" s="8" t="str">
        <f>IF(C700&gt;0,VLOOKUP(C700,Foundation_Calc!$E$2:$G$986,3,1),
IF(J700&gt;0,VLOOKUP(J700,Foundation_Calc!$E$2:$G$986,3,1),""))</f>
        <v/>
      </c>
      <c r="AY700" s="631" t="str">
        <f>IF(L700="","",
IF(AX700="PT",VLOOKUP(L700,Foundation_Calc!$K$4:$R$37,VLOOKUP(AW700,Foundation_Calc!$I$2:$J$8,2,FALSE),0),
IF(AX700="K",VLOOKUP(L700,Foundation_Calc!$K$41:$R$74,VLOOKUP(AW700,Foundation_Calc!$I$2:$J$8,2,FALSE),0),"")))</f>
        <v/>
      </c>
      <c r="AZ700" s="631" t="str">
        <f>IF(K700="","",
IF(AX700="PT",VLOOKUP(K700,Foundation_Calc!$K$4:$R$37,VLOOKUP(AW700,Foundation_Calc!$I$2:$J$8,2,FALSE),0),
IF(AX700="K",VLOOKUP(K700,Foundation_Calc!$K$41:$R$74,VLOOKUP(AW700,Foundation_Calc!$I$2:$J$8,2,FALSE),0),"")))</f>
        <v/>
      </c>
      <c r="BA700" s="632" t="str">
        <f t="shared" si="111"/>
        <v/>
      </c>
      <c r="BB700" s="632" t="str">
        <f t="shared" si="112"/>
        <v/>
      </c>
      <c r="BC700" s="632" t="str">
        <f t="shared" si="113"/>
        <v/>
      </c>
      <c r="BD700" s="633" t="str">
        <f>IF(AND(L700="",H700=""),"",
IF(H700="",Pole_Calc!A728,
IF(H700="MP",Pole_Calc!A729,
IF(H700="AnMP",Pole_Calc!A730,
IF(H700="A",Pole_Calc!A731,
IF(H700="S/A",Pole_Calc!A732,
IF(H700="A/S",Pole_Calc!A733,"Poner a mano")))))))</f>
        <v/>
      </c>
      <c r="BE700" s="448" t="s">
        <v>1726</v>
      </c>
      <c r="BF700" s="634"/>
      <c r="BG700" s="634"/>
      <c r="BH700" s="634"/>
      <c r="BI700" s="634"/>
    </row>
    <row r="701" spans="1:61" ht="16.2" customHeight="1">
      <c r="A701" s="12"/>
      <c r="B701" s="446"/>
      <c r="C701" s="89"/>
      <c r="D701" s="13"/>
      <c r="E701" s="14"/>
      <c r="F701" s="14"/>
      <c r="G701" s="15"/>
      <c r="H701" s="8"/>
      <c r="I701" s="8"/>
      <c r="J701" s="89"/>
      <c r="K701" s="8"/>
      <c r="L701" s="8"/>
      <c r="M701" s="8" t="str">
        <f>IF(L701="","",
IF(AX701="PT",VLOOKUP(L701,Foundation_Calc!$V$4:$X$37,VLOOKUP(AX701,Foundation_Calc!$I$10:$J$13,2,FALSE),0),
IF(AX701="K",VLOOKUP(L701,Foundation_Calc!$V$41:$X$74,VLOOKUP(AX701,Foundation_Calc!$I$10:$J$13,2,FALSE),0),"")))</f>
        <v/>
      </c>
      <c r="N701" s="8"/>
      <c r="O701" s="8"/>
      <c r="P701" s="8"/>
      <c r="Q701" s="14"/>
      <c r="R701" s="15"/>
      <c r="S701" s="15"/>
      <c r="T701" s="14"/>
      <c r="U701" s="14"/>
      <c r="V701" s="14"/>
      <c r="W701" s="18"/>
      <c r="X701" s="18"/>
      <c r="Y701" s="18"/>
      <c r="Z701" s="18"/>
      <c r="AA701" s="18"/>
      <c r="AB701" s="18"/>
      <c r="AC701" s="8" t="str">
        <f t="shared" si="110"/>
        <v/>
      </c>
      <c r="AD701" s="8"/>
      <c r="AE701" s="8"/>
      <c r="AF701" s="14"/>
      <c r="AG701" s="13"/>
      <c r="AH701" s="14"/>
      <c r="AI701" s="14"/>
      <c r="AJ701" s="8"/>
      <c r="AK701" s="8"/>
      <c r="AL701" s="8"/>
      <c r="AM701" s="8"/>
      <c r="AN701" s="631"/>
      <c r="AO701" s="18"/>
      <c r="AP701" s="18"/>
      <c r="AQ701" s="18"/>
      <c r="AR701" s="18"/>
      <c r="AS701" s="18"/>
      <c r="AU701" s="448"/>
      <c r="AV701" s="448"/>
      <c r="AW701" s="8" t="str">
        <f>IF(C701&gt;0,VLOOKUP(C701,Foundation_Calc!$A$2:$C$986,3,1),
IF(J701&gt;0,VLOOKUP(J701,Foundation_Calc!$A$2:$C$986,3,1),""))</f>
        <v/>
      </c>
      <c r="AX701" s="8" t="str">
        <f>IF(C701&gt;0,VLOOKUP(C701,Foundation_Calc!$E$2:$G$986,3,1),
IF(J701&gt;0,VLOOKUP(J701,Foundation_Calc!$E$2:$G$986,3,1),""))</f>
        <v/>
      </c>
      <c r="AY701" s="631" t="str">
        <f>IF(L701="","",
IF(AX701="PT",VLOOKUP(L701,Foundation_Calc!$K$4:$R$37,VLOOKUP(AW701,Foundation_Calc!$I$2:$J$8,2,FALSE),0),
IF(AX701="K",VLOOKUP(L701,Foundation_Calc!$K$41:$R$74,VLOOKUP(AW701,Foundation_Calc!$I$2:$J$8,2,FALSE),0),"")))</f>
        <v/>
      </c>
      <c r="AZ701" s="631" t="str">
        <f>IF(K701="","",
IF(AX701="PT",VLOOKUP(K701,Foundation_Calc!$K$4:$R$37,VLOOKUP(AW701,Foundation_Calc!$I$2:$J$8,2,FALSE),0),
IF(AX701="K",VLOOKUP(K701,Foundation_Calc!$K$41:$R$74,VLOOKUP(AW701,Foundation_Calc!$I$2:$J$8,2,FALSE),0),"")))</f>
        <v/>
      </c>
      <c r="BA701" s="632" t="str">
        <f t="shared" si="111"/>
        <v/>
      </c>
      <c r="BB701" s="632" t="str">
        <f t="shared" si="112"/>
        <v/>
      </c>
      <c r="BC701" s="632" t="str">
        <f t="shared" si="113"/>
        <v/>
      </c>
      <c r="BD701" s="633" t="str">
        <f>IF(AND(L701="",H701=""),"",
IF(H701="",Pole_Calc!A729,
IF(H701="MP",Pole_Calc!A730,
IF(H701="AnMP",Pole_Calc!A731,
IF(H701="A",Pole_Calc!A732,
IF(H701="S/A",Pole_Calc!A733,
IF(H701="A/S",Pole_Calc!A734,"Poner a mano")))))))</f>
        <v/>
      </c>
      <c r="BE701" s="448" t="s">
        <v>1726</v>
      </c>
      <c r="BF701" s="635"/>
      <c r="BG701" s="635"/>
      <c r="BH701" s="634"/>
      <c r="BI701" s="635"/>
    </row>
    <row r="702" spans="1:61" ht="16.2" customHeight="1">
      <c r="A702" s="12"/>
      <c r="B702" s="446"/>
      <c r="C702" s="89"/>
      <c r="D702" s="13"/>
      <c r="E702" s="14"/>
      <c r="F702" s="14"/>
      <c r="G702" s="15"/>
      <c r="H702" s="8"/>
      <c r="I702" s="8"/>
      <c r="J702" s="89"/>
      <c r="K702" s="8"/>
      <c r="L702" s="8"/>
      <c r="M702" s="8" t="str">
        <f>IF(L702="","",
IF(AX702="PT",VLOOKUP(L702,Foundation_Calc!$V$4:$X$37,VLOOKUP(AX702,Foundation_Calc!$I$10:$J$13,2,FALSE),0),
IF(AX702="K",VLOOKUP(L702,Foundation_Calc!$V$41:$X$74,VLOOKUP(AX702,Foundation_Calc!$I$10:$J$13,2,FALSE),0),"")))</f>
        <v/>
      </c>
      <c r="N702" s="8"/>
      <c r="O702" s="8"/>
      <c r="P702" s="8"/>
      <c r="Q702" s="14"/>
      <c r="R702" s="15"/>
      <c r="S702" s="15"/>
      <c r="T702" s="14"/>
      <c r="U702" s="14"/>
      <c r="V702" s="14"/>
      <c r="W702" s="18"/>
      <c r="X702" s="18"/>
      <c r="Y702" s="18"/>
      <c r="Z702" s="18"/>
      <c r="AA702" s="18"/>
      <c r="AB702" s="18"/>
      <c r="AC702" s="8" t="str">
        <f t="shared" si="110"/>
        <v/>
      </c>
      <c r="AD702" s="8"/>
      <c r="AE702" s="8"/>
      <c r="AF702" s="14"/>
      <c r="AG702" s="13"/>
      <c r="AH702" s="14"/>
      <c r="AI702" s="14"/>
      <c r="AJ702" s="8"/>
      <c r="AK702" s="8"/>
      <c r="AL702" s="8"/>
      <c r="AM702" s="8"/>
      <c r="AN702" s="631"/>
      <c r="AO702" s="18"/>
      <c r="AP702" s="18"/>
      <c r="AQ702" s="18"/>
      <c r="AR702" s="18"/>
      <c r="AS702" s="18"/>
      <c r="AU702" s="448"/>
      <c r="AV702" s="448"/>
      <c r="AW702" s="8" t="str">
        <f>IF(C702&gt;0,VLOOKUP(C702,Foundation_Calc!$A$2:$C$986,3,1),
IF(J702&gt;0,VLOOKUP(J702,Foundation_Calc!$A$2:$C$986,3,1),""))</f>
        <v/>
      </c>
      <c r="AX702" s="8" t="str">
        <f>IF(C702&gt;0,VLOOKUP(C702,Foundation_Calc!$E$2:$G$986,3,1),
IF(J702&gt;0,VLOOKUP(J702,Foundation_Calc!$E$2:$G$986,3,1),""))</f>
        <v/>
      </c>
      <c r="AY702" s="631" t="str">
        <f>IF(L702="","",
IF(AX702="PT",VLOOKUP(L702,Foundation_Calc!$K$4:$R$37,VLOOKUP(AW702,Foundation_Calc!$I$2:$J$8,2,FALSE),0),
IF(AX702="K",VLOOKUP(L702,Foundation_Calc!$K$41:$R$74,VLOOKUP(AW702,Foundation_Calc!$I$2:$J$8,2,FALSE),0),"")))</f>
        <v/>
      </c>
      <c r="AZ702" s="631" t="str">
        <f>IF(K702="","",
IF(AX702="PT",VLOOKUP(K702,Foundation_Calc!$K$4:$R$37,VLOOKUP(AW702,Foundation_Calc!$I$2:$J$8,2,FALSE),0),
IF(AX702="K",VLOOKUP(K702,Foundation_Calc!$K$41:$R$74,VLOOKUP(AW702,Foundation_Calc!$I$2:$J$8,2,FALSE),0),"")))</f>
        <v/>
      </c>
      <c r="BA702" s="632" t="str">
        <f t="shared" si="111"/>
        <v/>
      </c>
      <c r="BB702" s="632" t="str">
        <f t="shared" si="112"/>
        <v/>
      </c>
      <c r="BC702" s="632" t="str">
        <f t="shared" si="113"/>
        <v/>
      </c>
      <c r="BD702" s="633" t="str">
        <f>IF(AND(L702="",H702=""),"",
IF(H702="",Pole_Calc!A730,
IF(H702="MP",Pole_Calc!A731,
IF(H702="AnMP",Pole_Calc!A732,
IF(H702="A",Pole_Calc!A733,
IF(H702="S/A",Pole_Calc!A734,
IF(H702="A/S",Pole_Calc!A735,"Poner a mano")))))))</f>
        <v/>
      </c>
      <c r="BE702" s="448" t="s">
        <v>1726</v>
      </c>
      <c r="BF702" s="634"/>
      <c r="BG702" s="634"/>
      <c r="BH702" s="634"/>
      <c r="BI702" s="634"/>
    </row>
    <row r="703" spans="1:61" ht="16.2" customHeight="1">
      <c r="A703" s="12"/>
      <c r="B703" s="446"/>
      <c r="C703" s="89"/>
      <c r="D703" s="13"/>
      <c r="E703" s="14"/>
      <c r="F703" s="14"/>
      <c r="G703" s="15"/>
      <c r="H703" s="8"/>
      <c r="I703" s="8"/>
      <c r="J703" s="89"/>
      <c r="K703" s="8"/>
      <c r="L703" s="8"/>
      <c r="M703" s="8" t="str">
        <f>IF(L703="","",
IF(AX703="PT",VLOOKUP(L703,Foundation_Calc!$V$4:$X$37,VLOOKUP(AX703,Foundation_Calc!$I$10:$J$13,2,FALSE),0),
IF(AX703="K",VLOOKUP(L703,Foundation_Calc!$V$41:$X$74,VLOOKUP(AX703,Foundation_Calc!$I$10:$J$13,2,FALSE),0),"")))</f>
        <v/>
      </c>
      <c r="N703" s="8"/>
      <c r="O703" s="8"/>
      <c r="P703" s="8"/>
      <c r="Q703" s="14"/>
      <c r="R703" s="15"/>
      <c r="S703" s="15"/>
      <c r="T703" s="14"/>
      <c r="U703" s="14"/>
      <c r="V703" s="14"/>
      <c r="W703" s="18"/>
      <c r="X703" s="18"/>
      <c r="Y703" s="18"/>
      <c r="Z703" s="18"/>
      <c r="AA703" s="18"/>
      <c r="AB703" s="18"/>
      <c r="AC703" s="8" t="str">
        <f t="shared" si="110"/>
        <v/>
      </c>
      <c r="AD703" s="8"/>
      <c r="AE703" s="8"/>
      <c r="AF703" s="14"/>
      <c r="AG703" s="13"/>
      <c r="AH703" s="14"/>
      <c r="AI703" s="14"/>
      <c r="AJ703" s="8"/>
      <c r="AK703" s="8"/>
      <c r="AL703" s="8"/>
      <c r="AM703" s="8"/>
      <c r="AN703" s="631"/>
      <c r="AO703" s="18"/>
      <c r="AP703" s="18"/>
      <c r="AQ703" s="18"/>
      <c r="AR703" s="18"/>
      <c r="AS703" s="18"/>
      <c r="AU703" s="448"/>
      <c r="AV703" s="448"/>
      <c r="AW703" s="8" t="str">
        <f>IF(C703&gt;0,VLOOKUP(C703,Foundation_Calc!$A$2:$C$986,3,1),
IF(J703&gt;0,VLOOKUP(J703,Foundation_Calc!$A$2:$C$986,3,1),""))</f>
        <v/>
      </c>
      <c r="AX703" s="8" t="str">
        <f>IF(C703&gt;0,VLOOKUP(C703,Foundation_Calc!$E$2:$G$986,3,1),
IF(J703&gt;0,VLOOKUP(J703,Foundation_Calc!$E$2:$G$986,3,1),""))</f>
        <v/>
      </c>
      <c r="AY703" s="631" t="str">
        <f>IF(L703="","",
IF(AX703="PT",VLOOKUP(L703,Foundation_Calc!$K$4:$R$37,VLOOKUP(AW703,Foundation_Calc!$I$2:$J$8,2,FALSE),0),
IF(AX703="K",VLOOKUP(L703,Foundation_Calc!$K$41:$R$74,VLOOKUP(AW703,Foundation_Calc!$I$2:$J$8,2,FALSE),0),"")))</f>
        <v/>
      </c>
      <c r="AZ703" s="631" t="str">
        <f>IF(K703="","",
IF(AX703="PT",VLOOKUP(K703,Foundation_Calc!$K$4:$R$37,VLOOKUP(AW703,Foundation_Calc!$I$2:$J$8,2,FALSE),0),
IF(AX703="K",VLOOKUP(K703,Foundation_Calc!$K$41:$R$74,VLOOKUP(AW703,Foundation_Calc!$I$2:$J$8,2,FALSE),0),"")))</f>
        <v/>
      </c>
      <c r="BA703" s="632" t="str">
        <f t="shared" si="111"/>
        <v/>
      </c>
      <c r="BB703" s="632" t="str">
        <f t="shared" si="112"/>
        <v/>
      </c>
      <c r="BC703" s="632" t="str">
        <f t="shared" si="113"/>
        <v/>
      </c>
      <c r="BD703" s="633" t="str">
        <f>IF(AND(L703="",H703=""),"",
IF(H703="",Pole_Calc!A731,
IF(H703="MP",Pole_Calc!A732,
IF(H703="AnMP",Pole_Calc!A733,
IF(H703="A",Pole_Calc!A734,
IF(H703="S/A",Pole_Calc!A735,
IF(H703="A/S",Pole_Calc!A736,"Poner a mano")))))))</f>
        <v/>
      </c>
      <c r="BE703" s="448" t="s">
        <v>1726</v>
      </c>
      <c r="BF703" s="635"/>
      <c r="BG703" s="635"/>
      <c r="BH703" s="634"/>
      <c r="BI703" s="635"/>
    </row>
    <row r="704" spans="1:61" ht="16.2" customHeight="1">
      <c r="A704" s="12"/>
      <c r="B704" s="446"/>
      <c r="C704" s="89"/>
      <c r="D704" s="13"/>
      <c r="E704" s="14"/>
      <c r="F704" s="14"/>
      <c r="G704" s="15"/>
      <c r="H704" s="8"/>
      <c r="I704" s="8"/>
      <c r="J704" s="89"/>
      <c r="K704" s="8"/>
      <c r="L704" s="8"/>
      <c r="M704" s="8" t="str">
        <f>IF(L704="","",
IF(AX704="PT",VLOOKUP(L704,Foundation_Calc!$V$4:$X$37,VLOOKUP(AX704,Foundation_Calc!$I$10:$J$13,2,FALSE),0),
IF(AX704="K",VLOOKUP(L704,Foundation_Calc!$V$41:$X$74,VLOOKUP(AX704,Foundation_Calc!$I$10:$J$13,2,FALSE),0),"")))</f>
        <v/>
      </c>
      <c r="N704" s="8"/>
      <c r="O704" s="8"/>
      <c r="P704" s="8"/>
      <c r="Q704" s="14"/>
      <c r="R704" s="15"/>
      <c r="S704" s="15"/>
      <c r="T704" s="14"/>
      <c r="U704" s="14"/>
      <c r="V704" s="14"/>
      <c r="W704" s="18"/>
      <c r="X704" s="18"/>
      <c r="Y704" s="18"/>
      <c r="Z704" s="18"/>
      <c r="AA704" s="18"/>
      <c r="AB704" s="18"/>
      <c r="AC704" s="8" t="str">
        <f t="shared" si="110"/>
        <v/>
      </c>
      <c r="AD704" s="8"/>
      <c r="AE704" s="8"/>
      <c r="AF704" s="14"/>
      <c r="AG704" s="13"/>
      <c r="AH704" s="14"/>
      <c r="AI704" s="14"/>
      <c r="AJ704" s="8"/>
      <c r="AK704" s="8"/>
      <c r="AL704" s="8"/>
      <c r="AM704" s="8"/>
      <c r="AN704" s="631"/>
      <c r="AO704" s="18"/>
      <c r="AP704" s="18"/>
      <c r="AQ704" s="18"/>
      <c r="AR704" s="18"/>
      <c r="AS704" s="18"/>
      <c r="AU704" s="448"/>
      <c r="AV704" s="448"/>
      <c r="AW704" s="8" t="str">
        <f>IF(C704&gt;0,VLOOKUP(C704,Foundation_Calc!$A$2:$C$986,3,1),
IF(J704&gt;0,VLOOKUP(J704,Foundation_Calc!$A$2:$C$986,3,1),""))</f>
        <v/>
      </c>
      <c r="AX704" s="8" t="str">
        <f>IF(C704&gt;0,VLOOKUP(C704,Foundation_Calc!$E$2:$G$986,3,1),
IF(J704&gt;0,VLOOKUP(J704,Foundation_Calc!$E$2:$G$986,3,1),""))</f>
        <v/>
      </c>
      <c r="AY704" s="631" t="str">
        <f>IF(L704="","",
IF(AX704="PT",VLOOKUP(L704,Foundation_Calc!$K$4:$R$37,VLOOKUP(AW704,Foundation_Calc!$I$2:$J$8,2,FALSE),0),
IF(AX704="K",VLOOKUP(L704,Foundation_Calc!$K$41:$R$74,VLOOKUP(AW704,Foundation_Calc!$I$2:$J$8,2,FALSE),0),"")))</f>
        <v/>
      </c>
      <c r="AZ704" s="631" t="str">
        <f>IF(K704="","",
IF(AX704="PT",VLOOKUP(K704,Foundation_Calc!$K$4:$R$37,VLOOKUP(AW704,Foundation_Calc!$I$2:$J$8,2,FALSE),0),
IF(AX704="K",VLOOKUP(K704,Foundation_Calc!$K$41:$R$74,VLOOKUP(AW704,Foundation_Calc!$I$2:$J$8,2,FALSE),0),"")))</f>
        <v/>
      </c>
      <c r="BA704" s="632" t="str">
        <f t="shared" si="111"/>
        <v/>
      </c>
      <c r="BB704" s="632" t="str">
        <f t="shared" si="112"/>
        <v/>
      </c>
      <c r="BC704" s="632" t="str">
        <f t="shared" si="113"/>
        <v/>
      </c>
      <c r="BD704" s="633" t="str">
        <f>IF(AND(L704="",H704=""),"",
IF(H704="",Pole_Calc!A732,
IF(H704="MP",Pole_Calc!A733,
IF(H704="AnMP",Pole_Calc!A734,
IF(H704="A",Pole_Calc!A735,
IF(H704="S/A",Pole_Calc!A736,
IF(H704="A/S",Pole_Calc!A737,"Poner a mano")))))))</f>
        <v/>
      </c>
      <c r="BE704" s="448" t="s">
        <v>1726</v>
      </c>
      <c r="BF704" s="634"/>
      <c r="BG704" s="634"/>
      <c r="BH704" s="634"/>
      <c r="BI704" s="634"/>
    </row>
    <row r="705" spans="1:61" ht="16.2" customHeight="1">
      <c r="A705" s="12"/>
      <c r="B705" s="446"/>
      <c r="C705" s="89"/>
      <c r="D705" s="13"/>
      <c r="E705" s="14"/>
      <c r="F705" s="14"/>
      <c r="G705" s="15"/>
      <c r="H705" s="8"/>
      <c r="I705" s="8"/>
      <c r="J705" s="89"/>
      <c r="K705" s="8"/>
      <c r="L705" s="8"/>
      <c r="M705" s="8" t="str">
        <f>IF(L705="","",
IF(AX705="PT",VLOOKUP(L705,Foundation_Calc!$V$4:$X$37,VLOOKUP(AX705,Foundation_Calc!$I$10:$J$13,2,FALSE),0),
IF(AX705="K",VLOOKUP(L705,Foundation_Calc!$V$41:$X$74,VLOOKUP(AX705,Foundation_Calc!$I$10:$J$13,2,FALSE),0),"")))</f>
        <v/>
      </c>
      <c r="N705" s="8"/>
      <c r="O705" s="8"/>
      <c r="P705" s="8"/>
      <c r="Q705" s="14"/>
      <c r="R705" s="15"/>
      <c r="S705" s="15"/>
      <c r="T705" s="14"/>
      <c r="U705" s="14"/>
      <c r="V705" s="14"/>
      <c r="W705" s="18"/>
      <c r="X705" s="18"/>
      <c r="Y705" s="18"/>
      <c r="Z705" s="18"/>
      <c r="AA705" s="18"/>
      <c r="AB705" s="18"/>
      <c r="AC705" s="8" t="str">
        <f t="shared" si="110"/>
        <v/>
      </c>
      <c r="AD705" s="8"/>
      <c r="AE705" s="8"/>
      <c r="AF705" s="14"/>
      <c r="AG705" s="13"/>
      <c r="AH705" s="14"/>
      <c r="AI705" s="14"/>
      <c r="AJ705" s="8"/>
      <c r="AK705" s="8"/>
      <c r="AL705" s="8"/>
      <c r="AM705" s="8"/>
      <c r="AN705" s="631"/>
      <c r="AO705" s="18"/>
      <c r="AP705" s="18"/>
      <c r="AQ705" s="18"/>
      <c r="AR705" s="18"/>
      <c r="AS705" s="18"/>
      <c r="AU705" s="448"/>
      <c r="AV705" s="448"/>
      <c r="AW705" s="8" t="str">
        <f>IF(C705&gt;0,VLOOKUP(C705,Foundation_Calc!$A$2:$C$986,3,1),
IF(J705&gt;0,VLOOKUP(J705,Foundation_Calc!$A$2:$C$986,3,1),""))</f>
        <v/>
      </c>
      <c r="AX705" s="8" t="str">
        <f>IF(C705&gt;0,VLOOKUP(C705,Foundation_Calc!$E$2:$G$986,3,1),
IF(J705&gt;0,VLOOKUP(J705,Foundation_Calc!$E$2:$G$986,3,1),""))</f>
        <v/>
      </c>
      <c r="AY705" s="631" t="str">
        <f>IF(L705="","",
IF(AX705="PT",VLOOKUP(L705,Foundation_Calc!$K$4:$R$37,VLOOKUP(AW705,Foundation_Calc!$I$2:$J$8,2,FALSE),0),
IF(AX705="K",VLOOKUP(L705,Foundation_Calc!$K$41:$R$74,VLOOKUP(AW705,Foundation_Calc!$I$2:$J$8,2,FALSE),0),"")))</f>
        <v/>
      </c>
      <c r="AZ705" s="631" t="str">
        <f>IF(K705="","",
IF(AX705="PT",VLOOKUP(K705,Foundation_Calc!$K$4:$R$37,VLOOKUP(AW705,Foundation_Calc!$I$2:$J$8,2,FALSE),0),
IF(AX705="K",VLOOKUP(K705,Foundation_Calc!$K$41:$R$74,VLOOKUP(AW705,Foundation_Calc!$I$2:$J$8,2,FALSE),0),"")))</f>
        <v/>
      </c>
      <c r="BA705" s="632" t="str">
        <f t="shared" si="111"/>
        <v/>
      </c>
      <c r="BB705" s="632" t="str">
        <f t="shared" si="112"/>
        <v/>
      </c>
      <c r="BC705" s="632" t="str">
        <f t="shared" si="113"/>
        <v/>
      </c>
      <c r="BD705" s="633" t="str">
        <f>IF(AND(L705="",H705=""),"",
IF(H705="",Pole_Calc!A733,
IF(H705="MP",Pole_Calc!A734,
IF(H705="AnMP",Pole_Calc!A735,
IF(H705="A",Pole_Calc!A736,
IF(H705="S/A",Pole_Calc!A737,
IF(H705="A/S",Pole_Calc!A738,"Poner a mano")))))))</f>
        <v/>
      </c>
      <c r="BE705" s="448" t="s">
        <v>1726</v>
      </c>
      <c r="BF705" s="635"/>
      <c r="BG705" s="635"/>
      <c r="BH705" s="634"/>
      <c r="BI705" s="635"/>
    </row>
    <row r="706" spans="1:61" ht="16.2" customHeight="1">
      <c r="A706" s="12"/>
      <c r="B706" s="446"/>
      <c r="C706" s="89"/>
      <c r="D706" s="13"/>
      <c r="E706" s="14"/>
      <c r="F706" s="14"/>
      <c r="G706" s="15"/>
      <c r="H706" s="8"/>
      <c r="I706" s="8"/>
      <c r="J706" s="89"/>
      <c r="K706" s="8"/>
      <c r="L706" s="8"/>
      <c r="M706" s="8" t="str">
        <f>IF(L706="","",
IF(AX706="PT",VLOOKUP(L706,Foundation_Calc!$V$4:$X$37,VLOOKUP(AX706,Foundation_Calc!$I$10:$J$13,2,FALSE),0),
IF(AX706="K",VLOOKUP(L706,Foundation_Calc!$V$41:$X$74,VLOOKUP(AX706,Foundation_Calc!$I$10:$J$13,2,FALSE),0),"")))</f>
        <v/>
      </c>
      <c r="N706" s="8"/>
      <c r="O706" s="8"/>
      <c r="P706" s="8"/>
      <c r="Q706" s="14"/>
      <c r="R706" s="15"/>
      <c r="S706" s="15"/>
      <c r="T706" s="14"/>
      <c r="U706" s="14"/>
      <c r="V706" s="14"/>
      <c r="W706" s="18"/>
      <c r="X706" s="18"/>
      <c r="Y706" s="18"/>
      <c r="Z706" s="18"/>
      <c r="AA706" s="18"/>
      <c r="AB706" s="18"/>
      <c r="AC706" s="8" t="str">
        <f t="shared" si="110"/>
        <v/>
      </c>
      <c r="AD706" s="8"/>
      <c r="AE706" s="8"/>
      <c r="AF706" s="14"/>
      <c r="AG706" s="13"/>
      <c r="AH706" s="14"/>
      <c r="AI706" s="14"/>
      <c r="AJ706" s="8"/>
      <c r="AK706" s="8"/>
      <c r="AL706" s="8"/>
      <c r="AM706" s="8"/>
      <c r="AN706" s="631"/>
      <c r="AO706" s="18"/>
      <c r="AP706" s="18"/>
      <c r="AQ706" s="18"/>
      <c r="AR706" s="18"/>
      <c r="AS706" s="18"/>
      <c r="AU706" s="448"/>
      <c r="AV706" s="448"/>
      <c r="AW706" s="8" t="str">
        <f>IF(C706&gt;0,VLOOKUP(C706,Foundation_Calc!$A$2:$C$986,3,1),
IF(J706&gt;0,VLOOKUP(J706,Foundation_Calc!$A$2:$C$986,3,1),""))</f>
        <v/>
      </c>
      <c r="AX706" s="8" t="str">
        <f>IF(C706&gt;0,VLOOKUP(C706,Foundation_Calc!$E$2:$G$986,3,1),
IF(J706&gt;0,VLOOKUP(J706,Foundation_Calc!$E$2:$G$986,3,1),""))</f>
        <v/>
      </c>
      <c r="AY706" s="631" t="str">
        <f>IF(L706="","",
IF(AX706="PT",VLOOKUP(L706,Foundation_Calc!$K$4:$R$37,VLOOKUP(AW706,Foundation_Calc!$I$2:$J$8,2,FALSE),0),
IF(AX706="K",VLOOKUP(L706,Foundation_Calc!$K$41:$R$74,VLOOKUP(AW706,Foundation_Calc!$I$2:$J$8,2,FALSE),0),"")))</f>
        <v/>
      </c>
      <c r="AZ706" s="631" t="str">
        <f>IF(K706="","",
IF(AX706="PT",VLOOKUP(K706,Foundation_Calc!$K$4:$R$37,VLOOKUP(AW706,Foundation_Calc!$I$2:$J$8,2,FALSE),0),
IF(AX706="K",VLOOKUP(K706,Foundation_Calc!$K$41:$R$74,VLOOKUP(AW706,Foundation_Calc!$I$2:$J$8,2,FALSE),0),"")))</f>
        <v/>
      </c>
      <c r="BA706" s="632" t="str">
        <f t="shared" si="111"/>
        <v/>
      </c>
      <c r="BB706" s="632" t="str">
        <f t="shared" si="112"/>
        <v/>
      </c>
      <c r="BC706" s="632" t="str">
        <f t="shared" si="113"/>
        <v/>
      </c>
      <c r="BD706" s="633" t="str">
        <f>IF(AND(L706="",H706=""),"",
IF(H706="",Pole_Calc!A734,
IF(H706="MP",Pole_Calc!A735,
IF(H706="AnMP",Pole_Calc!A736,
IF(H706="A",Pole_Calc!A737,
IF(H706="S/A",Pole_Calc!A738,
IF(H706="A/S",Pole_Calc!A739,"Poner a mano")))))))</f>
        <v/>
      </c>
      <c r="BE706" s="448" t="s">
        <v>1726</v>
      </c>
      <c r="BF706" s="634"/>
      <c r="BG706" s="634"/>
      <c r="BH706" s="634"/>
      <c r="BI706" s="634"/>
    </row>
    <row r="707" spans="1:61" ht="16.2" customHeight="1">
      <c r="A707" s="12"/>
      <c r="B707" s="446"/>
      <c r="C707" s="89"/>
      <c r="D707" s="13"/>
      <c r="E707" s="14"/>
      <c r="F707" s="14"/>
      <c r="G707" s="15"/>
      <c r="H707" s="8"/>
      <c r="I707" s="8"/>
      <c r="J707" s="89"/>
      <c r="K707" s="8"/>
      <c r="L707" s="8"/>
      <c r="M707" s="8" t="str">
        <f>IF(L707="","",
IF(AX707="PT",VLOOKUP(L707,Foundation_Calc!$V$4:$X$37,VLOOKUP(AX707,Foundation_Calc!$I$10:$J$13,2,FALSE),0),
IF(AX707="K",VLOOKUP(L707,Foundation_Calc!$V$41:$X$74,VLOOKUP(AX707,Foundation_Calc!$I$10:$J$13,2,FALSE),0),"")))</f>
        <v/>
      </c>
      <c r="N707" s="8"/>
      <c r="O707" s="8"/>
      <c r="P707" s="8"/>
      <c r="Q707" s="14"/>
      <c r="R707" s="15"/>
      <c r="S707" s="15"/>
      <c r="T707" s="14"/>
      <c r="U707" s="14"/>
      <c r="V707" s="14"/>
      <c r="W707" s="18"/>
      <c r="X707" s="18"/>
      <c r="Y707" s="18"/>
      <c r="Z707" s="18"/>
      <c r="AA707" s="18"/>
      <c r="AB707" s="18"/>
      <c r="AC707" s="8" t="str">
        <f t="shared" si="110"/>
        <v/>
      </c>
      <c r="AD707" s="8"/>
      <c r="AE707" s="8"/>
      <c r="AF707" s="14"/>
      <c r="AG707" s="13"/>
      <c r="AH707" s="14"/>
      <c r="AI707" s="14"/>
      <c r="AJ707" s="8"/>
      <c r="AK707" s="8"/>
      <c r="AL707" s="8"/>
      <c r="AM707" s="8"/>
      <c r="AN707" s="631"/>
      <c r="AO707" s="18"/>
      <c r="AP707" s="18"/>
      <c r="AQ707" s="18"/>
      <c r="AR707" s="18"/>
      <c r="AS707" s="18"/>
      <c r="AU707" s="448"/>
      <c r="AV707" s="448"/>
      <c r="AW707" s="8" t="str">
        <f>IF(C707&gt;0,VLOOKUP(C707,Foundation_Calc!$A$2:$C$986,3,1),
IF(J707&gt;0,VLOOKUP(J707,Foundation_Calc!$A$2:$C$986,3,1),""))</f>
        <v/>
      </c>
      <c r="AX707" s="8" t="str">
        <f>IF(C707&gt;0,VLOOKUP(C707,Foundation_Calc!$E$2:$G$986,3,1),
IF(J707&gt;0,VLOOKUP(J707,Foundation_Calc!$E$2:$G$986,3,1),""))</f>
        <v/>
      </c>
      <c r="AY707" s="631" t="str">
        <f>IF(L707="","",
IF(AX707="PT",VLOOKUP(L707,Foundation_Calc!$K$4:$R$37,VLOOKUP(AW707,Foundation_Calc!$I$2:$J$8,2,FALSE),0),
IF(AX707="K",VLOOKUP(L707,Foundation_Calc!$K$41:$R$74,VLOOKUP(AW707,Foundation_Calc!$I$2:$J$8,2,FALSE),0),"")))</f>
        <v/>
      </c>
      <c r="AZ707" s="631" t="str">
        <f>IF(K707="","",
IF(AX707="PT",VLOOKUP(K707,Foundation_Calc!$K$4:$R$37,VLOOKUP(AW707,Foundation_Calc!$I$2:$J$8,2,FALSE),0),
IF(AX707="K",VLOOKUP(K707,Foundation_Calc!$K$41:$R$74,VLOOKUP(AW707,Foundation_Calc!$I$2:$J$8,2,FALSE),0),"")))</f>
        <v/>
      </c>
      <c r="BA707" s="632" t="str">
        <f t="shared" si="111"/>
        <v/>
      </c>
      <c r="BB707" s="632" t="str">
        <f t="shared" si="112"/>
        <v/>
      </c>
      <c r="BC707" s="632" t="str">
        <f t="shared" si="113"/>
        <v/>
      </c>
      <c r="BD707" s="633" t="str">
        <f>IF(AND(L707="",H707=""),"",
IF(H707="",Pole_Calc!A735,
IF(H707="MP",Pole_Calc!A736,
IF(H707="AnMP",Pole_Calc!A737,
IF(H707="A",Pole_Calc!A738,
IF(H707="S/A",Pole_Calc!A739,
IF(H707="A/S",Pole_Calc!A740,"Poner a mano")))))))</f>
        <v/>
      </c>
      <c r="BE707" s="448" t="s">
        <v>1726</v>
      </c>
      <c r="BF707" s="635"/>
      <c r="BG707" s="635"/>
      <c r="BH707" s="634"/>
      <c r="BI707" s="635"/>
    </row>
    <row r="708" spans="1:61" ht="16.2" customHeight="1">
      <c r="A708" s="12"/>
      <c r="B708" s="446"/>
      <c r="C708" s="89"/>
      <c r="D708" s="13"/>
      <c r="E708" s="14"/>
      <c r="F708" s="14"/>
      <c r="G708" s="15"/>
      <c r="H708" s="8"/>
      <c r="I708" s="8"/>
      <c r="J708" s="89"/>
      <c r="K708" s="8"/>
      <c r="L708" s="8"/>
      <c r="M708" s="8" t="str">
        <f>IF(L708="","",
IF(AX708="PT",VLOOKUP(L708,Foundation_Calc!$V$4:$X$37,VLOOKUP(AX708,Foundation_Calc!$I$10:$J$13,2,FALSE),0),
IF(AX708="K",VLOOKUP(L708,Foundation_Calc!$V$41:$X$74,VLOOKUP(AX708,Foundation_Calc!$I$10:$J$13,2,FALSE),0),"")))</f>
        <v/>
      </c>
      <c r="N708" s="8"/>
      <c r="O708" s="8"/>
      <c r="P708" s="8"/>
      <c r="Q708" s="14"/>
      <c r="R708" s="15"/>
      <c r="S708" s="15"/>
      <c r="T708" s="14"/>
      <c r="U708" s="14"/>
      <c r="V708" s="14"/>
      <c r="W708" s="18"/>
      <c r="X708" s="18"/>
      <c r="Y708" s="18"/>
      <c r="Z708" s="18"/>
      <c r="AA708" s="18"/>
      <c r="AB708" s="18"/>
      <c r="AC708" s="8" t="str">
        <f t="shared" si="110"/>
        <v/>
      </c>
      <c r="AD708" s="8"/>
      <c r="AE708" s="8"/>
      <c r="AF708" s="14"/>
      <c r="AG708" s="13"/>
      <c r="AH708" s="14"/>
      <c r="AI708" s="14"/>
      <c r="AJ708" s="8"/>
      <c r="AK708" s="8"/>
      <c r="AL708" s="8"/>
      <c r="AM708" s="8"/>
      <c r="AN708" s="631"/>
      <c r="AO708" s="18"/>
      <c r="AP708" s="18"/>
      <c r="AQ708" s="18"/>
      <c r="AR708" s="18"/>
      <c r="AS708" s="18"/>
      <c r="AU708" s="448"/>
      <c r="AV708" s="448"/>
      <c r="AW708" s="8" t="str">
        <f>IF(C708&gt;0,VLOOKUP(C708,Foundation_Calc!$A$2:$C$986,3,1),
IF(J708&gt;0,VLOOKUP(J708,Foundation_Calc!$A$2:$C$986,3,1),""))</f>
        <v/>
      </c>
      <c r="AX708" s="8" t="str">
        <f>IF(C708&gt;0,VLOOKUP(C708,Foundation_Calc!$E$2:$G$986,3,1),
IF(J708&gt;0,VLOOKUP(J708,Foundation_Calc!$E$2:$G$986,3,1),""))</f>
        <v/>
      </c>
      <c r="AY708" s="631" t="str">
        <f>IF(L708="","",
IF(AX708="PT",VLOOKUP(L708,Foundation_Calc!$K$4:$R$37,VLOOKUP(AW708,Foundation_Calc!$I$2:$J$8,2,FALSE),0),
IF(AX708="K",VLOOKUP(L708,Foundation_Calc!$K$41:$R$74,VLOOKUP(AW708,Foundation_Calc!$I$2:$J$8,2,FALSE),0),"")))</f>
        <v/>
      </c>
      <c r="AZ708" s="631" t="str">
        <f>IF(K708="","",
IF(AX708="PT",VLOOKUP(K708,Foundation_Calc!$K$4:$R$37,VLOOKUP(AW708,Foundation_Calc!$I$2:$J$8,2,FALSE),0),
IF(AX708="K",VLOOKUP(K708,Foundation_Calc!$K$41:$R$74,VLOOKUP(AW708,Foundation_Calc!$I$2:$J$8,2,FALSE),0),"")))</f>
        <v/>
      </c>
      <c r="BA708" s="632" t="str">
        <f t="shared" si="111"/>
        <v/>
      </c>
      <c r="BB708" s="632" t="str">
        <f t="shared" si="112"/>
        <v/>
      </c>
      <c r="BC708" s="632" t="str">
        <f t="shared" si="113"/>
        <v/>
      </c>
      <c r="BD708" s="633" t="str">
        <f>IF(AND(L708="",H708=""),"",
IF(H708="",Pole_Calc!A736,
IF(H708="MP",Pole_Calc!A737,
IF(H708="AnMP",Pole_Calc!A738,
IF(H708="A",Pole_Calc!A739,
IF(H708="S/A",Pole_Calc!A740,
IF(H708="A/S",Pole_Calc!A741,"Poner a mano")))))))</f>
        <v/>
      </c>
      <c r="BE708" s="448" t="s">
        <v>1726</v>
      </c>
      <c r="BF708" s="634"/>
      <c r="BG708" s="634"/>
      <c r="BH708" s="634"/>
      <c r="BI708" s="634"/>
    </row>
    <row r="709" spans="1:61" ht="16.2" customHeight="1">
      <c r="A709" s="12"/>
      <c r="B709" s="446"/>
      <c r="C709" s="89"/>
      <c r="D709" s="13"/>
      <c r="E709" s="14"/>
      <c r="F709" s="14"/>
      <c r="G709" s="15"/>
      <c r="H709" s="8"/>
      <c r="I709" s="8"/>
      <c r="J709" s="89"/>
      <c r="K709" s="8"/>
      <c r="L709" s="8"/>
      <c r="M709" s="8" t="str">
        <f>IF(L709="","",
IF(AX709="PT",VLOOKUP(L709,Foundation_Calc!$V$4:$X$37,VLOOKUP(AX709,Foundation_Calc!$I$10:$J$13,2,FALSE),0),
IF(AX709="K",VLOOKUP(L709,Foundation_Calc!$V$41:$X$74,VLOOKUP(AX709,Foundation_Calc!$I$10:$J$13,2,FALSE),0),"")))</f>
        <v/>
      </c>
      <c r="N709" s="8"/>
      <c r="O709" s="8"/>
      <c r="P709" s="8"/>
      <c r="Q709" s="14"/>
      <c r="R709" s="15"/>
      <c r="S709" s="15"/>
      <c r="T709" s="14"/>
      <c r="U709" s="14"/>
      <c r="V709" s="14"/>
      <c r="W709" s="18"/>
      <c r="X709" s="18"/>
      <c r="Y709" s="18"/>
      <c r="Z709" s="18"/>
      <c r="AA709" s="18"/>
      <c r="AB709" s="18"/>
      <c r="AC709" s="8" t="str">
        <f t="shared" si="110"/>
        <v/>
      </c>
      <c r="AD709" s="8"/>
      <c r="AE709" s="8"/>
      <c r="AF709" s="14"/>
      <c r="AG709" s="13"/>
      <c r="AH709" s="14"/>
      <c r="AI709" s="14"/>
      <c r="AJ709" s="8"/>
      <c r="AK709" s="8"/>
      <c r="AL709" s="8"/>
      <c r="AM709" s="8"/>
      <c r="AN709" s="631"/>
      <c r="AO709" s="18"/>
      <c r="AP709" s="18"/>
      <c r="AQ709" s="18"/>
      <c r="AR709" s="18"/>
      <c r="AS709" s="18"/>
      <c r="AU709" s="448"/>
      <c r="AV709" s="448"/>
      <c r="AW709" s="8" t="str">
        <f>IF(C709&gt;0,VLOOKUP(C709,Foundation_Calc!$A$2:$C$986,3,1),
IF(J709&gt;0,VLOOKUP(J709,Foundation_Calc!$A$2:$C$986,3,1),""))</f>
        <v/>
      </c>
      <c r="AX709" s="8" t="str">
        <f>IF(C709&gt;0,VLOOKUP(C709,Foundation_Calc!$E$2:$G$986,3,1),
IF(J709&gt;0,VLOOKUP(J709,Foundation_Calc!$E$2:$G$986,3,1),""))</f>
        <v/>
      </c>
      <c r="AY709" s="631" t="str">
        <f>IF(L709="","",
IF(AX709="PT",VLOOKUP(L709,Foundation_Calc!$K$4:$R$37,VLOOKUP(AW709,Foundation_Calc!$I$2:$J$8,2,FALSE),0),
IF(AX709="K",VLOOKUP(L709,Foundation_Calc!$K$41:$R$74,VLOOKUP(AW709,Foundation_Calc!$I$2:$J$8,2,FALSE),0),"")))</f>
        <v/>
      </c>
      <c r="AZ709" s="631" t="str">
        <f>IF(K709="","",
IF(AX709="PT",VLOOKUP(K709,Foundation_Calc!$K$4:$R$37,VLOOKUP(AW709,Foundation_Calc!$I$2:$J$8,2,FALSE),0),
IF(AX709="K",VLOOKUP(K709,Foundation_Calc!$K$41:$R$74,VLOOKUP(AW709,Foundation_Calc!$I$2:$J$8,2,FALSE),0),"")))</f>
        <v/>
      </c>
      <c r="BA709" s="632" t="str">
        <f t="shared" si="111"/>
        <v/>
      </c>
      <c r="BB709" s="632" t="str">
        <f t="shared" si="112"/>
        <v/>
      </c>
      <c r="BC709" s="632" t="str">
        <f t="shared" si="113"/>
        <v/>
      </c>
      <c r="BD709" s="633" t="str">
        <f>IF(AND(L709="",H709=""),"",
IF(H709="",Pole_Calc!A737,
IF(H709="MP",Pole_Calc!A738,
IF(H709="AnMP",Pole_Calc!A739,
IF(H709="A",Pole_Calc!A740,
IF(H709="S/A",Pole_Calc!A741,
IF(H709="A/S",Pole_Calc!A742,"Poner a mano")))))))</f>
        <v/>
      </c>
      <c r="BE709" s="448" t="s">
        <v>1726</v>
      </c>
      <c r="BF709" s="635"/>
      <c r="BG709" s="635"/>
      <c r="BH709" s="634"/>
      <c r="BI709" s="635"/>
    </row>
    <row r="710" spans="1:61" ht="16.2" customHeight="1">
      <c r="A710" s="12"/>
      <c r="B710" s="446"/>
      <c r="C710" s="89"/>
      <c r="D710" s="13"/>
      <c r="E710" s="14"/>
      <c r="F710" s="14"/>
      <c r="G710" s="15"/>
      <c r="H710" s="8"/>
      <c r="I710" s="8"/>
      <c r="J710" s="89"/>
      <c r="K710" s="8"/>
      <c r="L710" s="8"/>
      <c r="M710" s="8" t="str">
        <f>IF(L710="","",
IF(AX710="PT",VLOOKUP(L710,Foundation_Calc!$V$4:$X$37,VLOOKUP(AX710,Foundation_Calc!$I$10:$J$13,2,FALSE),0),
IF(AX710="K",VLOOKUP(L710,Foundation_Calc!$V$41:$X$74,VLOOKUP(AX710,Foundation_Calc!$I$10:$J$13,2,FALSE),0),"")))</f>
        <v/>
      </c>
      <c r="N710" s="8"/>
      <c r="O710" s="8"/>
      <c r="P710" s="8"/>
      <c r="Q710" s="14"/>
      <c r="R710" s="15"/>
      <c r="S710" s="15"/>
      <c r="T710" s="14"/>
      <c r="U710" s="14"/>
      <c r="V710" s="14"/>
      <c r="W710" s="18"/>
      <c r="X710" s="18"/>
      <c r="Y710" s="18"/>
      <c r="Z710" s="18"/>
      <c r="AA710" s="18"/>
      <c r="AB710" s="18"/>
      <c r="AC710" s="8" t="str">
        <f t="shared" ref="AC710:AC773" si="114">IF(OR(AT710&gt;8,AT710&lt;-8),"PH",
IF(OR(AT710&gt;5,AT710&lt;-5),"PHQ",
IF(OR(AT710&gt;1,AT710&lt;-1),
"PHC","")))</f>
        <v/>
      </c>
      <c r="AD710" s="8"/>
      <c r="AE710" s="8"/>
      <c r="AF710" s="14"/>
      <c r="AG710" s="13"/>
      <c r="AH710" s="14"/>
      <c r="AI710" s="14"/>
      <c r="AJ710" s="8"/>
      <c r="AK710" s="8"/>
      <c r="AL710" s="8"/>
      <c r="AM710" s="8"/>
      <c r="AN710" s="631"/>
      <c r="AO710" s="18"/>
      <c r="AP710" s="18"/>
      <c r="AQ710" s="18"/>
      <c r="AR710" s="18"/>
      <c r="AS710" s="18"/>
      <c r="AU710" s="448"/>
      <c r="AV710" s="448"/>
      <c r="AW710" s="8" t="str">
        <f>IF(C710&gt;0,VLOOKUP(C710,Foundation_Calc!$A$2:$C$986,3,1),
IF(J710&gt;0,VLOOKUP(J710,Foundation_Calc!$A$2:$C$986,3,1),""))</f>
        <v/>
      </c>
      <c r="AX710" s="8" t="str">
        <f>IF(C710&gt;0,VLOOKUP(C710,Foundation_Calc!$E$2:$G$986,3,1),
IF(J710&gt;0,VLOOKUP(J710,Foundation_Calc!$E$2:$G$986,3,1),""))</f>
        <v/>
      </c>
      <c r="AY710" s="631" t="str">
        <f>IF(L710="","",
IF(AX710="PT",VLOOKUP(L710,Foundation_Calc!$K$4:$R$37,VLOOKUP(AW710,Foundation_Calc!$I$2:$J$8,2,FALSE),0),
IF(AX710="K",VLOOKUP(L710,Foundation_Calc!$K$41:$R$74,VLOOKUP(AW710,Foundation_Calc!$I$2:$J$8,2,FALSE),0),"")))</f>
        <v/>
      </c>
      <c r="AZ710" s="631" t="str">
        <f>IF(K710="","",
IF(AX710="PT",VLOOKUP(K710,Foundation_Calc!$K$4:$R$37,VLOOKUP(AW710,Foundation_Calc!$I$2:$J$8,2,FALSE),0),
IF(AX710="K",VLOOKUP(K710,Foundation_Calc!$K$41:$R$74,VLOOKUP(AW710,Foundation_Calc!$I$2:$J$8,2,FALSE),0),"")))</f>
        <v/>
      </c>
      <c r="BA710" s="632" t="str">
        <f t="shared" ref="BA710:BA773" si="115">IF(AY710="","",IF(AY710&gt;0,"ü",""))</f>
        <v/>
      </c>
      <c r="BB710" s="632" t="str">
        <f t="shared" ref="BB710:BB773" si="116">IF(AZ710="","",IF(AZ710&gt;0,"ü",""))</f>
        <v/>
      </c>
      <c r="BC710" s="632" t="str">
        <f t="shared" ref="BC710:BC773" si="117">IF(M710="","",IF(M710="Unique Solution","ü",""))</f>
        <v/>
      </c>
      <c r="BD710" s="633" t="str">
        <f>IF(AND(L710="",H710=""),"",
IF(H710="",Pole_Calc!A738,
IF(H710="MP",Pole_Calc!A739,
IF(H710="AnMP",Pole_Calc!A740,
IF(H710="A",Pole_Calc!A741,
IF(H710="S/A",Pole_Calc!A742,
IF(H710="A/S",Pole_Calc!A743,"Poner a mano")))))))</f>
        <v/>
      </c>
      <c r="BE710" s="448" t="s">
        <v>1726</v>
      </c>
      <c r="BF710" s="634"/>
      <c r="BG710" s="634"/>
      <c r="BH710" s="634"/>
      <c r="BI710" s="634"/>
    </row>
    <row r="711" spans="1:61" ht="16.2" customHeight="1">
      <c r="A711" s="12"/>
      <c r="B711" s="446"/>
      <c r="C711" s="89"/>
      <c r="D711" s="13"/>
      <c r="E711" s="14"/>
      <c r="F711" s="14"/>
      <c r="G711" s="15"/>
      <c r="H711" s="8"/>
      <c r="I711" s="8"/>
      <c r="J711" s="89"/>
      <c r="K711" s="8"/>
      <c r="L711" s="8"/>
      <c r="M711" s="8" t="str">
        <f>IF(L711="","",
IF(AX711="PT",VLOOKUP(L711,Foundation_Calc!$V$4:$X$37,VLOOKUP(AX711,Foundation_Calc!$I$10:$J$13,2,FALSE),0),
IF(AX711="K",VLOOKUP(L711,Foundation_Calc!$V$41:$X$74,VLOOKUP(AX711,Foundation_Calc!$I$10:$J$13,2,FALSE),0),"")))</f>
        <v/>
      </c>
      <c r="N711" s="8"/>
      <c r="O711" s="8"/>
      <c r="P711" s="8"/>
      <c r="Q711" s="14"/>
      <c r="R711" s="15"/>
      <c r="S711" s="15"/>
      <c r="T711" s="14"/>
      <c r="U711" s="14"/>
      <c r="V711" s="14"/>
      <c r="W711" s="18"/>
      <c r="X711" s="18"/>
      <c r="Y711" s="18"/>
      <c r="Z711" s="18"/>
      <c r="AA711" s="18"/>
      <c r="AB711" s="18"/>
      <c r="AC711" s="8" t="str">
        <f t="shared" si="114"/>
        <v/>
      </c>
      <c r="AD711" s="8"/>
      <c r="AE711" s="8"/>
      <c r="AF711" s="14"/>
      <c r="AG711" s="13"/>
      <c r="AH711" s="14"/>
      <c r="AI711" s="14"/>
      <c r="AJ711" s="8"/>
      <c r="AK711" s="8"/>
      <c r="AL711" s="8"/>
      <c r="AM711" s="8"/>
      <c r="AN711" s="631"/>
      <c r="AO711" s="18"/>
      <c r="AP711" s="18"/>
      <c r="AQ711" s="18"/>
      <c r="AR711" s="18"/>
      <c r="AS711" s="18"/>
      <c r="AU711" s="448"/>
      <c r="AV711" s="448"/>
      <c r="AW711" s="8" t="str">
        <f>IF(C711&gt;0,VLOOKUP(C711,Foundation_Calc!$A$2:$C$986,3,1),
IF(J711&gt;0,VLOOKUP(J711,Foundation_Calc!$A$2:$C$986,3,1),""))</f>
        <v/>
      </c>
      <c r="AX711" s="8" t="str">
        <f>IF(C711&gt;0,VLOOKUP(C711,Foundation_Calc!$E$2:$G$986,3,1),
IF(J711&gt;0,VLOOKUP(J711,Foundation_Calc!$E$2:$G$986,3,1),""))</f>
        <v/>
      </c>
      <c r="AY711" s="631" t="str">
        <f>IF(L711="","",
IF(AX711="PT",VLOOKUP(L711,Foundation_Calc!$K$4:$R$37,VLOOKUP(AW711,Foundation_Calc!$I$2:$J$8,2,FALSE),0),
IF(AX711="K",VLOOKUP(L711,Foundation_Calc!$K$41:$R$74,VLOOKUP(AW711,Foundation_Calc!$I$2:$J$8,2,FALSE),0),"")))</f>
        <v/>
      </c>
      <c r="AZ711" s="631" t="str">
        <f>IF(K711="","",
IF(AX711="PT",VLOOKUP(K711,Foundation_Calc!$K$4:$R$37,VLOOKUP(AW711,Foundation_Calc!$I$2:$J$8,2,FALSE),0),
IF(AX711="K",VLOOKUP(K711,Foundation_Calc!$K$41:$R$74,VLOOKUP(AW711,Foundation_Calc!$I$2:$J$8,2,FALSE),0),"")))</f>
        <v/>
      </c>
      <c r="BA711" s="632" t="str">
        <f t="shared" si="115"/>
        <v/>
      </c>
      <c r="BB711" s="632" t="str">
        <f t="shared" si="116"/>
        <v/>
      </c>
      <c r="BC711" s="632" t="str">
        <f t="shared" si="117"/>
        <v/>
      </c>
      <c r="BD711" s="633" t="str">
        <f>IF(AND(L711="",H711=""),"",
IF(H711="",Pole_Calc!A739,
IF(H711="MP",Pole_Calc!A740,
IF(H711="AnMP",Pole_Calc!A741,
IF(H711="A",Pole_Calc!A742,
IF(H711="S/A",Pole_Calc!A743,
IF(H711="A/S",Pole_Calc!A744,"Poner a mano")))))))</f>
        <v/>
      </c>
      <c r="BE711" s="448" t="s">
        <v>1726</v>
      </c>
      <c r="BF711" s="635"/>
      <c r="BG711" s="635"/>
      <c r="BH711" s="634"/>
      <c r="BI711" s="635"/>
    </row>
    <row r="712" spans="1:61" ht="16.2" customHeight="1">
      <c r="A712" s="12"/>
      <c r="B712" s="446"/>
      <c r="C712" s="89"/>
      <c r="D712" s="13"/>
      <c r="E712" s="14"/>
      <c r="F712" s="14"/>
      <c r="G712" s="15"/>
      <c r="H712" s="8"/>
      <c r="I712" s="8"/>
      <c r="J712" s="89"/>
      <c r="K712" s="8"/>
      <c r="L712" s="8"/>
      <c r="M712" s="8" t="str">
        <f>IF(L712="","",
IF(AX712="PT",VLOOKUP(L712,Foundation_Calc!$V$4:$X$37,VLOOKUP(AX712,Foundation_Calc!$I$10:$J$13,2,FALSE),0),
IF(AX712="K",VLOOKUP(L712,Foundation_Calc!$V$41:$X$74,VLOOKUP(AX712,Foundation_Calc!$I$10:$J$13,2,FALSE),0),"")))</f>
        <v/>
      </c>
      <c r="N712" s="8"/>
      <c r="O712" s="8"/>
      <c r="P712" s="8"/>
      <c r="Q712" s="14"/>
      <c r="R712" s="15"/>
      <c r="S712" s="15"/>
      <c r="T712" s="14"/>
      <c r="U712" s="14"/>
      <c r="V712" s="14"/>
      <c r="W712" s="18"/>
      <c r="X712" s="18"/>
      <c r="Y712" s="18"/>
      <c r="Z712" s="18"/>
      <c r="AA712" s="18"/>
      <c r="AB712" s="18"/>
      <c r="AC712" s="8" t="str">
        <f t="shared" si="114"/>
        <v/>
      </c>
      <c r="AD712" s="8"/>
      <c r="AE712" s="8"/>
      <c r="AF712" s="14"/>
      <c r="AG712" s="13"/>
      <c r="AH712" s="14"/>
      <c r="AI712" s="14"/>
      <c r="AJ712" s="8"/>
      <c r="AK712" s="8"/>
      <c r="AL712" s="8"/>
      <c r="AM712" s="8"/>
      <c r="AN712" s="631"/>
      <c r="AO712" s="18"/>
      <c r="AP712" s="18"/>
      <c r="AQ712" s="18"/>
      <c r="AR712" s="18"/>
      <c r="AS712" s="18"/>
      <c r="AU712" s="448"/>
      <c r="AV712" s="448"/>
      <c r="AW712" s="8" t="str">
        <f>IF(C712&gt;0,VLOOKUP(C712,Foundation_Calc!$A$2:$C$986,3,1),
IF(J712&gt;0,VLOOKUP(J712,Foundation_Calc!$A$2:$C$986,3,1),""))</f>
        <v/>
      </c>
      <c r="AX712" s="8" t="str">
        <f>IF(C712&gt;0,VLOOKUP(C712,Foundation_Calc!$E$2:$G$986,3,1),
IF(J712&gt;0,VLOOKUP(J712,Foundation_Calc!$E$2:$G$986,3,1),""))</f>
        <v/>
      </c>
      <c r="AY712" s="631" t="str">
        <f>IF(L712="","",
IF(AX712="PT",VLOOKUP(L712,Foundation_Calc!$K$4:$R$37,VLOOKUP(AW712,Foundation_Calc!$I$2:$J$8,2,FALSE),0),
IF(AX712="K",VLOOKUP(L712,Foundation_Calc!$K$41:$R$74,VLOOKUP(AW712,Foundation_Calc!$I$2:$J$8,2,FALSE),0),"")))</f>
        <v/>
      </c>
      <c r="AZ712" s="631" t="str">
        <f>IF(K712="","",
IF(AX712="PT",VLOOKUP(K712,Foundation_Calc!$K$4:$R$37,VLOOKUP(AW712,Foundation_Calc!$I$2:$J$8,2,FALSE),0),
IF(AX712="K",VLOOKUP(K712,Foundation_Calc!$K$41:$R$74,VLOOKUP(AW712,Foundation_Calc!$I$2:$J$8,2,FALSE),0),"")))</f>
        <v/>
      </c>
      <c r="BA712" s="632" t="str">
        <f t="shared" si="115"/>
        <v/>
      </c>
      <c r="BB712" s="632" t="str">
        <f t="shared" si="116"/>
        <v/>
      </c>
      <c r="BC712" s="632" t="str">
        <f t="shared" si="117"/>
        <v/>
      </c>
      <c r="BD712" s="633" t="str">
        <f>IF(AND(L712="",H712=""),"",
IF(H712="",Pole_Calc!A740,
IF(H712="MP",Pole_Calc!A741,
IF(H712="AnMP",Pole_Calc!A742,
IF(H712="A",Pole_Calc!A743,
IF(H712="S/A",Pole_Calc!A744,
IF(H712="A/S",Pole_Calc!A745,"Poner a mano")))))))</f>
        <v/>
      </c>
      <c r="BE712" s="448" t="s">
        <v>1726</v>
      </c>
      <c r="BF712" s="634"/>
      <c r="BG712" s="634"/>
      <c r="BH712" s="634"/>
      <c r="BI712" s="634"/>
    </row>
    <row r="713" spans="1:61" ht="16.2" customHeight="1">
      <c r="A713" s="12"/>
      <c r="B713" s="446"/>
      <c r="C713" s="89"/>
      <c r="D713" s="13"/>
      <c r="E713" s="14"/>
      <c r="F713" s="14"/>
      <c r="G713" s="15"/>
      <c r="H713" s="8"/>
      <c r="I713" s="8"/>
      <c r="J713" s="89"/>
      <c r="K713" s="8"/>
      <c r="L713" s="8"/>
      <c r="M713" s="8" t="str">
        <f>IF(L713="","",
IF(AX713="PT",VLOOKUP(L713,Foundation_Calc!$V$4:$X$37,VLOOKUP(AX713,Foundation_Calc!$I$10:$J$13,2,FALSE),0),
IF(AX713="K",VLOOKUP(L713,Foundation_Calc!$V$41:$X$74,VLOOKUP(AX713,Foundation_Calc!$I$10:$J$13,2,FALSE),0),"")))</f>
        <v/>
      </c>
      <c r="N713" s="8"/>
      <c r="O713" s="8"/>
      <c r="P713" s="8"/>
      <c r="Q713" s="14"/>
      <c r="R713" s="15"/>
      <c r="S713" s="15"/>
      <c r="T713" s="14"/>
      <c r="U713" s="14"/>
      <c r="V713" s="14"/>
      <c r="W713" s="18"/>
      <c r="X713" s="18"/>
      <c r="Y713" s="18"/>
      <c r="Z713" s="18"/>
      <c r="AA713" s="18"/>
      <c r="AB713" s="18"/>
      <c r="AC713" s="8" t="str">
        <f t="shared" si="114"/>
        <v/>
      </c>
      <c r="AD713" s="8"/>
      <c r="AE713" s="8"/>
      <c r="AF713" s="14"/>
      <c r="AG713" s="13"/>
      <c r="AH713" s="14"/>
      <c r="AI713" s="14"/>
      <c r="AJ713" s="8"/>
      <c r="AK713" s="8"/>
      <c r="AL713" s="8"/>
      <c r="AM713" s="8"/>
      <c r="AN713" s="631"/>
      <c r="AO713" s="18"/>
      <c r="AP713" s="18"/>
      <c r="AQ713" s="18"/>
      <c r="AR713" s="18"/>
      <c r="AS713" s="18"/>
      <c r="AU713" s="448"/>
      <c r="AV713" s="448"/>
      <c r="AW713" s="8" t="str">
        <f>IF(C713&gt;0,VLOOKUP(C713,Foundation_Calc!$A$2:$C$986,3,1),
IF(J713&gt;0,VLOOKUP(J713,Foundation_Calc!$A$2:$C$986,3,1),""))</f>
        <v/>
      </c>
      <c r="AX713" s="8" t="str">
        <f>IF(C713&gt;0,VLOOKUP(C713,Foundation_Calc!$E$2:$G$986,3,1),
IF(J713&gt;0,VLOOKUP(J713,Foundation_Calc!$E$2:$G$986,3,1),""))</f>
        <v/>
      </c>
      <c r="AY713" s="631" t="str">
        <f>IF(L713="","",
IF(AX713="PT",VLOOKUP(L713,Foundation_Calc!$K$4:$R$37,VLOOKUP(AW713,Foundation_Calc!$I$2:$J$8,2,FALSE),0),
IF(AX713="K",VLOOKUP(L713,Foundation_Calc!$K$41:$R$74,VLOOKUP(AW713,Foundation_Calc!$I$2:$J$8,2,FALSE),0),"")))</f>
        <v/>
      </c>
      <c r="AZ713" s="631" t="str">
        <f>IF(K713="","",
IF(AX713="PT",VLOOKUP(K713,Foundation_Calc!$K$4:$R$37,VLOOKUP(AW713,Foundation_Calc!$I$2:$J$8,2,FALSE),0),
IF(AX713="K",VLOOKUP(K713,Foundation_Calc!$K$41:$R$74,VLOOKUP(AW713,Foundation_Calc!$I$2:$J$8,2,FALSE),0),"")))</f>
        <v/>
      </c>
      <c r="BA713" s="632" t="str">
        <f t="shared" si="115"/>
        <v/>
      </c>
      <c r="BB713" s="632" t="str">
        <f t="shared" si="116"/>
        <v/>
      </c>
      <c r="BC713" s="632" t="str">
        <f t="shared" si="117"/>
        <v/>
      </c>
      <c r="BD713" s="633" t="str">
        <f>IF(AND(L713="",H713=""),"",
IF(H713="",Pole_Calc!A741,
IF(H713="MP",Pole_Calc!A742,
IF(H713="AnMP",Pole_Calc!A743,
IF(H713="A",Pole_Calc!A744,
IF(H713="S/A",Pole_Calc!A745,
IF(H713="A/S",Pole_Calc!A746,"Poner a mano")))))))</f>
        <v/>
      </c>
      <c r="BE713" s="448" t="s">
        <v>1726</v>
      </c>
      <c r="BF713" s="635"/>
      <c r="BG713" s="635"/>
      <c r="BH713" s="634"/>
      <c r="BI713" s="635"/>
    </row>
    <row r="714" spans="1:61" ht="16.2" customHeight="1">
      <c r="A714" s="12"/>
      <c r="B714" s="446"/>
      <c r="C714" s="89"/>
      <c r="D714" s="13"/>
      <c r="E714" s="14"/>
      <c r="F714" s="14"/>
      <c r="G714" s="15"/>
      <c r="H714" s="8"/>
      <c r="I714" s="8"/>
      <c r="J714" s="89"/>
      <c r="K714" s="8"/>
      <c r="L714" s="8"/>
      <c r="M714" s="8" t="str">
        <f>IF(L714="","",
IF(AX714="PT",VLOOKUP(L714,Foundation_Calc!$V$4:$X$37,VLOOKUP(AX714,Foundation_Calc!$I$10:$J$13,2,FALSE),0),
IF(AX714="K",VLOOKUP(L714,Foundation_Calc!$V$41:$X$74,VLOOKUP(AX714,Foundation_Calc!$I$10:$J$13,2,FALSE),0),"")))</f>
        <v/>
      </c>
      <c r="N714" s="8"/>
      <c r="O714" s="8"/>
      <c r="P714" s="8"/>
      <c r="Q714" s="14"/>
      <c r="R714" s="15"/>
      <c r="S714" s="15"/>
      <c r="T714" s="14"/>
      <c r="U714" s="14"/>
      <c r="V714" s="14"/>
      <c r="W714" s="18"/>
      <c r="X714" s="18"/>
      <c r="Y714" s="18"/>
      <c r="Z714" s="18"/>
      <c r="AA714" s="18"/>
      <c r="AB714" s="18"/>
      <c r="AC714" s="8" t="str">
        <f t="shared" si="114"/>
        <v/>
      </c>
      <c r="AD714" s="8"/>
      <c r="AE714" s="8"/>
      <c r="AF714" s="14"/>
      <c r="AG714" s="13"/>
      <c r="AH714" s="14"/>
      <c r="AI714" s="14"/>
      <c r="AJ714" s="8"/>
      <c r="AK714" s="8"/>
      <c r="AL714" s="8"/>
      <c r="AM714" s="8"/>
      <c r="AN714" s="631"/>
      <c r="AO714" s="18"/>
      <c r="AP714" s="18"/>
      <c r="AQ714" s="18"/>
      <c r="AR714" s="18"/>
      <c r="AS714" s="18"/>
      <c r="AU714" s="448"/>
      <c r="AV714" s="448"/>
      <c r="AW714" s="8" t="str">
        <f>IF(C714&gt;0,VLOOKUP(C714,Foundation_Calc!$A$2:$C$986,3,1),
IF(J714&gt;0,VLOOKUP(J714,Foundation_Calc!$A$2:$C$986,3,1),""))</f>
        <v/>
      </c>
      <c r="AX714" s="8" t="str">
        <f>IF(C714&gt;0,VLOOKUP(C714,Foundation_Calc!$E$2:$G$986,3,1),
IF(J714&gt;0,VLOOKUP(J714,Foundation_Calc!$E$2:$G$986,3,1),""))</f>
        <v/>
      </c>
      <c r="AY714" s="631" t="str">
        <f>IF(L714="","",
IF(AX714="PT",VLOOKUP(L714,Foundation_Calc!$K$4:$R$37,VLOOKUP(AW714,Foundation_Calc!$I$2:$J$8,2,FALSE),0),
IF(AX714="K",VLOOKUP(L714,Foundation_Calc!$K$41:$R$74,VLOOKUP(AW714,Foundation_Calc!$I$2:$J$8,2,FALSE),0),"")))</f>
        <v/>
      </c>
      <c r="AZ714" s="631" t="str">
        <f>IF(K714="","",
IF(AX714="PT",VLOOKUP(K714,Foundation_Calc!$K$4:$R$37,VLOOKUP(AW714,Foundation_Calc!$I$2:$J$8,2,FALSE),0),
IF(AX714="K",VLOOKUP(K714,Foundation_Calc!$K$41:$R$74,VLOOKUP(AW714,Foundation_Calc!$I$2:$J$8,2,FALSE),0),"")))</f>
        <v/>
      </c>
      <c r="BA714" s="632" t="str">
        <f t="shared" si="115"/>
        <v/>
      </c>
      <c r="BB714" s="632" t="str">
        <f t="shared" si="116"/>
        <v/>
      </c>
      <c r="BC714" s="632" t="str">
        <f t="shared" si="117"/>
        <v/>
      </c>
      <c r="BD714" s="633" t="str">
        <f>IF(AND(L714="",H714=""),"",
IF(H714="",Pole_Calc!A742,
IF(H714="MP",Pole_Calc!A743,
IF(H714="AnMP",Pole_Calc!A744,
IF(H714="A",Pole_Calc!A745,
IF(H714="S/A",Pole_Calc!A746,
IF(H714="A/S",Pole_Calc!A747,"Poner a mano")))))))</f>
        <v/>
      </c>
      <c r="BE714" s="448" t="s">
        <v>1726</v>
      </c>
      <c r="BF714" s="634"/>
      <c r="BG714" s="634"/>
      <c r="BH714" s="634"/>
      <c r="BI714" s="634"/>
    </row>
    <row r="715" spans="1:61" ht="16.2" customHeight="1">
      <c r="A715" s="12"/>
      <c r="B715" s="446"/>
      <c r="C715" s="89"/>
      <c r="D715" s="13"/>
      <c r="E715" s="14"/>
      <c r="F715" s="14"/>
      <c r="G715" s="15"/>
      <c r="H715" s="8"/>
      <c r="I715" s="8"/>
      <c r="J715" s="89"/>
      <c r="K715" s="8"/>
      <c r="L715" s="8"/>
      <c r="M715" s="8" t="str">
        <f>IF(L715="","",
IF(AX715="PT",VLOOKUP(L715,Foundation_Calc!$V$4:$X$37,VLOOKUP(AX715,Foundation_Calc!$I$10:$J$13,2,FALSE),0),
IF(AX715="K",VLOOKUP(L715,Foundation_Calc!$V$41:$X$74,VLOOKUP(AX715,Foundation_Calc!$I$10:$J$13,2,FALSE),0),"")))</f>
        <v/>
      </c>
      <c r="N715" s="8"/>
      <c r="O715" s="8"/>
      <c r="P715" s="8"/>
      <c r="Q715" s="14"/>
      <c r="R715" s="15"/>
      <c r="S715" s="15"/>
      <c r="T715" s="14"/>
      <c r="U715" s="14"/>
      <c r="V715" s="14"/>
      <c r="W715" s="18"/>
      <c r="X715" s="18"/>
      <c r="Y715" s="18"/>
      <c r="Z715" s="18"/>
      <c r="AA715" s="18"/>
      <c r="AB715" s="18"/>
      <c r="AC715" s="8" t="str">
        <f t="shared" si="114"/>
        <v/>
      </c>
      <c r="AD715" s="8"/>
      <c r="AE715" s="8"/>
      <c r="AF715" s="14"/>
      <c r="AG715" s="13"/>
      <c r="AH715" s="14"/>
      <c r="AI715" s="14"/>
      <c r="AJ715" s="8"/>
      <c r="AK715" s="8"/>
      <c r="AL715" s="8"/>
      <c r="AM715" s="8"/>
      <c r="AN715" s="631"/>
      <c r="AO715" s="18"/>
      <c r="AP715" s="18"/>
      <c r="AQ715" s="18"/>
      <c r="AR715" s="18"/>
      <c r="AS715" s="18"/>
      <c r="AU715" s="448"/>
      <c r="AV715" s="448"/>
      <c r="AW715" s="8" t="str">
        <f>IF(C715&gt;0,VLOOKUP(C715,Foundation_Calc!$A$2:$C$986,3,1),
IF(J715&gt;0,VLOOKUP(J715,Foundation_Calc!$A$2:$C$986,3,1),""))</f>
        <v/>
      </c>
      <c r="AX715" s="8" t="str">
        <f>IF(C715&gt;0,VLOOKUP(C715,Foundation_Calc!$E$2:$G$986,3,1),
IF(J715&gt;0,VLOOKUP(J715,Foundation_Calc!$E$2:$G$986,3,1),""))</f>
        <v/>
      </c>
      <c r="AY715" s="631" t="str">
        <f>IF(L715="","",
IF(AX715="PT",VLOOKUP(L715,Foundation_Calc!$K$4:$R$37,VLOOKUP(AW715,Foundation_Calc!$I$2:$J$8,2,FALSE),0),
IF(AX715="K",VLOOKUP(L715,Foundation_Calc!$K$41:$R$74,VLOOKUP(AW715,Foundation_Calc!$I$2:$J$8,2,FALSE),0),"")))</f>
        <v/>
      </c>
      <c r="AZ715" s="631" t="str">
        <f>IF(K715="","",
IF(AX715="PT",VLOOKUP(K715,Foundation_Calc!$K$4:$R$37,VLOOKUP(AW715,Foundation_Calc!$I$2:$J$8,2,FALSE),0),
IF(AX715="K",VLOOKUP(K715,Foundation_Calc!$K$41:$R$74,VLOOKUP(AW715,Foundation_Calc!$I$2:$J$8,2,FALSE),0),"")))</f>
        <v/>
      </c>
      <c r="BA715" s="632" t="str">
        <f t="shared" si="115"/>
        <v/>
      </c>
      <c r="BB715" s="632" t="str">
        <f t="shared" si="116"/>
        <v/>
      </c>
      <c r="BC715" s="632" t="str">
        <f t="shared" si="117"/>
        <v/>
      </c>
      <c r="BD715" s="633" t="str">
        <f>IF(AND(L715="",H715=""),"",
IF(H715="",Pole_Calc!A743,
IF(H715="MP",Pole_Calc!A744,
IF(H715="AnMP",Pole_Calc!A745,
IF(H715="A",Pole_Calc!A746,
IF(H715="S/A",Pole_Calc!A747,
IF(H715="A/S",Pole_Calc!A748,"Poner a mano")))))))</f>
        <v/>
      </c>
      <c r="BE715" s="448" t="s">
        <v>1726</v>
      </c>
      <c r="BF715" s="635"/>
      <c r="BG715" s="635"/>
      <c r="BH715" s="634"/>
      <c r="BI715" s="635"/>
    </row>
    <row r="716" spans="1:61" ht="16.2" customHeight="1">
      <c r="A716" s="12"/>
      <c r="B716" s="446"/>
      <c r="C716" s="89"/>
      <c r="D716" s="13"/>
      <c r="E716" s="14"/>
      <c r="F716" s="14"/>
      <c r="G716" s="15"/>
      <c r="H716" s="8"/>
      <c r="I716" s="8"/>
      <c r="J716" s="89"/>
      <c r="K716" s="8"/>
      <c r="L716" s="8"/>
      <c r="M716" s="8" t="str">
        <f>IF(L716="","",
IF(AX716="PT",VLOOKUP(L716,Foundation_Calc!$V$4:$X$37,VLOOKUP(AX716,Foundation_Calc!$I$10:$J$13,2,FALSE),0),
IF(AX716="K",VLOOKUP(L716,Foundation_Calc!$V$41:$X$74,VLOOKUP(AX716,Foundation_Calc!$I$10:$J$13,2,FALSE),0),"")))</f>
        <v/>
      </c>
      <c r="N716" s="8"/>
      <c r="O716" s="8"/>
      <c r="P716" s="8"/>
      <c r="Q716" s="14"/>
      <c r="R716" s="15"/>
      <c r="S716" s="15"/>
      <c r="T716" s="14"/>
      <c r="U716" s="14"/>
      <c r="V716" s="14"/>
      <c r="W716" s="18"/>
      <c r="X716" s="18"/>
      <c r="Y716" s="18"/>
      <c r="Z716" s="18"/>
      <c r="AA716" s="18"/>
      <c r="AB716" s="18"/>
      <c r="AC716" s="8" t="str">
        <f t="shared" si="114"/>
        <v/>
      </c>
      <c r="AD716" s="8"/>
      <c r="AE716" s="8"/>
      <c r="AF716" s="14"/>
      <c r="AG716" s="13"/>
      <c r="AH716" s="14"/>
      <c r="AI716" s="14"/>
      <c r="AJ716" s="8"/>
      <c r="AK716" s="8"/>
      <c r="AL716" s="8"/>
      <c r="AM716" s="8"/>
      <c r="AN716" s="631"/>
      <c r="AO716" s="18"/>
      <c r="AP716" s="18"/>
      <c r="AQ716" s="18"/>
      <c r="AR716" s="18"/>
      <c r="AS716" s="18"/>
      <c r="AU716" s="448"/>
      <c r="AV716" s="448"/>
      <c r="AW716" s="8" t="str">
        <f>IF(C716&gt;0,VLOOKUP(C716,Foundation_Calc!$A$2:$C$986,3,1),
IF(J716&gt;0,VLOOKUP(J716,Foundation_Calc!$A$2:$C$986,3,1),""))</f>
        <v/>
      </c>
      <c r="AX716" s="8" t="str">
        <f>IF(C716&gt;0,VLOOKUP(C716,Foundation_Calc!$E$2:$G$986,3,1),
IF(J716&gt;0,VLOOKUP(J716,Foundation_Calc!$E$2:$G$986,3,1),""))</f>
        <v/>
      </c>
      <c r="AY716" s="631" t="str">
        <f>IF(L716="","",
IF(AX716="PT",VLOOKUP(L716,Foundation_Calc!$K$4:$R$37,VLOOKUP(AW716,Foundation_Calc!$I$2:$J$8,2,FALSE),0),
IF(AX716="K",VLOOKUP(L716,Foundation_Calc!$K$41:$R$74,VLOOKUP(AW716,Foundation_Calc!$I$2:$J$8,2,FALSE),0),"")))</f>
        <v/>
      </c>
      <c r="AZ716" s="631" t="str">
        <f>IF(K716="","",
IF(AX716="PT",VLOOKUP(K716,Foundation_Calc!$K$4:$R$37,VLOOKUP(AW716,Foundation_Calc!$I$2:$J$8,2,FALSE),0),
IF(AX716="K",VLOOKUP(K716,Foundation_Calc!$K$41:$R$74,VLOOKUP(AW716,Foundation_Calc!$I$2:$J$8,2,FALSE),0),"")))</f>
        <v/>
      </c>
      <c r="BA716" s="632" t="str">
        <f t="shared" si="115"/>
        <v/>
      </c>
      <c r="BB716" s="632" t="str">
        <f t="shared" si="116"/>
        <v/>
      </c>
      <c r="BC716" s="632" t="str">
        <f t="shared" si="117"/>
        <v/>
      </c>
      <c r="BD716" s="633" t="str">
        <f>IF(AND(L716="",H716=""),"",
IF(H716="",Pole_Calc!A744,
IF(H716="MP",Pole_Calc!A745,
IF(H716="AnMP",Pole_Calc!A746,
IF(H716="A",Pole_Calc!A747,
IF(H716="S/A",Pole_Calc!A748,
IF(H716="A/S",Pole_Calc!A749,"Poner a mano")))))))</f>
        <v/>
      </c>
      <c r="BE716" s="448" t="s">
        <v>1726</v>
      </c>
      <c r="BF716" s="634"/>
      <c r="BG716" s="634"/>
      <c r="BH716" s="634"/>
      <c r="BI716" s="634"/>
    </row>
    <row r="717" spans="1:61" ht="16.2" customHeight="1">
      <c r="A717" s="12"/>
      <c r="B717" s="446"/>
      <c r="C717" s="89"/>
      <c r="D717" s="13"/>
      <c r="E717" s="14"/>
      <c r="F717" s="14"/>
      <c r="G717" s="15"/>
      <c r="H717" s="8"/>
      <c r="I717" s="8"/>
      <c r="J717" s="89"/>
      <c r="K717" s="8"/>
      <c r="L717" s="8"/>
      <c r="M717" s="8" t="str">
        <f>IF(L717="","",
IF(AX717="PT",VLOOKUP(L717,Foundation_Calc!$V$4:$X$37,VLOOKUP(AX717,Foundation_Calc!$I$10:$J$13,2,FALSE),0),
IF(AX717="K",VLOOKUP(L717,Foundation_Calc!$V$41:$X$74,VLOOKUP(AX717,Foundation_Calc!$I$10:$J$13,2,FALSE),0),"")))</f>
        <v/>
      </c>
      <c r="N717" s="8"/>
      <c r="O717" s="8"/>
      <c r="P717" s="8"/>
      <c r="Q717" s="14"/>
      <c r="R717" s="15"/>
      <c r="S717" s="15"/>
      <c r="T717" s="14"/>
      <c r="U717" s="14"/>
      <c r="V717" s="14"/>
      <c r="W717" s="18"/>
      <c r="X717" s="18"/>
      <c r="Y717" s="18"/>
      <c r="Z717" s="18"/>
      <c r="AA717" s="18"/>
      <c r="AB717" s="18"/>
      <c r="AC717" s="8" t="str">
        <f t="shared" si="114"/>
        <v/>
      </c>
      <c r="AD717" s="8"/>
      <c r="AE717" s="8"/>
      <c r="AF717" s="14"/>
      <c r="AG717" s="13"/>
      <c r="AH717" s="14"/>
      <c r="AI717" s="14"/>
      <c r="AJ717" s="8"/>
      <c r="AK717" s="8"/>
      <c r="AL717" s="8"/>
      <c r="AM717" s="8"/>
      <c r="AN717" s="631"/>
      <c r="AO717" s="18"/>
      <c r="AP717" s="18"/>
      <c r="AQ717" s="18"/>
      <c r="AR717" s="18"/>
      <c r="AS717" s="18"/>
      <c r="AU717" s="448"/>
      <c r="AV717" s="448"/>
      <c r="AW717" s="8" t="str">
        <f>IF(C717&gt;0,VLOOKUP(C717,Foundation_Calc!$A$2:$C$986,3,1),
IF(J717&gt;0,VLOOKUP(J717,Foundation_Calc!$A$2:$C$986,3,1),""))</f>
        <v/>
      </c>
      <c r="AX717" s="8" t="str">
        <f>IF(C717&gt;0,VLOOKUP(C717,Foundation_Calc!$E$2:$G$986,3,1),
IF(J717&gt;0,VLOOKUP(J717,Foundation_Calc!$E$2:$G$986,3,1),""))</f>
        <v/>
      </c>
      <c r="AY717" s="631" t="str">
        <f>IF(L717="","",
IF(AX717="PT",VLOOKUP(L717,Foundation_Calc!$K$4:$R$37,VLOOKUP(AW717,Foundation_Calc!$I$2:$J$8,2,FALSE),0),
IF(AX717="K",VLOOKUP(L717,Foundation_Calc!$K$41:$R$74,VLOOKUP(AW717,Foundation_Calc!$I$2:$J$8,2,FALSE),0),"")))</f>
        <v/>
      </c>
      <c r="AZ717" s="631" t="str">
        <f>IF(K717="","",
IF(AX717="PT",VLOOKUP(K717,Foundation_Calc!$K$4:$R$37,VLOOKUP(AW717,Foundation_Calc!$I$2:$J$8,2,FALSE),0),
IF(AX717="K",VLOOKUP(K717,Foundation_Calc!$K$41:$R$74,VLOOKUP(AW717,Foundation_Calc!$I$2:$J$8,2,FALSE),0),"")))</f>
        <v/>
      </c>
      <c r="BA717" s="632" t="str">
        <f t="shared" si="115"/>
        <v/>
      </c>
      <c r="BB717" s="632" t="str">
        <f t="shared" si="116"/>
        <v/>
      </c>
      <c r="BC717" s="632" t="str">
        <f t="shared" si="117"/>
        <v/>
      </c>
      <c r="BD717" s="633" t="str">
        <f>IF(AND(L717="",H717=""),"",
IF(H717="",Pole_Calc!A745,
IF(H717="MP",Pole_Calc!A746,
IF(H717="AnMP",Pole_Calc!A747,
IF(H717="A",Pole_Calc!A748,
IF(H717="S/A",Pole_Calc!A749,
IF(H717="A/S",Pole_Calc!A750,"Poner a mano")))))))</f>
        <v/>
      </c>
      <c r="BE717" s="448" t="s">
        <v>1726</v>
      </c>
      <c r="BF717" s="635"/>
      <c r="BG717" s="635"/>
      <c r="BH717" s="634"/>
      <c r="BI717" s="635"/>
    </row>
    <row r="718" spans="1:61" ht="16.2" customHeight="1">
      <c r="A718" s="12"/>
      <c r="B718" s="446"/>
      <c r="C718" s="89"/>
      <c r="D718" s="13"/>
      <c r="E718" s="14"/>
      <c r="F718" s="14"/>
      <c r="G718" s="15"/>
      <c r="H718" s="8"/>
      <c r="I718" s="8"/>
      <c r="J718" s="89"/>
      <c r="K718" s="8"/>
      <c r="L718" s="8"/>
      <c r="M718" s="8" t="str">
        <f>IF(L718="","",
IF(AX718="PT",VLOOKUP(L718,Foundation_Calc!$V$4:$X$37,VLOOKUP(AX718,Foundation_Calc!$I$10:$J$13,2,FALSE),0),
IF(AX718="K",VLOOKUP(L718,Foundation_Calc!$V$41:$X$74,VLOOKUP(AX718,Foundation_Calc!$I$10:$J$13,2,FALSE),0),"")))</f>
        <v/>
      </c>
      <c r="N718" s="8"/>
      <c r="O718" s="8"/>
      <c r="P718" s="8"/>
      <c r="Q718" s="14"/>
      <c r="R718" s="15"/>
      <c r="S718" s="15"/>
      <c r="T718" s="14"/>
      <c r="U718" s="14"/>
      <c r="V718" s="14"/>
      <c r="W718" s="18"/>
      <c r="X718" s="18"/>
      <c r="Y718" s="18"/>
      <c r="Z718" s="18"/>
      <c r="AA718" s="18"/>
      <c r="AB718" s="18"/>
      <c r="AC718" s="8" t="str">
        <f t="shared" si="114"/>
        <v/>
      </c>
      <c r="AD718" s="8"/>
      <c r="AE718" s="8"/>
      <c r="AF718" s="14"/>
      <c r="AG718" s="13"/>
      <c r="AH718" s="14"/>
      <c r="AI718" s="14"/>
      <c r="AJ718" s="8"/>
      <c r="AK718" s="8"/>
      <c r="AL718" s="8"/>
      <c r="AM718" s="8"/>
      <c r="AN718" s="631"/>
      <c r="AO718" s="18"/>
      <c r="AP718" s="18"/>
      <c r="AQ718" s="18"/>
      <c r="AR718" s="18"/>
      <c r="AS718" s="18"/>
      <c r="AU718" s="448"/>
      <c r="AV718" s="448"/>
      <c r="AW718" s="8" t="str">
        <f>IF(C718&gt;0,VLOOKUP(C718,Foundation_Calc!$A$2:$C$986,3,1),
IF(J718&gt;0,VLOOKUP(J718,Foundation_Calc!$A$2:$C$986,3,1),""))</f>
        <v/>
      </c>
      <c r="AX718" s="8" t="str">
        <f>IF(C718&gt;0,VLOOKUP(C718,Foundation_Calc!$E$2:$G$986,3,1),
IF(J718&gt;0,VLOOKUP(J718,Foundation_Calc!$E$2:$G$986,3,1),""))</f>
        <v/>
      </c>
      <c r="AY718" s="631" t="str">
        <f>IF(L718="","",
IF(AX718="PT",VLOOKUP(L718,Foundation_Calc!$K$4:$R$37,VLOOKUP(AW718,Foundation_Calc!$I$2:$J$8,2,FALSE),0),
IF(AX718="K",VLOOKUP(L718,Foundation_Calc!$K$41:$R$74,VLOOKUP(AW718,Foundation_Calc!$I$2:$J$8,2,FALSE),0),"")))</f>
        <v/>
      </c>
      <c r="AZ718" s="631" t="str">
        <f>IF(K718="","",
IF(AX718="PT",VLOOKUP(K718,Foundation_Calc!$K$4:$R$37,VLOOKUP(AW718,Foundation_Calc!$I$2:$J$8,2,FALSE),0),
IF(AX718="K",VLOOKUP(K718,Foundation_Calc!$K$41:$R$74,VLOOKUP(AW718,Foundation_Calc!$I$2:$J$8,2,FALSE),0),"")))</f>
        <v/>
      </c>
      <c r="BA718" s="632" t="str">
        <f t="shared" si="115"/>
        <v/>
      </c>
      <c r="BB718" s="632" t="str">
        <f t="shared" si="116"/>
        <v/>
      </c>
      <c r="BC718" s="632" t="str">
        <f t="shared" si="117"/>
        <v/>
      </c>
      <c r="BD718" s="633" t="str">
        <f>IF(AND(L718="",H718=""),"",
IF(H718="",Pole_Calc!A746,
IF(H718="MP",Pole_Calc!A747,
IF(H718="AnMP",Pole_Calc!A748,
IF(H718="A",Pole_Calc!A749,
IF(H718="S/A",Pole_Calc!A750,
IF(H718="A/S",Pole_Calc!A751,"Poner a mano")))))))</f>
        <v/>
      </c>
      <c r="BE718" s="448" t="s">
        <v>1726</v>
      </c>
      <c r="BF718" s="634"/>
      <c r="BG718" s="634"/>
      <c r="BH718" s="634"/>
      <c r="BI718" s="634"/>
    </row>
    <row r="719" spans="1:61" ht="16.2" customHeight="1">
      <c r="A719" s="12"/>
      <c r="B719" s="446"/>
      <c r="C719" s="89"/>
      <c r="D719" s="13"/>
      <c r="E719" s="14"/>
      <c r="F719" s="14"/>
      <c r="G719" s="15"/>
      <c r="H719" s="8"/>
      <c r="I719" s="8"/>
      <c r="J719" s="89"/>
      <c r="K719" s="8"/>
      <c r="L719" s="8"/>
      <c r="M719" s="8" t="str">
        <f>IF(L719="","",
IF(AX719="PT",VLOOKUP(L719,Foundation_Calc!$V$4:$X$37,VLOOKUP(AX719,Foundation_Calc!$I$10:$J$13,2,FALSE),0),
IF(AX719="K",VLOOKUP(L719,Foundation_Calc!$V$41:$X$74,VLOOKUP(AX719,Foundation_Calc!$I$10:$J$13,2,FALSE),0),"")))</f>
        <v/>
      </c>
      <c r="N719" s="8"/>
      <c r="O719" s="8"/>
      <c r="P719" s="8"/>
      <c r="Q719" s="14"/>
      <c r="R719" s="15"/>
      <c r="S719" s="15"/>
      <c r="T719" s="14"/>
      <c r="U719" s="14"/>
      <c r="V719" s="14"/>
      <c r="W719" s="18"/>
      <c r="X719" s="18"/>
      <c r="Y719" s="18"/>
      <c r="Z719" s="18"/>
      <c r="AA719" s="18"/>
      <c r="AB719" s="18"/>
      <c r="AC719" s="8" t="str">
        <f t="shared" si="114"/>
        <v/>
      </c>
      <c r="AD719" s="8"/>
      <c r="AE719" s="8"/>
      <c r="AF719" s="14"/>
      <c r="AG719" s="13"/>
      <c r="AH719" s="14"/>
      <c r="AI719" s="14"/>
      <c r="AJ719" s="8"/>
      <c r="AK719" s="8"/>
      <c r="AL719" s="8"/>
      <c r="AM719" s="8"/>
      <c r="AN719" s="631"/>
      <c r="AO719" s="18"/>
      <c r="AP719" s="18"/>
      <c r="AQ719" s="18"/>
      <c r="AR719" s="18"/>
      <c r="AS719" s="18"/>
      <c r="AU719" s="448"/>
      <c r="AV719" s="448"/>
      <c r="AW719" s="8" t="str">
        <f>IF(C719&gt;0,VLOOKUP(C719,Foundation_Calc!$A$2:$C$986,3,1),
IF(J719&gt;0,VLOOKUP(J719,Foundation_Calc!$A$2:$C$986,3,1),""))</f>
        <v/>
      </c>
      <c r="AX719" s="8" t="str">
        <f>IF(C719&gt;0,VLOOKUP(C719,Foundation_Calc!$E$2:$G$986,3,1),
IF(J719&gt;0,VLOOKUP(J719,Foundation_Calc!$E$2:$G$986,3,1),""))</f>
        <v/>
      </c>
      <c r="AY719" s="631" t="str">
        <f>IF(L719="","",
IF(AX719="PT",VLOOKUP(L719,Foundation_Calc!$K$4:$R$37,VLOOKUP(AW719,Foundation_Calc!$I$2:$J$8,2,FALSE),0),
IF(AX719="K",VLOOKUP(L719,Foundation_Calc!$K$41:$R$74,VLOOKUP(AW719,Foundation_Calc!$I$2:$J$8,2,FALSE),0),"")))</f>
        <v/>
      </c>
      <c r="AZ719" s="631" t="str">
        <f>IF(K719="","",
IF(AX719="PT",VLOOKUP(K719,Foundation_Calc!$K$4:$R$37,VLOOKUP(AW719,Foundation_Calc!$I$2:$J$8,2,FALSE),0),
IF(AX719="K",VLOOKUP(K719,Foundation_Calc!$K$41:$R$74,VLOOKUP(AW719,Foundation_Calc!$I$2:$J$8,2,FALSE),0),"")))</f>
        <v/>
      </c>
      <c r="BA719" s="632" t="str">
        <f t="shared" si="115"/>
        <v/>
      </c>
      <c r="BB719" s="632" t="str">
        <f t="shared" si="116"/>
        <v/>
      </c>
      <c r="BC719" s="632" t="str">
        <f t="shared" si="117"/>
        <v/>
      </c>
      <c r="BD719" s="633" t="str">
        <f>IF(AND(L719="",H719=""),"",
IF(H719="",Pole_Calc!A747,
IF(H719="MP",Pole_Calc!A748,
IF(H719="AnMP",Pole_Calc!A749,
IF(H719="A",Pole_Calc!A750,
IF(H719="S/A",Pole_Calc!A751,
IF(H719="A/S",Pole_Calc!A752,"Poner a mano")))))))</f>
        <v/>
      </c>
      <c r="BE719" s="448" t="s">
        <v>1726</v>
      </c>
      <c r="BF719" s="635"/>
      <c r="BG719" s="635"/>
      <c r="BH719" s="634"/>
      <c r="BI719" s="635"/>
    </row>
    <row r="720" spans="1:61" ht="16.2" customHeight="1">
      <c r="A720" s="12"/>
      <c r="B720" s="446"/>
      <c r="C720" s="89"/>
      <c r="D720" s="13"/>
      <c r="E720" s="14"/>
      <c r="F720" s="14"/>
      <c r="G720" s="15"/>
      <c r="H720" s="8"/>
      <c r="I720" s="8"/>
      <c r="J720" s="89"/>
      <c r="K720" s="8"/>
      <c r="L720" s="8"/>
      <c r="M720" s="8" t="str">
        <f>IF(L720="","",
IF(AX720="PT",VLOOKUP(L720,Foundation_Calc!$V$4:$X$37,VLOOKUP(AX720,Foundation_Calc!$I$10:$J$13,2,FALSE),0),
IF(AX720="K",VLOOKUP(L720,Foundation_Calc!$V$41:$X$74,VLOOKUP(AX720,Foundation_Calc!$I$10:$J$13,2,FALSE),0),"")))</f>
        <v/>
      </c>
      <c r="N720" s="8"/>
      <c r="O720" s="8"/>
      <c r="P720" s="8"/>
      <c r="Q720" s="14"/>
      <c r="R720" s="15"/>
      <c r="S720" s="15"/>
      <c r="T720" s="14"/>
      <c r="U720" s="14"/>
      <c r="V720" s="14"/>
      <c r="W720" s="18"/>
      <c r="X720" s="18"/>
      <c r="Y720" s="18"/>
      <c r="Z720" s="18"/>
      <c r="AA720" s="18"/>
      <c r="AB720" s="18"/>
      <c r="AC720" s="8" t="str">
        <f t="shared" si="114"/>
        <v/>
      </c>
      <c r="AD720" s="8"/>
      <c r="AE720" s="8"/>
      <c r="AF720" s="14"/>
      <c r="AG720" s="13"/>
      <c r="AH720" s="14"/>
      <c r="AI720" s="14"/>
      <c r="AJ720" s="8"/>
      <c r="AK720" s="8"/>
      <c r="AL720" s="8"/>
      <c r="AM720" s="8"/>
      <c r="AN720" s="631"/>
      <c r="AO720" s="18"/>
      <c r="AP720" s="18"/>
      <c r="AQ720" s="18"/>
      <c r="AR720" s="18"/>
      <c r="AS720" s="18"/>
      <c r="AU720" s="448"/>
      <c r="AV720" s="448"/>
      <c r="AW720" s="8" t="str">
        <f>IF(C720&gt;0,VLOOKUP(C720,Foundation_Calc!$A$2:$C$986,3,1),
IF(J720&gt;0,VLOOKUP(J720,Foundation_Calc!$A$2:$C$986,3,1),""))</f>
        <v/>
      </c>
      <c r="AX720" s="8" t="str">
        <f>IF(C720&gt;0,VLOOKUP(C720,Foundation_Calc!$E$2:$G$986,3,1),
IF(J720&gt;0,VLOOKUP(J720,Foundation_Calc!$E$2:$G$986,3,1),""))</f>
        <v/>
      </c>
      <c r="AY720" s="631" t="str">
        <f>IF(L720="","",
IF(AX720="PT",VLOOKUP(L720,Foundation_Calc!$K$4:$R$37,VLOOKUP(AW720,Foundation_Calc!$I$2:$J$8,2,FALSE),0),
IF(AX720="K",VLOOKUP(L720,Foundation_Calc!$K$41:$R$74,VLOOKUP(AW720,Foundation_Calc!$I$2:$J$8,2,FALSE),0),"")))</f>
        <v/>
      </c>
      <c r="AZ720" s="631" t="str">
        <f>IF(K720="","",
IF(AX720="PT",VLOOKUP(K720,Foundation_Calc!$K$4:$R$37,VLOOKUP(AW720,Foundation_Calc!$I$2:$J$8,2,FALSE),0),
IF(AX720="K",VLOOKUP(K720,Foundation_Calc!$K$41:$R$74,VLOOKUP(AW720,Foundation_Calc!$I$2:$J$8,2,FALSE),0),"")))</f>
        <v/>
      </c>
      <c r="BA720" s="632" t="str">
        <f t="shared" si="115"/>
        <v/>
      </c>
      <c r="BB720" s="632" t="str">
        <f t="shared" si="116"/>
        <v/>
      </c>
      <c r="BC720" s="632" t="str">
        <f t="shared" si="117"/>
        <v/>
      </c>
      <c r="BD720" s="633" t="str">
        <f>IF(AND(L720="",H720=""),"",
IF(H720="",Pole_Calc!A748,
IF(H720="MP",Pole_Calc!A749,
IF(H720="AnMP",Pole_Calc!A750,
IF(H720="A",Pole_Calc!A751,
IF(H720="S/A",Pole_Calc!A752,
IF(H720="A/S",Pole_Calc!A753,"Poner a mano")))))))</f>
        <v/>
      </c>
      <c r="BE720" s="448" t="s">
        <v>1726</v>
      </c>
      <c r="BF720" s="634"/>
      <c r="BG720" s="634"/>
      <c r="BH720" s="634"/>
      <c r="BI720" s="634"/>
    </row>
    <row r="721" spans="1:61" ht="16.2" customHeight="1">
      <c r="A721" s="12"/>
      <c r="B721" s="446"/>
      <c r="C721" s="89"/>
      <c r="D721" s="13"/>
      <c r="E721" s="14"/>
      <c r="F721" s="14"/>
      <c r="G721" s="15"/>
      <c r="H721" s="8"/>
      <c r="I721" s="8"/>
      <c r="J721" s="89"/>
      <c r="K721" s="8"/>
      <c r="L721" s="8"/>
      <c r="M721" s="8" t="str">
        <f>IF(L721="","",
IF(AX721="PT",VLOOKUP(L721,Foundation_Calc!$V$4:$X$37,VLOOKUP(AX721,Foundation_Calc!$I$10:$J$13,2,FALSE),0),
IF(AX721="K",VLOOKUP(L721,Foundation_Calc!$V$41:$X$74,VLOOKUP(AX721,Foundation_Calc!$I$10:$J$13,2,FALSE),0),"")))</f>
        <v/>
      </c>
      <c r="N721" s="8"/>
      <c r="O721" s="8"/>
      <c r="P721" s="8"/>
      <c r="Q721" s="14"/>
      <c r="R721" s="15"/>
      <c r="S721" s="15"/>
      <c r="T721" s="14"/>
      <c r="U721" s="14"/>
      <c r="V721" s="14"/>
      <c r="W721" s="18"/>
      <c r="X721" s="18"/>
      <c r="Y721" s="18"/>
      <c r="Z721" s="18"/>
      <c r="AA721" s="18"/>
      <c r="AB721" s="18"/>
      <c r="AC721" s="8" t="str">
        <f t="shared" si="114"/>
        <v/>
      </c>
      <c r="AD721" s="8"/>
      <c r="AE721" s="8"/>
      <c r="AF721" s="14"/>
      <c r="AG721" s="13"/>
      <c r="AH721" s="14"/>
      <c r="AI721" s="14"/>
      <c r="AJ721" s="8"/>
      <c r="AK721" s="8"/>
      <c r="AL721" s="8"/>
      <c r="AM721" s="8"/>
      <c r="AN721" s="631"/>
      <c r="AO721" s="18"/>
      <c r="AP721" s="18"/>
      <c r="AQ721" s="18"/>
      <c r="AR721" s="18"/>
      <c r="AS721" s="18"/>
      <c r="AU721" s="448"/>
      <c r="AV721" s="448"/>
      <c r="AW721" s="8" t="str">
        <f>IF(C721&gt;0,VLOOKUP(C721,Foundation_Calc!$A$2:$C$986,3,1),
IF(J721&gt;0,VLOOKUP(J721,Foundation_Calc!$A$2:$C$986,3,1),""))</f>
        <v/>
      </c>
      <c r="AX721" s="8" t="str">
        <f>IF(C721&gt;0,VLOOKUP(C721,Foundation_Calc!$E$2:$G$986,3,1),
IF(J721&gt;0,VLOOKUP(J721,Foundation_Calc!$E$2:$G$986,3,1),""))</f>
        <v/>
      </c>
      <c r="AY721" s="631" t="str">
        <f>IF(L721="","",
IF(AX721="PT",VLOOKUP(L721,Foundation_Calc!$K$4:$R$37,VLOOKUP(AW721,Foundation_Calc!$I$2:$J$8,2,FALSE),0),
IF(AX721="K",VLOOKUP(L721,Foundation_Calc!$K$41:$R$74,VLOOKUP(AW721,Foundation_Calc!$I$2:$J$8,2,FALSE),0),"")))</f>
        <v/>
      </c>
      <c r="AZ721" s="631" t="str">
        <f>IF(K721="","",
IF(AX721="PT",VLOOKUP(K721,Foundation_Calc!$K$4:$R$37,VLOOKUP(AW721,Foundation_Calc!$I$2:$J$8,2,FALSE),0),
IF(AX721="K",VLOOKUP(K721,Foundation_Calc!$K$41:$R$74,VLOOKUP(AW721,Foundation_Calc!$I$2:$J$8,2,FALSE),0),"")))</f>
        <v/>
      </c>
      <c r="BA721" s="632" t="str">
        <f t="shared" si="115"/>
        <v/>
      </c>
      <c r="BB721" s="632" t="str">
        <f t="shared" si="116"/>
        <v/>
      </c>
      <c r="BC721" s="632" t="str">
        <f t="shared" si="117"/>
        <v/>
      </c>
      <c r="BD721" s="633" t="str">
        <f>IF(AND(L721="",H721=""),"",
IF(H721="",Pole_Calc!A749,
IF(H721="MP",Pole_Calc!A750,
IF(H721="AnMP",Pole_Calc!A751,
IF(H721="A",Pole_Calc!A752,
IF(H721="S/A",Pole_Calc!A753,
IF(H721="A/S",Pole_Calc!A754,"Poner a mano")))))))</f>
        <v/>
      </c>
      <c r="BE721" s="448" t="s">
        <v>1726</v>
      </c>
      <c r="BF721" s="635"/>
      <c r="BG721" s="635"/>
      <c r="BH721" s="634"/>
      <c r="BI721" s="635"/>
    </row>
    <row r="722" spans="1:61" ht="16.2" customHeight="1">
      <c r="A722" s="12"/>
      <c r="B722" s="446"/>
      <c r="C722" s="89"/>
      <c r="D722" s="13"/>
      <c r="E722" s="14"/>
      <c r="F722" s="14"/>
      <c r="G722" s="15"/>
      <c r="H722" s="8"/>
      <c r="I722" s="8"/>
      <c r="J722" s="89"/>
      <c r="K722" s="8"/>
      <c r="L722" s="8"/>
      <c r="M722" s="8" t="str">
        <f>IF(L722="","",
IF(AX722="PT",VLOOKUP(L722,Foundation_Calc!$V$4:$X$37,VLOOKUP(AX722,Foundation_Calc!$I$10:$J$13,2,FALSE),0),
IF(AX722="K",VLOOKUP(L722,Foundation_Calc!$V$41:$X$74,VLOOKUP(AX722,Foundation_Calc!$I$10:$J$13,2,FALSE),0),"")))</f>
        <v/>
      </c>
      <c r="N722" s="8"/>
      <c r="O722" s="8"/>
      <c r="P722" s="8"/>
      <c r="Q722" s="14"/>
      <c r="R722" s="15"/>
      <c r="S722" s="15"/>
      <c r="T722" s="14"/>
      <c r="U722" s="14"/>
      <c r="V722" s="14"/>
      <c r="W722" s="18"/>
      <c r="X722" s="18"/>
      <c r="Y722" s="18"/>
      <c r="Z722" s="18"/>
      <c r="AA722" s="18"/>
      <c r="AB722" s="18"/>
      <c r="AC722" s="8" t="str">
        <f t="shared" si="114"/>
        <v/>
      </c>
      <c r="AD722" s="8"/>
      <c r="AE722" s="8"/>
      <c r="AF722" s="14"/>
      <c r="AG722" s="13"/>
      <c r="AH722" s="14"/>
      <c r="AI722" s="14"/>
      <c r="AJ722" s="8"/>
      <c r="AK722" s="8"/>
      <c r="AL722" s="8"/>
      <c r="AM722" s="8"/>
      <c r="AN722" s="631"/>
      <c r="AO722" s="18"/>
      <c r="AP722" s="18"/>
      <c r="AQ722" s="18"/>
      <c r="AR722" s="18"/>
      <c r="AS722" s="18"/>
      <c r="AU722" s="448"/>
      <c r="AV722" s="448"/>
      <c r="AW722" s="8" t="str">
        <f>IF(C722&gt;0,VLOOKUP(C722,Foundation_Calc!$A$2:$C$986,3,1),
IF(J722&gt;0,VLOOKUP(J722,Foundation_Calc!$A$2:$C$986,3,1),""))</f>
        <v/>
      </c>
      <c r="AX722" s="8" t="str">
        <f>IF(C722&gt;0,VLOOKUP(C722,Foundation_Calc!$E$2:$G$986,3,1),
IF(J722&gt;0,VLOOKUP(J722,Foundation_Calc!$E$2:$G$986,3,1),""))</f>
        <v/>
      </c>
      <c r="AY722" s="631" t="str">
        <f>IF(L722="","",
IF(AX722="PT",VLOOKUP(L722,Foundation_Calc!$K$4:$R$37,VLOOKUP(AW722,Foundation_Calc!$I$2:$J$8,2,FALSE),0),
IF(AX722="K",VLOOKUP(L722,Foundation_Calc!$K$41:$R$74,VLOOKUP(AW722,Foundation_Calc!$I$2:$J$8,2,FALSE),0),"")))</f>
        <v/>
      </c>
      <c r="AZ722" s="631" t="str">
        <f>IF(K722="","",
IF(AX722="PT",VLOOKUP(K722,Foundation_Calc!$K$4:$R$37,VLOOKUP(AW722,Foundation_Calc!$I$2:$J$8,2,FALSE),0),
IF(AX722="K",VLOOKUP(K722,Foundation_Calc!$K$41:$R$74,VLOOKUP(AW722,Foundation_Calc!$I$2:$J$8,2,FALSE),0),"")))</f>
        <v/>
      </c>
      <c r="BA722" s="632" t="str">
        <f t="shared" si="115"/>
        <v/>
      </c>
      <c r="BB722" s="632" t="str">
        <f t="shared" si="116"/>
        <v/>
      </c>
      <c r="BC722" s="632" t="str">
        <f t="shared" si="117"/>
        <v/>
      </c>
      <c r="BD722" s="633" t="str">
        <f>IF(AND(L722="",H722=""),"",
IF(H722="",Pole_Calc!A750,
IF(H722="MP",Pole_Calc!A751,
IF(H722="AnMP",Pole_Calc!A752,
IF(H722="A",Pole_Calc!A753,
IF(H722="S/A",Pole_Calc!A754,
IF(H722="A/S",Pole_Calc!A755,"Poner a mano")))))))</f>
        <v/>
      </c>
      <c r="BE722" s="448" t="s">
        <v>1726</v>
      </c>
      <c r="BF722" s="634"/>
      <c r="BG722" s="634"/>
      <c r="BH722" s="634"/>
      <c r="BI722" s="634"/>
    </row>
    <row r="723" spans="1:61" ht="16.2" customHeight="1">
      <c r="A723" s="12"/>
      <c r="B723" s="446"/>
      <c r="C723" s="89"/>
      <c r="D723" s="13"/>
      <c r="E723" s="14"/>
      <c r="F723" s="14"/>
      <c r="G723" s="15"/>
      <c r="H723" s="8"/>
      <c r="I723" s="8"/>
      <c r="J723" s="89"/>
      <c r="K723" s="8"/>
      <c r="L723" s="8"/>
      <c r="M723" s="8" t="str">
        <f>IF(L723="","",
IF(AX723="PT",VLOOKUP(L723,Foundation_Calc!$V$4:$X$37,VLOOKUP(AX723,Foundation_Calc!$I$10:$J$13,2,FALSE),0),
IF(AX723="K",VLOOKUP(L723,Foundation_Calc!$V$41:$X$74,VLOOKUP(AX723,Foundation_Calc!$I$10:$J$13,2,FALSE),0),"")))</f>
        <v/>
      </c>
      <c r="N723" s="8"/>
      <c r="O723" s="8"/>
      <c r="P723" s="8"/>
      <c r="Q723" s="14"/>
      <c r="R723" s="15"/>
      <c r="S723" s="15"/>
      <c r="T723" s="14"/>
      <c r="U723" s="14"/>
      <c r="V723" s="14"/>
      <c r="W723" s="18"/>
      <c r="X723" s="18"/>
      <c r="Y723" s="18"/>
      <c r="Z723" s="18"/>
      <c r="AA723" s="18"/>
      <c r="AB723" s="18"/>
      <c r="AC723" s="8" t="str">
        <f t="shared" si="114"/>
        <v/>
      </c>
      <c r="AD723" s="8"/>
      <c r="AE723" s="8"/>
      <c r="AF723" s="14"/>
      <c r="AG723" s="13"/>
      <c r="AH723" s="14"/>
      <c r="AI723" s="14"/>
      <c r="AJ723" s="8"/>
      <c r="AK723" s="8"/>
      <c r="AL723" s="8"/>
      <c r="AM723" s="8"/>
      <c r="AN723" s="631"/>
      <c r="AO723" s="18"/>
      <c r="AP723" s="18"/>
      <c r="AQ723" s="18"/>
      <c r="AR723" s="18"/>
      <c r="AS723" s="18"/>
      <c r="AU723" s="448"/>
      <c r="AV723" s="448"/>
      <c r="AW723" s="8" t="str">
        <f>IF(C723&gt;0,VLOOKUP(C723,Foundation_Calc!$A$2:$C$986,3,1),
IF(J723&gt;0,VLOOKUP(J723,Foundation_Calc!$A$2:$C$986,3,1),""))</f>
        <v/>
      </c>
      <c r="AX723" s="8" t="str">
        <f>IF(C723&gt;0,VLOOKUP(C723,Foundation_Calc!$E$2:$G$986,3,1),
IF(J723&gt;0,VLOOKUP(J723,Foundation_Calc!$E$2:$G$986,3,1),""))</f>
        <v/>
      </c>
      <c r="AY723" s="631" t="str">
        <f>IF(L723="","",
IF(AX723="PT",VLOOKUP(L723,Foundation_Calc!$K$4:$R$37,VLOOKUP(AW723,Foundation_Calc!$I$2:$J$8,2,FALSE),0),
IF(AX723="K",VLOOKUP(L723,Foundation_Calc!$K$41:$R$74,VLOOKUP(AW723,Foundation_Calc!$I$2:$J$8,2,FALSE),0),"")))</f>
        <v/>
      </c>
      <c r="AZ723" s="631" t="str">
        <f>IF(K723="","",
IF(AX723="PT",VLOOKUP(K723,Foundation_Calc!$K$4:$R$37,VLOOKUP(AW723,Foundation_Calc!$I$2:$J$8,2,FALSE),0),
IF(AX723="K",VLOOKUP(K723,Foundation_Calc!$K$41:$R$74,VLOOKUP(AW723,Foundation_Calc!$I$2:$J$8,2,FALSE),0),"")))</f>
        <v/>
      </c>
      <c r="BA723" s="632" t="str">
        <f t="shared" si="115"/>
        <v/>
      </c>
      <c r="BB723" s="632" t="str">
        <f t="shared" si="116"/>
        <v/>
      </c>
      <c r="BC723" s="632" t="str">
        <f t="shared" si="117"/>
        <v/>
      </c>
      <c r="BD723" s="633" t="str">
        <f>IF(AND(L723="",H723=""),"",
IF(H723="",Pole_Calc!A751,
IF(H723="MP",Pole_Calc!A752,
IF(H723="AnMP",Pole_Calc!A753,
IF(H723="A",Pole_Calc!A754,
IF(H723="S/A",Pole_Calc!A755,
IF(H723="A/S",Pole_Calc!A756,"Poner a mano")))))))</f>
        <v/>
      </c>
      <c r="BE723" s="448" t="s">
        <v>1726</v>
      </c>
      <c r="BF723" s="635"/>
      <c r="BG723" s="635"/>
      <c r="BH723" s="634"/>
      <c r="BI723" s="635"/>
    </row>
    <row r="724" spans="1:61" ht="16.2" customHeight="1">
      <c r="A724" s="12"/>
      <c r="B724" s="446"/>
      <c r="C724" s="89"/>
      <c r="D724" s="13"/>
      <c r="E724" s="14"/>
      <c r="F724" s="14"/>
      <c r="G724" s="15"/>
      <c r="H724" s="8"/>
      <c r="I724" s="8"/>
      <c r="J724" s="89"/>
      <c r="K724" s="8"/>
      <c r="L724" s="8"/>
      <c r="M724" s="8" t="str">
        <f>IF(L724="","",
IF(AX724="PT",VLOOKUP(L724,Foundation_Calc!$V$4:$X$37,VLOOKUP(AX724,Foundation_Calc!$I$10:$J$13,2,FALSE),0),
IF(AX724="K",VLOOKUP(L724,Foundation_Calc!$V$41:$X$74,VLOOKUP(AX724,Foundation_Calc!$I$10:$J$13,2,FALSE),0),"")))</f>
        <v/>
      </c>
      <c r="N724" s="8"/>
      <c r="O724" s="8"/>
      <c r="P724" s="8"/>
      <c r="Q724" s="14"/>
      <c r="R724" s="15"/>
      <c r="S724" s="15"/>
      <c r="T724" s="14"/>
      <c r="U724" s="14"/>
      <c r="V724" s="14"/>
      <c r="W724" s="18"/>
      <c r="X724" s="18"/>
      <c r="Y724" s="18"/>
      <c r="Z724" s="18"/>
      <c r="AA724" s="18"/>
      <c r="AB724" s="18"/>
      <c r="AC724" s="8" t="str">
        <f t="shared" si="114"/>
        <v/>
      </c>
      <c r="AD724" s="8"/>
      <c r="AE724" s="8"/>
      <c r="AF724" s="14"/>
      <c r="AG724" s="13"/>
      <c r="AH724" s="14"/>
      <c r="AI724" s="14"/>
      <c r="AJ724" s="8"/>
      <c r="AK724" s="8"/>
      <c r="AL724" s="8"/>
      <c r="AM724" s="8"/>
      <c r="AN724" s="631"/>
      <c r="AO724" s="18"/>
      <c r="AP724" s="18"/>
      <c r="AQ724" s="18"/>
      <c r="AR724" s="18"/>
      <c r="AS724" s="18"/>
      <c r="AU724" s="448"/>
      <c r="AV724" s="448"/>
      <c r="AW724" s="8" t="str">
        <f>IF(C724&gt;0,VLOOKUP(C724,Foundation_Calc!$A$2:$C$986,3,1),
IF(J724&gt;0,VLOOKUP(J724,Foundation_Calc!$A$2:$C$986,3,1),""))</f>
        <v/>
      </c>
      <c r="AX724" s="8" t="str">
        <f>IF(C724&gt;0,VLOOKUP(C724,Foundation_Calc!$E$2:$G$986,3,1),
IF(J724&gt;0,VLOOKUP(J724,Foundation_Calc!$E$2:$G$986,3,1),""))</f>
        <v/>
      </c>
      <c r="AY724" s="631" t="str">
        <f>IF(L724="","",
IF(AX724="PT",VLOOKUP(L724,Foundation_Calc!$K$4:$R$37,VLOOKUP(AW724,Foundation_Calc!$I$2:$J$8,2,FALSE),0),
IF(AX724="K",VLOOKUP(L724,Foundation_Calc!$K$41:$R$74,VLOOKUP(AW724,Foundation_Calc!$I$2:$J$8,2,FALSE),0),"")))</f>
        <v/>
      </c>
      <c r="AZ724" s="631" t="str">
        <f>IF(K724="","",
IF(AX724="PT",VLOOKUP(K724,Foundation_Calc!$K$4:$R$37,VLOOKUP(AW724,Foundation_Calc!$I$2:$J$8,2,FALSE),0),
IF(AX724="K",VLOOKUP(K724,Foundation_Calc!$K$41:$R$74,VLOOKUP(AW724,Foundation_Calc!$I$2:$J$8,2,FALSE),0),"")))</f>
        <v/>
      </c>
      <c r="BA724" s="632" t="str">
        <f t="shared" si="115"/>
        <v/>
      </c>
      <c r="BB724" s="632" t="str">
        <f t="shared" si="116"/>
        <v/>
      </c>
      <c r="BC724" s="632" t="str">
        <f t="shared" si="117"/>
        <v/>
      </c>
      <c r="BD724" s="633" t="str">
        <f>IF(AND(L724="",H724=""),"",
IF(H724="",Pole_Calc!A752,
IF(H724="MP",Pole_Calc!A753,
IF(H724="AnMP",Pole_Calc!A754,
IF(H724="A",Pole_Calc!A755,
IF(H724="S/A",Pole_Calc!A756,
IF(H724="A/S",Pole_Calc!A757,"Poner a mano")))))))</f>
        <v/>
      </c>
      <c r="BE724" s="448" t="s">
        <v>1726</v>
      </c>
      <c r="BF724" s="634"/>
      <c r="BG724" s="634"/>
      <c r="BH724" s="634"/>
      <c r="BI724" s="634"/>
    </row>
    <row r="725" spans="1:61" ht="16.2" customHeight="1">
      <c r="A725" s="12"/>
      <c r="B725" s="446"/>
      <c r="C725" s="89"/>
      <c r="D725" s="13"/>
      <c r="E725" s="14"/>
      <c r="F725" s="14"/>
      <c r="G725" s="15"/>
      <c r="H725" s="8"/>
      <c r="I725" s="8"/>
      <c r="J725" s="89"/>
      <c r="K725" s="8"/>
      <c r="L725" s="8"/>
      <c r="M725" s="8" t="str">
        <f>IF(L725="","",
IF(AX725="PT",VLOOKUP(L725,Foundation_Calc!$V$4:$X$37,VLOOKUP(AX725,Foundation_Calc!$I$10:$J$13,2,FALSE),0),
IF(AX725="K",VLOOKUP(L725,Foundation_Calc!$V$41:$X$74,VLOOKUP(AX725,Foundation_Calc!$I$10:$J$13,2,FALSE),0),"")))</f>
        <v/>
      </c>
      <c r="N725" s="8"/>
      <c r="O725" s="8"/>
      <c r="P725" s="8"/>
      <c r="Q725" s="14"/>
      <c r="R725" s="15"/>
      <c r="S725" s="15"/>
      <c r="T725" s="14"/>
      <c r="U725" s="14"/>
      <c r="V725" s="14"/>
      <c r="W725" s="18"/>
      <c r="X725" s="18"/>
      <c r="Y725" s="18"/>
      <c r="Z725" s="18"/>
      <c r="AA725" s="18"/>
      <c r="AB725" s="18"/>
      <c r="AC725" s="8" t="str">
        <f t="shared" si="114"/>
        <v/>
      </c>
      <c r="AD725" s="8"/>
      <c r="AE725" s="8"/>
      <c r="AF725" s="14"/>
      <c r="AG725" s="13"/>
      <c r="AH725" s="14"/>
      <c r="AI725" s="14"/>
      <c r="AJ725" s="8"/>
      <c r="AK725" s="8"/>
      <c r="AL725" s="8"/>
      <c r="AM725" s="8"/>
      <c r="AN725" s="631"/>
      <c r="AO725" s="18"/>
      <c r="AP725" s="18"/>
      <c r="AQ725" s="18"/>
      <c r="AR725" s="18"/>
      <c r="AS725" s="18"/>
      <c r="AU725" s="448"/>
      <c r="AV725" s="448"/>
      <c r="AW725" s="8" t="str">
        <f>IF(C725&gt;0,VLOOKUP(C725,Foundation_Calc!$A$2:$C$986,3,1),
IF(J725&gt;0,VLOOKUP(J725,Foundation_Calc!$A$2:$C$986,3,1),""))</f>
        <v/>
      </c>
      <c r="AX725" s="8" t="str">
        <f>IF(C725&gt;0,VLOOKUP(C725,Foundation_Calc!$E$2:$G$986,3,1),
IF(J725&gt;0,VLOOKUP(J725,Foundation_Calc!$E$2:$G$986,3,1),""))</f>
        <v/>
      </c>
      <c r="AY725" s="631" t="str">
        <f>IF(L725="","",
IF(AX725="PT",VLOOKUP(L725,Foundation_Calc!$K$4:$R$37,VLOOKUP(AW725,Foundation_Calc!$I$2:$J$8,2,FALSE),0),
IF(AX725="K",VLOOKUP(L725,Foundation_Calc!$K$41:$R$74,VLOOKUP(AW725,Foundation_Calc!$I$2:$J$8,2,FALSE),0),"")))</f>
        <v/>
      </c>
      <c r="AZ725" s="631" t="str">
        <f>IF(K725="","",
IF(AX725="PT",VLOOKUP(K725,Foundation_Calc!$K$4:$R$37,VLOOKUP(AW725,Foundation_Calc!$I$2:$J$8,2,FALSE),0),
IF(AX725="K",VLOOKUP(K725,Foundation_Calc!$K$41:$R$74,VLOOKUP(AW725,Foundation_Calc!$I$2:$J$8,2,FALSE),0),"")))</f>
        <v/>
      </c>
      <c r="BA725" s="632" t="str">
        <f t="shared" si="115"/>
        <v/>
      </c>
      <c r="BB725" s="632" t="str">
        <f t="shared" si="116"/>
        <v/>
      </c>
      <c r="BC725" s="632" t="str">
        <f t="shared" si="117"/>
        <v/>
      </c>
      <c r="BD725" s="633" t="str">
        <f>IF(AND(L725="",H725=""),"",
IF(H725="",Pole_Calc!A753,
IF(H725="MP",Pole_Calc!A754,
IF(H725="AnMP",Pole_Calc!A755,
IF(H725="A",Pole_Calc!A756,
IF(H725="S/A",Pole_Calc!A757,
IF(H725="A/S",Pole_Calc!A758,"Poner a mano")))))))</f>
        <v/>
      </c>
      <c r="BE725" s="448" t="s">
        <v>1726</v>
      </c>
      <c r="BF725" s="635"/>
      <c r="BG725" s="635"/>
      <c r="BH725" s="634"/>
      <c r="BI725" s="635"/>
    </row>
    <row r="726" spans="1:61" ht="16.2" customHeight="1">
      <c r="A726" s="12"/>
      <c r="B726" s="446"/>
      <c r="C726" s="89"/>
      <c r="D726" s="13"/>
      <c r="E726" s="14"/>
      <c r="F726" s="14"/>
      <c r="G726" s="15"/>
      <c r="H726" s="8"/>
      <c r="I726" s="8"/>
      <c r="J726" s="89"/>
      <c r="K726" s="8"/>
      <c r="L726" s="8"/>
      <c r="M726" s="8" t="str">
        <f>IF(L726="","",
IF(AX726="PT",VLOOKUP(L726,Foundation_Calc!$V$4:$X$37,VLOOKUP(AX726,Foundation_Calc!$I$10:$J$13,2,FALSE),0),
IF(AX726="K",VLOOKUP(L726,Foundation_Calc!$V$41:$X$74,VLOOKUP(AX726,Foundation_Calc!$I$10:$J$13,2,FALSE),0),"")))</f>
        <v/>
      </c>
      <c r="N726" s="8"/>
      <c r="O726" s="8"/>
      <c r="P726" s="8"/>
      <c r="Q726" s="14"/>
      <c r="R726" s="15"/>
      <c r="S726" s="15"/>
      <c r="T726" s="14"/>
      <c r="U726" s="14"/>
      <c r="V726" s="14"/>
      <c r="W726" s="18"/>
      <c r="X726" s="18"/>
      <c r="Y726" s="18"/>
      <c r="Z726" s="18"/>
      <c r="AA726" s="18"/>
      <c r="AB726" s="18"/>
      <c r="AC726" s="8" t="str">
        <f t="shared" si="114"/>
        <v/>
      </c>
      <c r="AD726" s="8"/>
      <c r="AE726" s="8"/>
      <c r="AF726" s="14"/>
      <c r="AG726" s="13"/>
      <c r="AH726" s="14"/>
      <c r="AI726" s="14"/>
      <c r="AJ726" s="8"/>
      <c r="AK726" s="8"/>
      <c r="AL726" s="8"/>
      <c r="AM726" s="8"/>
      <c r="AN726" s="631"/>
      <c r="AO726" s="18"/>
      <c r="AP726" s="18"/>
      <c r="AQ726" s="18"/>
      <c r="AR726" s="18"/>
      <c r="AS726" s="18"/>
      <c r="AU726" s="448"/>
      <c r="AV726" s="448"/>
      <c r="AW726" s="8" t="str">
        <f>IF(C726&gt;0,VLOOKUP(C726,Foundation_Calc!$A$2:$C$986,3,1),
IF(J726&gt;0,VLOOKUP(J726,Foundation_Calc!$A$2:$C$986,3,1),""))</f>
        <v/>
      </c>
      <c r="AX726" s="8" t="str">
        <f>IF(C726&gt;0,VLOOKUP(C726,Foundation_Calc!$E$2:$G$986,3,1),
IF(J726&gt;0,VLOOKUP(J726,Foundation_Calc!$E$2:$G$986,3,1),""))</f>
        <v/>
      </c>
      <c r="AY726" s="631" t="str">
        <f>IF(L726="","",
IF(AX726="PT",VLOOKUP(L726,Foundation_Calc!$K$4:$R$37,VLOOKUP(AW726,Foundation_Calc!$I$2:$J$8,2,FALSE),0),
IF(AX726="K",VLOOKUP(L726,Foundation_Calc!$K$41:$R$74,VLOOKUP(AW726,Foundation_Calc!$I$2:$J$8,2,FALSE),0),"")))</f>
        <v/>
      </c>
      <c r="AZ726" s="631" t="str">
        <f>IF(K726="","",
IF(AX726="PT",VLOOKUP(K726,Foundation_Calc!$K$4:$R$37,VLOOKUP(AW726,Foundation_Calc!$I$2:$J$8,2,FALSE),0),
IF(AX726="K",VLOOKUP(K726,Foundation_Calc!$K$41:$R$74,VLOOKUP(AW726,Foundation_Calc!$I$2:$J$8,2,FALSE),0),"")))</f>
        <v/>
      </c>
      <c r="BA726" s="632" t="str">
        <f t="shared" si="115"/>
        <v/>
      </c>
      <c r="BB726" s="632" t="str">
        <f t="shared" si="116"/>
        <v/>
      </c>
      <c r="BC726" s="632" t="str">
        <f t="shared" si="117"/>
        <v/>
      </c>
      <c r="BD726" s="633" t="str">
        <f>IF(AND(L726="",H726=""),"",
IF(H726="",Pole_Calc!A754,
IF(H726="MP",Pole_Calc!A755,
IF(H726="AnMP",Pole_Calc!A756,
IF(H726="A",Pole_Calc!A757,
IF(H726="S/A",Pole_Calc!A758,
IF(H726="A/S",Pole_Calc!A759,"Poner a mano")))))))</f>
        <v/>
      </c>
      <c r="BE726" s="448" t="s">
        <v>1726</v>
      </c>
      <c r="BF726" s="634"/>
      <c r="BG726" s="634"/>
      <c r="BH726" s="634"/>
      <c r="BI726" s="634"/>
    </row>
    <row r="727" spans="1:61" ht="16.2" customHeight="1">
      <c r="A727" s="12"/>
      <c r="B727" s="446"/>
      <c r="C727" s="89"/>
      <c r="D727" s="13"/>
      <c r="E727" s="14"/>
      <c r="F727" s="14"/>
      <c r="G727" s="15"/>
      <c r="H727" s="8"/>
      <c r="I727" s="8"/>
      <c r="J727" s="89"/>
      <c r="K727" s="8"/>
      <c r="L727" s="8"/>
      <c r="M727" s="8" t="str">
        <f>IF(L727="","",
IF(AX727="PT",VLOOKUP(L727,Foundation_Calc!$V$4:$X$37,VLOOKUP(AX727,Foundation_Calc!$I$10:$J$13,2,FALSE),0),
IF(AX727="K",VLOOKUP(L727,Foundation_Calc!$V$41:$X$74,VLOOKUP(AX727,Foundation_Calc!$I$10:$J$13,2,FALSE),0),"")))</f>
        <v/>
      </c>
      <c r="N727" s="8"/>
      <c r="O727" s="8"/>
      <c r="P727" s="8"/>
      <c r="Q727" s="14"/>
      <c r="R727" s="15"/>
      <c r="S727" s="15"/>
      <c r="T727" s="14"/>
      <c r="U727" s="14"/>
      <c r="V727" s="14"/>
      <c r="W727" s="18"/>
      <c r="X727" s="18"/>
      <c r="Y727" s="18"/>
      <c r="Z727" s="18"/>
      <c r="AA727" s="18"/>
      <c r="AB727" s="18"/>
      <c r="AC727" s="8" t="str">
        <f t="shared" si="114"/>
        <v/>
      </c>
      <c r="AD727" s="8"/>
      <c r="AE727" s="8"/>
      <c r="AF727" s="14"/>
      <c r="AG727" s="13"/>
      <c r="AH727" s="14"/>
      <c r="AI727" s="14"/>
      <c r="AJ727" s="8"/>
      <c r="AK727" s="8"/>
      <c r="AL727" s="8"/>
      <c r="AM727" s="8"/>
      <c r="AN727" s="631"/>
      <c r="AO727" s="18"/>
      <c r="AP727" s="18"/>
      <c r="AQ727" s="18"/>
      <c r="AR727" s="18"/>
      <c r="AS727" s="18"/>
      <c r="AU727" s="448"/>
      <c r="AV727" s="448"/>
      <c r="AW727" s="8" t="str">
        <f>IF(C727&gt;0,VLOOKUP(C727,Foundation_Calc!$A$2:$C$986,3,1),
IF(J727&gt;0,VLOOKUP(J727,Foundation_Calc!$A$2:$C$986,3,1),""))</f>
        <v/>
      </c>
      <c r="AX727" s="8" t="str">
        <f>IF(C727&gt;0,VLOOKUP(C727,Foundation_Calc!$E$2:$G$986,3,1),
IF(J727&gt;0,VLOOKUP(J727,Foundation_Calc!$E$2:$G$986,3,1),""))</f>
        <v/>
      </c>
      <c r="AY727" s="631" t="str">
        <f>IF(L727="","",
IF(AX727="PT",VLOOKUP(L727,Foundation_Calc!$K$4:$R$37,VLOOKUP(AW727,Foundation_Calc!$I$2:$J$8,2,FALSE),0),
IF(AX727="K",VLOOKUP(L727,Foundation_Calc!$K$41:$R$74,VLOOKUP(AW727,Foundation_Calc!$I$2:$J$8,2,FALSE),0),"")))</f>
        <v/>
      </c>
      <c r="AZ727" s="631" t="str">
        <f>IF(K727="","",
IF(AX727="PT",VLOOKUP(K727,Foundation_Calc!$K$4:$R$37,VLOOKUP(AW727,Foundation_Calc!$I$2:$J$8,2,FALSE),0),
IF(AX727="K",VLOOKUP(K727,Foundation_Calc!$K$41:$R$74,VLOOKUP(AW727,Foundation_Calc!$I$2:$J$8,2,FALSE),0),"")))</f>
        <v/>
      </c>
      <c r="BA727" s="632" t="str">
        <f t="shared" si="115"/>
        <v/>
      </c>
      <c r="BB727" s="632" t="str">
        <f t="shared" si="116"/>
        <v/>
      </c>
      <c r="BC727" s="632" t="str">
        <f t="shared" si="117"/>
        <v/>
      </c>
      <c r="BD727" s="633" t="str">
        <f>IF(AND(L727="",H727=""),"",
IF(H727="",Pole_Calc!A755,
IF(H727="MP",Pole_Calc!A756,
IF(H727="AnMP",Pole_Calc!A757,
IF(H727="A",Pole_Calc!A758,
IF(H727="S/A",Pole_Calc!A759,
IF(H727="A/S",Pole_Calc!A760,"Poner a mano")))))))</f>
        <v/>
      </c>
      <c r="BE727" s="448" t="s">
        <v>1726</v>
      </c>
      <c r="BF727" s="635"/>
      <c r="BG727" s="635"/>
      <c r="BH727" s="634"/>
      <c r="BI727" s="635"/>
    </row>
    <row r="728" spans="1:61" ht="16.2" customHeight="1">
      <c r="A728" s="12"/>
      <c r="B728" s="446"/>
      <c r="C728" s="89"/>
      <c r="D728" s="13"/>
      <c r="E728" s="14"/>
      <c r="F728" s="14"/>
      <c r="G728" s="15"/>
      <c r="H728" s="8"/>
      <c r="I728" s="8"/>
      <c r="J728" s="89"/>
      <c r="K728" s="8"/>
      <c r="L728" s="8"/>
      <c r="M728" s="8" t="str">
        <f>IF(L728="","",
IF(AX728="PT",VLOOKUP(L728,Foundation_Calc!$V$4:$X$37,VLOOKUP(AX728,Foundation_Calc!$I$10:$J$13,2,FALSE),0),
IF(AX728="K",VLOOKUP(L728,Foundation_Calc!$V$41:$X$74,VLOOKUP(AX728,Foundation_Calc!$I$10:$J$13,2,FALSE),0),"")))</f>
        <v/>
      </c>
      <c r="N728" s="8"/>
      <c r="O728" s="8"/>
      <c r="P728" s="8"/>
      <c r="Q728" s="14"/>
      <c r="R728" s="15"/>
      <c r="S728" s="15"/>
      <c r="T728" s="14"/>
      <c r="U728" s="14"/>
      <c r="V728" s="14"/>
      <c r="W728" s="18"/>
      <c r="X728" s="18"/>
      <c r="Y728" s="18"/>
      <c r="Z728" s="18"/>
      <c r="AA728" s="18"/>
      <c r="AB728" s="18"/>
      <c r="AC728" s="8" t="str">
        <f t="shared" si="114"/>
        <v/>
      </c>
      <c r="AD728" s="8"/>
      <c r="AE728" s="8"/>
      <c r="AF728" s="14"/>
      <c r="AG728" s="13"/>
      <c r="AH728" s="14"/>
      <c r="AI728" s="14"/>
      <c r="AJ728" s="8"/>
      <c r="AK728" s="8"/>
      <c r="AL728" s="8"/>
      <c r="AM728" s="8"/>
      <c r="AN728" s="631"/>
      <c r="AO728" s="18"/>
      <c r="AP728" s="18"/>
      <c r="AQ728" s="18"/>
      <c r="AR728" s="18"/>
      <c r="AS728" s="18"/>
      <c r="AU728" s="448"/>
      <c r="AV728" s="448"/>
      <c r="AW728" s="8" t="str">
        <f>IF(C728&gt;0,VLOOKUP(C728,Foundation_Calc!$A$2:$C$986,3,1),
IF(J728&gt;0,VLOOKUP(J728,Foundation_Calc!$A$2:$C$986,3,1),""))</f>
        <v/>
      </c>
      <c r="AX728" s="8" t="str">
        <f>IF(C728&gt;0,VLOOKUP(C728,Foundation_Calc!$E$2:$G$986,3,1),
IF(J728&gt;0,VLOOKUP(J728,Foundation_Calc!$E$2:$G$986,3,1),""))</f>
        <v/>
      </c>
      <c r="AY728" s="631" t="str">
        <f>IF(L728="","",
IF(AX728="PT",VLOOKUP(L728,Foundation_Calc!$K$4:$R$37,VLOOKUP(AW728,Foundation_Calc!$I$2:$J$8,2,FALSE),0),
IF(AX728="K",VLOOKUP(L728,Foundation_Calc!$K$41:$R$74,VLOOKUP(AW728,Foundation_Calc!$I$2:$J$8,2,FALSE),0),"")))</f>
        <v/>
      </c>
      <c r="AZ728" s="631" t="str">
        <f>IF(K728="","",
IF(AX728="PT",VLOOKUP(K728,Foundation_Calc!$K$4:$R$37,VLOOKUP(AW728,Foundation_Calc!$I$2:$J$8,2,FALSE),0),
IF(AX728="K",VLOOKUP(K728,Foundation_Calc!$K$41:$R$74,VLOOKUP(AW728,Foundation_Calc!$I$2:$J$8,2,FALSE),0),"")))</f>
        <v/>
      </c>
      <c r="BA728" s="632" t="str">
        <f t="shared" si="115"/>
        <v/>
      </c>
      <c r="BB728" s="632" t="str">
        <f t="shared" si="116"/>
        <v/>
      </c>
      <c r="BC728" s="632" t="str">
        <f t="shared" si="117"/>
        <v/>
      </c>
      <c r="BD728" s="633" t="str">
        <f>IF(AND(L728="",H728=""),"",
IF(H728="",Pole_Calc!A756,
IF(H728="MP",Pole_Calc!A757,
IF(H728="AnMP",Pole_Calc!A758,
IF(H728="A",Pole_Calc!A759,
IF(H728="S/A",Pole_Calc!A760,
IF(H728="A/S",Pole_Calc!A761,"Poner a mano")))))))</f>
        <v/>
      </c>
      <c r="BE728" s="448" t="s">
        <v>1726</v>
      </c>
      <c r="BF728" s="634"/>
      <c r="BG728" s="634"/>
      <c r="BH728" s="634"/>
      <c r="BI728" s="634"/>
    </row>
    <row r="729" spans="1:61" ht="16.2" customHeight="1">
      <c r="A729" s="12"/>
      <c r="B729" s="446"/>
      <c r="C729" s="89"/>
      <c r="D729" s="13"/>
      <c r="E729" s="14"/>
      <c r="F729" s="14"/>
      <c r="G729" s="15"/>
      <c r="H729" s="8"/>
      <c r="I729" s="8"/>
      <c r="J729" s="89"/>
      <c r="K729" s="8"/>
      <c r="L729" s="8"/>
      <c r="M729" s="8" t="str">
        <f>IF(L729="","",
IF(AX729="PT",VLOOKUP(L729,Foundation_Calc!$V$4:$X$37,VLOOKUP(AX729,Foundation_Calc!$I$10:$J$13,2,FALSE),0),
IF(AX729="K",VLOOKUP(L729,Foundation_Calc!$V$41:$X$74,VLOOKUP(AX729,Foundation_Calc!$I$10:$J$13,2,FALSE),0),"")))</f>
        <v/>
      </c>
      <c r="N729" s="8"/>
      <c r="O729" s="8"/>
      <c r="P729" s="8"/>
      <c r="Q729" s="14"/>
      <c r="R729" s="15"/>
      <c r="S729" s="15"/>
      <c r="T729" s="14"/>
      <c r="U729" s="14"/>
      <c r="V729" s="14"/>
      <c r="W729" s="18"/>
      <c r="X729" s="18"/>
      <c r="Y729" s="18"/>
      <c r="Z729" s="18"/>
      <c r="AA729" s="18"/>
      <c r="AB729" s="18"/>
      <c r="AC729" s="8" t="str">
        <f t="shared" si="114"/>
        <v/>
      </c>
      <c r="AD729" s="8"/>
      <c r="AE729" s="8"/>
      <c r="AF729" s="14"/>
      <c r="AG729" s="13"/>
      <c r="AH729" s="14"/>
      <c r="AI729" s="14"/>
      <c r="AJ729" s="8"/>
      <c r="AK729" s="8"/>
      <c r="AL729" s="8"/>
      <c r="AM729" s="8"/>
      <c r="AN729" s="631"/>
      <c r="AO729" s="18"/>
      <c r="AP729" s="18"/>
      <c r="AQ729" s="18"/>
      <c r="AR729" s="18"/>
      <c r="AS729" s="18"/>
      <c r="AU729" s="448"/>
      <c r="AV729" s="448"/>
      <c r="AW729" s="8" t="str">
        <f>IF(C729&gt;0,VLOOKUP(C729,Foundation_Calc!$A$2:$C$986,3,1),
IF(J729&gt;0,VLOOKUP(J729,Foundation_Calc!$A$2:$C$986,3,1),""))</f>
        <v/>
      </c>
      <c r="AX729" s="8" t="str">
        <f>IF(C729&gt;0,VLOOKUP(C729,Foundation_Calc!$E$2:$G$986,3,1),
IF(J729&gt;0,VLOOKUP(J729,Foundation_Calc!$E$2:$G$986,3,1),""))</f>
        <v/>
      </c>
      <c r="AY729" s="631" t="str">
        <f>IF(L729="","",
IF(AX729="PT",VLOOKUP(L729,Foundation_Calc!$K$4:$R$37,VLOOKUP(AW729,Foundation_Calc!$I$2:$J$8,2,FALSE),0),
IF(AX729="K",VLOOKUP(L729,Foundation_Calc!$K$41:$R$74,VLOOKUP(AW729,Foundation_Calc!$I$2:$J$8,2,FALSE),0),"")))</f>
        <v/>
      </c>
      <c r="AZ729" s="631" t="str">
        <f>IF(K729="","",
IF(AX729="PT",VLOOKUP(K729,Foundation_Calc!$K$4:$R$37,VLOOKUP(AW729,Foundation_Calc!$I$2:$J$8,2,FALSE),0),
IF(AX729="K",VLOOKUP(K729,Foundation_Calc!$K$41:$R$74,VLOOKUP(AW729,Foundation_Calc!$I$2:$J$8,2,FALSE),0),"")))</f>
        <v/>
      </c>
      <c r="BA729" s="632" t="str">
        <f t="shared" si="115"/>
        <v/>
      </c>
      <c r="BB729" s="632" t="str">
        <f t="shared" si="116"/>
        <v/>
      </c>
      <c r="BC729" s="632" t="str">
        <f t="shared" si="117"/>
        <v/>
      </c>
      <c r="BD729" s="633" t="str">
        <f>IF(AND(L729="",H729=""),"",
IF(H729="",Pole_Calc!A757,
IF(H729="MP",Pole_Calc!A758,
IF(H729="AnMP",Pole_Calc!A759,
IF(H729="A",Pole_Calc!A760,
IF(H729="S/A",Pole_Calc!A761,
IF(H729="A/S",Pole_Calc!A762,"Poner a mano")))))))</f>
        <v/>
      </c>
      <c r="BE729" s="448" t="s">
        <v>1726</v>
      </c>
      <c r="BF729" s="635"/>
      <c r="BG729" s="635"/>
      <c r="BH729" s="634"/>
      <c r="BI729" s="635"/>
    </row>
    <row r="730" spans="1:61" ht="16.2" customHeight="1">
      <c r="A730" s="12"/>
      <c r="B730" s="446"/>
      <c r="C730" s="89"/>
      <c r="D730" s="13"/>
      <c r="E730" s="14"/>
      <c r="F730" s="14"/>
      <c r="G730" s="15"/>
      <c r="H730" s="8"/>
      <c r="I730" s="8"/>
      <c r="J730" s="89"/>
      <c r="K730" s="8"/>
      <c r="L730" s="8"/>
      <c r="M730" s="8" t="str">
        <f>IF(L730="","",
IF(AX730="PT",VLOOKUP(L730,Foundation_Calc!$V$4:$X$37,VLOOKUP(AX730,Foundation_Calc!$I$10:$J$13,2,FALSE),0),
IF(AX730="K",VLOOKUP(L730,Foundation_Calc!$V$41:$X$74,VLOOKUP(AX730,Foundation_Calc!$I$10:$J$13,2,FALSE),0),"")))</f>
        <v/>
      </c>
      <c r="N730" s="8"/>
      <c r="O730" s="8"/>
      <c r="P730" s="8"/>
      <c r="Q730" s="14"/>
      <c r="R730" s="15"/>
      <c r="S730" s="15"/>
      <c r="T730" s="14"/>
      <c r="U730" s="14"/>
      <c r="V730" s="14"/>
      <c r="W730" s="18"/>
      <c r="X730" s="18"/>
      <c r="Y730" s="18"/>
      <c r="Z730" s="18"/>
      <c r="AA730" s="18"/>
      <c r="AB730" s="18"/>
      <c r="AC730" s="8" t="str">
        <f t="shared" si="114"/>
        <v/>
      </c>
      <c r="AD730" s="8"/>
      <c r="AE730" s="8"/>
      <c r="AF730" s="14"/>
      <c r="AG730" s="13"/>
      <c r="AH730" s="14"/>
      <c r="AI730" s="14"/>
      <c r="AJ730" s="8"/>
      <c r="AK730" s="8"/>
      <c r="AL730" s="8"/>
      <c r="AM730" s="8"/>
      <c r="AN730" s="631"/>
      <c r="AO730" s="18"/>
      <c r="AP730" s="18"/>
      <c r="AQ730" s="18"/>
      <c r="AR730" s="18"/>
      <c r="AS730" s="18"/>
      <c r="AU730" s="448"/>
      <c r="AV730" s="448"/>
      <c r="AW730" s="8" t="str">
        <f>IF(C730&gt;0,VLOOKUP(C730,Foundation_Calc!$A$2:$C$986,3,1),
IF(J730&gt;0,VLOOKUP(J730,Foundation_Calc!$A$2:$C$986,3,1),""))</f>
        <v/>
      </c>
      <c r="AX730" s="8" t="str">
        <f>IF(C730&gt;0,VLOOKUP(C730,Foundation_Calc!$E$2:$G$986,3,1),
IF(J730&gt;0,VLOOKUP(J730,Foundation_Calc!$E$2:$G$986,3,1),""))</f>
        <v/>
      </c>
      <c r="AY730" s="631" t="str">
        <f>IF(L730="","",
IF(AX730="PT",VLOOKUP(L730,Foundation_Calc!$K$4:$R$37,VLOOKUP(AW730,Foundation_Calc!$I$2:$J$8,2,FALSE),0),
IF(AX730="K",VLOOKUP(L730,Foundation_Calc!$K$41:$R$74,VLOOKUP(AW730,Foundation_Calc!$I$2:$J$8,2,FALSE),0),"")))</f>
        <v/>
      </c>
      <c r="AZ730" s="631" t="str">
        <f>IF(K730="","",
IF(AX730="PT",VLOOKUP(K730,Foundation_Calc!$K$4:$R$37,VLOOKUP(AW730,Foundation_Calc!$I$2:$J$8,2,FALSE),0),
IF(AX730="K",VLOOKUP(K730,Foundation_Calc!$K$41:$R$74,VLOOKUP(AW730,Foundation_Calc!$I$2:$J$8,2,FALSE),0),"")))</f>
        <v/>
      </c>
      <c r="BA730" s="632" t="str">
        <f t="shared" si="115"/>
        <v/>
      </c>
      <c r="BB730" s="632" t="str">
        <f t="shared" si="116"/>
        <v/>
      </c>
      <c r="BC730" s="632" t="str">
        <f t="shared" si="117"/>
        <v/>
      </c>
      <c r="BD730" s="633" t="str">
        <f>IF(AND(L730="",H730=""),"",
IF(H730="",Pole_Calc!A758,
IF(H730="MP",Pole_Calc!A759,
IF(H730="AnMP",Pole_Calc!A760,
IF(H730="A",Pole_Calc!A761,
IF(H730="S/A",Pole_Calc!A762,
IF(H730="A/S",Pole_Calc!A763,"Poner a mano")))))))</f>
        <v/>
      </c>
      <c r="BE730" s="448" t="s">
        <v>1726</v>
      </c>
      <c r="BF730" s="634"/>
      <c r="BG730" s="634"/>
      <c r="BH730" s="634"/>
      <c r="BI730" s="634"/>
    </row>
    <row r="731" spans="1:61" ht="16.2" customHeight="1">
      <c r="A731" s="12"/>
      <c r="B731" s="446"/>
      <c r="C731" s="89"/>
      <c r="D731" s="13"/>
      <c r="E731" s="14"/>
      <c r="F731" s="14"/>
      <c r="G731" s="15"/>
      <c r="H731" s="8"/>
      <c r="I731" s="8"/>
      <c r="J731" s="89"/>
      <c r="K731" s="8"/>
      <c r="L731" s="8"/>
      <c r="M731" s="8" t="str">
        <f>IF(L731="","",
IF(AX731="PT",VLOOKUP(L731,Foundation_Calc!$V$4:$X$37,VLOOKUP(AX731,Foundation_Calc!$I$10:$J$13,2,FALSE),0),
IF(AX731="K",VLOOKUP(L731,Foundation_Calc!$V$41:$X$74,VLOOKUP(AX731,Foundation_Calc!$I$10:$J$13,2,FALSE),0),"")))</f>
        <v/>
      </c>
      <c r="N731" s="8"/>
      <c r="O731" s="8"/>
      <c r="P731" s="8"/>
      <c r="Q731" s="14"/>
      <c r="R731" s="15"/>
      <c r="S731" s="15"/>
      <c r="T731" s="14"/>
      <c r="U731" s="14"/>
      <c r="V731" s="14"/>
      <c r="W731" s="18"/>
      <c r="X731" s="18"/>
      <c r="Y731" s="18"/>
      <c r="Z731" s="18"/>
      <c r="AA731" s="18"/>
      <c r="AB731" s="18"/>
      <c r="AC731" s="8" t="str">
        <f t="shared" si="114"/>
        <v/>
      </c>
      <c r="AD731" s="8"/>
      <c r="AE731" s="8"/>
      <c r="AF731" s="14"/>
      <c r="AG731" s="13"/>
      <c r="AH731" s="14"/>
      <c r="AI731" s="14"/>
      <c r="AJ731" s="8"/>
      <c r="AK731" s="8"/>
      <c r="AL731" s="8"/>
      <c r="AM731" s="8"/>
      <c r="AN731" s="631"/>
      <c r="AO731" s="18"/>
      <c r="AP731" s="18"/>
      <c r="AQ731" s="18"/>
      <c r="AR731" s="18"/>
      <c r="AS731" s="18"/>
      <c r="AU731" s="448"/>
      <c r="AV731" s="448"/>
      <c r="AW731" s="8" t="str">
        <f>IF(C731&gt;0,VLOOKUP(C731,Foundation_Calc!$A$2:$C$986,3,1),
IF(J731&gt;0,VLOOKUP(J731,Foundation_Calc!$A$2:$C$986,3,1),""))</f>
        <v/>
      </c>
      <c r="AX731" s="8" t="str">
        <f>IF(C731&gt;0,VLOOKUP(C731,Foundation_Calc!$E$2:$G$986,3,1),
IF(J731&gt;0,VLOOKUP(J731,Foundation_Calc!$E$2:$G$986,3,1),""))</f>
        <v/>
      </c>
      <c r="AY731" s="631" t="str">
        <f>IF(L731="","",
IF(AX731="PT",VLOOKUP(L731,Foundation_Calc!$K$4:$R$37,VLOOKUP(AW731,Foundation_Calc!$I$2:$J$8,2,FALSE),0),
IF(AX731="K",VLOOKUP(L731,Foundation_Calc!$K$41:$R$74,VLOOKUP(AW731,Foundation_Calc!$I$2:$J$8,2,FALSE),0),"")))</f>
        <v/>
      </c>
      <c r="AZ731" s="631" t="str">
        <f>IF(K731="","",
IF(AX731="PT",VLOOKUP(K731,Foundation_Calc!$K$4:$R$37,VLOOKUP(AW731,Foundation_Calc!$I$2:$J$8,2,FALSE),0),
IF(AX731="K",VLOOKUP(K731,Foundation_Calc!$K$41:$R$74,VLOOKUP(AW731,Foundation_Calc!$I$2:$J$8,2,FALSE),0),"")))</f>
        <v/>
      </c>
      <c r="BA731" s="632" t="str">
        <f t="shared" si="115"/>
        <v/>
      </c>
      <c r="BB731" s="632" t="str">
        <f t="shared" si="116"/>
        <v/>
      </c>
      <c r="BC731" s="632" t="str">
        <f t="shared" si="117"/>
        <v/>
      </c>
      <c r="BD731" s="633" t="str">
        <f>IF(AND(L731="",H731=""),"",
IF(H731="",Pole_Calc!A759,
IF(H731="MP",Pole_Calc!A760,
IF(H731="AnMP",Pole_Calc!A761,
IF(H731="A",Pole_Calc!A762,
IF(H731="S/A",Pole_Calc!A763,
IF(H731="A/S",Pole_Calc!A764,"Poner a mano")))))))</f>
        <v/>
      </c>
      <c r="BE731" s="448" t="s">
        <v>1726</v>
      </c>
      <c r="BF731" s="635"/>
      <c r="BG731" s="635"/>
      <c r="BH731" s="634"/>
      <c r="BI731" s="635"/>
    </row>
    <row r="732" spans="1:61" ht="16.2" customHeight="1">
      <c r="A732" s="12"/>
      <c r="B732" s="446"/>
      <c r="C732" s="89"/>
      <c r="D732" s="13"/>
      <c r="E732" s="14"/>
      <c r="F732" s="14"/>
      <c r="G732" s="15"/>
      <c r="H732" s="8"/>
      <c r="I732" s="8"/>
      <c r="J732" s="89"/>
      <c r="K732" s="8"/>
      <c r="L732" s="8"/>
      <c r="M732" s="8" t="str">
        <f>IF(L732="","",
IF(AX732="PT",VLOOKUP(L732,Foundation_Calc!$V$4:$X$37,VLOOKUP(AX732,Foundation_Calc!$I$10:$J$13,2,FALSE),0),
IF(AX732="K",VLOOKUP(L732,Foundation_Calc!$V$41:$X$74,VLOOKUP(AX732,Foundation_Calc!$I$10:$J$13,2,FALSE),0),"")))</f>
        <v/>
      </c>
      <c r="N732" s="8"/>
      <c r="O732" s="8"/>
      <c r="P732" s="8"/>
      <c r="Q732" s="14"/>
      <c r="R732" s="15"/>
      <c r="S732" s="15"/>
      <c r="T732" s="14"/>
      <c r="U732" s="14"/>
      <c r="V732" s="14"/>
      <c r="W732" s="18"/>
      <c r="X732" s="18"/>
      <c r="Y732" s="18"/>
      <c r="Z732" s="18"/>
      <c r="AA732" s="18"/>
      <c r="AB732" s="18"/>
      <c r="AC732" s="8" t="str">
        <f t="shared" si="114"/>
        <v/>
      </c>
      <c r="AD732" s="8"/>
      <c r="AE732" s="8"/>
      <c r="AF732" s="14"/>
      <c r="AG732" s="13"/>
      <c r="AH732" s="14"/>
      <c r="AI732" s="14"/>
      <c r="AJ732" s="8"/>
      <c r="AK732" s="8"/>
      <c r="AL732" s="8"/>
      <c r="AM732" s="8"/>
      <c r="AN732" s="631"/>
      <c r="AO732" s="18"/>
      <c r="AP732" s="18"/>
      <c r="AQ732" s="18"/>
      <c r="AR732" s="18"/>
      <c r="AS732" s="18"/>
      <c r="AU732" s="448"/>
      <c r="AV732" s="448"/>
      <c r="AW732" s="8" t="str">
        <f>IF(C732&gt;0,VLOOKUP(C732,Foundation_Calc!$A$2:$C$986,3,1),
IF(J732&gt;0,VLOOKUP(J732,Foundation_Calc!$A$2:$C$986,3,1),""))</f>
        <v/>
      </c>
      <c r="AX732" s="8" t="str">
        <f>IF(C732&gt;0,VLOOKUP(C732,Foundation_Calc!$E$2:$G$986,3,1),
IF(J732&gt;0,VLOOKUP(J732,Foundation_Calc!$E$2:$G$986,3,1),""))</f>
        <v/>
      </c>
      <c r="AY732" s="631" t="str">
        <f>IF(L732="","",
IF(AX732="PT",VLOOKUP(L732,Foundation_Calc!$K$4:$R$37,VLOOKUP(AW732,Foundation_Calc!$I$2:$J$8,2,FALSE),0),
IF(AX732="K",VLOOKUP(L732,Foundation_Calc!$K$41:$R$74,VLOOKUP(AW732,Foundation_Calc!$I$2:$J$8,2,FALSE),0),"")))</f>
        <v/>
      </c>
      <c r="AZ732" s="631" t="str">
        <f>IF(K732="","",
IF(AX732="PT",VLOOKUP(K732,Foundation_Calc!$K$4:$R$37,VLOOKUP(AW732,Foundation_Calc!$I$2:$J$8,2,FALSE),0),
IF(AX732="K",VLOOKUP(K732,Foundation_Calc!$K$41:$R$74,VLOOKUP(AW732,Foundation_Calc!$I$2:$J$8,2,FALSE),0),"")))</f>
        <v/>
      </c>
      <c r="BA732" s="632" t="str">
        <f t="shared" si="115"/>
        <v/>
      </c>
      <c r="BB732" s="632" t="str">
        <f t="shared" si="116"/>
        <v/>
      </c>
      <c r="BC732" s="632" t="str">
        <f t="shared" si="117"/>
        <v/>
      </c>
      <c r="BD732" s="633" t="str">
        <f>IF(AND(L732="",H732=""),"",
IF(H732="",Pole_Calc!A760,
IF(H732="MP",Pole_Calc!A761,
IF(H732="AnMP",Pole_Calc!A762,
IF(H732="A",Pole_Calc!A763,
IF(H732="S/A",Pole_Calc!A764,
IF(H732="A/S",Pole_Calc!A765,"Poner a mano")))))))</f>
        <v/>
      </c>
      <c r="BE732" s="448" t="s">
        <v>1726</v>
      </c>
      <c r="BF732" s="634"/>
      <c r="BG732" s="634"/>
      <c r="BH732" s="634"/>
      <c r="BI732" s="634"/>
    </row>
    <row r="733" spans="1:61" ht="16.2" customHeight="1">
      <c r="A733" s="12"/>
      <c r="B733" s="446"/>
      <c r="C733" s="89"/>
      <c r="D733" s="13"/>
      <c r="E733" s="14"/>
      <c r="F733" s="14"/>
      <c r="G733" s="15"/>
      <c r="H733" s="8"/>
      <c r="I733" s="8"/>
      <c r="J733" s="89"/>
      <c r="K733" s="8"/>
      <c r="L733" s="8"/>
      <c r="M733" s="8" t="str">
        <f>IF(L733="","",
IF(AX733="PT",VLOOKUP(L733,Foundation_Calc!$V$4:$X$37,VLOOKUP(AX733,Foundation_Calc!$I$10:$J$13,2,FALSE),0),
IF(AX733="K",VLOOKUP(L733,Foundation_Calc!$V$41:$X$74,VLOOKUP(AX733,Foundation_Calc!$I$10:$J$13,2,FALSE),0),"")))</f>
        <v/>
      </c>
      <c r="N733" s="8"/>
      <c r="O733" s="8"/>
      <c r="P733" s="8"/>
      <c r="Q733" s="14"/>
      <c r="R733" s="15"/>
      <c r="S733" s="15"/>
      <c r="T733" s="14"/>
      <c r="U733" s="14"/>
      <c r="V733" s="14"/>
      <c r="W733" s="18"/>
      <c r="X733" s="18"/>
      <c r="Y733" s="18"/>
      <c r="Z733" s="18"/>
      <c r="AA733" s="18"/>
      <c r="AB733" s="18"/>
      <c r="AC733" s="8" t="str">
        <f t="shared" si="114"/>
        <v/>
      </c>
      <c r="AD733" s="8"/>
      <c r="AE733" s="8"/>
      <c r="AF733" s="14"/>
      <c r="AG733" s="13"/>
      <c r="AH733" s="14"/>
      <c r="AI733" s="14"/>
      <c r="AJ733" s="8"/>
      <c r="AK733" s="8"/>
      <c r="AL733" s="8"/>
      <c r="AM733" s="8"/>
      <c r="AN733" s="631"/>
      <c r="AO733" s="18"/>
      <c r="AP733" s="18"/>
      <c r="AQ733" s="18"/>
      <c r="AR733" s="18"/>
      <c r="AS733" s="18"/>
      <c r="AU733" s="448"/>
      <c r="AV733" s="448"/>
      <c r="AW733" s="8" t="str">
        <f>IF(C733&gt;0,VLOOKUP(C733,Foundation_Calc!$A$2:$C$986,3,1),
IF(J733&gt;0,VLOOKUP(J733,Foundation_Calc!$A$2:$C$986,3,1),""))</f>
        <v/>
      </c>
      <c r="AX733" s="8" t="str">
        <f>IF(C733&gt;0,VLOOKUP(C733,Foundation_Calc!$E$2:$G$986,3,1),
IF(J733&gt;0,VLOOKUP(J733,Foundation_Calc!$E$2:$G$986,3,1),""))</f>
        <v/>
      </c>
      <c r="AY733" s="631" t="str">
        <f>IF(L733="","",
IF(AX733="PT",VLOOKUP(L733,Foundation_Calc!$K$4:$R$37,VLOOKUP(AW733,Foundation_Calc!$I$2:$J$8,2,FALSE),0),
IF(AX733="K",VLOOKUP(L733,Foundation_Calc!$K$41:$R$74,VLOOKUP(AW733,Foundation_Calc!$I$2:$J$8,2,FALSE),0),"")))</f>
        <v/>
      </c>
      <c r="AZ733" s="631" t="str">
        <f>IF(K733="","",
IF(AX733="PT",VLOOKUP(K733,Foundation_Calc!$K$4:$R$37,VLOOKUP(AW733,Foundation_Calc!$I$2:$J$8,2,FALSE),0),
IF(AX733="K",VLOOKUP(K733,Foundation_Calc!$K$41:$R$74,VLOOKUP(AW733,Foundation_Calc!$I$2:$J$8,2,FALSE),0),"")))</f>
        <v/>
      </c>
      <c r="BA733" s="632" t="str">
        <f t="shared" si="115"/>
        <v/>
      </c>
      <c r="BB733" s="632" t="str">
        <f t="shared" si="116"/>
        <v/>
      </c>
      <c r="BC733" s="632" t="str">
        <f t="shared" si="117"/>
        <v/>
      </c>
      <c r="BD733" s="633" t="str">
        <f>IF(AND(L733="",H733=""),"",
IF(H733="",Pole_Calc!A761,
IF(H733="MP",Pole_Calc!A762,
IF(H733="AnMP",Pole_Calc!A763,
IF(H733="A",Pole_Calc!A764,
IF(H733="S/A",Pole_Calc!A765,
IF(H733="A/S",Pole_Calc!A766,"Poner a mano")))))))</f>
        <v/>
      </c>
      <c r="BE733" s="448" t="s">
        <v>1726</v>
      </c>
      <c r="BF733" s="635"/>
      <c r="BG733" s="635"/>
      <c r="BH733" s="634"/>
      <c r="BI733" s="635"/>
    </row>
    <row r="734" spans="1:61" ht="16.2" customHeight="1">
      <c r="A734" s="12"/>
      <c r="B734" s="446"/>
      <c r="C734" s="89"/>
      <c r="D734" s="13"/>
      <c r="E734" s="14"/>
      <c r="F734" s="14"/>
      <c r="G734" s="15"/>
      <c r="H734" s="8"/>
      <c r="I734" s="8"/>
      <c r="J734" s="89"/>
      <c r="K734" s="8"/>
      <c r="L734" s="8"/>
      <c r="M734" s="8" t="str">
        <f>IF(L734="","",
IF(AX734="PT",VLOOKUP(L734,Foundation_Calc!$V$4:$X$37,VLOOKUP(AX734,Foundation_Calc!$I$10:$J$13,2,FALSE),0),
IF(AX734="K",VLOOKUP(L734,Foundation_Calc!$V$41:$X$74,VLOOKUP(AX734,Foundation_Calc!$I$10:$J$13,2,FALSE),0),"")))</f>
        <v/>
      </c>
      <c r="N734" s="8"/>
      <c r="O734" s="8"/>
      <c r="P734" s="8"/>
      <c r="Q734" s="14"/>
      <c r="R734" s="15"/>
      <c r="S734" s="15"/>
      <c r="T734" s="14"/>
      <c r="U734" s="14"/>
      <c r="V734" s="14"/>
      <c r="W734" s="18"/>
      <c r="X734" s="18"/>
      <c r="Y734" s="18"/>
      <c r="Z734" s="18"/>
      <c r="AA734" s="18"/>
      <c r="AB734" s="18"/>
      <c r="AC734" s="8" t="str">
        <f t="shared" si="114"/>
        <v/>
      </c>
      <c r="AD734" s="8"/>
      <c r="AE734" s="8"/>
      <c r="AF734" s="14"/>
      <c r="AG734" s="13"/>
      <c r="AH734" s="14"/>
      <c r="AI734" s="14"/>
      <c r="AJ734" s="8"/>
      <c r="AK734" s="8"/>
      <c r="AL734" s="8"/>
      <c r="AM734" s="8"/>
      <c r="AN734" s="631"/>
      <c r="AO734" s="18"/>
      <c r="AP734" s="18"/>
      <c r="AQ734" s="18"/>
      <c r="AR734" s="18"/>
      <c r="AS734" s="18"/>
      <c r="AU734" s="448"/>
      <c r="AV734" s="448"/>
      <c r="AW734" s="8" t="str">
        <f>IF(C734&gt;0,VLOOKUP(C734,Foundation_Calc!$A$2:$C$986,3,1),
IF(J734&gt;0,VLOOKUP(J734,Foundation_Calc!$A$2:$C$986,3,1),""))</f>
        <v/>
      </c>
      <c r="AX734" s="8" t="str">
        <f>IF(C734&gt;0,VLOOKUP(C734,Foundation_Calc!$E$2:$G$986,3,1),
IF(J734&gt;0,VLOOKUP(J734,Foundation_Calc!$E$2:$G$986,3,1),""))</f>
        <v/>
      </c>
      <c r="AY734" s="631" t="str">
        <f>IF(L734="","",
IF(AX734="PT",VLOOKUP(L734,Foundation_Calc!$K$4:$R$37,VLOOKUP(AW734,Foundation_Calc!$I$2:$J$8,2,FALSE),0),
IF(AX734="K",VLOOKUP(L734,Foundation_Calc!$K$41:$R$74,VLOOKUP(AW734,Foundation_Calc!$I$2:$J$8,2,FALSE),0),"")))</f>
        <v/>
      </c>
      <c r="AZ734" s="631" t="str">
        <f>IF(K734="","",
IF(AX734="PT",VLOOKUP(K734,Foundation_Calc!$K$4:$R$37,VLOOKUP(AW734,Foundation_Calc!$I$2:$J$8,2,FALSE),0),
IF(AX734="K",VLOOKUP(K734,Foundation_Calc!$K$41:$R$74,VLOOKUP(AW734,Foundation_Calc!$I$2:$J$8,2,FALSE),0),"")))</f>
        <v/>
      </c>
      <c r="BA734" s="632" t="str">
        <f t="shared" si="115"/>
        <v/>
      </c>
      <c r="BB734" s="632" t="str">
        <f t="shared" si="116"/>
        <v/>
      </c>
      <c r="BC734" s="632" t="str">
        <f t="shared" si="117"/>
        <v/>
      </c>
      <c r="BD734" s="633" t="str">
        <f>IF(AND(L734="",H734=""),"",
IF(H734="",Pole_Calc!A762,
IF(H734="MP",Pole_Calc!A763,
IF(H734="AnMP",Pole_Calc!A764,
IF(H734="A",Pole_Calc!A765,
IF(H734="S/A",Pole_Calc!A766,
IF(H734="A/S",Pole_Calc!A767,"Poner a mano")))))))</f>
        <v/>
      </c>
      <c r="BE734" s="448" t="s">
        <v>1726</v>
      </c>
      <c r="BF734" s="634"/>
      <c r="BG734" s="634"/>
      <c r="BH734" s="634"/>
      <c r="BI734" s="634"/>
    </row>
    <row r="735" spans="1:61" ht="16.2" customHeight="1">
      <c r="A735" s="12"/>
      <c r="B735" s="446"/>
      <c r="C735" s="89"/>
      <c r="D735" s="13"/>
      <c r="E735" s="14"/>
      <c r="F735" s="14"/>
      <c r="G735" s="15"/>
      <c r="H735" s="8"/>
      <c r="I735" s="8"/>
      <c r="J735" s="89"/>
      <c r="K735" s="8"/>
      <c r="L735" s="8"/>
      <c r="M735" s="8" t="str">
        <f>IF(L735="","",
IF(AX735="PT",VLOOKUP(L735,Foundation_Calc!$V$4:$X$37,VLOOKUP(AX735,Foundation_Calc!$I$10:$J$13,2,FALSE),0),
IF(AX735="K",VLOOKUP(L735,Foundation_Calc!$V$41:$X$74,VLOOKUP(AX735,Foundation_Calc!$I$10:$J$13,2,FALSE),0),"")))</f>
        <v/>
      </c>
      <c r="N735" s="8"/>
      <c r="O735" s="8"/>
      <c r="P735" s="8"/>
      <c r="Q735" s="14"/>
      <c r="R735" s="15"/>
      <c r="S735" s="15"/>
      <c r="T735" s="14"/>
      <c r="U735" s="14"/>
      <c r="V735" s="14"/>
      <c r="W735" s="18"/>
      <c r="X735" s="18"/>
      <c r="Y735" s="18"/>
      <c r="Z735" s="18"/>
      <c r="AA735" s="18"/>
      <c r="AB735" s="18"/>
      <c r="AC735" s="8" t="str">
        <f t="shared" si="114"/>
        <v/>
      </c>
      <c r="AD735" s="8"/>
      <c r="AE735" s="8"/>
      <c r="AF735" s="14"/>
      <c r="AG735" s="13"/>
      <c r="AH735" s="14"/>
      <c r="AI735" s="14"/>
      <c r="AJ735" s="8"/>
      <c r="AK735" s="8"/>
      <c r="AL735" s="8"/>
      <c r="AM735" s="8"/>
      <c r="AN735" s="631"/>
      <c r="AO735" s="18"/>
      <c r="AP735" s="18"/>
      <c r="AQ735" s="18"/>
      <c r="AR735" s="18"/>
      <c r="AS735" s="18"/>
      <c r="AU735" s="448"/>
      <c r="AV735" s="448"/>
      <c r="AW735" s="8" t="str">
        <f>IF(C735&gt;0,VLOOKUP(C735,Foundation_Calc!$A$2:$C$986,3,1),
IF(J735&gt;0,VLOOKUP(J735,Foundation_Calc!$A$2:$C$986,3,1),""))</f>
        <v/>
      </c>
      <c r="AX735" s="8" t="str">
        <f>IF(C735&gt;0,VLOOKUP(C735,Foundation_Calc!$E$2:$G$986,3,1),
IF(J735&gt;0,VLOOKUP(J735,Foundation_Calc!$E$2:$G$986,3,1),""))</f>
        <v/>
      </c>
      <c r="AY735" s="631" t="str">
        <f>IF(L735="","",
IF(AX735="PT",VLOOKUP(L735,Foundation_Calc!$K$4:$R$37,VLOOKUP(AW735,Foundation_Calc!$I$2:$J$8,2,FALSE),0),
IF(AX735="K",VLOOKUP(L735,Foundation_Calc!$K$41:$R$74,VLOOKUP(AW735,Foundation_Calc!$I$2:$J$8,2,FALSE),0),"")))</f>
        <v/>
      </c>
      <c r="AZ735" s="631" t="str">
        <f>IF(K735="","",
IF(AX735="PT",VLOOKUP(K735,Foundation_Calc!$K$4:$R$37,VLOOKUP(AW735,Foundation_Calc!$I$2:$J$8,2,FALSE),0),
IF(AX735="K",VLOOKUP(K735,Foundation_Calc!$K$41:$R$74,VLOOKUP(AW735,Foundation_Calc!$I$2:$J$8,2,FALSE),0),"")))</f>
        <v/>
      </c>
      <c r="BA735" s="632" t="str">
        <f t="shared" si="115"/>
        <v/>
      </c>
      <c r="BB735" s="632" t="str">
        <f t="shared" si="116"/>
        <v/>
      </c>
      <c r="BC735" s="632" t="str">
        <f t="shared" si="117"/>
        <v/>
      </c>
      <c r="BD735" s="633" t="str">
        <f>IF(AND(L735="",H735=""),"",
IF(H735="",Pole_Calc!A763,
IF(H735="MP",Pole_Calc!A764,
IF(H735="AnMP",Pole_Calc!A765,
IF(H735="A",Pole_Calc!A766,
IF(H735="S/A",Pole_Calc!A767,
IF(H735="A/S",Pole_Calc!A768,"Poner a mano")))))))</f>
        <v/>
      </c>
      <c r="BE735" s="448" t="s">
        <v>1726</v>
      </c>
      <c r="BF735" s="635"/>
      <c r="BG735" s="635"/>
      <c r="BH735" s="634"/>
      <c r="BI735" s="635"/>
    </row>
    <row r="736" spans="1:61" ht="16.2" customHeight="1">
      <c r="A736" s="12"/>
      <c r="B736" s="446"/>
      <c r="C736" s="89"/>
      <c r="D736" s="13"/>
      <c r="E736" s="14"/>
      <c r="F736" s="14"/>
      <c r="G736" s="15"/>
      <c r="H736" s="8"/>
      <c r="I736" s="8"/>
      <c r="J736" s="89"/>
      <c r="K736" s="8"/>
      <c r="L736" s="8"/>
      <c r="M736" s="8" t="str">
        <f>IF(L736="","",
IF(AX736="PT",VLOOKUP(L736,Foundation_Calc!$V$4:$X$37,VLOOKUP(AX736,Foundation_Calc!$I$10:$J$13,2,FALSE),0),
IF(AX736="K",VLOOKUP(L736,Foundation_Calc!$V$41:$X$74,VLOOKUP(AX736,Foundation_Calc!$I$10:$J$13,2,FALSE),0),"")))</f>
        <v/>
      </c>
      <c r="N736" s="8"/>
      <c r="O736" s="8"/>
      <c r="P736" s="8"/>
      <c r="Q736" s="14"/>
      <c r="R736" s="15"/>
      <c r="S736" s="15"/>
      <c r="T736" s="14"/>
      <c r="U736" s="14"/>
      <c r="V736" s="14"/>
      <c r="W736" s="18"/>
      <c r="X736" s="18"/>
      <c r="Y736" s="18"/>
      <c r="Z736" s="18"/>
      <c r="AA736" s="18"/>
      <c r="AB736" s="18"/>
      <c r="AC736" s="8" t="str">
        <f t="shared" si="114"/>
        <v/>
      </c>
      <c r="AD736" s="8"/>
      <c r="AE736" s="8"/>
      <c r="AF736" s="14"/>
      <c r="AG736" s="13"/>
      <c r="AH736" s="14"/>
      <c r="AI736" s="14"/>
      <c r="AJ736" s="8"/>
      <c r="AK736" s="8"/>
      <c r="AL736" s="8"/>
      <c r="AM736" s="8"/>
      <c r="AN736" s="631"/>
      <c r="AO736" s="18"/>
      <c r="AP736" s="18"/>
      <c r="AQ736" s="18"/>
      <c r="AR736" s="18"/>
      <c r="AS736" s="18"/>
      <c r="AU736" s="448"/>
      <c r="AV736" s="448"/>
      <c r="AW736" s="8" t="str">
        <f>IF(C736&gt;0,VLOOKUP(C736,Foundation_Calc!$A$2:$C$986,3,1),
IF(J736&gt;0,VLOOKUP(J736,Foundation_Calc!$A$2:$C$986,3,1),""))</f>
        <v/>
      </c>
      <c r="AX736" s="8" t="str">
        <f>IF(C736&gt;0,VLOOKUP(C736,Foundation_Calc!$E$2:$G$986,3,1),
IF(J736&gt;0,VLOOKUP(J736,Foundation_Calc!$E$2:$G$986,3,1),""))</f>
        <v/>
      </c>
      <c r="AY736" s="631" t="str">
        <f>IF(L736="","",
IF(AX736="PT",VLOOKUP(L736,Foundation_Calc!$K$4:$R$37,VLOOKUP(AW736,Foundation_Calc!$I$2:$J$8,2,FALSE),0),
IF(AX736="K",VLOOKUP(L736,Foundation_Calc!$K$41:$R$74,VLOOKUP(AW736,Foundation_Calc!$I$2:$J$8,2,FALSE),0),"")))</f>
        <v/>
      </c>
      <c r="AZ736" s="631" t="str">
        <f>IF(K736="","",
IF(AX736="PT",VLOOKUP(K736,Foundation_Calc!$K$4:$R$37,VLOOKUP(AW736,Foundation_Calc!$I$2:$J$8,2,FALSE),0),
IF(AX736="K",VLOOKUP(K736,Foundation_Calc!$K$41:$R$74,VLOOKUP(AW736,Foundation_Calc!$I$2:$J$8,2,FALSE),0),"")))</f>
        <v/>
      </c>
      <c r="BA736" s="632" t="str">
        <f t="shared" si="115"/>
        <v/>
      </c>
      <c r="BB736" s="632" t="str">
        <f t="shared" si="116"/>
        <v/>
      </c>
      <c r="BC736" s="632" t="str">
        <f t="shared" si="117"/>
        <v/>
      </c>
      <c r="BD736" s="633" t="str">
        <f>IF(AND(L736="",H736=""),"",
IF(H736="",Pole_Calc!A764,
IF(H736="MP",Pole_Calc!A765,
IF(H736="AnMP",Pole_Calc!A766,
IF(H736="A",Pole_Calc!A767,
IF(H736="S/A",Pole_Calc!A768,
IF(H736="A/S",Pole_Calc!A769,"Poner a mano")))))))</f>
        <v/>
      </c>
      <c r="BE736" s="448" t="s">
        <v>1726</v>
      </c>
      <c r="BF736" s="634"/>
      <c r="BG736" s="634"/>
      <c r="BH736" s="634"/>
      <c r="BI736" s="634"/>
    </row>
    <row r="737" spans="1:61" ht="16.2" customHeight="1">
      <c r="A737" s="12"/>
      <c r="B737" s="446"/>
      <c r="C737" s="89"/>
      <c r="D737" s="13"/>
      <c r="E737" s="14"/>
      <c r="F737" s="14"/>
      <c r="G737" s="15"/>
      <c r="H737" s="8"/>
      <c r="I737" s="8"/>
      <c r="J737" s="89"/>
      <c r="K737" s="8"/>
      <c r="L737" s="8"/>
      <c r="M737" s="8" t="str">
        <f>IF(L737="","",
IF(AX737="PT",VLOOKUP(L737,Foundation_Calc!$V$4:$X$37,VLOOKUP(AX737,Foundation_Calc!$I$10:$J$13,2,FALSE),0),
IF(AX737="K",VLOOKUP(L737,Foundation_Calc!$V$41:$X$74,VLOOKUP(AX737,Foundation_Calc!$I$10:$J$13,2,FALSE),0),"")))</f>
        <v/>
      </c>
      <c r="N737" s="8"/>
      <c r="O737" s="8"/>
      <c r="P737" s="8"/>
      <c r="Q737" s="14"/>
      <c r="R737" s="15"/>
      <c r="S737" s="15"/>
      <c r="T737" s="14"/>
      <c r="U737" s="14"/>
      <c r="V737" s="14"/>
      <c r="W737" s="18"/>
      <c r="X737" s="18"/>
      <c r="Y737" s="18"/>
      <c r="Z737" s="18"/>
      <c r="AA737" s="18"/>
      <c r="AB737" s="18"/>
      <c r="AC737" s="8" t="str">
        <f t="shared" si="114"/>
        <v/>
      </c>
      <c r="AD737" s="8"/>
      <c r="AE737" s="8"/>
      <c r="AF737" s="14"/>
      <c r="AG737" s="13"/>
      <c r="AH737" s="14"/>
      <c r="AI737" s="14"/>
      <c r="AJ737" s="8"/>
      <c r="AK737" s="8"/>
      <c r="AL737" s="8"/>
      <c r="AM737" s="8"/>
      <c r="AN737" s="631"/>
      <c r="AO737" s="18"/>
      <c r="AP737" s="18"/>
      <c r="AQ737" s="18"/>
      <c r="AR737" s="18"/>
      <c r="AS737" s="18"/>
      <c r="AU737" s="448"/>
      <c r="AV737" s="448"/>
      <c r="AW737" s="8" t="str">
        <f>IF(C737&gt;0,VLOOKUP(C737,Foundation_Calc!$A$2:$C$986,3,1),
IF(J737&gt;0,VLOOKUP(J737,Foundation_Calc!$A$2:$C$986,3,1),""))</f>
        <v/>
      </c>
      <c r="AX737" s="8" t="str">
        <f>IF(C737&gt;0,VLOOKUP(C737,Foundation_Calc!$E$2:$G$986,3,1),
IF(J737&gt;0,VLOOKUP(J737,Foundation_Calc!$E$2:$G$986,3,1),""))</f>
        <v/>
      </c>
      <c r="AY737" s="631" t="str">
        <f>IF(L737="","",
IF(AX737="PT",VLOOKUP(L737,Foundation_Calc!$K$4:$R$37,VLOOKUP(AW737,Foundation_Calc!$I$2:$J$8,2,FALSE),0),
IF(AX737="K",VLOOKUP(L737,Foundation_Calc!$K$41:$R$74,VLOOKUP(AW737,Foundation_Calc!$I$2:$J$8,2,FALSE),0),"")))</f>
        <v/>
      </c>
      <c r="AZ737" s="631" t="str">
        <f>IF(K737="","",
IF(AX737="PT",VLOOKUP(K737,Foundation_Calc!$K$4:$R$37,VLOOKUP(AW737,Foundation_Calc!$I$2:$J$8,2,FALSE),0),
IF(AX737="K",VLOOKUP(K737,Foundation_Calc!$K$41:$R$74,VLOOKUP(AW737,Foundation_Calc!$I$2:$J$8,2,FALSE),0),"")))</f>
        <v/>
      </c>
      <c r="BA737" s="632" t="str">
        <f t="shared" si="115"/>
        <v/>
      </c>
      <c r="BB737" s="632" t="str">
        <f t="shared" si="116"/>
        <v/>
      </c>
      <c r="BC737" s="632" t="str">
        <f t="shared" si="117"/>
        <v/>
      </c>
      <c r="BD737" s="633" t="str">
        <f>IF(AND(L737="",H737=""),"",
IF(H737="",Pole_Calc!A765,
IF(H737="MP",Pole_Calc!A766,
IF(H737="AnMP",Pole_Calc!A767,
IF(H737="A",Pole_Calc!A768,
IF(H737="S/A",Pole_Calc!A769,
IF(H737="A/S",Pole_Calc!A770,"Poner a mano")))))))</f>
        <v/>
      </c>
      <c r="BE737" s="448" t="s">
        <v>1726</v>
      </c>
      <c r="BF737" s="635"/>
      <c r="BG737" s="635"/>
      <c r="BH737" s="634"/>
      <c r="BI737" s="635"/>
    </row>
    <row r="738" spans="1:61" ht="16.2" customHeight="1">
      <c r="A738" s="12"/>
      <c r="B738" s="446"/>
      <c r="C738" s="89"/>
      <c r="D738" s="13"/>
      <c r="E738" s="14"/>
      <c r="F738" s="14"/>
      <c r="G738" s="15"/>
      <c r="H738" s="8"/>
      <c r="I738" s="8"/>
      <c r="J738" s="89"/>
      <c r="K738" s="8"/>
      <c r="L738" s="8"/>
      <c r="M738" s="8" t="str">
        <f>IF(L738="","",
IF(AX738="PT",VLOOKUP(L738,Foundation_Calc!$V$4:$X$37,VLOOKUP(AX738,Foundation_Calc!$I$10:$J$13,2,FALSE),0),
IF(AX738="K",VLOOKUP(L738,Foundation_Calc!$V$41:$X$74,VLOOKUP(AX738,Foundation_Calc!$I$10:$J$13,2,FALSE),0),"")))</f>
        <v/>
      </c>
      <c r="N738" s="8"/>
      <c r="O738" s="8"/>
      <c r="P738" s="8"/>
      <c r="Q738" s="14"/>
      <c r="R738" s="15"/>
      <c r="S738" s="15"/>
      <c r="T738" s="14"/>
      <c r="U738" s="14"/>
      <c r="V738" s="14"/>
      <c r="W738" s="18"/>
      <c r="X738" s="18"/>
      <c r="Y738" s="18"/>
      <c r="Z738" s="18"/>
      <c r="AA738" s="18"/>
      <c r="AB738" s="18"/>
      <c r="AC738" s="8" t="str">
        <f t="shared" si="114"/>
        <v/>
      </c>
      <c r="AD738" s="8"/>
      <c r="AE738" s="8"/>
      <c r="AF738" s="14"/>
      <c r="AG738" s="13"/>
      <c r="AH738" s="14"/>
      <c r="AI738" s="14"/>
      <c r="AJ738" s="8"/>
      <c r="AK738" s="8"/>
      <c r="AL738" s="8"/>
      <c r="AM738" s="8"/>
      <c r="AN738" s="631"/>
      <c r="AO738" s="18"/>
      <c r="AP738" s="18"/>
      <c r="AQ738" s="18"/>
      <c r="AR738" s="18"/>
      <c r="AS738" s="18"/>
      <c r="AU738" s="448"/>
      <c r="AV738" s="448"/>
      <c r="AW738" s="8" t="str">
        <f>IF(C738&gt;0,VLOOKUP(C738,Foundation_Calc!$A$2:$C$986,3,1),
IF(J738&gt;0,VLOOKUP(J738,Foundation_Calc!$A$2:$C$986,3,1),""))</f>
        <v/>
      </c>
      <c r="AX738" s="8" t="str">
        <f>IF(C738&gt;0,VLOOKUP(C738,Foundation_Calc!$E$2:$G$986,3,1),
IF(J738&gt;0,VLOOKUP(J738,Foundation_Calc!$E$2:$G$986,3,1),""))</f>
        <v/>
      </c>
      <c r="AY738" s="631" t="str">
        <f>IF(L738="","",
IF(AX738="PT",VLOOKUP(L738,Foundation_Calc!$K$4:$R$37,VLOOKUP(AW738,Foundation_Calc!$I$2:$J$8,2,FALSE),0),
IF(AX738="K",VLOOKUP(L738,Foundation_Calc!$K$41:$R$74,VLOOKUP(AW738,Foundation_Calc!$I$2:$J$8,2,FALSE),0),"")))</f>
        <v/>
      </c>
      <c r="AZ738" s="631" t="str">
        <f>IF(K738="","",
IF(AX738="PT",VLOOKUP(K738,Foundation_Calc!$K$4:$R$37,VLOOKUP(AW738,Foundation_Calc!$I$2:$J$8,2,FALSE),0),
IF(AX738="K",VLOOKUP(K738,Foundation_Calc!$K$41:$R$74,VLOOKUP(AW738,Foundation_Calc!$I$2:$J$8,2,FALSE),0),"")))</f>
        <v/>
      </c>
      <c r="BA738" s="632" t="str">
        <f t="shared" si="115"/>
        <v/>
      </c>
      <c r="BB738" s="632" t="str">
        <f t="shared" si="116"/>
        <v/>
      </c>
      <c r="BC738" s="632" t="str">
        <f t="shared" si="117"/>
        <v/>
      </c>
      <c r="BD738" s="633" t="str">
        <f>IF(AND(L738="",H738=""),"",
IF(H738="",Pole_Calc!A766,
IF(H738="MP",Pole_Calc!A767,
IF(H738="AnMP",Pole_Calc!A768,
IF(H738="A",Pole_Calc!A769,
IF(H738="S/A",Pole_Calc!A770,
IF(H738="A/S",Pole_Calc!A771,"Poner a mano")))))))</f>
        <v/>
      </c>
      <c r="BE738" s="448" t="s">
        <v>1726</v>
      </c>
      <c r="BF738" s="634"/>
      <c r="BG738" s="634"/>
      <c r="BH738" s="634"/>
      <c r="BI738" s="634"/>
    </row>
    <row r="739" spans="1:61" ht="16.2" customHeight="1">
      <c r="A739" s="12"/>
      <c r="B739" s="446"/>
      <c r="C739" s="89"/>
      <c r="D739" s="13"/>
      <c r="E739" s="14"/>
      <c r="F739" s="14"/>
      <c r="G739" s="15"/>
      <c r="H739" s="8"/>
      <c r="I739" s="8"/>
      <c r="J739" s="89"/>
      <c r="K739" s="8"/>
      <c r="L739" s="8"/>
      <c r="M739" s="8" t="str">
        <f>IF(L739="","",
IF(AX739="PT",VLOOKUP(L739,Foundation_Calc!$V$4:$X$37,VLOOKUP(AX739,Foundation_Calc!$I$10:$J$13,2,FALSE),0),
IF(AX739="K",VLOOKUP(L739,Foundation_Calc!$V$41:$X$74,VLOOKUP(AX739,Foundation_Calc!$I$10:$J$13,2,FALSE),0),"")))</f>
        <v/>
      </c>
      <c r="N739" s="8"/>
      <c r="O739" s="8"/>
      <c r="P739" s="8"/>
      <c r="Q739" s="14"/>
      <c r="R739" s="15"/>
      <c r="S739" s="15"/>
      <c r="T739" s="14"/>
      <c r="U739" s="14"/>
      <c r="V739" s="14"/>
      <c r="W739" s="18"/>
      <c r="X739" s="18"/>
      <c r="Y739" s="18"/>
      <c r="Z739" s="18"/>
      <c r="AA739" s="18"/>
      <c r="AB739" s="18"/>
      <c r="AC739" s="8" t="str">
        <f t="shared" si="114"/>
        <v/>
      </c>
      <c r="AD739" s="8"/>
      <c r="AE739" s="8"/>
      <c r="AF739" s="14"/>
      <c r="AG739" s="13"/>
      <c r="AH739" s="14"/>
      <c r="AI739" s="14"/>
      <c r="AJ739" s="8"/>
      <c r="AK739" s="8"/>
      <c r="AL739" s="8"/>
      <c r="AM739" s="8"/>
      <c r="AN739" s="631"/>
      <c r="AO739" s="18"/>
      <c r="AP739" s="18"/>
      <c r="AQ739" s="18"/>
      <c r="AR739" s="18"/>
      <c r="AS739" s="18"/>
      <c r="AU739" s="448"/>
      <c r="AV739" s="448"/>
      <c r="AW739" s="8" t="str">
        <f>IF(C739&gt;0,VLOOKUP(C739,Foundation_Calc!$A$2:$C$986,3,1),
IF(J739&gt;0,VLOOKUP(J739,Foundation_Calc!$A$2:$C$986,3,1),""))</f>
        <v/>
      </c>
      <c r="AX739" s="8" t="str">
        <f>IF(C739&gt;0,VLOOKUP(C739,Foundation_Calc!$E$2:$G$986,3,1),
IF(J739&gt;0,VLOOKUP(J739,Foundation_Calc!$E$2:$G$986,3,1),""))</f>
        <v/>
      </c>
      <c r="AY739" s="631" t="str">
        <f>IF(L739="","",
IF(AX739="PT",VLOOKUP(L739,Foundation_Calc!$K$4:$R$37,VLOOKUP(AW739,Foundation_Calc!$I$2:$J$8,2,FALSE),0),
IF(AX739="K",VLOOKUP(L739,Foundation_Calc!$K$41:$R$74,VLOOKUP(AW739,Foundation_Calc!$I$2:$J$8,2,FALSE),0),"")))</f>
        <v/>
      </c>
      <c r="AZ739" s="631" t="str">
        <f>IF(K739="","",
IF(AX739="PT",VLOOKUP(K739,Foundation_Calc!$K$4:$R$37,VLOOKUP(AW739,Foundation_Calc!$I$2:$J$8,2,FALSE),0),
IF(AX739="K",VLOOKUP(K739,Foundation_Calc!$K$41:$R$74,VLOOKUP(AW739,Foundation_Calc!$I$2:$J$8,2,FALSE),0),"")))</f>
        <v/>
      </c>
      <c r="BA739" s="632" t="str">
        <f t="shared" si="115"/>
        <v/>
      </c>
      <c r="BB739" s="632" t="str">
        <f t="shared" si="116"/>
        <v/>
      </c>
      <c r="BC739" s="632" t="str">
        <f t="shared" si="117"/>
        <v/>
      </c>
      <c r="BD739" s="633" t="str">
        <f>IF(AND(L739="",H739=""),"",
IF(H739="",Pole_Calc!A767,
IF(H739="MP",Pole_Calc!A768,
IF(H739="AnMP",Pole_Calc!A769,
IF(H739="A",Pole_Calc!A770,
IF(H739="S/A",Pole_Calc!A771,
IF(H739="A/S",Pole_Calc!A772,"Poner a mano")))))))</f>
        <v/>
      </c>
      <c r="BE739" s="448" t="s">
        <v>1726</v>
      </c>
      <c r="BF739" s="635"/>
      <c r="BG739" s="635"/>
      <c r="BH739" s="634"/>
      <c r="BI739" s="635"/>
    </row>
    <row r="740" spans="1:61" ht="16.2" customHeight="1">
      <c r="A740" s="12"/>
      <c r="B740" s="446"/>
      <c r="C740" s="89"/>
      <c r="D740" s="13"/>
      <c r="E740" s="14"/>
      <c r="F740" s="14"/>
      <c r="G740" s="15"/>
      <c r="H740" s="8"/>
      <c r="I740" s="8"/>
      <c r="J740" s="89"/>
      <c r="K740" s="8"/>
      <c r="L740" s="8"/>
      <c r="M740" s="8" t="str">
        <f>IF(L740="","",
IF(AX740="PT",VLOOKUP(L740,Foundation_Calc!$V$4:$X$37,VLOOKUP(AX740,Foundation_Calc!$I$10:$J$13,2,FALSE),0),
IF(AX740="K",VLOOKUP(L740,Foundation_Calc!$V$41:$X$74,VLOOKUP(AX740,Foundation_Calc!$I$10:$J$13,2,FALSE),0),"")))</f>
        <v/>
      </c>
      <c r="N740" s="8"/>
      <c r="O740" s="8"/>
      <c r="P740" s="8"/>
      <c r="Q740" s="14"/>
      <c r="R740" s="15"/>
      <c r="S740" s="15"/>
      <c r="T740" s="14"/>
      <c r="U740" s="14"/>
      <c r="V740" s="14"/>
      <c r="W740" s="18"/>
      <c r="X740" s="18"/>
      <c r="Y740" s="18"/>
      <c r="Z740" s="18"/>
      <c r="AA740" s="18"/>
      <c r="AB740" s="18"/>
      <c r="AC740" s="8" t="str">
        <f t="shared" si="114"/>
        <v/>
      </c>
      <c r="AD740" s="8"/>
      <c r="AE740" s="8"/>
      <c r="AF740" s="14"/>
      <c r="AG740" s="13"/>
      <c r="AH740" s="14"/>
      <c r="AI740" s="14"/>
      <c r="AJ740" s="8"/>
      <c r="AK740" s="8"/>
      <c r="AL740" s="8"/>
      <c r="AM740" s="8"/>
      <c r="AN740" s="631"/>
      <c r="AO740" s="18"/>
      <c r="AP740" s="18"/>
      <c r="AQ740" s="18"/>
      <c r="AR740" s="18"/>
      <c r="AS740" s="18"/>
      <c r="AU740" s="448"/>
      <c r="AV740" s="448"/>
      <c r="AW740" s="8" t="str">
        <f>IF(C740&gt;0,VLOOKUP(C740,Foundation_Calc!$A$2:$C$986,3,1),
IF(J740&gt;0,VLOOKUP(J740,Foundation_Calc!$A$2:$C$986,3,1),""))</f>
        <v/>
      </c>
      <c r="AX740" s="8" t="str">
        <f>IF(C740&gt;0,VLOOKUP(C740,Foundation_Calc!$E$2:$G$986,3,1),
IF(J740&gt;0,VLOOKUP(J740,Foundation_Calc!$E$2:$G$986,3,1),""))</f>
        <v/>
      </c>
      <c r="AY740" s="631" t="str">
        <f>IF(L740="","",
IF(AX740="PT",VLOOKUP(L740,Foundation_Calc!$K$4:$R$37,VLOOKUP(AW740,Foundation_Calc!$I$2:$J$8,2,FALSE),0),
IF(AX740="K",VLOOKUP(L740,Foundation_Calc!$K$41:$R$74,VLOOKUP(AW740,Foundation_Calc!$I$2:$J$8,2,FALSE),0),"")))</f>
        <v/>
      </c>
      <c r="AZ740" s="631" t="str">
        <f>IF(K740="","",
IF(AX740="PT",VLOOKUP(K740,Foundation_Calc!$K$4:$R$37,VLOOKUP(AW740,Foundation_Calc!$I$2:$J$8,2,FALSE),0),
IF(AX740="K",VLOOKUP(K740,Foundation_Calc!$K$41:$R$74,VLOOKUP(AW740,Foundation_Calc!$I$2:$J$8,2,FALSE),0),"")))</f>
        <v/>
      </c>
      <c r="BA740" s="632" t="str">
        <f t="shared" si="115"/>
        <v/>
      </c>
      <c r="BB740" s="632" t="str">
        <f t="shared" si="116"/>
        <v/>
      </c>
      <c r="BC740" s="632" t="str">
        <f t="shared" si="117"/>
        <v/>
      </c>
      <c r="BD740" s="633" t="str">
        <f>IF(AND(L740="",H740=""),"",
IF(H740="",Pole_Calc!A768,
IF(H740="MP",Pole_Calc!A769,
IF(H740="AnMP",Pole_Calc!A770,
IF(H740="A",Pole_Calc!A771,
IF(H740="S/A",Pole_Calc!A772,
IF(H740="A/S",Pole_Calc!A773,"Poner a mano")))))))</f>
        <v/>
      </c>
      <c r="BE740" s="448" t="s">
        <v>1726</v>
      </c>
      <c r="BF740" s="634"/>
      <c r="BG740" s="634"/>
      <c r="BH740" s="634"/>
      <c r="BI740" s="634"/>
    </row>
    <row r="741" spans="1:61" ht="16.2" customHeight="1">
      <c r="A741" s="12"/>
      <c r="B741" s="446"/>
      <c r="C741" s="89"/>
      <c r="D741" s="13"/>
      <c r="E741" s="14"/>
      <c r="F741" s="14"/>
      <c r="G741" s="15"/>
      <c r="H741" s="8"/>
      <c r="I741" s="8"/>
      <c r="J741" s="89"/>
      <c r="K741" s="8"/>
      <c r="L741" s="8"/>
      <c r="M741" s="8" t="str">
        <f>IF(L741="","",
IF(AX741="PT",VLOOKUP(L741,Foundation_Calc!$V$4:$X$37,VLOOKUP(AX741,Foundation_Calc!$I$10:$J$13,2,FALSE),0),
IF(AX741="K",VLOOKUP(L741,Foundation_Calc!$V$41:$X$74,VLOOKUP(AX741,Foundation_Calc!$I$10:$J$13,2,FALSE),0),"")))</f>
        <v/>
      </c>
      <c r="N741" s="8"/>
      <c r="O741" s="8"/>
      <c r="P741" s="8"/>
      <c r="Q741" s="14"/>
      <c r="R741" s="15"/>
      <c r="S741" s="15"/>
      <c r="T741" s="14"/>
      <c r="U741" s="14"/>
      <c r="V741" s="14"/>
      <c r="W741" s="18"/>
      <c r="X741" s="18"/>
      <c r="Y741" s="18"/>
      <c r="Z741" s="18"/>
      <c r="AA741" s="18"/>
      <c r="AB741" s="18"/>
      <c r="AC741" s="8" t="str">
        <f t="shared" si="114"/>
        <v/>
      </c>
      <c r="AD741" s="8"/>
      <c r="AE741" s="8"/>
      <c r="AF741" s="14"/>
      <c r="AG741" s="13"/>
      <c r="AH741" s="14"/>
      <c r="AI741" s="14"/>
      <c r="AJ741" s="8"/>
      <c r="AK741" s="8"/>
      <c r="AL741" s="8"/>
      <c r="AM741" s="8"/>
      <c r="AN741" s="631"/>
      <c r="AO741" s="18"/>
      <c r="AP741" s="18"/>
      <c r="AQ741" s="18"/>
      <c r="AR741" s="18"/>
      <c r="AS741" s="18"/>
      <c r="AU741" s="448"/>
      <c r="AV741" s="448"/>
      <c r="AW741" s="8" t="str">
        <f>IF(C741&gt;0,VLOOKUP(C741,Foundation_Calc!$A$2:$C$986,3,1),
IF(J741&gt;0,VLOOKUP(J741,Foundation_Calc!$A$2:$C$986,3,1),""))</f>
        <v/>
      </c>
      <c r="AX741" s="8" t="str">
        <f>IF(C741&gt;0,VLOOKUP(C741,Foundation_Calc!$E$2:$G$986,3,1),
IF(J741&gt;0,VLOOKUP(J741,Foundation_Calc!$E$2:$G$986,3,1),""))</f>
        <v/>
      </c>
      <c r="AY741" s="631" t="str">
        <f>IF(L741="","",
IF(AX741="PT",VLOOKUP(L741,Foundation_Calc!$K$4:$R$37,VLOOKUP(AW741,Foundation_Calc!$I$2:$J$8,2,FALSE),0),
IF(AX741="K",VLOOKUP(L741,Foundation_Calc!$K$41:$R$74,VLOOKUP(AW741,Foundation_Calc!$I$2:$J$8,2,FALSE),0),"")))</f>
        <v/>
      </c>
      <c r="AZ741" s="631" t="str">
        <f>IF(K741="","",
IF(AX741="PT",VLOOKUP(K741,Foundation_Calc!$K$4:$R$37,VLOOKUP(AW741,Foundation_Calc!$I$2:$J$8,2,FALSE),0),
IF(AX741="K",VLOOKUP(K741,Foundation_Calc!$K$41:$R$74,VLOOKUP(AW741,Foundation_Calc!$I$2:$J$8,2,FALSE),0),"")))</f>
        <v/>
      </c>
      <c r="BA741" s="632" t="str">
        <f t="shared" si="115"/>
        <v/>
      </c>
      <c r="BB741" s="632" t="str">
        <f t="shared" si="116"/>
        <v/>
      </c>
      <c r="BC741" s="632" t="str">
        <f t="shared" si="117"/>
        <v/>
      </c>
      <c r="BD741" s="633" t="str">
        <f>IF(AND(L741="",H741=""),"",
IF(H741="",Pole_Calc!A769,
IF(H741="MP",Pole_Calc!A770,
IF(H741="AnMP",Pole_Calc!A771,
IF(H741="A",Pole_Calc!A772,
IF(H741="S/A",Pole_Calc!A773,
IF(H741="A/S",Pole_Calc!A774,"Poner a mano")))))))</f>
        <v/>
      </c>
      <c r="BE741" s="448" t="s">
        <v>1726</v>
      </c>
      <c r="BF741" s="635"/>
      <c r="BG741" s="635"/>
      <c r="BH741" s="634"/>
      <c r="BI741" s="635"/>
    </row>
    <row r="742" spans="1:61" ht="16.2" customHeight="1">
      <c r="A742" s="12"/>
      <c r="B742" s="446"/>
      <c r="C742" s="89"/>
      <c r="D742" s="13"/>
      <c r="E742" s="14"/>
      <c r="F742" s="14"/>
      <c r="G742" s="15"/>
      <c r="H742" s="8"/>
      <c r="I742" s="8"/>
      <c r="J742" s="89"/>
      <c r="K742" s="8"/>
      <c r="L742" s="8"/>
      <c r="M742" s="8" t="str">
        <f>IF(L742="","",
IF(AX742="PT",VLOOKUP(L742,Foundation_Calc!$V$4:$X$37,VLOOKUP(AX742,Foundation_Calc!$I$10:$J$13,2,FALSE),0),
IF(AX742="K",VLOOKUP(L742,Foundation_Calc!$V$41:$X$74,VLOOKUP(AX742,Foundation_Calc!$I$10:$J$13,2,FALSE),0),"")))</f>
        <v/>
      </c>
      <c r="N742" s="8"/>
      <c r="O742" s="8"/>
      <c r="P742" s="8"/>
      <c r="Q742" s="14"/>
      <c r="R742" s="15"/>
      <c r="S742" s="15"/>
      <c r="T742" s="14"/>
      <c r="U742" s="14"/>
      <c r="V742" s="14"/>
      <c r="W742" s="18"/>
      <c r="X742" s="18"/>
      <c r="Y742" s="18"/>
      <c r="Z742" s="18"/>
      <c r="AA742" s="18"/>
      <c r="AB742" s="18"/>
      <c r="AC742" s="8" t="str">
        <f t="shared" si="114"/>
        <v/>
      </c>
      <c r="AD742" s="8"/>
      <c r="AE742" s="8"/>
      <c r="AF742" s="14"/>
      <c r="AG742" s="13"/>
      <c r="AH742" s="14"/>
      <c r="AI742" s="14"/>
      <c r="AJ742" s="8"/>
      <c r="AK742" s="8"/>
      <c r="AL742" s="8"/>
      <c r="AM742" s="8"/>
      <c r="AN742" s="631"/>
      <c r="AO742" s="18"/>
      <c r="AP742" s="18"/>
      <c r="AQ742" s="18"/>
      <c r="AR742" s="18"/>
      <c r="AS742" s="18"/>
      <c r="AU742" s="448"/>
      <c r="AV742" s="448"/>
      <c r="AW742" s="8" t="str">
        <f>IF(C742&gt;0,VLOOKUP(C742,Foundation_Calc!$A$2:$C$986,3,1),
IF(J742&gt;0,VLOOKUP(J742,Foundation_Calc!$A$2:$C$986,3,1),""))</f>
        <v/>
      </c>
      <c r="AX742" s="8" t="str">
        <f>IF(C742&gt;0,VLOOKUP(C742,Foundation_Calc!$E$2:$G$986,3,1),
IF(J742&gt;0,VLOOKUP(J742,Foundation_Calc!$E$2:$G$986,3,1),""))</f>
        <v/>
      </c>
      <c r="AY742" s="631" t="str">
        <f>IF(L742="","",
IF(AX742="PT",VLOOKUP(L742,Foundation_Calc!$K$4:$R$37,VLOOKUP(AW742,Foundation_Calc!$I$2:$J$8,2,FALSE),0),
IF(AX742="K",VLOOKUP(L742,Foundation_Calc!$K$41:$R$74,VLOOKUP(AW742,Foundation_Calc!$I$2:$J$8,2,FALSE),0),"")))</f>
        <v/>
      </c>
      <c r="AZ742" s="631" t="str">
        <f>IF(K742="","",
IF(AX742="PT",VLOOKUP(K742,Foundation_Calc!$K$4:$R$37,VLOOKUP(AW742,Foundation_Calc!$I$2:$J$8,2,FALSE),0),
IF(AX742="K",VLOOKUP(K742,Foundation_Calc!$K$41:$R$74,VLOOKUP(AW742,Foundation_Calc!$I$2:$J$8,2,FALSE),0),"")))</f>
        <v/>
      </c>
      <c r="BA742" s="632" t="str">
        <f t="shared" si="115"/>
        <v/>
      </c>
      <c r="BB742" s="632" t="str">
        <f t="shared" si="116"/>
        <v/>
      </c>
      <c r="BC742" s="632" t="str">
        <f t="shared" si="117"/>
        <v/>
      </c>
      <c r="BD742" s="633" t="str">
        <f>IF(AND(L742="",H742=""),"",
IF(H742="",Pole_Calc!A770,
IF(H742="MP",Pole_Calc!A771,
IF(H742="AnMP",Pole_Calc!A772,
IF(H742="A",Pole_Calc!A773,
IF(H742="S/A",Pole_Calc!A774,
IF(H742="A/S",Pole_Calc!A775,"Poner a mano")))))))</f>
        <v/>
      </c>
      <c r="BE742" s="448" t="s">
        <v>1726</v>
      </c>
      <c r="BF742" s="634"/>
      <c r="BG742" s="634"/>
      <c r="BH742" s="634"/>
      <c r="BI742" s="634"/>
    </row>
    <row r="743" spans="1:61" ht="16.2" customHeight="1">
      <c r="A743" s="12"/>
      <c r="B743" s="446"/>
      <c r="C743" s="89"/>
      <c r="D743" s="13"/>
      <c r="E743" s="14"/>
      <c r="F743" s="14"/>
      <c r="G743" s="15"/>
      <c r="H743" s="8"/>
      <c r="I743" s="8"/>
      <c r="J743" s="89"/>
      <c r="K743" s="8"/>
      <c r="L743" s="8"/>
      <c r="M743" s="8" t="str">
        <f>IF(L743="","",
IF(AX743="PT",VLOOKUP(L743,Foundation_Calc!$V$4:$X$37,VLOOKUP(AX743,Foundation_Calc!$I$10:$J$13,2,FALSE),0),
IF(AX743="K",VLOOKUP(L743,Foundation_Calc!$V$41:$X$74,VLOOKUP(AX743,Foundation_Calc!$I$10:$J$13,2,FALSE),0),"")))</f>
        <v/>
      </c>
      <c r="N743" s="8"/>
      <c r="O743" s="8"/>
      <c r="P743" s="8"/>
      <c r="Q743" s="14"/>
      <c r="R743" s="15"/>
      <c r="S743" s="15"/>
      <c r="T743" s="14"/>
      <c r="U743" s="14"/>
      <c r="V743" s="14"/>
      <c r="W743" s="18"/>
      <c r="X743" s="18"/>
      <c r="Y743" s="18"/>
      <c r="Z743" s="18"/>
      <c r="AA743" s="18"/>
      <c r="AB743" s="18"/>
      <c r="AC743" s="8" t="str">
        <f t="shared" si="114"/>
        <v/>
      </c>
      <c r="AD743" s="8"/>
      <c r="AE743" s="8"/>
      <c r="AF743" s="14"/>
      <c r="AG743" s="13"/>
      <c r="AH743" s="14"/>
      <c r="AI743" s="14"/>
      <c r="AJ743" s="8"/>
      <c r="AK743" s="8"/>
      <c r="AL743" s="8"/>
      <c r="AM743" s="8"/>
      <c r="AN743" s="631"/>
      <c r="AO743" s="18"/>
      <c r="AP743" s="18"/>
      <c r="AQ743" s="18"/>
      <c r="AR743" s="18"/>
      <c r="AS743" s="18"/>
      <c r="AU743" s="448"/>
      <c r="AV743" s="448"/>
      <c r="AW743" s="8" t="str">
        <f>IF(C743&gt;0,VLOOKUP(C743,Foundation_Calc!$A$2:$C$986,3,1),
IF(J743&gt;0,VLOOKUP(J743,Foundation_Calc!$A$2:$C$986,3,1),""))</f>
        <v/>
      </c>
      <c r="AX743" s="8" t="str">
        <f>IF(C743&gt;0,VLOOKUP(C743,Foundation_Calc!$E$2:$G$986,3,1),
IF(J743&gt;0,VLOOKUP(J743,Foundation_Calc!$E$2:$G$986,3,1),""))</f>
        <v/>
      </c>
      <c r="AY743" s="631" t="str">
        <f>IF(L743="","",
IF(AX743="PT",VLOOKUP(L743,Foundation_Calc!$K$4:$R$37,VLOOKUP(AW743,Foundation_Calc!$I$2:$J$8,2,FALSE),0),
IF(AX743="K",VLOOKUP(L743,Foundation_Calc!$K$41:$R$74,VLOOKUP(AW743,Foundation_Calc!$I$2:$J$8,2,FALSE),0),"")))</f>
        <v/>
      </c>
      <c r="AZ743" s="631" t="str">
        <f>IF(K743="","",
IF(AX743="PT",VLOOKUP(K743,Foundation_Calc!$K$4:$R$37,VLOOKUP(AW743,Foundation_Calc!$I$2:$J$8,2,FALSE),0),
IF(AX743="K",VLOOKUP(K743,Foundation_Calc!$K$41:$R$74,VLOOKUP(AW743,Foundation_Calc!$I$2:$J$8,2,FALSE),0),"")))</f>
        <v/>
      </c>
      <c r="BA743" s="632" t="str">
        <f t="shared" si="115"/>
        <v/>
      </c>
      <c r="BB743" s="632" t="str">
        <f t="shared" si="116"/>
        <v/>
      </c>
      <c r="BC743" s="632" t="str">
        <f t="shared" si="117"/>
        <v/>
      </c>
      <c r="BD743" s="633" t="str">
        <f>IF(AND(L743="",H743=""),"",
IF(H743="",Pole_Calc!A771,
IF(H743="MP",Pole_Calc!A772,
IF(H743="AnMP",Pole_Calc!A773,
IF(H743="A",Pole_Calc!A774,
IF(H743="S/A",Pole_Calc!A775,
IF(H743="A/S",Pole_Calc!A776,"Poner a mano")))))))</f>
        <v/>
      </c>
      <c r="BE743" s="448" t="s">
        <v>1726</v>
      </c>
      <c r="BF743" s="635"/>
      <c r="BG743" s="635"/>
      <c r="BH743" s="634"/>
      <c r="BI743" s="635"/>
    </row>
    <row r="744" spans="1:61" ht="16.2" customHeight="1">
      <c r="A744" s="12"/>
      <c r="B744" s="446"/>
      <c r="C744" s="89"/>
      <c r="D744" s="13"/>
      <c r="E744" s="14"/>
      <c r="F744" s="14"/>
      <c r="G744" s="15"/>
      <c r="H744" s="8"/>
      <c r="I744" s="8"/>
      <c r="J744" s="89"/>
      <c r="K744" s="8"/>
      <c r="L744" s="8"/>
      <c r="M744" s="8" t="str">
        <f>IF(L744="","",
IF(AX744="PT",VLOOKUP(L744,Foundation_Calc!$V$4:$X$37,VLOOKUP(AX744,Foundation_Calc!$I$10:$J$13,2,FALSE),0),
IF(AX744="K",VLOOKUP(L744,Foundation_Calc!$V$41:$X$74,VLOOKUP(AX744,Foundation_Calc!$I$10:$J$13,2,FALSE),0),"")))</f>
        <v/>
      </c>
      <c r="N744" s="8"/>
      <c r="O744" s="8"/>
      <c r="P744" s="8"/>
      <c r="Q744" s="14"/>
      <c r="R744" s="15"/>
      <c r="S744" s="15"/>
      <c r="T744" s="14"/>
      <c r="U744" s="14"/>
      <c r="V744" s="14"/>
      <c r="W744" s="18"/>
      <c r="X744" s="18"/>
      <c r="Y744" s="18"/>
      <c r="Z744" s="18"/>
      <c r="AA744" s="18"/>
      <c r="AB744" s="18"/>
      <c r="AC744" s="8" t="str">
        <f t="shared" si="114"/>
        <v/>
      </c>
      <c r="AD744" s="8"/>
      <c r="AE744" s="8"/>
      <c r="AF744" s="14"/>
      <c r="AG744" s="13"/>
      <c r="AH744" s="14"/>
      <c r="AI744" s="14"/>
      <c r="AJ744" s="8"/>
      <c r="AK744" s="8"/>
      <c r="AL744" s="8"/>
      <c r="AM744" s="8"/>
      <c r="AN744" s="631"/>
      <c r="AO744" s="18"/>
      <c r="AP744" s="18"/>
      <c r="AQ744" s="18"/>
      <c r="AR744" s="18"/>
      <c r="AS744" s="18"/>
      <c r="AU744" s="448"/>
      <c r="AV744" s="448"/>
      <c r="AW744" s="8" t="str">
        <f>IF(C744&gt;0,VLOOKUP(C744,Foundation_Calc!$A$2:$C$986,3,1),
IF(J744&gt;0,VLOOKUP(J744,Foundation_Calc!$A$2:$C$986,3,1),""))</f>
        <v/>
      </c>
      <c r="AX744" s="8" t="str">
        <f>IF(C744&gt;0,VLOOKUP(C744,Foundation_Calc!$E$2:$G$986,3,1),
IF(J744&gt;0,VLOOKUP(J744,Foundation_Calc!$E$2:$G$986,3,1),""))</f>
        <v/>
      </c>
      <c r="AY744" s="631" t="str">
        <f>IF(L744="","",
IF(AX744="PT",VLOOKUP(L744,Foundation_Calc!$K$4:$R$37,VLOOKUP(AW744,Foundation_Calc!$I$2:$J$8,2,FALSE),0),
IF(AX744="K",VLOOKUP(L744,Foundation_Calc!$K$41:$R$74,VLOOKUP(AW744,Foundation_Calc!$I$2:$J$8,2,FALSE),0),"")))</f>
        <v/>
      </c>
      <c r="AZ744" s="631" t="str">
        <f>IF(K744="","",
IF(AX744="PT",VLOOKUP(K744,Foundation_Calc!$K$4:$R$37,VLOOKUP(AW744,Foundation_Calc!$I$2:$J$8,2,FALSE),0),
IF(AX744="K",VLOOKUP(K744,Foundation_Calc!$K$41:$R$74,VLOOKUP(AW744,Foundation_Calc!$I$2:$J$8,2,FALSE),0),"")))</f>
        <v/>
      </c>
      <c r="BA744" s="632" t="str">
        <f t="shared" si="115"/>
        <v/>
      </c>
      <c r="BB744" s="632" t="str">
        <f t="shared" si="116"/>
        <v/>
      </c>
      <c r="BC744" s="632" t="str">
        <f t="shared" si="117"/>
        <v/>
      </c>
      <c r="BD744" s="633" t="str">
        <f>IF(AND(L744="",H744=""),"",
IF(H744="",Pole_Calc!A772,
IF(H744="MP",Pole_Calc!A773,
IF(H744="AnMP",Pole_Calc!A774,
IF(H744="A",Pole_Calc!A775,
IF(H744="S/A",Pole_Calc!A776,
IF(H744="A/S",Pole_Calc!A777,"Poner a mano")))))))</f>
        <v/>
      </c>
      <c r="BE744" s="448" t="s">
        <v>1726</v>
      </c>
      <c r="BF744" s="634"/>
      <c r="BG744" s="634"/>
      <c r="BH744" s="634"/>
      <c r="BI744" s="634"/>
    </row>
    <row r="745" spans="1:61" ht="16.2" customHeight="1">
      <c r="A745" s="12"/>
      <c r="B745" s="446"/>
      <c r="C745" s="89"/>
      <c r="D745" s="13"/>
      <c r="E745" s="14"/>
      <c r="F745" s="14"/>
      <c r="G745" s="15"/>
      <c r="H745" s="8"/>
      <c r="I745" s="8"/>
      <c r="J745" s="89"/>
      <c r="K745" s="8"/>
      <c r="L745" s="8"/>
      <c r="M745" s="8" t="str">
        <f>IF(L745="","",
IF(AX745="PT",VLOOKUP(L745,Foundation_Calc!$V$4:$X$37,VLOOKUP(AX745,Foundation_Calc!$I$10:$J$13,2,FALSE),0),
IF(AX745="K",VLOOKUP(L745,Foundation_Calc!$V$41:$X$74,VLOOKUP(AX745,Foundation_Calc!$I$10:$J$13,2,FALSE),0),"")))</f>
        <v/>
      </c>
      <c r="N745" s="8"/>
      <c r="O745" s="8"/>
      <c r="P745" s="8"/>
      <c r="Q745" s="14"/>
      <c r="R745" s="15"/>
      <c r="S745" s="15"/>
      <c r="T745" s="14"/>
      <c r="U745" s="14"/>
      <c r="V745" s="14"/>
      <c r="W745" s="18"/>
      <c r="X745" s="18"/>
      <c r="Y745" s="18"/>
      <c r="Z745" s="18"/>
      <c r="AA745" s="18"/>
      <c r="AB745" s="18"/>
      <c r="AC745" s="8" t="str">
        <f t="shared" si="114"/>
        <v/>
      </c>
      <c r="AD745" s="8"/>
      <c r="AE745" s="8"/>
      <c r="AF745" s="14"/>
      <c r="AG745" s="13"/>
      <c r="AH745" s="14"/>
      <c r="AI745" s="14"/>
      <c r="AJ745" s="8"/>
      <c r="AK745" s="8"/>
      <c r="AL745" s="8"/>
      <c r="AM745" s="8"/>
      <c r="AN745" s="631"/>
      <c r="AO745" s="18"/>
      <c r="AP745" s="18"/>
      <c r="AQ745" s="18"/>
      <c r="AR745" s="18"/>
      <c r="AS745" s="18"/>
      <c r="AU745" s="448"/>
      <c r="AV745" s="448"/>
      <c r="AW745" s="8" t="str">
        <f>IF(C745&gt;0,VLOOKUP(C745,Foundation_Calc!$A$2:$C$986,3,1),
IF(J745&gt;0,VLOOKUP(J745,Foundation_Calc!$A$2:$C$986,3,1),""))</f>
        <v/>
      </c>
      <c r="AX745" s="8" t="str">
        <f>IF(C745&gt;0,VLOOKUP(C745,Foundation_Calc!$E$2:$G$986,3,1),
IF(J745&gt;0,VLOOKUP(J745,Foundation_Calc!$E$2:$G$986,3,1),""))</f>
        <v/>
      </c>
      <c r="AY745" s="631" t="str">
        <f>IF(L745="","",
IF(AX745="PT",VLOOKUP(L745,Foundation_Calc!$K$4:$R$37,VLOOKUP(AW745,Foundation_Calc!$I$2:$J$8,2,FALSE),0),
IF(AX745="K",VLOOKUP(L745,Foundation_Calc!$K$41:$R$74,VLOOKUP(AW745,Foundation_Calc!$I$2:$J$8,2,FALSE),0),"")))</f>
        <v/>
      </c>
      <c r="AZ745" s="631" t="str">
        <f>IF(K745="","",
IF(AX745="PT",VLOOKUP(K745,Foundation_Calc!$K$4:$R$37,VLOOKUP(AW745,Foundation_Calc!$I$2:$J$8,2,FALSE),0),
IF(AX745="K",VLOOKUP(K745,Foundation_Calc!$K$41:$R$74,VLOOKUP(AW745,Foundation_Calc!$I$2:$J$8,2,FALSE),0),"")))</f>
        <v/>
      </c>
      <c r="BA745" s="632" t="str">
        <f t="shared" si="115"/>
        <v/>
      </c>
      <c r="BB745" s="632" t="str">
        <f t="shared" si="116"/>
        <v/>
      </c>
      <c r="BC745" s="632" t="str">
        <f t="shared" si="117"/>
        <v/>
      </c>
      <c r="BD745" s="633" t="str">
        <f>IF(AND(L745="",H745=""),"",
IF(H745="",Pole_Calc!A773,
IF(H745="MP",Pole_Calc!A774,
IF(H745="AnMP",Pole_Calc!A775,
IF(H745="A",Pole_Calc!A776,
IF(H745="S/A",Pole_Calc!A777,
IF(H745="A/S",Pole_Calc!A778,"Poner a mano")))))))</f>
        <v/>
      </c>
      <c r="BE745" s="448" t="s">
        <v>1726</v>
      </c>
      <c r="BF745" s="635"/>
      <c r="BG745" s="635"/>
      <c r="BH745" s="634"/>
      <c r="BI745" s="635"/>
    </row>
    <row r="746" spans="1:61" ht="16.2" customHeight="1">
      <c r="A746" s="12"/>
      <c r="B746" s="446"/>
      <c r="C746" s="89"/>
      <c r="D746" s="13"/>
      <c r="E746" s="14"/>
      <c r="F746" s="14"/>
      <c r="G746" s="15"/>
      <c r="H746" s="8"/>
      <c r="I746" s="8"/>
      <c r="J746" s="89"/>
      <c r="K746" s="8"/>
      <c r="L746" s="8"/>
      <c r="M746" s="8" t="str">
        <f>IF(L746="","",
IF(AX746="PT",VLOOKUP(L746,Foundation_Calc!$V$4:$X$37,VLOOKUP(AX746,Foundation_Calc!$I$10:$J$13,2,FALSE),0),
IF(AX746="K",VLOOKUP(L746,Foundation_Calc!$V$41:$X$74,VLOOKUP(AX746,Foundation_Calc!$I$10:$J$13,2,FALSE),0),"")))</f>
        <v/>
      </c>
      <c r="N746" s="8"/>
      <c r="O746" s="8"/>
      <c r="P746" s="8"/>
      <c r="Q746" s="14"/>
      <c r="R746" s="15"/>
      <c r="S746" s="15"/>
      <c r="T746" s="14"/>
      <c r="U746" s="14"/>
      <c r="V746" s="14"/>
      <c r="W746" s="18"/>
      <c r="X746" s="18"/>
      <c r="Y746" s="18"/>
      <c r="Z746" s="18"/>
      <c r="AA746" s="18"/>
      <c r="AB746" s="18"/>
      <c r="AC746" s="8" t="str">
        <f t="shared" si="114"/>
        <v/>
      </c>
      <c r="AD746" s="8"/>
      <c r="AE746" s="8"/>
      <c r="AF746" s="14"/>
      <c r="AG746" s="13"/>
      <c r="AH746" s="14"/>
      <c r="AI746" s="14"/>
      <c r="AJ746" s="8"/>
      <c r="AK746" s="8"/>
      <c r="AL746" s="8"/>
      <c r="AM746" s="8"/>
      <c r="AN746" s="631"/>
      <c r="AO746" s="18"/>
      <c r="AP746" s="18"/>
      <c r="AQ746" s="18"/>
      <c r="AR746" s="18"/>
      <c r="AS746" s="18"/>
      <c r="AU746" s="448"/>
      <c r="AV746" s="448"/>
      <c r="AW746" s="8" t="str">
        <f>IF(C746&gt;0,VLOOKUP(C746,Foundation_Calc!$A$2:$C$986,3,1),
IF(J746&gt;0,VLOOKUP(J746,Foundation_Calc!$A$2:$C$986,3,1),""))</f>
        <v/>
      </c>
      <c r="AX746" s="8" t="str">
        <f>IF(C746&gt;0,VLOOKUP(C746,Foundation_Calc!$E$2:$G$986,3,1),
IF(J746&gt;0,VLOOKUP(J746,Foundation_Calc!$E$2:$G$986,3,1),""))</f>
        <v/>
      </c>
      <c r="AY746" s="631" t="str">
        <f>IF(L746="","",
IF(AX746="PT",VLOOKUP(L746,Foundation_Calc!$K$4:$R$37,VLOOKUP(AW746,Foundation_Calc!$I$2:$J$8,2,FALSE),0),
IF(AX746="K",VLOOKUP(L746,Foundation_Calc!$K$41:$R$74,VLOOKUP(AW746,Foundation_Calc!$I$2:$J$8,2,FALSE),0),"")))</f>
        <v/>
      </c>
      <c r="AZ746" s="631" t="str">
        <f>IF(K746="","",
IF(AX746="PT",VLOOKUP(K746,Foundation_Calc!$K$4:$R$37,VLOOKUP(AW746,Foundation_Calc!$I$2:$J$8,2,FALSE),0),
IF(AX746="K",VLOOKUP(K746,Foundation_Calc!$K$41:$R$74,VLOOKUP(AW746,Foundation_Calc!$I$2:$J$8,2,FALSE),0),"")))</f>
        <v/>
      </c>
      <c r="BA746" s="632" t="str">
        <f t="shared" si="115"/>
        <v/>
      </c>
      <c r="BB746" s="632" t="str">
        <f t="shared" si="116"/>
        <v/>
      </c>
      <c r="BC746" s="632" t="str">
        <f t="shared" si="117"/>
        <v/>
      </c>
      <c r="BD746" s="633" t="str">
        <f>IF(AND(L746="",H746=""),"",
IF(H746="",Pole_Calc!A774,
IF(H746="MP",Pole_Calc!A775,
IF(H746="AnMP",Pole_Calc!A776,
IF(H746="A",Pole_Calc!A777,
IF(H746="S/A",Pole_Calc!A778,
IF(H746="A/S",Pole_Calc!A779,"Poner a mano")))))))</f>
        <v/>
      </c>
      <c r="BE746" s="448" t="s">
        <v>1726</v>
      </c>
      <c r="BF746" s="634"/>
      <c r="BG746" s="634"/>
      <c r="BH746" s="634"/>
      <c r="BI746" s="634"/>
    </row>
    <row r="747" spans="1:61" ht="16.2" customHeight="1">
      <c r="A747" s="12"/>
      <c r="B747" s="446"/>
      <c r="C747" s="89"/>
      <c r="D747" s="13"/>
      <c r="E747" s="14"/>
      <c r="F747" s="14"/>
      <c r="G747" s="15"/>
      <c r="H747" s="8"/>
      <c r="I747" s="8"/>
      <c r="J747" s="89"/>
      <c r="K747" s="8"/>
      <c r="L747" s="8"/>
      <c r="M747" s="8" t="str">
        <f>IF(L747="","",
IF(AX747="PT",VLOOKUP(L747,Foundation_Calc!$V$4:$X$37,VLOOKUP(AX747,Foundation_Calc!$I$10:$J$13,2,FALSE),0),
IF(AX747="K",VLOOKUP(L747,Foundation_Calc!$V$41:$X$74,VLOOKUP(AX747,Foundation_Calc!$I$10:$J$13,2,FALSE),0),"")))</f>
        <v/>
      </c>
      <c r="N747" s="8"/>
      <c r="O747" s="8"/>
      <c r="P747" s="8"/>
      <c r="Q747" s="14"/>
      <c r="R747" s="15"/>
      <c r="S747" s="15"/>
      <c r="T747" s="14"/>
      <c r="U747" s="14"/>
      <c r="V747" s="14"/>
      <c r="W747" s="18"/>
      <c r="X747" s="18"/>
      <c r="Y747" s="18"/>
      <c r="Z747" s="18"/>
      <c r="AA747" s="18"/>
      <c r="AB747" s="18"/>
      <c r="AC747" s="8" t="str">
        <f t="shared" si="114"/>
        <v/>
      </c>
      <c r="AD747" s="8"/>
      <c r="AE747" s="8"/>
      <c r="AF747" s="14"/>
      <c r="AG747" s="13"/>
      <c r="AH747" s="14"/>
      <c r="AI747" s="14"/>
      <c r="AJ747" s="8"/>
      <c r="AK747" s="8"/>
      <c r="AL747" s="8"/>
      <c r="AM747" s="8"/>
      <c r="AN747" s="631"/>
      <c r="AO747" s="18"/>
      <c r="AP747" s="18"/>
      <c r="AQ747" s="18"/>
      <c r="AR747" s="18"/>
      <c r="AS747" s="18"/>
      <c r="AU747" s="448"/>
      <c r="AV747" s="448"/>
      <c r="AW747" s="8" t="str">
        <f>IF(C747&gt;0,VLOOKUP(C747,Foundation_Calc!$A$2:$C$986,3,1),
IF(J747&gt;0,VLOOKUP(J747,Foundation_Calc!$A$2:$C$986,3,1),""))</f>
        <v/>
      </c>
      <c r="AX747" s="8" t="str">
        <f>IF(C747&gt;0,VLOOKUP(C747,Foundation_Calc!$E$2:$G$986,3,1),
IF(J747&gt;0,VLOOKUP(J747,Foundation_Calc!$E$2:$G$986,3,1),""))</f>
        <v/>
      </c>
      <c r="AY747" s="631" t="str">
        <f>IF(L747="","",
IF(AX747="PT",VLOOKUP(L747,Foundation_Calc!$K$4:$R$37,VLOOKUP(AW747,Foundation_Calc!$I$2:$J$8,2,FALSE),0),
IF(AX747="K",VLOOKUP(L747,Foundation_Calc!$K$41:$R$74,VLOOKUP(AW747,Foundation_Calc!$I$2:$J$8,2,FALSE),0),"")))</f>
        <v/>
      </c>
      <c r="AZ747" s="631" t="str">
        <f>IF(K747="","",
IF(AX747="PT",VLOOKUP(K747,Foundation_Calc!$K$4:$R$37,VLOOKUP(AW747,Foundation_Calc!$I$2:$J$8,2,FALSE),0),
IF(AX747="K",VLOOKUP(K747,Foundation_Calc!$K$41:$R$74,VLOOKUP(AW747,Foundation_Calc!$I$2:$J$8,2,FALSE),0),"")))</f>
        <v/>
      </c>
      <c r="BA747" s="632" t="str">
        <f t="shared" si="115"/>
        <v/>
      </c>
      <c r="BB747" s="632" t="str">
        <f t="shared" si="116"/>
        <v/>
      </c>
      <c r="BC747" s="632" t="str">
        <f t="shared" si="117"/>
        <v/>
      </c>
      <c r="BD747" s="633" t="str">
        <f>IF(AND(L747="",H747=""),"",
IF(H747="",Pole_Calc!A775,
IF(H747="MP",Pole_Calc!A776,
IF(H747="AnMP",Pole_Calc!A777,
IF(H747="A",Pole_Calc!A778,
IF(H747="S/A",Pole_Calc!A779,
IF(H747="A/S",Pole_Calc!A780,"Poner a mano")))))))</f>
        <v/>
      </c>
      <c r="BE747" s="448" t="s">
        <v>1726</v>
      </c>
      <c r="BF747" s="635"/>
      <c r="BG747" s="635"/>
      <c r="BH747" s="634"/>
      <c r="BI747" s="635"/>
    </row>
    <row r="748" spans="1:61" ht="16.2" customHeight="1">
      <c r="A748" s="12"/>
      <c r="B748" s="446"/>
      <c r="C748" s="89"/>
      <c r="D748" s="13"/>
      <c r="E748" s="14"/>
      <c r="F748" s="14"/>
      <c r="G748" s="15"/>
      <c r="H748" s="8"/>
      <c r="I748" s="8"/>
      <c r="J748" s="89"/>
      <c r="K748" s="8"/>
      <c r="L748" s="8"/>
      <c r="M748" s="8" t="str">
        <f>IF(L748="","",
IF(AX748="PT",VLOOKUP(L748,Foundation_Calc!$V$4:$X$37,VLOOKUP(AX748,Foundation_Calc!$I$10:$J$13,2,FALSE),0),
IF(AX748="K",VLOOKUP(L748,Foundation_Calc!$V$41:$X$74,VLOOKUP(AX748,Foundation_Calc!$I$10:$J$13,2,FALSE),0),"")))</f>
        <v/>
      </c>
      <c r="N748" s="8"/>
      <c r="O748" s="8"/>
      <c r="P748" s="8"/>
      <c r="Q748" s="14"/>
      <c r="R748" s="15"/>
      <c r="S748" s="15"/>
      <c r="T748" s="14"/>
      <c r="U748" s="14"/>
      <c r="V748" s="14"/>
      <c r="W748" s="18"/>
      <c r="X748" s="18"/>
      <c r="Y748" s="18"/>
      <c r="Z748" s="18"/>
      <c r="AA748" s="18"/>
      <c r="AB748" s="18"/>
      <c r="AC748" s="8" t="str">
        <f t="shared" si="114"/>
        <v/>
      </c>
      <c r="AD748" s="8"/>
      <c r="AE748" s="8"/>
      <c r="AF748" s="14"/>
      <c r="AG748" s="13"/>
      <c r="AH748" s="14"/>
      <c r="AI748" s="14"/>
      <c r="AJ748" s="8"/>
      <c r="AK748" s="8"/>
      <c r="AL748" s="8"/>
      <c r="AM748" s="8"/>
      <c r="AN748" s="631"/>
      <c r="AO748" s="18"/>
      <c r="AP748" s="18"/>
      <c r="AQ748" s="18"/>
      <c r="AR748" s="18"/>
      <c r="AS748" s="18"/>
      <c r="AU748" s="448"/>
      <c r="AV748" s="448"/>
      <c r="AW748" s="8" t="str">
        <f>IF(C748&gt;0,VLOOKUP(C748,Foundation_Calc!$A$2:$C$986,3,1),
IF(J748&gt;0,VLOOKUP(J748,Foundation_Calc!$A$2:$C$986,3,1),""))</f>
        <v/>
      </c>
      <c r="AX748" s="8" t="str">
        <f>IF(C748&gt;0,VLOOKUP(C748,Foundation_Calc!$E$2:$G$986,3,1),
IF(J748&gt;0,VLOOKUP(J748,Foundation_Calc!$E$2:$G$986,3,1),""))</f>
        <v/>
      </c>
      <c r="AY748" s="631" t="str">
        <f>IF(L748="","",
IF(AX748="PT",VLOOKUP(L748,Foundation_Calc!$K$4:$R$37,VLOOKUP(AW748,Foundation_Calc!$I$2:$J$8,2,FALSE),0),
IF(AX748="K",VLOOKUP(L748,Foundation_Calc!$K$41:$R$74,VLOOKUP(AW748,Foundation_Calc!$I$2:$J$8,2,FALSE),0),"")))</f>
        <v/>
      </c>
      <c r="AZ748" s="631" t="str">
        <f>IF(K748="","",
IF(AX748="PT",VLOOKUP(K748,Foundation_Calc!$K$4:$R$37,VLOOKUP(AW748,Foundation_Calc!$I$2:$J$8,2,FALSE),0),
IF(AX748="K",VLOOKUP(K748,Foundation_Calc!$K$41:$R$74,VLOOKUP(AW748,Foundation_Calc!$I$2:$J$8,2,FALSE),0),"")))</f>
        <v/>
      </c>
      <c r="BA748" s="632" t="str">
        <f t="shared" si="115"/>
        <v/>
      </c>
      <c r="BB748" s="632" t="str">
        <f t="shared" si="116"/>
        <v/>
      </c>
      <c r="BC748" s="632" t="str">
        <f t="shared" si="117"/>
        <v/>
      </c>
      <c r="BD748" s="633" t="str">
        <f>IF(AND(L748="",H748=""),"",
IF(H748="",Pole_Calc!A776,
IF(H748="MP",Pole_Calc!A777,
IF(H748="AnMP",Pole_Calc!A778,
IF(H748="A",Pole_Calc!A779,
IF(H748="S/A",Pole_Calc!A780,
IF(H748="A/S",Pole_Calc!A781,"Poner a mano")))))))</f>
        <v/>
      </c>
      <c r="BE748" s="448" t="s">
        <v>1726</v>
      </c>
      <c r="BF748" s="634"/>
      <c r="BG748" s="634"/>
      <c r="BH748" s="634"/>
      <c r="BI748" s="634"/>
    </row>
    <row r="749" spans="1:61" ht="16.2" customHeight="1">
      <c r="A749" s="12"/>
      <c r="B749" s="446"/>
      <c r="C749" s="89"/>
      <c r="D749" s="13"/>
      <c r="E749" s="14"/>
      <c r="F749" s="14"/>
      <c r="G749" s="15"/>
      <c r="H749" s="8"/>
      <c r="I749" s="8"/>
      <c r="J749" s="89"/>
      <c r="K749" s="8"/>
      <c r="L749" s="8"/>
      <c r="M749" s="8" t="str">
        <f>IF(L749="","",
IF(AX749="PT",VLOOKUP(L749,Foundation_Calc!$V$4:$X$37,VLOOKUP(AX749,Foundation_Calc!$I$10:$J$13,2,FALSE),0),
IF(AX749="K",VLOOKUP(L749,Foundation_Calc!$V$41:$X$74,VLOOKUP(AX749,Foundation_Calc!$I$10:$J$13,2,FALSE),0),"")))</f>
        <v/>
      </c>
      <c r="N749" s="8"/>
      <c r="O749" s="8"/>
      <c r="P749" s="8"/>
      <c r="Q749" s="14"/>
      <c r="R749" s="15"/>
      <c r="S749" s="15"/>
      <c r="T749" s="14"/>
      <c r="U749" s="14"/>
      <c r="V749" s="14"/>
      <c r="W749" s="18"/>
      <c r="X749" s="18"/>
      <c r="Y749" s="18"/>
      <c r="Z749" s="18"/>
      <c r="AA749" s="18"/>
      <c r="AB749" s="18"/>
      <c r="AC749" s="8" t="str">
        <f t="shared" si="114"/>
        <v/>
      </c>
      <c r="AD749" s="8"/>
      <c r="AE749" s="8"/>
      <c r="AF749" s="14"/>
      <c r="AG749" s="13"/>
      <c r="AH749" s="14"/>
      <c r="AI749" s="14"/>
      <c r="AJ749" s="8"/>
      <c r="AK749" s="8"/>
      <c r="AL749" s="8"/>
      <c r="AM749" s="8"/>
      <c r="AN749" s="631"/>
      <c r="AO749" s="18"/>
      <c r="AP749" s="18"/>
      <c r="AQ749" s="18"/>
      <c r="AR749" s="18"/>
      <c r="AS749" s="18"/>
      <c r="AU749" s="448"/>
      <c r="AV749" s="448"/>
      <c r="AW749" s="8" t="str">
        <f>IF(C749&gt;0,VLOOKUP(C749,Foundation_Calc!$A$2:$C$986,3,1),
IF(J749&gt;0,VLOOKUP(J749,Foundation_Calc!$A$2:$C$986,3,1),""))</f>
        <v/>
      </c>
      <c r="AX749" s="8" t="str">
        <f>IF(C749&gt;0,VLOOKUP(C749,Foundation_Calc!$E$2:$G$986,3,1),
IF(J749&gt;0,VLOOKUP(J749,Foundation_Calc!$E$2:$G$986,3,1),""))</f>
        <v/>
      </c>
      <c r="AY749" s="631" t="str">
        <f>IF(L749="","",
IF(AX749="PT",VLOOKUP(L749,Foundation_Calc!$K$4:$R$37,VLOOKUP(AW749,Foundation_Calc!$I$2:$J$8,2,FALSE),0),
IF(AX749="K",VLOOKUP(L749,Foundation_Calc!$K$41:$R$74,VLOOKUP(AW749,Foundation_Calc!$I$2:$J$8,2,FALSE),0),"")))</f>
        <v/>
      </c>
      <c r="AZ749" s="631" t="str">
        <f>IF(K749="","",
IF(AX749="PT",VLOOKUP(K749,Foundation_Calc!$K$4:$R$37,VLOOKUP(AW749,Foundation_Calc!$I$2:$J$8,2,FALSE),0),
IF(AX749="K",VLOOKUP(K749,Foundation_Calc!$K$41:$R$74,VLOOKUP(AW749,Foundation_Calc!$I$2:$J$8,2,FALSE),0),"")))</f>
        <v/>
      </c>
      <c r="BA749" s="632" t="str">
        <f t="shared" si="115"/>
        <v/>
      </c>
      <c r="BB749" s="632" t="str">
        <f t="shared" si="116"/>
        <v/>
      </c>
      <c r="BC749" s="632" t="str">
        <f t="shared" si="117"/>
        <v/>
      </c>
      <c r="BD749" s="633" t="str">
        <f>IF(AND(L749="",H749=""),"",
IF(H749="",Pole_Calc!A777,
IF(H749="MP",Pole_Calc!A778,
IF(H749="AnMP",Pole_Calc!A779,
IF(H749="A",Pole_Calc!A780,
IF(H749="S/A",Pole_Calc!A781,
IF(H749="A/S",Pole_Calc!A782,"Poner a mano")))))))</f>
        <v/>
      </c>
      <c r="BE749" s="448" t="s">
        <v>1726</v>
      </c>
      <c r="BF749" s="635"/>
      <c r="BG749" s="635"/>
      <c r="BH749" s="634"/>
      <c r="BI749" s="635"/>
    </row>
    <row r="750" spans="1:61" ht="16.2" customHeight="1">
      <c r="A750" s="12"/>
      <c r="B750" s="446"/>
      <c r="C750" s="89"/>
      <c r="D750" s="13"/>
      <c r="E750" s="14"/>
      <c r="F750" s="14"/>
      <c r="G750" s="15"/>
      <c r="H750" s="8"/>
      <c r="I750" s="8"/>
      <c r="J750" s="89"/>
      <c r="K750" s="8"/>
      <c r="L750" s="8"/>
      <c r="M750" s="8" t="str">
        <f>IF(L750="","",
IF(AX750="PT",VLOOKUP(L750,Foundation_Calc!$V$4:$X$37,VLOOKUP(AX750,Foundation_Calc!$I$10:$J$13,2,FALSE),0),
IF(AX750="K",VLOOKUP(L750,Foundation_Calc!$V$41:$X$74,VLOOKUP(AX750,Foundation_Calc!$I$10:$J$13,2,FALSE),0),"")))</f>
        <v/>
      </c>
      <c r="N750" s="8"/>
      <c r="O750" s="8"/>
      <c r="P750" s="8"/>
      <c r="Q750" s="14"/>
      <c r="R750" s="15"/>
      <c r="S750" s="15"/>
      <c r="T750" s="14"/>
      <c r="U750" s="14"/>
      <c r="V750" s="14"/>
      <c r="W750" s="18"/>
      <c r="X750" s="18"/>
      <c r="Y750" s="18"/>
      <c r="Z750" s="18"/>
      <c r="AA750" s="18"/>
      <c r="AB750" s="18"/>
      <c r="AC750" s="8" t="str">
        <f t="shared" si="114"/>
        <v/>
      </c>
      <c r="AD750" s="8"/>
      <c r="AE750" s="8"/>
      <c r="AF750" s="14"/>
      <c r="AG750" s="13"/>
      <c r="AH750" s="14"/>
      <c r="AI750" s="14"/>
      <c r="AJ750" s="8"/>
      <c r="AK750" s="8"/>
      <c r="AL750" s="8"/>
      <c r="AM750" s="8"/>
      <c r="AN750" s="631"/>
      <c r="AO750" s="18"/>
      <c r="AP750" s="18"/>
      <c r="AQ750" s="18"/>
      <c r="AR750" s="18"/>
      <c r="AS750" s="18"/>
      <c r="AU750" s="448"/>
      <c r="AV750" s="448"/>
      <c r="AW750" s="8" t="str">
        <f>IF(C750&gt;0,VLOOKUP(C750,Foundation_Calc!$A$2:$C$986,3,1),
IF(J750&gt;0,VLOOKUP(J750,Foundation_Calc!$A$2:$C$986,3,1),""))</f>
        <v/>
      </c>
      <c r="AX750" s="8" t="str">
        <f>IF(C750&gt;0,VLOOKUP(C750,Foundation_Calc!$E$2:$G$986,3,1),
IF(J750&gt;0,VLOOKUP(J750,Foundation_Calc!$E$2:$G$986,3,1),""))</f>
        <v/>
      </c>
      <c r="AY750" s="631" t="str">
        <f>IF(L750="","",
IF(AX750="PT",VLOOKUP(L750,Foundation_Calc!$K$4:$R$37,VLOOKUP(AW750,Foundation_Calc!$I$2:$J$8,2,FALSE),0),
IF(AX750="K",VLOOKUP(L750,Foundation_Calc!$K$41:$R$74,VLOOKUP(AW750,Foundation_Calc!$I$2:$J$8,2,FALSE),0),"")))</f>
        <v/>
      </c>
      <c r="AZ750" s="631" t="str">
        <f>IF(K750="","",
IF(AX750="PT",VLOOKUP(K750,Foundation_Calc!$K$4:$R$37,VLOOKUP(AW750,Foundation_Calc!$I$2:$J$8,2,FALSE),0),
IF(AX750="K",VLOOKUP(K750,Foundation_Calc!$K$41:$R$74,VLOOKUP(AW750,Foundation_Calc!$I$2:$J$8,2,FALSE),0),"")))</f>
        <v/>
      </c>
      <c r="BA750" s="632" t="str">
        <f t="shared" si="115"/>
        <v/>
      </c>
      <c r="BB750" s="632" t="str">
        <f t="shared" si="116"/>
        <v/>
      </c>
      <c r="BC750" s="632" t="str">
        <f t="shared" si="117"/>
        <v/>
      </c>
      <c r="BD750" s="633" t="str">
        <f>IF(AND(L750="",H750=""),"",
IF(H750="",Pole_Calc!A778,
IF(H750="MP",Pole_Calc!A779,
IF(H750="AnMP",Pole_Calc!A780,
IF(H750="A",Pole_Calc!A781,
IF(H750="S/A",Pole_Calc!A782,
IF(H750="A/S",Pole_Calc!A783,"Poner a mano")))))))</f>
        <v/>
      </c>
      <c r="BE750" s="448" t="s">
        <v>1726</v>
      </c>
      <c r="BF750" s="634"/>
      <c r="BG750" s="634"/>
      <c r="BH750" s="634"/>
      <c r="BI750" s="634"/>
    </row>
    <row r="751" spans="1:61" ht="16.2" customHeight="1">
      <c r="A751" s="12"/>
      <c r="B751" s="446"/>
      <c r="C751" s="89"/>
      <c r="D751" s="13"/>
      <c r="E751" s="14"/>
      <c r="F751" s="14"/>
      <c r="G751" s="15"/>
      <c r="H751" s="8"/>
      <c r="I751" s="8"/>
      <c r="J751" s="89"/>
      <c r="K751" s="8"/>
      <c r="L751" s="8"/>
      <c r="M751" s="8" t="str">
        <f>IF(L751="","",
IF(AX751="PT",VLOOKUP(L751,Foundation_Calc!$V$4:$X$37,VLOOKUP(AX751,Foundation_Calc!$I$10:$J$13,2,FALSE),0),
IF(AX751="K",VLOOKUP(L751,Foundation_Calc!$V$41:$X$74,VLOOKUP(AX751,Foundation_Calc!$I$10:$J$13,2,FALSE),0),"")))</f>
        <v/>
      </c>
      <c r="N751" s="8"/>
      <c r="O751" s="8"/>
      <c r="P751" s="8"/>
      <c r="Q751" s="14"/>
      <c r="R751" s="15"/>
      <c r="S751" s="15"/>
      <c r="T751" s="14"/>
      <c r="U751" s="14"/>
      <c r="V751" s="14"/>
      <c r="W751" s="18"/>
      <c r="X751" s="18"/>
      <c r="Y751" s="18"/>
      <c r="Z751" s="18"/>
      <c r="AA751" s="18"/>
      <c r="AB751" s="18"/>
      <c r="AC751" s="8" t="str">
        <f t="shared" si="114"/>
        <v/>
      </c>
      <c r="AD751" s="8"/>
      <c r="AE751" s="8"/>
      <c r="AF751" s="14"/>
      <c r="AG751" s="13"/>
      <c r="AH751" s="14"/>
      <c r="AI751" s="14"/>
      <c r="AJ751" s="8"/>
      <c r="AK751" s="8"/>
      <c r="AL751" s="8"/>
      <c r="AM751" s="8"/>
      <c r="AN751" s="631"/>
      <c r="AO751" s="18"/>
      <c r="AP751" s="18"/>
      <c r="AQ751" s="18"/>
      <c r="AR751" s="18"/>
      <c r="AS751" s="18"/>
      <c r="AU751" s="448"/>
      <c r="AV751" s="448"/>
      <c r="AW751" s="8" t="str">
        <f>IF(C751&gt;0,VLOOKUP(C751,Foundation_Calc!$A$2:$C$986,3,1),
IF(J751&gt;0,VLOOKUP(J751,Foundation_Calc!$A$2:$C$986,3,1),""))</f>
        <v/>
      </c>
      <c r="AX751" s="8" t="str">
        <f>IF(C751&gt;0,VLOOKUP(C751,Foundation_Calc!$E$2:$G$986,3,1),
IF(J751&gt;0,VLOOKUP(J751,Foundation_Calc!$E$2:$G$986,3,1),""))</f>
        <v/>
      </c>
      <c r="AY751" s="631" t="str">
        <f>IF(L751="","",
IF(AX751="PT",VLOOKUP(L751,Foundation_Calc!$K$4:$R$37,VLOOKUP(AW751,Foundation_Calc!$I$2:$J$8,2,FALSE),0),
IF(AX751="K",VLOOKUP(L751,Foundation_Calc!$K$41:$R$74,VLOOKUP(AW751,Foundation_Calc!$I$2:$J$8,2,FALSE),0),"")))</f>
        <v/>
      </c>
      <c r="AZ751" s="631" t="str">
        <f>IF(K751="","",
IF(AX751="PT",VLOOKUP(K751,Foundation_Calc!$K$4:$R$37,VLOOKUP(AW751,Foundation_Calc!$I$2:$J$8,2,FALSE),0),
IF(AX751="K",VLOOKUP(K751,Foundation_Calc!$K$41:$R$74,VLOOKUP(AW751,Foundation_Calc!$I$2:$J$8,2,FALSE),0),"")))</f>
        <v/>
      </c>
      <c r="BA751" s="632" t="str">
        <f t="shared" si="115"/>
        <v/>
      </c>
      <c r="BB751" s="632" t="str">
        <f t="shared" si="116"/>
        <v/>
      </c>
      <c r="BC751" s="632" t="str">
        <f t="shared" si="117"/>
        <v/>
      </c>
      <c r="BD751" s="633" t="str">
        <f>IF(AND(L751="",H751=""),"",
IF(H751="",Pole_Calc!A779,
IF(H751="MP",Pole_Calc!A780,
IF(H751="AnMP",Pole_Calc!A781,
IF(H751="A",Pole_Calc!A782,
IF(H751="S/A",Pole_Calc!A783,
IF(H751="A/S",Pole_Calc!A784,"Poner a mano")))))))</f>
        <v/>
      </c>
      <c r="BE751" s="448" t="s">
        <v>1726</v>
      </c>
      <c r="BF751" s="635"/>
      <c r="BG751" s="635"/>
      <c r="BH751" s="634"/>
      <c r="BI751" s="635"/>
    </row>
    <row r="752" spans="1:61" ht="16.2" customHeight="1">
      <c r="A752" s="12"/>
      <c r="B752" s="446"/>
      <c r="C752" s="89"/>
      <c r="D752" s="13"/>
      <c r="E752" s="14"/>
      <c r="F752" s="14"/>
      <c r="G752" s="15"/>
      <c r="H752" s="8"/>
      <c r="I752" s="8"/>
      <c r="J752" s="89"/>
      <c r="K752" s="8"/>
      <c r="L752" s="8"/>
      <c r="M752" s="8" t="str">
        <f>IF(L752="","",
IF(AX752="PT",VLOOKUP(L752,Foundation_Calc!$V$4:$X$37,VLOOKUP(AX752,Foundation_Calc!$I$10:$J$13,2,FALSE),0),
IF(AX752="K",VLOOKUP(L752,Foundation_Calc!$V$41:$X$74,VLOOKUP(AX752,Foundation_Calc!$I$10:$J$13,2,FALSE),0),"")))</f>
        <v/>
      </c>
      <c r="N752" s="8"/>
      <c r="O752" s="8"/>
      <c r="P752" s="8"/>
      <c r="Q752" s="14"/>
      <c r="R752" s="15"/>
      <c r="S752" s="15"/>
      <c r="T752" s="14"/>
      <c r="U752" s="14"/>
      <c r="V752" s="14"/>
      <c r="W752" s="18"/>
      <c r="X752" s="18"/>
      <c r="Y752" s="18"/>
      <c r="Z752" s="18"/>
      <c r="AA752" s="18"/>
      <c r="AB752" s="18"/>
      <c r="AC752" s="8" t="str">
        <f t="shared" si="114"/>
        <v/>
      </c>
      <c r="AD752" s="8"/>
      <c r="AE752" s="8"/>
      <c r="AF752" s="14"/>
      <c r="AG752" s="13"/>
      <c r="AH752" s="14"/>
      <c r="AI752" s="14"/>
      <c r="AJ752" s="8"/>
      <c r="AK752" s="8"/>
      <c r="AL752" s="8"/>
      <c r="AM752" s="8"/>
      <c r="AN752" s="631"/>
      <c r="AO752" s="18"/>
      <c r="AP752" s="18"/>
      <c r="AQ752" s="18"/>
      <c r="AR752" s="18"/>
      <c r="AS752" s="18"/>
      <c r="AU752" s="448"/>
      <c r="AV752" s="448"/>
      <c r="AW752" s="8" t="str">
        <f>IF(C752&gt;0,VLOOKUP(C752,Foundation_Calc!$A$2:$C$986,3,1),
IF(J752&gt;0,VLOOKUP(J752,Foundation_Calc!$A$2:$C$986,3,1),""))</f>
        <v/>
      </c>
      <c r="AX752" s="8" t="str">
        <f>IF(C752&gt;0,VLOOKUP(C752,Foundation_Calc!$E$2:$G$986,3,1),
IF(J752&gt;0,VLOOKUP(J752,Foundation_Calc!$E$2:$G$986,3,1),""))</f>
        <v/>
      </c>
      <c r="AY752" s="631" t="str">
        <f>IF(L752="","",
IF(AX752="PT",VLOOKUP(L752,Foundation_Calc!$K$4:$R$37,VLOOKUP(AW752,Foundation_Calc!$I$2:$J$8,2,FALSE),0),
IF(AX752="K",VLOOKUP(L752,Foundation_Calc!$K$41:$R$74,VLOOKUP(AW752,Foundation_Calc!$I$2:$J$8,2,FALSE),0),"")))</f>
        <v/>
      </c>
      <c r="AZ752" s="631" t="str">
        <f>IF(K752="","",
IF(AX752="PT",VLOOKUP(K752,Foundation_Calc!$K$4:$R$37,VLOOKUP(AW752,Foundation_Calc!$I$2:$J$8,2,FALSE),0),
IF(AX752="K",VLOOKUP(K752,Foundation_Calc!$K$41:$R$74,VLOOKUP(AW752,Foundation_Calc!$I$2:$J$8,2,FALSE),0),"")))</f>
        <v/>
      </c>
      <c r="BA752" s="632" t="str">
        <f t="shared" si="115"/>
        <v/>
      </c>
      <c r="BB752" s="632" t="str">
        <f t="shared" si="116"/>
        <v/>
      </c>
      <c r="BC752" s="632" t="str">
        <f t="shared" si="117"/>
        <v/>
      </c>
      <c r="BD752" s="633" t="str">
        <f>IF(AND(L752="",H752=""),"",
IF(H752="",Pole_Calc!A780,
IF(H752="MP",Pole_Calc!A781,
IF(H752="AnMP",Pole_Calc!A782,
IF(H752="A",Pole_Calc!A783,
IF(H752="S/A",Pole_Calc!A784,
IF(H752="A/S",Pole_Calc!A785,"Poner a mano")))))))</f>
        <v/>
      </c>
      <c r="BE752" s="448" t="s">
        <v>1726</v>
      </c>
      <c r="BF752" s="634"/>
      <c r="BG752" s="634"/>
      <c r="BH752" s="634"/>
      <c r="BI752" s="634"/>
    </row>
    <row r="753" spans="1:61" ht="16.2" customHeight="1">
      <c r="A753" s="12"/>
      <c r="B753" s="446"/>
      <c r="C753" s="89"/>
      <c r="D753" s="13"/>
      <c r="E753" s="14"/>
      <c r="F753" s="14"/>
      <c r="G753" s="15"/>
      <c r="H753" s="8"/>
      <c r="I753" s="8"/>
      <c r="J753" s="89"/>
      <c r="K753" s="8"/>
      <c r="L753" s="8"/>
      <c r="M753" s="8" t="str">
        <f>IF(L753="","",
IF(AX753="PT",VLOOKUP(L753,Foundation_Calc!$V$4:$X$37,VLOOKUP(AX753,Foundation_Calc!$I$10:$J$13,2,FALSE),0),
IF(AX753="K",VLOOKUP(L753,Foundation_Calc!$V$41:$X$74,VLOOKUP(AX753,Foundation_Calc!$I$10:$J$13,2,FALSE),0),"")))</f>
        <v/>
      </c>
      <c r="N753" s="8"/>
      <c r="O753" s="8"/>
      <c r="P753" s="8"/>
      <c r="Q753" s="14"/>
      <c r="R753" s="15"/>
      <c r="S753" s="15"/>
      <c r="T753" s="14"/>
      <c r="U753" s="14"/>
      <c r="V753" s="14"/>
      <c r="W753" s="18"/>
      <c r="X753" s="18"/>
      <c r="Y753" s="18"/>
      <c r="Z753" s="18"/>
      <c r="AA753" s="18"/>
      <c r="AB753" s="18"/>
      <c r="AC753" s="8" t="str">
        <f t="shared" si="114"/>
        <v/>
      </c>
      <c r="AD753" s="8"/>
      <c r="AE753" s="8"/>
      <c r="AF753" s="14"/>
      <c r="AG753" s="13"/>
      <c r="AH753" s="14"/>
      <c r="AI753" s="14"/>
      <c r="AJ753" s="8"/>
      <c r="AK753" s="8"/>
      <c r="AL753" s="8"/>
      <c r="AM753" s="8"/>
      <c r="AN753" s="631"/>
      <c r="AO753" s="18"/>
      <c r="AP753" s="18"/>
      <c r="AQ753" s="18"/>
      <c r="AR753" s="18"/>
      <c r="AS753" s="18"/>
      <c r="AU753" s="448"/>
      <c r="AV753" s="448"/>
      <c r="AW753" s="8" t="str">
        <f>IF(C753&gt;0,VLOOKUP(C753,Foundation_Calc!$A$2:$C$986,3,1),
IF(J753&gt;0,VLOOKUP(J753,Foundation_Calc!$A$2:$C$986,3,1),""))</f>
        <v/>
      </c>
      <c r="AX753" s="8" t="str">
        <f>IF(C753&gt;0,VLOOKUP(C753,Foundation_Calc!$E$2:$G$986,3,1),
IF(J753&gt;0,VLOOKUP(J753,Foundation_Calc!$E$2:$G$986,3,1),""))</f>
        <v/>
      </c>
      <c r="AY753" s="631" t="str">
        <f>IF(L753="","",
IF(AX753="PT",VLOOKUP(L753,Foundation_Calc!$K$4:$R$37,VLOOKUP(AW753,Foundation_Calc!$I$2:$J$8,2,FALSE),0),
IF(AX753="K",VLOOKUP(L753,Foundation_Calc!$K$41:$R$74,VLOOKUP(AW753,Foundation_Calc!$I$2:$J$8,2,FALSE),0),"")))</f>
        <v/>
      </c>
      <c r="AZ753" s="631" t="str">
        <f>IF(K753="","",
IF(AX753="PT",VLOOKUP(K753,Foundation_Calc!$K$4:$R$37,VLOOKUP(AW753,Foundation_Calc!$I$2:$J$8,2,FALSE),0),
IF(AX753="K",VLOOKUP(K753,Foundation_Calc!$K$41:$R$74,VLOOKUP(AW753,Foundation_Calc!$I$2:$J$8,2,FALSE),0),"")))</f>
        <v/>
      </c>
      <c r="BA753" s="632" t="str">
        <f t="shared" si="115"/>
        <v/>
      </c>
      <c r="BB753" s="632" t="str">
        <f t="shared" si="116"/>
        <v/>
      </c>
      <c r="BC753" s="632" t="str">
        <f t="shared" si="117"/>
        <v/>
      </c>
      <c r="BD753" s="633" t="str">
        <f>IF(AND(L753="",H753=""),"",
IF(H753="",Pole_Calc!A781,
IF(H753="MP",Pole_Calc!A782,
IF(H753="AnMP",Pole_Calc!A783,
IF(H753="A",Pole_Calc!A784,
IF(H753="S/A",Pole_Calc!A785,
IF(H753="A/S",Pole_Calc!A786,"Poner a mano")))))))</f>
        <v/>
      </c>
      <c r="BE753" s="448" t="s">
        <v>1726</v>
      </c>
      <c r="BF753" s="635"/>
      <c r="BG753" s="635"/>
      <c r="BH753" s="634"/>
      <c r="BI753" s="635"/>
    </row>
    <row r="754" spans="1:61" ht="16.2" customHeight="1">
      <c r="A754" s="12"/>
      <c r="B754" s="446"/>
      <c r="C754" s="89"/>
      <c r="D754" s="13"/>
      <c r="E754" s="14"/>
      <c r="F754" s="14"/>
      <c r="G754" s="15"/>
      <c r="H754" s="8"/>
      <c r="I754" s="8"/>
      <c r="J754" s="89"/>
      <c r="K754" s="8"/>
      <c r="L754" s="8"/>
      <c r="M754" s="8" t="str">
        <f>IF(L754="","",
IF(AX754="PT",VLOOKUP(L754,Foundation_Calc!$V$4:$X$37,VLOOKUP(AX754,Foundation_Calc!$I$10:$J$13,2,FALSE),0),
IF(AX754="K",VLOOKUP(L754,Foundation_Calc!$V$41:$X$74,VLOOKUP(AX754,Foundation_Calc!$I$10:$J$13,2,FALSE),0),"")))</f>
        <v/>
      </c>
      <c r="N754" s="8"/>
      <c r="O754" s="8"/>
      <c r="P754" s="8"/>
      <c r="Q754" s="14"/>
      <c r="R754" s="15"/>
      <c r="S754" s="15"/>
      <c r="T754" s="14"/>
      <c r="U754" s="14"/>
      <c r="V754" s="14"/>
      <c r="W754" s="18"/>
      <c r="X754" s="18"/>
      <c r="Y754" s="18"/>
      <c r="Z754" s="18"/>
      <c r="AA754" s="18"/>
      <c r="AB754" s="18"/>
      <c r="AC754" s="8" t="str">
        <f t="shared" si="114"/>
        <v/>
      </c>
      <c r="AD754" s="8"/>
      <c r="AE754" s="8"/>
      <c r="AF754" s="14"/>
      <c r="AG754" s="13"/>
      <c r="AH754" s="14"/>
      <c r="AI754" s="14"/>
      <c r="AJ754" s="8"/>
      <c r="AK754" s="8"/>
      <c r="AL754" s="8"/>
      <c r="AM754" s="8"/>
      <c r="AN754" s="631"/>
      <c r="AO754" s="18"/>
      <c r="AP754" s="18"/>
      <c r="AQ754" s="18"/>
      <c r="AR754" s="18"/>
      <c r="AS754" s="18"/>
      <c r="AU754" s="448"/>
      <c r="AV754" s="448"/>
      <c r="AW754" s="8" t="str">
        <f>IF(C754&gt;0,VLOOKUP(C754,Foundation_Calc!$A$2:$C$986,3,1),
IF(J754&gt;0,VLOOKUP(J754,Foundation_Calc!$A$2:$C$986,3,1),""))</f>
        <v/>
      </c>
      <c r="AX754" s="8" t="str">
        <f>IF(C754&gt;0,VLOOKUP(C754,Foundation_Calc!$E$2:$G$986,3,1),
IF(J754&gt;0,VLOOKUP(J754,Foundation_Calc!$E$2:$G$986,3,1),""))</f>
        <v/>
      </c>
      <c r="AY754" s="631" t="str">
        <f>IF(L754="","",
IF(AX754="PT",VLOOKUP(L754,Foundation_Calc!$K$4:$R$37,VLOOKUP(AW754,Foundation_Calc!$I$2:$J$8,2,FALSE),0),
IF(AX754="K",VLOOKUP(L754,Foundation_Calc!$K$41:$R$74,VLOOKUP(AW754,Foundation_Calc!$I$2:$J$8,2,FALSE),0),"")))</f>
        <v/>
      </c>
      <c r="AZ754" s="631" t="str">
        <f>IF(K754="","",
IF(AX754="PT",VLOOKUP(K754,Foundation_Calc!$K$4:$R$37,VLOOKUP(AW754,Foundation_Calc!$I$2:$J$8,2,FALSE),0),
IF(AX754="K",VLOOKUP(K754,Foundation_Calc!$K$41:$R$74,VLOOKUP(AW754,Foundation_Calc!$I$2:$J$8,2,FALSE),0),"")))</f>
        <v/>
      </c>
      <c r="BA754" s="632" t="str">
        <f t="shared" si="115"/>
        <v/>
      </c>
      <c r="BB754" s="632" t="str">
        <f t="shared" si="116"/>
        <v/>
      </c>
      <c r="BC754" s="632" t="str">
        <f t="shared" si="117"/>
        <v/>
      </c>
      <c r="BD754" s="633" t="str">
        <f>IF(AND(L754="",H754=""),"",
IF(H754="",Pole_Calc!A782,
IF(H754="MP",Pole_Calc!A783,
IF(H754="AnMP",Pole_Calc!A784,
IF(H754="A",Pole_Calc!A785,
IF(H754="S/A",Pole_Calc!A786,
IF(H754="A/S",Pole_Calc!A787,"Poner a mano")))))))</f>
        <v/>
      </c>
      <c r="BE754" s="448" t="s">
        <v>1726</v>
      </c>
      <c r="BF754" s="634"/>
      <c r="BG754" s="634"/>
      <c r="BH754" s="634"/>
      <c r="BI754" s="634"/>
    </row>
    <row r="755" spans="1:61" ht="16.2" customHeight="1">
      <c r="A755" s="12"/>
      <c r="B755" s="446"/>
      <c r="C755" s="89"/>
      <c r="D755" s="13"/>
      <c r="E755" s="14"/>
      <c r="F755" s="14"/>
      <c r="G755" s="15"/>
      <c r="H755" s="8"/>
      <c r="I755" s="8"/>
      <c r="J755" s="89"/>
      <c r="K755" s="8"/>
      <c r="L755" s="8"/>
      <c r="M755" s="8" t="str">
        <f>IF(L755="","",
IF(AX755="PT",VLOOKUP(L755,Foundation_Calc!$V$4:$X$37,VLOOKUP(AX755,Foundation_Calc!$I$10:$J$13,2,FALSE),0),
IF(AX755="K",VLOOKUP(L755,Foundation_Calc!$V$41:$X$74,VLOOKUP(AX755,Foundation_Calc!$I$10:$J$13,2,FALSE),0),"")))</f>
        <v/>
      </c>
      <c r="N755" s="8"/>
      <c r="O755" s="8"/>
      <c r="P755" s="8"/>
      <c r="Q755" s="14"/>
      <c r="R755" s="15"/>
      <c r="S755" s="15"/>
      <c r="T755" s="14"/>
      <c r="U755" s="14"/>
      <c r="V755" s="14"/>
      <c r="W755" s="18"/>
      <c r="X755" s="18"/>
      <c r="Y755" s="18"/>
      <c r="Z755" s="18"/>
      <c r="AA755" s="18"/>
      <c r="AB755" s="18"/>
      <c r="AC755" s="8" t="str">
        <f t="shared" si="114"/>
        <v/>
      </c>
      <c r="AD755" s="8"/>
      <c r="AE755" s="8"/>
      <c r="AF755" s="14"/>
      <c r="AG755" s="13"/>
      <c r="AH755" s="14"/>
      <c r="AI755" s="14"/>
      <c r="AJ755" s="8"/>
      <c r="AK755" s="8"/>
      <c r="AL755" s="8"/>
      <c r="AM755" s="8"/>
      <c r="AN755" s="631"/>
      <c r="AO755" s="18"/>
      <c r="AP755" s="18"/>
      <c r="AQ755" s="18"/>
      <c r="AR755" s="18"/>
      <c r="AS755" s="18"/>
      <c r="AU755" s="448"/>
      <c r="AV755" s="448"/>
      <c r="AW755" s="8" t="str">
        <f>IF(C755&gt;0,VLOOKUP(C755,Foundation_Calc!$A$2:$C$986,3,1),
IF(J755&gt;0,VLOOKUP(J755,Foundation_Calc!$A$2:$C$986,3,1),""))</f>
        <v/>
      </c>
      <c r="AX755" s="8" t="str">
        <f>IF(C755&gt;0,VLOOKUP(C755,Foundation_Calc!$E$2:$G$986,3,1),
IF(J755&gt;0,VLOOKUP(J755,Foundation_Calc!$E$2:$G$986,3,1),""))</f>
        <v/>
      </c>
      <c r="AY755" s="631" t="str">
        <f>IF(L755="","",
IF(AX755="PT",VLOOKUP(L755,Foundation_Calc!$K$4:$R$37,VLOOKUP(AW755,Foundation_Calc!$I$2:$J$8,2,FALSE),0),
IF(AX755="K",VLOOKUP(L755,Foundation_Calc!$K$41:$R$74,VLOOKUP(AW755,Foundation_Calc!$I$2:$J$8,2,FALSE),0),"")))</f>
        <v/>
      </c>
      <c r="AZ755" s="631" t="str">
        <f>IF(K755="","",
IF(AX755="PT",VLOOKUP(K755,Foundation_Calc!$K$4:$R$37,VLOOKUP(AW755,Foundation_Calc!$I$2:$J$8,2,FALSE),0),
IF(AX755="K",VLOOKUP(K755,Foundation_Calc!$K$41:$R$74,VLOOKUP(AW755,Foundation_Calc!$I$2:$J$8,2,FALSE),0),"")))</f>
        <v/>
      </c>
      <c r="BA755" s="632" t="str">
        <f t="shared" si="115"/>
        <v/>
      </c>
      <c r="BB755" s="632" t="str">
        <f t="shared" si="116"/>
        <v/>
      </c>
      <c r="BC755" s="632" t="str">
        <f t="shared" si="117"/>
        <v/>
      </c>
      <c r="BD755" s="633" t="str">
        <f>IF(AND(L755="",H755=""),"",
IF(H755="",Pole_Calc!A783,
IF(H755="MP",Pole_Calc!A784,
IF(H755="AnMP",Pole_Calc!A785,
IF(H755="A",Pole_Calc!A786,
IF(H755="S/A",Pole_Calc!A787,
IF(H755="A/S",Pole_Calc!A788,"Poner a mano")))))))</f>
        <v/>
      </c>
      <c r="BE755" s="448" t="s">
        <v>1726</v>
      </c>
      <c r="BF755" s="635"/>
      <c r="BG755" s="635"/>
      <c r="BH755" s="634"/>
      <c r="BI755" s="635"/>
    </row>
    <row r="756" spans="1:61" ht="16.2" customHeight="1">
      <c r="A756" s="12"/>
      <c r="B756" s="446"/>
      <c r="C756" s="89"/>
      <c r="D756" s="13"/>
      <c r="E756" s="14"/>
      <c r="F756" s="14"/>
      <c r="G756" s="15"/>
      <c r="H756" s="8"/>
      <c r="I756" s="8"/>
      <c r="J756" s="89"/>
      <c r="K756" s="8"/>
      <c r="L756" s="8"/>
      <c r="M756" s="8" t="str">
        <f>IF(L756="","",
IF(AX756="PT",VLOOKUP(L756,Foundation_Calc!$V$4:$X$37,VLOOKUP(AX756,Foundation_Calc!$I$10:$J$13,2,FALSE),0),
IF(AX756="K",VLOOKUP(L756,Foundation_Calc!$V$41:$X$74,VLOOKUP(AX756,Foundation_Calc!$I$10:$J$13,2,FALSE),0),"")))</f>
        <v/>
      </c>
      <c r="N756" s="8"/>
      <c r="O756" s="8"/>
      <c r="P756" s="8"/>
      <c r="Q756" s="14"/>
      <c r="R756" s="15"/>
      <c r="S756" s="15"/>
      <c r="T756" s="14"/>
      <c r="U756" s="14"/>
      <c r="V756" s="14"/>
      <c r="W756" s="18"/>
      <c r="X756" s="18"/>
      <c r="Y756" s="18"/>
      <c r="Z756" s="18"/>
      <c r="AA756" s="18"/>
      <c r="AB756" s="18"/>
      <c r="AC756" s="8" t="str">
        <f t="shared" si="114"/>
        <v/>
      </c>
      <c r="AD756" s="8"/>
      <c r="AE756" s="8"/>
      <c r="AF756" s="14"/>
      <c r="AG756" s="13"/>
      <c r="AH756" s="14"/>
      <c r="AI756" s="14"/>
      <c r="AJ756" s="8"/>
      <c r="AK756" s="8"/>
      <c r="AL756" s="8"/>
      <c r="AM756" s="8"/>
      <c r="AN756" s="631"/>
      <c r="AO756" s="18"/>
      <c r="AP756" s="18"/>
      <c r="AQ756" s="18"/>
      <c r="AR756" s="18"/>
      <c r="AS756" s="18"/>
      <c r="AU756" s="448"/>
      <c r="AV756" s="448"/>
      <c r="AW756" s="8" t="str">
        <f>IF(C756&gt;0,VLOOKUP(C756,Foundation_Calc!$A$2:$C$986,3,1),
IF(J756&gt;0,VLOOKUP(J756,Foundation_Calc!$A$2:$C$986,3,1),""))</f>
        <v/>
      </c>
      <c r="AX756" s="8" t="str">
        <f>IF(C756&gt;0,VLOOKUP(C756,Foundation_Calc!$E$2:$G$986,3,1),
IF(J756&gt;0,VLOOKUP(J756,Foundation_Calc!$E$2:$G$986,3,1),""))</f>
        <v/>
      </c>
      <c r="AY756" s="631" t="str">
        <f>IF(L756="","",
IF(AX756="PT",VLOOKUP(L756,Foundation_Calc!$K$4:$R$37,VLOOKUP(AW756,Foundation_Calc!$I$2:$J$8,2,FALSE),0),
IF(AX756="K",VLOOKUP(L756,Foundation_Calc!$K$41:$R$74,VLOOKUP(AW756,Foundation_Calc!$I$2:$J$8,2,FALSE),0),"")))</f>
        <v/>
      </c>
      <c r="AZ756" s="631" t="str">
        <f>IF(K756="","",
IF(AX756="PT",VLOOKUP(K756,Foundation_Calc!$K$4:$R$37,VLOOKUP(AW756,Foundation_Calc!$I$2:$J$8,2,FALSE),0),
IF(AX756="K",VLOOKUP(K756,Foundation_Calc!$K$41:$R$74,VLOOKUP(AW756,Foundation_Calc!$I$2:$J$8,2,FALSE),0),"")))</f>
        <v/>
      </c>
      <c r="BA756" s="632" t="str">
        <f t="shared" si="115"/>
        <v/>
      </c>
      <c r="BB756" s="632" t="str">
        <f t="shared" si="116"/>
        <v/>
      </c>
      <c r="BC756" s="632" t="str">
        <f t="shared" si="117"/>
        <v/>
      </c>
      <c r="BD756" s="633" t="str">
        <f>IF(AND(L756="",H756=""),"",
IF(H756="",Pole_Calc!A784,
IF(H756="MP",Pole_Calc!A785,
IF(H756="AnMP",Pole_Calc!A786,
IF(H756="A",Pole_Calc!A787,
IF(H756="S/A",Pole_Calc!A788,
IF(H756="A/S",Pole_Calc!A789,"Poner a mano")))))))</f>
        <v/>
      </c>
      <c r="BE756" s="448" t="s">
        <v>1726</v>
      </c>
      <c r="BF756" s="634"/>
      <c r="BG756" s="634"/>
      <c r="BH756" s="634"/>
      <c r="BI756" s="634"/>
    </row>
    <row r="757" spans="1:61" ht="16.2" customHeight="1">
      <c r="A757" s="12"/>
      <c r="B757" s="446"/>
      <c r="C757" s="89"/>
      <c r="D757" s="13"/>
      <c r="E757" s="14"/>
      <c r="F757" s="14"/>
      <c r="G757" s="15"/>
      <c r="H757" s="8"/>
      <c r="I757" s="8"/>
      <c r="J757" s="89"/>
      <c r="K757" s="8"/>
      <c r="L757" s="8"/>
      <c r="M757" s="8" t="str">
        <f>IF(L757="","",
IF(AX757="PT",VLOOKUP(L757,Foundation_Calc!$V$4:$X$37,VLOOKUP(AX757,Foundation_Calc!$I$10:$J$13,2,FALSE),0),
IF(AX757="K",VLOOKUP(L757,Foundation_Calc!$V$41:$X$74,VLOOKUP(AX757,Foundation_Calc!$I$10:$J$13,2,FALSE),0),"")))</f>
        <v/>
      </c>
      <c r="N757" s="8"/>
      <c r="O757" s="8"/>
      <c r="P757" s="8"/>
      <c r="Q757" s="14"/>
      <c r="R757" s="15"/>
      <c r="S757" s="15"/>
      <c r="T757" s="14"/>
      <c r="U757" s="14"/>
      <c r="V757" s="14"/>
      <c r="W757" s="18"/>
      <c r="X757" s="18"/>
      <c r="Y757" s="18"/>
      <c r="Z757" s="18"/>
      <c r="AA757" s="18"/>
      <c r="AB757" s="18"/>
      <c r="AC757" s="8" t="str">
        <f t="shared" si="114"/>
        <v/>
      </c>
      <c r="AD757" s="8"/>
      <c r="AE757" s="8"/>
      <c r="AF757" s="14"/>
      <c r="AG757" s="13"/>
      <c r="AH757" s="14"/>
      <c r="AI757" s="14"/>
      <c r="AJ757" s="8"/>
      <c r="AK757" s="8"/>
      <c r="AL757" s="8"/>
      <c r="AM757" s="8"/>
      <c r="AN757" s="631"/>
      <c r="AO757" s="18"/>
      <c r="AP757" s="18"/>
      <c r="AQ757" s="18"/>
      <c r="AR757" s="18"/>
      <c r="AS757" s="18"/>
      <c r="AU757" s="448"/>
      <c r="AV757" s="448"/>
      <c r="AW757" s="8" t="str">
        <f>IF(C757&gt;0,VLOOKUP(C757,Foundation_Calc!$A$2:$C$986,3,1),
IF(J757&gt;0,VLOOKUP(J757,Foundation_Calc!$A$2:$C$986,3,1),""))</f>
        <v/>
      </c>
      <c r="AX757" s="8" t="str">
        <f>IF(C757&gt;0,VLOOKUP(C757,Foundation_Calc!$E$2:$G$986,3,1),
IF(J757&gt;0,VLOOKUP(J757,Foundation_Calc!$E$2:$G$986,3,1),""))</f>
        <v/>
      </c>
      <c r="AY757" s="631" t="str">
        <f>IF(L757="","",
IF(AX757="PT",VLOOKUP(L757,Foundation_Calc!$K$4:$R$37,VLOOKUP(AW757,Foundation_Calc!$I$2:$J$8,2,FALSE),0),
IF(AX757="K",VLOOKUP(L757,Foundation_Calc!$K$41:$R$74,VLOOKUP(AW757,Foundation_Calc!$I$2:$J$8,2,FALSE),0),"")))</f>
        <v/>
      </c>
      <c r="AZ757" s="631" t="str">
        <f>IF(K757="","",
IF(AX757="PT",VLOOKUP(K757,Foundation_Calc!$K$4:$R$37,VLOOKUP(AW757,Foundation_Calc!$I$2:$J$8,2,FALSE),0),
IF(AX757="K",VLOOKUP(K757,Foundation_Calc!$K$41:$R$74,VLOOKUP(AW757,Foundation_Calc!$I$2:$J$8,2,FALSE),0),"")))</f>
        <v/>
      </c>
      <c r="BA757" s="632" t="str">
        <f t="shared" si="115"/>
        <v/>
      </c>
      <c r="BB757" s="632" t="str">
        <f t="shared" si="116"/>
        <v/>
      </c>
      <c r="BC757" s="632" t="str">
        <f t="shared" si="117"/>
        <v/>
      </c>
      <c r="BD757" s="633" t="str">
        <f>IF(AND(L757="",H757=""),"",
IF(H757="",Pole_Calc!A785,
IF(H757="MP",Pole_Calc!A786,
IF(H757="AnMP",Pole_Calc!A787,
IF(H757="A",Pole_Calc!A788,
IF(H757="S/A",Pole_Calc!A789,
IF(H757="A/S",Pole_Calc!A790,"Poner a mano")))))))</f>
        <v/>
      </c>
      <c r="BE757" s="448" t="s">
        <v>1726</v>
      </c>
      <c r="BF757" s="635"/>
      <c r="BG757" s="635"/>
      <c r="BH757" s="634"/>
      <c r="BI757" s="635"/>
    </row>
    <row r="758" spans="1:61" ht="16.2" customHeight="1">
      <c r="A758" s="12"/>
      <c r="B758" s="446"/>
      <c r="C758" s="89"/>
      <c r="D758" s="13"/>
      <c r="E758" s="14"/>
      <c r="F758" s="14"/>
      <c r="G758" s="15"/>
      <c r="H758" s="8"/>
      <c r="I758" s="8"/>
      <c r="J758" s="89"/>
      <c r="K758" s="8"/>
      <c r="L758" s="8"/>
      <c r="M758" s="8" t="str">
        <f>IF(L758="","",
IF(AX758="PT",VLOOKUP(L758,Foundation_Calc!$V$4:$X$37,VLOOKUP(AX758,Foundation_Calc!$I$10:$J$13,2,FALSE),0),
IF(AX758="K",VLOOKUP(L758,Foundation_Calc!$V$41:$X$74,VLOOKUP(AX758,Foundation_Calc!$I$10:$J$13,2,FALSE),0),"")))</f>
        <v/>
      </c>
      <c r="N758" s="8"/>
      <c r="O758" s="8"/>
      <c r="P758" s="8"/>
      <c r="Q758" s="14"/>
      <c r="R758" s="15"/>
      <c r="S758" s="15"/>
      <c r="T758" s="14"/>
      <c r="U758" s="14"/>
      <c r="V758" s="14"/>
      <c r="W758" s="18"/>
      <c r="X758" s="18"/>
      <c r="Y758" s="18"/>
      <c r="Z758" s="18"/>
      <c r="AA758" s="18"/>
      <c r="AB758" s="18"/>
      <c r="AC758" s="8" t="str">
        <f t="shared" si="114"/>
        <v/>
      </c>
      <c r="AD758" s="8"/>
      <c r="AE758" s="8"/>
      <c r="AF758" s="14"/>
      <c r="AG758" s="13"/>
      <c r="AH758" s="14"/>
      <c r="AI758" s="14"/>
      <c r="AJ758" s="8"/>
      <c r="AK758" s="8"/>
      <c r="AL758" s="8"/>
      <c r="AM758" s="8"/>
      <c r="AN758" s="631"/>
      <c r="AO758" s="18"/>
      <c r="AP758" s="18"/>
      <c r="AQ758" s="18"/>
      <c r="AR758" s="18"/>
      <c r="AS758" s="18"/>
      <c r="AU758" s="448"/>
      <c r="AV758" s="448"/>
      <c r="AW758" s="8" t="str">
        <f>IF(C758&gt;0,VLOOKUP(C758,Foundation_Calc!$A$2:$C$986,3,1),
IF(J758&gt;0,VLOOKUP(J758,Foundation_Calc!$A$2:$C$986,3,1),""))</f>
        <v/>
      </c>
      <c r="AX758" s="8" t="str">
        <f>IF(C758&gt;0,VLOOKUP(C758,Foundation_Calc!$E$2:$G$986,3,1),
IF(J758&gt;0,VLOOKUP(J758,Foundation_Calc!$E$2:$G$986,3,1),""))</f>
        <v/>
      </c>
      <c r="AY758" s="631" t="str">
        <f>IF(L758="","",
IF(AX758="PT",VLOOKUP(L758,Foundation_Calc!$K$4:$R$37,VLOOKUP(AW758,Foundation_Calc!$I$2:$J$8,2,FALSE),0),
IF(AX758="K",VLOOKUP(L758,Foundation_Calc!$K$41:$R$74,VLOOKUP(AW758,Foundation_Calc!$I$2:$J$8,2,FALSE),0),"")))</f>
        <v/>
      </c>
      <c r="AZ758" s="631" t="str">
        <f>IF(K758="","",
IF(AX758="PT",VLOOKUP(K758,Foundation_Calc!$K$4:$R$37,VLOOKUP(AW758,Foundation_Calc!$I$2:$J$8,2,FALSE),0),
IF(AX758="K",VLOOKUP(K758,Foundation_Calc!$K$41:$R$74,VLOOKUP(AW758,Foundation_Calc!$I$2:$J$8,2,FALSE),0),"")))</f>
        <v/>
      </c>
      <c r="BA758" s="632" t="str">
        <f t="shared" si="115"/>
        <v/>
      </c>
      <c r="BB758" s="632" t="str">
        <f t="shared" si="116"/>
        <v/>
      </c>
      <c r="BC758" s="632" t="str">
        <f t="shared" si="117"/>
        <v/>
      </c>
      <c r="BD758" s="633" t="str">
        <f>IF(AND(L758="",H758=""),"",
IF(H758="",Pole_Calc!A786,
IF(H758="MP",Pole_Calc!A787,
IF(H758="AnMP",Pole_Calc!A788,
IF(H758="A",Pole_Calc!A789,
IF(H758="S/A",Pole_Calc!A790,
IF(H758="A/S",Pole_Calc!A791,"Poner a mano")))))))</f>
        <v/>
      </c>
      <c r="BE758" s="448" t="s">
        <v>1726</v>
      </c>
      <c r="BF758" s="634"/>
      <c r="BG758" s="634"/>
      <c r="BH758" s="634"/>
      <c r="BI758" s="634"/>
    </row>
    <row r="759" spans="1:61" ht="16.2" customHeight="1">
      <c r="A759" s="12"/>
      <c r="B759" s="446"/>
      <c r="C759" s="89"/>
      <c r="D759" s="13"/>
      <c r="E759" s="14"/>
      <c r="F759" s="14"/>
      <c r="G759" s="15"/>
      <c r="H759" s="8"/>
      <c r="I759" s="8"/>
      <c r="J759" s="89"/>
      <c r="K759" s="8"/>
      <c r="L759" s="8"/>
      <c r="M759" s="8" t="str">
        <f>IF(L759="","",
IF(AX759="PT",VLOOKUP(L759,Foundation_Calc!$V$4:$X$37,VLOOKUP(AX759,Foundation_Calc!$I$10:$J$13,2,FALSE),0),
IF(AX759="K",VLOOKUP(L759,Foundation_Calc!$V$41:$X$74,VLOOKUP(AX759,Foundation_Calc!$I$10:$J$13,2,FALSE),0),"")))</f>
        <v/>
      </c>
      <c r="N759" s="8"/>
      <c r="O759" s="8"/>
      <c r="P759" s="8"/>
      <c r="Q759" s="14"/>
      <c r="R759" s="15"/>
      <c r="S759" s="15"/>
      <c r="T759" s="14"/>
      <c r="U759" s="14"/>
      <c r="V759" s="14"/>
      <c r="W759" s="18"/>
      <c r="X759" s="18"/>
      <c r="Y759" s="18"/>
      <c r="Z759" s="18"/>
      <c r="AA759" s="18"/>
      <c r="AB759" s="18"/>
      <c r="AC759" s="8" t="str">
        <f t="shared" si="114"/>
        <v/>
      </c>
      <c r="AD759" s="8"/>
      <c r="AE759" s="8"/>
      <c r="AF759" s="14"/>
      <c r="AG759" s="13"/>
      <c r="AH759" s="14"/>
      <c r="AI759" s="14"/>
      <c r="AJ759" s="8"/>
      <c r="AK759" s="8"/>
      <c r="AL759" s="8"/>
      <c r="AM759" s="8"/>
      <c r="AN759" s="631"/>
      <c r="AO759" s="18"/>
      <c r="AP759" s="18"/>
      <c r="AQ759" s="18"/>
      <c r="AR759" s="18"/>
      <c r="AS759" s="18"/>
      <c r="AU759" s="448"/>
      <c r="AV759" s="448"/>
      <c r="AW759" s="8" t="str">
        <f>IF(C759&gt;0,VLOOKUP(C759,Foundation_Calc!$A$2:$C$986,3,1),
IF(J759&gt;0,VLOOKUP(J759,Foundation_Calc!$A$2:$C$986,3,1),""))</f>
        <v/>
      </c>
      <c r="AX759" s="8" t="str">
        <f>IF(C759&gt;0,VLOOKUP(C759,Foundation_Calc!$E$2:$G$986,3,1),
IF(J759&gt;0,VLOOKUP(J759,Foundation_Calc!$E$2:$G$986,3,1),""))</f>
        <v/>
      </c>
      <c r="AY759" s="631" t="str">
        <f>IF(L759="","",
IF(AX759="PT",VLOOKUP(L759,Foundation_Calc!$K$4:$R$37,VLOOKUP(AW759,Foundation_Calc!$I$2:$J$8,2,FALSE),0),
IF(AX759="K",VLOOKUP(L759,Foundation_Calc!$K$41:$R$74,VLOOKUP(AW759,Foundation_Calc!$I$2:$J$8,2,FALSE),0),"")))</f>
        <v/>
      </c>
      <c r="AZ759" s="631" t="str">
        <f>IF(K759="","",
IF(AX759="PT",VLOOKUP(K759,Foundation_Calc!$K$4:$R$37,VLOOKUP(AW759,Foundation_Calc!$I$2:$J$8,2,FALSE),0),
IF(AX759="K",VLOOKUP(K759,Foundation_Calc!$K$41:$R$74,VLOOKUP(AW759,Foundation_Calc!$I$2:$J$8,2,FALSE),0),"")))</f>
        <v/>
      </c>
      <c r="BA759" s="632" t="str">
        <f t="shared" si="115"/>
        <v/>
      </c>
      <c r="BB759" s="632" t="str">
        <f t="shared" si="116"/>
        <v/>
      </c>
      <c r="BC759" s="632" t="str">
        <f t="shared" si="117"/>
        <v/>
      </c>
      <c r="BD759" s="633" t="str">
        <f>IF(AND(L759="",H759=""),"",
IF(H759="",Pole_Calc!A787,
IF(H759="MP",Pole_Calc!A788,
IF(H759="AnMP",Pole_Calc!A789,
IF(H759="A",Pole_Calc!A790,
IF(H759="S/A",Pole_Calc!A791,
IF(H759="A/S",Pole_Calc!A792,"Poner a mano")))))))</f>
        <v/>
      </c>
      <c r="BE759" s="448" t="s">
        <v>1726</v>
      </c>
      <c r="BF759" s="635"/>
      <c r="BG759" s="635"/>
      <c r="BH759" s="634"/>
      <c r="BI759" s="635"/>
    </row>
    <row r="760" spans="1:61" ht="16.2" customHeight="1">
      <c r="A760" s="12"/>
      <c r="B760" s="446"/>
      <c r="C760" s="89"/>
      <c r="D760" s="13"/>
      <c r="E760" s="14"/>
      <c r="F760" s="14"/>
      <c r="G760" s="15"/>
      <c r="H760" s="8"/>
      <c r="I760" s="8"/>
      <c r="J760" s="89"/>
      <c r="K760" s="8"/>
      <c r="L760" s="8"/>
      <c r="M760" s="8" t="str">
        <f>IF(L760="","",
IF(AX760="PT",VLOOKUP(L760,Foundation_Calc!$V$4:$X$37,VLOOKUP(AX760,Foundation_Calc!$I$10:$J$13,2,FALSE),0),
IF(AX760="K",VLOOKUP(L760,Foundation_Calc!$V$41:$X$74,VLOOKUP(AX760,Foundation_Calc!$I$10:$J$13,2,FALSE),0),"")))</f>
        <v/>
      </c>
      <c r="N760" s="8"/>
      <c r="O760" s="8"/>
      <c r="P760" s="8"/>
      <c r="Q760" s="14"/>
      <c r="R760" s="15"/>
      <c r="S760" s="15"/>
      <c r="T760" s="14"/>
      <c r="U760" s="14"/>
      <c r="V760" s="14"/>
      <c r="W760" s="18"/>
      <c r="X760" s="18"/>
      <c r="Y760" s="18"/>
      <c r="Z760" s="18"/>
      <c r="AA760" s="18"/>
      <c r="AB760" s="18"/>
      <c r="AC760" s="8" t="str">
        <f t="shared" si="114"/>
        <v/>
      </c>
      <c r="AD760" s="8"/>
      <c r="AE760" s="8"/>
      <c r="AF760" s="14"/>
      <c r="AG760" s="13"/>
      <c r="AH760" s="14"/>
      <c r="AI760" s="14"/>
      <c r="AJ760" s="8"/>
      <c r="AK760" s="8"/>
      <c r="AL760" s="8"/>
      <c r="AM760" s="8"/>
      <c r="AN760" s="631"/>
      <c r="AO760" s="18"/>
      <c r="AP760" s="18"/>
      <c r="AQ760" s="18"/>
      <c r="AR760" s="18"/>
      <c r="AS760" s="18"/>
      <c r="AU760" s="448"/>
      <c r="AV760" s="448"/>
      <c r="AW760" s="8" t="str">
        <f>IF(C760&gt;0,VLOOKUP(C760,Foundation_Calc!$A$2:$C$986,3,1),
IF(J760&gt;0,VLOOKUP(J760,Foundation_Calc!$A$2:$C$986,3,1),""))</f>
        <v/>
      </c>
      <c r="AX760" s="8" t="str">
        <f>IF(C760&gt;0,VLOOKUP(C760,Foundation_Calc!$E$2:$G$986,3,1),
IF(J760&gt;0,VLOOKUP(J760,Foundation_Calc!$E$2:$G$986,3,1),""))</f>
        <v/>
      </c>
      <c r="AY760" s="631" t="str">
        <f>IF(L760="","",
IF(AX760="PT",VLOOKUP(L760,Foundation_Calc!$K$4:$R$37,VLOOKUP(AW760,Foundation_Calc!$I$2:$J$8,2,FALSE),0),
IF(AX760="K",VLOOKUP(L760,Foundation_Calc!$K$41:$R$74,VLOOKUP(AW760,Foundation_Calc!$I$2:$J$8,2,FALSE),0),"")))</f>
        <v/>
      </c>
      <c r="AZ760" s="631" t="str">
        <f>IF(K760="","",
IF(AX760="PT",VLOOKUP(K760,Foundation_Calc!$K$4:$R$37,VLOOKUP(AW760,Foundation_Calc!$I$2:$J$8,2,FALSE),0),
IF(AX760="K",VLOOKUP(K760,Foundation_Calc!$K$41:$R$74,VLOOKUP(AW760,Foundation_Calc!$I$2:$J$8,2,FALSE),0),"")))</f>
        <v/>
      </c>
      <c r="BA760" s="632" t="str">
        <f t="shared" si="115"/>
        <v/>
      </c>
      <c r="BB760" s="632" t="str">
        <f t="shared" si="116"/>
        <v/>
      </c>
      <c r="BC760" s="632" t="str">
        <f t="shared" si="117"/>
        <v/>
      </c>
      <c r="BD760" s="633" t="str">
        <f>IF(AND(L760="",H760=""),"",
IF(H760="",Pole_Calc!A788,
IF(H760="MP",Pole_Calc!A789,
IF(H760="AnMP",Pole_Calc!A790,
IF(H760="A",Pole_Calc!A791,
IF(H760="S/A",Pole_Calc!A792,
IF(H760="A/S",Pole_Calc!A793,"Poner a mano")))))))</f>
        <v/>
      </c>
      <c r="BE760" s="448" t="s">
        <v>1726</v>
      </c>
      <c r="BF760" s="634"/>
      <c r="BG760" s="634"/>
      <c r="BH760" s="634"/>
      <c r="BI760" s="634"/>
    </row>
    <row r="761" spans="1:61" ht="16.2" customHeight="1">
      <c r="A761" s="12"/>
      <c r="B761" s="446"/>
      <c r="C761" s="89"/>
      <c r="D761" s="13"/>
      <c r="E761" s="14"/>
      <c r="F761" s="14"/>
      <c r="G761" s="15"/>
      <c r="H761" s="8"/>
      <c r="I761" s="8"/>
      <c r="J761" s="89"/>
      <c r="K761" s="8"/>
      <c r="L761" s="8"/>
      <c r="M761" s="8" t="str">
        <f>IF(L761="","",
IF(AX761="PT",VLOOKUP(L761,Foundation_Calc!$V$4:$X$37,VLOOKUP(AX761,Foundation_Calc!$I$10:$J$13,2,FALSE),0),
IF(AX761="K",VLOOKUP(L761,Foundation_Calc!$V$41:$X$74,VLOOKUP(AX761,Foundation_Calc!$I$10:$J$13,2,FALSE),0),"")))</f>
        <v/>
      </c>
      <c r="N761" s="8"/>
      <c r="O761" s="8"/>
      <c r="P761" s="8"/>
      <c r="Q761" s="14"/>
      <c r="R761" s="15"/>
      <c r="S761" s="15"/>
      <c r="T761" s="14"/>
      <c r="U761" s="14"/>
      <c r="V761" s="14"/>
      <c r="W761" s="18"/>
      <c r="X761" s="18"/>
      <c r="Y761" s="18"/>
      <c r="Z761" s="18"/>
      <c r="AA761" s="18"/>
      <c r="AB761" s="18"/>
      <c r="AC761" s="8" t="str">
        <f t="shared" si="114"/>
        <v/>
      </c>
      <c r="AD761" s="8"/>
      <c r="AE761" s="8"/>
      <c r="AF761" s="14"/>
      <c r="AG761" s="13"/>
      <c r="AH761" s="14"/>
      <c r="AI761" s="14"/>
      <c r="AJ761" s="8"/>
      <c r="AK761" s="8"/>
      <c r="AL761" s="8"/>
      <c r="AM761" s="8"/>
      <c r="AN761" s="631"/>
      <c r="AO761" s="18"/>
      <c r="AP761" s="18"/>
      <c r="AQ761" s="18"/>
      <c r="AR761" s="18"/>
      <c r="AS761" s="18"/>
      <c r="AU761" s="448"/>
      <c r="AV761" s="448"/>
      <c r="AW761" s="8" t="str">
        <f>IF(C761&gt;0,VLOOKUP(C761,Foundation_Calc!$A$2:$C$986,3,1),
IF(J761&gt;0,VLOOKUP(J761,Foundation_Calc!$A$2:$C$986,3,1),""))</f>
        <v/>
      </c>
      <c r="AX761" s="8" t="str">
        <f>IF(C761&gt;0,VLOOKUP(C761,Foundation_Calc!$E$2:$G$986,3,1),
IF(J761&gt;0,VLOOKUP(J761,Foundation_Calc!$E$2:$G$986,3,1),""))</f>
        <v/>
      </c>
      <c r="AY761" s="631" t="str">
        <f>IF(L761="","",
IF(AX761="PT",VLOOKUP(L761,Foundation_Calc!$K$4:$R$37,VLOOKUP(AW761,Foundation_Calc!$I$2:$J$8,2,FALSE),0),
IF(AX761="K",VLOOKUP(L761,Foundation_Calc!$K$41:$R$74,VLOOKUP(AW761,Foundation_Calc!$I$2:$J$8,2,FALSE),0),"")))</f>
        <v/>
      </c>
      <c r="AZ761" s="631" t="str">
        <f>IF(K761="","",
IF(AX761="PT",VLOOKUP(K761,Foundation_Calc!$K$4:$R$37,VLOOKUP(AW761,Foundation_Calc!$I$2:$J$8,2,FALSE),0),
IF(AX761="K",VLOOKUP(K761,Foundation_Calc!$K$41:$R$74,VLOOKUP(AW761,Foundation_Calc!$I$2:$J$8,2,FALSE),0),"")))</f>
        <v/>
      </c>
      <c r="BA761" s="632" t="str">
        <f t="shared" si="115"/>
        <v/>
      </c>
      <c r="BB761" s="632" t="str">
        <f t="shared" si="116"/>
        <v/>
      </c>
      <c r="BC761" s="632" t="str">
        <f t="shared" si="117"/>
        <v/>
      </c>
      <c r="BD761" s="633" t="str">
        <f>IF(AND(L761="",H761=""),"",
IF(H761="",Pole_Calc!A789,
IF(H761="MP",Pole_Calc!A790,
IF(H761="AnMP",Pole_Calc!A791,
IF(H761="A",Pole_Calc!A792,
IF(H761="S/A",Pole_Calc!A793,
IF(H761="A/S",Pole_Calc!A794,"Poner a mano")))))))</f>
        <v/>
      </c>
      <c r="BE761" s="448" t="s">
        <v>1726</v>
      </c>
      <c r="BF761" s="635"/>
      <c r="BG761" s="635"/>
      <c r="BH761" s="634"/>
      <c r="BI761" s="635"/>
    </row>
    <row r="762" spans="1:61" ht="16.2" customHeight="1">
      <c r="A762" s="12"/>
      <c r="B762" s="446"/>
      <c r="C762" s="89"/>
      <c r="D762" s="13"/>
      <c r="E762" s="14"/>
      <c r="F762" s="14"/>
      <c r="G762" s="15"/>
      <c r="H762" s="8"/>
      <c r="I762" s="8"/>
      <c r="J762" s="89"/>
      <c r="K762" s="8"/>
      <c r="L762" s="8"/>
      <c r="M762" s="8" t="str">
        <f>IF(L762="","",
IF(AX762="PT",VLOOKUP(L762,Foundation_Calc!$V$4:$X$37,VLOOKUP(AX762,Foundation_Calc!$I$10:$J$13,2,FALSE),0),
IF(AX762="K",VLOOKUP(L762,Foundation_Calc!$V$41:$X$74,VLOOKUP(AX762,Foundation_Calc!$I$10:$J$13,2,FALSE),0),"")))</f>
        <v/>
      </c>
      <c r="N762" s="8"/>
      <c r="O762" s="8"/>
      <c r="P762" s="8"/>
      <c r="Q762" s="14"/>
      <c r="R762" s="15"/>
      <c r="S762" s="15"/>
      <c r="T762" s="14"/>
      <c r="U762" s="14"/>
      <c r="V762" s="14"/>
      <c r="W762" s="18"/>
      <c r="X762" s="18"/>
      <c r="Y762" s="18"/>
      <c r="Z762" s="18"/>
      <c r="AA762" s="18"/>
      <c r="AB762" s="18"/>
      <c r="AC762" s="8" t="str">
        <f t="shared" si="114"/>
        <v/>
      </c>
      <c r="AD762" s="8"/>
      <c r="AE762" s="8"/>
      <c r="AF762" s="14"/>
      <c r="AG762" s="13"/>
      <c r="AH762" s="14"/>
      <c r="AI762" s="14"/>
      <c r="AJ762" s="8"/>
      <c r="AK762" s="8"/>
      <c r="AL762" s="8"/>
      <c r="AM762" s="8"/>
      <c r="AN762" s="631"/>
      <c r="AO762" s="18"/>
      <c r="AP762" s="18"/>
      <c r="AQ762" s="18"/>
      <c r="AR762" s="18"/>
      <c r="AS762" s="18"/>
      <c r="AU762" s="448"/>
      <c r="AV762" s="448"/>
      <c r="AW762" s="8" t="str">
        <f>IF(C762&gt;0,VLOOKUP(C762,Foundation_Calc!$A$2:$C$986,3,1),
IF(J762&gt;0,VLOOKUP(J762,Foundation_Calc!$A$2:$C$986,3,1),""))</f>
        <v/>
      </c>
      <c r="AX762" s="8" t="str">
        <f>IF(C762&gt;0,VLOOKUP(C762,Foundation_Calc!$E$2:$G$986,3,1),
IF(J762&gt;0,VLOOKUP(J762,Foundation_Calc!$E$2:$G$986,3,1),""))</f>
        <v/>
      </c>
      <c r="AY762" s="631" t="str">
        <f>IF(L762="","",
IF(AX762="PT",VLOOKUP(L762,Foundation_Calc!$K$4:$R$37,VLOOKUP(AW762,Foundation_Calc!$I$2:$J$8,2,FALSE),0),
IF(AX762="K",VLOOKUP(L762,Foundation_Calc!$K$41:$R$74,VLOOKUP(AW762,Foundation_Calc!$I$2:$J$8,2,FALSE),0),"")))</f>
        <v/>
      </c>
      <c r="AZ762" s="631" t="str">
        <f>IF(K762="","",
IF(AX762="PT",VLOOKUP(K762,Foundation_Calc!$K$4:$R$37,VLOOKUP(AW762,Foundation_Calc!$I$2:$J$8,2,FALSE),0),
IF(AX762="K",VLOOKUP(K762,Foundation_Calc!$K$41:$R$74,VLOOKUP(AW762,Foundation_Calc!$I$2:$J$8,2,FALSE),0),"")))</f>
        <v/>
      </c>
      <c r="BA762" s="632" t="str">
        <f t="shared" si="115"/>
        <v/>
      </c>
      <c r="BB762" s="632" t="str">
        <f t="shared" si="116"/>
        <v/>
      </c>
      <c r="BC762" s="632" t="str">
        <f t="shared" si="117"/>
        <v/>
      </c>
      <c r="BD762" s="633" t="str">
        <f>IF(AND(L762="",H762=""),"",
IF(H762="",Pole_Calc!A790,
IF(H762="MP",Pole_Calc!A791,
IF(H762="AnMP",Pole_Calc!A792,
IF(H762="A",Pole_Calc!A793,
IF(H762="S/A",Pole_Calc!A794,
IF(H762="A/S",Pole_Calc!A795,"Poner a mano")))))))</f>
        <v/>
      </c>
      <c r="BE762" s="448" t="s">
        <v>1726</v>
      </c>
      <c r="BF762" s="634"/>
      <c r="BG762" s="634"/>
      <c r="BH762" s="634"/>
      <c r="BI762" s="634"/>
    </row>
    <row r="763" spans="1:61" ht="16.2" customHeight="1">
      <c r="A763" s="12"/>
      <c r="B763" s="446"/>
      <c r="C763" s="89"/>
      <c r="D763" s="13"/>
      <c r="E763" s="14"/>
      <c r="F763" s="14"/>
      <c r="G763" s="15"/>
      <c r="H763" s="8"/>
      <c r="I763" s="8"/>
      <c r="J763" s="89"/>
      <c r="K763" s="8"/>
      <c r="L763" s="8"/>
      <c r="M763" s="8" t="str">
        <f>IF(L763="","",
IF(AX763="PT",VLOOKUP(L763,Foundation_Calc!$V$4:$X$37,VLOOKUP(AX763,Foundation_Calc!$I$10:$J$13,2,FALSE),0),
IF(AX763="K",VLOOKUP(L763,Foundation_Calc!$V$41:$X$74,VLOOKUP(AX763,Foundation_Calc!$I$10:$J$13,2,FALSE),0),"")))</f>
        <v/>
      </c>
      <c r="N763" s="8"/>
      <c r="O763" s="8"/>
      <c r="P763" s="8"/>
      <c r="Q763" s="14"/>
      <c r="R763" s="15"/>
      <c r="S763" s="15"/>
      <c r="T763" s="14"/>
      <c r="U763" s="14"/>
      <c r="V763" s="14"/>
      <c r="W763" s="18"/>
      <c r="X763" s="18"/>
      <c r="Y763" s="18"/>
      <c r="Z763" s="18"/>
      <c r="AA763" s="18"/>
      <c r="AB763" s="18"/>
      <c r="AC763" s="8" t="str">
        <f t="shared" si="114"/>
        <v/>
      </c>
      <c r="AD763" s="8"/>
      <c r="AE763" s="8"/>
      <c r="AF763" s="14"/>
      <c r="AG763" s="13"/>
      <c r="AH763" s="14"/>
      <c r="AI763" s="14"/>
      <c r="AJ763" s="8"/>
      <c r="AK763" s="8"/>
      <c r="AL763" s="8"/>
      <c r="AM763" s="8"/>
      <c r="AN763" s="631"/>
      <c r="AO763" s="18"/>
      <c r="AP763" s="18"/>
      <c r="AQ763" s="18"/>
      <c r="AR763" s="18"/>
      <c r="AS763" s="18"/>
      <c r="AU763" s="448"/>
      <c r="AV763" s="448"/>
      <c r="AW763" s="8" t="str">
        <f>IF(C763&gt;0,VLOOKUP(C763,Foundation_Calc!$A$2:$C$986,3,1),
IF(J763&gt;0,VLOOKUP(J763,Foundation_Calc!$A$2:$C$986,3,1),""))</f>
        <v/>
      </c>
      <c r="AX763" s="8" t="str">
        <f>IF(C763&gt;0,VLOOKUP(C763,Foundation_Calc!$E$2:$G$986,3,1),
IF(J763&gt;0,VLOOKUP(J763,Foundation_Calc!$E$2:$G$986,3,1),""))</f>
        <v/>
      </c>
      <c r="AY763" s="631" t="str">
        <f>IF(L763="","",
IF(AX763="PT",VLOOKUP(L763,Foundation_Calc!$K$4:$R$37,VLOOKUP(AW763,Foundation_Calc!$I$2:$J$8,2,FALSE),0),
IF(AX763="K",VLOOKUP(L763,Foundation_Calc!$K$41:$R$74,VLOOKUP(AW763,Foundation_Calc!$I$2:$J$8,2,FALSE),0),"")))</f>
        <v/>
      </c>
      <c r="AZ763" s="631" t="str">
        <f>IF(K763="","",
IF(AX763="PT",VLOOKUP(K763,Foundation_Calc!$K$4:$R$37,VLOOKUP(AW763,Foundation_Calc!$I$2:$J$8,2,FALSE),0),
IF(AX763="K",VLOOKUP(K763,Foundation_Calc!$K$41:$R$74,VLOOKUP(AW763,Foundation_Calc!$I$2:$J$8,2,FALSE),0),"")))</f>
        <v/>
      </c>
      <c r="BA763" s="632" t="str">
        <f t="shared" si="115"/>
        <v/>
      </c>
      <c r="BB763" s="632" t="str">
        <f t="shared" si="116"/>
        <v/>
      </c>
      <c r="BC763" s="632" t="str">
        <f t="shared" si="117"/>
        <v/>
      </c>
      <c r="BD763" s="633" t="str">
        <f>IF(AND(L763="",H763=""),"",
IF(H763="",Pole_Calc!A791,
IF(H763="MP",Pole_Calc!A792,
IF(H763="AnMP",Pole_Calc!A793,
IF(H763="A",Pole_Calc!A794,
IF(H763="S/A",Pole_Calc!A795,
IF(H763="A/S",Pole_Calc!A796,"Poner a mano")))))))</f>
        <v/>
      </c>
      <c r="BE763" s="448" t="s">
        <v>1726</v>
      </c>
      <c r="BF763" s="635"/>
      <c r="BG763" s="635"/>
      <c r="BH763" s="634"/>
      <c r="BI763" s="635"/>
    </row>
    <row r="764" spans="1:61" ht="16.2" customHeight="1">
      <c r="A764" s="12"/>
      <c r="B764" s="446"/>
      <c r="C764" s="89"/>
      <c r="D764" s="13"/>
      <c r="E764" s="14"/>
      <c r="F764" s="14"/>
      <c r="G764" s="15"/>
      <c r="H764" s="8"/>
      <c r="I764" s="8"/>
      <c r="J764" s="89"/>
      <c r="K764" s="8"/>
      <c r="L764" s="8"/>
      <c r="M764" s="8" t="str">
        <f>IF(L764="","",
IF(AX764="PT",VLOOKUP(L764,Foundation_Calc!$V$4:$X$37,VLOOKUP(AX764,Foundation_Calc!$I$10:$J$13,2,FALSE),0),
IF(AX764="K",VLOOKUP(L764,Foundation_Calc!$V$41:$X$74,VLOOKUP(AX764,Foundation_Calc!$I$10:$J$13,2,FALSE),0),"")))</f>
        <v/>
      </c>
      <c r="N764" s="8"/>
      <c r="O764" s="8"/>
      <c r="P764" s="8"/>
      <c r="Q764" s="14"/>
      <c r="R764" s="15"/>
      <c r="S764" s="15"/>
      <c r="T764" s="14"/>
      <c r="U764" s="14"/>
      <c r="V764" s="14"/>
      <c r="W764" s="18"/>
      <c r="X764" s="18"/>
      <c r="Y764" s="18"/>
      <c r="Z764" s="18"/>
      <c r="AA764" s="18"/>
      <c r="AB764" s="18"/>
      <c r="AC764" s="8" t="str">
        <f t="shared" si="114"/>
        <v/>
      </c>
      <c r="AD764" s="8"/>
      <c r="AE764" s="8"/>
      <c r="AF764" s="14"/>
      <c r="AG764" s="13"/>
      <c r="AH764" s="14"/>
      <c r="AI764" s="14"/>
      <c r="AJ764" s="8"/>
      <c r="AK764" s="8"/>
      <c r="AL764" s="8"/>
      <c r="AM764" s="8"/>
      <c r="AN764" s="631"/>
      <c r="AO764" s="18"/>
      <c r="AP764" s="18"/>
      <c r="AQ764" s="18"/>
      <c r="AR764" s="18"/>
      <c r="AS764" s="18"/>
      <c r="AU764" s="448"/>
      <c r="AV764" s="448"/>
      <c r="AW764" s="8" t="str">
        <f>IF(C764&gt;0,VLOOKUP(C764,Foundation_Calc!$A$2:$C$986,3,1),
IF(J764&gt;0,VLOOKUP(J764,Foundation_Calc!$A$2:$C$986,3,1),""))</f>
        <v/>
      </c>
      <c r="AX764" s="8" t="str">
        <f>IF(C764&gt;0,VLOOKUP(C764,Foundation_Calc!$E$2:$G$986,3,1),
IF(J764&gt;0,VLOOKUP(J764,Foundation_Calc!$E$2:$G$986,3,1),""))</f>
        <v/>
      </c>
      <c r="AY764" s="631" t="str">
        <f>IF(L764="","",
IF(AX764="PT",VLOOKUP(L764,Foundation_Calc!$K$4:$R$37,VLOOKUP(AW764,Foundation_Calc!$I$2:$J$8,2,FALSE),0),
IF(AX764="K",VLOOKUP(L764,Foundation_Calc!$K$41:$R$74,VLOOKUP(AW764,Foundation_Calc!$I$2:$J$8,2,FALSE),0),"")))</f>
        <v/>
      </c>
      <c r="AZ764" s="631" t="str">
        <f>IF(K764="","",
IF(AX764="PT",VLOOKUP(K764,Foundation_Calc!$K$4:$R$37,VLOOKUP(AW764,Foundation_Calc!$I$2:$J$8,2,FALSE),0),
IF(AX764="K",VLOOKUP(K764,Foundation_Calc!$K$41:$R$74,VLOOKUP(AW764,Foundation_Calc!$I$2:$J$8,2,FALSE),0),"")))</f>
        <v/>
      </c>
      <c r="BA764" s="632" t="str">
        <f t="shared" si="115"/>
        <v/>
      </c>
      <c r="BB764" s="632" t="str">
        <f t="shared" si="116"/>
        <v/>
      </c>
      <c r="BC764" s="632" t="str">
        <f t="shared" si="117"/>
        <v/>
      </c>
      <c r="BD764" s="633" t="str">
        <f>IF(AND(L764="",H764=""),"",
IF(H764="",Pole_Calc!A792,
IF(H764="MP",Pole_Calc!A793,
IF(H764="AnMP",Pole_Calc!A794,
IF(H764="A",Pole_Calc!A795,
IF(H764="S/A",Pole_Calc!A796,
IF(H764="A/S",Pole_Calc!A797,"Poner a mano")))))))</f>
        <v/>
      </c>
      <c r="BE764" s="448" t="s">
        <v>1726</v>
      </c>
      <c r="BF764" s="634"/>
      <c r="BG764" s="634"/>
      <c r="BH764" s="634"/>
      <c r="BI764" s="634"/>
    </row>
    <row r="765" spans="1:61" ht="16.2" customHeight="1">
      <c r="A765" s="12"/>
      <c r="B765" s="446"/>
      <c r="C765" s="89"/>
      <c r="D765" s="13"/>
      <c r="E765" s="14"/>
      <c r="F765" s="14"/>
      <c r="G765" s="15"/>
      <c r="H765" s="8"/>
      <c r="I765" s="8"/>
      <c r="J765" s="89"/>
      <c r="K765" s="8"/>
      <c r="L765" s="8"/>
      <c r="M765" s="8" t="str">
        <f>IF(L765="","",
IF(AX765="PT",VLOOKUP(L765,Foundation_Calc!$V$4:$X$37,VLOOKUP(AX765,Foundation_Calc!$I$10:$J$13,2,FALSE),0),
IF(AX765="K",VLOOKUP(L765,Foundation_Calc!$V$41:$X$74,VLOOKUP(AX765,Foundation_Calc!$I$10:$J$13,2,FALSE),0),"")))</f>
        <v/>
      </c>
      <c r="N765" s="8"/>
      <c r="O765" s="8"/>
      <c r="P765" s="8"/>
      <c r="Q765" s="14"/>
      <c r="R765" s="15"/>
      <c r="S765" s="15"/>
      <c r="T765" s="14"/>
      <c r="U765" s="14"/>
      <c r="V765" s="14"/>
      <c r="W765" s="18"/>
      <c r="X765" s="18"/>
      <c r="Y765" s="18"/>
      <c r="Z765" s="18"/>
      <c r="AA765" s="18"/>
      <c r="AB765" s="18"/>
      <c r="AC765" s="8" t="str">
        <f t="shared" si="114"/>
        <v/>
      </c>
      <c r="AD765" s="8"/>
      <c r="AE765" s="8"/>
      <c r="AF765" s="14"/>
      <c r="AG765" s="13"/>
      <c r="AH765" s="14"/>
      <c r="AI765" s="14"/>
      <c r="AJ765" s="8"/>
      <c r="AK765" s="8"/>
      <c r="AL765" s="8"/>
      <c r="AM765" s="8"/>
      <c r="AN765" s="631"/>
      <c r="AO765" s="18"/>
      <c r="AP765" s="18"/>
      <c r="AQ765" s="18"/>
      <c r="AR765" s="18"/>
      <c r="AS765" s="18"/>
      <c r="AU765" s="448"/>
      <c r="AV765" s="448"/>
      <c r="AW765" s="8" t="str">
        <f>IF(C765&gt;0,VLOOKUP(C765,Foundation_Calc!$A$2:$C$986,3,1),
IF(J765&gt;0,VLOOKUP(J765,Foundation_Calc!$A$2:$C$986,3,1),""))</f>
        <v/>
      </c>
      <c r="AX765" s="8" t="str">
        <f>IF(C765&gt;0,VLOOKUP(C765,Foundation_Calc!$E$2:$G$986,3,1),
IF(J765&gt;0,VLOOKUP(J765,Foundation_Calc!$E$2:$G$986,3,1),""))</f>
        <v/>
      </c>
      <c r="AY765" s="631" t="str">
        <f>IF(L765="","",
IF(AX765="PT",VLOOKUP(L765,Foundation_Calc!$K$4:$R$37,VLOOKUP(AW765,Foundation_Calc!$I$2:$J$8,2,FALSE),0),
IF(AX765="K",VLOOKUP(L765,Foundation_Calc!$K$41:$R$74,VLOOKUP(AW765,Foundation_Calc!$I$2:$J$8,2,FALSE),0),"")))</f>
        <v/>
      </c>
      <c r="AZ765" s="631" t="str">
        <f>IF(K765="","",
IF(AX765="PT",VLOOKUP(K765,Foundation_Calc!$K$4:$R$37,VLOOKUP(AW765,Foundation_Calc!$I$2:$J$8,2,FALSE),0),
IF(AX765="K",VLOOKUP(K765,Foundation_Calc!$K$41:$R$74,VLOOKUP(AW765,Foundation_Calc!$I$2:$J$8,2,FALSE),0),"")))</f>
        <v/>
      </c>
      <c r="BA765" s="632" t="str">
        <f t="shared" si="115"/>
        <v/>
      </c>
      <c r="BB765" s="632" t="str">
        <f t="shared" si="116"/>
        <v/>
      </c>
      <c r="BC765" s="632" t="str">
        <f t="shared" si="117"/>
        <v/>
      </c>
      <c r="BD765" s="633" t="str">
        <f>IF(AND(L765="",H765=""),"",
IF(H765="",Pole_Calc!A793,
IF(H765="MP",Pole_Calc!A794,
IF(H765="AnMP",Pole_Calc!A795,
IF(H765="A",Pole_Calc!A796,
IF(H765="S/A",Pole_Calc!A797,
IF(H765="A/S",Pole_Calc!A798,"Poner a mano")))))))</f>
        <v/>
      </c>
      <c r="BE765" s="448" t="s">
        <v>1726</v>
      </c>
      <c r="BF765" s="635"/>
      <c r="BG765" s="635"/>
      <c r="BH765" s="634"/>
      <c r="BI765" s="635"/>
    </row>
    <row r="766" spans="1:61" ht="16.2" customHeight="1">
      <c r="A766" s="12"/>
      <c r="B766" s="446"/>
      <c r="C766" s="89"/>
      <c r="D766" s="13"/>
      <c r="E766" s="14"/>
      <c r="F766" s="14"/>
      <c r="G766" s="15"/>
      <c r="H766" s="8"/>
      <c r="I766" s="8"/>
      <c r="J766" s="89"/>
      <c r="K766" s="8"/>
      <c r="L766" s="8"/>
      <c r="M766" s="8" t="str">
        <f>IF(L766="","",
IF(AX766="PT",VLOOKUP(L766,Foundation_Calc!$V$4:$X$37,VLOOKUP(AX766,Foundation_Calc!$I$10:$J$13,2,FALSE),0),
IF(AX766="K",VLOOKUP(L766,Foundation_Calc!$V$41:$X$74,VLOOKUP(AX766,Foundation_Calc!$I$10:$J$13,2,FALSE),0),"")))</f>
        <v/>
      </c>
      <c r="N766" s="8"/>
      <c r="O766" s="8"/>
      <c r="P766" s="8"/>
      <c r="Q766" s="14"/>
      <c r="R766" s="15"/>
      <c r="S766" s="15"/>
      <c r="T766" s="14"/>
      <c r="U766" s="14"/>
      <c r="V766" s="14"/>
      <c r="W766" s="18"/>
      <c r="X766" s="18"/>
      <c r="Y766" s="18"/>
      <c r="Z766" s="18"/>
      <c r="AA766" s="18"/>
      <c r="AB766" s="18"/>
      <c r="AC766" s="8" t="str">
        <f t="shared" si="114"/>
        <v/>
      </c>
      <c r="AD766" s="8"/>
      <c r="AE766" s="8"/>
      <c r="AF766" s="14"/>
      <c r="AG766" s="13"/>
      <c r="AH766" s="14"/>
      <c r="AI766" s="14"/>
      <c r="AJ766" s="8"/>
      <c r="AK766" s="8"/>
      <c r="AL766" s="8"/>
      <c r="AM766" s="8"/>
      <c r="AN766" s="631"/>
      <c r="AO766" s="18"/>
      <c r="AP766" s="18"/>
      <c r="AQ766" s="18"/>
      <c r="AR766" s="18"/>
      <c r="AS766" s="18"/>
      <c r="AU766" s="448"/>
      <c r="AV766" s="448"/>
      <c r="AW766" s="8" t="str">
        <f>IF(C766&gt;0,VLOOKUP(C766,Foundation_Calc!$A$2:$C$986,3,1),
IF(J766&gt;0,VLOOKUP(J766,Foundation_Calc!$A$2:$C$986,3,1),""))</f>
        <v/>
      </c>
      <c r="AX766" s="8" t="str">
        <f>IF(C766&gt;0,VLOOKUP(C766,Foundation_Calc!$E$2:$G$986,3,1),
IF(J766&gt;0,VLOOKUP(J766,Foundation_Calc!$E$2:$G$986,3,1),""))</f>
        <v/>
      </c>
      <c r="AY766" s="631" t="str">
        <f>IF(L766="","",
IF(AX766="PT",VLOOKUP(L766,Foundation_Calc!$K$4:$R$37,VLOOKUP(AW766,Foundation_Calc!$I$2:$J$8,2,FALSE),0),
IF(AX766="K",VLOOKUP(L766,Foundation_Calc!$K$41:$R$74,VLOOKUP(AW766,Foundation_Calc!$I$2:$J$8,2,FALSE),0),"")))</f>
        <v/>
      </c>
      <c r="AZ766" s="631" t="str">
        <f>IF(K766="","",
IF(AX766="PT",VLOOKUP(K766,Foundation_Calc!$K$4:$R$37,VLOOKUP(AW766,Foundation_Calc!$I$2:$J$8,2,FALSE),0),
IF(AX766="K",VLOOKUP(K766,Foundation_Calc!$K$41:$R$74,VLOOKUP(AW766,Foundation_Calc!$I$2:$J$8,2,FALSE),0),"")))</f>
        <v/>
      </c>
      <c r="BA766" s="632" t="str">
        <f t="shared" si="115"/>
        <v/>
      </c>
      <c r="BB766" s="632" t="str">
        <f t="shared" si="116"/>
        <v/>
      </c>
      <c r="BC766" s="632" t="str">
        <f t="shared" si="117"/>
        <v/>
      </c>
      <c r="BD766" s="633" t="str">
        <f>IF(AND(L766="",H766=""),"",
IF(H766="",Pole_Calc!A794,
IF(H766="MP",Pole_Calc!A795,
IF(H766="AnMP",Pole_Calc!A796,
IF(H766="A",Pole_Calc!A797,
IF(H766="S/A",Pole_Calc!A798,
IF(H766="A/S",Pole_Calc!A799,"Poner a mano")))))))</f>
        <v/>
      </c>
      <c r="BE766" s="448" t="s">
        <v>1726</v>
      </c>
      <c r="BF766" s="634"/>
      <c r="BG766" s="634"/>
      <c r="BH766" s="634"/>
      <c r="BI766" s="634"/>
    </row>
    <row r="767" spans="1:61" ht="16.2" customHeight="1">
      <c r="A767" s="12"/>
      <c r="B767" s="446"/>
      <c r="C767" s="89"/>
      <c r="D767" s="13"/>
      <c r="E767" s="14"/>
      <c r="F767" s="14"/>
      <c r="G767" s="15"/>
      <c r="H767" s="8"/>
      <c r="I767" s="8"/>
      <c r="J767" s="89"/>
      <c r="K767" s="8"/>
      <c r="L767" s="8"/>
      <c r="M767" s="8" t="str">
        <f>IF(L767="","",
IF(AX767="PT",VLOOKUP(L767,Foundation_Calc!$V$4:$X$37,VLOOKUP(AX767,Foundation_Calc!$I$10:$J$13,2,FALSE),0),
IF(AX767="K",VLOOKUP(L767,Foundation_Calc!$V$41:$X$74,VLOOKUP(AX767,Foundation_Calc!$I$10:$J$13,2,FALSE),0),"")))</f>
        <v/>
      </c>
      <c r="N767" s="8"/>
      <c r="O767" s="8"/>
      <c r="P767" s="8"/>
      <c r="Q767" s="14"/>
      <c r="R767" s="15"/>
      <c r="S767" s="15"/>
      <c r="T767" s="14"/>
      <c r="U767" s="14"/>
      <c r="V767" s="14"/>
      <c r="W767" s="18"/>
      <c r="X767" s="18"/>
      <c r="Y767" s="18"/>
      <c r="Z767" s="18"/>
      <c r="AA767" s="18"/>
      <c r="AB767" s="18"/>
      <c r="AC767" s="8" t="str">
        <f t="shared" si="114"/>
        <v/>
      </c>
      <c r="AD767" s="8"/>
      <c r="AE767" s="8"/>
      <c r="AF767" s="14"/>
      <c r="AG767" s="13"/>
      <c r="AH767" s="14"/>
      <c r="AI767" s="14"/>
      <c r="AJ767" s="8"/>
      <c r="AK767" s="8"/>
      <c r="AL767" s="8"/>
      <c r="AM767" s="8"/>
      <c r="AN767" s="631"/>
      <c r="AO767" s="18"/>
      <c r="AP767" s="18"/>
      <c r="AQ767" s="18"/>
      <c r="AR767" s="18"/>
      <c r="AS767" s="18"/>
      <c r="AU767" s="448"/>
      <c r="AV767" s="448"/>
      <c r="AW767" s="8" t="str">
        <f>IF(C767&gt;0,VLOOKUP(C767,Foundation_Calc!$A$2:$C$986,3,1),
IF(J767&gt;0,VLOOKUP(J767,Foundation_Calc!$A$2:$C$986,3,1),""))</f>
        <v/>
      </c>
      <c r="AX767" s="8" t="str">
        <f>IF(C767&gt;0,VLOOKUP(C767,Foundation_Calc!$E$2:$G$986,3,1),
IF(J767&gt;0,VLOOKUP(J767,Foundation_Calc!$E$2:$G$986,3,1),""))</f>
        <v/>
      </c>
      <c r="AY767" s="631" t="str">
        <f>IF(L767="","",
IF(AX767="PT",VLOOKUP(L767,Foundation_Calc!$K$4:$R$37,VLOOKUP(AW767,Foundation_Calc!$I$2:$J$8,2,FALSE),0),
IF(AX767="K",VLOOKUP(L767,Foundation_Calc!$K$41:$R$74,VLOOKUP(AW767,Foundation_Calc!$I$2:$J$8,2,FALSE),0),"")))</f>
        <v/>
      </c>
      <c r="AZ767" s="631" t="str">
        <f>IF(K767="","",
IF(AX767="PT",VLOOKUP(K767,Foundation_Calc!$K$4:$R$37,VLOOKUP(AW767,Foundation_Calc!$I$2:$J$8,2,FALSE),0),
IF(AX767="K",VLOOKUP(K767,Foundation_Calc!$K$41:$R$74,VLOOKUP(AW767,Foundation_Calc!$I$2:$J$8,2,FALSE),0),"")))</f>
        <v/>
      </c>
      <c r="BA767" s="632" t="str">
        <f t="shared" si="115"/>
        <v/>
      </c>
      <c r="BB767" s="632" t="str">
        <f t="shared" si="116"/>
        <v/>
      </c>
      <c r="BC767" s="632" t="str">
        <f t="shared" si="117"/>
        <v/>
      </c>
      <c r="BD767" s="633" t="str">
        <f>IF(AND(L767="",H767=""),"",
IF(H767="",Pole_Calc!A795,
IF(H767="MP",Pole_Calc!A796,
IF(H767="AnMP",Pole_Calc!A797,
IF(H767="A",Pole_Calc!A798,
IF(H767="S/A",Pole_Calc!A799,
IF(H767="A/S",Pole_Calc!A800,"Poner a mano")))))))</f>
        <v/>
      </c>
      <c r="BE767" s="448" t="s">
        <v>1726</v>
      </c>
      <c r="BF767" s="635"/>
      <c r="BG767" s="635"/>
      <c r="BH767" s="634"/>
      <c r="BI767" s="635"/>
    </row>
    <row r="768" spans="1:61" ht="16.2" customHeight="1">
      <c r="A768" s="12"/>
      <c r="B768" s="446"/>
      <c r="C768" s="89"/>
      <c r="D768" s="13"/>
      <c r="E768" s="14"/>
      <c r="F768" s="14"/>
      <c r="G768" s="15"/>
      <c r="H768" s="8"/>
      <c r="I768" s="8"/>
      <c r="J768" s="89"/>
      <c r="K768" s="8"/>
      <c r="L768" s="8"/>
      <c r="M768" s="8" t="str">
        <f>IF(L768="","",
IF(AX768="PT",VLOOKUP(L768,Foundation_Calc!$V$4:$X$37,VLOOKUP(AX768,Foundation_Calc!$I$10:$J$13,2,FALSE),0),
IF(AX768="K",VLOOKUP(L768,Foundation_Calc!$V$41:$X$74,VLOOKUP(AX768,Foundation_Calc!$I$10:$J$13,2,FALSE),0),"")))</f>
        <v/>
      </c>
      <c r="N768" s="8"/>
      <c r="O768" s="8"/>
      <c r="P768" s="8"/>
      <c r="Q768" s="14"/>
      <c r="R768" s="15"/>
      <c r="S768" s="15"/>
      <c r="T768" s="14"/>
      <c r="U768" s="14"/>
      <c r="V768" s="14"/>
      <c r="W768" s="18"/>
      <c r="X768" s="18"/>
      <c r="Y768" s="18"/>
      <c r="Z768" s="18"/>
      <c r="AA768" s="18"/>
      <c r="AB768" s="18"/>
      <c r="AC768" s="8" t="str">
        <f t="shared" si="114"/>
        <v/>
      </c>
      <c r="AD768" s="8"/>
      <c r="AE768" s="8"/>
      <c r="AF768" s="14"/>
      <c r="AG768" s="13"/>
      <c r="AH768" s="14"/>
      <c r="AI768" s="14"/>
      <c r="AJ768" s="8"/>
      <c r="AK768" s="8"/>
      <c r="AL768" s="8"/>
      <c r="AM768" s="8"/>
      <c r="AN768" s="631"/>
      <c r="AO768" s="18"/>
      <c r="AP768" s="18"/>
      <c r="AQ768" s="18"/>
      <c r="AR768" s="18"/>
      <c r="AS768" s="18"/>
      <c r="AU768" s="448"/>
      <c r="AV768" s="448"/>
      <c r="AW768" s="8" t="str">
        <f>IF(C768&gt;0,VLOOKUP(C768,Foundation_Calc!$A$2:$C$986,3,1),
IF(J768&gt;0,VLOOKUP(J768,Foundation_Calc!$A$2:$C$986,3,1),""))</f>
        <v/>
      </c>
      <c r="AX768" s="8" t="str">
        <f>IF(C768&gt;0,VLOOKUP(C768,Foundation_Calc!$E$2:$G$986,3,1),
IF(J768&gt;0,VLOOKUP(J768,Foundation_Calc!$E$2:$G$986,3,1),""))</f>
        <v/>
      </c>
      <c r="AY768" s="631" t="str">
        <f>IF(L768="","",
IF(AX768="PT",VLOOKUP(L768,Foundation_Calc!$K$4:$R$37,VLOOKUP(AW768,Foundation_Calc!$I$2:$J$8,2,FALSE),0),
IF(AX768="K",VLOOKUP(L768,Foundation_Calc!$K$41:$R$74,VLOOKUP(AW768,Foundation_Calc!$I$2:$J$8,2,FALSE),0),"")))</f>
        <v/>
      </c>
      <c r="AZ768" s="631" t="str">
        <f>IF(K768="","",
IF(AX768="PT",VLOOKUP(K768,Foundation_Calc!$K$4:$R$37,VLOOKUP(AW768,Foundation_Calc!$I$2:$J$8,2,FALSE),0),
IF(AX768="K",VLOOKUP(K768,Foundation_Calc!$K$41:$R$74,VLOOKUP(AW768,Foundation_Calc!$I$2:$J$8,2,FALSE),0),"")))</f>
        <v/>
      </c>
      <c r="BA768" s="632" t="str">
        <f t="shared" si="115"/>
        <v/>
      </c>
      <c r="BB768" s="632" t="str">
        <f t="shared" si="116"/>
        <v/>
      </c>
      <c r="BC768" s="632" t="str">
        <f t="shared" si="117"/>
        <v/>
      </c>
      <c r="BD768" s="633" t="str">
        <f>IF(AND(L768="",H768=""),"",
IF(H768="",Pole_Calc!A796,
IF(H768="MP",Pole_Calc!A797,
IF(H768="AnMP",Pole_Calc!A798,
IF(H768="A",Pole_Calc!A799,
IF(H768="S/A",Pole_Calc!A800,
IF(H768="A/S",Pole_Calc!A801,"Poner a mano")))))))</f>
        <v/>
      </c>
      <c r="BE768" s="448" t="s">
        <v>1726</v>
      </c>
      <c r="BF768" s="634"/>
      <c r="BG768" s="634"/>
      <c r="BH768" s="634"/>
      <c r="BI768" s="634"/>
    </row>
    <row r="769" spans="1:61" ht="16.2" customHeight="1">
      <c r="A769" s="12"/>
      <c r="B769" s="446"/>
      <c r="C769" s="89"/>
      <c r="D769" s="13"/>
      <c r="E769" s="14"/>
      <c r="F769" s="14"/>
      <c r="G769" s="15"/>
      <c r="H769" s="8"/>
      <c r="I769" s="8"/>
      <c r="J769" s="89"/>
      <c r="K769" s="8"/>
      <c r="L769" s="8"/>
      <c r="M769" s="8" t="str">
        <f>IF(L769="","",
IF(AX769="PT",VLOOKUP(L769,Foundation_Calc!$V$4:$X$37,VLOOKUP(AX769,Foundation_Calc!$I$10:$J$13,2,FALSE),0),
IF(AX769="K",VLOOKUP(L769,Foundation_Calc!$V$41:$X$74,VLOOKUP(AX769,Foundation_Calc!$I$10:$J$13,2,FALSE),0),"")))</f>
        <v/>
      </c>
      <c r="N769" s="8"/>
      <c r="O769" s="8"/>
      <c r="P769" s="8"/>
      <c r="Q769" s="14"/>
      <c r="R769" s="15"/>
      <c r="S769" s="15"/>
      <c r="T769" s="14"/>
      <c r="U769" s="14"/>
      <c r="V769" s="14"/>
      <c r="W769" s="18"/>
      <c r="X769" s="18"/>
      <c r="Y769" s="18"/>
      <c r="Z769" s="18"/>
      <c r="AA769" s="18"/>
      <c r="AB769" s="18"/>
      <c r="AC769" s="8" t="str">
        <f t="shared" si="114"/>
        <v/>
      </c>
      <c r="AD769" s="8"/>
      <c r="AE769" s="8"/>
      <c r="AF769" s="14"/>
      <c r="AG769" s="13"/>
      <c r="AH769" s="14"/>
      <c r="AI769" s="14"/>
      <c r="AJ769" s="8"/>
      <c r="AK769" s="8"/>
      <c r="AL769" s="8"/>
      <c r="AM769" s="8"/>
      <c r="AN769" s="631"/>
      <c r="AO769" s="18"/>
      <c r="AP769" s="18"/>
      <c r="AQ769" s="18"/>
      <c r="AR769" s="18"/>
      <c r="AS769" s="18"/>
      <c r="AU769" s="448"/>
      <c r="AV769" s="448"/>
      <c r="AW769" s="8" t="str">
        <f>IF(C769&gt;0,VLOOKUP(C769,Foundation_Calc!$A$2:$C$986,3,1),
IF(J769&gt;0,VLOOKUP(J769,Foundation_Calc!$A$2:$C$986,3,1),""))</f>
        <v/>
      </c>
      <c r="AX769" s="8" t="str">
        <f>IF(C769&gt;0,VLOOKUP(C769,Foundation_Calc!$E$2:$G$986,3,1),
IF(J769&gt;0,VLOOKUP(J769,Foundation_Calc!$E$2:$G$986,3,1),""))</f>
        <v/>
      </c>
      <c r="AY769" s="631" t="str">
        <f>IF(L769="","",
IF(AX769="PT",VLOOKUP(L769,Foundation_Calc!$K$4:$R$37,VLOOKUP(AW769,Foundation_Calc!$I$2:$J$8,2,FALSE),0),
IF(AX769="K",VLOOKUP(L769,Foundation_Calc!$K$41:$R$74,VLOOKUP(AW769,Foundation_Calc!$I$2:$J$8,2,FALSE),0),"")))</f>
        <v/>
      </c>
      <c r="AZ769" s="631" t="str">
        <f>IF(K769="","",
IF(AX769="PT",VLOOKUP(K769,Foundation_Calc!$K$4:$R$37,VLOOKUP(AW769,Foundation_Calc!$I$2:$J$8,2,FALSE),0),
IF(AX769="K",VLOOKUP(K769,Foundation_Calc!$K$41:$R$74,VLOOKUP(AW769,Foundation_Calc!$I$2:$J$8,2,FALSE),0),"")))</f>
        <v/>
      </c>
      <c r="BA769" s="632" t="str">
        <f t="shared" si="115"/>
        <v/>
      </c>
      <c r="BB769" s="632" t="str">
        <f t="shared" si="116"/>
        <v/>
      </c>
      <c r="BC769" s="632" t="str">
        <f t="shared" si="117"/>
        <v/>
      </c>
      <c r="BD769" s="633" t="str">
        <f>IF(AND(L769="",H769=""),"",
IF(H769="",Pole_Calc!A797,
IF(H769="MP",Pole_Calc!A798,
IF(H769="AnMP",Pole_Calc!A799,
IF(H769="A",Pole_Calc!A800,
IF(H769="S/A",Pole_Calc!A801,
IF(H769="A/S",Pole_Calc!A802,"Poner a mano")))))))</f>
        <v/>
      </c>
      <c r="BE769" s="448" t="s">
        <v>1726</v>
      </c>
      <c r="BF769" s="635"/>
      <c r="BG769" s="635"/>
      <c r="BH769" s="634"/>
      <c r="BI769" s="635"/>
    </row>
    <row r="770" spans="1:61" ht="16.2" customHeight="1">
      <c r="A770" s="12"/>
      <c r="B770" s="446"/>
      <c r="C770" s="89"/>
      <c r="D770" s="13"/>
      <c r="E770" s="14"/>
      <c r="F770" s="14"/>
      <c r="G770" s="15"/>
      <c r="H770" s="8"/>
      <c r="I770" s="8"/>
      <c r="J770" s="89"/>
      <c r="K770" s="8"/>
      <c r="L770" s="8"/>
      <c r="M770" s="8" t="str">
        <f>IF(L770="","",
IF(AX770="PT",VLOOKUP(L770,Foundation_Calc!$V$4:$X$37,VLOOKUP(AX770,Foundation_Calc!$I$10:$J$13,2,FALSE),0),
IF(AX770="K",VLOOKUP(L770,Foundation_Calc!$V$41:$X$74,VLOOKUP(AX770,Foundation_Calc!$I$10:$J$13,2,FALSE),0),"")))</f>
        <v/>
      </c>
      <c r="N770" s="8"/>
      <c r="O770" s="8"/>
      <c r="P770" s="8"/>
      <c r="Q770" s="14"/>
      <c r="R770" s="15"/>
      <c r="S770" s="15"/>
      <c r="T770" s="14"/>
      <c r="U770" s="14"/>
      <c r="V770" s="14"/>
      <c r="W770" s="18"/>
      <c r="X770" s="18"/>
      <c r="Y770" s="18"/>
      <c r="Z770" s="18"/>
      <c r="AA770" s="18"/>
      <c r="AB770" s="18"/>
      <c r="AC770" s="8" t="str">
        <f t="shared" si="114"/>
        <v/>
      </c>
      <c r="AD770" s="8"/>
      <c r="AE770" s="8"/>
      <c r="AF770" s="14"/>
      <c r="AG770" s="13"/>
      <c r="AH770" s="14"/>
      <c r="AI770" s="14"/>
      <c r="AJ770" s="8"/>
      <c r="AK770" s="8"/>
      <c r="AL770" s="8"/>
      <c r="AM770" s="8"/>
      <c r="AN770" s="631"/>
      <c r="AO770" s="18"/>
      <c r="AP770" s="18"/>
      <c r="AQ770" s="18"/>
      <c r="AR770" s="18"/>
      <c r="AS770" s="18"/>
      <c r="AU770" s="448"/>
      <c r="AV770" s="448"/>
      <c r="AW770" s="8" t="str">
        <f>IF(C770&gt;0,VLOOKUP(C770,Foundation_Calc!$A$2:$C$986,3,1),
IF(J770&gt;0,VLOOKUP(J770,Foundation_Calc!$A$2:$C$986,3,1),""))</f>
        <v/>
      </c>
      <c r="AX770" s="8" t="str">
        <f>IF(C770&gt;0,VLOOKUP(C770,Foundation_Calc!$E$2:$G$986,3,1),
IF(J770&gt;0,VLOOKUP(J770,Foundation_Calc!$E$2:$G$986,3,1),""))</f>
        <v/>
      </c>
      <c r="AY770" s="631" t="str">
        <f>IF(L770="","",
IF(AX770="PT",VLOOKUP(L770,Foundation_Calc!$K$4:$R$37,VLOOKUP(AW770,Foundation_Calc!$I$2:$J$8,2,FALSE),0),
IF(AX770="K",VLOOKUP(L770,Foundation_Calc!$K$41:$R$74,VLOOKUP(AW770,Foundation_Calc!$I$2:$J$8,2,FALSE),0),"")))</f>
        <v/>
      </c>
      <c r="AZ770" s="631" t="str">
        <f>IF(K770="","",
IF(AX770="PT",VLOOKUP(K770,Foundation_Calc!$K$4:$R$37,VLOOKUP(AW770,Foundation_Calc!$I$2:$J$8,2,FALSE),0),
IF(AX770="K",VLOOKUP(K770,Foundation_Calc!$K$41:$R$74,VLOOKUP(AW770,Foundation_Calc!$I$2:$J$8,2,FALSE),0),"")))</f>
        <v/>
      </c>
      <c r="BA770" s="632" t="str">
        <f t="shared" si="115"/>
        <v/>
      </c>
      <c r="BB770" s="632" t="str">
        <f t="shared" si="116"/>
        <v/>
      </c>
      <c r="BC770" s="632" t="str">
        <f t="shared" si="117"/>
        <v/>
      </c>
      <c r="BD770" s="633" t="str">
        <f>IF(AND(L770="",H770=""),"",
IF(H770="",Pole_Calc!A798,
IF(H770="MP",Pole_Calc!A799,
IF(H770="AnMP",Pole_Calc!A800,
IF(H770="A",Pole_Calc!A801,
IF(H770="S/A",Pole_Calc!A802,
IF(H770="A/S",Pole_Calc!A803,"Poner a mano")))))))</f>
        <v/>
      </c>
      <c r="BE770" s="448" t="s">
        <v>1726</v>
      </c>
      <c r="BF770" s="634"/>
      <c r="BG770" s="634"/>
      <c r="BH770" s="634"/>
      <c r="BI770" s="634"/>
    </row>
    <row r="771" spans="1:61" ht="16.2" customHeight="1">
      <c r="A771" s="12"/>
      <c r="B771" s="446"/>
      <c r="C771" s="89"/>
      <c r="D771" s="13"/>
      <c r="E771" s="14"/>
      <c r="F771" s="14"/>
      <c r="G771" s="15"/>
      <c r="H771" s="8"/>
      <c r="I771" s="8"/>
      <c r="J771" s="89"/>
      <c r="K771" s="8"/>
      <c r="L771" s="8"/>
      <c r="M771" s="8" t="str">
        <f>IF(L771="","",
IF(AX771="PT",VLOOKUP(L771,Foundation_Calc!$V$4:$X$37,VLOOKUP(AX771,Foundation_Calc!$I$10:$J$13,2,FALSE),0),
IF(AX771="K",VLOOKUP(L771,Foundation_Calc!$V$41:$X$74,VLOOKUP(AX771,Foundation_Calc!$I$10:$J$13,2,FALSE),0),"")))</f>
        <v/>
      </c>
      <c r="N771" s="8"/>
      <c r="O771" s="8"/>
      <c r="P771" s="8"/>
      <c r="Q771" s="14"/>
      <c r="R771" s="15"/>
      <c r="S771" s="15"/>
      <c r="T771" s="14"/>
      <c r="U771" s="14"/>
      <c r="V771" s="14"/>
      <c r="W771" s="18"/>
      <c r="X771" s="18"/>
      <c r="Y771" s="18"/>
      <c r="Z771" s="18"/>
      <c r="AA771" s="18"/>
      <c r="AB771" s="18"/>
      <c r="AC771" s="8" t="str">
        <f t="shared" si="114"/>
        <v/>
      </c>
      <c r="AD771" s="8"/>
      <c r="AE771" s="8"/>
      <c r="AF771" s="14"/>
      <c r="AG771" s="13"/>
      <c r="AH771" s="14"/>
      <c r="AI771" s="14"/>
      <c r="AJ771" s="8"/>
      <c r="AK771" s="8"/>
      <c r="AL771" s="8"/>
      <c r="AM771" s="8"/>
      <c r="AN771" s="631"/>
      <c r="AO771" s="18"/>
      <c r="AP771" s="18"/>
      <c r="AQ771" s="18"/>
      <c r="AR771" s="18"/>
      <c r="AS771" s="18"/>
      <c r="AU771" s="448"/>
      <c r="AV771" s="448"/>
      <c r="AW771" s="8" t="str">
        <f>IF(C771&gt;0,VLOOKUP(C771,Foundation_Calc!$A$2:$C$986,3,1),
IF(J771&gt;0,VLOOKUP(J771,Foundation_Calc!$A$2:$C$986,3,1),""))</f>
        <v/>
      </c>
      <c r="AX771" s="8" t="str">
        <f>IF(C771&gt;0,VLOOKUP(C771,Foundation_Calc!$E$2:$G$986,3,1),
IF(J771&gt;0,VLOOKUP(J771,Foundation_Calc!$E$2:$G$986,3,1),""))</f>
        <v/>
      </c>
      <c r="AY771" s="631" t="str">
        <f>IF(L771="","",
IF(AX771="PT",VLOOKUP(L771,Foundation_Calc!$K$4:$R$37,VLOOKUP(AW771,Foundation_Calc!$I$2:$J$8,2,FALSE),0),
IF(AX771="K",VLOOKUP(L771,Foundation_Calc!$K$41:$R$74,VLOOKUP(AW771,Foundation_Calc!$I$2:$J$8,2,FALSE),0),"")))</f>
        <v/>
      </c>
      <c r="AZ771" s="631" t="str">
        <f>IF(K771="","",
IF(AX771="PT",VLOOKUP(K771,Foundation_Calc!$K$4:$R$37,VLOOKUP(AW771,Foundation_Calc!$I$2:$J$8,2,FALSE),0),
IF(AX771="K",VLOOKUP(K771,Foundation_Calc!$K$41:$R$74,VLOOKUP(AW771,Foundation_Calc!$I$2:$J$8,2,FALSE),0),"")))</f>
        <v/>
      </c>
      <c r="BA771" s="632" t="str">
        <f t="shared" si="115"/>
        <v/>
      </c>
      <c r="BB771" s="632" t="str">
        <f t="shared" si="116"/>
        <v/>
      </c>
      <c r="BC771" s="632" t="str">
        <f t="shared" si="117"/>
        <v/>
      </c>
      <c r="BD771" s="633" t="str">
        <f>IF(AND(L771="",H771=""),"",
IF(H771="",Pole_Calc!A799,
IF(H771="MP",Pole_Calc!A800,
IF(H771="AnMP",Pole_Calc!A801,
IF(H771="A",Pole_Calc!A802,
IF(H771="S/A",Pole_Calc!A803,
IF(H771="A/S",Pole_Calc!A804,"Poner a mano")))))))</f>
        <v/>
      </c>
      <c r="BE771" s="448" t="s">
        <v>1726</v>
      </c>
      <c r="BF771" s="635"/>
      <c r="BG771" s="635"/>
      <c r="BH771" s="634"/>
      <c r="BI771" s="635"/>
    </row>
    <row r="772" spans="1:61" ht="16.2" customHeight="1">
      <c r="A772" s="12"/>
      <c r="B772" s="446"/>
      <c r="C772" s="89"/>
      <c r="D772" s="13"/>
      <c r="E772" s="14"/>
      <c r="F772" s="14"/>
      <c r="G772" s="15"/>
      <c r="H772" s="8"/>
      <c r="I772" s="8"/>
      <c r="J772" s="89"/>
      <c r="K772" s="8"/>
      <c r="L772" s="8"/>
      <c r="M772" s="8" t="str">
        <f>IF(L772="","",
IF(AX772="PT",VLOOKUP(L772,Foundation_Calc!$V$4:$X$37,VLOOKUP(AX772,Foundation_Calc!$I$10:$J$13,2,FALSE),0),
IF(AX772="K",VLOOKUP(L772,Foundation_Calc!$V$41:$X$74,VLOOKUP(AX772,Foundation_Calc!$I$10:$J$13,2,FALSE),0),"")))</f>
        <v/>
      </c>
      <c r="N772" s="8"/>
      <c r="O772" s="8"/>
      <c r="P772" s="8"/>
      <c r="Q772" s="14"/>
      <c r="R772" s="15"/>
      <c r="S772" s="15"/>
      <c r="T772" s="14"/>
      <c r="U772" s="14"/>
      <c r="V772" s="14"/>
      <c r="W772" s="18"/>
      <c r="X772" s="18"/>
      <c r="Y772" s="18"/>
      <c r="Z772" s="18"/>
      <c r="AA772" s="18"/>
      <c r="AB772" s="18"/>
      <c r="AC772" s="8" t="str">
        <f t="shared" si="114"/>
        <v/>
      </c>
      <c r="AD772" s="8"/>
      <c r="AE772" s="8"/>
      <c r="AF772" s="14"/>
      <c r="AG772" s="13"/>
      <c r="AH772" s="14"/>
      <c r="AI772" s="14"/>
      <c r="AJ772" s="8"/>
      <c r="AK772" s="8"/>
      <c r="AL772" s="8"/>
      <c r="AM772" s="8"/>
      <c r="AN772" s="631"/>
      <c r="AO772" s="18"/>
      <c r="AP772" s="18"/>
      <c r="AQ772" s="18"/>
      <c r="AR772" s="18"/>
      <c r="AS772" s="18"/>
      <c r="AU772" s="448"/>
      <c r="AV772" s="448"/>
      <c r="AW772" s="8" t="str">
        <f>IF(C772&gt;0,VLOOKUP(C772,Foundation_Calc!$A$2:$C$986,3,1),
IF(J772&gt;0,VLOOKUP(J772,Foundation_Calc!$A$2:$C$986,3,1),""))</f>
        <v/>
      </c>
      <c r="AX772" s="8" t="str">
        <f>IF(C772&gt;0,VLOOKUP(C772,Foundation_Calc!$E$2:$G$986,3,1),
IF(J772&gt;0,VLOOKUP(J772,Foundation_Calc!$E$2:$G$986,3,1),""))</f>
        <v/>
      </c>
      <c r="AY772" s="631" t="str">
        <f>IF(L772="","",
IF(AX772="PT",VLOOKUP(L772,Foundation_Calc!$K$4:$R$37,VLOOKUP(AW772,Foundation_Calc!$I$2:$J$8,2,FALSE),0),
IF(AX772="K",VLOOKUP(L772,Foundation_Calc!$K$41:$R$74,VLOOKUP(AW772,Foundation_Calc!$I$2:$J$8,2,FALSE),0),"")))</f>
        <v/>
      </c>
      <c r="AZ772" s="631" t="str">
        <f>IF(K772="","",
IF(AX772="PT",VLOOKUP(K772,Foundation_Calc!$K$4:$R$37,VLOOKUP(AW772,Foundation_Calc!$I$2:$J$8,2,FALSE),0),
IF(AX772="K",VLOOKUP(K772,Foundation_Calc!$K$41:$R$74,VLOOKUP(AW772,Foundation_Calc!$I$2:$J$8,2,FALSE),0),"")))</f>
        <v/>
      </c>
      <c r="BA772" s="632" t="str">
        <f t="shared" si="115"/>
        <v/>
      </c>
      <c r="BB772" s="632" t="str">
        <f t="shared" si="116"/>
        <v/>
      </c>
      <c r="BC772" s="632" t="str">
        <f t="shared" si="117"/>
        <v/>
      </c>
      <c r="BD772" s="633" t="str">
        <f>IF(AND(L772="",H772=""),"",
IF(H772="",Pole_Calc!A800,
IF(H772="MP",Pole_Calc!A801,
IF(H772="AnMP",Pole_Calc!A802,
IF(H772="A",Pole_Calc!A803,
IF(H772="S/A",Pole_Calc!A804,
IF(H772="A/S",Pole_Calc!A805,"Poner a mano")))))))</f>
        <v/>
      </c>
      <c r="BE772" s="448" t="s">
        <v>1726</v>
      </c>
      <c r="BF772" s="634"/>
      <c r="BG772" s="634"/>
      <c r="BH772" s="634"/>
      <c r="BI772" s="634"/>
    </row>
    <row r="773" spans="1:61" ht="16.2" customHeight="1">
      <c r="A773" s="12"/>
      <c r="B773" s="446"/>
      <c r="C773" s="89"/>
      <c r="D773" s="13"/>
      <c r="E773" s="14"/>
      <c r="F773" s="14"/>
      <c r="G773" s="15"/>
      <c r="H773" s="8"/>
      <c r="I773" s="8"/>
      <c r="J773" s="89"/>
      <c r="K773" s="8"/>
      <c r="L773" s="8"/>
      <c r="M773" s="8" t="str">
        <f>IF(L773="","",
IF(AX773="PT",VLOOKUP(L773,Foundation_Calc!$V$4:$X$37,VLOOKUP(AX773,Foundation_Calc!$I$10:$J$13,2,FALSE),0),
IF(AX773="K",VLOOKUP(L773,Foundation_Calc!$V$41:$X$74,VLOOKUP(AX773,Foundation_Calc!$I$10:$J$13,2,FALSE),0),"")))</f>
        <v/>
      </c>
      <c r="N773" s="8"/>
      <c r="O773" s="8"/>
      <c r="P773" s="8"/>
      <c r="Q773" s="14"/>
      <c r="R773" s="15"/>
      <c r="S773" s="15"/>
      <c r="T773" s="14"/>
      <c r="U773" s="14"/>
      <c r="V773" s="14"/>
      <c r="W773" s="18"/>
      <c r="X773" s="18"/>
      <c r="Y773" s="18"/>
      <c r="Z773" s="18"/>
      <c r="AA773" s="18"/>
      <c r="AB773" s="18"/>
      <c r="AC773" s="8" t="str">
        <f t="shared" si="114"/>
        <v/>
      </c>
      <c r="AD773" s="8"/>
      <c r="AE773" s="8"/>
      <c r="AF773" s="14"/>
      <c r="AG773" s="13"/>
      <c r="AH773" s="14"/>
      <c r="AI773" s="14"/>
      <c r="AJ773" s="8"/>
      <c r="AK773" s="8"/>
      <c r="AL773" s="8"/>
      <c r="AM773" s="8"/>
      <c r="AN773" s="631"/>
      <c r="AO773" s="18"/>
      <c r="AP773" s="18"/>
      <c r="AQ773" s="18"/>
      <c r="AR773" s="18"/>
      <c r="AS773" s="18"/>
      <c r="AU773" s="448"/>
      <c r="AV773" s="448"/>
      <c r="AW773" s="8" t="str">
        <f>IF(C773&gt;0,VLOOKUP(C773,Foundation_Calc!$A$2:$C$986,3,1),
IF(J773&gt;0,VLOOKUP(J773,Foundation_Calc!$A$2:$C$986,3,1),""))</f>
        <v/>
      </c>
      <c r="AX773" s="8" t="str">
        <f>IF(C773&gt;0,VLOOKUP(C773,Foundation_Calc!$E$2:$G$986,3,1),
IF(J773&gt;0,VLOOKUP(J773,Foundation_Calc!$E$2:$G$986,3,1),""))</f>
        <v/>
      </c>
      <c r="AY773" s="631" t="str">
        <f>IF(L773="","",
IF(AX773="PT",VLOOKUP(L773,Foundation_Calc!$K$4:$R$37,VLOOKUP(AW773,Foundation_Calc!$I$2:$J$8,2,FALSE),0),
IF(AX773="K",VLOOKUP(L773,Foundation_Calc!$K$41:$R$74,VLOOKUP(AW773,Foundation_Calc!$I$2:$J$8,2,FALSE),0),"")))</f>
        <v/>
      </c>
      <c r="AZ773" s="631" t="str">
        <f>IF(K773="","",
IF(AX773="PT",VLOOKUP(K773,Foundation_Calc!$K$4:$R$37,VLOOKUP(AW773,Foundation_Calc!$I$2:$J$8,2,FALSE),0),
IF(AX773="K",VLOOKUP(K773,Foundation_Calc!$K$41:$R$74,VLOOKUP(AW773,Foundation_Calc!$I$2:$J$8,2,FALSE),0),"")))</f>
        <v/>
      </c>
      <c r="BA773" s="632" t="str">
        <f t="shared" si="115"/>
        <v/>
      </c>
      <c r="BB773" s="632" t="str">
        <f t="shared" si="116"/>
        <v/>
      </c>
      <c r="BC773" s="632" t="str">
        <f t="shared" si="117"/>
        <v/>
      </c>
      <c r="BD773" s="633" t="str">
        <f>IF(AND(L773="",H773=""),"",
IF(H773="",Pole_Calc!A801,
IF(H773="MP",Pole_Calc!A802,
IF(H773="AnMP",Pole_Calc!A803,
IF(H773="A",Pole_Calc!A804,
IF(H773="S/A",Pole_Calc!A805,
IF(H773="A/S",Pole_Calc!A806,"Poner a mano")))))))</f>
        <v/>
      </c>
      <c r="BE773" s="448" t="s">
        <v>1726</v>
      </c>
      <c r="BF773" s="635"/>
      <c r="BG773" s="635"/>
      <c r="BH773" s="634"/>
      <c r="BI773" s="635"/>
    </row>
    <row r="774" spans="1:61" ht="16.2" customHeight="1">
      <c r="A774" s="12"/>
      <c r="B774" s="446"/>
      <c r="C774" s="89"/>
      <c r="D774" s="13"/>
      <c r="E774" s="14"/>
      <c r="F774" s="14"/>
      <c r="G774" s="15"/>
      <c r="H774" s="8"/>
      <c r="I774" s="8"/>
      <c r="J774" s="89"/>
      <c r="K774" s="8"/>
      <c r="L774" s="8"/>
      <c r="M774" s="8" t="str">
        <f>IF(L774="","",
IF(AX774="PT",VLOOKUP(L774,Foundation_Calc!$V$4:$X$37,VLOOKUP(AX774,Foundation_Calc!$I$10:$J$13,2,FALSE),0),
IF(AX774="K",VLOOKUP(L774,Foundation_Calc!$V$41:$X$74,VLOOKUP(AX774,Foundation_Calc!$I$10:$J$13,2,FALSE),0),"")))</f>
        <v/>
      </c>
      <c r="N774" s="8"/>
      <c r="O774" s="8"/>
      <c r="P774" s="8"/>
      <c r="Q774" s="14"/>
      <c r="R774" s="15"/>
      <c r="S774" s="15"/>
      <c r="T774" s="14"/>
      <c r="U774" s="14"/>
      <c r="V774" s="14"/>
      <c r="W774" s="18"/>
      <c r="X774" s="18"/>
      <c r="Y774" s="18"/>
      <c r="Z774" s="18"/>
      <c r="AA774" s="18"/>
      <c r="AB774" s="18"/>
      <c r="AC774" s="8" t="str">
        <f t="shared" ref="AC774:AC800" si="118">IF(OR(AT774&gt;8,AT774&lt;-8),"PH",
IF(OR(AT774&gt;5,AT774&lt;-5),"PHQ",
IF(OR(AT774&gt;1,AT774&lt;-1),
"PHC","")))</f>
        <v/>
      </c>
      <c r="AD774" s="8"/>
      <c r="AE774" s="8"/>
      <c r="AF774" s="14"/>
      <c r="AG774" s="13"/>
      <c r="AH774" s="14"/>
      <c r="AI774" s="14"/>
      <c r="AJ774" s="8"/>
      <c r="AK774" s="8"/>
      <c r="AL774" s="8"/>
      <c r="AM774" s="8"/>
      <c r="AN774" s="631"/>
      <c r="AO774" s="18"/>
      <c r="AP774" s="18"/>
      <c r="AQ774" s="18"/>
      <c r="AR774" s="18"/>
      <c r="AS774" s="18"/>
      <c r="AU774" s="448"/>
      <c r="AV774" s="448"/>
      <c r="AW774" s="8" t="str">
        <f>IF(C774&gt;0,VLOOKUP(C774,Foundation_Calc!$A$2:$C$986,3,1),
IF(J774&gt;0,VLOOKUP(J774,Foundation_Calc!$A$2:$C$986,3,1),""))</f>
        <v/>
      </c>
      <c r="AX774" s="8" t="str">
        <f>IF(C774&gt;0,VLOOKUP(C774,Foundation_Calc!$E$2:$G$986,3,1),
IF(J774&gt;0,VLOOKUP(J774,Foundation_Calc!$E$2:$G$986,3,1),""))</f>
        <v/>
      </c>
      <c r="AY774" s="631" t="str">
        <f>IF(L774="","",
IF(AX774="PT",VLOOKUP(L774,Foundation_Calc!$K$4:$R$37,VLOOKUP(AW774,Foundation_Calc!$I$2:$J$8,2,FALSE),0),
IF(AX774="K",VLOOKUP(L774,Foundation_Calc!$K$41:$R$74,VLOOKUP(AW774,Foundation_Calc!$I$2:$J$8,2,FALSE),0),"")))</f>
        <v/>
      </c>
      <c r="AZ774" s="631" t="str">
        <f>IF(K774="","",
IF(AX774="PT",VLOOKUP(K774,Foundation_Calc!$K$4:$R$37,VLOOKUP(AW774,Foundation_Calc!$I$2:$J$8,2,FALSE),0),
IF(AX774="K",VLOOKUP(K774,Foundation_Calc!$K$41:$R$74,VLOOKUP(AW774,Foundation_Calc!$I$2:$J$8,2,FALSE),0),"")))</f>
        <v/>
      </c>
      <c r="BA774" s="632" t="str">
        <f t="shared" ref="BA774:BA800" si="119">IF(AY774="","",IF(AY774&gt;0,"ü",""))</f>
        <v/>
      </c>
      <c r="BB774" s="632" t="str">
        <f t="shared" ref="BB774:BB800" si="120">IF(AZ774="","",IF(AZ774&gt;0,"ü",""))</f>
        <v/>
      </c>
      <c r="BC774" s="632" t="str">
        <f t="shared" ref="BC774:BC800" si="121">IF(M774="","",IF(M774="Unique Solution","ü",""))</f>
        <v/>
      </c>
      <c r="BD774" s="633" t="str">
        <f>IF(AND(L774="",H774=""),"",
IF(H774="",Pole_Calc!A802,
IF(H774="MP",Pole_Calc!A803,
IF(H774="AnMP",Pole_Calc!A804,
IF(H774="A",Pole_Calc!A805,
IF(H774="S/A",Pole_Calc!A806,
IF(H774="A/S",Pole_Calc!A807,"Poner a mano")))))))</f>
        <v/>
      </c>
      <c r="BE774" s="448" t="s">
        <v>1726</v>
      </c>
      <c r="BF774" s="634"/>
      <c r="BG774" s="634"/>
      <c r="BH774" s="634"/>
      <c r="BI774" s="634"/>
    </row>
    <row r="775" spans="1:61" ht="16.2" customHeight="1">
      <c r="A775" s="12"/>
      <c r="B775" s="446"/>
      <c r="C775" s="89"/>
      <c r="D775" s="13"/>
      <c r="E775" s="14"/>
      <c r="F775" s="14"/>
      <c r="G775" s="15"/>
      <c r="H775" s="8"/>
      <c r="I775" s="8"/>
      <c r="J775" s="89"/>
      <c r="K775" s="8"/>
      <c r="L775" s="8"/>
      <c r="M775" s="8" t="str">
        <f>IF(L775="","",
IF(AX775="PT",VLOOKUP(L775,Foundation_Calc!$V$4:$X$37,VLOOKUP(AX775,Foundation_Calc!$I$10:$J$13,2,FALSE),0),
IF(AX775="K",VLOOKUP(L775,Foundation_Calc!$V$41:$X$74,VLOOKUP(AX775,Foundation_Calc!$I$10:$J$13,2,FALSE),0),"")))</f>
        <v/>
      </c>
      <c r="N775" s="8"/>
      <c r="O775" s="8"/>
      <c r="P775" s="8"/>
      <c r="Q775" s="14"/>
      <c r="R775" s="15"/>
      <c r="S775" s="15"/>
      <c r="T775" s="14"/>
      <c r="U775" s="14"/>
      <c r="V775" s="14"/>
      <c r="W775" s="18"/>
      <c r="X775" s="18"/>
      <c r="Y775" s="18"/>
      <c r="Z775" s="18"/>
      <c r="AA775" s="18"/>
      <c r="AB775" s="18"/>
      <c r="AC775" s="8" t="str">
        <f t="shared" si="118"/>
        <v/>
      </c>
      <c r="AD775" s="8"/>
      <c r="AE775" s="8"/>
      <c r="AF775" s="14"/>
      <c r="AG775" s="13"/>
      <c r="AH775" s="14"/>
      <c r="AI775" s="14"/>
      <c r="AJ775" s="8"/>
      <c r="AK775" s="8"/>
      <c r="AL775" s="8"/>
      <c r="AM775" s="8"/>
      <c r="AN775" s="631"/>
      <c r="AO775" s="18"/>
      <c r="AP775" s="18"/>
      <c r="AQ775" s="18"/>
      <c r="AR775" s="18"/>
      <c r="AS775" s="18"/>
      <c r="AU775" s="448"/>
      <c r="AV775" s="448"/>
      <c r="AW775" s="8" t="str">
        <f>IF(C775&gt;0,VLOOKUP(C775,Foundation_Calc!$A$2:$C$986,3,1),
IF(J775&gt;0,VLOOKUP(J775,Foundation_Calc!$A$2:$C$986,3,1),""))</f>
        <v/>
      </c>
      <c r="AX775" s="8" t="str">
        <f>IF(C775&gt;0,VLOOKUP(C775,Foundation_Calc!$E$2:$G$986,3,1),
IF(J775&gt;0,VLOOKUP(J775,Foundation_Calc!$E$2:$G$986,3,1),""))</f>
        <v/>
      </c>
      <c r="AY775" s="631" t="str">
        <f>IF(L775="","",
IF(AX775="PT",VLOOKUP(L775,Foundation_Calc!$K$4:$R$37,VLOOKUP(AW775,Foundation_Calc!$I$2:$J$8,2,FALSE),0),
IF(AX775="K",VLOOKUP(L775,Foundation_Calc!$K$41:$R$74,VLOOKUP(AW775,Foundation_Calc!$I$2:$J$8,2,FALSE),0),"")))</f>
        <v/>
      </c>
      <c r="AZ775" s="631" t="str">
        <f>IF(K775="","",
IF(AX775="PT",VLOOKUP(K775,Foundation_Calc!$K$4:$R$37,VLOOKUP(AW775,Foundation_Calc!$I$2:$J$8,2,FALSE),0),
IF(AX775="K",VLOOKUP(K775,Foundation_Calc!$K$41:$R$74,VLOOKUP(AW775,Foundation_Calc!$I$2:$J$8,2,FALSE),0),"")))</f>
        <v/>
      </c>
      <c r="BA775" s="632" t="str">
        <f t="shared" si="119"/>
        <v/>
      </c>
      <c r="BB775" s="632" t="str">
        <f t="shared" si="120"/>
        <v/>
      </c>
      <c r="BC775" s="632" t="str">
        <f t="shared" si="121"/>
        <v/>
      </c>
      <c r="BD775" s="633" t="str">
        <f>IF(AND(L775="",H775=""),"",
IF(H775="",Pole_Calc!A803,
IF(H775="MP",Pole_Calc!A804,
IF(H775="AnMP",Pole_Calc!A805,
IF(H775="A",Pole_Calc!A806,
IF(H775="S/A",Pole_Calc!A807,
IF(H775="A/S",Pole_Calc!A808,"Poner a mano")))))))</f>
        <v/>
      </c>
      <c r="BE775" s="448" t="s">
        <v>1726</v>
      </c>
      <c r="BF775" s="635"/>
      <c r="BG775" s="635"/>
      <c r="BH775" s="634"/>
      <c r="BI775" s="635"/>
    </row>
    <row r="776" spans="1:61" ht="16.2" customHeight="1">
      <c r="A776" s="12"/>
      <c r="B776" s="446"/>
      <c r="C776" s="89"/>
      <c r="D776" s="13"/>
      <c r="E776" s="14"/>
      <c r="F776" s="14"/>
      <c r="G776" s="15"/>
      <c r="H776" s="8"/>
      <c r="I776" s="8"/>
      <c r="J776" s="89"/>
      <c r="K776" s="8"/>
      <c r="L776" s="8"/>
      <c r="M776" s="8" t="str">
        <f>IF(L776="","",
IF(AX776="PT",VLOOKUP(L776,Foundation_Calc!$V$4:$X$37,VLOOKUP(AX776,Foundation_Calc!$I$10:$J$13,2,FALSE),0),
IF(AX776="K",VLOOKUP(L776,Foundation_Calc!$V$41:$X$74,VLOOKUP(AX776,Foundation_Calc!$I$10:$J$13,2,FALSE),0),"")))</f>
        <v/>
      </c>
      <c r="N776" s="8"/>
      <c r="O776" s="8"/>
      <c r="P776" s="8"/>
      <c r="Q776" s="14"/>
      <c r="R776" s="15"/>
      <c r="S776" s="15"/>
      <c r="T776" s="14"/>
      <c r="U776" s="14"/>
      <c r="V776" s="14"/>
      <c r="W776" s="18"/>
      <c r="X776" s="18"/>
      <c r="Y776" s="18"/>
      <c r="Z776" s="18"/>
      <c r="AA776" s="18"/>
      <c r="AB776" s="18"/>
      <c r="AC776" s="8" t="str">
        <f t="shared" si="118"/>
        <v/>
      </c>
      <c r="AD776" s="8"/>
      <c r="AE776" s="8"/>
      <c r="AF776" s="14"/>
      <c r="AG776" s="13"/>
      <c r="AH776" s="14"/>
      <c r="AI776" s="14"/>
      <c r="AJ776" s="8"/>
      <c r="AK776" s="8"/>
      <c r="AL776" s="8"/>
      <c r="AM776" s="8"/>
      <c r="AN776" s="631"/>
      <c r="AO776" s="18"/>
      <c r="AP776" s="18"/>
      <c r="AQ776" s="18"/>
      <c r="AR776" s="18"/>
      <c r="AS776" s="18"/>
      <c r="AU776" s="448"/>
      <c r="AV776" s="448"/>
      <c r="AW776" s="8" t="str">
        <f>IF(C776&gt;0,VLOOKUP(C776,Foundation_Calc!$A$2:$C$986,3,1),
IF(J776&gt;0,VLOOKUP(J776,Foundation_Calc!$A$2:$C$986,3,1),""))</f>
        <v/>
      </c>
      <c r="AX776" s="8" t="str">
        <f>IF(C776&gt;0,VLOOKUP(C776,Foundation_Calc!$E$2:$G$986,3,1),
IF(J776&gt;0,VLOOKUP(J776,Foundation_Calc!$E$2:$G$986,3,1),""))</f>
        <v/>
      </c>
      <c r="AY776" s="631" t="str">
        <f>IF(L776="","",
IF(AX776="PT",VLOOKUP(L776,Foundation_Calc!$K$4:$R$37,VLOOKUP(AW776,Foundation_Calc!$I$2:$J$8,2,FALSE),0),
IF(AX776="K",VLOOKUP(L776,Foundation_Calc!$K$41:$R$74,VLOOKUP(AW776,Foundation_Calc!$I$2:$J$8,2,FALSE),0),"")))</f>
        <v/>
      </c>
      <c r="AZ776" s="631" t="str">
        <f>IF(K776="","",
IF(AX776="PT",VLOOKUP(K776,Foundation_Calc!$K$4:$R$37,VLOOKUP(AW776,Foundation_Calc!$I$2:$J$8,2,FALSE),0),
IF(AX776="K",VLOOKUP(K776,Foundation_Calc!$K$41:$R$74,VLOOKUP(AW776,Foundation_Calc!$I$2:$J$8,2,FALSE),0),"")))</f>
        <v/>
      </c>
      <c r="BA776" s="632" t="str">
        <f t="shared" si="119"/>
        <v/>
      </c>
      <c r="BB776" s="632" t="str">
        <f t="shared" si="120"/>
        <v/>
      </c>
      <c r="BC776" s="632" t="str">
        <f t="shared" si="121"/>
        <v/>
      </c>
      <c r="BD776" s="633" t="str">
        <f>IF(AND(L776="",H776=""),"",
IF(H776="",Pole_Calc!A804,
IF(H776="MP",Pole_Calc!A805,
IF(H776="AnMP",Pole_Calc!A806,
IF(H776="A",Pole_Calc!A807,
IF(H776="S/A",Pole_Calc!A808,
IF(H776="A/S",Pole_Calc!A809,"Poner a mano")))))))</f>
        <v/>
      </c>
      <c r="BE776" s="448" t="s">
        <v>1726</v>
      </c>
      <c r="BF776" s="634"/>
      <c r="BG776" s="634"/>
      <c r="BH776" s="634"/>
      <c r="BI776" s="634"/>
    </row>
    <row r="777" spans="1:61" ht="16.2" customHeight="1">
      <c r="A777" s="12"/>
      <c r="B777" s="446"/>
      <c r="C777" s="89"/>
      <c r="D777" s="13"/>
      <c r="E777" s="14"/>
      <c r="F777" s="14"/>
      <c r="G777" s="15"/>
      <c r="H777" s="8"/>
      <c r="I777" s="8"/>
      <c r="J777" s="89"/>
      <c r="K777" s="8"/>
      <c r="L777" s="8"/>
      <c r="M777" s="8" t="str">
        <f>IF(L777="","",
IF(AX777="PT",VLOOKUP(L777,Foundation_Calc!$V$4:$X$37,VLOOKUP(AX777,Foundation_Calc!$I$10:$J$13,2,FALSE),0),
IF(AX777="K",VLOOKUP(L777,Foundation_Calc!$V$41:$X$74,VLOOKUP(AX777,Foundation_Calc!$I$10:$J$13,2,FALSE),0),"")))</f>
        <v/>
      </c>
      <c r="N777" s="8"/>
      <c r="O777" s="8"/>
      <c r="P777" s="8"/>
      <c r="Q777" s="14"/>
      <c r="R777" s="15"/>
      <c r="S777" s="15"/>
      <c r="T777" s="14"/>
      <c r="U777" s="14"/>
      <c r="V777" s="14"/>
      <c r="W777" s="18"/>
      <c r="X777" s="18"/>
      <c r="Y777" s="18"/>
      <c r="Z777" s="18"/>
      <c r="AA777" s="18"/>
      <c r="AB777" s="18"/>
      <c r="AC777" s="8" t="str">
        <f t="shared" si="118"/>
        <v/>
      </c>
      <c r="AD777" s="8"/>
      <c r="AE777" s="8"/>
      <c r="AF777" s="14"/>
      <c r="AG777" s="13"/>
      <c r="AH777" s="14"/>
      <c r="AI777" s="14"/>
      <c r="AJ777" s="8"/>
      <c r="AK777" s="8"/>
      <c r="AL777" s="8"/>
      <c r="AM777" s="8"/>
      <c r="AN777" s="631"/>
      <c r="AO777" s="18"/>
      <c r="AP777" s="18"/>
      <c r="AQ777" s="18"/>
      <c r="AR777" s="18"/>
      <c r="AS777" s="18"/>
      <c r="AU777" s="448"/>
      <c r="AV777" s="448"/>
      <c r="AW777" s="8" t="str">
        <f>IF(C777&gt;0,VLOOKUP(C777,Foundation_Calc!$A$2:$C$986,3,1),
IF(J777&gt;0,VLOOKUP(J777,Foundation_Calc!$A$2:$C$986,3,1),""))</f>
        <v/>
      </c>
      <c r="AX777" s="8" t="str">
        <f>IF(C777&gt;0,VLOOKUP(C777,Foundation_Calc!$E$2:$G$986,3,1),
IF(J777&gt;0,VLOOKUP(J777,Foundation_Calc!$E$2:$G$986,3,1),""))</f>
        <v/>
      </c>
      <c r="AY777" s="631" t="str">
        <f>IF(L777="","",
IF(AX777="PT",VLOOKUP(L777,Foundation_Calc!$K$4:$R$37,VLOOKUP(AW777,Foundation_Calc!$I$2:$J$8,2,FALSE),0),
IF(AX777="K",VLOOKUP(L777,Foundation_Calc!$K$41:$R$74,VLOOKUP(AW777,Foundation_Calc!$I$2:$J$8,2,FALSE),0),"")))</f>
        <v/>
      </c>
      <c r="AZ777" s="631" t="str">
        <f>IF(K777="","",
IF(AX777="PT",VLOOKUP(K777,Foundation_Calc!$K$4:$R$37,VLOOKUP(AW777,Foundation_Calc!$I$2:$J$8,2,FALSE),0),
IF(AX777="K",VLOOKUP(K777,Foundation_Calc!$K$41:$R$74,VLOOKUP(AW777,Foundation_Calc!$I$2:$J$8,2,FALSE),0),"")))</f>
        <v/>
      </c>
      <c r="BA777" s="632" t="str">
        <f t="shared" si="119"/>
        <v/>
      </c>
      <c r="BB777" s="632" t="str">
        <f t="shared" si="120"/>
        <v/>
      </c>
      <c r="BC777" s="632" t="str">
        <f t="shared" si="121"/>
        <v/>
      </c>
      <c r="BD777" s="633" t="str">
        <f>IF(AND(L777="",H777=""),"",
IF(H777="",Pole_Calc!A805,
IF(H777="MP",Pole_Calc!A806,
IF(H777="AnMP",Pole_Calc!A807,
IF(H777="A",Pole_Calc!A808,
IF(H777="S/A",Pole_Calc!A809,
IF(H777="A/S",Pole_Calc!A810,"Poner a mano")))))))</f>
        <v/>
      </c>
      <c r="BE777" s="448" t="s">
        <v>1726</v>
      </c>
      <c r="BF777" s="635"/>
      <c r="BG777" s="635"/>
      <c r="BH777" s="634"/>
      <c r="BI777" s="635"/>
    </row>
    <row r="778" spans="1:61" ht="16.2" customHeight="1">
      <c r="A778" s="12"/>
      <c r="B778" s="446"/>
      <c r="C778" s="89"/>
      <c r="D778" s="13"/>
      <c r="E778" s="14"/>
      <c r="F778" s="14"/>
      <c r="G778" s="15"/>
      <c r="H778" s="8"/>
      <c r="I778" s="8"/>
      <c r="J778" s="89"/>
      <c r="K778" s="8"/>
      <c r="L778" s="8"/>
      <c r="M778" s="8" t="str">
        <f>IF(L778="","",
IF(AX778="PT",VLOOKUP(L778,Foundation_Calc!$V$4:$X$37,VLOOKUP(AX778,Foundation_Calc!$I$10:$J$13,2,FALSE),0),
IF(AX778="K",VLOOKUP(L778,Foundation_Calc!$V$41:$X$74,VLOOKUP(AX778,Foundation_Calc!$I$10:$J$13,2,FALSE),0),"")))</f>
        <v/>
      </c>
      <c r="N778" s="8"/>
      <c r="O778" s="8"/>
      <c r="P778" s="8"/>
      <c r="Q778" s="14"/>
      <c r="R778" s="15"/>
      <c r="S778" s="15"/>
      <c r="T778" s="14"/>
      <c r="U778" s="14"/>
      <c r="V778" s="14"/>
      <c r="W778" s="18"/>
      <c r="X778" s="18"/>
      <c r="Y778" s="18"/>
      <c r="Z778" s="18"/>
      <c r="AA778" s="18"/>
      <c r="AB778" s="18"/>
      <c r="AC778" s="8" t="str">
        <f t="shared" si="118"/>
        <v/>
      </c>
      <c r="AD778" s="8"/>
      <c r="AE778" s="8"/>
      <c r="AF778" s="14"/>
      <c r="AG778" s="13"/>
      <c r="AH778" s="14"/>
      <c r="AI778" s="14"/>
      <c r="AJ778" s="8"/>
      <c r="AK778" s="8"/>
      <c r="AL778" s="8"/>
      <c r="AM778" s="8"/>
      <c r="AN778" s="631"/>
      <c r="AO778" s="18"/>
      <c r="AP778" s="18"/>
      <c r="AQ778" s="18"/>
      <c r="AR778" s="18"/>
      <c r="AS778" s="18"/>
      <c r="AU778" s="448"/>
      <c r="AV778" s="448"/>
      <c r="AW778" s="8" t="str">
        <f>IF(C778&gt;0,VLOOKUP(C778,Foundation_Calc!$A$2:$C$986,3,1),
IF(J778&gt;0,VLOOKUP(J778,Foundation_Calc!$A$2:$C$986,3,1),""))</f>
        <v/>
      </c>
      <c r="AX778" s="8" t="str">
        <f>IF(C778&gt;0,VLOOKUP(C778,Foundation_Calc!$E$2:$G$986,3,1),
IF(J778&gt;0,VLOOKUP(J778,Foundation_Calc!$E$2:$G$986,3,1),""))</f>
        <v/>
      </c>
      <c r="AY778" s="631" t="str">
        <f>IF(L778="","",
IF(AX778="PT",VLOOKUP(L778,Foundation_Calc!$K$4:$R$37,VLOOKUP(AW778,Foundation_Calc!$I$2:$J$8,2,FALSE),0),
IF(AX778="K",VLOOKUP(L778,Foundation_Calc!$K$41:$R$74,VLOOKUP(AW778,Foundation_Calc!$I$2:$J$8,2,FALSE),0),"")))</f>
        <v/>
      </c>
      <c r="AZ778" s="631" t="str">
        <f>IF(K778="","",
IF(AX778="PT",VLOOKUP(K778,Foundation_Calc!$K$4:$R$37,VLOOKUP(AW778,Foundation_Calc!$I$2:$J$8,2,FALSE),0),
IF(AX778="K",VLOOKUP(K778,Foundation_Calc!$K$41:$R$74,VLOOKUP(AW778,Foundation_Calc!$I$2:$J$8,2,FALSE),0),"")))</f>
        <v/>
      </c>
      <c r="BA778" s="632" t="str">
        <f t="shared" si="119"/>
        <v/>
      </c>
      <c r="BB778" s="632" t="str">
        <f t="shared" si="120"/>
        <v/>
      </c>
      <c r="BC778" s="632" t="str">
        <f t="shared" si="121"/>
        <v/>
      </c>
      <c r="BD778" s="633" t="str">
        <f>IF(AND(L778="",H778=""),"",
IF(H778="",Pole_Calc!A806,
IF(H778="MP",Pole_Calc!A807,
IF(H778="AnMP",Pole_Calc!A808,
IF(H778="A",Pole_Calc!A809,
IF(H778="S/A",Pole_Calc!A810,
IF(H778="A/S",Pole_Calc!A811,"Poner a mano")))))))</f>
        <v/>
      </c>
      <c r="BE778" s="448" t="s">
        <v>1726</v>
      </c>
      <c r="BF778" s="634"/>
      <c r="BG778" s="634"/>
      <c r="BH778" s="634"/>
      <c r="BI778" s="634"/>
    </row>
    <row r="779" spans="1:61" ht="16.2" customHeight="1">
      <c r="A779" s="12"/>
      <c r="B779" s="446"/>
      <c r="C779" s="89"/>
      <c r="D779" s="13"/>
      <c r="E779" s="14"/>
      <c r="F779" s="14"/>
      <c r="G779" s="15"/>
      <c r="H779" s="8"/>
      <c r="I779" s="8"/>
      <c r="J779" s="89"/>
      <c r="K779" s="8"/>
      <c r="L779" s="8"/>
      <c r="M779" s="8" t="str">
        <f>IF(L779="","",
IF(AX779="PT",VLOOKUP(L779,Foundation_Calc!$V$4:$X$37,VLOOKUP(AX779,Foundation_Calc!$I$10:$J$13,2,FALSE),0),
IF(AX779="K",VLOOKUP(L779,Foundation_Calc!$V$41:$X$74,VLOOKUP(AX779,Foundation_Calc!$I$10:$J$13,2,FALSE),0),"")))</f>
        <v/>
      </c>
      <c r="N779" s="8"/>
      <c r="O779" s="8"/>
      <c r="P779" s="8"/>
      <c r="Q779" s="14"/>
      <c r="R779" s="15"/>
      <c r="S779" s="15"/>
      <c r="T779" s="14"/>
      <c r="U779" s="14"/>
      <c r="V779" s="14"/>
      <c r="W779" s="18"/>
      <c r="X779" s="18"/>
      <c r="Y779" s="18"/>
      <c r="Z779" s="18"/>
      <c r="AA779" s="18"/>
      <c r="AB779" s="18"/>
      <c r="AC779" s="8" t="str">
        <f t="shared" si="118"/>
        <v/>
      </c>
      <c r="AD779" s="8"/>
      <c r="AE779" s="8"/>
      <c r="AF779" s="14"/>
      <c r="AG779" s="13"/>
      <c r="AH779" s="14"/>
      <c r="AI779" s="14"/>
      <c r="AJ779" s="8"/>
      <c r="AK779" s="8"/>
      <c r="AL779" s="8"/>
      <c r="AM779" s="8"/>
      <c r="AN779" s="631"/>
      <c r="AO779" s="18"/>
      <c r="AP779" s="18"/>
      <c r="AQ779" s="18"/>
      <c r="AR779" s="18"/>
      <c r="AS779" s="18"/>
      <c r="AU779" s="448"/>
      <c r="AV779" s="448"/>
      <c r="AW779" s="8" t="str">
        <f>IF(C779&gt;0,VLOOKUP(C779,Foundation_Calc!$A$2:$C$986,3,1),
IF(J779&gt;0,VLOOKUP(J779,Foundation_Calc!$A$2:$C$986,3,1),""))</f>
        <v/>
      </c>
      <c r="AX779" s="8" t="str">
        <f>IF(C779&gt;0,VLOOKUP(C779,Foundation_Calc!$E$2:$G$986,3,1),
IF(J779&gt;0,VLOOKUP(J779,Foundation_Calc!$E$2:$G$986,3,1),""))</f>
        <v/>
      </c>
      <c r="AY779" s="631" t="str">
        <f>IF(L779="","",
IF(AX779="PT",VLOOKUP(L779,Foundation_Calc!$K$4:$R$37,VLOOKUP(AW779,Foundation_Calc!$I$2:$J$8,2,FALSE),0),
IF(AX779="K",VLOOKUP(L779,Foundation_Calc!$K$41:$R$74,VLOOKUP(AW779,Foundation_Calc!$I$2:$J$8,2,FALSE),0),"")))</f>
        <v/>
      </c>
      <c r="AZ779" s="631" t="str">
        <f>IF(K779="","",
IF(AX779="PT",VLOOKUP(K779,Foundation_Calc!$K$4:$R$37,VLOOKUP(AW779,Foundation_Calc!$I$2:$J$8,2,FALSE),0),
IF(AX779="K",VLOOKUP(K779,Foundation_Calc!$K$41:$R$74,VLOOKUP(AW779,Foundation_Calc!$I$2:$J$8,2,FALSE),0),"")))</f>
        <v/>
      </c>
      <c r="BA779" s="632" t="str">
        <f t="shared" si="119"/>
        <v/>
      </c>
      <c r="BB779" s="632" t="str">
        <f t="shared" si="120"/>
        <v/>
      </c>
      <c r="BC779" s="632" t="str">
        <f t="shared" si="121"/>
        <v/>
      </c>
      <c r="BD779" s="633" t="str">
        <f>IF(AND(L779="",H779=""),"",
IF(H779="",Pole_Calc!A807,
IF(H779="MP",Pole_Calc!A808,
IF(H779="AnMP",Pole_Calc!A809,
IF(H779="A",Pole_Calc!A810,
IF(H779="S/A",Pole_Calc!A811,
IF(H779="A/S",Pole_Calc!A812,"Poner a mano")))))))</f>
        <v/>
      </c>
      <c r="BE779" s="448" t="s">
        <v>1726</v>
      </c>
      <c r="BF779" s="635"/>
      <c r="BG779" s="635"/>
      <c r="BH779" s="634"/>
      <c r="BI779" s="635"/>
    </row>
    <row r="780" spans="1:61" ht="16.2" customHeight="1">
      <c r="A780" s="12"/>
      <c r="B780" s="446"/>
      <c r="C780" s="89"/>
      <c r="D780" s="13"/>
      <c r="E780" s="14"/>
      <c r="F780" s="14"/>
      <c r="G780" s="15"/>
      <c r="H780" s="8"/>
      <c r="I780" s="8"/>
      <c r="J780" s="89"/>
      <c r="K780" s="8"/>
      <c r="L780" s="8"/>
      <c r="M780" s="8" t="str">
        <f>IF(L780="","",
IF(AX780="PT",VLOOKUP(L780,Foundation_Calc!$V$4:$X$37,VLOOKUP(AX780,Foundation_Calc!$I$10:$J$13,2,FALSE),0),
IF(AX780="K",VLOOKUP(L780,Foundation_Calc!$V$41:$X$74,VLOOKUP(AX780,Foundation_Calc!$I$10:$J$13,2,FALSE),0),"")))</f>
        <v/>
      </c>
      <c r="N780" s="8"/>
      <c r="O780" s="8"/>
      <c r="P780" s="8"/>
      <c r="Q780" s="14"/>
      <c r="R780" s="15"/>
      <c r="S780" s="15"/>
      <c r="T780" s="14"/>
      <c r="U780" s="14"/>
      <c r="V780" s="14"/>
      <c r="W780" s="18"/>
      <c r="X780" s="18"/>
      <c r="Y780" s="18"/>
      <c r="Z780" s="18"/>
      <c r="AA780" s="18"/>
      <c r="AB780" s="18"/>
      <c r="AC780" s="8" t="str">
        <f t="shared" si="118"/>
        <v/>
      </c>
      <c r="AD780" s="8"/>
      <c r="AE780" s="8"/>
      <c r="AF780" s="14"/>
      <c r="AG780" s="13"/>
      <c r="AH780" s="14"/>
      <c r="AI780" s="14"/>
      <c r="AJ780" s="8"/>
      <c r="AK780" s="8"/>
      <c r="AL780" s="8"/>
      <c r="AM780" s="8"/>
      <c r="AN780" s="631"/>
      <c r="AO780" s="18"/>
      <c r="AP780" s="18"/>
      <c r="AQ780" s="18"/>
      <c r="AR780" s="18"/>
      <c r="AS780" s="18"/>
      <c r="AU780" s="448"/>
      <c r="AV780" s="448"/>
      <c r="AW780" s="8" t="str">
        <f>IF(C780&gt;0,VLOOKUP(C780,Foundation_Calc!$A$2:$C$986,3,1),
IF(J780&gt;0,VLOOKUP(J780,Foundation_Calc!$A$2:$C$986,3,1),""))</f>
        <v/>
      </c>
      <c r="AX780" s="8" t="str">
        <f>IF(C780&gt;0,VLOOKUP(C780,Foundation_Calc!$E$2:$G$986,3,1),
IF(J780&gt;0,VLOOKUP(J780,Foundation_Calc!$E$2:$G$986,3,1),""))</f>
        <v/>
      </c>
      <c r="AY780" s="631" t="str">
        <f>IF(L780="","",
IF(AX780="PT",VLOOKUP(L780,Foundation_Calc!$K$4:$R$37,VLOOKUP(AW780,Foundation_Calc!$I$2:$J$8,2,FALSE),0),
IF(AX780="K",VLOOKUP(L780,Foundation_Calc!$K$41:$R$74,VLOOKUP(AW780,Foundation_Calc!$I$2:$J$8,2,FALSE),0),"")))</f>
        <v/>
      </c>
      <c r="AZ780" s="631" t="str">
        <f>IF(K780="","",
IF(AX780="PT",VLOOKUP(K780,Foundation_Calc!$K$4:$R$37,VLOOKUP(AW780,Foundation_Calc!$I$2:$J$8,2,FALSE),0),
IF(AX780="K",VLOOKUP(K780,Foundation_Calc!$K$41:$R$74,VLOOKUP(AW780,Foundation_Calc!$I$2:$J$8,2,FALSE),0),"")))</f>
        <v/>
      </c>
      <c r="BA780" s="632" t="str">
        <f t="shared" si="119"/>
        <v/>
      </c>
      <c r="BB780" s="632" t="str">
        <f t="shared" si="120"/>
        <v/>
      </c>
      <c r="BC780" s="632" t="str">
        <f t="shared" si="121"/>
        <v/>
      </c>
      <c r="BD780" s="633" t="str">
        <f>IF(AND(L780="",H780=""),"",
IF(H780="",Pole_Calc!A808,
IF(H780="MP",Pole_Calc!A809,
IF(H780="AnMP",Pole_Calc!A810,
IF(H780="A",Pole_Calc!A811,
IF(H780="S/A",Pole_Calc!A812,
IF(H780="A/S",Pole_Calc!A813,"Poner a mano")))))))</f>
        <v/>
      </c>
      <c r="BE780" s="448" t="s">
        <v>1726</v>
      </c>
      <c r="BF780" s="634"/>
      <c r="BG780" s="634"/>
      <c r="BH780" s="634"/>
      <c r="BI780" s="634"/>
    </row>
    <row r="781" spans="1:61" ht="16.2" customHeight="1">
      <c r="A781" s="12"/>
      <c r="B781" s="446"/>
      <c r="C781" s="89"/>
      <c r="D781" s="13"/>
      <c r="E781" s="14"/>
      <c r="F781" s="14"/>
      <c r="G781" s="15"/>
      <c r="H781" s="8"/>
      <c r="I781" s="8"/>
      <c r="J781" s="89"/>
      <c r="K781" s="8"/>
      <c r="L781" s="8"/>
      <c r="M781" s="8" t="str">
        <f>IF(L781="","",
IF(AX781="PT",VLOOKUP(L781,Foundation_Calc!$V$4:$X$37,VLOOKUP(AX781,Foundation_Calc!$I$10:$J$13,2,FALSE),0),
IF(AX781="K",VLOOKUP(L781,Foundation_Calc!$V$41:$X$74,VLOOKUP(AX781,Foundation_Calc!$I$10:$J$13,2,FALSE),0),"")))</f>
        <v/>
      </c>
      <c r="N781" s="8"/>
      <c r="O781" s="8"/>
      <c r="P781" s="8"/>
      <c r="Q781" s="14"/>
      <c r="R781" s="15"/>
      <c r="S781" s="15"/>
      <c r="T781" s="14"/>
      <c r="U781" s="14"/>
      <c r="V781" s="14"/>
      <c r="W781" s="18"/>
      <c r="X781" s="18"/>
      <c r="Y781" s="18"/>
      <c r="Z781" s="18"/>
      <c r="AA781" s="18"/>
      <c r="AB781" s="18"/>
      <c r="AC781" s="8" t="str">
        <f t="shared" si="118"/>
        <v/>
      </c>
      <c r="AD781" s="8"/>
      <c r="AE781" s="8"/>
      <c r="AF781" s="14"/>
      <c r="AG781" s="13"/>
      <c r="AH781" s="14"/>
      <c r="AI781" s="14"/>
      <c r="AJ781" s="8"/>
      <c r="AK781" s="8"/>
      <c r="AL781" s="8"/>
      <c r="AM781" s="8"/>
      <c r="AN781" s="631"/>
      <c r="AO781" s="18"/>
      <c r="AP781" s="18"/>
      <c r="AQ781" s="18"/>
      <c r="AR781" s="18"/>
      <c r="AS781" s="18"/>
      <c r="AU781" s="448"/>
      <c r="AV781" s="448"/>
      <c r="AW781" s="8" t="str">
        <f>IF(C781&gt;0,VLOOKUP(C781,Foundation_Calc!$A$2:$C$986,3,1),
IF(J781&gt;0,VLOOKUP(J781,Foundation_Calc!$A$2:$C$986,3,1),""))</f>
        <v/>
      </c>
      <c r="AX781" s="8" t="str">
        <f>IF(C781&gt;0,VLOOKUP(C781,Foundation_Calc!$E$2:$G$986,3,1),
IF(J781&gt;0,VLOOKUP(J781,Foundation_Calc!$E$2:$G$986,3,1),""))</f>
        <v/>
      </c>
      <c r="AY781" s="631" t="str">
        <f>IF(L781="","",
IF(AX781="PT",VLOOKUP(L781,Foundation_Calc!$K$4:$R$37,VLOOKUP(AW781,Foundation_Calc!$I$2:$J$8,2,FALSE),0),
IF(AX781="K",VLOOKUP(L781,Foundation_Calc!$K$41:$R$74,VLOOKUP(AW781,Foundation_Calc!$I$2:$J$8,2,FALSE),0),"")))</f>
        <v/>
      </c>
      <c r="AZ781" s="631" t="str">
        <f>IF(K781="","",
IF(AX781="PT",VLOOKUP(K781,Foundation_Calc!$K$4:$R$37,VLOOKUP(AW781,Foundation_Calc!$I$2:$J$8,2,FALSE),0),
IF(AX781="K",VLOOKUP(K781,Foundation_Calc!$K$41:$R$74,VLOOKUP(AW781,Foundation_Calc!$I$2:$J$8,2,FALSE),0),"")))</f>
        <v/>
      </c>
      <c r="BA781" s="632" t="str">
        <f t="shared" si="119"/>
        <v/>
      </c>
      <c r="BB781" s="632" t="str">
        <f t="shared" si="120"/>
        <v/>
      </c>
      <c r="BC781" s="632" t="str">
        <f t="shared" si="121"/>
        <v/>
      </c>
      <c r="BD781" s="633" t="str">
        <f>IF(AND(L781="",H781=""),"",
IF(H781="",Pole_Calc!A809,
IF(H781="MP",Pole_Calc!A810,
IF(H781="AnMP",Pole_Calc!A811,
IF(H781="A",Pole_Calc!A812,
IF(H781="S/A",Pole_Calc!A813,
IF(H781="A/S",Pole_Calc!A814,"Poner a mano")))))))</f>
        <v/>
      </c>
      <c r="BE781" s="448" t="s">
        <v>1726</v>
      </c>
      <c r="BF781" s="635"/>
      <c r="BG781" s="635"/>
      <c r="BH781" s="634"/>
      <c r="BI781" s="635"/>
    </row>
    <row r="782" spans="1:61" ht="16.2" customHeight="1">
      <c r="A782" s="12"/>
      <c r="B782" s="446"/>
      <c r="C782" s="89"/>
      <c r="D782" s="13"/>
      <c r="E782" s="14"/>
      <c r="F782" s="14"/>
      <c r="G782" s="15"/>
      <c r="H782" s="8"/>
      <c r="I782" s="8"/>
      <c r="J782" s="89"/>
      <c r="K782" s="8"/>
      <c r="L782" s="8"/>
      <c r="M782" s="8" t="str">
        <f>IF(L782="","",
IF(AX782="PT",VLOOKUP(L782,Foundation_Calc!$V$4:$X$37,VLOOKUP(AX782,Foundation_Calc!$I$10:$J$13,2,FALSE),0),
IF(AX782="K",VLOOKUP(L782,Foundation_Calc!$V$41:$X$74,VLOOKUP(AX782,Foundation_Calc!$I$10:$J$13,2,FALSE),0),"")))</f>
        <v/>
      </c>
      <c r="N782" s="8"/>
      <c r="O782" s="8"/>
      <c r="P782" s="8"/>
      <c r="Q782" s="14"/>
      <c r="R782" s="15"/>
      <c r="S782" s="15"/>
      <c r="T782" s="14"/>
      <c r="U782" s="14"/>
      <c r="V782" s="14"/>
      <c r="W782" s="18"/>
      <c r="X782" s="18"/>
      <c r="Y782" s="18"/>
      <c r="Z782" s="18"/>
      <c r="AA782" s="18"/>
      <c r="AB782" s="18"/>
      <c r="AC782" s="8" t="str">
        <f t="shared" si="118"/>
        <v/>
      </c>
      <c r="AD782" s="8"/>
      <c r="AE782" s="8"/>
      <c r="AF782" s="14"/>
      <c r="AG782" s="13"/>
      <c r="AH782" s="14"/>
      <c r="AI782" s="14"/>
      <c r="AJ782" s="8"/>
      <c r="AK782" s="8"/>
      <c r="AL782" s="8"/>
      <c r="AM782" s="8"/>
      <c r="AN782" s="631"/>
      <c r="AO782" s="18"/>
      <c r="AP782" s="18"/>
      <c r="AQ782" s="18"/>
      <c r="AR782" s="18"/>
      <c r="AS782" s="18"/>
      <c r="AU782" s="448"/>
      <c r="AV782" s="448"/>
      <c r="AW782" s="8" t="str">
        <f>IF(C782&gt;0,VLOOKUP(C782,Foundation_Calc!$A$2:$C$986,3,1),
IF(J782&gt;0,VLOOKUP(J782,Foundation_Calc!$A$2:$C$986,3,1),""))</f>
        <v/>
      </c>
      <c r="AX782" s="8" t="str">
        <f>IF(C782&gt;0,VLOOKUP(C782,Foundation_Calc!$E$2:$G$986,3,1),
IF(J782&gt;0,VLOOKUP(J782,Foundation_Calc!$E$2:$G$986,3,1),""))</f>
        <v/>
      </c>
      <c r="AY782" s="631" t="str">
        <f>IF(L782="","",
IF(AX782="PT",VLOOKUP(L782,Foundation_Calc!$K$4:$R$37,VLOOKUP(AW782,Foundation_Calc!$I$2:$J$8,2,FALSE),0),
IF(AX782="K",VLOOKUP(L782,Foundation_Calc!$K$41:$R$74,VLOOKUP(AW782,Foundation_Calc!$I$2:$J$8,2,FALSE),0),"")))</f>
        <v/>
      </c>
      <c r="AZ782" s="631" t="str">
        <f>IF(K782="","",
IF(AX782="PT",VLOOKUP(K782,Foundation_Calc!$K$4:$R$37,VLOOKUP(AW782,Foundation_Calc!$I$2:$J$8,2,FALSE),0),
IF(AX782="K",VLOOKUP(K782,Foundation_Calc!$K$41:$R$74,VLOOKUP(AW782,Foundation_Calc!$I$2:$J$8,2,FALSE),0),"")))</f>
        <v/>
      </c>
      <c r="BA782" s="632" t="str">
        <f t="shared" si="119"/>
        <v/>
      </c>
      <c r="BB782" s="632" t="str">
        <f t="shared" si="120"/>
        <v/>
      </c>
      <c r="BC782" s="632" t="str">
        <f t="shared" si="121"/>
        <v/>
      </c>
      <c r="BD782" s="633" t="str">
        <f>IF(AND(L782="",H782=""),"",
IF(H782="",Pole_Calc!A810,
IF(H782="MP",Pole_Calc!A811,
IF(H782="AnMP",Pole_Calc!A812,
IF(H782="A",Pole_Calc!A813,
IF(H782="S/A",Pole_Calc!A814,
IF(H782="A/S",Pole_Calc!A815,"Poner a mano")))))))</f>
        <v/>
      </c>
      <c r="BE782" s="448" t="s">
        <v>1726</v>
      </c>
      <c r="BF782" s="634"/>
      <c r="BG782" s="634"/>
      <c r="BH782" s="634"/>
      <c r="BI782" s="634"/>
    </row>
    <row r="783" spans="1:61" ht="16.2" customHeight="1">
      <c r="A783" s="12"/>
      <c r="B783" s="446"/>
      <c r="C783" s="89"/>
      <c r="D783" s="13"/>
      <c r="E783" s="14"/>
      <c r="F783" s="14"/>
      <c r="G783" s="15"/>
      <c r="H783" s="8"/>
      <c r="I783" s="8"/>
      <c r="J783" s="89"/>
      <c r="K783" s="8"/>
      <c r="L783" s="8"/>
      <c r="M783" s="8" t="str">
        <f>IF(L783="","",
IF(AX783="PT",VLOOKUP(L783,Foundation_Calc!$V$4:$X$37,VLOOKUP(AX783,Foundation_Calc!$I$10:$J$13,2,FALSE),0),
IF(AX783="K",VLOOKUP(L783,Foundation_Calc!$V$41:$X$74,VLOOKUP(AX783,Foundation_Calc!$I$10:$J$13,2,FALSE),0),"")))</f>
        <v/>
      </c>
      <c r="N783" s="8"/>
      <c r="O783" s="8"/>
      <c r="P783" s="8"/>
      <c r="Q783" s="14"/>
      <c r="R783" s="15"/>
      <c r="S783" s="15"/>
      <c r="T783" s="14"/>
      <c r="U783" s="14"/>
      <c r="V783" s="14"/>
      <c r="W783" s="18"/>
      <c r="X783" s="18"/>
      <c r="Y783" s="18"/>
      <c r="Z783" s="18"/>
      <c r="AA783" s="18"/>
      <c r="AB783" s="18"/>
      <c r="AC783" s="8" t="str">
        <f t="shared" si="118"/>
        <v/>
      </c>
      <c r="AD783" s="8"/>
      <c r="AE783" s="8"/>
      <c r="AF783" s="14"/>
      <c r="AG783" s="13"/>
      <c r="AH783" s="14"/>
      <c r="AI783" s="14"/>
      <c r="AJ783" s="8"/>
      <c r="AK783" s="8"/>
      <c r="AL783" s="8"/>
      <c r="AM783" s="8"/>
      <c r="AN783" s="631"/>
      <c r="AO783" s="18"/>
      <c r="AP783" s="18"/>
      <c r="AQ783" s="18"/>
      <c r="AR783" s="18"/>
      <c r="AS783" s="18"/>
      <c r="AU783" s="448"/>
      <c r="AV783" s="448"/>
      <c r="AW783" s="8" t="str">
        <f>IF(C783&gt;0,VLOOKUP(C783,Foundation_Calc!$A$2:$C$986,3,1),
IF(J783&gt;0,VLOOKUP(J783,Foundation_Calc!$A$2:$C$986,3,1),""))</f>
        <v/>
      </c>
      <c r="AX783" s="8" t="str">
        <f>IF(C783&gt;0,VLOOKUP(C783,Foundation_Calc!$E$2:$G$986,3,1),
IF(J783&gt;0,VLOOKUP(J783,Foundation_Calc!$E$2:$G$986,3,1),""))</f>
        <v/>
      </c>
      <c r="AY783" s="631" t="str">
        <f>IF(L783="","",
IF(AX783="PT",VLOOKUP(L783,Foundation_Calc!$K$4:$R$37,VLOOKUP(AW783,Foundation_Calc!$I$2:$J$8,2,FALSE),0),
IF(AX783="K",VLOOKUP(L783,Foundation_Calc!$K$41:$R$74,VLOOKUP(AW783,Foundation_Calc!$I$2:$J$8,2,FALSE),0),"")))</f>
        <v/>
      </c>
      <c r="AZ783" s="631" t="str">
        <f>IF(K783="","",
IF(AX783="PT",VLOOKUP(K783,Foundation_Calc!$K$4:$R$37,VLOOKUP(AW783,Foundation_Calc!$I$2:$J$8,2,FALSE),0),
IF(AX783="K",VLOOKUP(K783,Foundation_Calc!$K$41:$R$74,VLOOKUP(AW783,Foundation_Calc!$I$2:$J$8,2,FALSE),0),"")))</f>
        <v/>
      </c>
      <c r="BA783" s="632" t="str">
        <f t="shared" si="119"/>
        <v/>
      </c>
      <c r="BB783" s="632" t="str">
        <f t="shared" si="120"/>
        <v/>
      </c>
      <c r="BC783" s="632" t="str">
        <f t="shared" si="121"/>
        <v/>
      </c>
      <c r="BD783" s="633" t="str">
        <f>IF(AND(L783="",H783=""),"",
IF(H783="",Pole_Calc!A811,
IF(H783="MP",Pole_Calc!A812,
IF(H783="AnMP",Pole_Calc!A813,
IF(H783="A",Pole_Calc!A814,
IF(H783="S/A",Pole_Calc!A815,
IF(H783="A/S",Pole_Calc!A816,"Poner a mano")))))))</f>
        <v/>
      </c>
      <c r="BE783" s="448" t="s">
        <v>1726</v>
      </c>
      <c r="BF783" s="635"/>
      <c r="BG783" s="635"/>
      <c r="BH783" s="634"/>
      <c r="BI783" s="635"/>
    </row>
    <row r="784" spans="1:61" ht="16.2" customHeight="1">
      <c r="A784" s="12"/>
      <c r="B784" s="446"/>
      <c r="C784" s="89"/>
      <c r="D784" s="13"/>
      <c r="E784" s="14"/>
      <c r="F784" s="14"/>
      <c r="G784" s="15"/>
      <c r="H784" s="8"/>
      <c r="I784" s="8"/>
      <c r="J784" s="89"/>
      <c r="K784" s="8"/>
      <c r="L784" s="8"/>
      <c r="M784" s="8" t="str">
        <f>IF(L784="","",
IF(AX784="PT",VLOOKUP(L784,Foundation_Calc!$V$4:$X$37,VLOOKUP(AX784,Foundation_Calc!$I$10:$J$13,2,FALSE),0),
IF(AX784="K",VLOOKUP(L784,Foundation_Calc!$V$41:$X$74,VLOOKUP(AX784,Foundation_Calc!$I$10:$J$13,2,FALSE),0),"")))</f>
        <v/>
      </c>
      <c r="N784" s="8"/>
      <c r="O784" s="8"/>
      <c r="P784" s="8"/>
      <c r="Q784" s="14"/>
      <c r="R784" s="15"/>
      <c r="S784" s="15"/>
      <c r="T784" s="14"/>
      <c r="U784" s="14"/>
      <c r="V784" s="14"/>
      <c r="W784" s="18"/>
      <c r="X784" s="18"/>
      <c r="Y784" s="18"/>
      <c r="Z784" s="18"/>
      <c r="AA784" s="18"/>
      <c r="AB784" s="18"/>
      <c r="AC784" s="8" t="str">
        <f t="shared" si="118"/>
        <v/>
      </c>
      <c r="AD784" s="8"/>
      <c r="AE784" s="8"/>
      <c r="AF784" s="14"/>
      <c r="AG784" s="13"/>
      <c r="AH784" s="14"/>
      <c r="AI784" s="14"/>
      <c r="AJ784" s="8"/>
      <c r="AK784" s="8"/>
      <c r="AL784" s="8"/>
      <c r="AM784" s="8"/>
      <c r="AN784" s="631"/>
      <c r="AO784" s="18"/>
      <c r="AP784" s="18"/>
      <c r="AQ784" s="18"/>
      <c r="AR784" s="18"/>
      <c r="AS784" s="18"/>
      <c r="AU784" s="448"/>
      <c r="AV784" s="448"/>
      <c r="AW784" s="8" t="str">
        <f>IF(C784&gt;0,VLOOKUP(C784,Foundation_Calc!$A$2:$C$986,3,1),
IF(J784&gt;0,VLOOKUP(J784,Foundation_Calc!$A$2:$C$986,3,1),""))</f>
        <v/>
      </c>
      <c r="AX784" s="8" t="str">
        <f>IF(C784&gt;0,VLOOKUP(C784,Foundation_Calc!$E$2:$G$986,3,1),
IF(J784&gt;0,VLOOKUP(J784,Foundation_Calc!$E$2:$G$986,3,1),""))</f>
        <v/>
      </c>
      <c r="AY784" s="631" t="str">
        <f>IF(L784="","",
IF(AX784="PT",VLOOKUP(L784,Foundation_Calc!$K$4:$R$37,VLOOKUP(AW784,Foundation_Calc!$I$2:$J$8,2,FALSE),0),
IF(AX784="K",VLOOKUP(L784,Foundation_Calc!$K$41:$R$74,VLOOKUP(AW784,Foundation_Calc!$I$2:$J$8,2,FALSE),0),"")))</f>
        <v/>
      </c>
      <c r="AZ784" s="631" t="str">
        <f>IF(K784="","",
IF(AX784="PT",VLOOKUP(K784,Foundation_Calc!$K$4:$R$37,VLOOKUP(AW784,Foundation_Calc!$I$2:$J$8,2,FALSE),0),
IF(AX784="K",VLOOKUP(K784,Foundation_Calc!$K$41:$R$74,VLOOKUP(AW784,Foundation_Calc!$I$2:$J$8,2,FALSE),0),"")))</f>
        <v/>
      </c>
      <c r="BA784" s="632" t="str">
        <f t="shared" si="119"/>
        <v/>
      </c>
      <c r="BB784" s="632" t="str">
        <f t="shared" si="120"/>
        <v/>
      </c>
      <c r="BC784" s="632" t="str">
        <f t="shared" si="121"/>
        <v/>
      </c>
      <c r="BD784" s="633" t="str">
        <f>IF(AND(L784="",H784=""),"",
IF(H784="",Pole_Calc!A812,
IF(H784="MP",Pole_Calc!A813,
IF(H784="AnMP",Pole_Calc!A814,
IF(H784="A",Pole_Calc!A815,
IF(H784="S/A",Pole_Calc!A816,
IF(H784="A/S",Pole_Calc!A817,"Poner a mano")))))))</f>
        <v/>
      </c>
      <c r="BE784" s="448" t="s">
        <v>1726</v>
      </c>
      <c r="BF784" s="634"/>
      <c r="BG784" s="634"/>
      <c r="BH784" s="634"/>
      <c r="BI784" s="634"/>
    </row>
    <row r="785" spans="1:61" ht="16.2" customHeight="1">
      <c r="A785" s="12"/>
      <c r="B785" s="446"/>
      <c r="C785" s="89"/>
      <c r="D785" s="13"/>
      <c r="E785" s="14"/>
      <c r="F785" s="14"/>
      <c r="G785" s="15"/>
      <c r="H785" s="8"/>
      <c r="I785" s="8"/>
      <c r="J785" s="89"/>
      <c r="K785" s="8"/>
      <c r="L785" s="8"/>
      <c r="M785" s="8" t="str">
        <f>IF(L785="","",
IF(AX785="PT",VLOOKUP(L785,Foundation_Calc!$V$4:$X$37,VLOOKUP(AX785,Foundation_Calc!$I$10:$J$13,2,FALSE),0),
IF(AX785="K",VLOOKUP(L785,Foundation_Calc!$V$41:$X$74,VLOOKUP(AX785,Foundation_Calc!$I$10:$J$13,2,FALSE),0),"")))</f>
        <v/>
      </c>
      <c r="N785" s="8"/>
      <c r="O785" s="8"/>
      <c r="P785" s="8"/>
      <c r="Q785" s="14"/>
      <c r="R785" s="15"/>
      <c r="S785" s="15"/>
      <c r="T785" s="14"/>
      <c r="U785" s="14"/>
      <c r="V785" s="14"/>
      <c r="W785" s="18"/>
      <c r="X785" s="18"/>
      <c r="Y785" s="18"/>
      <c r="Z785" s="18"/>
      <c r="AA785" s="18"/>
      <c r="AB785" s="18"/>
      <c r="AC785" s="8" t="str">
        <f t="shared" si="118"/>
        <v/>
      </c>
      <c r="AD785" s="8"/>
      <c r="AE785" s="8"/>
      <c r="AF785" s="14"/>
      <c r="AG785" s="13"/>
      <c r="AH785" s="14"/>
      <c r="AI785" s="14"/>
      <c r="AJ785" s="8"/>
      <c r="AK785" s="8"/>
      <c r="AL785" s="8"/>
      <c r="AM785" s="8"/>
      <c r="AN785" s="631"/>
      <c r="AO785" s="18"/>
      <c r="AP785" s="18"/>
      <c r="AQ785" s="18"/>
      <c r="AR785" s="18"/>
      <c r="AS785" s="18"/>
      <c r="AU785" s="448"/>
      <c r="AV785" s="448"/>
      <c r="AW785" s="8" t="str">
        <f>IF(C785&gt;0,VLOOKUP(C785,Foundation_Calc!$A$2:$C$986,3,1),
IF(J785&gt;0,VLOOKUP(J785,Foundation_Calc!$A$2:$C$986,3,1),""))</f>
        <v/>
      </c>
      <c r="AX785" s="8" t="str">
        <f>IF(C785&gt;0,VLOOKUP(C785,Foundation_Calc!$E$2:$G$986,3,1),
IF(J785&gt;0,VLOOKUP(J785,Foundation_Calc!$E$2:$G$986,3,1),""))</f>
        <v/>
      </c>
      <c r="AY785" s="631" t="str">
        <f>IF(L785="","",
IF(AX785="PT",VLOOKUP(L785,Foundation_Calc!$K$4:$R$37,VLOOKUP(AW785,Foundation_Calc!$I$2:$J$8,2,FALSE),0),
IF(AX785="K",VLOOKUP(L785,Foundation_Calc!$K$41:$R$74,VLOOKUP(AW785,Foundation_Calc!$I$2:$J$8,2,FALSE),0),"")))</f>
        <v/>
      </c>
      <c r="AZ785" s="631" t="str">
        <f>IF(K785="","",
IF(AX785="PT",VLOOKUP(K785,Foundation_Calc!$K$4:$R$37,VLOOKUP(AW785,Foundation_Calc!$I$2:$J$8,2,FALSE),0),
IF(AX785="K",VLOOKUP(K785,Foundation_Calc!$K$41:$R$74,VLOOKUP(AW785,Foundation_Calc!$I$2:$J$8,2,FALSE),0),"")))</f>
        <v/>
      </c>
      <c r="BA785" s="632" t="str">
        <f t="shared" si="119"/>
        <v/>
      </c>
      <c r="BB785" s="632" t="str">
        <f t="shared" si="120"/>
        <v/>
      </c>
      <c r="BC785" s="632" t="str">
        <f t="shared" si="121"/>
        <v/>
      </c>
      <c r="BD785" s="633" t="str">
        <f>IF(AND(L785="",H785=""),"",
IF(H785="",Pole_Calc!A813,
IF(H785="MP",Pole_Calc!A814,
IF(H785="AnMP",Pole_Calc!A815,
IF(H785="A",Pole_Calc!A816,
IF(H785="S/A",Pole_Calc!A817,
IF(H785="A/S",Pole_Calc!A818,"Poner a mano")))))))</f>
        <v/>
      </c>
      <c r="BE785" s="448" t="s">
        <v>1726</v>
      </c>
      <c r="BF785" s="635"/>
      <c r="BG785" s="635"/>
      <c r="BH785" s="634"/>
      <c r="BI785" s="635"/>
    </row>
    <row r="786" spans="1:61" ht="16.2" customHeight="1">
      <c r="A786" s="12"/>
      <c r="B786" s="446"/>
      <c r="C786" s="89"/>
      <c r="D786" s="13"/>
      <c r="E786" s="14"/>
      <c r="F786" s="14"/>
      <c r="G786" s="15"/>
      <c r="H786" s="8"/>
      <c r="I786" s="8"/>
      <c r="J786" s="89"/>
      <c r="K786" s="8"/>
      <c r="L786" s="8"/>
      <c r="M786" s="8" t="str">
        <f>IF(L786="","",
IF(AX786="PT",VLOOKUP(L786,Foundation_Calc!$V$4:$X$37,VLOOKUP(AX786,Foundation_Calc!$I$10:$J$13,2,FALSE),0),
IF(AX786="K",VLOOKUP(L786,Foundation_Calc!$V$41:$X$74,VLOOKUP(AX786,Foundation_Calc!$I$10:$J$13,2,FALSE),0),"")))</f>
        <v/>
      </c>
      <c r="N786" s="8"/>
      <c r="O786" s="8"/>
      <c r="P786" s="8"/>
      <c r="Q786" s="14"/>
      <c r="R786" s="15"/>
      <c r="S786" s="15"/>
      <c r="T786" s="14"/>
      <c r="U786" s="14"/>
      <c r="V786" s="14"/>
      <c r="W786" s="18"/>
      <c r="X786" s="18"/>
      <c r="Y786" s="18"/>
      <c r="Z786" s="18"/>
      <c r="AA786" s="18"/>
      <c r="AB786" s="18"/>
      <c r="AC786" s="8" t="str">
        <f t="shared" si="118"/>
        <v/>
      </c>
      <c r="AD786" s="8"/>
      <c r="AE786" s="8"/>
      <c r="AF786" s="14"/>
      <c r="AG786" s="13"/>
      <c r="AH786" s="14"/>
      <c r="AI786" s="14"/>
      <c r="AJ786" s="8"/>
      <c r="AK786" s="8"/>
      <c r="AL786" s="8"/>
      <c r="AM786" s="8"/>
      <c r="AN786" s="631"/>
      <c r="AO786" s="18"/>
      <c r="AP786" s="18"/>
      <c r="AQ786" s="18"/>
      <c r="AR786" s="18"/>
      <c r="AS786" s="18"/>
      <c r="AU786" s="448"/>
      <c r="AV786" s="448"/>
      <c r="AW786" s="8" t="str">
        <f>IF(C786&gt;0,VLOOKUP(C786,Foundation_Calc!$A$2:$C$986,3,1),
IF(J786&gt;0,VLOOKUP(J786,Foundation_Calc!$A$2:$C$986,3,1),""))</f>
        <v/>
      </c>
      <c r="AX786" s="8" t="str">
        <f>IF(C786&gt;0,VLOOKUP(C786,Foundation_Calc!$E$2:$G$986,3,1),
IF(J786&gt;0,VLOOKUP(J786,Foundation_Calc!$E$2:$G$986,3,1),""))</f>
        <v/>
      </c>
      <c r="AY786" s="631" t="str">
        <f>IF(L786="","",
IF(AX786="PT",VLOOKUP(L786,Foundation_Calc!$K$4:$R$37,VLOOKUP(AW786,Foundation_Calc!$I$2:$J$8,2,FALSE),0),
IF(AX786="K",VLOOKUP(L786,Foundation_Calc!$K$41:$R$74,VLOOKUP(AW786,Foundation_Calc!$I$2:$J$8,2,FALSE),0),"")))</f>
        <v/>
      </c>
      <c r="AZ786" s="631" t="str">
        <f>IF(K786="","",
IF(AX786="PT",VLOOKUP(K786,Foundation_Calc!$K$4:$R$37,VLOOKUP(AW786,Foundation_Calc!$I$2:$J$8,2,FALSE),0),
IF(AX786="K",VLOOKUP(K786,Foundation_Calc!$K$41:$R$74,VLOOKUP(AW786,Foundation_Calc!$I$2:$J$8,2,FALSE),0),"")))</f>
        <v/>
      </c>
      <c r="BA786" s="632" t="str">
        <f t="shared" si="119"/>
        <v/>
      </c>
      <c r="BB786" s="632" t="str">
        <f t="shared" si="120"/>
        <v/>
      </c>
      <c r="BC786" s="632" t="str">
        <f t="shared" si="121"/>
        <v/>
      </c>
      <c r="BD786" s="633" t="str">
        <f>IF(AND(L786="",H786=""),"",
IF(H786="",Pole_Calc!A814,
IF(H786="MP",Pole_Calc!A815,
IF(H786="AnMP",Pole_Calc!A816,
IF(H786="A",Pole_Calc!A817,
IF(H786="S/A",Pole_Calc!A818,
IF(H786="A/S",Pole_Calc!A819,"Poner a mano")))))))</f>
        <v/>
      </c>
      <c r="BE786" s="448" t="s">
        <v>1726</v>
      </c>
      <c r="BF786" s="634"/>
      <c r="BG786" s="634"/>
      <c r="BH786" s="634"/>
      <c r="BI786" s="634"/>
    </row>
    <row r="787" spans="1:61" ht="16.2" customHeight="1">
      <c r="A787" s="12"/>
      <c r="B787" s="446"/>
      <c r="C787" s="89"/>
      <c r="D787" s="13"/>
      <c r="E787" s="14"/>
      <c r="F787" s="14"/>
      <c r="G787" s="15"/>
      <c r="H787" s="8"/>
      <c r="I787" s="8"/>
      <c r="J787" s="89"/>
      <c r="K787" s="8"/>
      <c r="L787" s="8"/>
      <c r="M787" s="8" t="str">
        <f>IF(L787="","",
IF(AX787="PT",VLOOKUP(L787,Foundation_Calc!$V$4:$X$37,VLOOKUP(AX787,Foundation_Calc!$I$10:$J$13,2,FALSE),0),
IF(AX787="K",VLOOKUP(L787,Foundation_Calc!$V$41:$X$74,VLOOKUP(AX787,Foundation_Calc!$I$10:$J$13,2,FALSE),0),"")))</f>
        <v/>
      </c>
      <c r="N787" s="8"/>
      <c r="O787" s="8"/>
      <c r="P787" s="8"/>
      <c r="Q787" s="14"/>
      <c r="R787" s="15"/>
      <c r="S787" s="15"/>
      <c r="T787" s="14"/>
      <c r="U787" s="14"/>
      <c r="V787" s="14"/>
      <c r="W787" s="18"/>
      <c r="X787" s="18"/>
      <c r="Y787" s="18"/>
      <c r="Z787" s="18"/>
      <c r="AA787" s="18"/>
      <c r="AB787" s="18"/>
      <c r="AC787" s="8" t="str">
        <f t="shared" si="118"/>
        <v/>
      </c>
      <c r="AD787" s="8"/>
      <c r="AE787" s="8"/>
      <c r="AF787" s="14"/>
      <c r="AG787" s="13"/>
      <c r="AH787" s="14"/>
      <c r="AI787" s="14"/>
      <c r="AJ787" s="8"/>
      <c r="AK787" s="8"/>
      <c r="AL787" s="8"/>
      <c r="AM787" s="8"/>
      <c r="AN787" s="631"/>
      <c r="AO787" s="18"/>
      <c r="AP787" s="18"/>
      <c r="AQ787" s="18"/>
      <c r="AR787" s="18"/>
      <c r="AS787" s="18"/>
      <c r="AU787" s="448"/>
      <c r="AV787" s="448"/>
      <c r="AW787" s="8" t="str">
        <f>IF(C787&gt;0,VLOOKUP(C787,Foundation_Calc!$A$2:$C$986,3,1),
IF(J787&gt;0,VLOOKUP(J787,Foundation_Calc!$A$2:$C$986,3,1),""))</f>
        <v/>
      </c>
      <c r="AX787" s="8" t="str">
        <f>IF(C787&gt;0,VLOOKUP(C787,Foundation_Calc!$E$2:$G$986,3,1),
IF(J787&gt;0,VLOOKUP(J787,Foundation_Calc!$E$2:$G$986,3,1),""))</f>
        <v/>
      </c>
      <c r="AY787" s="631" t="str">
        <f>IF(L787="","",
IF(AX787="PT",VLOOKUP(L787,Foundation_Calc!$K$4:$R$37,VLOOKUP(AW787,Foundation_Calc!$I$2:$J$8,2,FALSE),0),
IF(AX787="K",VLOOKUP(L787,Foundation_Calc!$K$41:$R$74,VLOOKUP(AW787,Foundation_Calc!$I$2:$J$8,2,FALSE),0),"")))</f>
        <v/>
      </c>
      <c r="AZ787" s="631" t="str">
        <f>IF(K787="","",
IF(AX787="PT",VLOOKUP(K787,Foundation_Calc!$K$4:$R$37,VLOOKUP(AW787,Foundation_Calc!$I$2:$J$8,2,FALSE),0),
IF(AX787="K",VLOOKUP(K787,Foundation_Calc!$K$41:$R$74,VLOOKUP(AW787,Foundation_Calc!$I$2:$J$8,2,FALSE),0),"")))</f>
        <v/>
      </c>
      <c r="BA787" s="632" t="str">
        <f t="shared" si="119"/>
        <v/>
      </c>
      <c r="BB787" s="632" t="str">
        <f t="shared" si="120"/>
        <v/>
      </c>
      <c r="BC787" s="632" t="str">
        <f t="shared" si="121"/>
        <v/>
      </c>
      <c r="BD787" s="633" t="str">
        <f>IF(AND(L787="",H787=""),"",
IF(H787="",Pole_Calc!A815,
IF(H787="MP",Pole_Calc!A816,
IF(H787="AnMP",Pole_Calc!A817,
IF(H787="A",Pole_Calc!A818,
IF(H787="S/A",Pole_Calc!A819,
IF(H787="A/S",Pole_Calc!A820,"Poner a mano")))))))</f>
        <v/>
      </c>
      <c r="BE787" s="448" t="s">
        <v>1726</v>
      </c>
      <c r="BF787" s="635"/>
      <c r="BG787" s="635"/>
      <c r="BH787" s="634"/>
      <c r="BI787" s="635"/>
    </row>
    <row r="788" spans="1:61" ht="16.2" customHeight="1">
      <c r="A788" s="12"/>
      <c r="B788" s="446"/>
      <c r="C788" s="89"/>
      <c r="D788" s="13"/>
      <c r="E788" s="14"/>
      <c r="F788" s="14"/>
      <c r="G788" s="15"/>
      <c r="H788" s="8"/>
      <c r="I788" s="8"/>
      <c r="J788" s="89"/>
      <c r="K788" s="8"/>
      <c r="L788" s="8"/>
      <c r="M788" s="8" t="str">
        <f>IF(L788="","",
IF(AX788="PT",VLOOKUP(L788,Foundation_Calc!$V$4:$X$37,VLOOKUP(AX788,Foundation_Calc!$I$10:$J$13,2,FALSE),0),
IF(AX788="K",VLOOKUP(L788,Foundation_Calc!$V$41:$X$74,VLOOKUP(AX788,Foundation_Calc!$I$10:$J$13,2,FALSE),0),"")))</f>
        <v/>
      </c>
      <c r="N788" s="8"/>
      <c r="O788" s="8"/>
      <c r="P788" s="8"/>
      <c r="Q788" s="14"/>
      <c r="R788" s="15"/>
      <c r="S788" s="15"/>
      <c r="T788" s="14"/>
      <c r="U788" s="14"/>
      <c r="V788" s="14"/>
      <c r="W788" s="18"/>
      <c r="X788" s="18"/>
      <c r="Y788" s="18"/>
      <c r="Z788" s="18"/>
      <c r="AA788" s="18"/>
      <c r="AB788" s="18"/>
      <c r="AC788" s="8" t="str">
        <f t="shared" si="118"/>
        <v/>
      </c>
      <c r="AD788" s="8"/>
      <c r="AE788" s="8"/>
      <c r="AF788" s="14"/>
      <c r="AG788" s="13"/>
      <c r="AH788" s="14"/>
      <c r="AI788" s="14"/>
      <c r="AJ788" s="8"/>
      <c r="AK788" s="8"/>
      <c r="AL788" s="8"/>
      <c r="AM788" s="8"/>
      <c r="AN788" s="631"/>
      <c r="AO788" s="18"/>
      <c r="AP788" s="18"/>
      <c r="AQ788" s="18"/>
      <c r="AR788" s="18"/>
      <c r="AS788" s="18"/>
      <c r="AU788" s="448"/>
      <c r="AV788" s="448"/>
      <c r="AW788" s="8" t="str">
        <f>IF(C788&gt;0,VLOOKUP(C788,Foundation_Calc!$A$2:$C$986,3,1),
IF(J788&gt;0,VLOOKUP(J788,Foundation_Calc!$A$2:$C$986,3,1),""))</f>
        <v/>
      </c>
      <c r="AX788" s="8" t="str">
        <f>IF(C788&gt;0,VLOOKUP(C788,Foundation_Calc!$E$2:$G$986,3,1),
IF(J788&gt;0,VLOOKUP(J788,Foundation_Calc!$E$2:$G$986,3,1),""))</f>
        <v/>
      </c>
      <c r="AY788" s="631" t="str">
        <f>IF(L788="","",
IF(AX788="PT",VLOOKUP(L788,Foundation_Calc!$K$4:$R$37,VLOOKUP(AW788,Foundation_Calc!$I$2:$J$8,2,FALSE),0),
IF(AX788="K",VLOOKUP(L788,Foundation_Calc!$K$41:$R$74,VLOOKUP(AW788,Foundation_Calc!$I$2:$J$8,2,FALSE),0),"")))</f>
        <v/>
      </c>
      <c r="AZ788" s="631" t="str">
        <f>IF(K788="","",
IF(AX788="PT",VLOOKUP(K788,Foundation_Calc!$K$4:$R$37,VLOOKUP(AW788,Foundation_Calc!$I$2:$J$8,2,FALSE),0),
IF(AX788="K",VLOOKUP(K788,Foundation_Calc!$K$41:$R$74,VLOOKUP(AW788,Foundation_Calc!$I$2:$J$8,2,FALSE),0),"")))</f>
        <v/>
      </c>
      <c r="BA788" s="632" t="str">
        <f t="shared" si="119"/>
        <v/>
      </c>
      <c r="BB788" s="632" t="str">
        <f t="shared" si="120"/>
        <v/>
      </c>
      <c r="BC788" s="632" t="str">
        <f t="shared" si="121"/>
        <v/>
      </c>
      <c r="BD788" s="633" t="str">
        <f>IF(AND(L788="",H788=""),"",
IF(H788="",Pole_Calc!A816,
IF(H788="MP",Pole_Calc!A817,
IF(H788="AnMP",Pole_Calc!A818,
IF(H788="A",Pole_Calc!A819,
IF(H788="S/A",Pole_Calc!A820,
IF(H788="A/S",Pole_Calc!A821,"Poner a mano")))))))</f>
        <v/>
      </c>
      <c r="BE788" s="448" t="s">
        <v>1726</v>
      </c>
      <c r="BF788" s="634"/>
      <c r="BG788" s="634"/>
      <c r="BH788" s="634"/>
      <c r="BI788" s="634"/>
    </row>
    <row r="789" spans="1:61" ht="16.2" customHeight="1">
      <c r="A789" s="12"/>
      <c r="B789" s="446"/>
      <c r="C789" s="89"/>
      <c r="D789" s="13"/>
      <c r="E789" s="14"/>
      <c r="F789" s="14"/>
      <c r="G789" s="15"/>
      <c r="H789" s="8"/>
      <c r="I789" s="8"/>
      <c r="J789" s="89"/>
      <c r="K789" s="8"/>
      <c r="L789" s="8"/>
      <c r="M789" s="8" t="str">
        <f>IF(L789="","",
IF(AX789="PT",VLOOKUP(L789,Foundation_Calc!$V$4:$X$37,VLOOKUP(AX789,Foundation_Calc!$I$10:$J$13,2,FALSE),0),
IF(AX789="K",VLOOKUP(L789,Foundation_Calc!$V$41:$X$74,VLOOKUP(AX789,Foundation_Calc!$I$10:$J$13,2,FALSE),0),"")))</f>
        <v/>
      </c>
      <c r="N789" s="8"/>
      <c r="O789" s="8"/>
      <c r="P789" s="8"/>
      <c r="Q789" s="14"/>
      <c r="R789" s="15"/>
      <c r="S789" s="15"/>
      <c r="T789" s="14"/>
      <c r="U789" s="14"/>
      <c r="V789" s="14"/>
      <c r="W789" s="18"/>
      <c r="X789" s="18"/>
      <c r="Y789" s="18"/>
      <c r="Z789" s="18"/>
      <c r="AA789" s="18"/>
      <c r="AB789" s="18"/>
      <c r="AC789" s="8" t="str">
        <f t="shared" si="118"/>
        <v/>
      </c>
      <c r="AD789" s="8"/>
      <c r="AE789" s="8"/>
      <c r="AF789" s="14"/>
      <c r="AG789" s="13"/>
      <c r="AH789" s="14"/>
      <c r="AI789" s="14"/>
      <c r="AJ789" s="8"/>
      <c r="AK789" s="8"/>
      <c r="AL789" s="8"/>
      <c r="AM789" s="8"/>
      <c r="AN789" s="631"/>
      <c r="AO789" s="18"/>
      <c r="AP789" s="18"/>
      <c r="AQ789" s="18"/>
      <c r="AR789" s="18"/>
      <c r="AS789" s="18"/>
      <c r="AU789" s="448"/>
      <c r="AV789" s="448"/>
      <c r="AW789" s="8" t="str">
        <f>IF(C789&gt;0,VLOOKUP(C789,Foundation_Calc!$A$2:$C$986,3,1),
IF(J789&gt;0,VLOOKUP(J789,Foundation_Calc!$A$2:$C$986,3,1),""))</f>
        <v/>
      </c>
      <c r="AX789" s="8" t="str">
        <f>IF(C789&gt;0,VLOOKUP(C789,Foundation_Calc!$E$2:$G$986,3,1),
IF(J789&gt;0,VLOOKUP(J789,Foundation_Calc!$E$2:$G$986,3,1),""))</f>
        <v/>
      </c>
      <c r="AY789" s="631" t="str">
        <f>IF(L789="","",
IF(AX789="PT",VLOOKUP(L789,Foundation_Calc!$K$4:$R$37,VLOOKUP(AW789,Foundation_Calc!$I$2:$J$8,2,FALSE),0),
IF(AX789="K",VLOOKUP(L789,Foundation_Calc!$K$41:$R$74,VLOOKUP(AW789,Foundation_Calc!$I$2:$J$8,2,FALSE),0),"")))</f>
        <v/>
      </c>
      <c r="AZ789" s="631" t="str">
        <f>IF(K789="","",
IF(AX789="PT",VLOOKUP(K789,Foundation_Calc!$K$4:$R$37,VLOOKUP(AW789,Foundation_Calc!$I$2:$J$8,2,FALSE),0),
IF(AX789="K",VLOOKUP(K789,Foundation_Calc!$K$41:$R$74,VLOOKUP(AW789,Foundation_Calc!$I$2:$J$8,2,FALSE),0),"")))</f>
        <v/>
      </c>
      <c r="BA789" s="632" t="str">
        <f t="shared" si="119"/>
        <v/>
      </c>
      <c r="BB789" s="632" t="str">
        <f t="shared" si="120"/>
        <v/>
      </c>
      <c r="BC789" s="632" t="str">
        <f t="shared" si="121"/>
        <v/>
      </c>
      <c r="BD789" s="633" t="str">
        <f>IF(AND(L789="",H789=""),"",
IF(H789="",Pole_Calc!A817,
IF(H789="MP",Pole_Calc!A818,
IF(H789="AnMP",Pole_Calc!A819,
IF(H789="A",Pole_Calc!A820,
IF(H789="S/A",Pole_Calc!A821,
IF(H789="A/S",Pole_Calc!A822,"Poner a mano")))))))</f>
        <v/>
      </c>
      <c r="BE789" s="448" t="s">
        <v>1726</v>
      </c>
      <c r="BF789" s="635"/>
      <c r="BG789" s="635"/>
      <c r="BH789" s="634"/>
      <c r="BI789" s="635"/>
    </row>
    <row r="790" spans="1:61" ht="16.2" customHeight="1">
      <c r="A790" s="12"/>
      <c r="B790" s="446"/>
      <c r="C790" s="89"/>
      <c r="D790" s="13"/>
      <c r="E790" s="14"/>
      <c r="F790" s="14"/>
      <c r="G790" s="15"/>
      <c r="H790" s="8"/>
      <c r="I790" s="8"/>
      <c r="J790" s="89"/>
      <c r="K790" s="8"/>
      <c r="L790" s="8"/>
      <c r="M790" s="8" t="str">
        <f>IF(L790="","",
IF(AX790="PT",VLOOKUP(L790,Foundation_Calc!$V$4:$X$37,VLOOKUP(AX790,Foundation_Calc!$I$10:$J$13,2,FALSE),0),
IF(AX790="K",VLOOKUP(L790,Foundation_Calc!$V$41:$X$74,VLOOKUP(AX790,Foundation_Calc!$I$10:$J$13,2,FALSE),0),"")))</f>
        <v/>
      </c>
      <c r="N790" s="8"/>
      <c r="O790" s="8"/>
      <c r="P790" s="8"/>
      <c r="Q790" s="14"/>
      <c r="R790" s="15"/>
      <c r="S790" s="15"/>
      <c r="T790" s="14"/>
      <c r="U790" s="14"/>
      <c r="V790" s="14"/>
      <c r="W790" s="18"/>
      <c r="X790" s="18"/>
      <c r="Y790" s="18"/>
      <c r="Z790" s="18"/>
      <c r="AA790" s="18"/>
      <c r="AB790" s="18"/>
      <c r="AC790" s="8" t="str">
        <f t="shared" si="118"/>
        <v/>
      </c>
      <c r="AD790" s="8"/>
      <c r="AE790" s="8"/>
      <c r="AF790" s="14"/>
      <c r="AG790" s="13"/>
      <c r="AH790" s="14"/>
      <c r="AI790" s="14"/>
      <c r="AJ790" s="8"/>
      <c r="AK790" s="8"/>
      <c r="AL790" s="8"/>
      <c r="AM790" s="8"/>
      <c r="AN790" s="631"/>
      <c r="AO790" s="18"/>
      <c r="AP790" s="18"/>
      <c r="AQ790" s="18"/>
      <c r="AR790" s="18"/>
      <c r="AS790" s="18"/>
      <c r="AU790" s="448"/>
      <c r="AV790" s="448"/>
      <c r="AW790" s="8" t="str">
        <f>IF(C790&gt;0,VLOOKUP(C790,Foundation_Calc!$A$2:$C$986,3,1),
IF(J790&gt;0,VLOOKUP(J790,Foundation_Calc!$A$2:$C$986,3,1),""))</f>
        <v/>
      </c>
      <c r="AX790" s="8" t="str">
        <f>IF(C790&gt;0,VLOOKUP(C790,Foundation_Calc!$E$2:$G$986,3,1),
IF(J790&gt;0,VLOOKUP(J790,Foundation_Calc!$E$2:$G$986,3,1),""))</f>
        <v/>
      </c>
      <c r="AY790" s="631" t="str">
        <f>IF(L790="","",
IF(AX790="PT",VLOOKUP(L790,Foundation_Calc!$K$4:$R$37,VLOOKUP(AW790,Foundation_Calc!$I$2:$J$8,2,FALSE),0),
IF(AX790="K",VLOOKUP(L790,Foundation_Calc!$K$41:$R$74,VLOOKUP(AW790,Foundation_Calc!$I$2:$J$8,2,FALSE),0),"")))</f>
        <v/>
      </c>
      <c r="AZ790" s="631" t="str">
        <f>IF(K790="","",
IF(AX790="PT",VLOOKUP(K790,Foundation_Calc!$K$4:$R$37,VLOOKUP(AW790,Foundation_Calc!$I$2:$J$8,2,FALSE),0),
IF(AX790="K",VLOOKUP(K790,Foundation_Calc!$K$41:$R$74,VLOOKUP(AW790,Foundation_Calc!$I$2:$J$8,2,FALSE),0),"")))</f>
        <v/>
      </c>
      <c r="BA790" s="632" t="str">
        <f t="shared" si="119"/>
        <v/>
      </c>
      <c r="BB790" s="632" t="str">
        <f t="shared" si="120"/>
        <v/>
      </c>
      <c r="BC790" s="632" t="str">
        <f t="shared" si="121"/>
        <v/>
      </c>
      <c r="BD790" s="633" t="str">
        <f>IF(AND(L790="",H790=""),"",
IF(H790="",Pole_Calc!A818,
IF(H790="MP",Pole_Calc!A819,
IF(H790="AnMP",Pole_Calc!A820,
IF(H790="A",Pole_Calc!A821,
IF(H790="S/A",Pole_Calc!A822,
IF(H790="A/S",Pole_Calc!A823,"Poner a mano")))))))</f>
        <v/>
      </c>
      <c r="BE790" s="448" t="s">
        <v>1726</v>
      </c>
      <c r="BF790" s="634"/>
      <c r="BG790" s="634"/>
      <c r="BH790" s="634"/>
      <c r="BI790" s="634"/>
    </row>
    <row r="791" spans="1:61" ht="16.2" customHeight="1">
      <c r="A791" s="12"/>
      <c r="B791" s="446"/>
      <c r="C791" s="89"/>
      <c r="D791" s="13"/>
      <c r="E791" s="14"/>
      <c r="F791" s="14"/>
      <c r="G791" s="15"/>
      <c r="H791" s="8"/>
      <c r="I791" s="8"/>
      <c r="J791" s="89"/>
      <c r="K791" s="8"/>
      <c r="L791" s="8"/>
      <c r="M791" s="8" t="str">
        <f>IF(L791="","",
IF(AX791="PT",VLOOKUP(L791,Foundation_Calc!$V$4:$X$37,VLOOKUP(AX791,Foundation_Calc!$I$10:$J$13,2,FALSE),0),
IF(AX791="K",VLOOKUP(L791,Foundation_Calc!$V$41:$X$74,VLOOKUP(AX791,Foundation_Calc!$I$10:$J$13,2,FALSE),0),"")))</f>
        <v/>
      </c>
      <c r="N791" s="8"/>
      <c r="O791" s="8"/>
      <c r="P791" s="8"/>
      <c r="Q791" s="14"/>
      <c r="R791" s="15"/>
      <c r="S791" s="15"/>
      <c r="T791" s="14"/>
      <c r="U791" s="14"/>
      <c r="V791" s="14"/>
      <c r="W791" s="18"/>
      <c r="X791" s="18"/>
      <c r="Y791" s="18"/>
      <c r="Z791" s="18"/>
      <c r="AA791" s="18"/>
      <c r="AB791" s="18"/>
      <c r="AC791" s="8" t="str">
        <f t="shared" si="118"/>
        <v/>
      </c>
      <c r="AD791" s="8"/>
      <c r="AE791" s="8"/>
      <c r="AF791" s="14"/>
      <c r="AG791" s="13"/>
      <c r="AH791" s="14"/>
      <c r="AI791" s="14"/>
      <c r="AJ791" s="8"/>
      <c r="AK791" s="8"/>
      <c r="AL791" s="8"/>
      <c r="AM791" s="8"/>
      <c r="AN791" s="631"/>
      <c r="AO791" s="18"/>
      <c r="AP791" s="18"/>
      <c r="AQ791" s="18"/>
      <c r="AR791" s="18"/>
      <c r="AS791" s="18"/>
      <c r="AU791" s="448"/>
      <c r="AV791" s="448"/>
      <c r="AW791" s="8" t="str">
        <f>IF(C791&gt;0,VLOOKUP(C791,Foundation_Calc!$A$2:$C$986,3,1),
IF(J791&gt;0,VLOOKUP(J791,Foundation_Calc!$A$2:$C$986,3,1),""))</f>
        <v/>
      </c>
      <c r="AX791" s="8" t="str">
        <f>IF(C791&gt;0,VLOOKUP(C791,Foundation_Calc!$E$2:$G$986,3,1),
IF(J791&gt;0,VLOOKUP(J791,Foundation_Calc!$E$2:$G$986,3,1),""))</f>
        <v/>
      </c>
      <c r="AY791" s="631" t="str">
        <f>IF(L791="","",
IF(AX791="PT",VLOOKUP(L791,Foundation_Calc!$K$4:$R$37,VLOOKUP(AW791,Foundation_Calc!$I$2:$J$8,2,FALSE),0),
IF(AX791="K",VLOOKUP(L791,Foundation_Calc!$K$41:$R$74,VLOOKUP(AW791,Foundation_Calc!$I$2:$J$8,2,FALSE),0),"")))</f>
        <v/>
      </c>
      <c r="AZ791" s="631" t="str">
        <f>IF(K791="","",
IF(AX791="PT",VLOOKUP(K791,Foundation_Calc!$K$4:$R$37,VLOOKUP(AW791,Foundation_Calc!$I$2:$J$8,2,FALSE),0),
IF(AX791="K",VLOOKUP(K791,Foundation_Calc!$K$41:$R$74,VLOOKUP(AW791,Foundation_Calc!$I$2:$J$8,2,FALSE),0),"")))</f>
        <v/>
      </c>
      <c r="BA791" s="632" t="str">
        <f t="shared" si="119"/>
        <v/>
      </c>
      <c r="BB791" s="632" t="str">
        <f t="shared" si="120"/>
        <v/>
      </c>
      <c r="BC791" s="632" t="str">
        <f t="shared" si="121"/>
        <v/>
      </c>
      <c r="BD791" s="633" t="str">
        <f>IF(AND(L791="",H791=""),"",
IF(H791="",Pole_Calc!A819,
IF(H791="MP",Pole_Calc!A820,
IF(H791="AnMP",Pole_Calc!A821,
IF(H791="A",Pole_Calc!A822,
IF(H791="S/A",Pole_Calc!A823,
IF(H791="A/S",Pole_Calc!A824,"Poner a mano")))))))</f>
        <v/>
      </c>
      <c r="BE791" s="448" t="s">
        <v>1726</v>
      </c>
      <c r="BF791" s="635"/>
      <c r="BG791" s="635"/>
      <c r="BH791" s="634"/>
      <c r="BI791" s="635"/>
    </row>
    <row r="792" spans="1:61" ht="16.2" customHeight="1">
      <c r="A792" s="12"/>
      <c r="B792" s="446"/>
      <c r="C792" s="89"/>
      <c r="D792" s="13"/>
      <c r="E792" s="14"/>
      <c r="F792" s="14"/>
      <c r="G792" s="15"/>
      <c r="H792" s="8"/>
      <c r="I792" s="8"/>
      <c r="J792" s="89"/>
      <c r="K792" s="8"/>
      <c r="L792" s="8"/>
      <c r="M792" s="8" t="str">
        <f>IF(L792="","",
IF(AX792="PT",VLOOKUP(L792,Foundation_Calc!$V$4:$X$37,VLOOKUP(AX792,Foundation_Calc!$I$10:$J$13,2,FALSE),0),
IF(AX792="K",VLOOKUP(L792,Foundation_Calc!$V$41:$X$74,VLOOKUP(AX792,Foundation_Calc!$I$10:$J$13,2,FALSE),0),"")))</f>
        <v/>
      </c>
      <c r="N792" s="8"/>
      <c r="O792" s="8"/>
      <c r="P792" s="8"/>
      <c r="Q792" s="14"/>
      <c r="R792" s="15"/>
      <c r="S792" s="15"/>
      <c r="T792" s="14"/>
      <c r="U792" s="14"/>
      <c r="V792" s="14"/>
      <c r="W792" s="18"/>
      <c r="X792" s="18"/>
      <c r="Y792" s="18"/>
      <c r="Z792" s="18"/>
      <c r="AA792" s="18"/>
      <c r="AB792" s="18"/>
      <c r="AC792" s="8" t="str">
        <f t="shared" si="118"/>
        <v/>
      </c>
      <c r="AD792" s="8"/>
      <c r="AE792" s="8"/>
      <c r="AF792" s="14"/>
      <c r="AG792" s="13"/>
      <c r="AH792" s="14"/>
      <c r="AI792" s="14"/>
      <c r="AJ792" s="8"/>
      <c r="AK792" s="8"/>
      <c r="AL792" s="8"/>
      <c r="AM792" s="8"/>
      <c r="AN792" s="631"/>
      <c r="AO792" s="18"/>
      <c r="AP792" s="18"/>
      <c r="AQ792" s="18"/>
      <c r="AR792" s="18"/>
      <c r="AS792" s="18"/>
      <c r="AU792" s="448"/>
      <c r="AV792" s="448"/>
      <c r="AW792" s="8" t="str">
        <f>IF(C792&gt;0,VLOOKUP(C792,Foundation_Calc!$A$2:$C$986,3,1),
IF(J792&gt;0,VLOOKUP(J792,Foundation_Calc!$A$2:$C$986,3,1),""))</f>
        <v/>
      </c>
      <c r="AX792" s="8" t="str">
        <f>IF(C792&gt;0,VLOOKUP(C792,Foundation_Calc!$E$2:$G$986,3,1),
IF(J792&gt;0,VLOOKUP(J792,Foundation_Calc!$E$2:$G$986,3,1),""))</f>
        <v/>
      </c>
      <c r="AY792" s="631" t="str">
        <f>IF(L792="","",
IF(AX792="PT",VLOOKUP(L792,Foundation_Calc!$K$4:$R$37,VLOOKUP(AW792,Foundation_Calc!$I$2:$J$8,2,FALSE),0),
IF(AX792="K",VLOOKUP(L792,Foundation_Calc!$K$41:$R$74,VLOOKUP(AW792,Foundation_Calc!$I$2:$J$8,2,FALSE),0),"")))</f>
        <v/>
      </c>
      <c r="AZ792" s="631" t="str">
        <f>IF(K792="","",
IF(AX792="PT",VLOOKUP(K792,Foundation_Calc!$K$4:$R$37,VLOOKUP(AW792,Foundation_Calc!$I$2:$J$8,2,FALSE),0),
IF(AX792="K",VLOOKUP(K792,Foundation_Calc!$K$41:$R$74,VLOOKUP(AW792,Foundation_Calc!$I$2:$J$8,2,FALSE),0),"")))</f>
        <v/>
      </c>
      <c r="BA792" s="632" t="str">
        <f t="shared" si="119"/>
        <v/>
      </c>
      <c r="BB792" s="632" t="str">
        <f t="shared" si="120"/>
        <v/>
      </c>
      <c r="BC792" s="632" t="str">
        <f t="shared" si="121"/>
        <v/>
      </c>
      <c r="BD792" s="633" t="str">
        <f>IF(AND(L792="",H792=""),"",
IF(H792="",Pole_Calc!A820,
IF(H792="MP",Pole_Calc!A821,
IF(H792="AnMP",Pole_Calc!A822,
IF(H792="A",Pole_Calc!A823,
IF(H792="S/A",Pole_Calc!A824,
IF(H792="A/S",Pole_Calc!A825,"Poner a mano")))))))</f>
        <v/>
      </c>
      <c r="BE792" s="448" t="s">
        <v>1726</v>
      </c>
      <c r="BF792" s="634"/>
      <c r="BG792" s="634"/>
      <c r="BH792" s="634"/>
      <c r="BI792" s="634"/>
    </row>
    <row r="793" spans="1:61" ht="16.2" customHeight="1">
      <c r="A793" s="12"/>
      <c r="B793" s="446"/>
      <c r="C793" s="89"/>
      <c r="D793" s="13"/>
      <c r="E793" s="14"/>
      <c r="F793" s="14"/>
      <c r="G793" s="15"/>
      <c r="H793" s="8"/>
      <c r="I793" s="8"/>
      <c r="J793" s="89"/>
      <c r="K793" s="8"/>
      <c r="L793" s="8"/>
      <c r="M793" s="8" t="str">
        <f>IF(L793="","",
IF(AX793="PT",VLOOKUP(L793,Foundation_Calc!$V$4:$X$37,VLOOKUP(AX793,Foundation_Calc!$I$10:$J$13,2,FALSE),0),
IF(AX793="K",VLOOKUP(L793,Foundation_Calc!$V$41:$X$74,VLOOKUP(AX793,Foundation_Calc!$I$10:$J$13,2,FALSE),0),"")))</f>
        <v/>
      </c>
      <c r="N793" s="8"/>
      <c r="O793" s="8"/>
      <c r="P793" s="8"/>
      <c r="Q793" s="14"/>
      <c r="R793" s="15"/>
      <c r="S793" s="15"/>
      <c r="T793" s="14"/>
      <c r="U793" s="14"/>
      <c r="V793" s="14"/>
      <c r="W793" s="18"/>
      <c r="X793" s="18"/>
      <c r="Y793" s="18"/>
      <c r="Z793" s="18"/>
      <c r="AA793" s="18"/>
      <c r="AB793" s="18"/>
      <c r="AC793" s="8" t="str">
        <f t="shared" si="118"/>
        <v/>
      </c>
      <c r="AD793" s="8"/>
      <c r="AE793" s="8"/>
      <c r="AF793" s="14"/>
      <c r="AG793" s="13"/>
      <c r="AH793" s="14"/>
      <c r="AI793" s="14"/>
      <c r="AJ793" s="8"/>
      <c r="AK793" s="8"/>
      <c r="AL793" s="8"/>
      <c r="AM793" s="8"/>
      <c r="AN793" s="631"/>
      <c r="AO793" s="18"/>
      <c r="AP793" s="18"/>
      <c r="AQ793" s="18"/>
      <c r="AR793" s="18"/>
      <c r="AS793" s="18"/>
      <c r="AU793" s="448"/>
      <c r="AV793" s="448"/>
      <c r="AW793" s="8" t="str">
        <f>IF(C793&gt;0,VLOOKUP(C793,Foundation_Calc!$A$2:$C$986,3,1),
IF(J793&gt;0,VLOOKUP(J793,Foundation_Calc!$A$2:$C$986,3,1),""))</f>
        <v/>
      </c>
      <c r="AX793" s="8" t="str">
        <f>IF(C793&gt;0,VLOOKUP(C793,Foundation_Calc!$E$2:$G$986,3,1),
IF(J793&gt;0,VLOOKUP(J793,Foundation_Calc!$E$2:$G$986,3,1),""))</f>
        <v/>
      </c>
      <c r="AY793" s="631" t="str">
        <f>IF(L793="","",
IF(AX793="PT",VLOOKUP(L793,Foundation_Calc!$K$4:$R$37,VLOOKUP(AW793,Foundation_Calc!$I$2:$J$8,2,FALSE),0),
IF(AX793="K",VLOOKUP(L793,Foundation_Calc!$K$41:$R$74,VLOOKUP(AW793,Foundation_Calc!$I$2:$J$8,2,FALSE),0),"")))</f>
        <v/>
      </c>
      <c r="AZ793" s="631" t="str">
        <f>IF(K793="","",
IF(AX793="PT",VLOOKUP(K793,Foundation_Calc!$K$4:$R$37,VLOOKUP(AW793,Foundation_Calc!$I$2:$J$8,2,FALSE),0),
IF(AX793="K",VLOOKUP(K793,Foundation_Calc!$K$41:$R$74,VLOOKUP(AW793,Foundation_Calc!$I$2:$J$8,2,FALSE),0),"")))</f>
        <v/>
      </c>
      <c r="BA793" s="632" t="str">
        <f t="shared" si="119"/>
        <v/>
      </c>
      <c r="BB793" s="632" t="str">
        <f t="shared" si="120"/>
        <v/>
      </c>
      <c r="BC793" s="632" t="str">
        <f t="shared" si="121"/>
        <v/>
      </c>
      <c r="BD793" s="633" t="str">
        <f>IF(AND(L793="",H793=""),"",
IF(H793="",Pole_Calc!A821,
IF(H793="MP",Pole_Calc!A822,
IF(H793="AnMP",Pole_Calc!A823,
IF(H793="A",Pole_Calc!A824,
IF(H793="S/A",Pole_Calc!A825,
IF(H793="A/S",Pole_Calc!A826,"Poner a mano")))))))</f>
        <v/>
      </c>
      <c r="BE793" s="448" t="s">
        <v>1726</v>
      </c>
      <c r="BF793" s="635"/>
      <c r="BG793" s="635"/>
      <c r="BH793" s="634"/>
      <c r="BI793" s="635"/>
    </row>
    <row r="794" spans="1:61" ht="16.2" customHeight="1">
      <c r="A794" s="12"/>
      <c r="B794" s="446"/>
      <c r="C794" s="89"/>
      <c r="D794" s="13"/>
      <c r="E794" s="14"/>
      <c r="F794" s="14"/>
      <c r="G794" s="15"/>
      <c r="H794" s="8"/>
      <c r="I794" s="8"/>
      <c r="J794" s="89"/>
      <c r="K794" s="8"/>
      <c r="L794" s="8"/>
      <c r="M794" s="8" t="str">
        <f>IF(L794="","",
IF(AX794="PT",VLOOKUP(L794,Foundation_Calc!$V$4:$X$37,VLOOKUP(AX794,Foundation_Calc!$I$10:$J$13,2,FALSE),0),
IF(AX794="K",VLOOKUP(L794,Foundation_Calc!$V$41:$X$74,VLOOKUP(AX794,Foundation_Calc!$I$10:$J$13,2,FALSE),0),"")))</f>
        <v/>
      </c>
      <c r="N794" s="8"/>
      <c r="O794" s="8"/>
      <c r="P794" s="8"/>
      <c r="Q794" s="14"/>
      <c r="R794" s="15"/>
      <c r="S794" s="15"/>
      <c r="T794" s="14"/>
      <c r="U794" s="14"/>
      <c r="V794" s="14"/>
      <c r="W794" s="18"/>
      <c r="X794" s="18"/>
      <c r="Y794" s="18"/>
      <c r="Z794" s="18"/>
      <c r="AA794" s="18"/>
      <c r="AB794" s="18"/>
      <c r="AC794" s="8" t="str">
        <f t="shared" si="118"/>
        <v/>
      </c>
      <c r="AD794" s="8"/>
      <c r="AE794" s="8"/>
      <c r="AF794" s="14"/>
      <c r="AG794" s="13"/>
      <c r="AH794" s="14"/>
      <c r="AI794" s="14"/>
      <c r="AJ794" s="8"/>
      <c r="AK794" s="8"/>
      <c r="AL794" s="8"/>
      <c r="AM794" s="8"/>
      <c r="AN794" s="631"/>
      <c r="AO794" s="18"/>
      <c r="AP794" s="18"/>
      <c r="AQ794" s="18"/>
      <c r="AR794" s="18"/>
      <c r="AS794" s="18"/>
      <c r="AU794" s="448"/>
      <c r="AV794" s="448"/>
      <c r="AW794" s="8" t="str">
        <f>IF(C794&gt;0,VLOOKUP(C794,Foundation_Calc!$A$2:$C$986,3,1),
IF(J794&gt;0,VLOOKUP(J794,Foundation_Calc!$A$2:$C$986,3,1),""))</f>
        <v/>
      </c>
      <c r="AX794" s="8" t="str">
        <f>IF(C794&gt;0,VLOOKUP(C794,Foundation_Calc!$E$2:$G$986,3,1),
IF(J794&gt;0,VLOOKUP(J794,Foundation_Calc!$E$2:$G$986,3,1),""))</f>
        <v/>
      </c>
      <c r="AY794" s="631" t="str">
        <f>IF(L794="","",
IF(AX794="PT",VLOOKUP(L794,Foundation_Calc!$K$4:$R$37,VLOOKUP(AW794,Foundation_Calc!$I$2:$J$8,2,FALSE),0),
IF(AX794="K",VLOOKUP(L794,Foundation_Calc!$K$41:$R$74,VLOOKUP(AW794,Foundation_Calc!$I$2:$J$8,2,FALSE),0),"")))</f>
        <v/>
      </c>
      <c r="AZ794" s="631" t="str">
        <f>IF(K794="","",
IF(AX794="PT",VLOOKUP(K794,Foundation_Calc!$K$4:$R$37,VLOOKUP(AW794,Foundation_Calc!$I$2:$J$8,2,FALSE),0),
IF(AX794="K",VLOOKUP(K794,Foundation_Calc!$K$41:$R$74,VLOOKUP(AW794,Foundation_Calc!$I$2:$J$8,2,FALSE),0),"")))</f>
        <v/>
      </c>
      <c r="BA794" s="632" t="str">
        <f t="shared" si="119"/>
        <v/>
      </c>
      <c r="BB794" s="632" t="str">
        <f t="shared" si="120"/>
        <v/>
      </c>
      <c r="BC794" s="632" t="str">
        <f t="shared" si="121"/>
        <v/>
      </c>
      <c r="BD794" s="633" t="str">
        <f>IF(AND(L794="",H794=""),"",
IF(H794="",Pole_Calc!A822,
IF(H794="MP",Pole_Calc!A823,
IF(H794="AnMP",Pole_Calc!A824,
IF(H794="A",Pole_Calc!A825,
IF(H794="S/A",Pole_Calc!A826,
IF(H794="A/S",Pole_Calc!A827,"Poner a mano")))))))</f>
        <v/>
      </c>
      <c r="BE794" s="448" t="s">
        <v>1726</v>
      </c>
      <c r="BF794" s="634"/>
      <c r="BG794" s="634"/>
      <c r="BH794" s="634"/>
      <c r="BI794" s="634"/>
    </row>
    <row r="795" spans="1:61" ht="16.2" customHeight="1">
      <c r="A795" s="12"/>
      <c r="B795" s="446"/>
      <c r="C795" s="89"/>
      <c r="D795" s="13"/>
      <c r="E795" s="14"/>
      <c r="F795" s="14"/>
      <c r="G795" s="15"/>
      <c r="H795" s="8"/>
      <c r="I795" s="8"/>
      <c r="J795" s="89"/>
      <c r="K795" s="8"/>
      <c r="L795" s="8"/>
      <c r="M795" s="8" t="str">
        <f>IF(L795="","",
IF(AX795="PT",VLOOKUP(L795,Foundation_Calc!$V$4:$X$37,VLOOKUP(AX795,Foundation_Calc!$I$10:$J$13,2,FALSE),0),
IF(AX795="K",VLOOKUP(L795,Foundation_Calc!$V$41:$X$74,VLOOKUP(AX795,Foundation_Calc!$I$10:$J$13,2,FALSE),0),"")))</f>
        <v/>
      </c>
      <c r="N795" s="8"/>
      <c r="O795" s="8"/>
      <c r="P795" s="8"/>
      <c r="Q795" s="14"/>
      <c r="R795" s="15"/>
      <c r="S795" s="15"/>
      <c r="T795" s="14"/>
      <c r="U795" s="14"/>
      <c r="V795" s="14"/>
      <c r="W795" s="18"/>
      <c r="X795" s="18"/>
      <c r="Y795" s="18"/>
      <c r="Z795" s="18"/>
      <c r="AA795" s="18"/>
      <c r="AB795" s="18"/>
      <c r="AC795" s="8" t="str">
        <f t="shared" si="118"/>
        <v/>
      </c>
      <c r="AD795" s="8"/>
      <c r="AE795" s="8"/>
      <c r="AF795" s="14"/>
      <c r="AG795" s="13"/>
      <c r="AH795" s="14"/>
      <c r="AI795" s="14"/>
      <c r="AJ795" s="8"/>
      <c r="AK795" s="8"/>
      <c r="AL795" s="8"/>
      <c r="AM795" s="8"/>
      <c r="AN795" s="631"/>
      <c r="AO795" s="18"/>
      <c r="AP795" s="18"/>
      <c r="AQ795" s="18"/>
      <c r="AR795" s="18"/>
      <c r="AS795" s="18"/>
      <c r="AU795" s="448"/>
      <c r="AV795" s="448"/>
      <c r="AW795" s="8" t="str">
        <f>IF(C795&gt;0,VLOOKUP(C795,Foundation_Calc!$A$2:$C$986,3,1),
IF(J795&gt;0,VLOOKUP(J795,Foundation_Calc!$A$2:$C$986,3,1),""))</f>
        <v/>
      </c>
      <c r="AX795" s="8" t="str">
        <f>IF(C795&gt;0,VLOOKUP(C795,Foundation_Calc!$E$2:$G$986,3,1),
IF(J795&gt;0,VLOOKUP(J795,Foundation_Calc!$E$2:$G$986,3,1),""))</f>
        <v/>
      </c>
      <c r="AY795" s="631" t="str">
        <f>IF(L795="","",
IF(AX795="PT",VLOOKUP(L795,Foundation_Calc!$K$4:$R$37,VLOOKUP(AW795,Foundation_Calc!$I$2:$J$8,2,FALSE),0),
IF(AX795="K",VLOOKUP(L795,Foundation_Calc!$K$41:$R$74,VLOOKUP(AW795,Foundation_Calc!$I$2:$J$8,2,FALSE),0),"")))</f>
        <v/>
      </c>
      <c r="AZ795" s="631" t="str">
        <f>IF(K795="","",
IF(AX795="PT",VLOOKUP(K795,Foundation_Calc!$K$4:$R$37,VLOOKUP(AW795,Foundation_Calc!$I$2:$J$8,2,FALSE),0),
IF(AX795="K",VLOOKUP(K795,Foundation_Calc!$K$41:$R$74,VLOOKUP(AW795,Foundation_Calc!$I$2:$J$8,2,FALSE),0),"")))</f>
        <v/>
      </c>
      <c r="BA795" s="632" t="str">
        <f t="shared" si="119"/>
        <v/>
      </c>
      <c r="BB795" s="632" t="str">
        <f t="shared" si="120"/>
        <v/>
      </c>
      <c r="BC795" s="632" t="str">
        <f t="shared" si="121"/>
        <v/>
      </c>
      <c r="BD795" s="633" t="str">
        <f>IF(AND(L795="",H795=""),"",
IF(H795="",Pole_Calc!A823,
IF(H795="MP",Pole_Calc!A824,
IF(H795="AnMP",Pole_Calc!A825,
IF(H795="A",Pole_Calc!A826,
IF(H795="S/A",Pole_Calc!A827,
IF(H795="A/S",Pole_Calc!A828,"Poner a mano")))))))</f>
        <v/>
      </c>
      <c r="BE795" s="448" t="s">
        <v>1726</v>
      </c>
      <c r="BF795" s="635"/>
      <c r="BG795" s="635"/>
      <c r="BH795" s="634"/>
      <c r="BI795" s="635"/>
    </row>
    <row r="796" spans="1:61" ht="16.2" customHeight="1">
      <c r="A796" s="12"/>
      <c r="B796" s="446"/>
      <c r="C796" s="89"/>
      <c r="D796" s="13"/>
      <c r="E796" s="14"/>
      <c r="F796" s="14"/>
      <c r="G796" s="15"/>
      <c r="H796" s="8"/>
      <c r="I796" s="8"/>
      <c r="J796" s="89"/>
      <c r="K796" s="8"/>
      <c r="L796" s="8"/>
      <c r="M796" s="8" t="str">
        <f>IF(L796="","",
IF(AX796="PT",VLOOKUP(L796,Foundation_Calc!$V$4:$X$37,VLOOKUP(AX796,Foundation_Calc!$I$10:$J$13,2,FALSE),0),
IF(AX796="K",VLOOKUP(L796,Foundation_Calc!$V$41:$X$74,VLOOKUP(AX796,Foundation_Calc!$I$10:$J$13,2,FALSE),0),"")))</f>
        <v/>
      </c>
      <c r="N796" s="8"/>
      <c r="O796" s="8"/>
      <c r="P796" s="8"/>
      <c r="Q796" s="14"/>
      <c r="R796" s="15"/>
      <c r="S796" s="15"/>
      <c r="T796" s="14"/>
      <c r="U796" s="14"/>
      <c r="V796" s="14"/>
      <c r="W796" s="18"/>
      <c r="X796" s="18"/>
      <c r="Y796" s="18"/>
      <c r="Z796" s="18"/>
      <c r="AA796" s="18"/>
      <c r="AB796" s="18"/>
      <c r="AC796" s="8" t="str">
        <f t="shared" si="118"/>
        <v/>
      </c>
      <c r="AD796" s="8"/>
      <c r="AE796" s="8"/>
      <c r="AF796" s="14"/>
      <c r="AG796" s="13"/>
      <c r="AH796" s="14"/>
      <c r="AI796" s="14"/>
      <c r="AJ796" s="8"/>
      <c r="AK796" s="8"/>
      <c r="AL796" s="8"/>
      <c r="AM796" s="8"/>
      <c r="AN796" s="631"/>
      <c r="AO796" s="18"/>
      <c r="AP796" s="18"/>
      <c r="AQ796" s="18"/>
      <c r="AR796" s="18"/>
      <c r="AS796" s="18"/>
      <c r="AU796" s="448"/>
      <c r="AV796" s="448"/>
      <c r="AW796" s="8" t="str">
        <f>IF(C796&gt;0,VLOOKUP(C796,Foundation_Calc!$A$2:$C$986,3,1),
IF(J796&gt;0,VLOOKUP(J796,Foundation_Calc!$A$2:$C$986,3,1),""))</f>
        <v/>
      </c>
      <c r="AX796" s="8" t="str">
        <f>IF(C796&gt;0,VLOOKUP(C796,Foundation_Calc!$E$2:$G$986,3,1),
IF(J796&gt;0,VLOOKUP(J796,Foundation_Calc!$E$2:$G$986,3,1),""))</f>
        <v/>
      </c>
      <c r="AY796" s="631" t="str">
        <f>IF(L796="","",
IF(AX796="PT",VLOOKUP(L796,Foundation_Calc!$K$4:$R$37,VLOOKUP(AW796,Foundation_Calc!$I$2:$J$8,2,FALSE),0),
IF(AX796="K",VLOOKUP(L796,Foundation_Calc!$K$41:$R$74,VLOOKUP(AW796,Foundation_Calc!$I$2:$J$8,2,FALSE),0),"")))</f>
        <v/>
      </c>
      <c r="AZ796" s="631" t="str">
        <f>IF(K796="","",
IF(AX796="PT",VLOOKUP(K796,Foundation_Calc!$K$4:$R$37,VLOOKUP(AW796,Foundation_Calc!$I$2:$J$8,2,FALSE),0),
IF(AX796="K",VLOOKUP(K796,Foundation_Calc!$K$41:$R$74,VLOOKUP(AW796,Foundation_Calc!$I$2:$J$8,2,FALSE),0),"")))</f>
        <v/>
      </c>
      <c r="BA796" s="632" t="str">
        <f t="shared" si="119"/>
        <v/>
      </c>
      <c r="BB796" s="632" t="str">
        <f t="shared" si="120"/>
        <v/>
      </c>
      <c r="BC796" s="632" t="str">
        <f t="shared" si="121"/>
        <v/>
      </c>
      <c r="BD796" s="633" t="str">
        <f>IF(AND(L796="",H796=""),"",
IF(H796="",Pole_Calc!A824,
IF(H796="MP",Pole_Calc!A825,
IF(H796="AnMP",Pole_Calc!A826,
IF(H796="A",Pole_Calc!A827,
IF(H796="S/A",Pole_Calc!A828,
IF(H796="A/S",Pole_Calc!A829,"Poner a mano")))))))</f>
        <v/>
      </c>
      <c r="BE796" s="448" t="s">
        <v>1726</v>
      </c>
      <c r="BF796" s="634"/>
      <c r="BG796" s="634"/>
      <c r="BH796" s="634"/>
      <c r="BI796" s="634"/>
    </row>
    <row r="797" spans="1:61" ht="16.2" customHeight="1">
      <c r="A797" s="12"/>
      <c r="B797" s="446"/>
      <c r="C797" s="89"/>
      <c r="D797" s="13"/>
      <c r="E797" s="14"/>
      <c r="F797" s="14"/>
      <c r="G797" s="15"/>
      <c r="H797" s="8"/>
      <c r="I797" s="8"/>
      <c r="J797" s="89"/>
      <c r="K797" s="8"/>
      <c r="L797" s="8"/>
      <c r="M797" s="8" t="str">
        <f>IF(L797="","",
IF(AX797="PT",VLOOKUP(L797,Foundation_Calc!$V$4:$X$37,VLOOKUP(AX797,Foundation_Calc!$I$10:$J$13,2,FALSE),0),
IF(AX797="K",VLOOKUP(L797,Foundation_Calc!$V$41:$X$74,VLOOKUP(AX797,Foundation_Calc!$I$10:$J$13,2,FALSE),0),"")))</f>
        <v/>
      </c>
      <c r="N797" s="8"/>
      <c r="O797" s="8"/>
      <c r="P797" s="8"/>
      <c r="Q797" s="14"/>
      <c r="R797" s="15"/>
      <c r="S797" s="15"/>
      <c r="T797" s="14"/>
      <c r="U797" s="14"/>
      <c r="V797" s="14"/>
      <c r="W797" s="18"/>
      <c r="X797" s="18"/>
      <c r="Y797" s="18"/>
      <c r="Z797" s="18"/>
      <c r="AA797" s="18"/>
      <c r="AB797" s="18"/>
      <c r="AC797" s="8" t="str">
        <f t="shared" si="118"/>
        <v/>
      </c>
      <c r="AD797" s="8"/>
      <c r="AE797" s="8"/>
      <c r="AF797" s="14"/>
      <c r="AG797" s="13"/>
      <c r="AH797" s="14"/>
      <c r="AI797" s="14"/>
      <c r="AJ797" s="8"/>
      <c r="AK797" s="8"/>
      <c r="AL797" s="8"/>
      <c r="AM797" s="8"/>
      <c r="AN797" s="631"/>
      <c r="AO797" s="18"/>
      <c r="AP797" s="18"/>
      <c r="AQ797" s="18"/>
      <c r="AR797" s="18"/>
      <c r="AS797" s="18"/>
      <c r="AU797" s="448"/>
      <c r="AV797" s="448"/>
      <c r="AW797" s="8" t="str">
        <f>IF(C797&gt;0,VLOOKUP(C797,Foundation_Calc!$A$2:$C$986,3,1),
IF(J797&gt;0,VLOOKUP(J797,Foundation_Calc!$A$2:$C$986,3,1),""))</f>
        <v/>
      </c>
      <c r="AX797" s="8" t="str">
        <f>IF(C797&gt;0,VLOOKUP(C797,Foundation_Calc!$E$2:$G$986,3,1),
IF(J797&gt;0,VLOOKUP(J797,Foundation_Calc!$E$2:$G$986,3,1),""))</f>
        <v/>
      </c>
      <c r="AY797" s="631" t="str">
        <f>IF(L797="","",
IF(AX797="PT",VLOOKUP(L797,Foundation_Calc!$K$4:$R$37,VLOOKUP(AW797,Foundation_Calc!$I$2:$J$8,2,FALSE),0),
IF(AX797="K",VLOOKUP(L797,Foundation_Calc!$K$41:$R$74,VLOOKUP(AW797,Foundation_Calc!$I$2:$J$8,2,FALSE),0),"")))</f>
        <v/>
      </c>
      <c r="AZ797" s="631" t="str">
        <f>IF(K797="","",
IF(AX797="PT",VLOOKUP(K797,Foundation_Calc!$K$4:$R$37,VLOOKUP(AW797,Foundation_Calc!$I$2:$J$8,2,FALSE),0),
IF(AX797="K",VLOOKUP(K797,Foundation_Calc!$K$41:$R$74,VLOOKUP(AW797,Foundation_Calc!$I$2:$J$8,2,FALSE),0),"")))</f>
        <v/>
      </c>
      <c r="BA797" s="632" t="str">
        <f t="shared" si="119"/>
        <v/>
      </c>
      <c r="BB797" s="632" t="str">
        <f t="shared" si="120"/>
        <v/>
      </c>
      <c r="BC797" s="632" t="str">
        <f t="shared" si="121"/>
        <v/>
      </c>
      <c r="BD797" s="633" t="str">
        <f>IF(AND(L797="",H797=""),"",
IF(H797="",Pole_Calc!A825,
IF(H797="MP",Pole_Calc!A826,
IF(H797="AnMP",Pole_Calc!A827,
IF(H797="A",Pole_Calc!A828,
IF(H797="S/A",Pole_Calc!A829,
IF(H797="A/S",Pole_Calc!A830,"Poner a mano")))))))</f>
        <v/>
      </c>
      <c r="BE797" s="448" t="s">
        <v>1726</v>
      </c>
      <c r="BF797" s="635"/>
      <c r="BG797" s="635"/>
      <c r="BH797" s="634"/>
      <c r="BI797" s="635"/>
    </row>
    <row r="798" spans="1:61" ht="16.2" customHeight="1">
      <c r="A798" s="12"/>
      <c r="B798" s="446"/>
      <c r="C798" s="89"/>
      <c r="D798" s="13"/>
      <c r="E798" s="14"/>
      <c r="F798" s="14"/>
      <c r="G798" s="15"/>
      <c r="H798" s="8"/>
      <c r="I798" s="8"/>
      <c r="J798" s="89"/>
      <c r="K798" s="8"/>
      <c r="L798" s="8"/>
      <c r="M798" s="8" t="str">
        <f>IF(L798="","",
IF(AX798="PT",VLOOKUP(L798,Foundation_Calc!$V$4:$X$37,VLOOKUP(AX798,Foundation_Calc!$I$10:$J$13,2,FALSE),0),
IF(AX798="K",VLOOKUP(L798,Foundation_Calc!$V$41:$X$74,VLOOKUP(AX798,Foundation_Calc!$I$10:$J$13,2,FALSE),0),"")))</f>
        <v/>
      </c>
      <c r="N798" s="8"/>
      <c r="O798" s="8"/>
      <c r="P798" s="8"/>
      <c r="Q798" s="14"/>
      <c r="R798" s="15"/>
      <c r="S798" s="15"/>
      <c r="T798" s="14"/>
      <c r="U798" s="14"/>
      <c r="V798" s="14"/>
      <c r="W798" s="18"/>
      <c r="X798" s="18"/>
      <c r="Y798" s="18"/>
      <c r="Z798" s="18"/>
      <c r="AA798" s="18"/>
      <c r="AB798" s="18"/>
      <c r="AC798" s="8" t="str">
        <f t="shared" si="118"/>
        <v/>
      </c>
      <c r="AD798" s="8"/>
      <c r="AE798" s="8"/>
      <c r="AF798" s="14"/>
      <c r="AG798" s="13"/>
      <c r="AH798" s="14"/>
      <c r="AI798" s="14"/>
      <c r="AJ798" s="8"/>
      <c r="AK798" s="8"/>
      <c r="AL798" s="8"/>
      <c r="AM798" s="8"/>
      <c r="AN798" s="631"/>
      <c r="AO798" s="18"/>
      <c r="AP798" s="18"/>
      <c r="AQ798" s="18"/>
      <c r="AR798" s="18"/>
      <c r="AS798" s="18"/>
      <c r="AU798" s="448"/>
      <c r="AV798" s="448"/>
      <c r="AW798" s="8" t="str">
        <f>IF(C798&gt;0,VLOOKUP(C798,Foundation_Calc!$A$2:$C$986,3,1),
IF(J798&gt;0,VLOOKUP(J798,Foundation_Calc!$A$2:$C$986,3,1),""))</f>
        <v/>
      </c>
      <c r="AX798" s="8" t="str">
        <f>IF(C798&gt;0,VLOOKUP(C798,Foundation_Calc!$E$2:$G$986,3,1),
IF(J798&gt;0,VLOOKUP(J798,Foundation_Calc!$E$2:$G$986,3,1),""))</f>
        <v/>
      </c>
      <c r="AY798" s="631" t="str">
        <f>IF(L798="","",
IF(AX798="PT",VLOOKUP(L798,Foundation_Calc!$K$4:$R$37,VLOOKUP(AW798,Foundation_Calc!$I$2:$J$8,2,FALSE),0),
IF(AX798="K",VLOOKUP(L798,Foundation_Calc!$K$41:$R$74,VLOOKUP(AW798,Foundation_Calc!$I$2:$J$8,2,FALSE),0),"")))</f>
        <v/>
      </c>
      <c r="AZ798" s="631" t="str">
        <f>IF(K798="","",
IF(AX798="PT",VLOOKUP(K798,Foundation_Calc!$K$4:$R$37,VLOOKUP(AW798,Foundation_Calc!$I$2:$J$8,2,FALSE),0),
IF(AX798="K",VLOOKUP(K798,Foundation_Calc!$K$41:$R$74,VLOOKUP(AW798,Foundation_Calc!$I$2:$J$8,2,FALSE),0),"")))</f>
        <v/>
      </c>
      <c r="BA798" s="632" t="str">
        <f t="shared" si="119"/>
        <v/>
      </c>
      <c r="BB798" s="632" t="str">
        <f t="shared" si="120"/>
        <v/>
      </c>
      <c r="BC798" s="632" t="str">
        <f t="shared" si="121"/>
        <v/>
      </c>
      <c r="BD798" s="633" t="str">
        <f>IF(AND(L798="",H798=""),"",
IF(H798="",Pole_Calc!A826,
IF(H798="MP",Pole_Calc!A827,
IF(H798="AnMP",Pole_Calc!A828,
IF(H798="A",Pole_Calc!A829,
IF(H798="S/A",Pole_Calc!A830,
IF(H798="A/S",Pole_Calc!A831,"Poner a mano")))))))</f>
        <v/>
      </c>
      <c r="BE798" s="448" t="s">
        <v>1726</v>
      </c>
      <c r="BF798" s="634"/>
      <c r="BG798" s="634"/>
      <c r="BH798" s="634"/>
      <c r="BI798" s="634"/>
    </row>
    <row r="799" spans="1:61" ht="16.2" customHeight="1">
      <c r="A799" s="12"/>
      <c r="B799" s="446"/>
      <c r="C799" s="89"/>
      <c r="D799" s="13"/>
      <c r="E799" s="14"/>
      <c r="F799" s="14"/>
      <c r="G799" s="15"/>
      <c r="H799" s="8"/>
      <c r="I799" s="8"/>
      <c r="J799" s="89"/>
      <c r="K799" s="8"/>
      <c r="L799" s="8"/>
      <c r="M799" s="8" t="str">
        <f>IF(L799="","",
IF(AX799="PT",VLOOKUP(L799,Foundation_Calc!$V$4:$X$37,VLOOKUP(AX799,Foundation_Calc!$I$10:$J$13,2,FALSE),0),
IF(AX799="K",VLOOKUP(L799,Foundation_Calc!$V$41:$X$74,VLOOKUP(AX799,Foundation_Calc!$I$10:$J$13,2,FALSE),0),"")))</f>
        <v/>
      </c>
      <c r="N799" s="8"/>
      <c r="O799" s="8"/>
      <c r="P799" s="8"/>
      <c r="Q799" s="14"/>
      <c r="R799" s="15"/>
      <c r="S799" s="15"/>
      <c r="T799" s="14"/>
      <c r="U799" s="14"/>
      <c r="V799" s="14"/>
      <c r="W799" s="18"/>
      <c r="X799" s="18"/>
      <c r="Y799" s="18"/>
      <c r="Z799" s="18"/>
      <c r="AA799" s="18"/>
      <c r="AB799" s="18"/>
      <c r="AC799" s="8" t="str">
        <f t="shared" si="118"/>
        <v/>
      </c>
      <c r="AD799" s="8"/>
      <c r="AE799" s="8"/>
      <c r="AF799" s="14"/>
      <c r="AG799" s="13"/>
      <c r="AH799" s="14"/>
      <c r="AI799" s="14"/>
      <c r="AJ799" s="8"/>
      <c r="AK799" s="8"/>
      <c r="AL799" s="8"/>
      <c r="AM799" s="8"/>
      <c r="AN799" s="631"/>
      <c r="AO799" s="18"/>
      <c r="AP799" s="18"/>
      <c r="AQ799" s="18"/>
      <c r="AR799" s="18"/>
      <c r="AS799" s="18"/>
      <c r="AU799" s="448"/>
      <c r="AV799" s="448"/>
      <c r="AW799" s="8" t="str">
        <f>IF(C799&gt;0,VLOOKUP(C799,Foundation_Calc!$A$2:$C$986,3,1),
IF(J799&gt;0,VLOOKUP(J799,Foundation_Calc!$A$2:$C$986,3,1),""))</f>
        <v/>
      </c>
      <c r="AX799" s="8" t="str">
        <f>IF(C799&gt;0,VLOOKUP(C799,Foundation_Calc!$E$2:$G$986,3,1),
IF(J799&gt;0,VLOOKUP(J799,Foundation_Calc!$E$2:$G$986,3,1),""))</f>
        <v/>
      </c>
      <c r="AY799" s="631" t="str">
        <f>IF(L799="","",
IF(AX799="PT",VLOOKUP(L799,Foundation_Calc!$K$4:$R$37,VLOOKUP(AW799,Foundation_Calc!$I$2:$J$8,2,FALSE),0),
IF(AX799="K",VLOOKUP(L799,Foundation_Calc!$K$41:$R$74,VLOOKUP(AW799,Foundation_Calc!$I$2:$J$8,2,FALSE),0),"")))</f>
        <v/>
      </c>
      <c r="AZ799" s="631" t="str">
        <f>IF(K799="","",
IF(AX799="PT",VLOOKUP(K799,Foundation_Calc!$K$4:$R$37,VLOOKUP(AW799,Foundation_Calc!$I$2:$J$8,2,FALSE),0),
IF(AX799="K",VLOOKUP(K799,Foundation_Calc!$K$41:$R$74,VLOOKUP(AW799,Foundation_Calc!$I$2:$J$8,2,FALSE),0),"")))</f>
        <v/>
      </c>
      <c r="BA799" s="632" t="str">
        <f t="shared" si="119"/>
        <v/>
      </c>
      <c r="BB799" s="632" t="str">
        <f t="shared" si="120"/>
        <v/>
      </c>
      <c r="BC799" s="632" t="str">
        <f t="shared" si="121"/>
        <v/>
      </c>
      <c r="BD799" s="633" t="str">
        <f>IF(AND(L799="",H799=""),"",
IF(H799="",Pole_Calc!A827,
IF(H799="MP",Pole_Calc!A828,
IF(H799="AnMP",Pole_Calc!A829,
IF(H799="A",Pole_Calc!A830,
IF(H799="S/A",Pole_Calc!A831,
IF(H799="A/S",Pole_Calc!A832,"Poner a mano")))))))</f>
        <v/>
      </c>
      <c r="BE799" s="448" t="s">
        <v>1726</v>
      </c>
      <c r="BF799" s="635"/>
      <c r="BG799" s="635"/>
      <c r="BH799" s="634"/>
      <c r="BI799" s="635"/>
    </row>
    <row r="800" spans="1:61" ht="16.2" customHeight="1">
      <c r="A800" s="12"/>
      <c r="B800" s="446"/>
      <c r="C800" s="89"/>
      <c r="D800" s="13"/>
      <c r="E800" s="14"/>
      <c r="F800" s="14"/>
      <c r="G800" s="15"/>
      <c r="H800" s="8"/>
      <c r="I800" s="8"/>
      <c r="J800" s="89"/>
      <c r="K800" s="8"/>
      <c r="L800" s="8"/>
      <c r="M800" s="8" t="str">
        <f>IF(L800="","",
IF(AX800="PT",VLOOKUP(L800,Foundation_Calc!$V$4:$X$37,VLOOKUP(AX800,Foundation_Calc!$I$10:$J$13,2,FALSE),0),
IF(AX800="K",VLOOKUP(L800,Foundation_Calc!$V$41:$X$74,VLOOKUP(AX800,Foundation_Calc!$I$10:$J$13,2,FALSE),0),"")))</f>
        <v/>
      </c>
      <c r="N800" s="8"/>
      <c r="O800" s="8"/>
      <c r="P800" s="8"/>
      <c r="Q800" s="14"/>
      <c r="R800" s="15"/>
      <c r="S800" s="15"/>
      <c r="T800" s="14"/>
      <c r="U800" s="14"/>
      <c r="V800" s="14"/>
      <c r="W800" s="18"/>
      <c r="X800" s="18"/>
      <c r="Y800" s="18"/>
      <c r="Z800" s="18"/>
      <c r="AA800" s="18"/>
      <c r="AB800" s="18"/>
      <c r="AC800" s="8" t="str">
        <f t="shared" si="118"/>
        <v/>
      </c>
      <c r="AD800" s="8"/>
      <c r="AE800" s="8"/>
      <c r="AF800" s="14"/>
      <c r="AG800" s="13"/>
      <c r="AH800" s="14"/>
      <c r="AI800" s="14"/>
      <c r="AJ800" s="8"/>
      <c r="AK800" s="8"/>
      <c r="AL800" s="8"/>
      <c r="AM800" s="8"/>
      <c r="AN800" s="631"/>
      <c r="AO800" s="18"/>
      <c r="AP800" s="18"/>
      <c r="AQ800" s="18"/>
      <c r="AR800" s="18"/>
      <c r="AS800" s="18"/>
      <c r="AU800" s="448"/>
      <c r="AV800" s="448"/>
      <c r="AW800" s="8" t="str">
        <f>IF(C800&gt;0,VLOOKUP(C800,Foundation_Calc!$A$2:$C$986,3,1),
IF(J800&gt;0,VLOOKUP(J800,Foundation_Calc!$A$2:$C$986,3,1),""))</f>
        <v/>
      </c>
      <c r="AX800" s="8" t="str">
        <f>IF(C800&gt;0,VLOOKUP(C800,Foundation_Calc!$E$2:$G$986,3,1),
IF(J800&gt;0,VLOOKUP(J800,Foundation_Calc!$E$2:$G$986,3,1),""))</f>
        <v/>
      </c>
      <c r="AY800" s="631" t="str">
        <f>IF(L800="","",
IF(AX800="PT",VLOOKUP(L800,Foundation_Calc!$K$4:$R$37,VLOOKUP(AW800,Foundation_Calc!$I$2:$J$8,2,FALSE),0),
IF(AX800="K",VLOOKUP(L800,Foundation_Calc!$K$41:$R$74,VLOOKUP(AW800,Foundation_Calc!$I$2:$J$8,2,FALSE),0),"")))</f>
        <v/>
      </c>
      <c r="AZ800" s="631" t="str">
        <f>IF(K800="","",
IF(AX800="PT",VLOOKUP(K800,Foundation_Calc!$K$4:$R$37,VLOOKUP(AW800,Foundation_Calc!$I$2:$J$8,2,FALSE),0),
IF(AX800="K",VLOOKUP(K800,Foundation_Calc!$K$41:$R$74,VLOOKUP(AW800,Foundation_Calc!$I$2:$J$8,2,FALSE),0),"")))</f>
        <v/>
      </c>
      <c r="BA800" s="632" t="str">
        <f t="shared" si="119"/>
        <v/>
      </c>
      <c r="BB800" s="632" t="str">
        <f t="shared" si="120"/>
        <v/>
      </c>
      <c r="BC800" s="632" t="str">
        <f t="shared" si="121"/>
        <v/>
      </c>
      <c r="BD800" s="633" t="str">
        <f>IF(AND(L800="",H800=""),"",
IF(H800="",Pole_Calc!A828,
IF(H800="MP",Pole_Calc!A829,
IF(H800="AnMP",Pole_Calc!A830,
IF(H800="A",Pole_Calc!A831,
IF(H800="S/A",Pole_Calc!A832,
IF(H800="A/S",Pole_Calc!A833,"Poner a mano")))))))</f>
        <v/>
      </c>
      <c r="BE800" s="448" t="s">
        <v>1726</v>
      </c>
      <c r="BF800" s="634"/>
      <c r="BG800" s="634"/>
      <c r="BH800" s="634"/>
      <c r="BI800" s="634"/>
    </row>
  </sheetData>
  <autoFilter ref="A2:BD800" xr:uid="{00000000-0009-0000-0000-000005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2">
    <mergeCell ref="A157:A161"/>
    <mergeCell ref="BF1:BI1"/>
    <mergeCell ref="A1:BD1"/>
    <mergeCell ref="AN2:AP2"/>
    <mergeCell ref="AQ2:AS2"/>
    <mergeCell ref="AT2:AV2"/>
    <mergeCell ref="N2:P2"/>
    <mergeCell ref="T2:V2"/>
    <mergeCell ref="W2:Y2"/>
    <mergeCell ref="Z2:AB2"/>
    <mergeCell ref="AC2:AE2"/>
    <mergeCell ref="BA2:BC2"/>
  </mergeCells>
  <phoneticPr fontId="75" type="noConversion"/>
  <conditionalFormatting sqref="BF5:BG5 BI5 BF7:BG7 BF9:BG9 BF11:BG11 BF13:BG13 BF15:BG15 BF17:BG17 BF19:BG19 BF21:BG21 BF23:BG23 BF25:BG25 BF27:BG27 BF29:BG29 BF31:BG31 BF33:BG33 BF35:BG35 BF37:BG37 BF39:BG39 BF41:BG41 BF43:BG43 BF45:BG45 BF47:BG47 BF49:BG49 BF51:BG51 BF53:BG53 BF55:BG55 BF57:BG57 BF59:BG59 BF61:BG61 BF63:BG63 BF65:BG65 BF67:BG67 BF69:BG69 BF71:BG71 BF73:BG73 BF75:BG75 BF77:BG77 BF79:BG79 BF81:BG81 BF83:BG83 BF85:BG85 BF87:BG87 BF89:BG89 BF91:BG91 BF93:BG93 BF95:BG95 BF97:BG97 BF99:BG99 BF101:BG101 BF103:BG103 BF105:BG105 BF107:BG107 BF109:BG109 BF111:BG111 BF113:BG113 BF115:BG115 BF117:BG117 BF119:BG119 BF121:BG121 BF123:BG123 BF125:BG125 BF127:BG127 BF129:BG129 BF131:BG131 BF133:BG133 BF135:BG135 BF137:BG137 BF139:BG139 BF141:BG141 BF143:BG143 BF145:BG145 BF147:BG147 BF149:BG149 BF151:BG151 BF153:BG153 BF155:BG155 BF157:BG157 BF159:BG159 BF161:BG161 BF163:BG163 BF165:BG165 BF167:BG167 BF169:BG169 BF171:BG171 BF173:BG173 BF175:BG175 BF177:BG177 BF179:BG179 BF181:BG181 BF183:BG183 BF185:BG185 BF187:BG187 BF189:BG189 BF191:BG191 BF193:BG193 BF195:BG195 BF197:BG197 BF199:BG199 BF201:BG201 BF203:BG203 BF205:BG205 BF207:BG207 BF209:BG209 BF211:BG211 BF213:BG213 BF215:BG215 BF217:BG217 BF219:BG219 BF221:BG221 BF223:BG223 BF225:BG225 BF227:BG227 BF229:BG229 BF231:BG231 BF233:BG233 BF235:BG235 BF237:BG237 BF239:BG239 BF241:BG241 BF243:BG243 BF245:BG245 BF247:BG247 BF249:BG249 BF251:BG251 BF253:BG253 BF255:BG255 BF257:BG257 BF259:BG259 BF261:BG261 BF263:BG263 BF265:BG265 BF267:BG267 BF269:BG269 BF271:BG271 BF273:BG273 BF275:BG275 BF277:BG277 BF279:BG279 BF281:BG281 BF283:BG283 BF285:BG285 BF287:BG287 BF289:BG289 BF291:BG291 BF293:BG293 BF295:BG295 BF297:BG297 BF299:BG299 BF301:BG301 BF303:BG303 BF305:BG305 BF307:BG307 BF309:BG309 BF311:BG311 BF313:BG313 BF315:BG315 BF317:BG317 BF319:BG319 BF321:BG321 BF323:BG323 BF325:BG325 BF327:BG327 BF329:BG329 BF331:BG331 BF333:BG333 BF335:BG335 BF337:BG337 BF339:BG339 BF341:BG341 BF343:BG343 BF345:BG345 BF347:BG347 BF349:BG349 BF351:BG351 BF353:BG353 BF355:BG355 BF357:BG357 BF359:BG359 BF361:BG361 BF363:BG363 BF365:BG365 BF367:BG367 BF369:BG369 BF371:BG371 BF373:BG373 BF375:BG375 BF377:BG377 BF379:BG379 BF381:BG381 BF383:BG383 BF385:BG385 BF387:BG387 BF389:BG389 BF391:BG391 BF393:BG393 BF395:BG395 BF397:BG397 BF399:BG399 BF401:BG401 BF403:BG403 BF405:BG405 BF407:BG407 BF409:BG409 BF411:BG411 BF413:BG413 BF415:BG415 BF417:BG417 BF419:BG419 BF421:BG421 BF423:BG423 BF425:BG425 BF427:BG427 BF429:BG429 BF431:BG431 BF433:BG433 BF435:BG435 BF437:BG437 BF439:BG439 BF441:BG441 BF443:BG443 BF445:BG445 BF447:BG447 BF449:BG449 BF451:BG451 BF453:BG453 BF455:BG455 BF457:BG457 BF459:BG459 BF461:BG461 BF463:BG463 BF465:BG465 BF467:BG467 BF469:BG469 BF471:BG471 BF473:BG473 BF475:BG475 BF477:BG477 BF479:BG479 BF481:BG481 BF483:BG483 BF485:BG485 BF487:BG487 BF489:BG489 BF491:BG491 BF493:BG493 BF495:BG495 BF497:BG497 BF499:BG499 BF501:BG501 BF503:BG503 BF505:BG505 BF507:BG507 BF509:BG509 BF511:BG511 BF513:BG513 BF515:BG515 BF517:BG517 BF519:BG519 BF521:BG521 BF523:BG523 BF525:BG525 BF527:BG527 BF529:BG529 BF531:BG531 BF533:BG533 BF535:BG535 BF537:BG537 BF539:BG539 BF541:BG541 BF543:BG543 BF545:BG545 BF547:BG547 BF549:BG549 BF551:BG551 BF553:BG553 BF555:BG555 BF557:BG557 BF559:BG559 BF561:BG561 BF563:BG563 BF565:BG565 BF567:BG567 BF569:BG569 BF571:BG571 BF573:BG573 BF575:BG575 BF577:BG577 BF579:BG579 BF581:BG581 BF583:BG583 BF585:BG585 BF587:BG587 BF589:BG589 BF591:BG591 BF593:BG593 BF595:BG595 BF597:BG597 BF599:BG599 BF601:BG601 BF603:BG603 BF605:BG605 BF607:BG607 BF609:BG609 BF611:BG611 BF613:BG613 BF615:BG615 BF617:BG617 BF619:BG619 BF621:BG621 BF623:BG623 BF625:BG625 BF627:BG627 BF629:BG629 BF631:BG631 BF633:BG633 BF635:BG635 BF637:BG637 BF639:BG639 BF641:BG641 BF643:BG643 BF645:BG645 BF647:BG647 BF649:BG649 BF651:BG651 BF653:BG653 BF655:BG655 BF657:BG657 BF659:BG659 BF661:BG661 BF663:BG663 BF665:BG665 BF667:BG667 BF669:BG669 BF671:BG671 BF673:BG673 BF675:BG675 BF677:BG677 BF679:BG679 BF681:BG681 BF683:BG683 BF685:BG685 BF687:BG687 BF689:BG689 BF691:BG691 BF693:BG693 BF695:BG695 BF697:BG697 BF699:BG699 BF701:BG701 BF703:BG703 BF705:BG705 BF707:BG707 BF709:BG709 BF711:BG711 BF713:BG713 BF715:BG715 BF717:BG717 BF719:BG719 BF721:BG721 BF723:BG723 BF725:BG725 BF727:BG727 BF729:BG729 BF731:BG731 BF733:BG733 BF735:BG735 BF737:BG737 BF739:BG739 BF741:BG741 BF743:BG743 BF745:BG745 BF747:BG747 BF749:BG749 BF751:BG751 BF753:BG753 BF755:BG755 BF757:BG757 BF759:BG759 BF761:BG761 BF763:BG763 BF765:BG765 BF767:BG767 BF769:BG769 BF771:BG771 BF773:BG773 BF775:BG775 BF777:BG777 BF779:BG779 BF781:BG781 BF783:BG783 BF785:BG785 BF787:BG787 BF789:BG789 BF791:BG791 BF793:BG793 BF795:BG795 BF797:BG797 BF799:BG799 BI7 BI9 BI11 BI13 BI15 BI17 BI19 BI21 BI23 BI25 BI27 BI29 BI31 BI33 BI35 BI37 BI39 BI41 BI43 BI45 BI47 BI49 BI51 BI53 BI55 BI57 BI59 BI61 BI63 BI65 BI67 BI69 BI71 BI73 BI75 BI77 BI79 BI81 BI83 BI85 BI87 BI89 BI91 BI93 BI95 BI97 BI99 BI101 BI103 BI105 BI107 BI109 BI111 BI113 BI115 BI117 BI119 BI121 BI123 BI125 BI127 BI129 BI131 BI133 BI135 BI137 BI139 BI141 BI143 BI145 BI147 BI149 BI151 BI153 BI155 BI157 BI159 BI161 BI163 BI165 BI167 BI169 BI171 BI173 BI175 BI177 BI179 BI181 BI183 BI185 BI187 BI189 BI191 BI193 BI195 BI197 BI199 BI201 BI203 BI205 BI207 BI209 BI211 BI213 BI215 BI217 BI219 BI221 BI223 BI225 BI227 BI229 BI231 BI233 BI235 BI237 BI239 BI241 BI243 BI245 BI247 BI249 BI251 BI253 BI255 BI257 BI259 BI261 BI263 BI265 BI267 BI269 BI271 BI273 BI275 BI277 BI279 BI281 BI283 BI285 BI287 BI289 BI291 BI293 BI295 BI297 BI299 BI301 BI303 BI305 BI307 BI309 BI311 BI313 BI315 BI317 BI319 BI321 BI323 BI325 BI327 BI329 BI331 BI333 BI335 BI337 BI339 BI341 BI343 BI345 BI347 BI349 BI351 BI353 BI355 BI357 BI359 BI361 BI363 BI365 BI367 BI369 BI371 BI373 BI375 BI377 BI379 BI381 BI383 BI385 BI387 BI389 BI391 BI393 BI395 BI397 BI399 BI401 BI403 BI405 BI407 BI409 BI411 BI413 BI415 BI417 BI419 BI421 BI423 BI425 BI427 BI429 BI431 BI433 BI435 BI437 BI439 BI441 BI443 BI445 BI447 BI449 BI451 BI453 BI455 BI457 BI459 BI461 BI463 BI465 BI467 BI469 BI471 BI473 BI475 BI477 BI479 BI481 BI483 BI485 BI487 BI489 BI491 BI493 BI495 BI497 BI499 BI501 BI503 BI505 BI507 BI509 BI511 BI513 BI515 BI517 BI519 BI521 BI523 BI525 BI527 BI529 BI531 BI533 BI535 BI537 BI539 BI541 BI543 BI545 BI547 BI549 BI551 BI553 BI555 BI557 BI559 BI561 BI563 BI565 BI567 BI569 BI571 BI573 BI575 BI577 BI579 BI581 BI583 BI585 BI587 BI589 BI591 BI593 BI595 BI597 BI599 BI601 BI603 BI605 BI607 BI609 BI611 BI613 BI615 BI617 BI619 BI621 BI623 BI625 BI627 BI629 BI631 BI633 BI635 BI637 BI639 BI641 BI643 BI645 BI647 BI649 BI651 BI653 BI655 BI657 BI659 BI661 BI663 BI665 BI667 BI669 BI671 BI673 BI675 BI677 BI679 BI681 BI683 BI685 BI687 BI689 BI691 BI693 BI695 BI697 BI699 BI701 BI703 BI705 BI707 BI709 BI711 BI713 BI715 BI717 BI719 BI721 BI723 BI725 BI727 BI729 BI731 BI733 BI735 BI737 BI739 BI741 BI743 BI745 BI747 BI749 BI751 BI753 BI755 BI757 BI759 BI761 BI763 BI765 BI767 BI769 BI771 BI773 BI775 BI777 BI779 BI781 BI783 BI785 BI787 BI789 BI791 BI793 BI795 BI797 BI799">
    <cfRule type="containsBlanks" dxfId="4778" priority="2892">
      <formula>LEN(TRIM(BF5))=0</formula>
    </cfRule>
  </conditionalFormatting>
  <conditionalFormatting sqref="BE4">
    <cfRule type="expression" dxfId="4777" priority="2890">
      <formula>$M4="NON DEFINED"</formula>
    </cfRule>
    <cfRule type="expression" dxfId="4776" priority="2891">
      <formula>$AY4="N.D."</formula>
    </cfRule>
  </conditionalFormatting>
  <conditionalFormatting sqref="BE4">
    <cfRule type="cellIs" dxfId="4775" priority="2889" operator="equal">
      <formula>0</formula>
    </cfRule>
  </conditionalFormatting>
  <conditionalFormatting sqref="BA4:BC4">
    <cfRule type="expression" dxfId="4774" priority="2853">
      <formula>$BE4="R"</formula>
    </cfRule>
  </conditionalFormatting>
  <conditionalFormatting sqref="B4:E4 J4 AG4 AN4:AS4 AY4:BC4 G4:H4">
    <cfRule type="expression" dxfId="4773" priority="2851">
      <formula>$M4="NON DEFINED"</formula>
    </cfRule>
    <cfRule type="expression" dxfId="4772" priority="2852">
      <formula>$AY4="N.D."</formula>
    </cfRule>
  </conditionalFormatting>
  <conditionalFormatting sqref="A4:E4 J4 AG4 AN4:AS4 AY4:BD4 G4:H4">
    <cfRule type="cellIs" dxfId="4771" priority="2850" operator="equal">
      <formula>0</formula>
    </cfRule>
  </conditionalFormatting>
  <conditionalFormatting sqref="I4">
    <cfRule type="expression" dxfId="4770" priority="2832">
      <formula>$M4="NON DEFINED"</formula>
    </cfRule>
    <cfRule type="expression" dxfId="4769" priority="2833">
      <formula>$AY4="N.D."</formula>
    </cfRule>
  </conditionalFormatting>
  <conditionalFormatting sqref="I4">
    <cfRule type="cellIs" dxfId="4768" priority="2831" operator="equal">
      <formula>0</formula>
    </cfRule>
  </conditionalFormatting>
  <conditionalFormatting sqref="K4">
    <cfRule type="expression" dxfId="4767" priority="2815">
      <formula>$M4="NON DEFINED"</formula>
    </cfRule>
    <cfRule type="expression" dxfId="4766" priority="2816">
      <formula>$AY4="N.D."</formula>
    </cfRule>
  </conditionalFormatting>
  <conditionalFormatting sqref="K4">
    <cfRule type="cellIs" dxfId="4765" priority="2814" operator="equal">
      <formula>0</formula>
    </cfRule>
  </conditionalFormatting>
  <conditionalFormatting sqref="L4">
    <cfRule type="expression" dxfId="4764" priority="2798">
      <formula>$M4="NON DEFINED"</formula>
    </cfRule>
    <cfRule type="expression" dxfId="4763" priority="2799">
      <formula>$AY4="N.D."</formula>
    </cfRule>
  </conditionalFormatting>
  <conditionalFormatting sqref="L4">
    <cfRule type="cellIs" dxfId="4762" priority="2797" operator="equal">
      <formula>0</formula>
    </cfRule>
  </conditionalFormatting>
  <conditionalFormatting sqref="M4">
    <cfRule type="expression" dxfId="4761" priority="2781">
      <formula>$M4="NON DEFINED"</formula>
    </cfRule>
    <cfRule type="expression" dxfId="4760" priority="2782">
      <formula>$AY4="N.D."</formula>
    </cfRule>
  </conditionalFormatting>
  <conditionalFormatting sqref="M4">
    <cfRule type="cellIs" dxfId="4759" priority="2780" operator="equal">
      <formula>0</formula>
    </cfRule>
  </conditionalFormatting>
  <conditionalFormatting sqref="N4">
    <cfRule type="expression" dxfId="4758" priority="2761">
      <formula>$M4="NON DEFINED"</formula>
    </cfRule>
    <cfRule type="expression" dxfId="4757" priority="2762">
      <formula>$AY4="N.D."</formula>
    </cfRule>
  </conditionalFormatting>
  <conditionalFormatting sqref="N4">
    <cfRule type="cellIs" dxfId="4756" priority="2760" operator="equal">
      <formula>0</formula>
    </cfRule>
  </conditionalFormatting>
  <conditionalFormatting sqref="O4">
    <cfRule type="expression" dxfId="4755" priority="2744">
      <formula>$M4="NON DEFINED"</formula>
    </cfRule>
    <cfRule type="expression" dxfId="4754" priority="2745">
      <formula>$AY4="N.D."</formula>
    </cfRule>
  </conditionalFormatting>
  <conditionalFormatting sqref="O4">
    <cfRule type="cellIs" dxfId="4753" priority="2743" operator="equal">
      <formula>0</formula>
    </cfRule>
  </conditionalFormatting>
  <conditionalFormatting sqref="P4">
    <cfRule type="expression" dxfId="4752" priority="2727">
      <formula>$M4="NON DEFINED"</formula>
    </cfRule>
    <cfRule type="expression" dxfId="4751" priority="2728">
      <formula>$AY4="N.D."</formula>
    </cfRule>
  </conditionalFormatting>
  <conditionalFormatting sqref="P4">
    <cfRule type="cellIs" dxfId="4750" priority="2726" operator="equal">
      <formula>0</formula>
    </cfRule>
  </conditionalFormatting>
  <conditionalFormatting sqref="AC4">
    <cfRule type="expression" dxfId="4749" priority="2693">
      <formula>$M4="NON DEFINED"</formula>
    </cfRule>
    <cfRule type="expression" dxfId="4748" priority="2694">
      <formula>$AY4="N.D."</formula>
    </cfRule>
  </conditionalFormatting>
  <conditionalFormatting sqref="AC4">
    <cfRule type="cellIs" dxfId="4747" priority="2692" operator="equal">
      <formula>0</formula>
    </cfRule>
  </conditionalFormatting>
  <conditionalFormatting sqref="AD4">
    <cfRule type="expression" dxfId="4746" priority="2676">
      <formula>$M4="NON DEFINED"</formula>
    </cfRule>
    <cfRule type="expression" dxfId="4745" priority="2677">
      <formula>$AY4="N.D."</formula>
    </cfRule>
  </conditionalFormatting>
  <conditionalFormatting sqref="AD4">
    <cfRule type="cellIs" dxfId="4744" priority="2675" operator="equal">
      <formula>0</formula>
    </cfRule>
  </conditionalFormatting>
  <conditionalFormatting sqref="AE4">
    <cfRule type="expression" dxfId="4743" priority="2659">
      <formula>$M4="NON DEFINED"</formula>
    </cfRule>
    <cfRule type="expression" dxfId="4742" priority="2660">
      <formula>$AY4="N.D."</formula>
    </cfRule>
  </conditionalFormatting>
  <conditionalFormatting sqref="AE4">
    <cfRule type="cellIs" dxfId="4741" priority="2658" operator="equal">
      <formula>0</formula>
    </cfRule>
  </conditionalFormatting>
  <conditionalFormatting sqref="AJ4">
    <cfRule type="expression" dxfId="4740" priority="2642">
      <formula>$M4="NON DEFINED"</formula>
    </cfRule>
    <cfRule type="expression" dxfId="4739" priority="2643">
      <formula>$AY4="N.D."</formula>
    </cfRule>
  </conditionalFormatting>
  <conditionalFormatting sqref="AJ4">
    <cfRule type="cellIs" dxfId="4738" priority="2641" operator="equal">
      <formula>0</formula>
    </cfRule>
  </conditionalFormatting>
  <conditionalFormatting sqref="AK4">
    <cfRule type="expression" dxfId="4737" priority="2625">
      <formula>$M4="NON DEFINED"</formula>
    </cfRule>
    <cfRule type="expression" dxfId="4736" priority="2626">
      <formula>$AY4="N.D."</formula>
    </cfRule>
  </conditionalFormatting>
  <conditionalFormatting sqref="AK4">
    <cfRule type="cellIs" dxfId="4735" priority="2624" operator="equal">
      <formula>0</formula>
    </cfRule>
  </conditionalFormatting>
  <conditionalFormatting sqref="AL4">
    <cfRule type="expression" dxfId="4734" priority="2608">
      <formula>$M4="NON DEFINED"</formula>
    </cfRule>
    <cfRule type="expression" dxfId="4733" priority="2609">
      <formula>$AY4="N.D."</formula>
    </cfRule>
  </conditionalFormatting>
  <conditionalFormatting sqref="AL4">
    <cfRule type="cellIs" dxfId="4732" priority="2607" operator="equal">
      <formula>0</formula>
    </cfRule>
  </conditionalFormatting>
  <conditionalFormatting sqref="AM4">
    <cfRule type="expression" dxfId="4731" priority="2591">
      <formula>$M4="NON DEFINED"</formula>
    </cfRule>
    <cfRule type="expression" dxfId="4730" priority="2592">
      <formula>$AY4="N.D."</formula>
    </cfRule>
  </conditionalFormatting>
  <conditionalFormatting sqref="AM4">
    <cfRule type="cellIs" dxfId="4729" priority="2590" operator="equal">
      <formula>0</formula>
    </cfRule>
  </conditionalFormatting>
  <conditionalFormatting sqref="AT4">
    <cfRule type="expression" dxfId="4728" priority="2574">
      <formula>$M4="NON DEFINED"</formula>
    </cfRule>
    <cfRule type="expression" dxfId="4727" priority="2575">
      <formula>$AY4="N.D."</formula>
    </cfRule>
  </conditionalFormatting>
  <conditionalFormatting sqref="AT4">
    <cfRule type="cellIs" dxfId="4726" priority="2573" operator="equal">
      <formula>0</formula>
    </cfRule>
  </conditionalFormatting>
  <conditionalFormatting sqref="AU4">
    <cfRule type="expression" dxfId="4725" priority="2557">
      <formula>$M4="NON DEFINED"</formula>
    </cfRule>
    <cfRule type="expression" dxfId="4724" priority="2558">
      <formula>$AY4="N.D."</formula>
    </cfRule>
  </conditionalFormatting>
  <conditionalFormatting sqref="AU4">
    <cfRule type="cellIs" dxfId="4723" priority="2556" operator="equal">
      <formula>0</formula>
    </cfRule>
  </conditionalFormatting>
  <conditionalFormatting sqref="AV4">
    <cfRule type="expression" dxfId="4722" priority="2540">
      <formula>$M4="NON DEFINED"</formula>
    </cfRule>
    <cfRule type="expression" dxfId="4721" priority="2541">
      <formula>$AY4="N.D."</formula>
    </cfRule>
  </conditionalFormatting>
  <conditionalFormatting sqref="AV4">
    <cfRule type="cellIs" dxfId="4720" priority="2539" operator="equal">
      <formula>0</formula>
    </cfRule>
  </conditionalFormatting>
  <conditionalFormatting sqref="AW4">
    <cfRule type="expression" dxfId="4719" priority="2523">
      <formula>$M4="NON DEFINED"</formula>
    </cfRule>
    <cfRule type="expression" dxfId="4718" priority="2524">
      <formula>$AY4="N.D."</formula>
    </cfRule>
  </conditionalFormatting>
  <conditionalFormatting sqref="AW4">
    <cfRule type="cellIs" dxfId="4717" priority="2522" operator="equal">
      <formula>0</formula>
    </cfRule>
  </conditionalFormatting>
  <conditionalFormatting sqref="AX4">
    <cfRule type="expression" dxfId="4716" priority="2506">
      <formula>$M4="NON DEFINED"</formula>
    </cfRule>
    <cfRule type="expression" dxfId="4715" priority="2507">
      <formula>$AY4="N.D."</formula>
    </cfRule>
  </conditionalFormatting>
  <conditionalFormatting sqref="AX4">
    <cfRule type="cellIs" dxfId="4714" priority="2505" operator="equal">
      <formula>0</formula>
    </cfRule>
  </conditionalFormatting>
  <conditionalFormatting sqref="F4">
    <cfRule type="expression" dxfId="4713" priority="2489">
      <formula>$M4="NON DEFINED"</formula>
    </cfRule>
    <cfRule type="expression" dxfId="4712" priority="2490">
      <formula>$AY4="N.D."</formula>
    </cfRule>
  </conditionalFormatting>
  <conditionalFormatting sqref="F4">
    <cfRule type="cellIs" dxfId="4711" priority="2488" operator="equal">
      <formula>0</formula>
    </cfRule>
  </conditionalFormatting>
  <conditionalFormatting sqref="Q4">
    <cfRule type="expression" dxfId="4710" priority="2472">
      <formula>$M4="NON DEFINED"</formula>
    </cfRule>
    <cfRule type="expression" dxfId="4709" priority="2473">
      <formula>$AY4="N.D."</formula>
    </cfRule>
  </conditionalFormatting>
  <conditionalFormatting sqref="Q4">
    <cfRule type="cellIs" dxfId="4708" priority="2471" operator="equal">
      <formula>0</formula>
    </cfRule>
  </conditionalFormatting>
  <conditionalFormatting sqref="T4">
    <cfRule type="expression" dxfId="4707" priority="2455">
      <formula>$M4="NON DEFINED"</formula>
    </cfRule>
    <cfRule type="expression" dxfId="4706" priority="2456">
      <formula>$AY4="N.D."</formula>
    </cfRule>
  </conditionalFormatting>
  <conditionalFormatting sqref="T4">
    <cfRule type="cellIs" dxfId="4705" priority="2454" operator="equal">
      <formula>0</formula>
    </cfRule>
  </conditionalFormatting>
  <conditionalFormatting sqref="U4">
    <cfRule type="expression" dxfId="4704" priority="2438">
      <formula>$M4="NON DEFINED"</formula>
    </cfRule>
    <cfRule type="expression" dxfId="4703" priority="2439">
      <formula>$AY4="N.D."</formula>
    </cfRule>
  </conditionalFormatting>
  <conditionalFormatting sqref="U4">
    <cfRule type="cellIs" dxfId="4702" priority="2437" operator="equal">
      <formula>0</formula>
    </cfRule>
  </conditionalFormatting>
  <conditionalFormatting sqref="V4">
    <cfRule type="expression" dxfId="4701" priority="2421">
      <formula>$M4="NON DEFINED"</formula>
    </cfRule>
    <cfRule type="expression" dxfId="4700" priority="2422">
      <formula>$AY4="N.D."</formula>
    </cfRule>
  </conditionalFormatting>
  <conditionalFormatting sqref="V4">
    <cfRule type="cellIs" dxfId="4699" priority="2420" operator="equal">
      <formula>0</formula>
    </cfRule>
  </conditionalFormatting>
  <conditionalFormatting sqref="AF4">
    <cfRule type="expression" dxfId="4698" priority="2404">
      <formula>$M4="NON DEFINED"</formula>
    </cfRule>
    <cfRule type="expression" dxfId="4697" priority="2405">
      <formula>$AY4="N.D."</formula>
    </cfRule>
  </conditionalFormatting>
  <conditionalFormatting sqref="AF4">
    <cfRule type="cellIs" dxfId="4696" priority="2403" operator="equal">
      <formula>0</formula>
    </cfRule>
  </conditionalFormatting>
  <conditionalFormatting sqref="AH4">
    <cfRule type="expression" dxfId="4695" priority="2387">
      <formula>$M4="NON DEFINED"</formula>
    </cfRule>
    <cfRule type="expression" dxfId="4694" priority="2388">
      <formula>$AY4="N.D."</formula>
    </cfRule>
  </conditionalFormatting>
  <conditionalFormatting sqref="AH4">
    <cfRule type="cellIs" dxfId="4693" priority="2386" operator="equal">
      <formula>0</formula>
    </cfRule>
  </conditionalFormatting>
  <conditionalFormatting sqref="AI4">
    <cfRule type="expression" dxfId="4692" priority="2370">
      <formula>$M4="NON DEFINED"</formula>
    </cfRule>
    <cfRule type="expression" dxfId="4691" priority="2371">
      <formula>$AY4="N.D."</formula>
    </cfRule>
  </conditionalFormatting>
  <conditionalFormatting sqref="AI4">
    <cfRule type="cellIs" dxfId="4690" priority="2369" operator="equal">
      <formula>0</formula>
    </cfRule>
  </conditionalFormatting>
  <conditionalFormatting sqref="R4">
    <cfRule type="expression" dxfId="4689" priority="2353">
      <formula>$M4="NON DEFINED"</formula>
    </cfRule>
    <cfRule type="expression" dxfId="4688" priority="2354">
      <formula>$AY4="N.D."</formula>
    </cfRule>
  </conditionalFormatting>
  <conditionalFormatting sqref="R4">
    <cfRule type="cellIs" dxfId="4687" priority="2352" operator="equal">
      <formula>0</formula>
    </cfRule>
  </conditionalFormatting>
  <conditionalFormatting sqref="S4">
    <cfRule type="expression" dxfId="4686" priority="2336">
      <formula>$M4="NON DEFINED"</formula>
    </cfRule>
    <cfRule type="expression" dxfId="4685" priority="2337">
      <formula>$AY4="N.D."</formula>
    </cfRule>
  </conditionalFormatting>
  <conditionalFormatting sqref="S4">
    <cfRule type="cellIs" dxfId="4684" priority="2335" operator="equal">
      <formula>0</formula>
    </cfRule>
  </conditionalFormatting>
  <conditionalFormatting sqref="W4">
    <cfRule type="expression" dxfId="4683" priority="2319">
      <formula>$M4="NON DEFINED"</formula>
    </cfRule>
    <cfRule type="expression" dxfId="4682" priority="2320">
      <formula>$AY4="N.D."</formula>
    </cfRule>
  </conditionalFormatting>
  <conditionalFormatting sqref="W4">
    <cfRule type="cellIs" dxfId="4681" priority="2318" operator="equal">
      <formula>0</formula>
    </cfRule>
  </conditionalFormatting>
  <conditionalFormatting sqref="X4">
    <cfRule type="expression" dxfId="4680" priority="2285">
      <formula>$M4="NON DEFINED"</formula>
    </cfRule>
    <cfRule type="expression" dxfId="4679" priority="2286">
      <formula>$AY4="N.D."</formula>
    </cfRule>
  </conditionalFormatting>
  <conditionalFormatting sqref="X4">
    <cfRule type="cellIs" dxfId="4678" priority="2284" operator="equal">
      <formula>0</formula>
    </cfRule>
  </conditionalFormatting>
  <conditionalFormatting sqref="Y4">
    <cfRule type="expression" dxfId="4677" priority="2268">
      <formula>$M4="NON DEFINED"</formula>
    </cfRule>
    <cfRule type="expression" dxfId="4676" priority="2269">
      <formula>$AY4="N.D."</formula>
    </cfRule>
  </conditionalFormatting>
  <conditionalFormatting sqref="Y4">
    <cfRule type="cellIs" dxfId="4675" priority="2267" operator="equal">
      <formula>0</formula>
    </cfRule>
  </conditionalFormatting>
  <conditionalFormatting sqref="Z4">
    <cfRule type="expression" dxfId="4674" priority="2251">
      <formula>$M4="NON DEFINED"</formula>
    </cfRule>
    <cfRule type="expression" dxfId="4673" priority="2252">
      <formula>$AY4="N.D."</formula>
    </cfRule>
  </conditionalFormatting>
  <conditionalFormatting sqref="Z4">
    <cfRule type="cellIs" dxfId="4672" priority="2250" operator="equal">
      <formula>0</formula>
    </cfRule>
  </conditionalFormatting>
  <conditionalFormatting sqref="AA4">
    <cfRule type="expression" dxfId="4671" priority="2234">
      <formula>$M4="NON DEFINED"</formula>
    </cfRule>
    <cfRule type="expression" dxfId="4670" priority="2235">
      <formula>$AY4="N.D."</formula>
    </cfRule>
  </conditionalFormatting>
  <conditionalFormatting sqref="AA4">
    <cfRule type="cellIs" dxfId="4669" priority="2233" operator="equal">
      <formula>0</formula>
    </cfRule>
  </conditionalFormatting>
  <conditionalFormatting sqref="AB4">
    <cfRule type="expression" dxfId="4668" priority="2217">
      <formula>$M4="NON DEFINED"</formula>
    </cfRule>
    <cfRule type="expression" dxfId="4667" priority="2218">
      <formula>$AY4="N.D."</formula>
    </cfRule>
  </conditionalFormatting>
  <conditionalFormatting sqref="AB4">
    <cfRule type="cellIs" dxfId="4666" priority="2216" operator="equal">
      <formula>0</formula>
    </cfRule>
  </conditionalFormatting>
  <conditionalFormatting sqref="G15 AY16:AZ800 AN16:AV800 AW16:AX34 B15:F800 AM39 AM41 AM43 AM45:AM800 AM16:AM33 G16:AL800">
    <cfRule type="expression" dxfId="4665" priority="1698">
      <formula>$M15="NON DEFINED"</formula>
    </cfRule>
    <cfRule type="expression" dxfId="4664" priority="1699">
      <formula>$AZ15="N.D."</formula>
    </cfRule>
    <cfRule type="expression" dxfId="4663" priority="1700">
      <formula>$AY15="N.D."</formula>
    </cfRule>
  </conditionalFormatting>
  <conditionalFormatting sqref="BA157:BC800">
    <cfRule type="expression" dxfId="4662" priority="1696">
      <formula>$BE157="A"</formula>
    </cfRule>
    <cfRule type="expression" dxfId="4661" priority="1697">
      <formula>$BE157="R"</formula>
    </cfRule>
  </conditionalFormatting>
  <conditionalFormatting sqref="BA157:BC800">
    <cfRule type="expression" dxfId="4660" priority="1689">
      <formula>$M157="NON DEFINED"</formula>
    </cfRule>
    <cfRule type="expression" dxfId="4659" priority="1690">
      <formula>$AZ157="N.D."</formula>
    </cfRule>
    <cfRule type="expression" dxfId="4658" priority="1691">
      <formula>$AY157="N.D."</formula>
    </cfRule>
  </conditionalFormatting>
  <conditionalFormatting sqref="J16:J800 AG16:AG800 AN16:AS800 AY157:BC800 G16:H800 G15 A15:E157 AY16:AZ156 A162:E800 B158:E161 AM39 AM41 AM43 AM45:AM800 AM16:AM33">
    <cfRule type="expression" dxfId="4657" priority="1678">
      <formula>$A15="Overhead Cable"</formula>
    </cfRule>
    <cfRule type="expression" dxfId="4656" priority="1679">
      <formula>$A15="Level Crossing"</formula>
    </cfRule>
    <cfRule type="expression" dxfId="4655" priority="1680">
      <formula>$A15="Neutral Section"</formula>
    </cfRule>
    <cfRule type="expression" dxfId="4654" priority="1681">
      <formula>$A15="Tunnel"</formula>
    </cfRule>
    <cfRule type="expression" dxfId="4653" priority="1682">
      <formula>$A15="Bridge"</formula>
    </cfRule>
    <cfRule type="expression" dxfId="4652" priority="1683">
      <formula>$A15="Drainage Works"</formula>
    </cfRule>
    <cfRule type="expression" dxfId="4651" priority="1684">
      <formula>$A15="Underpass"</formula>
    </cfRule>
    <cfRule type="expression" dxfId="4650" priority="1685">
      <formula>$A15="Overcrossing"</formula>
    </cfRule>
    <cfRule type="expression" dxfId="4649" priority="1686">
      <formula>$A15="Overpass"</formula>
    </cfRule>
    <cfRule type="expression" dxfId="4648" priority="1687">
      <formula>$A15="Station"</formula>
    </cfRule>
    <cfRule type="expression" dxfId="4647" priority="1688">
      <formula>$A15="Overlap between sections"</formula>
    </cfRule>
  </conditionalFormatting>
  <conditionalFormatting sqref="AN16:AP800">
    <cfRule type="cellIs" dxfId="4646" priority="1677" operator="notEqual">
      <formula>5.5</formula>
    </cfRule>
  </conditionalFormatting>
  <conditionalFormatting sqref="B15:B800">
    <cfRule type="expression" dxfId="4645" priority="1676">
      <formula>AND($AH15&gt;2499,$AH15&lt;2901)</formula>
    </cfRule>
  </conditionalFormatting>
  <conditionalFormatting sqref="I16:I800">
    <cfRule type="expression" dxfId="4644" priority="1662">
      <formula>$A16="Overhead Cable"</formula>
    </cfRule>
    <cfRule type="expression" dxfId="4643" priority="1663">
      <formula>$A16="Level Crossing"</formula>
    </cfRule>
    <cfRule type="expression" dxfId="4642" priority="1664">
      <formula>$A16="Neutral Section"</formula>
    </cfRule>
    <cfRule type="expression" dxfId="4641" priority="1665">
      <formula>$A16="Tunnel"</formula>
    </cfRule>
    <cfRule type="expression" dxfId="4640" priority="1666">
      <formula>$A16="Bridge"</formula>
    </cfRule>
    <cfRule type="expression" dxfId="4639" priority="1667">
      <formula>$A16="Drainage Works"</formula>
    </cfRule>
    <cfRule type="expression" dxfId="4638" priority="1668">
      <formula>$A16="Underpass"</formula>
    </cfRule>
    <cfRule type="expression" dxfId="4637" priority="1669">
      <formula>$A16="Overcrossing"</formula>
    </cfRule>
    <cfRule type="expression" dxfId="4636" priority="1670">
      <formula>$A16="Overpass"</formula>
    </cfRule>
    <cfRule type="expression" dxfId="4635" priority="1671">
      <formula>$A16="Station"</formula>
    </cfRule>
    <cfRule type="expression" dxfId="4634" priority="1672">
      <formula>$A16="Overlap between sections"</formula>
    </cfRule>
  </conditionalFormatting>
  <conditionalFormatting sqref="K16:K800">
    <cfRule type="expression" dxfId="4633" priority="1648">
      <formula>$A16="Overhead Cable"</formula>
    </cfRule>
    <cfRule type="expression" dxfId="4632" priority="1649">
      <formula>$A16="Level Crossing"</formula>
    </cfRule>
    <cfRule type="expression" dxfId="4631" priority="1650">
      <formula>$A16="Neutral Section"</formula>
    </cfRule>
    <cfRule type="expression" dxfId="4630" priority="1651">
      <formula>$A16="Tunnel"</formula>
    </cfRule>
    <cfRule type="expression" dxfId="4629" priority="1652">
      <formula>$A16="Bridge"</formula>
    </cfRule>
    <cfRule type="expression" dxfId="4628" priority="1653">
      <formula>$A16="Drainage Works"</formula>
    </cfRule>
    <cfRule type="expression" dxfId="4627" priority="1654">
      <formula>$A16="Underpass"</formula>
    </cfRule>
    <cfRule type="expression" dxfId="4626" priority="1655">
      <formula>$A16="Overcrossing"</formula>
    </cfRule>
    <cfRule type="expression" dxfId="4625" priority="1656">
      <formula>$A16="Overpass"</formula>
    </cfRule>
    <cfRule type="expression" dxfId="4624" priority="1657">
      <formula>$A16="Station"</formula>
    </cfRule>
    <cfRule type="expression" dxfId="4623" priority="1658">
      <formula>$A16="Overlap between sections"</formula>
    </cfRule>
  </conditionalFormatting>
  <conditionalFormatting sqref="L16:L800">
    <cfRule type="expression" dxfId="4622" priority="1634">
      <formula>$A16="Overhead Cable"</formula>
    </cfRule>
    <cfRule type="expression" dxfId="4621" priority="1635">
      <formula>$A16="Level Crossing"</formula>
    </cfRule>
    <cfRule type="expression" dxfId="4620" priority="1636">
      <formula>$A16="Neutral Section"</formula>
    </cfRule>
    <cfRule type="expression" dxfId="4619" priority="1637">
      <formula>$A16="Tunnel"</formula>
    </cfRule>
    <cfRule type="expression" dxfId="4618" priority="1638">
      <formula>$A16="Bridge"</formula>
    </cfRule>
    <cfRule type="expression" dxfId="4617" priority="1639">
      <formula>$A16="Drainage Works"</formula>
    </cfRule>
    <cfRule type="expression" dxfId="4616" priority="1640">
      <formula>$A16="Underpass"</formula>
    </cfRule>
    <cfRule type="expression" dxfId="4615" priority="1641">
      <formula>$A16="Overcrossing"</formula>
    </cfRule>
    <cfRule type="expression" dxfId="4614" priority="1642">
      <formula>$A16="Overpass"</formula>
    </cfRule>
    <cfRule type="expression" dxfId="4613" priority="1643">
      <formula>$A16="Station"</formula>
    </cfRule>
    <cfRule type="expression" dxfId="4612" priority="1644">
      <formula>$A16="Overlap between sections"</formula>
    </cfRule>
  </conditionalFormatting>
  <conditionalFormatting sqref="M16:M800">
    <cfRule type="expression" dxfId="4611" priority="1620">
      <formula>$A16="Overhead Cable"</formula>
    </cfRule>
    <cfRule type="expression" dxfId="4610" priority="1621">
      <formula>$A16="Level Crossing"</formula>
    </cfRule>
    <cfRule type="expression" dxfId="4609" priority="1622">
      <formula>$A16="Neutral Section"</formula>
    </cfRule>
    <cfRule type="expression" dxfId="4608" priority="1623">
      <formula>$A16="Tunnel"</formula>
    </cfRule>
    <cfRule type="expression" dxfId="4607" priority="1624">
      <formula>$A16="Bridge"</formula>
    </cfRule>
    <cfRule type="expression" dxfId="4606" priority="1625">
      <formula>$A16="Drainage Works"</formula>
    </cfRule>
    <cfRule type="expression" dxfId="4605" priority="1626">
      <formula>$A16="Underpass"</formula>
    </cfRule>
    <cfRule type="expression" dxfId="4604" priority="1627">
      <formula>$A16="Overcrossing"</formula>
    </cfRule>
    <cfRule type="expression" dxfId="4603" priority="1628">
      <formula>$A16="Overpass"</formula>
    </cfRule>
    <cfRule type="expression" dxfId="4602" priority="1629">
      <formula>$A16="Station"</formula>
    </cfRule>
    <cfRule type="expression" dxfId="4601" priority="1630">
      <formula>$A16="Overlap between sections"</formula>
    </cfRule>
  </conditionalFormatting>
  <conditionalFormatting sqref="N16:N800">
    <cfRule type="expression" dxfId="4600" priority="1606">
      <formula>$A16="Overhead Cable"</formula>
    </cfRule>
    <cfRule type="expression" dxfId="4599" priority="1607">
      <formula>$A16="Level Crossing"</formula>
    </cfRule>
    <cfRule type="expression" dxfId="4598" priority="1608">
      <formula>$A16="Neutral Section"</formula>
    </cfRule>
    <cfRule type="expression" dxfId="4597" priority="1609">
      <formula>$A16="Tunnel"</formula>
    </cfRule>
    <cfRule type="expression" dxfId="4596" priority="1610">
      <formula>$A16="Bridge"</formula>
    </cfRule>
    <cfRule type="expression" dxfId="4595" priority="1611">
      <formula>$A16="Drainage Works"</formula>
    </cfRule>
    <cfRule type="expression" dxfId="4594" priority="1612">
      <formula>$A16="Underpass"</formula>
    </cfRule>
    <cfRule type="expression" dxfId="4593" priority="1613">
      <formula>$A16="Overcrossing"</formula>
    </cfRule>
    <cfRule type="expression" dxfId="4592" priority="1614">
      <formula>$A16="Overpass"</formula>
    </cfRule>
    <cfRule type="expression" dxfId="4591" priority="1615">
      <formula>$A16="Station"</formula>
    </cfRule>
    <cfRule type="expression" dxfId="4590" priority="1616">
      <formula>$A16="Overlap between sections"</formula>
    </cfRule>
  </conditionalFormatting>
  <conditionalFormatting sqref="O16:O800">
    <cfRule type="expression" dxfId="4589" priority="1592">
      <formula>$A16="Overhead Cable"</formula>
    </cfRule>
    <cfRule type="expression" dxfId="4588" priority="1593">
      <formula>$A16="Level Crossing"</formula>
    </cfRule>
    <cfRule type="expression" dxfId="4587" priority="1594">
      <formula>$A16="Neutral Section"</formula>
    </cfRule>
    <cfRule type="expression" dxfId="4586" priority="1595">
      <formula>$A16="Tunnel"</formula>
    </cfRule>
    <cfRule type="expression" dxfId="4585" priority="1596">
      <formula>$A16="Bridge"</formula>
    </cfRule>
    <cfRule type="expression" dxfId="4584" priority="1597">
      <formula>$A16="Drainage Works"</formula>
    </cfRule>
    <cfRule type="expression" dxfId="4583" priority="1598">
      <formula>$A16="Underpass"</formula>
    </cfRule>
    <cfRule type="expression" dxfId="4582" priority="1599">
      <formula>$A16="Overcrossing"</formula>
    </cfRule>
    <cfRule type="expression" dxfId="4581" priority="1600">
      <formula>$A16="Overpass"</formula>
    </cfRule>
    <cfRule type="expression" dxfId="4580" priority="1601">
      <formula>$A16="Station"</formula>
    </cfRule>
    <cfRule type="expression" dxfId="4579" priority="1602">
      <formula>$A16="Overlap between sections"</formula>
    </cfRule>
  </conditionalFormatting>
  <conditionalFormatting sqref="P16:P800">
    <cfRule type="expression" dxfId="4578" priority="1578">
      <formula>$A16="Overhead Cable"</formula>
    </cfRule>
    <cfRule type="expression" dxfId="4577" priority="1579">
      <formula>$A16="Level Crossing"</formula>
    </cfRule>
    <cfRule type="expression" dxfId="4576" priority="1580">
      <formula>$A16="Neutral Section"</formula>
    </cfRule>
    <cfRule type="expression" dxfId="4575" priority="1581">
      <formula>$A16="Tunnel"</formula>
    </cfRule>
    <cfRule type="expression" dxfId="4574" priority="1582">
      <formula>$A16="Bridge"</formula>
    </cfRule>
    <cfRule type="expression" dxfId="4573" priority="1583">
      <formula>$A16="Drainage Works"</formula>
    </cfRule>
    <cfRule type="expression" dxfId="4572" priority="1584">
      <formula>$A16="Underpass"</formula>
    </cfRule>
    <cfRule type="expression" dxfId="4571" priority="1585">
      <formula>$A16="Overcrossing"</formula>
    </cfRule>
    <cfRule type="expression" dxfId="4570" priority="1586">
      <formula>$A16="Overpass"</formula>
    </cfRule>
    <cfRule type="expression" dxfId="4569" priority="1587">
      <formula>$A16="Station"</formula>
    </cfRule>
    <cfRule type="expression" dxfId="4568" priority="1588">
      <formula>$A16="Overlap between sections"</formula>
    </cfRule>
  </conditionalFormatting>
  <conditionalFormatting sqref="AC16:AC800">
    <cfRule type="expression" dxfId="4567" priority="1564">
      <formula>$A16="Overhead Cable"</formula>
    </cfRule>
    <cfRule type="expression" dxfId="4566" priority="1565">
      <formula>$A16="Level Crossing"</formula>
    </cfRule>
    <cfRule type="expression" dxfId="4565" priority="1566">
      <formula>$A16="Neutral Section"</formula>
    </cfRule>
    <cfRule type="expression" dxfId="4564" priority="1567">
      <formula>$A16="Tunnel"</formula>
    </cfRule>
    <cfRule type="expression" dxfId="4563" priority="1568">
      <formula>$A16="Bridge"</formula>
    </cfRule>
    <cfRule type="expression" dxfId="4562" priority="1569">
      <formula>$A16="Drainage Works"</formula>
    </cfRule>
    <cfRule type="expression" dxfId="4561" priority="1570">
      <formula>$A16="Underpass"</formula>
    </cfRule>
    <cfRule type="expression" dxfId="4560" priority="1571">
      <formula>$A16="Overcrossing"</formula>
    </cfRule>
    <cfRule type="expression" dxfId="4559" priority="1572">
      <formula>$A16="Overpass"</formula>
    </cfRule>
    <cfRule type="expression" dxfId="4558" priority="1573">
      <formula>$A16="Station"</formula>
    </cfRule>
    <cfRule type="expression" dxfId="4557" priority="1574">
      <formula>$A16="Overlap between sections"</formula>
    </cfRule>
  </conditionalFormatting>
  <conditionalFormatting sqref="AD16:AD800">
    <cfRule type="expression" dxfId="4556" priority="1550">
      <formula>$A16="Overhead Cable"</formula>
    </cfRule>
    <cfRule type="expression" dxfId="4555" priority="1551">
      <formula>$A16="Level Crossing"</formula>
    </cfRule>
    <cfRule type="expression" dxfId="4554" priority="1552">
      <formula>$A16="Neutral Section"</formula>
    </cfRule>
    <cfRule type="expression" dxfId="4553" priority="1553">
      <formula>$A16="Tunnel"</formula>
    </cfRule>
    <cfRule type="expression" dxfId="4552" priority="1554">
      <formula>$A16="Bridge"</formula>
    </cfRule>
    <cfRule type="expression" dxfId="4551" priority="1555">
      <formula>$A16="Drainage Works"</formula>
    </cfRule>
    <cfRule type="expression" dxfId="4550" priority="1556">
      <formula>$A16="Underpass"</formula>
    </cfRule>
    <cfRule type="expression" dxfId="4549" priority="1557">
      <formula>$A16="Overcrossing"</formula>
    </cfRule>
    <cfRule type="expression" dxfId="4548" priority="1558">
      <formula>$A16="Overpass"</formula>
    </cfRule>
    <cfRule type="expression" dxfId="4547" priority="1559">
      <formula>$A16="Station"</formula>
    </cfRule>
    <cfRule type="expression" dxfId="4546" priority="1560">
      <formula>$A16="Overlap between sections"</formula>
    </cfRule>
  </conditionalFormatting>
  <conditionalFormatting sqref="AE16:AE800">
    <cfRule type="expression" dxfId="4545" priority="1536">
      <formula>$A16="Overhead Cable"</formula>
    </cfRule>
    <cfRule type="expression" dxfId="4544" priority="1537">
      <formula>$A16="Level Crossing"</formula>
    </cfRule>
    <cfRule type="expression" dxfId="4543" priority="1538">
      <formula>$A16="Neutral Section"</formula>
    </cfRule>
    <cfRule type="expression" dxfId="4542" priority="1539">
      <formula>$A16="Tunnel"</formula>
    </cfRule>
    <cfRule type="expression" dxfId="4541" priority="1540">
      <formula>$A16="Bridge"</formula>
    </cfRule>
    <cfRule type="expression" dxfId="4540" priority="1541">
      <formula>$A16="Drainage Works"</formula>
    </cfRule>
    <cfRule type="expression" dxfId="4539" priority="1542">
      <formula>$A16="Underpass"</formula>
    </cfRule>
    <cfRule type="expression" dxfId="4538" priority="1543">
      <formula>$A16="Overcrossing"</formula>
    </cfRule>
    <cfRule type="expression" dxfId="4537" priority="1544">
      <formula>$A16="Overpass"</formula>
    </cfRule>
    <cfRule type="expression" dxfId="4536" priority="1545">
      <formula>$A16="Station"</formula>
    </cfRule>
    <cfRule type="expression" dxfId="4535" priority="1546">
      <formula>$A16="Overlap between sections"</formula>
    </cfRule>
  </conditionalFormatting>
  <conditionalFormatting sqref="AJ16:AJ800">
    <cfRule type="expression" dxfId="4534" priority="1522">
      <formula>$A16="Overhead Cable"</formula>
    </cfRule>
    <cfRule type="expression" dxfId="4533" priority="1523">
      <formula>$A16="Level Crossing"</formula>
    </cfRule>
    <cfRule type="expression" dxfId="4532" priority="1524">
      <formula>$A16="Neutral Section"</formula>
    </cfRule>
    <cfRule type="expression" dxfId="4531" priority="1525">
      <formula>$A16="Tunnel"</formula>
    </cfRule>
    <cfRule type="expression" dxfId="4530" priority="1526">
      <formula>$A16="Bridge"</formula>
    </cfRule>
    <cfRule type="expression" dxfId="4529" priority="1527">
      <formula>$A16="Drainage Works"</formula>
    </cfRule>
    <cfRule type="expression" dxfId="4528" priority="1528">
      <formula>$A16="Underpass"</formula>
    </cfRule>
    <cfRule type="expression" dxfId="4527" priority="1529">
      <formula>$A16="Overcrossing"</formula>
    </cfRule>
    <cfRule type="expression" dxfId="4526" priority="1530">
      <formula>$A16="Overpass"</formula>
    </cfRule>
    <cfRule type="expression" dxfId="4525" priority="1531">
      <formula>$A16="Station"</formula>
    </cfRule>
    <cfRule type="expression" dxfId="4524" priority="1532">
      <formula>$A16="Overlap between sections"</formula>
    </cfRule>
  </conditionalFormatting>
  <conditionalFormatting sqref="AK16:AK800">
    <cfRule type="expression" dxfId="4523" priority="1508">
      <formula>$A16="Overhead Cable"</formula>
    </cfRule>
    <cfRule type="expression" dxfId="4522" priority="1509">
      <formula>$A16="Level Crossing"</formula>
    </cfRule>
    <cfRule type="expression" dxfId="4521" priority="1510">
      <formula>$A16="Neutral Section"</formula>
    </cfRule>
    <cfRule type="expression" dxfId="4520" priority="1511">
      <formula>$A16="Tunnel"</formula>
    </cfRule>
    <cfRule type="expression" dxfId="4519" priority="1512">
      <formula>$A16="Bridge"</formula>
    </cfRule>
    <cfRule type="expression" dxfId="4518" priority="1513">
      <formula>$A16="Drainage Works"</formula>
    </cfRule>
    <cfRule type="expression" dxfId="4517" priority="1514">
      <formula>$A16="Underpass"</formula>
    </cfRule>
    <cfRule type="expression" dxfId="4516" priority="1515">
      <formula>$A16="Overcrossing"</formula>
    </cfRule>
    <cfRule type="expression" dxfId="4515" priority="1516">
      <formula>$A16="Overpass"</formula>
    </cfRule>
    <cfRule type="expression" dxfId="4514" priority="1517">
      <formula>$A16="Station"</formula>
    </cfRule>
    <cfRule type="expression" dxfId="4513" priority="1518">
      <formula>$A16="Overlap between sections"</formula>
    </cfRule>
  </conditionalFormatting>
  <conditionalFormatting sqref="AL16:AL800">
    <cfRule type="expression" dxfId="4512" priority="1494">
      <formula>$A16="Overhead Cable"</formula>
    </cfRule>
    <cfRule type="expression" dxfId="4511" priority="1495">
      <formula>$A16="Level Crossing"</formula>
    </cfRule>
    <cfRule type="expression" dxfId="4510" priority="1496">
      <formula>$A16="Neutral Section"</formula>
    </cfRule>
    <cfRule type="expression" dxfId="4509" priority="1497">
      <formula>$A16="Tunnel"</formula>
    </cfRule>
    <cfRule type="expression" dxfId="4508" priority="1498">
      <formula>$A16="Bridge"</formula>
    </cfRule>
    <cfRule type="expression" dxfId="4507" priority="1499">
      <formula>$A16="Drainage Works"</formula>
    </cfRule>
    <cfRule type="expression" dxfId="4506" priority="1500">
      <formula>$A16="Underpass"</formula>
    </cfRule>
    <cfRule type="expression" dxfId="4505" priority="1501">
      <formula>$A16="Overcrossing"</formula>
    </cfRule>
    <cfRule type="expression" dxfId="4504" priority="1502">
      <formula>$A16="Overpass"</formula>
    </cfRule>
    <cfRule type="expression" dxfId="4503" priority="1503">
      <formula>$A16="Station"</formula>
    </cfRule>
    <cfRule type="expression" dxfId="4502" priority="1504">
      <formula>$A16="Overlap between sections"</formula>
    </cfRule>
  </conditionalFormatting>
  <conditionalFormatting sqref="AT16:AT800">
    <cfRule type="expression" dxfId="4501" priority="1466">
      <formula>$A16="Overhead Cable"</formula>
    </cfRule>
    <cfRule type="expression" dxfId="4500" priority="1467">
      <formula>$A16="Level Crossing"</formula>
    </cfRule>
    <cfRule type="expression" dxfId="4499" priority="1468">
      <formula>$A16="Neutral Section"</formula>
    </cfRule>
    <cfRule type="expression" dxfId="4498" priority="1469">
      <formula>$A16="Tunnel"</formula>
    </cfRule>
    <cfRule type="expression" dxfId="4497" priority="1470">
      <formula>$A16="Bridge"</formula>
    </cfRule>
    <cfRule type="expression" dxfId="4496" priority="1471">
      <formula>$A16="Drainage Works"</formula>
    </cfRule>
    <cfRule type="expression" dxfId="4495" priority="1472">
      <formula>$A16="Underpass"</formula>
    </cfRule>
    <cfRule type="expression" dxfId="4494" priority="1473">
      <formula>$A16="Overcrossing"</formula>
    </cfRule>
    <cfRule type="expression" dxfId="4493" priority="1474">
      <formula>$A16="Overpass"</formula>
    </cfRule>
    <cfRule type="expression" dxfId="4492" priority="1475">
      <formula>$A16="Station"</formula>
    </cfRule>
    <cfRule type="expression" dxfId="4491" priority="1476">
      <formula>$A16="Overlap between sections"</formula>
    </cfRule>
  </conditionalFormatting>
  <conditionalFormatting sqref="AU16:AU800">
    <cfRule type="expression" dxfId="4490" priority="1452">
      <formula>$A16="Overhead Cable"</formula>
    </cfRule>
    <cfRule type="expression" dxfId="4489" priority="1453">
      <formula>$A16="Level Crossing"</formula>
    </cfRule>
    <cfRule type="expression" dxfId="4488" priority="1454">
      <formula>$A16="Neutral Section"</formula>
    </cfRule>
    <cfRule type="expression" dxfId="4487" priority="1455">
      <formula>$A16="Tunnel"</formula>
    </cfRule>
    <cfRule type="expression" dxfId="4486" priority="1456">
      <formula>$A16="Bridge"</formula>
    </cfRule>
    <cfRule type="expression" dxfId="4485" priority="1457">
      <formula>$A16="Drainage Works"</formula>
    </cfRule>
    <cfRule type="expression" dxfId="4484" priority="1458">
      <formula>$A16="Underpass"</formula>
    </cfRule>
    <cfRule type="expression" dxfId="4483" priority="1459">
      <formula>$A16="Overcrossing"</formula>
    </cfRule>
    <cfRule type="expression" dxfId="4482" priority="1460">
      <formula>$A16="Overpass"</formula>
    </cfRule>
    <cfRule type="expression" dxfId="4481" priority="1461">
      <formula>$A16="Station"</formula>
    </cfRule>
    <cfRule type="expression" dxfId="4480" priority="1462">
      <formula>$A16="Overlap between sections"</formula>
    </cfRule>
  </conditionalFormatting>
  <conditionalFormatting sqref="AV16:AV800">
    <cfRule type="expression" dxfId="4479" priority="1438">
      <formula>$A16="Overhead Cable"</formula>
    </cfRule>
    <cfRule type="expression" dxfId="4478" priority="1439">
      <formula>$A16="Level Crossing"</formula>
    </cfRule>
    <cfRule type="expression" dxfId="4477" priority="1440">
      <formula>$A16="Neutral Section"</formula>
    </cfRule>
    <cfRule type="expression" dxfId="4476" priority="1441">
      <formula>$A16="Tunnel"</formula>
    </cfRule>
    <cfRule type="expression" dxfId="4475" priority="1442">
      <formula>$A16="Bridge"</formula>
    </cfRule>
    <cfRule type="expression" dxfId="4474" priority="1443">
      <formula>$A16="Drainage Works"</formula>
    </cfRule>
    <cfRule type="expression" dxfId="4473" priority="1444">
      <formula>$A16="Underpass"</formula>
    </cfRule>
    <cfRule type="expression" dxfId="4472" priority="1445">
      <formula>$A16="Overcrossing"</formula>
    </cfRule>
    <cfRule type="expression" dxfId="4471" priority="1446">
      <formula>$A16="Overpass"</formula>
    </cfRule>
    <cfRule type="expression" dxfId="4470" priority="1447">
      <formula>$A16="Station"</formula>
    </cfRule>
    <cfRule type="expression" dxfId="4469" priority="1448">
      <formula>$A16="Overlap between sections"</formula>
    </cfRule>
  </conditionalFormatting>
  <conditionalFormatting sqref="AW35 AW37 AW39 AW41 AW43 AW45:AW67 AW69 AW71 AW73 AW75 AW77 AW79 AW81 AW83 AW85 AW87 AW89 AW91 AW93 AW95 AW97 AW99 AW101 AW103 AW105:AW800">
    <cfRule type="expression" dxfId="4468" priority="1435">
      <formula>$M35="NON DEFINED"</formula>
    </cfRule>
    <cfRule type="expression" dxfId="4467" priority="1436">
      <formula>$AZ35="N.D."</formula>
    </cfRule>
    <cfRule type="expression" dxfId="4466" priority="1437">
      <formula>$AY35="N.D."</formula>
    </cfRule>
  </conditionalFormatting>
  <conditionalFormatting sqref="AW16:AW33 AW35 AW37 AW39 AW41 AW43 AW45:AW67 AW69 AW71 AW73 AW75 AW77 AW79 AW81 AW83 AW85 AW87 AW89 AW91 AW93 AW95 AW97 AW99 AW101 AW103 AW105:AW800">
    <cfRule type="expression" dxfId="4465" priority="1424">
      <formula>$A16="Overhead Cable"</formula>
    </cfRule>
    <cfRule type="expression" dxfId="4464" priority="1425">
      <formula>$A16="Level Crossing"</formula>
    </cfRule>
    <cfRule type="expression" dxfId="4463" priority="1426">
      <formula>$A16="Neutral Section"</formula>
    </cfRule>
    <cfRule type="expression" dxfId="4462" priority="1427">
      <formula>$A16="Tunnel"</formula>
    </cfRule>
    <cfRule type="expression" dxfId="4461" priority="1428">
      <formula>$A16="Bridge"</formula>
    </cfRule>
    <cfRule type="expression" dxfId="4460" priority="1429">
      <formula>$A16="Drainage Works"</formula>
    </cfRule>
    <cfRule type="expression" dxfId="4459" priority="1430">
      <formula>$A16="Underpass"</formula>
    </cfRule>
    <cfRule type="expression" dxfId="4458" priority="1431">
      <formula>$A16="Overcrossing"</formula>
    </cfRule>
    <cfRule type="expression" dxfId="4457" priority="1432">
      <formula>$A16="Overpass"</formula>
    </cfRule>
    <cfRule type="expression" dxfId="4456" priority="1433">
      <formula>$A16="Station"</formula>
    </cfRule>
    <cfRule type="expression" dxfId="4455" priority="1434">
      <formula>$A16="Overlap between sections"</formula>
    </cfRule>
  </conditionalFormatting>
  <conditionalFormatting sqref="AX35 AX37 AX39 AX41 AX43 AX45:AX67 AX69 AX71 AX73 AX75 AX77 AX79 AX81 AX83 AX85 AX87 AX89 AX91 AX93 AX95 AX97 AX99 AX101 AX103 AX105:AX800">
    <cfRule type="expression" dxfId="4454" priority="1421">
      <formula>$M35="NON DEFINED"</formula>
    </cfRule>
    <cfRule type="expression" dxfId="4453" priority="1422">
      <formula>$AZ35="N.D."</formula>
    </cfRule>
    <cfRule type="expression" dxfId="4452" priority="1423">
      <formula>$AY35="N.D."</formula>
    </cfRule>
  </conditionalFormatting>
  <conditionalFormatting sqref="AX16:AX33 AX35 AX37 AX39 AX41 AX43 AX45:AX67 AX69 AX71 AX73 AX75 AX77 AX79 AX81 AX83 AX85 AX87 AX89 AX91 AX93 AX95 AX97 AX99 AX101 AX103 AX105:AX800">
    <cfRule type="expression" dxfId="4451" priority="1410">
      <formula>$A16="Overhead Cable"</formula>
    </cfRule>
    <cfRule type="expression" dxfId="4450" priority="1411">
      <formula>$A16="Level Crossing"</formula>
    </cfRule>
    <cfRule type="expression" dxfId="4449" priority="1412">
      <formula>$A16="Neutral Section"</formula>
    </cfRule>
    <cfRule type="expression" dxfId="4448" priority="1413">
      <formula>$A16="Tunnel"</formula>
    </cfRule>
    <cfRule type="expression" dxfId="4447" priority="1414">
      <formula>$A16="Bridge"</formula>
    </cfRule>
    <cfRule type="expression" dxfId="4446" priority="1415">
      <formula>$A16="Drainage Works"</formula>
    </cfRule>
    <cfRule type="expression" dxfId="4445" priority="1416">
      <formula>$A16="Underpass"</formula>
    </cfRule>
    <cfRule type="expression" dxfId="4444" priority="1417">
      <formula>$A16="Overcrossing"</formula>
    </cfRule>
    <cfRule type="expression" dxfId="4443" priority="1418">
      <formula>$A16="Overpass"</formula>
    </cfRule>
    <cfRule type="expression" dxfId="4442" priority="1419">
      <formula>$A16="Station"</formula>
    </cfRule>
    <cfRule type="expression" dxfId="4441" priority="1420">
      <formula>$A16="Overlap between sections"</formula>
    </cfRule>
  </conditionalFormatting>
  <conditionalFormatting sqref="F15:F800">
    <cfRule type="expression" dxfId="4440" priority="1396">
      <formula>$A15="Overhead Cable"</formula>
    </cfRule>
    <cfRule type="expression" dxfId="4439" priority="1397">
      <formula>$A15="Level Crossing"</formula>
    </cfRule>
    <cfRule type="expression" dxfId="4438" priority="1398">
      <formula>$A15="Neutral Section"</formula>
    </cfRule>
    <cfRule type="expression" dxfId="4437" priority="1399">
      <formula>$A15="Tunnel"</formula>
    </cfRule>
    <cfRule type="expression" dxfId="4436" priority="1400">
      <formula>$A15="Bridge"</formula>
    </cfRule>
    <cfRule type="expression" dxfId="4435" priority="1401">
      <formula>$A15="Drainage Works"</formula>
    </cfRule>
    <cfRule type="expression" dxfId="4434" priority="1402">
      <formula>$A15="Underpass"</formula>
    </cfRule>
    <cfRule type="expression" dxfId="4433" priority="1403">
      <formula>$A15="Overcrossing"</formula>
    </cfRule>
    <cfRule type="expression" dxfId="4432" priority="1404">
      <formula>$A15="Overpass"</formula>
    </cfRule>
    <cfRule type="expression" dxfId="4431" priority="1405">
      <formula>$A15="Station"</formula>
    </cfRule>
    <cfRule type="expression" dxfId="4430" priority="1406">
      <formula>$A15="Overlap between sections"</formula>
    </cfRule>
  </conditionalFormatting>
  <conditionalFormatting sqref="Q16:Q800">
    <cfRule type="expression" dxfId="4429" priority="1382">
      <formula>$A16="Overhead Cable"</formula>
    </cfRule>
    <cfRule type="expression" dxfId="4428" priority="1383">
      <formula>$A16="Level Crossing"</formula>
    </cfRule>
    <cfRule type="expression" dxfId="4427" priority="1384">
      <formula>$A16="Neutral Section"</formula>
    </cfRule>
    <cfRule type="expression" dxfId="4426" priority="1385">
      <formula>$A16="Tunnel"</formula>
    </cfRule>
    <cfRule type="expression" dxfId="4425" priority="1386">
      <formula>$A16="Bridge"</formula>
    </cfRule>
    <cfRule type="expression" dxfId="4424" priority="1387">
      <formula>$A16="Drainage Works"</formula>
    </cfRule>
    <cfRule type="expression" dxfId="4423" priority="1388">
      <formula>$A16="Underpass"</formula>
    </cfRule>
    <cfRule type="expression" dxfId="4422" priority="1389">
      <formula>$A16="Overcrossing"</formula>
    </cfRule>
    <cfRule type="expression" dxfId="4421" priority="1390">
      <formula>$A16="Overpass"</formula>
    </cfRule>
    <cfRule type="expression" dxfId="4420" priority="1391">
      <formula>$A16="Station"</formula>
    </cfRule>
    <cfRule type="expression" dxfId="4419" priority="1392">
      <formula>$A16="Overlap between sections"</formula>
    </cfRule>
  </conditionalFormatting>
  <conditionalFormatting sqref="T16:T800">
    <cfRule type="expression" dxfId="4418" priority="1368">
      <formula>$A16="Overhead Cable"</formula>
    </cfRule>
    <cfRule type="expression" dxfId="4417" priority="1369">
      <formula>$A16="Level Crossing"</formula>
    </cfRule>
    <cfRule type="expression" dxfId="4416" priority="1370">
      <formula>$A16="Neutral Section"</formula>
    </cfRule>
    <cfRule type="expression" dxfId="4415" priority="1371">
      <formula>$A16="Tunnel"</formula>
    </cfRule>
    <cfRule type="expression" dxfId="4414" priority="1372">
      <formula>$A16="Bridge"</formula>
    </cfRule>
    <cfRule type="expression" dxfId="4413" priority="1373">
      <formula>$A16="Drainage Works"</formula>
    </cfRule>
    <cfRule type="expression" dxfId="4412" priority="1374">
      <formula>$A16="Underpass"</formula>
    </cfRule>
    <cfRule type="expression" dxfId="4411" priority="1375">
      <formula>$A16="Overcrossing"</formula>
    </cfRule>
    <cfRule type="expression" dxfId="4410" priority="1376">
      <formula>$A16="Overpass"</formula>
    </cfRule>
    <cfRule type="expression" dxfId="4409" priority="1377">
      <formula>$A16="Station"</formula>
    </cfRule>
    <cfRule type="expression" dxfId="4408" priority="1378">
      <formula>$A16="Overlap between sections"</formula>
    </cfRule>
  </conditionalFormatting>
  <conditionalFormatting sqref="U16:U800">
    <cfRule type="expression" dxfId="4407" priority="1354">
      <formula>$A16="Overhead Cable"</formula>
    </cfRule>
    <cfRule type="expression" dxfId="4406" priority="1355">
      <formula>$A16="Level Crossing"</formula>
    </cfRule>
    <cfRule type="expression" dxfId="4405" priority="1356">
      <formula>$A16="Neutral Section"</formula>
    </cfRule>
    <cfRule type="expression" dxfId="4404" priority="1357">
      <formula>$A16="Tunnel"</formula>
    </cfRule>
    <cfRule type="expression" dxfId="4403" priority="1358">
      <formula>$A16="Bridge"</formula>
    </cfRule>
    <cfRule type="expression" dxfId="4402" priority="1359">
      <formula>$A16="Drainage Works"</formula>
    </cfRule>
    <cfRule type="expression" dxfId="4401" priority="1360">
      <formula>$A16="Underpass"</formula>
    </cfRule>
    <cfRule type="expression" dxfId="4400" priority="1361">
      <formula>$A16="Overcrossing"</formula>
    </cfRule>
    <cfRule type="expression" dxfId="4399" priority="1362">
      <formula>$A16="Overpass"</formula>
    </cfRule>
    <cfRule type="expression" dxfId="4398" priority="1363">
      <formula>$A16="Station"</formula>
    </cfRule>
    <cfRule type="expression" dxfId="4397" priority="1364">
      <formula>$A16="Overlap between sections"</formula>
    </cfRule>
  </conditionalFormatting>
  <conditionalFormatting sqref="V16:V800">
    <cfRule type="expression" dxfId="4396" priority="1340">
      <formula>$A16="Overhead Cable"</formula>
    </cfRule>
    <cfRule type="expression" dxfId="4395" priority="1341">
      <formula>$A16="Level Crossing"</formula>
    </cfRule>
    <cfRule type="expression" dxfId="4394" priority="1342">
      <formula>$A16="Neutral Section"</formula>
    </cfRule>
    <cfRule type="expression" dxfId="4393" priority="1343">
      <formula>$A16="Tunnel"</formula>
    </cfRule>
    <cfRule type="expression" dxfId="4392" priority="1344">
      <formula>$A16="Bridge"</formula>
    </cfRule>
    <cfRule type="expression" dxfId="4391" priority="1345">
      <formula>$A16="Drainage Works"</formula>
    </cfRule>
    <cfRule type="expression" dxfId="4390" priority="1346">
      <formula>$A16="Underpass"</formula>
    </cfRule>
    <cfRule type="expression" dxfId="4389" priority="1347">
      <formula>$A16="Overcrossing"</formula>
    </cfRule>
    <cfRule type="expression" dxfId="4388" priority="1348">
      <formula>$A16="Overpass"</formula>
    </cfRule>
    <cfRule type="expression" dxfId="4387" priority="1349">
      <formula>$A16="Station"</formula>
    </cfRule>
    <cfRule type="expression" dxfId="4386" priority="1350">
      <formula>$A16="Overlap between sections"</formula>
    </cfRule>
  </conditionalFormatting>
  <conditionalFormatting sqref="AF16:AF800">
    <cfRule type="expression" dxfId="4385" priority="1326">
      <formula>$A16="Overhead Cable"</formula>
    </cfRule>
    <cfRule type="expression" dxfId="4384" priority="1327">
      <formula>$A16="Level Crossing"</formula>
    </cfRule>
    <cfRule type="expression" dxfId="4383" priority="1328">
      <formula>$A16="Neutral Section"</formula>
    </cfRule>
    <cfRule type="expression" dxfId="4382" priority="1329">
      <formula>$A16="Tunnel"</formula>
    </cfRule>
    <cfRule type="expression" dxfId="4381" priority="1330">
      <formula>$A16="Bridge"</formula>
    </cfRule>
    <cfRule type="expression" dxfId="4380" priority="1331">
      <formula>$A16="Drainage Works"</formula>
    </cfRule>
    <cfRule type="expression" dxfId="4379" priority="1332">
      <formula>$A16="Underpass"</formula>
    </cfRule>
    <cfRule type="expression" dxfId="4378" priority="1333">
      <formula>$A16="Overcrossing"</formula>
    </cfRule>
    <cfRule type="expression" dxfId="4377" priority="1334">
      <formula>$A16="Overpass"</formula>
    </cfRule>
    <cfRule type="expression" dxfId="4376" priority="1335">
      <formula>$A16="Station"</formula>
    </cfRule>
    <cfRule type="expression" dxfId="4375" priority="1336">
      <formula>$A16="Overlap between sections"</formula>
    </cfRule>
  </conditionalFormatting>
  <conditionalFormatting sqref="AH16:AH800">
    <cfRule type="expression" dxfId="4374" priority="1312">
      <formula>$A16="Overhead Cable"</formula>
    </cfRule>
    <cfRule type="expression" dxfId="4373" priority="1313">
      <formula>$A16="Level Crossing"</formula>
    </cfRule>
    <cfRule type="expression" dxfId="4372" priority="1314">
      <formula>$A16="Neutral Section"</formula>
    </cfRule>
    <cfRule type="expression" dxfId="4371" priority="1315">
      <formula>$A16="Tunnel"</formula>
    </cfRule>
    <cfRule type="expression" dxfId="4370" priority="1316">
      <formula>$A16="Bridge"</formula>
    </cfRule>
    <cfRule type="expression" dxfId="4369" priority="1317">
      <formula>$A16="Drainage Works"</formula>
    </cfRule>
    <cfRule type="expression" dxfId="4368" priority="1318">
      <formula>$A16="Underpass"</formula>
    </cfRule>
    <cfRule type="expression" dxfId="4367" priority="1319">
      <formula>$A16="Overcrossing"</formula>
    </cfRule>
    <cfRule type="expression" dxfId="4366" priority="1320">
      <formula>$A16="Overpass"</formula>
    </cfRule>
    <cfRule type="expression" dxfId="4365" priority="1321">
      <formula>$A16="Station"</formula>
    </cfRule>
    <cfRule type="expression" dxfId="4364" priority="1322">
      <formula>$A16="Overlap between sections"</formula>
    </cfRule>
  </conditionalFormatting>
  <conditionalFormatting sqref="AI16:AI800">
    <cfRule type="expression" dxfId="4363" priority="1298">
      <formula>$A16="Overhead Cable"</formula>
    </cfRule>
    <cfRule type="expression" dxfId="4362" priority="1299">
      <formula>$A16="Level Crossing"</formula>
    </cfRule>
    <cfRule type="expression" dxfId="4361" priority="1300">
      <formula>$A16="Neutral Section"</formula>
    </cfRule>
    <cfRule type="expression" dxfId="4360" priority="1301">
      <formula>$A16="Tunnel"</formula>
    </cfRule>
    <cfRule type="expression" dxfId="4359" priority="1302">
      <formula>$A16="Bridge"</formula>
    </cfRule>
    <cfRule type="expression" dxfId="4358" priority="1303">
      <formula>$A16="Drainage Works"</formula>
    </cfRule>
    <cfRule type="expression" dxfId="4357" priority="1304">
      <formula>$A16="Underpass"</formula>
    </cfRule>
    <cfRule type="expression" dxfId="4356" priority="1305">
      <formula>$A16="Overcrossing"</formula>
    </cfRule>
    <cfRule type="expression" dxfId="4355" priority="1306">
      <formula>$A16="Overpass"</formula>
    </cfRule>
    <cfRule type="expression" dxfId="4354" priority="1307">
      <formula>$A16="Station"</formula>
    </cfRule>
    <cfRule type="expression" dxfId="4353" priority="1308">
      <formula>$A16="Overlap between sections"</formula>
    </cfRule>
  </conditionalFormatting>
  <conditionalFormatting sqref="R16:R800">
    <cfRule type="expression" dxfId="4352" priority="1284">
      <formula>$A16="Overhead Cable"</formula>
    </cfRule>
    <cfRule type="expression" dxfId="4351" priority="1285">
      <formula>$A16="Level Crossing"</formula>
    </cfRule>
    <cfRule type="expression" dxfId="4350" priority="1286">
      <formula>$A16="Neutral Section"</formula>
    </cfRule>
    <cfRule type="expression" dxfId="4349" priority="1287">
      <formula>$A16="Tunnel"</formula>
    </cfRule>
    <cfRule type="expression" dxfId="4348" priority="1288">
      <formula>$A16="Bridge"</formula>
    </cfRule>
    <cfRule type="expression" dxfId="4347" priority="1289">
      <formula>$A16="Drainage Works"</formula>
    </cfRule>
    <cfRule type="expression" dxfId="4346" priority="1290">
      <formula>$A16="Underpass"</formula>
    </cfRule>
    <cfRule type="expression" dxfId="4345" priority="1291">
      <formula>$A16="Overcrossing"</formula>
    </cfRule>
    <cfRule type="expression" dxfId="4344" priority="1292">
      <formula>$A16="Overpass"</formula>
    </cfRule>
    <cfRule type="expression" dxfId="4343" priority="1293">
      <formula>$A16="Station"</formula>
    </cfRule>
    <cfRule type="expression" dxfId="4342" priority="1294">
      <formula>$A16="Overlap between sections"</formula>
    </cfRule>
  </conditionalFormatting>
  <conditionalFormatting sqref="S16:S800">
    <cfRule type="expression" dxfId="4341" priority="1270">
      <formula>$A16="Overhead Cable"</formula>
    </cfRule>
    <cfRule type="expression" dxfId="4340" priority="1271">
      <formula>$A16="Level Crossing"</formula>
    </cfRule>
    <cfRule type="expression" dxfId="4339" priority="1272">
      <formula>$A16="Neutral Section"</formula>
    </cfRule>
    <cfRule type="expression" dxfId="4338" priority="1273">
      <formula>$A16="Tunnel"</formula>
    </cfRule>
    <cfRule type="expression" dxfId="4337" priority="1274">
      <formula>$A16="Bridge"</formula>
    </cfRule>
    <cfRule type="expression" dxfId="4336" priority="1275">
      <formula>$A16="Drainage Works"</formula>
    </cfRule>
    <cfRule type="expression" dxfId="4335" priority="1276">
      <formula>$A16="Underpass"</formula>
    </cfRule>
    <cfRule type="expression" dxfId="4334" priority="1277">
      <formula>$A16="Overcrossing"</formula>
    </cfRule>
    <cfRule type="expression" dxfId="4333" priority="1278">
      <formula>$A16="Overpass"</formula>
    </cfRule>
    <cfRule type="expression" dxfId="4332" priority="1279">
      <formula>$A16="Station"</formula>
    </cfRule>
    <cfRule type="expression" dxfId="4331" priority="1280">
      <formula>$A16="Overlap between sections"</formula>
    </cfRule>
  </conditionalFormatting>
  <conditionalFormatting sqref="W16:W800">
    <cfRule type="expression" dxfId="4330" priority="1256">
      <formula>$A16="Overhead Cable"</formula>
    </cfRule>
    <cfRule type="expression" dxfId="4329" priority="1257">
      <formula>$A16="Level Crossing"</formula>
    </cfRule>
    <cfRule type="expression" dxfId="4328" priority="1258">
      <formula>$A16="Neutral Section"</formula>
    </cfRule>
    <cfRule type="expression" dxfId="4327" priority="1259">
      <formula>$A16="Tunnel"</formula>
    </cfRule>
    <cfRule type="expression" dxfId="4326" priority="1260">
      <formula>$A16="Bridge"</formula>
    </cfRule>
    <cfRule type="expression" dxfId="4325" priority="1261">
      <formula>$A16="Drainage Works"</formula>
    </cfRule>
    <cfRule type="expression" dxfId="4324" priority="1262">
      <formula>$A16="Underpass"</formula>
    </cfRule>
    <cfRule type="expression" dxfId="4323" priority="1263">
      <formula>$A16="Overcrossing"</formula>
    </cfRule>
    <cfRule type="expression" dxfId="4322" priority="1264">
      <formula>$A16="Overpass"</formula>
    </cfRule>
    <cfRule type="expression" dxfId="4321" priority="1265">
      <formula>$A16="Station"</formula>
    </cfRule>
    <cfRule type="expression" dxfId="4320" priority="1266">
      <formula>$A16="Overlap between sections"</formula>
    </cfRule>
  </conditionalFormatting>
  <conditionalFormatting sqref="X16:X800">
    <cfRule type="expression" dxfId="4319" priority="1242">
      <formula>$A16="Overhead Cable"</formula>
    </cfRule>
    <cfRule type="expression" dxfId="4318" priority="1243">
      <formula>$A16="Level Crossing"</formula>
    </cfRule>
    <cfRule type="expression" dxfId="4317" priority="1244">
      <formula>$A16="Neutral Section"</formula>
    </cfRule>
    <cfRule type="expression" dxfId="4316" priority="1245">
      <formula>$A16="Tunnel"</formula>
    </cfRule>
    <cfRule type="expression" dxfId="4315" priority="1246">
      <formula>$A16="Bridge"</formula>
    </cfRule>
    <cfRule type="expression" dxfId="4314" priority="1247">
      <formula>$A16="Drainage Works"</formula>
    </cfRule>
    <cfRule type="expression" dxfId="4313" priority="1248">
      <formula>$A16="Underpass"</formula>
    </cfRule>
    <cfRule type="expression" dxfId="4312" priority="1249">
      <formula>$A16="Overcrossing"</formula>
    </cfRule>
    <cfRule type="expression" dxfId="4311" priority="1250">
      <formula>$A16="Overpass"</formula>
    </cfRule>
    <cfRule type="expression" dxfId="4310" priority="1251">
      <formula>$A16="Station"</formula>
    </cfRule>
    <cfRule type="expression" dxfId="4309" priority="1252">
      <formula>$A16="Overlap between sections"</formula>
    </cfRule>
  </conditionalFormatting>
  <conditionalFormatting sqref="Y16:Y800">
    <cfRule type="expression" dxfId="4308" priority="1228">
      <formula>$A16="Overhead Cable"</formula>
    </cfRule>
    <cfRule type="expression" dxfId="4307" priority="1229">
      <formula>$A16="Level Crossing"</formula>
    </cfRule>
    <cfRule type="expression" dxfId="4306" priority="1230">
      <formula>$A16="Neutral Section"</formula>
    </cfRule>
    <cfRule type="expression" dxfId="4305" priority="1231">
      <formula>$A16="Tunnel"</formula>
    </cfRule>
    <cfRule type="expression" dxfId="4304" priority="1232">
      <formula>$A16="Bridge"</formula>
    </cfRule>
    <cfRule type="expression" dxfId="4303" priority="1233">
      <formula>$A16="Drainage Works"</formula>
    </cfRule>
    <cfRule type="expression" dxfId="4302" priority="1234">
      <formula>$A16="Underpass"</formula>
    </cfRule>
    <cfRule type="expression" dxfId="4301" priority="1235">
      <formula>$A16="Overcrossing"</formula>
    </cfRule>
    <cfRule type="expression" dxfId="4300" priority="1236">
      <formula>$A16="Overpass"</formula>
    </cfRule>
    <cfRule type="expression" dxfId="4299" priority="1237">
      <formula>$A16="Station"</formula>
    </cfRule>
    <cfRule type="expression" dxfId="4298" priority="1238">
      <formula>$A16="Overlap between sections"</formula>
    </cfRule>
  </conditionalFormatting>
  <conditionalFormatting sqref="Z16:Z800">
    <cfRule type="expression" dxfId="4297" priority="1214">
      <formula>$A16="Overhead Cable"</formula>
    </cfRule>
    <cfRule type="expression" dxfId="4296" priority="1215">
      <formula>$A16="Level Crossing"</formula>
    </cfRule>
    <cfRule type="expression" dxfId="4295" priority="1216">
      <formula>$A16="Neutral Section"</formula>
    </cfRule>
    <cfRule type="expression" dxfId="4294" priority="1217">
      <formula>$A16="Tunnel"</formula>
    </cfRule>
    <cfRule type="expression" dxfId="4293" priority="1218">
      <formula>$A16="Bridge"</formula>
    </cfRule>
    <cfRule type="expression" dxfId="4292" priority="1219">
      <formula>$A16="Drainage Works"</formula>
    </cfRule>
    <cfRule type="expression" dxfId="4291" priority="1220">
      <formula>$A16="Underpass"</formula>
    </cfRule>
    <cfRule type="expression" dxfId="4290" priority="1221">
      <formula>$A16="Overcrossing"</formula>
    </cfRule>
    <cfRule type="expression" dxfId="4289" priority="1222">
      <formula>$A16="Overpass"</formula>
    </cfRule>
    <cfRule type="expression" dxfId="4288" priority="1223">
      <formula>$A16="Station"</formula>
    </cfRule>
    <cfRule type="expression" dxfId="4287" priority="1224">
      <formula>$A16="Overlap between sections"</formula>
    </cfRule>
  </conditionalFormatting>
  <conditionalFormatting sqref="AA16:AA800">
    <cfRule type="expression" dxfId="4286" priority="1200">
      <formula>$A16="Overhead Cable"</formula>
    </cfRule>
    <cfRule type="expression" dxfId="4285" priority="1201">
      <formula>$A16="Level Crossing"</formula>
    </cfRule>
    <cfRule type="expression" dxfId="4284" priority="1202">
      <formula>$A16="Neutral Section"</formula>
    </cfRule>
    <cfRule type="expression" dxfId="4283" priority="1203">
      <formula>$A16="Tunnel"</formula>
    </cfRule>
    <cfRule type="expression" dxfId="4282" priority="1204">
      <formula>$A16="Bridge"</formula>
    </cfRule>
    <cfRule type="expression" dxfId="4281" priority="1205">
      <formula>$A16="Drainage Works"</formula>
    </cfRule>
    <cfRule type="expression" dxfId="4280" priority="1206">
      <formula>$A16="Underpass"</formula>
    </cfRule>
    <cfRule type="expression" dxfId="4279" priority="1207">
      <formula>$A16="Overcrossing"</formula>
    </cfRule>
    <cfRule type="expression" dxfId="4278" priority="1208">
      <formula>$A16="Overpass"</formula>
    </cfRule>
    <cfRule type="expression" dxfId="4277" priority="1209">
      <formula>$A16="Station"</formula>
    </cfRule>
    <cfRule type="expression" dxfId="4276" priority="1210">
      <formula>$A16="Overlap between sections"</formula>
    </cfRule>
  </conditionalFormatting>
  <conditionalFormatting sqref="AB16:AB800">
    <cfRule type="expression" dxfId="4275" priority="1186">
      <formula>$A16="Overhead Cable"</formula>
    </cfRule>
    <cfRule type="expression" dxfId="4274" priority="1187">
      <formula>$A16="Level Crossing"</formula>
    </cfRule>
    <cfRule type="expression" dxfId="4273" priority="1188">
      <formula>$A16="Neutral Section"</formula>
    </cfRule>
    <cfRule type="expression" dxfId="4272" priority="1189">
      <formula>$A16="Tunnel"</formula>
    </cfRule>
    <cfRule type="expression" dxfId="4271" priority="1190">
      <formula>$A16="Bridge"</formula>
    </cfRule>
    <cfRule type="expression" dxfId="4270" priority="1191">
      <formula>$A16="Drainage Works"</formula>
    </cfRule>
    <cfRule type="expression" dxfId="4269" priority="1192">
      <formula>$A16="Underpass"</formula>
    </cfRule>
    <cfRule type="expression" dxfId="4268" priority="1193">
      <formula>$A16="Overcrossing"</formula>
    </cfRule>
    <cfRule type="expression" dxfId="4267" priority="1194">
      <formula>$A16="Overpass"</formula>
    </cfRule>
    <cfRule type="expression" dxfId="4266" priority="1195">
      <formula>$A16="Station"</formula>
    </cfRule>
    <cfRule type="expression" dxfId="4265" priority="1196">
      <formula>$A16="Overlap between sections"</formula>
    </cfRule>
  </conditionalFormatting>
  <conditionalFormatting sqref="BD157:BD800">
    <cfRule type="containsText" dxfId="4264" priority="1173" operator="containsText" text="Poner a mano">
      <formula>NOT(ISERROR(SEARCH("Poner a mano",BD157)))</formula>
    </cfRule>
  </conditionalFormatting>
  <conditionalFormatting sqref="BD157:BD800">
    <cfRule type="expression" dxfId="4263" priority="1162">
      <formula>$A157="Overhead Cable"</formula>
    </cfRule>
    <cfRule type="expression" dxfId="4262" priority="1163">
      <formula>$A157="Level Crossing"</formula>
    </cfRule>
    <cfRule type="expression" dxfId="4261" priority="1164">
      <formula>$A157="Neutral Section"</formula>
    </cfRule>
    <cfRule type="expression" dxfId="4260" priority="1165">
      <formula>$A157="Tunnel"</formula>
    </cfRule>
    <cfRule type="expression" dxfId="4259" priority="1166">
      <formula>$A157="Bridge"</formula>
    </cfRule>
    <cfRule type="expression" dxfId="4258" priority="1167">
      <formula>$A157="Drainage Works"</formula>
    </cfRule>
    <cfRule type="expression" dxfId="4257" priority="1168">
      <formula>$A157="Underpass"</formula>
    </cfRule>
    <cfRule type="expression" dxfId="4256" priority="1169">
      <formula>$A157="Overcrossing"</formula>
    </cfRule>
    <cfRule type="expression" dxfId="4255" priority="1170">
      <formula>$A157="Overpass"</formula>
    </cfRule>
    <cfRule type="expression" dxfId="4254" priority="1171">
      <formula>$A157="Station"</formula>
    </cfRule>
    <cfRule type="expression" dxfId="4253" priority="1172">
      <formula>$A157="Overlap between sections"</formula>
    </cfRule>
  </conditionalFormatting>
  <conditionalFormatting sqref="BE5:BE800">
    <cfRule type="containsText" dxfId="4252" priority="1160" operator="containsText" text="a">
      <formula>NOT(ISERROR(SEARCH("a",BE5)))</formula>
    </cfRule>
    <cfRule type="containsText" dxfId="4251" priority="1161" operator="containsText" text="R">
      <formula>NOT(ISERROR(SEARCH("R",BE5)))</formula>
    </cfRule>
  </conditionalFormatting>
  <conditionalFormatting sqref="BA5:BC14">
    <cfRule type="expression" dxfId="4250" priority="1158">
      <formula>$BE5="R"</formula>
    </cfRule>
  </conditionalFormatting>
  <conditionalFormatting sqref="B5:E14 J5:J14 AG5:AG14 AN5:AS14 AY5:BC14 G5:H14">
    <cfRule type="expression" dxfId="4249" priority="1156">
      <formula>$M5="NON DEFINED"</formula>
    </cfRule>
    <cfRule type="expression" dxfId="4248" priority="1157">
      <formula>$AY5="N.D."</formula>
    </cfRule>
  </conditionalFormatting>
  <conditionalFormatting sqref="A5:E14 J5:J14 AG5:AG14 AN5:AS14 AY5:BD14 G5:H14">
    <cfRule type="cellIs" dxfId="4247" priority="1155" operator="equal">
      <formula>0</formula>
    </cfRule>
  </conditionalFormatting>
  <conditionalFormatting sqref="I5:I14">
    <cfRule type="expression" dxfId="4246" priority="1153">
      <formula>$M5="NON DEFINED"</formula>
    </cfRule>
    <cfRule type="expression" dxfId="4245" priority="1154">
      <formula>$AY5="N.D."</formula>
    </cfRule>
  </conditionalFormatting>
  <conditionalFormatting sqref="I5:I14">
    <cfRule type="cellIs" dxfId="4244" priority="1152" operator="equal">
      <formula>0</formula>
    </cfRule>
  </conditionalFormatting>
  <conditionalFormatting sqref="K5:K14">
    <cfRule type="expression" dxfId="4243" priority="1150">
      <formula>$M5="NON DEFINED"</formula>
    </cfRule>
    <cfRule type="expression" dxfId="4242" priority="1151">
      <formula>$AY5="N.D."</formula>
    </cfRule>
  </conditionalFormatting>
  <conditionalFormatting sqref="K5:K14">
    <cfRule type="cellIs" dxfId="4241" priority="1149" operator="equal">
      <formula>0</formula>
    </cfRule>
  </conditionalFormatting>
  <conditionalFormatting sqref="L5:L14">
    <cfRule type="expression" dxfId="4240" priority="1147">
      <formula>$M5="NON DEFINED"</formula>
    </cfRule>
    <cfRule type="expression" dxfId="4239" priority="1148">
      <formula>$AY5="N.D."</formula>
    </cfRule>
  </conditionalFormatting>
  <conditionalFormatting sqref="L5:L14">
    <cfRule type="cellIs" dxfId="4238" priority="1146" operator="equal">
      <formula>0</formula>
    </cfRule>
  </conditionalFormatting>
  <conditionalFormatting sqref="M5:M14">
    <cfRule type="expression" dxfId="4237" priority="1144">
      <formula>$M5="NON DEFINED"</formula>
    </cfRule>
    <cfRule type="expression" dxfId="4236" priority="1145">
      <formula>$AY5="N.D."</formula>
    </cfRule>
  </conditionalFormatting>
  <conditionalFormatting sqref="M5:M14">
    <cfRule type="cellIs" dxfId="4235" priority="1143" operator="equal">
      <formula>0</formula>
    </cfRule>
  </conditionalFormatting>
  <conditionalFormatting sqref="N5:N14">
    <cfRule type="expression" dxfId="4234" priority="1141">
      <formula>$M5="NON DEFINED"</formula>
    </cfRule>
    <cfRule type="expression" dxfId="4233" priority="1142">
      <formula>$AY5="N.D."</formula>
    </cfRule>
  </conditionalFormatting>
  <conditionalFormatting sqref="N5:N14">
    <cfRule type="cellIs" dxfId="4232" priority="1140" operator="equal">
      <formula>0</formula>
    </cfRule>
  </conditionalFormatting>
  <conditionalFormatting sqref="O5:O14">
    <cfRule type="expression" dxfId="4231" priority="1138">
      <formula>$M5="NON DEFINED"</formula>
    </cfRule>
    <cfRule type="expression" dxfId="4230" priority="1139">
      <formula>$AY5="N.D."</formula>
    </cfRule>
  </conditionalFormatting>
  <conditionalFormatting sqref="O5:O14">
    <cfRule type="cellIs" dxfId="4229" priority="1137" operator="equal">
      <formula>0</formula>
    </cfRule>
  </conditionalFormatting>
  <conditionalFormatting sqref="P5:P14">
    <cfRule type="expression" dxfId="4228" priority="1135">
      <formula>$M5="NON DEFINED"</formula>
    </cfRule>
    <cfRule type="expression" dxfId="4227" priority="1136">
      <formula>$AY5="N.D."</formula>
    </cfRule>
  </conditionalFormatting>
  <conditionalFormatting sqref="P5:P14">
    <cfRule type="cellIs" dxfId="4226" priority="1134" operator="equal">
      <formula>0</formula>
    </cfRule>
  </conditionalFormatting>
  <conditionalFormatting sqref="AC5:AC14">
    <cfRule type="expression" dxfId="4225" priority="1132">
      <formula>$M5="NON DEFINED"</formula>
    </cfRule>
    <cfRule type="expression" dxfId="4224" priority="1133">
      <formula>$AY5="N.D."</formula>
    </cfRule>
  </conditionalFormatting>
  <conditionalFormatting sqref="AC5:AC14">
    <cfRule type="cellIs" dxfId="4223" priority="1131" operator="equal">
      <formula>0</formula>
    </cfRule>
  </conditionalFormatting>
  <conditionalFormatting sqref="AD5:AD14">
    <cfRule type="expression" dxfId="4222" priority="1129">
      <formula>$M5="NON DEFINED"</formula>
    </cfRule>
    <cfRule type="expression" dxfId="4221" priority="1130">
      <formula>$AY5="N.D."</formula>
    </cfRule>
  </conditionalFormatting>
  <conditionalFormatting sqref="AD5:AD14">
    <cfRule type="cellIs" dxfId="4220" priority="1128" operator="equal">
      <formula>0</formula>
    </cfRule>
  </conditionalFormatting>
  <conditionalFormatting sqref="AE5:AE14">
    <cfRule type="expression" dxfId="4219" priority="1126">
      <formula>$M5="NON DEFINED"</formula>
    </cfRule>
    <cfRule type="expression" dxfId="4218" priority="1127">
      <formula>$AY5="N.D."</formula>
    </cfRule>
  </conditionalFormatting>
  <conditionalFormatting sqref="AE5:AE14">
    <cfRule type="cellIs" dxfId="4217" priority="1125" operator="equal">
      <formula>0</formula>
    </cfRule>
  </conditionalFormatting>
  <conditionalFormatting sqref="AJ5:AJ14">
    <cfRule type="expression" dxfId="4216" priority="1123">
      <formula>$M5="NON DEFINED"</formula>
    </cfRule>
    <cfRule type="expression" dxfId="4215" priority="1124">
      <formula>$AY5="N.D."</formula>
    </cfRule>
  </conditionalFormatting>
  <conditionalFormatting sqref="AJ5:AJ14">
    <cfRule type="cellIs" dxfId="4214" priority="1122" operator="equal">
      <formula>0</formula>
    </cfRule>
  </conditionalFormatting>
  <conditionalFormatting sqref="AK5:AK14">
    <cfRule type="expression" dxfId="4213" priority="1120">
      <formula>$M5="NON DEFINED"</formula>
    </cfRule>
    <cfRule type="expression" dxfId="4212" priority="1121">
      <formula>$AY5="N.D."</formula>
    </cfRule>
  </conditionalFormatting>
  <conditionalFormatting sqref="AK5:AK14">
    <cfRule type="cellIs" dxfId="4211" priority="1119" operator="equal">
      <formula>0</formula>
    </cfRule>
  </conditionalFormatting>
  <conditionalFormatting sqref="AL5:AL14">
    <cfRule type="expression" dxfId="4210" priority="1117">
      <formula>$M5="NON DEFINED"</formula>
    </cfRule>
    <cfRule type="expression" dxfId="4209" priority="1118">
      <formula>$AY5="N.D."</formula>
    </cfRule>
  </conditionalFormatting>
  <conditionalFormatting sqref="AL5:AL14">
    <cfRule type="cellIs" dxfId="4208" priority="1116" operator="equal">
      <formula>0</formula>
    </cfRule>
  </conditionalFormatting>
  <conditionalFormatting sqref="AM5:AM14">
    <cfRule type="expression" dxfId="4207" priority="1114">
      <formula>$M5="NON DEFINED"</formula>
    </cfRule>
    <cfRule type="expression" dxfId="4206" priority="1115">
      <formula>$AY5="N.D."</formula>
    </cfRule>
  </conditionalFormatting>
  <conditionalFormatting sqref="AM5:AM14">
    <cfRule type="cellIs" dxfId="4205" priority="1113" operator="equal">
      <formula>0</formula>
    </cfRule>
  </conditionalFormatting>
  <conditionalFormatting sqref="AT5:AT14">
    <cfRule type="expression" dxfId="4204" priority="1111">
      <formula>$M5="NON DEFINED"</formula>
    </cfRule>
    <cfRule type="expression" dxfId="4203" priority="1112">
      <formula>$AY5="N.D."</formula>
    </cfRule>
  </conditionalFormatting>
  <conditionalFormatting sqref="AT5:AT14">
    <cfRule type="cellIs" dxfId="4202" priority="1110" operator="equal">
      <formula>0</formula>
    </cfRule>
  </conditionalFormatting>
  <conditionalFormatting sqref="AU5:AU14">
    <cfRule type="expression" dxfId="4201" priority="1108">
      <formula>$M5="NON DEFINED"</formula>
    </cfRule>
    <cfRule type="expression" dxfId="4200" priority="1109">
      <formula>$AY5="N.D."</formula>
    </cfRule>
  </conditionalFormatting>
  <conditionalFormatting sqref="AU5:AU14">
    <cfRule type="cellIs" dxfId="4199" priority="1107" operator="equal">
      <formula>0</formula>
    </cfRule>
  </conditionalFormatting>
  <conditionalFormatting sqref="AV5:AV14">
    <cfRule type="expression" dxfId="4198" priority="1105">
      <formula>$M5="NON DEFINED"</formula>
    </cfRule>
    <cfRule type="expression" dxfId="4197" priority="1106">
      <formula>$AY5="N.D."</formula>
    </cfRule>
  </conditionalFormatting>
  <conditionalFormatting sqref="AV5:AV14">
    <cfRule type="cellIs" dxfId="4196" priority="1104" operator="equal">
      <formula>0</formula>
    </cfRule>
  </conditionalFormatting>
  <conditionalFormatting sqref="AW5:AW14">
    <cfRule type="expression" dxfId="4195" priority="1102">
      <formula>$M5="NON DEFINED"</formula>
    </cfRule>
    <cfRule type="expression" dxfId="4194" priority="1103">
      <formula>$AY5="N.D."</formula>
    </cfRule>
  </conditionalFormatting>
  <conditionalFormatting sqref="AW5:AW14">
    <cfRule type="cellIs" dxfId="4193" priority="1101" operator="equal">
      <formula>0</formula>
    </cfRule>
  </conditionalFormatting>
  <conditionalFormatting sqref="AX5:AX14">
    <cfRule type="expression" dxfId="4192" priority="1099">
      <formula>$M5="NON DEFINED"</formula>
    </cfRule>
    <cfRule type="expression" dxfId="4191" priority="1100">
      <formula>$AY5="N.D."</formula>
    </cfRule>
  </conditionalFormatting>
  <conditionalFormatting sqref="AX5:AX14">
    <cfRule type="cellIs" dxfId="4190" priority="1098" operator="equal">
      <formula>0</formula>
    </cfRule>
  </conditionalFormatting>
  <conditionalFormatting sqref="F5:F14">
    <cfRule type="expression" dxfId="4189" priority="1096">
      <formula>$M5="NON DEFINED"</formula>
    </cfRule>
    <cfRule type="expression" dxfId="4188" priority="1097">
      <formula>$AY5="N.D."</formula>
    </cfRule>
  </conditionalFormatting>
  <conditionalFormatting sqref="F5:F14">
    <cfRule type="cellIs" dxfId="4187" priority="1095" operator="equal">
      <formula>0</formula>
    </cfRule>
  </conditionalFormatting>
  <conditionalFormatting sqref="Q5:Q14">
    <cfRule type="expression" dxfId="4186" priority="1093">
      <formula>$M5="NON DEFINED"</formula>
    </cfRule>
    <cfRule type="expression" dxfId="4185" priority="1094">
      <formula>$AY5="N.D."</formula>
    </cfRule>
  </conditionalFormatting>
  <conditionalFormatting sqref="Q5:Q14">
    <cfRule type="cellIs" dxfId="4184" priority="1092" operator="equal">
      <formula>0</formula>
    </cfRule>
  </conditionalFormatting>
  <conditionalFormatting sqref="T5:T14">
    <cfRule type="expression" dxfId="4183" priority="1090">
      <formula>$M5="NON DEFINED"</formula>
    </cfRule>
    <cfRule type="expression" dxfId="4182" priority="1091">
      <formula>$AY5="N.D."</formula>
    </cfRule>
  </conditionalFormatting>
  <conditionalFormatting sqref="T5:T14">
    <cfRule type="cellIs" dxfId="4181" priority="1089" operator="equal">
      <formula>0</formula>
    </cfRule>
  </conditionalFormatting>
  <conditionalFormatting sqref="U5:U14">
    <cfRule type="expression" dxfId="4180" priority="1087">
      <formula>$M5="NON DEFINED"</formula>
    </cfRule>
    <cfRule type="expression" dxfId="4179" priority="1088">
      <formula>$AY5="N.D."</formula>
    </cfRule>
  </conditionalFormatting>
  <conditionalFormatting sqref="U5:U14">
    <cfRule type="cellIs" dxfId="4178" priority="1086" operator="equal">
      <formula>0</formula>
    </cfRule>
  </conditionalFormatting>
  <conditionalFormatting sqref="V5:V14">
    <cfRule type="expression" dxfId="4177" priority="1084">
      <formula>$M5="NON DEFINED"</formula>
    </cfRule>
    <cfRule type="expression" dxfId="4176" priority="1085">
      <formula>$AY5="N.D."</formula>
    </cfRule>
  </conditionalFormatting>
  <conditionalFormatting sqref="V5:V14">
    <cfRule type="cellIs" dxfId="4175" priority="1083" operator="equal">
      <formula>0</formula>
    </cfRule>
  </conditionalFormatting>
  <conditionalFormatting sqref="AF5:AF14">
    <cfRule type="expression" dxfId="4174" priority="1081">
      <formula>$M5="NON DEFINED"</formula>
    </cfRule>
    <cfRule type="expression" dxfId="4173" priority="1082">
      <formula>$AY5="N.D."</formula>
    </cfRule>
  </conditionalFormatting>
  <conditionalFormatting sqref="AF5:AF14">
    <cfRule type="cellIs" dxfId="4172" priority="1080" operator="equal">
      <formula>0</formula>
    </cfRule>
  </conditionalFormatting>
  <conditionalFormatting sqref="AH5:AH14">
    <cfRule type="expression" dxfId="4171" priority="1078">
      <formula>$M5="NON DEFINED"</formula>
    </cfRule>
    <cfRule type="expression" dxfId="4170" priority="1079">
      <formula>$AY5="N.D."</formula>
    </cfRule>
  </conditionalFormatting>
  <conditionalFormatting sqref="AH5:AH14">
    <cfRule type="cellIs" dxfId="4169" priority="1077" operator="equal">
      <formula>0</formula>
    </cfRule>
  </conditionalFormatting>
  <conditionalFormatting sqref="AI5:AI14">
    <cfRule type="expression" dxfId="4168" priority="1075">
      <formula>$M5="NON DEFINED"</formula>
    </cfRule>
    <cfRule type="expression" dxfId="4167" priority="1076">
      <formula>$AY5="N.D."</formula>
    </cfRule>
  </conditionalFormatting>
  <conditionalFormatting sqref="AI5:AI14">
    <cfRule type="cellIs" dxfId="4166" priority="1074" operator="equal">
      <formula>0</formula>
    </cfRule>
  </conditionalFormatting>
  <conditionalFormatting sqref="R5:R14">
    <cfRule type="expression" dxfId="4165" priority="1072">
      <formula>$M5="NON DEFINED"</formula>
    </cfRule>
    <cfRule type="expression" dxfId="4164" priority="1073">
      <formula>$AY5="N.D."</formula>
    </cfRule>
  </conditionalFormatting>
  <conditionalFormatting sqref="R5:R14">
    <cfRule type="cellIs" dxfId="4163" priority="1071" operator="equal">
      <formula>0</formula>
    </cfRule>
  </conditionalFormatting>
  <conditionalFormatting sqref="S5:S14">
    <cfRule type="expression" dxfId="4162" priority="1069">
      <formula>$M5="NON DEFINED"</formula>
    </cfRule>
    <cfRule type="expression" dxfId="4161" priority="1070">
      <formula>$AY5="N.D."</formula>
    </cfRule>
  </conditionalFormatting>
  <conditionalFormatting sqref="S5:S14">
    <cfRule type="cellIs" dxfId="4160" priority="1068" operator="equal">
      <formula>0</formula>
    </cfRule>
  </conditionalFormatting>
  <conditionalFormatting sqref="W5:W14">
    <cfRule type="expression" dxfId="4159" priority="1066">
      <formula>$M5="NON DEFINED"</formula>
    </cfRule>
    <cfRule type="expression" dxfId="4158" priority="1067">
      <formula>$AY5="N.D."</formula>
    </cfRule>
  </conditionalFormatting>
  <conditionalFormatting sqref="W5:W14">
    <cfRule type="cellIs" dxfId="4157" priority="1065" operator="equal">
      <formula>0</formula>
    </cfRule>
  </conditionalFormatting>
  <conditionalFormatting sqref="X5:X14">
    <cfRule type="expression" dxfId="4156" priority="1063">
      <formula>$M5="NON DEFINED"</formula>
    </cfRule>
    <cfRule type="expression" dxfId="4155" priority="1064">
      <formula>$AY5="N.D."</formula>
    </cfRule>
  </conditionalFormatting>
  <conditionalFormatting sqref="X5:X14">
    <cfRule type="cellIs" dxfId="4154" priority="1062" operator="equal">
      <formula>0</formula>
    </cfRule>
  </conditionalFormatting>
  <conditionalFormatting sqref="Y5:Y14">
    <cfRule type="expression" dxfId="4153" priority="1060">
      <formula>$M5="NON DEFINED"</formula>
    </cfRule>
    <cfRule type="expression" dxfId="4152" priority="1061">
      <formula>$AY5="N.D."</formula>
    </cfRule>
  </conditionalFormatting>
  <conditionalFormatting sqref="Y5:Y14">
    <cfRule type="cellIs" dxfId="4151" priority="1059" operator="equal">
      <formula>0</formula>
    </cfRule>
  </conditionalFormatting>
  <conditionalFormatting sqref="Z5:Z14">
    <cfRule type="expression" dxfId="4150" priority="1057">
      <formula>$M5="NON DEFINED"</formula>
    </cfRule>
    <cfRule type="expression" dxfId="4149" priority="1058">
      <formula>$AY5="N.D."</formula>
    </cfRule>
  </conditionalFormatting>
  <conditionalFormatting sqref="Z5:Z14">
    <cfRule type="cellIs" dxfId="4148" priority="1056" operator="equal">
      <formula>0</formula>
    </cfRule>
  </conditionalFormatting>
  <conditionalFormatting sqref="AA5:AA14">
    <cfRule type="expression" dxfId="4147" priority="1054">
      <formula>$M5="NON DEFINED"</formula>
    </cfRule>
    <cfRule type="expression" dxfId="4146" priority="1055">
      <formula>$AY5="N.D."</formula>
    </cfRule>
  </conditionalFormatting>
  <conditionalFormatting sqref="AA5:AA14">
    <cfRule type="cellIs" dxfId="4145" priority="1053" operator="equal">
      <formula>0</formula>
    </cfRule>
  </conditionalFormatting>
  <conditionalFormatting sqref="AB5:AB14">
    <cfRule type="expression" dxfId="4144" priority="1051">
      <formula>$M5="NON DEFINED"</formula>
    </cfRule>
    <cfRule type="expression" dxfId="4143" priority="1052">
      <formula>$AY5="N.D."</formula>
    </cfRule>
  </conditionalFormatting>
  <conditionalFormatting sqref="AB5:AB14">
    <cfRule type="cellIs" dxfId="4142" priority="1050" operator="equal">
      <formula>0</formula>
    </cfRule>
  </conditionalFormatting>
  <conditionalFormatting sqref="BA15:BC15">
    <cfRule type="expression" dxfId="4141" priority="1049">
      <formula>$BE15="R"</formula>
    </cfRule>
  </conditionalFormatting>
  <conditionalFormatting sqref="J15 AG15 AN15:AS15 AY15:BC15 H15">
    <cfRule type="expression" dxfId="4140" priority="1047">
      <formula>$M15="NON DEFINED"</formula>
    </cfRule>
    <cfRule type="expression" dxfId="4139" priority="1048">
      <formula>$AY15="N.D."</formula>
    </cfRule>
  </conditionalFormatting>
  <conditionalFormatting sqref="J15 AG15 AN15:AS15 AY15:BD15 H15">
    <cfRule type="cellIs" dxfId="4138" priority="1046" operator="equal">
      <formula>0</formula>
    </cfRule>
  </conditionalFormatting>
  <conditionalFormatting sqref="I15">
    <cfRule type="expression" dxfId="4137" priority="1044">
      <formula>$M15="NON DEFINED"</formula>
    </cfRule>
    <cfRule type="expression" dxfId="4136" priority="1045">
      <formula>$AY15="N.D."</formula>
    </cfRule>
  </conditionalFormatting>
  <conditionalFormatting sqref="I15">
    <cfRule type="cellIs" dxfId="4135" priority="1043" operator="equal">
      <formula>0</formula>
    </cfRule>
  </conditionalFormatting>
  <conditionalFormatting sqref="K15">
    <cfRule type="expression" dxfId="4134" priority="1041">
      <formula>$M15="NON DEFINED"</formula>
    </cfRule>
    <cfRule type="expression" dxfId="4133" priority="1042">
      <formula>$AY15="N.D."</formula>
    </cfRule>
  </conditionalFormatting>
  <conditionalFormatting sqref="K15">
    <cfRule type="cellIs" dxfId="4132" priority="1040" operator="equal">
      <formula>0</formula>
    </cfRule>
  </conditionalFormatting>
  <conditionalFormatting sqref="L15">
    <cfRule type="expression" dxfId="4131" priority="1038">
      <formula>$M15="NON DEFINED"</formula>
    </cfRule>
    <cfRule type="expression" dxfId="4130" priority="1039">
      <formula>$AY15="N.D."</formula>
    </cfRule>
  </conditionalFormatting>
  <conditionalFormatting sqref="L15">
    <cfRule type="cellIs" dxfId="4129" priority="1037" operator="equal">
      <formula>0</formula>
    </cfRule>
  </conditionalFormatting>
  <conditionalFormatting sqref="M15">
    <cfRule type="expression" dxfId="4128" priority="1035">
      <formula>$M15="NON DEFINED"</formula>
    </cfRule>
    <cfRule type="expression" dxfId="4127" priority="1036">
      <formula>$AY15="N.D."</formula>
    </cfRule>
  </conditionalFormatting>
  <conditionalFormatting sqref="M15">
    <cfRule type="cellIs" dxfId="4126" priority="1034" operator="equal">
      <formula>0</formula>
    </cfRule>
  </conditionalFormatting>
  <conditionalFormatting sqref="N15">
    <cfRule type="expression" dxfId="4125" priority="1032">
      <formula>$M15="NON DEFINED"</formula>
    </cfRule>
    <cfRule type="expression" dxfId="4124" priority="1033">
      <formula>$AY15="N.D."</formula>
    </cfRule>
  </conditionalFormatting>
  <conditionalFormatting sqref="N15">
    <cfRule type="cellIs" dxfId="4123" priority="1031" operator="equal">
      <formula>0</formula>
    </cfRule>
  </conditionalFormatting>
  <conditionalFormatting sqref="O15">
    <cfRule type="expression" dxfId="4122" priority="1029">
      <formula>$M15="NON DEFINED"</formula>
    </cfRule>
    <cfRule type="expression" dxfId="4121" priority="1030">
      <formula>$AY15="N.D."</formula>
    </cfRule>
  </conditionalFormatting>
  <conditionalFormatting sqref="O15">
    <cfRule type="cellIs" dxfId="4120" priority="1028" operator="equal">
      <formula>0</formula>
    </cfRule>
  </conditionalFormatting>
  <conditionalFormatting sqref="P15">
    <cfRule type="expression" dxfId="4119" priority="1026">
      <formula>$M15="NON DEFINED"</formula>
    </cfRule>
    <cfRule type="expression" dxfId="4118" priority="1027">
      <formula>$AY15="N.D."</formula>
    </cfRule>
  </conditionalFormatting>
  <conditionalFormatting sqref="P15">
    <cfRule type="cellIs" dxfId="4117" priority="1025" operator="equal">
      <formula>0</formula>
    </cfRule>
  </conditionalFormatting>
  <conditionalFormatting sqref="AC15">
    <cfRule type="expression" dxfId="4116" priority="1023">
      <formula>$M15="NON DEFINED"</formula>
    </cfRule>
    <cfRule type="expression" dxfId="4115" priority="1024">
      <formula>$AY15="N.D."</formula>
    </cfRule>
  </conditionalFormatting>
  <conditionalFormatting sqref="AC15">
    <cfRule type="cellIs" dxfId="4114" priority="1022" operator="equal">
      <formula>0</formula>
    </cfRule>
  </conditionalFormatting>
  <conditionalFormatting sqref="AD15">
    <cfRule type="expression" dxfId="4113" priority="1020">
      <formula>$M15="NON DEFINED"</formula>
    </cfRule>
    <cfRule type="expression" dxfId="4112" priority="1021">
      <formula>$AY15="N.D."</formula>
    </cfRule>
  </conditionalFormatting>
  <conditionalFormatting sqref="AD15">
    <cfRule type="cellIs" dxfId="4111" priority="1019" operator="equal">
      <formula>0</formula>
    </cfRule>
  </conditionalFormatting>
  <conditionalFormatting sqref="AE15">
    <cfRule type="expression" dxfId="4110" priority="1017">
      <formula>$M15="NON DEFINED"</formula>
    </cfRule>
    <cfRule type="expression" dxfId="4109" priority="1018">
      <formula>$AY15="N.D."</formula>
    </cfRule>
  </conditionalFormatting>
  <conditionalFormatting sqref="AE15">
    <cfRule type="cellIs" dxfId="4108" priority="1016" operator="equal">
      <formula>0</formula>
    </cfRule>
  </conditionalFormatting>
  <conditionalFormatting sqref="AJ15">
    <cfRule type="expression" dxfId="4107" priority="1014">
      <formula>$M15="NON DEFINED"</formula>
    </cfRule>
    <cfRule type="expression" dxfId="4106" priority="1015">
      <formula>$AY15="N.D."</formula>
    </cfRule>
  </conditionalFormatting>
  <conditionalFormatting sqref="AJ15">
    <cfRule type="cellIs" dxfId="4105" priority="1013" operator="equal">
      <formula>0</formula>
    </cfRule>
  </conditionalFormatting>
  <conditionalFormatting sqref="AK15">
    <cfRule type="expression" dxfId="4104" priority="1011">
      <formula>$M15="NON DEFINED"</formula>
    </cfRule>
    <cfRule type="expression" dxfId="4103" priority="1012">
      <formula>$AY15="N.D."</formula>
    </cfRule>
  </conditionalFormatting>
  <conditionalFormatting sqref="AK15">
    <cfRule type="cellIs" dxfId="4102" priority="1010" operator="equal">
      <formula>0</formula>
    </cfRule>
  </conditionalFormatting>
  <conditionalFormatting sqref="AL15">
    <cfRule type="expression" dxfId="4101" priority="1008">
      <formula>$M15="NON DEFINED"</formula>
    </cfRule>
    <cfRule type="expression" dxfId="4100" priority="1009">
      <formula>$AY15="N.D."</formula>
    </cfRule>
  </conditionalFormatting>
  <conditionalFormatting sqref="AL15">
    <cfRule type="cellIs" dxfId="4099" priority="1007" operator="equal">
      <formula>0</formula>
    </cfRule>
  </conditionalFormatting>
  <conditionalFormatting sqref="AM15">
    <cfRule type="expression" dxfId="4098" priority="1005">
      <formula>$M15="NON DEFINED"</formula>
    </cfRule>
    <cfRule type="expression" dxfId="4097" priority="1006">
      <formula>$AY15="N.D."</formula>
    </cfRule>
  </conditionalFormatting>
  <conditionalFormatting sqref="AM15">
    <cfRule type="cellIs" dxfId="4096" priority="1004" operator="equal">
      <formula>0</formula>
    </cfRule>
  </conditionalFormatting>
  <conditionalFormatting sqref="AT15">
    <cfRule type="expression" dxfId="4095" priority="1002">
      <formula>$M15="NON DEFINED"</formula>
    </cfRule>
    <cfRule type="expression" dxfId="4094" priority="1003">
      <formula>$AY15="N.D."</formula>
    </cfRule>
  </conditionalFormatting>
  <conditionalFormatting sqref="AT15">
    <cfRule type="cellIs" dxfId="4093" priority="1001" operator="equal">
      <formula>0</formula>
    </cfRule>
  </conditionalFormatting>
  <conditionalFormatting sqref="AU15">
    <cfRule type="expression" dxfId="4092" priority="999">
      <formula>$M15="NON DEFINED"</formula>
    </cfRule>
    <cfRule type="expression" dxfId="4091" priority="1000">
      <formula>$AY15="N.D."</formula>
    </cfRule>
  </conditionalFormatting>
  <conditionalFormatting sqref="AU15">
    <cfRule type="cellIs" dxfId="4090" priority="998" operator="equal">
      <formula>0</formula>
    </cfRule>
  </conditionalFormatting>
  <conditionalFormatting sqref="AV15">
    <cfRule type="expression" dxfId="4089" priority="996">
      <formula>$M15="NON DEFINED"</formula>
    </cfRule>
    <cfRule type="expression" dxfId="4088" priority="997">
      <formula>$AY15="N.D."</formula>
    </cfRule>
  </conditionalFormatting>
  <conditionalFormatting sqref="AV15">
    <cfRule type="cellIs" dxfId="4087" priority="995" operator="equal">
      <formula>0</formula>
    </cfRule>
  </conditionalFormatting>
  <conditionalFormatting sqref="AW15">
    <cfRule type="expression" dxfId="4086" priority="993">
      <formula>$M15="NON DEFINED"</formula>
    </cfRule>
    <cfRule type="expression" dxfId="4085" priority="994">
      <formula>$AY15="N.D."</formula>
    </cfRule>
  </conditionalFormatting>
  <conditionalFormatting sqref="AW15">
    <cfRule type="cellIs" dxfId="4084" priority="992" operator="equal">
      <formula>0</formula>
    </cfRule>
  </conditionalFormatting>
  <conditionalFormatting sqref="AX15">
    <cfRule type="expression" dxfId="4083" priority="990">
      <formula>$M15="NON DEFINED"</formula>
    </cfRule>
    <cfRule type="expression" dxfId="4082" priority="991">
      <formula>$AY15="N.D."</formula>
    </cfRule>
  </conditionalFormatting>
  <conditionalFormatting sqref="AX15">
    <cfRule type="cellIs" dxfId="4081" priority="989" operator="equal">
      <formula>0</formula>
    </cfRule>
  </conditionalFormatting>
  <conditionalFormatting sqref="Q15">
    <cfRule type="expression" dxfId="4080" priority="987">
      <formula>$M15="NON DEFINED"</formula>
    </cfRule>
    <cfRule type="expression" dxfId="4079" priority="988">
      <formula>$AY15="N.D."</formula>
    </cfRule>
  </conditionalFormatting>
  <conditionalFormatting sqref="Q15">
    <cfRule type="cellIs" dxfId="4078" priority="986" operator="equal">
      <formula>0</formula>
    </cfRule>
  </conditionalFormatting>
  <conditionalFormatting sqref="T15">
    <cfRule type="expression" dxfId="4077" priority="984">
      <formula>$M15="NON DEFINED"</formula>
    </cfRule>
    <cfRule type="expression" dxfId="4076" priority="985">
      <formula>$AY15="N.D."</formula>
    </cfRule>
  </conditionalFormatting>
  <conditionalFormatting sqref="T15">
    <cfRule type="cellIs" dxfId="4075" priority="983" operator="equal">
      <formula>0</formula>
    </cfRule>
  </conditionalFormatting>
  <conditionalFormatting sqref="U15">
    <cfRule type="expression" dxfId="4074" priority="981">
      <formula>$M15="NON DEFINED"</formula>
    </cfRule>
    <cfRule type="expression" dxfId="4073" priority="982">
      <formula>$AY15="N.D."</formula>
    </cfRule>
  </conditionalFormatting>
  <conditionalFormatting sqref="U15">
    <cfRule type="cellIs" dxfId="4072" priority="980" operator="equal">
      <formula>0</formula>
    </cfRule>
  </conditionalFormatting>
  <conditionalFormatting sqref="V15">
    <cfRule type="expression" dxfId="4071" priority="978">
      <formula>$M15="NON DEFINED"</formula>
    </cfRule>
    <cfRule type="expression" dxfId="4070" priority="979">
      <formula>$AY15="N.D."</formula>
    </cfRule>
  </conditionalFormatting>
  <conditionalFormatting sqref="V15">
    <cfRule type="cellIs" dxfId="4069" priority="977" operator="equal">
      <formula>0</formula>
    </cfRule>
  </conditionalFormatting>
  <conditionalFormatting sqref="AF15">
    <cfRule type="expression" dxfId="4068" priority="975">
      <formula>$M15="NON DEFINED"</formula>
    </cfRule>
    <cfRule type="expression" dxfId="4067" priority="976">
      <formula>$AY15="N.D."</formula>
    </cfRule>
  </conditionalFormatting>
  <conditionalFormatting sqref="AF15">
    <cfRule type="cellIs" dxfId="4066" priority="974" operator="equal">
      <formula>0</formula>
    </cfRule>
  </conditionalFormatting>
  <conditionalFormatting sqref="AH15">
    <cfRule type="expression" dxfId="4065" priority="972">
      <formula>$M15="NON DEFINED"</formula>
    </cfRule>
    <cfRule type="expression" dxfId="4064" priority="973">
      <formula>$AY15="N.D."</formula>
    </cfRule>
  </conditionalFormatting>
  <conditionalFormatting sqref="AH15">
    <cfRule type="cellIs" dxfId="4063" priority="971" operator="equal">
      <formula>0</formula>
    </cfRule>
  </conditionalFormatting>
  <conditionalFormatting sqref="AI15">
    <cfRule type="expression" dxfId="4062" priority="969">
      <formula>$M15="NON DEFINED"</formula>
    </cfRule>
    <cfRule type="expression" dxfId="4061" priority="970">
      <formula>$AY15="N.D."</formula>
    </cfRule>
  </conditionalFormatting>
  <conditionalFormatting sqref="AI15">
    <cfRule type="cellIs" dxfId="4060" priority="968" operator="equal">
      <formula>0</formula>
    </cfRule>
  </conditionalFormatting>
  <conditionalFormatting sqref="R15">
    <cfRule type="expression" dxfId="4059" priority="966">
      <formula>$M15="NON DEFINED"</formula>
    </cfRule>
    <cfRule type="expression" dxfId="4058" priority="967">
      <formula>$AY15="N.D."</formula>
    </cfRule>
  </conditionalFormatting>
  <conditionalFormatting sqref="R15">
    <cfRule type="cellIs" dxfId="4057" priority="965" operator="equal">
      <formula>0</formula>
    </cfRule>
  </conditionalFormatting>
  <conditionalFormatting sqref="S15">
    <cfRule type="expression" dxfId="4056" priority="963">
      <formula>$M15="NON DEFINED"</formula>
    </cfRule>
    <cfRule type="expression" dxfId="4055" priority="964">
      <formula>$AY15="N.D."</formula>
    </cfRule>
  </conditionalFormatting>
  <conditionalFormatting sqref="S15">
    <cfRule type="cellIs" dxfId="4054" priority="962" operator="equal">
      <formula>0</formula>
    </cfRule>
  </conditionalFormatting>
  <conditionalFormatting sqref="W15">
    <cfRule type="expression" dxfId="4053" priority="960">
      <formula>$M15="NON DEFINED"</formula>
    </cfRule>
    <cfRule type="expression" dxfId="4052" priority="961">
      <formula>$AY15="N.D."</formula>
    </cfRule>
  </conditionalFormatting>
  <conditionalFormatting sqref="W15">
    <cfRule type="cellIs" dxfId="4051" priority="959" operator="equal">
      <formula>0</formula>
    </cfRule>
  </conditionalFormatting>
  <conditionalFormatting sqref="X15">
    <cfRule type="expression" dxfId="4050" priority="957">
      <formula>$M15="NON DEFINED"</formula>
    </cfRule>
    <cfRule type="expression" dxfId="4049" priority="958">
      <formula>$AY15="N.D."</formula>
    </cfRule>
  </conditionalFormatting>
  <conditionalFormatting sqref="X15">
    <cfRule type="cellIs" dxfId="4048" priority="956" operator="equal">
      <formula>0</formula>
    </cfRule>
  </conditionalFormatting>
  <conditionalFormatting sqref="Y15">
    <cfRule type="expression" dxfId="4047" priority="954">
      <formula>$M15="NON DEFINED"</formula>
    </cfRule>
    <cfRule type="expression" dxfId="4046" priority="955">
      <formula>$AY15="N.D."</formula>
    </cfRule>
  </conditionalFormatting>
  <conditionalFormatting sqref="Y15">
    <cfRule type="cellIs" dxfId="4045" priority="953" operator="equal">
      <formula>0</formula>
    </cfRule>
  </conditionalFormatting>
  <conditionalFormatting sqref="Z15">
    <cfRule type="expression" dxfId="4044" priority="951">
      <formula>$M15="NON DEFINED"</formula>
    </cfRule>
    <cfRule type="expression" dxfId="4043" priority="952">
      <formula>$AY15="N.D."</formula>
    </cfRule>
  </conditionalFormatting>
  <conditionalFormatting sqref="Z15">
    <cfRule type="cellIs" dxfId="4042" priority="950" operator="equal">
      <formula>0</formula>
    </cfRule>
  </conditionalFormatting>
  <conditionalFormatting sqref="AA15">
    <cfRule type="expression" dxfId="4041" priority="948">
      <formula>$M15="NON DEFINED"</formula>
    </cfRule>
    <cfRule type="expression" dxfId="4040" priority="949">
      <formula>$AY15="N.D."</formula>
    </cfRule>
  </conditionalFormatting>
  <conditionalFormatting sqref="AA15">
    <cfRule type="cellIs" dxfId="4039" priority="947" operator="equal">
      <formula>0</formula>
    </cfRule>
  </conditionalFormatting>
  <conditionalFormatting sqref="AB15">
    <cfRule type="expression" dxfId="4038" priority="945">
      <formula>$M15="NON DEFINED"</formula>
    </cfRule>
    <cfRule type="expression" dxfId="4037" priority="946">
      <formula>$AY15="N.D."</formula>
    </cfRule>
  </conditionalFormatting>
  <conditionalFormatting sqref="AB15">
    <cfRule type="cellIs" dxfId="4036" priority="944" operator="equal">
      <formula>0</formula>
    </cfRule>
  </conditionalFormatting>
  <conditionalFormatting sqref="C154">
    <cfRule type="expression" dxfId="4035" priority="943">
      <formula>AND($AH154&gt;2499,$AH154&lt;2901)</formula>
    </cfRule>
  </conditionalFormatting>
  <conditionalFormatting sqref="BD16:BD156">
    <cfRule type="containsText" dxfId="4034" priority="940" operator="containsText" text="Poner a mano">
      <formula>NOT(ISERROR(SEARCH("Poner a mano",BD16)))</formula>
    </cfRule>
  </conditionalFormatting>
  <conditionalFormatting sqref="AW34">
    <cfRule type="expression" dxfId="4033" priority="923">
      <formula>$A34="Overhead Cable"</formula>
    </cfRule>
    <cfRule type="expression" dxfId="4032" priority="924">
      <formula>$A34="Level Crossing"</formula>
    </cfRule>
    <cfRule type="expression" dxfId="4031" priority="925">
      <formula>$A34="Neutral Section"</formula>
    </cfRule>
    <cfRule type="expression" dxfId="4030" priority="926">
      <formula>$A34="Tunnel"</formula>
    </cfRule>
    <cfRule type="expression" dxfId="4029" priority="927">
      <formula>$A34="Bridge"</formula>
    </cfRule>
    <cfRule type="expression" dxfId="4028" priority="928">
      <formula>$A34="Drainage Works"</formula>
    </cfRule>
    <cfRule type="expression" dxfId="4027" priority="929">
      <formula>$A34="Underpass"</formula>
    </cfRule>
    <cfRule type="expression" dxfId="4026" priority="930">
      <formula>$A34="Overcrossing"</formula>
    </cfRule>
    <cfRule type="expression" dxfId="4025" priority="931">
      <formula>$A34="Overpass"</formula>
    </cfRule>
    <cfRule type="expression" dxfId="4024" priority="932">
      <formula>$A34="Station"</formula>
    </cfRule>
    <cfRule type="expression" dxfId="4023" priority="933">
      <formula>$A34="Overlap between sections"</formula>
    </cfRule>
  </conditionalFormatting>
  <conditionalFormatting sqref="AX34">
    <cfRule type="expression" dxfId="4022" priority="909">
      <formula>$A34="Overhead Cable"</formula>
    </cfRule>
    <cfRule type="expression" dxfId="4021" priority="910">
      <formula>$A34="Level Crossing"</formula>
    </cfRule>
    <cfRule type="expression" dxfId="4020" priority="911">
      <formula>$A34="Neutral Section"</formula>
    </cfRule>
    <cfRule type="expression" dxfId="4019" priority="912">
      <formula>$A34="Tunnel"</formula>
    </cfRule>
    <cfRule type="expression" dxfId="4018" priority="913">
      <formula>$A34="Bridge"</formula>
    </cfRule>
    <cfRule type="expression" dxfId="4017" priority="914">
      <formula>$A34="Drainage Works"</formula>
    </cfRule>
    <cfRule type="expression" dxfId="4016" priority="915">
      <formula>$A34="Underpass"</formula>
    </cfRule>
    <cfRule type="expression" dxfId="4015" priority="916">
      <formula>$A34="Overcrossing"</formula>
    </cfRule>
    <cfRule type="expression" dxfId="4014" priority="917">
      <formula>$A34="Overpass"</formula>
    </cfRule>
    <cfRule type="expression" dxfId="4013" priority="918">
      <formula>$A34="Station"</formula>
    </cfRule>
    <cfRule type="expression" dxfId="4012" priority="919">
      <formula>$A34="Overlap between sections"</formula>
    </cfRule>
  </conditionalFormatting>
  <conditionalFormatting sqref="AW36">
    <cfRule type="expression" dxfId="4011" priority="906">
      <formula>$M36="NON DEFINED"</formula>
    </cfRule>
    <cfRule type="expression" dxfId="4010" priority="907">
      <formula>$AZ36="N.D."</formula>
    </cfRule>
    <cfRule type="expression" dxfId="4009" priority="908">
      <formula>$AY36="N.D."</formula>
    </cfRule>
  </conditionalFormatting>
  <conditionalFormatting sqref="AW36">
    <cfRule type="expression" dxfId="4008" priority="895">
      <formula>$A36="Overhead Cable"</formula>
    </cfRule>
    <cfRule type="expression" dxfId="4007" priority="896">
      <formula>$A36="Level Crossing"</formula>
    </cfRule>
    <cfRule type="expression" dxfId="4006" priority="897">
      <formula>$A36="Neutral Section"</formula>
    </cfRule>
    <cfRule type="expression" dxfId="4005" priority="898">
      <formula>$A36="Tunnel"</formula>
    </cfRule>
    <cfRule type="expression" dxfId="4004" priority="899">
      <formula>$A36="Bridge"</formula>
    </cfRule>
    <cfRule type="expression" dxfId="4003" priority="900">
      <formula>$A36="Drainage Works"</formula>
    </cfRule>
    <cfRule type="expression" dxfId="4002" priority="901">
      <formula>$A36="Underpass"</formula>
    </cfRule>
    <cfRule type="expression" dxfId="4001" priority="902">
      <formula>$A36="Overcrossing"</formula>
    </cfRule>
    <cfRule type="expression" dxfId="4000" priority="903">
      <formula>$A36="Overpass"</formula>
    </cfRule>
    <cfRule type="expression" dxfId="3999" priority="904">
      <formula>$A36="Station"</formula>
    </cfRule>
    <cfRule type="expression" dxfId="3998" priority="905">
      <formula>$A36="Overlap between sections"</formula>
    </cfRule>
  </conditionalFormatting>
  <conditionalFormatting sqref="AX36">
    <cfRule type="expression" dxfId="3997" priority="892">
      <formula>$M36="NON DEFINED"</formula>
    </cfRule>
    <cfRule type="expression" dxfId="3996" priority="893">
      <formula>$AZ36="N.D."</formula>
    </cfRule>
    <cfRule type="expression" dxfId="3995" priority="894">
      <formula>$AY36="N.D."</formula>
    </cfRule>
  </conditionalFormatting>
  <conditionalFormatting sqref="AX36">
    <cfRule type="expression" dxfId="3994" priority="881">
      <formula>$A36="Overhead Cable"</formula>
    </cfRule>
    <cfRule type="expression" dxfId="3993" priority="882">
      <formula>$A36="Level Crossing"</formula>
    </cfRule>
    <cfRule type="expression" dxfId="3992" priority="883">
      <formula>$A36="Neutral Section"</formula>
    </cfRule>
    <cfRule type="expression" dxfId="3991" priority="884">
      <formula>$A36="Tunnel"</formula>
    </cfRule>
    <cfRule type="expression" dxfId="3990" priority="885">
      <formula>$A36="Bridge"</formula>
    </cfRule>
    <cfRule type="expression" dxfId="3989" priority="886">
      <formula>$A36="Drainage Works"</formula>
    </cfRule>
    <cfRule type="expression" dxfId="3988" priority="887">
      <formula>$A36="Underpass"</formula>
    </cfRule>
    <cfRule type="expression" dxfId="3987" priority="888">
      <formula>$A36="Overcrossing"</formula>
    </cfRule>
    <cfRule type="expression" dxfId="3986" priority="889">
      <formula>$A36="Overpass"</formula>
    </cfRule>
    <cfRule type="expression" dxfId="3985" priority="890">
      <formula>$A36="Station"</formula>
    </cfRule>
    <cfRule type="expression" dxfId="3984" priority="891">
      <formula>$A36="Overlap between sections"</formula>
    </cfRule>
  </conditionalFormatting>
  <conditionalFormatting sqref="AW38">
    <cfRule type="expression" dxfId="3983" priority="878">
      <formula>$M38="NON DEFINED"</formula>
    </cfRule>
    <cfRule type="expression" dxfId="3982" priority="879">
      <formula>$AZ38="N.D."</formula>
    </cfRule>
    <cfRule type="expression" dxfId="3981" priority="880">
      <formula>$AY38="N.D."</formula>
    </cfRule>
  </conditionalFormatting>
  <conditionalFormatting sqref="AW38">
    <cfRule type="expression" dxfId="3980" priority="867">
      <formula>$A38="Overhead Cable"</formula>
    </cfRule>
    <cfRule type="expression" dxfId="3979" priority="868">
      <formula>$A38="Level Crossing"</formula>
    </cfRule>
    <cfRule type="expression" dxfId="3978" priority="869">
      <formula>$A38="Neutral Section"</formula>
    </cfRule>
    <cfRule type="expression" dxfId="3977" priority="870">
      <formula>$A38="Tunnel"</formula>
    </cfRule>
    <cfRule type="expression" dxfId="3976" priority="871">
      <formula>$A38="Bridge"</formula>
    </cfRule>
    <cfRule type="expression" dxfId="3975" priority="872">
      <formula>$A38="Drainage Works"</formula>
    </cfRule>
    <cfRule type="expression" dxfId="3974" priority="873">
      <formula>$A38="Underpass"</formula>
    </cfRule>
    <cfRule type="expression" dxfId="3973" priority="874">
      <formula>$A38="Overcrossing"</formula>
    </cfRule>
    <cfRule type="expression" dxfId="3972" priority="875">
      <formula>$A38="Overpass"</formula>
    </cfRule>
    <cfRule type="expression" dxfId="3971" priority="876">
      <formula>$A38="Station"</formula>
    </cfRule>
    <cfRule type="expression" dxfId="3970" priority="877">
      <formula>$A38="Overlap between sections"</formula>
    </cfRule>
  </conditionalFormatting>
  <conditionalFormatting sqref="AX38">
    <cfRule type="expression" dxfId="3969" priority="864">
      <formula>$M38="NON DEFINED"</formula>
    </cfRule>
    <cfRule type="expression" dxfId="3968" priority="865">
      <formula>$AZ38="N.D."</formula>
    </cfRule>
    <cfRule type="expression" dxfId="3967" priority="866">
      <formula>$AY38="N.D."</formula>
    </cfRule>
  </conditionalFormatting>
  <conditionalFormatting sqref="AX38">
    <cfRule type="expression" dxfId="3966" priority="853">
      <formula>$A38="Overhead Cable"</formula>
    </cfRule>
    <cfRule type="expression" dxfId="3965" priority="854">
      <formula>$A38="Level Crossing"</formula>
    </cfRule>
    <cfRule type="expression" dxfId="3964" priority="855">
      <formula>$A38="Neutral Section"</formula>
    </cfRule>
    <cfRule type="expression" dxfId="3963" priority="856">
      <formula>$A38="Tunnel"</formula>
    </cfRule>
    <cfRule type="expression" dxfId="3962" priority="857">
      <formula>$A38="Bridge"</formula>
    </cfRule>
    <cfRule type="expression" dxfId="3961" priority="858">
      <formula>$A38="Drainage Works"</formula>
    </cfRule>
    <cfRule type="expression" dxfId="3960" priority="859">
      <formula>$A38="Underpass"</formula>
    </cfRule>
    <cfRule type="expression" dxfId="3959" priority="860">
      <formula>$A38="Overcrossing"</formula>
    </cfRule>
    <cfRule type="expression" dxfId="3958" priority="861">
      <formula>$A38="Overpass"</formula>
    </cfRule>
    <cfRule type="expression" dxfId="3957" priority="862">
      <formula>$A38="Station"</formula>
    </cfRule>
    <cfRule type="expression" dxfId="3956" priority="863">
      <formula>$A38="Overlap between sections"</formula>
    </cfRule>
  </conditionalFormatting>
  <conditionalFormatting sqref="AW40">
    <cfRule type="expression" dxfId="3955" priority="850">
      <formula>$M40="NON DEFINED"</formula>
    </cfRule>
    <cfRule type="expression" dxfId="3954" priority="851">
      <formula>$AZ40="N.D."</formula>
    </cfRule>
    <cfRule type="expression" dxfId="3953" priority="852">
      <formula>$AY40="N.D."</formula>
    </cfRule>
  </conditionalFormatting>
  <conditionalFormatting sqref="AW40">
    <cfRule type="expression" dxfId="3952" priority="839">
      <formula>$A40="Overhead Cable"</formula>
    </cfRule>
    <cfRule type="expression" dxfId="3951" priority="840">
      <formula>$A40="Level Crossing"</formula>
    </cfRule>
    <cfRule type="expression" dxfId="3950" priority="841">
      <formula>$A40="Neutral Section"</formula>
    </cfRule>
    <cfRule type="expression" dxfId="3949" priority="842">
      <formula>$A40="Tunnel"</formula>
    </cfRule>
    <cfRule type="expression" dxfId="3948" priority="843">
      <formula>$A40="Bridge"</formula>
    </cfRule>
    <cfRule type="expression" dxfId="3947" priority="844">
      <formula>$A40="Drainage Works"</formula>
    </cfRule>
    <cfRule type="expression" dxfId="3946" priority="845">
      <formula>$A40="Underpass"</formula>
    </cfRule>
    <cfRule type="expression" dxfId="3945" priority="846">
      <formula>$A40="Overcrossing"</formula>
    </cfRule>
    <cfRule type="expression" dxfId="3944" priority="847">
      <formula>$A40="Overpass"</formula>
    </cfRule>
    <cfRule type="expression" dxfId="3943" priority="848">
      <formula>$A40="Station"</formula>
    </cfRule>
    <cfRule type="expression" dxfId="3942" priority="849">
      <formula>$A40="Overlap between sections"</formula>
    </cfRule>
  </conditionalFormatting>
  <conditionalFormatting sqref="AX40">
    <cfRule type="expression" dxfId="3941" priority="836">
      <formula>$M40="NON DEFINED"</formula>
    </cfRule>
    <cfRule type="expression" dxfId="3940" priority="837">
      <formula>$AZ40="N.D."</formula>
    </cfRule>
    <cfRule type="expression" dxfId="3939" priority="838">
      <formula>$AY40="N.D."</formula>
    </cfRule>
  </conditionalFormatting>
  <conditionalFormatting sqref="AX40">
    <cfRule type="expression" dxfId="3938" priority="825">
      <formula>$A40="Overhead Cable"</formula>
    </cfRule>
    <cfRule type="expression" dxfId="3937" priority="826">
      <formula>$A40="Level Crossing"</formula>
    </cfRule>
    <cfRule type="expression" dxfId="3936" priority="827">
      <formula>$A40="Neutral Section"</formula>
    </cfRule>
    <cfRule type="expression" dxfId="3935" priority="828">
      <formula>$A40="Tunnel"</formula>
    </cfRule>
    <cfRule type="expression" dxfId="3934" priority="829">
      <formula>$A40="Bridge"</formula>
    </cfRule>
    <cfRule type="expression" dxfId="3933" priority="830">
      <formula>$A40="Drainage Works"</formula>
    </cfRule>
    <cfRule type="expression" dxfId="3932" priority="831">
      <formula>$A40="Underpass"</formula>
    </cfRule>
    <cfRule type="expression" dxfId="3931" priority="832">
      <formula>$A40="Overcrossing"</formula>
    </cfRule>
    <cfRule type="expression" dxfId="3930" priority="833">
      <formula>$A40="Overpass"</formula>
    </cfRule>
    <cfRule type="expression" dxfId="3929" priority="834">
      <formula>$A40="Station"</formula>
    </cfRule>
    <cfRule type="expression" dxfId="3928" priority="835">
      <formula>$A40="Overlap between sections"</formula>
    </cfRule>
  </conditionalFormatting>
  <conditionalFormatting sqref="AW42">
    <cfRule type="expression" dxfId="3927" priority="822">
      <formula>$M42="NON DEFINED"</formula>
    </cfRule>
    <cfRule type="expression" dxfId="3926" priority="823">
      <formula>$AZ42="N.D."</formula>
    </cfRule>
    <cfRule type="expression" dxfId="3925" priority="824">
      <formula>$AY42="N.D."</formula>
    </cfRule>
  </conditionalFormatting>
  <conditionalFormatting sqref="AW42">
    <cfRule type="expression" dxfId="3924" priority="811">
      <formula>$A42="Overhead Cable"</formula>
    </cfRule>
    <cfRule type="expression" dxfId="3923" priority="812">
      <formula>$A42="Level Crossing"</formula>
    </cfRule>
    <cfRule type="expression" dxfId="3922" priority="813">
      <formula>$A42="Neutral Section"</formula>
    </cfRule>
    <cfRule type="expression" dxfId="3921" priority="814">
      <formula>$A42="Tunnel"</formula>
    </cfRule>
    <cfRule type="expression" dxfId="3920" priority="815">
      <formula>$A42="Bridge"</formula>
    </cfRule>
    <cfRule type="expression" dxfId="3919" priority="816">
      <formula>$A42="Drainage Works"</formula>
    </cfRule>
    <cfRule type="expression" dxfId="3918" priority="817">
      <formula>$A42="Underpass"</formula>
    </cfRule>
    <cfRule type="expression" dxfId="3917" priority="818">
      <formula>$A42="Overcrossing"</formula>
    </cfRule>
    <cfRule type="expression" dxfId="3916" priority="819">
      <formula>$A42="Overpass"</formula>
    </cfRule>
    <cfRule type="expression" dxfId="3915" priority="820">
      <formula>$A42="Station"</formula>
    </cfRule>
    <cfRule type="expression" dxfId="3914" priority="821">
      <formula>$A42="Overlap between sections"</formula>
    </cfRule>
  </conditionalFormatting>
  <conditionalFormatting sqref="AX42">
    <cfRule type="expression" dxfId="3913" priority="808">
      <formula>$M42="NON DEFINED"</formula>
    </cfRule>
    <cfRule type="expression" dxfId="3912" priority="809">
      <formula>$AZ42="N.D."</formula>
    </cfRule>
    <cfRule type="expression" dxfId="3911" priority="810">
      <formula>$AY42="N.D."</formula>
    </cfRule>
  </conditionalFormatting>
  <conditionalFormatting sqref="AX42">
    <cfRule type="expression" dxfId="3910" priority="797">
      <formula>$A42="Overhead Cable"</formula>
    </cfRule>
    <cfRule type="expression" dxfId="3909" priority="798">
      <formula>$A42="Level Crossing"</formula>
    </cfRule>
    <cfRule type="expression" dxfId="3908" priority="799">
      <formula>$A42="Neutral Section"</formula>
    </cfRule>
    <cfRule type="expression" dxfId="3907" priority="800">
      <formula>$A42="Tunnel"</formula>
    </cfRule>
    <cfRule type="expression" dxfId="3906" priority="801">
      <formula>$A42="Bridge"</formula>
    </cfRule>
    <cfRule type="expression" dxfId="3905" priority="802">
      <formula>$A42="Drainage Works"</formula>
    </cfRule>
    <cfRule type="expression" dxfId="3904" priority="803">
      <formula>$A42="Underpass"</formula>
    </cfRule>
    <cfRule type="expression" dxfId="3903" priority="804">
      <formula>$A42="Overcrossing"</formula>
    </cfRule>
    <cfRule type="expression" dxfId="3902" priority="805">
      <formula>$A42="Overpass"</formula>
    </cfRule>
    <cfRule type="expression" dxfId="3901" priority="806">
      <formula>$A42="Station"</formula>
    </cfRule>
    <cfRule type="expression" dxfId="3900" priority="807">
      <formula>$A42="Overlap between sections"</formula>
    </cfRule>
  </conditionalFormatting>
  <conditionalFormatting sqref="AW44">
    <cfRule type="expression" dxfId="3899" priority="794">
      <formula>$M44="NON DEFINED"</formula>
    </cfRule>
    <cfRule type="expression" dxfId="3898" priority="795">
      <formula>$AZ44="N.D."</formula>
    </cfRule>
    <cfRule type="expression" dxfId="3897" priority="796">
      <formula>$AY44="N.D."</formula>
    </cfRule>
  </conditionalFormatting>
  <conditionalFormatting sqref="AW44">
    <cfRule type="expression" dxfId="3896" priority="783">
      <formula>$A44="Overhead Cable"</formula>
    </cfRule>
    <cfRule type="expression" dxfId="3895" priority="784">
      <formula>$A44="Level Crossing"</formula>
    </cfRule>
    <cfRule type="expression" dxfId="3894" priority="785">
      <formula>$A44="Neutral Section"</formula>
    </cfRule>
    <cfRule type="expression" dxfId="3893" priority="786">
      <formula>$A44="Tunnel"</formula>
    </cfRule>
    <cfRule type="expression" dxfId="3892" priority="787">
      <formula>$A44="Bridge"</formula>
    </cfRule>
    <cfRule type="expression" dxfId="3891" priority="788">
      <formula>$A44="Drainage Works"</formula>
    </cfRule>
    <cfRule type="expression" dxfId="3890" priority="789">
      <formula>$A44="Underpass"</formula>
    </cfRule>
    <cfRule type="expression" dxfId="3889" priority="790">
      <formula>$A44="Overcrossing"</formula>
    </cfRule>
    <cfRule type="expression" dxfId="3888" priority="791">
      <formula>$A44="Overpass"</formula>
    </cfRule>
    <cfRule type="expression" dxfId="3887" priority="792">
      <formula>$A44="Station"</formula>
    </cfRule>
    <cfRule type="expression" dxfId="3886" priority="793">
      <formula>$A44="Overlap between sections"</formula>
    </cfRule>
  </conditionalFormatting>
  <conditionalFormatting sqref="AX44">
    <cfRule type="expression" dxfId="3885" priority="780">
      <formula>$M44="NON DEFINED"</formula>
    </cfRule>
    <cfRule type="expression" dxfId="3884" priority="781">
      <formula>$AZ44="N.D."</formula>
    </cfRule>
    <cfRule type="expression" dxfId="3883" priority="782">
      <formula>$AY44="N.D."</formula>
    </cfRule>
  </conditionalFormatting>
  <conditionalFormatting sqref="AX44">
    <cfRule type="expression" dxfId="3882" priority="769">
      <formula>$A44="Overhead Cable"</formula>
    </cfRule>
    <cfRule type="expression" dxfId="3881" priority="770">
      <formula>$A44="Level Crossing"</formula>
    </cfRule>
    <cfRule type="expression" dxfId="3880" priority="771">
      <formula>$A44="Neutral Section"</formula>
    </cfRule>
    <cfRule type="expression" dxfId="3879" priority="772">
      <formula>$A44="Tunnel"</formula>
    </cfRule>
    <cfRule type="expression" dxfId="3878" priority="773">
      <formula>$A44="Bridge"</formula>
    </cfRule>
    <cfRule type="expression" dxfId="3877" priority="774">
      <formula>$A44="Drainage Works"</formula>
    </cfRule>
    <cfRule type="expression" dxfId="3876" priority="775">
      <formula>$A44="Underpass"</formula>
    </cfRule>
    <cfRule type="expression" dxfId="3875" priority="776">
      <formula>$A44="Overcrossing"</formula>
    </cfRule>
    <cfRule type="expression" dxfId="3874" priority="777">
      <formula>$A44="Overpass"</formula>
    </cfRule>
    <cfRule type="expression" dxfId="3873" priority="778">
      <formula>$A44="Station"</formula>
    </cfRule>
    <cfRule type="expression" dxfId="3872" priority="779">
      <formula>$A44="Overlap between sections"</formula>
    </cfRule>
  </conditionalFormatting>
  <conditionalFormatting sqref="BA16:BC156">
    <cfRule type="expression" dxfId="3871" priority="767">
      <formula>$BE16="A"</formula>
    </cfRule>
    <cfRule type="expression" dxfId="3870" priority="768">
      <formula>$BE16="R"</formula>
    </cfRule>
  </conditionalFormatting>
  <conditionalFormatting sqref="BC16:BC156">
    <cfRule type="expression" dxfId="3869" priority="766">
      <formula>$M16="U.S. N.D."</formula>
    </cfRule>
  </conditionalFormatting>
  <conditionalFormatting sqref="BB16:BB156">
    <cfRule type="expression" dxfId="3868" priority="764">
      <formula>$AZ16="N.D."</formula>
    </cfRule>
  </conditionalFormatting>
  <conditionalFormatting sqref="BA16:BA156">
    <cfRule type="expression" dxfId="3867" priority="765">
      <formula>$AY16="N.D."</formula>
    </cfRule>
  </conditionalFormatting>
  <conditionalFormatting sqref="AW68">
    <cfRule type="expression" dxfId="3866" priority="761">
      <formula>$M68="NON DEFINED"</formula>
    </cfRule>
    <cfRule type="expression" dxfId="3865" priority="762">
      <formula>$AZ68="N.D."</formula>
    </cfRule>
    <cfRule type="expression" dxfId="3864" priority="763">
      <formula>$AY68="N.D."</formula>
    </cfRule>
  </conditionalFormatting>
  <conditionalFormatting sqref="AW68">
    <cfRule type="expression" dxfId="3863" priority="750">
      <formula>$A68="Overhead Cable"</formula>
    </cfRule>
    <cfRule type="expression" dxfId="3862" priority="751">
      <formula>$A68="Level Crossing"</formula>
    </cfRule>
    <cfRule type="expression" dxfId="3861" priority="752">
      <formula>$A68="Neutral Section"</formula>
    </cfRule>
    <cfRule type="expression" dxfId="3860" priority="753">
      <formula>$A68="Tunnel"</formula>
    </cfRule>
    <cfRule type="expression" dxfId="3859" priority="754">
      <formula>$A68="Bridge"</formula>
    </cfRule>
    <cfRule type="expression" dxfId="3858" priority="755">
      <formula>$A68="Drainage Works"</formula>
    </cfRule>
    <cfRule type="expression" dxfId="3857" priority="756">
      <formula>$A68="Underpass"</formula>
    </cfRule>
    <cfRule type="expression" dxfId="3856" priority="757">
      <formula>$A68="Overcrossing"</formula>
    </cfRule>
    <cfRule type="expression" dxfId="3855" priority="758">
      <formula>$A68="Overpass"</formula>
    </cfRule>
    <cfRule type="expression" dxfId="3854" priority="759">
      <formula>$A68="Station"</formula>
    </cfRule>
    <cfRule type="expression" dxfId="3853" priority="760">
      <formula>$A68="Overlap between sections"</formula>
    </cfRule>
  </conditionalFormatting>
  <conditionalFormatting sqref="AX68">
    <cfRule type="expression" dxfId="3852" priority="747">
      <formula>$M68="NON DEFINED"</formula>
    </cfRule>
    <cfRule type="expression" dxfId="3851" priority="748">
      <formula>$AZ68="N.D."</formula>
    </cfRule>
    <cfRule type="expression" dxfId="3850" priority="749">
      <formula>$AY68="N.D."</formula>
    </cfRule>
  </conditionalFormatting>
  <conditionalFormatting sqref="AX68">
    <cfRule type="expression" dxfId="3849" priority="736">
      <formula>$A68="Overhead Cable"</formula>
    </cfRule>
    <cfRule type="expression" dxfId="3848" priority="737">
      <formula>$A68="Level Crossing"</formula>
    </cfRule>
    <cfRule type="expression" dxfId="3847" priority="738">
      <formula>$A68="Neutral Section"</formula>
    </cfRule>
    <cfRule type="expression" dxfId="3846" priority="739">
      <formula>$A68="Tunnel"</formula>
    </cfRule>
    <cfRule type="expression" dxfId="3845" priority="740">
      <formula>$A68="Bridge"</formula>
    </cfRule>
    <cfRule type="expression" dxfId="3844" priority="741">
      <formula>$A68="Drainage Works"</formula>
    </cfRule>
    <cfRule type="expression" dxfId="3843" priority="742">
      <formula>$A68="Underpass"</formula>
    </cfRule>
    <cfRule type="expression" dxfId="3842" priority="743">
      <formula>$A68="Overcrossing"</formula>
    </cfRule>
    <cfRule type="expression" dxfId="3841" priority="744">
      <formula>$A68="Overpass"</formula>
    </cfRule>
    <cfRule type="expression" dxfId="3840" priority="745">
      <formula>$A68="Station"</formula>
    </cfRule>
    <cfRule type="expression" dxfId="3839" priority="746">
      <formula>$A68="Overlap between sections"</formula>
    </cfRule>
  </conditionalFormatting>
  <conditionalFormatting sqref="AW70">
    <cfRule type="expression" dxfId="3838" priority="733">
      <formula>$M70="NON DEFINED"</formula>
    </cfRule>
    <cfRule type="expression" dxfId="3837" priority="734">
      <formula>$AZ70="N.D."</formula>
    </cfRule>
    <cfRule type="expression" dxfId="3836" priority="735">
      <formula>$AY70="N.D."</formula>
    </cfRule>
  </conditionalFormatting>
  <conditionalFormatting sqref="AW70">
    <cfRule type="expression" dxfId="3835" priority="722">
      <formula>$A70="Overhead Cable"</formula>
    </cfRule>
    <cfRule type="expression" dxfId="3834" priority="723">
      <formula>$A70="Level Crossing"</formula>
    </cfRule>
    <cfRule type="expression" dxfId="3833" priority="724">
      <formula>$A70="Neutral Section"</formula>
    </cfRule>
    <cfRule type="expression" dxfId="3832" priority="725">
      <formula>$A70="Tunnel"</formula>
    </cfRule>
    <cfRule type="expression" dxfId="3831" priority="726">
      <formula>$A70="Bridge"</formula>
    </cfRule>
    <cfRule type="expression" dxfId="3830" priority="727">
      <formula>$A70="Drainage Works"</formula>
    </cfRule>
    <cfRule type="expression" dxfId="3829" priority="728">
      <formula>$A70="Underpass"</formula>
    </cfRule>
    <cfRule type="expression" dxfId="3828" priority="729">
      <formula>$A70="Overcrossing"</formula>
    </cfRule>
    <cfRule type="expression" dxfId="3827" priority="730">
      <formula>$A70="Overpass"</formula>
    </cfRule>
    <cfRule type="expression" dxfId="3826" priority="731">
      <formula>$A70="Station"</formula>
    </cfRule>
    <cfRule type="expression" dxfId="3825" priority="732">
      <formula>$A70="Overlap between sections"</formula>
    </cfRule>
  </conditionalFormatting>
  <conditionalFormatting sqref="AX70">
    <cfRule type="expression" dxfId="3824" priority="719">
      <formula>$M70="NON DEFINED"</formula>
    </cfRule>
    <cfRule type="expression" dxfId="3823" priority="720">
      <formula>$AZ70="N.D."</formula>
    </cfRule>
    <cfRule type="expression" dxfId="3822" priority="721">
      <formula>$AY70="N.D."</formula>
    </cfRule>
  </conditionalFormatting>
  <conditionalFormatting sqref="AX70">
    <cfRule type="expression" dxfId="3821" priority="708">
      <formula>$A70="Overhead Cable"</formula>
    </cfRule>
    <cfRule type="expression" dxfId="3820" priority="709">
      <formula>$A70="Level Crossing"</formula>
    </cfRule>
    <cfRule type="expression" dxfId="3819" priority="710">
      <formula>$A70="Neutral Section"</formula>
    </cfRule>
    <cfRule type="expression" dxfId="3818" priority="711">
      <formula>$A70="Tunnel"</formula>
    </cfRule>
    <cfRule type="expression" dxfId="3817" priority="712">
      <formula>$A70="Bridge"</formula>
    </cfRule>
    <cfRule type="expression" dxfId="3816" priority="713">
      <formula>$A70="Drainage Works"</formula>
    </cfRule>
    <cfRule type="expression" dxfId="3815" priority="714">
      <formula>$A70="Underpass"</formula>
    </cfRule>
    <cfRule type="expression" dxfId="3814" priority="715">
      <formula>$A70="Overcrossing"</formula>
    </cfRule>
    <cfRule type="expression" dxfId="3813" priority="716">
      <formula>$A70="Overpass"</formula>
    </cfRule>
    <cfRule type="expression" dxfId="3812" priority="717">
      <formula>$A70="Station"</formula>
    </cfRule>
    <cfRule type="expression" dxfId="3811" priority="718">
      <formula>$A70="Overlap between sections"</formula>
    </cfRule>
  </conditionalFormatting>
  <conditionalFormatting sqref="AW72">
    <cfRule type="expression" dxfId="3810" priority="705">
      <formula>$M72="NON DEFINED"</formula>
    </cfRule>
    <cfRule type="expression" dxfId="3809" priority="706">
      <formula>$AZ72="N.D."</formula>
    </cfRule>
    <cfRule type="expression" dxfId="3808" priority="707">
      <formula>$AY72="N.D."</formula>
    </cfRule>
  </conditionalFormatting>
  <conditionalFormatting sqref="AW72">
    <cfRule type="expression" dxfId="3807" priority="694">
      <formula>$A72="Overhead Cable"</formula>
    </cfRule>
    <cfRule type="expression" dxfId="3806" priority="695">
      <formula>$A72="Level Crossing"</formula>
    </cfRule>
    <cfRule type="expression" dxfId="3805" priority="696">
      <formula>$A72="Neutral Section"</formula>
    </cfRule>
    <cfRule type="expression" dxfId="3804" priority="697">
      <formula>$A72="Tunnel"</formula>
    </cfRule>
    <cfRule type="expression" dxfId="3803" priority="698">
      <formula>$A72="Bridge"</formula>
    </cfRule>
    <cfRule type="expression" dxfId="3802" priority="699">
      <formula>$A72="Drainage Works"</formula>
    </cfRule>
    <cfRule type="expression" dxfId="3801" priority="700">
      <formula>$A72="Underpass"</formula>
    </cfRule>
    <cfRule type="expression" dxfId="3800" priority="701">
      <formula>$A72="Overcrossing"</formula>
    </cfRule>
    <cfRule type="expression" dxfId="3799" priority="702">
      <formula>$A72="Overpass"</formula>
    </cfRule>
    <cfRule type="expression" dxfId="3798" priority="703">
      <formula>$A72="Station"</formula>
    </cfRule>
    <cfRule type="expression" dxfId="3797" priority="704">
      <formula>$A72="Overlap between sections"</formula>
    </cfRule>
  </conditionalFormatting>
  <conditionalFormatting sqref="AX72">
    <cfRule type="expression" dxfId="3796" priority="691">
      <formula>$M72="NON DEFINED"</formula>
    </cfRule>
    <cfRule type="expression" dxfId="3795" priority="692">
      <formula>$AZ72="N.D."</formula>
    </cfRule>
    <cfRule type="expression" dxfId="3794" priority="693">
      <formula>$AY72="N.D."</formula>
    </cfRule>
  </conditionalFormatting>
  <conditionalFormatting sqref="AX72">
    <cfRule type="expression" dxfId="3793" priority="680">
      <formula>$A72="Overhead Cable"</formula>
    </cfRule>
    <cfRule type="expression" dxfId="3792" priority="681">
      <formula>$A72="Level Crossing"</formula>
    </cfRule>
    <cfRule type="expression" dxfId="3791" priority="682">
      <formula>$A72="Neutral Section"</formula>
    </cfRule>
    <cfRule type="expression" dxfId="3790" priority="683">
      <formula>$A72="Tunnel"</formula>
    </cfRule>
    <cfRule type="expression" dxfId="3789" priority="684">
      <formula>$A72="Bridge"</formula>
    </cfRule>
    <cfRule type="expression" dxfId="3788" priority="685">
      <formula>$A72="Drainage Works"</formula>
    </cfRule>
    <cfRule type="expression" dxfId="3787" priority="686">
      <formula>$A72="Underpass"</formula>
    </cfRule>
    <cfRule type="expression" dxfId="3786" priority="687">
      <formula>$A72="Overcrossing"</formula>
    </cfRule>
    <cfRule type="expression" dxfId="3785" priority="688">
      <formula>$A72="Overpass"</formula>
    </cfRule>
    <cfRule type="expression" dxfId="3784" priority="689">
      <formula>$A72="Station"</formula>
    </cfRule>
    <cfRule type="expression" dxfId="3783" priority="690">
      <formula>$A72="Overlap between sections"</formula>
    </cfRule>
  </conditionalFormatting>
  <conditionalFormatting sqref="AW74">
    <cfRule type="expression" dxfId="3782" priority="677">
      <formula>$M74="NON DEFINED"</formula>
    </cfRule>
    <cfRule type="expression" dxfId="3781" priority="678">
      <formula>$AZ74="N.D."</formula>
    </cfRule>
    <cfRule type="expression" dxfId="3780" priority="679">
      <formula>$AY74="N.D."</formula>
    </cfRule>
  </conditionalFormatting>
  <conditionalFormatting sqref="AW74">
    <cfRule type="expression" dxfId="3779" priority="666">
      <formula>$A74="Overhead Cable"</formula>
    </cfRule>
    <cfRule type="expression" dxfId="3778" priority="667">
      <formula>$A74="Level Crossing"</formula>
    </cfRule>
    <cfRule type="expression" dxfId="3777" priority="668">
      <formula>$A74="Neutral Section"</formula>
    </cfRule>
    <cfRule type="expression" dxfId="3776" priority="669">
      <formula>$A74="Tunnel"</formula>
    </cfRule>
    <cfRule type="expression" dxfId="3775" priority="670">
      <formula>$A74="Bridge"</formula>
    </cfRule>
    <cfRule type="expression" dxfId="3774" priority="671">
      <formula>$A74="Drainage Works"</formula>
    </cfRule>
    <cfRule type="expression" dxfId="3773" priority="672">
      <formula>$A74="Underpass"</formula>
    </cfRule>
    <cfRule type="expression" dxfId="3772" priority="673">
      <formula>$A74="Overcrossing"</formula>
    </cfRule>
    <cfRule type="expression" dxfId="3771" priority="674">
      <formula>$A74="Overpass"</formula>
    </cfRule>
    <cfRule type="expression" dxfId="3770" priority="675">
      <formula>$A74="Station"</formula>
    </cfRule>
    <cfRule type="expression" dxfId="3769" priority="676">
      <formula>$A74="Overlap between sections"</formula>
    </cfRule>
  </conditionalFormatting>
  <conditionalFormatting sqref="AX74">
    <cfRule type="expression" dxfId="3768" priority="663">
      <formula>$M74="NON DEFINED"</formula>
    </cfRule>
    <cfRule type="expression" dxfId="3767" priority="664">
      <formula>$AZ74="N.D."</formula>
    </cfRule>
    <cfRule type="expression" dxfId="3766" priority="665">
      <formula>$AY74="N.D."</formula>
    </cfRule>
  </conditionalFormatting>
  <conditionalFormatting sqref="AX74">
    <cfRule type="expression" dxfId="3765" priority="652">
      <formula>$A74="Overhead Cable"</formula>
    </cfRule>
    <cfRule type="expression" dxfId="3764" priority="653">
      <formula>$A74="Level Crossing"</formula>
    </cfRule>
    <cfRule type="expression" dxfId="3763" priority="654">
      <formula>$A74="Neutral Section"</formula>
    </cfRule>
    <cfRule type="expression" dxfId="3762" priority="655">
      <formula>$A74="Tunnel"</formula>
    </cfRule>
    <cfRule type="expression" dxfId="3761" priority="656">
      <formula>$A74="Bridge"</formula>
    </cfRule>
    <cfRule type="expression" dxfId="3760" priority="657">
      <formula>$A74="Drainage Works"</formula>
    </cfRule>
    <cfRule type="expression" dxfId="3759" priority="658">
      <formula>$A74="Underpass"</formula>
    </cfRule>
    <cfRule type="expression" dxfId="3758" priority="659">
      <formula>$A74="Overcrossing"</formula>
    </cfRule>
    <cfRule type="expression" dxfId="3757" priority="660">
      <formula>$A74="Overpass"</formula>
    </cfRule>
    <cfRule type="expression" dxfId="3756" priority="661">
      <formula>$A74="Station"</formula>
    </cfRule>
    <cfRule type="expression" dxfId="3755" priority="662">
      <formula>$A74="Overlap between sections"</formula>
    </cfRule>
  </conditionalFormatting>
  <conditionalFormatting sqref="AW76">
    <cfRule type="expression" dxfId="3754" priority="649">
      <formula>$M76="NON DEFINED"</formula>
    </cfRule>
    <cfRule type="expression" dxfId="3753" priority="650">
      <formula>$AZ76="N.D."</formula>
    </cfRule>
    <cfRule type="expression" dxfId="3752" priority="651">
      <formula>$AY76="N.D."</formula>
    </cfRule>
  </conditionalFormatting>
  <conditionalFormatting sqref="AW76">
    <cfRule type="expression" dxfId="3751" priority="638">
      <formula>$A76="Overhead Cable"</formula>
    </cfRule>
    <cfRule type="expression" dxfId="3750" priority="639">
      <formula>$A76="Level Crossing"</formula>
    </cfRule>
    <cfRule type="expression" dxfId="3749" priority="640">
      <formula>$A76="Neutral Section"</formula>
    </cfRule>
    <cfRule type="expression" dxfId="3748" priority="641">
      <formula>$A76="Tunnel"</formula>
    </cfRule>
    <cfRule type="expression" dxfId="3747" priority="642">
      <formula>$A76="Bridge"</formula>
    </cfRule>
    <cfRule type="expression" dxfId="3746" priority="643">
      <formula>$A76="Drainage Works"</formula>
    </cfRule>
    <cfRule type="expression" dxfId="3745" priority="644">
      <formula>$A76="Underpass"</formula>
    </cfRule>
    <cfRule type="expression" dxfId="3744" priority="645">
      <formula>$A76="Overcrossing"</formula>
    </cfRule>
    <cfRule type="expression" dxfId="3743" priority="646">
      <formula>$A76="Overpass"</formula>
    </cfRule>
    <cfRule type="expression" dxfId="3742" priority="647">
      <formula>$A76="Station"</formula>
    </cfRule>
    <cfRule type="expression" dxfId="3741" priority="648">
      <formula>$A76="Overlap between sections"</formula>
    </cfRule>
  </conditionalFormatting>
  <conditionalFormatting sqref="AX76">
    <cfRule type="expression" dxfId="3740" priority="635">
      <formula>$M76="NON DEFINED"</formula>
    </cfRule>
    <cfRule type="expression" dxfId="3739" priority="636">
      <formula>$AZ76="N.D."</formula>
    </cfRule>
    <cfRule type="expression" dxfId="3738" priority="637">
      <formula>$AY76="N.D."</formula>
    </cfRule>
  </conditionalFormatting>
  <conditionalFormatting sqref="AX76">
    <cfRule type="expression" dxfId="3737" priority="624">
      <formula>$A76="Overhead Cable"</formula>
    </cfRule>
    <cfRule type="expression" dxfId="3736" priority="625">
      <formula>$A76="Level Crossing"</formula>
    </cfRule>
    <cfRule type="expression" dxfId="3735" priority="626">
      <formula>$A76="Neutral Section"</formula>
    </cfRule>
    <cfRule type="expression" dxfId="3734" priority="627">
      <formula>$A76="Tunnel"</formula>
    </cfRule>
    <cfRule type="expression" dxfId="3733" priority="628">
      <formula>$A76="Bridge"</formula>
    </cfRule>
    <cfRule type="expression" dxfId="3732" priority="629">
      <formula>$A76="Drainage Works"</formula>
    </cfRule>
    <cfRule type="expression" dxfId="3731" priority="630">
      <formula>$A76="Underpass"</formula>
    </cfRule>
    <cfRule type="expression" dxfId="3730" priority="631">
      <formula>$A76="Overcrossing"</formula>
    </cfRule>
    <cfRule type="expression" dxfId="3729" priority="632">
      <formula>$A76="Overpass"</formula>
    </cfRule>
    <cfRule type="expression" dxfId="3728" priority="633">
      <formula>$A76="Station"</formula>
    </cfRule>
    <cfRule type="expression" dxfId="3727" priority="634">
      <formula>$A76="Overlap between sections"</formula>
    </cfRule>
  </conditionalFormatting>
  <conditionalFormatting sqref="AW78">
    <cfRule type="expression" dxfId="3726" priority="621">
      <formula>$M78="NON DEFINED"</formula>
    </cfRule>
    <cfRule type="expression" dxfId="3725" priority="622">
      <formula>$AZ78="N.D."</formula>
    </cfRule>
    <cfRule type="expression" dxfId="3724" priority="623">
      <formula>$AY78="N.D."</formula>
    </cfRule>
  </conditionalFormatting>
  <conditionalFormatting sqref="AW78">
    <cfRule type="expression" dxfId="3723" priority="610">
      <formula>$A78="Overhead Cable"</formula>
    </cfRule>
    <cfRule type="expression" dxfId="3722" priority="611">
      <formula>$A78="Level Crossing"</formula>
    </cfRule>
    <cfRule type="expression" dxfId="3721" priority="612">
      <formula>$A78="Neutral Section"</formula>
    </cfRule>
    <cfRule type="expression" dxfId="3720" priority="613">
      <formula>$A78="Tunnel"</formula>
    </cfRule>
    <cfRule type="expression" dxfId="3719" priority="614">
      <formula>$A78="Bridge"</formula>
    </cfRule>
    <cfRule type="expression" dxfId="3718" priority="615">
      <formula>$A78="Drainage Works"</formula>
    </cfRule>
    <cfRule type="expression" dxfId="3717" priority="616">
      <formula>$A78="Underpass"</formula>
    </cfRule>
    <cfRule type="expression" dxfId="3716" priority="617">
      <formula>$A78="Overcrossing"</formula>
    </cfRule>
    <cfRule type="expression" dxfId="3715" priority="618">
      <formula>$A78="Overpass"</formula>
    </cfRule>
    <cfRule type="expression" dxfId="3714" priority="619">
      <formula>$A78="Station"</formula>
    </cfRule>
    <cfRule type="expression" dxfId="3713" priority="620">
      <formula>$A78="Overlap between sections"</formula>
    </cfRule>
  </conditionalFormatting>
  <conditionalFormatting sqref="AX78">
    <cfRule type="expression" dxfId="3712" priority="607">
      <formula>$M78="NON DEFINED"</formula>
    </cfRule>
    <cfRule type="expression" dxfId="3711" priority="608">
      <formula>$AZ78="N.D."</formula>
    </cfRule>
    <cfRule type="expression" dxfId="3710" priority="609">
      <formula>$AY78="N.D."</formula>
    </cfRule>
  </conditionalFormatting>
  <conditionalFormatting sqref="AX78">
    <cfRule type="expression" dxfId="3709" priority="596">
      <formula>$A78="Overhead Cable"</formula>
    </cfRule>
    <cfRule type="expression" dxfId="3708" priority="597">
      <formula>$A78="Level Crossing"</formula>
    </cfRule>
    <cfRule type="expression" dxfId="3707" priority="598">
      <formula>$A78="Neutral Section"</formula>
    </cfRule>
    <cfRule type="expression" dxfId="3706" priority="599">
      <formula>$A78="Tunnel"</formula>
    </cfRule>
    <cfRule type="expression" dxfId="3705" priority="600">
      <formula>$A78="Bridge"</formula>
    </cfRule>
    <cfRule type="expression" dxfId="3704" priority="601">
      <formula>$A78="Drainage Works"</formula>
    </cfRule>
    <cfRule type="expression" dxfId="3703" priority="602">
      <formula>$A78="Underpass"</formula>
    </cfRule>
    <cfRule type="expression" dxfId="3702" priority="603">
      <formula>$A78="Overcrossing"</formula>
    </cfRule>
    <cfRule type="expression" dxfId="3701" priority="604">
      <formula>$A78="Overpass"</formula>
    </cfRule>
    <cfRule type="expression" dxfId="3700" priority="605">
      <formula>$A78="Station"</formula>
    </cfRule>
    <cfRule type="expression" dxfId="3699" priority="606">
      <formula>$A78="Overlap between sections"</formula>
    </cfRule>
  </conditionalFormatting>
  <conditionalFormatting sqref="AW80">
    <cfRule type="expression" dxfId="3698" priority="593">
      <formula>$M80="NON DEFINED"</formula>
    </cfRule>
    <cfRule type="expression" dxfId="3697" priority="594">
      <formula>$AZ80="N.D."</formula>
    </cfRule>
    <cfRule type="expression" dxfId="3696" priority="595">
      <formula>$AY80="N.D."</formula>
    </cfRule>
  </conditionalFormatting>
  <conditionalFormatting sqref="AW80">
    <cfRule type="expression" dxfId="3695" priority="582">
      <formula>$A80="Overhead Cable"</formula>
    </cfRule>
    <cfRule type="expression" dxfId="3694" priority="583">
      <formula>$A80="Level Crossing"</formula>
    </cfRule>
    <cfRule type="expression" dxfId="3693" priority="584">
      <formula>$A80="Neutral Section"</formula>
    </cfRule>
    <cfRule type="expression" dxfId="3692" priority="585">
      <formula>$A80="Tunnel"</formula>
    </cfRule>
    <cfRule type="expression" dxfId="3691" priority="586">
      <formula>$A80="Bridge"</formula>
    </cfRule>
    <cfRule type="expression" dxfId="3690" priority="587">
      <formula>$A80="Drainage Works"</formula>
    </cfRule>
    <cfRule type="expression" dxfId="3689" priority="588">
      <formula>$A80="Underpass"</formula>
    </cfRule>
    <cfRule type="expression" dxfId="3688" priority="589">
      <formula>$A80="Overcrossing"</formula>
    </cfRule>
    <cfRule type="expression" dxfId="3687" priority="590">
      <formula>$A80="Overpass"</formula>
    </cfRule>
    <cfRule type="expression" dxfId="3686" priority="591">
      <formula>$A80="Station"</formula>
    </cfRule>
    <cfRule type="expression" dxfId="3685" priority="592">
      <formula>$A80="Overlap between sections"</formula>
    </cfRule>
  </conditionalFormatting>
  <conditionalFormatting sqref="AX80">
    <cfRule type="expression" dxfId="3684" priority="579">
      <formula>$M80="NON DEFINED"</formula>
    </cfRule>
    <cfRule type="expression" dxfId="3683" priority="580">
      <formula>$AZ80="N.D."</formula>
    </cfRule>
    <cfRule type="expression" dxfId="3682" priority="581">
      <formula>$AY80="N.D."</formula>
    </cfRule>
  </conditionalFormatting>
  <conditionalFormatting sqref="AX80">
    <cfRule type="expression" dxfId="3681" priority="568">
      <formula>$A80="Overhead Cable"</formula>
    </cfRule>
    <cfRule type="expression" dxfId="3680" priority="569">
      <formula>$A80="Level Crossing"</formula>
    </cfRule>
    <cfRule type="expression" dxfId="3679" priority="570">
      <formula>$A80="Neutral Section"</formula>
    </cfRule>
    <cfRule type="expression" dxfId="3678" priority="571">
      <formula>$A80="Tunnel"</formula>
    </cfRule>
    <cfRule type="expression" dxfId="3677" priority="572">
      <formula>$A80="Bridge"</formula>
    </cfRule>
    <cfRule type="expression" dxfId="3676" priority="573">
      <formula>$A80="Drainage Works"</formula>
    </cfRule>
    <cfRule type="expression" dxfId="3675" priority="574">
      <formula>$A80="Underpass"</formula>
    </cfRule>
    <cfRule type="expression" dxfId="3674" priority="575">
      <formula>$A80="Overcrossing"</formula>
    </cfRule>
    <cfRule type="expression" dxfId="3673" priority="576">
      <formula>$A80="Overpass"</formula>
    </cfRule>
    <cfRule type="expression" dxfId="3672" priority="577">
      <formula>$A80="Station"</formula>
    </cfRule>
    <cfRule type="expression" dxfId="3671" priority="578">
      <formula>$A80="Overlap between sections"</formula>
    </cfRule>
  </conditionalFormatting>
  <conditionalFormatting sqref="AW82">
    <cfRule type="expression" dxfId="3670" priority="565">
      <formula>$M82="NON DEFINED"</formula>
    </cfRule>
    <cfRule type="expression" dxfId="3669" priority="566">
      <formula>$AZ82="N.D."</formula>
    </cfRule>
    <cfRule type="expression" dxfId="3668" priority="567">
      <formula>$AY82="N.D."</formula>
    </cfRule>
  </conditionalFormatting>
  <conditionalFormatting sqref="AW82">
    <cfRule type="expression" dxfId="3667" priority="554">
      <formula>$A82="Overhead Cable"</formula>
    </cfRule>
    <cfRule type="expression" dxfId="3666" priority="555">
      <formula>$A82="Level Crossing"</formula>
    </cfRule>
    <cfRule type="expression" dxfId="3665" priority="556">
      <formula>$A82="Neutral Section"</formula>
    </cfRule>
    <cfRule type="expression" dxfId="3664" priority="557">
      <formula>$A82="Tunnel"</formula>
    </cfRule>
    <cfRule type="expression" dxfId="3663" priority="558">
      <formula>$A82="Bridge"</formula>
    </cfRule>
    <cfRule type="expression" dxfId="3662" priority="559">
      <formula>$A82="Drainage Works"</formula>
    </cfRule>
    <cfRule type="expression" dxfId="3661" priority="560">
      <formula>$A82="Underpass"</formula>
    </cfRule>
    <cfRule type="expression" dxfId="3660" priority="561">
      <formula>$A82="Overcrossing"</formula>
    </cfRule>
    <cfRule type="expression" dxfId="3659" priority="562">
      <formula>$A82="Overpass"</formula>
    </cfRule>
    <cfRule type="expression" dxfId="3658" priority="563">
      <formula>$A82="Station"</formula>
    </cfRule>
    <cfRule type="expression" dxfId="3657" priority="564">
      <formula>$A82="Overlap between sections"</formula>
    </cfRule>
  </conditionalFormatting>
  <conditionalFormatting sqref="AX82">
    <cfRule type="expression" dxfId="3656" priority="551">
      <formula>$M82="NON DEFINED"</formula>
    </cfRule>
    <cfRule type="expression" dxfId="3655" priority="552">
      <formula>$AZ82="N.D."</formula>
    </cfRule>
    <cfRule type="expression" dxfId="3654" priority="553">
      <formula>$AY82="N.D."</formula>
    </cfRule>
  </conditionalFormatting>
  <conditionalFormatting sqref="AX82">
    <cfRule type="expression" dxfId="3653" priority="540">
      <formula>$A82="Overhead Cable"</formula>
    </cfRule>
    <cfRule type="expression" dxfId="3652" priority="541">
      <formula>$A82="Level Crossing"</formula>
    </cfRule>
    <cfRule type="expression" dxfId="3651" priority="542">
      <formula>$A82="Neutral Section"</formula>
    </cfRule>
    <cfRule type="expression" dxfId="3650" priority="543">
      <formula>$A82="Tunnel"</formula>
    </cfRule>
    <cfRule type="expression" dxfId="3649" priority="544">
      <formula>$A82="Bridge"</formula>
    </cfRule>
    <cfRule type="expression" dxfId="3648" priority="545">
      <formula>$A82="Drainage Works"</formula>
    </cfRule>
    <cfRule type="expression" dxfId="3647" priority="546">
      <formula>$A82="Underpass"</formula>
    </cfRule>
    <cfRule type="expression" dxfId="3646" priority="547">
      <formula>$A82="Overcrossing"</formula>
    </cfRule>
    <cfRule type="expression" dxfId="3645" priority="548">
      <formula>$A82="Overpass"</formula>
    </cfRule>
    <cfRule type="expression" dxfId="3644" priority="549">
      <formula>$A82="Station"</formula>
    </cfRule>
    <cfRule type="expression" dxfId="3643" priority="550">
      <formula>$A82="Overlap between sections"</formula>
    </cfRule>
  </conditionalFormatting>
  <conditionalFormatting sqref="AW84">
    <cfRule type="expression" dxfId="3642" priority="537">
      <formula>$M84="NON DEFINED"</formula>
    </cfRule>
    <cfRule type="expression" dxfId="3641" priority="538">
      <formula>$AZ84="N.D."</formula>
    </cfRule>
    <cfRule type="expression" dxfId="3640" priority="539">
      <formula>$AY84="N.D."</formula>
    </cfRule>
  </conditionalFormatting>
  <conditionalFormatting sqref="AW84">
    <cfRule type="expression" dxfId="3639" priority="526">
      <formula>$A84="Overhead Cable"</formula>
    </cfRule>
    <cfRule type="expression" dxfId="3638" priority="527">
      <formula>$A84="Level Crossing"</formula>
    </cfRule>
    <cfRule type="expression" dxfId="3637" priority="528">
      <formula>$A84="Neutral Section"</formula>
    </cfRule>
    <cfRule type="expression" dxfId="3636" priority="529">
      <formula>$A84="Tunnel"</formula>
    </cfRule>
    <cfRule type="expression" dxfId="3635" priority="530">
      <formula>$A84="Bridge"</formula>
    </cfRule>
    <cfRule type="expression" dxfId="3634" priority="531">
      <formula>$A84="Drainage Works"</formula>
    </cfRule>
    <cfRule type="expression" dxfId="3633" priority="532">
      <formula>$A84="Underpass"</formula>
    </cfRule>
    <cfRule type="expression" dxfId="3632" priority="533">
      <formula>$A84="Overcrossing"</formula>
    </cfRule>
    <cfRule type="expression" dxfId="3631" priority="534">
      <formula>$A84="Overpass"</formula>
    </cfRule>
    <cfRule type="expression" dxfId="3630" priority="535">
      <formula>$A84="Station"</formula>
    </cfRule>
    <cfRule type="expression" dxfId="3629" priority="536">
      <formula>$A84="Overlap between sections"</formula>
    </cfRule>
  </conditionalFormatting>
  <conditionalFormatting sqref="AX84">
    <cfRule type="expression" dxfId="3628" priority="523">
      <formula>$M84="NON DEFINED"</formula>
    </cfRule>
    <cfRule type="expression" dxfId="3627" priority="524">
      <formula>$AZ84="N.D."</formula>
    </cfRule>
    <cfRule type="expression" dxfId="3626" priority="525">
      <formula>$AY84="N.D."</formula>
    </cfRule>
  </conditionalFormatting>
  <conditionalFormatting sqref="AX84">
    <cfRule type="expression" dxfId="3625" priority="512">
      <formula>$A84="Overhead Cable"</formula>
    </cfRule>
    <cfRule type="expression" dxfId="3624" priority="513">
      <formula>$A84="Level Crossing"</formula>
    </cfRule>
    <cfRule type="expression" dxfId="3623" priority="514">
      <formula>$A84="Neutral Section"</formula>
    </cfRule>
    <cfRule type="expression" dxfId="3622" priority="515">
      <formula>$A84="Tunnel"</formula>
    </cfRule>
    <cfRule type="expression" dxfId="3621" priority="516">
      <formula>$A84="Bridge"</formula>
    </cfRule>
    <cfRule type="expression" dxfId="3620" priority="517">
      <formula>$A84="Drainage Works"</formula>
    </cfRule>
    <cfRule type="expression" dxfId="3619" priority="518">
      <formula>$A84="Underpass"</formula>
    </cfRule>
    <cfRule type="expression" dxfId="3618" priority="519">
      <formula>$A84="Overcrossing"</formula>
    </cfRule>
    <cfRule type="expression" dxfId="3617" priority="520">
      <formula>$A84="Overpass"</formula>
    </cfRule>
    <cfRule type="expression" dxfId="3616" priority="521">
      <formula>$A84="Station"</formula>
    </cfRule>
    <cfRule type="expression" dxfId="3615" priority="522">
      <formula>$A84="Overlap between sections"</formula>
    </cfRule>
  </conditionalFormatting>
  <conditionalFormatting sqref="AW86">
    <cfRule type="expression" dxfId="3614" priority="509">
      <formula>$M86="NON DEFINED"</formula>
    </cfRule>
    <cfRule type="expression" dxfId="3613" priority="510">
      <formula>$AZ86="N.D."</formula>
    </cfRule>
    <cfRule type="expression" dxfId="3612" priority="511">
      <formula>$AY86="N.D."</formula>
    </cfRule>
  </conditionalFormatting>
  <conditionalFormatting sqref="AW86">
    <cfRule type="expression" dxfId="3611" priority="498">
      <formula>$A86="Overhead Cable"</formula>
    </cfRule>
    <cfRule type="expression" dxfId="3610" priority="499">
      <formula>$A86="Level Crossing"</formula>
    </cfRule>
    <cfRule type="expression" dxfId="3609" priority="500">
      <formula>$A86="Neutral Section"</formula>
    </cfRule>
    <cfRule type="expression" dxfId="3608" priority="501">
      <formula>$A86="Tunnel"</formula>
    </cfRule>
    <cfRule type="expression" dxfId="3607" priority="502">
      <formula>$A86="Bridge"</formula>
    </cfRule>
    <cfRule type="expression" dxfId="3606" priority="503">
      <formula>$A86="Drainage Works"</formula>
    </cfRule>
    <cfRule type="expression" dxfId="3605" priority="504">
      <formula>$A86="Underpass"</formula>
    </cfRule>
    <cfRule type="expression" dxfId="3604" priority="505">
      <formula>$A86="Overcrossing"</formula>
    </cfRule>
    <cfRule type="expression" dxfId="3603" priority="506">
      <formula>$A86="Overpass"</formula>
    </cfRule>
    <cfRule type="expression" dxfId="3602" priority="507">
      <formula>$A86="Station"</formula>
    </cfRule>
    <cfRule type="expression" dxfId="3601" priority="508">
      <formula>$A86="Overlap between sections"</formula>
    </cfRule>
  </conditionalFormatting>
  <conditionalFormatting sqref="AX86">
    <cfRule type="expression" dxfId="3600" priority="495">
      <formula>$M86="NON DEFINED"</formula>
    </cfRule>
    <cfRule type="expression" dxfId="3599" priority="496">
      <formula>$AZ86="N.D."</formula>
    </cfRule>
    <cfRule type="expression" dxfId="3598" priority="497">
      <formula>$AY86="N.D."</formula>
    </cfRule>
  </conditionalFormatting>
  <conditionalFormatting sqref="AX86">
    <cfRule type="expression" dxfId="3597" priority="484">
      <formula>$A86="Overhead Cable"</formula>
    </cfRule>
    <cfRule type="expression" dxfId="3596" priority="485">
      <formula>$A86="Level Crossing"</formula>
    </cfRule>
    <cfRule type="expression" dxfId="3595" priority="486">
      <formula>$A86="Neutral Section"</formula>
    </cfRule>
    <cfRule type="expression" dxfId="3594" priority="487">
      <formula>$A86="Tunnel"</formula>
    </cfRule>
    <cfRule type="expression" dxfId="3593" priority="488">
      <formula>$A86="Bridge"</formula>
    </cfRule>
    <cfRule type="expression" dxfId="3592" priority="489">
      <formula>$A86="Drainage Works"</formula>
    </cfRule>
    <cfRule type="expression" dxfId="3591" priority="490">
      <formula>$A86="Underpass"</formula>
    </cfRule>
    <cfRule type="expression" dxfId="3590" priority="491">
      <formula>$A86="Overcrossing"</formula>
    </cfRule>
    <cfRule type="expression" dxfId="3589" priority="492">
      <formula>$A86="Overpass"</formula>
    </cfRule>
    <cfRule type="expression" dxfId="3588" priority="493">
      <formula>$A86="Station"</formula>
    </cfRule>
    <cfRule type="expression" dxfId="3587" priority="494">
      <formula>$A86="Overlap between sections"</formula>
    </cfRule>
  </conditionalFormatting>
  <conditionalFormatting sqref="AW88">
    <cfRule type="expression" dxfId="3586" priority="481">
      <formula>$M88="NON DEFINED"</formula>
    </cfRule>
    <cfRule type="expression" dxfId="3585" priority="482">
      <formula>$AZ88="N.D."</formula>
    </cfRule>
    <cfRule type="expression" dxfId="3584" priority="483">
      <formula>$AY88="N.D."</formula>
    </cfRule>
  </conditionalFormatting>
  <conditionalFormatting sqref="AW88">
    <cfRule type="expression" dxfId="3583" priority="470">
      <formula>$A88="Overhead Cable"</formula>
    </cfRule>
    <cfRule type="expression" dxfId="3582" priority="471">
      <formula>$A88="Level Crossing"</formula>
    </cfRule>
    <cfRule type="expression" dxfId="3581" priority="472">
      <formula>$A88="Neutral Section"</formula>
    </cfRule>
    <cfRule type="expression" dxfId="3580" priority="473">
      <formula>$A88="Tunnel"</formula>
    </cfRule>
    <cfRule type="expression" dxfId="3579" priority="474">
      <formula>$A88="Bridge"</formula>
    </cfRule>
    <cfRule type="expression" dxfId="3578" priority="475">
      <formula>$A88="Drainage Works"</formula>
    </cfRule>
    <cfRule type="expression" dxfId="3577" priority="476">
      <formula>$A88="Underpass"</formula>
    </cfRule>
    <cfRule type="expression" dxfId="3576" priority="477">
      <formula>$A88="Overcrossing"</formula>
    </cfRule>
    <cfRule type="expression" dxfId="3575" priority="478">
      <formula>$A88="Overpass"</formula>
    </cfRule>
    <cfRule type="expression" dxfId="3574" priority="479">
      <formula>$A88="Station"</formula>
    </cfRule>
    <cfRule type="expression" dxfId="3573" priority="480">
      <formula>$A88="Overlap between sections"</formula>
    </cfRule>
  </conditionalFormatting>
  <conditionalFormatting sqref="AX88">
    <cfRule type="expression" dxfId="3572" priority="467">
      <formula>$M88="NON DEFINED"</formula>
    </cfRule>
    <cfRule type="expression" dxfId="3571" priority="468">
      <formula>$AZ88="N.D."</formula>
    </cfRule>
    <cfRule type="expression" dxfId="3570" priority="469">
      <formula>$AY88="N.D."</formula>
    </cfRule>
  </conditionalFormatting>
  <conditionalFormatting sqref="AX88">
    <cfRule type="expression" dxfId="3569" priority="456">
      <formula>$A88="Overhead Cable"</formula>
    </cfRule>
    <cfRule type="expression" dxfId="3568" priority="457">
      <formula>$A88="Level Crossing"</formula>
    </cfRule>
    <cfRule type="expression" dxfId="3567" priority="458">
      <formula>$A88="Neutral Section"</formula>
    </cfRule>
    <cfRule type="expression" dxfId="3566" priority="459">
      <formula>$A88="Tunnel"</formula>
    </cfRule>
    <cfRule type="expression" dxfId="3565" priority="460">
      <formula>$A88="Bridge"</formula>
    </cfRule>
    <cfRule type="expression" dxfId="3564" priority="461">
      <formula>$A88="Drainage Works"</formula>
    </cfRule>
    <cfRule type="expression" dxfId="3563" priority="462">
      <formula>$A88="Underpass"</formula>
    </cfRule>
    <cfRule type="expression" dxfId="3562" priority="463">
      <formula>$A88="Overcrossing"</formula>
    </cfRule>
    <cfRule type="expression" dxfId="3561" priority="464">
      <formula>$A88="Overpass"</formula>
    </cfRule>
    <cfRule type="expression" dxfId="3560" priority="465">
      <formula>$A88="Station"</formula>
    </cfRule>
    <cfRule type="expression" dxfId="3559" priority="466">
      <formula>$A88="Overlap between sections"</formula>
    </cfRule>
  </conditionalFormatting>
  <conditionalFormatting sqref="AW90">
    <cfRule type="expression" dxfId="3558" priority="453">
      <formula>$M90="NON DEFINED"</formula>
    </cfRule>
    <cfRule type="expression" dxfId="3557" priority="454">
      <formula>$AZ90="N.D."</formula>
    </cfRule>
    <cfRule type="expression" dxfId="3556" priority="455">
      <formula>$AY90="N.D."</formula>
    </cfRule>
  </conditionalFormatting>
  <conditionalFormatting sqref="AW90">
    <cfRule type="expression" dxfId="3555" priority="442">
      <formula>$A90="Overhead Cable"</formula>
    </cfRule>
    <cfRule type="expression" dxfId="3554" priority="443">
      <formula>$A90="Level Crossing"</formula>
    </cfRule>
    <cfRule type="expression" dxfId="3553" priority="444">
      <formula>$A90="Neutral Section"</formula>
    </cfRule>
    <cfRule type="expression" dxfId="3552" priority="445">
      <formula>$A90="Tunnel"</formula>
    </cfRule>
    <cfRule type="expression" dxfId="3551" priority="446">
      <formula>$A90="Bridge"</formula>
    </cfRule>
    <cfRule type="expression" dxfId="3550" priority="447">
      <formula>$A90="Drainage Works"</formula>
    </cfRule>
    <cfRule type="expression" dxfId="3549" priority="448">
      <formula>$A90="Underpass"</formula>
    </cfRule>
    <cfRule type="expression" dxfId="3548" priority="449">
      <formula>$A90="Overcrossing"</formula>
    </cfRule>
    <cfRule type="expression" dxfId="3547" priority="450">
      <formula>$A90="Overpass"</formula>
    </cfRule>
    <cfRule type="expression" dxfId="3546" priority="451">
      <formula>$A90="Station"</formula>
    </cfRule>
    <cfRule type="expression" dxfId="3545" priority="452">
      <formula>$A90="Overlap between sections"</formula>
    </cfRule>
  </conditionalFormatting>
  <conditionalFormatting sqref="AX90">
    <cfRule type="expression" dxfId="3544" priority="439">
      <formula>$M90="NON DEFINED"</formula>
    </cfRule>
    <cfRule type="expression" dxfId="3543" priority="440">
      <formula>$AZ90="N.D."</formula>
    </cfRule>
    <cfRule type="expression" dxfId="3542" priority="441">
      <formula>$AY90="N.D."</formula>
    </cfRule>
  </conditionalFormatting>
  <conditionalFormatting sqref="AX90">
    <cfRule type="expression" dxfId="3541" priority="428">
      <formula>$A90="Overhead Cable"</formula>
    </cfRule>
    <cfRule type="expression" dxfId="3540" priority="429">
      <formula>$A90="Level Crossing"</formula>
    </cfRule>
    <cfRule type="expression" dxfId="3539" priority="430">
      <formula>$A90="Neutral Section"</formula>
    </cfRule>
    <cfRule type="expression" dxfId="3538" priority="431">
      <formula>$A90="Tunnel"</formula>
    </cfRule>
    <cfRule type="expression" dxfId="3537" priority="432">
      <formula>$A90="Bridge"</formula>
    </cfRule>
    <cfRule type="expression" dxfId="3536" priority="433">
      <formula>$A90="Drainage Works"</formula>
    </cfRule>
    <cfRule type="expression" dxfId="3535" priority="434">
      <formula>$A90="Underpass"</formula>
    </cfRule>
    <cfRule type="expression" dxfId="3534" priority="435">
      <formula>$A90="Overcrossing"</formula>
    </cfRule>
    <cfRule type="expression" dxfId="3533" priority="436">
      <formula>$A90="Overpass"</formula>
    </cfRule>
    <cfRule type="expression" dxfId="3532" priority="437">
      <formula>$A90="Station"</formula>
    </cfRule>
    <cfRule type="expression" dxfId="3531" priority="438">
      <formula>$A90="Overlap between sections"</formula>
    </cfRule>
  </conditionalFormatting>
  <conditionalFormatting sqref="AW92">
    <cfRule type="expression" dxfId="3530" priority="425">
      <formula>$M92="NON DEFINED"</formula>
    </cfRule>
    <cfRule type="expression" dxfId="3529" priority="426">
      <formula>$AZ92="N.D."</formula>
    </cfRule>
    <cfRule type="expression" dxfId="3528" priority="427">
      <formula>$AY92="N.D."</formula>
    </cfRule>
  </conditionalFormatting>
  <conditionalFormatting sqref="AW92">
    <cfRule type="expression" dxfId="3527" priority="414">
      <formula>$A92="Overhead Cable"</formula>
    </cfRule>
    <cfRule type="expression" dxfId="3526" priority="415">
      <formula>$A92="Level Crossing"</formula>
    </cfRule>
    <cfRule type="expression" dxfId="3525" priority="416">
      <formula>$A92="Neutral Section"</formula>
    </cfRule>
    <cfRule type="expression" dxfId="3524" priority="417">
      <formula>$A92="Tunnel"</formula>
    </cfRule>
    <cfRule type="expression" dxfId="3523" priority="418">
      <formula>$A92="Bridge"</formula>
    </cfRule>
    <cfRule type="expression" dxfId="3522" priority="419">
      <formula>$A92="Drainage Works"</formula>
    </cfRule>
    <cfRule type="expression" dxfId="3521" priority="420">
      <formula>$A92="Underpass"</formula>
    </cfRule>
    <cfRule type="expression" dxfId="3520" priority="421">
      <formula>$A92="Overcrossing"</formula>
    </cfRule>
    <cfRule type="expression" dxfId="3519" priority="422">
      <formula>$A92="Overpass"</formula>
    </cfRule>
    <cfRule type="expression" dxfId="3518" priority="423">
      <formula>$A92="Station"</formula>
    </cfRule>
    <cfRule type="expression" dxfId="3517" priority="424">
      <formula>$A92="Overlap between sections"</formula>
    </cfRule>
  </conditionalFormatting>
  <conditionalFormatting sqref="AX92">
    <cfRule type="expression" dxfId="3516" priority="411">
      <formula>$M92="NON DEFINED"</formula>
    </cfRule>
    <cfRule type="expression" dxfId="3515" priority="412">
      <formula>$AZ92="N.D."</formula>
    </cfRule>
    <cfRule type="expression" dxfId="3514" priority="413">
      <formula>$AY92="N.D."</formula>
    </cfRule>
  </conditionalFormatting>
  <conditionalFormatting sqref="AX92">
    <cfRule type="expression" dxfId="3513" priority="400">
      <formula>$A92="Overhead Cable"</formula>
    </cfRule>
    <cfRule type="expression" dxfId="3512" priority="401">
      <formula>$A92="Level Crossing"</formula>
    </cfRule>
    <cfRule type="expression" dxfId="3511" priority="402">
      <formula>$A92="Neutral Section"</formula>
    </cfRule>
    <cfRule type="expression" dxfId="3510" priority="403">
      <formula>$A92="Tunnel"</formula>
    </cfRule>
    <cfRule type="expression" dxfId="3509" priority="404">
      <formula>$A92="Bridge"</formula>
    </cfRule>
    <cfRule type="expression" dxfId="3508" priority="405">
      <formula>$A92="Drainage Works"</formula>
    </cfRule>
    <cfRule type="expression" dxfId="3507" priority="406">
      <formula>$A92="Underpass"</formula>
    </cfRule>
    <cfRule type="expression" dxfId="3506" priority="407">
      <formula>$A92="Overcrossing"</formula>
    </cfRule>
    <cfRule type="expression" dxfId="3505" priority="408">
      <formula>$A92="Overpass"</formula>
    </cfRule>
    <cfRule type="expression" dxfId="3504" priority="409">
      <formula>$A92="Station"</formula>
    </cfRule>
    <cfRule type="expression" dxfId="3503" priority="410">
      <formula>$A92="Overlap between sections"</formula>
    </cfRule>
  </conditionalFormatting>
  <conditionalFormatting sqref="AW94">
    <cfRule type="expression" dxfId="3502" priority="397">
      <formula>$M94="NON DEFINED"</formula>
    </cfRule>
    <cfRule type="expression" dxfId="3501" priority="398">
      <formula>$AZ94="N.D."</formula>
    </cfRule>
    <cfRule type="expression" dxfId="3500" priority="399">
      <formula>$AY94="N.D."</formula>
    </cfRule>
  </conditionalFormatting>
  <conditionalFormatting sqref="AW94">
    <cfRule type="expression" dxfId="3499" priority="386">
      <formula>$A94="Overhead Cable"</formula>
    </cfRule>
    <cfRule type="expression" dxfId="3498" priority="387">
      <formula>$A94="Level Crossing"</formula>
    </cfRule>
    <cfRule type="expression" dxfId="3497" priority="388">
      <formula>$A94="Neutral Section"</formula>
    </cfRule>
    <cfRule type="expression" dxfId="3496" priority="389">
      <formula>$A94="Tunnel"</formula>
    </cfRule>
    <cfRule type="expression" dxfId="3495" priority="390">
      <formula>$A94="Bridge"</formula>
    </cfRule>
    <cfRule type="expression" dxfId="3494" priority="391">
      <formula>$A94="Drainage Works"</formula>
    </cfRule>
    <cfRule type="expression" dxfId="3493" priority="392">
      <formula>$A94="Underpass"</formula>
    </cfRule>
    <cfRule type="expression" dxfId="3492" priority="393">
      <formula>$A94="Overcrossing"</formula>
    </cfRule>
    <cfRule type="expression" dxfId="3491" priority="394">
      <formula>$A94="Overpass"</formula>
    </cfRule>
    <cfRule type="expression" dxfId="3490" priority="395">
      <formula>$A94="Station"</formula>
    </cfRule>
    <cfRule type="expression" dxfId="3489" priority="396">
      <formula>$A94="Overlap between sections"</formula>
    </cfRule>
  </conditionalFormatting>
  <conditionalFormatting sqref="AX94">
    <cfRule type="expression" dxfId="3488" priority="383">
      <formula>$M94="NON DEFINED"</formula>
    </cfRule>
    <cfRule type="expression" dxfId="3487" priority="384">
      <formula>$AZ94="N.D."</formula>
    </cfRule>
    <cfRule type="expression" dxfId="3486" priority="385">
      <formula>$AY94="N.D."</formula>
    </cfRule>
  </conditionalFormatting>
  <conditionalFormatting sqref="AX94">
    <cfRule type="expression" dxfId="3485" priority="372">
      <formula>$A94="Overhead Cable"</formula>
    </cfRule>
    <cfRule type="expression" dxfId="3484" priority="373">
      <formula>$A94="Level Crossing"</formula>
    </cfRule>
    <cfRule type="expression" dxfId="3483" priority="374">
      <formula>$A94="Neutral Section"</formula>
    </cfRule>
    <cfRule type="expression" dxfId="3482" priority="375">
      <formula>$A94="Tunnel"</formula>
    </cfRule>
    <cfRule type="expression" dxfId="3481" priority="376">
      <formula>$A94="Bridge"</formula>
    </cfRule>
    <cfRule type="expression" dxfId="3480" priority="377">
      <formula>$A94="Drainage Works"</formula>
    </cfRule>
    <cfRule type="expression" dxfId="3479" priority="378">
      <formula>$A94="Underpass"</formula>
    </cfRule>
    <cfRule type="expression" dxfId="3478" priority="379">
      <formula>$A94="Overcrossing"</formula>
    </cfRule>
    <cfRule type="expression" dxfId="3477" priority="380">
      <formula>$A94="Overpass"</formula>
    </cfRule>
    <cfRule type="expression" dxfId="3476" priority="381">
      <formula>$A94="Station"</formula>
    </cfRule>
    <cfRule type="expression" dxfId="3475" priority="382">
      <formula>$A94="Overlap between sections"</formula>
    </cfRule>
  </conditionalFormatting>
  <conditionalFormatting sqref="AW96">
    <cfRule type="expression" dxfId="3474" priority="369">
      <formula>$M96="NON DEFINED"</formula>
    </cfRule>
    <cfRule type="expression" dxfId="3473" priority="370">
      <formula>$AZ96="N.D."</formula>
    </cfRule>
    <cfRule type="expression" dxfId="3472" priority="371">
      <formula>$AY96="N.D."</formula>
    </cfRule>
  </conditionalFormatting>
  <conditionalFormatting sqref="AW96">
    <cfRule type="expression" dxfId="3471" priority="358">
      <formula>$A96="Overhead Cable"</formula>
    </cfRule>
    <cfRule type="expression" dxfId="3470" priority="359">
      <formula>$A96="Level Crossing"</formula>
    </cfRule>
    <cfRule type="expression" dxfId="3469" priority="360">
      <formula>$A96="Neutral Section"</formula>
    </cfRule>
    <cfRule type="expression" dxfId="3468" priority="361">
      <formula>$A96="Tunnel"</formula>
    </cfRule>
    <cfRule type="expression" dxfId="3467" priority="362">
      <formula>$A96="Bridge"</formula>
    </cfRule>
    <cfRule type="expression" dxfId="3466" priority="363">
      <formula>$A96="Drainage Works"</formula>
    </cfRule>
    <cfRule type="expression" dxfId="3465" priority="364">
      <formula>$A96="Underpass"</formula>
    </cfRule>
    <cfRule type="expression" dxfId="3464" priority="365">
      <formula>$A96="Overcrossing"</formula>
    </cfRule>
    <cfRule type="expression" dxfId="3463" priority="366">
      <formula>$A96="Overpass"</formula>
    </cfRule>
    <cfRule type="expression" dxfId="3462" priority="367">
      <formula>$A96="Station"</formula>
    </cfRule>
    <cfRule type="expression" dxfId="3461" priority="368">
      <formula>$A96="Overlap between sections"</formula>
    </cfRule>
  </conditionalFormatting>
  <conditionalFormatting sqref="AX96">
    <cfRule type="expression" dxfId="3460" priority="355">
      <formula>$M96="NON DEFINED"</formula>
    </cfRule>
    <cfRule type="expression" dxfId="3459" priority="356">
      <formula>$AZ96="N.D."</formula>
    </cfRule>
    <cfRule type="expression" dxfId="3458" priority="357">
      <formula>$AY96="N.D."</formula>
    </cfRule>
  </conditionalFormatting>
  <conditionalFormatting sqref="AX96">
    <cfRule type="expression" dxfId="3457" priority="344">
      <formula>$A96="Overhead Cable"</formula>
    </cfRule>
    <cfRule type="expression" dxfId="3456" priority="345">
      <formula>$A96="Level Crossing"</formula>
    </cfRule>
    <cfRule type="expression" dxfId="3455" priority="346">
      <formula>$A96="Neutral Section"</formula>
    </cfRule>
    <cfRule type="expression" dxfId="3454" priority="347">
      <formula>$A96="Tunnel"</formula>
    </cfRule>
    <cfRule type="expression" dxfId="3453" priority="348">
      <formula>$A96="Bridge"</formula>
    </cfRule>
    <cfRule type="expression" dxfId="3452" priority="349">
      <formula>$A96="Drainage Works"</formula>
    </cfRule>
    <cfRule type="expression" dxfId="3451" priority="350">
      <formula>$A96="Underpass"</formula>
    </cfRule>
    <cfRule type="expression" dxfId="3450" priority="351">
      <formula>$A96="Overcrossing"</formula>
    </cfRule>
    <cfRule type="expression" dxfId="3449" priority="352">
      <formula>$A96="Overpass"</formula>
    </cfRule>
    <cfRule type="expression" dxfId="3448" priority="353">
      <formula>$A96="Station"</formula>
    </cfRule>
    <cfRule type="expression" dxfId="3447" priority="354">
      <formula>$A96="Overlap between sections"</formula>
    </cfRule>
  </conditionalFormatting>
  <conditionalFormatting sqref="AW98">
    <cfRule type="expression" dxfId="3446" priority="341">
      <formula>$M98="NON DEFINED"</formula>
    </cfRule>
    <cfRule type="expression" dxfId="3445" priority="342">
      <formula>$AZ98="N.D."</formula>
    </cfRule>
    <cfRule type="expression" dxfId="3444" priority="343">
      <formula>$AY98="N.D."</formula>
    </cfRule>
  </conditionalFormatting>
  <conditionalFormatting sqref="AW98">
    <cfRule type="expression" dxfId="3443" priority="330">
      <formula>$A98="Overhead Cable"</formula>
    </cfRule>
    <cfRule type="expression" dxfId="3442" priority="331">
      <formula>$A98="Level Crossing"</formula>
    </cfRule>
    <cfRule type="expression" dxfId="3441" priority="332">
      <formula>$A98="Neutral Section"</formula>
    </cfRule>
    <cfRule type="expression" dxfId="3440" priority="333">
      <formula>$A98="Tunnel"</formula>
    </cfRule>
    <cfRule type="expression" dxfId="3439" priority="334">
      <formula>$A98="Bridge"</formula>
    </cfRule>
    <cfRule type="expression" dxfId="3438" priority="335">
      <formula>$A98="Drainage Works"</formula>
    </cfRule>
    <cfRule type="expression" dxfId="3437" priority="336">
      <formula>$A98="Underpass"</formula>
    </cfRule>
    <cfRule type="expression" dxfId="3436" priority="337">
      <formula>$A98="Overcrossing"</formula>
    </cfRule>
    <cfRule type="expression" dxfId="3435" priority="338">
      <formula>$A98="Overpass"</formula>
    </cfRule>
    <cfRule type="expression" dxfId="3434" priority="339">
      <formula>$A98="Station"</formula>
    </cfRule>
    <cfRule type="expression" dxfId="3433" priority="340">
      <formula>$A98="Overlap between sections"</formula>
    </cfRule>
  </conditionalFormatting>
  <conditionalFormatting sqref="AX98">
    <cfRule type="expression" dxfId="3432" priority="327">
      <formula>$M98="NON DEFINED"</formula>
    </cfRule>
    <cfRule type="expression" dxfId="3431" priority="328">
      <formula>$AZ98="N.D."</formula>
    </cfRule>
    <cfRule type="expression" dxfId="3430" priority="329">
      <formula>$AY98="N.D."</formula>
    </cfRule>
  </conditionalFormatting>
  <conditionalFormatting sqref="AX98">
    <cfRule type="expression" dxfId="3429" priority="316">
      <formula>$A98="Overhead Cable"</formula>
    </cfRule>
    <cfRule type="expression" dxfId="3428" priority="317">
      <formula>$A98="Level Crossing"</formula>
    </cfRule>
    <cfRule type="expression" dxfId="3427" priority="318">
      <formula>$A98="Neutral Section"</formula>
    </cfRule>
    <cfRule type="expression" dxfId="3426" priority="319">
      <formula>$A98="Tunnel"</formula>
    </cfRule>
    <cfRule type="expression" dxfId="3425" priority="320">
      <formula>$A98="Bridge"</formula>
    </cfRule>
    <cfRule type="expression" dxfId="3424" priority="321">
      <formula>$A98="Drainage Works"</formula>
    </cfRule>
    <cfRule type="expression" dxfId="3423" priority="322">
      <formula>$A98="Underpass"</formula>
    </cfRule>
    <cfRule type="expression" dxfId="3422" priority="323">
      <formula>$A98="Overcrossing"</formula>
    </cfRule>
    <cfRule type="expression" dxfId="3421" priority="324">
      <formula>$A98="Overpass"</formula>
    </cfRule>
    <cfRule type="expression" dxfId="3420" priority="325">
      <formula>$A98="Station"</formula>
    </cfRule>
    <cfRule type="expression" dxfId="3419" priority="326">
      <formula>$A98="Overlap between sections"</formula>
    </cfRule>
  </conditionalFormatting>
  <conditionalFormatting sqref="AW100">
    <cfRule type="expression" dxfId="3418" priority="313">
      <formula>$M100="NON DEFINED"</formula>
    </cfRule>
    <cfRule type="expression" dxfId="3417" priority="314">
      <formula>$AZ100="N.D."</formula>
    </cfRule>
    <cfRule type="expression" dxfId="3416" priority="315">
      <formula>$AY100="N.D."</formula>
    </cfRule>
  </conditionalFormatting>
  <conditionalFormatting sqref="AW100">
    <cfRule type="expression" dxfId="3415" priority="302">
      <formula>$A100="Overhead Cable"</formula>
    </cfRule>
    <cfRule type="expression" dxfId="3414" priority="303">
      <formula>$A100="Level Crossing"</formula>
    </cfRule>
    <cfRule type="expression" dxfId="3413" priority="304">
      <formula>$A100="Neutral Section"</formula>
    </cfRule>
    <cfRule type="expression" dxfId="3412" priority="305">
      <formula>$A100="Tunnel"</formula>
    </cfRule>
    <cfRule type="expression" dxfId="3411" priority="306">
      <formula>$A100="Bridge"</formula>
    </cfRule>
    <cfRule type="expression" dxfId="3410" priority="307">
      <formula>$A100="Drainage Works"</formula>
    </cfRule>
    <cfRule type="expression" dxfId="3409" priority="308">
      <formula>$A100="Underpass"</formula>
    </cfRule>
    <cfRule type="expression" dxfId="3408" priority="309">
      <formula>$A100="Overcrossing"</formula>
    </cfRule>
    <cfRule type="expression" dxfId="3407" priority="310">
      <formula>$A100="Overpass"</formula>
    </cfRule>
    <cfRule type="expression" dxfId="3406" priority="311">
      <formula>$A100="Station"</formula>
    </cfRule>
    <cfRule type="expression" dxfId="3405" priority="312">
      <formula>$A100="Overlap between sections"</formula>
    </cfRule>
  </conditionalFormatting>
  <conditionalFormatting sqref="AX100">
    <cfRule type="expression" dxfId="3404" priority="299">
      <formula>$M100="NON DEFINED"</formula>
    </cfRule>
    <cfRule type="expression" dxfId="3403" priority="300">
      <formula>$AZ100="N.D."</formula>
    </cfRule>
    <cfRule type="expression" dxfId="3402" priority="301">
      <formula>$AY100="N.D."</formula>
    </cfRule>
  </conditionalFormatting>
  <conditionalFormatting sqref="AX100">
    <cfRule type="expression" dxfId="3401" priority="288">
      <formula>$A100="Overhead Cable"</formula>
    </cfRule>
    <cfRule type="expression" dxfId="3400" priority="289">
      <formula>$A100="Level Crossing"</formula>
    </cfRule>
    <cfRule type="expression" dxfId="3399" priority="290">
      <formula>$A100="Neutral Section"</formula>
    </cfRule>
    <cfRule type="expression" dxfId="3398" priority="291">
      <formula>$A100="Tunnel"</formula>
    </cfRule>
    <cfRule type="expression" dxfId="3397" priority="292">
      <formula>$A100="Bridge"</formula>
    </cfRule>
    <cfRule type="expression" dxfId="3396" priority="293">
      <formula>$A100="Drainage Works"</formula>
    </cfRule>
    <cfRule type="expression" dxfId="3395" priority="294">
      <formula>$A100="Underpass"</formula>
    </cfRule>
    <cfRule type="expression" dxfId="3394" priority="295">
      <formula>$A100="Overcrossing"</formula>
    </cfRule>
    <cfRule type="expression" dxfId="3393" priority="296">
      <formula>$A100="Overpass"</formula>
    </cfRule>
    <cfRule type="expression" dxfId="3392" priority="297">
      <formula>$A100="Station"</formula>
    </cfRule>
    <cfRule type="expression" dxfId="3391" priority="298">
      <formula>$A100="Overlap between sections"</formula>
    </cfRule>
  </conditionalFormatting>
  <conditionalFormatting sqref="AW102">
    <cfRule type="expression" dxfId="3390" priority="285">
      <formula>$M102="NON DEFINED"</formula>
    </cfRule>
    <cfRule type="expression" dxfId="3389" priority="286">
      <formula>$AZ102="N.D."</formula>
    </cfRule>
    <cfRule type="expression" dxfId="3388" priority="287">
      <formula>$AY102="N.D."</formula>
    </cfRule>
  </conditionalFormatting>
  <conditionalFormatting sqref="AW102">
    <cfRule type="expression" dxfId="3387" priority="274">
      <formula>$A102="Overhead Cable"</formula>
    </cfRule>
    <cfRule type="expression" dxfId="3386" priority="275">
      <formula>$A102="Level Crossing"</formula>
    </cfRule>
    <cfRule type="expression" dxfId="3385" priority="276">
      <formula>$A102="Neutral Section"</formula>
    </cfRule>
    <cfRule type="expression" dxfId="3384" priority="277">
      <formula>$A102="Tunnel"</formula>
    </cfRule>
    <cfRule type="expression" dxfId="3383" priority="278">
      <formula>$A102="Bridge"</formula>
    </cfRule>
    <cfRule type="expression" dxfId="3382" priority="279">
      <formula>$A102="Drainage Works"</formula>
    </cfRule>
    <cfRule type="expression" dxfId="3381" priority="280">
      <formula>$A102="Underpass"</formula>
    </cfRule>
    <cfRule type="expression" dxfId="3380" priority="281">
      <formula>$A102="Overcrossing"</formula>
    </cfRule>
    <cfRule type="expression" dxfId="3379" priority="282">
      <formula>$A102="Overpass"</formula>
    </cfRule>
    <cfRule type="expression" dxfId="3378" priority="283">
      <formula>$A102="Station"</formula>
    </cfRule>
    <cfRule type="expression" dxfId="3377" priority="284">
      <formula>$A102="Overlap between sections"</formula>
    </cfRule>
  </conditionalFormatting>
  <conditionalFormatting sqref="AX102">
    <cfRule type="expression" dxfId="3376" priority="271">
      <formula>$M102="NON DEFINED"</formula>
    </cfRule>
    <cfRule type="expression" dxfId="3375" priority="272">
      <formula>$AZ102="N.D."</formula>
    </cfRule>
    <cfRule type="expression" dxfId="3374" priority="273">
      <formula>$AY102="N.D."</formula>
    </cfRule>
  </conditionalFormatting>
  <conditionalFormatting sqref="AX102">
    <cfRule type="expression" dxfId="3373" priority="260">
      <formula>$A102="Overhead Cable"</formula>
    </cfRule>
    <cfRule type="expression" dxfId="3372" priority="261">
      <formula>$A102="Level Crossing"</formula>
    </cfRule>
    <cfRule type="expression" dxfId="3371" priority="262">
      <formula>$A102="Neutral Section"</formula>
    </cfRule>
    <cfRule type="expression" dxfId="3370" priority="263">
      <formula>$A102="Tunnel"</formula>
    </cfRule>
    <cfRule type="expression" dxfId="3369" priority="264">
      <formula>$A102="Bridge"</formula>
    </cfRule>
    <cfRule type="expression" dxfId="3368" priority="265">
      <formula>$A102="Drainage Works"</formula>
    </cfRule>
    <cfRule type="expression" dxfId="3367" priority="266">
      <formula>$A102="Underpass"</formula>
    </cfRule>
    <cfRule type="expression" dxfId="3366" priority="267">
      <formula>$A102="Overcrossing"</formula>
    </cfRule>
    <cfRule type="expression" dxfId="3365" priority="268">
      <formula>$A102="Overpass"</formula>
    </cfRule>
    <cfRule type="expression" dxfId="3364" priority="269">
      <formula>$A102="Station"</formula>
    </cfRule>
    <cfRule type="expression" dxfId="3363" priority="270">
      <formula>$A102="Overlap between sections"</formula>
    </cfRule>
  </conditionalFormatting>
  <conditionalFormatting sqref="AW104">
    <cfRule type="expression" dxfId="3362" priority="257">
      <formula>$M104="NON DEFINED"</formula>
    </cfRule>
    <cfRule type="expression" dxfId="3361" priority="258">
      <formula>$AZ104="N.D."</formula>
    </cfRule>
    <cfRule type="expression" dxfId="3360" priority="259">
      <formula>$AY104="N.D."</formula>
    </cfRule>
  </conditionalFormatting>
  <conditionalFormatting sqref="AW104">
    <cfRule type="expression" dxfId="3359" priority="246">
      <formula>$A104="Overhead Cable"</formula>
    </cfRule>
    <cfRule type="expression" dxfId="3358" priority="247">
      <formula>$A104="Level Crossing"</formula>
    </cfRule>
    <cfRule type="expression" dxfId="3357" priority="248">
      <formula>$A104="Neutral Section"</formula>
    </cfRule>
    <cfRule type="expression" dxfId="3356" priority="249">
      <formula>$A104="Tunnel"</formula>
    </cfRule>
    <cfRule type="expression" dxfId="3355" priority="250">
      <formula>$A104="Bridge"</formula>
    </cfRule>
    <cfRule type="expression" dxfId="3354" priority="251">
      <formula>$A104="Drainage Works"</formula>
    </cfRule>
    <cfRule type="expression" dxfId="3353" priority="252">
      <formula>$A104="Underpass"</formula>
    </cfRule>
    <cfRule type="expression" dxfId="3352" priority="253">
      <formula>$A104="Overcrossing"</formula>
    </cfRule>
    <cfRule type="expression" dxfId="3351" priority="254">
      <formula>$A104="Overpass"</formula>
    </cfRule>
    <cfRule type="expression" dxfId="3350" priority="255">
      <formula>$A104="Station"</formula>
    </cfRule>
    <cfRule type="expression" dxfId="3349" priority="256">
      <formula>$A104="Overlap between sections"</formula>
    </cfRule>
  </conditionalFormatting>
  <conditionalFormatting sqref="AX104">
    <cfRule type="expression" dxfId="3348" priority="243">
      <formula>$M104="NON DEFINED"</formula>
    </cfRule>
    <cfRule type="expression" dxfId="3347" priority="244">
      <formula>$AZ104="N.D."</formula>
    </cfRule>
    <cfRule type="expression" dxfId="3346" priority="245">
      <formula>$AY104="N.D."</formula>
    </cfRule>
  </conditionalFormatting>
  <conditionalFormatting sqref="AX104">
    <cfRule type="expression" dxfId="3345" priority="232">
      <formula>$A104="Overhead Cable"</formula>
    </cfRule>
    <cfRule type="expression" dxfId="3344" priority="233">
      <formula>$A104="Level Crossing"</formula>
    </cfRule>
    <cfRule type="expression" dxfId="3343" priority="234">
      <formula>$A104="Neutral Section"</formula>
    </cfRule>
    <cfRule type="expression" dxfId="3342" priority="235">
      <formula>$A104="Tunnel"</formula>
    </cfRule>
    <cfRule type="expression" dxfId="3341" priority="236">
      <formula>$A104="Bridge"</formula>
    </cfRule>
    <cfRule type="expression" dxfId="3340" priority="237">
      <formula>$A104="Drainage Works"</formula>
    </cfRule>
    <cfRule type="expression" dxfId="3339" priority="238">
      <formula>$A104="Underpass"</formula>
    </cfRule>
    <cfRule type="expression" dxfId="3338" priority="239">
      <formula>$A104="Overcrossing"</formula>
    </cfRule>
    <cfRule type="expression" dxfId="3337" priority="240">
      <formula>$A104="Overpass"</formula>
    </cfRule>
    <cfRule type="expression" dxfId="3336" priority="241">
      <formula>$A104="Station"</formula>
    </cfRule>
    <cfRule type="expression" dxfId="3335" priority="242">
      <formula>$A104="Overlap between sections"</formula>
    </cfRule>
  </conditionalFormatting>
  <conditionalFormatting sqref="AM34">
    <cfRule type="expression" dxfId="3334" priority="4898">
      <formula>$M32="NON DEFINED"</formula>
    </cfRule>
    <cfRule type="expression" dxfId="3333" priority="4899">
      <formula>$AZ32="N.D."</formula>
    </cfRule>
    <cfRule type="expression" dxfId="3332" priority="4900">
      <formula>$AY32="N.D."</formula>
    </cfRule>
  </conditionalFormatting>
  <conditionalFormatting sqref="AM34">
    <cfRule type="expression" dxfId="3331" priority="4915">
      <formula>$A32="Overhead Cable"</formula>
    </cfRule>
    <cfRule type="expression" dxfId="3330" priority="4916">
      <formula>$A32="Level Crossing"</formula>
    </cfRule>
    <cfRule type="expression" dxfId="3329" priority="4917">
      <formula>$A32="Neutral Section"</formula>
    </cfRule>
    <cfRule type="expression" dxfId="3328" priority="4918">
      <formula>$A32="Tunnel"</formula>
    </cfRule>
    <cfRule type="expression" dxfId="3327" priority="4919">
      <formula>$A32="Bridge"</formula>
    </cfRule>
    <cfRule type="expression" dxfId="3326" priority="4920">
      <formula>$A32="Drainage Works"</formula>
    </cfRule>
    <cfRule type="expression" dxfId="3325" priority="4921">
      <formula>$A32="Underpass"</formula>
    </cfRule>
    <cfRule type="expression" dxfId="3324" priority="4922">
      <formula>$A32="Overcrossing"</formula>
    </cfRule>
    <cfRule type="expression" dxfId="3323" priority="4923">
      <formula>$A32="Overpass"</formula>
    </cfRule>
    <cfRule type="expression" dxfId="3322" priority="4924">
      <formula>$A32="Station"</formula>
    </cfRule>
    <cfRule type="expression" dxfId="3321" priority="4925">
      <formula>$A32="Overlap between sections"</formula>
    </cfRule>
  </conditionalFormatting>
  <conditionalFormatting sqref="AM38">
    <cfRule type="expression" dxfId="3320" priority="190">
      <formula>$M36="NON DEFINED"</formula>
    </cfRule>
    <cfRule type="expression" dxfId="3319" priority="191">
      <formula>$AZ36="N.D."</formula>
    </cfRule>
    <cfRule type="expression" dxfId="3318" priority="192">
      <formula>$AY36="N.D."</formula>
    </cfRule>
  </conditionalFormatting>
  <conditionalFormatting sqref="AM38">
    <cfRule type="expression" dxfId="3317" priority="193">
      <formula>$A36="Overhead Cable"</formula>
    </cfRule>
    <cfRule type="expression" dxfId="3316" priority="194">
      <formula>$A36="Level Crossing"</formula>
    </cfRule>
    <cfRule type="expression" dxfId="3315" priority="195">
      <formula>$A36="Neutral Section"</formula>
    </cfRule>
    <cfRule type="expression" dxfId="3314" priority="196">
      <formula>$A36="Tunnel"</formula>
    </cfRule>
    <cfRule type="expression" dxfId="3313" priority="197">
      <formula>$A36="Bridge"</formula>
    </cfRule>
    <cfRule type="expression" dxfId="3312" priority="198">
      <formula>$A36="Drainage Works"</formula>
    </cfRule>
    <cfRule type="expression" dxfId="3311" priority="199">
      <formula>$A36="Underpass"</formula>
    </cfRule>
    <cfRule type="expression" dxfId="3310" priority="200">
      <formula>$A36="Overcrossing"</formula>
    </cfRule>
    <cfRule type="expression" dxfId="3309" priority="201">
      <formula>$A36="Overpass"</formula>
    </cfRule>
    <cfRule type="expression" dxfId="3308" priority="202">
      <formula>$A36="Station"</formula>
    </cfRule>
    <cfRule type="expression" dxfId="3307" priority="203">
      <formula>$A36="Overlap between sections"</formula>
    </cfRule>
  </conditionalFormatting>
  <conditionalFormatting sqref="AM40">
    <cfRule type="expression" dxfId="3306" priority="176">
      <formula>$M38="NON DEFINED"</formula>
    </cfRule>
    <cfRule type="expression" dxfId="3305" priority="177">
      <formula>$AZ38="N.D."</formula>
    </cfRule>
    <cfRule type="expression" dxfId="3304" priority="178">
      <formula>$AY38="N.D."</formula>
    </cfRule>
  </conditionalFormatting>
  <conditionalFormatting sqref="AM40">
    <cfRule type="expression" dxfId="3303" priority="179">
      <formula>$A38="Overhead Cable"</formula>
    </cfRule>
    <cfRule type="expression" dxfId="3302" priority="180">
      <formula>$A38="Level Crossing"</formula>
    </cfRule>
    <cfRule type="expression" dxfId="3301" priority="181">
      <formula>$A38="Neutral Section"</formula>
    </cfRule>
    <cfRule type="expression" dxfId="3300" priority="182">
      <formula>$A38="Tunnel"</formula>
    </cfRule>
    <cfRule type="expression" dxfId="3299" priority="183">
      <formula>$A38="Bridge"</formula>
    </cfRule>
    <cfRule type="expression" dxfId="3298" priority="184">
      <formula>$A38="Drainage Works"</formula>
    </cfRule>
    <cfRule type="expression" dxfId="3297" priority="185">
      <formula>$A38="Underpass"</formula>
    </cfRule>
    <cfRule type="expression" dxfId="3296" priority="186">
      <formula>$A38="Overcrossing"</formula>
    </cfRule>
    <cfRule type="expression" dxfId="3295" priority="187">
      <formula>$A38="Overpass"</formula>
    </cfRule>
    <cfRule type="expression" dxfId="3294" priority="188">
      <formula>$A38="Station"</formula>
    </cfRule>
    <cfRule type="expression" dxfId="3293" priority="189">
      <formula>$A38="Overlap between sections"</formula>
    </cfRule>
  </conditionalFormatting>
  <conditionalFormatting sqref="AM42">
    <cfRule type="expression" dxfId="3292" priority="162">
      <formula>$M40="NON DEFINED"</formula>
    </cfRule>
    <cfRule type="expression" dxfId="3291" priority="163">
      <formula>$AZ40="N.D."</formula>
    </cfRule>
    <cfRule type="expression" dxfId="3290" priority="164">
      <formula>$AY40="N.D."</formula>
    </cfRule>
  </conditionalFormatting>
  <conditionalFormatting sqref="AM42">
    <cfRule type="expression" dxfId="3289" priority="165">
      <formula>$A40="Overhead Cable"</formula>
    </cfRule>
    <cfRule type="expression" dxfId="3288" priority="166">
      <formula>$A40="Level Crossing"</formula>
    </cfRule>
    <cfRule type="expression" dxfId="3287" priority="167">
      <formula>$A40="Neutral Section"</formula>
    </cfRule>
    <cfRule type="expression" dxfId="3286" priority="168">
      <formula>$A40="Tunnel"</formula>
    </cfRule>
    <cfRule type="expression" dxfId="3285" priority="169">
      <formula>$A40="Bridge"</formula>
    </cfRule>
    <cfRule type="expression" dxfId="3284" priority="170">
      <formula>$A40="Drainage Works"</formula>
    </cfRule>
    <cfRule type="expression" dxfId="3283" priority="171">
      <formula>$A40="Underpass"</formula>
    </cfRule>
    <cfRule type="expression" dxfId="3282" priority="172">
      <formula>$A40="Overcrossing"</formula>
    </cfRule>
    <cfRule type="expression" dxfId="3281" priority="173">
      <formula>$A40="Overpass"</formula>
    </cfRule>
    <cfRule type="expression" dxfId="3280" priority="174">
      <formula>$A40="Station"</formula>
    </cfRule>
    <cfRule type="expression" dxfId="3279" priority="175">
      <formula>$A40="Overlap between sections"</formula>
    </cfRule>
  </conditionalFormatting>
  <conditionalFormatting sqref="AM44">
    <cfRule type="expression" dxfId="3278" priority="145">
      <formula>$M44="NON DEFINED"</formula>
    </cfRule>
    <cfRule type="expression" dxfId="3277" priority="146">
      <formula>$AZ44="N.D."</formula>
    </cfRule>
    <cfRule type="expression" dxfId="3276" priority="147">
      <formula>$AY44="N.D."</formula>
    </cfRule>
  </conditionalFormatting>
  <conditionalFormatting sqref="AM44">
    <cfRule type="expression" dxfId="3275" priority="134">
      <formula>$A44="Overhead Cable"</formula>
    </cfRule>
    <cfRule type="expression" dxfId="3274" priority="135">
      <formula>$A44="Level Crossing"</formula>
    </cfRule>
    <cfRule type="expression" dxfId="3273" priority="136">
      <formula>$A44="Neutral Section"</formula>
    </cfRule>
    <cfRule type="expression" dxfId="3272" priority="137">
      <formula>$A44="Tunnel"</formula>
    </cfRule>
    <cfRule type="expression" dxfId="3271" priority="138">
      <formula>$A44="Bridge"</formula>
    </cfRule>
    <cfRule type="expression" dxfId="3270" priority="139">
      <formula>$A44="Drainage Works"</formula>
    </cfRule>
    <cfRule type="expression" dxfId="3269" priority="140">
      <formula>$A44="Underpass"</formula>
    </cfRule>
    <cfRule type="expression" dxfId="3268" priority="141">
      <formula>$A44="Overcrossing"</formula>
    </cfRule>
    <cfRule type="expression" dxfId="3267" priority="142">
      <formula>$A44="Overpass"</formula>
    </cfRule>
    <cfRule type="expression" dxfId="3266" priority="143">
      <formula>$A44="Station"</formula>
    </cfRule>
    <cfRule type="expression" dxfId="3265" priority="144">
      <formula>$A44="Overlap between sections"</formula>
    </cfRule>
  </conditionalFormatting>
  <conditionalFormatting sqref="AM35:AM37">
    <cfRule type="expression" dxfId="3264" priority="78">
      <formula>$M33="NON DEFINED"</formula>
    </cfRule>
    <cfRule type="expression" dxfId="3263" priority="79">
      <formula>$AZ33="N.D."</formula>
    </cfRule>
    <cfRule type="expression" dxfId="3262" priority="80">
      <formula>$AY33="N.D."</formula>
    </cfRule>
  </conditionalFormatting>
  <conditionalFormatting sqref="AM35:AM37">
    <cfRule type="expression" dxfId="3261" priority="81">
      <formula>$A33="Overhead Cable"</formula>
    </cfRule>
    <cfRule type="expression" dxfId="3260" priority="82">
      <formula>$A33="Level Crossing"</formula>
    </cfRule>
    <cfRule type="expression" dxfId="3259" priority="83">
      <formula>$A33="Neutral Section"</formula>
    </cfRule>
    <cfRule type="expression" dxfId="3258" priority="84">
      <formula>$A33="Tunnel"</formula>
    </cfRule>
    <cfRule type="expression" dxfId="3257" priority="85">
      <formula>$A33="Bridge"</formula>
    </cfRule>
    <cfRule type="expression" dxfId="3256" priority="86">
      <formula>$A33="Drainage Works"</formula>
    </cfRule>
    <cfRule type="expression" dxfId="3255" priority="87">
      <formula>$A33="Underpass"</formula>
    </cfRule>
    <cfRule type="expression" dxfId="3254" priority="88">
      <formula>$A33="Overcrossing"</formula>
    </cfRule>
    <cfRule type="expression" dxfId="3253" priority="89">
      <formula>$A33="Overpass"</formula>
    </cfRule>
    <cfRule type="expression" dxfId="3252" priority="90">
      <formula>$A33="Station"</formula>
    </cfRule>
    <cfRule type="expression" dxfId="3251" priority="91">
      <formula>$A33="Overlap between sections"</formula>
    </cfRule>
  </conditionalFormatting>
  <conditionalFormatting sqref="N76">
    <cfRule type="expression" dxfId="3250" priority="67">
      <formula>$A76="Overhead Cable"</formula>
    </cfRule>
    <cfRule type="expression" dxfId="3249" priority="68">
      <formula>$A76="Level Crossing"</formula>
    </cfRule>
    <cfRule type="expression" dxfId="3248" priority="69">
      <formula>$A76="Neutral Section"</formula>
    </cfRule>
    <cfRule type="expression" dxfId="3247" priority="70">
      <formula>$A76="Tunnel"</formula>
    </cfRule>
    <cfRule type="expression" dxfId="3246" priority="71">
      <formula>$A76="Bridge"</formula>
    </cfRule>
    <cfRule type="expression" dxfId="3245" priority="72">
      <formula>$A76="Drainage Works"</formula>
    </cfRule>
    <cfRule type="expression" dxfId="3244" priority="73">
      <formula>$A76="Underpass"</formula>
    </cfRule>
    <cfRule type="expression" dxfId="3243" priority="74">
      <formula>$A76="Overcrossing"</formula>
    </cfRule>
    <cfRule type="expression" dxfId="3242" priority="75">
      <formula>$A76="Overpass"</formula>
    </cfRule>
    <cfRule type="expression" dxfId="3241" priority="76">
      <formula>$A76="Station"</formula>
    </cfRule>
    <cfRule type="expression" dxfId="3240" priority="77">
      <formula>$A76="Overlap between sections"</formula>
    </cfRule>
  </conditionalFormatting>
  <conditionalFormatting sqref="AC74">
    <cfRule type="expression" dxfId="3239" priority="56">
      <formula>$A74="Overhead Cable"</formula>
    </cfRule>
    <cfRule type="expression" dxfId="3238" priority="57">
      <formula>$A74="Level Crossing"</formula>
    </cfRule>
    <cfRule type="expression" dxfId="3237" priority="58">
      <formula>$A74="Neutral Section"</formula>
    </cfRule>
    <cfRule type="expression" dxfId="3236" priority="59">
      <formula>$A74="Tunnel"</formula>
    </cfRule>
    <cfRule type="expression" dxfId="3235" priority="60">
      <formula>$A74="Bridge"</formula>
    </cfRule>
    <cfRule type="expression" dxfId="3234" priority="61">
      <formula>$A74="Drainage Works"</formula>
    </cfRule>
    <cfRule type="expression" dxfId="3233" priority="62">
      <formula>$A74="Underpass"</formula>
    </cfRule>
    <cfRule type="expression" dxfId="3232" priority="63">
      <formula>$A74="Overcrossing"</formula>
    </cfRule>
    <cfRule type="expression" dxfId="3231" priority="64">
      <formula>$A74="Overpass"</formula>
    </cfRule>
    <cfRule type="expression" dxfId="3230" priority="65">
      <formula>$A74="Station"</formula>
    </cfRule>
    <cfRule type="expression" dxfId="3229" priority="66">
      <formula>$A74="Overlap between sections"</formula>
    </cfRule>
  </conditionalFormatting>
  <conditionalFormatting sqref="AD74">
    <cfRule type="expression" dxfId="3228" priority="45">
      <formula>$A74="Overhead Cable"</formula>
    </cfRule>
    <cfRule type="expression" dxfId="3227" priority="46">
      <formula>$A74="Level Crossing"</formula>
    </cfRule>
    <cfRule type="expression" dxfId="3226" priority="47">
      <formula>$A74="Neutral Section"</formula>
    </cfRule>
    <cfRule type="expression" dxfId="3225" priority="48">
      <formula>$A74="Tunnel"</formula>
    </cfRule>
    <cfRule type="expression" dxfId="3224" priority="49">
      <formula>$A74="Bridge"</formula>
    </cfRule>
    <cfRule type="expression" dxfId="3223" priority="50">
      <formula>$A74="Drainage Works"</formula>
    </cfRule>
    <cfRule type="expression" dxfId="3222" priority="51">
      <formula>$A74="Underpass"</formula>
    </cfRule>
    <cfRule type="expression" dxfId="3221" priority="52">
      <formula>$A74="Overcrossing"</formula>
    </cfRule>
    <cfRule type="expression" dxfId="3220" priority="53">
      <formula>$A74="Overpass"</formula>
    </cfRule>
    <cfRule type="expression" dxfId="3219" priority="54">
      <formula>$A74="Station"</formula>
    </cfRule>
    <cfRule type="expression" dxfId="3218" priority="55">
      <formula>$A74="Overlap between sections"</formula>
    </cfRule>
  </conditionalFormatting>
  <conditionalFormatting sqref="AD74">
    <cfRule type="expression" dxfId="3217" priority="34">
      <formula>$A74="Overhead Cable"</formula>
    </cfRule>
    <cfRule type="expression" dxfId="3216" priority="35">
      <formula>$A74="Level Crossing"</formula>
    </cfRule>
    <cfRule type="expression" dxfId="3215" priority="36">
      <formula>$A74="Neutral Section"</formula>
    </cfRule>
    <cfRule type="expression" dxfId="3214" priority="37">
      <formula>$A74="Tunnel"</formula>
    </cfRule>
    <cfRule type="expression" dxfId="3213" priority="38">
      <formula>$A74="Bridge"</formula>
    </cfRule>
    <cfRule type="expression" dxfId="3212" priority="39">
      <formula>$A74="Drainage Works"</formula>
    </cfRule>
    <cfRule type="expression" dxfId="3211" priority="40">
      <formula>$A74="Underpass"</formula>
    </cfRule>
    <cfRule type="expression" dxfId="3210" priority="41">
      <formula>$A74="Overcrossing"</formula>
    </cfRule>
    <cfRule type="expression" dxfId="3209" priority="42">
      <formula>$A74="Overpass"</formula>
    </cfRule>
    <cfRule type="expression" dxfId="3208" priority="43">
      <formula>$A74="Station"</formula>
    </cfRule>
    <cfRule type="expression" dxfId="3207" priority="44">
      <formula>$A74="Overlap between sections"</formula>
    </cfRule>
  </conditionalFormatting>
  <conditionalFormatting sqref="AC76">
    <cfRule type="expression" dxfId="3206" priority="23">
      <formula>$A76="Overhead Cable"</formula>
    </cfRule>
    <cfRule type="expression" dxfId="3205" priority="24">
      <formula>$A76="Level Crossing"</formula>
    </cfRule>
    <cfRule type="expression" dxfId="3204" priority="25">
      <formula>$A76="Neutral Section"</formula>
    </cfRule>
    <cfRule type="expression" dxfId="3203" priority="26">
      <formula>$A76="Tunnel"</formula>
    </cfRule>
    <cfRule type="expression" dxfId="3202" priority="27">
      <formula>$A76="Bridge"</formula>
    </cfRule>
    <cfRule type="expression" dxfId="3201" priority="28">
      <formula>$A76="Drainage Works"</formula>
    </cfRule>
    <cfRule type="expression" dxfId="3200" priority="29">
      <formula>$A76="Underpass"</formula>
    </cfRule>
    <cfRule type="expression" dxfId="3199" priority="30">
      <formula>$A76="Overcrossing"</formula>
    </cfRule>
    <cfRule type="expression" dxfId="3198" priority="31">
      <formula>$A76="Overpass"</formula>
    </cfRule>
    <cfRule type="expression" dxfId="3197" priority="32">
      <formula>$A76="Station"</formula>
    </cfRule>
    <cfRule type="expression" dxfId="3196" priority="33">
      <formula>$A76="Overlap between sections"</formula>
    </cfRule>
  </conditionalFormatting>
  <conditionalFormatting sqref="AC76">
    <cfRule type="expression" dxfId="3195" priority="12">
      <formula>$A76="Overhead Cable"</formula>
    </cfRule>
    <cfRule type="expression" dxfId="3194" priority="13">
      <formula>$A76="Level Crossing"</formula>
    </cfRule>
    <cfRule type="expression" dxfId="3193" priority="14">
      <formula>$A76="Neutral Section"</formula>
    </cfRule>
    <cfRule type="expression" dxfId="3192" priority="15">
      <formula>$A76="Tunnel"</formula>
    </cfRule>
    <cfRule type="expression" dxfId="3191" priority="16">
      <formula>$A76="Bridge"</formula>
    </cfRule>
    <cfRule type="expression" dxfId="3190" priority="17">
      <formula>$A76="Drainage Works"</formula>
    </cfRule>
    <cfRule type="expression" dxfId="3189" priority="18">
      <formula>$A76="Underpass"</formula>
    </cfRule>
    <cfRule type="expression" dxfId="3188" priority="19">
      <formula>$A76="Overcrossing"</formula>
    </cfRule>
    <cfRule type="expression" dxfId="3187" priority="20">
      <formula>$A76="Overpass"</formula>
    </cfRule>
    <cfRule type="expression" dxfId="3186" priority="21">
      <formula>$A76="Station"</formula>
    </cfRule>
    <cfRule type="expression" dxfId="3185" priority="22">
      <formula>$A76="Overlap between sections"</formula>
    </cfRule>
  </conditionalFormatting>
  <conditionalFormatting sqref="AC76">
    <cfRule type="expression" dxfId="3184" priority="1">
      <formula>$A76="Overhead Cable"</formula>
    </cfRule>
    <cfRule type="expression" dxfId="3183" priority="2">
      <formula>$A76="Level Crossing"</formula>
    </cfRule>
    <cfRule type="expression" dxfId="3182" priority="3">
      <formula>$A76="Neutral Section"</formula>
    </cfRule>
    <cfRule type="expression" dxfId="3181" priority="4">
      <formula>$A76="Tunnel"</formula>
    </cfRule>
    <cfRule type="expression" dxfId="3180" priority="5">
      <formula>$A76="Bridge"</formula>
    </cfRule>
    <cfRule type="expression" dxfId="3179" priority="6">
      <formula>$A76="Drainage Works"</formula>
    </cfRule>
    <cfRule type="expression" dxfId="3178" priority="7">
      <formula>$A76="Underpass"</formula>
    </cfRule>
    <cfRule type="expression" dxfId="3177" priority="8">
      <formula>$A76="Overcrossing"</formula>
    </cfRule>
    <cfRule type="expression" dxfId="3176" priority="9">
      <formula>$A76="Overpass"</formula>
    </cfRule>
    <cfRule type="expression" dxfId="3175" priority="10">
      <formula>$A76="Station"</formula>
    </cfRule>
    <cfRule type="expression" dxfId="3174" priority="11">
      <formula>$A76="Overlap between sections"</formula>
    </cfRule>
  </conditionalFormatting>
  <printOptions horizontalCentered="1" gridLines="1"/>
  <pageMargins left="0.39370078740157483" right="0.39370078740157483" top="0.78740157480314965" bottom="0.78740157480314965" header="0.31496062992125984" footer="0.31496062992125984"/>
  <pageSetup paperSize="9" scale="53" fitToHeight="0" orientation="landscape" r:id="rId1"/>
  <headerFooter alignWithMargins="0">
    <oddHeader>&amp;L&amp;G&amp;C
LAYOUT AND EQUIPMENT
EP 11A TRACK 4 PMO
KP 03+100 to 00+099&amp;R&amp;G</oddHeader>
    <oddFooter>&amp;L&amp;G
&amp;F&amp;C&amp;D&amp;RPag &amp;P of &amp;N</oddFooter>
  </headerFooter>
  <legacyDrawing r:id="rId2"/>
  <legacyDrawingHF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tabColor theme="3" tint="0.59999389629810485"/>
    <pageSetUpPr fitToPage="1"/>
  </sheetPr>
  <dimension ref="A1:BK800"/>
  <sheetViews>
    <sheetView showGridLines="0" view="pageBreakPreview" zoomScale="80" zoomScaleNormal="80" zoomScaleSheetLayoutView="80" workbookViewId="0">
      <pane xSplit="3" ySplit="3" topLeftCell="F112" activePane="bottomRight" state="frozen"/>
      <selection activeCell="C42" sqref="C42"/>
      <selection pane="topRight" activeCell="C42" sqref="C42"/>
      <selection pane="bottomLeft" activeCell="C42" sqref="C42"/>
      <selection pane="bottomRight" activeCell="C42" sqref="C42"/>
    </sheetView>
  </sheetViews>
  <sheetFormatPr baseColWidth="10" defaultColWidth="11.44140625" defaultRowHeight="15.75" customHeight="1"/>
  <cols>
    <col min="1" max="1" width="20.6640625" style="16" customWidth="1"/>
    <col min="2" max="2" width="12.6640625" style="16" customWidth="1"/>
    <col min="3" max="3" width="12.6640625" style="20" customWidth="1"/>
    <col min="4" max="5" width="12.6640625" style="16" hidden="1" customWidth="1"/>
    <col min="6" max="7" width="12.6640625" style="16" customWidth="1"/>
    <col min="8" max="8" width="18.6640625" style="16" customWidth="1"/>
    <col min="9" max="9" width="12.6640625" style="16" customWidth="1"/>
    <col min="10" max="10" width="12.6640625" style="20" customWidth="1"/>
    <col min="11" max="11" width="12.6640625" style="16" customWidth="1"/>
    <col min="12" max="13" width="14.6640625" style="16" customWidth="1"/>
    <col min="14" max="16" width="8.6640625" style="16" hidden="1" customWidth="1"/>
    <col min="17" max="19" width="12.6640625" style="16" hidden="1" customWidth="1"/>
    <col min="20" max="28" width="8.6640625" style="16" hidden="1" customWidth="1"/>
    <col min="29" max="31" width="10.6640625" style="16" hidden="1" customWidth="1"/>
    <col min="32" max="36" width="12.6640625" style="16" hidden="1" customWidth="1"/>
    <col min="37" max="38" width="12.6640625" style="16" customWidth="1"/>
    <col min="39" max="39" width="12.6640625" style="16" hidden="1" customWidth="1"/>
    <col min="40" max="45" width="8.6640625" style="8" hidden="1" customWidth="1"/>
    <col min="46" max="46" width="8.6640625" style="18" hidden="1" customWidth="1"/>
    <col min="47" max="48" width="8.6640625" style="8" hidden="1" customWidth="1"/>
    <col min="49" max="52" width="12.6640625" style="8" customWidth="1"/>
    <col min="53" max="55" width="4.6640625" style="8" customWidth="1"/>
    <col min="56" max="56" width="21.6640625" style="16" customWidth="1"/>
    <col min="57" max="57" width="16.33203125" style="8" customWidth="1"/>
    <col min="58" max="61" width="14" style="8" customWidth="1"/>
    <col min="62" max="16384" width="11.44140625" style="16"/>
  </cols>
  <sheetData>
    <row r="1" spans="1:63" s="454" customFormat="1" ht="35.25" customHeight="1" thickBot="1">
      <c r="A1" s="738" t="s">
        <v>2391</v>
      </c>
      <c r="B1" s="739"/>
      <c r="C1" s="739"/>
      <c r="D1" s="739"/>
      <c r="E1" s="739"/>
      <c r="F1" s="739"/>
      <c r="G1" s="739"/>
      <c r="H1" s="739"/>
      <c r="I1" s="739"/>
      <c r="J1" s="739"/>
      <c r="K1" s="739"/>
      <c r="L1" s="739"/>
      <c r="M1" s="739"/>
      <c r="N1" s="739"/>
      <c r="O1" s="739"/>
      <c r="P1" s="739"/>
      <c r="Q1" s="739"/>
      <c r="R1" s="739"/>
      <c r="S1" s="739"/>
      <c r="T1" s="739"/>
      <c r="U1" s="739"/>
      <c r="V1" s="739"/>
      <c r="W1" s="739"/>
      <c r="X1" s="739"/>
      <c r="Y1" s="739"/>
      <c r="Z1" s="739"/>
      <c r="AA1" s="739"/>
      <c r="AB1" s="739"/>
      <c r="AC1" s="739"/>
      <c r="AD1" s="739"/>
      <c r="AE1" s="739"/>
      <c r="AF1" s="739"/>
      <c r="AG1" s="739"/>
      <c r="AH1" s="739"/>
      <c r="AI1" s="739"/>
      <c r="AJ1" s="739"/>
      <c r="AK1" s="739"/>
      <c r="AL1" s="739"/>
      <c r="AM1" s="739"/>
      <c r="AN1" s="739"/>
      <c r="AO1" s="739"/>
      <c r="AP1" s="739"/>
      <c r="AQ1" s="739"/>
      <c r="AR1" s="739"/>
      <c r="AS1" s="739"/>
      <c r="AT1" s="739"/>
      <c r="AU1" s="739"/>
      <c r="AV1" s="739"/>
      <c r="AW1" s="739"/>
      <c r="AX1" s="739"/>
      <c r="AY1" s="739"/>
      <c r="AZ1" s="739"/>
      <c r="BA1" s="739"/>
      <c r="BB1" s="739"/>
      <c r="BC1" s="739"/>
      <c r="BD1" s="740"/>
      <c r="BE1" s="449" t="s">
        <v>1596</v>
      </c>
      <c r="BF1" s="695" t="s">
        <v>1598</v>
      </c>
      <c r="BG1" s="695"/>
      <c r="BH1" s="695"/>
      <c r="BI1" s="695"/>
    </row>
    <row r="2" spans="1:63" s="454" customFormat="1" ht="42" customHeight="1" thickBot="1">
      <c r="A2" s="475" t="s">
        <v>1321</v>
      </c>
      <c r="B2" s="475" t="s">
        <v>1322</v>
      </c>
      <c r="C2" s="475" t="s">
        <v>1325</v>
      </c>
      <c r="D2" s="475" t="s">
        <v>1323</v>
      </c>
      <c r="E2" s="475" t="s">
        <v>1327</v>
      </c>
      <c r="F2" s="475" t="s">
        <v>1328</v>
      </c>
      <c r="G2" s="475" t="s">
        <v>1326</v>
      </c>
      <c r="H2" s="475" t="s">
        <v>46</v>
      </c>
      <c r="I2" s="475" t="s">
        <v>45</v>
      </c>
      <c r="J2" s="475" t="s">
        <v>1493</v>
      </c>
      <c r="K2" s="475" t="s">
        <v>185</v>
      </c>
      <c r="L2" s="475" t="s">
        <v>47</v>
      </c>
      <c r="M2" s="475" t="s">
        <v>44</v>
      </c>
      <c r="N2" s="741" t="s">
        <v>48</v>
      </c>
      <c r="O2" s="742"/>
      <c r="P2" s="743"/>
      <c r="Q2" s="475" t="s">
        <v>1329</v>
      </c>
      <c r="R2" s="475" t="s">
        <v>1330</v>
      </c>
      <c r="S2" s="475" t="s">
        <v>1331</v>
      </c>
      <c r="T2" s="741" t="s">
        <v>1332</v>
      </c>
      <c r="U2" s="742"/>
      <c r="V2" s="743"/>
      <c r="W2" s="741" t="s">
        <v>1333</v>
      </c>
      <c r="X2" s="742"/>
      <c r="Y2" s="743"/>
      <c r="Z2" s="741" t="s">
        <v>1334</v>
      </c>
      <c r="AA2" s="742"/>
      <c r="AB2" s="743"/>
      <c r="AC2" s="741" t="s">
        <v>186</v>
      </c>
      <c r="AD2" s="742"/>
      <c r="AE2" s="743"/>
      <c r="AF2" s="475" t="s">
        <v>1494</v>
      </c>
      <c r="AG2" s="475" t="s">
        <v>1324</v>
      </c>
      <c r="AH2" s="475" t="s">
        <v>1335</v>
      </c>
      <c r="AI2" s="475" t="s">
        <v>1336</v>
      </c>
      <c r="AJ2" s="475" t="s">
        <v>187</v>
      </c>
      <c r="AK2" s="475" t="s">
        <v>49</v>
      </c>
      <c r="AL2" s="604" t="s">
        <v>50</v>
      </c>
      <c r="AM2" s="604" t="s">
        <v>872</v>
      </c>
      <c r="AN2" s="741" t="s">
        <v>1337</v>
      </c>
      <c r="AO2" s="742"/>
      <c r="AP2" s="743"/>
      <c r="AQ2" s="741" t="s">
        <v>52</v>
      </c>
      <c r="AR2" s="742"/>
      <c r="AS2" s="743"/>
      <c r="AT2" s="741" t="s">
        <v>188</v>
      </c>
      <c r="AU2" s="742"/>
      <c r="AV2" s="743"/>
      <c r="AW2" s="604" t="s">
        <v>875</v>
      </c>
      <c r="AX2" s="604" t="s">
        <v>1495</v>
      </c>
      <c r="AY2" s="604" t="s">
        <v>1338</v>
      </c>
      <c r="AZ2" s="604" t="s">
        <v>1339</v>
      </c>
      <c r="BA2" s="741" t="s">
        <v>753</v>
      </c>
      <c r="BB2" s="742"/>
      <c r="BC2" s="743"/>
      <c r="BD2" s="475" t="s">
        <v>873</v>
      </c>
      <c r="BE2" s="449" t="s">
        <v>1597</v>
      </c>
      <c r="BF2" s="450" t="s">
        <v>44</v>
      </c>
      <c r="BG2" s="450" t="s">
        <v>1599</v>
      </c>
      <c r="BH2" s="450" t="s">
        <v>1600</v>
      </c>
      <c r="BI2" s="450" t="s">
        <v>48</v>
      </c>
    </row>
    <row r="3" spans="1:63" s="454" customFormat="1" ht="15.75" customHeight="1" thickBot="1">
      <c r="A3" s="455"/>
      <c r="B3" s="476"/>
      <c r="C3" s="456"/>
      <c r="D3" s="456"/>
      <c r="E3" s="456"/>
      <c r="F3" s="456"/>
      <c r="G3" s="456"/>
      <c r="H3" s="476"/>
      <c r="I3" s="476"/>
      <c r="J3" s="456"/>
      <c r="K3" s="476"/>
      <c r="L3" s="476"/>
      <c r="M3" s="476"/>
      <c r="N3" s="477" t="s">
        <v>11</v>
      </c>
      <c r="O3" s="477" t="s">
        <v>12</v>
      </c>
      <c r="P3" s="477" t="s">
        <v>13</v>
      </c>
      <c r="Q3" s="456"/>
      <c r="R3" s="456"/>
      <c r="S3" s="456"/>
      <c r="T3" s="457" t="s">
        <v>14</v>
      </c>
      <c r="U3" s="458" t="s">
        <v>15</v>
      </c>
      <c r="V3" s="457" t="s">
        <v>16</v>
      </c>
      <c r="W3" s="457" t="s">
        <v>17</v>
      </c>
      <c r="X3" s="458" t="s">
        <v>18</v>
      </c>
      <c r="Y3" s="457" t="s">
        <v>19</v>
      </c>
      <c r="Z3" s="457" t="s">
        <v>20</v>
      </c>
      <c r="AA3" s="458" t="s">
        <v>21</v>
      </c>
      <c r="AB3" s="457" t="s">
        <v>22</v>
      </c>
      <c r="AC3" s="477" t="s">
        <v>23</v>
      </c>
      <c r="AD3" s="478" t="s">
        <v>24</v>
      </c>
      <c r="AE3" s="477" t="s">
        <v>25</v>
      </c>
      <c r="AF3" s="456"/>
      <c r="AG3" s="456"/>
      <c r="AH3" s="456"/>
      <c r="AI3" s="456"/>
      <c r="AJ3" s="476"/>
      <c r="AK3" s="476"/>
      <c r="AL3" s="476"/>
      <c r="AM3" s="476"/>
      <c r="AN3" s="457" t="s">
        <v>17</v>
      </c>
      <c r="AO3" s="457" t="s">
        <v>18</v>
      </c>
      <c r="AP3" s="457" t="s">
        <v>19</v>
      </c>
      <c r="AQ3" s="457" t="s">
        <v>173</v>
      </c>
      <c r="AR3" s="457" t="s">
        <v>174</v>
      </c>
      <c r="AS3" s="457" t="s">
        <v>175</v>
      </c>
      <c r="AT3" s="668" t="s">
        <v>176</v>
      </c>
      <c r="AU3" s="457" t="s">
        <v>177</v>
      </c>
      <c r="AV3" s="457" t="s">
        <v>178</v>
      </c>
      <c r="AW3" s="476"/>
      <c r="AX3" s="476"/>
      <c r="AY3" s="456"/>
      <c r="AZ3" s="456"/>
      <c r="BA3" s="477" t="s">
        <v>1624</v>
      </c>
      <c r="BB3" s="477" t="s">
        <v>180</v>
      </c>
      <c r="BC3" s="477" t="s">
        <v>1625</v>
      </c>
      <c r="BD3" s="479"/>
      <c r="BE3" s="448"/>
      <c r="BF3" s="453"/>
      <c r="BG3" s="453"/>
      <c r="BH3" s="453"/>
      <c r="BI3" s="453"/>
    </row>
    <row r="4" spans="1:63" ht="16.2" customHeight="1" thickTop="1">
      <c r="A4" s="561" t="s">
        <v>1604</v>
      </c>
      <c r="B4" s="562"/>
      <c r="C4" s="563"/>
      <c r="D4" s="564"/>
      <c r="E4" s="565"/>
      <c r="F4" s="565"/>
      <c r="G4" s="566"/>
      <c r="H4" s="567"/>
      <c r="I4" s="567"/>
      <c r="J4" s="568"/>
      <c r="K4" s="567"/>
      <c r="L4" s="567"/>
      <c r="M4" s="567"/>
      <c r="N4" s="567"/>
      <c r="O4" s="567"/>
      <c r="P4" s="567"/>
      <c r="Q4" s="565"/>
      <c r="R4" s="566"/>
      <c r="S4" s="566"/>
      <c r="T4" s="565"/>
      <c r="U4" s="565"/>
      <c r="V4" s="565"/>
      <c r="W4" s="569"/>
      <c r="X4" s="569"/>
      <c r="Y4" s="569"/>
      <c r="Z4" s="569"/>
      <c r="AA4" s="569"/>
      <c r="AB4" s="569"/>
      <c r="AC4" s="567"/>
      <c r="AD4" s="567"/>
      <c r="AE4" s="567"/>
      <c r="AF4" s="565"/>
      <c r="AG4" s="564"/>
      <c r="AH4" s="565"/>
      <c r="AI4" s="565"/>
      <c r="AJ4" s="567"/>
      <c r="AK4" s="567"/>
      <c r="AL4" s="567"/>
      <c r="AM4" s="567"/>
      <c r="AN4" s="569"/>
      <c r="AO4" s="567"/>
      <c r="AP4" s="567"/>
      <c r="AQ4" s="569"/>
      <c r="AR4" s="569"/>
      <c r="AS4" s="569"/>
      <c r="AT4" s="569"/>
      <c r="AU4" s="570"/>
      <c r="AV4" s="570"/>
      <c r="AW4" s="567"/>
      <c r="AX4" s="567"/>
      <c r="AY4" s="569"/>
      <c r="AZ4" s="569"/>
      <c r="BA4" s="517"/>
      <c r="BB4" s="517"/>
      <c r="BC4" s="517"/>
      <c r="BD4" s="571"/>
      <c r="BE4" s="557"/>
      <c r="BF4" s="308"/>
      <c r="BG4" s="308"/>
      <c r="BH4" s="308"/>
      <c r="BI4" s="308"/>
      <c r="BK4" s="309"/>
    </row>
    <row r="5" spans="1:63" ht="16.2" customHeight="1">
      <c r="A5" s="561"/>
      <c r="B5" s="562"/>
      <c r="C5" s="563"/>
      <c r="D5" s="564"/>
      <c r="E5" s="565"/>
      <c r="F5" s="565"/>
      <c r="G5" s="566"/>
      <c r="H5" s="567"/>
      <c r="I5" s="567"/>
      <c r="J5" s="568">
        <f>C6+7.5</f>
        <v>20963.5</v>
      </c>
      <c r="K5" s="567" t="s">
        <v>1095</v>
      </c>
      <c r="L5" s="567"/>
      <c r="M5" s="567" t="str">
        <f>IF(L5="","",
IF(AX5="PT",VLOOKUP(L5,Foundation_Calc!$V$4:$X$37,VLOOKUP(AX5,Foundation_Calc!$I$10:$J$13,2,FALSE),0),
IF(AX5="K",VLOOKUP(L5,Foundation_Calc!$V$41:$X$74,VLOOKUP(AX5,Foundation_Calc!$I$10:$J$13,2,FALSE),0),"")))</f>
        <v/>
      </c>
      <c r="N5" s="567"/>
      <c r="O5" s="567"/>
      <c r="P5" s="567"/>
      <c r="Q5" s="565"/>
      <c r="R5" s="566"/>
      <c r="S5" s="566"/>
      <c r="T5" s="565"/>
      <c r="U5" s="565"/>
      <c r="V5" s="565"/>
      <c r="W5" s="569"/>
      <c r="X5" s="569"/>
      <c r="Y5" s="569"/>
      <c r="Z5" s="569"/>
      <c r="AA5" s="569"/>
      <c r="AB5" s="569"/>
      <c r="AC5" s="567" t="str">
        <f t="shared" ref="AC5" si="0">IF(OR(AT5&gt;8,AT5&lt;-8),"PH",
IF(OR(AT5&gt;5,AT5&lt;-5),"PHQ",
IF(OR(AT5&gt;1,AT5&lt;-1),
"PHC","")))</f>
        <v/>
      </c>
      <c r="AD5" s="567"/>
      <c r="AE5" s="567"/>
      <c r="AF5" s="565"/>
      <c r="AG5" s="564"/>
      <c r="AH5" s="565"/>
      <c r="AI5" s="565"/>
      <c r="AJ5" s="567"/>
      <c r="AK5" s="567"/>
      <c r="AL5" s="567"/>
      <c r="AM5" s="567"/>
      <c r="AN5" s="569"/>
      <c r="AO5" s="567"/>
      <c r="AP5" s="567"/>
      <c r="AQ5" s="569"/>
      <c r="AR5" s="569"/>
      <c r="AS5" s="569"/>
      <c r="AT5" s="569"/>
      <c r="AU5" s="570"/>
      <c r="AV5" s="570"/>
      <c r="AW5" s="567"/>
      <c r="AX5" s="567"/>
      <c r="AY5" s="569"/>
      <c r="AZ5" s="569"/>
      <c r="BA5" s="517" t="str">
        <f>IF(AY5="","",IF(AY5&gt;0,"ü",""))</f>
        <v/>
      </c>
      <c r="BB5" s="517" t="str">
        <f>IF(AZ5="","",IF(AZ5&gt;0,"ü",""))</f>
        <v/>
      </c>
      <c r="BC5" s="517" t="str">
        <f>IF(M5="","",IF(M5="Unique Solution","ü",""))</f>
        <v/>
      </c>
      <c r="BD5" s="572" t="str">
        <f>IF(AND(L5="",H5=""),"",
IF(H5="",Pole_Calc!A9,
IF(H5="MP",Pole_Calc!A10,
IF(H5="AnMP",Pole_Calc!A11,
IF(H5="A",Pole_Calc!A12,
IF(H5="S/A",Pole_Calc!A13,
IF(H5="A/S",Pole_Calc!A14,"Poner a mano")))))))</f>
        <v/>
      </c>
      <c r="BE5" s="448" t="s">
        <v>1726</v>
      </c>
      <c r="BF5" s="305"/>
      <c r="BG5" s="305"/>
      <c r="BH5" s="306"/>
      <c r="BI5" s="305"/>
    </row>
    <row r="6" spans="1:63" ht="16.2" customHeight="1">
      <c r="A6" s="561"/>
      <c r="B6" s="562" t="s">
        <v>2276</v>
      </c>
      <c r="C6" s="563">
        <v>20956</v>
      </c>
      <c r="D6" s="564"/>
      <c r="E6" s="565"/>
      <c r="F6" s="565">
        <v>-1000</v>
      </c>
      <c r="G6" s="566"/>
      <c r="H6" s="567" t="s">
        <v>906</v>
      </c>
      <c r="I6" s="567" t="s">
        <v>182</v>
      </c>
      <c r="J6" s="568"/>
      <c r="K6" s="567"/>
      <c r="L6" s="567" t="s">
        <v>325</v>
      </c>
      <c r="M6" s="567" t="s">
        <v>2397</v>
      </c>
      <c r="N6" s="567"/>
      <c r="O6" s="567"/>
      <c r="P6" s="567"/>
      <c r="Q6" s="565"/>
      <c r="R6" s="566"/>
      <c r="S6" s="566"/>
      <c r="T6" s="565"/>
      <c r="U6" s="565"/>
      <c r="V6" s="565"/>
      <c r="W6" s="569"/>
      <c r="X6" s="569"/>
      <c r="Y6" s="569"/>
      <c r="Z6" s="569"/>
      <c r="AA6" s="569"/>
      <c r="AB6" s="569"/>
      <c r="AC6" s="567" t="str">
        <f t="shared" ref="AC6:AC67" si="1">IF(OR(AT6&gt;8,AT6&lt;-8),"PH",
IF(OR(AT6&gt;5,AT6&lt;-5),"PHQ",
IF(OR(AT6&gt;1,AT6&lt;-1),
"PHC","")))</f>
        <v/>
      </c>
      <c r="AD6" s="567"/>
      <c r="AE6" s="567"/>
      <c r="AF6" s="565"/>
      <c r="AG6" s="564"/>
      <c r="AH6" s="565"/>
      <c r="AI6" s="565"/>
      <c r="AJ6" s="567"/>
      <c r="AK6" s="567"/>
      <c r="AL6" s="567" t="s">
        <v>1117</v>
      </c>
      <c r="AM6" s="567" t="s">
        <v>487</v>
      </c>
      <c r="AN6" s="569">
        <v>5.5</v>
      </c>
      <c r="AO6" s="567"/>
      <c r="AP6" s="567"/>
      <c r="AQ6" s="569"/>
      <c r="AR6" s="569"/>
      <c r="AS6" s="569"/>
      <c r="AT6" s="569"/>
      <c r="AU6" s="570"/>
      <c r="AV6" s="570"/>
      <c r="AW6" s="567"/>
      <c r="AX6" s="567"/>
      <c r="AY6" s="569"/>
      <c r="AZ6" s="569"/>
      <c r="BA6" s="517" t="str">
        <f t="shared" ref="BA6:BA69" si="2">IF(AY6="","",IF(AY6&gt;0,"ü",""))</f>
        <v/>
      </c>
      <c r="BB6" s="517" t="str">
        <f t="shared" ref="BB6:BB62" si="3">IF(AZ6="","",IF(AZ6&gt;0,"ü",""))</f>
        <v/>
      </c>
      <c r="BC6" s="517" t="str">
        <f t="shared" ref="BC6:BC62" si="4">IF(M6="","",IF(M6="Unique Solution","ü",""))</f>
        <v/>
      </c>
      <c r="BD6" s="572"/>
      <c r="BE6" s="448" t="s">
        <v>1726</v>
      </c>
      <c r="BF6" s="306"/>
      <c r="BG6" s="306"/>
      <c r="BH6" s="306"/>
      <c r="BI6" s="306"/>
    </row>
    <row r="7" spans="1:63" ht="16.2" customHeight="1">
      <c r="A7" s="561"/>
      <c r="B7" s="562"/>
      <c r="C7" s="563"/>
      <c r="D7" s="564"/>
      <c r="E7" s="565"/>
      <c r="F7" s="565"/>
      <c r="G7" s="566">
        <v>52.5</v>
      </c>
      <c r="H7" s="567"/>
      <c r="I7" s="567"/>
      <c r="J7" s="568"/>
      <c r="K7" s="567"/>
      <c r="L7" s="567"/>
      <c r="M7" s="567" t="str">
        <f>IF(L7="","",
IF(AX7="PT",VLOOKUP(L7,Foundation_Calc!$V$4:$X$37,VLOOKUP(AX7,Foundation_Calc!$I$10:$J$13,2,FALSE),0),
IF(AX7="K",VLOOKUP(L7,Foundation_Calc!$V$41:$X$74,VLOOKUP(AX7,Foundation_Calc!$I$10:$J$13,2,FALSE),0),"")))</f>
        <v/>
      </c>
      <c r="N7" s="567"/>
      <c r="O7" s="567"/>
      <c r="P7" s="567"/>
      <c r="Q7" s="565"/>
      <c r="R7" s="566"/>
      <c r="S7" s="566"/>
      <c r="T7" s="565"/>
      <c r="U7" s="565"/>
      <c r="V7" s="565"/>
      <c r="W7" s="569"/>
      <c r="X7" s="569"/>
      <c r="Y7" s="569"/>
      <c r="Z7" s="569"/>
      <c r="AA7" s="569"/>
      <c r="AB7" s="569"/>
      <c r="AC7" s="567" t="str">
        <f t="shared" si="1"/>
        <v/>
      </c>
      <c r="AD7" s="567"/>
      <c r="AE7" s="567"/>
      <c r="AF7" s="565"/>
      <c r="AG7" s="564"/>
      <c r="AH7" s="565"/>
      <c r="AI7" s="565"/>
      <c r="AJ7" s="567"/>
      <c r="AK7" s="567"/>
      <c r="AL7" s="567"/>
      <c r="AM7" s="567"/>
      <c r="AN7" s="569"/>
      <c r="AO7" s="567"/>
      <c r="AP7" s="567"/>
      <c r="AQ7" s="569"/>
      <c r="AR7" s="569"/>
      <c r="AS7" s="569"/>
      <c r="AT7" s="569"/>
      <c r="AU7" s="570"/>
      <c r="AV7" s="570"/>
      <c r="AW7" s="567"/>
      <c r="AX7" s="567"/>
      <c r="AY7" s="569"/>
      <c r="AZ7" s="569"/>
      <c r="BA7" s="517" t="str">
        <f t="shared" si="2"/>
        <v/>
      </c>
      <c r="BB7" s="517" t="str">
        <f t="shared" si="3"/>
        <v/>
      </c>
      <c r="BC7" s="517" t="str">
        <f t="shared" si="4"/>
        <v/>
      </c>
      <c r="BD7" s="572"/>
      <c r="BE7" s="448" t="s">
        <v>1726</v>
      </c>
      <c r="BF7" s="305"/>
      <c r="BG7" s="305"/>
      <c r="BH7" s="306"/>
      <c r="BI7" s="305"/>
    </row>
    <row r="8" spans="1:63" ht="16.2" customHeight="1">
      <c r="A8" s="561"/>
      <c r="B8" s="562" t="s">
        <v>2277</v>
      </c>
      <c r="C8" s="563">
        <v>20903.5</v>
      </c>
      <c r="D8" s="564"/>
      <c r="E8" s="565"/>
      <c r="F8" s="644" t="s">
        <v>2358</v>
      </c>
      <c r="G8" s="566"/>
      <c r="H8" s="567" t="s">
        <v>1863</v>
      </c>
      <c r="I8" s="567" t="s">
        <v>183</v>
      </c>
      <c r="J8" s="568"/>
      <c r="K8" s="567"/>
      <c r="L8" s="567" t="s">
        <v>325</v>
      </c>
      <c r="M8" s="567" t="s">
        <v>677</v>
      </c>
      <c r="N8" s="567"/>
      <c r="O8" s="567"/>
      <c r="P8" s="567"/>
      <c r="Q8" s="565"/>
      <c r="R8" s="566"/>
      <c r="S8" s="566"/>
      <c r="T8" s="565"/>
      <c r="U8" s="565"/>
      <c r="V8" s="565"/>
      <c r="W8" s="569"/>
      <c r="X8" s="569"/>
      <c r="Y8" s="569"/>
      <c r="Z8" s="569"/>
      <c r="AA8" s="569"/>
      <c r="AB8" s="569"/>
      <c r="AC8" s="567" t="str">
        <f t="shared" si="1"/>
        <v/>
      </c>
      <c r="AD8" s="567"/>
      <c r="AE8" s="567"/>
      <c r="AF8" s="565"/>
      <c r="AG8" s="564"/>
      <c r="AH8" s="565"/>
      <c r="AI8" s="565"/>
      <c r="AJ8" s="567"/>
      <c r="AK8" s="567"/>
      <c r="AL8" s="567" t="s">
        <v>1113</v>
      </c>
      <c r="AM8" s="567" t="s">
        <v>487</v>
      </c>
      <c r="AN8" s="569">
        <v>5.5</v>
      </c>
      <c r="AO8" s="567"/>
      <c r="AP8" s="567"/>
      <c r="AQ8" s="569"/>
      <c r="AR8" s="569"/>
      <c r="AS8" s="569"/>
      <c r="AT8" s="569"/>
      <c r="AU8" s="570"/>
      <c r="AV8" s="570"/>
      <c r="AW8" s="567"/>
      <c r="AX8" s="567"/>
      <c r="AY8" s="569"/>
      <c r="AZ8" s="569"/>
      <c r="BA8" s="517" t="str">
        <f t="shared" si="2"/>
        <v/>
      </c>
      <c r="BB8" s="517" t="str">
        <f t="shared" si="3"/>
        <v/>
      </c>
      <c r="BC8" s="517" t="str">
        <f t="shared" si="4"/>
        <v/>
      </c>
      <c r="BD8" s="572"/>
      <c r="BE8" s="448" t="s">
        <v>1726</v>
      </c>
      <c r="BF8" s="306"/>
      <c r="BG8" s="306"/>
      <c r="BH8" s="306"/>
      <c r="BI8" s="306"/>
    </row>
    <row r="9" spans="1:63" ht="16.2" customHeight="1">
      <c r="A9" s="561"/>
      <c r="B9" s="562"/>
      <c r="C9" s="563"/>
      <c r="D9" s="564"/>
      <c r="E9" s="565"/>
      <c r="F9" s="565"/>
      <c r="G9" s="566">
        <v>52.06</v>
      </c>
      <c r="H9" s="567"/>
      <c r="I9" s="567"/>
      <c r="J9" s="568">
        <f>C8-7.5</f>
        <v>20896</v>
      </c>
      <c r="K9" s="567" t="s">
        <v>1095</v>
      </c>
      <c r="L9" s="567"/>
      <c r="M9" s="567" t="str">
        <f>IF(L9="","",
IF(AX9="PT",VLOOKUP(L9,Foundation_Calc!$V$4:$X$37,VLOOKUP(AX9,Foundation_Calc!$I$10:$J$13,2,FALSE),0),
IF(AX9="K",VLOOKUP(L9,Foundation_Calc!$V$41:$X$74,VLOOKUP(AX9,Foundation_Calc!$I$10:$J$13,2,FALSE),0),"")))</f>
        <v/>
      </c>
      <c r="N9" s="567"/>
      <c r="O9" s="567"/>
      <c r="P9" s="567"/>
      <c r="Q9" s="565"/>
      <c r="R9" s="566"/>
      <c r="S9" s="566"/>
      <c r="T9" s="565"/>
      <c r="U9" s="565"/>
      <c r="V9" s="565"/>
      <c r="W9" s="569"/>
      <c r="X9" s="569"/>
      <c r="Y9" s="569"/>
      <c r="Z9" s="569"/>
      <c r="AA9" s="569"/>
      <c r="AB9" s="569"/>
      <c r="AC9" s="567" t="str">
        <f t="shared" si="1"/>
        <v/>
      </c>
      <c r="AD9" s="567"/>
      <c r="AE9" s="567"/>
      <c r="AF9" s="565"/>
      <c r="AG9" s="564"/>
      <c r="AH9" s="565"/>
      <c r="AI9" s="565"/>
      <c r="AJ9" s="567"/>
      <c r="AK9" s="567"/>
      <c r="AL9" s="567"/>
      <c r="AM9" s="567"/>
      <c r="AN9" s="569"/>
      <c r="AO9" s="567"/>
      <c r="AP9" s="567"/>
      <c r="AQ9" s="569"/>
      <c r="AR9" s="569"/>
      <c r="AS9" s="569"/>
      <c r="AT9" s="569"/>
      <c r="AU9" s="570"/>
      <c r="AV9" s="570"/>
      <c r="AW9" s="567"/>
      <c r="AX9" s="567"/>
      <c r="AY9" s="569"/>
      <c r="AZ9" s="569"/>
      <c r="BA9" s="517" t="str">
        <f t="shared" si="2"/>
        <v/>
      </c>
      <c r="BB9" s="517" t="str">
        <f t="shared" si="3"/>
        <v/>
      </c>
      <c r="BC9" s="517" t="str">
        <f t="shared" si="4"/>
        <v/>
      </c>
      <c r="BD9" s="572"/>
      <c r="BE9" s="448" t="s">
        <v>1726</v>
      </c>
      <c r="BF9" s="305"/>
      <c r="BG9" s="305"/>
      <c r="BH9" s="306"/>
      <c r="BI9" s="305"/>
    </row>
    <row r="10" spans="1:63" ht="16.2" customHeight="1">
      <c r="A10" s="561"/>
      <c r="B10" s="562" t="s">
        <v>2278</v>
      </c>
      <c r="C10" s="563">
        <v>20851</v>
      </c>
      <c r="D10" s="564"/>
      <c r="E10" s="565"/>
      <c r="F10" s="644" t="s">
        <v>2358</v>
      </c>
      <c r="G10" s="566"/>
      <c r="H10" s="567" t="s">
        <v>26</v>
      </c>
      <c r="I10" s="567" t="s">
        <v>182</v>
      </c>
      <c r="J10" s="568"/>
      <c r="K10" s="567"/>
      <c r="L10" s="567" t="s">
        <v>452</v>
      </c>
      <c r="M10" s="567" t="s">
        <v>674</v>
      </c>
      <c r="N10" s="567" t="s">
        <v>28</v>
      </c>
      <c r="O10" s="567" t="s">
        <v>32</v>
      </c>
      <c r="P10" s="567"/>
      <c r="Q10" s="565"/>
      <c r="R10" s="566"/>
      <c r="S10" s="566"/>
      <c r="T10" s="565">
        <v>-55</v>
      </c>
      <c r="U10" s="565">
        <v>-10</v>
      </c>
      <c r="V10" s="565"/>
      <c r="W10" s="569">
        <v>2.2999999999999998</v>
      </c>
      <c r="X10" s="569">
        <v>1.4</v>
      </c>
      <c r="Y10" s="569"/>
      <c r="Z10" s="569">
        <v>0.6</v>
      </c>
      <c r="AA10" s="569"/>
      <c r="AB10" s="569"/>
      <c r="AC10" s="567" t="str">
        <f t="shared" si="1"/>
        <v/>
      </c>
      <c r="AD10" s="567"/>
      <c r="AE10" s="567"/>
      <c r="AF10" s="565"/>
      <c r="AG10" s="564"/>
      <c r="AH10" s="565"/>
      <c r="AI10" s="565"/>
      <c r="AJ10" s="567"/>
      <c r="AK10" s="567"/>
      <c r="AL10" s="567"/>
      <c r="AM10" s="567" t="s">
        <v>487</v>
      </c>
      <c r="AN10" s="569">
        <v>5.5</v>
      </c>
      <c r="AO10" s="567"/>
      <c r="AP10" s="567"/>
      <c r="AQ10" s="569"/>
      <c r="AR10" s="569"/>
      <c r="AS10" s="569"/>
      <c r="AT10" s="569"/>
      <c r="AU10" s="570"/>
      <c r="AV10" s="570"/>
      <c r="AW10" s="567"/>
      <c r="AX10" s="567"/>
      <c r="AY10" s="569"/>
      <c r="AZ10" s="569"/>
      <c r="BA10" s="517" t="str">
        <f t="shared" si="2"/>
        <v/>
      </c>
      <c r="BB10" s="517" t="str">
        <f t="shared" si="3"/>
        <v/>
      </c>
      <c r="BC10" s="517" t="str">
        <f t="shared" si="4"/>
        <v/>
      </c>
      <c r="BD10" s="572"/>
      <c r="BE10" s="448" t="s">
        <v>1726</v>
      </c>
      <c r="BF10" s="306"/>
      <c r="BG10" s="306"/>
      <c r="BH10" s="306"/>
      <c r="BI10" s="306"/>
    </row>
    <row r="11" spans="1:63" ht="16.2" customHeight="1">
      <c r="A11" s="561"/>
      <c r="B11" s="562"/>
      <c r="C11" s="563"/>
      <c r="D11" s="564"/>
      <c r="E11" s="565"/>
      <c r="F11" s="565"/>
      <c r="G11" s="566">
        <v>63.4</v>
      </c>
      <c r="H11" s="567"/>
      <c r="I11" s="567"/>
      <c r="J11" s="568">
        <f>C10-7.5</f>
        <v>20843.5</v>
      </c>
      <c r="K11" s="567" t="s">
        <v>1095</v>
      </c>
      <c r="L11" s="567"/>
      <c r="M11" s="567" t="str">
        <f>IF(L11="","",
IF(AX11="PT",VLOOKUP(L11,Foundation_Calc!$V$4:$X$37,VLOOKUP(AX11,Foundation_Calc!$I$10:$J$13,2,FALSE),0),
IF(AX11="K",VLOOKUP(L11,Foundation_Calc!$V$41:$X$74,VLOOKUP(AX11,Foundation_Calc!$I$10:$J$13,2,FALSE),0),"")))</f>
        <v/>
      </c>
      <c r="N11" s="567"/>
      <c r="O11" s="567"/>
      <c r="P11" s="567"/>
      <c r="Q11" s="565"/>
      <c r="R11" s="566"/>
      <c r="S11" s="566"/>
      <c r="T11" s="565"/>
      <c r="U11" s="565"/>
      <c r="V11" s="565"/>
      <c r="W11" s="569"/>
      <c r="X11" s="569"/>
      <c r="Y11" s="569"/>
      <c r="Z11" s="569"/>
      <c r="AA11" s="569"/>
      <c r="AB11" s="569"/>
      <c r="AC11" s="567" t="str">
        <f t="shared" si="1"/>
        <v/>
      </c>
      <c r="AD11" s="567"/>
      <c r="AE11" s="567"/>
      <c r="AF11" s="565"/>
      <c r="AG11" s="564"/>
      <c r="AH11" s="565"/>
      <c r="AI11" s="565"/>
      <c r="AJ11" s="567"/>
      <c r="AK11" s="567"/>
      <c r="AL11" s="567"/>
      <c r="AM11" s="567"/>
      <c r="AN11" s="569"/>
      <c r="AO11" s="567"/>
      <c r="AP11" s="567"/>
      <c r="AQ11" s="569"/>
      <c r="AR11" s="569"/>
      <c r="AS11" s="569"/>
      <c r="AT11" s="569"/>
      <c r="AU11" s="570"/>
      <c r="AV11" s="570"/>
      <c r="AW11" s="567"/>
      <c r="AX11" s="567"/>
      <c r="AY11" s="569"/>
      <c r="AZ11" s="569"/>
      <c r="BA11" s="517" t="str">
        <f t="shared" si="2"/>
        <v/>
      </c>
      <c r="BB11" s="517" t="str">
        <f t="shared" si="3"/>
        <v/>
      </c>
      <c r="BC11" s="517" t="str">
        <f t="shared" si="4"/>
        <v/>
      </c>
      <c r="BD11" s="572"/>
      <c r="BE11" s="448" t="s">
        <v>1726</v>
      </c>
      <c r="BF11" s="305"/>
      <c r="BG11" s="305"/>
      <c r="BH11" s="306"/>
      <c r="BI11" s="305"/>
    </row>
    <row r="12" spans="1:63" ht="16.2" customHeight="1">
      <c r="A12" s="561" t="s">
        <v>2398</v>
      </c>
      <c r="B12" s="562" t="s">
        <v>2279</v>
      </c>
      <c r="C12" s="563">
        <v>20840</v>
      </c>
      <c r="D12" s="564"/>
      <c r="E12" s="565"/>
      <c r="F12" s="644" t="s">
        <v>2358</v>
      </c>
      <c r="G12" s="566"/>
      <c r="H12" s="567" t="s">
        <v>179</v>
      </c>
      <c r="I12" s="567"/>
      <c r="J12" s="568"/>
      <c r="K12" s="567"/>
      <c r="L12" s="567" t="s">
        <v>323</v>
      </c>
      <c r="M12" s="567" t="s">
        <v>678</v>
      </c>
      <c r="N12" s="567" t="s">
        <v>2516</v>
      </c>
      <c r="O12" s="567" t="s">
        <v>28</v>
      </c>
      <c r="P12" s="567"/>
      <c r="Q12" s="565"/>
      <c r="R12" s="566"/>
      <c r="S12" s="566"/>
      <c r="T12" s="565">
        <v>10</v>
      </c>
      <c r="U12" s="565">
        <v>55</v>
      </c>
      <c r="V12" s="565"/>
      <c r="W12" s="569">
        <v>2.2999999999999998</v>
      </c>
      <c r="X12" s="569">
        <v>1.4</v>
      </c>
      <c r="Y12" s="569"/>
      <c r="Z12" s="569"/>
      <c r="AA12" s="569">
        <v>0.6</v>
      </c>
      <c r="AB12" s="569"/>
      <c r="AC12" s="567" t="str">
        <f t="shared" si="1"/>
        <v/>
      </c>
      <c r="AD12" s="567"/>
      <c r="AE12" s="567"/>
      <c r="AF12" s="565"/>
      <c r="AG12" s="564"/>
      <c r="AH12" s="565"/>
      <c r="AI12" s="565"/>
      <c r="AJ12" s="567" t="s">
        <v>1166</v>
      </c>
      <c r="AK12" s="567"/>
      <c r="AL12" s="567" t="s">
        <v>1111</v>
      </c>
      <c r="AM12" s="567" t="s">
        <v>487</v>
      </c>
      <c r="AN12" s="569">
        <v>5.5</v>
      </c>
      <c r="AO12" s="567"/>
      <c r="AP12" s="567"/>
      <c r="AQ12" s="569"/>
      <c r="AR12" s="569"/>
      <c r="AS12" s="569"/>
      <c r="AT12" s="569"/>
      <c r="AU12" s="570"/>
      <c r="AV12" s="570"/>
      <c r="AW12" s="567"/>
      <c r="AX12" s="567"/>
      <c r="AY12" s="569"/>
      <c r="AZ12" s="569"/>
      <c r="BA12" s="517" t="str">
        <f t="shared" si="2"/>
        <v/>
      </c>
      <c r="BB12" s="517" t="str">
        <f t="shared" si="3"/>
        <v/>
      </c>
      <c r="BC12" s="517" t="str">
        <f t="shared" si="4"/>
        <v/>
      </c>
      <c r="BD12" s="572"/>
      <c r="BE12" s="448" t="s">
        <v>1726</v>
      </c>
      <c r="BF12" s="306"/>
      <c r="BG12" s="306"/>
      <c r="BH12" s="306"/>
      <c r="BI12" s="306"/>
    </row>
    <row r="13" spans="1:63" ht="16.2" customHeight="1">
      <c r="A13" s="561"/>
      <c r="B13" s="562"/>
      <c r="C13" s="563"/>
      <c r="D13" s="564"/>
      <c r="E13" s="565"/>
      <c r="F13" s="565"/>
      <c r="G13" s="566">
        <v>55.6</v>
      </c>
      <c r="H13" s="567"/>
      <c r="I13" s="567"/>
      <c r="J13" s="568"/>
      <c r="K13" s="567"/>
      <c r="L13" s="567"/>
      <c r="M13" s="567" t="str">
        <f>IF(L13="","",
IF(AX13="PT",VLOOKUP(L13,Foundation_Calc!$V$4:$X$37,VLOOKUP(AX13,Foundation_Calc!$I$10:$J$13,2,FALSE),0),
IF(AX13="K",VLOOKUP(L13,Foundation_Calc!$V$41:$X$74,VLOOKUP(AX13,Foundation_Calc!$I$10:$J$13,2,FALSE),0),"")))</f>
        <v/>
      </c>
      <c r="N13" s="567"/>
      <c r="O13" s="567"/>
      <c r="P13" s="567"/>
      <c r="Q13" s="565"/>
      <c r="R13" s="566"/>
      <c r="S13" s="566"/>
      <c r="T13" s="565"/>
      <c r="U13" s="565"/>
      <c r="V13" s="565"/>
      <c r="W13" s="569"/>
      <c r="X13" s="569"/>
      <c r="Y13" s="569"/>
      <c r="Z13" s="569"/>
      <c r="AA13" s="569"/>
      <c r="AB13" s="569"/>
      <c r="AC13" s="567" t="str">
        <f t="shared" si="1"/>
        <v/>
      </c>
      <c r="AD13" s="567"/>
      <c r="AE13" s="567"/>
      <c r="AF13" s="565"/>
      <c r="AG13" s="564"/>
      <c r="AH13" s="565"/>
      <c r="AI13" s="565"/>
      <c r="AJ13" s="567" t="s">
        <v>730</v>
      </c>
      <c r="AK13" s="567"/>
      <c r="AL13" s="567"/>
      <c r="AM13" s="567"/>
      <c r="AN13" s="569"/>
      <c r="AO13" s="567"/>
      <c r="AP13" s="567"/>
      <c r="AQ13" s="569"/>
      <c r="AR13" s="569"/>
      <c r="AS13" s="569"/>
      <c r="AT13" s="569"/>
      <c r="AU13" s="570"/>
      <c r="AV13" s="570"/>
      <c r="AW13" s="567"/>
      <c r="AX13" s="567"/>
      <c r="AY13" s="569"/>
      <c r="AZ13" s="569"/>
      <c r="BA13" s="517" t="str">
        <f t="shared" si="2"/>
        <v/>
      </c>
      <c r="BB13" s="517" t="str">
        <f t="shared" si="3"/>
        <v/>
      </c>
      <c r="BC13" s="517" t="str">
        <f t="shared" si="4"/>
        <v/>
      </c>
      <c r="BD13" s="572"/>
      <c r="BE13" s="448" t="s">
        <v>1726</v>
      </c>
      <c r="BF13" s="305"/>
      <c r="BG13" s="305"/>
      <c r="BH13" s="306"/>
      <c r="BI13" s="305"/>
    </row>
    <row r="14" spans="1:63" ht="16.2" customHeight="1">
      <c r="A14" s="561"/>
      <c r="B14" s="562" t="s">
        <v>2280</v>
      </c>
      <c r="C14" s="563">
        <v>20748.5</v>
      </c>
      <c r="D14" s="564"/>
      <c r="E14" s="565"/>
      <c r="F14" s="644" t="s">
        <v>2358</v>
      </c>
      <c r="G14" s="566"/>
      <c r="H14" s="567" t="s">
        <v>26</v>
      </c>
      <c r="I14" s="567" t="s">
        <v>183</v>
      </c>
      <c r="J14" s="568"/>
      <c r="K14" s="567"/>
      <c r="L14" s="567" t="s">
        <v>323</v>
      </c>
      <c r="M14" s="567" t="s">
        <v>678</v>
      </c>
      <c r="N14" s="567" t="s">
        <v>32</v>
      </c>
      <c r="O14" s="567"/>
      <c r="P14" s="567"/>
      <c r="Q14" s="565"/>
      <c r="R14" s="566"/>
      <c r="S14" s="566"/>
      <c r="T14" s="565">
        <v>-30</v>
      </c>
      <c r="U14" s="565"/>
      <c r="V14" s="565"/>
      <c r="W14" s="569">
        <v>1.4</v>
      </c>
      <c r="X14" s="569"/>
      <c r="Y14" s="569"/>
      <c r="Z14" s="569"/>
      <c r="AA14" s="569"/>
      <c r="AB14" s="569"/>
      <c r="AC14" s="567" t="str">
        <f t="shared" si="1"/>
        <v/>
      </c>
      <c r="AD14" s="567"/>
      <c r="AE14" s="567"/>
      <c r="AF14" s="565"/>
      <c r="AG14" s="564"/>
      <c r="AH14" s="565"/>
      <c r="AI14" s="565"/>
      <c r="AJ14" s="567"/>
      <c r="AK14" s="567"/>
      <c r="AL14" s="567" t="s">
        <v>1111</v>
      </c>
      <c r="AM14" s="567" t="s">
        <v>487</v>
      </c>
      <c r="AN14" s="569">
        <v>5.5</v>
      </c>
      <c r="AO14" s="567"/>
      <c r="AP14" s="567"/>
      <c r="AQ14" s="569"/>
      <c r="AR14" s="569"/>
      <c r="AS14" s="569"/>
      <c r="AT14" s="569"/>
      <c r="AU14" s="570"/>
      <c r="AV14" s="570"/>
      <c r="AW14" s="567"/>
      <c r="AX14" s="567"/>
      <c r="AY14" s="569"/>
      <c r="AZ14" s="569"/>
      <c r="BA14" s="517" t="str">
        <f t="shared" si="2"/>
        <v/>
      </c>
      <c r="BB14" s="517" t="str">
        <f t="shared" si="3"/>
        <v/>
      </c>
      <c r="BC14" s="517" t="str">
        <f t="shared" si="4"/>
        <v/>
      </c>
      <c r="BD14" s="572"/>
      <c r="BE14" s="448" t="s">
        <v>1726</v>
      </c>
      <c r="BF14" s="306"/>
      <c r="BG14" s="306"/>
      <c r="BH14" s="306"/>
      <c r="BI14" s="306"/>
    </row>
    <row r="15" spans="1:63" ht="16.2" customHeight="1">
      <c r="A15" s="561"/>
      <c r="B15" s="562"/>
      <c r="C15" s="563"/>
      <c r="D15" s="564"/>
      <c r="E15" s="565"/>
      <c r="F15" s="565"/>
      <c r="G15" s="566">
        <v>56</v>
      </c>
      <c r="H15" s="567"/>
      <c r="I15" s="567"/>
      <c r="J15" s="568">
        <f>C14-7.5</f>
        <v>20741</v>
      </c>
      <c r="K15" s="567" t="s">
        <v>1095</v>
      </c>
      <c r="L15" s="567"/>
      <c r="M15" s="567" t="str">
        <f>IF(L15="","",
IF(AX15="PT",VLOOKUP(L15,Foundation_Calc!$V$4:$X$37,VLOOKUP(AX15,Foundation_Calc!$I$10:$J$13,2,FALSE),0),
IF(AX15="K",VLOOKUP(L15,Foundation_Calc!$V$41:$X$74,VLOOKUP(AX15,Foundation_Calc!$I$10:$J$13,2,FALSE),0),"")))</f>
        <v/>
      </c>
      <c r="N15" s="567"/>
      <c r="O15" s="567"/>
      <c r="P15" s="567"/>
      <c r="Q15" s="565"/>
      <c r="R15" s="566"/>
      <c r="S15" s="566"/>
      <c r="T15" s="565"/>
      <c r="U15" s="565"/>
      <c r="V15" s="565"/>
      <c r="W15" s="569"/>
      <c r="X15" s="569"/>
      <c r="Y15" s="569"/>
      <c r="Z15" s="569"/>
      <c r="AA15" s="569"/>
      <c r="AB15" s="569"/>
      <c r="AC15" s="567" t="str">
        <f t="shared" si="1"/>
        <v/>
      </c>
      <c r="AD15" s="567"/>
      <c r="AE15" s="567"/>
      <c r="AF15" s="565"/>
      <c r="AG15" s="564"/>
      <c r="AH15" s="565"/>
      <c r="AI15" s="565"/>
      <c r="AJ15" s="567"/>
      <c r="AK15" s="567"/>
      <c r="AL15" s="567"/>
      <c r="AM15" s="567"/>
      <c r="AN15" s="569"/>
      <c r="AO15" s="567"/>
      <c r="AP15" s="567"/>
      <c r="AQ15" s="569"/>
      <c r="AR15" s="569"/>
      <c r="AS15" s="569"/>
      <c r="AT15" s="569"/>
      <c r="AU15" s="570"/>
      <c r="AV15" s="570"/>
      <c r="AW15" s="567"/>
      <c r="AX15" s="567"/>
      <c r="AY15" s="569"/>
      <c r="AZ15" s="569"/>
      <c r="BA15" s="517" t="str">
        <f t="shared" si="2"/>
        <v/>
      </c>
      <c r="BB15" s="517" t="str">
        <f t="shared" si="3"/>
        <v/>
      </c>
      <c r="BC15" s="517" t="str">
        <f t="shared" si="4"/>
        <v/>
      </c>
      <c r="BD15" s="572"/>
      <c r="BE15" s="448" t="s">
        <v>1726</v>
      </c>
      <c r="BF15" s="305"/>
      <c r="BG15" s="305"/>
      <c r="BH15" s="306"/>
      <c r="BI15" s="305"/>
    </row>
    <row r="16" spans="1:63" ht="16.2" customHeight="1">
      <c r="A16" s="561"/>
      <c r="B16" s="562" t="s">
        <v>2281</v>
      </c>
      <c r="C16" s="563">
        <v>20728.5</v>
      </c>
      <c r="D16" s="564"/>
      <c r="E16" s="565"/>
      <c r="F16" s="644" t="s">
        <v>2358</v>
      </c>
      <c r="G16" s="566"/>
      <c r="H16" s="567" t="s">
        <v>365</v>
      </c>
      <c r="I16" s="567"/>
      <c r="J16" s="568"/>
      <c r="K16" s="567"/>
      <c r="L16" s="567" t="s">
        <v>323</v>
      </c>
      <c r="M16" s="567" t="s">
        <v>678</v>
      </c>
      <c r="N16" s="567" t="s">
        <v>33</v>
      </c>
      <c r="O16" s="567"/>
      <c r="P16" s="567"/>
      <c r="Q16" s="565"/>
      <c r="R16" s="566"/>
      <c r="S16" s="566"/>
      <c r="T16" s="565">
        <v>30</v>
      </c>
      <c r="U16" s="565"/>
      <c r="V16" s="565"/>
      <c r="W16" s="569">
        <v>1.4</v>
      </c>
      <c r="X16" s="569"/>
      <c r="Y16" s="569"/>
      <c r="Z16" s="569"/>
      <c r="AA16" s="569"/>
      <c r="AB16" s="569"/>
      <c r="AC16" s="567" t="str">
        <f t="shared" si="1"/>
        <v/>
      </c>
      <c r="AD16" s="567"/>
      <c r="AE16" s="567"/>
      <c r="AF16" s="565"/>
      <c r="AG16" s="564"/>
      <c r="AH16" s="565"/>
      <c r="AI16" s="565"/>
      <c r="AJ16" s="567"/>
      <c r="AK16" s="567"/>
      <c r="AL16" s="567" t="s">
        <v>1111</v>
      </c>
      <c r="AM16" s="567" t="s">
        <v>487</v>
      </c>
      <c r="AN16" s="569">
        <v>5.5</v>
      </c>
      <c r="AO16" s="567"/>
      <c r="AP16" s="567"/>
      <c r="AQ16" s="569"/>
      <c r="AR16" s="569"/>
      <c r="AS16" s="569"/>
      <c r="AT16" s="569"/>
      <c r="AU16" s="570"/>
      <c r="AV16" s="570"/>
      <c r="AW16" s="567"/>
      <c r="AX16" s="567"/>
      <c r="AY16" s="569"/>
      <c r="AZ16" s="569"/>
      <c r="BA16" s="517" t="str">
        <f t="shared" si="2"/>
        <v/>
      </c>
      <c r="BB16" s="517" t="str">
        <f t="shared" si="3"/>
        <v/>
      </c>
      <c r="BC16" s="517" t="str">
        <f t="shared" si="4"/>
        <v/>
      </c>
      <c r="BD16" s="572"/>
      <c r="BE16" s="448" t="s">
        <v>1726</v>
      </c>
      <c r="BF16" s="306"/>
      <c r="BG16" s="306"/>
      <c r="BH16" s="306"/>
      <c r="BI16" s="306"/>
    </row>
    <row r="17" spans="1:61" ht="16.2" customHeight="1">
      <c r="A17" s="561"/>
      <c r="B17" s="562"/>
      <c r="C17" s="563"/>
      <c r="D17" s="564"/>
      <c r="E17" s="565"/>
      <c r="F17" s="565"/>
      <c r="G17" s="566">
        <v>57</v>
      </c>
      <c r="H17" s="567"/>
      <c r="I17" s="567"/>
      <c r="J17" s="568">
        <f>C16-7.5</f>
        <v>20721</v>
      </c>
      <c r="K17" s="567" t="s">
        <v>1096</v>
      </c>
      <c r="L17" s="567"/>
      <c r="M17" s="567" t="str">
        <f>IF(L17="","",
IF(AX17="PT",VLOOKUP(L17,Foundation_Calc!$V$4:$X$37,VLOOKUP(AX17,Foundation_Calc!$I$10:$J$13,2,FALSE),0),
IF(AX17="K",VLOOKUP(L17,Foundation_Calc!$V$41:$X$74,VLOOKUP(AX17,Foundation_Calc!$I$10:$J$13,2,FALSE),0),"")))</f>
        <v/>
      </c>
      <c r="N17" s="567"/>
      <c r="O17" s="567"/>
      <c r="P17" s="567"/>
      <c r="Q17" s="565"/>
      <c r="R17" s="566"/>
      <c r="S17" s="566"/>
      <c r="T17" s="565"/>
      <c r="U17" s="565"/>
      <c r="V17" s="565"/>
      <c r="W17" s="569"/>
      <c r="X17" s="569"/>
      <c r="Y17" s="569"/>
      <c r="Z17" s="569"/>
      <c r="AA17" s="569"/>
      <c r="AB17" s="569"/>
      <c r="AC17" s="567" t="str">
        <f t="shared" si="1"/>
        <v/>
      </c>
      <c r="AD17" s="567"/>
      <c r="AE17" s="567"/>
      <c r="AF17" s="565"/>
      <c r="AG17" s="564"/>
      <c r="AH17" s="565"/>
      <c r="AI17" s="565"/>
      <c r="AJ17" s="567"/>
      <c r="AK17" s="567"/>
      <c r="AL17" s="567"/>
      <c r="AM17" s="567"/>
      <c r="AN17" s="569"/>
      <c r="AO17" s="567"/>
      <c r="AP17" s="567"/>
      <c r="AQ17" s="569"/>
      <c r="AR17" s="569"/>
      <c r="AS17" s="569"/>
      <c r="AT17" s="569"/>
      <c r="AU17" s="570"/>
      <c r="AV17" s="570"/>
      <c r="AW17" s="567"/>
      <c r="AX17" s="567"/>
      <c r="AY17" s="569"/>
      <c r="AZ17" s="569"/>
      <c r="BA17" s="517" t="str">
        <f t="shared" si="2"/>
        <v/>
      </c>
      <c r="BB17" s="517" t="str">
        <f t="shared" si="3"/>
        <v/>
      </c>
      <c r="BC17" s="517" t="str">
        <f t="shared" si="4"/>
        <v/>
      </c>
      <c r="BD17" s="572"/>
      <c r="BE17" s="448" t="s">
        <v>1726</v>
      </c>
      <c r="BF17" s="305"/>
      <c r="BG17" s="305"/>
      <c r="BH17" s="306"/>
      <c r="BI17" s="305"/>
    </row>
    <row r="18" spans="1:61" ht="16.2" customHeight="1">
      <c r="A18" s="561"/>
      <c r="B18" s="562" t="s">
        <v>2282</v>
      </c>
      <c r="C18" s="563">
        <v>20671.5</v>
      </c>
      <c r="D18" s="564"/>
      <c r="E18" s="565"/>
      <c r="F18" s="644" t="s">
        <v>2358</v>
      </c>
      <c r="G18" s="566"/>
      <c r="H18" s="567"/>
      <c r="I18" s="567"/>
      <c r="J18" s="568"/>
      <c r="K18" s="567"/>
      <c r="L18" s="567" t="s">
        <v>323</v>
      </c>
      <c r="M18" s="567" t="s">
        <v>678</v>
      </c>
      <c r="N18" s="567" t="s">
        <v>32</v>
      </c>
      <c r="O18" s="567"/>
      <c r="P18" s="567"/>
      <c r="Q18" s="565"/>
      <c r="R18" s="566"/>
      <c r="S18" s="566"/>
      <c r="T18" s="565">
        <v>-30</v>
      </c>
      <c r="U18" s="565"/>
      <c r="V18" s="565"/>
      <c r="W18" s="569">
        <v>1.4</v>
      </c>
      <c r="X18" s="569"/>
      <c r="Y18" s="569"/>
      <c r="Z18" s="569"/>
      <c r="AA18" s="569"/>
      <c r="AB18" s="569"/>
      <c r="AC18" s="567" t="str">
        <f t="shared" si="1"/>
        <v/>
      </c>
      <c r="AD18" s="567"/>
      <c r="AE18" s="567"/>
      <c r="AF18" s="565"/>
      <c r="AG18" s="564"/>
      <c r="AH18" s="565"/>
      <c r="AI18" s="565"/>
      <c r="AJ18" s="567"/>
      <c r="AK18" s="567" t="s">
        <v>2374</v>
      </c>
      <c r="AL18" s="567" t="s">
        <v>1111</v>
      </c>
      <c r="AM18" s="567" t="s">
        <v>487</v>
      </c>
      <c r="AN18" s="569">
        <v>5.5</v>
      </c>
      <c r="AO18" s="567"/>
      <c r="AP18" s="567"/>
      <c r="AQ18" s="569"/>
      <c r="AR18" s="569"/>
      <c r="AS18" s="569"/>
      <c r="AT18" s="569"/>
      <c r="AU18" s="570"/>
      <c r="AV18" s="570"/>
      <c r="AW18" s="567"/>
      <c r="AX18" s="567"/>
      <c r="AY18" s="569"/>
      <c r="AZ18" s="569"/>
      <c r="BA18" s="517" t="str">
        <f t="shared" si="2"/>
        <v/>
      </c>
      <c r="BB18" s="517" t="str">
        <f t="shared" si="3"/>
        <v/>
      </c>
      <c r="BC18" s="517" t="str">
        <f t="shared" si="4"/>
        <v/>
      </c>
      <c r="BD18" s="572"/>
      <c r="BE18" s="448" t="s">
        <v>1726</v>
      </c>
      <c r="BF18" s="306"/>
      <c r="BG18" s="306"/>
      <c r="BH18" s="306"/>
      <c r="BI18" s="306"/>
    </row>
    <row r="19" spans="1:61" ht="16.2" customHeight="1">
      <c r="A19" s="561"/>
      <c r="B19" s="562"/>
      <c r="C19" s="563"/>
      <c r="D19" s="564"/>
      <c r="E19" s="565"/>
      <c r="F19" s="565"/>
      <c r="G19" s="566">
        <v>56.1</v>
      </c>
      <c r="H19" s="567"/>
      <c r="I19" s="567"/>
      <c r="J19" s="568"/>
      <c r="K19" s="567"/>
      <c r="L19" s="567"/>
      <c r="M19" s="567" t="str">
        <f>IF(L19="","",
IF(AX19="PT",VLOOKUP(L19,Foundation_Calc!$V$4:$X$37,VLOOKUP(AX19,Foundation_Calc!$I$10:$J$13,2,FALSE),0),
IF(AX19="K",VLOOKUP(L19,Foundation_Calc!$V$41:$X$74,VLOOKUP(AX19,Foundation_Calc!$I$10:$J$13,2,FALSE),0),"")))</f>
        <v/>
      </c>
      <c r="N19" s="567"/>
      <c r="O19" s="567"/>
      <c r="P19" s="567"/>
      <c r="Q19" s="565"/>
      <c r="R19" s="566"/>
      <c r="S19" s="566"/>
      <c r="T19" s="565"/>
      <c r="U19" s="565"/>
      <c r="V19" s="565"/>
      <c r="W19" s="569"/>
      <c r="X19" s="569"/>
      <c r="Y19" s="569"/>
      <c r="Z19" s="569"/>
      <c r="AA19" s="569"/>
      <c r="AB19" s="569"/>
      <c r="AC19" s="567" t="str">
        <f t="shared" si="1"/>
        <v/>
      </c>
      <c r="AD19" s="567"/>
      <c r="AE19" s="567"/>
      <c r="AF19" s="565"/>
      <c r="AG19" s="564"/>
      <c r="AH19" s="565"/>
      <c r="AI19" s="565"/>
      <c r="AJ19" s="567"/>
      <c r="AK19" s="567"/>
      <c r="AL19" s="567"/>
      <c r="AM19" s="567"/>
      <c r="AN19" s="569"/>
      <c r="AO19" s="567"/>
      <c r="AP19" s="567"/>
      <c r="AQ19" s="569"/>
      <c r="AR19" s="569"/>
      <c r="AS19" s="569"/>
      <c r="AT19" s="569"/>
      <c r="AU19" s="570"/>
      <c r="AV19" s="570"/>
      <c r="AW19" s="567"/>
      <c r="AX19" s="567"/>
      <c r="AY19" s="569"/>
      <c r="AZ19" s="569"/>
      <c r="BA19" s="517" t="str">
        <f t="shared" si="2"/>
        <v/>
      </c>
      <c r="BB19" s="517" t="str">
        <f t="shared" si="3"/>
        <v/>
      </c>
      <c r="BC19" s="517" t="str">
        <f t="shared" si="4"/>
        <v/>
      </c>
      <c r="BD19" s="572"/>
      <c r="BE19" s="448" t="s">
        <v>1726</v>
      </c>
      <c r="BF19" s="305"/>
      <c r="BG19" s="305"/>
      <c r="BH19" s="306"/>
      <c r="BI19" s="305"/>
    </row>
    <row r="20" spans="1:61" ht="16.2" customHeight="1">
      <c r="A20" s="561"/>
      <c r="B20" s="562" t="s">
        <v>2283</v>
      </c>
      <c r="C20" s="563">
        <v>20615.400000000001</v>
      </c>
      <c r="D20" s="564"/>
      <c r="E20" s="565"/>
      <c r="F20" s="644" t="s">
        <v>2358</v>
      </c>
      <c r="G20" s="566"/>
      <c r="H20" s="567"/>
      <c r="I20" s="567"/>
      <c r="J20" s="568"/>
      <c r="K20" s="567"/>
      <c r="L20" s="567" t="s">
        <v>323</v>
      </c>
      <c r="M20" s="567" t="s">
        <v>678</v>
      </c>
      <c r="N20" s="567" t="s">
        <v>33</v>
      </c>
      <c r="O20" s="567"/>
      <c r="P20" s="567"/>
      <c r="Q20" s="565"/>
      <c r="R20" s="566"/>
      <c r="S20" s="566"/>
      <c r="T20" s="565">
        <v>30</v>
      </c>
      <c r="U20" s="565"/>
      <c r="V20" s="565"/>
      <c r="W20" s="569">
        <v>1.4</v>
      </c>
      <c r="X20" s="569"/>
      <c r="Y20" s="569"/>
      <c r="Z20" s="569"/>
      <c r="AA20" s="569"/>
      <c r="AB20" s="569"/>
      <c r="AC20" s="567" t="str">
        <f t="shared" ref="AC20" si="5">IF(OR(AT20&gt;8,AT20&lt;-8),"PH",
IF(OR(AT20&gt;5,AT20&lt;-5),"PHQ",
IF(OR(AT20&gt;1,AT20&lt;-1),
"PHC","")))</f>
        <v/>
      </c>
      <c r="AD20" s="567"/>
      <c r="AE20" s="567"/>
      <c r="AF20" s="565"/>
      <c r="AG20" s="564"/>
      <c r="AH20" s="565"/>
      <c r="AI20" s="565"/>
      <c r="AJ20" s="567"/>
      <c r="AK20" s="567"/>
      <c r="AL20" s="567" t="s">
        <v>1111</v>
      </c>
      <c r="AM20" s="567" t="s">
        <v>487</v>
      </c>
      <c r="AN20" s="569">
        <v>5.5</v>
      </c>
      <c r="AO20" s="567"/>
      <c r="AP20" s="567"/>
      <c r="AQ20" s="569"/>
      <c r="AR20" s="569"/>
      <c r="AS20" s="569"/>
      <c r="AT20" s="569"/>
      <c r="AU20" s="570"/>
      <c r="AV20" s="570"/>
      <c r="AW20" s="567"/>
      <c r="AX20" s="567"/>
      <c r="AY20" s="569"/>
      <c r="AZ20" s="569"/>
      <c r="BA20" s="517" t="str">
        <f t="shared" si="2"/>
        <v/>
      </c>
      <c r="BB20" s="517" t="str">
        <f t="shared" si="3"/>
        <v/>
      </c>
      <c r="BC20" s="517" t="str">
        <f t="shared" si="4"/>
        <v/>
      </c>
      <c r="BD20" s="572"/>
      <c r="BE20" s="448" t="s">
        <v>1726</v>
      </c>
      <c r="BF20" s="306"/>
      <c r="BG20" s="306"/>
      <c r="BH20" s="306"/>
      <c r="BI20" s="306"/>
    </row>
    <row r="21" spans="1:61" ht="16.2" customHeight="1">
      <c r="A21" s="561"/>
      <c r="B21" s="562"/>
      <c r="C21" s="563"/>
      <c r="D21" s="564"/>
      <c r="E21" s="565"/>
      <c r="F21" s="565"/>
      <c r="G21" s="566">
        <v>56</v>
      </c>
      <c r="H21" s="567"/>
      <c r="I21" s="567"/>
      <c r="J21" s="568">
        <f>C22+7.5</f>
        <v>20566.900000000001</v>
      </c>
      <c r="K21" s="567" t="s">
        <v>1096</v>
      </c>
      <c r="L21" s="567"/>
      <c r="M21" s="567" t="str">
        <f>IF(L21="","",
IF(AX21="PT",VLOOKUP(L21,Foundation_Calc!$V$4:$X$37,VLOOKUP(AX21,Foundation_Calc!$I$10:$J$13,2,FALSE),0),
IF(AX21="K",VLOOKUP(L21,Foundation_Calc!$V$41:$X$74,VLOOKUP(AX21,Foundation_Calc!$I$10:$J$13,2,FALSE),0),"")))</f>
        <v/>
      </c>
      <c r="N21" s="567"/>
      <c r="O21" s="567"/>
      <c r="P21" s="567"/>
      <c r="Q21" s="565"/>
      <c r="R21" s="566"/>
      <c r="S21" s="566"/>
      <c r="T21" s="565"/>
      <c r="U21" s="565"/>
      <c r="V21" s="565"/>
      <c r="W21" s="569"/>
      <c r="X21" s="569"/>
      <c r="Y21" s="569"/>
      <c r="Z21" s="569"/>
      <c r="AA21" s="569"/>
      <c r="AB21" s="569"/>
      <c r="AC21" s="567" t="str">
        <f t="shared" si="1"/>
        <v/>
      </c>
      <c r="AD21" s="567"/>
      <c r="AE21" s="567"/>
      <c r="AF21" s="565"/>
      <c r="AG21" s="564"/>
      <c r="AH21" s="565"/>
      <c r="AI21" s="565"/>
      <c r="AJ21" s="567"/>
      <c r="AK21" s="567"/>
      <c r="AL21" s="567"/>
      <c r="AM21" s="567"/>
      <c r="AN21" s="569"/>
      <c r="AO21" s="567"/>
      <c r="AP21" s="567"/>
      <c r="AQ21" s="569"/>
      <c r="AR21" s="569"/>
      <c r="AS21" s="569"/>
      <c r="AT21" s="569"/>
      <c r="AU21" s="570"/>
      <c r="AV21" s="570"/>
      <c r="AW21" s="567"/>
      <c r="AX21" s="567"/>
      <c r="AY21" s="569"/>
      <c r="AZ21" s="569"/>
      <c r="BA21" s="517" t="str">
        <f t="shared" si="2"/>
        <v/>
      </c>
      <c r="BB21" s="517" t="str">
        <f t="shared" si="3"/>
        <v/>
      </c>
      <c r="BC21" s="517" t="str">
        <f t="shared" si="4"/>
        <v/>
      </c>
      <c r="BD21" s="572"/>
      <c r="BE21" s="448" t="s">
        <v>1726</v>
      </c>
      <c r="BF21" s="305"/>
      <c r="BG21" s="305"/>
      <c r="BH21" s="306"/>
      <c r="BI21" s="305"/>
    </row>
    <row r="22" spans="1:61" ht="16.2" customHeight="1">
      <c r="A22" s="561"/>
      <c r="B22" s="562" t="s">
        <v>2284</v>
      </c>
      <c r="C22" s="563">
        <v>20559.400000000001</v>
      </c>
      <c r="D22" s="564"/>
      <c r="E22" s="565"/>
      <c r="F22" s="644" t="s">
        <v>2358</v>
      </c>
      <c r="G22" s="566"/>
      <c r="H22" s="567" t="s">
        <v>365</v>
      </c>
      <c r="I22" s="567"/>
      <c r="J22" s="568"/>
      <c r="K22" s="567"/>
      <c r="L22" s="567" t="s">
        <v>323</v>
      </c>
      <c r="M22" s="567" t="s">
        <v>678</v>
      </c>
      <c r="N22" s="567" t="s">
        <v>32</v>
      </c>
      <c r="O22" s="567"/>
      <c r="P22" s="567"/>
      <c r="Q22" s="565"/>
      <c r="R22" s="566"/>
      <c r="S22" s="566"/>
      <c r="T22" s="565">
        <v>-30</v>
      </c>
      <c r="U22" s="565"/>
      <c r="V22" s="565"/>
      <c r="W22" s="569">
        <v>1.4</v>
      </c>
      <c r="X22" s="569"/>
      <c r="Y22" s="569"/>
      <c r="Z22" s="569"/>
      <c r="AA22" s="569"/>
      <c r="AB22" s="569"/>
      <c r="AC22" s="567" t="str">
        <f t="shared" si="1"/>
        <v/>
      </c>
      <c r="AD22" s="567"/>
      <c r="AE22" s="567"/>
      <c r="AF22" s="565"/>
      <c r="AG22" s="564"/>
      <c r="AH22" s="565"/>
      <c r="AI22" s="565"/>
      <c r="AJ22" s="567"/>
      <c r="AK22" s="567" t="s">
        <v>2374</v>
      </c>
      <c r="AL22" s="567" t="s">
        <v>1111</v>
      </c>
      <c r="AM22" s="567" t="s">
        <v>487</v>
      </c>
      <c r="AN22" s="569">
        <v>5.5</v>
      </c>
      <c r="AO22" s="567"/>
      <c r="AP22" s="567"/>
      <c r="AQ22" s="569"/>
      <c r="AR22" s="569"/>
      <c r="AS22" s="569"/>
      <c r="AT22" s="569"/>
      <c r="AU22" s="570"/>
      <c r="AV22" s="570"/>
      <c r="AW22" s="567"/>
      <c r="AX22" s="567"/>
      <c r="AY22" s="569"/>
      <c r="AZ22" s="569"/>
      <c r="BA22" s="517" t="str">
        <f t="shared" si="2"/>
        <v/>
      </c>
      <c r="BB22" s="517" t="str">
        <f t="shared" si="3"/>
        <v/>
      </c>
      <c r="BC22" s="517" t="str">
        <f t="shared" si="4"/>
        <v/>
      </c>
      <c r="BD22" s="572"/>
      <c r="BE22" s="448" t="s">
        <v>1726</v>
      </c>
      <c r="BF22" s="306"/>
      <c r="BG22" s="306"/>
      <c r="BH22" s="306"/>
      <c r="BI22" s="306"/>
    </row>
    <row r="23" spans="1:61" ht="16.2" customHeight="1">
      <c r="A23" s="561"/>
      <c r="B23" s="562"/>
      <c r="C23" s="563"/>
      <c r="D23" s="564"/>
      <c r="E23" s="565"/>
      <c r="F23" s="565"/>
      <c r="G23" s="566">
        <v>57</v>
      </c>
      <c r="H23" s="567"/>
      <c r="I23" s="565">
        <f>SUM(G7:G23)</f>
        <v>505.66</v>
      </c>
      <c r="J23" s="568"/>
      <c r="K23" s="567"/>
      <c r="L23" s="567"/>
      <c r="M23" s="567" t="str">
        <f>IF(L23="","",
IF(AX23="PT",VLOOKUP(L23,Foundation_Calc!$V$4:$X$37,VLOOKUP(AX23,Foundation_Calc!$I$10:$J$13,2,FALSE),0),
IF(AX23="K",VLOOKUP(L23,Foundation_Calc!$V$41:$X$74,VLOOKUP(AX23,Foundation_Calc!$I$10:$J$13,2,FALSE),0),"")))</f>
        <v/>
      </c>
      <c r="N23" s="567"/>
      <c r="O23" s="567"/>
      <c r="P23" s="567"/>
      <c r="Q23" s="565"/>
      <c r="R23" s="566"/>
      <c r="S23" s="566"/>
      <c r="T23" s="565"/>
      <c r="U23" s="565"/>
      <c r="V23" s="565"/>
      <c r="W23" s="569"/>
      <c r="X23" s="569"/>
      <c r="Y23" s="569"/>
      <c r="Z23" s="569"/>
      <c r="AA23" s="569"/>
      <c r="AB23" s="569"/>
      <c r="AC23" s="567" t="str">
        <f t="shared" si="1"/>
        <v/>
      </c>
      <c r="AD23" s="567"/>
      <c r="AE23" s="567"/>
      <c r="AF23" s="565"/>
      <c r="AG23" s="564"/>
      <c r="AH23" s="565"/>
      <c r="AI23" s="565"/>
      <c r="AJ23" s="567"/>
      <c r="AK23" s="567"/>
      <c r="AL23" s="567"/>
      <c r="AM23" s="567"/>
      <c r="AN23" s="569"/>
      <c r="AO23" s="567"/>
      <c r="AP23" s="567"/>
      <c r="AQ23" s="569"/>
      <c r="AR23" s="569"/>
      <c r="AS23" s="569"/>
      <c r="AT23" s="569"/>
      <c r="AU23" s="570"/>
      <c r="AV23" s="570"/>
      <c r="AW23" s="567"/>
      <c r="AX23" s="567"/>
      <c r="AY23" s="569"/>
      <c r="AZ23" s="569"/>
      <c r="BA23" s="517" t="str">
        <f t="shared" si="2"/>
        <v/>
      </c>
      <c r="BB23" s="517" t="str">
        <f t="shared" si="3"/>
        <v/>
      </c>
      <c r="BC23" s="517" t="str">
        <f t="shared" si="4"/>
        <v/>
      </c>
      <c r="BD23" s="572"/>
      <c r="BE23" s="448" t="s">
        <v>1726</v>
      </c>
      <c r="BF23" s="305"/>
      <c r="BG23" s="305"/>
      <c r="BH23" s="306"/>
      <c r="BI23" s="305"/>
    </row>
    <row r="24" spans="1:61" ht="16.2" customHeight="1">
      <c r="A24" s="561"/>
      <c r="B24" s="562" t="s">
        <v>2285</v>
      </c>
      <c r="C24" s="563">
        <v>20502.400000000001</v>
      </c>
      <c r="D24" s="564"/>
      <c r="E24" s="565"/>
      <c r="F24" s="565">
        <v>1000</v>
      </c>
      <c r="G24" s="566"/>
      <c r="H24" s="567" t="s">
        <v>2286</v>
      </c>
      <c r="I24" s="567"/>
      <c r="J24" s="568"/>
      <c r="K24" s="567"/>
      <c r="L24" s="567" t="s">
        <v>323</v>
      </c>
      <c r="M24" s="567" t="s">
        <v>678</v>
      </c>
      <c r="N24" s="567" t="s">
        <v>33</v>
      </c>
      <c r="O24" s="567"/>
      <c r="P24" s="567"/>
      <c r="Q24" s="565"/>
      <c r="R24" s="566"/>
      <c r="S24" s="566"/>
      <c r="T24" s="565">
        <v>30</v>
      </c>
      <c r="U24" s="565"/>
      <c r="V24" s="565"/>
      <c r="W24" s="569">
        <v>1.4</v>
      </c>
      <c r="X24" s="569"/>
      <c r="Y24" s="569"/>
      <c r="Z24" s="569"/>
      <c r="AA24" s="569"/>
      <c r="AB24" s="569"/>
      <c r="AC24" s="567" t="str">
        <f t="shared" ref="AC24" si="6">IF(OR(AT24&gt;8,AT24&lt;-8),"PH",
IF(OR(AT24&gt;5,AT24&lt;-5),"PHQ",
IF(OR(AT24&gt;1,AT24&lt;-1),
"PHC","")))</f>
        <v/>
      </c>
      <c r="AD24" s="567"/>
      <c r="AE24" s="567"/>
      <c r="AF24" s="565"/>
      <c r="AG24" s="564"/>
      <c r="AH24" s="565"/>
      <c r="AI24" s="565"/>
      <c r="AJ24" s="567"/>
      <c r="AK24" s="567"/>
      <c r="AL24" s="567" t="s">
        <v>1111</v>
      </c>
      <c r="AM24" s="567" t="s">
        <v>487</v>
      </c>
      <c r="AN24" s="569">
        <v>5.5</v>
      </c>
      <c r="AO24" s="567"/>
      <c r="AP24" s="567"/>
      <c r="AQ24" s="569"/>
      <c r="AR24" s="569"/>
      <c r="AS24" s="569"/>
      <c r="AT24" s="569"/>
      <c r="AU24" s="570"/>
      <c r="AV24" s="570"/>
      <c r="AW24" s="567"/>
      <c r="AX24" s="567"/>
      <c r="AY24" s="569"/>
      <c r="AZ24" s="569"/>
      <c r="BA24" s="517" t="str">
        <f t="shared" si="2"/>
        <v/>
      </c>
      <c r="BB24" s="517" t="str">
        <f t="shared" si="3"/>
        <v/>
      </c>
      <c r="BC24" s="517" t="str">
        <f t="shared" si="4"/>
        <v/>
      </c>
      <c r="BD24" s="572"/>
      <c r="BE24" s="448" t="s">
        <v>1726</v>
      </c>
      <c r="BF24" s="306"/>
      <c r="BG24" s="306"/>
      <c r="BH24" s="306"/>
      <c r="BI24" s="306"/>
    </row>
    <row r="25" spans="1:61" ht="16.2" customHeight="1">
      <c r="A25" s="561"/>
      <c r="B25" s="562"/>
      <c r="C25" s="563"/>
      <c r="D25" s="564"/>
      <c r="E25" s="565"/>
      <c r="F25" s="565"/>
      <c r="G25" s="566">
        <v>46.9</v>
      </c>
      <c r="H25" s="567"/>
      <c r="I25" s="565">
        <f>SUM(G25:G41)</f>
        <v>345</v>
      </c>
      <c r="J25" s="568">
        <f>C24-7.5</f>
        <v>20494.900000000001</v>
      </c>
      <c r="K25" s="567" t="s">
        <v>1096</v>
      </c>
      <c r="L25" s="567"/>
      <c r="M25" s="567" t="str">
        <f>IF(L25="","",
IF(AX25="PT",VLOOKUP(L25,Foundation_Calc!$V$4:$X$37,VLOOKUP(AX25,Foundation_Calc!$I$10:$J$13,2,FALSE),0),
IF(AX25="K",VLOOKUP(L25,Foundation_Calc!$V$41:$X$74,VLOOKUP(AX25,Foundation_Calc!$I$10:$J$13,2,FALSE),0),"")))</f>
        <v/>
      </c>
      <c r="N25" s="567"/>
      <c r="O25" s="567"/>
      <c r="P25" s="567"/>
      <c r="Q25" s="565"/>
      <c r="R25" s="566"/>
      <c r="S25" s="566"/>
      <c r="T25" s="565"/>
      <c r="U25" s="565"/>
      <c r="V25" s="565"/>
      <c r="W25" s="569"/>
      <c r="X25" s="569"/>
      <c r="Y25" s="569"/>
      <c r="Z25" s="569"/>
      <c r="AA25" s="569"/>
      <c r="AB25" s="569"/>
      <c r="AC25" s="567" t="str">
        <f t="shared" si="1"/>
        <v/>
      </c>
      <c r="AD25" s="567"/>
      <c r="AE25" s="567"/>
      <c r="AF25" s="565"/>
      <c r="AG25" s="564"/>
      <c r="AH25" s="565"/>
      <c r="AI25" s="565"/>
      <c r="AJ25" s="567"/>
      <c r="AK25" s="567"/>
      <c r="AL25" s="567"/>
      <c r="AM25" s="567"/>
      <c r="AN25" s="569"/>
      <c r="AO25" s="567"/>
      <c r="AP25" s="567"/>
      <c r="AQ25" s="569"/>
      <c r="AR25" s="569"/>
      <c r="AS25" s="569"/>
      <c r="AT25" s="569"/>
      <c r="AU25" s="570"/>
      <c r="AV25" s="570"/>
      <c r="AW25" s="567"/>
      <c r="AX25" s="567"/>
      <c r="AY25" s="569"/>
      <c r="AZ25" s="569"/>
      <c r="BA25" s="517" t="str">
        <f t="shared" si="2"/>
        <v/>
      </c>
      <c r="BB25" s="517" t="str">
        <f t="shared" si="3"/>
        <v/>
      </c>
      <c r="BC25" s="517" t="str">
        <f t="shared" si="4"/>
        <v/>
      </c>
      <c r="BD25" s="572"/>
      <c r="BE25" s="448" t="s">
        <v>1726</v>
      </c>
      <c r="BF25" s="305"/>
      <c r="BG25" s="305"/>
      <c r="BH25" s="306"/>
      <c r="BI25" s="305"/>
    </row>
    <row r="26" spans="1:61" ht="16.2" customHeight="1">
      <c r="A26" s="561"/>
      <c r="B26" s="562" t="s">
        <v>2287</v>
      </c>
      <c r="C26" s="563">
        <v>20455.5</v>
      </c>
      <c r="D26" s="564"/>
      <c r="E26" s="565"/>
      <c r="F26" s="565">
        <v>1000</v>
      </c>
      <c r="G26" s="566"/>
      <c r="H26" s="567" t="s">
        <v>365</v>
      </c>
      <c r="I26" s="567"/>
      <c r="J26" s="568">
        <f>C26-7.5</f>
        <v>20448</v>
      </c>
      <c r="K26" s="567" t="s">
        <v>1096</v>
      </c>
      <c r="L26" s="567" t="s">
        <v>323</v>
      </c>
      <c r="M26" s="567" t="s">
        <v>678</v>
      </c>
      <c r="N26" s="567" t="s">
        <v>33</v>
      </c>
      <c r="O26" s="567"/>
      <c r="P26" s="567"/>
      <c r="Q26" s="565"/>
      <c r="R26" s="566"/>
      <c r="S26" s="566"/>
      <c r="T26" s="565">
        <v>30</v>
      </c>
      <c r="U26" s="565"/>
      <c r="V26" s="565"/>
      <c r="W26" s="569">
        <v>1.4</v>
      </c>
      <c r="X26" s="569"/>
      <c r="Y26" s="569"/>
      <c r="Z26" s="569"/>
      <c r="AA26" s="569"/>
      <c r="AB26" s="569"/>
      <c r="AC26" s="567" t="str">
        <f t="shared" si="1"/>
        <v/>
      </c>
      <c r="AD26" s="567"/>
      <c r="AE26" s="567"/>
      <c r="AF26" s="565"/>
      <c r="AG26" s="564"/>
      <c r="AH26" s="565"/>
      <c r="AI26" s="565"/>
      <c r="AJ26" s="567"/>
      <c r="AK26" s="567"/>
      <c r="AL26" s="567" t="s">
        <v>1111</v>
      </c>
      <c r="AM26" s="567" t="s">
        <v>487</v>
      </c>
      <c r="AN26" s="569">
        <v>5.5</v>
      </c>
      <c r="AO26" s="567"/>
      <c r="AP26" s="567"/>
      <c r="AQ26" s="569"/>
      <c r="AR26" s="569"/>
      <c r="AS26" s="569"/>
      <c r="AT26" s="569"/>
      <c r="AU26" s="570"/>
      <c r="AV26" s="570"/>
      <c r="AW26" s="567"/>
      <c r="AX26" s="567"/>
      <c r="AY26" s="569"/>
      <c r="AZ26" s="569"/>
      <c r="BA26" s="517" t="str">
        <f t="shared" si="2"/>
        <v/>
      </c>
      <c r="BB26" s="517" t="str">
        <f t="shared" si="3"/>
        <v/>
      </c>
      <c r="BC26" s="517" t="str">
        <f t="shared" si="4"/>
        <v/>
      </c>
      <c r="BD26" s="572"/>
      <c r="BE26" s="448" t="s">
        <v>1726</v>
      </c>
      <c r="BF26" s="306"/>
      <c r="BG26" s="306"/>
      <c r="BH26" s="306"/>
      <c r="BI26" s="306"/>
    </row>
    <row r="27" spans="1:61" ht="16.2" customHeight="1">
      <c r="A27" s="561"/>
      <c r="B27" s="562"/>
      <c r="C27" s="563"/>
      <c r="D27" s="564"/>
      <c r="E27" s="565"/>
      <c r="F27" s="565"/>
      <c r="G27" s="566">
        <v>50.2</v>
      </c>
      <c r="H27" s="567"/>
      <c r="I27" s="567" t="s">
        <v>2204</v>
      </c>
      <c r="J27" s="645">
        <f>C28+7.5</f>
        <v>20412.8</v>
      </c>
      <c r="K27" s="610" t="s">
        <v>1096</v>
      </c>
      <c r="L27" s="610"/>
      <c r="M27" s="610" t="str">
        <f>IF(L27="","",
IF(AX27="PT",VLOOKUP(L27,Foundation_Calc!$V$4:$X$37,VLOOKUP(AX27,Foundation_Calc!$I$10:$J$13,2,FALSE),0),
IF(AX27="K",VLOOKUP(L27,Foundation_Calc!$V$41:$X$74,VLOOKUP(AX27,Foundation_Calc!$I$10:$J$13,2,FALSE),0),"")))</f>
        <v/>
      </c>
      <c r="N27" s="610"/>
      <c r="O27" s="610"/>
      <c r="P27" s="610"/>
      <c r="Q27" s="608"/>
      <c r="R27" s="609"/>
      <c r="S27" s="609"/>
      <c r="T27" s="608"/>
      <c r="U27" s="608"/>
      <c r="V27" s="608"/>
      <c r="W27" s="611"/>
      <c r="X27" s="611"/>
      <c r="Y27" s="611"/>
      <c r="Z27" s="611"/>
      <c r="AA27" s="611"/>
      <c r="AB27" s="611"/>
      <c r="AC27" s="610" t="str">
        <f t="shared" si="1"/>
        <v/>
      </c>
      <c r="AD27" s="610"/>
      <c r="AE27" s="610"/>
      <c r="AF27" s="608"/>
      <c r="AG27" s="607"/>
      <c r="AH27" s="608"/>
      <c r="AI27" s="608"/>
      <c r="AJ27" s="610"/>
      <c r="AK27" s="610"/>
      <c r="AL27" s="610"/>
      <c r="AM27" s="610"/>
      <c r="AN27" s="611"/>
      <c r="AO27" s="610"/>
      <c r="AP27" s="610"/>
      <c r="AQ27" s="611"/>
      <c r="AR27" s="611"/>
      <c r="AS27" s="611"/>
      <c r="AT27" s="611"/>
      <c r="AU27" s="613"/>
      <c r="AV27" s="613"/>
      <c r="AW27" s="610" t="str">
        <f>IF(C27&gt;0,VLOOKUP(C27,Foundation_Calc!$A$20:$C$25,3,1),
IF(J27&gt;0,VLOOKUP(J27,Foundation_Calc!$A$20:$C$25,3,1),""))</f>
        <v>MultiSoil</v>
      </c>
      <c r="AX27" s="610" t="str">
        <f>IF(C27&gt;0,VLOOKUP(C27,Foundation_Calc!$E$20:$G$25,3,1),
IF(J27&gt;0,VLOOKUP(J27,Foundation_Calc!$E$20:$G$25,3,1),""))</f>
        <v>PT</v>
      </c>
      <c r="AY27" s="611" t="str">
        <f>IF(L27="","",
IF(AX27="PT",VLOOKUP(L27,Foundation_Calc!$K$79:$R$112,VLOOKUP(AW27,Foundation_Calc!$I$2:$J$8,2,FALSE),0),
IF(AX27="K",VLOOKUP(L27,Foundation_Calc!$K$116:$R$149,VLOOKUP(AW27,Foundation_Calc!$I$2:$J$8,2,FALSE),0),"")))</f>
        <v/>
      </c>
      <c r="AZ27" s="611">
        <f>IF(K27="","",
IF(AX27="PT",VLOOKUP(K27,Foundation_Calc!$K$79:$R$112,VLOOKUP(AW27,Foundation_Calc!$I$2:$J$8,2,FALSE),0),
IF(AX27="K",VLOOKUP(K27,Foundation_Calc!$K$116:$R$149,VLOOKUP(AW27,Foundation_Calc!$I$2:$J$8,2,FALSE),0),"")))</f>
        <v>2.8</v>
      </c>
      <c r="BA27" s="517" t="str">
        <f t="shared" si="2"/>
        <v/>
      </c>
      <c r="BB27" s="517" t="str">
        <f t="shared" si="3"/>
        <v>ü</v>
      </c>
      <c r="BC27" s="517" t="str">
        <f t="shared" si="4"/>
        <v/>
      </c>
      <c r="BD27" s="572"/>
      <c r="BE27" s="448" t="s">
        <v>1726</v>
      </c>
      <c r="BF27" s="305"/>
      <c r="BG27" s="305"/>
      <c r="BH27" s="306"/>
      <c r="BI27" s="305"/>
    </row>
    <row r="28" spans="1:61" ht="16.2" customHeight="1">
      <c r="A28" s="561"/>
      <c r="B28" s="562" t="s">
        <v>2288</v>
      </c>
      <c r="C28" s="563">
        <v>20405.3</v>
      </c>
      <c r="D28" s="564"/>
      <c r="E28" s="565"/>
      <c r="F28" s="644" t="s">
        <v>2358</v>
      </c>
      <c r="G28" s="566"/>
      <c r="H28" s="567"/>
      <c r="I28" s="567"/>
      <c r="J28" s="568">
        <f>C28-7.5</f>
        <v>20397.8</v>
      </c>
      <c r="K28" s="567" t="s">
        <v>1096</v>
      </c>
      <c r="L28" s="567" t="s">
        <v>325</v>
      </c>
      <c r="M28" s="567" t="s">
        <v>677</v>
      </c>
      <c r="N28" s="567" t="s">
        <v>33</v>
      </c>
      <c r="O28" s="567"/>
      <c r="P28" s="567"/>
      <c r="Q28" s="565"/>
      <c r="R28" s="566"/>
      <c r="S28" s="566"/>
      <c r="T28" s="565">
        <v>30</v>
      </c>
      <c r="U28" s="565"/>
      <c r="V28" s="565"/>
      <c r="W28" s="569">
        <v>1.4</v>
      </c>
      <c r="X28" s="569"/>
      <c r="Y28" s="569"/>
      <c r="Z28" s="569"/>
      <c r="AA28" s="569"/>
      <c r="AB28" s="569"/>
      <c r="AC28" s="567" t="str">
        <f t="shared" si="1"/>
        <v/>
      </c>
      <c r="AD28" s="567"/>
      <c r="AE28" s="567"/>
      <c r="AF28" s="565"/>
      <c r="AG28" s="564"/>
      <c r="AH28" s="565"/>
      <c r="AI28" s="565"/>
      <c r="AJ28" s="567"/>
      <c r="AK28" s="567"/>
      <c r="AL28" s="567" t="s">
        <v>1113</v>
      </c>
      <c r="AM28" s="567" t="s">
        <v>487</v>
      </c>
      <c r="AN28" s="569">
        <v>5.5</v>
      </c>
      <c r="AO28" s="567"/>
      <c r="AP28" s="567"/>
      <c r="AQ28" s="569"/>
      <c r="AR28" s="569"/>
      <c r="AS28" s="569"/>
      <c r="AT28" s="569"/>
      <c r="AU28" s="570"/>
      <c r="AV28" s="570"/>
      <c r="AW28" s="567"/>
      <c r="AX28" s="567"/>
      <c r="AY28" s="569"/>
      <c r="AZ28" s="569"/>
      <c r="BA28" s="517" t="str">
        <f t="shared" si="2"/>
        <v/>
      </c>
      <c r="BB28" s="517" t="str">
        <f t="shared" si="3"/>
        <v/>
      </c>
      <c r="BC28" s="517" t="str">
        <f t="shared" si="4"/>
        <v/>
      </c>
      <c r="BD28" s="572"/>
      <c r="BE28" s="448" t="s">
        <v>1726</v>
      </c>
      <c r="BF28" s="306"/>
      <c r="BG28" s="306"/>
      <c r="BH28" s="306"/>
      <c r="BI28" s="306"/>
    </row>
    <row r="29" spans="1:61" ht="16.2" customHeight="1">
      <c r="A29" s="561"/>
      <c r="B29" s="562"/>
      <c r="C29" s="563"/>
      <c r="D29" s="564"/>
      <c r="E29" s="565"/>
      <c r="F29" s="565"/>
      <c r="G29" s="609">
        <v>43.9</v>
      </c>
      <c r="H29" s="567"/>
      <c r="I29" s="468" t="s">
        <v>2289</v>
      </c>
      <c r="J29" s="568">
        <f>C28-9.5</f>
        <v>20395.8</v>
      </c>
      <c r="K29" s="567" t="s">
        <v>1096</v>
      </c>
      <c r="L29" s="567"/>
      <c r="M29" s="567" t="str">
        <f>IF(L29="","",
IF(AX29="PT",VLOOKUP(L29,Foundation_Calc!$V$4:$X$37,VLOOKUP(AX29,Foundation_Calc!$I$10:$J$13,2,FALSE),0),
IF(AX29="K",VLOOKUP(L29,Foundation_Calc!$V$41:$X$74,VLOOKUP(AX29,Foundation_Calc!$I$10:$J$13,2,FALSE),0),"")))</f>
        <v/>
      </c>
      <c r="N29" s="567"/>
      <c r="O29" s="567"/>
      <c r="P29" s="567"/>
      <c r="Q29" s="565"/>
      <c r="R29" s="566"/>
      <c r="S29" s="566"/>
      <c r="T29" s="565"/>
      <c r="U29" s="565"/>
      <c r="V29" s="565"/>
      <c r="W29" s="569"/>
      <c r="X29" s="569"/>
      <c r="Y29" s="569"/>
      <c r="Z29" s="569"/>
      <c r="AA29" s="569"/>
      <c r="AB29" s="569"/>
      <c r="AC29" s="567" t="str">
        <f t="shared" si="1"/>
        <v/>
      </c>
      <c r="AD29" s="567"/>
      <c r="AE29" s="567"/>
      <c r="AF29" s="565"/>
      <c r="AG29" s="564"/>
      <c r="AH29" s="565"/>
      <c r="AI29" s="565"/>
      <c r="AJ29" s="567"/>
      <c r="AK29" s="567"/>
      <c r="AL29" s="567"/>
      <c r="AM29" s="567"/>
      <c r="AN29" s="569"/>
      <c r="AO29" s="567"/>
      <c r="AP29" s="567"/>
      <c r="AQ29" s="569">
        <f>+FL_1($T$30,$T$28,$G$29,1200,9.28, 1*$F$30)</f>
        <v>0.38129499266336608</v>
      </c>
      <c r="AR29" s="569"/>
      <c r="AS29" s="569"/>
      <c r="AT29" s="569"/>
      <c r="AU29" s="570"/>
      <c r="AV29" s="570"/>
      <c r="AW29" s="567"/>
      <c r="AX29" s="567"/>
      <c r="AY29" s="569"/>
      <c r="AZ29" s="569"/>
      <c r="BA29" s="517" t="str">
        <f t="shared" si="2"/>
        <v/>
      </c>
      <c r="BB29" s="517" t="str">
        <f t="shared" si="3"/>
        <v/>
      </c>
      <c r="BC29" s="517" t="str">
        <f t="shared" si="4"/>
        <v/>
      </c>
      <c r="BD29" s="572"/>
      <c r="BE29" s="448" t="s">
        <v>1726</v>
      </c>
      <c r="BF29" s="305"/>
      <c r="BG29" s="305"/>
      <c r="BH29" s="306"/>
      <c r="BI29" s="305"/>
    </row>
    <row r="30" spans="1:61" ht="16.2" customHeight="1">
      <c r="A30" s="573"/>
      <c r="B30" s="469" t="s">
        <v>2292</v>
      </c>
      <c r="C30" s="3">
        <v>2507.96</v>
      </c>
      <c r="D30" s="88"/>
      <c r="E30" s="4"/>
      <c r="F30" s="4">
        <f>-(209^2)/(C30-2518.83)</f>
        <v>4018.4912603496264</v>
      </c>
      <c r="G30" s="6"/>
      <c r="H30" s="468"/>
      <c r="I30" s="468"/>
      <c r="J30" s="3"/>
      <c r="K30" s="468"/>
      <c r="L30" s="468" t="s">
        <v>37</v>
      </c>
      <c r="M30" s="468" t="str">
        <f>IF(L30="","",
IF(AX30="PT",VLOOKUP(L30,Foundation_Calc!$V$79:$X$112,VLOOKUP(AX30,Foundation_Calc!$I$10:$J$13,2,FALSE),0),
IF(AX30="K",VLOOKUP(L30,Foundation_Calc!$V$116:$X$149,VLOOKUP(AX30,Foundation_Calc!$I$10:$J$13,2,FALSE),0),"")))</f>
        <v>C3R</v>
      </c>
      <c r="N30" s="468" t="s">
        <v>33</v>
      </c>
      <c r="O30" s="468"/>
      <c r="P30" s="468"/>
      <c r="Q30" s="4"/>
      <c r="R30" s="6"/>
      <c r="S30" s="6"/>
      <c r="T30" s="4">
        <v>20</v>
      </c>
      <c r="U30" s="4"/>
      <c r="V30" s="4"/>
      <c r="W30" s="9">
        <v>1.4</v>
      </c>
      <c r="X30" s="9"/>
      <c r="Y30" s="9"/>
      <c r="Z30" s="9"/>
      <c r="AA30" s="9"/>
      <c r="AB30" s="9"/>
      <c r="AC30" s="468" t="str">
        <f t="shared" si="1"/>
        <v>PH</v>
      </c>
      <c r="AD30" s="468"/>
      <c r="AE30" s="468"/>
      <c r="AF30" s="4"/>
      <c r="AG30" s="88"/>
      <c r="AH30" s="4"/>
      <c r="AI30" s="4"/>
      <c r="AJ30" s="468"/>
      <c r="AK30" s="468"/>
      <c r="AL30" s="468"/>
      <c r="AM30" s="468"/>
      <c r="AN30" s="10">
        <v>5.5</v>
      </c>
      <c r="AO30" s="9"/>
      <c r="AP30" s="9"/>
      <c r="AQ30" s="9"/>
      <c r="AR30" s="9"/>
      <c r="AS30" s="9"/>
      <c r="AT30" s="9">
        <f>+ab($T$30,$T$28,$T$32,$G$29,$G$31, 1*$F$30,1200)</f>
        <v>30.607885508017056</v>
      </c>
      <c r="AU30" s="447"/>
      <c r="AV30" s="447"/>
      <c r="AW30" s="468" t="str">
        <f>IF(C30&gt;0,VLOOKUP(C30,Foundation_Calc!$A$20:$C$25,3,1),
IF(J30&gt;0,VLOOKUP(J30,Foundation_Calc!$A$20:$C$25,3,1),""))</f>
        <v>MultiSoil</v>
      </c>
      <c r="AX30" s="468" t="str">
        <f>IF(C30&gt;0,VLOOKUP(C30,Foundation_Calc!$E$20:$G$25,3,1),
IF(J30&gt;0,VLOOKUP(J30,Foundation_Calc!$E$20:$G$25,3,1),""))</f>
        <v>PT</v>
      </c>
      <c r="AY30" s="10">
        <f>IF(L30="","",
IF(AX30="PT",VLOOKUP(L30,Foundation_Calc!$K$79:$R$112,VLOOKUP(AW30,Foundation_Calc!$I$2:$J$8,2,FALSE),0),
IF(AX30="K",VLOOKUP(L30,Foundation_Calc!$K$116:$R$149,VLOOKUP(AW30,Foundation_Calc!$I$2:$J$8,2,FALSE),0),"")))</f>
        <v>3.5</v>
      </c>
      <c r="AZ30" s="10" t="str">
        <f>IF(K30="","",
IF(AX30="PT",VLOOKUP(K30,Foundation_Calc!$K$79:$R$112,VLOOKUP(AW30,Foundation_Calc!$I$2:$J$8,2,FALSE),0),
IF(AX30="K",VLOOKUP(K30,Foundation_Calc!$K$116:$R$149,VLOOKUP(AW30,Foundation_Calc!$I$2:$J$8,2,FALSE),0),"")))</f>
        <v/>
      </c>
      <c r="BA30" s="553" t="str">
        <f t="shared" si="2"/>
        <v>ü</v>
      </c>
      <c r="BB30" s="553" t="str">
        <f t="shared" si="3"/>
        <v/>
      </c>
      <c r="BC30" s="553" t="str">
        <f t="shared" si="4"/>
        <v/>
      </c>
      <c r="BD30" s="572" t="str">
        <f>IF(AND(L30="",H30=""),"",
IF(H30="",Pole_Calc!A$9,
IF(H30="MP",Pole_Calc!A$10,
IF(H30="AnMP",Pole_Calc!A$11,
IF(H30="A",Pole_Calc!A$12,
IF(H30="S/A",Pole_Calc!A$13,
IF(H30="A/S",Pole_Calc!A$14,"Poner a mano")))))))</f>
        <v>App.7-V11H-P9.5.1.1</v>
      </c>
      <c r="BE30" s="448" t="s">
        <v>1726</v>
      </c>
      <c r="BF30" s="306"/>
      <c r="BG30" s="306"/>
      <c r="BH30" s="306"/>
      <c r="BI30" s="306"/>
    </row>
    <row r="31" spans="1:61" ht="16.2" customHeight="1">
      <c r="A31" s="573"/>
      <c r="B31" s="469"/>
      <c r="C31" s="3"/>
      <c r="D31" s="88"/>
      <c r="E31" s="4"/>
      <c r="F31" s="4"/>
      <c r="G31" s="6">
        <v>40</v>
      </c>
      <c r="H31" s="468"/>
      <c r="I31" s="468"/>
      <c r="J31" s="3">
        <f>C32+7.5</f>
        <v>2475.46</v>
      </c>
      <c r="K31" s="468" t="s">
        <v>1095</v>
      </c>
      <c r="L31" s="468"/>
      <c r="M31" s="468" t="str">
        <f>IF(L31="","",
IF(AX31="PT",VLOOKUP(L31,Foundation_Calc!$V$79:$X$112,VLOOKUP(AX31,Foundation_Calc!$I$10:$J$13,2,FALSE),0),
IF(AX31="K",VLOOKUP(L31,Foundation_Calc!$V$116:$X$149,VLOOKUP(AX31,Foundation_Calc!$I$10:$J$13,2,FALSE),0),"")))</f>
        <v/>
      </c>
      <c r="N31" s="468"/>
      <c r="O31" s="468"/>
      <c r="P31" s="468"/>
      <c r="Q31" s="4"/>
      <c r="R31" s="6"/>
      <c r="S31" s="6"/>
      <c r="T31" s="4"/>
      <c r="U31" s="4"/>
      <c r="V31" s="4"/>
      <c r="W31" s="9"/>
      <c r="X31" s="9"/>
      <c r="Y31" s="9"/>
      <c r="Z31" s="9"/>
      <c r="AA31" s="9"/>
      <c r="AB31" s="9"/>
      <c r="AC31" s="468" t="str">
        <f t="shared" si="1"/>
        <v/>
      </c>
      <c r="AD31" s="468"/>
      <c r="AE31" s="468"/>
      <c r="AF31" s="4"/>
      <c r="AG31" s="88"/>
      <c r="AH31" s="4"/>
      <c r="AI31" s="4"/>
      <c r="AJ31" s="468"/>
      <c r="AK31" s="468"/>
      <c r="AL31" s="468"/>
      <c r="AM31" s="468"/>
      <c r="AN31" s="10"/>
      <c r="AO31" s="9"/>
      <c r="AP31" s="9"/>
      <c r="AQ31" s="9">
        <f>+FL_1($T$32,$T$30,$G$31,1200,9.28, 1*$F$32)</f>
        <v>0.3</v>
      </c>
      <c r="AR31" s="9"/>
      <c r="AS31" s="9"/>
      <c r="AT31" s="9"/>
      <c r="AU31" s="447"/>
      <c r="AV31" s="447"/>
      <c r="AW31" s="468" t="str">
        <f>IF(C31&gt;0,VLOOKUP(C31,Foundation_Calc!$A$20:$C$25,3,1),
IF(J31&gt;0,VLOOKUP(J31,Foundation_Calc!$A$20:$C$25,3,1),""))</f>
        <v>MultiSoil</v>
      </c>
      <c r="AX31" s="468" t="str">
        <f>IF(C31&gt;0,VLOOKUP(C31,Foundation_Calc!$E$20:$G$25,3,1),
IF(J31&gt;0,VLOOKUP(J31,Foundation_Calc!$E$20:$G$25,3,1),""))</f>
        <v>PT</v>
      </c>
      <c r="AY31" s="10" t="str">
        <f>IF(L31="","",
IF(AX31="PT",VLOOKUP(L31,Foundation_Calc!$K$79:$R$112,VLOOKUP(AW31,Foundation_Calc!$I$2:$J$8,2,FALSE),0),
IF(AX31="K",VLOOKUP(L31,Foundation_Calc!$K$116:$R$149,VLOOKUP(AW31,Foundation_Calc!$I$2:$J$8,2,FALSE),0),"")))</f>
        <v/>
      </c>
      <c r="AZ31" s="10">
        <f>IF(K31="","",
IF(AX31="PT",VLOOKUP(K31,Foundation_Calc!$K$79:$R$112,VLOOKUP(AW31,Foundation_Calc!$I$2:$J$8,2,FALSE),0),
IF(AX31="K",VLOOKUP(K31,Foundation_Calc!$K$116:$R$149,VLOOKUP(AW31,Foundation_Calc!$I$2:$J$8,2,FALSE),0),"")))</f>
        <v>3.9</v>
      </c>
      <c r="BA31" s="553" t="str">
        <f t="shared" si="2"/>
        <v/>
      </c>
      <c r="BB31" s="553" t="str">
        <f t="shared" si="3"/>
        <v>ü</v>
      </c>
      <c r="BC31" s="553" t="str">
        <f t="shared" si="4"/>
        <v/>
      </c>
      <c r="BD31" s="572" t="str">
        <f>IF(AND(L31="",H31=""),"",
IF(H31="",Pole_Calc!A$9,
IF(H31="MP",Pole_Calc!A$10,
IF(H31="AnMP",Pole_Calc!A$11,
IF(H31="A",Pole_Calc!A$12,
IF(H31="S/A",Pole_Calc!A$13,
IF(H31="A/S",Pole_Calc!A$14,"Poner a mano")))))))</f>
        <v/>
      </c>
      <c r="BE31" s="448" t="s">
        <v>1726</v>
      </c>
      <c r="BF31" s="305"/>
      <c r="BG31" s="305"/>
      <c r="BH31" s="306"/>
      <c r="BI31" s="305"/>
    </row>
    <row r="32" spans="1:61" ht="16.2" customHeight="1">
      <c r="A32" s="573"/>
      <c r="B32" s="469" t="s">
        <v>2293</v>
      </c>
      <c r="C32" s="3">
        <f>C30-G31</f>
        <v>2467.96</v>
      </c>
      <c r="D32" s="88"/>
      <c r="E32" s="4"/>
      <c r="F32" s="4">
        <f>-(209^2)/(C32-2518.83)</f>
        <v>858.6789856496971</v>
      </c>
      <c r="G32" s="6"/>
      <c r="H32" s="468" t="s">
        <v>26</v>
      </c>
      <c r="I32" s="468" t="s">
        <v>1159</v>
      </c>
      <c r="J32" s="3"/>
      <c r="K32" s="468"/>
      <c r="L32" s="468" t="s">
        <v>453</v>
      </c>
      <c r="M32" s="468" t="str">
        <f>IF(L32="","",
IF(AX32="PT",VLOOKUP(L32,Foundation_Calc!$V$79:$X$112,VLOOKUP(AX32,Foundation_Calc!$I$10:$J$13,2,FALSE),0),
IF(AX32="K",VLOOKUP(L32,Foundation_Calc!$V$116:$X$149,VLOOKUP(AX32,Foundation_Calc!$I$10:$J$13,2,FALSE),0),"")))</f>
        <v>C5R</v>
      </c>
      <c r="N32" s="468" t="s">
        <v>33</v>
      </c>
      <c r="O32" s="468"/>
      <c r="P32" s="468"/>
      <c r="Q32" s="4"/>
      <c r="R32" s="6"/>
      <c r="S32" s="6"/>
      <c r="T32" s="4">
        <v>30</v>
      </c>
      <c r="U32" s="4"/>
      <c r="V32" s="4"/>
      <c r="W32" s="9">
        <v>1.4</v>
      </c>
      <c r="X32" s="9"/>
      <c r="Y32" s="9"/>
      <c r="Z32" s="9"/>
      <c r="AA32" s="9"/>
      <c r="AB32" s="9"/>
      <c r="AC32" s="468" t="str">
        <f t="shared" si="1"/>
        <v>PHC</v>
      </c>
      <c r="AD32" s="468"/>
      <c r="AE32" s="468"/>
      <c r="AF32" s="4"/>
      <c r="AG32" s="88"/>
      <c r="AH32" s="4"/>
      <c r="AI32" s="4"/>
      <c r="AJ32" s="468"/>
      <c r="AK32" s="468"/>
      <c r="AL32" s="468"/>
      <c r="AM32" s="468"/>
      <c r="AN32" s="10">
        <v>5.5</v>
      </c>
      <c r="AO32" s="9"/>
      <c r="AP32" s="9"/>
      <c r="AQ32" s="9"/>
      <c r="AR32" s="9"/>
      <c r="AS32" s="9"/>
      <c r="AT32" s="9">
        <f>+ab($T$32,$T$30,$U$34,$G$31,$G$33, 1*$F$32,1200)</f>
        <v>4.0973039958851025</v>
      </c>
      <c r="AU32" s="447"/>
      <c r="AV32" s="447"/>
      <c r="AW32" s="468" t="str">
        <f>IF(C32&gt;0,VLOOKUP(C32,Foundation_Calc!$A$20:$C$25,3,1),
IF(J32&gt;0,VLOOKUP(J32,Foundation_Calc!$A$20:$C$25,3,1),""))</f>
        <v>MultiSoil</v>
      </c>
      <c r="AX32" s="468" t="str">
        <f>IF(C32&gt;0,VLOOKUP(C32,Foundation_Calc!$E$20:$G$25,3,1),
IF(J32&gt;0,VLOOKUP(J32,Foundation_Calc!$E$20:$G$25,3,1),""))</f>
        <v>PT</v>
      </c>
      <c r="AY32" s="10">
        <f>IF(L32="","",
IF(AX32="PT",VLOOKUP(L32,Foundation_Calc!$K$79:$R$112,VLOOKUP(AW32,Foundation_Calc!$I$2:$J$8,2,FALSE),0),
IF(AX32="K",VLOOKUP(L32,Foundation_Calc!$K$116:$R$149,VLOOKUP(AW32,Foundation_Calc!$I$2:$J$8,2,FALSE),0),"")))</f>
        <v>3.5</v>
      </c>
      <c r="AZ32" s="10" t="str">
        <f>IF(K32="","",
IF(AX32="PT",VLOOKUP(K32,Foundation_Calc!$K$79:$R$112,VLOOKUP(AW32,Foundation_Calc!$I$2:$J$8,2,FALSE),0),
IF(AX32="K",VLOOKUP(K32,Foundation_Calc!$K$116:$R$149,VLOOKUP(AW32,Foundation_Calc!$I$2:$J$8,2,FALSE),0),"")))</f>
        <v/>
      </c>
      <c r="BA32" s="553" t="str">
        <f t="shared" si="2"/>
        <v>ü</v>
      </c>
      <c r="BB32" s="553" t="str">
        <f t="shared" si="3"/>
        <v/>
      </c>
      <c r="BC32" s="553" t="str">
        <f t="shared" si="4"/>
        <v/>
      </c>
      <c r="BD32" s="572" t="str">
        <f>IF(AND(L32="",H32=""),"",
IF(H32="",Pole_Calc!A$9,
IF(H32="MP",Pole_Calc!A$10,
IF(H32="AnMP",Pole_Calc!A$11,
IF(H32="A",Pole_Calc!A$12,
IF(H32="S/A",Pole_Calc!A$13,
IF(H32="A/S",Pole_Calc!A$14,"Poner a mano")))))))</f>
        <v>App.7-V11H-P9.5.1.6</v>
      </c>
      <c r="BE32" s="448" t="s">
        <v>1726</v>
      </c>
      <c r="BF32" s="306"/>
      <c r="BG32" s="306"/>
      <c r="BH32" s="306"/>
      <c r="BI32" s="306"/>
    </row>
    <row r="33" spans="1:61" ht="16.2" customHeight="1">
      <c r="A33" s="573"/>
      <c r="B33" s="469"/>
      <c r="C33" s="3"/>
      <c r="D33" s="88"/>
      <c r="E33" s="4"/>
      <c r="F33" s="4"/>
      <c r="G33" s="6">
        <v>36</v>
      </c>
      <c r="H33" s="468"/>
      <c r="I33" s="468"/>
      <c r="J33" s="3"/>
      <c r="K33" s="468"/>
      <c r="L33" s="468"/>
      <c r="M33" s="468" t="str">
        <f>IF(L33="","",
IF(AX33="PT",VLOOKUP(L33,Foundation_Calc!$V$79:$X$112,VLOOKUP(AX33,Foundation_Calc!$I$10:$J$13,2,FALSE),0),
IF(AX33="K",VLOOKUP(L33,Foundation_Calc!$V$116:$X$149,VLOOKUP(AX33,Foundation_Calc!$I$10:$J$13,2,FALSE),0),"")))</f>
        <v/>
      </c>
      <c r="N33" s="468"/>
      <c r="O33" s="468"/>
      <c r="P33" s="468"/>
      <c r="Q33" s="4"/>
      <c r="R33" s="6"/>
      <c r="S33" s="6"/>
      <c r="T33" s="4"/>
      <c r="U33" s="4"/>
      <c r="V33" s="4"/>
      <c r="W33" s="9"/>
      <c r="X33" s="9"/>
      <c r="Y33" s="9"/>
      <c r="Z33" s="9"/>
      <c r="AA33" s="9"/>
      <c r="AB33" s="9"/>
      <c r="AC33" s="468" t="str">
        <f t="shared" si="1"/>
        <v/>
      </c>
      <c r="AD33" s="468"/>
      <c r="AE33" s="468"/>
      <c r="AF33" s="4"/>
      <c r="AG33" s="88"/>
      <c r="AH33" s="4"/>
      <c r="AI33" s="4"/>
      <c r="AJ33" s="468"/>
      <c r="AK33" s="468"/>
      <c r="AL33" s="468"/>
      <c r="AM33" s="468"/>
      <c r="AN33" s="10"/>
      <c r="AO33" s="9"/>
      <c r="AP33" s="9"/>
      <c r="AQ33" s="9">
        <f>+FL_1($U$34,$T$32,$G$33,1200,9.28, 1*$F$34)</f>
        <v>0.30000000000003724</v>
      </c>
      <c r="AR33" s="9"/>
      <c r="AS33" s="9"/>
      <c r="AT33" s="9"/>
      <c r="AU33" s="447"/>
      <c r="AV33" s="447"/>
      <c r="AW33" s="468" t="str">
        <f>IF(C33&gt;0,VLOOKUP(C33,Foundation_Calc!$A$20:$C$25,3,1),
IF(J33&gt;0,VLOOKUP(J33,Foundation_Calc!$A$20:$C$25,3,1),""))</f>
        <v/>
      </c>
      <c r="AX33" s="468" t="str">
        <f>IF(C33&gt;0,VLOOKUP(C33,Foundation_Calc!$E$20:$G$25,3,1),
IF(J33&gt;0,VLOOKUP(J33,Foundation_Calc!$E$20:$G$25,3,1),""))</f>
        <v/>
      </c>
      <c r="AY33" s="10" t="str">
        <f>IF(L33="","",
IF(AX33="PT",VLOOKUP(L33,Foundation_Calc!$K$79:$R$112,VLOOKUP(AW33,Foundation_Calc!$I$2:$J$8,2,FALSE),0),
IF(AX33="K",VLOOKUP(L33,Foundation_Calc!$K$116:$R$149,VLOOKUP(AW33,Foundation_Calc!$I$2:$J$8,2,FALSE),0),"")))</f>
        <v/>
      </c>
      <c r="AZ33" s="10" t="str">
        <f>IF(K33="","",
IF(AX33="PT",VLOOKUP(K33,Foundation_Calc!$K$79:$R$112,VLOOKUP(AW33,Foundation_Calc!$I$2:$J$8,2,FALSE),0),
IF(AX33="K",VLOOKUP(K33,Foundation_Calc!$K$116:$R$149,VLOOKUP(AW33,Foundation_Calc!$I$2:$J$8,2,FALSE),0),"")))</f>
        <v/>
      </c>
      <c r="BA33" s="553" t="str">
        <f t="shared" si="2"/>
        <v/>
      </c>
      <c r="BB33" s="553" t="str">
        <f t="shared" si="3"/>
        <v/>
      </c>
      <c r="BC33" s="553" t="str">
        <f t="shared" si="4"/>
        <v/>
      </c>
      <c r="BD33" s="572" t="str">
        <f>IF(AND(L33="",H33=""),"",
IF(H33="",Pole_Calc!A$9,
IF(H33="MP",Pole_Calc!A$10,
IF(H33="AnMP",Pole_Calc!A$11,
IF(H33="A",Pole_Calc!A$12,
IF(H33="S/A",Pole_Calc!A$13,
IF(H33="A/S",Pole_Calc!A$14,"Poner a mano")))))))</f>
        <v/>
      </c>
      <c r="BE33" s="448" t="s">
        <v>1726</v>
      </c>
      <c r="BF33" s="305"/>
      <c r="BG33" s="305"/>
      <c r="BH33" s="306"/>
      <c r="BI33" s="305"/>
    </row>
    <row r="34" spans="1:61" ht="16.2" customHeight="1">
      <c r="A34" s="573"/>
      <c r="B34" s="469" t="s">
        <v>2294</v>
      </c>
      <c r="C34" s="3">
        <f t="shared" ref="C34" si="7">C32-G33</f>
        <v>2431.96</v>
      </c>
      <c r="D34" s="88"/>
      <c r="E34" s="4"/>
      <c r="F34" s="4">
        <f>-(209^2)/(C34-2518.83)</f>
        <v>502.83181765857091</v>
      </c>
      <c r="G34" s="6"/>
      <c r="H34" s="468" t="s">
        <v>179</v>
      </c>
      <c r="I34" s="468"/>
      <c r="J34" s="3"/>
      <c r="K34" s="468"/>
      <c r="L34" s="468" t="s">
        <v>448</v>
      </c>
      <c r="M34" s="468" t="str">
        <f>IF(L34="","",
IF(AX34="PT",VLOOKUP(L34,Foundation_Calc!$V$79:$X$112,VLOOKUP(AX34,Foundation_Calc!$I$10:$J$13,2,FALSE),0),
IF(AX34="K",VLOOKUP(L34,Foundation_Calc!$V$116:$X$149,VLOOKUP(AX34,Foundation_Calc!$I$10:$J$13,2,FALSE),0),"")))</f>
        <v>2C3R</v>
      </c>
      <c r="N34" s="468" t="s">
        <v>28</v>
      </c>
      <c r="O34" s="468" t="s">
        <v>33</v>
      </c>
      <c r="P34" s="468"/>
      <c r="Q34" s="4"/>
      <c r="R34" s="6"/>
      <c r="S34" s="6"/>
      <c r="T34" s="4">
        <v>50</v>
      </c>
      <c r="U34" s="4">
        <v>30</v>
      </c>
      <c r="V34" s="4"/>
      <c r="W34" s="9">
        <v>1.4</v>
      </c>
      <c r="X34" s="9">
        <v>1.8</v>
      </c>
      <c r="Y34" s="9"/>
      <c r="Z34" s="9">
        <v>0.4</v>
      </c>
      <c r="AA34" s="9"/>
      <c r="AB34" s="9"/>
      <c r="AC34" s="468"/>
      <c r="AD34" s="468" t="s">
        <v>1078</v>
      </c>
      <c r="AE34" s="468"/>
      <c r="AF34" s="4"/>
      <c r="AG34" s="88"/>
      <c r="AH34" s="4"/>
      <c r="AI34" s="4"/>
      <c r="AJ34" s="468"/>
      <c r="AK34" s="468"/>
      <c r="AL34" s="468"/>
      <c r="AM34" s="468"/>
      <c r="AN34" s="10">
        <v>5.5</v>
      </c>
      <c r="AO34" s="9"/>
      <c r="AP34" s="9"/>
      <c r="AQ34" s="9"/>
      <c r="AR34" s="9"/>
      <c r="AS34" s="9"/>
      <c r="AT34" s="9">
        <f>+ab($U$34,$T$32,$U$36,$G$33,$G$35, 1*$F$34,1200)</f>
        <v>2.596033746759344</v>
      </c>
      <c r="AU34" s="447"/>
      <c r="AV34" s="447"/>
      <c r="AW34" s="468" t="str">
        <f>IF(C34&gt;0,VLOOKUP(C34,Foundation_Calc!$A$20:$C$25,3,1),
IF(J34&gt;0,VLOOKUP(J34,Foundation_Calc!$A$20:$C$25,3,1),""))</f>
        <v>MultiSoil</v>
      </c>
      <c r="AX34" s="468" t="str">
        <f>IF(C34&gt;0,VLOOKUP(C34,Foundation_Calc!$E$20:$G$25,3,1),
IF(J34&gt;0,VLOOKUP(J34,Foundation_Calc!$E$20:$G$25,3,1),""))</f>
        <v>PT</v>
      </c>
      <c r="AY34" s="10">
        <f>IF(L34="","",
IF(AX34="PT",VLOOKUP(L34,Foundation_Calc!$K$79:$R$112,VLOOKUP(AW34,Foundation_Calc!$I$2:$J$8,2,FALSE),0),
IF(AX34="K",VLOOKUP(L34,Foundation_Calc!$K$116:$R$149,VLOOKUP(AW34,Foundation_Calc!$I$2:$J$8,2,FALSE),0),"")))</f>
        <v>3.7</v>
      </c>
      <c r="AZ34" s="10" t="str">
        <f>IF(K34="","",
IF(AX34="PT",VLOOKUP(K34,Foundation_Calc!$K$79:$R$112,VLOOKUP(AW34,Foundation_Calc!$I$2:$J$8,2,FALSE),0),
IF(AX34="K",VLOOKUP(K34,Foundation_Calc!$K$116:$R$149,VLOOKUP(AW34,Foundation_Calc!$I$2:$J$8,2,FALSE),0),"")))</f>
        <v/>
      </c>
      <c r="BA34" s="553" t="str">
        <f t="shared" si="2"/>
        <v>ü</v>
      </c>
      <c r="BB34" s="553" t="str">
        <f t="shared" si="3"/>
        <v/>
      </c>
      <c r="BC34" s="553" t="str">
        <f t="shared" si="4"/>
        <v/>
      </c>
      <c r="BD34" s="572" t="str">
        <f>IF(AND(L34="",H34=""),"",
IF(H34="",Pole_Calc!A$9,
IF(H34="MP",Pole_Calc!A$10,
IF(H34="AnMP",Pole_Calc!A$11,
IF(H34="A",Pole_Calc!A$12,
IF(H34="S/A",Pole_Calc!A$13,
IF(H34="A/S",Pole_Calc!A$14,"Poner a mano")))))))</f>
        <v>App.7-V11H-P9.5.1.5</v>
      </c>
      <c r="BE34" s="448" t="s">
        <v>1726</v>
      </c>
      <c r="BF34" s="306"/>
      <c r="BG34" s="306"/>
      <c r="BH34" s="306"/>
      <c r="BI34" s="306"/>
    </row>
    <row r="35" spans="1:61" ht="16.2" customHeight="1">
      <c r="A35" s="573"/>
      <c r="B35" s="469"/>
      <c r="C35" s="3"/>
      <c r="D35" s="88"/>
      <c r="E35" s="4"/>
      <c r="F35" s="4"/>
      <c r="G35" s="6">
        <v>32</v>
      </c>
      <c r="H35" s="468"/>
      <c r="I35" s="468"/>
      <c r="J35" s="3"/>
      <c r="K35" s="468"/>
      <c r="L35" s="468"/>
      <c r="M35" s="468" t="str">
        <f>IF(L35="","",
IF(AX35="PT",VLOOKUP(L35,Foundation_Calc!$V$79:$X$112,VLOOKUP(AX35,Foundation_Calc!$I$10:$J$13,2,FALSE),0),
IF(AX35="K",VLOOKUP(L35,Foundation_Calc!$V$116:$X$149,VLOOKUP(AX35,Foundation_Calc!$I$10:$J$13,2,FALSE),0),"")))</f>
        <v/>
      </c>
      <c r="N35" s="468"/>
      <c r="O35" s="468"/>
      <c r="P35" s="468"/>
      <c r="Q35" s="4"/>
      <c r="R35" s="6"/>
      <c r="S35" s="6"/>
      <c r="T35" s="4"/>
      <c r="U35" s="4"/>
      <c r="V35" s="4"/>
      <c r="W35" s="9"/>
      <c r="X35" s="9"/>
      <c r="Y35" s="9"/>
      <c r="Z35" s="9"/>
      <c r="AA35" s="9"/>
      <c r="AB35" s="9"/>
      <c r="AC35" s="468" t="str">
        <f t="shared" si="1"/>
        <v/>
      </c>
      <c r="AD35" s="468"/>
      <c r="AE35" s="468"/>
      <c r="AF35" s="4"/>
      <c r="AG35" s="88"/>
      <c r="AH35" s="4"/>
      <c r="AI35" s="4"/>
      <c r="AJ35" s="468"/>
      <c r="AK35" s="468"/>
      <c r="AL35" s="468"/>
      <c r="AM35" s="468"/>
      <c r="AN35" s="10"/>
      <c r="AO35" s="9"/>
      <c r="AP35" s="9"/>
      <c r="AQ35" s="9">
        <f>+FL_1($T$36,$T$34,$G$35,1200,9.28, 1*$F$36)</f>
        <v>0.5000000000000433</v>
      </c>
      <c r="AR35" s="9"/>
      <c r="AS35" s="9"/>
      <c r="AT35" s="9"/>
      <c r="AU35" s="447"/>
      <c r="AV35" s="447"/>
      <c r="AW35" s="468" t="str">
        <f>IF(C35&gt;0,VLOOKUP(C35,Foundation_Calc!$A$20:$C$25,3,1),
IF(J35&gt;0,VLOOKUP(J35,Foundation_Calc!$A$20:$C$25,3,1),""))</f>
        <v/>
      </c>
      <c r="AX35" s="468" t="str">
        <f>IF(C35&gt;0,VLOOKUP(C35,Foundation_Calc!$E$20:$G$25,3,1),
IF(J35&gt;0,VLOOKUP(J35,Foundation_Calc!$E$20:$G$25,3,1),""))</f>
        <v/>
      </c>
      <c r="AY35" s="10" t="str">
        <f>IF(L35="","",
IF(AX35="PT",VLOOKUP(L35,Foundation_Calc!$K$79:$R$112,VLOOKUP(AW35,Foundation_Calc!$I$2:$J$8,2,FALSE),0),
IF(AX35="K",VLOOKUP(L35,Foundation_Calc!$K$116:$R$149,VLOOKUP(AW35,Foundation_Calc!$I$2:$J$8,2,FALSE),0),"")))</f>
        <v/>
      </c>
      <c r="AZ35" s="10" t="str">
        <f>IF(K35="","",
IF(AX35="PT",VLOOKUP(K35,Foundation_Calc!$K$79:$R$112,VLOOKUP(AW35,Foundation_Calc!$I$2:$J$8,2,FALSE),0),
IF(AX35="K",VLOOKUP(K35,Foundation_Calc!$K$116:$R$149,VLOOKUP(AW35,Foundation_Calc!$I$2:$J$8,2,FALSE),0),"")))</f>
        <v/>
      </c>
      <c r="BA35" s="553" t="str">
        <f t="shared" si="2"/>
        <v/>
      </c>
      <c r="BB35" s="553" t="str">
        <f t="shared" si="3"/>
        <v/>
      </c>
      <c r="BC35" s="553" t="str">
        <f t="shared" si="4"/>
        <v/>
      </c>
      <c r="BD35" s="572" t="str">
        <f>IF(AND(L35="",H35=""),"",
IF(H35="",Pole_Calc!A$9,
IF(H35="MP",Pole_Calc!A$10,
IF(H35="AnMP",Pole_Calc!A$11,
IF(H35="A",Pole_Calc!A$12,
IF(H35="S/A",Pole_Calc!A$13,
IF(H35="A/S",Pole_Calc!A$14,"Poner a mano")))))))</f>
        <v/>
      </c>
      <c r="BE35" s="448" t="s">
        <v>1726</v>
      </c>
      <c r="BF35" s="305"/>
      <c r="BG35" s="305"/>
      <c r="BH35" s="306"/>
      <c r="BI35" s="305"/>
    </row>
    <row r="36" spans="1:61" ht="16.2" customHeight="1">
      <c r="A36" s="573"/>
      <c r="B36" s="469" t="s">
        <v>2295</v>
      </c>
      <c r="C36" s="3">
        <f t="shared" ref="C36" si="8">C34-G35</f>
        <v>2399.96</v>
      </c>
      <c r="D36" s="88"/>
      <c r="E36" s="4"/>
      <c r="F36" s="4">
        <v>460</v>
      </c>
      <c r="G36" s="6"/>
      <c r="H36" s="468" t="s">
        <v>180</v>
      </c>
      <c r="I36" s="468"/>
      <c r="J36" s="3"/>
      <c r="K36" s="468"/>
      <c r="L36" s="468" t="s">
        <v>39</v>
      </c>
      <c r="M36" s="468" t="str">
        <f>IF(L36="","",
IF(AX36="PT",VLOOKUP(L36,Foundation_Calc!$V$79:$X$112,VLOOKUP(AX36,Foundation_Calc!$I$10:$J$13,2,FALSE),0),
IF(AX36="K",VLOOKUP(L36,Foundation_Calc!$V$116:$X$149,VLOOKUP(AX36,Foundation_Calc!$I$10:$J$13,2,FALSE),0),"")))</f>
        <v>C7R</v>
      </c>
      <c r="N36" s="468" t="s">
        <v>33</v>
      </c>
      <c r="O36" s="468" t="s">
        <v>33</v>
      </c>
      <c r="P36" s="468"/>
      <c r="Q36" s="4"/>
      <c r="R36" s="6"/>
      <c r="S36" s="6"/>
      <c r="T36" s="4">
        <v>30</v>
      </c>
      <c r="U36" s="4">
        <v>10</v>
      </c>
      <c r="V36" s="4"/>
      <c r="W36" s="9">
        <v>1.4</v>
      </c>
      <c r="X36" s="9">
        <v>2</v>
      </c>
      <c r="Y36" s="9"/>
      <c r="Z36" s="9">
        <v>0.15</v>
      </c>
      <c r="AA36" s="9"/>
      <c r="AB36" s="9"/>
      <c r="AC36" s="468" t="s">
        <v>1078</v>
      </c>
      <c r="AD36" s="468" t="s">
        <v>2512</v>
      </c>
      <c r="AE36" s="468"/>
      <c r="AF36" s="4"/>
      <c r="AG36" s="88"/>
      <c r="AH36" s="4"/>
      <c r="AI36" s="4"/>
      <c r="AJ36" s="468"/>
      <c r="AK36" s="468"/>
      <c r="AL36" s="468"/>
      <c r="AM36" s="468"/>
      <c r="AN36" s="10">
        <v>5.5</v>
      </c>
      <c r="AO36" s="9"/>
      <c r="AP36" s="9"/>
      <c r="AQ36" s="9"/>
      <c r="AR36" s="9"/>
      <c r="AS36" s="9"/>
      <c r="AT36" s="9">
        <f>+ab($T$36,$T$34,$T$38,$G$35,$G$37, 1*$F$36,1200)</f>
        <v>3.0279291152534236</v>
      </c>
      <c r="AU36" s="447"/>
      <c r="AV36" s="447"/>
      <c r="AW36" s="468" t="str">
        <f>IF(C36&gt;0,VLOOKUP(C36,Foundation_Calc!$A$20:$C$25,3,1),
IF(J36&gt;0,VLOOKUP(J36,Foundation_Calc!$A$20:$C$25,3,1),""))</f>
        <v>MultiSoil</v>
      </c>
      <c r="AX36" s="468" t="str">
        <f>IF(C36&gt;0,VLOOKUP(C36,Foundation_Calc!$E$20:$G$25,3,1),
IF(J36&gt;0,VLOOKUP(J36,Foundation_Calc!$E$20:$G$25,3,1),""))</f>
        <v>PT</v>
      </c>
      <c r="AY36" s="10">
        <f>IF(L36="","",
IF(AX36="PT",VLOOKUP(L36,Foundation_Calc!$K$79:$R$112,VLOOKUP(AW36,Foundation_Calc!$I$2:$J$8,2,FALSE),0),
IF(AX36="K",VLOOKUP(L36,Foundation_Calc!$K$116:$R$149,VLOOKUP(AW36,Foundation_Calc!$I$2:$J$8,2,FALSE),0),"")))</f>
        <v>4</v>
      </c>
      <c r="AZ36" s="10" t="str">
        <f>IF(K36="","",
IF(AX36="PT",VLOOKUP(K36,Foundation_Calc!$K$79:$R$112,VLOOKUP(AW36,Foundation_Calc!$I$2:$J$8,2,FALSE),0),
IF(AX36="K",VLOOKUP(K36,Foundation_Calc!$K$116:$R$149,VLOOKUP(AW36,Foundation_Calc!$I$2:$J$8,2,FALSE),0),"")))</f>
        <v/>
      </c>
      <c r="BA36" s="553" t="str">
        <f t="shared" si="2"/>
        <v>ü</v>
      </c>
      <c r="BB36" s="553" t="str">
        <f t="shared" si="3"/>
        <v/>
      </c>
      <c r="BC36" s="553" t="str">
        <f t="shared" si="4"/>
        <v/>
      </c>
      <c r="BD36" s="572" t="str">
        <f>IF(AND(L36="",H36=""),"",
IF(H36="",Pole_Calc!A$9,
IF(H36="MP",Pole_Calc!A$10,
IF(H36="AnMP",Pole_Calc!A$11,
IF(H36="A",Pole_Calc!A$12,
IF(H36="S/A",Pole_Calc!A$13,
IF(H36="A/S",Pole_Calc!A$14,"Poner a mano")))))))</f>
        <v>App.7-V11H-P9.5.1.4</v>
      </c>
      <c r="BE36" s="448" t="s">
        <v>1726</v>
      </c>
      <c r="BF36" s="306"/>
      <c r="BG36" s="306"/>
      <c r="BH36" s="306"/>
      <c r="BI36" s="306"/>
    </row>
    <row r="37" spans="1:61" ht="16.2" customHeight="1">
      <c r="A37" s="573"/>
      <c r="B37" s="469"/>
      <c r="C37" s="3"/>
      <c r="D37" s="88"/>
      <c r="E37" s="4"/>
      <c r="F37" s="4"/>
      <c r="G37" s="6">
        <v>32</v>
      </c>
      <c r="H37" s="468"/>
      <c r="I37" s="468"/>
      <c r="J37" s="3"/>
      <c r="K37" s="468"/>
      <c r="L37" s="468"/>
      <c r="M37" s="468" t="str">
        <f>IF(L37="","",
IF(AX37="PT",VLOOKUP(L37,Foundation_Calc!$V$79:$X$112,VLOOKUP(AX37,Foundation_Calc!$I$10:$J$13,2,FALSE),0),
IF(AX37="K",VLOOKUP(L37,Foundation_Calc!$V$116:$X$149,VLOOKUP(AX37,Foundation_Calc!$I$10:$J$13,2,FALSE),0),"")))</f>
        <v/>
      </c>
      <c r="N37" s="468"/>
      <c r="O37" s="468"/>
      <c r="P37" s="468"/>
      <c r="Q37" s="4"/>
      <c r="R37" s="6"/>
      <c r="S37" s="6"/>
      <c r="T37" s="4"/>
      <c r="U37" s="4"/>
      <c r="V37" s="4"/>
      <c r="W37" s="9"/>
      <c r="X37" s="9"/>
      <c r="Y37" s="9"/>
      <c r="Z37" s="9"/>
      <c r="AA37" s="9"/>
      <c r="AB37" s="9"/>
      <c r="AC37" s="468" t="str">
        <f t="shared" si="1"/>
        <v/>
      </c>
      <c r="AD37" s="468"/>
      <c r="AE37" s="468"/>
      <c r="AF37" s="4"/>
      <c r="AG37" s="88"/>
      <c r="AH37" s="4"/>
      <c r="AI37" s="4"/>
      <c r="AJ37" s="468"/>
      <c r="AK37" s="468"/>
      <c r="AL37" s="468"/>
      <c r="AM37" s="468"/>
      <c r="AN37" s="10"/>
      <c r="AO37" s="9"/>
      <c r="AP37" s="9"/>
      <c r="AQ37" s="9">
        <f>+FL_1($T$38,$T$36,$G$37,1200,9.28, 1*$F$38)</f>
        <v>0.30000000000002958</v>
      </c>
      <c r="AR37" s="9"/>
      <c r="AS37" s="9"/>
      <c r="AT37" s="9"/>
      <c r="AU37" s="447"/>
      <c r="AV37" s="447"/>
      <c r="AW37" s="468" t="str">
        <f>IF(C37&gt;0,VLOOKUP(C37,Foundation_Calc!$A$20:$C$25,3,1),
IF(J37&gt;0,VLOOKUP(J37,Foundation_Calc!$A$20:$C$25,3,1),""))</f>
        <v/>
      </c>
      <c r="AX37" s="468" t="str">
        <f>IF(C37&gt;0,VLOOKUP(C37,Foundation_Calc!$E$20:$G$25,3,1),
IF(J37&gt;0,VLOOKUP(J37,Foundation_Calc!$E$20:$G$25,3,1),""))</f>
        <v/>
      </c>
      <c r="AY37" s="10" t="str">
        <f>IF(L37="","",
IF(AX37="PT",VLOOKUP(L37,Foundation_Calc!$K$79:$R$112,VLOOKUP(AW37,Foundation_Calc!$I$2:$J$8,2,FALSE),0),
IF(AX37="K",VLOOKUP(L37,Foundation_Calc!$K$116:$R$149,VLOOKUP(AW37,Foundation_Calc!$I$2:$J$8,2,FALSE),0),"")))</f>
        <v/>
      </c>
      <c r="AZ37" s="10" t="str">
        <f>IF(K37="","",
IF(AX37="PT",VLOOKUP(K37,Foundation_Calc!$K$79:$R$112,VLOOKUP(AW37,Foundation_Calc!$I$2:$J$8,2,FALSE),0),
IF(AX37="K",VLOOKUP(K37,Foundation_Calc!$K$116:$R$149,VLOOKUP(AW37,Foundation_Calc!$I$2:$J$8,2,FALSE),0),"")))</f>
        <v/>
      </c>
      <c r="BA37" s="553" t="str">
        <f t="shared" si="2"/>
        <v/>
      </c>
      <c r="BB37" s="553" t="str">
        <f t="shared" si="3"/>
        <v/>
      </c>
      <c r="BC37" s="553" t="str">
        <f t="shared" si="4"/>
        <v/>
      </c>
      <c r="BD37" s="572" t="str">
        <f>IF(AND(L37="",H37=""),"",
IF(H37="",Pole_Calc!A$9,
IF(H37="MP",Pole_Calc!A$10,
IF(H37="AnMP",Pole_Calc!A$11,
IF(H37="A",Pole_Calc!A$12,
IF(H37="S/A",Pole_Calc!A$13,
IF(H37="A/S",Pole_Calc!A$14,"Poner a mano")))))))</f>
        <v/>
      </c>
      <c r="BE37" s="448" t="s">
        <v>1726</v>
      </c>
      <c r="BF37" s="305"/>
      <c r="BG37" s="305"/>
      <c r="BH37" s="306"/>
      <c r="BI37" s="305"/>
    </row>
    <row r="38" spans="1:61" ht="16.2" customHeight="1">
      <c r="A38" s="573"/>
      <c r="B38" s="469" t="s">
        <v>2296</v>
      </c>
      <c r="C38" s="3">
        <f t="shared" ref="C38" si="9">C36-G37</f>
        <v>2367.96</v>
      </c>
      <c r="D38" s="88"/>
      <c r="E38" s="4"/>
      <c r="F38" s="4">
        <v>460</v>
      </c>
      <c r="G38" s="6"/>
      <c r="H38" s="468" t="s">
        <v>180</v>
      </c>
      <c r="I38" s="468"/>
      <c r="J38" s="3"/>
      <c r="K38" s="468"/>
      <c r="L38" s="468" t="s">
        <v>39</v>
      </c>
      <c r="M38" s="468" t="str">
        <f>IF(L38="","",
IF(AX38="PT",VLOOKUP(L38,Foundation_Calc!$V$79:$X$112,VLOOKUP(AX38,Foundation_Calc!$I$10:$J$13,2,FALSE),0),
IF(AX38="K",VLOOKUP(L38,Foundation_Calc!$V$116:$X$149,VLOOKUP(AX38,Foundation_Calc!$I$10:$J$13,2,FALSE),0),"")))</f>
        <v>C7R</v>
      </c>
      <c r="N38" s="468" t="s">
        <v>33</v>
      </c>
      <c r="O38" s="468" t="s">
        <v>33</v>
      </c>
      <c r="P38" s="468"/>
      <c r="Q38" s="4"/>
      <c r="R38" s="6"/>
      <c r="S38" s="6"/>
      <c r="T38" s="4">
        <v>30</v>
      </c>
      <c r="U38" s="4">
        <v>10</v>
      </c>
      <c r="V38" s="4"/>
      <c r="W38" s="9">
        <v>1.4</v>
      </c>
      <c r="X38" s="9">
        <v>2</v>
      </c>
      <c r="Y38" s="9"/>
      <c r="Z38" s="9"/>
      <c r="AA38" s="9">
        <v>0.15</v>
      </c>
      <c r="AB38" s="9"/>
      <c r="AC38" s="468" t="s">
        <v>1078</v>
      </c>
      <c r="AD38" s="468" t="s">
        <v>1078</v>
      </c>
      <c r="AE38" s="468"/>
      <c r="AF38" s="4"/>
      <c r="AG38" s="88"/>
      <c r="AH38" s="4"/>
      <c r="AI38" s="4"/>
      <c r="AJ38" s="468"/>
      <c r="AK38" s="468"/>
      <c r="AL38" s="468"/>
      <c r="AM38" s="468"/>
      <c r="AN38" s="10">
        <v>5.5</v>
      </c>
      <c r="AO38" s="9"/>
      <c r="AP38" s="9"/>
      <c r="AQ38" s="9"/>
      <c r="AR38" s="9"/>
      <c r="AS38" s="9"/>
      <c r="AT38" s="9">
        <f>+ab($T$38,$T$36,$T$40,$G$37,$G$39, 1*$F$38,1200)</f>
        <v>2.7563287860403558</v>
      </c>
      <c r="AU38" s="447"/>
      <c r="AV38" s="447"/>
      <c r="AW38" s="468" t="str">
        <f>IF(C38&gt;0,VLOOKUP(C38,Foundation_Calc!$A$20:$C$25,3,1),
IF(J38&gt;0,VLOOKUP(J38,Foundation_Calc!$A$20:$C$25,3,1),""))</f>
        <v>MultiSoil</v>
      </c>
      <c r="AX38" s="468" t="str">
        <f>IF(C38&gt;0,VLOOKUP(C38,Foundation_Calc!$E$20:$G$25,3,1),
IF(J38&gt;0,VLOOKUP(J38,Foundation_Calc!$E$20:$G$25,3,1),""))</f>
        <v>PT</v>
      </c>
      <c r="AY38" s="10">
        <f>IF(L38="","",
IF(AX38="PT",VLOOKUP(L38,Foundation_Calc!$K$79:$R$112,VLOOKUP(AW38,Foundation_Calc!$I$2:$J$8,2,FALSE),0),
IF(AX38="K",VLOOKUP(L38,Foundation_Calc!$K$116:$R$149,VLOOKUP(AW38,Foundation_Calc!$I$2:$J$8,2,FALSE),0),"")))</f>
        <v>4</v>
      </c>
      <c r="AZ38" s="10" t="str">
        <f>IF(K38="","",
IF(AX38="PT",VLOOKUP(K38,Foundation_Calc!$K$79:$R$112,VLOOKUP(AW38,Foundation_Calc!$I$2:$J$8,2,FALSE),0),
IF(AX38="K",VLOOKUP(K38,Foundation_Calc!$K$116:$R$149,VLOOKUP(AW38,Foundation_Calc!$I$2:$J$8,2,FALSE),0),"")))</f>
        <v/>
      </c>
      <c r="BA38" s="553" t="str">
        <f t="shared" si="2"/>
        <v>ü</v>
      </c>
      <c r="BB38" s="553" t="str">
        <f t="shared" si="3"/>
        <v/>
      </c>
      <c r="BC38" s="553" t="str">
        <f t="shared" si="4"/>
        <v/>
      </c>
      <c r="BD38" s="572" t="str">
        <f>IF(AND(L38="",H38=""),"",
IF(H38="",Pole_Calc!A$9,
IF(H38="MP",Pole_Calc!A$10,
IF(H38="AnMP",Pole_Calc!A$11,
IF(H38="A",Pole_Calc!A$12,
IF(H38="S/A",Pole_Calc!A$13,
IF(H38="A/S",Pole_Calc!A$14,"Poner a mano")))))))</f>
        <v>App.7-V11H-P9.5.1.4</v>
      </c>
      <c r="BE38" s="448" t="s">
        <v>1726</v>
      </c>
      <c r="BF38" s="306"/>
      <c r="BG38" s="306"/>
      <c r="BH38" s="306"/>
      <c r="BI38" s="306"/>
    </row>
    <row r="39" spans="1:61" ht="16.2" customHeight="1">
      <c r="A39" s="573"/>
      <c r="B39" s="469"/>
      <c r="C39" s="3"/>
      <c r="D39" s="88"/>
      <c r="E39" s="4"/>
      <c r="F39" s="4"/>
      <c r="G39" s="6">
        <v>32</v>
      </c>
      <c r="H39" s="468"/>
      <c r="I39" s="468"/>
      <c r="J39" s="3"/>
      <c r="K39" s="468"/>
      <c r="L39" s="468"/>
      <c r="M39" s="468" t="str">
        <f>IF(L39="","",
IF(AX39="PT",VLOOKUP(L39,Foundation_Calc!$V$79:$X$112,VLOOKUP(AX39,Foundation_Calc!$I$10:$J$13,2,FALSE),0),
IF(AX39="K",VLOOKUP(L39,Foundation_Calc!$V$116:$X$149,VLOOKUP(AX39,Foundation_Calc!$I$10:$J$13,2,FALSE),0),"")))</f>
        <v/>
      </c>
      <c r="N39" s="468"/>
      <c r="O39" s="468"/>
      <c r="P39" s="468"/>
      <c r="Q39" s="4"/>
      <c r="R39" s="6"/>
      <c r="S39" s="6"/>
      <c r="T39" s="4"/>
      <c r="U39" s="4"/>
      <c r="V39" s="4"/>
      <c r="W39" s="9"/>
      <c r="X39" s="9"/>
      <c r="Y39" s="9"/>
      <c r="Z39" s="9"/>
      <c r="AA39" s="9"/>
      <c r="AB39" s="9"/>
      <c r="AC39" s="468" t="str">
        <f t="shared" si="1"/>
        <v/>
      </c>
      <c r="AD39" s="468"/>
      <c r="AE39" s="468"/>
      <c r="AF39" s="4"/>
      <c r="AG39" s="88"/>
      <c r="AH39" s="4"/>
      <c r="AI39" s="4"/>
      <c r="AJ39" s="468"/>
      <c r="AK39" s="468"/>
      <c r="AL39" s="468"/>
      <c r="AM39" s="468"/>
      <c r="AN39" s="10"/>
      <c r="AO39" s="9"/>
      <c r="AP39" s="9"/>
      <c r="AQ39" s="9">
        <f>+FL_1($T$40,$T$38,$G$39,1200,9.28, 1*$F$40)</f>
        <v>0.30000000000002958</v>
      </c>
      <c r="AR39" s="9"/>
      <c r="AS39" s="9"/>
      <c r="AT39" s="9"/>
      <c r="AU39" s="447"/>
      <c r="AV39" s="447"/>
      <c r="AW39" s="468" t="str">
        <f>IF(C39&gt;0,VLOOKUP(C39,Foundation_Calc!$A$20:$C$25,3,1),
IF(J39&gt;0,VLOOKUP(J39,Foundation_Calc!$A$20:$C$25,3,1),""))</f>
        <v/>
      </c>
      <c r="AX39" s="468" t="str">
        <f>IF(C39&gt;0,VLOOKUP(C39,Foundation_Calc!$E$20:$G$25,3,1),
IF(J39&gt;0,VLOOKUP(J39,Foundation_Calc!$E$20:$G$25,3,1),""))</f>
        <v/>
      </c>
      <c r="AY39" s="10" t="str">
        <f>IF(L39="","",
IF(AX39="PT",VLOOKUP(L39,Foundation_Calc!$K$79:$R$112,VLOOKUP(AW39,Foundation_Calc!$I$2:$J$8,2,FALSE),0),
IF(AX39="K",VLOOKUP(L39,Foundation_Calc!$K$116:$R$149,VLOOKUP(AW39,Foundation_Calc!$I$2:$J$8,2,FALSE),0),"")))</f>
        <v/>
      </c>
      <c r="AZ39" s="10" t="str">
        <f>IF(K39="","",
IF(AX39="PT",VLOOKUP(K39,Foundation_Calc!$K$79:$R$112,VLOOKUP(AW39,Foundation_Calc!$I$2:$J$8,2,FALSE),0),
IF(AX39="K",VLOOKUP(K39,Foundation_Calc!$K$116:$R$149,VLOOKUP(AW39,Foundation_Calc!$I$2:$J$8,2,FALSE),0),"")))</f>
        <v/>
      </c>
      <c r="BA39" s="553" t="str">
        <f t="shared" si="2"/>
        <v/>
      </c>
      <c r="BB39" s="553" t="str">
        <f t="shared" si="3"/>
        <v/>
      </c>
      <c r="BC39" s="553" t="str">
        <f t="shared" si="4"/>
        <v/>
      </c>
      <c r="BD39" s="572" t="str">
        <f>IF(AND(L39="",H39=""),"",
IF(H39="",Pole_Calc!A$9,
IF(H39="MP",Pole_Calc!A$10,
IF(H39="AnMP",Pole_Calc!A$11,
IF(H39="A",Pole_Calc!A$12,
IF(H39="S/A",Pole_Calc!A$13,
IF(H39="A/S",Pole_Calc!A$14,"Poner a mano")))))))</f>
        <v/>
      </c>
      <c r="BE39" s="448" t="s">
        <v>1726</v>
      </c>
      <c r="BF39" s="305"/>
      <c r="BG39" s="305"/>
      <c r="BH39" s="306"/>
      <c r="BI39" s="305"/>
    </row>
    <row r="40" spans="1:61" ht="16.2" customHeight="1">
      <c r="A40" s="573"/>
      <c r="B40" s="469" t="s">
        <v>2297</v>
      </c>
      <c r="C40" s="3">
        <f t="shared" ref="C40" si="10">C38-G39</f>
        <v>2335.96</v>
      </c>
      <c r="D40" s="88"/>
      <c r="E40" s="4"/>
      <c r="F40" s="4">
        <v>460</v>
      </c>
      <c r="G40" s="6"/>
      <c r="H40" s="468" t="s">
        <v>179</v>
      </c>
      <c r="I40" s="468"/>
      <c r="J40" s="3"/>
      <c r="K40" s="468"/>
      <c r="L40" s="468" t="s">
        <v>448</v>
      </c>
      <c r="M40" s="468" t="str">
        <f>IF(L40="","",
IF(AX40="PT",VLOOKUP(L40,Foundation_Calc!$V$79:$X$112,VLOOKUP(AX40,Foundation_Calc!$I$10:$J$13,2,FALSE),0),
IF(AX40="K",VLOOKUP(L40,Foundation_Calc!$V$116:$X$149,VLOOKUP(AX40,Foundation_Calc!$I$10:$J$13,2,FALSE),0),"")))</f>
        <v>2C3R</v>
      </c>
      <c r="N40" s="468" t="s">
        <v>33</v>
      </c>
      <c r="O40" s="468" t="s">
        <v>28</v>
      </c>
      <c r="P40" s="468"/>
      <c r="Q40" s="4"/>
      <c r="R40" s="6"/>
      <c r="S40" s="6"/>
      <c r="T40" s="4">
        <v>30</v>
      </c>
      <c r="U40" s="4">
        <v>10</v>
      </c>
      <c r="V40" s="4"/>
      <c r="W40" s="9">
        <v>1.4</v>
      </c>
      <c r="X40" s="9">
        <v>2</v>
      </c>
      <c r="Y40" s="9"/>
      <c r="Z40" s="9"/>
      <c r="AA40" s="9">
        <v>0.4</v>
      </c>
      <c r="AB40" s="9"/>
      <c r="AC40" s="468" t="s">
        <v>1078</v>
      </c>
      <c r="AD40" s="468"/>
      <c r="AE40" s="468"/>
      <c r="AF40" s="4"/>
      <c r="AG40" s="88"/>
      <c r="AH40" s="4"/>
      <c r="AI40" s="4"/>
      <c r="AJ40" s="468"/>
      <c r="AK40" s="468"/>
      <c r="AL40" s="468"/>
      <c r="AM40" s="468"/>
      <c r="AN40" s="10">
        <v>5.5</v>
      </c>
      <c r="AO40" s="9"/>
      <c r="AP40" s="9"/>
      <c r="AQ40" s="9"/>
      <c r="AR40" s="9"/>
      <c r="AS40" s="9"/>
      <c r="AT40" s="9">
        <f>+ab($T$40,$T$38,$T$42,$G$39,$G$41, 1*$F$40,1200)</f>
        <v>2.7563287860403558</v>
      </c>
      <c r="AU40" s="447"/>
      <c r="AV40" s="447"/>
      <c r="AW40" s="468" t="str">
        <f>IF(C40&gt;0,VLOOKUP(C40,Foundation_Calc!$A$20:$C$25,3,1),
IF(J40&gt;0,VLOOKUP(J40,Foundation_Calc!$A$20:$C$25,3,1),""))</f>
        <v>MultiSoil</v>
      </c>
      <c r="AX40" s="468" t="str">
        <f>IF(C40&gt;0,VLOOKUP(C40,Foundation_Calc!$E$20:$G$25,3,1),
IF(J40&gt;0,VLOOKUP(J40,Foundation_Calc!$E$20:$G$25,3,1),""))</f>
        <v>PT</v>
      </c>
      <c r="AY40" s="10">
        <f>IF(L40="","",
IF(AX40="PT",VLOOKUP(L40,Foundation_Calc!$K$79:$R$112,VLOOKUP(AW40,Foundation_Calc!$I$2:$J$8,2,FALSE),0),
IF(AX40="K",VLOOKUP(L40,Foundation_Calc!$K$116:$R$149,VLOOKUP(AW40,Foundation_Calc!$I$2:$J$8,2,FALSE),0),"")))</f>
        <v>3.7</v>
      </c>
      <c r="AZ40" s="10" t="str">
        <f>IF(K40="","",
IF(AX40="PT",VLOOKUP(K40,Foundation_Calc!$K$79:$R$112,VLOOKUP(AW40,Foundation_Calc!$I$2:$J$8,2,FALSE),0),
IF(AX40="K",VLOOKUP(K40,Foundation_Calc!$K$116:$R$149,VLOOKUP(AW40,Foundation_Calc!$I$2:$J$8,2,FALSE),0),"")))</f>
        <v/>
      </c>
      <c r="BA40" s="553" t="str">
        <f t="shared" si="2"/>
        <v>ü</v>
      </c>
      <c r="BB40" s="553" t="str">
        <f t="shared" si="3"/>
        <v/>
      </c>
      <c r="BC40" s="553" t="str">
        <f t="shared" si="4"/>
        <v/>
      </c>
      <c r="BD40" s="572" t="str">
        <f>IF(AND(L40="",H40=""),"",
IF(H40="",Pole_Calc!A$9,
IF(H40="MP",Pole_Calc!A$10,
IF(H40="AnMP",Pole_Calc!A$11,
IF(H40="A",Pole_Calc!A$12,
IF(H40="S/A",Pole_Calc!A$13,
IF(H40="A/S",Pole_Calc!A$14,"Poner a mano")))))))</f>
        <v>App.7-V11H-P9.5.1.5</v>
      </c>
      <c r="BE40" s="448" t="s">
        <v>1726</v>
      </c>
      <c r="BF40" s="306"/>
      <c r="BG40" s="306"/>
      <c r="BH40" s="306"/>
      <c r="BI40" s="306"/>
    </row>
    <row r="41" spans="1:61" ht="16.2" customHeight="1">
      <c r="A41" s="573"/>
      <c r="B41" s="469"/>
      <c r="C41" s="3"/>
      <c r="D41" s="88"/>
      <c r="E41" s="4"/>
      <c r="F41" s="4"/>
      <c r="G41" s="6">
        <v>32</v>
      </c>
      <c r="H41" s="468"/>
      <c r="I41" s="468"/>
      <c r="J41" s="3"/>
      <c r="K41" s="468"/>
      <c r="L41" s="468"/>
      <c r="M41" s="468" t="str">
        <f>IF(L41="","",
IF(AX41="PT",VLOOKUP(L41,Foundation_Calc!$V$79:$X$112,VLOOKUP(AX41,Foundation_Calc!$I$10:$J$13,2,FALSE),0),
IF(AX41="K",VLOOKUP(L41,Foundation_Calc!$V$116:$X$149,VLOOKUP(AX41,Foundation_Calc!$I$10:$J$13,2,FALSE),0),"")))</f>
        <v/>
      </c>
      <c r="N41" s="468"/>
      <c r="O41" s="468"/>
      <c r="P41" s="468"/>
      <c r="Q41" s="4"/>
      <c r="R41" s="6"/>
      <c r="S41" s="6"/>
      <c r="T41" s="4"/>
      <c r="U41" s="4"/>
      <c r="V41" s="4"/>
      <c r="W41" s="9"/>
      <c r="X41" s="9"/>
      <c r="Y41" s="9"/>
      <c r="Z41" s="9"/>
      <c r="AA41" s="9"/>
      <c r="AB41" s="9"/>
      <c r="AC41" s="468" t="str">
        <f t="shared" si="1"/>
        <v/>
      </c>
      <c r="AD41" s="468"/>
      <c r="AE41" s="468"/>
      <c r="AF41" s="4"/>
      <c r="AG41" s="88"/>
      <c r="AH41" s="4"/>
      <c r="AI41" s="4"/>
      <c r="AJ41" s="468"/>
      <c r="AK41" s="468"/>
      <c r="AL41" s="468"/>
      <c r="AM41" s="468"/>
      <c r="AN41" s="10"/>
      <c r="AO41" s="9"/>
      <c r="AP41" s="9"/>
      <c r="AQ41" s="9">
        <f>+FL_1($T$42,$T$40,$G$41,1200,9.28, 1*$F$42)</f>
        <v>0.30000000000002958</v>
      </c>
      <c r="AR41" s="9"/>
      <c r="AS41" s="9"/>
      <c r="AT41" s="9"/>
      <c r="AU41" s="447"/>
      <c r="AV41" s="447"/>
      <c r="AW41" s="468" t="str">
        <f>IF(C41&gt;0,VLOOKUP(C41,Foundation_Calc!$A$20:$C$25,3,1),
IF(J41&gt;0,VLOOKUP(J41,Foundation_Calc!$A$20:$C$25,3,1),""))</f>
        <v/>
      </c>
      <c r="AX41" s="468" t="str">
        <f>IF(C41&gt;0,VLOOKUP(C41,Foundation_Calc!$E$20:$G$25,3,1),
IF(J41&gt;0,VLOOKUP(J41,Foundation_Calc!$E$20:$G$25,3,1),""))</f>
        <v/>
      </c>
      <c r="AY41" s="10" t="str">
        <f>IF(L41="","",
IF(AX41="PT",VLOOKUP(L41,Foundation_Calc!$K$79:$R$112,VLOOKUP(AW41,Foundation_Calc!$I$2:$J$8,2,FALSE),0),
IF(AX41="K",VLOOKUP(L41,Foundation_Calc!$K$116:$R$149,VLOOKUP(AW41,Foundation_Calc!$I$2:$J$8,2,FALSE),0),"")))</f>
        <v/>
      </c>
      <c r="AZ41" s="10" t="str">
        <f>IF(K41="","",
IF(AX41="PT",VLOOKUP(K41,Foundation_Calc!$K$79:$R$112,VLOOKUP(AW41,Foundation_Calc!$I$2:$J$8,2,FALSE),0),
IF(AX41="K",VLOOKUP(K41,Foundation_Calc!$K$116:$R$149,VLOOKUP(AW41,Foundation_Calc!$I$2:$J$8,2,FALSE),0),"")))</f>
        <v/>
      </c>
      <c r="BA41" s="553" t="str">
        <f t="shared" si="2"/>
        <v/>
      </c>
      <c r="BB41" s="553" t="str">
        <f t="shared" si="3"/>
        <v/>
      </c>
      <c r="BC41" s="553" t="str">
        <f t="shared" si="4"/>
        <v/>
      </c>
      <c r="BD41" s="572" t="str">
        <f>IF(AND(L41="",H41=""),"",
IF(H41="",Pole_Calc!A$9,
IF(H41="MP",Pole_Calc!A$10,
IF(H41="AnMP",Pole_Calc!A$11,
IF(H41="A",Pole_Calc!A$12,
IF(H41="S/A",Pole_Calc!A$13,
IF(H41="A/S",Pole_Calc!A$14,"Poner a mano")))))))</f>
        <v/>
      </c>
      <c r="BE41" s="448" t="s">
        <v>1726</v>
      </c>
      <c r="BF41" s="305"/>
      <c r="BG41" s="305"/>
      <c r="BH41" s="306"/>
      <c r="BI41" s="305"/>
    </row>
    <row r="42" spans="1:61" ht="16.2" customHeight="1">
      <c r="A42" s="573"/>
      <c r="B42" s="469" t="s">
        <v>2298</v>
      </c>
      <c r="C42" s="3">
        <f t="shared" ref="C42" si="11">C40-G41</f>
        <v>2303.96</v>
      </c>
      <c r="D42" s="88"/>
      <c r="E42" s="4"/>
      <c r="F42" s="4">
        <f>(209^2)/(C42-2211.36)</f>
        <v>471.71706263498965</v>
      </c>
      <c r="G42" s="6"/>
      <c r="H42" s="468" t="s">
        <v>26</v>
      </c>
      <c r="I42" s="468" t="s">
        <v>182</v>
      </c>
      <c r="J42" s="3"/>
      <c r="K42" s="468"/>
      <c r="L42" s="468" t="s">
        <v>454</v>
      </c>
      <c r="M42" s="468" t="str">
        <f>IF(L42="","",
IF(AX42="PT",VLOOKUP(L42,Foundation_Calc!$V$79:$X$112,VLOOKUP(AX42,Foundation_Calc!$I$10:$J$13,2,FALSE),0),
IF(AX42="K",VLOOKUP(L42,Foundation_Calc!$V$116:$X$149,VLOOKUP(AX42,Foundation_Calc!$I$10:$J$13,2,FALSE),0),"")))</f>
        <v>C7R</v>
      </c>
      <c r="N42" s="468" t="s">
        <v>33</v>
      </c>
      <c r="O42" s="468"/>
      <c r="P42" s="468"/>
      <c r="Q42" s="4"/>
      <c r="R42" s="6"/>
      <c r="S42" s="6"/>
      <c r="T42" s="4">
        <v>30</v>
      </c>
      <c r="U42" s="4"/>
      <c r="V42" s="4"/>
      <c r="W42" s="9">
        <v>1.4</v>
      </c>
      <c r="X42" s="9"/>
      <c r="Y42" s="9"/>
      <c r="Z42" s="9"/>
      <c r="AA42" s="9"/>
      <c r="AB42" s="9"/>
      <c r="AC42" s="468" t="str">
        <f t="shared" si="1"/>
        <v>PHC</v>
      </c>
      <c r="AD42" s="468"/>
      <c r="AE42" s="468"/>
      <c r="AF42" s="4"/>
      <c r="AG42" s="88"/>
      <c r="AH42" s="4"/>
      <c r="AI42" s="4"/>
      <c r="AJ42" s="468"/>
      <c r="AK42" s="468"/>
      <c r="AL42" s="468"/>
      <c r="AM42" s="468"/>
      <c r="AN42" s="10">
        <v>5.5</v>
      </c>
      <c r="AO42" s="9"/>
      <c r="AP42" s="9"/>
      <c r="AQ42" s="9"/>
      <c r="AR42" s="9"/>
      <c r="AS42" s="9"/>
      <c r="AT42" s="9">
        <f>+ab($T$42,$T$40,$T$44,$G$41,$G$43, 1*$F$42,1200)</f>
        <v>2.660411224016467</v>
      </c>
      <c r="AU42" s="447"/>
      <c r="AV42" s="447"/>
      <c r="AW42" s="468" t="str">
        <f>IF(C42&gt;0,VLOOKUP(C42,Foundation_Calc!$A$20:$C$25,3,1),
IF(J42&gt;0,VLOOKUP(J42,Foundation_Calc!$A$20:$C$25,3,1),""))</f>
        <v>MultiSoil</v>
      </c>
      <c r="AX42" s="468" t="str">
        <f>IF(C42&gt;0,VLOOKUP(C42,Foundation_Calc!$E$20:$G$25,3,1),
IF(J42&gt;0,VLOOKUP(J42,Foundation_Calc!$E$20:$G$25,3,1),""))</f>
        <v>PT</v>
      </c>
      <c r="AY42" s="10">
        <f>IF(L42="","",
IF(AX42="PT",VLOOKUP(L42,Foundation_Calc!$K$79:$R$112,VLOOKUP(AW42,Foundation_Calc!$I$2:$J$8,2,FALSE),0),
IF(AX42="K",VLOOKUP(L42,Foundation_Calc!$K$116:$R$149,VLOOKUP(AW42,Foundation_Calc!$I$2:$J$8,2,FALSE),0),"")))</f>
        <v>4</v>
      </c>
      <c r="AZ42" s="10" t="str">
        <f>IF(K42="","",
IF(AX42="PT",VLOOKUP(K42,Foundation_Calc!$K$79:$R$112,VLOOKUP(AW42,Foundation_Calc!$I$2:$J$8,2,FALSE),0),
IF(AX42="K",VLOOKUP(K42,Foundation_Calc!$K$116:$R$149,VLOOKUP(AW42,Foundation_Calc!$I$2:$J$8,2,FALSE),0),"")))</f>
        <v/>
      </c>
      <c r="BA42" s="553" t="str">
        <f t="shared" si="2"/>
        <v>ü</v>
      </c>
      <c r="BB42" s="553" t="str">
        <f t="shared" si="3"/>
        <v/>
      </c>
      <c r="BC42" s="553" t="str">
        <f t="shared" si="4"/>
        <v/>
      </c>
      <c r="BD42" s="572" t="str">
        <f>IF(AND(L42="",H42=""),"",
IF(H42="",Pole_Calc!A$9,
IF(H42="MP",Pole_Calc!A$10,
IF(H42="AnMP",Pole_Calc!A$11,
IF(H42="A",Pole_Calc!A$12,
IF(H42="S/A",Pole_Calc!A$13,
IF(H42="A/S",Pole_Calc!A$14,"Poner a mano")))))))</f>
        <v>App.7-V11H-P9.5.1.6</v>
      </c>
      <c r="BE42" s="448" t="s">
        <v>1726</v>
      </c>
      <c r="BF42" s="306"/>
      <c r="BG42" s="306"/>
      <c r="BH42" s="306"/>
      <c r="BI42" s="306"/>
    </row>
    <row r="43" spans="1:61" ht="16.2" customHeight="1">
      <c r="A43" s="573"/>
      <c r="B43" s="469"/>
      <c r="C43" s="3"/>
      <c r="D43" s="88"/>
      <c r="E43" s="4"/>
      <c r="F43" s="4"/>
      <c r="G43" s="6">
        <v>36</v>
      </c>
      <c r="H43" s="468"/>
      <c r="I43" s="468"/>
      <c r="J43" s="3">
        <f>C42-7.5</f>
        <v>2296.46</v>
      </c>
      <c r="K43" s="468" t="s">
        <v>1095</v>
      </c>
      <c r="L43" s="468"/>
      <c r="M43" s="468" t="str">
        <f>IF(L43="","",
IF(AX43="PT",VLOOKUP(L43,Foundation_Calc!$V$79:$X$112,VLOOKUP(AX43,Foundation_Calc!$I$10:$J$13,2,FALSE),0),
IF(AX43="K",VLOOKUP(L43,Foundation_Calc!$V$116:$X$149,VLOOKUP(AX43,Foundation_Calc!$I$10:$J$13,2,FALSE),0),"")))</f>
        <v/>
      </c>
      <c r="N43" s="468"/>
      <c r="O43" s="468"/>
      <c r="P43" s="468"/>
      <c r="Q43" s="4"/>
      <c r="R43" s="6"/>
      <c r="S43" s="6"/>
      <c r="T43" s="4"/>
      <c r="U43" s="4"/>
      <c r="V43" s="4"/>
      <c r="W43" s="9"/>
      <c r="X43" s="9"/>
      <c r="Y43" s="9"/>
      <c r="Z43" s="9"/>
      <c r="AA43" s="9"/>
      <c r="AB43" s="9"/>
      <c r="AC43" s="468" t="str">
        <f t="shared" si="1"/>
        <v/>
      </c>
      <c r="AD43" s="468"/>
      <c r="AE43" s="468"/>
      <c r="AF43" s="4"/>
      <c r="AG43" s="88"/>
      <c r="AH43" s="4"/>
      <c r="AI43" s="4"/>
      <c r="AJ43" s="468"/>
      <c r="AK43" s="468"/>
      <c r="AL43" s="468"/>
      <c r="AM43" s="468"/>
      <c r="AN43" s="10"/>
      <c r="AO43" s="9"/>
      <c r="AP43" s="9"/>
      <c r="AQ43" s="9">
        <f>+FL_1($T$44,$T$42,$G$43,1200,9.28, 1*$F$44)</f>
        <v>0.30000000000009408</v>
      </c>
      <c r="AR43" s="9"/>
      <c r="AS43" s="9"/>
      <c r="AT43" s="9"/>
      <c r="AU43" s="447"/>
      <c r="AV43" s="447"/>
      <c r="AW43" s="468" t="str">
        <f>IF(C43&gt;0,VLOOKUP(C43,Foundation_Calc!$A$20:$C$25,3,1),
IF(J43&gt;0,VLOOKUP(J43,Foundation_Calc!$A$20:$C$25,3,1),""))</f>
        <v>MultiSoil</v>
      </c>
      <c r="AX43" s="468" t="str">
        <f>IF(C43&gt;0,VLOOKUP(C43,Foundation_Calc!$E$20:$G$25,3,1),
IF(J43&gt;0,VLOOKUP(J43,Foundation_Calc!$E$20:$G$25,3,1),""))</f>
        <v>PT</v>
      </c>
      <c r="AY43" s="10" t="str">
        <f>IF(L43="","",
IF(AX43="PT",VLOOKUP(L43,Foundation_Calc!$K$79:$R$112,VLOOKUP(AW43,Foundation_Calc!$I$2:$J$8,2,FALSE),0),
IF(AX43="K",VLOOKUP(L43,Foundation_Calc!$K$116:$R$149,VLOOKUP(AW43,Foundation_Calc!$I$2:$J$8,2,FALSE),0),"")))</f>
        <v/>
      </c>
      <c r="AZ43" s="10">
        <f>IF(K43="","",
IF(AX43="PT",VLOOKUP(K43,Foundation_Calc!$K$79:$R$112,VLOOKUP(AW43,Foundation_Calc!$I$2:$J$8,2,FALSE),0),
IF(AX43="K",VLOOKUP(K43,Foundation_Calc!$K$116:$R$149,VLOOKUP(AW43,Foundation_Calc!$I$2:$J$8,2,FALSE),0),"")))</f>
        <v>3.9</v>
      </c>
      <c r="BA43" s="553" t="str">
        <f t="shared" si="2"/>
        <v/>
      </c>
      <c r="BB43" s="553" t="str">
        <f t="shared" si="3"/>
        <v>ü</v>
      </c>
      <c r="BC43" s="553" t="str">
        <f t="shared" si="4"/>
        <v/>
      </c>
      <c r="BD43" s="572" t="str">
        <f>IF(AND(L43="",H43=""),"",
IF(H43="",Pole_Calc!A$9,
IF(H43="MP",Pole_Calc!A$10,
IF(H43="AnMP",Pole_Calc!A$11,
IF(H43="A",Pole_Calc!A$12,
IF(H43="S/A",Pole_Calc!A$13,
IF(H43="A/S",Pole_Calc!A$14,"Poner a mano")))))))</f>
        <v/>
      </c>
      <c r="BE43" s="448" t="s">
        <v>1726</v>
      </c>
      <c r="BF43" s="305"/>
      <c r="BG43" s="305"/>
      <c r="BH43" s="306"/>
      <c r="BI43" s="305"/>
    </row>
    <row r="44" spans="1:61" ht="16.2" customHeight="1">
      <c r="A44" s="573"/>
      <c r="B44" s="469" t="s">
        <v>2299</v>
      </c>
      <c r="C44" s="3">
        <f t="shared" ref="C44" si="12">C42-G43</f>
        <v>2267.96</v>
      </c>
      <c r="D44" s="88"/>
      <c r="E44" s="4"/>
      <c r="F44" s="4">
        <f>(209^2)/(C44-2211.36)</f>
        <v>771.74911660777514</v>
      </c>
      <c r="G44" s="6"/>
      <c r="H44" s="468"/>
      <c r="I44" s="468" t="s">
        <v>482</v>
      </c>
      <c r="J44" s="3"/>
      <c r="K44" s="468"/>
      <c r="L44" s="468" t="s">
        <v>38</v>
      </c>
      <c r="M44" s="468" t="str">
        <f>IF(L44="","",
IF(AX44="PT",VLOOKUP(L44,Foundation_Calc!$V$79:$X$112,VLOOKUP(AX44,Foundation_Calc!$I$10:$J$13,2,FALSE),0),
IF(AX44="K",VLOOKUP(L44,Foundation_Calc!$V$116:$X$149,VLOOKUP(AX44,Foundation_Calc!$I$10:$J$13,2,FALSE),0),"")))</f>
        <v>C4R</v>
      </c>
      <c r="N44" s="468" t="s">
        <v>33</v>
      </c>
      <c r="O44" s="468"/>
      <c r="P44" s="468"/>
      <c r="Q44" s="4"/>
      <c r="R44" s="6"/>
      <c r="S44" s="6"/>
      <c r="T44" s="4">
        <v>30</v>
      </c>
      <c r="U44" s="4"/>
      <c r="V44" s="4"/>
      <c r="W44" s="9">
        <v>1.4</v>
      </c>
      <c r="X44" s="9"/>
      <c r="Y44" s="9"/>
      <c r="Z44" s="9"/>
      <c r="AA44" s="9"/>
      <c r="AB44" s="9"/>
      <c r="AC44" s="468" t="str">
        <f t="shared" si="1"/>
        <v>PHC</v>
      </c>
      <c r="AD44" s="468"/>
      <c r="AE44" s="468"/>
      <c r="AF44" s="4"/>
      <c r="AG44" s="88"/>
      <c r="AH44" s="4"/>
      <c r="AI44" s="4"/>
      <c r="AJ44" s="468"/>
      <c r="AK44" s="468"/>
      <c r="AL44" s="468"/>
      <c r="AM44" s="468"/>
      <c r="AN44" s="10">
        <v>5.5</v>
      </c>
      <c r="AO44" s="9"/>
      <c r="AP44" s="9"/>
      <c r="AQ44" s="9"/>
      <c r="AR44" s="9"/>
      <c r="AS44" s="9"/>
      <c r="AT44" s="9">
        <f>+ab($T$44,$T$42,$T$46,$G$43,$G$45, 1*$F$44,1200)</f>
        <v>4.1818932466521535</v>
      </c>
      <c r="AU44" s="447"/>
      <c r="AV44" s="447"/>
      <c r="AW44" s="468" t="str">
        <f>IF(C44&gt;0,VLOOKUP(C44,Foundation_Calc!$A$20:$C$25,3,1),
IF(J44&gt;0,VLOOKUP(J44,Foundation_Calc!$A$20:$C$25,3,1),""))</f>
        <v>MultiSoil</v>
      </c>
      <c r="AX44" s="468" t="str">
        <f>IF(C44&gt;0,VLOOKUP(C44,Foundation_Calc!$E$20:$G$25,3,1),
IF(J44&gt;0,VLOOKUP(J44,Foundation_Calc!$E$20:$G$25,3,1),""))</f>
        <v>PT</v>
      </c>
      <c r="AY44" s="10">
        <f>IF(L44="","",
IF(AX44="PT",VLOOKUP(L44,Foundation_Calc!$K$79:$R$112,VLOOKUP(AW44,Foundation_Calc!$I$2:$J$8,2,FALSE),0),
IF(AX44="K",VLOOKUP(L44,Foundation_Calc!$K$116:$R$149,VLOOKUP(AW44,Foundation_Calc!$I$2:$J$8,2,FALSE),0),"")))</f>
        <v>3.5</v>
      </c>
      <c r="AZ44" s="10" t="str">
        <f>IF(K44="","",
IF(AX44="PT",VLOOKUP(K44,Foundation_Calc!$K$79:$R$112,VLOOKUP(AW44,Foundation_Calc!$I$2:$J$8,2,FALSE),0),
IF(AX44="K",VLOOKUP(K44,Foundation_Calc!$K$116:$R$149,VLOOKUP(AW44,Foundation_Calc!$I$2:$J$8,2,FALSE),0),"")))</f>
        <v/>
      </c>
      <c r="BA44" s="553" t="str">
        <f t="shared" si="2"/>
        <v>ü</v>
      </c>
      <c r="BB44" s="553" t="str">
        <f t="shared" si="3"/>
        <v/>
      </c>
      <c r="BC44" s="553" t="str">
        <f t="shared" si="4"/>
        <v/>
      </c>
      <c r="BD44" s="572" t="str">
        <f>IF(AND(L44="",H44=""),"",
IF(H44="",Pole_Calc!A$9,
IF(H44="MP",Pole_Calc!A$10,
IF(H44="AnMP",Pole_Calc!A$11,
IF(H44="A",Pole_Calc!A$12,
IF(H44="S/A",Pole_Calc!A$13,
IF(H44="A/S",Pole_Calc!A$14,"Poner a mano")))))))</f>
        <v>App.7-V11H-P9.5.1.1</v>
      </c>
      <c r="BE44" s="448" t="s">
        <v>1726</v>
      </c>
      <c r="BF44" s="306"/>
      <c r="BG44" s="306"/>
      <c r="BH44" s="306"/>
      <c r="BI44" s="306"/>
    </row>
    <row r="45" spans="1:61" ht="16.2" customHeight="1">
      <c r="A45" s="573"/>
      <c r="B45" s="469"/>
      <c r="C45" s="3"/>
      <c r="D45" s="88"/>
      <c r="E45" s="4"/>
      <c r="F45" s="4"/>
      <c r="G45" s="6">
        <v>34.700000000000003</v>
      </c>
      <c r="H45" s="468"/>
      <c r="I45" s="468"/>
      <c r="J45" s="3"/>
      <c r="K45" s="468"/>
      <c r="L45" s="468"/>
      <c r="M45" s="468" t="str">
        <f>IF(L45="","",
IF(AX45="PT",VLOOKUP(L45,Foundation_Calc!$V$79:$X$112,VLOOKUP(AX45,Foundation_Calc!$I$10:$J$13,2,FALSE),0),
IF(AX45="K",VLOOKUP(L45,Foundation_Calc!$V$116:$X$149,VLOOKUP(AX45,Foundation_Calc!$I$10:$J$13,2,FALSE),0),"")))</f>
        <v/>
      </c>
      <c r="N45" s="468"/>
      <c r="O45" s="468"/>
      <c r="P45" s="468"/>
      <c r="Q45" s="4"/>
      <c r="R45" s="6"/>
      <c r="S45" s="6"/>
      <c r="T45" s="4"/>
      <c r="U45" s="4"/>
      <c r="V45" s="4"/>
      <c r="W45" s="9"/>
      <c r="X45" s="9"/>
      <c r="Y45" s="9"/>
      <c r="Z45" s="9"/>
      <c r="AA45" s="9"/>
      <c r="AB45" s="9"/>
      <c r="AC45" s="468" t="str">
        <f t="shared" si="1"/>
        <v/>
      </c>
      <c r="AD45" s="468"/>
      <c r="AE45" s="468"/>
      <c r="AF45" s="4"/>
      <c r="AG45" s="88"/>
      <c r="AH45" s="4"/>
      <c r="AI45" s="4"/>
      <c r="AJ45" s="468"/>
      <c r="AK45" s="468"/>
      <c r="AL45" s="468"/>
      <c r="AM45" s="468"/>
      <c r="AN45" s="10"/>
      <c r="AO45" s="9"/>
      <c r="AP45" s="9"/>
      <c r="AQ45" s="9">
        <f>+FL_1($T$46,$T$44,$G$45,1200,9.28, 1*$F$46)</f>
        <v>0.34093329551346963</v>
      </c>
      <c r="AR45" s="9"/>
      <c r="AS45" s="9"/>
      <c r="AT45" s="9"/>
      <c r="AU45" s="447"/>
      <c r="AV45" s="447"/>
      <c r="AW45" s="468" t="str">
        <f>IF(C45&gt;0,VLOOKUP(C45,Foundation_Calc!$A$20:$C$25,3,1),
IF(J45&gt;0,VLOOKUP(J45,Foundation_Calc!$A$20:$C$25,3,1),""))</f>
        <v/>
      </c>
      <c r="AX45" s="468" t="str">
        <f>IF(C45&gt;0,VLOOKUP(C45,Foundation_Calc!$E$20:$G$25,3,1),
IF(J45&gt;0,VLOOKUP(J45,Foundation_Calc!$E$20:$G$25,3,1),""))</f>
        <v/>
      </c>
      <c r="AY45" s="10" t="str">
        <f>IF(L45="","",
IF(AX45="PT",VLOOKUP(L45,Foundation_Calc!$K$79:$R$112,VLOOKUP(AW45,Foundation_Calc!$I$2:$J$8,2,FALSE),0),
IF(AX45="K",VLOOKUP(L45,Foundation_Calc!$K$116:$R$149,VLOOKUP(AW45,Foundation_Calc!$I$2:$J$8,2,FALSE),0),"")))</f>
        <v/>
      </c>
      <c r="AZ45" s="10" t="str">
        <f>IF(K45="","",
IF(AX45="PT",VLOOKUP(K45,Foundation_Calc!$K$79:$R$112,VLOOKUP(AW45,Foundation_Calc!$I$2:$J$8,2,FALSE),0),
IF(AX45="K",VLOOKUP(K45,Foundation_Calc!$K$116:$R$149,VLOOKUP(AW45,Foundation_Calc!$I$2:$J$8,2,FALSE),0),"")))</f>
        <v/>
      </c>
      <c r="BA45" s="553" t="str">
        <f t="shared" si="2"/>
        <v/>
      </c>
      <c r="BB45" s="553" t="str">
        <f t="shared" si="3"/>
        <v/>
      </c>
      <c r="BC45" s="553" t="str">
        <f t="shared" si="4"/>
        <v/>
      </c>
      <c r="BD45" s="572" t="str">
        <f>IF(AND(L45="",H45=""),"",
IF(H45="",Pole_Calc!A$9,
IF(H45="MP",Pole_Calc!A$10,
IF(H45="AnMP",Pole_Calc!A$11,
IF(H45="A",Pole_Calc!A$12,
IF(H45="S/A",Pole_Calc!A$13,
IF(H45="A/S",Pole_Calc!A$14,"Poner a mano")))))))</f>
        <v/>
      </c>
      <c r="BE45" s="448" t="s">
        <v>1726</v>
      </c>
      <c r="BF45" s="305"/>
      <c r="BG45" s="305"/>
      <c r="BH45" s="306"/>
      <c r="BI45" s="305"/>
    </row>
    <row r="46" spans="1:61" ht="16.2" customHeight="1">
      <c r="A46" s="573"/>
      <c r="B46" s="469" t="s">
        <v>2300</v>
      </c>
      <c r="C46" s="3">
        <f t="shared" ref="C46" si="13">C44-G45</f>
        <v>2233.2600000000002</v>
      </c>
      <c r="D46" s="88"/>
      <c r="E46" s="4"/>
      <c r="F46" s="4">
        <f>(209^2)/(C46-2211.36)</f>
        <v>1994.5662100456539</v>
      </c>
      <c r="G46" s="6"/>
      <c r="H46" s="468"/>
      <c r="I46" s="468"/>
      <c r="J46" s="3"/>
      <c r="K46" s="468"/>
      <c r="L46" s="468" t="s">
        <v>38</v>
      </c>
      <c r="M46" s="468" t="str">
        <f>IF(L46="","",
IF(AX46="PT",VLOOKUP(L46,Foundation_Calc!$V$79:$X$112,VLOOKUP(AX46,Foundation_Calc!$I$10:$J$13,2,FALSE),0),
IF(AX46="K",VLOOKUP(L46,Foundation_Calc!$V$116:$X$149,VLOOKUP(AX46,Foundation_Calc!$I$10:$J$13,2,FALSE),0),"")))</f>
        <v>C4R</v>
      </c>
      <c r="N46" s="468" t="s">
        <v>33</v>
      </c>
      <c r="O46" s="468"/>
      <c r="P46" s="468"/>
      <c r="Q46" s="4"/>
      <c r="R46" s="6"/>
      <c r="S46" s="6"/>
      <c r="T46" s="4">
        <v>30</v>
      </c>
      <c r="U46" s="4"/>
      <c r="V46" s="4"/>
      <c r="W46" s="9">
        <v>1.4</v>
      </c>
      <c r="X46" s="9"/>
      <c r="Y46" s="9"/>
      <c r="Z46" s="9"/>
      <c r="AA46" s="9"/>
      <c r="AB46" s="9"/>
      <c r="AC46" s="468" t="str">
        <f t="shared" si="1"/>
        <v>PHQ</v>
      </c>
      <c r="AD46" s="468"/>
      <c r="AE46" s="468"/>
      <c r="AF46" s="4"/>
      <c r="AG46" s="88"/>
      <c r="AH46" s="4"/>
      <c r="AI46" s="4"/>
      <c r="AJ46" s="468"/>
      <c r="AK46" s="468"/>
      <c r="AL46" s="468"/>
      <c r="AM46" s="468"/>
      <c r="AN46" s="10">
        <v>5.5</v>
      </c>
      <c r="AO46" s="9"/>
      <c r="AP46" s="9"/>
      <c r="AQ46" s="9"/>
      <c r="AR46" s="9"/>
      <c r="AS46" s="9"/>
      <c r="AT46" s="9">
        <f>+ab($T$46,$T$44,$U$48,$G$45,$G$47, 1*$F$46,1200)</f>
        <v>7.1904830319814899</v>
      </c>
      <c r="AU46" s="447"/>
      <c r="AV46" s="447"/>
      <c r="AW46" s="468" t="str">
        <f>IF(C46&gt;0,VLOOKUP(C46,Foundation_Calc!$A$20:$C$25,3,1),
IF(J46&gt;0,VLOOKUP(J46,Foundation_Calc!$A$20:$C$25,3,1),""))</f>
        <v>MultiSoil</v>
      </c>
      <c r="AX46" s="468" t="str">
        <f>IF(C46&gt;0,VLOOKUP(C46,Foundation_Calc!$E$20:$G$25,3,1),
IF(J46&gt;0,VLOOKUP(J46,Foundation_Calc!$E$20:$G$25,3,1),""))</f>
        <v>PT</v>
      </c>
      <c r="AY46" s="10">
        <f>IF(L46="","",
IF(AX46="PT",VLOOKUP(L46,Foundation_Calc!$K$4:$R$37,VLOOKUP(AW46,Foundation_Calc!$I$2:$J$8,2,FALSE),0),
IF(AX46="K",VLOOKUP(L46,Foundation_Calc!$K$41:$R$74,VLOOKUP(AW46,Foundation_Calc!$I$2:$J$8,2,FALSE),0),"")))</f>
        <v>3.7</v>
      </c>
      <c r="AZ46" s="10" t="str">
        <f>IF(K46="","",
IF(AX46="PT",VLOOKUP(K46,Foundation_Calc!$K$4:$R$37,VLOOKUP(AW46,Foundation_Calc!$I$2:$J$8,2,FALSE),0),
IF(AX46="K",VLOOKUP(K46,Foundation_Calc!$K$41:$R$74,VLOOKUP(AW46,Foundation_Calc!$I$2:$J$8,2,FALSE),0),"")))</f>
        <v/>
      </c>
      <c r="BA46" s="553" t="str">
        <f t="shared" si="2"/>
        <v>ü</v>
      </c>
      <c r="BB46" s="553" t="str">
        <f t="shared" si="3"/>
        <v/>
      </c>
      <c r="BC46" s="553" t="str">
        <f t="shared" si="4"/>
        <v/>
      </c>
      <c r="BD46" s="572" t="str">
        <f>IF(AND(L46="",H46=""),"",
IF(H46="",Pole_Calc!A$9,
IF(H46="MP",Pole_Calc!A$10,
IF(H46="AnMP",Pole_Calc!A$11,
IF(H46="A",Pole_Calc!A$12,
IF(H46="S/A",Pole_Calc!A$13,
IF(H46="A/S",Pole_Calc!A$14,"Poner a mano")))))))</f>
        <v>App.7-V11H-P9.5.1.1</v>
      </c>
      <c r="BE46" s="448" t="s">
        <v>1726</v>
      </c>
      <c r="BF46" s="306"/>
      <c r="BG46" s="306"/>
      <c r="BH46" s="306"/>
      <c r="BI46" s="306"/>
    </row>
    <row r="47" spans="1:61" ht="16.2" customHeight="1">
      <c r="A47" s="573"/>
      <c r="B47" s="469"/>
      <c r="C47" s="3"/>
      <c r="D47" s="88"/>
      <c r="E47" s="4"/>
      <c r="F47" s="4"/>
      <c r="G47" s="6">
        <v>44</v>
      </c>
      <c r="H47" s="468"/>
      <c r="I47" s="468"/>
      <c r="J47" s="3"/>
      <c r="K47" s="468"/>
      <c r="L47" s="468"/>
      <c r="M47" s="468" t="str">
        <f>IF(L47="","",
IF(AX47="PT",VLOOKUP(L47,Foundation_Calc!$V$79:$X$112,VLOOKUP(AX47,Foundation_Calc!$I$10:$J$13,2,FALSE),0),
IF(AX47="K",VLOOKUP(L47,Foundation_Calc!$V$116:$X$149,VLOOKUP(AX47,Foundation_Calc!$I$10:$J$13,2,FALSE),0),"")))</f>
        <v/>
      </c>
      <c r="N47" s="468"/>
      <c r="O47" s="468"/>
      <c r="P47" s="468"/>
      <c r="Q47" s="4"/>
      <c r="R47" s="6"/>
      <c r="S47" s="6"/>
      <c r="T47" s="4"/>
      <c r="U47" s="4"/>
      <c r="V47" s="4"/>
      <c r="W47" s="9"/>
      <c r="X47" s="9"/>
      <c r="Y47" s="9"/>
      <c r="Z47" s="9"/>
      <c r="AA47" s="9"/>
      <c r="AB47" s="9"/>
      <c r="AC47" s="468" t="str">
        <f t="shared" si="1"/>
        <v/>
      </c>
      <c r="AD47" s="468"/>
      <c r="AE47" s="468"/>
      <c r="AF47" s="4"/>
      <c r="AG47" s="88"/>
      <c r="AH47" s="4"/>
      <c r="AI47" s="4"/>
      <c r="AJ47" s="468"/>
      <c r="AK47" s="468"/>
      <c r="AL47" s="468"/>
      <c r="AM47" s="468"/>
      <c r="AN47" s="10"/>
      <c r="AO47" s="9"/>
      <c r="AP47" s="9"/>
      <c r="AQ47" s="9">
        <f>+FL_2($T$48,$T$46,$G$47,1200,9.28, 1*$F$48)</f>
        <v>-0.35324589090909086</v>
      </c>
      <c r="AR47" s="9"/>
      <c r="AS47" s="9"/>
      <c r="AT47" s="9"/>
      <c r="AU47" s="447"/>
      <c r="AV47" s="447"/>
      <c r="AW47" s="468" t="str">
        <f>IF(C47&gt;0,VLOOKUP(C47,Foundation_Calc!$A$20:$C$25,3,1),
IF(J47&gt;0,VLOOKUP(J47,Foundation_Calc!$A$20:$C$25,3,1),""))</f>
        <v/>
      </c>
      <c r="AX47" s="468" t="str">
        <f>IF(C47&gt;0,VLOOKUP(C47,Foundation_Calc!$E$20:$G$25,3,1),
IF(J47&gt;0,VLOOKUP(J47,Foundation_Calc!$E$20:$G$25,3,1),""))</f>
        <v/>
      </c>
      <c r="AY47" s="10" t="str">
        <f>IF(L47="","",
IF(AX47="PT",VLOOKUP(L47,Foundation_Calc!$K$79:$R$112,VLOOKUP(AW47,Foundation_Calc!$I$2:$J$8,2,FALSE),0),
IF(AX47="K",VLOOKUP(L47,Foundation_Calc!$K$116:$R$149,VLOOKUP(AW47,Foundation_Calc!$I$2:$J$8,2,FALSE),0),"")))</f>
        <v/>
      </c>
      <c r="AZ47" s="10" t="str">
        <f>IF(K47="","",
IF(AX47="PT",VLOOKUP(K47,Foundation_Calc!$K$79:$R$112,VLOOKUP(AW47,Foundation_Calc!$I$2:$J$8,2,FALSE),0),
IF(AX47="K",VLOOKUP(K47,Foundation_Calc!$K$116:$R$149,VLOOKUP(AW47,Foundation_Calc!$I$2:$J$8,2,FALSE),0),"")))</f>
        <v/>
      </c>
      <c r="BA47" s="553" t="str">
        <f t="shared" si="2"/>
        <v/>
      </c>
      <c r="BB47" s="553" t="str">
        <f t="shared" si="3"/>
        <v/>
      </c>
      <c r="BC47" s="553" t="str">
        <f t="shared" si="4"/>
        <v/>
      </c>
      <c r="BD47" s="572" t="str">
        <f>IF(AND(L47="",H47=""),"",
IF(H47="",Pole_Calc!A$9,
IF(H47="MP",Pole_Calc!A$10,
IF(H47="AnMP",Pole_Calc!A$11,
IF(H47="A",Pole_Calc!A$12,
IF(H47="S/A",Pole_Calc!A$13,
IF(H47="A/S",Pole_Calc!A$14,"Poner a mano")))))))</f>
        <v/>
      </c>
      <c r="BE47" s="448" t="s">
        <v>1726</v>
      </c>
      <c r="BF47" s="305"/>
      <c r="BG47" s="305"/>
      <c r="BH47" s="306"/>
      <c r="BI47" s="305"/>
    </row>
    <row r="48" spans="1:61" ht="16.2" customHeight="1">
      <c r="A48" s="573"/>
      <c r="B48" s="638" t="s">
        <v>2301</v>
      </c>
      <c r="C48" s="3">
        <f t="shared" ref="C48" si="14">C46-G47</f>
        <v>2189.2600000000002</v>
      </c>
      <c r="D48" s="88"/>
      <c r="E48" s="4"/>
      <c r="F48" s="4">
        <v>0</v>
      </c>
      <c r="G48" s="6"/>
      <c r="H48" s="468"/>
      <c r="I48" s="468"/>
      <c r="J48" s="3"/>
      <c r="K48" s="468"/>
      <c r="L48" s="468" t="s">
        <v>448</v>
      </c>
      <c r="M48" s="468" t="str">
        <f>IF(L48="","",
IF(AX48="PT",VLOOKUP(L48,Foundation_Calc!$V$79:$X$112,VLOOKUP(AX48,Foundation_Calc!$I$10:$J$13,2,FALSE),0),
IF(AX48="K",VLOOKUP(L48,Foundation_Calc!$V$116:$X$149,VLOOKUP(AX48,Foundation_Calc!$I$10:$J$13,2,FALSE),0),"")))</f>
        <v>2C3R</v>
      </c>
      <c r="N48" s="468" t="s">
        <v>32</v>
      </c>
      <c r="O48" s="669"/>
      <c r="P48" s="468"/>
      <c r="Q48" s="4"/>
      <c r="R48" s="6"/>
      <c r="S48" s="6"/>
      <c r="T48" s="4">
        <v>-35</v>
      </c>
      <c r="U48" s="4"/>
      <c r="V48" s="4"/>
      <c r="W48" s="9">
        <v>1.4</v>
      </c>
      <c r="X48" s="9"/>
      <c r="Y48" s="9"/>
      <c r="Z48" s="9"/>
      <c r="AA48" s="9"/>
      <c r="AB48" s="9"/>
      <c r="AC48" s="468" t="s">
        <v>630</v>
      </c>
      <c r="AD48" s="468"/>
      <c r="AE48" s="468"/>
      <c r="AF48" s="4"/>
      <c r="AG48" s="88"/>
      <c r="AH48" s="4"/>
      <c r="AI48" s="4"/>
      <c r="AJ48" s="468"/>
      <c r="AK48" s="468"/>
      <c r="AL48" s="468"/>
      <c r="AM48" s="468"/>
      <c r="AN48" s="10">
        <v>5.5</v>
      </c>
      <c r="AO48" s="9"/>
      <c r="AP48" s="9"/>
      <c r="AQ48" s="9"/>
      <c r="AR48" s="9"/>
      <c r="AS48" s="9"/>
      <c r="AT48" s="9">
        <f>+ab($T$48,$T$46,$T$50,$G$47,$G$49, 1*$F$48,1200)</f>
        <v>-6.2486176090558647</v>
      </c>
      <c r="AU48" s="447"/>
      <c r="AV48" s="447"/>
      <c r="AW48" s="468" t="str">
        <f>IF(C48&gt;0,VLOOKUP(C48,Foundation_Calc!$A$20:$C$25,3,1),
IF(J48&gt;0,VLOOKUP(J48,Foundation_Calc!$A$20:$C$25,3,1),""))</f>
        <v>MultiSoil</v>
      </c>
      <c r="AX48" s="468" t="str">
        <f>IF(C48&gt;0,VLOOKUP(C48,Foundation_Calc!$E$20:$G$25,3,1),
IF(J48&gt;0,VLOOKUP(J48,Foundation_Calc!$E$20:$G$25,3,1),""))</f>
        <v>PT</v>
      </c>
      <c r="AY48" s="10">
        <f>IF(L48="","",
IF(AX48="PT",VLOOKUP(L48,Foundation_Calc!$K$79:$R$112,VLOOKUP(AW48,Foundation_Calc!$I$2:$J$8,2,FALSE),0),
IF(AX48="K",VLOOKUP(L48,Foundation_Calc!$K$116:$R$149,VLOOKUP(AW48,Foundation_Calc!$I$2:$J$8,2,FALSE),0),"")))</f>
        <v>3.7</v>
      </c>
      <c r="AZ48" s="10" t="str">
        <f>IF(K48="","",
IF(AX48="PT",VLOOKUP(K48,Foundation_Calc!$K$79:$R$112,VLOOKUP(AW48,Foundation_Calc!$I$2:$J$8,2,FALSE),0),
IF(AX48="K",VLOOKUP(K48,Foundation_Calc!$K$116:$R$149,VLOOKUP(AW48,Foundation_Calc!$I$2:$J$8,2,FALSE),0),"")))</f>
        <v/>
      </c>
      <c r="BA48" s="553" t="str">
        <f t="shared" si="2"/>
        <v>ü</v>
      </c>
      <c r="BB48" s="553" t="str">
        <f t="shared" si="3"/>
        <v/>
      </c>
      <c r="BC48" s="553" t="str">
        <f t="shared" si="4"/>
        <v/>
      </c>
      <c r="BD48" s="572" t="str">
        <f>Pole_Calc!A$13</f>
        <v>App.7-V11H-P9.5.1.5</v>
      </c>
      <c r="BE48" s="448" t="s">
        <v>1726</v>
      </c>
      <c r="BF48" s="306"/>
      <c r="BG48" s="306"/>
      <c r="BH48" s="306"/>
      <c r="BI48" s="306"/>
    </row>
    <row r="49" spans="1:61" ht="16.2" customHeight="1">
      <c r="A49" s="573"/>
      <c r="B49" s="469"/>
      <c r="C49" s="3"/>
      <c r="D49" s="88"/>
      <c r="E49" s="4"/>
      <c r="F49" s="4"/>
      <c r="G49" s="6">
        <v>41.1</v>
      </c>
      <c r="H49" s="468"/>
      <c r="I49" s="468"/>
      <c r="J49" s="3"/>
      <c r="K49" s="468"/>
      <c r="L49" s="468"/>
      <c r="M49" s="468" t="str">
        <f>IF(L49="","",
IF(AX49="PT",VLOOKUP(L49,Foundation_Calc!$V$79:$X$112,VLOOKUP(AX49,Foundation_Calc!$I$10:$J$13,2,FALSE),0),
IF(AX49="K",VLOOKUP(L49,Foundation_Calc!$V$116:$X$149,VLOOKUP(AX49,Foundation_Calc!$I$10:$J$13,2,FALSE),0),"")))</f>
        <v/>
      </c>
      <c r="N49" s="468"/>
      <c r="O49" s="468"/>
      <c r="P49" s="468"/>
      <c r="Q49" s="4"/>
      <c r="R49" s="6"/>
      <c r="S49" s="6"/>
      <c r="T49" s="4"/>
      <c r="U49" s="4"/>
      <c r="V49" s="4"/>
      <c r="W49" s="9"/>
      <c r="X49" s="9"/>
      <c r="Y49" s="9"/>
      <c r="Z49" s="9"/>
      <c r="AA49" s="9"/>
      <c r="AB49" s="9"/>
      <c r="AC49" s="468" t="str">
        <f t="shared" si="1"/>
        <v/>
      </c>
      <c r="AD49" s="468"/>
      <c r="AE49" s="468"/>
      <c r="AF49" s="4"/>
      <c r="AG49" s="88"/>
      <c r="AH49" s="4"/>
      <c r="AI49" s="4"/>
      <c r="AJ49" s="468"/>
      <c r="AK49" s="468"/>
      <c r="AL49" s="468"/>
      <c r="AM49" s="468"/>
      <c r="AN49" s="10"/>
      <c r="AO49" s="9"/>
      <c r="AP49" s="9"/>
      <c r="AQ49" s="9">
        <f>+FL_2($T$50,$T$48,$G$49,1200,9.28, 1*$F$50)</f>
        <v>-0.35000382481751824</v>
      </c>
      <c r="AR49" s="9"/>
      <c r="AS49" s="9"/>
      <c r="AT49" s="9"/>
      <c r="AU49" s="447"/>
      <c r="AV49" s="447"/>
      <c r="AW49" s="468" t="str">
        <f>IF(C49&gt;0,VLOOKUP(C49,Foundation_Calc!$A$20:$C$25,3,1),
IF(J49&gt;0,VLOOKUP(J49,Foundation_Calc!$A$20:$C$25,3,1),""))</f>
        <v/>
      </c>
      <c r="AX49" s="468" t="str">
        <f>IF(C49&gt;0,VLOOKUP(C49,Foundation_Calc!$E$20:$G$25,3,1),
IF(J49&gt;0,VLOOKUP(J49,Foundation_Calc!$E$20:$G$25,3,1),""))</f>
        <v/>
      </c>
      <c r="AY49" s="10" t="str">
        <f>IF(L49="","",
IF(AX49="PT",VLOOKUP(L49,Foundation_Calc!$K$79:$R$112,VLOOKUP(AW49,Foundation_Calc!$I$2:$J$8,2,FALSE),0),
IF(AX49="K",VLOOKUP(L49,Foundation_Calc!$K$116:$R$149,VLOOKUP(AW49,Foundation_Calc!$I$2:$J$8,2,FALSE),0),"")))</f>
        <v/>
      </c>
      <c r="AZ49" s="10" t="str">
        <f>IF(K49="","",
IF(AX49="PT",VLOOKUP(K49,Foundation_Calc!$K$79:$R$112,VLOOKUP(AW49,Foundation_Calc!$I$2:$J$8,2,FALSE),0),
IF(AX49="K",VLOOKUP(K49,Foundation_Calc!$K$116:$R$149,VLOOKUP(AW49,Foundation_Calc!$I$2:$J$8,2,FALSE),0),"")))</f>
        <v/>
      </c>
      <c r="BA49" s="553" t="str">
        <f t="shared" si="2"/>
        <v/>
      </c>
      <c r="BB49" s="553" t="str">
        <f t="shared" si="3"/>
        <v/>
      </c>
      <c r="BC49" s="553" t="str">
        <f t="shared" si="4"/>
        <v/>
      </c>
      <c r="BD49" s="572" t="str">
        <f>IF(AND(L49="",H49=""),"",
IF(H49="",Pole_Calc!A$9,
IF(H49="MP",Pole_Calc!A$10,
IF(H49="AnMP",Pole_Calc!A$11,
IF(H49="A",Pole_Calc!A$12,
IF(H49="S/A",Pole_Calc!A$13,
IF(H49="A/S",Pole_Calc!A$14,"Poner a mano")))))))</f>
        <v/>
      </c>
      <c r="BE49" s="448" t="s">
        <v>1726</v>
      </c>
      <c r="BF49" s="305"/>
      <c r="BG49" s="305"/>
      <c r="BH49" s="306"/>
      <c r="BI49" s="305"/>
    </row>
    <row r="50" spans="1:61" ht="16.2" customHeight="1">
      <c r="A50" s="573"/>
      <c r="B50" s="638" t="s">
        <v>2302</v>
      </c>
      <c r="C50" s="3">
        <f t="shared" ref="C50" si="15">C48-G49</f>
        <v>2148.1600000000003</v>
      </c>
      <c r="D50" s="88"/>
      <c r="E50" s="4"/>
      <c r="F50" s="4">
        <v>0</v>
      </c>
      <c r="G50" s="6"/>
      <c r="H50" s="468"/>
      <c r="I50" s="468"/>
      <c r="J50" s="3"/>
      <c r="K50" s="468"/>
      <c r="L50" s="468" t="s">
        <v>448</v>
      </c>
      <c r="M50" s="468" t="str">
        <f>IF(L50="","",
IF(AX50="PT",VLOOKUP(L50,Foundation_Calc!$V$79:$X$112,VLOOKUP(AX50,Foundation_Calc!$I$10:$J$13,2,FALSE),0),
IF(AX50="K",VLOOKUP(L50,Foundation_Calc!$V$116:$X$149,VLOOKUP(AX50,Foundation_Calc!$I$10:$J$13,2,FALSE),0),"")))</f>
        <v>2C3R</v>
      </c>
      <c r="N50" s="468" t="s">
        <v>33</v>
      </c>
      <c r="O50" s="669"/>
      <c r="P50" s="468"/>
      <c r="Q50" s="4"/>
      <c r="R50" s="6"/>
      <c r="S50" s="6"/>
      <c r="T50" s="4">
        <v>30</v>
      </c>
      <c r="U50" s="4"/>
      <c r="V50" s="4"/>
      <c r="W50" s="9">
        <v>1.4</v>
      </c>
      <c r="X50" s="9"/>
      <c r="Y50" s="9"/>
      <c r="Z50" s="9"/>
      <c r="AA50" s="9"/>
      <c r="AB50" s="9"/>
      <c r="AC50" s="468" t="str">
        <f t="shared" si="1"/>
        <v>PHQ</v>
      </c>
      <c r="AD50" s="468"/>
      <c r="AE50" s="468"/>
      <c r="AF50" s="4"/>
      <c r="AG50" s="88"/>
      <c r="AH50" s="4"/>
      <c r="AI50" s="4"/>
      <c r="AJ50" s="468"/>
      <c r="AK50" s="468"/>
      <c r="AL50" s="468"/>
      <c r="AM50" s="468"/>
      <c r="AN50" s="10">
        <v>5.5</v>
      </c>
      <c r="AO50" s="9"/>
      <c r="AP50" s="9"/>
      <c r="AQ50" s="9"/>
      <c r="AR50" s="9"/>
      <c r="AS50" s="9"/>
      <c r="AT50" s="9">
        <f>+ab($T$50,$T$48,$T$52,$G$49,$G$51, 1*$F$50,1200)</f>
        <v>6.8119019994617558</v>
      </c>
      <c r="AU50" s="447"/>
      <c r="AV50" s="447"/>
      <c r="AW50" s="468" t="str">
        <f>IF(C50&gt;0,VLOOKUP(C50,Foundation_Calc!$A$20:$C$25,3,1),
IF(J50&gt;0,VLOOKUP(J50,Foundation_Calc!$A$20:$C$25,3,1),""))</f>
        <v>MultiSoil</v>
      </c>
      <c r="AX50" s="468" t="str">
        <f>IF(C50&gt;0,VLOOKUP(C50,Foundation_Calc!$E$20:$G$25,3,1),
IF(J50&gt;0,VLOOKUP(J50,Foundation_Calc!$E$20:$G$25,3,1),""))</f>
        <v>PT</v>
      </c>
      <c r="AY50" s="10">
        <f>IF(L50="","",
IF(AX50="PT",VLOOKUP(L50,Foundation_Calc!$K$79:$R$112,VLOOKUP(AW50,Foundation_Calc!$I$2:$J$8,2,FALSE),0),
IF(AX50="K",VLOOKUP(L50,Foundation_Calc!$K$116:$R$149,VLOOKUP(AW50,Foundation_Calc!$I$2:$J$8,2,FALSE),0),"")))</f>
        <v>3.7</v>
      </c>
      <c r="AZ50" s="10" t="str">
        <f>IF(K50="","",
IF(AX50="PT",VLOOKUP(K50,Foundation_Calc!$K$79:$R$112,VLOOKUP(AW50,Foundation_Calc!$I$2:$J$8,2,FALSE),0),
IF(AX50="K",VLOOKUP(K50,Foundation_Calc!$K$116:$R$149,VLOOKUP(AW50,Foundation_Calc!$I$2:$J$8,2,FALSE),0),"")))</f>
        <v/>
      </c>
      <c r="BA50" s="553" t="str">
        <f t="shared" si="2"/>
        <v>ü</v>
      </c>
      <c r="BB50" s="553" t="str">
        <f t="shared" si="3"/>
        <v/>
      </c>
      <c r="BC50" s="553" t="str">
        <f t="shared" si="4"/>
        <v/>
      </c>
      <c r="BD50" s="572" t="str">
        <f>IF(AND(L50="",H50=""),"",
IF(H50="",Pole_Calc!A$9,
IF(H50="MP",Pole_Calc!A$10,
IF(H50="AnMP",Pole_Calc!A$11,
IF(H50="A",Pole_Calc!A$12,
IF(H50="S/A",Pole_Calc!A$13,
IF(H50="A/S",Pole_Calc!A$14,"Poner a mano")))))))</f>
        <v>App.7-V11H-P9.5.1.1</v>
      </c>
      <c r="BE50" s="448" t="s">
        <v>1726</v>
      </c>
      <c r="BF50" s="306"/>
      <c r="BG50" s="306"/>
      <c r="BH50" s="306"/>
      <c r="BI50" s="306"/>
    </row>
    <row r="51" spans="1:61" ht="16.2" customHeight="1">
      <c r="A51" s="573"/>
      <c r="B51" s="469"/>
      <c r="C51" s="3"/>
      <c r="D51" s="88"/>
      <c r="E51" s="4"/>
      <c r="F51" s="4"/>
      <c r="G51" s="6">
        <v>45</v>
      </c>
      <c r="H51" s="468"/>
      <c r="I51" s="468"/>
      <c r="J51" s="3"/>
      <c r="K51" s="468"/>
      <c r="L51" s="468"/>
      <c r="M51" s="468" t="str">
        <f>IF(L51="","",
IF(AX51="PT",VLOOKUP(L51,Foundation_Calc!$V$79:$X$112,VLOOKUP(AX51,Foundation_Calc!$I$10:$J$13,2,FALSE),0),
IF(AX51="K",VLOOKUP(L51,Foundation_Calc!$V$116:$X$149,VLOOKUP(AX51,Foundation_Calc!$I$10:$J$13,2,FALSE),0),"")))</f>
        <v/>
      </c>
      <c r="N51" s="468"/>
      <c r="O51" s="468"/>
      <c r="P51" s="468"/>
      <c r="Q51" s="4"/>
      <c r="R51" s="6"/>
      <c r="S51" s="6"/>
      <c r="T51" s="4"/>
      <c r="U51" s="4"/>
      <c r="V51" s="4"/>
      <c r="W51" s="9"/>
      <c r="X51" s="9"/>
      <c r="Y51" s="9"/>
      <c r="Z51" s="9"/>
      <c r="AA51" s="9"/>
      <c r="AB51" s="9"/>
      <c r="AC51" s="468" t="str">
        <f t="shared" si="1"/>
        <v/>
      </c>
      <c r="AD51" s="468"/>
      <c r="AE51" s="468"/>
      <c r="AF51" s="4"/>
      <c r="AG51" s="88"/>
      <c r="AH51" s="4"/>
      <c r="AI51" s="4"/>
      <c r="AJ51" s="468"/>
      <c r="AK51" s="468"/>
      <c r="AL51" s="468"/>
      <c r="AM51" s="468"/>
      <c r="AN51" s="10"/>
      <c r="AO51" s="9"/>
      <c r="AP51" s="9"/>
      <c r="AQ51" s="9">
        <f>+FL_2($T$52,$T$50,$G$51,1200,9.28, 1*$F$52)</f>
        <v>-0.26733364444444441</v>
      </c>
      <c r="AR51" s="9"/>
      <c r="AS51" s="9"/>
      <c r="AT51" s="9"/>
      <c r="AU51" s="447"/>
      <c r="AV51" s="447"/>
      <c r="AW51" s="468" t="str">
        <f>IF(C51&gt;0,VLOOKUP(C51,Foundation_Calc!$A$20:$C$25,3,1),
IF(J51&gt;0,VLOOKUP(J51,Foundation_Calc!$A$20:$C$25,3,1),""))</f>
        <v/>
      </c>
      <c r="AX51" s="468" t="str">
        <f>IF(C51&gt;0,VLOOKUP(C51,Foundation_Calc!$E$20:$G$25,3,1),
IF(J51&gt;0,VLOOKUP(J51,Foundation_Calc!$E$20:$G$25,3,1),""))</f>
        <v/>
      </c>
      <c r="AY51" s="10" t="str">
        <f>IF(L51="","",
IF(AX51="PT",VLOOKUP(L51,Foundation_Calc!$K$79:$R$112,VLOOKUP(AW51,Foundation_Calc!$I$2:$J$8,2,FALSE),0),
IF(AX51="K",VLOOKUP(L51,Foundation_Calc!$K$116:$R$149,VLOOKUP(AW51,Foundation_Calc!$I$2:$J$8,2,FALSE),0),"")))</f>
        <v/>
      </c>
      <c r="AZ51" s="10" t="str">
        <f>IF(K51="","",
IF(AX51="PT",VLOOKUP(K51,Foundation_Calc!$K$79:$R$112,VLOOKUP(AW51,Foundation_Calc!$I$2:$J$8,2,FALSE),0),
IF(AX51="K",VLOOKUP(K51,Foundation_Calc!$K$116:$R$149,VLOOKUP(AW51,Foundation_Calc!$I$2:$J$8,2,FALSE),0),"")))</f>
        <v/>
      </c>
      <c r="BA51" s="553" t="str">
        <f t="shared" si="2"/>
        <v/>
      </c>
      <c r="BB51" s="553" t="str">
        <f t="shared" si="3"/>
        <v/>
      </c>
      <c r="BC51" s="553" t="str">
        <f t="shared" si="4"/>
        <v/>
      </c>
      <c r="BD51" s="572" t="str">
        <f>IF(AND(L51="",H51=""),"",
IF(H51="",Pole_Calc!A$9,
IF(H51="MP",Pole_Calc!A$10,
IF(H51="AnMP",Pole_Calc!A$11,
IF(H51="A",Pole_Calc!A$12,
IF(H51="S/A",Pole_Calc!A$13,
IF(H51="A/S",Pole_Calc!A$14,"Poner a mano")))))))</f>
        <v/>
      </c>
      <c r="BE51" s="448" t="s">
        <v>1726</v>
      </c>
      <c r="BF51" s="305"/>
      <c r="BG51" s="305"/>
      <c r="BH51" s="306"/>
      <c r="BI51" s="305"/>
    </row>
    <row r="52" spans="1:61" ht="16.2" customHeight="1">
      <c r="A52" s="573"/>
      <c r="B52" s="638" t="s">
        <v>2303</v>
      </c>
      <c r="C52" s="3">
        <f t="shared" ref="C52" si="16">C50-G51</f>
        <v>2103.1600000000003</v>
      </c>
      <c r="D52" s="88"/>
      <c r="E52" s="4"/>
      <c r="F52" s="4">
        <v>0</v>
      </c>
      <c r="G52" s="6"/>
      <c r="H52" s="468"/>
      <c r="I52" s="468"/>
      <c r="J52" s="3"/>
      <c r="K52" s="468"/>
      <c r="L52" s="468" t="s">
        <v>38</v>
      </c>
      <c r="M52" s="468" t="str">
        <f>IF(L52="","",
IF(AX52="PT",VLOOKUP(L52,Foundation_Calc!$V$79:$X$112,VLOOKUP(AX52,Foundation_Calc!$I$10:$J$13,2,FALSE),0),
IF(AX52="K",VLOOKUP(L52,Foundation_Calc!$V$116:$X$149,VLOOKUP(AX52,Foundation_Calc!$I$10:$J$13,2,FALSE),0),"")))</f>
        <v>C4R</v>
      </c>
      <c r="N52" s="468" t="s">
        <v>32</v>
      </c>
      <c r="O52" s="468"/>
      <c r="P52" s="468"/>
      <c r="Q52" s="4"/>
      <c r="R52" s="6"/>
      <c r="S52" s="6"/>
      <c r="T52" s="4">
        <v>-25</v>
      </c>
      <c r="U52" s="4"/>
      <c r="V52" s="4"/>
      <c r="W52" s="9">
        <v>1.4</v>
      </c>
      <c r="X52" s="9"/>
      <c r="Y52" s="9"/>
      <c r="Z52" s="9"/>
      <c r="AA52" s="9"/>
      <c r="AB52" s="9"/>
      <c r="AC52" s="468" t="str">
        <f t="shared" si="1"/>
        <v>PH</v>
      </c>
      <c r="AD52" s="468"/>
      <c r="AE52" s="468"/>
      <c r="AF52" s="4"/>
      <c r="AG52" s="88"/>
      <c r="AH52" s="4"/>
      <c r="AI52" s="4"/>
      <c r="AJ52" s="468"/>
      <c r="AK52" s="468"/>
      <c r="AL52" s="468"/>
      <c r="AM52" s="468"/>
      <c r="AN52" s="10">
        <v>5.5</v>
      </c>
      <c r="AO52" s="9"/>
      <c r="AP52" s="9"/>
      <c r="AQ52" s="9"/>
      <c r="AR52" s="9"/>
      <c r="AS52" s="9"/>
      <c r="AT52" s="9">
        <f>+ab($T$52,$T$50,$T$54,$G$51,$G$53, 1*$F$52,1200)</f>
        <v>-8.5706834187180405</v>
      </c>
      <c r="AU52" s="447"/>
      <c r="AV52" s="447"/>
      <c r="AW52" s="468" t="str">
        <f>IF(C52&gt;0,VLOOKUP(C52,Foundation_Calc!$A$20:$C$25,3,1),
IF(J52&gt;0,VLOOKUP(J52,Foundation_Calc!$A$20:$C$25,3,1),""))</f>
        <v>MultiSoil</v>
      </c>
      <c r="AX52" s="468" t="str">
        <f>IF(C52&gt;0,VLOOKUP(C52,Foundation_Calc!$E$20:$G$25,3,1),
IF(J52&gt;0,VLOOKUP(J52,Foundation_Calc!$E$20:$G$25,3,1),""))</f>
        <v>PT</v>
      </c>
      <c r="AY52" s="10">
        <f>IF(L52="","",
IF(AX52="PT",VLOOKUP(L52,Foundation_Calc!$K$79:$R$112,VLOOKUP(AW52,Foundation_Calc!$I$2:$J$8,2,FALSE),0),
IF(AX52="K",VLOOKUP(L52,Foundation_Calc!$K$116:$R$149,VLOOKUP(AW52,Foundation_Calc!$I$2:$J$8,2,FALSE),0),"")))</f>
        <v>3.5</v>
      </c>
      <c r="AZ52" s="10" t="str">
        <f>IF(K52="","",
IF(AX52="PT",VLOOKUP(K52,Foundation_Calc!$K$79:$R$112,VLOOKUP(AW52,Foundation_Calc!$I$2:$J$8,2,FALSE),0),
IF(AX52="K",VLOOKUP(K52,Foundation_Calc!$K$116:$R$149,VLOOKUP(AW52,Foundation_Calc!$I$2:$J$8,2,FALSE),0),"")))</f>
        <v/>
      </c>
      <c r="BA52" s="553" t="str">
        <f t="shared" si="2"/>
        <v>ü</v>
      </c>
      <c r="BB52" s="553" t="str">
        <f t="shared" si="3"/>
        <v/>
      </c>
      <c r="BC52" s="553" t="str">
        <f t="shared" si="4"/>
        <v/>
      </c>
      <c r="BD52" s="572" t="str">
        <f>Pole_Calc!A$14</f>
        <v>App.7-V11H-P9.5.1.6</v>
      </c>
      <c r="BE52" s="448" t="s">
        <v>1726</v>
      </c>
      <c r="BF52" s="306"/>
      <c r="BG52" s="306"/>
      <c r="BH52" s="306"/>
      <c r="BI52" s="306"/>
    </row>
    <row r="53" spans="1:61" ht="16.2" customHeight="1">
      <c r="A53" s="573"/>
      <c r="B53" s="469"/>
      <c r="C53" s="3"/>
      <c r="D53" s="88"/>
      <c r="E53" s="4"/>
      <c r="F53" s="4"/>
      <c r="G53" s="6">
        <v>45</v>
      </c>
      <c r="H53" s="468"/>
      <c r="I53" s="468"/>
      <c r="J53" s="3"/>
      <c r="K53" s="468"/>
      <c r="L53" s="468"/>
      <c r="M53" s="468" t="str">
        <f>IF(L53="","",
IF(AX53="PT",VLOOKUP(L53,Foundation_Calc!$V$79:$X$112,VLOOKUP(AX53,Foundation_Calc!$I$10:$J$13,2,FALSE),0),
IF(AX53="K",VLOOKUP(L53,Foundation_Calc!$V$116:$X$149,VLOOKUP(AX53,Foundation_Calc!$I$10:$J$13,2,FALSE),0),"")))</f>
        <v/>
      </c>
      <c r="N53" s="468"/>
      <c r="O53" s="468"/>
      <c r="P53" s="468"/>
      <c r="Q53" s="4"/>
      <c r="R53" s="6"/>
      <c r="S53" s="6"/>
      <c r="T53" s="4"/>
      <c r="U53" s="4"/>
      <c r="V53" s="4"/>
      <c r="W53" s="9"/>
      <c r="X53" s="9"/>
      <c r="Y53" s="9"/>
      <c r="Z53" s="9"/>
      <c r="AA53" s="9"/>
      <c r="AB53" s="9"/>
      <c r="AC53" s="468" t="str">
        <f t="shared" si="1"/>
        <v/>
      </c>
      <c r="AD53" s="468"/>
      <c r="AE53" s="468"/>
      <c r="AF53" s="4"/>
      <c r="AG53" s="88"/>
      <c r="AH53" s="4"/>
      <c r="AI53" s="4"/>
      <c r="AJ53" s="468"/>
      <c r="AK53" s="468"/>
      <c r="AL53" s="468"/>
      <c r="AM53" s="468"/>
      <c r="AN53" s="10"/>
      <c r="AO53" s="9"/>
      <c r="AP53" s="9"/>
      <c r="AQ53" s="9">
        <f>+FL_2($T$54,$T$52,$G$53,1200,9.28, 1*$F$54)</f>
        <v>-0.32274609190995129</v>
      </c>
      <c r="AR53" s="9"/>
      <c r="AS53" s="9"/>
      <c r="AT53" s="9"/>
      <c r="AU53" s="447"/>
      <c r="AV53" s="447"/>
      <c r="AW53" s="468" t="str">
        <f>IF(C53&gt;0,VLOOKUP(C53,Foundation_Calc!$A$20:$C$25,3,1),
IF(J53&gt;0,VLOOKUP(J53,Foundation_Calc!$A$20:$C$25,3,1),""))</f>
        <v/>
      </c>
      <c r="AX53" s="468" t="str">
        <f>IF(C53&gt;0,VLOOKUP(C53,Foundation_Calc!$E$20:$G$25,3,1),
IF(J53&gt;0,VLOOKUP(J53,Foundation_Calc!$E$20:$G$25,3,1),""))</f>
        <v/>
      </c>
      <c r="AY53" s="10" t="str">
        <f>IF(L53="","",
IF(AX53="PT",VLOOKUP(L53,Foundation_Calc!$K$79:$R$112,VLOOKUP(AW53,Foundation_Calc!$I$2:$J$8,2,FALSE),0),
IF(AX53="K",VLOOKUP(L53,Foundation_Calc!$K$116:$R$149,VLOOKUP(AW53,Foundation_Calc!$I$2:$J$8,2,FALSE),0),"")))</f>
        <v/>
      </c>
      <c r="AZ53" s="10" t="str">
        <f>IF(K53="","",
IF(AX53="PT",VLOOKUP(K53,Foundation_Calc!$K$79:$R$112,VLOOKUP(AW53,Foundation_Calc!$I$2:$J$8,2,FALSE),0),
IF(AX53="K",VLOOKUP(K53,Foundation_Calc!$K$116:$R$149,VLOOKUP(AW53,Foundation_Calc!$I$2:$J$8,2,FALSE),0),"")))</f>
        <v/>
      </c>
      <c r="BA53" s="553" t="str">
        <f t="shared" si="2"/>
        <v/>
      </c>
      <c r="BB53" s="553" t="str">
        <f t="shared" si="3"/>
        <v/>
      </c>
      <c r="BC53" s="553" t="str">
        <f t="shared" si="4"/>
        <v/>
      </c>
      <c r="BD53" s="572" t="str">
        <f>IF(AND(L53="",H53=""),"",
IF(H53="",Pole_Calc!A$9,
IF(H53="MP",Pole_Calc!A$10,
IF(H53="AnMP",Pole_Calc!A$11,
IF(H53="A",Pole_Calc!A$12,
IF(H53="S/A",Pole_Calc!A$13,
IF(H53="A/S",Pole_Calc!A$14,"Poner a mano")))))))</f>
        <v/>
      </c>
      <c r="BE53" s="448" t="s">
        <v>1726</v>
      </c>
      <c r="BF53" s="305"/>
      <c r="BG53" s="305"/>
      <c r="BH53" s="306"/>
      <c r="BI53" s="305"/>
    </row>
    <row r="54" spans="1:61" ht="16.2" customHeight="1">
      <c r="A54" s="573"/>
      <c r="B54" s="638" t="s">
        <v>2291</v>
      </c>
      <c r="C54" s="3">
        <f t="shared" ref="C54" si="17">C52-G53</f>
        <v>2058.1600000000003</v>
      </c>
      <c r="D54" s="88"/>
      <c r="E54" s="4"/>
      <c r="F54" s="4">
        <f>-(193^2)/(C54-2065.61)</f>
        <v>4999.8657718122022</v>
      </c>
      <c r="G54" s="6"/>
      <c r="H54" s="468" t="s">
        <v>365</v>
      </c>
      <c r="I54" s="468"/>
      <c r="J54" s="3">
        <f>C54+7.5</f>
        <v>2065.6600000000003</v>
      </c>
      <c r="K54" s="468" t="s">
        <v>1096</v>
      </c>
      <c r="L54" s="468" t="s">
        <v>38</v>
      </c>
      <c r="M54" s="468" t="str">
        <f>IF(L54="","",
IF(AX54="PT",VLOOKUP(L54,Foundation_Calc!$V$79:$X$112,VLOOKUP(AX54,Foundation_Calc!$I$10:$J$13,2,FALSE),0),
IF(AX54="K",VLOOKUP(L54,Foundation_Calc!$V$116:$X$149,VLOOKUP(AX54,Foundation_Calc!$I$10:$J$13,2,FALSE),0),"")))</f>
        <v>C4R</v>
      </c>
      <c r="N54" s="468" t="s">
        <v>33</v>
      </c>
      <c r="O54" s="468"/>
      <c r="P54" s="468"/>
      <c r="Q54" s="4"/>
      <c r="R54" s="6"/>
      <c r="S54" s="6"/>
      <c r="T54" s="4">
        <v>20</v>
      </c>
      <c r="U54" s="4"/>
      <c r="V54" s="4"/>
      <c r="W54" s="9">
        <v>1.4</v>
      </c>
      <c r="X54" s="9"/>
      <c r="Y54" s="9"/>
      <c r="Z54" s="9"/>
      <c r="AA54" s="9"/>
      <c r="AB54" s="9"/>
      <c r="AC54" s="468" t="str">
        <f t="shared" si="1"/>
        <v>PH</v>
      </c>
      <c r="AD54" s="468"/>
      <c r="AE54" s="468"/>
      <c r="AF54" s="4"/>
      <c r="AG54" s="88"/>
      <c r="AH54" s="4"/>
      <c r="AI54" s="4"/>
      <c r="AJ54" s="468"/>
      <c r="AK54" s="468"/>
      <c r="AL54" s="468"/>
      <c r="AM54" s="468"/>
      <c r="AN54" s="10">
        <v>5.5</v>
      </c>
      <c r="AO54" s="9"/>
      <c r="AP54" s="9"/>
      <c r="AQ54" s="9"/>
      <c r="AR54" s="9"/>
      <c r="AS54" s="9"/>
      <c r="AT54" s="9">
        <f>+ab($T$54,$T$52,$T$56,$G$53,$G$55, 1*$F$54,1200)</f>
        <v>11.822427090193219</v>
      </c>
      <c r="AU54" s="447"/>
      <c r="AV54" s="447"/>
      <c r="AW54" s="468" t="str">
        <f>IF(C54&gt;0,VLOOKUP(C54,Foundation_Calc!$A$20:$C$25,3,1),
IF(J54&gt;0,VLOOKUP(J54,Foundation_Calc!$A$20:$C$25,3,1),""))</f>
        <v>MultiSoil</v>
      </c>
      <c r="AX54" s="468" t="str">
        <f>IF(C54&gt;0,VLOOKUP(C54,Foundation_Calc!$E$20:$G$25,3,1),
IF(J54&gt;0,VLOOKUP(J54,Foundation_Calc!$E$20:$G$25,3,1),""))</f>
        <v>PT</v>
      </c>
      <c r="AY54" s="10">
        <f>IF(L54="","",
IF(AX54="PT",VLOOKUP(L54,Foundation_Calc!$K$79:$R$112,VLOOKUP(AW54,Foundation_Calc!$I$2:$J$8,2,FALSE),0),
IF(AX54="K",VLOOKUP(L54,Foundation_Calc!$K$116:$R$149,VLOOKUP(AW54,Foundation_Calc!$I$2:$J$8,2,FALSE),0),"")))</f>
        <v>3.5</v>
      </c>
      <c r="AZ54" s="10">
        <f>IF(K54="","",
IF(AX54="PT",VLOOKUP(K54,Foundation_Calc!$K$79:$R$112,VLOOKUP(AW54,Foundation_Calc!$I$2:$J$8,2,FALSE),0),
IF(AX54="K",VLOOKUP(K54,Foundation_Calc!$K$116:$R$149,VLOOKUP(AW54,Foundation_Calc!$I$2:$J$8,2,FALSE),0),"")))</f>
        <v>2.8</v>
      </c>
      <c r="BA54" s="553" t="str">
        <f t="shared" si="2"/>
        <v>ü</v>
      </c>
      <c r="BB54" s="553" t="str">
        <f t="shared" si="3"/>
        <v>ü</v>
      </c>
      <c r="BC54" s="553" t="str">
        <f t="shared" si="4"/>
        <v/>
      </c>
      <c r="BD54" s="572" t="str">
        <f>IF(AND(L54="",H54=""),"",
IF(H54="",Pole_Calc!A$9,
IF(H54="MP",Pole_Calc!A$10,
IF(H54="AnMP",Pole_Calc!A$11,
IF(H54="A",Pole_Calc!A$12,
IF(H54="S/A",Pole_Calc!A$13,
IF(H54="A/S",Pole_Calc!A$14,"Poner a mano")))))))</f>
        <v>App.7-V11H-P9.5.1.3</v>
      </c>
      <c r="BE54" s="448" t="s">
        <v>1726</v>
      </c>
      <c r="BF54" s="306"/>
      <c r="BG54" s="306"/>
      <c r="BH54" s="306"/>
      <c r="BI54" s="306"/>
    </row>
    <row r="55" spans="1:61" ht="16.2" customHeight="1">
      <c r="A55" s="573"/>
      <c r="B55" s="469"/>
      <c r="C55" s="3"/>
      <c r="D55" s="88"/>
      <c r="E55" s="4"/>
      <c r="F55" s="4"/>
      <c r="G55" s="6">
        <v>40</v>
      </c>
      <c r="H55" s="468"/>
      <c r="I55" s="4">
        <f>SUM(G33:G55)</f>
        <v>449.8</v>
      </c>
      <c r="J55" s="3"/>
      <c r="K55" s="468"/>
      <c r="L55" s="468"/>
      <c r="M55" s="468" t="str">
        <f>IF(L55="","",
IF(AX55="PT",VLOOKUP(L55,Foundation_Calc!$V$79:$X$112,VLOOKUP(AX55,Foundation_Calc!$I$10:$J$13,2,FALSE),0),
IF(AX55="K",VLOOKUP(L55,Foundation_Calc!$V$116:$X$149,VLOOKUP(AX55,Foundation_Calc!$I$10:$J$13,2,FALSE),0),"")))</f>
        <v/>
      </c>
      <c r="N55" s="468"/>
      <c r="O55" s="468"/>
      <c r="P55" s="468"/>
      <c r="Q55" s="4"/>
      <c r="R55" s="6"/>
      <c r="S55" s="6"/>
      <c r="T55" s="4"/>
      <c r="U55" s="4"/>
      <c r="V55" s="4"/>
      <c r="W55" s="9"/>
      <c r="X55" s="9"/>
      <c r="Y55" s="9"/>
      <c r="Z55" s="9"/>
      <c r="AA55" s="9"/>
      <c r="AB55" s="9"/>
      <c r="AC55" s="468" t="str">
        <f t="shared" si="1"/>
        <v/>
      </c>
      <c r="AD55" s="468"/>
      <c r="AE55" s="468"/>
      <c r="AF55" s="4"/>
      <c r="AG55" s="88"/>
      <c r="AH55" s="4"/>
      <c r="AI55" s="4"/>
      <c r="AJ55" s="468"/>
      <c r="AK55" s="468"/>
      <c r="AL55" s="468"/>
      <c r="AM55" s="468"/>
      <c r="AN55" s="10"/>
      <c r="AO55" s="9"/>
      <c r="AP55" s="9"/>
      <c r="AQ55" s="9">
        <f>+FL_1($T$56,$T$54,$G$55,1200,9.28, 1*$F$56)</f>
        <v>0.3</v>
      </c>
      <c r="AR55" s="9"/>
      <c r="AS55" s="9"/>
      <c r="AT55" s="9"/>
      <c r="AU55" s="447"/>
      <c r="AV55" s="447"/>
      <c r="AW55" s="468" t="str">
        <f>IF(C55&gt;0,VLOOKUP(C55,Foundation_Calc!$A$20:$C$25,3,1),
IF(J55&gt;0,VLOOKUP(J55,Foundation_Calc!$A$20:$C$25,3,1),""))</f>
        <v/>
      </c>
      <c r="AX55" s="468" t="str">
        <f>IF(C55&gt;0,VLOOKUP(C55,Foundation_Calc!$E$20:$G$25,3,1),
IF(J55&gt;0,VLOOKUP(J55,Foundation_Calc!$E$20:$G$25,3,1),""))</f>
        <v/>
      </c>
      <c r="AY55" s="10" t="str">
        <f>IF(L55="","",
IF(AX55="PT",VLOOKUP(L55,Foundation_Calc!$K$79:$R$112,VLOOKUP(AW55,Foundation_Calc!$I$2:$J$8,2,FALSE),0),
IF(AX55="K",VLOOKUP(L55,Foundation_Calc!$K$116:$R$149,VLOOKUP(AW55,Foundation_Calc!$I$2:$J$8,2,FALSE),0),"")))</f>
        <v/>
      </c>
      <c r="AZ55" s="10" t="str">
        <f>IF(K55="","",
IF(AX55="PT",VLOOKUP(K55,Foundation_Calc!$K$79:$R$112,VLOOKUP(AW55,Foundation_Calc!$I$2:$J$8,2,FALSE),0),
IF(AX55="K",VLOOKUP(K55,Foundation_Calc!$K$116:$R$149,VLOOKUP(AW55,Foundation_Calc!$I$2:$J$8,2,FALSE),0),"")))</f>
        <v/>
      </c>
      <c r="BA55" s="553" t="str">
        <f t="shared" si="2"/>
        <v/>
      </c>
      <c r="BB55" s="553" t="str">
        <f t="shared" si="3"/>
        <v/>
      </c>
      <c r="BC55" s="553" t="str">
        <f t="shared" si="4"/>
        <v/>
      </c>
      <c r="BD55" s="572" t="str">
        <f>IF(AND(L55="",H55=""),"",
IF(H55="",Pole_Calc!A$9,
IF(H55="MP",Pole_Calc!A$10,
IF(H55="AnMP",Pole_Calc!A$11,
IF(H55="A",Pole_Calc!A$12,
IF(H55="S/A",Pole_Calc!A$13,
IF(H55="A/S",Pole_Calc!A$14,"Poner a mano")))))))</f>
        <v/>
      </c>
      <c r="BE55" s="448" t="s">
        <v>1726</v>
      </c>
      <c r="BF55" s="305"/>
      <c r="BG55" s="305"/>
      <c r="BH55" s="306"/>
      <c r="BI55" s="305"/>
    </row>
    <row r="56" spans="1:61" ht="16.2" customHeight="1">
      <c r="A56" s="573"/>
      <c r="B56" s="638" t="s">
        <v>2290</v>
      </c>
      <c r="C56" s="3">
        <f t="shared" ref="C56" si="18">C54-G55</f>
        <v>2018.1600000000003</v>
      </c>
      <c r="D56" s="88"/>
      <c r="E56" s="4"/>
      <c r="F56" s="4">
        <f>-(193^2)/(C56-2065.61)</f>
        <v>785.01580611169948</v>
      </c>
      <c r="G56" s="6"/>
      <c r="H56" s="468" t="s">
        <v>366</v>
      </c>
      <c r="I56" s="468"/>
      <c r="J56" s="3"/>
      <c r="K56" s="468"/>
      <c r="L56" s="468" t="s">
        <v>38</v>
      </c>
      <c r="M56" s="468" t="str">
        <f>IF(L56="","",
IF(AX56="PT",VLOOKUP(L56,Foundation_Calc!$V$79:$X$112,VLOOKUP(AX56,Foundation_Calc!$I$10:$J$13,2,FALSE),0),
IF(AX56="K",VLOOKUP(L56,Foundation_Calc!$V$116:$X$149,VLOOKUP(AX56,Foundation_Calc!$I$10:$J$13,2,FALSE),0),"")))</f>
        <v>C4R</v>
      </c>
      <c r="N56" s="468" t="s">
        <v>33</v>
      </c>
      <c r="O56" s="468"/>
      <c r="P56" s="468"/>
      <c r="Q56" s="4"/>
      <c r="R56" s="6"/>
      <c r="S56" s="6"/>
      <c r="T56" s="4">
        <v>30</v>
      </c>
      <c r="U56" s="4"/>
      <c r="V56" s="4"/>
      <c r="W56" s="9">
        <v>1.4</v>
      </c>
      <c r="X56" s="9"/>
      <c r="Y56" s="9"/>
      <c r="Z56" s="9"/>
      <c r="AA56" s="9"/>
      <c r="AB56" s="9"/>
      <c r="AC56" s="468" t="str">
        <f t="shared" si="1"/>
        <v>PHC</v>
      </c>
      <c r="AD56" s="468"/>
      <c r="AE56" s="468"/>
      <c r="AF56" s="4"/>
      <c r="AG56" s="88"/>
      <c r="AH56" s="4"/>
      <c r="AI56" s="4"/>
      <c r="AJ56" s="468"/>
      <c r="AK56" s="468"/>
      <c r="AL56" s="468"/>
      <c r="AM56" s="468"/>
      <c r="AN56" s="10">
        <v>5.5</v>
      </c>
      <c r="AO56" s="9"/>
      <c r="AP56" s="9"/>
      <c r="AQ56" s="9"/>
      <c r="AR56" s="9"/>
      <c r="AS56" s="9"/>
      <c r="AT56" s="9">
        <f>+ab($T$56,$T$54,$T$58,$G$55,$G$57, 1*$F$56,1200)</f>
        <v>3.9826791788513729</v>
      </c>
      <c r="AU56" s="447"/>
      <c r="AV56" s="447"/>
      <c r="AW56" s="468" t="str">
        <f>IF(C56&gt;0,VLOOKUP(C56,Foundation_Calc!$A$20:$C$25,3,1),
IF(J56&gt;0,VLOOKUP(J56,Foundation_Calc!$A$20:$C$25,3,1),""))</f>
        <v>MultiSoil</v>
      </c>
      <c r="AX56" s="468" t="str">
        <f>IF(C56&gt;0,VLOOKUP(C56,Foundation_Calc!$E$20:$G$25,3,1),
IF(J56&gt;0,VLOOKUP(J56,Foundation_Calc!$E$20:$G$25,3,1),""))</f>
        <v>PT</v>
      </c>
      <c r="AY56" s="10">
        <f>IF(L56="","",
IF(AX56="PT",VLOOKUP(L56,Foundation_Calc!$K$79:$R$112,VLOOKUP(AW56,Foundation_Calc!$I$2:$J$8,2,FALSE),0),
IF(AX56="K",VLOOKUP(L56,Foundation_Calc!$K$116:$R$149,VLOOKUP(AW56,Foundation_Calc!$I$2:$J$8,2,FALSE),0),"")))</f>
        <v>3.5</v>
      </c>
      <c r="AZ56" s="10" t="str">
        <f>IF(K56="","",
IF(AX56="PT",VLOOKUP(K56,Foundation_Calc!$K$79:$R$112,VLOOKUP(AW56,Foundation_Calc!$I$2:$J$8,2,FALSE),0),
IF(AX56="K",VLOOKUP(K56,Foundation_Calc!$K$116:$R$149,VLOOKUP(AW56,Foundation_Calc!$I$2:$J$8,2,FALSE),0),"")))</f>
        <v/>
      </c>
      <c r="BA56" s="553" t="str">
        <f t="shared" si="2"/>
        <v>ü</v>
      </c>
      <c r="BB56" s="553" t="str">
        <f t="shared" si="3"/>
        <v/>
      </c>
      <c r="BC56" s="553" t="str">
        <f t="shared" si="4"/>
        <v/>
      </c>
      <c r="BD56" s="572" t="str">
        <f>IF(AND(L56="",H56=""),"",
IF(H56="",Pole_Calc!A$9,
IF(H56="MP",Pole_Calc!A$10,
IF(H56="AnMP",Pole_Calc!A$11,
IF(H56="A",Pole_Calc!A$12,
IF(H56="S/A",Pole_Calc!A$13,
IF(H56="A/S",Pole_Calc!A$14,"Poner a mano")))))))</f>
        <v>App.7-V11H-P9.5.1.2</v>
      </c>
      <c r="BE56" s="448" t="s">
        <v>1726</v>
      </c>
      <c r="BF56" s="306"/>
      <c r="BG56" s="306"/>
      <c r="BH56" s="306"/>
      <c r="BI56" s="306"/>
    </row>
    <row r="57" spans="1:61" ht="16.2" customHeight="1">
      <c r="A57" s="573"/>
      <c r="B57" s="469"/>
      <c r="C57" s="3"/>
      <c r="D57" s="88"/>
      <c r="E57" s="4"/>
      <c r="F57" s="4"/>
      <c r="G57" s="6">
        <v>31.6</v>
      </c>
      <c r="H57" s="468"/>
      <c r="I57" s="4">
        <f>SUM(G57:G75)</f>
        <v>314.10000000000002</v>
      </c>
      <c r="J57" s="3"/>
      <c r="K57" s="468"/>
      <c r="L57" s="468"/>
      <c r="M57" s="468" t="str">
        <f>IF(L57="","",
IF(AX57="PT",VLOOKUP(L57,Foundation_Calc!$V$79:$X$112,VLOOKUP(AX57,Foundation_Calc!$I$10:$J$13,2,FALSE),0),
IF(AX57="K",VLOOKUP(L57,Foundation_Calc!$V$116:$X$149,VLOOKUP(AX57,Foundation_Calc!$I$10:$J$13,2,FALSE),0),"")))</f>
        <v/>
      </c>
      <c r="N57" s="468"/>
      <c r="O57" s="468"/>
      <c r="P57" s="468"/>
      <c r="Q57" s="4"/>
      <c r="R57" s="6"/>
      <c r="S57" s="6"/>
      <c r="T57" s="4"/>
      <c r="U57" s="4"/>
      <c r="V57" s="4"/>
      <c r="W57" s="9"/>
      <c r="X57" s="9"/>
      <c r="Y57" s="9"/>
      <c r="Z57" s="9"/>
      <c r="AA57" s="9"/>
      <c r="AB57" s="9"/>
      <c r="AC57" s="468" t="str">
        <f t="shared" si="1"/>
        <v/>
      </c>
      <c r="AD57" s="468"/>
      <c r="AE57" s="468"/>
      <c r="AF57" s="4"/>
      <c r="AG57" s="88"/>
      <c r="AH57" s="4"/>
      <c r="AI57" s="4"/>
      <c r="AJ57" s="468"/>
      <c r="AK57" s="468"/>
      <c r="AL57" s="468"/>
      <c r="AM57" s="468"/>
      <c r="AN57" s="10"/>
      <c r="AO57" s="9"/>
      <c r="AP57" s="9"/>
      <c r="AQ57" s="9">
        <f>+FL_1($T$58,$T$56,$G$57,1200,9.28, 1*$F$58)</f>
        <v>0.30000000000008753</v>
      </c>
      <c r="AR57" s="9"/>
      <c r="AS57" s="9"/>
      <c r="AT57" s="9"/>
      <c r="AU57" s="447"/>
      <c r="AV57" s="447"/>
      <c r="AW57" s="468" t="str">
        <f>IF(C57&gt;0,VLOOKUP(C57,Foundation_Calc!$A$20:$C$25,3,1),
IF(J57&gt;0,VLOOKUP(J57,Foundation_Calc!$A$20:$C$25,3,1),""))</f>
        <v/>
      </c>
      <c r="AX57" s="468" t="str">
        <f>IF(C57&gt;0,VLOOKUP(C57,Foundation_Calc!$E$20:$G$25,3,1),
IF(J57&gt;0,VLOOKUP(J57,Foundation_Calc!$E$20:$G$25,3,1),""))</f>
        <v/>
      </c>
      <c r="AY57" s="10" t="str">
        <f>IF(L57="","",
IF(AX57="PT",VLOOKUP(L57,Foundation_Calc!$K$79:$R$112,VLOOKUP(AW57,Foundation_Calc!$I$2:$J$8,2,FALSE),0),
IF(AX57="K",VLOOKUP(L57,Foundation_Calc!$K$116:$R$149,VLOOKUP(AW57,Foundation_Calc!$I$2:$J$8,2,FALSE),0),"")))</f>
        <v/>
      </c>
      <c r="AZ57" s="10" t="str">
        <f>IF(K57="","",
IF(AX57="PT",VLOOKUP(K57,Foundation_Calc!$K$79:$R$112,VLOOKUP(AW57,Foundation_Calc!$I$2:$J$8,2,FALSE),0),
IF(AX57="K",VLOOKUP(K57,Foundation_Calc!$K$116:$R$149,VLOOKUP(AW57,Foundation_Calc!$I$2:$J$8,2,FALSE),0),"")))</f>
        <v/>
      </c>
      <c r="BA57" s="553" t="str">
        <f t="shared" si="2"/>
        <v/>
      </c>
      <c r="BB57" s="553" t="str">
        <f t="shared" si="3"/>
        <v/>
      </c>
      <c r="BC57" s="553" t="str">
        <f t="shared" si="4"/>
        <v/>
      </c>
      <c r="BD57" s="572" t="str">
        <f>IF(AND(L57="",H57=""),"",
IF(H57="",Pole_Calc!A$9,
IF(H57="MP",Pole_Calc!A$10,
IF(H57="AnMP",Pole_Calc!A$11,
IF(H57="A",Pole_Calc!A$12,
IF(H57="S/A",Pole_Calc!A$13,
IF(H57="A/S",Pole_Calc!A$14,"Poner a mano")))))))</f>
        <v/>
      </c>
      <c r="BE57" s="448" t="s">
        <v>1726</v>
      </c>
      <c r="BF57" s="305"/>
      <c r="BG57" s="305"/>
      <c r="BH57" s="306"/>
      <c r="BI57" s="305"/>
    </row>
    <row r="58" spans="1:61" ht="16.2" customHeight="1">
      <c r="A58" s="573"/>
      <c r="B58" s="469" t="s">
        <v>2306</v>
      </c>
      <c r="C58" s="3">
        <f t="shared" ref="C58" si="19">C56-G57</f>
        <v>1986.5600000000004</v>
      </c>
      <c r="D58" s="88"/>
      <c r="E58" s="4"/>
      <c r="F58" s="4">
        <f>-(193^2)/(C58-2065.61)</f>
        <v>471.20809614168411</v>
      </c>
      <c r="G58" s="6"/>
      <c r="H58" s="468" t="s">
        <v>365</v>
      </c>
      <c r="I58" s="468"/>
      <c r="J58" s="3"/>
      <c r="K58" s="468"/>
      <c r="L58" s="468" t="s">
        <v>40</v>
      </c>
      <c r="M58" s="468" t="str">
        <f>IF(L58="","",
IF(AX58="PT",VLOOKUP(L58,Foundation_Calc!$V$79:$X$112,VLOOKUP(AX58,Foundation_Calc!$I$10:$J$13,2,FALSE),0),
IF(AX58="K",VLOOKUP(L58,Foundation_Calc!$V$116:$X$149,VLOOKUP(AX58,Foundation_Calc!$I$10:$J$13,2,FALSE),0),"")))</f>
        <v>C5R</v>
      </c>
      <c r="N58" s="468" t="s">
        <v>33</v>
      </c>
      <c r="O58" s="468"/>
      <c r="P58" s="468"/>
      <c r="Q58" s="4"/>
      <c r="R58" s="6"/>
      <c r="S58" s="6"/>
      <c r="T58" s="4">
        <v>30</v>
      </c>
      <c r="U58" s="4"/>
      <c r="V58" s="4"/>
      <c r="W58" s="9">
        <v>1.4</v>
      </c>
      <c r="X58" s="9"/>
      <c r="Y58" s="9"/>
      <c r="Z58" s="9"/>
      <c r="AA58" s="9"/>
      <c r="AB58" s="9"/>
      <c r="AC58" s="468" t="str">
        <f t="shared" si="1"/>
        <v>PHC</v>
      </c>
      <c r="AD58" s="468"/>
      <c r="AE58" s="468"/>
      <c r="AF58" s="4"/>
      <c r="AG58" s="88"/>
      <c r="AH58" s="4"/>
      <c r="AI58" s="4"/>
      <c r="AJ58" s="468"/>
      <c r="AK58" s="468"/>
      <c r="AL58" s="468"/>
      <c r="AM58" s="468"/>
      <c r="AN58" s="10">
        <v>5.5</v>
      </c>
      <c r="AO58" s="9"/>
      <c r="AP58" s="9"/>
      <c r="AQ58" s="9"/>
      <c r="AR58" s="9"/>
      <c r="AS58" s="9"/>
      <c r="AT58" s="9">
        <f>+ab($T$58,$T$56,$T$60,$G$57,$G$59, 1*$F$58,1200)</f>
        <v>2.8681218518691929</v>
      </c>
      <c r="AU58" s="447"/>
      <c r="AV58" s="447"/>
      <c r="AW58" s="468" t="str">
        <f>IF(C58&gt;0,VLOOKUP(C58,Foundation_Calc!$A$20:$C$25,3,1),
IF(J58&gt;0,VLOOKUP(J58,Foundation_Calc!$A$20:$C$25,3,1),""))</f>
        <v>MultiSoil</v>
      </c>
      <c r="AX58" s="468" t="str">
        <f>IF(C58&gt;0,VLOOKUP(C58,Foundation_Calc!$E$20:$G$25,3,1),
IF(J58&gt;0,VLOOKUP(J58,Foundation_Calc!$E$20:$G$25,3,1),""))</f>
        <v>PT</v>
      </c>
      <c r="AY58" s="10">
        <f>IF(L58="","",
IF(AX58="PT",VLOOKUP(L58,Foundation_Calc!$K$79:$R$112,VLOOKUP(AW58,Foundation_Calc!$I$2:$J$8,2,FALSE),0),
IF(AX58="K",VLOOKUP(L58,Foundation_Calc!$K$116:$R$149,VLOOKUP(AW58,Foundation_Calc!$I$2:$J$8,2,FALSE),0),"")))</f>
        <v>3.5</v>
      </c>
      <c r="AZ58" s="10" t="str">
        <f>IF(K58="","",
IF(AX58="PT",VLOOKUP(K58,Foundation_Calc!$K$79:$R$112,VLOOKUP(AW58,Foundation_Calc!$I$2:$J$8,2,FALSE),0),
IF(AX58="K",VLOOKUP(K58,Foundation_Calc!$K$116:$R$149,VLOOKUP(AW58,Foundation_Calc!$I$2:$J$8,2,FALSE),0),"")))</f>
        <v/>
      </c>
      <c r="BA58" s="553" t="str">
        <f t="shared" si="2"/>
        <v>ü</v>
      </c>
      <c r="BB58" s="553" t="str">
        <f t="shared" si="3"/>
        <v/>
      </c>
      <c r="BC58" s="553" t="str">
        <f t="shared" si="4"/>
        <v/>
      </c>
      <c r="BD58" s="572" t="str">
        <f>IF(AND(L58="",H58=""),"",
IF(H58="",Pole_Calc!A$9,
IF(H58="MP",Pole_Calc!A$10,
IF(H58="AnMP",Pole_Calc!A$11,
IF(H58="A",Pole_Calc!A$12,
IF(H58="S/A",Pole_Calc!A$13,
IF(H58="A/S",Pole_Calc!A$14,"Poner a mano")))))))</f>
        <v>App.7-V11H-P9.5.1.3</v>
      </c>
      <c r="BE58" s="448" t="s">
        <v>1726</v>
      </c>
      <c r="BF58" s="306"/>
      <c r="BG58" s="306"/>
      <c r="BH58" s="306"/>
      <c r="BI58" s="306"/>
    </row>
    <row r="59" spans="1:61" ht="16.2" customHeight="1">
      <c r="A59" s="573"/>
      <c r="B59" s="469"/>
      <c r="C59" s="3"/>
      <c r="D59" s="88"/>
      <c r="E59" s="4"/>
      <c r="F59" s="4"/>
      <c r="G59" s="6">
        <v>31.4</v>
      </c>
      <c r="H59" s="468"/>
      <c r="I59" s="468"/>
      <c r="J59" s="3">
        <f>C58-7.5</f>
        <v>1979.0600000000004</v>
      </c>
      <c r="K59" s="468" t="s">
        <v>1096</v>
      </c>
      <c r="L59" s="468"/>
      <c r="M59" s="468" t="str">
        <f>IF(L59="","",
IF(AX59="PT",VLOOKUP(L59,Foundation_Calc!$V$79:$X$112,VLOOKUP(AX59,Foundation_Calc!$I$10:$J$13,2,FALSE),0),
IF(AX59="K",VLOOKUP(L59,Foundation_Calc!$V$116:$X$149,VLOOKUP(AX59,Foundation_Calc!$I$10:$J$13,2,FALSE),0),"")))</f>
        <v/>
      </c>
      <c r="N59" s="468"/>
      <c r="O59" s="468"/>
      <c r="P59" s="468"/>
      <c r="Q59" s="4"/>
      <c r="R59" s="6"/>
      <c r="S59" s="6"/>
      <c r="T59" s="4"/>
      <c r="U59" s="4"/>
      <c r="V59" s="4"/>
      <c r="W59" s="9"/>
      <c r="X59" s="9"/>
      <c r="Y59" s="9"/>
      <c r="Z59" s="9"/>
      <c r="AA59" s="9"/>
      <c r="AB59" s="9"/>
      <c r="AC59" s="468" t="str">
        <f t="shared" si="1"/>
        <v/>
      </c>
      <c r="AD59" s="468"/>
      <c r="AE59" s="468"/>
      <c r="AF59" s="4"/>
      <c r="AG59" s="88"/>
      <c r="AH59" s="4"/>
      <c r="AI59" s="4"/>
      <c r="AJ59" s="468"/>
      <c r="AK59" s="468"/>
      <c r="AL59" s="468"/>
      <c r="AM59" s="468"/>
      <c r="AN59" s="10"/>
      <c r="AO59" s="9"/>
      <c r="AP59" s="9"/>
      <c r="AQ59" s="9">
        <f>+FL_1($T$60,$T$58,$G$59,1200,9.28, 1*$F$60)</f>
        <v>0.30000000000003124</v>
      </c>
      <c r="AR59" s="9"/>
      <c r="AS59" s="9"/>
      <c r="AT59" s="9"/>
      <c r="AU59" s="447"/>
      <c r="AV59" s="447"/>
      <c r="AW59" s="468" t="str">
        <f>IF(C59&gt;0,VLOOKUP(C59,Foundation_Calc!$A$20:$C$25,3,1),
IF(J59&gt;0,VLOOKUP(J59,Foundation_Calc!$A$20:$C$25,3,1),""))</f>
        <v>MultiSoil</v>
      </c>
      <c r="AX59" s="468" t="str">
        <f>IF(C59&gt;0,VLOOKUP(C59,Foundation_Calc!$E$20:$G$25,3,1),
IF(J59&gt;0,VLOOKUP(J59,Foundation_Calc!$E$20:$G$25,3,1),""))</f>
        <v>PT</v>
      </c>
      <c r="AY59" s="10" t="str">
        <f>IF(L59="","",
IF(AX59="PT",VLOOKUP(L59,Foundation_Calc!$K$79:$R$112,VLOOKUP(AW59,Foundation_Calc!$I$2:$J$8,2,FALSE),0),
IF(AX59="K",VLOOKUP(L59,Foundation_Calc!$K$116:$R$149,VLOOKUP(AW59,Foundation_Calc!$I$2:$J$8,2,FALSE),0),"")))</f>
        <v/>
      </c>
      <c r="AZ59" s="10">
        <f>IF(K59="","",
IF(AX59="PT",VLOOKUP(K59,Foundation_Calc!$K$79:$R$112,VLOOKUP(AW59,Foundation_Calc!$I$2:$J$8,2,FALSE),0),
IF(AX59="K",VLOOKUP(K59,Foundation_Calc!$K$116:$R$149,VLOOKUP(AW59,Foundation_Calc!$I$2:$J$8,2,FALSE),0),"")))</f>
        <v>2.8</v>
      </c>
      <c r="BA59" s="553" t="str">
        <f t="shared" si="2"/>
        <v/>
      </c>
      <c r="BB59" s="553" t="str">
        <f t="shared" si="3"/>
        <v>ü</v>
      </c>
      <c r="BC59" s="553" t="str">
        <f t="shared" si="4"/>
        <v/>
      </c>
      <c r="BD59" s="572" t="str">
        <f>IF(AND(L59="",H59=""),"",
IF(H59="",Pole_Calc!A$9,
IF(H59="MP",Pole_Calc!A$10,
IF(H59="AnMP",Pole_Calc!A$11,
IF(H59="A",Pole_Calc!A$12,
IF(H59="S/A",Pole_Calc!A$13,
IF(H59="A/S",Pole_Calc!A$14,"Poner a mano")))))))</f>
        <v/>
      </c>
      <c r="BE59" s="448" t="s">
        <v>1726</v>
      </c>
      <c r="BF59" s="305"/>
      <c r="BG59" s="305"/>
      <c r="BH59" s="306"/>
      <c r="BI59" s="305"/>
    </row>
    <row r="60" spans="1:61" ht="16.2" customHeight="1">
      <c r="A60" s="573"/>
      <c r="B60" s="469" t="s">
        <v>2307</v>
      </c>
      <c r="C60" s="3">
        <f t="shared" ref="C60" si="20">C58-G59</f>
        <v>1955.1600000000003</v>
      </c>
      <c r="D60" s="88"/>
      <c r="E60" s="4"/>
      <c r="F60" s="4">
        <v>392.5</v>
      </c>
      <c r="G60" s="6"/>
      <c r="H60" s="468"/>
      <c r="I60" s="468"/>
      <c r="J60" s="3"/>
      <c r="K60" s="468"/>
      <c r="L60" s="468" t="s">
        <v>38</v>
      </c>
      <c r="M60" s="468" t="str">
        <f>IF(L60="","",
IF(AX60="PT",VLOOKUP(L60,Foundation_Calc!$V$79:$X$112,VLOOKUP(AX60,Foundation_Calc!$I$10:$J$13,2,FALSE),0),
IF(AX60="K",VLOOKUP(L60,Foundation_Calc!$V$116:$X$149,VLOOKUP(AX60,Foundation_Calc!$I$10:$J$13,2,FALSE),0),"")))</f>
        <v>C4R</v>
      </c>
      <c r="N60" s="468" t="s">
        <v>33</v>
      </c>
      <c r="O60" s="468"/>
      <c r="P60" s="468"/>
      <c r="Q60" s="4"/>
      <c r="R60" s="6"/>
      <c r="S60" s="6"/>
      <c r="T60" s="4">
        <v>30</v>
      </c>
      <c r="U60" s="4"/>
      <c r="V60" s="4"/>
      <c r="W60" s="9">
        <v>1.4</v>
      </c>
      <c r="X60" s="9"/>
      <c r="Y60" s="9"/>
      <c r="Z60" s="9"/>
      <c r="AA60" s="9"/>
      <c r="AB60" s="9"/>
      <c r="AC60" s="468" t="str">
        <f t="shared" si="1"/>
        <v>PHC</v>
      </c>
      <c r="AD60" s="468"/>
      <c r="AE60" s="468"/>
      <c r="AF60" s="4"/>
      <c r="AG60" s="88"/>
      <c r="AH60" s="4"/>
      <c r="AI60" s="4"/>
      <c r="AJ60" s="468"/>
      <c r="AK60" s="468"/>
      <c r="AL60" s="468"/>
      <c r="AM60" s="468"/>
      <c r="AN60" s="10">
        <v>5.5</v>
      </c>
      <c r="AO60" s="9"/>
      <c r="AP60" s="9"/>
      <c r="AQ60" s="9"/>
      <c r="AR60" s="9"/>
      <c r="AS60" s="9"/>
      <c r="AT60" s="9">
        <f>+ab($T$60,$T$58,$T$62,$G$59,$G$61, 1*$F$60,1200)</f>
        <v>2.4760190726260811</v>
      </c>
      <c r="AU60" s="447"/>
      <c r="AV60" s="447"/>
      <c r="AW60" s="468" t="str">
        <f>IF(C60&gt;0,VLOOKUP(C60,Foundation_Calc!$A$20:$C$25,3,1),
IF(J60&gt;0,VLOOKUP(J60,Foundation_Calc!$A$20:$C$25,3,1),""))</f>
        <v>MultiSoil</v>
      </c>
      <c r="AX60" s="468" t="str">
        <f>IF(C60&gt;0,VLOOKUP(C60,Foundation_Calc!$E$20:$G$25,3,1),
IF(J60&gt;0,VLOOKUP(J60,Foundation_Calc!$E$20:$G$25,3,1),""))</f>
        <v>PT</v>
      </c>
      <c r="AY60" s="10">
        <f>IF(L60="","",
IF(AX60="PT",VLOOKUP(L60,Foundation_Calc!$K$79:$R$112,VLOOKUP(AW60,Foundation_Calc!$I$2:$J$8,2,FALSE),0),
IF(AX60="K",VLOOKUP(L60,Foundation_Calc!$K$116:$R$149,VLOOKUP(AW60,Foundation_Calc!$I$2:$J$8,2,FALSE),0),"")))</f>
        <v>3.5</v>
      </c>
      <c r="AZ60" s="10" t="str">
        <f>IF(K60="","",
IF(AX60="PT",VLOOKUP(K60,Foundation_Calc!$K$79:$R$112,VLOOKUP(AW60,Foundation_Calc!$I$2:$J$8,2,FALSE),0),
IF(AX60="K",VLOOKUP(K60,Foundation_Calc!$K$116:$R$149,VLOOKUP(AW60,Foundation_Calc!$I$2:$J$8,2,FALSE),0),"")))</f>
        <v/>
      </c>
      <c r="BA60" s="553" t="str">
        <f t="shared" si="2"/>
        <v>ü</v>
      </c>
      <c r="BB60" s="553" t="str">
        <f t="shared" si="3"/>
        <v/>
      </c>
      <c r="BC60" s="553" t="str">
        <f t="shared" si="4"/>
        <v/>
      </c>
      <c r="BD60" s="572" t="str">
        <f>IF(AND(L60="",H60=""),"",
IF(H60="",Pole_Calc!A$9,
IF(H60="MP",Pole_Calc!A$10,
IF(H60="AnMP",Pole_Calc!A$11,
IF(H60="A",Pole_Calc!A$12,
IF(H60="S/A",Pole_Calc!A$13,
IF(H60="A/S",Pole_Calc!A$14,"Poner a mano")))))))</f>
        <v>App.7-V11H-P9.5.1.1</v>
      </c>
      <c r="BE60" s="448" t="s">
        <v>1726</v>
      </c>
      <c r="BF60" s="306"/>
      <c r="BG60" s="306"/>
      <c r="BH60" s="306"/>
      <c r="BI60" s="306"/>
    </row>
    <row r="61" spans="1:61" ht="16.2" customHeight="1">
      <c r="A61" s="573"/>
      <c r="B61" s="469"/>
      <c r="C61" s="3"/>
      <c r="D61" s="88"/>
      <c r="E61" s="4"/>
      <c r="F61" s="4"/>
      <c r="G61" s="6">
        <v>29.4</v>
      </c>
      <c r="H61" s="468"/>
      <c r="I61" s="468"/>
      <c r="J61" s="3"/>
      <c r="K61" s="468"/>
      <c r="L61" s="468"/>
      <c r="M61" s="468" t="str">
        <f>IF(L61="","",
IF(AX61="PT",VLOOKUP(L61,Foundation_Calc!$V$79:$X$112,VLOOKUP(AX61,Foundation_Calc!$I$10:$J$13,2,FALSE),0),
IF(AX61="K",VLOOKUP(L61,Foundation_Calc!$V$116:$X$149,VLOOKUP(AX61,Foundation_Calc!$I$10:$J$13,2,FALSE),0),"")))</f>
        <v/>
      </c>
      <c r="N61" s="468"/>
      <c r="O61" s="468"/>
      <c r="P61" s="468"/>
      <c r="Q61" s="4"/>
      <c r="R61" s="6"/>
      <c r="S61" s="6"/>
      <c r="T61" s="4"/>
      <c r="U61" s="4"/>
      <c r="V61" s="4"/>
      <c r="W61" s="9"/>
      <c r="X61" s="9"/>
      <c r="Y61" s="9"/>
      <c r="Z61" s="9"/>
      <c r="AA61" s="9"/>
      <c r="AB61" s="9"/>
      <c r="AC61" s="468" t="str">
        <f t="shared" si="1"/>
        <v/>
      </c>
      <c r="AD61" s="468"/>
      <c r="AE61" s="468"/>
      <c r="AF61" s="4"/>
      <c r="AG61" s="88"/>
      <c r="AH61" s="4"/>
      <c r="AI61" s="4"/>
      <c r="AJ61" s="468"/>
      <c r="AK61" s="468"/>
      <c r="AL61" s="468"/>
      <c r="AM61" s="468"/>
      <c r="AN61" s="10"/>
      <c r="AO61" s="9"/>
      <c r="AP61" s="9"/>
      <c r="AQ61" s="9">
        <f>+FL_1($T$62,$T$60,$G$61,1200,9.28, 1*$F$62)</f>
        <v>0.3000000000000364</v>
      </c>
      <c r="AR61" s="9"/>
      <c r="AS61" s="9"/>
      <c r="AT61" s="9"/>
      <c r="AU61" s="447"/>
      <c r="AV61" s="447"/>
      <c r="AW61" s="468" t="str">
        <f>IF(C61&gt;0,VLOOKUP(C61,Foundation_Calc!$A$20:$C$25,3,1),
IF(J61&gt;0,VLOOKUP(J61,Foundation_Calc!$A$20:$C$25,3,1),""))</f>
        <v/>
      </c>
      <c r="AX61" s="468" t="str">
        <f>IF(C61&gt;0,VLOOKUP(C61,Foundation_Calc!$E$20:$G$25,3,1),
IF(J61&gt;0,VLOOKUP(J61,Foundation_Calc!$E$20:$G$25,3,1),""))</f>
        <v/>
      </c>
      <c r="AY61" s="10" t="str">
        <f>IF(L61="","",
IF(AX61="PT",VLOOKUP(L61,Foundation_Calc!$K$79:$R$112,VLOOKUP(AW61,Foundation_Calc!$I$2:$J$8,2,FALSE),0),
IF(AX61="K",VLOOKUP(L61,Foundation_Calc!$K$116:$R$149,VLOOKUP(AW61,Foundation_Calc!$I$2:$J$8,2,FALSE),0),"")))</f>
        <v/>
      </c>
      <c r="AZ61" s="10" t="str">
        <f>IF(K61="","",
IF(AX61="PT",VLOOKUP(K61,Foundation_Calc!$K$79:$R$112,VLOOKUP(AW61,Foundation_Calc!$I$2:$J$8,2,FALSE),0),
IF(AX61="K",VLOOKUP(K61,Foundation_Calc!$K$116:$R$149,VLOOKUP(AW61,Foundation_Calc!$I$2:$J$8,2,FALSE),0),"")))</f>
        <v/>
      </c>
      <c r="BA61" s="553" t="str">
        <f t="shared" si="2"/>
        <v/>
      </c>
      <c r="BB61" s="553" t="str">
        <f t="shared" si="3"/>
        <v/>
      </c>
      <c r="BC61" s="553" t="str">
        <f t="shared" si="4"/>
        <v/>
      </c>
      <c r="BD61" s="572" t="str">
        <f>IF(AND(L61="",H61=""),"",
IF(H61="",Pole_Calc!A$9,
IF(H61="MP",Pole_Calc!A$10,
IF(H61="AnMP",Pole_Calc!A$11,
IF(H61="A",Pole_Calc!A$12,
IF(H61="S/A",Pole_Calc!A$13,
IF(H61="A/S",Pole_Calc!A$14,"Poner a mano")))))))</f>
        <v/>
      </c>
      <c r="BE61" s="448" t="s">
        <v>1726</v>
      </c>
      <c r="BF61" s="305"/>
      <c r="BG61" s="305"/>
      <c r="BH61" s="306"/>
      <c r="BI61" s="305"/>
    </row>
    <row r="62" spans="1:61" ht="16.2" customHeight="1">
      <c r="A62" s="573"/>
      <c r="B62" s="469" t="s">
        <v>2308</v>
      </c>
      <c r="C62" s="3">
        <f t="shared" ref="C62" si="21">C60-G61</f>
        <v>1925.7600000000002</v>
      </c>
      <c r="D62" s="88"/>
      <c r="E62" s="4"/>
      <c r="F62" s="4">
        <v>392.5</v>
      </c>
      <c r="G62" s="6"/>
      <c r="H62" s="468"/>
      <c r="I62" s="468"/>
      <c r="J62" s="3"/>
      <c r="K62" s="468"/>
      <c r="L62" s="468" t="s">
        <v>38</v>
      </c>
      <c r="M62" s="468" t="str">
        <f>IF(L62="","",
IF(AX62="PT",VLOOKUP(L62,Foundation_Calc!$V$79:$X$112,VLOOKUP(AX62,Foundation_Calc!$I$10:$J$13,2,FALSE),0),
IF(AX62="K",VLOOKUP(L62,Foundation_Calc!$V$116:$X$149,VLOOKUP(AX62,Foundation_Calc!$I$10:$J$13,2,FALSE),0),"")))</f>
        <v>C4R</v>
      </c>
      <c r="N62" s="468" t="s">
        <v>33</v>
      </c>
      <c r="O62" s="468"/>
      <c r="P62" s="468"/>
      <c r="Q62" s="4"/>
      <c r="R62" s="6"/>
      <c r="S62" s="6"/>
      <c r="T62" s="4">
        <v>30</v>
      </c>
      <c r="U62" s="4"/>
      <c r="V62" s="4"/>
      <c r="W62" s="9">
        <v>1.4</v>
      </c>
      <c r="X62" s="9"/>
      <c r="Y62" s="9"/>
      <c r="Z62" s="9"/>
      <c r="AA62" s="9"/>
      <c r="AB62" s="9"/>
      <c r="AC62" s="468" t="str">
        <f t="shared" si="1"/>
        <v>PHC</v>
      </c>
      <c r="AD62" s="468"/>
      <c r="AE62" s="468"/>
      <c r="AF62" s="4"/>
      <c r="AG62" s="88"/>
      <c r="AH62" s="4"/>
      <c r="AI62" s="4"/>
      <c r="AJ62" s="468"/>
      <c r="AK62" s="468"/>
      <c r="AL62" s="468"/>
      <c r="AM62" s="468"/>
      <c r="AN62" s="10">
        <v>5.5</v>
      </c>
      <c r="AO62" s="9"/>
      <c r="AP62" s="9"/>
      <c r="AQ62" s="9"/>
      <c r="AR62" s="9"/>
      <c r="AS62" s="9"/>
      <c r="AT62" s="9">
        <f>+ab($T$62,$T$60,$T$64,$G$61,$G$63, 1*$F$62,1200)</f>
        <v>2.4760190726260811</v>
      </c>
      <c r="AU62" s="447"/>
      <c r="AV62" s="447"/>
      <c r="AW62" s="468" t="str">
        <f>IF(C62&gt;0,VLOOKUP(C62,Foundation_Calc!$A$20:$C$25,3,1),
IF(J62&gt;0,VLOOKUP(J62,Foundation_Calc!$A$20:$C$25,3,1),""))</f>
        <v>MultiSoil</v>
      </c>
      <c r="AX62" s="468" t="str">
        <f>IF(C62&gt;0,VLOOKUP(C62,Foundation_Calc!$E$20:$G$25,3,1),
IF(J62&gt;0,VLOOKUP(J62,Foundation_Calc!$E$20:$G$25,3,1),""))</f>
        <v>PT</v>
      </c>
      <c r="AY62" s="10">
        <f>IF(L62="","",
IF(AX62="PT",VLOOKUP(L62,Foundation_Calc!$K$79:$R$112,VLOOKUP(AW62,Foundation_Calc!$I$2:$J$8,2,FALSE),0),
IF(AX62="K",VLOOKUP(L62,Foundation_Calc!$K$116:$R$149,VLOOKUP(AW62,Foundation_Calc!$I$2:$J$8,2,FALSE),0),"")))</f>
        <v>3.5</v>
      </c>
      <c r="AZ62" s="10" t="str">
        <f>IF(K62="","",
IF(AX62="PT",VLOOKUP(K62,Foundation_Calc!$K$79:$R$112,VLOOKUP(AW62,Foundation_Calc!$I$2:$J$8,2,FALSE),0),
IF(AX62="K",VLOOKUP(K62,Foundation_Calc!$K$116:$R$149,VLOOKUP(AW62,Foundation_Calc!$I$2:$J$8,2,FALSE),0),"")))</f>
        <v/>
      </c>
      <c r="BA62" s="553" t="str">
        <f t="shared" si="2"/>
        <v>ü</v>
      </c>
      <c r="BB62" s="553" t="str">
        <f t="shared" si="3"/>
        <v/>
      </c>
      <c r="BC62" s="553" t="str">
        <f t="shared" si="4"/>
        <v/>
      </c>
      <c r="BD62" s="572" t="str">
        <f>IF(AND(L62="",H62=""),"",
IF(H62="",Pole_Calc!A$9,
IF(H62="MP",Pole_Calc!A$10,
IF(H62="AnMP",Pole_Calc!A$11,
IF(H62="A",Pole_Calc!A$12,
IF(H62="S/A",Pole_Calc!A$13,
IF(H62="A/S",Pole_Calc!A$14,"Poner a mano")))))))</f>
        <v>App.7-V11H-P9.5.1.1</v>
      </c>
      <c r="BE62" s="448" t="s">
        <v>1726</v>
      </c>
      <c r="BF62" s="306"/>
      <c r="BG62" s="306"/>
      <c r="BH62" s="306"/>
      <c r="BI62" s="306"/>
    </row>
    <row r="63" spans="1:61" ht="16.2" customHeight="1">
      <c r="A63" s="573" t="s">
        <v>1497</v>
      </c>
      <c r="B63" s="469"/>
      <c r="C63" s="3"/>
      <c r="D63" s="88"/>
      <c r="E63" s="4"/>
      <c r="F63" s="4"/>
      <c r="G63" s="6">
        <v>31.4</v>
      </c>
      <c r="H63" s="468"/>
      <c r="I63" s="468"/>
      <c r="J63" s="3"/>
      <c r="K63" s="468"/>
      <c r="L63" s="468"/>
      <c r="M63" s="468" t="s">
        <v>195</v>
      </c>
      <c r="N63" s="468"/>
      <c r="O63" s="468"/>
      <c r="P63" s="468"/>
      <c r="Q63" s="4"/>
      <c r="R63" s="6"/>
      <c r="S63" s="6"/>
      <c r="T63" s="4"/>
      <c r="U63" s="4"/>
      <c r="V63" s="4"/>
      <c r="W63" s="9"/>
      <c r="X63" s="9"/>
      <c r="Y63" s="9"/>
      <c r="Z63" s="9"/>
      <c r="AA63" s="9"/>
      <c r="AB63" s="9"/>
      <c r="AC63" s="468" t="str">
        <f t="shared" si="1"/>
        <v/>
      </c>
      <c r="AD63" s="468"/>
      <c r="AE63" s="468"/>
      <c r="AF63" s="4"/>
      <c r="AG63" s="88"/>
      <c r="AH63" s="4"/>
      <c r="AI63" s="4"/>
      <c r="AJ63" s="468"/>
      <c r="AK63" s="468"/>
      <c r="AL63" s="468"/>
      <c r="AM63" s="468"/>
      <c r="AN63" s="10"/>
      <c r="AO63" s="9"/>
      <c r="AP63" s="9"/>
      <c r="AQ63" s="9">
        <f>+FL_1($T$64,$T$62,$G$63,1200,9.28, 1*$F$64)</f>
        <v>0.30000000000003124</v>
      </c>
      <c r="AR63" s="9"/>
      <c r="AS63" s="9"/>
      <c r="AT63" s="9"/>
      <c r="AU63" s="447"/>
      <c r="AV63" s="447"/>
      <c r="AW63" s="468" t="s">
        <v>195</v>
      </c>
      <c r="AX63" s="468" t="s">
        <v>195</v>
      </c>
      <c r="AY63" s="10"/>
      <c r="AZ63" s="10"/>
      <c r="BA63" s="553" t="str">
        <f t="shared" si="2"/>
        <v/>
      </c>
      <c r="BB63" s="553" t="str">
        <f t="shared" ref="BB63:BB103" si="22">IF(K63="","",IF(K63="U.S.","ü",IF(K63="U.S. N.D.","ü","")))</f>
        <v/>
      </c>
      <c r="BC63" s="553" t="str">
        <f t="shared" ref="BC63:BC103" si="23">IF(M63="","",IF(M63="U.S.","ü",IF(M63="U.S. N.D.","ü","")))</f>
        <v/>
      </c>
      <c r="BD63" s="572" t="str">
        <f>IF(AND(L63="",H63=""),"",
IF(H63="",Pole_Calc!A$9,
IF(H63="MP",Pole_Calc!A$10,
IF(H63="AnMP",Pole_Calc!A$11,
IF(H63="A",Pole_Calc!A$12,
IF(H63="S/A",Pole_Calc!A$13,
IF(H63="A/S",Pole_Calc!A$14,"Poner a mano")))))))</f>
        <v/>
      </c>
      <c r="BE63" s="448" t="s">
        <v>1726</v>
      </c>
      <c r="BF63" s="305"/>
      <c r="BG63" s="305"/>
      <c r="BH63" s="306"/>
      <c r="BI63" s="305"/>
    </row>
    <row r="64" spans="1:61" ht="16.2" customHeight="1">
      <c r="A64" s="574" t="s">
        <v>1497</v>
      </c>
      <c r="B64" s="469" t="s">
        <v>2309</v>
      </c>
      <c r="C64" s="3">
        <f t="shared" ref="C64" si="24">C62-G63</f>
        <v>1894.3600000000001</v>
      </c>
      <c r="D64" s="88"/>
      <c r="E64" s="4"/>
      <c r="F64" s="4">
        <v>392.5</v>
      </c>
      <c r="G64" s="6"/>
      <c r="H64" s="468"/>
      <c r="I64" s="468"/>
      <c r="J64" s="3"/>
      <c r="K64" s="468"/>
      <c r="L64" s="468" t="s">
        <v>38</v>
      </c>
      <c r="M64" s="468" t="s">
        <v>1625</v>
      </c>
      <c r="N64" s="468" t="s">
        <v>33</v>
      </c>
      <c r="O64" s="468"/>
      <c r="P64" s="468"/>
      <c r="Q64" s="4"/>
      <c r="R64" s="6"/>
      <c r="S64" s="6"/>
      <c r="T64" s="4">
        <v>30</v>
      </c>
      <c r="U64" s="4"/>
      <c r="V64" s="4"/>
      <c r="W64" s="9">
        <v>1.4</v>
      </c>
      <c r="X64" s="9"/>
      <c r="Y64" s="9"/>
      <c r="Z64" s="9"/>
      <c r="AA64" s="9"/>
      <c r="AB64" s="9"/>
      <c r="AC64" s="468" t="str">
        <f t="shared" si="1"/>
        <v>PHC</v>
      </c>
      <c r="AD64" s="468"/>
      <c r="AE64" s="468"/>
      <c r="AF64" s="4"/>
      <c r="AG64" s="88"/>
      <c r="AH64" s="4"/>
      <c r="AI64" s="4"/>
      <c r="AJ64" s="468"/>
      <c r="AK64" s="468"/>
      <c r="AL64" s="468"/>
      <c r="AM64" s="468"/>
      <c r="AN64" s="10">
        <v>5.5</v>
      </c>
      <c r="AO64" s="9"/>
      <c r="AP64" s="9"/>
      <c r="AQ64" s="9"/>
      <c r="AR64" s="9"/>
      <c r="AS64" s="9"/>
      <c r="AT64" s="9">
        <f>+ab($T$64,$T$62,$T$66,$G$63,$G$65, 1*$F$64,1200)</f>
        <v>2.4923959396351418</v>
      </c>
      <c r="AU64" s="447"/>
      <c r="AV64" s="447"/>
      <c r="AW64" s="468" t="s">
        <v>199</v>
      </c>
      <c r="AX64" s="468" t="s">
        <v>199</v>
      </c>
      <c r="AY64" s="10"/>
      <c r="AZ64" s="10"/>
      <c r="BA64" s="553" t="str">
        <f t="shared" si="2"/>
        <v/>
      </c>
      <c r="BB64" s="553" t="str">
        <f t="shared" si="22"/>
        <v/>
      </c>
      <c r="BC64" s="553" t="str">
        <f t="shared" si="23"/>
        <v>ü</v>
      </c>
      <c r="BD64" s="572" t="str">
        <f>IF(AND(L64="",H64=""),"",
IF(H64="",Pole_Calc!A$9,
IF(H64="MP",Pole_Calc!A$10,
IF(H64="AnMP",Pole_Calc!A$11,
IF(H64="A",Pole_Calc!A$12,
IF(H64="S/A",Pole_Calc!A$13,
IF(H64="A/S",Pole_Calc!A$14,"Poner a mano")))))))</f>
        <v>App.7-V11H-P9.5.1.1</v>
      </c>
      <c r="BE64" s="448" t="s">
        <v>1726</v>
      </c>
      <c r="BF64" s="306"/>
      <c r="BG64" s="306"/>
      <c r="BH64" s="306"/>
      <c r="BI64" s="306"/>
    </row>
    <row r="65" spans="1:61" ht="16.2" customHeight="1">
      <c r="A65" s="574" t="s">
        <v>1497</v>
      </c>
      <c r="B65" s="469"/>
      <c r="C65" s="3"/>
      <c r="D65" s="88"/>
      <c r="E65" s="4"/>
      <c r="F65" s="4"/>
      <c r="G65" s="6">
        <v>29</v>
      </c>
      <c r="H65" s="468"/>
      <c r="I65" s="468"/>
      <c r="J65" s="3">
        <f>C66+7.5</f>
        <v>1872.8600000000001</v>
      </c>
      <c r="K65" s="468" t="s">
        <v>1625</v>
      </c>
      <c r="L65" s="468"/>
      <c r="M65" s="468" t="s">
        <v>195</v>
      </c>
      <c r="N65" s="468"/>
      <c r="O65" s="468"/>
      <c r="P65" s="468"/>
      <c r="Q65" s="4"/>
      <c r="R65" s="6"/>
      <c r="S65" s="6"/>
      <c r="T65" s="4"/>
      <c r="U65" s="4"/>
      <c r="V65" s="4"/>
      <c r="W65" s="9"/>
      <c r="X65" s="9"/>
      <c r="Y65" s="9"/>
      <c r="Z65" s="9"/>
      <c r="AA65" s="9"/>
      <c r="AB65" s="9"/>
      <c r="AC65" s="468" t="str">
        <f t="shared" si="1"/>
        <v/>
      </c>
      <c r="AD65" s="468"/>
      <c r="AE65" s="468"/>
      <c r="AF65" s="4"/>
      <c r="AG65" s="88"/>
      <c r="AH65" s="4"/>
      <c r="AI65" s="4"/>
      <c r="AJ65" s="468"/>
      <c r="AK65" s="468"/>
      <c r="AL65" s="468"/>
      <c r="AM65" s="468"/>
      <c r="AN65" s="10"/>
      <c r="AO65" s="9"/>
      <c r="AP65" s="9"/>
      <c r="AQ65" s="9">
        <f>+FL_1($T$66,$T$64,$G$65,1200,9.28, 1*$F$66)</f>
        <v>0.3000000000000374</v>
      </c>
      <c r="AR65" s="9"/>
      <c r="AS65" s="9"/>
      <c r="AT65" s="9"/>
      <c r="AU65" s="447"/>
      <c r="AV65" s="447"/>
      <c r="AW65" s="468"/>
      <c r="AX65" s="468"/>
      <c r="AY65" s="10"/>
      <c r="AZ65" s="10"/>
      <c r="BA65" s="553" t="str">
        <f t="shared" si="2"/>
        <v/>
      </c>
      <c r="BB65" s="553" t="str">
        <f t="shared" si="22"/>
        <v>ü</v>
      </c>
      <c r="BC65" s="553" t="str">
        <f t="shared" si="23"/>
        <v/>
      </c>
      <c r="BD65" s="572" t="str">
        <f>IF(AND(L65="",H65=""),"",
IF(H65="",Pole_Calc!A$9,
IF(H65="MP",Pole_Calc!A$10,
IF(H65="AnMP",Pole_Calc!A$11,
IF(H65="A",Pole_Calc!A$12,
IF(H65="S/A",Pole_Calc!A$13,
IF(H65="A/S",Pole_Calc!A$14,"Poner a mano")))))))</f>
        <v/>
      </c>
      <c r="BE65" s="448" t="s">
        <v>1726</v>
      </c>
      <c r="BF65" s="305"/>
      <c r="BG65" s="305"/>
      <c r="BH65" s="306"/>
      <c r="BI65" s="305"/>
    </row>
    <row r="66" spans="1:61" ht="16.2" customHeight="1">
      <c r="A66" s="574" t="s">
        <v>1497</v>
      </c>
      <c r="B66" s="469" t="s">
        <v>2310</v>
      </c>
      <c r="C66" s="3">
        <f t="shared" ref="C66" si="25">C64-G65</f>
        <v>1865.3600000000001</v>
      </c>
      <c r="D66" s="88"/>
      <c r="E66" s="4"/>
      <c r="F66" s="4">
        <v>392.5</v>
      </c>
      <c r="G66" s="6"/>
      <c r="H66" s="468" t="s">
        <v>26</v>
      </c>
      <c r="I66" s="468" t="s">
        <v>1159</v>
      </c>
      <c r="J66" s="3"/>
      <c r="K66" s="468"/>
      <c r="L66" s="468" t="s">
        <v>454</v>
      </c>
      <c r="M66" s="468" t="s">
        <v>1625</v>
      </c>
      <c r="N66" s="468" t="s">
        <v>33</v>
      </c>
      <c r="O66" s="468"/>
      <c r="P66" s="468"/>
      <c r="Q66" s="4"/>
      <c r="R66" s="6"/>
      <c r="S66" s="6"/>
      <c r="T66" s="4">
        <v>30</v>
      </c>
      <c r="U66" s="4"/>
      <c r="V66" s="4"/>
      <c r="W66" s="9">
        <v>1.4</v>
      </c>
      <c r="X66" s="9"/>
      <c r="Y66" s="9"/>
      <c r="Z66" s="9"/>
      <c r="AA66" s="9"/>
      <c r="AB66" s="9"/>
      <c r="AC66" s="468" t="str">
        <f t="shared" si="1"/>
        <v>PHC</v>
      </c>
      <c r="AD66" s="468"/>
      <c r="AE66" s="468"/>
      <c r="AF66" s="4"/>
      <c r="AG66" s="88"/>
      <c r="AH66" s="4"/>
      <c r="AI66" s="4"/>
      <c r="AJ66" s="468"/>
      <c r="AK66" s="468"/>
      <c r="AL66" s="468"/>
      <c r="AM66" s="468"/>
      <c r="AN66" s="10">
        <v>5.5</v>
      </c>
      <c r="AO66" s="9"/>
      <c r="AP66" s="9"/>
      <c r="AQ66" s="9"/>
      <c r="AR66" s="9"/>
      <c r="AS66" s="9"/>
      <c r="AT66" s="9">
        <f>+ab($T$66,$T$64,$U$68,$G$65,$G$67, 1*$F$66,1200)</f>
        <v>2.4242486450941163</v>
      </c>
      <c r="AU66" s="447"/>
      <c r="AV66" s="447"/>
      <c r="AW66" s="468" t="s">
        <v>199</v>
      </c>
      <c r="AX66" s="468" t="s">
        <v>199</v>
      </c>
      <c r="AY66" s="10"/>
      <c r="AZ66" s="10"/>
      <c r="BA66" s="553" t="str">
        <f t="shared" si="2"/>
        <v/>
      </c>
      <c r="BB66" s="553" t="str">
        <f t="shared" si="22"/>
        <v/>
      </c>
      <c r="BC66" s="553" t="str">
        <f t="shared" si="23"/>
        <v>ü</v>
      </c>
      <c r="BD66" s="572" t="str">
        <f>IF(AND(L66="",H66=""),"",
IF(H66="",Pole_Calc!A$9,
IF(H66="MP",Pole_Calc!A$10,
IF(H66="AnMP",Pole_Calc!A$11,
IF(H66="A",Pole_Calc!A$12,
IF(H66="S/A",Pole_Calc!A$13,
IF(H66="A/S",Pole_Calc!A$14,"Poner a mano")))))))</f>
        <v>App.7-V11H-P9.5.1.6</v>
      </c>
      <c r="BE66" s="448" t="s">
        <v>1726</v>
      </c>
      <c r="BF66" s="306"/>
      <c r="BG66" s="306"/>
      <c r="BH66" s="306"/>
      <c r="BI66" s="306"/>
    </row>
    <row r="67" spans="1:61" ht="16.2" customHeight="1">
      <c r="A67" s="574" t="s">
        <v>1497</v>
      </c>
      <c r="B67" s="469"/>
      <c r="C67" s="3"/>
      <c r="D67" s="88"/>
      <c r="E67" s="4"/>
      <c r="F67" s="4"/>
      <c r="G67" s="6">
        <v>33.1</v>
      </c>
      <c r="H67" s="468"/>
      <c r="I67" s="468"/>
      <c r="J67" s="3"/>
      <c r="K67" s="468"/>
      <c r="L67" s="468"/>
      <c r="M67" s="468"/>
      <c r="N67" s="468"/>
      <c r="O67" s="468"/>
      <c r="P67" s="468"/>
      <c r="Q67" s="4"/>
      <c r="R67" s="6"/>
      <c r="S67" s="6"/>
      <c r="T67" s="4"/>
      <c r="U67" s="4"/>
      <c r="V67" s="4"/>
      <c r="W67" s="9"/>
      <c r="X67" s="9"/>
      <c r="Y67" s="9"/>
      <c r="Z67" s="9"/>
      <c r="AA67" s="9"/>
      <c r="AB67" s="9"/>
      <c r="AC67" s="468" t="str">
        <f t="shared" si="1"/>
        <v/>
      </c>
      <c r="AD67" s="468"/>
      <c r="AE67" s="468"/>
      <c r="AF67" s="4"/>
      <c r="AG67" s="88"/>
      <c r="AH67" s="4"/>
      <c r="AI67" s="4"/>
      <c r="AJ67" s="468"/>
      <c r="AK67" s="468"/>
      <c r="AL67" s="468"/>
      <c r="AM67" s="468"/>
      <c r="AN67" s="10"/>
      <c r="AO67" s="9"/>
      <c r="AP67" s="9"/>
      <c r="AQ67" s="9">
        <f>+FL_1($U$68,$T$66,$G$67,1200,9.28, 1*$F$68)</f>
        <v>0.30000000000003146</v>
      </c>
      <c r="AR67" s="9"/>
      <c r="AS67" s="9"/>
      <c r="AT67" s="9"/>
      <c r="AU67" s="447"/>
      <c r="AV67" s="447"/>
      <c r="AW67" s="468"/>
      <c r="AX67" s="468"/>
      <c r="AY67" s="10"/>
      <c r="AZ67" s="10"/>
      <c r="BA67" s="553" t="str">
        <f t="shared" si="2"/>
        <v/>
      </c>
      <c r="BB67" s="553" t="str">
        <f t="shared" si="22"/>
        <v/>
      </c>
      <c r="BC67" s="553" t="str">
        <f t="shared" si="23"/>
        <v/>
      </c>
      <c r="BD67" s="572" t="str">
        <f>IF(AND(L67="",H67=""),"",
IF(H67="",Pole_Calc!A$9,
IF(H67="MP",Pole_Calc!A$10,
IF(H67="AnMP",Pole_Calc!A$11,
IF(H67="A",Pole_Calc!A$12,
IF(H67="S/A",Pole_Calc!A$13,
IF(H67="A/S",Pole_Calc!A$14,"Poner a mano")))))))</f>
        <v/>
      </c>
      <c r="BE67" s="448" t="s">
        <v>1726</v>
      </c>
      <c r="BF67" s="305"/>
      <c r="BG67" s="305"/>
      <c r="BH67" s="306"/>
      <c r="BI67" s="305"/>
    </row>
    <row r="68" spans="1:61" ht="16.2" customHeight="1">
      <c r="A68" s="574" t="s">
        <v>1497</v>
      </c>
      <c r="B68" s="469" t="s">
        <v>2311</v>
      </c>
      <c r="C68" s="3">
        <f t="shared" ref="C68" si="26">C66-G67</f>
        <v>1832.2600000000002</v>
      </c>
      <c r="D68" s="88"/>
      <c r="E68" s="4"/>
      <c r="F68" s="4">
        <v>392.5</v>
      </c>
      <c r="G68" s="6"/>
      <c r="H68" s="468" t="s">
        <v>179</v>
      </c>
      <c r="I68" s="468"/>
      <c r="J68" s="3"/>
      <c r="K68" s="468"/>
      <c r="L68" s="468" t="s">
        <v>448</v>
      </c>
      <c r="M68" s="468" t="s">
        <v>1625</v>
      </c>
      <c r="N68" s="468" t="s">
        <v>28</v>
      </c>
      <c r="O68" s="468" t="s">
        <v>33</v>
      </c>
      <c r="P68" s="468"/>
      <c r="Q68" s="4"/>
      <c r="R68" s="6"/>
      <c r="S68" s="6"/>
      <c r="T68" s="4">
        <v>50</v>
      </c>
      <c r="U68" s="4">
        <v>30</v>
      </c>
      <c r="V68" s="4"/>
      <c r="W68" s="9">
        <v>1.4</v>
      </c>
      <c r="X68" s="9">
        <v>1.8</v>
      </c>
      <c r="Y68" s="9"/>
      <c r="Z68" s="9">
        <v>0.4</v>
      </c>
      <c r="AA68" s="9"/>
      <c r="AB68" s="9"/>
      <c r="AC68" s="468"/>
      <c r="AD68" s="468" t="s">
        <v>1078</v>
      </c>
      <c r="AE68" s="468"/>
      <c r="AF68" s="4"/>
      <c r="AG68" s="88"/>
      <c r="AH68" s="4"/>
      <c r="AI68" s="4"/>
      <c r="AJ68" s="468"/>
      <c r="AK68" s="468"/>
      <c r="AL68" s="468"/>
      <c r="AM68" s="468"/>
      <c r="AN68" s="10">
        <v>5.5</v>
      </c>
      <c r="AO68" s="9"/>
      <c r="AP68" s="9"/>
      <c r="AQ68" s="9"/>
      <c r="AR68" s="9"/>
      <c r="AS68" s="9"/>
      <c r="AT68" s="9">
        <f>+ab($U$68,$T$66,$U$70,$G$67,$G$69, 1*$F$68,1200)</f>
        <v>2.1352048837224267</v>
      </c>
      <c r="AU68" s="447"/>
      <c r="AV68" s="447"/>
      <c r="AW68" s="468" t="s">
        <v>199</v>
      </c>
      <c r="AX68" s="468" t="s">
        <v>199</v>
      </c>
      <c r="AY68" s="10"/>
      <c r="AZ68" s="10"/>
      <c r="BA68" s="553" t="str">
        <f t="shared" si="2"/>
        <v/>
      </c>
      <c r="BB68" s="553" t="str">
        <f t="shared" si="22"/>
        <v/>
      </c>
      <c r="BC68" s="553" t="str">
        <f t="shared" si="23"/>
        <v>ü</v>
      </c>
      <c r="BD68" s="572" t="str">
        <f>IF(AND(L68="",H68=""),"",
IF(H68="",Pole_Calc!A$9,
IF(H68="MP",Pole_Calc!A$10,
IF(H68="AnMP",Pole_Calc!A$11,
IF(H68="A",Pole_Calc!A$12,
IF(H68="S/A",Pole_Calc!A$13,
IF(H68="A/S",Pole_Calc!A$14,"Poner a mano")))))))</f>
        <v>App.7-V11H-P9.5.1.5</v>
      </c>
      <c r="BE68" s="448" t="s">
        <v>1726</v>
      </c>
      <c r="BF68" s="306"/>
      <c r="BG68" s="306"/>
      <c r="BH68" s="306"/>
      <c r="BI68" s="306"/>
    </row>
    <row r="69" spans="1:61" ht="16.2" customHeight="1">
      <c r="A69" s="574" t="s">
        <v>1497</v>
      </c>
      <c r="B69" s="469"/>
      <c r="C69" s="3"/>
      <c r="D69" s="88"/>
      <c r="E69" s="4"/>
      <c r="F69" s="4"/>
      <c r="G69" s="6">
        <v>32.6</v>
      </c>
      <c r="H69" s="468"/>
      <c r="I69" s="468"/>
      <c r="J69" s="3"/>
      <c r="K69" s="468"/>
      <c r="L69" s="468"/>
      <c r="M69" s="468" t="s">
        <v>195</v>
      </c>
      <c r="N69" s="468"/>
      <c r="O69" s="468"/>
      <c r="P69" s="468"/>
      <c r="Q69" s="4"/>
      <c r="R69" s="6"/>
      <c r="S69" s="6"/>
      <c r="T69" s="4"/>
      <c r="U69" s="4"/>
      <c r="V69" s="4"/>
      <c r="W69" s="9"/>
      <c r="X69" s="9"/>
      <c r="Y69" s="9"/>
      <c r="Z69" s="9"/>
      <c r="AA69" s="9"/>
      <c r="AB69" s="9"/>
      <c r="AC69" s="468"/>
      <c r="AD69" s="468"/>
      <c r="AE69" s="468"/>
      <c r="AF69" s="4"/>
      <c r="AG69" s="88"/>
      <c r="AH69" s="4"/>
      <c r="AI69" s="4"/>
      <c r="AJ69" s="468"/>
      <c r="AK69" s="468"/>
      <c r="AL69" s="468"/>
      <c r="AM69" s="468"/>
      <c r="AN69" s="10"/>
      <c r="AO69" s="9"/>
      <c r="AP69" s="9"/>
      <c r="AQ69" s="9">
        <f>+FL_1($T$70,$T$68,$G$69,1200,9.28, 1*$F$70)</f>
        <v>0.5000000000000433</v>
      </c>
      <c r="AR69" s="9"/>
      <c r="AS69" s="9"/>
      <c r="AT69" s="9"/>
      <c r="AU69" s="447"/>
      <c r="AV69" s="447"/>
      <c r="AW69" s="468"/>
      <c r="AX69" s="468"/>
      <c r="AY69" s="10"/>
      <c r="AZ69" s="10"/>
      <c r="BA69" s="553" t="str">
        <f t="shared" si="2"/>
        <v/>
      </c>
      <c r="BB69" s="553" t="str">
        <f t="shared" si="22"/>
        <v/>
      </c>
      <c r="BC69" s="553" t="str">
        <f t="shared" si="23"/>
        <v/>
      </c>
      <c r="BD69" s="572" t="str">
        <f>IF(AND(L69="",H69=""),"",
IF(H69="",Pole_Calc!A$9,
IF(H69="MP",Pole_Calc!A$10,
IF(H69="AnMP",Pole_Calc!A$11,
IF(H69="A",Pole_Calc!A$12,
IF(H69="S/A",Pole_Calc!A$13,
IF(H69="A/S",Pole_Calc!A$14,"Poner a mano")))))))</f>
        <v/>
      </c>
      <c r="BE69" s="448" t="s">
        <v>1726</v>
      </c>
      <c r="BF69" s="305"/>
      <c r="BG69" s="305"/>
      <c r="BH69" s="306"/>
      <c r="BI69" s="305"/>
    </row>
    <row r="70" spans="1:61" ht="16.2" customHeight="1">
      <c r="A70" s="574" t="s">
        <v>1497</v>
      </c>
      <c r="B70" s="469" t="s">
        <v>2312</v>
      </c>
      <c r="C70" s="3">
        <f t="shared" ref="C70" si="27">C68-G69</f>
        <v>1799.6600000000003</v>
      </c>
      <c r="D70" s="88"/>
      <c r="E70" s="4"/>
      <c r="F70" s="4">
        <v>392.5</v>
      </c>
      <c r="G70" s="6"/>
      <c r="H70" s="468" t="s">
        <v>180</v>
      </c>
      <c r="I70" s="468"/>
      <c r="J70" s="3"/>
      <c r="K70" s="468"/>
      <c r="L70" s="468" t="s">
        <v>39</v>
      </c>
      <c r="M70" s="468" t="s">
        <v>1625</v>
      </c>
      <c r="N70" s="468" t="s">
        <v>33</v>
      </c>
      <c r="O70" s="468" t="s">
        <v>33</v>
      </c>
      <c r="P70" s="468"/>
      <c r="Q70" s="4"/>
      <c r="R70" s="6"/>
      <c r="S70" s="6"/>
      <c r="T70" s="4">
        <v>30</v>
      </c>
      <c r="U70" s="4">
        <v>10</v>
      </c>
      <c r="V70" s="4"/>
      <c r="W70" s="9">
        <v>1.4</v>
      </c>
      <c r="X70" s="9">
        <v>2</v>
      </c>
      <c r="Y70" s="9"/>
      <c r="Z70" s="9">
        <v>0.15</v>
      </c>
      <c r="AA70" s="9"/>
      <c r="AB70" s="9"/>
      <c r="AC70" s="468" t="s">
        <v>1078</v>
      </c>
      <c r="AD70" s="468" t="s">
        <v>2512</v>
      </c>
      <c r="AE70" s="468"/>
      <c r="AF70" s="4"/>
      <c r="AG70" s="88"/>
      <c r="AH70" s="4"/>
      <c r="AI70" s="4"/>
      <c r="AJ70" s="468"/>
      <c r="AK70" s="468"/>
      <c r="AL70" s="468"/>
      <c r="AM70" s="468"/>
      <c r="AN70" s="10">
        <v>5.5</v>
      </c>
      <c r="AO70" s="9"/>
      <c r="AP70" s="9"/>
      <c r="AQ70" s="9"/>
      <c r="AR70" s="9"/>
      <c r="AS70" s="9"/>
      <c r="AT70" s="9">
        <f>+ab($T$70,$T$68,$T$72,$G$69,$G$71, 1*$F$70,1200)</f>
        <v>2.4971837751629455</v>
      </c>
      <c r="AU70" s="447"/>
      <c r="AV70" s="447"/>
      <c r="AW70" s="468" t="s">
        <v>199</v>
      </c>
      <c r="AX70" s="468" t="s">
        <v>199</v>
      </c>
      <c r="AY70" s="10"/>
      <c r="AZ70" s="10"/>
      <c r="BA70" s="553" t="str">
        <f t="shared" ref="BA70:BA103" si="28">IF(AY70="","",IF(AY70&gt;0,"ü",""))</f>
        <v/>
      </c>
      <c r="BB70" s="553" t="str">
        <f t="shared" si="22"/>
        <v/>
      </c>
      <c r="BC70" s="553" t="str">
        <f t="shared" si="23"/>
        <v>ü</v>
      </c>
      <c r="BD70" s="572" t="str">
        <f>IF(AND(L70="",H70=""),"",
IF(H70="",Pole_Calc!A$9,
IF(H70="MP",Pole_Calc!A$10,
IF(H70="AnMP",Pole_Calc!A$11,
IF(H70="A",Pole_Calc!A$12,
IF(H70="S/A",Pole_Calc!A$13,
IF(H70="A/S",Pole_Calc!A$14,"Poner a mano")))))))</f>
        <v>App.7-V11H-P9.5.1.4</v>
      </c>
      <c r="BE70" s="448" t="s">
        <v>1726</v>
      </c>
      <c r="BF70" s="306"/>
      <c r="BG70" s="306"/>
      <c r="BH70" s="306"/>
      <c r="BI70" s="306"/>
    </row>
    <row r="71" spans="1:61" ht="16.2" customHeight="1">
      <c r="A71" s="574" t="s">
        <v>1497</v>
      </c>
      <c r="B71" s="469"/>
      <c r="C71" s="3"/>
      <c r="D71" s="88"/>
      <c r="E71" s="4"/>
      <c r="F71" s="4"/>
      <c r="G71" s="6">
        <v>32.5</v>
      </c>
      <c r="H71" s="468"/>
      <c r="I71" s="468"/>
      <c r="J71" s="3"/>
      <c r="K71" s="468"/>
      <c r="L71" s="468"/>
      <c r="M71" s="468" t="s">
        <v>195</v>
      </c>
      <c r="N71" s="468"/>
      <c r="O71" s="468"/>
      <c r="P71" s="468"/>
      <c r="Q71" s="4"/>
      <c r="R71" s="6"/>
      <c r="S71" s="6"/>
      <c r="T71" s="4"/>
      <c r="U71" s="4"/>
      <c r="V71" s="4"/>
      <c r="W71" s="9"/>
      <c r="X71" s="9"/>
      <c r="Y71" s="9"/>
      <c r="Z71" s="9"/>
      <c r="AA71" s="9"/>
      <c r="AB71" s="9"/>
      <c r="AC71" s="468"/>
      <c r="AD71" s="468"/>
      <c r="AE71" s="468"/>
      <c r="AF71" s="4"/>
      <c r="AG71" s="88"/>
      <c r="AH71" s="4"/>
      <c r="AI71" s="4"/>
      <c r="AJ71" s="468"/>
      <c r="AK71" s="468"/>
      <c r="AL71" s="468"/>
      <c r="AM71" s="468"/>
      <c r="AN71" s="10"/>
      <c r="AO71" s="9"/>
      <c r="AP71" s="9"/>
      <c r="AQ71" s="9">
        <f>+FL_1($T$72,$T$70,$G$71,1200,9.28, 1*$F$72)</f>
        <v>0.30000000000003041</v>
      </c>
      <c r="AR71" s="9"/>
      <c r="AS71" s="9"/>
      <c r="AT71" s="9"/>
      <c r="AU71" s="447"/>
      <c r="AV71" s="447"/>
      <c r="AW71" s="468"/>
      <c r="AX71" s="468"/>
      <c r="AY71" s="10"/>
      <c r="AZ71" s="10"/>
      <c r="BA71" s="553" t="str">
        <f t="shared" si="28"/>
        <v/>
      </c>
      <c r="BB71" s="553" t="str">
        <f t="shared" si="22"/>
        <v/>
      </c>
      <c r="BC71" s="553" t="str">
        <f t="shared" si="23"/>
        <v/>
      </c>
      <c r="BD71" s="572" t="str">
        <f>IF(AND(L71="",H71=""),"",
IF(H71="",Pole_Calc!A$9,
IF(H71="MP",Pole_Calc!A$10,
IF(H71="AnMP",Pole_Calc!A$11,
IF(H71="A",Pole_Calc!A$12,
IF(H71="S/A",Pole_Calc!A$13,
IF(H71="A/S",Pole_Calc!A$14,"Poner a mano")))))))</f>
        <v/>
      </c>
      <c r="BE71" s="448" t="s">
        <v>1726</v>
      </c>
      <c r="BF71" s="305"/>
      <c r="BG71" s="305"/>
      <c r="BH71" s="306"/>
      <c r="BI71" s="305"/>
    </row>
    <row r="72" spans="1:61" ht="16.2" customHeight="1">
      <c r="A72" s="574" t="s">
        <v>1497</v>
      </c>
      <c r="B72" s="469" t="s">
        <v>2313</v>
      </c>
      <c r="C72" s="3">
        <f t="shared" ref="C72" si="29">C70-G71</f>
        <v>1767.1600000000003</v>
      </c>
      <c r="D72" s="88"/>
      <c r="E72" s="4"/>
      <c r="F72" s="4">
        <v>392.5</v>
      </c>
      <c r="G72" s="6"/>
      <c r="H72" s="468" t="s">
        <v>180</v>
      </c>
      <c r="I72" s="468"/>
      <c r="J72" s="3"/>
      <c r="K72" s="468"/>
      <c r="L72" s="468" t="s">
        <v>39</v>
      </c>
      <c r="M72" s="468" t="s">
        <v>1625</v>
      </c>
      <c r="N72" s="468" t="s">
        <v>33</v>
      </c>
      <c r="O72" s="468" t="s">
        <v>33</v>
      </c>
      <c r="P72" s="468"/>
      <c r="Q72" s="4"/>
      <c r="R72" s="6"/>
      <c r="S72" s="6"/>
      <c r="T72" s="4">
        <v>30</v>
      </c>
      <c r="U72" s="4">
        <v>10</v>
      </c>
      <c r="V72" s="4"/>
      <c r="W72" s="9">
        <v>1.4</v>
      </c>
      <c r="X72" s="9">
        <v>2</v>
      </c>
      <c r="Y72" s="9"/>
      <c r="Z72" s="9"/>
      <c r="AA72" s="9">
        <v>0.15</v>
      </c>
      <c r="AB72" s="9"/>
      <c r="AC72" s="468" t="s">
        <v>1078</v>
      </c>
      <c r="AD72" s="468" t="s">
        <v>1078</v>
      </c>
      <c r="AE72" s="468"/>
      <c r="AF72" s="4"/>
      <c r="AG72" s="88"/>
      <c r="AH72" s="4"/>
      <c r="AI72" s="4"/>
      <c r="AJ72" s="468"/>
      <c r="AK72" s="468"/>
      <c r="AL72" s="468"/>
      <c r="AM72" s="468"/>
      <c r="AN72" s="10">
        <v>5.5</v>
      </c>
      <c r="AO72" s="9"/>
      <c r="AP72" s="9"/>
      <c r="AQ72" s="9"/>
      <c r="AR72" s="9"/>
      <c r="AS72" s="9"/>
      <c r="AT72" s="9">
        <f>+ab($T$72,$T$70,$T$74,$G$71,$G$73, 1*$F$72,1200)</f>
        <v>2.3486951308324509</v>
      </c>
      <c r="AU72" s="447"/>
      <c r="AV72" s="447"/>
      <c r="AW72" s="468" t="s">
        <v>199</v>
      </c>
      <c r="AX72" s="468" t="s">
        <v>199</v>
      </c>
      <c r="AY72" s="10"/>
      <c r="AZ72" s="10"/>
      <c r="BA72" s="553" t="str">
        <f t="shared" si="28"/>
        <v/>
      </c>
      <c r="BB72" s="553" t="str">
        <f t="shared" si="22"/>
        <v/>
      </c>
      <c r="BC72" s="553" t="str">
        <f t="shared" si="23"/>
        <v>ü</v>
      </c>
      <c r="BD72" s="572" t="str">
        <f>IF(AND(L72="",H72=""),"",
IF(H72="",Pole_Calc!A$9,
IF(H72="MP",Pole_Calc!A$10,
IF(H72="AnMP",Pole_Calc!A$11,
IF(H72="A",Pole_Calc!A$12,
IF(H72="S/A",Pole_Calc!A$13,
IF(H72="A/S",Pole_Calc!A$14,"Poner a mano")))))))</f>
        <v>App.7-V11H-P9.5.1.4</v>
      </c>
      <c r="BE72" s="448" t="s">
        <v>1726</v>
      </c>
      <c r="BF72" s="306"/>
      <c r="BG72" s="306"/>
      <c r="BH72" s="306"/>
      <c r="BI72" s="306"/>
    </row>
    <row r="73" spans="1:61" ht="16.2" customHeight="1">
      <c r="A73" s="574" t="s">
        <v>1497</v>
      </c>
      <c r="B73" s="469"/>
      <c r="C73" s="3"/>
      <c r="D73" s="88"/>
      <c r="E73" s="4"/>
      <c r="F73" s="4"/>
      <c r="G73" s="6">
        <v>31.6</v>
      </c>
      <c r="H73" s="468"/>
      <c r="I73" s="468"/>
      <c r="J73" s="3"/>
      <c r="K73" s="468"/>
      <c r="L73" s="468"/>
      <c r="M73" s="468" t="s">
        <v>195</v>
      </c>
      <c r="N73" s="468"/>
      <c r="O73" s="468"/>
      <c r="P73" s="468"/>
      <c r="Q73" s="4"/>
      <c r="R73" s="6"/>
      <c r="S73" s="6"/>
      <c r="T73" s="4"/>
      <c r="U73" s="4"/>
      <c r="V73" s="4"/>
      <c r="W73" s="9"/>
      <c r="X73" s="9"/>
      <c r="Y73" s="9"/>
      <c r="Z73" s="9"/>
      <c r="AA73" s="9"/>
      <c r="AB73" s="9"/>
      <c r="AC73" s="468"/>
      <c r="AD73" s="468"/>
      <c r="AE73" s="468"/>
      <c r="AF73" s="4"/>
      <c r="AG73" s="88"/>
      <c r="AH73" s="4"/>
      <c r="AI73" s="4"/>
      <c r="AJ73" s="468"/>
      <c r="AK73" s="468"/>
      <c r="AL73" s="468"/>
      <c r="AM73" s="468"/>
      <c r="AN73" s="10"/>
      <c r="AO73" s="9"/>
      <c r="AP73" s="9"/>
      <c r="AQ73" s="9">
        <f>+FL_1($T$74,$T$72,$G$73,1200,9.28, 1*$F$74)</f>
        <v>0.30000000000003069</v>
      </c>
      <c r="AR73" s="9"/>
      <c r="AS73" s="9"/>
      <c r="AT73" s="9"/>
      <c r="AU73" s="447"/>
      <c r="AV73" s="447"/>
      <c r="AW73" s="468"/>
      <c r="AX73" s="468"/>
      <c r="AY73" s="10"/>
      <c r="AZ73" s="10"/>
      <c r="BA73" s="553" t="str">
        <f t="shared" si="28"/>
        <v/>
      </c>
      <c r="BB73" s="553" t="str">
        <f t="shared" si="22"/>
        <v/>
      </c>
      <c r="BC73" s="553" t="str">
        <f t="shared" si="23"/>
        <v/>
      </c>
      <c r="BD73" s="572" t="str">
        <f>IF(AND(L73="",H73=""),"",
IF(H73="",Pole_Calc!A$9,
IF(H73="MP",Pole_Calc!A$10,
IF(H73="AnMP",Pole_Calc!A$11,
IF(H73="A",Pole_Calc!A$12,
IF(H73="S/A",Pole_Calc!A$13,
IF(H73="A/S",Pole_Calc!A$14,"Poner a mano")))))))</f>
        <v/>
      </c>
      <c r="BE73" s="448" t="s">
        <v>1726</v>
      </c>
      <c r="BF73" s="305"/>
      <c r="BG73" s="305"/>
      <c r="BH73" s="306"/>
      <c r="BI73" s="305"/>
    </row>
    <row r="74" spans="1:61" ht="16.2" customHeight="1">
      <c r="A74" s="574" t="s">
        <v>1497</v>
      </c>
      <c r="B74" s="469" t="s">
        <v>2314</v>
      </c>
      <c r="C74" s="3">
        <f t="shared" ref="C74" si="30">C72-G73</f>
        <v>1735.5600000000004</v>
      </c>
      <c r="D74" s="88"/>
      <c r="E74" s="4"/>
      <c r="F74" s="4">
        <v>392.5</v>
      </c>
      <c r="G74" s="6"/>
      <c r="H74" s="468" t="s">
        <v>179</v>
      </c>
      <c r="I74" s="468"/>
      <c r="J74" s="3"/>
      <c r="K74" s="468"/>
      <c r="L74" s="468" t="s">
        <v>448</v>
      </c>
      <c r="M74" s="468" t="s">
        <v>1625</v>
      </c>
      <c r="N74" s="468" t="s">
        <v>33</v>
      </c>
      <c r="O74" s="468" t="s">
        <v>28</v>
      </c>
      <c r="P74" s="468"/>
      <c r="Q74" s="4"/>
      <c r="R74" s="6"/>
      <c r="S74" s="6"/>
      <c r="T74" s="4">
        <v>30</v>
      </c>
      <c r="U74" s="4">
        <v>10</v>
      </c>
      <c r="V74" s="4"/>
      <c r="W74" s="9">
        <v>1.4</v>
      </c>
      <c r="X74" s="9">
        <v>2</v>
      </c>
      <c r="Y74" s="9"/>
      <c r="Z74" s="9"/>
      <c r="AA74" s="9">
        <v>0.4</v>
      </c>
      <c r="AB74" s="9"/>
      <c r="AC74" s="468" t="s">
        <v>1078</v>
      </c>
      <c r="AD74" s="468"/>
      <c r="AE74" s="468"/>
      <c r="AF74" s="4"/>
      <c r="AG74" s="88"/>
      <c r="AH74" s="4"/>
      <c r="AI74" s="4"/>
      <c r="AJ74" s="468"/>
      <c r="AK74" s="468"/>
      <c r="AL74" s="468"/>
      <c r="AM74" s="468"/>
      <c r="AN74" s="10">
        <v>5.5</v>
      </c>
      <c r="AO74" s="9"/>
      <c r="AP74" s="9"/>
      <c r="AQ74" s="9"/>
      <c r="AR74" s="9"/>
      <c r="AS74" s="9"/>
      <c r="AT74" s="9">
        <f>+ab($T$74,$T$72,$T$76,$G$73,$G$75, 1*$F$74,1200)</f>
        <v>2.3858742448770216</v>
      </c>
      <c r="AU74" s="447"/>
      <c r="AV74" s="447"/>
      <c r="AW74" s="468" t="s">
        <v>199</v>
      </c>
      <c r="AX74" s="468" t="s">
        <v>199</v>
      </c>
      <c r="AY74" s="10"/>
      <c r="AZ74" s="10"/>
      <c r="BA74" s="553" t="str">
        <f t="shared" si="28"/>
        <v/>
      </c>
      <c r="BB74" s="553" t="str">
        <f t="shared" si="22"/>
        <v/>
      </c>
      <c r="BC74" s="553" t="str">
        <f t="shared" si="23"/>
        <v>ü</v>
      </c>
      <c r="BD74" s="572" t="str">
        <f>IF(AND(L74="",H74=""),"",
IF(H74="",Pole_Calc!A$9,
IF(H74="MP",Pole_Calc!A$10,
IF(H74="AnMP",Pole_Calc!A$11,
IF(H74="A",Pole_Calc!A$12,
IF(H74="S/A",Pole_Calc!A$13,
IF(H74="A/S",Pole_Calc!A$14,"Poner a mano")))))))</f>
        <v>App.7-V11H-P9.5.1.5</v>
      </c>
      <c r="BE74" s="448" t="s">
        <v>1726</v>
      </c>
      <c r="BF74" s="306"/>
      <c r="BG74" s="306"/>
      <c r="BH74" s="306"/>
      <c r="BI74" s="306"/>
    </row>
    <row r="75" spans="1:61" ht="16.2" customHeight="1">
      <c r="A75" s="574" t="s">
        <v>1497</v>
      </c>
      <c r="B75" s="469"/>
      <c r="C75" s="3"/>
      <c r="D75" s="88"/>
      <c r="E75" s="4"/>
      <c r="F75" s="4"/>
      <c r="G75" s="6">
        <v>31.5</v>
      </c>
      <c r="H75" s="468"/>
      <c r="I75" s="468"/>
      <c r="J75" s="3"/>
      <c r="K75" s="468"/>
      <c r="L75" s="468"/>
      <c r="M75" s="468" t="s">
        <v>195</v>
      </c>
      <c r="N75" s="468"/>
      <c r="O75" s="468"/>
      <c r="P75" s="468"/>
      <c r="Q75" s="4"/>
      <c r="R75" s="6"/>
      <c r="S75" s="6"/>
      <c r="T75" s="4"/>
      <c r="U75" s="4"/>
      <c r="V75" s="4"/>
      <c r="W75" s="9"/>
      <c r="X75" s="9"/>
      <c r="Y75" s="9"/>
      <c r="Z75" s="9"/>
      <c r="AA75" s="9"/>
      <c r="AB75" s="9"/>
      <c r="AC75" s="468" t="str">
        <f t="shared" ref="AC75:AC133" si="31">IF(OR(AT75&gt;8,AT75&lt;-8),"PH",
IF(OR(AT75&gt;5,AT75&lt;-5),"PHQ",
IF(OR(AT75&gt;1,AT75&lt;-1),
"PHC","")))</f>
        <v/>
      </c>
      <c r="AD75" s="468"/>
      <c r="AE75" s="468"/>
      <c r="AF75" s="4"/>
      <c r="AG75" s="88"/>
      <c r="AH75" s="4"/>
      <c r="AI75" s="4"/>
      <c r="AJ75" s="468"/>
      <c r="AK75" s="468"/>
      <c r="AL75" s="468"/>
      <c r="AM75" s="468"/>
      <c r="AN75" s="10"/>
      <c r="AO75" s="9"/>
      <c r="AP75" s="9"/>
      <c r="AQ75" s="9">
        <f>+FL_1($T$76,$T$74,$G$75,1200,9.28, 1*$F$76)</f>
        <v>0.30000000000003096</v>
      </c>
      <c r="AR75" s="9"/>
      <c r="AS75" s="9"/>
      <c r="AT75" s="9"/>
      <c r="AU75" s="447"/>
      <c r="AV75" s="447"/>
      <c r="AW75" s="468"/>
      <c r="AX75" s="468"/>
      <c r="AY75" s="10"/>
      <c r="AZ75" s="10"/>
      <c r="BA75" s="553" t="str">
        <f t="shared" si="28"/>
        <v/>
      </c>
      <c r="BB75" s="553" t="str">
        <f t="shared" si="22"/>
        <v/>
      </c>
      <c r="BC75" s="553" t="str">
        <f t="shared" si="23"/>
        <v/>
      </c>
      <c r="BD75" s="572" t="str">
        <f>IF(AND(L75="",H75=""),"",
IF(H75="",Pole_Calc!A$9,
IF(H75="MP",Pole_Calc!A$10,
IF(H75="AnMP",Pole_Calc!A$11,
IF(H75="A",Pole_Calc!A$12,
IF(H75="S/A",Pole_Calc!A$13,
IF(H75="A/S",Pole_Calc!A$14,"Poner a mano")))))))</f>
        <v/>
      </c>
      <c r="BE75" s="448" t="s">
        <v>1726</v>
      </c>
      <c r="BF75" s="305"/>
      <c r="BG75" s="305"/>
      <c r="BH75" s="306"/>
      <c r="BI75" s="305"/>
    </row>
    <row r="76" spans="1:61" ht="16.2" customHeight="1">
      <c r="A76" s="574" t="s">
        <v>1497</v>
      </c>
      <c r="B76" s="469" t="s">
        <v>2315</v>
      </c>
      <c r="C76" s="3">
        <f t="shared" ref="C76" si="32">C74-G75</f>
        <v>1704.0600000000004</v>
      </c>
      <c r="D76" s="88"/>
      <c r="E76" s="4"/>
      <c r="F76" s="4">
        <v>392.5</v>
      </c>
      <c r="G76" s="6"/>
      <c r="H76" s="468" t="s">
        <v>26</v>
      </c>
      <c r="I76" s="468" t="s">
        <v>1159</v>
      </c>
      <c r="J76" s="3"/>
      <c r="K76" s="468"/>
      <c r="L76" s="468" t="s">
        <v>454</v>
      </c>
      <c r="M76" s="468" t="s">
        <v>1625</v>
      </c>
      <c r="N76" s="468" t="s">
        <v>33</v>
      </c>
      <c r="O76" s="468"/>
      <c r="P76" s="468"/>
      <c r="Q76" s="4"/>
      <c r="R76" s="6"/>
      <c r="S76" s="6"/>
      <c r="T76" s="4">
        <v>30</v>
      </c>
      <c r="U76" s="4"/>
      <c r="V76" s="4"/>
      <c r="W76" s="9">
        <v>1.4</v>
      </c>
      <c r="X76" s="9"/>
      <c r="Y76" s="9"/>
      <c r="Z76" s="9"/>
      <c r="AA76" s="9"/>
      <c r="AB76" s="9"/>
      <c r="AC76" s="468" t="str">
        <f t="shared" si="31"/>
        <v>PHC</v>
      </c>
      <c r="AD76" s="468"/>
      <c r="AE76" s="468"/>
      <c r="AF76" s="4"/>
      <c r="AG76" s="88"/>
      <c r="AH76" s="4"/>
      <c r="AI76" s="4"/>
      <c r="AJ76" s="468"/>
      <c r="AK76" s="468"/>
      <c r="AL76" s="468"/>
      <c r="AM76" s="468"/>
      <c r="AN76" s="10">
        <v>5.5</v>
      </c>
      <c r="AO76" s="9"/>
      <c r="AP76" s="9"/>
      <c r="AQ76" s="9"/>
      <c r="AR76" s="9"/>
      <c r="AS76" s="9"/>
      <c r="AT76" s="9">
        <f>+ab($T$76,$T$74,$T$78,$G$75,$G$77, 1*$F$76,1200)</f>
        <v>2.3858742448770216</v>
      </c>
      <c r="AU76" s="447"/>
      <c r="AV76" s="447"/>
      <c r="AW76" s="468" t="s">
        <v>199</v>
      </c>
      <c r="AX76" s="468" t="s">
        <v>199</v>
      </c>
      <c r="AY76" s="10"/>
      <c r="AZ76" s="10"/>
      <c r="BA76" s="553" t="str">
        <f t="shared" si="28"/>
        <v/>
      </c>
      <c r="BB76" s="553" t="str">
        <f t="shared" si="22"/>
        <v/>
      </c>
      <c r="BC76" s="553" t="str">
        <f t="shared" si="23"/>
        <v>ü</v>
      </c>
      <c r="BD76" s="572" t="str">
        <f>IF(AND(L76="",H76=""),"",
IF(H76="",Pole_Calc!A$9,
IF(H76="MP",Pole_Calc!A$10,
IF(H76="AnMP",Pole_Calc!A$11,
IF(H76="A",Pole_Calc!A$12,
IF(H76="S/A",Pole_Calc!A$13,
IF(H76="A/S",Pole_Calc!A$14,"Poner a mano")))))))</f>
        <v>App.7-V11H-P9.5.1.6</v>
      </c>
      <c r="BE76" s="448" t="s">
        <v>1726</v>
      </c>
      <c r="BF76" s="306"/>
      <c r="BG76" s="306"/>
      <c r="BH76" s="306"/>
      <c r="BI76" s="306"/>
    </row>
    <row r="77" spans="1:61" ht="16.2" customHeight="1">
      <c r="A77" s="574" t="s">
        <v>1497</v>
      </c>
      <c r="B77" s="469"/>
      <c r="C77" s="3"/>
      <c r="D77" s="88"/>
      <c r="E77" s="4"/>
      <c r="F77" s="4"/>
      <c r="G77" s="6">
        <v>31.6</v>
      </c>
      <c r="H77" s="468"/>
      <c r="I77" s="468"/>
      <c r="J77" s="3">
        <f>C76-7.5</f>
        <v>1696.5600000000004</v>
      </c>
      <c r="K77" s="468" t="s">
        <v>1625</v>
      </c>
      <c r="L77" s="468"/>
      <c r="M77" s="468" t="s">
        <v>195</v>
      </c>
      <c r="N77" s="468"/>
      <c r="O77" s="468"/>
      <c r="P77" s="468"/>
      <c r="Q77" s="4"/>
      <c r="R77" s="6"/>
      <c r="S77" s="6"/>
      <c r="T77" s="4"/>
      <c r="U77" s="4"/>
      <c r="V77" s="4"/>
      <c r="W77" s="9"/>
      <c r="X77" s="9"/>
      <c r="Y77" s="9"/>
      <c r="Z77" s="9"/>
      <c r="AA77" s="9"/>
      <c r="AB77" s="9"/>
      <c r="AC77" s="468" t="str">
        <f t="shared" si="31"/>
        <v/>
      </c>
      <c r="AD77" s="468"/>
      <c r="AE77" s="468"/>
      <c r="AF77" s="4"/>
      <c r="AG77" s="88"/>
      <c r="AH77" s="4"/>
      <c r="AI77" s="4"/>
      <c r="AJ77" s="468"/>
      <c r="AK77" s="468"/>
      <c r="AL77" s="468"/>
      <c r="AM77" s="468"/>
      <c r="AN77" s="10"/>
      <c r="AO77" s="9"/>
      <c r="AP77" s="9"/>
      <c r="AQ77" s="9">
        <f>+FL_1($T$78,$T$76,$G$77,1200,9.28, 1*$F$78)</f>
        <v>0.30000000000003069</v>
      </c>
      <c r="AR77" s="9"/>
      <c r="AS77" s="9"/>
      <c r="AT77" s="9"/>
      <c r="AU77" s="447"/>
      <c r="AV77" s="447"/>
      <c r="AW77" s="468"/>
      <c r="AX77" s="468"/>
      <c r="AY77" s="10"/>
      <c r="AZ77" s="10"/>
      <c r="BA77" s="553" t="str">
        <f t="shared" si="28"/>
        <v/>
      </c>
      <c r="BB77" s="553" t="str">
        <f t="shared" si="22"/>
        <v>ü</v>
      </c>
      <c r="BC77" s="553" t="str">
        <f t="shared" si="23"/>
        <v/>
      </c>
      <c r="BD77" s="572" t="str">
        <f>IF(AND(L77="",H77=""),"",
IF(H77="",Pole_Calc!A$9,
IF(H77="MP",Pole_Calc!A$10,
IF(H77="AnMP",Pole_Calc!A$11,
IF(H77="A",Pole_Calc!A$12,
IF(H77="S/A",Pole_Calc!A$13,
IF(H77="A/S",Pole_Calc!A$14,"Poner a mano")))))))</f>
        <v/>
      </c>
      <c r="BE77" s="448" t="s">
        <v>1726</v>
      </c>
      <c r="BF77" s="305"/>
      <c r="BG77" s="305"/>
      <c r="BH77" s="306"/>
      <c r="BI77" s="305"/>
    </row>
    <row r="78" spans="1:61" ht="16.2" customHeight="1">
      <c r="A78" s="574" t="s">
        <v>1497</v>
      </c>
      <c r="B78" s="469" t="s">
        <v>2316</v>
      </c>
      <c r="C78" s="3">
        <f t="shared" ref="C78" si="33">C76-G77</f>
        <v>1672.4600000000005</v>
      </c>
      <c r="D78" s="88"/>
      <c r="E78" s="4"/>
      <c r="F78" s="4">
        <v>392.5</v>
      </c>
      <c r="G78" s="6"/>
      <c r="H78" s="468"/>
      <c r="I78" s="468"/>
      <c r="J78" s="3"/>
      <c r="K78" s="468"/>
      <c r="L78" s="468" t="s">
        <v>38</v>
      </c>
      <c r="M78" s="468" t="s">
        <v>1625</v>
      </c>
      <c r="N78" s="468" t="s">
        <v>33</v>
      </c>
      <c r="O78" s="468"/>
      <c r="P78" s="468"/>
      <c r="Q78" s="4"/>
      <c r="R78" s="6"/>
      <c r="S78" s="6"/>
      <c r="T78" s="4">
        <v>30</v>
      </c>
      <c r="U78" s="4"/>
      <c r="V78" s="4"/>
      <c r="W78" s="9">
        <v>1.4</v>
      </c>
      <c r="X78" s="9"/>
      <c r="Y78" s="9"/>
      <c r="Z78" s="9"/>
      <c r="AA78" s="9"/>
      <c r="AB78" s="9"/>
      <c r="AC78" s="468" t="str">
        <f t="shared" si="31"/>
        <v>PHC</v>
      </c>
      <c r="AD78" s="468"/>
      <c r="AE78" s="468"/>
      <c r="AF78" s="4"/>
      <c r="AG78" s="88"/>
      <c r="AH78" s="4"/>
      <c r="AI78" s="4"/>
      <c r="AJ78" s="468"/>
      <c r="AK78" s="468"/>
      <c r="AL78" s="468"/>
      <c r="AM78" s="468"/>
      <c r="AN78" s="10">
        <v>5.5</v>
      </c>
      <c r="AO78" s="9"/>
      <c r="AP78" s="9"/>
      <c r="AQ78" s="9"/>
      <c r="AR78" s="9"/>
      <c r="AS78" s="9"/>
      <c r="AT78" s="9">
        <f>+ab($T$78,$T$76,$T$80,$G$77,$G$79, 1*$F$78,1200)</f>
        <v>2.3858742448770216</v>
      </c>
      <c r="AU78" s="447"/>
      <c r="AV78" s="447"/>
      <c r="AW78" s="468" t="s">
        <v>199</v>
      </c>
      <c r="AX78" s="468" t="s">
        <v>199</v>
      </c>
      <c r="AY78" s="10"/>
      <c r="AZ78" s="10"/>
      <c r="BA78" s="553" t="str">
        <f t="shared" si="28"/>
        <v/>
      </c>
      <c r="BB78" s="553" t="str">
        <f t="shared" si="22"/>
        <v/>
      </c>
      <c r="BC78" s="553" t="str">
        <f t="shared" si="23"/>
        <v>ü</v>
      </c>
      <c r="BD78" s="572" t="str">
        <f>IF(AND(L78="",H78=""),"",
IF(H78="",Pole_Calc!A$9,
IF(H78="MP",Pole_Calc!A$10,
IF(H78="AnMP",Pole_Calc!A$11,
IF(H78="A",Pole_Calc!A$12,
IF(H78="S/A",Pole_Calc!A$13,
IF(H78="A/S",Pole_Calc!A$14,"Poner a mano")))))))</f>
        <v>App.7-V11H-P9.5.1.1</v>
      </c>
      <c r="BE78" s="448" t="s">
        <v>1726</v>
      </c>
      <c r="BF78" s="306"/>
      <c r="BG78" s="306"/>
      <c r="BH78" s="306"/>
      <c r="BI78" s="306"/>
    </row>
    <row r="79" spans="1:61" ht="16.2" customHeight="1">
      <c r="A79" s="574" t="s">
        <v>1497</v>
      </c>
      <c r="B79" s="469"/>
      <c r="C79" s="3"/>
      <c r="D79" s="88"/>
      <c r="E79" s="4"/>
      <c r="F79" s="4"/>
      <c r="G79" s="6">
        <v>31.5</v>
      </c>
      <c r="H79" s="468"/>
      <c r="I79" s="468"/>
      <c r="J79" s="3"/>
      <c r="K79" s="468"/>
      <c r="L79" s="468"/>
      <c r="M79" s="468" t="s">
        <v>195</v>
      </c>
      <c r="N79" s="468"/>
      <c r="O79" s="468"/>
      <c r="P79" s="468"/>
      <c r="Q79" s="4"/>
      <c r="R79" s="6"/>
      <c r="S79" s="6"/>
      <c r="T79" s="4"/>
      <c r="U79" s="4"/>
      <c r="V79" s="4"/>
      <c r="W79" s="9"/>
      <c r="X79" s="9"/>
      <c r="Y79" s="9"/>
      <c r="Z79" s="9"/>
      <c r="AA79" s="9"/>
      <c r="AB79" s="9"/>
      <c r="AC79" s="468" t="str">
        <f t="shared" si="31"/>
        <v/>
      </c>
      <c r="AD79" s="468"/>
      <c r="AE79" s="468"/>
      <c r="AF79" s="4"/>
      <c r="AG79" s="88"/>
      <c r="AH79" s="4"/>
      <c r="AI79" s="4"/>
      <c r="AJ79" s="468"/>
      <c r="AK79" s="468"/>
      <c r="AL79" s="468"/>
      <c r="AM79" s="468"/>
      <c r="AN79" s="10"/>
      <c r="AO79" s="9"/>
      <c r="AP79" s="9"/>
      <c r="AQ79" s="9">
        <f>+FL_1($T$80,$T$78,$G$79,1200,9.28, 1*$F$80)</f>
        <v>0.30000000000003096</v>
      </c>
      <c r="AR79" s="9"/>
      <c r="AS79" s="9"/>
      <c r="AT79" s="9"/>
      <c r="AU79" s="447"/>
      <c r="AV79" s="447"/>
      <c r="AW79" s="468"/>
      <c r="AX79" s="468"/>
      <c r="AY79" s="10"/>
      <c r="AZ79" s="10"/>
      <c r="BA79" s="553" t="str">
        <f t="shared" si="28"/>
        <v/>
      </c>
      <c r="BB79" s="553" t="str">
        <f t="shared" si="22"/>
        <v/>
      </c>
      <c r="BC79" s="553" t="str">
        <f t="shared" si="23"/>
        <v/>
      </c>
      <c r="BD79" s="572" t="str">
        <f>IF(AND(L79="",H79=""),"",
IF(H79="",Pole_Calc!A$9,
IF(H79="MP",Pole_Calc!A$10,
IF(H79="AnMP",Pole_Calc!A$11,
IF(H79="A",Pole_Calc!A$12,
IF(H79="S/A",Pole_Calc!A$13,
IF(H79="A/S",Pole_Calc!A$14,"Poner a mano")))))))</f>
        <v/>
      </c>
      <c r="BE79" s="448" t="s">
        <v>1726</v>
      </c>
      <c r="BF79" s="305"/>
      <c r="BG79" s="305"/>
      <c r="BH79" s="306"/>
      <c r="BI79" s="305"/>
    </row>
    <row r="80" spans="1:61" ht="16.2" customHeight="1">
      <c r="A80" s="574" t="s">
        <v>1497</v>
      </c>
      <c r="B80" s="469" t="s">
        <v>2317</v>
      </c>
      <c r="C80" s="3">
        <f t="shared" ref="C80" si="34">C78-G79</f>
        <v>1640.9600000000005</v>
      </c>
      <c r="D80" s="88"/>
      <c r="E80" s="4"/>
      <c r="F80" s="4">
        <v>392.5</v>
      </c>
      <c r="G80" s="6"/>
      <c r="H80" s="468"/>
      <c r="I80" s="468"/>
      <c r="J80" s="3"/>
      <c r="K80" s="468"/>
      <c r="L80" s="468" t="s">
        <v>38</v>
      </c>
      <c r="M80" s="468" t="s">
        <v>1625</v>
      </c>
      <c r="N80" s="468" t="s">
        <v>33</v>
      </c>
      <c r="O80" s="468"/>
      <c r="P80" s="468"/>
      <c r="Q80" s="4"/>
      <c r="R80" s="6"/>
      <c r="S80" s="6"/>
      <c r="T80" s="4">
        <v>30</v>
      </c>
      <c r="U80" s="4"/>
      <c r="V80" s="4"/>
      <c r="W80" s="9">
        <v>1.4</v>
      </c>
      <c r="X80" s="9"/>
      <c r="Y80" s="9"/>
      <c r="Z80" s="9"/>
      <c r="AA80" s="9"/>
      <c r="AB80" s="9"/>
      <c r="AC80" s="468" t="str">
        <f t="shared" si="31"/>
        <v>PHC</v>
      </c>
      <c r="AD80" s="468"/>
      <c r="AE80" s="468"/>
      <c r="AF80" s="4"/>
      <c r="AG80" s="88"/>
      <c r="AH80" s="4"/>
      <c r="AI80" s="4"/>
      <c r="AJ80" s="468"/>
      <c r="AK80" s="468"/>
      <c r="AL80" s="468"/>
      <c r="AM80" s="468"/>
      <c r="AN80" s="10">
        <v>5.5</v>
      </c>
      <c r="AO80" s="9"/>
      <c r="AP80" s="9"/>
      <c r="AQ80" s="9"/>
      <c r="AR80" s="9"/>
      <c r="AS80" s="9"/>
      <c r="AT80" s="9">
        <f>+ab($T$80,$T$78,$T$82,$G$79,$G$81, 1*$F$80,1200)</f>
        <v>2.3858742448770216</v>
      </c>
      <c r="AU80" s="447"/>
      <c r="AV80" s="447"/>
      <c r="AW80" s="468" t="s">
        <v>199</v>
      </c>
      <c r="AX80" s="468" t="s">
        <v>199</v>
      </c>
      <c r="AY80" s="10"/>
      <c r="AZ80" s="10"/>
      <c r="BA80" s="553" t="str">
        <f t="shared" si="28"/>
        <v/>
      </c>
      <c r="BB80" s="553" t="str">
        <f t="shared" si="22"/>
        <v/>
      </c>
      <c r="BC80" s="553" t="str">
        <f t="shared" si="23"/>
        <v>ü</v>
      </c>
      <c r="BD80" s="572" t="str">
        <f>IF(AND(L80="",H80=""),"",
IF(H80="",Pole_Calc!A$9,
IF(H80="MP",Pole_Calc!A$10,
IF(H80="AnMP",Pole_Calc!A$11,
IF(H80="A",Pole_Calc!A$12,
IF(H80="S/A",Pole_Calc!A$13,
IF(H80="A/S",Pole_Calc!A$14,"Poner a mano")))))))</f>
        <v>App.7-V11H-P9.5.1.1</v>
      </c>
      <c r="BE80" s="448" t="s">
        <v>1726</v>
      </c>
      <c r="BF80" s="306"/>
      <c r="BG80" s="306"/>
      <c r="BH80" s="306"/>
      <c r="BI80" s="306"/>
    </row>
    <row r="81" spans="1:61" ht="16.2" customHeight="1">
      <c r="A81" s="574" t="s">
        <v>1497</v>
      </c>
      <c r="B81" s="469"/>
      <c r="C81" s="3"/>
      <c r="D81" s="88"/>
      <c r="E81" s="4"/>
      <c r="F81" s="4"/>
      <c r="G81" s="6">
        <v>31.6</v>
      </c>
      <c r="H81" s="468"/>
      <c r="I81" s="468"/>
      <c r="J81" s="3"/>
      <c r="K81" s="468"/>
      <c r="L81" s="468"/>
      <c r="M81" s="468" t="s">
        <v>195</v>
      </c>
      <c r="N81" s="468"/>
      <c r="O81" s="468"/>
      <c r="P81" s="468"/>
      <c r="Q81" s="4"/>
      <c r="R81" s="6"/>
      <c r="S81" s="6"/>
      <c r="T81" s="4"/>
      <c r="U81" s="4"/>
      <c r="V81" s="4"/>
      <c r="W81" s="9"/>
      <c r="X81" s="9"/>
      <c r="Y81" s="9"/>
      <c r="Z81" s="9"/>
      <c r="AA81" s="9"/>
      <c r="AB81" s="9"/>
      <c r="AC81" s="468" t="str">
        <f t="shared" si="31"/>
        <v/>
      </c>
      <c r="AD81" s="468"/>
      <c r="AE81" s="468"/>
      <c r="AF81" s="4"/>
      <c r="AG81" s="88"/>
      <c r="AH81" s="4"/>
      <c r="AI81" s="4"/>
      <c r="AJ81" s="468"/>
      <c r="AK81" s="468"/>
      <c r="AL81" s="468"/>
      <c r="AM81" s="468"/>
      <c r="AN81" s="10"/>
      <c r="AO81" s="9"/>
      <c r="AP81" s="9"/>
      <c r="AQ81" s="9">
        <f>+FL_1($T$82,$T$80,$G$81,1200,9.28, 1*$F$82)</f>
        <v>0.30000000000003069</v>
      </c>
      <c r="AR81" s="9"/>
      <c r="AS81" s="9"/>
      <c r="AT81" s="9"/>
      <c r="AU81" s="447"/>
      <c r="AV81" s="447"/>
      <c r="AW81" s="468"/>
      <c r="AX81" s="468"/>
      <c r="AY81" s="10"/>
      <c r="AZ81" s="10"/>
      <c r="BA81" s="553" t="str">
        <f t="shared" si="28"/>
        <v/>
      </c>
      <c r="BB81" s="553" t="str">
        <f t="shared" si="22"/>
        <v/>
      </c>
      <c r="BC81" s="553" t="str">
        <f t="shared" si="23"/>
        <v/>
      </c>
      <c r="BD81" s="572" t="str">
        <f>IF(AND(L81="",H81=""),"",
IF(H81="",Pole_Calc!A$9,
IF(H81="MP",Pole_Calc!A$10,
IF(H81="AnMP",Pole_Calc!A$11,
IF(H81="A",Pole_Calc!A$12,
IF(H81="S/A",Pole_Calc!A$13,
IF(H81="A/S",Pole_Calc!A$14,"Poner a mano")))))))</f>
        <v/>
      </c>
      <c r="BE81" s="448" t="s">
        <v>1726</v>
      </c>
      <c r="BF81" s="305"/>
      <c r="BG81" s="305"/>
      <c r="BH81" s="306"/>
      <c r="BI81" s="305"/>
    </row>
    <row r="82" spans="1:61" ht="16.2" customHeight="1">
      <c r="A82" s="574" t="s">
        <v>1497</v>
      </c>
      <c r="B82" s="469" t="s">
        <v>2318</v>
      </c>
      <c r="C82" s="3">
        <f t="shared" ref="C82" si="35">C80-G81</f>
        <v>1609.3600000000006</v>
      </c>
      <c r="D82" s="88"/>
      <c r="E82" s="4"/>
      <c r="F82" s="4">
        <v>392.5</v>
      </c>
      <c r="G82" s="6"/>
      <c r="H82" s="468"/>
      <c r="I82" s="468"/>
      <c r="J82" s="3"/>
      <c r="K82" s="468"/>
      <c r="L82" s="468" t="s">
        <v>38</v>
      </c>
      <c r="M82" s="468" t="s">
        <v>1625</v>
      </c>
      <c r="N82" s="468" t="s">
        <v>33</v>
      </c>
      <c r="O82" s="468"/>
      <c r="P82" s="468"/>
      <c r="Q82" s="4"/>
      <c r="R82" s="6"/>
      <c r="S82" s="6"/>
      <c r="T82" s="4">
        <v>30</v>
      </c>
      <c r="U82" s="4"/>
      <c r="V82" s="4"/>
      <c r="W82" s="9">
        <v>1.4</v>
      </c>
      <c r="X82" s="9"/>
      <c r="Y82" s="9"/>
      <c r="Z82" s="9"/>
      <c r="AA82" s="9"/>
      <c r="AB82" s="9"/>
      <c r="AC82" s="468" t="str">
        <f t="shared" si="31"/>
        <v>PHC</v>
      </c>
      <c r="AD82" s="468"/>
      <c r="AE82" s="468"/>
      <c r="AF82" s="4"/>
      <c r="AG82" s="88"/>
      <c r="AH82" s="4"/>
      <c r="AI82" s="4"/>
      <c r="AJ82" s="468"/>
      <c r="AK82" s="468"/>
      <c r="AL82" s="468"/>
      <c r="AM82" s="468"/>
      <c r="AN82" s="10">
        <v>5.5</v>
      </c>
      <c r="AO82" s="9"/>
      <c r="AP82" s="9"/>
      <c r="AQ82" s="9"/>
      <c r="AR82" s="9"/>
      <c r="AS82" s="9"/>
      <c r="AT82" s="9">
        <f>+ab($T$82,$T$80,$T$84,$G$81,$G$83, 1*$F$82,1200)</f>
        <v>2.3821034796170011</v>
      </c>
      <c r="AU82" s="447"/>
      <c r="AV82" s="447"/>
      <c r="AW82" s="468" t="s">
        <v>199</v>
      </c>
      <c r="AX82" s="468" t="s">
        <v>199</v>
      </c>
      <c r="AY82" s="10"/>
      <c r="AZ82" s="10"/>
      <c r="BA82" s="553" t="str">
        <f t="shared" si="28"/>
        <v/>
      </c>
      <c r="BB82" s="553" t="str">
        <f t="shared" si="22"/>
        <v/>
      </c>
      <c r="BC82" s="553" t="str">
        <f t="shared" si="23"/>
        <v>ü</v>
      </c>
      <c r="BD82" s="572" t="str">
        <f>IF(AND(L82="",H82=""),"",
IF(H82="",Pole_Calc!A$9,
IF(H82="MP",Pole_Calc!A$10,
IF(H82="AnMP",Pole_Calc!A$11,
IF(H82="A",Pole_Calc!A$12,
IF(H82="S/A",Pole_Calc!A$13,
IF(H82="A/S",Pole_Calc!A$14,"Poner a mano")))))))</f>
        <v>App.7-V11H-P9.5.1.1</v>
      </c>
      <c r="BE82" s="448" t="s">
        <v>1726</v>
      </c>
      <c r="BF82" s="306"/>
      <c r="BG82" s="306"/>
      <c r="BH82" s="306"/>
      <c r="BI82" s="306"/>
    </row>
    <row r="83" spans="1:61" ht="16.2" customHeight="1">
      <c r="A83" s="574" t="s">
        <v>1497</v>
      </c>
      <c r="B83" s="469"/>
      <c r="C83" s="3"/>
      <c r="D83" s="88"/>
      <c r="E83" s="4"/>
      <c r="F83" s="4"/>
      <c r="G83" s="6">
        <v>31.6</v>
      </c>
      <c r="H83" s="468"/>
      <c r="I83" s="468"/>
      <c r="J83" s="3"/>
      <c r="K83" s="468"/>
      <c r="L83" s="468"/>
      <c r="M83" s="468" t="s">
        <v>195</v>
      </c>
      <c r="N83" s="468"/>
      <c r="O83" s="468"/>
      <c r="P83" s="468"/>
      <c r="Q83" s="4"/>
      <c r="R83" s="6"/>
      <c r="S83" s="6"/>
      <c r="T83" s="4"/>
      <c r="U83" s="4"/>
      <c r="V83" s="4"/>
      <c r="W83" s="9"/>
      <c r="X83" s="9"/>
      <c r="Y83" s="9"/>
      <c r="Z83" s="9"/>
      <c r="AA83" s="9"/>
      <c r="AB83" s="9"/>
      <c r="AC83" s="468" t="str">
        <f t="shared" si="31"/>
        <v/>
      </c>
      <c r="AD83" s="468"/>
      <c r="AE83" s="468"/>
      <c r="AF83" s="4"/>
      <c r="AG83" s="88"/>
      <c r="AH83" s="4"/>
      <c r="AI83" s="4"/>
      <c r="AJ83" s="468"/>
      <c r="AK83" s="468"/>
      <c r="AL83" s="468"/>
      <c r="AM83" s="468"/>
      <c r="AN83" s="10"/>
      <c r="AO83" s="9"/>
      <c r="AP83" s="9"/>
      <c r="AQ83" s="9">
        <f>+FL_1($T$84,$T$82,$G$83,1200,9.28, 1*$F$84)</f>
        <v>0.30000000000003069</v>
      </c>
      <c r="AR83" s="9"/>
      <c r="AS83" s="9"/>
      <c r="AT83" s="9"/>
      <c r="AU83" s="447"/>
      <c r="AV83" s="447"/>
      <c r="AW83" s="468"/>
      <c r="AX83" s="468"/>
      <c r="AY83" s="10"/>
      <c r="AZ83" s="10"/>
      <c r="BA83" s="553" t="str">
        <f t="shared" si="28"/>
        <v/>
      </c>
      <c r="BB83" s="553" t="str">
        <f t="shared" si="22"/>
        <v/>
      </c>
      <c r="BC83" s="553" t="str">
        <f t="shared" si="23"/>
        <v/>
      </c>
      <c r="BD83" s="572" t="str">
        <f>IF(AND(L83="",H83=""),"",
IF(H83="",Pole_Calc!A$9,
IF(H83="MP",Pole_Calc!A$10,
IF(H83="AnMP",Pole_Calc!A$11,
IF(H83="A",Pole_Calc!A$12,
IF(H83="S/A",Pole_Calc!A$13,
IF(H83="A/S",Pole_Calc!A$14,"Poner a mano")))))))</f>
        <v/>
      </c>
      <c r="BE83" s="448" t="s">
        <v>1726</v>
      </c>
      <c r="BF83" s="305"/>
      <c r="BG83" s="305"/>
      <c r="BH83" s="306"/>
      <c r="BI83" s="305"/>
    </row>
    <row r="84" spans="1:61" ht="16.2" customHeight="1">
      <c r="A84" s="574" t="s">
        <v>1497</v>
      </c>
      <c r="B84" s="469" t="s">
        <v>2319</v>
      </c>
      <c r="C84" s="3">
        <f t="shared" ref="C84" si="36">C82-G83</f>
        <v>1577.7600000000007</v>
      </c>
      <c r="D84" s="88"/>
      <c r="E84" s="4"/>
      <c r="F84" s="4">
        <v>392.5</v>
      </c>
      <c r="G84" s="6"/>
      <c r="H84" s="468"/>
      <c r="I84" s="468"/>
      <c r="J84" s="3"/>
      <c r="K84" s="468"/>
      <c r="L84" s="468" t="s">
        <v>38</v>
      </c>
      <c r="M84" s="468" t="s">
        <v>1625</v>
      </c>
      <c r="N84" s="468" t="s">
        <v>33</v>
      </c>
      <c r="O84" s="468"/>
      <c r="P84" s="468"/>
      <c r="Q84" s="4"/>
      <c r="R84" s="6"/>
      <c r="S84" s="6"/>
      <c r="T84" s="4">
        <v>30</v>
      </c>
      <c r="U84" s="4"/>
      <c r="V84" s="4"/>
      <c r="W84" s="9">
        <v>1.4</v>
      </c>
      <c r="X84" s="9"/>
      <c r="Y84" s="9"/>
      <c r="Z84" s="9"/>
      <c r="AA84" s="9"/>
      <c r="AB84" s="9"/>
      <c r="AC84" s="468" t="str">
        <f t="shared" si="31"/>
        <v>PHC</v>
      </c>
      <c r="AD84" s="468"/>
      <c r="AE84" s="468"/>
      <c r="AF84" s="4"/>
      <c r="AG84" s="88"/>
      <c r="AH84" s="4"/>
      <c r="AI84" s="4"/>
      <c r="AJ84" s="468"/>
      <c r="AK84" s="468"/>
      <c r="AL84" s="468"/>
      <c r="AM84" s="468"/>
      <c r="AN84" s="10">
        <v>5.5</v>
      </c>
      <c r="AO84" s="9"/>
      <c r="AP84" s="9"/>
      <c r="AQ84" s="9"/>
      <c r="AR84" s="9"/>
      <c r="AS84" s="9"/>
      <c r="AT84" s="9">
        <f>+ab($T$84,$T$82,$T$86,$G$83,$G$85, 1*$F$84,1200)</f>
        <v>2.3821034796170011</v>
      </c>
      <c r="AU84" s="447"/>
      <c r="AV84" s="447"/>
      <c r="AW84" s="468" t="s">
        <v>199</v>
      </c>
      <c r="AX84" s="468" t="s">
        <v>199</v>
      </c>
      <c r="AY84" s="10"/>
      <c r="AZ84" s="10"/>
      <c r="BA84" s="553" t="str">
        <f t="shared" si="28"/>
        <v/>
      </c>
      <c r="BB84" s="553" t="str">
        <f t="shared" si="22"/>
        <v/>
      </c>
      <c r="BC84" s="553" t="str">
        <f t="shared" si="23"/>
        <v>ü</v>
      </c>
      <c r="BD84" s="572" t="str">
        <f>IF(AND(L84="",H84=""),"",
IF(H84="",Pole_Calc!A$9,
IF(H84="MP",Pole_Calc!A$10,
IF(H84="AnMP",Pole_Calc!A$11,
IF(H84="A",Pole_Calc!A$12,
IF(H84="S/A",Pole_Calc!A$13,
IF(H84="A/S",Pole_Calc!A$14,"Poner a mano")))))))</f>
        <v>App.7-V11H-P9.5.1.1</v>
      </c>
      <c r="BE84" s="448" t="s">
        <v>1726</v>
      </c>
      <c r="BF84" s="306"/>
      <c r="BG84" s="306"/>
      <c r="BH84" s="306"/>
      <c r="BI84" s="306"/>
    </row>
    <row r="85" spans="1:61" ht="16.2" customHeight="1">
      <c r="A85" s="574" t="s">
        <v>1497</v>
      </c>
      <c r="B85" s="469"/>
      <c r="C85" s="3"/>
      <c r="D85" s="88"/>
      <c r="E85" s="4"/>
      <c r="F85" s="4"/>
      <c r="G85" s="6">
        <v>31.6</v>
      </c>
      <c r="H85" s="468"/>
      <c r="I85" s="468"/>
      <c r="J85" s="3">
        <f>C86+7.5</f>
        <v>1553.6600000000008</v>
      </c>
      <c r="K85" s="468" t="s">
        <v>1625</v>
      </c>
      <c r="L85" s="468"/>
      <c r="M85" s="468" t="s">
        <v>195</v>
      </c>
      <c r="N85" s="468"/>
      <c r="O85" s="468"/>
      <c r="P85" s="468"/>
      <c r="Q85" s="4"/>
      <c r="R85" s="6"/>
      <c r="S85" s="6"/>
      <c r="T85" s="4"/>
      <c r="U85" s="4"/>
      <c r="V85" s="4"/>
      <c r="W85" s="9"/>
      <c r="X85" s="9"/>
      <c r="Y85" s="9"/>
      <c r="Z85" s="9"/>
      <c r="AA85" s="9"/>
      <c r="AB85" s="9"/>
      <c r="AC85" s="468" t="str">
        <f t="shared" si="31"/>
        <v/>
      </c>
      <c r="AD85" s="468"/>
      <c r="AE85" s="468"/>
      <c r="AF85" s="4"/>
      <c r="AG85" s="88"/>
      <c r="AH85" s="4"/>
      <c r="AI85" s="4"/>
      <c r="AJ85" s="468"/>
      <c r="AK85" s="468"/>
      <c r="AL85" s="468"/>
      <c r="AM85" s="468"/>
      <c r="AN85" s="10"/>
      <c r="AO85" s="9"/>
      <c r="AP85" s="9"/>
      <c r="AQ85" s="9">
        <f>+FL_1($T$86,$T$84,$G$85,1200,9.28, 1*$F$86)</f>
        <v>0.30000000000003069</v>
      </c>
      <c r="AR85" s="9"/>
      <c r="AS85" s="9"/>
      <c r="AT85" s="9"/>
      <c r="AU85" s="447"/>
      <c r="AV85" s="447"/>
      <c r="AW85" s="468"/>
      <c r="AX85" s="468"/>
      <c r="AY85" s="10"/>
      <c r="AZ85" s="10"/>
      <c r="BA85" s="553" t="str">
        <f t="shared" si="28"/>
        <v/>
      </c>
      <c r="BB85" s="553" t="str">
        <f t="shared" si="22"/>
        <v>ü</v>
      </c>
      <c r="BC85" s="553" t="str">
        <f t="shared" si="23"/>
        <v/>
      </c>
      <c r="BD85" s="572" t="str">
        <f>IF(AND(L85="",H85=""),"",
IF(H85="",Pole_Calc!A$9,
IF(H85="MP",Pole_Calc!A$10,
IF(H85="AnMP",Pole_Calc!A$11,
IF(H85="A",Pole_Calc!A$12,
IF(H85="S/A",Pole_Calc!A$13,
IF(H85="A/S",Pole_Calc!A$14,"Poner a mano")))))))</f>
        <v/>
      </c>
      <c r="BE85" s="448" t="s">
        <v>1726</v>
      </c>
      <c r="BF85" s="305"/>
      <c r="BG85" s="305"/>
      <c r="BH85" s="306"/>
      <c r="BI85" s="305"/>
    </row>
    <row r="86" spans="1:61" ht="16.2" customHeight="1">
      <c r="A86" s="574" t="s">
        <v>1497</v>
      </c>
      <c r="B86" s="469" t="s">
        <v>2320</v>
      </c>
      <c r="C86" s="3">
        <f t="shared" ref="C86" si="37">C84-G85</f>
        <v>1546.1600000000008</v>
      </c>
      <c r="D86" s="88"/>
      <c r="E86" s="4"/>
      <c r="F86" s="4">
        <v>392.5</v>
      </c>
      <c r="G86" s="6"/>
      <c r="H86" s="468" t="s">
        <v>365</v>
      </c>
      <c r="I86" s="468"/>
      <c r="J86" s="3"/>
      <c r="K86" s="468"/>
      <c r="L86" s="468" t="s">
        <v>40</v>
      </c>
      <c r="M86" s="468" t="s">
        <v>1625</v>
      </c>
      <c r="N86" s="468" t="s">
        <v>33</v>
      </c>
      <c r="O86" s="468"/>
      <c r="P86" s="468"/>
      <c r="Q86" s="4"/>
      <c r="R86" s="6"/>
      <c r="S86" s="6"/>
      <c r="T86" s="4">
        <v>30</v>
      </c>
      <c r="U86" s="4"/>
      <c r="V86" s="4"/>
      <c r="W86" s="9">
        <v>1.4</v>
      </c>
      <c r="X86" s="9"/>
      <c r="Y86" s="9"/>
      <c r="Z86" s="9"/>
      <c r="AA86" s="9"/>
      <c r="AB86" s="9"/>
      <c r="AC86" s="468" t="str">
        <f t="shared" si="31"/>
        <v>PHC</v>
      </c>
      <c r="AD86" s="468"/>
      <c r="AE86" s="468"/>
      <c r="AF86" s="4"/>
      <c r="AG86" s="88"/>
      <c r="AH86" s="4"/>
      <c r="AI86" s="4"/>
      <c r="AJ86" s="468"/>
      <c r="AK86" s="468"/>
      <c r="AL86" s="468"/>
      <c r="AM86" s="468"/>
      <c r="AN86" s="10">
        <v>5.5</v>
      </c>
      <c r="AO86" s="9"/>
      <c r="AP86" s="9"/>
      <c r="AQ86" s="9"/>
      <c r="AR86" s="9"/>
      <c r="AS86" s="9"/>
      <c r="AT86" s="9">
        <f>+ab($T$86,$T$84,$T$88,$G$85,$G$87, 1*$F$86,1200)</f>
        <v>2.3821034796170011</v>
      </c>
      <c r="AU86" s="447"/>
      <c r="AV86" s="447"/>
      <c r="AW86" s="468" t="s">
        <v>199</v>
      </c>
      <c r="AX86" s="468" t="s">
        <v>199</v>
      </c>
      <c r="AY86" s="10"/>
      <c r="AZ86" s="10"/>
      <c r="BA86" s="553" t="str">
        <f t="shared" si="28"/>
        <v/>
      </c>
      <c r="BB86" s="553" t="str">
        <f t="shared" si="22"/>
        <v/>
      </c>
      <c r="BC86" s="553" t="str">
        <f t="shared" si="23"/>
        <v>ü</v>
      </c>
      <c r="BD86" s="572" t="str">
        <f>IF(AND(L86="",H86=""),"",
IF(H86="",Pole_Calc!A$9,
IF(H86="MP",Pole_Calc!A$10,
IF(H86="AnMP",Pole_Calc!A$11,
IF(H86="A",Pole_Calc!A$12,
IF(H86="S/A",Pole_Calc!A$13,
IF(H86="A/S",Pole_Calc!A$14,"Poner a mano")))))))</f>
        <v>App.7-V11H-P9.5.1.3</v>
      </c>
      <c r="BE86" s="448" t="s">
        <v>1726</v>
      </c>
      <c r="BF86" s="306"/>
      <c r="BG86" s="306"/>
      <c r="BH86" s="306"/>
      <c r="BI86" s="306"/>
    </row>
    <row r="87" spans="1:61" ht="16.2" customHeight="1">
      <c r="A87" s="574" t="s">
        <v>1497</v>
      </c>
      <c r="B87" s="469"/>
      <c r="C87" s="3"/>
      <c r="D87" s="88"/>
      <c r="E87" s="4"/>
      <c r="F87" s="4"/>
      <c r="G87" s="6">
        <v>31.6</v>
      </c>
      <c r="H87" s="468"/>
      <c r="I87" s="4">
        <f>SUM(G67:G87)</f>
        <v>350.80000000000007</v>
      </c>
      <c r="J87" s="3"/>
      <c r="K87" s="468"/>
      <c r="L87" s="468"/>
      <c r="M87" s="468" t="s">
        <v>195</v>
      </c>
      <c r="N87" s="468"/>
      <c r="O87" s="468"/>
      <c r="P87" s="468"/>
      <c r="Q87" s="4"/>
      <c r="R87" s="6"/>
      <c r="S87" s="6"/>
      <c r="T87" s="4"/>
      <c r="U87" s="4"/>
      <c r="V87" s="4"/>
      <c r="W87" s="9"/>
      <c r="X87" s="9"/>
      <c r="Y87" s="9"/>
      <c r="Z87" s="9"/>
      <c r="AA87" s="9"/>
      <c r="AB87" s="9"/>
      <c r="AC87" s="468" t="str">
        <f t="shared" si="31"/>
        <v/>
      </c>
      <c r="AD87" s="468"/>
      <c r="AE87" s="468"/>
      <c r="AF87" s="4"/>
      <c r="AG87" s="88"/>
      <c r="AH87" s="4"/>
      <c r="AI87" s="4"/>
      <c r="AJ87" s="468"/>
      <c r="AK87" s="468"/>
      <c r="AL87" s="468"/>
      <c r="AM87" s="468"/>
      <c r="AN87" s="10"/>
      <c r="AO87" s="9"/>
      <c r="AP87" s="9"/>
      <c r="AQ87" s="9">
        <f>+FL_1($T$88,$T$86,$G$87,1200,9.28, 1*$F$88)</f>
        <v>0.30000000000003069</v>
      </c>
      <c r="AR87" s="9"/>
      <c r="AS87" s="9"/>
      <c r="AT87" s="9"/>
      <c r="AU87" s="447"/>
      <c r="AV87" s="447"/>
      <c r="AW87" s="468"/>
      <c r="AX87" s="468"/>
      <c r="AY87" s="10"/>
      <c r="AZ87" s="10"/>
      <c r="BA87" s="553" t="str">
        <f t="shared" si="28"/>
        <v/>
      </c>
      <c r="BB87" s="553" t="str">
        <f t="shared" si="22"/>
        <v/>
      </c>
      <c r="BC87" s="553" t="str">
        <f t="shared" si="23"/>
        <v/>
      </c>
      <c r="BD87" s="572" t="str">
        <f>IF(AND(L87="",H87=""),"",
IF(H87="",Pole_Calc!A$9,
IF(H87="MP",Pole_Calc!A$10,
IF(H87="AnMP",Pole_Calc!A$11,
IF(H87="A",Pole_Calc!A$12,
IF(H87="S/A",Pole_Calc!A$13,
IF(H87="A/S",Pole_Calc!A$14,"Poner a mano")))))))</f>
        <v/>
      </c>
      <c r="BE87" s="448" t="s">
        <v>1726</v>
      </c>
      <c r="BF87" s="305"/>
      <c r="BG87" s="305"/>
      <c r="BH87" s="306"/>
      <c r="BI87" s="305"/>
    </row>
    <row r="88" spans="1:61" ht="16.2" customHeight="1">
      <c r="A88" s="574" t="s">
        <v>1497</v>
      </c>
      <c r="B88" s="469" t="s">
        <v>2321</v>
      </c>
      <c r="C88" s="3">
        <f t="shared" ref="C88" si="38">C86-G87</f>
        <v>1514.5600000000009</v>
      </c>
      <c r="D88" s="88"/>
      <c r="E88" s="4"/>
      <c r="F88" s="4">
        <v>392.5</v>
      </c>
      <c r="G88" s="6"/>
      <c r="H88" s="468" t="s">
        <v>366</v>
      </c>
      <c r="I88" s="468"/>
      <c r="J88" s="3"/>
      <c r="K88" s="468"/>
      <c r="L88" s="468" t="s">
        <v>40</v>
      </c>
      <c r="M88" s="468" t="s">
        <v>1625</v>
      </c>
      <c r="N88" s="468" t="s">
        <v>33</v>
      </c>
      <c r="O88" s="468"/>
      <c r="P88" s="468"/>
      <c r="Q88" s="4"/>
      <c r="R88" s="6"/>
      <c r="S88" s="6"/>
      <c r="T88" s="4">
        <v>30</v>
      </c>
      <c r="U88" s="4"/>
      <c r="V88" s="4"/>
      <c r="W88" s="9">
        <v>1.4</v>
      </c>
      <c r="X88" s="9"/>
      <c r="Y88" s="9"/>
      <c r="Z88" s="9"/>
      <c r="AA88" s="9"/>
      <c r="AB88" s="9"/>
      <c r="AC88" s="468" t="str">
        <f t="shared" si="31"/>
        <v>PHC</v>
      </c>
      <c r="AD88" s="468"/>
      <c r="AE88" s="468"/>
      <c r="AF88" s="4"/>
      <c r="AG88" s="88"/>
      <c r="AH88" s="4"/>
      <c r="AI88" s="4"/>
      <c r="AJ88" s="468"/>
      <c r="AK88" s="468"/>
      <c r="AL88" s="468"/>
      <c r="AM88" s="468"/>
      <c r="AN88" s="10">
        <v>5.5</v>
      </c>
      <c r="AO88" s="9"/>
      <c r="AP88" s="9"/>
      <c r="AQ88" s="9"/>
      <c r="AR88" s="9"/>
      <c r="AS88" s="9"/>
      <c r="AT88" s="9">
        <f>+ab($T$88,$T$86,$T$90,$G$87,$G$89, 1*$F$88,1200)</f>
        <v>2.3821034796170011</v>
      </c>
      <c r="AU88" s="447"/>
      <c r="AV88" s="447"/>
      <c r="AW88" s="468" t="s">
        <v>199</v>
      </c>
      <c r="AX88" s="468" t="s">
        <v>199</v>
      </c>
      <c r="AY88" s="10"/>
      <c r="AZ88" s="10"/>
      <c r="BA88" s="553" t="str">
        <f t="shared" si="28"/>
        <v/>
      </c>
      <c r="BB88" s="553" t="str">
        <f t="shared" si="22"/>
        <v/>
      </c>
      <c r="BC88" s="553" t="str">
        <f t="shared" si="23"/>
        <v>ü</v>
      </c>
      <c r="BD88" s="572" t="str">
        <f>IF(AND(L88="",H88=""),"",
IF(H88="",Pole_Calc!A$9,
IF(H88="MP",Pole_Calc!A$10,
IF(H88="AnMP",Pole_Calc!A$11,
IF(H88="A",Pole_Calc!A$12,
IF(H88="S/A",Pole_Calc!A$13,
IF(H88="A/S",Pole_Calc!A$14,"Poner a mano")))))))</f>
        <v>App.7-V11H-P9.5.1.2</v>
      </c>
      <c r="BE88" s="448" t="s">
        <v>1726</v>
      </c>
      <c r="BF88" s="306"/>
      <c r="BG88" s="306"/>
      <c r="BH88" s="306"/>
      <c r="BI88" s="306"/>
    </row>
    <row r="89" spans="1:61" ht="16.2" customHeight="1">
      <c r="A89" s="574" t="s">
        <v>1497</v>
      </c>
      <c r="B89" s="469"/>
      <c r="C89" s="3"/>
      <c r="D89" s="88"/>
      <c r="E89" s="4"/>
      <c r="F89" s="4"/>
      <c r="G89" s="6">
        <v>31.6</v>
      </c>
      <c r="H89" s="468"/>
      <c r="I89" s="4">
        <f>SUM(G89:G109)</f>
        <v>413.09999999999997</v>
      </c>
      <c r="J89" s="3"/>
      <c r="K89" s="468"/>
      <c r="L89" s="468"/>
      <c r="M89" s="468" t="s">
        <v>195</v>
      </c>
      <c r="N89" s="468"/>
      <c r="O89" s="468"/>
      <c r="P89" s="468"/>
      <c r="Q89" s="4"/>
      <c r="R89" s="6"/>
      <c r="S89" s="6"/>
      <c r="T89" s="4"/>
      <c r="U89" s="4"/>
      <c r="V89" s="4"/>
      <c r="W89" s="9"/>
      <c r="X89" s="9"/>
      <c r="Y89" s="9"/>
      <c r="Z89" s="9"/>
      <c r="AA89" s="9"/>
      <c r="AB89" s="9"/>
      <c r="AC89" s="468" t="str">
        <f t="shared" si="31"/>
        <v/>
      </c>
      <c r="AD89" s="468"/>
      <c r="AE89" s="468"/>
      <c r="AF89" s="4"/>
      <c r="AG89" s="88"/>
      <c r="AH89" s="4"/>
      <c r="AI89" s="4"/>
      <c r="AJ89" s="468"/>
      <c r="AK89" s="468"/>
      <c r="AL89" s="468"/>
      <c r="AM89" s="468"/>
      <c r="AN89" s="10"/>
      <c r="AO89" s="9"/>
      <c r="AP89" s="9"/>
      <c r="AQ89" s="9">
        <f>+FL_1($T$90,$T$88,$G$89,1200,9.28, 1*$F$90)</f>
        <v>0.30000000000003069</v>
      </c>
      <c r="AR89" s="9"/>
      <c r="AS89" s="9"/>
      <c r="AT89" s="9"/>
      <c r="AU89" s="447"/>
      <c r="AV89" s="447"/>
      <c r="AW89" s="468"/>
      <c r="AX89" s="468"/>
      <c r="AY89" s="10"/>
      <c r="AZ89" s="10"/>
      <c r="BA89" s="553" t="str">
        <f t="shared" si="28"/>
        <v/>
      </c>
      <c r="BB89" s="553" t="str">
        <f t="shared" si="22"/>
        <v/>
      </c>
      <c r="BC89" s="553" t="str">
        <f t="shared" si="23"/>
        <v/>
      </c>
      <c r="BD89" s="572" t="str">
        <f>IF(AND(L89="",H89=""),"",
IF(H89="",Pole_Calc!A$9,
IF(H89="MP",Pole_Calc!A$10,
IF(H89="AnMP",Pole_Calc!A$11,
IF(H89="A",Pole_Calc!A$12,
IF(H89="S/A",Pole_Calc!A$13,
IF(H89="A/S",Pole_Calc!A$14,"Poner a mano")))))))</f>
        <v/>
      </c>
      <c r="BE89" s="448" t="s">
        <v>1726</v>
      </c>
      <c r="BF89" s="305"/>
      <c r="BG89" s="305"/>
      <c r="BH89" s="306"/>
      <c r="BI89" s="305"/>
    </row>
    <row r="90" spans="1:61" ht="16.2" customHeight="1">
      <c r="A90" s="574" t="s">
        <v>1497</v>
      </c>
      <c r="B90" s="469" t="s">
        <v>2322</v>
      </c>
      <c r="C90" s="3">
        <f t="shared" ref="C90" si="39">C88-G89</f>
        <v>1482.9600000000009</v>
      </c>
      <c r="D90" s="88"/>
      <c r="E90" s="4"/>
      <c r="F90" s="4">
        <v>392.5</v>
      </c>
      <c r="G90" s="6"/>
      <c r="H90" s="468" t="s">
        <v>365</v>
      </c>
      <c r="I90" s="468"/>
      <c r="J90" s="3"/>
      <c r="K90" s="468"/>
      <c r="L90" s="468" t="s">
        <v>40</v>
      </c>
      <c r="M90" s="468" t="s">
        <v>1625</v>
      </c>
      <c r="N90" s="468" t="s">
        <v>33</v>
      </c>
      <c r="O90" s="468"/>
      <c r="P90" s="468"/>
      <c r="Q90" s="4"/>
      <c r="R90" s="6"/>
      <c r="S90" s="6"/>
      <c r="T90" s="4">
        <v>30</v>
      </c>
      <c r="U90" s="4"/>
      <c r="V90" s="4"/>
      <c r="W90" s="9">
        <v>1.4</v>
      </c>
      <c r="X90" s="9"/>
      <c r="Y90" s="9"/>
      <c r="Z90" s="9"/>
      <c r="AA90" s="9"/>
      <c r="AB90" s="9"/>
      <c r="AC90" s="468" t="str">
        <f t="shared" si="31"/>
        <v>PHC</v>
      </c>
      <c r="AD90" s="468"/>
      <c r="AE90" s="468"/>
      <c r="AF90" s="4"/>
      <c r="AG90" s="88"/>
      <c r="AH90" s="4"/>
      <c r="AI90" s="4"/>
      <c r="AJ90" s="468"/>
      <c r="AK90" s="468"/>
      <c r="AL90" s="468"/>
      <c r="AM90" s="468"/>
      <c r="AN90" s="10">
        <v>5.5</v>
      </c>
      <c r="AO90" s="9"/>
      <c r="AP90" s="9"/>
      <c r="AQ90" s="9"/>
      <c r="AR90" s="9"/>
      <c r="AS90" s="9"/>
      <c r="AT90" s="9">
        <f>+ab($T$90,$T$88,$T$92,$G$89,$G$91, 1*$F$90,1200)</f>
        <v>2.3821034796170011</v>
      </c>
      <c r="AU90" s="447"/>
      <c r="AV90" s="447"/>
      <c r="AW90" s="468" t="s">
        <v>199</v>
      </c>
      <c r="AX90" s="468" t="s">
        <v>199</v>
      </c>
      <c r="AY90" s="10"/>
      <c r="AZ90" s="10"/>
      <c r="BA90" s="553" t="str">
        <f t="shared" si="28"/>
        <v/>
      </c>
      <c r="BB90" s="553" t="str">
        <f t="shared" si="22"/>
        <v/>
      </c>
      <c r="BC90" s="553" t="str">
        <f t="shared" si="23"/>
        <v>ü</v>
      </c>
      <c r="BD90" s="572" t="str">
        <f>IF(AND(L90="",H90=""),"",
IF(H90="",Pole_Calc!A$9,
IF(H90="MP",Pole_Calc!A$10,
IF(H90="AnMP",Pole_Calc!A$11,
IF(H90="A",Pole_Calc!A$12,
IF(H90="S/A",Pole_Calc!A$13,
IF(H90="A/S",Pole_Calc!A$14,"Poner a mano")))))))</f>
        <v>App.7-V11H-P9.5.1.3</v>
      </c>
      <c r="BE90" s="448" t="s">
        <v>1726</v>
      </c>
      <c r="BF90" s="306"/>
      <c r="BG90" s="306"/>
      <c r="BH90" s="306"/>
      <c r="BI90" s="306"/>
    </row>
    <row r="91" spans="1:61" ht="16.2" customHeight="1">
      <c r="A91" s="574" t="s">
        <v>1497</v>
      </c>
      <c r="B91" s="469"/>
      <c r="C91" s="3"/>
      <c r="D91" s="88"/>
      <c r="E91" s="4"/>
      <c r="F91" s="4"/>
      <c r="G91" s="6">
        <v>31.6</v>
      </c>
      <c r="H91" s="468"/>
      <c r="I91" s="468"/>
      <c r="J91" s="3">
        <f>C90-7.5</f>
        <v>1475.4600000000009</v>
      </c>
      <c r="K91" s="468" t="s">
        <v>1625</v>
      </c>
      <c r="L91" s="468"/>
      <c r="M91" s="468" t="s">
        <v>195</v>
      </c>
      <c r="N91" s="468"/>
      <c r="O91" s="468"/>
      <c r="P91" s="468"/>
      <c r="Q91" s="4"/>
      <c r="R91" s="6"/>
      <c r="S91" s="6"/>
      <c r="T91" s="4"/>
      <c r="U91" s="4"/>
      <c r="V91" s="4"/>
      <c r="W91" s="9"/>
      <c r="X91" s="9"/>
      <c r="Y91" s="9"/>
      <c r="Z91" s="9"/>
      <c r="AA91" s="9"/>
      <c r="AB91" s="9"/>
      <c r="AC91" s="468" t="str">
        <f t="shared" si="31"/>
        <v/>
      </c>
      <c r="AD91" s="468"/>
      <c r="AE91" s="468"/>
      <c r="AF91" s="4"/>
      <c r="AG91" s="88"/>
      <c r="AH91" s="4"/>
      <c r="AI91" s="4"/>
      <c r="AJ91" s="468"/>
      <c r="AK91" s="468"/>
      <c r="AL91" s="468"/>
      <c r="AM91" s="468"/>
      <c r="AN91" s="10"/>
      <c r="AO91" s="9"/>
      <c r="AP91" s="9"/>
      <c r="AQ91" s="9">
        <f>+FL_1($T$92,$T$90,$G$91,1200,9.28, 1*$F$92)</f>
        <v>0.30000000000003069</v>
      </c>
      <c r="AR91" s="9"/>
      <c r="AS91" s="9"/>
      <c r="AT91" s="9"/>
      <c r="AU91" s="447"/>
      <c r="AV91" s="447"/>
      <c r="AW91" s="468"/>
      <c r="AX91" s="468"/>
      <c r="AY91" s="10"/>
      <c r="AZ91" s="10"/>
      <c r="BA91" s="553" t="str">
        <f t="shared" si="28"/>
        <v/>
      </c>
      <c r="BB91" s="553" t="str">
        <f t="shared" si="22"/>
        <v>ü</v>
      </c>
      <c r="BC91" s="553" t="str">
        <f t="shared" si="23"/>
        <v/>
      </c>
      <c r="BD91" s="572" t="str">
        <f>IF(AND(L91="",H91=""),"",
IF(H91="",Pole_Calc!A$9,
IF(H91="MP",Pole_Calc!A$10,
IF(H91="AnMP",Pole_Calc!A$11,
IF(H91="A",Pole_Calc!A$12,
IF(H91="S/A",Pole_Calc!A$13,
IF(H91="A/S",Pole_Calc!A$14,"Poner a mano")))))))</f>
        <v/>
      </c>
      <c r="BE91" s="448" t="s">
        <v>1726</v>
      </c>
      <c r="BF91" s="305"/>
      <c r="BG91" s="305"/>
      <c r="BH91" s="306"/>
      <c r="BI91" s="305"/>
    </row>
    <row r="92" spans="1:61" ht="16.2" customHeight="1">
      <c r="A92" s="574" t="s">
        <v>1497</v>
      </c>
      <c r="B92" s="469" t="s">
        <v>2323</v>
      </c>
      <c r="C92" s="3">
        <f t="shared" ref="C92" si="40">C90-G91</f>
        <v>1451.360000000001</v>
      </c>
      <c r="D92" s="88"/>
      <c r="E92" s="4"/>
      <c r="F92" s="4">
        <v>392.5</v>
      </c>
      <c r="G92" s="6"/>
      <c r="H92" s="468"/>
      <c r="I92" s="468"/>
      <c r="J92" s="3"/>
      <c r="K92" s="468"/>
      <c r="L92" s="468" t="s">
        <v>38</v>
      </c>
      <c r="M92" s="468" t="s">
        <v>1625</v>
      </c>
      <c r="N92" s="468" t="s">
        <v>33</v>
      </c>
      <c r="O92" s="468"/>
      <c r="P92" s="468"/>
      <c r="Q92" s="4"/>
      <c r="R92" s="6"/>
      <c r="S92" s="6"/>
      <c r="T92" s="4">
        <v>30</v>
      </c>
      <c r="U92" s="4"/>
      <c r="V92" s="4"/>
      <c r="W92" s="9">
        <v>1.4</v>
      </c>
      <c r="X92" s="9"/>
      <c r="Y92" s="9"/>
      <c r="Z92" s="9"/>
      <c r="AA92" s="9"/>
      <c r="AB92" s="9"/>
      <c r="AC92" s="468" t="str">
        <f t="shared" si="31"/>
        <v>PHC</v>
      </c>
      <c r="AD92" s="468"/>
      <c r="AE92" s="468"/>
      <c r="AF92" s="4"/>
      <c r="AG92" s="88"/>
      <c r="AH92" s="4"/>
      <c r="AI92" s="4"/>
      <c r="AJ92" s="468"/>
      <c r="AK92" s="468"/>
      <c r="AL92" s="468"/>
      <c r="AM92" s="468"/>
      <c r="AN92" s="10">
        <v>5.5</v>
      </c>
      <c r="AO92" s="9"/>
      <c r="AP92" s="9"/>
      <c r="AQ92" s="9"/>
      <c r="AR92" s="9"/>
      <c r="AS92" s="9"/>
      <c r="AT92" s="9">
        <f>+ab($T$92,$T$90,$T$94,$G$91,$G$93, 1*$F$92,1200)</f>
        <v>2.3821034796170011</v>
      </c>
      <c r="AU92" s="447"/>
      <c r="AV92" s="447"/>
      <c r="AW92" s="468" t="s">
        <v>199</v>
      </c>
      <c r="AX92" s="468" t="s">
        <v>199</v>
      </c>
      <c r="AY92" s="10"/>
      <c r="AZ92" s="10"/>
      <c r="BA92" s="553" t="str">
        <f t="shared" si="28"/>
        <v/>
      </c>
      <c r="BB92" s="553" t="str">
        <f t="shared" si="22"/>
        <v/>
      </c>
      <c r="BC92" s="553" t="str">
        <f t="shared" si="23"/>
        <v>ü</v>
      </c>
      <c r="BD92" s="572" t="str">
        <f>IF(AND(L92="",H92=""),"",
IF(H92="",Pole_Calc!A$9,
IF(H92="MP",Pole_Calc!A$10,
IF(H92="AnMP",Pole_Calc!A$11,
IF(H92="A",Pole_Calc!A$12,
IF(H92="S/A",Pole_Calc!A$13,
IF(H92="A/S",Pole_Calc!A$14,"Poner a mano")))))))</f>
        <v>App.7-V11H-P9.5.1.1</v>
      </c>
      <c r="BE92" s="448" t="s">
        <v>1726</v>
      </c>
      <c r="BF92" s="306"/>
      <c r="BG92" s="306"/>
      <c r="BH92" s="306"/>
      <c r="BI92" s="306"/>
    </row>
    <row r="93" spans="1:61" ht="16.2" customHeight="1">
      <c r="A93" s="574" t="s">
        <v>1497</v>
      </c>
      <c r="B93" s="469"/>
      <c r="C93" s="3"/>
      <c r="D93" s="88"/>
      <c r="E93" s="4"/>
      <c r="F93" s="4"/>
      <c r="G93" s="6">
        <v>31.6</v>
      </c>
      <c r="H93" s="468"/>
      <c r="I93" s="468"/>
      <c r="J93" s="3"/>
      <c r="K93" s="468"/>
      <c r="L93" s="468"/>
      <c r="M93" s="468" t="s">
        <v>195</v>
      </c>
      <c r="N93" s="468"/>
      <c r="O93" s="468"/>
      <c r="P93" s="468"/>
      <c r="Q93" s="4"/>
      <c r="R93" s="6"/>
      <c r="S93" s="6"/>
      <c r="T93" s="4"/>
      <c r="U93" s="4"/>
      <c r="V93" s="4"/>
      <c r="W93" s="9"/>
      <c r="X93" s="9"/>
      <c r="Y93" s="9"/>
      <c r="Z93" s="9"/>
      <c r="AA93" s="9"/>
      <c r="AB93" s="9"/>
      <c r="AC93" s="468" t="str">
        <f t="shared" si="31"/>
        <v/>
      </c>
      <c r="AD93" s="468"/>
      <c r="AE93" s="468"/>
      <c r="AF93" s="4"/>
      <c r="AG93" s="88"/>
      <c r="AH93" s="4"/>
      <c r="AI93" s="4"/>
      <c r="AJ93" s="468"/>
      <c r="AK93" s="468"/>
      <c r="AL93" s="468"/>
      <c r="AM93" s="468"/>
      <c r="AN93" s="10"/>
      <c r="AO93" s="9"/>
      <c r="AP93" s="9"/>
      <c r="AQ93" s="9">
        <f>+FL_1($T$94,$T$92,$G$93,1200,9.28, 1*$F$94)</f>
        <v>0.30000000000003069</v>
      </c>
      <c r="AR93" s="9"/>
      <c r="AS93" s="9"/>
      <c r="AT93" s="9"/>
      <c r="AU93" s="447"/>
      <c r="AV93" s="447"/>
      <c r="AW93" s="468"/>
      <c r="AX93" s="468"/>
      <c r="AY93" s="10"/>
      <c r="AZ93" s="10"/>
      <c r="BA93" s="553" t="str">
        <f t="shared" si="28"/>
        <v/>
      </c>
      <c r="BB93" s="553" t="str">
        <f t="shared" si="22"/>
        <v/>
      </c>
      <c r="BC93" s="553" t="str">
        <f t="shared" si="23"/>
        <v/>
      </c>
      <c r="BD93" s="572" t="str">
        <f>IF(AND(L93="",H93=""),"",
IF(H93="",Pole_Calc!A$9,
IF(H93="MP",Pole_Calc!A$10,
IF(H93="AnMP",Pole_Calc!A$11,
IF(H93="A",Pole_Calc!A$12,
IF(H93="S/A",Pole_Calc!A$13,
IF(H93="A/S",Pole_Calc!A$14,"Poner a mano")))))))</f>
        <v/>
      </c>
      <c r="BE93" s="448" t="s">
        <v>1726</v>
      </c>
      <c r="BF93" s="305"/>
      <c r="BG93" s="305"/>
      <c r="BH93" s="306"/>
      <c r="BI93" s="305"/>
    </row>
    <row r="94" spans="1:61" ht="16.2" customHeight="1">
      <c r="A94" s="574" t="s">
        <v>1497</v>
      </c>
      <c r="B94" s="469" t="s">
        <v>2324</v>
      </c>
      <c r="C94" s="3">
        <f t="shared" ref="C94" si="41">C92-G93</f>
        <v>1419.7600000000011</v>
      </c>
      <c r="D94" s="88"/>
      <c r="E94" s="4"/>
      <c r="F94" s="4">
        <v>392.5</v>
      </c>
      <c r="G94" s="6"/>
      <c r="H94" s="468"/>
      <c r="I94" s="468"/>
      <c r="J94" s="3"/>
      <c r="K94" s="468"/>
      <c r="L94" s="468" t="s">
        <v>38</v>
      </c>
      <c r="M94" s="468" t="s">
        <v>1625</v>
      </c>
      <c r="N94" s="468" t="s">
        <v>33</v>
      </c>
      <c r="O94" s="468"/>
      <c r="P94" s="468"/>
      <c r="Q94" s="4"/>
      <c r="R94" s="6"/>
      <c r="S94" s="6"/>
      <c r="T94" s="4">
        <v>30</v>
      </c>
      <c r="U94" s="4"/>
      <c r="V94" s="4"/>
      <c r="W94" s="9">
        <v>1.4</v>
      </c>
      <c r="X94" s="9"/>
      <c r="Y94" s="9"/>
      <c r="Z94" s="9"/>
      <c r="AA94" s="9"/>
      <c r="AB94" s="9"/>
      <c r="AC94" s="468" t="str">
        <f t="shared" si="31"/>
        <v>PHC</v>
      </c>
      <c r="AD94" s="468"/>
      <c r="AE94" s="468"/>
      <c r="AF94" s="4"/>
      <c r="AG94" s="88"/>
      <c r="AH94" s="4"/>
      <c r="AI94" s="4"/>
      <c r="AJ94" s="468"/>
      <c r="AK94" s="468"/>
      <c r="AL94" s="468"/>
      <c r="AM94" s="468"/>
      <c r="AN94" s="10">
        <v>5.5</v>
      </c>
      <c r="AO94" s="9"/>
      <c r="AP94" s="9"/>
      <c r="AQ94" s="9"/>
      <c r="AR94" s="9"/>
      <c r="AS94" s="9"/>
      <c r="AT94" s="9">
        <f>+ab($T$94,$T$92,$T$96,$G$93,$G$95, 1*$F$94,1200)</f>
        <v>2.3821034796170011</v>
      </c>
      <c r="AU94" s="447"/>
      <c r="AV94" s="447"/>
      <c r="AW94" s="468" t="s">
        <v>199</v>
      </c>
      <c r="AX94" s="468" t="s">
        <v>199</v>
      </c>
      <c r="AY94" s="10"/>
      <c r="AZ94" s="10"/>
      <c r="BA94" s="553" t="str">
        <f t="shared" si="28"/>
        <v/>
      </c>
      <c r="BB94" s="553" t="str">
        <f t="shared" si="22"/>
        <v/>
      </c>
      <c r="BC94" s="553" t="str">
        <f t="shared" si="23"/>
        <v>ü</v>
      </c>
      <c r="BD94" s="572" t="str">
        <f>IF(AND(L94="",H94=""),"",
IF(H94="",Pole_Calc!A$9,
IF(H94="MP",Pole_Calc!A$10,
IF(H94="AnMP",Pole_Calc!A$11,
IF(H94="A",Pole_Calc!A$12,
IF(H94="S/A",Pole_Calc!A$13,
IF(H94="A/S",Pole_Calc!A$14,"Poner a mano")))))))</f>
        <v>App.7-V11H-P9.5.1.1</v>
      </c>
      <c r="BE94" s="448" t="s">
        <v>1726</v>
      </c>
      <c r="BF94" s="306"/>
      <c r="BG94" s="306"/>
      <c r="BH94" s="306"/>
      <c r="BI94" s="306"/>
    </row>
    <row r="95" spans="1:61" ht="16.2" customHeight="1">
      <c r="A95" s="574" t="s">
        <v>1497</v>
      </c>
      <c r="B95" s="469"/>
      <c r="C95" s="3"/>
      <c r="D95" s="88"/>
      <c r="E95" s="4"/>
      <c r="F95" s="4"/>
      <c r="G95" s="6">
        <v>31.6</v>
      </c>
      <c r="H95" s="468"/>
      <c r="I95" s="468"/>
      <c r="J95" s="3"/>
      <c r="K95" s="468"/>
      <c r="L95" s="468"/>
      <c r="M95" s="468" t="s">
        <v>195</v>
      </c>
      <c r="N95" s="468"/>
      <c r="O95" s="468"/>
      <c r="P95" s="468"/>
      <c r="Q95" s="4"/>
      <c r="R95" s="6"/>
      <c r="S95" s="6"/>
      <c r="T95" s="4"/>
      <c r="U95" s="4"/>
      <c r="V95" s="4"/>
      <c r="W95" s="9"/>
      <c r="X95" s="9"/>
      <c r="Y95" s="9"/>
      <c r="Z95" s="9"/>
      <c r="AA95" s="9"/>
      <c r="AB95" s="9"/>
      <c r="AC95" s="468" t="str">
        <f t="shared" si="31"/>
        <v/>
      </c>
      <c r="AD95" s="468"/>
      <c r="AE95" s="468"/>
      <c r="AF95" s="4"/>
      <c r="AG95" s="88"/>
      <c r="AH95" s="4"/>
      <c r="AI95" s="4"/>
      <c r="AJ95" s="468"/>
      <c r="AK95" s="468"/>
      <c r="AL95" s="468"/>
      <c r="AM95" s="468"/>
      <c r="AN95" s="10"/>
      <c r="AO95" s="9"/>
      <c r="AP95" s="9"/>
      <c r="AQ95" s="9">
        <f>+FL_1($T$96,$T$94,$G$95,1200,9.28, 1*$F$96)</f>
        <v>0.30000000000003069</v>
      </c>
      <c r="AR95" s="9"/>
      <c r="AS95" s="9"/>
      <c r="AT95" s="9"/>
      <c r="AU95" s="447"/>
      <c r="AV95" s="447"/>
      <c r="AW95" s="468"/>
      <c r="AX95" s="468"/>
      <c r="AY95" s="10"/>
      <c r="AZ95" s="10"/>
      <c r="BA95" s="553" t="str">
        <f t="shared" si="28"/>
        <v/>
      </c>
      <c r="BB95" s="553" t="str">
        <f t="shared" si="22"/>
        <v/>
      </c>
      <c r="BC95" s="553" t="str">
        <f t="shared" si="23"/>
        <v/>
      </c>
      <c r="BD95" s="572" t="str">
        <f>IF(AND(L95="",H95=""),"",
IF(H95="",Pole_Calc!A$9,
IF(H95="MP",Pole_Calc!A$10,
IF(H95="AnMP",Pole_Calc!A$11,
IF(H95="A",Pole_Calc!A$12,
IF(H95="S/A",Pole_Calc!A$13,
IF(H95="A/S",Pole_Calc!A$14,"Poner a mano")))))))</f>
        <v/>
      </c>
      <c r="BE95" s="448" t="s">
        <v>1726</v>
      </c>
      <c r="BF95" s="305"/>
      <c r="BG95" s="305"/>
      <c r="BH95" s="306"/>
      <c r="BI95" s="305"/>
    </row>
    <row r="96" spans="1:61" ht="16.2" customHeight="1">
      <c r="A96" s="574" t="s">
        <v>1497</v>
      </c>
      <c r="B96" s="469" t="s">
        <v>2325</v>
      </c>
      <c r="C96" s="3">
        <f t="shared" ref="C96:C154" si="42">C94-G95</f>
        <v>1388.1600000000012</v>
      </c>
      <c r="D96" s="88"/>
      <c r="E96" s="4"/>
      <c r="F96" s="4">
        <v>392.5</v>
      </c>
      <c r="G96" s="6"/>
      <c r="H96" s="468"/>
      <c r="I96" s="468"/>
      <c r="J96" s="3"/>
      <c r="K96" s="468"/>
      <c r="L96" s="468" t="s">
        <v>38</v>
      </c>
      <c r="M96" s="468" t="s">
        <v>1625</v>
      </c>
      <c r="N96" s="468" t="s">
        <v>33</v>
      </c>
      <c r="O96" s="468"/>
      <c r="P96" s="468"/>
      <c r="Q96" s="4"/>
      <c r="R96" s="6"/>
      <c r="S96" s="6"/>
      <c r="T96" s="4">
        <v>30</v>
      </c>
      <c r="U96" s="4"/>
      <c r="V96" s="4"/>
      <c r="W96" s="9">
        <v>1.4</v>
      </c>
      <c r="X96" s="9"/>
      <c r="Y96" s="9"/>
      <c r="Z96" s="9"/>
      <c r="AA96" s="9"/>
      <c r="AB96" s="9"/>
      <c r="AC96" s="468" t="str">
        <f t="shared" si="31"/>
        <v>PHC</v>
      </c>
      <c r="AD96" s="468"/>
      <c r="AE96" s="468"/>
      <c r="AF96" s="4"/>
      <c r="AG96" s="88"/>
      <c r="AH96" s="4"/>
      <c r="AI96" s="4"/>
      <c r="AJ96" s="468"/>
      <c r="AK96" s="468"/>
      <c r="AL96" s="468"/>
      <c r="AM96" s="468"/>
      <c r="AN96" s="10">
        <v>5.5</v>
      </c>
      <c r="AO96" s="9"/>
      <c r="AP96" s="9"/>
      <c r="AQ96" s="9"/>
      <c r="AR96" s="9"/>
      <c r="AS96" s="9"/>
      <c r="AT96" s="9">
        <f>+ab($T$96,$T$94,$T$98,$G$95,$G$97, 1*$F$96,1200)</f>
        <v>2.3821034796170011</v>
      </c>
      <c r="AU96" s="447"/>
      <c r="AV96" s="447"/>
      <c r="AW96" s="468" t="s">
        <v>199</v>
      </c>
      <c r="AX96" s="468" t="s">
        <v>199</v>
      </c>
      <c r="AY96" s="10"/>
      <c r="AZ96" s="10"/>
      <c r="BA96" s="553" t="str">
        <f t="shared" si="28"/>
        <v/>
      </c>
      <c r="BB96" s="553" t="str">
        <f t="shared" si="22"/>
        <v/>
      </c>
      <c r="BC96" s="553" t="str">
        <f t="shared" si="23"/>
        <v>ü</v>
      </c>
      <c r="BD96" s="572" t="str">
        <f>IF(AND(L96="",H96=""),"",
IF(H96="",Pole_Calc!A$9,
IF(H96="MP",Pole_Calc!A$10,
IF(H96="AnMP",Pole_Calc!A$11,
IF(H96="A",Pole_Calc!A$12,
IF(H96="S/A",Pole_Calc!A$13,
IF(H96="A/S",Pole_Calc!A$14,"Poner a mano")))))))</f>
        <v>App.7-V11H-P9.5.1.1</v>
      </c>
      <c r="BE96" s="448" t="s">
        <v>1726</v>
      </c>
      <c r="BF96" s="306"/>
      <c r="BG96" s="306"/>
      <c r="BH96" s="306"/>
      <c r="BI96" s="306"/>
    </row>
    <row r="97" spans="1:61" ht="16.2" customHeight="1">
      <c r="A97" s="574" t="s">
        <v>1497</v>
      </c>
      <c r="B97" s="469"/>
      <c r="C97" s="3"/>
      <c r="D97" s="88"/>
      <c r="E97" s="4"/>
      <c r="F97" s="4"/>
      <c r="G97" s="6">
        <v>31.6</v>
      </c>
      <c r="H97" s="468"/>
      <c r="I97" s="468"/>
      <c r="J97" s="3"/>
      <c r="K97" s="468"/>
      <c r="L97" s="468"/>
      <c r="M97" s="468" t="s">
        <v>195</v>
      </c>
      <c r="N97" s="468"/>
      <c r="O97" s="468"/>
      <c r="P97" s="468"/>
      <c r="Q97" s="4"/>
      <c r="R97" s="6"/>
      <c r="S97" s="6"/>
      <c r="T97" s="4"/>
      <c r="U97" s="4"/>
      <c r="V97" s="4"/>
      <c r="W97" s="9"/>
      <c r="X97" s="9"/>
      <c r="Y97" s="9"/>
      <c r="Z97" s="9"/>
      <c r="AA97" s="9"/>
      <c r="AB97" s="9"/>
      <c r="AC97" s="468" t="str">
        <f t="shared" si="31"/>
        <v/>
      </c>
      <c r="AD97" s="468"/>
      <c r="AE97" s="468"/>
      <c r="AF97" s="4"/>
      <c r="AG97" s="88"/>
      <c r="AH97" s="4"/>
      <c r="AI97" s="4"/>
      <c r="AJ97" s="468"/>
      <c r="AK97" s="468"/>
      <c r="AL97" s="468"/>
      <c r="AM97" s="468"/>
      <c r="AN97" s="10"/>
      <c r="AO97" s="9"/>
      <c r="AP97" s="9"/>
      <c r="AQ97" s="9">
        <f>+FL_1($T$98,$T$96,$G$97,1200,9.28, 1*$F$98)</f>
        <v>0.30000000000003069</v>
      </c>
      <c r="AR97" s="9"/>
      <c r="AS97" s="9"/>
      <c r="AT97" s="9"/>
      <c r="AU97" s="447"/>
      <c r="AV97" s="447"/>
      <c r="AW97" s="468"/>
      <c r="AX97" s="468"/>
      <c r="AY97" s="10"/>
      <c r="AZ97" s="10"/>
      <c r="BA97" s="553" t="str">
        <f t="shared" si="28"/>
        <v/>
      </c>
      <c r="BB97" s="553" t="str">
        <f t="shared" si="22"/>
        <v/>
      </c>
      <c r="BC97" s="553" t="str">
        <f t="shared" si="23"/>
        <v/>
      </c>
      <c r="BD97" s="572" t="str">
        <f>IF(AND(L97="",H97=""),"",
IF(H97="",Pole_Calc!A$9,
IF(H97="MP",Pole_Calc!A$10,
IF(H97="AnMP",Pole_Calc!A$11,
IF(H97="A",Pole_Calc!A$12,
IF(H97="S/A",Pole_Calc!A$13,
IF(H97="A/S",Pole_Calc!A$14,"Poner a mano")))))))</f>
        <v/>
      </c>
      <c r="BE97" s="448" t="s">
        <v>1726</v>
      </c>
      <c r="BF97" s="305"/>
      <c r="BG97" s="305"/>
      <c r="BH97" s="306"/>
      <c r="BI97" s="305"/>
    </row>
    <row r="98" spans="1:61" ht="16.2" customHeight="1">
      <c r="A98" s="574" t="s">
        <v>1497</v>
      </c>
      <c r="B98" s="469" t="s">
        <v>2326</v>
      </c>
      <c r="C98" s="3">
        <f t="shared" si="42"/>
        <v>1356.5600000000013</v>
      </c>
      <c r="D98" s="88"/>
      <c r="E98" s="4"/>
      <c r="F98" s="4">
        <v>392.5</v>
      </c>
      <c r="G98" s="6"/>
      <c r="H98" s="468"/>
      <c r="I98" s="468"/>
      <c r="J98" s="3"/>
      <c r="K98" s="468"/>
      <c r="L98" s="468" t="s">
        <v>38</v>
      </c>
      <c r="M98" s="468" t="s">
        <v>1625</v>
      </c>
      <c r="N98" s="468" t="s">
        <v>33</v>
      </c>
      <c r="O98" s="468"/>
      <c r="P98" s="468"/>
      <c r="Q98" s="4"/>
      <c r="R98" s="6"/>
      <c r="S98" s="6"/>
      <c r="T98" s="4">
        <v>30</v>
      </c>
      <c r="U98" s="4"/>
      <c r="V98" s="4"/>
      <c r="W98" s="9">
        <v>1.4</v>
      </c>
      <c r="X98" s="9"/>
      <c r="Y98" s="9"/>
      <c r="Z98" s="9"/>
      <c r="AA98" s="9"/>
      <c r="AB98" s="9"/>
      <c r="AC98" s="468" t="str">
        <f t="shared" si="31"/>
        <v>PHC</v>
      </c>
      <c r="AD98" s="468"/>
      <c r="AE98" s="468"/>
      <c r="AF98" s="4"/>
      <c r="AG98" s="88"/>
      <c r="AH98" s="4"/>
      <c r="AI98" s="4"/>
      <c r="AJ98" s="468"/>
      <c r="AK98" s="468"/>
      <c r="AL98" s="468"/>
      <c r="AM98" s="468"/>
      <c r="AN98" s="10">
        <v>5.5</v>
      </c>
      <c r="AO98" s="9"/>
      <c r="AP98" s="9"/>
      <c r="AQ98" s="9"/>
      <c r="AR98" s="9"/>
      <c r="AS98" s="9"/>
      <c r="AT98" s="9">
        <f>+ab($T$98,$T$96,$T$100,$G$97,$G$99, 1*$F$98,1200)</f>
        <v>2.3821034796170011</v>
      </c>
      <c r="AU98" s="447"/>
      <c r="AV98" s="447"/>
      <c r="AW98" s="468" t="s">
        <v>199</v>
      </c>
      <c r="AX98" s="468" t="s">
        <v>199</v>
      </c>
      <c r="AY98" s="10"/>
      <c r="AZ98" s="10"/>
      <c r="BA98" s="553" t="str">
        <f t="shared" si="28"/>
        <v/>
      </c>
      <c r="BB98" s="553" t="str">
        <f t="shared" si="22"/>
        <v/>
      </c>
      <c r="BC98" s="553" t="str">
        <f t="shared" si="23"/>
        <v>ü</v>
      </c>
      <c r="BD98" s="572" t="str">
        <f>IF(AND(L98="",H98=""),"",
IF(H98="",Pole_Calc!A$9,
IF(H98="MP",Pole_Calc!A$10,
IF(H98="AnMP",Pole_Calc!A$11,
IF(H98="A",Pole_Calc!A$12,
IF(H98="S/A",Pole_Calc!A$13,
IF(H98="A/S",Pole_Calc!A$14,"Poner a mano")))))))</f>
        <v>App.7-V11H-P9.5.1.1</v>
      </c>
      <c r="BE98" s="448" t="s">
        <v>1726</v>
      </c>
      <c r="BF98" s="306"/>
      <c r="BG98" s="306"/>
      <c r="BH98" s="306"/>
      <c r="BI98" s="306"/>
    </row>
    <row r="99" spans="1:61" ht="16.2" customHeight="1">
      <c r="A99" s="574" t="s">
        <v>1497</v>
      </c>
      <c r="B99" s="469"/>
      <c r="C99" s="3"/>
      <c r="D99" s="88"/>
      <c r="E99" s="4"/>
      <c r="F99" s="4"/>
      <c r="G99" s="6">
        <v>31.6</v>
      </c>
      <c r="H99" s="468"/>
      <c r="I99" s="468"/>
      <c r="J99" s="3"/>
      <c r="K99" s="468"/>
      <c r="L99" s="468"/>
      <c r="M99" s="468" t="s">
        <v>195</v>
      </c>
      <c r="N99" s="468"/>
      <c r="O99" s="468"/>
      <c r="P99" s="468"/>
      <c r="Q99" s="4"/>
      <c r="R99" s="6"/>
      <c r="S99" s="6"/>
      <c r="T99" s="4"/>
      <c r="U99" s="4"/>
      <c r="V99" s="4"/>
      <c r="W99" s="9"/>
      <c r="X99" s="9"/>
      <c r="Y99" s="9"/>
      <c r="Z99" s="9"/>
      <c r="AA99" s="9"/>
      <c r="AB99" s="9"/>
      <c r="AC99" s="468" t="str">
        <f t="shared" si="31"/>
        <v/>
      </c>
      <c r="AD99" s="468"/>
      <c r="AE99" s="468"/>
      <c r="AF99" s="4"/>
      <c r="AG99" s="88"/>
      <c r="AH99" s="4"/>
      <c r="AI99" s="4"/>
      <c r="AJ99" s="468"/>
      <c r="AK99" s="468"/>
      <c r="AL99" s="468"/>
      <c r="AM99" s="468"/>
      <c r="AN99" s="10"/>
      <c r="AO99" s="9"/>
      <c r="AP99" s="9"/>
      <c r="AQ99" s="9">
        <f>+FL_1($T$100,$T$98,$G$99,1200,9.28, 1*$F$100)</f>
        <v>0.30000000000008753</v>
      </c>
      <c r="AR99" s="9"/>
      <c r="AS99" s="9"/>
      <c r="AT99" s="9"/>
      <c r="AU99" s="447"/>
      <c r="AV99" s="447"/>
      <c r="AW99" s="468"/>
      <c r="AX99" s="468"/>
      <c r="AY99" s="10"/>
      <c r="AZ99" s="10"/>
      <c r="BA99" s="553" t="str">
        <f t="shared" si="28"/>
        <v/>
      </c>
      <c r="BB99" s="553" t="str">
        <f t="shared" si="22"/>
        <v/>
      </c>
      <c r="BC99" s="553" t="str">
        <f t="shared" si="23"/>
        <v/>
      </c>
      <c r="BD99" s="572" t="str">
        <f>IF(AND(L99="",H99=""),"",
IF(H99="",Pole_Calc!A$9,
IF(H99="MP",Pole_Calc!A$10,
IF(H99="AnMP",Pole_Calc!A$11,
IF(H99="A",Pole_Calc!A$12,
IF(H99="S/A",Pole_Calc!A$13,
IF(H99="A/S",Pole_Calc!A$14,"Poner a mano")))))))</f>
        <v/>
      </c>
      <c r="BE99" s="448" t="s">
        <v>1726</v>
      </c>
      <c r="BF99" s="305"/>
      <c r="BG99" s="305"/>
      <c r="BH99" s="306"/>
      <c r="BI99" s="305"/>
    </row>
    <row r="100" spans="1:61" ht="16.2" customHeight="1">
      <c r="A100" s="574" t="s">
        <v>1497</v>
      </c>
      <c r="B100" s="469" t="s">
        <v>2327</v>
      </c>
      <c r="C100" s="3">
        <f t="shared" si="42"/>
        <v>1324.9600000000014</v>
      </c>
      <c r="D100" s="88"/>
      <c r="E100" s="4"/>
      <c r="F100" s="4">
        <f>(193^2)/(C100-1236.12)</f>
        <v>419.281855020254</v>
      </c>
      <c r="G100" s="6"/>
      <c r="H100" s="468"/>
      <c r="I100" s="468"/>
      <c r="J100" s="3"/>
      <c r="K100" s="468"/>
      <c r="L100" s="468" t="s">
        <v>38</v>
      </c>
      <c r="M100" s="468" t="s">
        <v>1625</v>
      </c>
      <c r="N100" s="468" t="s">
        <v>33</v>
      </c>
      <c r="O100" s="468"/>
      <c r="P100" s="468"/>
      <c r="Q100" s="4"/>
      <c r="R100" s="6"/>
      <c r="S100" s="6"/>
      <c r="T100" s="4">
        <v>30</v>
      </c>
      <c r="U100" s="4"/>
      <c r="V100" s="4"/>
      <c r="W100" s="9">
        <v>1.4</v>
      </c>
      <c r="X100" s="9"/>
      <c r="Y100" s="9"/>
      <c r="Z100" s="9"/>
      <c r="AA100" s="9"/>
      <c r="AB100" s="9"/>
      <c r="AC100" s="468" t="str">
        <f t="shared" si="31"/>
        <v>PHC</v>
      </c>
      <c r="AD100" s="468"/>
      <c r="AE100" s="468"/>
      <c r="AF100" s="4"/>
      <c r="AG100" s="88"/>
      <c r="AH100" s="4"/>
      <c r="AI100" s="4"/>
      <c r="AJ100" s="468"/>
      <c r="AK100" s="468"/>
      <c r="AL100" s="468"/>
      <c r="AM100" s="468"/>
      <c r="AN100" s="10">
        <v>5.5</v>
      </c>
      <c r="AO100" s="9"/>
      <c r="AP100" s="9"/>
      <c r="AQ100" s="9"/>
      <c r="AR100" s="9"/>
      <c r="AS100" s="9"/>
      <c r="AT100" s="9">
        <f>+ab($T$100,$T$98,$T$102,$G$99,$G$101, 1*$F$100,1200)</f>
        <v>2.5404228019446018</v>
      </c>
      <c r="AU100" s="447"/>
      <c r="AV100" s="447"/>
      <c r="AW100" s="468" t="s">
        <v>199</v>
      </c>
      <c r="AX100" s="468" t="s">
        <v>199</v>
      </c>
      <c r="AY100" s="10"/>
      <c r="AZ100" s="10"/>
      <c r="BA100" s="553" t="str">
        <f t="shared" si="28"/>
        <v/>
      </c>
      <c r="BB100" s="553" t="str">
        <f t="shared" si="22"/>
        <v/>
      </c>
      <c r="BC100" s="553" t="str">
        <f t="shared" si="23"/>
        <v>ü</v>
      </c>
      <c r="BD100" s="572" t="str">
        <f>IF(AND(L100="",H100=""),"",
IF(H100="",Pole_Calc!A$9,
IF(H100="MP",Pole_Calc!A$10,
IF(H100="AnMP",Pole_Calc!A$11,
IF(H100="A",Pole_Calc!A$12,
IF(H100="S/A",Pole_Calc!A$13,
IF(H100="A/S",Pole_Calc!A$14,"Poner a mano")))))))</f>
        <v>App.7-V11H-P9.5.1.1</v>
      </c>
      <c r="BE100" s="448" t="s">
        <v>1726</v>
      </c>
      <c r="BF100" s="306"/>
      <c r="BG100" s="306"/>
      <c r="BH100" s="306"/>
      <c r="BI100" s="306"/>
    </row>
    <row r="101" spans="1:61" ht="16.2" customHeight="1">
      <c r="A101" s="574" t="s">
        <v>1497</v>
      </c>
      <c r="B101" s="469"/>
      <c r="C101" s="3"/>
      <c r="D101" s="88"/>
      <c r="E101" s="4"/>
      <c r="F101" s="4"/>
      <c r="G101" s="6">
        <v>31.7</v>
      </c>
      <c r="H101" s="468"/>
      <c r="I101" s="468"/>
      <c r="J101" s="3"/>
      <c r="K101" s="468"/>
      <c r="L101" s="468"/>
      <c r="M101" s="468" t="s">
        <v>195</v>
      </c>
      <c r="N101" s="468"/>
      <c r="O101" s="468"/>
      <c r="P101" s="468"/>
      <c r="Q101" s="4"/>
      <c r="R101" s="6"/>
      <c r="S101" s="6"/>
      <c r="T101" s="4"/>
      <c r="U101" s="4"/>
      <c r="V101" s="4"/>
      <c r="W101" s="9"/>
      <c r="X101" s="9"/>
      <c r="Y101" s="9"/>
      <c r="Z101" s="9"/>
      <c r="AA101" s="9"/>
      <c r="AB101" s="9"/>
      <c r="AC101" s="468" t="str">
        <f t="shared" si="31"/>
        <v/>
      </c>
      <c r="AD101" s="468"/>
      <c r="AE101" s="468"/>
      <c r="AF101" s="4"/>
      <c r="AG101" s="88"/>
      <c r="AH101" s="4"/>
      <c r="AI101" s="4"/>
      <c r="AJ101" s="468"/>
      <c r="AK101" s="468"/>
      <c r="AL101" s="468"/>
      <c r="AM101" s="468"/>
      <c r="AN101" s="10"/>
      <c r="AO101" s="9"/>
      <c r="AP101" s="9"/>
      <c r="AQ101" s="9">
        <f>+FL_1($T$102,$T$100,$G$101,1200,9.28, 1*$F$102)</f>
        <v>0.3</v>
      </c>
      <c r="AR101" s="9"/>
      <c r="AS101" s="9"/>
      <c r="AT101" s="9"/>
      <c r="AU101" s="447"/>
      <c r="AV101" s="447"/>
      <c r="AW101" s="468"/>
      <c r="AX101" s="468"/>
      <c r="AY101" s="10"/>
      <c r="AZ101" s="10"/>
      <c r="BA101" s="553" t="str">
        <f t="shared" si="28"/>
        <v/>
      </c>
      <c r="BB101" s="553" t="str">
        <f t="shared" si="22"/>
        <v/>
      </c>
      <c r="BC101" s="553" t="str">
        <f t="shared" si="23"/>
        <v/>
      </c>
      <c r="BD101" s="572" t="str">
        <f>IF(AND(L101="",H101=""),"",
IF(H101="",Pole_Calc!A$9,
IF(H101="MP",Pole_Calc!A$10,
IF(H101="AnMP",Pole_Calc!A$11,
IF(H101="A",Pole_Calc!A$12,
IF(H101="S/A",Pole_Calc!A$13,
IF(H101="A/S",Pole_Calc!A$14,"Poner a mano")))))))</f>
        <v/>
      </c>
      <c r="BE101" s="448" t="s">
        <v>1726</v>
      </c>
      <c r="BF101" s="305"/>
      <c r="BG101" s="305"/>
      <c r="BH101" s="306"/>
      <c r="BI101" s="305"/>
    </row>
    <row r="102" spans="1:61" ht="16.2" customHeight="1">
      <c r="A102" s="573" t="s">
        <v>1497</v>
      </c>
      <c r="B102" s="469" t="s">
        <v>2328</v>
      </c>
      <c r="C102" s="3">
        <f t="shared" si="42"/>
        <v>1293.2600000000014</v>
      </c>
      <c r="D102" s="88"/>
      <c r="E102" s="4"/>
      <c r="F102" s="4">
        <f>(193^2)/(C102-1236.12)</f>
        <v>651.89009450470849</v>
      </c>
      <c r="G102" s="6"/>
      <c r="H102" s="468"/>
      <c r="I102" s="468"/>
      <c r="J102" s="3"/>
      <c r="K102" s="468"/>
      <c r="L102" s="468" t="s">
        <v>38</v>
      </c>
      <c r="M102" s="468" t="s">
        <v>1625</v>
      </c>
      <c r="N102" s="468" t="s">
        <v>33</v>
      </c>
      <c r="O102" s="468"/>
      <c r="P102" s="468"/>
      <c r="Q102" s="4"/>
      <c r="R102" s="6"/>
      <c r="S102" s="6"/>
      <c r="T102" s="4">
        <v>30</v>
      </c>
      <c r="U102" s="4"/>
      <c r="V102" s="4"/>
      <c r="W102" s="9">
        <v>1.4</v>
      </c>
      <c r="X102" s="9"/>
      <c r="Y102" s="9"/>
      <c r="Z102" s="9"/>
      <c r="AA102" s="9"/>
      <c r="AB102" s="9"/>
      <c r="AC102" s="468" t="str">
        <f t="shared" si="31"/>
        <v>PHC</v>
      </c>
      <c r="AD102" s="468"/>
      <c r="AE102" s="468"/>
      <c r="AF102" s="4"/>
      <c r="AG102" s="88"/>
      <c r="AH102" s="4"/>
      <c r="AI102" s="4"/>
      <c r="AJ102" s="468"/>
      <c r="AK102" s="468"/>
      <c r="AL102" s="468"/>
      <c r="AM102" s="468"/>
      <c r="AN102" s="10">
        <v>5.5</v>
      </c>
      <c r="AO102" s="9"/>
      <c r="AP102" s="9"/>
      <c r="AQ102" s="9"/>
      <c r="AR102" s="9"/>
      <c r="AS102" s="9"/>
      <c r="AT102" s="9">
        <f>+ab($T$102,$T$100,$T$104,$G$101,$G$103, 1*$F$102,1200)</f>
        <v>3.473418350193449</v>
      </c>
      <c r="AU102" s="447"/>
      <c r="AV102" s="447"/>
      <c r="AW102" s="468" t="s">
        <v>199</v>
      </c>
      <c r="AX102" s="468" t="s">
        <v>199</v>
      </c>
      <c r="AY102" s="10"/>
      <c r="AZ102" s="10"/>
      <c r="BA102" s="553" t="str">
        <f t="shared" si="28"/>
        <v/>
      </c>
      <c r="BB102" s="553" t="str">
        <f t="shared" si="22"/>
        <v/>
      </c>
      <c r="BC102" s="553" t="str">
        <f t="shared" si="23"/>
        <v>ü</v>
      </c>
      <c r="BD102" s="572" t="str">
        <f>IF(AND(L102="",H102=""),"",
IF(H102="",Pole_Calc!A$9,
IF(H102="MP",Pole_Calc!A$10,
IF(H102="AnMP",Pole_Calc!A$11,
IF(H102="A",Pole_Calc!A$12,
IF(H102="S/A",Pole_Calc!A$13,
IF(H102="A/S",Pole_Calc!A$14,"Poner a mano")))))))</f>
        <v>App.7-V11H-P9.5.1.1</v>
      </c>
      <c r="BE102" s="448" t="s">
        <v>1726</v>
      </c>
      <c r="BF102" s="306"/>
      <c r="BG102" s="306"/>
      <c r="BH102" s="306"/>
      <c r="BI102" s="306"/>
    </row>
    <row r="103" spans="1:61" ht="16.2" customHeight="1">
      <c r="A103" s="573"/>
      <c r="B103" s="469"/>
      <c r="C103" s="3"/>
      <c r="D103" s="88"/>
      <c r="E103" s="4"/>
      <c r="F103" s="4"/>
      <c r="G103" s="6">
        <v>41.8</v>
      </c>
      <c r="H103" s="468"/>
      <c r="I103" s="468"/>
      <c r="J103" s="3">
        <f>C104+7.5</f>
        <v>1258.9600000000014</v>
      </c>
      <c r="K103" s="468" t="s">
        <v>1625</v>
      </c>
      <c r="L103" s="468"/>
      <c r="M103" s="468" t="str">
        <f>IF(L103="","",
IF(AX103="PT",VLOOKUP(L103,Foundation_Calc!$V$4:$X$37,VLOOKUP(AX103,Foundation_Calc!$I$10:$J$13,2,FALSE),0),
IF(AX103="K",VLOOKUP(L103,Foundation_Calc!$V$41:$X$74,VLOOKUP(AX103,Foundation_Calc!$I$10:$J$13,2,FALSE),0),"")))</f>
        <v/>
      </c>
      <c r="N103" s="468"/>
      <c r="O103" s="468"/>
      <c r="P103" s="468"/>
      <c r="Q103" s="4"/>
      <c r="R103" s="6"/>
      <c r="S103" s="6"/>
      <c r="T103" s="4"/>
      <c r="U103" s="4"/>
      <c r="V103" s="4"/>
      <c r="W103" s="9"/>
      <c r="X103" s="9"/>
      <c r="Y103" s="9"/>
      <c r="Z103" s="9"/>
      <c r="AA103" s="9"/>
      <c r="AB103" s="9"/>
      <c r="AC103" s="468" t="str">
        <f t="shared" si="31"/>
        <v/>
      </c>
      <c r="AD103" s="468"/>
      <c r="AE103" s="468"/>
      <c r="AF103" s="4"/>
      <c r="AG103" s="88"/>
      <c r="AH103" s="4"/>
      <c r="AI103" s="4"/>
      <c r="AJ103" s="468"/>
      <c r="AK103" s="468"/>
      <c r="AL103" s="468"/>
      <c r="AM103" s="468"/>
      <c r="AN103" s="10"/>
      <c r="AO103" s="9"/>
      <c r="AP103" s="9"/>
      <c r="AQ103" s="9">
        <f>+FL_1($T$104,$T$102,$G$103,1200,9.28, 1*$F$104)</f>
        <v>0.40593301045656816</v>
      </c>
      <c r="AR103" s="9"/>
      <c r="AS103" s="9"/>
      <c r="AT103" s="9"/>
      <c r="AU103" s="447"/>
      <c r="AV103" s="447"/>
      <c r="AW103" s="468"/>
      <c r="AX103" s="468"/>
      <c r="AY103" s="10"/>
      <c r="AZ103" s="10"/>
      <c r="BA103" s="553" t="str">
        <f t="shared" si="28"/>
        <v/>
      </c>
      <c r="BB103" s="553" t="str">
        <f t="shared" si="22"/>
        <v>ü</v>
      </c>
      <c r="BC103" s="553" t="str">
        <f t="shared" si="23"/>
        <v/>
      </c>
      <c r="BD103" s="572" t="str">
        <f>IF(AND(L103="",H103=""),"",
IF(H103="",Pole_Calc!A$9,
IF(H103="MP",Pole_Calc!A$10,
IF(H103="AnMP",Pole_Calc!A$11,
IF(H103="A",Pole_Calc!A$12,
IF(H103="S/A",Pole_Calc!A$13,
IF(H103="A/S",Pole_Calc!A$14,"Poner a mano")))))))</f>
        <v/>
      </c>
      <c r="BE103" s="448" t="s">
        <v>1726</v>
      </c>
      <c r="BF103" s="305"/>
      <c r="BG103" s="305"/>
      <c r="BH103" s="306"/>
      <c r="BI103" s="305"/>
    </row>
    <row r="104" spans="1:61" ht="16.2" customHeight="1">
      <c r="A104" s="573"/>
      <c r="B104" s="469" t="s">
        <v>2329</v>
      </c>
      <c r="C104" s="3">
        <f t="shared" si="42"/>
        <v>1251.4600000000014</v>
      </c>
      <c r="D104" s="88"/>
      <c r="E104" s="4"/>
      <c r="F104" s="4">
        <f>(193^2)/(C104-1236.12)</f>
        <v>2428.226857887636</v>
      </c>
      <c r="G104" s="6"/>
      <c r="H104" s="468" t="s">
        <v>26</v>
      </c>
      <c r="I104" s="468" t="s">
        <v>183</v>
      </c>
      <c r="J104" s="3"/>
      <c r="K104" s="468"/>
      <c r="L104" s="468" t="s">
        <v>452</v>
      </c>
      <c r="M104" s="468" t="s">
        <v>1625</v>
      </c>
      <c r="N104" s="468" t="s">
        <v>33</v>
      </c>
      <c r="O104" s="468"/>
      <c r="P104" s="468"/>
      <c r="Q104" s="4"/>
      <c r="R104" s="6"/>
      <c r="S104" s="6"/>
      <c r="T104" s="4">
        <v>35</v>
      </c>
      <c r="U104" s="4"/>
      <c r="V104" s="4"/>
      <c r="W104" s="9">
        <v>1.4</v>
      </c>
      <c r="X104" s="9"/>
      <c r="Y104" s="9"/>
      <c r="Z104" s="9"/>
      <c r="AA104" s="9"/>
      <c r="AB104" s="9"/>
      <c r="AC104" s="468" t="str">
        <f t="shared" si="31"/>
        <v>PHQ</v>
      </c>
      <c r="AD104" s="468"/>
      <c r="AE104" s="468"/>
      <c r="AF104" s="4"/>
      <c r="AG104" s="88"/>
      <c r="AH104" s="4"/>
      <c r="AI104" s="4"/>
      <c r="AJ104" s="468"/>
      <c r="AK104" s="468"/>
      <c r="AL104" s="468"/>
      <c r="AM104" s="468"/>
      <c r="AN104" s="10">
        <v>5.5</v>
      </c>
      <c r="AO104" s="9"/>
      <c r="AP104" s="9"/>
      <c r="AQ104" s="9"/>
      <c r="AR104" s="9"/>
      <c r="AS104" s="9"/>
      <c r="AT104" s="9">
        <f>+ab($T$104,$T$102,$U$106,$G$103,$G$105, 1*$F$104,1200)</f>
        <v>5.7778962511650898</v>
      </c>
      <c r="AU104" s="447"/>
      <c r="AV104" s="447"/>
      <c r="AW104" s="468" t="s">
        <v>199</v>
      </c>
      <c r="AX104" s="468" t="s">
        <v>199</v>
      </c>
      <c r="AY104" s="10"/>
      <c r="AZ104" s="10"/>
      <c r="BA104" s="553" t="str">
        <f t="shared" ref="BA104:BA146" si="43">IF(AY104="","",IF(AY104&gt;0,"ü",""))</f>
        <v/>
      </c>
      <c r="BB104" s="553" t="str">
        <f t="shared" ref="BB104:BB146" si="44">IF(K104="","",IF(K104="U.S.","ü",IF(K104="U.S. N.D.","ü","")))</f>
        <v/>
      </c>
      <c r="BC104" s="553" t="str">
        <f t="shared" ref="BC104:BC146" si="45">IF(M104="","",IF(M104="U.S.","ü",IF(M104="U.S. N.D.","ü","")))</f>
        <v>ü</v>
      </c>
      <c r="BD104" s="572" t="str">
        <f>IF(AND(L104="",H104=""),"",
IF(H104="",Pole_Calc!A$9,
IF(H104="MP",Pole_Calc!A$10,
IF(H104="AnMP",Pole_Calc!A$11,
IF(H104="A",Pole_Calc!A$12,
IF(H104="S/A",Pole_Calc!A$13,
IF(H104="A/S",Pole_Calc!A$14,"Poner a mano")))))))</f>
        <v>App.7-V11H-P9.5.1.6</v>
      </c>
      <c r="BE104" s="448" t="s">
        <v>1726</v>
      </c>
      <c r="BF104" s="306"/>
      <c r="BG104" s="306"/>
      <c r="BH104" s="306"/>
      <c r="BI104" s="306"/>
    </row>
    <row r="105" spans="1:61" ht="16.2" customHeight="1">
      <c r="A105" s="573"/>
      <c r="B105" s="469"/>
      <c r="C105" s="3"/>
      <c r="D105" s="88"/>
      <c r="E105" s="4"/>
      <c r="F105" s="4"/>
      <c r="G105" s="6">
        <v>50</v>
      </c>
      <c r="H105" s="468"/>
      <c r="I105" s="4">
        <f>SUM(G105:G123)</f>
        <v>525.4</v>
      </c>
      <c r="J105" s="3"/>
      <c r="K105" s="468"/>
      <c r="L105" s="468"/>
      <c r="M105" s="468" t="str">
        <f>IF(L105="","",
IF(AX105="PT",VLOOKUP(L105,Foundation_Calc!$V$4:$X$37,VLOOKUP(AX105,Foundation_Calc!$I$10:$J$13,2,FALSE),0),
IF(AX105="K",VLOOKUP(L105,Foundation_Calc!$V$41:$X$74,VLOOKUP(AX105,Foundation_Calc!$I$10:$J$13,2,FALSE),0),"")))</f>
        <v/>
      </c>
      <c r="N105" s="468"/>
      <c r="O105" s="468"/>
      <c r="P105" s="468"/>
      <c r="Q105" s="4"/>
      <c r="R105" s="6"/>
      <c r="S105" s="6"/>
      <c r="T105" s="4"/>
      <c r="U105" s="4"/>
      <c r="V105" s="4"/>
      <c r="W105" s="9"/>
      <c r="X105" s="9"/>
      <c r="Y105" s="9"/>
      <c r="Z105" s="9"/>
      <c r="AA105" s="9"/>
      <c r="AB105" s="9"/>
      <c r="AC105" s="468" t="str">
        <f t="shared" si="31"/>
        <v/>
      </c>
      <c r="AD105" s="468"/>
      <c r="AE105" s="468"/>
      <c r="AF105" s="4"/>
      <c r="AG105" s="88"/>
      <c r="AH105" s="4"/>
      <c r="AI105" s="4"/>
      <c r="AJ105" s="468"/>
      <c r="AK105" s="468"/>
      <c r="AL105" s="468"/>
      <c r="AM105" s="468"/>
      <c r="AN105" s="10"/>
      <c r="AO105" s="9"/>
      <c r="AP105" s="9"/>
      <c r="AQ105" s="9">
        <f>+FL_1($U$106,$T$104,$G$105,1200,9.28, 1*$F$106)</f>
        <v>0.37593390799999998</v>
      </c>
      <c r="AR105" s="9"/>
      <c r="AS105" s="9"/>
      <c r="AT105" s="9"/>
      <c r="AU105" s="447"/>
      <c r="AV105" s="447"/>
      <c r="AW105" s="468"/>
      <c r="AX105" s="468"/>
      <c r="AY105" s="10"/>
      <c r="AZ105" s="10"/>
      <c r="BA105" s="553" t="str">
        <f t="shared" si="43"/>
        <v/>
      </c>
      <c r="BB105" s="553" t="str">
        <f t="shared" si="44"/>
        <v/>
      </c>
      <c r="BC105" s="553" t="str">
        <f t="shared" si="45"/>
        <v/>
      </c>
      <c r="BD105" s="572" t="str">
        <f>IF(AND(L105="",H105=""),"",
IF(H105="",Pole_Calc!A$9,
IF(H105="MP",Pole_Calc!A$10,
IF(H105="AnMP",Pole_Calc!A$11,
IF(H105="A",Pole_Calc!A$12,
IF(H105="S/A",Pole_Calc!A$13,
IF(H105="A/S",Pole_Calc!A$14,"Poner a mano")))))))</f>
        <v/>
      </c>
      <c r="BE105" s="448" t="s">
        <v>1726</v>
      </c>
      <c r="BF105" s="305"/>
      <c r="BG105" s="305"/>
      <c r="BH105" s="306"/>
      <c r="BI105" s="305"/>
    </row>
    <row r="106" spans="1:61" ht="16.2" customHeight="1">
      <c r="A106" s="573"/>
      <c r="B106" s="469" t="s">
        <v>2330</v>
      </c>
      <c r="C106" s="3">
        <f t="shared" si="42"/>
        <v>1201.4600000000014</v>
      </c>
      <c r="D106" s="88"/>
      <c r="E106" s="4"/>
      <c r="F106" s="4">
        <v>0</v>
      </c>
      <c r="G106" s="6"/>
      <c r="H106" s="468" t="s">
        <v>179</v>
      </c>
      <c r="I106" s="468"/>
      <c r="J106" s="3"/>
      <c r="K106" s="468"/>
      <c r="L106" s="468" t="s">
        <v>448</v>
      </c>
      <c r="M106" s="468" t="s">
        <v>1625</v>
      </c>
      <c r="N106" s="468" t="s">
        <v>28</v>
      </c>
      <c r="O106" s="468" t="s">
        <v>32</v>
      </c>
      <c r="P106" s="468"/>
      <c r="Q106" s="4"/>
      <c r="R106" s="6"/>
      <c r="S106" s="6"/>
      <c r="T106" s="4">
        <v>15</v>
      </c>
      <c r="U106" s="4">
        <v>-30</v>
      </c>
      <c r="V106" s="4"/>
      <c r="W106" s="9">
        <v>1.4</v>
      </c>
      <c r="X106" s="9">
        <v>2.2999999999999998</v>
      </c>
      <c r="Y106" s="9"/>
      <c r="Z106" s="9">
        <v>0.45</v>
      </c>
      <c r="AA106" s="9"/>
      <c r="AB106" s="9"/>
      <c r="AC106" s="468"/>
      <c r="AD106" s="468"/>
      <c r="AE106" s="468"/>
      <c r="AF106" s="4"/>
      <c r="AG106" s="88"/>
      <c r="AH106" s="4"/>
      <c r="AI106" s="4"/>
      <c r="AJ106" s="468"/>
      <c r="AK106" s="468"/>
      <c r="AL106" s="468"/>
      <c r="AM106" s="468"/>
      <c r="AN106" s="10">
        <v>5.5</v>
      </c>
      <c r="AO106" s="9"/>
      <c r="AP106" s="9"/>
      <c r="AQ106" s="9"/>
      <c r="AR106" s="9"/>
      <c r="AS106" s="9"/>
      <c r="AT106" s="9">
        <f>+ab($U$106,$T$104,$U$108,$G$105,$G$107, 1*$F$106,1200)</f>
        <v>-11.822626863575874</v>
      </c>
      <c r="AU106" s="447"/>
      <c r="AV106" s="447"/>
      <c r="AW106" s="468" t="s">
        <v>199</v>
      </c>
      <c r="AX106" s="468" t="s">
        <v>199</v>
      </c>
      <c r="AY106" s="10"/>
      <c r="AZ106" s="10"/>
      <c r="BA106" s="553" t="str">
        <f t="shared" si="43"/>
        <v/>
      </c>
      <c r="BB106" s="553" t="str">
        <f t="shared" si="44"/>
        <v/>
      </c>
      <c r="BC106" s="553" t="str">
        <f t="shared" si="45"/>
        <v>ü</v>
      </c>
      <c r="BD106" s="572" t="str">
        <f>IF(AND(L106="",H106=""),"",
IF(H106="",Pole_Calc!A$9,
IF(H106="MP",Pole_Calc!A$10,
IF(H106="AnMP",Pole_Calc!A$11,
IF(H106="A",Pole_Calc!A$12,
IF(H106="S/A",Pole_Calc!A$13,
IF(H106="A/S",Pole_Calc!A$14,"Poner a mano")))))))</f>
        <v>App.7-V11H-P9.5.1.5</v>
      </c>
      <c r="BE106" s="448" t="s">
        <v>1726</v>
      </c>
      <c r="BF106" s="306"/>
      <c r="BG106" s="306"/>
      <c r="BH106" s="306"/>
      <c r="BI106" s="306"/>
    </row>
    <row r="107" spans="1:61" ht="16.2" customHeight="1">
      <c r="A107" s="573"/>
      <c r="B107" s="469"/>
      <c r="C107" s="3"/>
      <c r="D107" s="88"/>
      <c r="E107" s="4"/>
      <c r="F107" s="4"/>
      <c r="G107" s="6">
        <v>50</v>
      </c>
      <c r="H107" s="468"/>
      <c r="I107" s="468"/>
      <c r="J107" s="3"/>
      <c r="K107" s="468"/>
      <c r="L107" s="468"/>
      <c r="M107" s="468" t="str">
        <f>IF(L107="","",
IF(AX107="PT",VLOOKUP(L107,Foundation_Calc!$V$4:$X$37,VLOOKUP(AX107,Foundation_Calc!$I$10:$J$13,2,FALSE),0),
IF(AX107="K",VLOOKUP(L107,Foundation_Calc!$V$41:$X$74,VLOOKUP(AX107,Foundation_Calc!$I$10:$J$13,2,FALSE),0),"")))</f>
        <v/>
      </c>
      <c r="N107" s="468"/>
      <c r="O107" s="468"/>
      <c r="P107" s="468"/>
      <c r="Q107" s="4"/>
      <c r="R107" s="6"/>
      <c r="S107" s="6"/>
      <c r="T107" s="4"/>
      <c r="U107" s="4"/>
      <c r="V107" s="4"/>
      <c r="W107" s="9"/>
      <c r="X107" s="9"/>
      <c r="Y107" s="9"/>
      <c r="Z107" s="9"/>
      <c r="AA107" s="9"/>
      <c r="AB107" s="9"/>
      <c r="AC107" s="468" t="str">
        <f t="shared" si="31"/>
        <v/>
      </c>
      <c r="AD107" s="468"/>
      <c r="AE107" s="468"/>
      <c r="AF107" s="4"/>
      <c r="AG107" s="88"/>
      <c r="AH107" s="4"/>
      <c r="AI107" s="4"/>
      <c r="AJ107" s="468"/>
      <c r="AK107" s="468"/>
      <c r="AL107" s="468"/>
      <c r="AM107" s="468"/>
      <c r="AN107" s="10"/>
      <c r="AO107" s="9"/>
      <c r="AP107" s="9"/>
      <c r="AQ107" s="9">
        <f>+FL_1($T$108,$U$106,$G$107,1200,9.28, 1*$F$108)</f>
        <v>0.33477011200000001</v>
      </c>
      <c r="AR107" s="9"/>
      <c r="AS107" s="9"/>
      <c r="AT107" s="9"/>
      <c r="AU107" s="447"/>
      <c r="AV107" s="447"/>
      <c r="AW107" s="468"/>
      <c r="AX107" s="468"/>
      <c r="AY107" s="10"/>
      <c r="AZ107" s="10"/>
      <c r="BA107" s="553" t="str">
        <f t="shared" si="43"/>
        <v/>
      </c>
      <c r="BB107" s="553" t="str">
        <f t="shared" si="44"/>
        <v/>
      </c>
      <c r="BC107" s="553" t="str">
        <f t="shared" si="45"/>
        <v/>
      </c>
      <c r="BD107" s="572" t="str">
        <f>IF(AND(L107="",H107=""),"",
IF(H107="",Pole_Calc!A$9,
IF(H107="MP",Pole_Calc!A$10,
IF(H107="AnMP",Pole_Calc!A$11,
IF(H107="A",Pole_Calc!A$12,
IF(H107="S/A",Pole_Calc!A$13,
IF(H107="A/S",Pole_Calc!A$14,"Poner a mano")))))))</f>
        <v/>
      </c>
      <c r="BE107" s="448" t="s">
        <v>1726</v>
      </c>
      <c r="BF107" s="305"/>
      <c r="BG107" s="305"/>
      <c r="BH107" s="306"/>
      <c r="BI107" s="305"/>
    </row>
    <row r="108" spans="1:61" ht="16.2" customHeight="1">
      <c r="A108" s="573" t="s">
        <v>2399</v>
      </c>
      <c r="B108" s="469" t="s">
        <v>2331</v>
      </c>
      <c r="C108" s="3">
        <f t="shared" si="42"/>
        <v>1151.4600000000014</v>
      </c>
      <c r="D108" s="88"/>
      <c r="E108" s="4"/>
      <c r="F108" s="4">
        <v>0</v>
      </c>
      <c r="G108" s="6"/>
      <c r="H108" s="468" t="s">
        <v>179</v>
      </c>
      <c r="I108" s="468" t="s">
        <v>653</v>
      </c>
      <c r="J108" s="3"/>
      <c r="K108" s="468"/>
      <c r="L108" s="468" t="s">
        <v>787</v>
      </c>
      <c r="M108" s="468" t="s">
        <v>1625</v>
      </c>
      <c r="N108" s="468" t="s">
        <v>33</v>
      </c>
      <c r="O108" s="468" t="s">
        <v>28</v>
      </c>
      <c r="P108" s="468"/>
      <c r="Q108" s="4"/>
      <c r="R108" s="6"/>
      <c r="S108" s="6"/>
      <c r="T108" s="4">
        <v>30</v>
      </c>
      <c r="U108" s="4">
        <v>-15</v>
      </c>
      <c r="V108" s="4"/>
      <c r="W108" s="9">
        <v>1.4</v>
      </c>
      <c r="X108" s="9">
        <v>2.2999999999999998</v>
      </c>
      <c r="Y108" s="9"/>
      <c r="Z108" s="9"/>
      <c r="AA108" s="9">
        <v>0.45</v>
      </c>
      <c r="AB108" s="9"/>
      <c r="AC108" s="468" t="str">
        <f t="shared" si="31"/>
        <v>PH</v>
      </c>
      <c r="AD108" s="468"/>
      <c r="AE108" s="468"/>
      <c r="AF108" s="4"/>
      <c r="AG108" s="88"/>
      <c r="AH108" s="4"/>
      <c r="AI108" s="4"/>
      <c r="AJ108" s="468" t="s">
        <v>1162</v>
      </c>
      <c r="AK108" s="468"/>
      <c r="AL108" s="468"/>
      <c r="AM108" s="468"/>
      <c r="AN108" s="10">
        <v>5.5</v>
      </c>
      <c r="AO108" s="9"/>
      <c r="AP108" s="9"/>
      <c r="AQ108" s="9"/>
      <c r="AR108" s="9"/>
      <c r="AS108" s="9"/>
      <c r="AT108" s="9">
        <f>+ab($T$108,$T$106,$T$110,$G$107,$G$109, 1*$F$108,1200)</f>
        <v>15.594172034820335</v>
      </c>
      <c r="AU108" s="447"/>
      <c r="AV108" s="447"/>
      <c r="AW108" s="468" t="s">
        <v>199</v>
      </c>
      <c r="AX108" s="468" t="s">
        <v>199</v>
      </c>
      <c r="AY108" s="10"/>
      <c r="AZ108" s="10"/>
      <c r="BA108" s="553" t="str">
        <f t="shared" si="43"/>
        <v/>
      </c>
      <c r="BB108" s="553" t="str">
        <f t="shared" si="44"/>
        <v/>
      </c>
      <c r="BC108" s="553" t="str">
        <f t="shared" si="45"/>
        <v>ü</v>
      </c>
      <c r="BD108" s="572" t="str">
        <f>Pole_Calc!A$26</f>
        <v>App.7-V11H-P9.5.2.5</v>
      </c>
      <c r="BE108" s="448" t="s">
        <v>1726</v>
      </c>
      <c r="BF108" s="306"/>
      <c r="BG108" s="306"/>
      <c r="BH108" s="306"/>
      <c r="BI108" s="306"/>
    </row>
    <row r="109" spans="1:61" ht="16.2" customHeight="1">
      <c r="A109" s="573"/>
      <c r="B109" s="469"/>
      <c r="C109" s="3"/>
      <c r="D109" s="88"/>
      <c r="E109" s="4"/>
      <c r="F109" s="4"/>
      <c r="G109" s="6">
        <v>50</v>
      </c>
      <c r="H109" s="468"/>
      <c r="I109" s="468"/>
      <c r="J109" s="3"/>
      <c r="K109" s="468"/>
      <c r="L109" s="468"/>
      <c r="M109" s="468" t="str">
        <f>IF(L109="","",
IF(AX109="PT",VLOOKUP(L109,Foundation_Calc!$V$4:$X$37,VLOOKUP(AX109,Foundation_Calc!$I$10:$J$13,2,FALSE),0),
IF(AX109="K",VLOOKUP(L109,Foundation_Calc!$V$41:$X$74,VLOOKUP(AX109,Foundation_Calc!$I$10:$J$13,2,FALSE),0),"")))</f>
        <v/>
      </c>
      <c r="N109" s="468"/>
      <c r="O109" s="468"/>
      <c r="P109" s="468"/>
      <c r="Q109" s="4"/>
      <c r="R109" s="6"/>
      <c r="S109" s="6"/>
      <c r="T109" s="4"/>
      <c r="U109" s="4"/>
      <c r="V109" s="4"/>
      <c r="W109" s="9"/>
      <c r="X109" s="9"/>
      <c r="Y109" s="9"/>
      <c r="Z109" s="9"/>
      <c r="AA109" s="9"/>
      <c r="AB109" s="9"/>
      <c r="AC109" s="468" t="str">
        <f t="shared" si="31"/>
        <v/>
      </c>
      <c r="AD109" s="468"/>
      <c r="AE109" s="468"/>
      <c r="AF109" s="4"/>
      <c r="AG109" s="88"/>
      <c r="AH109" s="4"/>
      <c r="AI109" s="4"/>
      <c r="AJ109" s="468"/>
      <c r="AK109" s="468"/>
      <c r="AL109" s="468"/>
      <c r="AM109" s="468"/>
      <c r="AN109" s="10"/>
      <c r="AO109" s="9"/>
      <c r="AP109" s="9"/>
      <c r="AQ109" s="9">
        <f>+FL_1($T$110,$T$108,$G$109,1200,9.28, 1*$F$110)</f>
        <v>0.36903735466666671</v>
      </c>
      <c r="AR109" s="9"/>
      <c r="AS109" s="9"/>
      <c r="AT109" s="9"/>
      <c r="AU109" s="447"/>
      <c r="AV109" s="447"/>
      <c r="AW109" s="468"/>
      <c r="AX109" s="468"/>
      <c r="AY109" s="10"/>
      <c r="AZ109" s="10"/>
      <c r="BA109" s="553" t="str">
        <f t="shared" si="43"/>
        <v/>
      </c>
      <c r="BB109" s="553" t="str">
        <f t="shared" si="44"/>
        <v/>
      </c>
      <c r="BC109" s="553" t="str">
        <f t="shared" si="45"/>
        <v/>
      </c>
      <c r="BD109" s="572" t="str">
        <f>IF(AND(L109="",H109=""),"",
IF(H109="",Pole_Calc!A$9,
IF(H109="MP",Pole_Calc!A$10,
IF(H109="AnMP",Pole_Calc!A$11,
IF(H109="A",Pole_Calc!A$12,
IF(H109="S/A",Pole_Calc!A$13,
IF(H109="A/S",Pole_Calc!A$14,"Poner a mano")))))))</f>
        <v/>
      </c>
      <c r="BE109" s="448" t="s">
        <v>1726</v>
      </c>
      <c r="BF109" s="305"/>
      <c r="BG109" s="305"/>
      <c r="BH109" s="306"/>
      <c r="BI109" s="305"/>
    </row>
    <row r="110" spans="1:61" ht="16.2" customHeight="1">
      <c r="A110" s="573"/>
      <c r="B110" s="469" t="s">
        <v>2304</v>
      </c>
      <c r="C110" s="3">
        <f t="shared" si="42"/>
        <v>1101.4600000000014</v>
      </c>
      <c r="D110" s="88"/>
      <c r="E110" s="4"/>
      <c r="F110" s="4">
        <v>0</v>
      </c>
      <c r="G110" s="6"/>
      <c r="H110" s="468" t="s">
        <v>26</v>
      </c>
      <c r="I110" s="468" t="s">
        <v>1159</v>
      </c>
      <c r="J110" s="3"/>
      <c r="K110" s="468"/>
      <c r="L110" s="468" t="s">
        <v>448</v>
      </c>
      <c r="M110" s="468" t="s">
        <v>1625</v>
      </c>
      <c r="N110" s="468" t="s">
        <v>32</v>
      </c>
      <c r="O110" s="468"/>
      <c r="P110" s="468"/>
      <c r="Q110" s="4"/>
      <c r="R110" s="6"/>
      <c r="S110" s="6"/>
      <c r="T110" s="4">
        <v>-15</v>
      </c>
      <c r="U110" s="4"/>
      <c r="V110" s="4"/>
      <c r="W110" s="9">
        <v>1.4</v>
      </c>
      <c r="X110" s="9"/>
      <c r="Y110" s="9"/>
      <c r="Z110" s="9"/>
      <c r="AA110" s="9"/>
      <c r="AB110" s="9"/>
      <c r="AC110" s="468" t="str">
        <f t="shared" si="31"/>
        <v>PH</v>
      </c>
      <c r="AD110" s="468"/>
      <c r="AE110" s="468"/>
      <c r="AF110" s="4"/>
      <c r="AG110" s="88"/>
      <c r="AH110" s="4"/>
      <c r="AI110" s="4"/>
      <c r="AJ110" s="468"/>
      <c r="AK110" s="468"/>
      <c r="AL110" s="468"/>
      <c r="AM110" s="468"/>
      <c r="AN110" s="10">
        <v>5.5</v>
      </c>
      <c r="AO110" s="9"/>
      <c r="AP110" s="9"/>
      <c r="AQ110" s="9"/>
      <c r="AR110" s="9"/>
      <c r="AS110" s="9"/>
      <c r="AT110" s="9">
        <f>+ab($T$110,$T$108,$T$112,$G$109,$G$111, 1*$F$110,1200)</f>
        <v>-33.286030652168414</v>
      </c>
      <c r="AU110" s="447"/>
      <c r="AV110" s="447"/>
      <c r="AW110" s="468" t="s">
        <v>199</v>
      </c>
      <c r="AX110" s="468" t="s">
        <v>199</v>
      </c>
      <c r="AY110" s="10"/>
      <c r="AZ110" s="10"/>
      <c r="BA110" s="553" t="str">
        <f t="shared" si="43"/>
        <v/>
      </c>
      <c r="BB110" s="553" t="str">
        <f t="shared" si="44"/>
        <v/>
      </c>
      <c r="BC110" s="553" t="str">
        <f t="shared" si="45"/>
        <v>ü</v>
      </c>
      <c r="BD110" s="572" t="str">
        <f>Pole_Calc!A$27</f>
        <v>App.7-V11H-P9.5.2.6</v>
      </c>
      <c r="BE110" s="448" t="s">
        <v>1726</v>
      </c>
      <c r="BF110" s="306"/>
      <c r="BG110" s="306"/>
      <c r="BH110" s="306"/>
      <c r="BI110" s="306"/>
    </row>
    <row r="111" spans="1:61" ht="16.2" customHeight="1">
      <c r="A111" s="573"/>
      <c r="B111" s="469"/>
      <c r="C111" s="3"/>
      <c r="D111" s="88"/>
      <c r="E111" s="4"/>
      <c r="F111" s="4"/>
      <c r="G111" s="6">
        <v>51.3</v>
      </c>
      <c r="H111" s="468"/>
      <c r="I111" s="468"/>
      <c r="J111" s="3">
        <f>C110-7.5</f>
        <v>1093.9600000000014</v>
      </c>
      <c r="K111" s="468" t="s">
        <v>1625</v>
      </c>
      <c r="L111" s="468"/>
      <c r="M111" s="468" t="str">
        <f>IF(L111="","",
IF(AX111="PT",VLOOKUP(L111,Foundation_Calc!$V$4:$X$37,VLOOKUP(AX111,Foundation_Calc!$I$10:$J$13,2,FALSE),0),
IF(AX111="K",VLOOKUP(L111,Foundation_Calc!$V$41:$X$74,VLOOKUP(AX111,Foundation_Calc!$I$10:$J$13,2,FALSE),0),"")))</f>
        <v/>
      </c>
      <c r="N111" s="468"/>
      <c r="O111" s="468"/>
      <c r="P111" s="468"/>
      <c r="Q111" s="4"/>
      <c r="R111" s="6"/>
      <c r="S111" s="6"/>
      <c r="T111" s="4"/>
      <c r="U111" s="4"/>
      <c r="V111" s="4"/>
      <c r="W111" s="9"/>
      <c r="X111" s="9"/>
      <c r="Y111" s="9"/>
      <c r="Z111" s="9"/>
      <c r="AA111" s="9"/>
      <c r="AB111" s="9"/>
      <c r="AC111" s="468" t="str">
        <f t="shared" si="31"/>
        <v/>
      </c>
      <c r="AD111" s="468"/>
      <c r="AE111" s="468"/>
      <c r="AF111" s="4"/>
      <c r="AG111" s="88"/>
      <c r="AH111" s="4"/>
      <c r="AI111" s="4"/>
      <c r="AJ111" s="468"/>
      <c r="AK111" s="468"/>
      <c r="AL111" s="468"/>
      <c r="AM111" s="468"/>
      <c r="AN111" s="10"/>
      <c r="AO111" s="9"/>
      <c r="AP111" s="9"/>
      <c r="AQ111" s="9">
        <f>+FL_2($T$112,$T$110,$G$111,1200,9.28, 1*$F$112)</f>
        <v>-0.51422387080701748</v>
      </c>
      <c r="AR111" s="9"/>
      <c r="AS111" s="9"/>
      <c r="AT111" s="9"/>
      <c r="AU111" s="447"/>
      <c r="AV111" s="447"/>
      <c r="AW111" s="468"/>
      <c r="AX111" s="468"/>
      <c r="AY111" s="10"/>
      <c r="AZ111" s="10"/>
      <c r="BA111" s="553" t="str">
        <f t="shared" si="43"/>
        <v/>
      </c>
      <c r="BB111" s="553" t="str">
        <f t="shared" si="44"/>
        <v>ü</v>
      </c>
      <c r="BC111" s="553" t="str">
        <f t="shared" si="45"/>
        <v/>
      </c>
      <c r="BD111" s="572" t="str">
        <f>IF(AND(L111="",H111=""),"",
IF(H111="",Pole_Calc!A$9,
IF(H111="MP",Pole_Calc!A$10,
IF(H111="AnMP",Pole_Calc!A$11,
IF(H111="A",Pole_Calc!A$12,
IF(H111="S/A",Pole_Calc!A$13,
IF(H111="A/S",Pole_Calc!A$14,"Poner a mano")))))))</f>
        <v/>
      </c>
      <c r="BE111" s="448" t="s">
        <v>1726</v>
      </c>
      <c r="BF111" s="305"/>
      <c r="BG111" s="305"/>
      <c r="BH111" s="306"/>
      <c r="BI111" s="305"/>
    </row>
    <row r="112" spans="1:61" ht="16.2" customHeight="1">
      <c r="A112" s="573"/>
      <c r="B112" s="469" t="s">
        <v>2305</v>
      </c>
      <c r="C112" s="3">
        <f t="shared" si="42"/>
        <v>1050.1600000000014</v>
      </c>
      <c r="D112" s="88"/>
      <c r="E112" s="4"/>
      <c r="F112" s="4">
        <v>0</v>
      </c>
      <c r="G112" s="6"/>
      <c r="H112" s="468" t="s">
        <v>388</v>
      </c>
      <c r="I112" s="468" t="s">
        <v>183</v>
      </c>
      <c r="J112" s="3"/>
      <c r="K112" s="468"/>
      <c r="L112" s="468" t="s">
        <v>449</v>
      </c>
      <c r="M112" s="468" t="s">
        <v>1625</v>
      </c>
      <c r="N112" s="468" t="s">
        <v>32</v>
      </c>
      <c r="O112" s="468"/>
      <c r="P112" s="468"/>
      <c r="Q112" s="4"/>
      <c r="R112" s="6"/>
      <c r="S112" s="6"/>
      <c r="T112" s="4">
        <v>-35</v>
      </c>
      <c r="U112" s="4"/>
      <c r="V112" s="4"/>
      <c r="W112" s="9">
        <v>1.4</v>
      </c>
      <c r="X112" s="9"/>
      <c r="Y112" s="9"/>
      <c r="Z112" s="9"/>
      <c r="AA112" s="9"/>
      <c r="AB112" s="9"/>
      <c r="AC112" s="468" t="str">
        <f t="shared" si="31"/>
        <v>PH</v>
      </c>
      <c r="AD112" s="468"/>
      <c r="AE112" s="468"/>
      <c r="AF112" s="4"/>
      <c r="AG112" s="88"/>
      <c r="AH112" s="4"/>
      <c r="AI112" s="4"/>
      <c r="AJ112" s="468"/>
      <c r="AK112" s="468"/>
      <c r="AL112" s="468"/>
      <c r="AM112" s="468"/>
      <c r="AN112" s="10">
        <v>5.5</v>
      </c>
      <c r="AO112" s="9"/>
      <c r="AP112" s="9"/>
      <c r="AQ112" s="9"/>
      <c r="AR112" s="9"/>
      <c r="AS112" s="9"/>
      <c r="AT112" s="9">
        <f>+ab($T$112,$T$110,$U$114,$G$111,$G$113, 1*$F$112,1200)</f>
        <v>-10.982938415855637</v>
      </c>
      <c r="AU112" s="447"/>
      <c r="AV112" s="447"/>
      <c r="AW112" s="468" t="s">
        <v>199</v>
      </c>
      <c r="AX112" s="468" t="s">
        <v>199</v>
      </c>
      <c r="AY112" s="10"/>
      <c r="AZ112" s="10"/>
      <c r="BA112" s="553" t="str">
        <f t="shared" si="43"/>
        <v/>
      </c>
      <c r="BB112" s="553" t="str">
        <f t="shared" si="44"/>
        <v/>
      </c>
      <c r="BC112" s="553" t="str">
        <f t="shared" si="45"/>
        <v>ü</v>
      </c>
      <c r="BD112" s="572" t="str">
        <f>Pole_Calc!A$167</f>
        <v>App.7-V11H-P9.5.15.2</v>
      </c>
      <c r="BE112" s="448" t="s">
        <v>1726</v>
      </c>
      <c r="BF112" s="306"/>
      <c r="BG112" s="306"/>
      <c r="BH112" s="306"/>
      <c r="BI112" s="306"/>
    </row>
    <row r="113" spans="1:61" ht="16.2" customHeight="1">
      <c r="A113" s="573"/>
      <c r="B113" s="469"/>
      <c r="C113" s="3"/>
      <c r="D113" s="88"/>
      <c r="E113" s="4"/>
      <c r="F113" s="4"/>
      <c r="G113" s="6">
        <v>52.4</v>
      </c>
      <c r="H113" s="468"/>
      <c r="I113" s="468"/>
      <c r="J113" s="3"/>
      <c r="K113" s="468"/>
      <c r="L113" s="468"/>
      <c r="M113" s="468" t="str">
        <f>IF(L113="","",
IF(AX113="PT",VLOOKUP(L113,Foundation_Calc!$V$4:$X$37,VLOOKUP(AX113,Foundation_Calc!$I$10:$J$13,2,FALSE),0),
IF(AX113="K",VLOOKUP(L113,Foundation_Calc!$V$41:$X$74,VLOOKUP(AX113,Foundation_Calc!$I$10:$J$13,2,FALSE),0),"")))</f>
        <v/>
      </c>
      <c r="N113" s="468"/>
      <c r="O113" s="468"/>
      <c r="P113" s="468"/>
      <c r="Q113" s="4"/>
      <c r="R113" s="6"/>
      <c r="S113" s="6"/>
      <c r="T113" s="4"/>
      <c r="U113" s="4"/>
      <c r="V113" s="4"/>
      <c r="W113" s="9"/>
      <c r="X113" s="9"/>
      <c r="Y113" s="9"/>
      <c r="Z113" s="9"/>
      <c r="AA113" s="9"/>
      <c r="AB113" s="9"/>
      <c r="AC113" s="468" t="str">
        <f t="shared" si="31"/>
        <v/>
      </c>
      <c r="AD113" s="468"/>
      <c r="AE113" s="468"/>
      <c r="AF113" s="4"/>
      <c r="AG113" s="88"/>
      <c r="AH113" s="4"/>
      <c r="AI113" s="4"/>
      <c r="AJ113" s="468"/>
      <c r="AK113" s="468"/>
      <c r="AL113" s="468"/>
      <c r="AM113" s="468"/>
      <c r="AN113" s="10"/>
      <c r="AO113" s="9"/>
      <c r="AP113" s="9"/>
      <c r="AQ113" s="9">
        <f>+FL_2($U$114,$T$112,$G$113,1200,9.28, 1*$F$114)</f>
        <v>-0.38080511887022894</v>
      </c>
      <c r="AR113" s="9"/>
      <c r="AS113" s="9"/>
      <c r="AT113" s="9"/>
      <c r="AU113" s="447"/>
      <c r="AV113" s="447"/>
      <c r="AW113" s="468"/>
      <c r="AX113" s="468"/>
      <c r="AY113" s="10"/>
      <c r="AZ113" s="10"/>
      <c r="BA113" s="553" t="str">
        <f t="shared" si="43"/>
        <v/>
      </c>
      <c r="BB113" s="553" t="str">
        <f t="shared" si="44"/>
        <v/>
      </c>
      <c r="BC113" s="553" t="str">
        <f t="shared" si="45"/>
        <v/>
      </c>
      <c r="BD113" s="572" t="str">
        <f>IF(AND(L113="",H113=""),"",
IF(H113="",Pole_Calc!A$9,
IF(H113="MP",Pole_Calc!A$10,
IF(H113="AnMP",Pole_Calc!A$11,
IF(H113="A",Pole_Calc!A$12,
IF(H113="S/A",Pole_Calc!A$13,
IF(H113="A/S",Pole_Calc!A$14,"Poner a mano")))))))</f>
        <v/>
      </c>
      <c r="BE113" s="448" t="s">
        <v>1726</v>
      </c>
      <c r="BF113" s="305"/>
      <c r="BG113" s="305"/>
      <c r="BH113" s="306"/>
      <c r="BI113" s="305"/>
    </row>
    <row r="114" spans="1:61" ht="16.2" customHeight="1">
      <c r="A114" s="573"/>
      <c r="B114" s="469" t="s">
        <v>2334</v>
      </c>
      <c r="C114" s="3">
        <f t="shared" si="42"/>
        <v>997.76000000000147</v>
      </c>
      <c r="D114" s="88"/>
      <c r="E114" s="4"/>
      <c r="F114" s="4">
        <v>0</v>
      </c>
      <c r="G114" s="6"/>
      <c r="H114" s="468" t="s">
        <v>1861</v>
      </c>
      <c r="I114" s="468"/>
      <c r="J114" s="3"/>
      <c r="K114" s="468"/>
      <c r="L114" s="468" t="s">
        <v>449</v>
      </c>
      <c r="M114" s="468" t="s">
        <v>1625</v>
      </c>
      <c r="N114" s="669" t="s">
        <v>28</v>
      </c>
      <c r="O114" s="468" t="s">
        <v>33</v>
      </c>
      <c r="P114" s="669" t="s">
        <v>32</v>
      </c>
      <c r="Q114" s="4"/>
      <c r="R114" s="6"/>
      <c r="S114" s="6"/>
      <c r="T114" s="4">
        <v>-55</v>
      </c>
      <c r="U114" s="4">
        <v>35</v>
      </c>
      <c r="V114" s="4">
        <v>20</v>
      </c>
      <c r="W114" s="9">
        <v>2</v>
      </c>
      <c r="X114" s="9">
        <v>1.4</v>
      </c>
      <c r="Y114" s="9">
        <v>1.8</v>
      </c>
      <c r="Z114" s="9">
        <v>0.45</v>
      </c>
      <c r="AA114" s="9"/>
      <c r="AB114" s="9"/>
      <c r="AC114" s="468"/>
      <c r="AD114" s="468" t="s">
        <v>647</v>
      </c>
      <c r="AE114" s="468" t="s">
        <v>1068</v>
      </c>
      <c r="AF114" s="4"/>
      <c r="AG114" s="88"/>
      <c r="AH114" s="4"/>
      <c r="AI114" s="4"/>
      <c r="AJ114" s="468"/>
      <c r="AK114" s="468"/>
      <c r="AL114" s="468"/>
      <c r="AM114" s="468"/>
      <c r="AN114" s="10">
        <v>5.5</v>
      </c>
      <c r="AO114" s="9"/>
      <c r="AP114" s="9"/>
      <c r="AQ114" s="9"/>
      <c r="AR114" s="9"/>
      <c r="AS114" s="9"/>
      <c r="AT114" s="9">
        <f>+ab($U$114,$T$112,$U$116,$G$113,$G$115, 1*$F$114,1200)</f>
        <v>14.074389089570172</v>
      </c>
      <c r="AU114" s="447"/>
      <c r="AV114" s="447"/>
      <c r="AW114" s="468" t="s">
        <v>199</v>
      </c>
      <c r="AX114" s="468" t="s">
        <v>199</v>
      </c>
      <c r="AY114" s="10"/>
      <c r="AZ114" s="10"/>
      <c r="BA114" s="553" t="str">
        <f t="shared" si="43"/>
        <v/>
      </c>
      <c r="BB114" s="553" t="str">
        <f t="shared" si="44"/>
        <v/>
      </c>
      <c r="BC114" s="553" t="str">
        <f t="shared" si="45"/>
        <v>ü</v>
      </c>
      <c r="BD114" s="572" t="str">
        <f>Pole_Calc!A$13</f>
        <v>App.7-V11H-P9.5.1.5</v>
      </c>
      <c r="BE114" s="448" t="s">
        <v>1726</v>
      </c>
      <c r="BF114" s="306"/>
      <c r="BG114" s="306"/>
      <c r="BH114" s="306"/>
      <c r="BI114" s="306"/>
    </row>
    <row r="115" spans="1:61" ht="16.2" customHeight="1">
      <c r="A115" s="573"/>
      <c r="B115" s="469"/>
      <c r="C115" s="3"/>
      <c r="D115" s="88"/>
      <c r="E115" s="4"/>
      <c r="F115" s="4"/>
      <c r="G115" s="6">
        <v>48</v>
      </c>
      <c r="H115" s="468"/>
      <c r="I115" s="468"/>
      <c r="J115" s="3"/>
      <c r="K115" s="468"/>
      <c r="L115" s="468"/>
      <c r="M115" s="468" t="str">
        <f>IF(L115="","",
IF(AX115="PT",VLOOKUP(L115,Foundation_Calc!$V$4:$X$37,VLOOKUP(AX115,Foundation_Calc!$I$10:$J$13,2,FALSE),0),
IF(AX115="K",VLOOKUP(L115,Foundation_Calc!$V$41:$X$74,VLOOKUP(AX115,Foundation_Calc!$I$10:$J$13,2,FALSE),0),"")))</f>
        <v/>
      </c>
      <c r="N115" s="468"/>
      <c r="O115" s="468"/>
      <c r="P115" s="468"/>
      <c r="Q115" s="4"/>
      <c r="R115" s="6"/>
      <c r="S115" s="6"/>
      <c r="T115" s="4"/>
      <c r="U115" s="4"/>
      <c r="V115" s="4"/>
      <c r="W115" s="9"/>
      <c r="X115" s="9"/>
      <c r="Y115" s="9"/>
      <c r="Z115" s="9"/>
      <c r="AA115" s="9"/>
      <c r="AB115" s="9"/>
      <c r="AC115" s="468" t="str">
        <f t="shared" si="31"/>
        <v/>
      </c>
      <c r="AD115" s="468"/>
      <c r="AE115" s="468"/>
      <c r="AF115" s="4"/>
      <c r="AG115" s="88"/>
      <c r="AH115" s="4"/>
      <c r="AI115" s="4"/>
      <c r="AJ115" s="468"/>
      <c r="AK115" s="468"/>
      <c r="AL115" s="468"/>
      <c r="AM115" s="468"/>
      <c r="AN115" s="10"/>
      <c r="AO115" s="9"/>
      <c r="AP115" s="9"/>
      <c r="AQ115" s="9">
        <f>+FL_2($U$116,$U$114,$G$115,1200,9.28, 1*$F$116)</f>
        <v>0.12728</v>
      </c>
      <c r="AR115" s="9"/>
      <c r="AS115" s="9"/>
      <c r="AT115" s="9"/>
      <c r="AU115" s="447"/>
      <c r="AV115" s="447"/>
      <c r="AW115" s="468"/>
      <c r="AX115" s="468"/>
      <c r="AY115" s="10"/>
      <c r="AZ115" s="10"/>
      <c r="BA115" s="553" t="str">
        <f t="shared" si="43"/>
        <v/>
      </c>
      <c r="BB115" s="553" t="str">
        <f t="shared" si="44"/>
        <v/>
      </c>
      <c r="BC115" s="553" t="str">
        <f t="shared" si="45"/>
        <v/>
      </c>
      <c r="BD115" s="572" t="str">
        <f>IF(AND(L115="",H115=""),"",
IF(H115="",Pole_Calc!A$9,
IF(H115="MP",Pole_Calc!A$10,
IF(H115="AnMP",Pole_Calc!A$11,
IF(H115="A",Pole_Calc!A$12,
IF(H115="S/A",Pole_Calc!A$13,
IF(H115="A/S",Pole_Calc!A$14,"Poner a mano")))))))</f>
        <v/>
      </c>
      <c r="BE115" s="448" t="s">
        <v>1726</v>
      </c>
      <c r="BF115" s="305"/>
      <c r="BG115" s="305"/>
      <c r="BH115" s="306"/>
      <c r="BI115" s="305"/>
    </row>
    <row r="116" spans="1:61" ht="16.2" customHeight="1">
      <c r="A116" s="573"/>
      <c r="B116" s="469" t="s">
        <v>2335</v>
      </c>
      <c r="C116" s="3">
        <f t="shared" si="42"/>
        <v>949.76000000000147</v>
      </c>
      <c r="D116" s="88"/>
      <c r="E116" s="4"/>
      <c r="F116" s="4">
        <v>0</v>
      </c>
      <c r="G116" s="6"/>
      <c r="H116" s="468" t="s">
        <v>2357</v>
      </c>
      <c r="I116" s="468"/>
      <c r="J116" s="3"/>
      <c r="K116" s="468"/>
      <c r="L116" s="468" t="s">
        <v>449</v>
      </c>
      <c r="M116" s="468" t="s">
        <v>1625</v>
      </c>
      <c r="N116" s="669" t="s">
        <v>32</v>
      </c>
      <c r="O116" s="468" t="s">
        <v>33</v>
      </c>
      <c r="P116" s="669" t="s">
        <v>28</v>
      </c>
      <c r="Q116" s="4"/>
      <c r="R116" s="6"/>
      <c r="S116" s="6"/>
      <c r="T116" s="4">
        <v>20</v>
      </c>
      <c r="U116" s="4">
        <v>35</v>
      </c>
      <c r="V116" s="4">
        <v>-55</v>
      </c>
      <c r="W116" s="9">
        <v>1.8</v>
      </c>
      <c r="X116" s="9">
        <v>1.4</v>
      </c>
      <c r="Y116" s="9">
        <v>2.1</v>
      </c>
      <c r="Z116" s="9"/>
      <c r="AA116" s="9"/>
      <c r="AB116" s="9">
        <v>0.4</v>
      </c>
      <c r="AC116" s="468" t="s">
        <v>1068</v>
      </c>
      <c r="AD116" s="468" t="s">
        <v>647</v>
      </c>
      <c r="AE116" s="468"/>
      <c r="AF116" s="4"/>
      <c r="AG116" s="88"/>
      <c r="AH116" s="4"/>
      <c r="AI116" s="4"/>
      <c r="AJ116" s="468"/>
      <c r="AK116" s="468"/>
      <c r="AL116" s="468"/>
      <c r="AM116" s="468"/>
      <c r="AN116" s="10">
        <v>5.5</v>
      </c>
      <c r="AO116" s="9"/>
      <c r="AP116" s="9"/>
      <c r="AQ116" s="9"/>
      <c r="AR116" s="9"/>
      <c r="AS116" s="9"/>
      <c r="AT116" s="9">
        <f>+ab($U$116,$U$114,$T$118,$G$115,$G$117, 1*$F$116,1200)</f>
        <v>17.765520840022507</v>
      </c>
      <c r="AU116" s="447"/>
      <c r="AV116" s="447"/>
      <c r="AW116" s="468" t="s">
        <v>199</v>
      </c>
      <c r="AX116" s="468" t="s">
        <v>199</v>
      </c>
      <c r="AY116" s="10"/>
      <c r="AZ116" s="10"/>
      <c r="BA116" s="553" t="str">
        <f t="shared" si="43"/>
        <v/>
      </c>
      <c r="BB116" s="553" t="str">
        <f t="shared" si="44"/>
        <v/>
      </c>
      <c r="BC116" s="553" t="str">
        <f t="shared" si="45"/>
        <v>ü</v>
      </c>
      <c r="BD116" s="572" t="str">
        <f>Pole_Calc!A$13</f>
        <v>App.7-V11H-P9.5.1.5</v>
      </c>
      <c r="BE116" s="448" t="s">
        <v>1726</v>
      </c>
      <c r="BF116" s="306"/>
      <c r="BG116" s="306"/>
      <c r="BH116" s="306"/>
      <c r="BI116" s="306"/>
    </row>
    <row r="117" spans="1:61" ht="16.2" customHeight="1">
      <c r="A117" s="573"/>
      <c r="B117" s="469"/>
      <c r="C117" s="3"/>
      <c r="D117" s="88"/>
      <c r="E117" s="4"/>
      <c r="F117" s="4"/>
      <c r="G117" s="6">
        <v>57.4</v>
      </c>
      <c r="H117" s="468"/>
      <c r="I117" s="468"/>
      <c r="J117" s="3"/>
      <c r="K117" s="468"/>
      <c r="L117" s="468"/>
      <c r="M117" s="468" t="str">
        <f>IF(L117="","",
IF(AX117="PT",VLOOKUP(L117,Foundation_Calc!$V$4:$X$37,VLOOKUP(AX117,Foundation_Calc!$I$10:$J$13,2,FALSE),0),
IF(AX117="K",VLOOKUP(L117,Foundation_Calc!$V$41:$X$74,VLOOKUP(AX117,Foundation_Calc!$I$10:$J$13,2,FALSE),0),"")))</f>
        <v/>
      </c>
      <c r="N117" s="468"/>
      <c r="O117" s="468"/>
      <c r="P117" s="468"/>
      <c r="Q117" s="4"/>
      <c r="R117" s="6"/>
      <c r="S117" s="6"/>
      <c r="T117" s="4"/>
      <c r="U117" s="4"/>
      <c r="V117" s="4"/>
      <c r="W117" s="9"/>
      <c r="X117" s="9"/>
      <c r="Y117" s="9"/>
      <c r="Z117" s="9"/>
      <c r="AA117" s="9"/>
      <c r="AB117" s="9"/>
      <c r="AC117" s="468" t="str">
        <f t="shared" si="31"/>
        <v/>
      </c>
      <c r="AD117" s="468"/>
      <c r="AE117" s="468"/>
      <c r="AF117" s="4"/>
      <c r="AG117" s="88"/>
      <c r="AH117" s="4"/>
      <c r="AI117" s="4"/>
      <c r="AJ117" s="468"/>
      <c r="AK117" s="468"/>
      <c r="AL117" s="468"/>
      <c r="AM117" s="468"/>
      <c r="AN117" s="10"/>
      <c r="AO117" s="9"/>
      <c r="AP117" s="9"/>
      <c r="AQ117" s="9">
        <f>+FL_2($T$118,$U$116,$G$117,1200,9.28, 1*$F$118)</f>
        <v>-0.33913855381184665</v>
      </c>
      <c r="AR117" s="9"/>
      <c r="AS117" s="9"/>
      <c r="AT117" s="9"/>
      <c r="AU117" s="447"/>
      <c r="AV117" s="447"/>
      <c r="AW117" s="468"/>
      <c r="AX117" s="468"/>
      <c r="AY117" s="10"/>
      <c r="AZ117" s="10"/>
      <c r="BA117" s="553" t="str">
        <f t="shared" si="43"/>
        <v/>
      </c>
      <c r="BB117" s="553" t="str">
        <f t="shared" si="44"/>
        <v/>
      </c>
      <c r="BC117" s="553" t="str">
        <f t="shared" si="45"/>
        <v/>
      </c>
      <c r="BD117" s="572" t="str">
        <f>IF(AND(L117="",H117=""),"",
IF(H117="",Pole_Calc!A$9,
IF(H117="MP",Pole_Calc!A$10,
IF(H117="AnMP",Pole_Calc!A$11,
IF(H117="A",Pole_Calc!A$12,
IF(H117="S/A",Pole_Calc!A$13,
IF(H117="A/S",Pole_Calc!A$14,"Poner a mano")))))))</f>
        <v/>
      </c>
      <c r="BE117" s="448" t="s">
        <v>1726</v>
      </c>
      <c r="BF117" s="305"/>
      <c r="BG117" s="305"/>
      <c r="BH117" s="306"/>
      <c r="BI117" s="305"/>
    </row>
    <row r="118" spans="1:61" ht="26.4">
      <c r="A118" s="573"/>
      <c r="B118" s="469" t="s">
        <v>2336</v>
      </c>
      <c r="C118" s="3">
        <f t="shared" si="42"/>
        <v>892.36000000000149</v>
      </c>
      <c r="D118" s="88"/>
      <c r="E118" s="4"/>
      <c r="F118" s="4">
        <v>0</v>
      </c>
      <c r="G118" s="6"/>
      <c r="H118" s="467" t="s">
        <v>2400</v>
      </c>
      <c r="I118" s="467" t="s">
        <v>2362</v>
      </c>
      <c r="J118" s="3"/>
      <c r="K118" s="468"/>
      <c r="L118" s="468" t="s">
        <v>449</v>
      </c>
      <c r="M118" s="468" t="s">
        <v>1625</v>
      </c>
      <c r="N118" s="468" t="s">
        <v>32</v>
      </c>
      <c r="O118" s="468"/>
      <c r="P118" s="468"/>
      <c r="Q118" s="4"/>
      <c r="R118" s="6"/>
      <c r="S118" s="6"/>
      <c r="T118" s="4">
        <v>-25</v>
      </c>
      <c r="U118" s="4"/>
      <c r="V118" s="4"/>
      <c r="W118" s="9">
        <v>1.4</v>
      </c>
      <c r="X118" s="9"/>
      <c r="Y118" s="9"/>
      <c r="Z118" s="9"/>
      <c r="AA118" s="9"/>
      <c r="AB118" s="9"/>
      <c r="AC118" s="468" t="str">
        <f t="shared" si="31"/>
        <v>PH</v>
      </c>
      <c r="AD118" s="468"/>
      <c r="AE118" s="468"/>
      <c r="AF118" s="4"/>
      <c r="AG118" s="88"/>
      <c r="AH118" s="4"/>
      <c r="AI118" s="4"/>
      <c r="AJ118" s="468"/>
      <c r="AK118" s="468"/>
      <c r="AL118" s="468"/>
      <c r="AM118" s="468"/>
      <c r="AN118" s="10">
        <v>5.5</v>
      </c>
      <c r="AO118" s="9"/>
      <c r="AP118" s="9"/>
      <c r="AQ118" s="9"/>
      <c r="AR118" s="9"/>
      <c r="AS118" s="9"/>
      <c r="AT118" s="9">
        <f>+ab($T$118,$U$116,$T$120,$G$117,$G$119, 1*$F$118,1200)</f>
        <v>-8.3156039592185991</v>
      </c>
      <c r="AU118" s="447"/>
      <c r="AV118" s="447"/>
      <c r="AW118" s="468" t="s">
        <v>199</v>
      </c>
      <c r="AX118" s="468" t="s">
        <v>199</v>
      </c>
      <c r="AY118" s="10"/>
      <c r="AZ118" s="10"/>
      <c r="BA118" s="553" t="str">
        <f t="shared" si="43"/>
        <v/>
      </c>
      <c r="BB118" s="553" t="str">
        <f t="shared" si="44"/>
        <v/>
      </c>
      <c r="BC118" s="553" t="str">
        <f t="shared" si="45"/>
        <v>ü</v>
      </c>
      <c r="BD118" s="572" t="str">
        <f>Pole_Calc!A$167</f>
        <v>App.7-V11H-P9.5.15.2</v>
      </c>
      <c r="BE118" s="448" t="s">
        <v>1726</v>
      </c>
      <c r="BF118" s="306"/>
      <c r="BG118" s="306"/>
      <c r="BH118" s="306"/>
      <c r="BI118" s="306"/>
    </row>
    <row r="119" spans="1:61" ht="16.2" customHeight="1">
      <c r="A119" s="573" t="s">
        <v>1497</v>
      </c>
      <c r="B119" s="469"/>
      <c r="C119" s="3"/>
      <c r="D119" s="88"/>
      <c r="E119" s="4"/>
      <c r="F119" s="4"/>
      <c r="G119" s="6">
        <v>64.2</v>
      </c>
      <c r="H119" s="468"/>
      <c r="I119" s="468"/>
      <c r="J119" s="3"/>
      <c r="K119" s="468"/>
      <c r="L119" s="468"/>
      <c r="M119" s="468" t="str">
        <f>IF(L119="","",
IF(AX119="PT",VLOOKUP(L119,Foundation_Calc!$V$4:$X$37,VLOOKUP(AX119,Foundation_Calc!$I$10:$J$13,2,FALSE),0),
IF(AX119="K",VLOOKUP(L119,Foundation_Calc!$V$41:$X$74,VLOOKUP(AX119,Foundation_Calc!$I$10:$J$13,2,FALSE),0),"")))</f>
        <v/>
      </c>
      <c r="N119" s="468"/>
      <c r="O119" s="468"/>
      <c r="P119" s="468"/>
      <c r="Q119" s="4"/>
      <c r="R119" s="6"/>
      <c r="S119" s="6"/>
      <c r="T119" s="4"/>
      <c r="U119" s="4"/>
      <c r="V119" s="4"/>
      <c r="W119" s="9"/>
      <c r="X119" s="9"/>
      <c r="Y119" s="9"/>
      <c r="Z119" s="9"/>
      <c r="AA119" s="9"/>
      <c r="AB119" s="9"/>
      <c r="AC119" s="468" t="str">
        <f t="shared" si="31"/>
        <v/>
      </c>
      <c r="AD119" s="468"/>
      <c r="AE119" s="468"/>
      <c r="AF119" s="4"/>
      <c r="AG119" s="88"/>
      <c r="AH119" s="4"/>
      <c r="AI119" s="4"/>
      <c r="AJ119" s="468"/>
      <c r="AK119" s="468"/>
      <c r="AL119" s="468"/>
      <c r="AM119" s="468"/>
      <c r="AN119" s="10"/>
      <c r="AO119" s="9"/>
      <c r="AP119" s="9"/>
      <c r="AQ119" s="9">
        <f>+FL_2($U$120,$T$118,$G$119,1200,9.28, 1*$F$120)</f>
        <v>-0.49264147943925246</v>
      </c>
      <c r="AR119" s="9"/>
      <c r="AS119" s="9"/>
      <c r="AT119" s="9"/>
      <c r="AU119" s="447"/>
      <c r="AV119" s="447"/>
      <c r="AW119" s="468"/>
      <c r="AX119" s="468"/>
      <c r="AY119" s="10"/>
      <c r="AZ119" s="10"/>
      <c r="BA119" s="553" t="str">
        <f t="shared" si="43"/>
        <v/>
      </c>
      <c r="BB119" s="553" t="str">
        <f t="shared" si="44"/>
        <v/>
      </c>
      <c r="BC119" s="553" t="str">
        <f t="shared" si="45"/>
        <v/>
      </c>
      <c r="BD119" s="572" t="str">
        <f>IF(AND(L119="",H119=""),"",
IF(H119="",Pole_Calc!A$9,
IF(H119="MP",Pole_Calc!A$10,
IF(H119="AnMP",Pole_Calc!A$11,
IF(H119="A",Pole_Calc!A$12,
IF(H119="S/A",Pole_Calc!A$13,
IF(H119="A/S",Pole_Calc!A$14,"Poner a mano")))))))</f>
        <v/>
      </c>
      <c r="BE119" s="448" t="s">
        <v>1726</v>
      </c>
      <c r="BF119" s="305"/>
      <c r="BG119" s="305"/>
      <c r="BH119" s="306"/>
      <c r="BI119" s="305"/>
    </row>
    <row r="120" spans="1:61" ht="16.2" customHeight="1">
      <c r="A120" s="574" t="s">
        <v>1497</v>
      </c>
      <c r="B120" s="469" t="s">
        <v>2337</v>
      </c>
      <c r="C120" s="3">
        <f t="shared" si="42"/>
        <v>828.16000000000145</v>
      </c>
      <c r="D120" s="88"/>
      <c r="E120" s="4"/>
      <c r="F120" s="4">
        <v>0</v>
      </c>
      <c r="G120" s="6"/>
      <c r="H120" s="468" t="s">
        <v>179</v>
      </c>
      <c r="I120" s="468"/>
      <c r="J120" s="3"/>
      <c r="K120" s="468"/>
      <c r="L120" s="468" t="s">
        <v>38</v>
      </c>
      <c r="M120" s="468" t="s">
        <v>1625</v>
      </c>
      <c r="N120" s="468" t="s">
        <v>28</v>
      </c>
      <c r="O120" s="468" t="s">
        <v>33</v>
      </c>
      <c r="P120" s="468"/>
      <c r="Q120" s="4"/>
      <c r="R120" s="6"/>
      <c r="S120" s="6"/>
      <c r="T120" s="4">
        <v>55</v>
      </c>
      <c r="U120" s="4">
        <v>10</v>
      </c>
      <c r="V120" s="4"/>
      <c r="W120" s="9">
        <v>1.4</v>
      </c>
      <c r="X120" s="9">
        <v>2.2999999999999998</v>
      </c>
      <c r="Y120" s="9"/>
      <c r="Z120" s="9">
        <v>0.5</v>
      </c>
      <c r="AA120" s="9"/>
      <c r="AB120" s="9"/>
      <c r="AC120" s="468"/>
      <c r="AD120" s="468"/>
      <c r="AE120" s="468"/>
      <c r="AF120" s="4"/>
      <c r="AG120" s="88"/>
      <c r="AH120" s="4"/>
      <c r="AI120" s="4"/>
      <c r="AJ120" s="468"/>
      <c r="AK120" s="468"/>
      <c r="AL120" s="468"/>
      <c r="AM120" s="468"/>
      <c r="AN120" s="10">
        <v>5.5</v>
      </c>
      <c r="AO120" s="9"/>
      <c r="AP120" s="9"/>
      <c r="AQ120" s="9"/>
      <c r="AR120" s="9"/>
      <c r="AS120" s="9"/>
      <c r="AT120" s="9">
        <f>+ab($U$120,$T$118,$U$122,$G$119,$G$121, 1*$F$120,1200)</f>
        <v>10.841056552484194</v>
      </c>
      <c r="AU120" s="447"/>
      <c r="AV120" s="447"/>
      <c r="AW120" s="468" t="s">
        <v>2557</v>
      </c>
      <c r="AX120" s="468" t="s">
        <v>199</v>
      </c>
      <c r="AY120" s="10"/>
      <c r="AZ120" s="10"/>
      <c r="BA120" s="553" t="str">
        <f t="shared" si="43"/>
        <v/>
      </c>
      <c r="BB120" s="553" t="str">
        <f t="shared" si="44"/>
        <v/>
      </c>
      <c r="BC120" s="553" t="str">
        <f t="shared" si="45"/>
        <v>ü</v>
      </c>
      <c r="BD120" s="572" t="str">
        <f>IF(AND(L120="",H120=""),"",
IF(H120="",Pole_Calc!A$9,
IF(H120="MP",Pole_Calc!A$10,
IF(H120="AnMP",Pole_Calc!A$11,
IF(H120="A",Pole_Calc!A$12,
IF(H120="S/A",Pole_Calc!A$13,
IF(H120="A/S",Pole_Calc!A$14,"Poner a mano")))))))</f>
        <v>App.7-V11H-P9.5.1.5</v>
      </c>
      <c r="BE120" s="448" t="s">
        <v>1726</v>
      </c>
      <c r="BF120" s="306"/>
      <c r="BG120" s="306"/>
      <c r="BH120" s="306"/>
      <c r="BI120" s="306"/>
    </row>
    <row r="121" spans="1:61" ht="16.2" customHeight="1">
      <c r="A121" s="574" t="s">
        <v>1497</v>
      </c>
      <c r="B121" s="469"/>
      <c r="C121" s="3"/>
      <c r="D121" s="88"/>
      <c r="E121" s="4"/>
      <c r="F121" s="4"/>
      <c r="G121" s="6">
        <v>54</v>
      </c>
      <c r="H121" s="468"/>
      <c r="I121" s="468"/>
      <c r="J121" s="3"/>
      <c r="K121" s="468"/>
      <c r="L121" s="468"/>
      <c r="M121" s="468" t="str">
        <f>IF(L121="","",
IF(AX121="PT",VLOOKUP(L121,Foundation_Calc!$V$4:$X$37,VLOOKUP(AX121,Foundation_Calc!$I$10:$J$13,2,FALSE),0),
IF(AX121="K",VLOOKUP(L121,Foundation_Calc!$V$41:$X$74,VLOOKUP(AX121,Foundation_Calc!$I$10:$J$13,2,FALSE),0),"")))</f>
        <v/>
      </c>
      <c r="N121" s="468"/>
      <c r="O121" s="468"/>
      <c r="P121" s="468"/>
      <c r="Q121" s="4"/>
      <c r="R121" s="6"/>
      <c r="S121" s="6"/>
      <c r="T121" s="4"/>
      <c r="U121" s="4"/>
      <c r="V121" s="4"/>
      <c r="W121" s="9"/>
      <c r="X121" s="9"/>
      <c r="Y121" s="9"/>
      <c r="Z121" s="9"/>
      <c r="AA121" s="9"/>
      <c r="AB121" s="9"/>
      <c r="AC121" s="468" t="str">
        <f t="shared" si="31"/>
        <v/>
      </c>
      <c r="AD121" s="468"/>
      <c r="AE121" s="468"/>
      <c r="AF121" s="4"/>
      <c r="AG121" s="88"/>
      <c r="AH121" s="4"/>
      <c r="AI121" s="4"/>
      <c r="AJ121" s="468"/>
      <c r="AK121" s="468"/>
      <c r="AL121" s="468"/>
      <c r="AM121" s="468"/>
      <c r="AN121" s="10"/>
      <c r="AO121" s="9"/>
      <c r="AP121" s="9"/>
      <c r="AQ121" s="9">
        <f>+FL_2($T$122,$U$120,$G$121,1200,9.28, 1*$F$122)</f>
        <v>-0.29074902207407405</v>
      </c>
      <c r="AR121" s="9"/>
      <c r="AS121" s="9"/>
      <c r="AT121" s="9"/>
      <c r="AU121" s="447"/>
      <c r="AV121" s="447"/>
      <c r="AW121" s="468"/>
      <c r="AX121" s="468"/>
      <c r="AY121" s="10"/>
      <c r="AZ121" s="10"/>
      <c r="BA121" s="553" t="str">
        <f t="shared" si="43"/>
        <v/>
      </c>
      <c r="BB121" s="553" t="str">
        <f t="shared" si="44"/>
        <v/>
      </c>
      <c r="BC121" s="553" t="str">
        <f t="shared" si="45"/>
        <v/>
      </c>
      <c r="BD121" s="572" t="str">
        <f>IF(AND(L121="",H121=""),"",
IF(H121="",Pole_Calc!A$9,
IF(H121="MP",Pole_Calc!A$10,
IF(H121="AnMP",Pole_Calc!A$11,
IF(H121="A",Pole_Calc!A$12,
IF(H121="S/A",Pole_Calc!A$13,
IF(H121="A/S",Pole_Calc!A$14,"Poner a mano")))))))</f>
        <v/>
      </c>
      <c r="BE121" s="448" t="s">
        <v>1726</v>
      </c>
      <c r="BF121" s="305"/>
      <c r="BG121" s="305"/>
      <c r="BH121" s="306"/>
      <c r="BI121" s="305"/>
    </row>
    <row r="122" spans="1:61" ht="16.2" customHeight="1">
      <c r="A122" s="655" t="s">
        <v>2401</v>
      </c>
      <c r="B122" s="656" t="s">
        <v>2338</v>
      </c>
      <c r="C122" s="657">
        <f t="shared" si="42"/>
        <v>774.16000000000145</v>
      </c>
      <c r="D122" s="658"/>
      <c r="E122" s="659"/>
      <c r="F122" s="659">
        <v>0</v>
      </c>
      <c r="G122" s="660"/>
      <c r="H122" s="661" t="s">
        <v>179</v>
      </c>
      <c r="I122" s="661" t="s">
        <v>653</v>
      </c>
      <c r="J122" s="657"/>
      <c r="K122" s="661"/>
      <c r="L122" s="661" t="s">
        <v>448</v>
      </c>
      <c r="M122" s="661" t="s">
        <v>1625</v>
      </c>
      <c r="N122" s="661" t="s">
        <v>32</v>
      </c>
      <c r="O122" s="661" t="s">
        <v>28</v>
      </c>
      <c r="P122" s="661"/>
      <c r="Q122" s="659"/>
      <c r="R122" s="660"/>
      <c r="S122" s="660"/>
      <c r="T122" s="659">
        <v>-10</v>
      </c>
      <c r="U122" s="659">
        <v>-55</v>
      </c>
      <c r="V122" s="659"/>
      <c r="W122" s="662">
        <v>1.4</v>
      </c>
      <c r="X122" s="662">
        <v>2.2999999999999998</v>
      </c>
      <c r="Y122" s="662"/>
      <c r="Z122" s="662"/>
      <c r="AA122" s="662">
        <v>0.5</v>
      </c>
      <c r="AB122" s="662"/>
      <c r="AC122" s="661" t="str">
        <f t="shared" si="31"/>
        <v>PH</v>
      </c>
      <c r="AD122" s="661"/>
      <c r="AE122" s="661"/>
      <c r="AF122" s="659"/>
      <c r="AG122" s="658"/>
      <c r="AH122" s="659"/>
      <c r="AI122" s="659"/>
      <c r="AJ122" s="661" t="s">
        <v>368</v>
      </c>
      <c r="AK122" s="661"/>
      <c r="AL122" s="661"/>
      <c r="AM122" s="661"/>
      <c r="AN122" s="663">
        <v>5.5</v>
      </c>
      <c r="AO122" s="662"/>
      <c r="AP122" s="662"/>
      <c r="AQ122" s="662"/>
      <c r="AR122" s="662"/>
      <c r="AS122" s="662"/>
      <c r="AT122" s="662">
        <f>+ab($T$122,$T$120,$T$124,$G$121,$G$123, 1*$F$122,1200)</f>
        <v>-9.8378451981197266</v>
      </c>
      <c r="AU122" s="664"/>
      <c r="AV122" s="664"/>
      <c r="AW122" s="661" t="s">
        <v>2559</v>
      </c>
      <c r="AX122" s="661" t="s">
        <v>199</v>
      </c>
      <c r="AY122" s="663"/>
      <c r="AZ122" s="663"/>
      <c r="BA122" s="553" t="str">
        <f t="shared" si="43"/>
        <v/>
      </c>
      <c r="BB122" s="553" t="str">
        <f t="shared" si="44"/>
        <v/>
      </c>
      <c r="BC122" s="553" t="str">
        <f t="shared" si="45"/>
        <v>ü</v>
      </c>
      <c r="BD122" s="572" t="str">
        <f>IF(AND(L122="",H122=""),"",
IF(H122="",Pole_Calc!A$9,
IF(H122="MP",Pole_Calc!A$10,
IF(H122="AnMP",Pole_Calc!A$11,
IF(H122="A",Pole_Calc!A$12,
IF(H122="S/A",Pole_Calc!A$13,
IF(H122="A/S",Pole_Calc!A$14,"Poner a mano")))))))</f>
        <v>App.7-V11H-P9.5.1.5</v>
      </c>
      <c r="BE122" s="448" t="s">
        <v>1726</v>
      </c>
      <c r="BF122" s="306"/>
      <c r="BG122" s="306"/>
      <c r="BH122" s="306"/>
      <c r="BI122" s="306"/>
    </row>
    <row r="123" spans="1:61" ht="16.2" customHeight="1">
      <c r="A123" s="573" t="s">
        <v>1497</v>
      </c>
      <c r="B123" s="469"/>
      <c r="C123" s="3"/>
      <c r="D123" s="88"/>
      <c r="E123" s="4"/>
      <c r="F123" s="4"/>
      <c r="G123" s="6">
        <v>48.1</v>
      </c>
      <c r="H123" s="468"/>
      <c r="I123" s="468"/>
      <c r="J123" s="3"/>
      <c r="K123" s="468"/>
      <c r="L123" s="468"/>
      <c r="M123" s="468" t="str">
        <f>IF(L123="","",
IF(AX123="PT",VLOOKUP(L123,Foundation_Calc!$V$4:$X$37,VLOOKUP(AX123,Foundation_Calc!$I$10:$J$13,2,FALSE),0),
IF(AX123="K",VLOOKUP(L123,Foundation_Calc!$V$41:$X$74,VLOOKUP(AX123,Foundation_Calc!$I$10:$J$13,2,FALSE),0),"")))</f>
        <v/>
      </c>
      <c r="N123" s="468"/>
      <c r="O123" s="468"/>
      <c r="P123" s="468"/>
      <c r="Q123" s="4"/>
      <c r="R123" s="6"/>
      <c r="S123" s="6"/>
      <c r="T123" s="4"/>
      <c r="U123" s="4"/>
      <c r="V123" s="4"/>
      <c r="W123" s="9"/>
      <c r="X123" s="9"/>
      <c r="Y123" s="9"/>
      <c r="Z123" s="9"/>
      <c r="AA123" s="9"/>
      <c r="AB123" s="9"/>
      <c r="AC123" s="468" t="str">
        <f t="shared" si="31"/>
        <v/>
      </c>
      <c r="AD123" s="468"/>
      <c r="AE123" s="468"/>
      <c r="AF123" s="4"/>
      <c r="AG123" s="88"/>
      <c r="AH123" s="4"/>
      <c r="AI123" s="4"/>
      <c r="AJ123" s="468"/>
      <c r="AK123" s="468"/>
      <c r="AL123" s="468"/>
      <c r="AM123" s="468"/>
      <c r="AN123" s="10"/>
      <c r="AO123" s="9"/>
      <c r="AP123" s="9"/>
      <c r="AQ123" s="9">
        <f>+FL_1($T$124,$T$122,$G$123,1200,9.28, 1*$F$124)</f>
        <v>0.33288230147193343</v>
      </c>
      <c r="AR123" s="9"/>
      <c r="AS123" s="9"/>
      <c r="AT123" s="9"/>
      <c r="AU123" s="447"/>
      <c r="AV123" s="447"/>
      <c r="AW123" s="468"/>
      <c r="AX123" s="468"/>
      <c r="AY123" s="10"/>
      <c r="AZ123" s="10"/>
      <c r="BA123" s="553" t="str">
        <f t="shared" si="43"/>
        <v/>
      </c>
      <c r="BB123" s="553" t="str">
        <f t="shared" si="44"/>
        <v/>
      </c>
      <c r="BC123" s="553" t="str">
        <f t="shared" si="45"/>
        <v/>
      </c>
      <c r="BD123" s="572" t="str">
        <f>IF(AND(L123="",H123=""),"",
IF(H123="",Pole_Calc!A$9,
IF(H123="MP",Pole_Calc!A$10,
IF(H123="AnMP",Pole_Calc!A$11,
IF(H123="A",Pole_Calc!A$12,
IF(H123="S/A",Pole_Calc!A$13,
IF(H123="A/S",Pole_Calc!A$14,"Poner a mano")))))))</f>
        <v/>
      </c>
      <c r="BE123" s="448" t="s">
        <v>1726</v>
      </c>
      <c r="BF123" s="305"/>
      <c r="BG123" s="305"/>
      <c r="BH123" s="306"/>
      <c r="BI123" s="305"/>
    </row>
    <row r="124" spans="1:61" ht="16.2" customHeight="1">
      <c r="A124" s="573"/>
      <c r="B124" s="469" t="s">
        <v>2339</v>
      </c>
      <c r="C124" s="3">
        <f t="shared" si="42"/>
        <v>726.06000000000142</v>
      </c>
      <c r="D124" s="88"/>
      <c r="E124" s="4"/>
      <c r="F124" s="4">
        <v>0</v>
      </c>
      <c r="G124" s="6"/>
      <c r="H124" s="468" t="s">
        <v>26</v>
      </c>
      <c r="I124" s="468" t="s">
        <v>182</v>
      </c>
      <c r="J124" s="3">
        <f>C124-7.5</f>
        <v>718.56000000000142</v>
      </c>
      <c r="K124" s="468" t="s">
        <v>1625</v>
      </c>
      <c r="L124" s="468" t="s">
        <v>452</v>
      </c>
      <c r="M124" s="468" t="s">
        <v>1625</v>
      </c>
      <c r="N124" s="468" t="s">
        <v>33</v>
      </c>
      <c r="O124" s="468"/>
      <c r="P124" s="468"/>
      <c r="Q124" s="4"/>
      <c r="R124" s="6"/>
      <c r="S124" s="6"/>
      <c r="T124" s="4">
        <v>25</v>
      </c>
      <c r="U124" s="4"/>
      <c r="V124" s="4"/>
      <c r="W124" s="9">
        <v>1.4</v>
      </c>
      <c r="X124" s="9"/>
      <c r="Y124" s="9"/>
      <c r="Z124" s="9"/>
      <c r="AA124" s="9"/>
      <c r="AB124" s="9"/>
      <c r="AC124" s="468" t="str">
        <f t="shared" si="31"/>
        <v>PH</v>
      </c>
      <c r="AD124" s="468"/>
      <c r="AE124" s="468"/>
      <c r="AF124" s="4"/>
      <c r="AG124" s="88"/>
      <c r="AH124" s="4"/>
      <c r="AI124" s="4"/>
      <c r="AJ124" s="468"/>
      <c r="AK124" s="468"/>
      <c r="AL124" s="468"/>
      <c r="AM124" s="468"/>
      <c r="AN124" s="10">
        <v>5.5</v>
      </c>
      <c r="AO124" s="9"/>
      <c r="AP124" s="9"/>
      <c r="AQ124" s="9"/>
      <c r="AR124" s="9"/>
      <c r="AS124" s="9"/>
      <c r="AT124" s="9">
        <f>+ab($T$124,$T$122,$T$126,$G$123,$G$125, 1*$F$124,1200)</f>
        <v>10.384176832132093</v>
      </c>
      <c r="AU124" s="447"/>
      <c r="AV124" s="447"/>
      <c r="AW124" s="468" t="s">
        <v>199</v>
      </c>
      <c r="AX124" s="468" t="s">
        <v>199</v>
      </c>
      <c r="AY124" s="10"/>
      <c r="AZ124" s="10"/>
      <c r="BA124" s="553" t="str">
        <f t="shared" si="43"/>
        <v/>
      </c>
      <c r="BB124" s="553" t="str">
        <f t="shared" si="44"/>
        <v>ü</v>
      </c>
      <c r="BC124" s="553" t="str">
        <f t="shared" si="45"/>
        <v>ü</v>
      </c>
      <c r="BD124" s="572" t="str">
        <f>IF(AND(L124="",H124=""),"",
IF(H124="",Pole_Calc!A$9,
IF(H124="MP",Pole_Calc!A$10,
IF(H124="AnMP",Pole_Calc!A$11,
IF(H124="A",Pole_Calc!A$12,
IF(H124="S/A",Pole_Calc!A$13,
IF(H124="A/S",Pole_Calc!A$14,"Poner a mano")))))))</f>
        <v>App.7-V11H-P9.5.1.6</v>
      </c>
      <c r="BE124" s="448" t="s">
        <v>1726</v>
      </c>
      <c r="BF124" s="306"/>
      <c r="BG124" s="306"/>
      <c r="BH124" s="306"/>
      <c r="BI124" s="306"/>
    </row>
    <row r="125" spans="1:61" ht="16.2" customHeight="1">
      <c r="A125" s="573"/>
      <c r="B125" s="469"/>
      <c r="C125" s="3"/>
      <c r="D125" s="88"/>
      <c r="E125" s="4"/>
      <c r="F125" s="4"/>
      <c r="G125" s="6">
        <v>50</v>
      </c>
      <c r="H125" s="468"/>
      <c r="I125" s="468" t="s">
        <v>482</v>
      </c>
      <c r="J125" s="3">
        <f>C126+7.5</f>
        <v>683.56000000000142</v>
      </c>
      <c r="K125" s="468" t="s">
        <v>1625</v>
      </c>
      <c r="L125" s="468"/>
      <c r="M125" s="468" t="str">
        <f>IF(L125="","",
IF(AX125="PT",VLOOKUP(L125,Foundation_Calc!$V$4:$X$37,VLOOKUP(AX125,Foundation_Calc!$I$10:$J$13,2,FALSE),0),
IF(AX125="K",VLOOKUP(L125,Foundation_Calc!$V$41:$X$74,VLOOKUP(AX125,Foundation_Calc!$I$10:$J$13,2,FALSE),0),"")))</f>
        <v/>
      </c>
      <c r="N125" s="468"/>
      <c r="O125" s="468"/>
      <c r="P125" s="468"/>
      <c r="Q125" s="4"/>
      <c r="R125" s="6"/>
      <c r="S125" s="6"/>
      <c r="T125" s="4"/>
      <c r="U125" s="4"/>
      <c r="V125" s="4"/>
      <c r="W125" s="9"/>
      <c r="X125" s="9"/>
      <c r="Y125" s="9"/>
      <c r="Z125" s="9"/>
      <c r="AA125" s="9"/>
      <c r="AB125" s="9"/>
      <c r="AC125" s="468" t="str">
        <f t="shared" si="31"/>
        <v/>
      </c>
      <c r="AD125" s="468"/>
      <c r="AE125" s="468"/>
      <c r="AF125" s="4"/>
      <c r="AG125" s="88"/>
      <c r="AH125" s="4"/>
      <c r="AI125" s="4"/>
      <c r="AJ125" s="468"/>
      <c r="AK125" s="468"/>
      <c r="AL125" s="468"/>
      <c r="AM125" s="468"/>
      <c r="AN125" s="10"/>
      <c r="AO125" s="9"/>
      <c r="AP125" s="9"/>
      <c r="AQ125" s="9">
        <f>+FL_1($T$126,$T$124,$G$125,1200,9.28, 1*$F$126)</f>
        <v>0.29489941866666669</v>
      </c>
      <c r="AR125" s="9"/>
      <c r="AS125" s="9"/>
      <c r="AT125" s="9"/>
      <c r="AU125" s="447"/>
      <c r="AV125" s="447"/>
      <c r="AW125" s="468"/>
      <c r="AX125" s="468"/>
      <c r="AY125" s="10"/>
      <c r="AZ125" s="10"/>
      <c r="BA125" s="553" t="str">
        <f t="shared" si="43"/>
        <v/>
      </c>
      <c r="BB125" s="553" t="str">
        <f t="shared" si="44"/>
        <v>ü</v>
      </c>
      <c r="BC125" s="553" t="str">
        <f t="shared" si="45"/>
        <v/>
      </c>
      <c r="BD125" s="572" t="str">
        <f>IF(AND(L125="",H125=""),"",
IF(H125="",Pole_Calc!A$9,
IF(H125="MP",Pole_Calc!A$10,
IF(H125="AnMP",Pole_Calc!A$11,
IF(H125="A",Pole_Calc!A$12,
IF(H125="S/A",Pole_Calc!A$13,
IF(H125="A/S",Pole_Calc!A$14,"Poner a mano")))))))</f>
        <v/>
      </c>
      <c r="BE125" s="448" t="s">
        <v>1726</v>
      </c>
      <c r="BF125" s="305"/>
      <c r="BG125" s="305"/>
      <c r="BH125" s="306"/>
      <c r="BI125" s="305"/>
    </row>
    <row r="126" spans="1:61" ht="16.2" customHeight="1">
      <c r="A126" s="573"/>
      <c r="B126" s="469" t="s">
        <v>2340</v>
      </c>
      <c r="C126" s="3">
        <f t="shared" si="42"/>
        <v>676.06000000000142</v>
      </c>
      <c r="D126" s="88"/>
      <c r="E126" s="4"/>
      <c r="F126" s="4">
        <v>0</v>
      </c>
      <c r="G126" s="6"/>
      <c r="H126" s="468"/>
      <c r="I126" s="468"/>
      <c r="J126" s="3"/>
      <c r="K126" s="468"/>
      <c r="L126" s="468" t="s">
        <v>322</v>
      </c>
      <c r="M126" s="468" t="s">
        <v>1625</v>
      </c>
      <c r="N126" s="468" t="s">
        <v>32</v>
      </c>
      <c r="O126" s="468"/>
      <c r="P126" s="468"/>
      <c r="Q126" s="4"/>
      <c r="R126" s="6"/>
      <c r="S126" s="6"/>
      <c r="T126" s="4">
        <v>-30</v>
      </c>
      <c r="U126" s="4"/>
      <c r="V126" s="4"/>
      <c r="W126" s="9">
        <v>1.4</v>
      </c>
      <c r="X126" s="9"/>
      <c r="Y126" s="9"/>
      <c r="Z126" s="9"/>
      <c r="AA126" s="9"/>
      <c r="AB126" s="9"/>
      <c r="AC126" s="468" t="str">
        <f t="shared" si="31"/>
        <v>PHQ</v>
      </c>
      <c r="AD126" s="468"/>
      <c r="AE126" s="468"/>
      <c r="AF126" s="4"/>
      <c r="AG126" s="88"/>
      <c r="AH126" s="4"/>
      <c r="AI126" s="4"/>
      <c r="AJ126" s="468"/>
      <c r="AK126" s="468"/>
      <c r="AL126" s="468"/>
      <c r="AM126" s="468"/>
      <c r="AN126" s="10">
        <v>5.5</v>
      </c>
      <c r="AO126" s="9"/>
      <c r="AP126" s="9"/>
      <c r="AQ126" s="9"/>
      <c r="AR126" s="9"/>
      <c r="AS126" s="9"/>
      <c r="AT126" s="9">
        <f>+ab($T$126,$T$124,$T$128,$G$125,$G$127, 1*$F$126,1200)</f>
        <v>-7.8273425983203149</v>
      </c>
      <c r="AU126" s="447"/>
      <c r="AV126" s="447"/>
      <c r="AW126" s="468" t="s">
        <v>199</v>
      </c>
      <c r="AX126" s="468" t="s">
        <v>199</v>
      </c>
      <c r="AY126" s="10"/>
      <c r="AZ126" s="10"/>
      <c r="BA126" s="553" t="str">
        <f t="shared" si="43"/>
        <v/>
      </c>
      <c r="BB126" s="553" t="str">
        <f t="shared" si="44"/>
        <v/>
      </c>
      <c r="BC126" s="553" t="str">
        <f t="shared" si="45"/>
        <v>ü</v>
      </c>
      <c r="BD126" s="572" t="str">
        <f>IF(AND(L126="",H126=""),"",
IF(H126="",Pole_Calc!A$9,
IF(H126="MP",Pole_Calc!A$10,
IF(H126="AnMP",Pole_Calc!A$11,
IF(H126="A",Pole_Calc!A$12,
IF(H126="S/A",Pole_Calc!A$13,
IF(H126="A/S",Pole_Calc!A$14,"Poner a mano")))))))</f>
        <v>App.7-V11H-P9.5.1.1</v>
      </c>
      <c r="BE126" s="448" t="s">
        <v>1726</v>
      </c>
      <c r="BF126" s="306"/>
      <c r="BG126" s="306"/>
      <c r="BH126" s="306"/>
      <c r="BI126" s="306"/>
    </row>
    <row r="127" spans="1:61" ht="16.2" customHeight="1">
      <c r="A127" s="573" t="s">
        <v>2452</v>
      </c>
      <c r="B127" s="469"/>
      <c r="C127" s="3"/>
      <c r="D127" s="88"/>
      <c r="E127" s="4"/>
      <c r="F127" s="4"/>
      <c r="G127" s="6">
        <v>44.9</v>
      </c>
      <c r="H127" s="468"/>
      <c r="I127" s="468" t="s">
        <v>482</v>
      </c>
      <c r="J127" s="3">
        <f>C126-7.5</f>
        <v>668.56000000000142</v>
      </c>
      <c r="K127" s="468" t="s">
        <v>1625</v>
      </c>
      <c r="L127" s="468"/>
      <c r="M127" s="468" t="str">
        <f>IF(L127="","",
IF(AX127="PT",VLOOKUP(L127,Foundation_Calc!$V$4:$X$37,VLOOKUP(AX127,Foundation_Calc!$I$10:$J$13,2,FALSE),0),
IF(AX127="K",VLOOKUP(L127,Foundation_Calc!$V$41:$X$74,VLOOKUP(AX127,Foundation_Calc!$I$10:$J$13,2,FALSE),0),"")))</f>
        <v/>
      </c>
      <c r="N127" s="468"/>
      <c r="O127" s="468"/>
      <c r="P127" s="468"/>
      <c r="Q127" s="4"/>
      <c r="R127" s="6"/>
      <c r="S127" s="6"/>
      <c r="T127" s="4"/>
      <c r="U127" s="4"/>
      <c r="V127" s="4"/>
      <c r="W127" s="9"/>
      <c r="X127" s="9"/>
      <c r="Y127" s="9"/>
      <c r="Z127" s="9"/>
      <c r="AA127" s="9"/>
      <c r="AB127" s="9"/>
      <c r="AC127" s="468" t="str">
        <f t="shared" si="31"/>
        <v/>
      </c>
      <c r="AD127" s="468"/>
      <c r="AE127" s="468"/>
      <c r="AF127" s="4"/>
      <c r="AG127" s="88"/>
      <c r="AH127" s="4"/>
      <c r="AI127" s="4"/>
      <c r="AJ127" s="468"/>
      <c r="AK127" s="468"/>
      <c r="AL127" s="468"/>
      <c r="AM127" s="468"/>
      <c r="AN127" s="10"/>
      <c r="AO127" s="9"/>
      <c r="AP127" s="9"/>
      <c r="AQ127" s="9">
        <f>+FL_2($T$128,$T$126,$G$127,1200,9.28, 1*$F$128)</f>
        <v>-0.31033605897847072</v>
      </c>
      <c r="AR127" s="9"/>
      <c r="AS127" s="9"/>
      <c r="AT127" s="9"/>
      <c r="AU127" s="447"/>
      <c r="AV127" s="447"/>
      <c r="AW127" s="468"/>
      <c r="AX127" s="468"/>
      <c r="AY127" s="10"/>
      <c r="AZ127" s="10"/>
      <c r="BA127" s="553" t="str">
        <f t="shared" si="43"/>
        <v/>
      </c>
      <c r="BB127" s="553" t="str">
        <f t="shared" si="44"/>
        <v>ü</v>
      </c>
      <c r="BC127" s="553" t="str">
        <f t="shared" si="45"/>
        <v/>
      </c>
      <c r="BD127" s="572" t="str">
        <f>IF(AND(L127="",H127=""),"",
IF(H127="",Pole_Calc!A$9,
IF(H127="MP",Pole_Calc!A$10,
IF(H127="AnMP",Pole_Calc!A$11,
IF(H127="A",Pole_Calc!A$12,
IF(H127="S/A",Pole_Calc!A$13,
IF(H127="A/S",Pole_Calc!A$14,"Poner a mano")))))))</f>
        <v/>
      </c>
      <c r="BE127" s="448" t="s">
        <v>1726</v>
      </c>
      <c r="BF127" s="305"/>
      <c r="BG127" s="305"/>
      <c r="BH127" s="306"/>
      <c r="BI127" s="305"/>
    </row>
    <row r="128" spans="1:61" ht="16.2" customHeight="1">
      <c r="A128" s="579" t="s">
        <v>2452</v>
      </c>
      <c r="B128" s="469" t="s">
        <v>2341</v>
      </c>
      <c r="C128" s="3">
        <f t="shared" si="42"/>
        <v>631.16000000000145</v>
      </c>
      <c r="D128" s="88"/>
      <c r="E128" s="4"/>
      <c r="F128" s="4">
        <v>0</v>
      </c>
      <c r="G128" s="6"/>
      <c r="H128" s="468"/>
      <c r="I128" s="468"/>
      <c r="J128" s="3"/>
      <c r="K128" s="468"/>
      <c r="L128" s="468" t="s">
        <v>325</v>
      </c>
      <c r="M128" s="468" t="s">
        <v>1625</v>
      </c>
      <c r="N128" s="468" t="s">
        <v>343</v>
      </c>
      <c r="O128" s="468"/>
      <c r="P128" s="468"/>
      <c r="Q128" s="4"/>
      <c r="R128" s="6"/>
      <c r="S128" s="6"/>
      <c r="T128" s="4">
        <v>30</v>
      </c>
      <c r="U128" s="4"/>
      <c r="V128" s="4"/>
      <c r="W128" s="9">
        <v>1.4</v>
      </c>
      <c r="X128" s="9"/>
      <c r="Y128" s="9"/>
      <c r="Z128" s="9"/>
      <c r="AA128" s="9"/>
      <c r="AB128" s="9"/>
      <c r="AC128" s="468" t="str">
        <f t="shared" si="31"/>
        <v>PHQ</v>
      </c>
      <c r="AD128" s="468"/>
      <c r="AE128" s="468"/>
      <c r="AF128" s="4"/>
      <c r="AG128" s="88"/>
      <c r="AH128" s="4"/>
      <c r="AI128" s="4"/>
      <c r="AJ128" s="468"/>
      <c r="AK128" s="468" t="s">
        <v>27</v>
      </c>
      <c r="AL128" s="468" t="s">
        <v>1113</v>
      </c>
      <c r="AM128" s="468" t="s">
        <v>1620</v>
      </c>
      <c r="AN128" s="10">
        <v>5.5</v>
      </c>
      <c r="AO128" s="9"/>
      <c r="AP128" s="9"/>
      <c r="AQ128" s="9"/>
      <c r="AR128" s="9"/>
      <c r="AS128" s="9"/>
      <c r="AT128" s="9">
        <f>+ab($T$128,$T$126,$T$130,$G$127,$G$129, 1*$F$128,1200)</f>
        <v>7.6492803806898984</v>
      </c>
      <c r="AU128" s="447"/>
      <c r="AV128" s="447"/>
      <c r="AW128" s="468" t="s">
        <v>199</v>
      </c>
      <c r="AX128" s="468" t="s">
        <v>199</v>
      </c>
      <c r="AY128" s="10"/>
      <c r="AZ128" s="10"/>
      <c r="BA128" s="553" t="str">
        <f t="shared" si="43"/>
        <v/>
      </c>
      <c r="BB128" s="553" t="str">
        <f t="shared" si="44"/>
        <v/>
      </c>
      <c r="BC128" s="553" t="str">
        <f t="shared" si="45"/>
        <v>ü</v>
      </c>
      <c r="BD128" s="572" t="str">
        <f>Pole_Calc!A$251</f>
        <v>App.8-V08H-P10.3</v>
      </c>
      <c r="BE128" s="448" t="s">
        <v>1726</v>
      </c>
      <c r="BF128" s="306"/>
      <c r="BG128" s="306"/>
      <c r="BH128" s="306"/>
      <c r="BI128" s="306"/>
    </row>
    <row r="129" spans="1:61" ht="16.2" customHeight="1">
      <c r="A129" s="579" t="s">
        <v>2452</v>
      </c>
      <c r="B129" s="469"/>
      <c r="C129" s="3"/>
      <c r="D129" s="88"/>
      <c r="E129" s="4"/>
      <c r="F129" s="4"/>
      <c r="G129" s="6">
        <v>43.2</v>
      </c>
      <c r="H129" s="468"/>
      <c r="I129" s="468"/>
      <c r="J129" s="3"/>
      <c r="K129" s="468"/>
      <c r="L129" s="468"/>
      <c r="M129" s="468" t="str">
        <f>IF(L129="","",
IF(AX129="PT",VLOOKUP(L129,Foundation_Calc!$V$4:$X$37,VLOOKUP(AX129,Foundation_Calc!$I$10:$J$13,2,FALSE),0),
IF(AX129="K",VLOOKUP(L129,Foundation_Calc!$V$41:$X$74,VLOOKUP(AX129,Foundation_Calc!$I$10:$J$13,2,FALSE),0),"")))</f>
        <v/>
      </c>
      <c r="N129" s="468"/>
      <c r="O129" s="468"/>
      <c r="P129" s="468"/>
      <c r="Q129" s="4"/>
      <c r="R129" s="6"/>
      <c r="S129" s="6"/>
      <c r="T129" s="4"/>
      <c r="U129" s="4"/>
      <c r="V129" s="4"/>
      <c r="W129" s="9"/>
      <c r="X129" s="9"/>
      <c r="Y129" s="9"/>
      <c r="Z129" s="9"/>
      <c r="AA129" s="9"/>
      <c r="AB129" s="9"/>
      <c r="AC129" s="468" t="str">
        <f t="shared" si="31"/>
        <v/>
      </c>
      <c r="AD129" s="468"/>
      <c r="AE129" s="468"/>
      <c r="AF129" s="4"/>
      <c r="AG129" s="88"/>
      <c r="AH129" s="4"/>
      <c r="AI129" s="4"/>
      <c r="AJ129" s="468"/>
      <c r="AK129" s="468"/>
      <c r="AL129" s="468"/>
      <c r="AM129" s="468"/>
      <c r="AN129" s="10"/>
      <c r="AO129" s="9"/>
      <c r="AP129" s="9"/>
      <c r="AQ129" s="9">
        <f>+FL_1($T$130,$T$128,$G$129,1200,9.28, 1*$F$130)</f>
        <v>0.31701474088888887</v>
      </c>
      <c r="AR129" s="9"/>
      <c r="AS129" s="9"/>
      <c r="AT129" s="9"/>
      <c r="AU129" s="447"/>
      <c r="AV129" s="447"/>
      <c r="AW129" s="468"/>
      <c r="AX129" s="468"/>
      <c r="AY129" s="10"/>
      <c r="AZ129" s="10"/>
      <c r="BA129" s="553" t="str">
        <f t="shared" si="43"/>
        <v/>
      </c>
      <c r="BB129" s="553" t="str">
        <f t="shared" si="44"/>
        <v/>
      </c>
      <c r="BC129" s="553" t="str">
        <f t="shared" si="45"/>
        <v/>
      </c>
      <c r="BD129" s="572"/>
      <c r="BE129" s="448" t="s">
        <v>1726</v>
      </c>
      <c r="BF129" s="305"/>
      <c r="BG129" s="305"/>
      <c r="BH129" s="306"/>
      <c r="BI129" s="305"/>
    </row>
    <row r="130" spans="1:61" ht="16.2" customHeight="1">
      <c r="A130" s="579" t="s">
        <v>2452</v>
      </c>
      <c r="B130" s="469" t="s">
        <v>2342</v>
      </c>
      <c r="C130" s="3">
        <f t="shared" si="42"/>
        <v>587.9600000000014</v>
      </c>
      <c r="D130" s="88"/>
      <c r="E130" s="4"/>
      <c r="F130" s="4">
        <v>0</v>
      </c>
      <c r="G130" s="6"/>
      <c r="H130" s="468"/>
      <c r="I130" s="468"/>
      <c r="J130" s="3"/>
      <c r="K130" s="468"/>
      <c r="L130" s="468" t="s">
        <v>325</v>
      </c>
      <c r="M130" s="468" t="s">
        <v>1625</v>
      </c>
      <c r="N130" s="468" t="s">
        <v>342</v>
      </c>
      <c r="O130" s="468"/>
      <c r="P130" s="468"/>
      <c r="Q130" s="4"/>
      <c r="R130" s="6"/>
      <c r="S130" s="6"/>
      <c r="T130" s="4">
        <v>-20</v>
      </c>
      <c r="U130" s="4"/>
      <c r="V130" s="4"/>
      <c r="W130" s="9">
        <v>1.4</v>
      </c>
      <c r="X130" s="9"/>
      <c r="Y130" s="9"/>
      <c r="Z130" s="9"/>
      <c r="AA130" s="9"/>
      <c r="AB130" s="9"/>
      <c r="AC130" s="468" t="str">
        <f t="shared" si="31"/>
        <v>PH</v>
      </c>
      <c r="AD130" s="468"/>
      <c r="AE130" s="468"/>
      <c r="AF130" s="4"/>
      <c r="AG130" s="88"/>
      <c r="AH130" s="4"/>
      <c r="AI130" s="4"/>
      <c r="AJ130" s="468"/>
      <c r="AK130" s="468" t="s">
        <v>27</v>
      </c>
      <c r="AL130" s="468" t="s">
        <v>1113</v>
      </c>
      <c r="AM130" s="468" t="s">
        <v>1620</v>
      </c>
      <c r="AN130" s="10">
        <v>5.5</v>
      </c>
      <c r="AO130" s="9"/>
      <c r="AP130" s="9"/>
      <c r="AQ130" s="9"/>
      <c r="AR130" s="9"/>
      <c r="AS130" s="9"/>
      <c r="AT130" s="9">
        <f>+ab($T$130,$T$128,$T$132,$G$129,$G$131, 1*$F$130,1200)</f>
        <v>-9.5580173361397396</v>
      </c>
      <c r="AU130" s="447"/>
      <c r="AV130" s="447"/>
      <c r="AW130" s="468" t="s">
        <v>199</v>
      </c>
      <c r="AX130" s="468" t="s">
        <v>199</v>
      </c>
      <c r="AY130" s="10"/>
      <c r="AZ130" s="10"/>
      <c r="BA130" s="553" t="str">
        <f t="shared" si="43"/>
        <v/>
      </c>
      <c r="BB130" s="553" t="str">
        <f t="shared" si="44"/>
        <v/>
      </c>
      <c r="BC130" s="553" t="str">
        <f t="shared" si="45"/>
        <v>ü</v>
      </c>
      <c r="BD130" s="572" t="str">
        <f>Pole_Calc!A$251</f>
        <v>App.8-V08H-P10.3</v>
      </c>
      <c r="BE130" s="448" t="s">
        <v>1726</v>
      </c>
      <c r="BF130" s="306"/>
      <c r="BG130" s="306"/>
      <c r="BH130" s="306"/>
      <c r="BI130" s="306"/>
    </row>
    <row r="131" spans="1:61" ht="16.2" customHeight="1">
      <c r="A131" s="579" t="s">
        <v>2452</v>
      </c>
      <c r="B131" s="469"/>
      <c r="C131" s="3"/>
      <c r="D131" s="88"/>
      <c r="E131" s="4"/>
      <c r="F131" s="4"/>
      <c r="G131" s="6">
        <v>48.1</v>
      </c>
      <c r="H131" s="468"/>
      <c r="I131" s="468"/>
      <c r="J131" s="3"/>
      <c r="K131" s="468"/>
      <c r="L131" s="468"/>
      <c r="M131" s="468" t="str">
        <f>IF(L131="","",
IF(AX131="PT",VLOOKUP(L131,Foundation_Calc!$V$4:$X$37,VLOOKUP(AX131,Foundation_Calc!$I$10:$J$13,2,FALSE),0),
IF(AX131="K",VLOOKUP(L131,Foundation_Calc!$V$41:$X$74,VLOOKUP(AX131,Foundation_Calc!$I$10:$J$13,2,FALSE),0),"")))</f>
        <v/>
      </c>
      <c r="N131" s="468"/>
      <c r="O131" s="468"/>
      <c r="P131" s="468"/>
      <c r="Q131" s="4"/>
      <c r="R131" s="6"/>
      <c r="S131" s="6"/>
      <c r="T131" s="4"/>
      <c r="U131" s="4"/>
      <c r="V131" s="4"/>
      <c r="W131" s="9"/>
      <c r="X131" s="9"/>
      <c r="Y131" s="9"/>
      <c r="Z131" s="9"/>
      <c r="AA131" s="9"/>
      <c r="AB131" s="9"/>
      <c r="AC131" s="468" t="str">
        <f t="shared" si="31"/>
        <v/>
      </c>
      <c r="AD131" s="468"/>
      <c r="AE131" s="468"/>
      <c r="AF131" s="4"/>
      <c r="AG131" s="88"/>
      <c r="AH131" s="4"/>
      <c r="AI131" s="4"/>
      <c r="AJ131" s="468"/>
      <c r="AK131" s="468"/>
      <c r="AL131" s="468"/>
      <c r="AM131" s="468"/>
      <c r="AN131" s="10"/>
      <c r="AO131" s="9"/>
      <c r="AP131" s="9"/>
      <c r="AQ131" s="9">
        <f>+FL_2($T$132,$T$130,$G$131,1200,9.28, 1*$F$132)</f>
        <v>-0.26836188939708933</v>
      </c>
      <c r="AR131" s="9"/>
      <c r="AS131" s="9"/>
      <c r="AT131" s="9"/>
      <c r="AU131" s="447"/>
      <c r="AV131" s="447"/>
      <c r="AW131" s="468"/>
      <c r="AX131" s="468"/>
      <c r="AY131" s="10"/>
      <c r="AZ131" s="10"/>
      <c r="BA131" s="553" t="str">
        <f t="shared" si="43"/>
        <v/>
      </c>
      <c r="BB131" s="553" t="str">
        <f t="shared" si="44"/>
        <v/>
      </c>
      <c r="BC131" s="553" t="str">
        <f t="shared" si="45"/>
        <v/>
      </c>
      <c r="BD131" s="572"/>
      <c r="BE131" s="448" t="s">
        <v>1726</v>
      </c>
      <c r="BF131" s="305"/>
      <c r="BG131" s="305"/>
      <c r="BH131" s="306"/>
      <c r="BI131" s="305"/>
    </row>
    <row r="132" spans="1:61" ht="16.2" customHeight="1">
      <c r="A132" s="579" t="s">
        <v>2452</v>
      </c>
      <c r="B132" s="469" t="s">
        <v>2343</v>
      </c>
      <c r="C132" s="3">
        <f t="shared" si="42"/>
        <v>539.86000000000138</v>
      </c>
      <c r="D132" s="88"/>
      <c r="E132" s="4"/>
      <c r="F132" s="4">
        <v>0</v>
      </c>
      <c r="G132" s="6"/>
      <c r="H132" s="468"/>
      <c r="I132" s="468"/>
      <c r="J132" s="3"/>
      <c r="K132" s="468"/>
      <c r="L132" s="468" t="s">
        <v>325</v>
      </c>
      <c r="M132" s="468" t="s">
        <v>1625</v>
      </c>
      <c r="N132" s="468" t="s">
        <v>343</v>
      </c>
      <c r="O132" s="468"/>
      <c r="P132" s="468"/>
      <c r="Q132" s="4"/>
      <c r="R132" s="6"/>
      <c r="S132" s="6"/>
      <c r="T132" s="4">
        <v>20</v>
      </c>
      <c r="U132" s="4"/>
      <c r="V132" s="4"/>
      <c r="W132" s="9">
        <v>1.4</v>
      </c>
      <c r="X132" s="9"/>
      <c r="Y132" s="9"/>
      <c r="Z132" s="9"/>
      <c r="AA132" s="9"/>
      <c r="AB132" s="9"/>
      <c r="AC132" s="468" t="str">
        <f t="shared" si="31"/>
        <v>PH</v>
      </c>
      <c r="AD132" s="468"/>
      <c r="AE132" s="468"/>
      <c r="AF132" s="4"/>
      <c r="AG132" s="88"/>
      <c r="AH132" s="4"/>
      <c r="AI132" s="4"/>
      <c r="AJ132" s="468"/>
      <c r="AK132" s="468" t="s">
        <v>27</v>
      </c>
      <c r="AL132" s="468" t="s">
        <v>1113</v>
      </c>
      <c r="AM132" s="468" t="s">
        <v>1620</v>
      </c>
      <c r="AN132" s="10">
        <v>5.5</v>
      </c>
      <c r="AO132" s="9"/>
      <c r="AP132" s="9"/>
      <c r="AQ132" s="9"/>
      <c r="AR132" s="9"/>
      <c r="AS132" s="9"/>
      <c r="AT132" s="9">
        <f>+ab($T$132,$T$130,$T$134,$G$131,$G$133, 1*$F$132,1200)</f>
        <v>11.900785813079619</v>
      </c>
      <c r="AU132" s="447"/>
      <c r="AV132" s="447"/>
      <c r="AW132" s="468" t="s">
        <v>199</v>
      </c>
      <c r="AX132" s="468" t="s">
        <v>199</v>
      </c>
      <c r="AY132" s="10"/>
      <c r="AZ132" s="10"/>
      <c r="BA132" s="553" t="str">
        <f t="shared" si="43"/>
        <v/>
      </c>
      <c r="BB132" s="553" t="str">
        <f t="shared" si="44"/>
        <v/>
      </c>
      <c r="BC132" s="553" t="str">
        <f t="shared" si="45"/>
        <v>ü</v>
      </c>
      <c r="BD132" s="572" t="str">
        <f>Pole_Calc!A$251</f>
        <v>App.8-V08H-P10.3</v>
      </c>
      <c r="BE132" s="448" t="s">
        <v>1726</v>
      </c>
      <c r="BF132" s="306"/>
      <c r="BG132" s="306"/>
      <c r="BH132" s="306"/>
      <c r="BI132" s="306"/>
    </row>
    <row r="133" spans="1:61" ht="16.2" customHeight="1">
      <c r="A133" s="580" t="s">
        <v>2452</v>
      </c>
      <c r="B133" s="469"/>
      <c r="C133" s="3"/>
      <c r="D133" s="88"/>
      <c r="E133" s="4"/>
      <c r="F133" s="4"/>
      <c r="G133" s="6">
        <v>52.8</v>
      </c>
      <c r="H133" s="468"/>
      <c r="I133" s="468"/>
      <c r="J133" s="3"/>
      <c r="K133" s="468"/>
      <c r="L133" s="468"/>
      <c r="M133" s="468" t="str">
        <f>IF(L133="","",
IF(AX133="PT",VLOOKUP(L133,Foundation_Calc!$V$4:$X$37,VLOOKUP(AX133,Foundation_Calc!$I$10:$J$13,2,FALSE),0),
IF(AX133="K",VLOOKUP(L133,Foundation_Calc!$V$41:$X$74,VLOOKUP(AX133,Foundation_Calc!$I$10:$J$13,2,FALSE),0),"")))</f>
        <v/>
      </c>
      <c r="N133" s="468"/>
      <c r="O133" s="468"/>
      <c r="P133" s="468"/>
      <c r="Q133" s="4"/>
      <c r="R133" s="6"/>
      <c r="S133" s="6"/>
      <c r="T133" s="4"/>
      <c r="U133" s="4"/>
      <c r="V133" s="4"/>
      <c r="W133" s="9"/>
      <c r="X133" s="9"/>
      <c r="Y133" s="9"/>
      <c r="Z133" s="9"/>
      <c r="AA133" s="9"/>
      <c r="AB133" s="9"/>
      <c r="AC133" s="468" t="str">
        <f t="shared" si="31"/>
        <v/>
      </c>
      <c r="AD133" s="468"/>
      <c r="AE133" s="468"/>
      <c r="AF133" s="4"/>
      <c r="AG133" s="88"/>
      <c r="AH133" s="4"/>
      <c r="AI133" s="4"/>
      <c r="AJ133" s="468"/>
      <c r="AK133" s="468"/>
      <c r="AL133" s="468"/>
      <c r="AM133" s="468"/>
      <c r="AN133" s="10"/>
      <c r="AO133" s="9"/>
      <c r="AP133" s="9"/>
      <c r="AQ133" s="9">
        <f>+FL_1($T$134,$T$132,$G$133,1200,9.28, 1*$F$134)</f>
        <v>0.30659815757575748</v>
      </c>
      <c r="AR133" s="9"/>
      <c r="AS133" s="9"/>
      <c r="AT133" s="9"/>
      <c r="AU133" s="447"/>
      <c r="AV133" s="447"/>
      <c r="AW133" s="468"/>
      <c r="AX133" s="468"/>
      <c r="AY133" s="10"/>
      <c r="AZ133" s="10"/>
      <c r="BA133" s="553" t="str">
        <f t="shared" si="43"/>
        <v/>
      </c>
      <c r="BB133" s="553" t="str">
        <f t="shared" si="44"/>
        <v/>
      </c>
      <c r="BC133" s="553" t="str">
        <f t="shared" si="45"/>
        <v/>
      </c>
      <c r="BD133" s="572"/>
      <c r="BE133" s="448" t="s">
        <v>1726</v>
      </c>
      <c r="BF133" s="305"/>
      <c r="BG133" s="305"/>
      <c r="BH133" s="306"/>
      <c r="BI133" s="305"/>
    </row>
    <row r="134" spans="1:61" ht="16.2" customHeight="1">
      <c r="A134" s="581" t="s">
        <v>2456</v>
      </c>
      <c r="B134" s="527" t="s">
        <v>2344</v>
      </c>
      <c r="C134" s="528">
        <f t="shared" si="42"/>
        <v>487.06000000000137</v>
      </c>
      <c r="D134" s="529"/>
      <c r="E134" s="530"/>
      <c r="F134" s="530">
        <v>0</v>
      </c>
      <c r="G134" s="531"/>
      <c r="H134" s="532" t="s">
        <v>365</v>
      </c>
      <c r="I134" s="532"/>
      <c r="J134" s="528"/>
      <c r="K134" s="532"/>
      <c r="L134" s="532" t="s">
        <v>1290</v>
      </c>
      <c r="M134" s="532" t="s">
        <v>1625</v>
      </c>
      <c r="N134" s="532" t="s">
        <v>342</v>
      </c>
      <c r="O134" s="532"/>
      <c r="P134" s="532"/>
      <c r="Q134" s="530"/>
      <c r="R134" s="531"/>
      <c r="S134" s="531"/>
      <c r="T134" s="530">
        <v>-20</v>
      </c>
      <c r="U134" s="530"/>
      <c r="V134" s="530"/>
      <c r="W134" s="533">
        <v>1.4</v>
      </c>
      <c r="X134" s="533"/>
      <c r="Y134" s="533"/>
      <c r="Z134" s="533"/>
      <c r="AA134" s="533"/>
      <c r="AB134" s="533"/>
      <c r="AC134" s="532" t="str">
        <f t="shared" ref="AC134:AC197" si="46">IF(OR(AT134&gt;8,AT134&lt;-8),"PH",
IF(OR(AT134&gt;5,AT134&lt;-5),"PHQ",
IF(OR(AT134&gt;1,AT134&lt;-1),
"PHC","")))</f>
        <v>PH</v>
      </c>
      <c r="AD134" s="532"/>
      <c r="AE134" s="532"/>
      <c r="AF134" s="530"/>
      <c r="AG134" s="529"/>
      <c r="AH134" s="530"/>
      <c r="AI134" s="530"/>
      <c r="AJ134" s="532"/>
      <c r="AK134" s="532" t="s">
        <v>27</v>
      </c>
      <c r="AL134" s="532" t="s">
        <v>1113</v>
      </c>
      <c r="AM134" s="532" t="s">
        <v>1620</v>
      </c>
      <c r="AN134" s="534">
        <v>5.5</v>
      </c>
      <c r="AO134" s="533"/>
      <c r="AP134" s="533"/>
      <c r="AQ134" s="533"/>
      <c r="AR134" s="533"/>
      <c r="AS134" s="533"/>
      <c r="AT134" s="533">
        <f>+ab($T$134,$T$132,$T$136,$G$133,$G$135, 1*$F$134,1200)</f>
        <v>-12.037656997566762</v>
      </c>
      <c r="AU134" s="535"/>
      <c r="AV134" s="535"/>
      <c r="AW134" s="532" t="s">
        <v>199</v>
      </c>
      <c r="AX134" s="532" t="s">
        <v>199</v>
      </c>
      <c r="AY134" s="534"/>
      <c r="AZ134" s="534"/>
      <c r="BA134" s="553" t="str">
        <f t="shared" si="43"/>
        <v/>
      </c>
      <c r="BB134" s="553" t="str">
        <f t="shared" si="44"/>
        <v/>
      </c>
      <c r="BC134" s="553" t="str">
        <f t="shared" si="45"/>
        <v>ü</v>
      </c>
      <c r="BD134" s="572" t="str">
        <f>Pole_Calc!A$251</f>
        <v>App.8-V08H-P10.3</v>
      </c>
      <c r="BE134" s="448" t="s">
        <v>1726</v>
      </c>
      <c r="BF134" s="306"/>
      <c r="BG134" s="306"/>
      <c r="BH134" s="306"/>
      <c r="BI134" s="306"/>
    </row>
    <row r="135" spans="1:61" ht="16.2" customHeight="1">
      <c r="A135" s="579" t="s">
        <v>2452</v>
      </c>
      <c r="B135" s="469"/>
      <c r="C135" s="3"/>
      <c r="D135" s="88"/>
      <c r="E135" s="4"/>
      <c r="F135" s="4"/>
      <c r="G135" s="6">
        <v>49.2</v>
      </c>
      <c r="H135" s="468"/>
      <c r="I135" s="4">
        <f>SUM(G119:G135)</f>
        <v>454.5</v>
      </c>
      <c r="J135" s="3"/>
      <c r="K135" s="468"/>
      <c r="L135" s="468"/>
      <c r="M135" s="468" t="str">
        <f>IF(L135="","",
IF(AX135="PT",VLOOKUP(L135,Foundation_Calc!$V$4:$X$37,VLOOKUP(AX135,Foundation_Calc!$I$10:$J$13,2,FALSE),0),
IF(AX135="K",VLOOKUP(L135,Foundation_Calc!$V$41:$X$74,VLOOKUP(AX135,Foundation_Calc!$I$10:$J$13,2,FALSE),0),"")))</f>
        <v/>
      </c>
      <c r="N135" s="468"/>
      <c r="O135" s="468"/>
      <c r="P135" s="468"/>
      <c r="Q135" s="4"/>
      <c r="R135" s="6"/>
      <c r="S135" s="6"/>
      <c r="T135" s="4"/>
      <c r="U135" s="4"/>
      <c r="V135" s="4"/>
      <c r="W135" s="9"/>
      <c r="X135" s="9"/>
      <c r="Y135" s="9"/>
      <c r="Z135" s="9"/>
      <c r="AA135" s="9"/>
      <c r="AB135" s="9"/>
      <c r="AC135" s="468" t="str">
        <f t="shared" si="46"/>
        <v/>
      </c>
      <c r="AD135" s="468"/>
      <c r="AE135" s="468"/>
      <c r="AF135" s="4"/>
      <c r="AG135" s="88"/>
      <c r="AH135" s="4"/>
      <c r="AI135" s="4"/>
      <c r="AJ135" s="468"/>
      <c r="AK135" s="468"/>
      <c r="AL135" s="468"/>
      <c r="AM135" s="468"/>
      <c r="AN135" s="10"/>
      <c r="AO135" s="9"/>
      <c r="AP135" s="9"/>
      <c r="AQ135" s="9">
        <f>+FL_2($T$136,$T$134,$G$135,1200,9.28, 1*$F$136)</f>
        <v>-0.27673111580487808</v>
      </c>
      <c r="AR135" s="9"/>
      <c r="AS135" s="9"/>
      <c r="AT135" s="9"/>
      <c r="AU135" s="447"/>
      <c r="AV135" s="447"/>
      <c r="AW135" s="468"/>
      <c r="AX135" s="468"/>
      <c r="AY135" s="10"/>
      <c r="AZ135" s="10"/>
      <c r="BA135" s="553" t="str">
        <f t="shared" si="43"/>
        <v/>
      </c>
      <c r="BB135" s="553" t="str">
        <f t="shared" si="44"/>
        <v/>
      </c>
      <c r="BC135" s="553" t="str">
        <f t="shared" si="45"/>
        <v/>
      </c>
      <c r="BD135" s="572"/>
      <c r="BE135" s="448" t="s">
        <v>1726</v>
      </c>
      <c r="BF135" s="305"/>
      <c r="BG135" s="305"/>
      <c r="BH135" s="306"/>
      <c r="BI135" s="305"/>
    </row>
    <row r="136" spans="1:61" ht="16.2" customHeight="1">
      <c r="A136" s="579" t="s">
        <v>2452</v>
      </c>
      <c r="B136" s="469" t="s">
        <v>2345</v>
      </c>
      <c r="C136" s="3">
        <f t="shared" si="42"/>
        <v>437.86000000000138</v>
      </c>
      <c r="D136" s="88"/>
      <c r="E136" s="4"/>
      <c r="F136" s="4">
        <v>0</v>
      </c>
      <c r="G136" s="6"/>
      <c r="H136" s="468" t="s">
        <v>366</v>
      </c>
      <c r="I136" s="468"/>
      <c r="J136" s="3"/>
      <c r="K136" s="468"/>
      <c r="L136" s="468" t="s">
        <v>1192</v>
      </c>
      <c r="M136" s="468" t="s">
        <v>1625</v>
      </c>
      <c r="N136" s="468" t="s">
        <v>343</v>
      </c>
      <c r="O136" s="468"/>
      <c r="P136" s="468"/>
      <c r="Q136" s="4"/>
      <c r="R136" s="6"/>
      <c r="S136" s="6"/>
      <c r="T136" s="4">
        <v>20</v>
      </c>
      <c r="U136" s="4"/>
      <c r="V136" s="4"/>
      <c r="W136" s="9">
        <v>1.4</v>
      </c>
      <c r="X136" s="9"/>
      <c r="Y136" s="9"/>
      <c r="Z136" s="9"/>
      <c r="AA136" s="9"/>
      <c r="AB136" s="9"/>
      <c r="AC136" s="468" t="str">
        <f t="shared" si="46"/>
        <v>PH</v>
      </c>
      <c r="AD136" s="468"/>
      <c r="AE136" s="468"/>
      <c r="AF136" s="4"/>
      <c r="AG136" s="88"/>
      <c r="AH136" s="4"/>
      <c r="AI136" s="4"/>
      <c r="AJ136" s="468"/>
      <c r="AK136" s="468" t="s">
        <v>27</v>
      </c>
      <c r="AL136" s="468" t="s">
        <v>1115</v>
      </c>
      <c r="AM136" s="468" t="s">
        <v>1620</v>
      </c>
      <c r="AN136" s="10">
        <v>5.5</v>
      </c>
      <c r="AO136" s="9"/>
      <c r="AP136" s="9"/>
      <c r="AQ136" s="9"/>
      <c r="AR136" s="9"/>
      <c r="AS136" s="9"/>
      <c r="AT136" s="9">
        <f>+ab($T$136,$T$134,$T$138,$G$135,$G$137, 1*$F$136,1200)</f>
        <v>11.774926615084185</v>
      </c>
      <c r="AU136" s="447"/>
      <c r="AV136" s="447"/>
      <c r="AW136" s="468" t="s">
        <v>199</v>
      </c>
      <c r="AX136" s="468" t="s">
        <v>199</v>
      </c>
      <c r="AY136" s="10"/>
      <c r="AZ136" s="10"/>
      <c r="BA136" s="553" t="str">
        <f t="shared" si="43"/>
        <v/>
      </c>
      <c r="BB136" s="553" t="str">
        <f t="shared" si="44"/>
        <v/>
      </c>
      <c r="BC136" s="553" t="str">
        <f t="shared" si="45"/>
        <v>ü</v>
      </c>
      <c r="BD136" s="572" t="str">
        <f>Pole_Calc!A$251</f>
        <v>App.8-V08H-P10.3</v>
      </c>
      <c r="BE136" s="448" t="s">
        <v>1726</v>
      </c>
      <c r="BF136" s="306"/>
      <c r="BG136" s="306"/>
      <c r="BH136" s="306"/>
      <c r="BI136" s="306"/>
    </row>
    <row r="137" spans="1:61" ht="16.2" customHeight="1">
      <c r="A137" s="579" t="s">
        <v>2452</v>
      </c>
      <c r="B137" s="469"/>
      <c r="C137" s="3"/>
      <c r="D137" s="88"/>
      <c r="E137" s="4"/>
      <c r="F137" s="4"/>
      <c r="G137" s="6">
        <v>50.4</v>
      </c>
      <c r="H137" s="468"/>
      <c r="I137" s="4">
        <f>SUM(G137:G161)</f>
        <v>458.09999999999997</v>
      </c>
      <c r="J137" s="3"/>
      <c r="K137" s="468"/>
      <c r="L137" s="468"/>
      <c r="M137" s="468" t="str">
        <f>IF(L137="","",
IF(AX137="PT",VLOOKUP(L137,Foundation_Calc!$V$4:$X$37,VLOOKUP(AX137,Foundation_Calc!$I$10:$J$13,2,FALSE),0),
IF(AX137="K",VLOOKUP(L137,Foundation_Calc!$V$41:$X$74,VLOOKUP(AX137,Foundation_Calc!$I$10:$J$13,2,FALSE),0),"")))</f>
        <v/>
      </c>
      <c r="N137" s="468"/>
      <c r="O137" s="468"/>
      <c r="P137" s="468"/>
      <c r="Q137" s="4"/>
      <c r="R137" s="6"/>
      <c r="S137" s="6"/>
      <c r="T137" s="4"/>
      <c r="U137" s="4"/>
      <c r="V137" s="4"/>
      <c r="W137" s="9"/>
      <c r="X137" s="9"/>
      <c r="Y137" s="9"/>
      <c r="Z137" s="9"/>
      <c r="AA137" s="9"/>
      <c r="AB137" s="9"/>
      <c r="AC137" s="468" t="str">
        <f t="shared" si="46"/>
        <v/>
      </c>
      <c r="AD137" s="468"/>
      <c r="AE137" s="468"/>
      <c r="AF137" s="4"/>
      <c r="AG137" s="88"/>
      <c r="AH137" s="4"/>
      <c r="AI137" s="4"/>
      <c r="AJ137" s="468"/>
      <c r="AK137" s="468"/>
      <c r="AL137" s="468"/>
      <c r="AM137" s="468"/>
      <c r="AN137" s="10"/>
      <c r="AO137" s="9"/>
      <c r="AP137" s="9"/>
      <c r="AQ137" s="9">
        <f>+FL_1($T$138,$T$136,$G$137,1200,9.28, 1*$F$138)</f>
        <v>0.28627389942857134</v>
      </c>
      <c r="AR137" s="9"/>
      <c r="AS137" s="9"/>
      <c r="AT137" s="9"/>
      <c r="AU137" s="447"/>
      <c r="AV137" s="447"/>
      <c r="AW137" s="468"/>
      <c r="AX137" s="468"/>
      <c r="AY137" s="10"/>
      <c r="AZ137" s="10"/>
      <c r="BA137" s="553" t="str">
        <f t="shared" si="43"/>
        <v/>
      </c>
      <c r="BB137" s="553" t="str">
        <f t="shared" si="44"/>
        <v/>
      </c>
      <c r="BC137" s="553" t="str">
        <f t="shared" si="45"/>
        <v/>
      </c>
      <c r="BD137" s="572"/>
      <c r="BE137" s="448" t="s">
        <v>1726</v>
      </c>
      <c r="BF137" s="305"/>
      <c r="BG137" s="305"/>
      <c r="BH137" s="306"/>
      <c r="BI137" s="305"/>
    </row>
    <row r="138" spans="1:61" ht="16.2" customHeight="1">
      <c r="A138" s="579" t="s">
        <v>2452</v>
      </c>
      <c r="B138" s="469" t="s">
        <v>2346</v>
      </c>
      <c r="C138" s="3">
        <f t="shared" si="42"/>
        <v>387.4600000000014</v>
      </c>
      <c r="D138" s="88"/>
      <c r="E138" s="4"/>
      <c r="F138" s="4">
        <v>0</v>
      </c>
      <c r="G138" s="6"/>
      <c r="H138" s="468" t="s">
        <v>365</v>
      </c>
      <c r="I138" s="468"/>
      <c r="J138" s="3"/>
      <c r="K138" s="468"/>
      <c r="L138" s="468" t="s">
        <v>1290</v>
      </c>
      <c r="M138" s="468" t="s">
        <v>1625</v>
      </c>
      <c r="N138" s="468" t="s">
        <v>342</v>
      </c>
      <c r="O138" s="468"/>
      <c r="P138" s="468"/>
      <c r="Q138" s="4"/>
      <c r="R138" s="6"/>
      <c r="S138" s="6"/>
      <c r="T138" s="4">
        <v>-20</v>
      </c>
      <c r="U138" s="4"/>
      <c r="V138" s="4"/>
      <c r="W138" s="9">
        <v>1.4</v>
      </c>
      <c r="X138" s="9"/>
      <c r="Y138" s="9"/>
      <c r="Z138" s="9"/>
      <c r="AA138" s="9"/>
      <c r="AB138" s="9"/>
      <c r="AC138" s="468" t="str">
        <f t="shared" si="46"/>
        <v>PH</v>
      </c>
      <c r="AD138" s="468"/>
      <c r="AE138" s="468"/>
      <c r="AF138" s="4"/>
      <c r="AG138" s="88"/>
      <c r="AH138" s="4"/>
      <c r="AI138" s="4"/>
      <c r="AJ138" s="468"/>
      <c r="AK138" s="468" t="s">
        <v>27</v>
      </c>
      <c r="AL138" s="468" t="s">
        <v>1115</v>
      </c>
      <c r="AM138" s="468" t="s">
        <v>1620</v>
      </c>
      <c r="AN138" s="10">
        <v>5.5</v>
      </c>
      <c r="AO138" s="9"/>
      <c r="AP138" s="9"/>
      <c r="AQ138" s="9"/>
      <c r="AR138" s="9"/>
      <c r="AS138" s="9"/>
      <c r="AT138" s="9">
        <f>+ab($T$138,$T$136,$T$140,$G$137,$G$139, 1*$F$138,1200)</f>
        <v>-11.42290834719517</v>
      </c>
      <c r="AU138" s="447"/>
      <c r="AV138" s="447"/>
      <c r="AW138" s="468" t="s">
        <v>199</v>
      </c>
      <c r="AX138" s="468" t="s">
        <v>199</v>
      </c>
      <c r="AY138" s="10"/>
      <c r="AZ138" s="10"/>
      <c r="BA138" s="553" t="str">
        <f t="shared" si="43"/>
        <v/>
      </c>
      <c r="BB138" s="553" t="str">
        <f t="shared" si="44"/>
        <v/>
      </c>
      <c r="BC138" s="553" t="str">
        <f t="shared" si="45"/>
        <v>ü</v>
      </c>
      <c r="BD138" s="572" t="str">
        <f>Pole_Calc!A$251</f>
        <v>App.8-V08H-P10.3</v>
      </c>
      <c r="BE138" s="448" t="s">
        <v>1726</v>
      </c>
      <c r="BF138" s="306"/>
      <c r="BG138" s="306"/>
      <c r="BH138" s="306"/>
      <c r="BI138" s="306"/>
    </row>
    <row r="139" spans="1:61" ht="16.2" customHeight="1">
      <c r="A139" s="579" t="s">
        <v>2452</v>
      </c>
      <c r="B139" s="469"/>
      <c r="C139" s="3"/>
      <c r="D139" s="88"/>
      <c r="E139" s="4"/>
      <c r="F139" s="4"/>
      <c r="G139" s="6">
        <v>46.3</v>
      </c>
      <c r="H139" s="468"/>
      <c r="I139" s="468"/>
      <c r="J139" s="3"/>
      <c r="K139" s="468"/>
      <c r="L139" s="468"/>
      <c r="M139" s="468" t="str">
        <f>IF(L139="","",
IF(AX139="PT",VLOOKUP(L139,Foundation_Calc!$V$4:$X$37,VLOOKUP(AX139,Foundation_Calc!$I$10:$J$13,2,FALSE),0),
IF(AX139="K",VLOOKUP(L139,Foundation_Calc!$V$41:$X$74,VLOOKUP(AX139,Foundation_Calc!$I$10:$J$13,2,FALSE),0),"")))</f>
        <v/>
      </c>
      <c r="N139" s="468"/>
      <c r="O139" s="468"/>
      <c r="P139" s="468"/>
      <c r="Q139" s="4"/>
      <c r="R139" s="6"/>
      <c r="S139" s="6"/>
      <c r="T139" s="4"/>
      <c r="U139" s="4"/>
      <c r="V139" s="4"/>
      <c r="W139" s="9"/>
      <c r="X139" s="9"/>
      <c r="Y139" s="9"/>
      <c r="Z139" s="9"/>
      <c r="AA139" s="9"/>
      <c r="AB139" s="9"/>
      <c r="AC139" s="468" t="str">
        <f t="shared" si="46"/>
        <v/>
      </c>
      <c r="AD139" s="468"/>
      <c r="AE139" s="468"/>
      <c r="AF139" s="4"/>
      <c r="AG139" s="88"/>
      <c r="AH139" s="4"/>
      <c r="AI139" s="4"/>
      <c r="AJ139" s="468"/>
      <c r="AK139" s="468"/>
      <c r="AL139" s="468"/>
      <c r="AM139" s="468"/>
      <c r="AN139" s="10"/>
      <c r="AO139" s="9"/>
      <c r="AP139" s="9"/>
      <c r="AQ139" s="9">
        <f>+FL_2($T$140,$T$138,$G$139,1200,9.28, 1*$F$140)</f>
        <v>-0.2554804719136069</v>
      </c>
      <c r="AR139" s="9"/>
      <c r="AS139" s="9"/>
      <c r="AT139" s="9"/>
      <c r="AU139" s="447"/>
      <c r="AV139" s="447"/>
      <c r="AW139" s="468"/>
      <c r="AX139" s="468"/>
      <c r="AY139" s="10"/>
      <c r="AZ139" s="10"/>
      <c r="BA139" s="553" t="str">
        <f t="shared" si="43"/>
        <v/>
      </c>
      <c r="BB139" s="553" t="str">
        <f t="shared" si="44"/>
        <v/>
      </c>
      <c r="BC139" s="553" t="str">
        <f t="shared" si="45"/>
        <v/>
      </c>
      <c r="BD139" s="572"/>
      <c r="BE139" s="448" t="s">
        <v>1726</v>
      </c>
      <c r="BF139" s="305"/>
      <c r="BG139" s="305"/>
      <c r="BH139" s="306"/>
      <c r="BI139" s="305"/>
    </row>
    <row r="140" spans="1:61" ht="16.2" customHeight="1">
      <c r="A140" s="579" t="s">
        <v>2452</v>
      </c>
      <c r="B140" s="469" t="s">
        <v>2347</v>
      </c>
      <c r="C140" s="3">
        <f t="shared" si="42"/>
        <v>341.16000000000139</v>
      </c>
      <c r="D140" s="88"/>
      <c r="E140" s="4"/>
      <c r="F140" s="4">
        <v>0</v>
      </c>
      <c r="G140" s="6"/>
      <c r="H140" s="468"/>
      <c r="I140" s="468"/>
      <c r="J140" s="3"/>
      <c r="K140" s="468"/>
      <c r="L140" s="468" t="s">
        <v>1192</v>
      </c>
      <c r="M140" s="468" t="s">
        <v>1625</v>
      </c>
      <c r="N140" s="468" t="s">
        <v>343</v>
      </c>
      <c r="O140" s="468"/>
      <c r="P140" s="468"/>
      <c r="Q140" s="4"/>
      <c r="R140" s="6"/>
      <c r="S140" s="6"/>
      <c r="T140" s="4">
        <v>20</v>
      </c>
      <c r="U140" s="4"/>
      <c r="V140" s="4"/>
      <c r="W140" s="9">
        <v>1.4</v>
      </c>
      <c r="X140" s="9"/>
      <c r="Y140" s="9"/>
      <c r="Z140" s="9"/>
      <c r="AA140" s="9"/>
      <c r="AB140" s="9"/>
      <c r="AC140" s="468" t="str">
        <f t="shared" si="46"/>
        <v>PH</v>
      </c>
      <c r="AD140" s="468"/>
      <c r="AE140" s="468"/>
      <c r="AF140" s="4"/>
      <c r="AG140" s="88"/>
      <c r="AH140" s="4"/>
      <c r="AI140" s="4"/>
      <c r="AJ140" s="468"/>
      <c r="AK140" s="468" t="s">
        <v>27</v>
      </c>
      <c r="AL140" s="468" t="s">
        <v>1115</v>
      </c>
      <c r="AM140" s="468" t="s">
        <v>1620</v>
      </c>
      <c r="AN140" s="10">
        <v>5.5</v>
      </c>
      <c r="AO140" s="9"/>
      <c r="AP140" s="9"/>
      <c r="AQ140" s="9"/>
      <c r="AR140" s="9"/>
      <c r="AS140" s="9"/>
      <c r="AT140" s="9">
        <f>+ab($T$140,$T$138,$T$142,$G$139,$G$141, 1*$F$140,1200)</f>
        <v>12.487776540681869</v>
      </c>
      <c r="AU140" s="447"/>
      <c r="AV140" s="447"/>
      <c r="AW140" s="468" t="s">
        <v>199</v>
      </c>
      <c r="AX140" s="468" t="s">
        <v>199</v>
      </c>
      <c r="AY140" s="10"/>
      <c r="AZ140" s="10"/>
      <c r="BA140" s="553" t="str">
        <f t="shared" si="43"/>
        <v/>
      </c>
      <c r="BB140" s="553" t="str">
        <f t="shared" si="44"/>
        <v/>
      </c>
      <c r="BC140" s="553" t="str">
        <f t="shared" si="45"/>
        <v>ü</v>
      </c>
      <c r="BD140" s="572" t="str">
        <f>Pole_Calc!A$251</f>
        <v>App.8-V08H-P10.3</v>
      </c>
      <c r="BE140" s="448" t="s">
        <v>1726</v>
      </c>
      <c r="BF140" s="306"/>
      <c r="BG140" s="306"/>
      <c r="BH140" s="306"/>
      <c r="BI140" s="306"/>
    </row>
    <row r="141" spans="1:61" ht="16.2" customHeight="1">
      <c r="A141" s="573" t="s">
        <v>2454</v>
      </c>
      <c r="B141" s="469"/>
      <c r="C141" s="3"/>
      <c r="D141" s="88"/>
      <c r="E141" s="4"/>
      <c r="F141" s="4"/>
      <c r="G141" s="6">
        <v>61.7</v>
      </c>
      <c r="H141" s="468"/>
      <c r="I141" s="468"/>
      <c r="J141" s="3"/>
      <c r="K141" s="468"/>
      <c r="L141" s="468"/>
      <c r="M141" s="468" t="str">
        <f>IF(L141="","",
IF(AX141="PT",VLOOKUP(L141,Foundation_Calc!$V$4:$X$37,VLOOKUP(AX141,Foundation_Calc!$I$10:$J$13,2,FALSE),0),
IF(AX141="K",VLOOKUP(L141,Foundation_Calc!$V$41:$X$74,VLOOKUP(AX141,Foundation_Calc!$I$10:$J$13,2,FALSE),0),"")))</f>
        <v/>
      </c>
      <c r="N141" s="468"/>
      <c r="O141" s="468"/>
      <c r="P141" s="468"/>
      <c r="Q141" s="4"/>
      <c r="R141" s="6"/>
      <c r="S141" s="6"/>
      <c r="T141" s="4"/>
      <c r="U141" s="4"/>
      <c r="V141" s="4"/>
      <c r="W141" s="9"/>
      <c r="X141" s="9"/>
      <c r="Y141" s="9"/>
      <c r="Z141" s="9"/>
      <c r="AA141" s="9"/>
      <c r="AB141" s="9"/>
      <c r="AC141" s="468" t="str">
        <f t="shared" si="46"/>
        <v/>
      </c>
      <c r="AD141" s="468"/>
      <c r="AE141" s="468"/>
      <c r="AF141" s="4"/>
      <c r="AG141" s="88"/>
      <c r="AH141" s="4"/>
      <c r="AI141" s="4"/>
      <c r="AJ141" s="468"/>
      <c r="AK141" s="468"/>
      <c r="AL141" s="468"/>
      <c r="AM141" s="468"/>
      <c r="AN141" s="10"/>
      <c r="AO141" s="9"/>
      <c r="AP141" s="9"/>
      <c r="AQ141" s="9">
        <f>+FL_1($T$142,$T$140,$G$141,1200,9.28, 1*$F$142)</f>
        <v>0.39517332259967586</v>
      </c>
      <c r="AR141" s="9"/>
      <c r="AS141" s="9"/>
      <c r="AT141" s="9"/>
      <c r="AU141" s="447"/>
      <c r="AV141" s="447"/>
      <c r="AW141" s="468"/>
      <c r="AX141" s="468"/>
      <c r="AY141" s="10"/>
      <c r="AZ141" s="10"/>
      <c r="BA141" s="553" t="str">
        <f t="shared" si="43"/>
        <v/>
      </c>
      <c r="BB141" s="553" t="str">
        <f t="shared" si="44"/>
        <v/>
      </c>
      <c r="BC141" s="553" t="str">
        <f t="shared" si="45"/>
        <v/>
      </c>
      <c r="BD141" s="572"/>
      <c r="BE141" s="448" t="s">
        <v>1726</v>
      </c>
      <c r="BF141" s="305"/>
      <c r="BG141" s="305"/>
      <c r="BH141" s="306"/>
      <c r="BI141" s="305"/>
    </row>
    <row r="142" spans="1:61" ht="16.2" customHeight="1">
      <c r="A142" s="573" t="s">
        <v>2448</v>
      </c>
      <c r="B142" s="469" t="s">
        <v>2348</v>
      </c>
      <c r="C142" s="3">
        <f t="shared" si="42"/>
        <v>279.4600000000014</v>
      </c>
      <c r="D142" s="88"/>
      <c r="E142" s="4"/>
      <c r="F142" s="4">
        <v>0</v>
      </c>
      <c r="G142" s="6"/>
      <c r="H142" s="468"/>
      <c r="I142" s="468"/>
      <c r="J142" s="3"/>
      <c r="K142" s="468"/>
      <c r="L142" s="468" t="s">
        <v>1192</v>
      </c>
      <c r="M142" s="468" t="s">
        <v>1625</v>
      </c>
      <c r="N142" s="468" t="s">
        <v>342</v>
      </c>
      <c r="O142" s="468"/>
      <c r="P142" s="468"/>
      <c r="Q142" s="4"/>
      <c r="R142" s="6"/>
      <c r="S142" s="6"/>
      <c r="T142" s="4">
        <v>-20</v>
      </c>
      <c r="U142" s="4"/>
      <c r="V142" s="4"/>
      <c r="W142" s="9">
        <v>1.4</v>
      </c>
      <c r="X142" s="9"/>
      <c r="Y142" s="9"/>
      <c r="Z142" s="9"/>
      <c r="AA142" s="9"/>
      <c r="AB142" s="9"/>
      <c r="AC142" s="468" t="str">
        <f t="shared" si="46"/>
        <v>PH</v>
      </c>
      <c r="AD142" s="468"/>
      <c r="AE142" s="468"/>
      <c r="AF142" s="4"/>
      <c r="AG142" s="88"/>
      <c r="AH142" s="4"/>
      <c r="AI142" s="4"/>
      <c r="AJ142" s="468"/>
      <c r="AK142" s="468" t="s">
        <v>27</v>
      </c>
      <c r="AL142" s="468" t="s">
        <v>1115</v>
      </c>
      <c r="AM142" s="468" t="s">
        <v>1620</v>
      </c>
      <c r="AN142" s="10">
        <v>5.5</v>
      </c>
      <c r="AO142" s="9"/>
      <c r="AP142" s="9"/>
      <c r="AQ142" s="9"/>
      <c r="AR142" s="9"/>
      <c r="AS142" s="9"/>
      <c r="AT142" s="9">
        <f>+ab($T$142,$T$140,$T$144,$G$141,$G$143, 1*$F$142,1200)</f>
        <v>-11.726115351650355</v>
      </c>
      <c r="AU142" s="447"/>
      <c r="AV142" s="447"/>
      <c r="AW142" s="468" t="s">
        <v>199</v>
      </c>
      <c r="AX142" s="468" t="s">
        <v>199</v>
      </c>
      <c r="AY142" s="10"/>
      <c r="AZ142" s="10"/>
      <c r="BA142" s="553" t="str">
        <f t="shared" si="43"/>
        <v/>
      </c>
      <c r="BB142" s="553" t="str">
        <f t="shared" si="44"/>
        <v/>
      </c>
      <c r="BC142" s="553" t="str">
        <f t="shared" si="45"/>
        <v>ü</v>
      </c>
      <c r="BD142" s="572" t="str">
        <f>Pole_Calc!A$251</f>
        <v>App.8-V08H-P10.3</v>
      </c>
      <c r="BE142" s="448" t="s">
        <v>1726</v>
      </c>
      <c r="BF142" s="306"/>
      <c r="BG142" s="306"/>
      <c r="BH142" s="306"/>
      <c r="BI142" s="306"/>
    </row>
    <row r="143" spans="1:61" ht="16.2" customHeight="1">
      <c r="A143" s="573" t="s">
        <v>2455</v>
      </c>
      <c r="B143" s="469"/>
      <c r="C143" s="3"/>
      <c r="D143" s="88"/>
      <c r="E143" s="4"/>
      <c r="F143" s="4"/>
      <c r="G143" s="6">
        <v>51.8</v>
      </c>
      <c r="H143" s="468"/>
      <c r="I143" s="468"/>
      <c r="J143" s="3"/>
      <c r="K143" s="468"/>
      <c r="L143" s="468"/>
      <c r="M143" s="468" t="str">
        <f>IF(L143="","",
IF(AX143="PT",VLOOKUP(L143,Foundation_Calc!$V$4:$X$37,VLOOKUP(AX143,Foundation_Calc!$I$10:$J$13,2,FALSE),0),
IF(AX143="K",VLOOKUP(L143,Foundation_Calc!$V$41:$X$74,VLOOKUP(AX143,Foundation_Calc!$I$10:$J$13,2,FALSE),0),"")))</f>
        <v/>
      </c>
      <c r="N143" s="468"/>
      <c r="O143" s="468"/>
      <c r="P143" s="468"/>
      <c r="Q143" s="4"/>
      <c r="R143" s="6"/>
      <c r="S143" s="6"/>
      <c r="T143" s="4"/>
      <c r="U143" s="4"/>
      <c r="V143" s="4"/>
      <c r="W143" s="9"/>
      <c r="X143" s="9"/>
      <c r="Y143" s="9"/>
      <c r="Z143" s="9"/>
      <c r="AA143" s="9"/>
      <c r="AB143" s="9"/>
      <c r="AC143" s="468" t="str">
        <f t="shared" si="46"/>
        <v/>
      </c>
      <c r="AD143" s="468"/>
      <c r="AE143" s="468"/>
      <c r="AF143" s="4"/>
      <c r="AG143" s="88"/>
      <c r="AH143" s="4"/>
      <c r="AI143" s="4"/>
      <c r="AJ143" s="468"/>
      <c r="AK143" s="468"/>
      <c r="AL143" s="468"/>
      <c r="AM143" s="468"/>
      <c r="AN143" s="10"/>
      <c r="AO143" s="9"/>
      <c r="AP143" s="9"/>
      <c r="AQ143" s="9">
        <f>+FL_1($T$144,$T$142,$G$143,1200,9.28, 1*$F$144)</f>
        <v>0.36961969912998704</v>
      </c>
      <c r="AR143" s="9"/>
      <c r="AS143" s="9"/>
      <c r="AT143" s="9"/>
      <c r="AU143" s="447"/>
      <c r="AV143" s="447"/>
      <c r="AW143" s="468"/>
      <c r="AX143" s="468"/>
      <c r="AY143" s="10"/>
      <c r="AZ143" s="10"/>
      <c r="BA143" s="553" t="str">
        <f t="shared" si="43"/>
        <v/>
      </c>
      <c r="BB143" s="553" t="str">
        <f t="shared" si="44"/>
        <v/>
      </c>
      <c r="BC143" s="553" t="str">
        <f t="shared" si="45"/>
        <v/>
      </c>
      <c r="BD143" s="572" t="str">
        <f>IF(AND(L143="",H143=""),"",
IF(H143="",Pole_Calc!A$9,
IF(H143="MP",Pole_Calc!A$10,
IF(H143="AnMP",Pole_Calc!A$11,
IF(H143="A",Pole_Calc!A$12,
IF(H143="S/A",Pole_Calc!A$13,
IF(H143="A/S",Pole_Calc!A$14,"Poner a mano")))))))</f>
        <v/>
      </c>
      <c r="BE143" s="448" t="s">
        <v>1726</v>
      </c>
      <c r="BF143" s="305"/>
      <c r="BG143" s="305"/>
      <c r="BH143" s="306"/>
      <c r="BI143" s="305"/>
    </row>
    <row r="144" spans="1:61" ht="16.2" customHeight="1">
      <c r="A144" s="573"/>
      <c r="B144" s="638" t="s">
        <v>2349</v>
      </c>
      <c r="C144" s="3">
        <f t="shared" si="42"/>
        <v>227.66000000000139</v>
      </c>
      <c r="D144" s="88"/>
      <c r="E144" s="4"/>
      <c r="F144" s="4">
        <v>0</v>
      </c>
      <c r="G144" s="6"/>
      <c r="H144" s="468"/>
      <c r="I144" s="468"/>
      <c r="J144" s="3"/>
      <c r="K144" s="468"/>
      <c r="L144" s="468" t="s">
        <v>38</v>
      </c>
      <c r="M144" s="468" t="s">
        <v>1625</v>
      </c>
      <c r="N144" s="468" t="s">
        <v>33</v>
      </c>
      <c r="O144" s="468"/>
      <c r="P144" s="468"/>
      <c r="Q144" s="4"/>
      <c r="R144" s="6"/>
      <c r="S144" s="6"/>
      <c r="T144" s="4">
        <v>30</v>
      </c>
      <c r="U144" s="4"/>
      <c r="V144" s="4"/>
      <c r="W144" s="9">
        <v>1.4</v>
      </c>
      <c r="X144" s="9"/>
      <c r="Y144" s="9"/>
      <c r="Z144" s="9"/>
      <c r="AA144" s="9"/>
      <c r="AB144" s="9"/>
      <c r="AC144" s="468" t="str">
        <f t="shared" si="46"/>
        <v>PHQ</v>
      </c>
      <c r="AD144" s="468"/>
      <c r="AE144" s="468"/>
      <c r="AF144" s="4"/>
      <c r="AG144" s="88"/>
      <c r="AH144" s="4"/>
      <c r="AI144" s="4"/>
      <c r="AJ144" s="468"/>
      <c r="AK144" s="468"/>
      <c r="AL144" s="468"/>
      <c r="AM144" s="468" t="s">
        <v>486</v>
      </c>
      <c r="AN144" s="10">
        <v>5.5</v>
      </c>
      <c r="AO144" s="9"/>
      <c r="AP144" s="9"/>
      <c r="AQ144" s="9"/>
      <c r="AR144" s="9"/>
      <c r="AS144" s="9"/>
      <c r="AT144" s="9">
        <f>+ab($T$144,$T$142,$T$146,$G$143,$G$145, 1*$F$144,1200)</f>
        <v>7.3768934840025686</v>
      </c>
      <c r="AU144" s="447"/>
      <c r="AV144" s="447"/>
      <c r="AW144" s="468" t="s">
        <v>199</v>
      </c>
      <c r="AX144" s="468" t="s">
        <v>199</v>
      </c>
      <c r="AY144" s="10"/>
      <c r="AZ144" s="10"/>
      <c r="BA144" s="553" t="str">
        <f t="shared" si="43"/>
        <v/>
      </c>
      <c r="BB144" s="553" t="str">
        <f t="shared" si="44"/>
        <v/>
      </c>
      <c r="BC144" s="553" t="str">
        <f t="shared" si="45"/>
        <v>ü</v>
      </c>
      <c r="BD144" s="572" t="str">
        <f>IF(AND(L144="",H144=""),"",
IF(H144="",Pole_Calc!A$9,
IF(H144="MP",Pole_Calc!A$10,
IF(H144="AnMP",Pole_Calc!A$11,
IF(H144="A",Pole_Calc!A$12,
IF(H144="S/A",Pole_Calc!A$13,
IF(H144="A/S",Pole_Calc!A$14,"Poner a mano")))))))</f>
        <v>App.7-V11H-P9.5.1.1</v>
      </c>
      <c r="BE144" s="448" t="s">
        <v>1726</v>
      </c>
      <c r="BF144" s="306"/>
      <c r="BG144" s="306"/>
      <c r="BH144" s="306"/>
      <c r="BI144" s="306"/>
    </row>
    <row r="145" spans="1:61" ht="16.2" customHeight="1">
      <c r="A145" s="573"/>
      <c r="B145" s="469"/>
      <c r="C145" s="3"/>
      <c r="D145" s="88"/>
      <c r="E145" s="4"/>
      <c r="F145" s="4"/>
      <c r="G145" s="6">
        <v>37</v>
      </c>
      <c r="H145" s="468"/>
      <c r="I145" s="468"/>
      <c r="J145" s="3"/>
      <c r="K145" s="468"/>
      <c r="L145" s="468"/>
      <c r="M145" s="468" t="str">
        <f>IF(L145="","",
IF(AX145="PT",VLOOKUP(L145,Foundation_Calc!$V$4:$X$37,VLOOKUP(AX145,Foundation_Calc!$I$10:$J$13,2,FALSE),0),
IF(AX145="K",VLOOKUP(L145,Foundation_Calc!$V$41:$X$74,VLOOKUP(AX145,Foundation_Calc!$I$10:$J$13,2,FALSE),0),"")))</f>
        <v/>
      </c>
      <c r="N145" s="468"/>
      <c r="O145" s="468"/>
      <c r="P145" s="468"/>
      <c r="Q145" s="4"/>
      <c r="R145" s="6"/>
      <c r="S145" s="6"/>
      <c r="T145" s="4"/>
      <c r="U145" s="4"/>
      <c r="V145" s="4"/>
      <c r="W145" s="9"/>
      <c r="X145" s="9"/>
      <c r="Y145" s="9"/>
      <c r="Z145" s="9"/>
      <c r="AA145" s="9"/>
      <c r="AB145" s="9"/>
      <c r="AC145" s="468" t="str">
        <f t="shared" si="46"/>
        <v/>
      </c>
      <c r="AD145" s="468"/>
      <c r="AE145" s="468"/>
      <c r="AF145" s="4"/>
      <c r="AG145" s="88"/>
      <c r="AH145" s="4"/>
      <c r="AI145" s="4"/>
      <c r="AJ145" s="468"/>
      <c r="AK145" s="468"/>
      <c r="AL145" s="468"/>
      <c r="AM145" s="468"/>
      <c r="AN145" s="10"/>
      <c r="AO145" s="9"/>
      <c r="AP145" s="9"/>
      <c r="AQ145" s="9">
        <f>+FL_1($T$146,$T$144,$G$145,1200,9.28, 1*$F$146)</f>
        <v>0.6005144022712211</v>
      </c>
      <c r="AR145" s="9"/>
      <c r="AS145" s="9"/>
      <c r="AT145" s="9"/>
      <c r="AU145" s="447"/>
      <c r="AV145" s="447"/>
      <c r="AW145" s="468"/>
      <c r="AX145" s="468"/>
      <c r="AY145" s="10"/>
      <c r="AZ145" s="10"/>
      <c r="BA145" s="553" t="str">
        <f t="shared" si="43"/>
        <v/>
      </c>
      <c r="BB145" s="553" t="str">
        <f t="shared" si="44"/>
        <v/>
      </c>
      <c r="BC145" s="553" t="str">
        <f t="shared" si="45"/>
        <v/>
      </c>
      <c r="BD145" s="572" t="str">
        <f>IF(AND(L145="",H145=""),"",
IF(H145="",Pole_Calc!A$9,
IF(H145="MP",Pole_Calc!A$10,
IF(H145="AnMP",Pole_Calc!A$11,
IF(H145="A",Pole_Calc!A$12,
IF(H145="S/A",Pole_Calc!A$13,
IF(H145="A/S",Pole_Calc!A$14,"Poner a mano")))))))</f>
        <v/>
      </c>
      <c r="BE145" s="448" t="s">
        <v>1726</v>
      </c>
      <c r="BF145" s="305"/>
      <c r="BG145" s="305"/>
      <c r="BH145" s="306"/>
      <c r="BI145" s="305"/>
    </row>
    <row r="146" spans="1:61" ht="16.2" customHeight="1">
      <c r="A146" s="573"/>
      <c r="B146" s="638" t="s">
        <v>2350</v>
      </c>
      <c r="C146" s="3">
        <f t="shared" si="42"/>
        <v>190.66000000000139</v>
      </c>
      <c r="D146" s="88"/>
      <c r="E146" s="4"/>
      <c r="F146" s="4">
        <v>-400</v>
      </c>
      <c r="G146" s="6"/>
      <c r="H146" s="468"/>
      <c r="I146" s="468"/>
      <c r="J146" s="3"/>
      <c r="K146" s="468"/>
      <c r="L146" s="468" t="s">
        <v>1289</v>
      </c>
      <c r="M146" s="468" t="s">
        <v>1625</v>
      </c>
      <c r="N146" s="468" t="s">
        <v>32</v>
      </c>
      <c r="O146" s="468"/>
      <c r="P146" s="468"/>
      <c r="Q146" s="4"/>
      <c r="R146" s="6"/>
      <c r="S146" s="6"/>
      <c r="T146" s="4">
        <v>-30</v>
      </c>
      <c r="U146" s="4"/>
      <c r="V146" s="4"/>
      <c r="W146" s="9">
        <v>1.4</v>
      </c>
      <c r="X146" s="9"/>
      <c r="Y146" s="9"/>
      <c r="Z146" s="9"/>
      <c r="AA146" s="9"/>
      <c r="AB146" s="9"/>
      <c r="AC146" s="468" t="str">
        <f t="shared" si="46"/>
        <v>PHC</v>
      </c>
      <c r="AD146" s="468"/>
      <c r="AE146" s="468"/>
      <c r="AF146" s="4"/>
      <c r="AG146" s="88"/>
      <c r="AH146" s="4"/>
      <c r="AI146" s="4"/>
      <c r="AJ146" s="468"/>
      <c r="AK146" s="468"/>
      <c r="AL146" s="468" t="s">
        <v>1117</v>
      </c>
      <c r="AM146" s="468" t="s">
        <v>486</v>
      </c>
      <c r="AN146" s="10">
        <v>5.5</v>
      </c>
      <c r="AO146" s="9"/>
      <c r="AP146" s="9"/>
      <c r="AQ146" s="9"/>
      <c r="AR146" s="9"/>
      <c r="AS146" s="9"/>
      <c r="AT146" s="9">
        <f>+ab($T$146,$T$144,$T$148,$G$145,$G$147, 1*$F$146,1200)</f>
        <v>-1.8874132540575319</v>
      </c>
      <c r="AU146" s="447"/>
      <c r="AV146" s="447"/>
      <c r="AW146" s="468" t="s">
        <v>199</v>
      </c>
      <c r="AX146" s="468" t="s">
        <v>199</v>
      </c>
      <c r="AY146" s="10"/>
      <c r="AZ146" s="10"/>
      <c r="BA146" s="553" t="str">
        <f t="shared" si="43"/>
        <v/>
      </c>
      <c r="BB146" s="553" t="str">
        <f t="shared" si="44"/>
        <v/>
      </c>
      <c r="BC146" s="553" t="str">
        <f t="shared" si="45"/>
        <v>ü</v>
      </c>
      <c r="BD146" s="572" t="str">
        <f>Pole_Calc!A$251</f>
        <v>App.8-V08H-P10.3</v>
      </c>
      <c r="BE146" s="448" t="s">
        <v>1726</v>
      </c>
      <c r="BF146" s="306"/>
      <c r="BG146" s="306"/>
      <c r="BH146" s="306"/>
      <c r="BI146" s="306"/>
    </row>
    <row r="147" spans="1:61" ht="16.2" customHeight="1">
      <c r="A147" s="573"/>
      <c r="B147" s="469"/>
      <c r="C147" s="3"/>
      <c r="D147" s="88"/>
      <c r="E147" s="4"/>
      <c r="F147" s="4"/>
      <c r="G147" s="6">
        <v>30</v>
      </c>
      <c r="H147" s="468"/>
      <c r="I147" s="468"/>
      <c r="J147" s="3">
        <f>C148+7.5</f>
        <v>168.16000000000139</v>
      </c>
      <c r="K147" s="468" t="s">
        <v>1095</v>
      </c>
      <c r="L147" s="468"/>
      <c r="M147" s="468" t="str">
        <f>IF(L147="","",
IF(AX147="PT",VLOOKUP(L147,Foundation_Calc!$V$4:$X$37,VLOOKUP(AX147,Foundation_Calc!$I$10:$J$13,2,FALSE),0),
IF(AX147="K",VLOOKUP(L147,Foundation_Calc!$V$41:$X$74,VLOOKUP(AX147,Foundation_Calc!$I$10:$J$13,2,FALSE),0),"")))</f>
        <v/>
      </c>
      <c r="N147" s="468"/>
      <c r="O147" s="468"/>
      <c r="P147" s="468"/>
      <c r="Q147" s="4"/>
      <c r="R147" s="6"/>
      <c r="S147" s="6"/>
      <c r="T147" s="4"/>
      <c r="U147" s="4"/>
      <c r="V147" s="4"/>
      <c r="W147" s="9"/>
      <c r="X147" s="9"/>
      <c r="Y147" s="9"/>
      <c r="Z147" s="9"/>
      <c r="AA147" s="9"/>
      <c r="AB147" s="9"/>
      <c r="AC147" s="468" t="str">
        <f t="shared" si="46"/>
        <v/>
      </c>
      <c r="AD147" s="468"/>
      <c r="AE147" s="468"/>
      <c r="AF147" s="4"/>
      <c r="AG147" s="88"/>
      <c r="AH147" s="4"/>
      <c r="AI147" s="4"/>
      <c r="AJ147" s="468"/>
      <c r="AK147" s="468"/>
      <c r="AL147" s="468"/>
      <c r="AM147" s="468"/>
      <c r="AN147" s="10"/>
      <c r="AO147" s="9"/>
      <c r="AP147" s="9"/>
      <c r="AQ147" s="9">
        <f>+FL_2($T$148,$T$146,$G$147,1200,9.28, 1*$F$148)</f>
        <v>-0.29999999999998123</v>
      </c>
      <c r="AR147" s="9"/>
      <c r="AS147" s="9"/>
      <c r="AT147" s="9"/>
      <c r="AU147" s="447"/>
      <c r="AV147" s="447"/>
      <c r="AW147" s="468" t="str">
        <f>IF(C147&gt;0,VLOOKUP(C147,Foundation_Calc!$A$2:$C$986,3,1),
IF(J147&gt;0,VLOOKUP(J147,Foundation_Calc!$A$2:$C$986,3,1),""))</f>
        <v>MultiSoil</v>
      </c>
      <c r="AX147" s="468" t="str">
        <f>IF(C147&gt;0,VLOOKUP(C147,Foundation_Calc!$E$2:$G$986,3,1),
IF(J147&gt;0,VLOOKUP(J147,Foundation_Calc!$E$2:$G$986,3,1),""))</f>
        <v>PT</v>
      </c>
      <c r="AY147" s="10" t="str">
        <f>IF(L147="","",
IF(AX147="PT",VLOOKUP(L147,Foundation_Calc!$K$79:$R$112,VLOOKUP(AW147,Foundation_Calc!$I$2:$J$8,2,FALSE),0),
IF(AX147="K",VLOOKUP(L147,Foundation_Calc!$K$116:$R$149,VLOOKUP(AW147,Foundation_Calc!$I$2:$J$8,2,FALSE),0),"")))</f>
        <v/>
      </c>
      <c r="AZ147" s="10">
        <f>IF(K147="","",
IF(AX147="PT",VLOOKUP(K147,Foundation_Calc!$K$79:$R$112,VLOOKUP(AW147,Foundation_Calc!$I$2:$J$8,2,FALSE),0),
IF(AX147="K",VLOOKUP(K147,Foundation_Calc!$K$116:$R$149,VLOOKUP(AW147,Foundation_Calc!$I$2:$J$8,2,FALSE),0),"")))</f>
        <v>3.9</v>
      </c>
      <c r="BA147" s="553" t="str">
        <f t="shared" ref="BA147:BA197" si="47">IF(AY147="","",IF(AY147&gt;0,"ü",""))</f>
        <v/>
      </c>
      <c r="BB147" s="553" t="str">
        <f t="shared" ref="BB147:BB197" si="48">IF(AZ147="","",IF(AZ147&gt;0,"ü",""))</f>
        <v>ü</v>
      </c>
      <c r="BC147" s="553" t="str">
        <f t="shared" ref="BC147:BC197" si="49">IF(M147="","",IF(M147="Unique Solution","ü",""))</f>
        <v/>
      </c>
      <c r="BD147" s="572" t="str">
        <f>IF(AND(L147="",H147=""),"",
IF(H147="",Pole_Calc!A$9,
IF(H147="MP",Pole_Calc!A$10,
IF(H147="AnMP",Pole_Calc!A$11,
IF(H147="A",Pole_Calc!A$12,
IF(H147="S/A",Pole_Calc!A$13,
IF(H147="A/S",Pole_Calc!A$14,"Poner a mano")))))))</f>
        <v/>
      </c>
      <c r="BE147" s="448" t="s">
        <v>1726</v>
      </c>
      <c r="BF147" s="305"/>
      <c r="BG147" s="305"/>
      <c r="BH147" s="306"/>
      <c r="BI147" s="305"/>
    </row>
    <row r="148" spans="1:61" ht="16.2" customHeight="1">
      <c r="A148" s="573"/>
      <c r="B148" s="469" t="s">
        <v>2351</v>
      </c>
      <c r="C148" s="3">
        <f t="shared" si="42"/>
        <v>160.66000000000139</v>
      </c>
      <c r="D148" s="88"/>
      <c r="E148" s="4"/>
      <c r="F148" s="4">
        <f>-(89^2)/(C148-151.65)</f>
        <v>-879.13429522739</v>
      </c>
      <c r="G148" s="6"/>
      <c r="H148" s="468" t="s">
        <v>388</v>
      </c>
      <c r="I148" s="468" t="s">
        <v>183</v>
      </c>
      <c r="J148" s="3"/>
      <c r="K148" s="468"/>
      <c r="L148" s="468" t="s">
        <v>323</v>
      </c>
      <c r="M148" s="468" t="str">
        <f>IF(L148="","",
IF(AX148="PT",VLOOKUP(L148,Foundation_Calc!$V$79:$X$112,VLOOKUP(AX148,Foundation_Calc!$I$10:$J$13,2,FALSE),0),
IF(AX148="K",VLOOKUP(L148,Foundation_Calc!$V$116:$X$149,VLOOKUP(AX148,Foundation_Calc!$I$10:$J$13,2,FALSE),0),"")))</f>
        <v>C5R</v>
      </c>
      <c r="N148" s="468" t="s">
        <v>32</v>
      </c>
      <c r="O148" s="468"/>
      <c r="P148" s="468"/>
      <c r="Q148" s="4"/>
      <c r="R148" s="6"/>
      <c r="S148" s="6"/>
      <c r="T148" s="4">
        <v>-25</v>
      </c>
      <c r="U148" s="4"/>
      <c r="V148" s="4"/>
      <c r="W148" s="9">
        <v>1.4</v>
      </c>
      <c r="X148" s="9"/>
      <c r="Y148" s="9"/>
      <c r="Z148" s="9"/>
      <c r="AA148" s="9"/>
      <c r="AB148" s="9"/>
      <c r="AC148" s="468" t="str">
        <f t="shared" si="46"/>
        <v>PHQ</v>
      </c>
      <c r="AD148" s="468"/>
      <c r="AE148" s="468"/>
      <c r="AF148" s="4"/>
      <c r="AG148" s="88"/>
      <c r="AH148" s="4"/>
      <c r="AI148" s="4"/>
      <c r="AJ148" s="468"/>
      <c r="AK148" s="468"/>
      <c r="AL148" s="468" t="s">
        <v>1111</v>
      </c>
      <c r="AM148" s="468" t="s">
        <v>486</v>
      </c>
      <c r="AN148" s="10">
        <v>5.5</v>
      </c>
      <c r="AO148" s="9"/>
      <c r="AP148" s="9"/>
      <c r="AQ148" s="9"/>
      <c r="AR148" s="9"/>
      <c r="AS148" s="9"/>
      <c r="AT148" s="9">
        <f>+ab($T$148,$T$146,$U$150,$G$147,$G$149, 1*$F$148,1200)</f>
        <v>-5.332310327481804</v>
      </c>
      <c r="AU148" s="447"/>
      <c r="AV148" s="447"/>
      <c r="AW148" s="468" t="str">
        <f>IF(C148&gt;0,VLOOKUP(C148,Foundation_Calc!$A$2:$C$986,3,1),
IF(J148&gt;0,VLOOKUP(J148,Foundation_Calc!$A$2:$C$986,3,1),""))</f>
        <v>MultiSoil</v>
      </c>
      <c r="AX148" s="468" t="str">
        <f>IF(C148&gt;0,VLOOKUP(C148,Foundation_Calc!$E$2:$G$986,3,1),
IF(J148&gt;0,VLOOKUP(J148,Foundation_Calc!$E$2:$G$986,3,1),""))</f>
        <v>PT</v>
      </c>
      <c r="AY148" s="10">
        <f>IF(L148="","",
IF(AX148="PT",VLOOKUP(L148,Foundation_Calc!$K$79:$R$112,VLOOKUP(AW148,Foundation_Calc!$I$2:$J$8,2,FALSE),0),
IF(AX148="K",VLOOKUP(L148,Foundation_Calc!$K$116:$R$149,VLOOKUP(AW148,Foundation_Calc!$I$2:$J$8,2,FALSE),0),"")))</f>
        <v>3.5</v>
      </c>
      <c r="AZ148" s="10" t="str">
        <f>IF(K148="","",
IF(AX148="PT",VLOOKUP(K148,Foundation_Calc!$K$79:$R$112,VLOOKUP(AW148,Foundation_Calc!$I$2:$J$8,2,FALSE),0),
IF(AX148="K",VLOOKUP(K148,Foundation_Calc!$K$116:$R$149,VLOOKUP(AW148,Foundation_Calc!$I$2:$J$8,2,FALSE),0),"")))</f>
        <v/>
      </c>
      <c r="BA148" s="553" t="str">
        <f t="shared" si="47"/>
        <v>ü</v>
      </c>
      <c r="BB148" s="553" t="str">
        <f t="shared" si="48"/>
        <v/>
      </c>
      <c r="BC148" s="553" t="str">
        <f t="shared" si="49"/>
        <v/>
      </c>
      <c r="BD148" s="572" t="str">
        <f>Pole_Calc!A$251</f>
        <v>App.8-V08H-P10.3</v>
      </c>
      <c r="BE148" s="448" t="s">
        <v>1726</v>
      </c>
      <c r="BF148" s="306"/>
      <c r="BG148" s="306"/>
      <c r="BH148" s="306"/>
      <c r="BI148" s="306"/>
    </row>
    <row r="149" spans="1:61" ht="16.2" customHeight="1">
      <c r="A149" s="573"/>
      <c r="B149" s="469"/>
      <c r="C149" s="3"/>
      <c r="D149" s="88"/>
      <c r="E149" s="4"/>
      <c r="F149" s="4"/>
      <c r="G149" s="6">
        <v>30.2</v>
      </c>
      <c r="H149" s="468"/>
      <c r="I149" s="468">
        <v>241</v>
      </c>
      <c r="J149" s="3"/>
      <c r="K149" s="468"/>
      <c r="L149" s="468"/>
      <c r="M149" s="468" t="str">
        <f>IF(L149="","",
IF(AX149="PT",VLOOKUP(L149,Foundation_Calc!$V$79:$X$112,VLOOKUP(AX149,Foundation_Calc!$I$10:$J$13,2,FALSE),0),
IF(AX149="K",VLOOKUP(L149,Foundation_Calc!$V$116:$X$149,VLOOKUP(AX149,Foundation_Calc!$I$10:$J$13,2,FALSE),0),"")))</f>
        <v/>
      </c>
      <c r="N149" s="468"/>
      <c r="O149" s="468"/>
      <c r="P149" s="468"/>
      <c r="Q149" s="4"/>
      <c r="R149" s="6"/>
      <c r="S149" s="6"/>
      <c r="T149" s="4"/>
      <c r="U149" s="4"/>
      <c r="V149" s="4"/>
      <c r="W149" s="9"/>
      <c r="X149" s="9"/>
      <c r="Y149" s="9"/>
      <c r="Z149" s="9"/>
      <c r="AA149" s="9"/>
      <c r="AB149" s="9"/>
      <c r="AC149" s="468" t="str">
        <f t="shared" si="46"/>
        <v/>
      </c>
      <c r="AD149" s="468"/>
      <c r="AE149" s="468"/>
      <c r="AF149" s="4"/>
      <c r="AG149" s="88"/>
      <c r="AH149" s="4"/>
      <c r="AI149" s="4"/>
      <c r="AJ149" s="468"/>
      <c r="AK149" s="468"/>
      <c r="AL149" s="468"/>
      <c r="AM149" s="468"/>
      <c r="AN149" s="10"/>
      <c r="AO149" s="9"/>
      <c r="AP149" s="9"/>
      <c r="AQ149" s="9">
        <f>+FL_2($U$150,$T$148,$G$149,1200,9.28, 1*$F$150)</f>
        <v>-0.29525293743046355</v>
      </c>
      <c r="AR149" s="9"/>
      <c r="AS149" s="9"/>
      <c r="AT149" s="9"/>
      <c r="AU149" s="447"/>
      <c r="AV149" s="447"/>
      <c r="AW149" s="468" t="str">
        <f>IF(C149&gt;0,VLOOKUP(C149,Foundation_Calc!$A$2:$C$986,3,1),
IF(J149&gt;0,VLOOKUP(J149,Foundation_Calc!$A$2:$C$986,3,1),""))</f>
        <v/>
      </c>
      <c r="AX149" s="468" t="str">
        <f>IF(C149&gt;0,VLOOKUP(C149,Foundation_Calc!$E$2:$G$986,3,1),
IF(J149&gt;0,VLOOKUP(J149,Foundation_Calc!$E$2:$G$986,3,1),""))</f>
        <v/>
      </c>
      <c r="AY149" s="10" t="str">
        <f>IF(L149="","",
IF(AX149="PT",VLOOKUP(L149,Foundation_Calc!$K$79:$R$112,VLOOKUP(AW149,Foundation_Calc!$I$2:$J$8,2,FALSE),0),
IF(AX149="K",VLOOKUP(L149,Foundation_Calc!$K$116:$R$149,VLOOKUP(AW149,Foundation_Calc!$I$2:$J$8,2,FALSE),0),"")))</f>
        <v/>
      </c>
      <c r="AZ149" s="10" t="str">
        <f>IF(K149="","",
IF(AX149="PT",VLOOKUP(K149,Foundation_Calc!$K$79:$R$112,VLOOKUP(AW149,Foundation_Calc!$I$2:$J$8,2,FALSE),0),
IF(AX149="K",VLOOKUP(K149,Foundation_Calc!$K$116:$R$149,VLOOKUP(AW149,Foundation_Calc!$I$2:$J$8,2,FALSE),0),"")))</f>
        <v/>
      </c>
      <c r="BA149" s="553" t="str">
        <f t="shared" si="47"/>
        <v/>
      </c>
      <c r="BB149" s="553" t="str">
        <f t="shared" si="48"/>
        <v/>
      </c>
      <c r="BC149" s="553" t="str">
        <f t="shared" si="49"/>
        <v/>
      </c>
      <c r="BD149" s="572" t="str">
        <f>IF(AND(L149="",H149=""),"",
IF(H149="",Pole_Calc!A$9,
IF(H149="MP",Pole_Calc!A$10,
IF(H149="AnMP",Pole_Calc!A$11,
IF(H149="A",Pole_Calc!A$12,
IF(H149="S/A",Pole_Calc!A$13,
IF(H149="A/S",Pole_Calc!A$14,"Poner a mano")))))))</f>
        <v/>
      </c>
      <c r="BE149" s="448" t="s">
        <v>1726</v>
      </c>
      <c r="BF149" s="305"/>
      <c r="BG149" s="305"/>
      <c r="BH149" s="306"/>
      <c r="BI149" s="305"/>
    </row>
    <row r="150" spans="1:61" ht="16.2" customHeight="1">
      <c r="A150" s="573"/>
      <c r="B150" s="469" t="s">
        <v>2352</v>
      </c>
      <c r="C150" s="3">
        <f t="shared" si="42"/>
        <v>130.4600000000014</v>
      </c>
      <c r="D150" s="88"/>
      <c r="E150" s="4"/>
      <c r="F150" s="4">
        <v>0</v>
      </c>
      <c r="G150" s="6"/>
      <c r="H150" s="468" t="s">
        <v>179</v>
      </c>
      <c r="I150" s="468"/>
      <c r="J150" s="3"/>
      <c r="K150" s="468"/>
      <c r="L150" s="468" t="s">
        <v>1289</v>
      </c>
      <c r="M150" s="468" t="str">
        <f>IF(L150="","",
IF(AX150="PT",VLOOKUP(L150,Foundation_Calc!$V$4:$X$37,VLOOKUP(AX150,Foundation_Calc!$I$10:$J$13,2,FALSE),0),
IF(AX150="K",VLOOKUP(L150,Foundation_Calc!$V$41:$X$74,VLOOKUP(AX150,Foundation_Calc!$I$10:$J$13,2,FALSE),0),"")))</f>
        <v>C11SR</v>
      </c>
      <c r="N150" s="669" t="s">
        <v>28</v>
      </c>
      <c r="O150" s="468" t="s">
        <v>32</v>
      </c>
      <c r="P150" s="468"/>
      <c r="Q150" s="4"/>
      <c r="R150" s="6"/>
      <c r="S150" s="6"/>
      <c r="T150" s="4">
        <v>-55</v>
      </c>
      <c r="U150" s="4">
        <v>-15</v>
      </c>
      <c r="V150" s="4"/>
      <c r="W150" s="9">
        <v>1.8</v>
      </c>
      <c r="X150" s="9">
        <v>1.4</v>
      </c>
      <c r="Y150" s="9"/>
      <c r="Z150" s="9">
        <v>0.3</v>
      </c>
      <c r="AA150" s="9"/>
      <c r="AB150" s="9"/>
      <c r="AC150" s="468"/>
      <c r="AD150" s="468"/>
      <c r="AE150" s="468"/>
      <c r="AF150" s="4"/>
      <c r="AG150" s="88"/>
      <c r="AH150" s="4"/>
      <c r="AI150" s="4"/>
      <c r="AJ150" s="468"/>
      <c r="AK150" s="468"/>
      <c r="AL150" s="468" t="s">
        <v>1117</v>
      </c>
      <c r="AM150" s="468" t="s">
        <v>486</v>
      </c>
      <c r="AN150" s="10">
        <v>5.5</v>
      </c>
      <c r="AO150" s="9"/>
      <c r="AP150" s="9"/>
      <c r="AQ150" s="9"/>
      <c r="AR150" s="9"/>
      <c r="AS150" s="9"/>
      <c r="AT150" s="9">
        <f>+ab($U$150,$T$148,$T$152,$G$149,$G$151, 1*$F$150,1200)</f>
        <v>-11.583738844363369</v>
      </c>
      <c r="AU150" s="447"/>
      <c r="AV150" s="447"/>
      <c r="AW150" s="468" t="str">
        <f>IF(C150&gt;0,VLOOKUP(C150,Foundation_Calc!$A$2:$C$986,3,1),
IF(J150&gt;0,VLOOKUP(J150,Foundation_Calc!$A$2:$C$986,3,1),""))</f>
        <v>MultiSoil</v>
      </c>
      <c r="AX150" s="468" t="str">
        <f>IF(C150&gt;0,VLOOKUP(C150,Foundation_Calc!$E$2:$G$986,3,1),
IF(J150&gt;0,VLOOKUP(J150,Foundation_Calc!$E$2:$G$986,3,1),""))</f>
        <v>PT</v>
      </c>
      <c r="AY150" s="10">
        <f>IF(L150="","",
IF(AX150="PT",VLOOKUP(L150,Foundation_Calc!$K$4:$R$37,VLOOKUP(AW150,Foundation_Calc!$I$2:$J$8,2,FALSE),0),
IF(AX150="K",VLOOKUP(L150,Foundation_Calc!$K$41:$R$74,VLOOKUP(AW150,Foundation_Calc!$I$2:$J$8,2,FALSE),0),"")))</f>
        <v>4.5999999999999996</v>
      </c>
      <c r="AZ150" s="10" t="str">
        <f>IF(K150="","",
IF(AX150="PT",VLOOKUP(K150,Foundation_Calc!$K$4:$R$37,VLOOKUP(AW150,Foundation_Calc!$I$2:$J$8,2,FALSE),0),
IF(AX150="K",VLOOKUP(K150,Foundation_Calc!$K$41:$R$74,VLOOKUP(AW150,Foundation_Calc!$I$2:$J$8,2,FALSE),0),"")))</f>
        <v/>
      </c>
      <c r="BA150" s="553" t="str">
        <f t="shared" si="47"/>
        <v>ü</v>
      </c>
      <c r="BB150" s="553" t="str">
        <f t="shared" si="48"/>
        <v/>
      </c>
      <c r="BC150" s="553" t="str">
        <f t="shared" si="49"/>
        <v/>
      </c>
      <c r="BD150" s="572" t="str">
        <f>Pole_Calc!A$251</f>
        <v>App.8-V08H-P10.3</v>
      </c>
      <c r="BE150" s="448" t="s">
        <v>1726</v>
      </c>
      <c r="BF150" s="306"/>
      <c r="BG150" s="306"/>
      <c r="BH150" s="306"/>
      <c r="BI150" s="306"/>
    </row>
    <row r="151" spans="1:61" ht="16.2" customHeight="1">
      <c r="A151" s="573"/>
      <c r="B151" s="469"/>
      <c r="C151" s="3"/>
      <c r="D151" s="88"/>
      <c r="E151" s="4"/>
      <c r="F151" s="4"/>
      <c r="G151" s="6">
        <v>22.9</v>
      </c>
      <c r="H151" s="468"/>
      <c r="I151" s="468"/>
      <c r="J151" s="3"/>
      <c r="K151" s="468"/>
      <c r="L151" s="468"/>
      <c r="M151" s="468" t="str">
        <f>IF(L151="","",
IF(AX151="PT",VLOOKUP(L151,Foundation_Calc!$V$79:$X$112,VLOOKUP(AX151,Foundation_Calc!$I$10:$J$13,2,FALSE),0),
IF(AX151="K",VLOOKUP(L151,Foundation_Calc!$V$116:$X$149,VLOOKUP(AX151,Foundation_Calc!$I$10:$J$13,2,FALSE),0),"")))</f>
        <v/>
      </c>
      <c r="N151" s="468"/>
      <c r="O151" s="468"/>
      <c r="P151" s="468"/>
      <c r="Q151" s="4"/>
      <c r="R151" s="6"/>
      <c r="S151" s="6"/>
      <c r="T151" s="4"/>
      <c r="U151" s="4"/>
      <c r="V151" s="4"/>
      <c r="W151" s="9"/>
      <c r="X151" s="9"/>
      <c r="Y151" s="9"/>
      <c r="Z151" s="9"/>
      <c r="AA151" s="9"/>
      <c r="AB151" s="9"/>
      <c r="AC151" s="468" t="str">
        <f t="shared" si="46"/>
        <v/>
      </c>
      <c r="AD151" s="468"/>
      <c r="AE151" s="468"/>
      <c r="AF151" s="4"/>
      <c r="AG151" s="88"/>
      <c r="AH151" s="4"/>
      <c r="AI151" s="4"/>
      <c r="AJ151" s="468"/>
      <c r="AK151" s="468"/>
      <c r="AL151" s="468"/>
      <c r="AM151" s="468"/>
      <c r="AN151" s="10"/>
      <c r="AO151" s="9"/>
      <c r="AP151" s="9"/>
      <c r="AQ151" s="9">
        <f>+FL_1($U$152,$U$150,$G$151,1200,9.28, 1*$F$152)</f>
        <v>0.1</v>
      </c>
      <c r="AR151" s="9"/>
      <c r="AS151" s="9"/>
      <c r="AT151" s="9"/>
      <c r="AU151" s="447"/>
      <c r="AV151" s="447"/>
      <c r="AW151" s="468" t="str">
        <f>IF(C151&gt;0,VLOOKUP(C151,Foundation_Calc!$A$2:$C$986,3,1),
IF(J151&gt;0,VLOOKUP(J151,Foundation_Calc!$A$2:$C$986,3,1),""))</f>
        <v/>
      </c>
      <c r="AX151" s="468" t="str">
        <f>IF(C151&gt;0,VLOOKUP(C151,Foundation_Calc!$E$2:$G$986,3,1),
IF(J151&gt;0,VLOOKUP(J151,Foundation_Calc!$E$2:$G$986,3,1),""))</f>
        <v/>
      </c>
      <c r="AY151" s="10" t="str">
        <f>IF(L151="","",
IF(AX151="PT",VLOOKUP(L151,Foundation_Calc!$K$79:$R$112,VLOOKUP(AW151,Foundation_Calc!$I$2:$J$8,2,FALSE),0),
IF(AX151="K",VLOOKUP(L151,Foundation_Calc!$K$116:$R$149,VLOOKUP(AW151,Foundation_Calc!$I$2:$J$8,2,FALSE),0),"")))</f>
        <v/>
      </c>
      <c r="AZ151" s="10" t="str">
        <f>IF(K151="","",
IF(AX151="PT",VLOOKUP(K151,Foundation_Calc!$K$79:$R$112,VLOOKUP(AW151,Foundation_Calc!$I$2:$J$8,2,FALSE),0),
IF(AX151="K",VLOOKUP(K151,Foundation_Calc!$K$116:$R$149,VLOOKUP(AW151,Foundation_Calc!$I$2:$J$8,2,FALSE),0),"")))</f>
        <v/>
      </c>
      <c r="BA151" s="553" t="str">
        <f t="shared" si="47"/>
        <v/>
      </c>
      <c r="BB151" s="553" t="str">
        <f t="shared" si="48"/>
        <v/>
      </c>
      <c r="BC151" s="553" t="str">
        <f t="shared" si="49"/>
        <v/>
      </c>
      <c r="BD151" s="572" t="str">
        <f>IF(AND(L151="",H151=""),"",
IF(H151="",Pole_Calc!A$9,
IF(H151="MP",Pole_Calc!A$10,
IF(H151="AnMP",Pole_Calc!A$11,
IF(H151="A",Pole_Calc!A$12,
IF(H151="S/A",Pole_Calc!A$13,
IF(H151="A/S",Pole_Calc!A$14,"Poner a mano")))))))</f>
        <v/>
      </c>
      <c r="BE151" s="448" t="s">
        <v>1726</v>
      </c>
      <c r="BF151" s="305"/>
      <c r="BG151" s="305"/>
      <c r="BH151" s="306"/>
      <c r="BI151" s="305"/>
    </row>
    <row r="152" spans="1:61" ht="16.2" customHeight="1">
      <c r="A152" s="573"/>
      <c r="B152" s="469" t="s">
        <v>2353</v>
      </c>
      <c r="C152" s="3">
        <f t="shared" si="42"/>
        <v>107.56000000000139</v>
      </c>
      <c r="D152" s="88"/>
      <c r="E152" s="4"/>
      <c r="F152" s="4">
        <v>0</v>
      </c>
      <c r="G152" s="6"/>
      <c r="H152" s="468" t="s">
        <v>179</v>
      </c>
      <c r="I152" s="468"/>
      <c r="J152" s="3"/>
      <c r="K152" s="468"/>
      <c r="L152" s="468" t="s">
        <v>448</v>
      </c>
      <c r="M152" s="468" t="str">
        <f>IF(L152="","",
IF(AX152="PT",VLOOKUP(L152,Foundation_Calc!$V$79:$X$112,VLOOKUP(AX152,Foundation_Calc!$I$10:$J$13,2,FALSE),0),
IF(AX152="K",VLOOKUP(L152,Foundation_Calc!$V$116:$X$149,VLOOKUP(AX152,Foundation_Calc!$I$10:$J$13,2,FALSE),0),"")))</f>
        <v>2C3R</v>
      </c>
      <c r="N152" s="669" t="s">
        <v>33</v>
      </c>
      <c r="O152" s="647" t="s">
        <v>33</v>
      </c>
      <c r="P152" s="468"/>
      <c r="Q152" s="4"/>
      <c r="R152" s="6"/>
      <c r="S152" s="6"/>
      <c r="T152" s="4">
        <v>30</v>
      </c>
      <c r="U152" s="4">
        <v>10</v>
      </c>
      <c r="V152" s="4"/>
      <c r="W152" s="9">
        <v>1.4</v>
      </c>
      <c r="X152" s="9">
        <v>1.8</v>
      </c>
      <c r="Y152" s="9"/>
      <c r="Z152" s="9"/>
      <c r="AA152" s="9">
        <v>0.15</v>
      </c>
      <c r="AB152" s="9"/>
      <c r="AC152" s="468" t="str">
        <f t="shared" si="46"/>
        <v>PHC</v>
      </c>
      <c r="AD152" s="468"/>
      <c r="AE152" s="468"/>
      <c r="AF152" s="4"/>
      <c r="AG152" s="88"/>
      <c r="AH152" s="4"/>
      <c r="AI152" s="4"/>
      <c r="AJ152" s="468"/>
      <c r="AK152" s="468"/>
      <c r="AL152" s="468"/>
      <c r="AM152" s="468" t="s">
        <v>486</v>
      </c>
      <c r="AN152" s="10">
        <v>5.5</v>
      </c>
      <c r="AO152" s="9"/>
      <c r="AP152" s="9"/>
      <c r="AQ152" s="9"/>
      <c r="AR152" s="9"/>
      <c r="AS152" s="9"/>
      <c r="AT152" s="9">
        <f>+ab($T$152,$U$150,$T$154,$G$151,$G$153, 1*$F$152,1200)</f>
        <v>4.7291925620022655</v>
      </c>
      <c r="AU152" s="447"/>
      <c r="AV152" s="447"/>
      <c r="AW152" s="468" t="str">
        <f>IF(C152&gt;0,VLOOKUP(C152,Foundation_Calc!$A$2:$C$986,3,1),
IF(J152&gt;0,VLOOKUP(J152,Foundation_Calc!$A$2:$C$986,3,1),""))</f>
        <v>MultiSoil</v>
      </c>
      <c r="AX152" s="468" t="str">
        <f>IF(C152&gt;0,VLOOKUP(C152,Foundation_Calc!$E$2:$G$986,3,1),
IF(J152&gt;0,VLOOKUP(J152,Foundation_Calc!$E$2:$G$986,3,1),""))</f>
        <v>PT</v>
      </c>
      <c r="AY152" s="10">
        <f>IF(L152="","",
IF(AX152="PT",VLOOKUP(L152,Foundation_Calc!$K$79:$R$112,VLOOKUP(AW152,Foundation_Calc!$I$2:$J$8,2,FALSE),0),
IF(AX152="K",VLOOKUP(L152,Foundation_Calc!$K$116:$R$149,VLOOKUP(AW152,Foundation_Calc!$I$2:$J$8,2,FALSE),0),"")))</f>
        <v>3.7</v>
      </c>
      <c r="AZ152" s="10" t="str">
        <f>IF(K152="","",
IF(AX152="PT",VLOOKUP(K152,Foundation_Calc!$K$79:$R$112,VLOOKUP(AW152,Foundation_Calc!$I$2:$J$8,2,FALSE),0),
IF(AX152="K",VLOOKUP(K152,Foundation_Calc!$K$116:$R$149,VLOOKUP(AW152,Foundation_Calc!$I$2:$J$8,2,FALSE),0),"")))</f>
        <v/>
      </c>
      <c r="BA152" s="553" t="str">
        <f t="shared" si="47"/>
        <v>ü</v>
      </c>
      <c r="BB152" s="553" t="str">
        <f t="shared" si="48"/>
        <v/>
      </c>
      <c r="BC152" s="553" t="str">
        <f t="shared" si="49"/>
        <v/>
      </c>
      <c r="BD152" s="572" t="str">
        <f>IF(AND(L152="",H152=""),"",
IF(H152="",Pole_Calc!A$9,
IF(H152="MP",Pole_Calc!A$10,
IF(H152="AnMP",Pole_Calc!A$11,
IF(H152="A",Pole_Calc!A$12,
IF(H152="S/A",Pole_Calc!A$13,
IF(H152="A/S",Pole_Calc!A$14,"Poner a mano")))))))</f>
        <v>App.7-V11H-P9.5.1.5</v>
      </c>
      <c r="BE152" s="448" t="s">
        <v>1726</v>
      </c>
      <c r="BF152" s="306"/>
      <c r="BG152" s="306"/>
      <c r="BH152" s="306"/>
      <c r="BI152" s="306"/>
    </row>
    <row r="153" spans="1:61" ht="16.2" customHeight="1">
      <c r="A153" s="573"/>
      <c r="B153" s="469"/>
      <c r="C153" s="3"/>
      <c r="D153" s="88"/>
      <c r="E153" s="4"/>
      <c r="F153" s="4"/>
      <c r="G153" s="6">
        <v>24</v>
      </c>
      <c r="H153" s="468"/>
      <c r="I153" s="468"/>
      <c r="J153" s="3"/>
      <c r="K153" s="468"/>
      <c r="L153" s="468"/>
      <c r="M153" s="468" t="str">
        <f>IF(L153="","",
IF(AX153="PT",VLOOKUP(L153,Foundation_Calc!$V$79:$X$112,VLOOKUP(AX153,Foundation_Calc!$I$10:$J$13,2,FALSE),0),
IF(AX153="K",VLOOKUP(L153,Foundation_Calc!$V$116:$X$149,VLOOKUP(AX153,Foundation_Calc!$I$10:$J$13,2,FALSE),0),"")))</f>
        <v/>
      </c>
      <c r="N153" s="468"/>
      <c r="O153" s="468"/>
      <c r="P153" s="468"/>
      <c r="Q153" s="4"/>
      <c r="R153" s="6"/>
      <c r="S153" s="6"/>
      <c r="T153" s="4"/>
      <c r="U153" s="4"/>
      <c r="V153" s="4"/>
      <c r="W153" s="9"/>
      <c r="X153" s="9"/>
      <c r="Y153" s="9"/>
      <c r="Z153" s="9"/>
      <c r="AA153" s="9"/>
      <c r="AB153" s="9"/>
      <c r="AC153" s="468" t="str">
        <f t="shared" si="46"/>
        <v/>
      </c>
      <c r="AD153" s="468"/>
      <c r="AE153" s="468"/>
      <c r="AF153" s="4"/>
      <c r="AG153" s="88"/>
      <c r="AH153" s="4"/>
      <c r="AI153" s="4"/>
      <c r="AJ153" s="468"/>
      <c r="AK153" s="468"/>
      <c r="AL153" s="468"/>
      <c r="AM153" s="468"/>
      <c r="AN153" s="10"/>
      <c r="AO153" s="9"/>
      <c r="AP153" s="9"/>
      <c r="AQ153" s="9">
        <f>+FL_1($T$154,$U$152,$G$153,1200,9.28, 1*$F$154)</f>
        <v>0.10000000000000307</v>
      </c>
      <c r="AR153" s="9"/>
      <c r="AS153" s="9"/>
      <c r="AT153" s="9"/>
      <c r="AU153" s="447"/>
      <c r="AV153" s="447"/>
      <c r="AW153" s="468" t="str">
        <f>IF(C153&gt;0,VLOOKUP(C153,Foundation_Calc!$A$2:$C$986,3,1),
IF(J153&gt;0,VLOOKUP(J153,Foundation_Calc!$A$2:$C$986,3,1),""))</f>
        <v/>
      </c>
      <c r="AX153" s="468" t="str">
        <f>IF(C153&gt;0,VLOOKUP(C153,Foundation_Calc!$E$2:$G$986,3,1),
IF(J153&gt;0,VLOOKUP(J153,Foundation_Calc!$E$2:$G$986,3,1),""))</f>
        <v/>
      </c>
      <c r="AY153" s="10" t="str">
        <f>IF(L153="","",
IF(AX153="PT",VLOOKUP(L153,Foundation_Calc!$K$79:$R$112,VLOOKUP(AW153,Foundation_Calc!$I$2:$J$8,2,FALSE),0),
IF(AX153="K",VLOOKUP(L153,Foundation_Calc!$K$116:$R$149,VLOOKUP(AW153,Foundation_Calc!$I$2:$J$8,2,FALSE),0),"")))</f>
        <v/>
      </c>
      <c r="AZ153" s="10" t="str">
        <f>IF(K153="","",
IF(AX153="PT",VLOOKUP(K153,Foundation_Calc!$K$79:$R$112,VLOOKUP(AW153,Foundation_Calc!$I$2:$J$8,2,FALSE),0),
IF(AX153="K",VLOOKUP(K153,Foundation_Calc!$K$116:$R$149,VLOOKUP(AW153,Foundation_Calc!$I$2:$J$8,2,FALSE),0),"")))</f>
        <v/>
      </c>
      <c r="BA153" s="553" t="str">
        <f t="shared" si="47"/>
        <v/>
      </c>
      <c r="BB153" s="553" t="str">
        <f t="shared" si="48"/>
        <v/>
      </c>
      <c r="BC153" s="553" t="str">
        <f t="shared" si="49"/>
        <v/>
      </c>
      <c r="BD153" s="572" t="str">
        <f>IF(AND(L153="",H153=""),"",
IF(H153="",Pole_Calc!A$9,
IF(H153="MP",Pole_Calc!A$10,
IF(H153="AnMP",Pole_Calc!A$11,
IF(H153="A",Pole_Calc!A$12,
IF(H153="S/A",Pole_Calc!A$13,
IF(H153="A/S",Pole_Calc!A$14,"Poner a mano")))))))</f>
        <v/>
      </c>
      <c r="BE153" s="448" t="s">
        <v>1726</v>
      </c>
      <c r="BF153" s="305"/>
      <c r="BG153" s="305"/>
      <c r="BH153" s="306"/>
      <c r="BI153" s="305"/>
    </row>
    <row r="154" spans="1:61" ht="16.2" customHeight="1">
      <c r="A154" s="573"/>
      <c r="B154" s="469" t="s">
        <v>2354</v>
      </c>
      <c r="C154" s="3">
        <f t="shared" si="42"/>
        <v>83.560000000001395</v>
      </c>
      <c r="D154" s="88"/>
      <c r="E154" s="4"/>
      <c r="F154" s="4">
        <v>0</v>
      </c>
      <c r="G154" s="6"/>
      <c r="H154" s="468" t="s">
        <v>1739</v>
      </c>
      <c r="I154" s="468"/>
      <c r="J154" s="3"/>
      <c r="K154" s="468"/>
      <c r="L154" s="468" t="s">
        <v>448</v>
      </c>
      <c r="M154" s="468" t="str">
        <f>IF(L154="","",
IF(AX154="PT",VLOOKUP(L154,Foundation_Calc!$V$79:$X$112,VLOOKUP(AX154,Foundation_Calc!$I$10:$J$13,2,FALSE),0),
IF(AX154="K",VLOOKUP(L154,Foundation_Calc!$V$116:$X$149,VLOOKUP(AX154,Foundation_Calc!$I$10:$J$13,2,FALSE),0),"")))</f>
        <v>2C3R</v>
      </c>
      <c r="N154" s="468" t="s">
        <v>33</v>
      </c>
      <c r="O154" s="669" t="s">
        <v>32</v>
      </c>
      <c r="P154" s="468"/>
      <c r="Q154" s="4"/>
      <c r="R154" s="6"/>
      <c r="S154" s="6"/>
      <c r="T154" s="4">
        <v>-20</v>
      </c>
      <c r="U154" s="4">
        <v>-35</v>
      </c>
      <c r="V154" s="4"/>
      <c r="W154" s="9">
        <v>1.4</v>
      </c>
      <c r="X154" s="9">
        <v>1.8</v>
      </c>
      <c r="Y154" s="9"/>
      <c r="Z154" s="9"/>
      <c r="AA154" s="9"/>
      <c r="AB154" s="9"/>
      <c r="AC154" s="468" t="s">
        <v>1068</v>
      </c>
      <c r="AD154" s="468" t="s">
        <v>647</v>
      </c>
      <c r="AE154" s="468"/>
      <c r="AF154" s="4"/>
      <c r="AG154" s="88"/>
      <c r="AH154" s="4"/>
      <c r="AI154" s="4"/>
      <c r="AJ154" s="468"/>
      <c r="AK154" s="468"/>
      <c r="AL154" s="468"/>
      <c r="AM154" s="468" t="s">
        <v>486</v>
      </c>
      <c r="AN154" s="10">
        <v>5.5</v>
      </c>
      <c r="AO154" s="9"/>
      <c r="AP154" s="9"/>
      <c r="AQ154" s="9"/>
      <c r="AR154" s="9"/>
      <c r="AS154" s="9"/>
      <c r="AT154" s="9">
        <f>+ab($T$154,$U$152,$T$156,$G$153,$G$155, 1*$F$154,1200)</f>
        <v>-5.3511443977109021</v>
      </c>
      <c r="AU154" s="447"/>
      <c r="AV154" s="447"/>
      <c r="AW154" s="468" t="str">
        <f>IF(C154&gt;0,VLOOKUP(C154,Foundation_Calc!$A$2:$C$986,3,1),
IF(J154&gt;0,VLOOKUP(J154,Foundation_Calc!$A$2:$C$986,3,1),""))</f>
        <v>MultiSoil</v>
      </c>
      <c r="AX154" s="468" t="str">
        <f>IF(C154&gt;0,VLOOKUP(C154,Foundation_Calc!$E$2:$G$986,3,1),
IF(J154&gt;0,VLOOKUP(J154,Foundation_Calc!$E$2:$G$986,3,1),""))</f>
        <v>PT</v>
      </c>
      <c r="AY154" s="10">
        <f>IF(L154="","",
IF(AX154="PT",VLOOKUP(L154,Foundation_Calc!$K$79:$R$112,VLOOKUP(AW154,Foundation_Calc!$I$2:$J$8,2,FALSE),0),
IF(AX154="K",VLOOKUP(L154,Foundation_Calc!$K$116:$R$149,VLOOKUP(AW154,Foundation_Calc!$I$2:$J$8,2,FALSE),0),"")))</f>
        <v>3.7</v>
      </c>
      <c r="AZ154" s="10" t="str">
        <f>IF(K154="","",
IF(AX154="PT",VLOOKUP(K154,Foundation_Calc!$K$79:$R$112,VLOOKUP(AW154,Foundation_Calc!$I$2:$J$8,2,FALSE),0),
IF(AX154="K",VLOOKUP(K154,Foundation_Calc!$K$116:$R$149,VLOOKUP(AW154,Foundation_Calc!$I$2:$J$8,2,FALSE),0),"")))</f>
        <v/>
      </c>
      <c r="BA154" s="553" t="str">
        <f t="shared" si="47"/>
        <v>ü</v>
      </c>
      <c r="BB154" s="553" t="str">
        <f t="shared" si="48"/>
        <v/>
      </c>
      <c r="BC154" s="553" t="str">
        <f t="shared" si="49"/>
        <v/>
      </c>
      <c r="BD154" s="572" t="str">
        <f>Pole_Calc!A$13</f>
        <v>App.7-V11H-P9.5.1.5</v>
      </c>
      <c r="BE154" s="448" t="s">
        <v>1726</v>
      </c>
      <c r="BF154" s="306"/>
      <c r="BG154" s="306"/>
      <c r="BH154" s="306"/>
      <c r="BI154" s="306"/>
    </row>
    <row r="155" spans="1:61" ht="16.2" customHeight="1">
      <c r="A155" s="573"/>
      <c r="B155" s="469"/>
      <c r="C155" s="3"/>
      <c r="D155" s="88"/>
      <c r="E155" s="4"/>
      <c r="F155" s="4"/>
      <c r="G155" s="6">
        <v>21.5</v>
      </c>
      <c r="H155" s="468"/>
      <c r="I155" s="468"/>
      <c r="J155" s="3"/>
      <c r="K155" s="468"/>
      <c r="L155" s="468"/>
      <c r="M155" s="468" t="str">
        <f>IF(L155="","",
IF(AX155="PT",VLOOKUP(L155,Foundation_Calc!$V$79:$X$112,VLOOKUP(AX155,Foundation_Calc!$I$10:$J$13,2,FALSE),0),
IF(AX155="K",VLOOKUP(L155,Foundation_Calc!$V$116:$X$149,VLOOKUP(AX155,Foundation_Calc!$I$10:$J$13,2,FALSE),0),"")))</f>
        <v/>
      </c>
      <c r="N155" s="468"/>
      <c r="O155" s="468"/>
      <c r="P155" s="468"/>
      <c r="Q155" s="4"/>
      <c r="R155" s="6"/>
      <c r="S155" s="6"/>
      <c r="T155" s="4"/>
      <c r="U155" s="4"/>
      <c r="V155" s="4"/>
      <c r="W155" s="9"/>
      <c r="X155" s="9"/>
      <c r="Y155" s="9"/>
      <c r="Z155" s="9"/>
      <c r="AA155" s="9"/>
      <c r="AB155" s="9"/>
      <c r="AC155" s="468" t="str">
        <f t="shared" si="46"/>
        <v/>
      </c>
      <c r="AD155" s="468"/>
      <c r="AE155" s="468"/>
      <c r="AF155" s="4"/>
      <c r="AG155" s="88"/>
      <c r="AH155" s="4"/>
      <c r="AI155" s="4"/>
      <c r="AJ155" s="468"/>
      <c r="AK155" s="468"/>
      <c r="AL155" s="468"/>
      <c r="AM155" s="468"/>
      <c r="AN155" s="10"/>
      <c r="AO155" s="9"/>
      <c r="AP155" s="9"/>
      <c r="AQ155" s="9">
        <f>+FL_1($T$156,$T$154,$G$155,1200,9.28, 1*$F$156)</f>
        <v>0.3</v>
      </c>
      <c r="AR155" s="9"/>
      <c r="AS155" s="9"/>
      <c r="AT155" s="9"/>
      <c r="AU155" s="447"/>
      <c r="AV155" s="447"/>
      <c r="AW155" s="468" t="str">
        <f>IF(C155&gt;0,VLOOKUP(C155,Foundation_Calc!$A$2:$C$986,3,1),
IF(J155&gt;0,VLOOKUP(J155,Foundation_Calc!$A$2:$C$986,3,1),""))</f>
        <v/>
      </c>
      <c r="AX155" s="468" t="str">
        <f>IF(C155&gt;0,VLOOKUP(C155,Foundation_Calc!$E$2:$G$986,3,1),
IF(J155&gt;0,VLOOKUP(J155,Foundation_Calc!$E$2:$G$986,3,1),""))</f>
        <v/>
      </c>
      <c r="AY155" s="10" t="str">
        <f>IF(L155="","",
IF(AX155="PT",VLOOKUP(L155,Foundation_Calc!$K$79:$R$112,VLOOKUP(AW155,Foundation_Calc!$I$2:$J$8,2,FALSE),0),
IF(AX155="K",VLOOKUP(L155,Foundation_Calc!$K$116:$R$149,VLOOKUP(AW155,Foundation_Calc!$I$2:$J$8,2,FALSE),0),"")))</f>
        <v/>
      </c>
      <c r="AZ155" s="10" t="str">
        <f>IF(K155="","",
IF(AX155="PT",VLOOKUP(K155,Foundation_Calc!$K$79:$R$112,VLOOKUP(AW155,Foundation_Calc!$I$2:$J$8,2,FALSE),0),
IF(AX155="K",VLOOKUP(K155,Foundation_Calc!$K$116:$R$149,VLOOKUP(AW155,Foundation_Calc!$I$2:$J$8,2,FALSE),0),"")))</f>
        <v/>
      </c>
      <c r="BA155" s="553" t="str">
        <f t="shared" si="47"/>
        <v/>
      </c>
      <c r="BB155" s="553" t="str">
        <f t="shared" si="48"/>
        <v/>
      </c>
      <c r="BC155" s="553" t="str">
        <f t="shared" si="49"/>
        <v/>
      </c>
      <c r="BD155" s="572" t="str">
        <f>IF(AND(L155="",H155=""),"",
IF(H155="",Pole_Calc!A$9,
IF(H155="MP",Pole_Calc!A$10,
IF(H155="AnMP",Pole_Calc!A$11,
IF(H155="A",Pole_Calc!A$12,
IF(H155="S/A",Pole_Calc!A$13,
IF(H155="A/S",Pole_Calc!A$14,"Poner a mano")))))))</f>
        <v/>
      </c>
      <c r="BE155" s="448" t="s">
        <v>1726</v>
      </c>
      <c r="BF155" s="305"/>
      <c r="BG155" s="305"/>
      <c r="BH155" s="306"/>
      <c r="BI155" s="305"/>
    </row>
    <row r="156" spans="1:61" ht="16.2" customHeight="1">
      <c r="A156" s="573" t="s">
        <v>2479</v>
      </c>
      <c r="B156" s="469" t="s">
        <v>2355</v>
      </c>
      <c r="C156" s="3">
        <v>108.01</v>
      </c>
      <c r="D156" s="88"/>
      <c r="E156" s="4"/>
      <c r="F156" s="4">
        <v>0</v>
      </c>
      <c r="G156" s="6"/>
      <c r="H156" s="468"/>
      <c r="I156" s="468"/>
      <c r="J156" s="3"/>
      <c r="K156" s="468"/>
      <c r="L156" s="468" t="s">
        <v>325</v>
      </c>
      <c r="M156" s="468" t="str">
        <f>IF(L156="","",
IF(AX156="PT",VLOOKUP(L156,Foundation_Calc!$V$4:$X$37,VLOOKUP(AX156,Foundation_Calc!$I$10:$J$13,2,FALSE),0),
IF(AX156="K",VLOOKUP(L156,Foundation_Calc!$V$41:$X$74,VLOOKUP(AX156,Foundation_Calc!$I$10:$J$13,2,FALSE),0),"")))</f>
        <v>C7SR</v>
      </c>
      <c r="N156" s="468" t="s">
        <v>33</v>
      </c>
      <c r="O156" s="468"/>
      <c r="P156" s="468"/>
      <c r="Q156" s="4"/>
      <c r="R156" s="6"/>
      <c r="S156" s="6"/>
      <c r="T156" s="4">
        <v>30</v>
      </c>
      <c r="U156" s="4"/>
      <c r="V156" s="4"/>
      <c r="W156" s="9">
        <v>1.4</v>
      </c>
      <c r="X156" s="9"/>
      <c r="Y156" s="9"/>
      <c r="Z156" s="9"/>
      <c r="AA156" s="9"/>
      <c r="AB156" s="9"/>
      <c r="AC156" s="468" t="str">
        <f t="shared" si="46"/>
        <v/>
      </c>
      <c r="AD156" s="468"/>
      <c r="AE156" s="468"/>
      <c r="AF156" s="4"/>
      <c r="AG156" s="88"/>
      <c r="AH156" s="4"/>
      <c r="AI156" s="4"/>
      <c r="AJ156" s="468" t="s">
        <v>2478</v>
      </c>
      <c r="AK156" s="468"/>
      <c r="AL156" s="468" t="s">
        <v>1113</v>
      </c>
      <c r="AM156" s="468" t="s">
        <v>486</v>
      </c>
      <c r="AN156" s="10">
        <v>5.5</v>
      </c>
      <c r="AO156" s="9"/>
      <c r="AP156" s="9"/>
      <c r="AQ156" s="9"/>
      <c r="AR156" s="9"/>
      <c r="AS156" s="9"/>
      <c r="AT156" s="9"/>
      <c r="AU156" s="447"/>
      <c r="AV156" s="447"/>
      <c r="AW156" s="468" t="str">
        <f>IF(C156&gt;0,VLOOKUP(C156,Foundation_Calc!$A$2:$C$986,3,1),
IF(J156&gt;0,VLOOKUP(J156,Foundation_Calc!$A$2:$C$986,3,1),""))</f>
        <v>MultiSoil</v>
      </c>
      <c r="AX156" s="468" t="str">
        <f>IF(C156&gt;0,VLOOKUP(C156,Foundation_Calc!$E$2:$G$986,3,1),
IF(J156&gt;0,VLOOKUP(J156,Foundation_Calc!$E$2:$G$986,3,1),""))</f>
        <v>PT</v>
      </c>
      <c r="AY156" s="10">
        <f>IF(L156="","",
IF(AX156="PT",VLOOKUP(L156,Foundation_Calc!$K$4:$R$37,VLOOKUP(AW156,Foundation_Calc!$I$2:$J$8,2,FALSE),0),
IF(AX156="K",VLOOKUP(L156,Foundation_Calc!$K$41:$R$74,VLOOKUP(AW156,Foundation_Calc!$I$2:$J$8,2,FALSE),0),"")))</f>
        <v>4</v>
      </c>
      <c r="AZ156" s="10" t="str">
        <f>IF(K156="","",
IF(AX156="PT",VLOOKUP(K156,Foundation_Calc!$K$4:$R$37,VLOOKUP(AW156,Foundation_Calc!$I$2:$J$8,2,FALSE),0),
IF(AX156="K",VLOOKUP(K156,Foundation_Calc!$K$41:$R$74,VLOOKUP(AW156,Foundation_Calc!$I$2:$J$8,2,FALSE),0),"")))</f>
        <v/>
      </c>
      <c r="BA156" s="553" t="str">
        <f t="shared" si="47"/>
        <v>ü</v>
      </c>
      <c r="BB156" s="553" t="str">
        <f t="shared" si="48"/>
        <v/>
      </c>
      <c r="BC156" s="553" t="str">
        <f t="shared" si="49"/>
        <v/>
      </c>
      <c r="BD156" s="572" t="str">
        <f>Pole_Calc!A$251</f>
        <v>App.8-V08H-P10.3</v>
      </c>
      <c r="BE156" s="448" t="s">
        <v>1726</v>
      </c>
      <c r="BF156" s="306"/>
      <c r="BG156" s="306"/>
      <c r="BH156" s="306"/>
      <c r="BI156" s="306"/>
    </row>
    <row r="157" spans="1:61" ht="16.2" customHeight="1">
      <c r="A157" s="573"/>
      <c r="B157" s="469"/>
      <c r="C157" s="3"/>
      <c r="D157" s="88"/>
      <c r="E157" s="4"/>
      <c r="F157" s="4"/>
      <c r="G157" s="6">
        <v>12.3</v>
      </c>
      <c r="H157" s="468"/>
      <c r="I157" s="468"/>
      <c r="J157" s="3"/>
      <c r="K157" s="468"/>
      <c r="L157" s="468"/>
      <c r="M157" s="468" t="str">
        <f>IF(L157="","",
IF(AX157="PT",VLOOKUP(L157,Foundation_Calc!$V$79:$X$112,VLOOKUP(AX157,Foundation_Calc!$I$10:$J$13,2,FALSE),0),
IF(AX157="K",VLOOKUP(L157,Foundation_Calc!$V$116:$X$149,VLOOKUP(AX157,Foundation_Calc!$I$10:$J$13,2,FALSE),0),"")))</f>
        <v/>
      </c>
      <c r="N157" s="468"/>
      <c r="O157" s="468"/>
      <c r="P157" s="468"/>
      <c r="Q157" s="4"/>
      <c r="R157" s="6"/>
      <c r="S157" s="6"/>
      <c r="T157" s="4"/>
      <c r="U157" s="4"/>
      <c r="V157" s="4"/>
      <c r="W157" s="9"/>
      <c r="X157" s="9"/>
      <c r="Y157" s="9"/>
      <c r="Z157" s="9"/>
      <c r="AA157" s="9"/>
      <c r="AB157" s="9"/>
      <c r="AC157" s="468" t="str">
        <f t="shared" si="46"/>
        <v/>
      </c>
      <c r="AD157" s="468"/>
      <c r="AE157" s="468"/>
      <c r="AF157" s="4"/>
      <c r="AG157" s="88"/>
      <c r="AH157" s="4"/>
      <c r="AI157" s="4"/>
      <c r="AJ157" s="468"/>
      <c r="AK157" s="468"/>
      <c r="AL157" s="468"/>
      <c r="AM157" s="468"/>
      <c r="AN157" s="10"/>
      <c r="AO157" s="9"/>
      <c r="AP157" s="9"/>
      <c r="AQ157" s="9"/>
      <c r="AR157" s="9"/>
      <c r="AS157" s="9"/>
      <c r="AT157" s="9"/>
      <c r="AU157" s="447"/>
      <c r="AV157" s="447"/>
      <c r="AW157" s="468" t="str">
        <f>IF(C157&gt;0,VLOOKUP(C157,Foundation_Calc!$A$2:$C$986,3,1),
IF(J157&gt;0,VLOOKUP(J157,Foundation_Calc!$A$2:$C$986,3,1),""))</f>
        <v/>
      </c>
      <c r="AX157" s="468" t="str">
        <f>IF(C157&gt;0,VLOOKUP(C157,Foundation_Calc!$E$2:$G$986,3,1),
IF(J157&gt;0,VLOOKUP(J157,Foundation_Calc!$E$2:$G$986,3,1),""))</f>
        <v/>
      </c>
      <c r="AY157" s="10" t="str">
        <f>IF(L157="","",
IF(AX157="PT",VLOOKUP(L157,Foundation_Calc!$K$79:$R$112,VLOOKUP(AW157,Foundation_Calc!$I$2:$J$8,2,FALSE),0),
IF(AX157="K",VLOOKUP(L157,Foundation_Calc!$K$116:$R$149,VLOOKUP(AW157,Foundation_Calc!$I$2:$J$8,2,FALSE),0),"")))</f>
        <v/>
      </c>
      <c r="AZ157" s="10" t="str">
        <f>IF(K157="","",
IF(AX157="PT",VLOOKUP(K157,Foundation_Calc!$K$79:$R$112,VLOOKUP(AW157,Foundation_Calc!$I$2:$J$8,2,FALSE),0),
IF(AX157="K",VLOOKUP(K157,Foundation_Calc!$K$116:$R$149,VLOOKUP(AW157,Foundation_Calc!$I$2:$J$8,2,FALSE),0),"")))</f>
        <v/>
      </c>
      <c r="BA157" s="553" t="str">
        <f t="shared" si="47"/>
        <v/>
      </c>
      <c r="BB157" s="553" t="str">
        <f t="shared" si="48"/>
        <v/>
      </c>
      <c r="BC157" s="553" t="str">
        <f t="shared" si="49"/>
        <v/>
      </c>
      <c r="BD157" s="572" t="str">
        <f>IF(AND(L157="",H157=""),"",
IF(H157="",Pole_Calc!A$9,
IF(H157="MP",Pole_Calc!A$10,
IF(H157="AnMP",Pole_Calc!A$11,
IF(H157="A",Pole_Calc!A$12,
IF(H157="S/A",Pole_Calc!A$13,
IF(H157="A/S",Pole_Calc!A$14,"Poner a mano")))))))</f>
        <v/>
      </c>
      <c r="BE157" s="448" t="s">
        <v>1726</v>
      </c>
      <c r="BF157" s="305"/>
      <c r="BG157" s="305"/>
      <c r="BH157" s="306"/>
      <c r="BI157" s="305"/>
    </row>
    <row r="158" spans="1:61" ht="16.2" customHeight="1">
      <c r="A158" s="573"/>
      <c r="B158" s="469" t="s">
        <v>2356</v>
      </c>
      <c r="C158" s="3">
        <f>C156+G157</f>
        <v>120.31</v>
      </c>
      <c r="D158" s="88"/>
      <c r="E158" s="4"/>
      <c r="F158" s="4">
        <v>0</v>
      </c>
      <c r="G158" s="6"/>
      <c r="H158" s="468"/>
      <c r="I158" s="468"/>
      <c r="J158" s="3"/>
      <c r="K158" s="468"/>
      <c r="L158" s="468" t="s">
        <v>975</v>
      </c>
      <c r="M158" s="468" t="str">
        <f>IF(L158="","",
IF(AX158="PT",VLOOKUP(L158,Foundation_Calc!$V$4:$X$37,VLOOKUP(AX158,Foundation_Calc!$I$10:$J$13,2,FALSE),0),
IF(AX158="K",VLOOKUP(L158,Foundation_Calc!$V$41:$X$74,VLOOKUP(AX158,Foundation_Calc!$I$10:$J$13,2,FALSE),0),"")))</f>
        <v>C9SR</v>
      </c>
      <c r="N158" s="468"/>
      <c r="O158" s="665" t="s">
        <v>33</v>
      </c>
      <c r="P158" s="468"/>
      <c r="Q158" s="4"/>
      <c r="R158" s="6"/>
      <c r="S158" s="6"/>
      <c r="T158" s="4"/>
      <c r="U158" s="666">
        <v>10</v>
      </c>
      <c r="V158" s="4"/>
      <c r="W158" s="9"/>
      <c r="X158" s="667">
        <v>1.4</v>
      </c>
      <c r="Y158" s="9"/>
      <c r="Z158" s="9"/>
      <c r="AA158" s="9"/>
      <c r="AB158" s="9"/>
      <c r="AC158" s="468"/>
      <c r="AD158" s="665" t="s">
        <v>630</v>
      </c>
      <c r="AE158" s="468"/>
      <c r="AF158" s="4"/>
      <c r="AG158" s="88"/>
      <c r="AH158" s="4"/>
      <c r="AI158" s="4"/>
      <c r="AJ158" s="468" t="s">
        <v>364</v>
      </c>
      <c r="AK158" s="468" t="s">
        <v>1563</v>
      </c>
      <c r="AL158" s="468" t="s">
        <v>329</v>
      </c>
      <c r="AM158" s="468" t="s">
        <v>486</v>
      </c>
      <c r="AN158" s="10"/>
      <c r="AO158" s="667">
        <v>5.5</v>
      </c>
      <c r="AP158" s="9"/>
      <c r="AQ158" s="9"/>
      <c r="AR158" s="9"/>
      <c r="AS158" s="9"/>
      <c r="AT158" s="9">
        <f>+ab($T$156,$T$154,$T$160,$G$155,$G$159, 1*$F$158,1200)</f>
        <v>4.4941542510680526</v>
      </c>
      <c r="AU158" s="447"/>
      <c r="AV158" s="447"/>
      <c r="AW158" s="468" t="str">
        <f>IF(C158&gt;0,VLOOKUP(C158,Foundation_Calc!$A$2:$C$986,3,1),
IF(J158&gt;0,VLOOKUP(J158,Foundation_Calc!$A$2:$C$986,3,1),""))</f>
        <v>MultiSoil</v>
      </c>
      <c r="AX158" s="468" t="str">
        <f>IF(C158&gt;0,VLOOKUP(C158,Foundation_Calc!$E$2:$G$986,3,1),
IF(J158&gt;0,VLOOKUP(J158,Foundation_Calc!$E$2:$G$986,3,1),""))</f>
        <v>PT</v>
      </c>
      <c r="AY158" s="10">
        <f>IF(L158="","",
IF(AX158="PT",VLOOKUP(L158,Foundation_Calc!$K$4:$R$37,VLOOKUP(AW158,Foundation_Calc!$I$2:$J$8,2,FALSE),0),
IF(AX158="K",VLOOKUP(L158,Foundation_Calc!$K$41:$R$74,VLOOKUP(AW158,Foundation_Calc!$I$2:$J$8,2,FALSE),0),"")))</f>
        <v>4.5999999999999996</v>
      </c>
      <c r="AZ158" s="10" t="str">
        <f>IF(K158="","",
IF(AX158="PT",VLOOKUP(K158,Foundation_Calc!$K$4:$R$37,VLOOKUP(AW158,Foundation_Calc!$I$2:$J$8,2,FALSE),0),
IF(AX158="K",VLOOKUP(K158,Foundation_Calc!$K$41:$R$74,VLOOKUP(AW158,Foundation_Calc!$I$2:$J$8,2,FALSE),0),"")))</f>
        <v/>
      </c>
      <c r="BA158" s="553" t="str">
        <f t="shared" si="47"/>
        <v>ü</v>
      </c>
      <c r="BB158" s="553" t="str">
        <f t="shared" si="48"/>
        <v/>
      </c>
      <c r="BC158" s="553" t="str">
        <f t="shared" si="49"/>
        <v/>
      </c>
      <c r="BD158" s="572" t="str">
        <f>Pole_Calc!A$232</f>
        <v>App.7-V11H-P13.3</v>
      </c>
      <c r="BE158" s="448" t="s">
        <v>1726</v>
      </c>
      <c r="BF158" s="306"/>
      <c r="BG158" s="306"/>
      <c r="BH158" s="306"/>
      <c r="BI158" s="306"/>
    </row>
    <row r="159" spans="1:61" ht="16.2" customHeight="1">
      <c r="A159" s="573"/>
      <c r="B159" s="469"/>
      <c r="C159" s="3"/>
      <c r="D159" s="88"/>
      <c r="E159" s="4"/>
      <c r="F159" s="4"/>
      <c r="G159" s="6">
        <v>31</v>
      </c>
      <c r="H159" s="468"/>
      <c r="I159" s="468"/>
      <c r="J159" s="3"/>
      <c r="K159" s="468"/>
      <c r="L159" s="468"/>
      <c r="M159" s="468" t="str">
        <f>IF(L159="","",
IF(AX159="PT",VLOOKUP(L159,Foundation_Calc!$V$79:$X$112,VLOOKUP(AX159,Foundation_Calc!$I$10:$J$13,2,FALSE),0),
IF(AX159="K",VLOOKUP(L159,Foundation_Calc!$V$116:$X$149,VLOOKUP(AX159,Foundation_Calc!$I$10:$J$13,2,FALSE),0),"")))</f>
        <v/>
      </c>
      <c r="N159" s="468"/>
      <c r="O159" s="468"/>
      <c r="P159" s="468"/>
      <c r="Q159" s="4"/>
      <c r="R159" s="6"/>
      <c r="S159" s="6"/>
      <c r="T159" s="4"/>
      <c r="U159" s="4"/>
      <c r="V159" s="4"/>
      <c r="W159" s="9"/>
      <c r="X159" s="9"/>
      <c r="Y159" s="9"/>
      <c r="Z159" s="9"/>
      <c r="AA159" s="9"/>
      <c r="AB159" s="9"/>
      <c r="AC159" s="468" t="str">
        <f t="shared" si="46"/>
        <v/>
      </c>
      <c r="AD159" s="468"/>
      <c r="AE159" s="468"/>
      <c r="AF159" s="4"/>
      <c r="AG159" s="88"/>
      <c r="AH159" s="4"/>
      <c r="AI159" s="4"/>
      <c r="AJ159" s="468"/>
      <c r="AK159" s="468"/>
      <c r="AL159" s="468"/>
      <c r="AM159" s="468"/>
      <c r="AN159" s="10"/>
      <c r="AO159" s="9"/>
      <c r="AP159" s="9"/>
      <c r="AQ159" s="9">
        <f>+FL_2($T$160,$T$156,$G$159,1200,9.28, 1*$F$160)</f>
        <v>-0.3</v>
      </c>
      <c r="AR159" s="9"/>
      <c r="AS159" s="9"/>
      <c r="AT159" s="9"/>
      <c r="AU159" s="447"/>
      <c r="AV159" s="447"/>
      <c r="AW159" s="468" t="str">
        <f>IF(C159&gt;0,VLOOKUP(C159,Foundation_Calc!$A$2:$C$986,3,1),
IF(J159&gt;0,VLOOKUP(J159,Foundation_Calc!$A$2:$C$986,3,1),""))</f>
        <v/>
      </c>
      <c r="AX159" s="468" t="str">
        <f>IF(C159&gt;0,VLOOKUP(C159,Foundation_Calc!$E$2:$G$986,3,1),
IF(J159&gt;0,VLOOKUP(J159,Foundation_Calc!$E$2:$G$986,3,1),""))</f>
        <v/>
      </c>
      <c r="AY159" s="10" t="str">
        <f>IF(L159="","",
IF(AX159="PT",VLOOKUP(L159,Foundation_Calc!$K$79:$R$112,VLOOKUP(AW159,Foundation_Calc!$I$2:$J$8,2,FALSE),0),
IF(AX159="K",VLOOKUP(L159,Foundation_Calc!$K$116:$R$149,VLOOKUP(AW159,Foundation_Calc!$I$2:$J$8,2,FALSE),0),"")))</f>
        <v/>
      </c>
      <c r="AZ159" s="10" t="str">
        <f>IF(K159="","",
IF(AX159="PT",VLOOKUP(K159,Foundation_Calc!$K$79:$R$112,VLOOKUP(AW159,Foundation_Calc!$I$2:$J$8,2,FALSE),0),
IF(AX159="K",VLOOKUP(K159,Foundation_Calc!$K$116:$R$149,VLOOKUP(AW159,Foundation_Calc!$I$2:$J$8,2,FALSE),0),"")))</f>
        <v/>
      </c>
      <c r="BA159" s="553" t="str">
        <f t="shared" si="47"/>
        <v/>
      </c>
      <c r="BB159" s="553" t="str">
        <f t="shared" si="48"/>
        <v/>
      </c>
      <c r="BC159" s="553" t="str">
        <f t="shared" si="49"/>
        <v/>
      </c>
      <c r="BD159" s="572" t="str">
        <f>IF(AND(L159="",H159=""),"",
IF(H159="",Pole_Calc!A$9,
IF(H159="MP",Pole_Calc!A$10,
IF(H159="AnMP",Pole_Calc!A$11,
IF(H159="A",Pole_Calc!A$12,
IF(H159="S/A",Pole_Calc!A$13,
IF(H159="A/S",Pole_Calc!A$14,"Poner a mano")))))))</f>
        <v/>
      </c>
      <c r="BE159" s="448" t="s">
        <v>1726</v>
      </c>
      <c r="BF159" s="305"/>
      <c r="BG159" s="305"/>
      <c r="BH159" s="306"/>
      <c r="BI159" s="305"/>
    </row>
    <row r="160" spans="1:61" ht="16.2" customHeight="1">
      <c r="A160" s="573"/>
      <c r="B160" s="469" t="s">
        <v>2333</v>
      </c>
      <c r="C160" s="3">
        <f>C156+G159</f>
        <v>139.01</v>
      </c>
      <c r="D160" s="88"/>
      <c r="E160" s="4"/>
      <c r="F160" s="4">
        <v>0</v>
      </c>
      <c r="G160" s="6"/>
      <c r="H160" s="468"/>
      <c r="I160" s="468" t="s">
        <v>482</v>
      </c>
      <c r="J160" s="3"/>
      <c r="K160" s="468"/>
      <c r="L160" s="468" t="s">
        <v>37</v>
      </c>
      <c r="M160" s="468" t="str">
        <f>IF(L160="","",
IF(AX160="PT",VLOOKUP(L160,Foundation_Calc!$V$79:$X$112,VLOOKUP(AX160,Foundation_Calc!$I$10:$J$13,2,FALSE),0),
IF(AX160="K",VLOOKUP(L160,Foundation_Calc!$V$116:$X$149,VLOOKUP(AX160,Foundation_Calc!$I$10:$J$13,2,FALSE),0),"")))</f>
        <v>C3R</v>
      </c>
      <c r="N160" s="468" t="s">
        <v>32</v>
      </c>
      <c r="O160" s="468"/>
      <c r="P160" s="468"/>
      <c r="Q160" s="4"/>
      <c r="R160" s="6"/>
      <c r="S160" s="6"/>
      <c r="T160" s="4">
        <v>-30</v>
      </c>
      <c r="U160" s="4"/>
      <c r="V160" s="4"/>
      <c r="W160" s="9">
        <v>1.4</v>
      </c>
      <c r="X160" s="9"/>
      <c r="Y160" s="9"/>
      <c r="Z160" s="9"/>
      <c r="AA160" s="9"/>
      <c r="AB160" s="9"/>
      <c r="AC160" s="468" t="str">
        <f t="shared" si="46"/>
        <v>PHQ</v>
      </c>
      <c r="AD160" s="468"/>
      <c r="AE160" s="468"/>
      <c r="AF160" s="4"/>
      <c r="AG160" s="88"/>
      <c r="AH160" s="4"/>
      <c r="AI160" s="4"/>
      <c r="AJ160" s="468"/>
      <c r="AK160" s="468"/>
      <c r="AL160" s="468"/>
      <c r="AM160" s="468"/>
      <c r="AN160" s="10">
        <v>5.5</v>
      </c>
      <c r="AO160" s="9"/>
      <c r="AP160" s="9"/>
      <c r="AQ160" s="9"/>
      <c r="AR160" s="9"/>
      <c r="AS160" s="9"/>
      <c r="AT160" s="9">
        <f>+ab($T$160,$T$156,$T$162,$G$159,$G$161, 1*$F$160,1200)</f>
        <v>-7.0588246879210628</v>
      </c>
      <c r="AU160" s="447"/>
      <c r="AV160" s="447"/>
      <c r="AW160" s="468" t="str">
        <f>IF(C160&gt;0,VLOOKUP(C160,Foundation_Calc!$A$2:$C$986,3,1),
IF(J160&gt;0,VLOOKUP(J160,Foundation_Calc!$A$2:$C$986,3,1),""))</f>
        <v>MultiSoil</v>
      </c>
      <c r="AX160" s="468" t="str">
        <f>IF(C160&gt;0,VLOOKUP(C160,Foundation_Calc!$E$2:$G$986,3,1),
IF(J160&gt;0,VLOOKUP(J160,Foundation_Calc!$E$2:$G$986,3,1),""))</f>
        <v>PT</v>
      </c>
      <c r="AY160" s="10">
        <f>IF(L160="","",
IF(AX160="PT",VLOOKUP(L160,Foundation_Calc!$K$79:$R$112,VLOOKUP(AW160,Foundation_Calc!$I$2:$J$8,2,FALSE),0),
IF(AX160="K",VLOOKUP(L160,Foundation_Calc!$K$116:$R$149,VLOOKUP(AW160,Foundation_Calc!$I$2:$J$8,2,FALSE),0),"")))</f>
        <v>3.5</v>
      </c>
      <c r="AZ160" s="10" t="str">
        <f>IF(K160="","",
IF(AX160="PT",VLOOKUP(K160,Foundation_Calc!$K$79:$R$112,VLOOKUP(AW160,Foundation_Calc!$I$2:$J$8,2,FALSE),0),
IF(AX160="K",VLOOKUP(K160,Foundation_Calc!$K$116:$R$149,VLOOKUP(AW160,Foundation_Calc!$I$2:$J$8,2,FALSE),0),"")))</f>
        <v/>
      </c>
      <c r="BA160" s="553" t="str">
        <f t="shared" si="47"/>
        <v>ü</v>
      </c>
      <c r="BB160" s="553" t="str">
        <f t="shared" si="48"/>
        <v/>
      </c>
      <c r="BC160" s="553" t="str">
        <f t="shared" si="49"/>
        <v/>
      </c>
      <c r="BD160" s="572" t="str">
        <f>IF(AND(L160="",H160=""),"",
IF(H160="",Pole_Calc!A$9,
IF(H160="MP",Pole_Calc!A$10,
IF(H160="AnMP",Pole_Calc!A$11,
IF(H160="A",Pole_Calc!A$12,
IF(H160="S/A",Pole_Calc!A$13,
IF(H160="A/S",Pole_Calc!A$14,"Poner a mano")))))))</f>
        <v>App.7-V11H-P9.5.1.1</v>
      </c>
      <c r="BE160" s="448" t="s">
        <v>1726</v>
      </c>
      <c r="BF160" s="306"/>
      <c r="BG160" s="306"/>
      <c r="BH160" s="306"/>
      <c r="BI160" s="306"/>
    </row>
    <row r="161" spans="1:61" ht="16.2" customHeight="1">
      <c r="A161" s="573"/>
      <c r="B161" s="469"/>
      <c r="C161" s="3"/>
      <c r="D161" s="88"/>
      <c r="E161" s="4"/>
      <c r="F161" s="4"/>
      <c r="G161" s="6">
        <v>39</v>
      </c>
      <c r="H161" s="468"/>
      <c r="I161" s="468"/>
      <c r="J161" s="3">
        <f>C160+7.5</f>
        <v>146.51</v>
      </c>
      <c r="K161" s="468" t="s">
        <v>1096</v>
      </c>
      <c r="L161" s="468"/>
      <c r="M161" s="468" t="str">
        <f>IF(L161="","",
IF(AX161="PT",VLOOKUP(L161,Foundation_Calc!$V$79:$X$112,VLOOKUP(AX161,Foundation_Calc!$I$10:$J$13,2,FALSE),0),
IF(AX161="K",VLOOKUP(L161,Foundation_Calc!$V$116:$X$149,VLOOKUP(AX161,Foundation_Calc!$I$10:$J$13,2,FALSE),0),"")))</f>
        <v/>
      </c>
      <c r="N161" s="468"/>
      <c r="O161" s="468"/>
      <c r="P161" s="468"/>
      <c r="Q161" s="4"/>
      <c r="R161" s="6"/>
      <c r="S161" s="6"/>
      <c r="T161" s="4"/>
      <c r="U161" s="4"/>
      <c r="V161" s="4"/>
      <c r="W161" s="9"/>
      <c r="X161" s="9"/>
      <c r="Y161" s="9"/>
      <c r="Z161" s="9"/>
      <c r="AA161" s="9"/>
      <c r="AB161" s="9"/>
      <c r="AC161" s="468" t="str">
        <f t="shared" si="46"/>
        <v/>
      </c>
      <c r="AD161" s="468"/>
      <c r="AE161" s="468"/>
      <c r="AF161" s="4"/>
      <c r="AG161" s="88"/>
      <c r="AH161" s="4"/>
      <c r="AI161" s="4"/>
      <c r="AJ161" s="468"/>
      <c r="AK161" s="468"/>
      <c r="AL161" s="468"/>
      <c r="AM161" s="468"/>
      <c r="AN161" s="10"/>
      <c r="AO161" s="9"/>
      <c r="AP161" s="9"/>
      <c r="AQ161" s="9">
        <f>+FL_2($T$162,$T$160,$G$161,1200,9.28, 1*$F$162)</f>
        <v>-0.33528749487179482</v>
      </c>
      <c r="AR161" s="9"/>
      <c r="AS161" s="9"/>
      <c r="AT161" s="9"/>
      <c r="AU161" s="447"/>
      <c r="AV161" s="447"/>
      <c r="AW161" s="468" t="str">
        <f>IF(C161&gt;0,VLOOKUP(C161,Foundation_Calc!$A$2:$C$986,3,1),
IF(J161&gt;0,VLOOKUP(J161,Foundation_Calc!$A$2:$C$986,3,1),""))</f>
        <v>MultiSoil</v>
      </c>
      <c r="AX161" s="468" t="str">
        <f>IF(C161&gt;0,VLOOKUP(C161,Foundation_Calc!$E$2:$G$986,3,1),
IF(J161&gt;0,VLOOKUP(J161,Foundation_Calc!$E$2:$G$986,3,1),""))</f>
        <v>PT</v>
      </c>
      <c r="AY161" s="10" t="str">
        <f>IF(L161="","",
IF(AX161="PT",VLOOKUP(L161,Foundation_Calc!$K$79:$R$112,VLOOKUP(AW161,Foundation_Calc!$I$2:$J$8,2,FALSE),0),
IF(AX161="K",VLOOKUP(L161,Foundation_Calc!$K$116:$R$149,VLOOKUP(AW161,Foundation_Calc!$I$2:$J$8,2,FALSE),0),"")))</f>
        <v/>
      </c>
      <c r="AZ161" s="10">
        <f>IF(K161="","",
IF(AX161="PT",VLOOKUP(K161,Foundation_Calc!$K$79:$R$112,VLOOKUP(AW161,Foundation_Calc!$I$2:$J$8,2,FALSE),0),
IF(AX161="K",VLOOKUP(K161,Foundation_Calc!$K$116:$R$149,VLOOKUP(AW161,Foundation_Calc!$I$2:$J$8,2,FALSE),0),"")))</f>
        <v>2.8</v>
      </c>
      <c r="BA161" s="553" t="str">
        <f t="shared" si="47"/>
        <v/>
      </c>
      <c r="BB161" s="553" t="str">
        <f t="shared" si="48"/>
        <v>ü</v>
      </c>
      <c r="BC161" s="553" t="str">
        <f t="shared" si="49"/>
        <v/>
      </c>
      <c r="BD161" s="572" t="str">
        <f>IF(AND(L161="",H161=""),"",
IF(H161="",Pole_Calc!A$9,
IF(H161="MP",Pole_Calc!A$10,
IF(H161="AnMP",Pole_Calc!A$11,
IF(H161="A",Pole_Calc!A$12,
IF(H161="S/A",Pole_Calc!A$13,
IF(H161="A/S",Pole_Calc!A$14,"Poner a mano")))))))</f>
        <v/>
      </c>
      <c r="BE161" s="448" t="s">
        <v>1726</v>
      </c>
      <c r="BF161" s="305"/>
      <c r="BG161" s="305"/>
      <c r="BH161" s="306"/>
      <c r="BI161" s="305"/>
    </row>
    <row r="162" spans="1:61" ht="16.2" customHeight="1">
      <c r="A162" s="573"/>
      <c r="B162" s="469" t="s">
        <v>2332</v>
      </c>
      <c r="C162" s="3">
        <f>C160+G161</f>
        <v>178.01</v>
      </c>
      <c r="D162" s="88"/>
      <c r="E162" s="4"/>
      <c r="F162" s="4">
        <v>0</v>
      </c>
      <c r="G162" s="6"/>
      <c r="H162" s="468" t="s">
        <v>26</v>
      </c>
      <c r="I162" s="468" t="s">
        <v>182</v>
      </c>
      <c r="J162" s="3"/>
      <c r="K162" s="468"/>
      <c r="L162" s="468" t="s">
        <v>326</v>
      </c>
      <c r="M162" s="468" t="str">
        <f>IF(L162="","",
IF(AX162="PT",VLOOKUP(L162,Foundation_Calc!$V$79:$X$112,VLOOKUP(AX162,Foundation_Calc!$I$10:$J$13,2,FALSE),0),
IF(AX162="K",VLOOKUP(L162,Foundation_Calc!$V$116:$X$149,VLOOKUP(AX162,Foundation_Calc!$I$10:$J$13,2,FALSE),0),"")))</f>
        <v>C8R</v>
      </c>
      <c r="N162" s="468"/>
      <c r="O162" s="468"/>
      <c r="P162" s="468"/>
      <c r="Q162" s="4"/>
      <c r="R162" s="6"/>
      <c r="S162" s="6"/>
      <c r="T162" s="4">
        <v>0</v>
      </c>
      <c r="U162" s="4"/>
      <c r="V162" s="4"/>
      <c r="W162" s="9"/>
      <c r="X162" s="9"/>
      <c r="Y162" s="9"/>
      <c r="Z162" s="9"/>
      <c r="AA162" s="9"/>
      <c r="AB162" s="9"/>
      <c r="AC162" s="468"/>
      <c r="AD162" s="468"/>
      <c r="AE162" s="468"/>
      <c r="AF162" s="4"/>
      <c r="AG162" s="88"/>
      <c r="AH162" s="4"/>
      <c r="AI162" s="4"/>
      <c r="AJ162" s="468"/>
      <c r="AK162" s="468"/>
      <c r="AL162" s="468"/>
      <c r="AM162" s="468"/>
      <c r="AN162" s="10">
        <v>5.5</v>
      </c>
      <c r="AO162" s="9"/>
      <c r="AP162" s="9"/>
      <c r="AQ162" s="9"/>
      <c r="AR162" s="9"/>
      <c r="AS162" s="9"/>
      <c r="AT162" s="9"/>
      <c r="AU162" s="447"/>
      <c r="AV162" s="447"/>
      <c r="AW162" s="468" t="str">
        <f>IF(C162&gt;0,VLOOKUP(C162,Foundation_Calc!$A$2:$C$986,3,1),
IF(J162&gt;0,VLOOKUP(J162,Foundation_Calc!$A$2:$C$986,3,1),""))</f>
        <v>MultiSoil</v>
      </c>
      <c r="AX162" s="468" t="str">
        <f>IF(C162&gt;0,VLOOKUP(C162,Foundation_Calc!$E$2:$G$986,3,1),
IF(J162&gt;0,VLOOKUP(J162,Foundation_Calc!$E$2:$G$986,3,1),""))</f>
        <v>PT</v>
      </c>
      <c r="AY162" s="10">
        <f>IF(L162="","",
IF(AX162="PT",VLOOKUP(L162,Foundation_Calc!$K$79:$R$112,VLOOKUP(AW162,Foundation_Calc!$I$2:$J$8,2,FALSE),0),
IF(AX162="K",VLOOKUP(L162,Foundation_Calc!$K$116:$R$149,VLOOKUP(AW162,Foundation_Calc!$I$2:$J$8,2,FALSE),0),"")))</f>
        <v>4.5</v>
      </c>
      <c r="AZ162" s="10" t="str">
        <f>IF(K162="","",
IF(AX162="PT",VLOOKUP(K162,Foundation_Calc!$K$79:$R$112,VLOOKUP(AW162,Foundation_Calc!$I$2:$J$8,2,FALSE),0),
IF(AX162="K",VLOOKUP(K162,Foundation_Calc!$K$116:$R$149,VLOOKUP(AW162,Foundation_Calc!$I$2:$J$8,2,FALSE),0),"")))</f>
        <v/>
      </c>
      <c r="BA162" s="553" t="str">
        <f t="shared" si="47"/>
        <v>ü</v>
      </c>
      <c r="BB162" s="553" t="str">
        <f t="shared" si="48"/>
        <v/>
      </c>
      <c r="BC162" s="553" t="str">
        <f t="shared" si="49"/>
        <v/>
      </c>
      <c r="BD162" s="572" t="str">
        <f>Pole_Calc!A$199</f>
        <v>App.7-V11H-P11.1</v>
      </c>
      <c r="BE162" s="448" t="s">
        <v>1726</v>
      </c>
      <c r="BF162" s="306"/>
      <c r="BG162" s="306"/>
      <c r="BH162" s="306"/>
      <c r="BI162" s="306"/>
    </row>
    <row r="163" spans="1:61" ht="16.2" customHeight="1" thickBot="1">
      <c r="A163" s="585"/>
      <c r="B163" s="586"/>
      <c r="C163" s="587"/>
      <c r="D163" s="588"/>
      <c r="E163" s="589"/>
      <c r="F163" s="589"/>
      <c r="G163" s="590"/>
      <c r="H163" s="591"/>
      <c r="I163" s="591"/>
      <c r="J163" s="587"/>
      <c r="K163" s="591"/>
      <c r="L163" s="591"/>
      <c r="M163" s="591" t="str">
        <f>IF(L163="","",
IF(AX163="PT",VLOOKUP(L163,Foundation_Calc!$V$4:$X$37,VLOOKUP(AX163,Foundation_Calc!$I$10:$J$13,2,FALSE),0),
IF(AX163="K",VLOOKUP(L163,Foundation_Calc!$V$41:$X$74,VLOOKUP(AX163,Foundation_Calc!$I$10:$J$13,2,FALSE),0),"")))</f>
        <v/>
      </c>
      <c r="N163" s="591"/>
      <c r="O163" s="591"/>
      <c r="P163" s="591"/>
      <c r="Q163" s="589"/>
      <c r="R163" s="590"/>
      <c r="S163" s="590"/>
      <c r="T163" s="589"/>
      <c r="U163" s="589"/>
      <c r="V163" s="589"/>
      <c r="W163" s="592"/>
      <c r="X163" s="592"/>
      <c r="Y163" s="592"/>
      <c r="Z163" s="592"/>
      <c r="AA163" s="592"/>
      <c r="AB163" s="592"/>
      <c r="AC163" s="591" t="str">
        <f t="shared" si="46"/>
        <v/>
      </c>
      <c r="AD163" s="591"/>
      <c r="AE163" s="591"/>
      <c r="AF163" s="589"/>
      <c r="AG163" s="588"/>
      <c r="AH163" s="589"/>
      <c r="AI163" s="589"/>
      <c r="AJ163" s="591"/>
      <c r="AK163" s="591"/>
      <c r="AL163" s="591"/>
      <c r="AM163" s="591"/>
      <c r="AN163" s="593"/>
      <c r="AO163" s="592"/>
      <c r="AP163" s="592"/>
      <c r="AQ163" s="592"/>
      <c r="AR163" s="592"/>
      <c r="AS163" s="592"/>
      <c r="AT163" s="592"/>
      <c r="AU163" s="594"/>
      <c r="AV163" s="594"/>
      <c r="AW163" s="591" t="str">
        <f>IF(C163&gt;0,VLOOKUP(C163,Foundation_Calc!$A$2:$C$986,3,1),
IF(J163&gt;0,VLOOKUP(J163,Foundation_Calc!$A$2:$C$986,3,1),""))</f>
        <v/>
      </c>
      <c r="AX163" s="591" t="str">
        <f>IF(C163&gt;0,VLOOKUP(C163,Foundation_Calc!$E$2:$G$986,3,1),
IF(J163&gt;0,VLOOKUP(J163,Foundation_Calc!$E$2:$G$986,3,1),""))</f>
        <v/>
      </c>
      <c r="AY163" s="593" t="str">
        <f>IF(L163="","",
IF(AX163="PT",VLOOKUP(L163,Foundation_Calc!$K$4:$R$37,VLOOKUP(AW163,Foundation_Calc!$I$2:$J$8,2,FALSE),0),
IF(AX163="K",VLOOKUP(L163,Foundation_Calc!$K$41:$R$74,VLOOKUP(AW163,Foundation_Calc!$I$2:$J$8,2,FALSE),0),"")))</f>
        <v/>
      </c>
      <c r="AZ163" s="593" t="str">
        <f>IF(K163="","",
IF(AX163="PT",VLOOKUP(K163,Foundation_Calc!$K$4:$R$37,VLOOKUP(AW163,Foundation_Calc!$I$2:$J$8,2,FALSE),0),
IF(AX163="K",VLOOKUP(K163,Foundation_Calc!$K$41:$R$74,VLOOKUP(AW163,Foundation_Calc!$I$2:$J$8,2,FALSE),0),"")))</f>
        <v/>
      </c>
      <c r="BA163" s="595" t="str">
        <f t="shared" si="47"/>
        <v/>
      </c>
      <c r="BB163" s="595" t="str">
        <f t="shared" si="48"/>
        <v/>
      </c>
      <c r="BC163" s="595" t="str">
        <f t="shared" si="49"/>
        <v/>
      </c>
      <c r="BD163" s="596" t="str">
        <f>IF(AND(L163="",H163=""),"",
IF(H163="",Pole_Calc!A$9,
IF(H163="MP",Pole_Calc!A$10,
IF(H163="AnMP",Pole_Calc!A$11,
IF(H163="A",Pole_Calc!A$12,
IF(H163="S/A",Pole_Calc!A$13,
IF(H163="A/S",Pole_Calc!A$14,"Poner a mano")))))))</f>
        <v/>
      </c>
      <c r="BE163" s="448" t="s">
        <v>1726</v>
      </c>
      <c r="BF163" s="629"/>
      <c r="BG163" s="629"/>
      <c r="BH163" s="630"/>
      <c r="BI163" s="629"/>
    </row>
    <row r="164" spans="1:61" ht="16.2" customHeight="1">
      <c r="A164" s="12"/>
      <c r="B164" s="446"/>
      <c r="C164" s="89"/>
      <c r="D164" s="13"/>
      <c r="E164" s="14"/>
      <c r="F164" s="14"/>
      <c r="G164" s="15"/>
      <c r="H164" s="8"/>
      <c r="I164" s="8"/>
      <c r="J164" s="89"/>
      <c r="K164" s="8"/>
      <c r="L164" s="8"/>
      <c r="M164" s="8" t="str">
        <f>IF(L164="","",
IF(AX164="PT",VLOOKUP(L164,Foundation_Calc!$V$4:$X$37,VLOOKUP(AX164,Foundation_Calc!$I$10:$J$13,2,FALSE),0),
IF(AX164="K",VLOOKUP(L164,Foundation_Calc!$V$41:$X$74,VLOOKUP(AX164,Foundation_Calc!$I$10:$J$13,2,FALSE),0),"")))</f>
        <v/>
      </c>
      <c r="N164" s="8"/>
      <c r="O164" s="8"/>
      <c r="P164" s="8"/>
      <c r="Q164" s="14"/>
      <c r="R164" s="15"/>
      <c r="S164" s="15"/>
      <c r="T164" s="14"/>
      <c r="U164" s="14"/>
      <c r="V164" s="14"/>
      <c r="W164" s="18"/>
      <c r="X164" s="18"/>
      <c r="Y164" s="18"/>
      <c r="Z164" s="18"/>
      <c r="AA164" s="18"/>
      <c r="AB164" s="18"/>
      <c r="AC164" s="8" t="str">
        <f t="shared" si="46"/>
        <v/>
      </c>
      <c r="AD164" s="8"/>
      <c r="AE164" s="8"/>
      <c r="AF164" s="14"/>
      <c r="AG164" s="13"/>
      <c r="AH164" s="14"/>
      <c r="AI164" s="14"/>
      <c r="AJ164" s="8"/>
      <c r="AK164" s="8"/>
      <c r="AL164" s="8"/>
      <c r="AM164" s="8"/>
      <c r="AN164" s="631"/>
      <c r="AO164" s="18"/>
      <c r="AP164" s="18"/>
      <c r="AQ164" s="18"/>
      <c r="AR164" s="18"/>
      <c r="AS164" s="18"/>
      <c r="AU164" s="448"/>
      <c r="AV164" s="448"/>
      <c r="AW164" s="8" t="str">
        <f>IF(C164&gt;0,VLOOKUP(C164,Foundation_Calc!$A$2:$C$986,3,1),
IF(J164&gt;0,VLOOKUP(J164,Foundation_Calc!$A$2:$C$986,3,1),""))</f>
        <v/>
      </c>
      <c r="AX164" s="8" t="str">
        <f>IF(C164&gt;0,VLOOKUP(C164,Foundation_Calc!$E$2:$G$986,3,1),
IF(J164&gt;0,VLOOKUP(J164,Foundation_Calc!$E$2:$G$986,3,1),""))</f>
        <v/>
      </c>
      <c r="AY164" s="631" t="str">
        <f>IF(L164="","",
IF(AX164="PT",VLOOKUP(L164,Foundation_Calc!$K$4:$R$37,VLOOKUP(AW164,Foundation_Calc!$I$2:$J$8,2,FALSE),0),
IF(AX164="K",VLOOKUP(L164,Foundation_Calc!$K$41:$R$74,VLOOKUP(AW164,Foundation_Calc!$I$2:$J$8,2,FALSE),0),"")))</f>
        <v/>
      </c>
      <c r="AZ164" s="631" t="str">
        <f>IF(K164="","",
IF(AX164="PT",VLOOKUP(K164,Foundation_Calc!$K$4:$R$37,VLOOKUP(AW164,Foundation_Calc!$I$2:$J$8,2,FALSE),0),
IF(AX164="K",VLOOKUP(K164,Foundation_Calc!$K$41:$R$74,VLOOKUP(AW164,Foundation_Calc!$I$2:$J$8,2,FALSE),0),"")))</f>
        <v/>
      </c>
      <c r="BA164" s="637" t="str">
        <f t="shared" si="47"/>
        <v/>
      </c>
      <c r="BB164" s="637" t="str">
        <f t="shared" si="48"/>
        <v/>
      </c>
      <c r="BC164" s="637" t="str">
        <f t="shared" si="49"/>
        <v/>
      </c>
      <c r="BD164" s="633" t="str">
        <f>IF(AND(L164="",H164=""),"",
IF(H164="",Pole_Calc!A$9,
IF(H164="MP",Pole_Calc!A$10,
IF(H164="AnMP",Pole_Calc!A$11,
IF(H164="A",Pole_Calc!A$12,
IF(H164="S/A",Pole_Calc!A$13,
IF(H164="A/S",Pole_Calc!A$14,"Poner a mano")))))))</f>
        <v/>
      </c>
      <c r="BE164" s="448" t="s">
        <v>1726</v>
      </c>
      <c r="BF164" s="634"/>
      <c r="BG164" s="634"/>
      <c r="BH164" s="634"/>
      <c r="BI164" s="634"/>
    </row>
    <row r="165" spans="1:61" ht="16.2" customHeight="1">
      <c r="A165" s="12"/>
      <c r="B165" s="446"/>
      <c r="C165" s="89"/>
      <c r="D165" s="13"/>
      <c r="E165" s="14"/>
      <c r="F165" s="14"/>
      <c r="G165" s="15"/>
      <c r="H165" s="8"/>
      <c r="I165" s="8"/>
      <c r="J165" s="89"/>
      <c r="K165" s="8"/>
      <c r="L165" s="8"/>
      <c r="M165" s="8" t="str">
        <f>IF(L165="","",
IF(AX165="PT",VLOOKUP(L165,Foundation_Calc!$V$4:$X$37,VLOOKUP(AX165,Foundation_Calc!$I$10:$J$13,2,FALSE),0),
IF(AX165="K",VLOOKUP(L165,Foundation_Calc!$V$41:$X$74,VLOOKUP(AX165,Foundation_Calc!$I$10:$J$13,2,FALSE),0),"")))</f>
        <v/>
      </c>
      <c r="N165" s="8"/>
      <c r="O165" s="8"/>
      <c r="P165" s="8"/>
      <c r="Q165" s="14"/>
      <c r="R165" s="15"/>
      <c r="S165" s="15"/>
      <c r="T165" s="14"/>
      <c r="U165" s="14"/>
      <c r="V165" s="14"/>
      <c r="W165" s="18"/>
      <c r="X165" s="18"/>
      <c r="Y165" s="18"/>
      <c r="Z165" s="18"/>
      <c r="AA165" s="18"/>
      <c r="AB165" s="18"/>
      <c r="AC165" s="8" t="str">
        <f t="shared" si="46"/>
        <v/>
      </c>
      <c r="AD165" s="8"/>
      <c r="AE165" s="8"/>
      <c r="AF165" s="14"/>
      <c r="AG165" s="13"/>
      <c r="AH165" s="14"/>
      <c r="AI165" s="14"/>
      <c r="AJ165" s="8"/>
      <c r="AK165" s="8"/>
      <c r="AL165" s="8"/>
      <c r="AM165" s="8"/>
      <c r="AN165" s="631"/>
      <c r="AO165" s="18"/>
      <c r="AP165" s="18"/>
      <c r="AQ165" s="18"/>
      <c r="AR165" s="18"/>
      <c r="AS165" s="18"/>
      <c r="AU165" s="448"/>
      <c r="AV165" s="448"/>
      <c r="AW165" s="8" t="str">
        <f>IF(C165&gt;0,VLOOKUP(C165,Foundation_Calc!$A$2:$C$986,3,1),
IF(J165&gt;0,VLOOKUP(J165,Foundation_Calc!$A$2:$C$986,3,1),""))</f>
        <v/>
      </c>
      <c r="AX165" s="8" t="str">
        <f>IF(C165&gt;0,VLOOKUP(C165,Foundation_Calc!$E$2:$G$986,3,1),
IF(J165&gt;0,VLOOKUP(J165,Foundation_Calc!$E$2:$G$986,3,1),""))</f>
        <v/>
      </c>
      <c r="AY165" s="631" t="str">
        <f>IF(L165="","",
IF(AX165="PT",VLOOKUP(L165,Foundation_Calc!$K$4:$R$37,VLOOKUP(AW165,Foundation_Calc!$I$2:$J$8,2,FALSE),0),
IF(AX165="K",VLOOKUP(L165,Foundation_Calc!$K$41:$R$74,VLOOKUP(AW165,Foundation_Calc!$I$2:$J$8,2,FALSE),0),"")))</f>
        <v/>
      </c>
      <c r="AZ165" s="631" t="str">
        <f>IF(K165="","",
IF(AX165="PT",VLOOKUP(K165,Foundation_Calc!$K$4:$R$37,VLOOKUP(AW165,Foundation_Calc!$I$2:$J$8,2,FALSE),0),
IF(AX165="K",VLOOKUP(K165,Foundation_Calc!$K$41:$R$74,VLOOKUP(AW165,Foundation_Calc!$I$2:$J$8,2,FALSE),0),"")))</f>
        <v/>
      </c>
      <c r="BA165" s="637" t="str">
        <f t="shared" si="47"/>
        <v/>
      </c>
      <c r="BB165" s="637" t="str">
        <f t="shared" si="48"/>
        <v/>
      </c>
      <c r="BC165" s="637" t="str">
        <f t="shared" si="49"/>
        <v/>
      </c>
      <c r="BD165" s="633" t="str">
        <f>IF(AND(L165="",H165=""),"",
IF(H165="",Pole_Calc!A$9,
IF(H165="MP",Pole_Calc!A$10,
IF(H165="AnMP",Pole_Calc!A$11,
IF(H165="A",Pole_Calc!A$12,
IF(H165="S/A",Pole_Calc!A$13,
IF(H165="A/S",Pole_Calc!A$14,"Poner a mano")))))))</f>
        <v/>
      </c>
      <c r="BE165" s="448" t="s">
        <v>1726</v>
      </c>
      <c r="BF165" s="635"/>
      <c r="BG165" s="635"/>
      <c r="BH165" s="634"/>
      <c r="BI165" s="635"/>
    </row>
    <row r="166" spans="1:61" ht="16.2" customHeight="1">
      <c r="A166" s="12"/>
      <c r="B166" s="446"/>
      <c r="C166" s="89"/>
      <c r="D166" s="13"/>
      <c r="E166" s="14"/>
      <c r="F166" s="14"/>
      <c r="G166" s="15"/>
      <c r="H166" s="8"/>
      <c r="I166" s="8"/>
      <c r="J166" s="89"/>
      <c r="K166" s="8"/>
      <c r="L166" s="8"/>
      <c r="M166" s="8" t="str">
        <f>IF(L166="","",
IF(AX166="PT",VLOOKUP(L166,Foundation_Calc!$V$4:$X$37,VLOOKUP(AX166,Foundation_Calc!$I$10:$J$13,2,FALSE),0),
IF(AX166="K",VLOOKUP(L166,Foundation_Calc!$V$41:$X$74,VLOOKUP(AX166,Foundation_Calc!$I$10:$J$13,2,FALSE),0),"")))</f>
        <v/>
      </c>
      <c r="N166" s="8"/>
      <c r="O166" s="8"/>
      <c r="P166" s="8"/>
      <c r="Q166" s="14"/>
      <c r="R166" s="15"/>
      <c r="S166" s="15"/>
      <c r="T166" s="14"/>
      <c r="U166" s="14"/>
      <c r="V166" s="14"/>
      <c r="W166" s="18"/>
      <c r="X166" s="18"/>
      <c r="Y166" s="18"/>
      <c r="Z166" s="18"/>
      <c r="AA166" s="18"/>
      <c r="AB166" s="18"/>
      <c r="AC166" s="8" t="str">
        <f t="shared" si="46"/>
        <v/>
      </c>
      <c r="AD166" s="8"/>
      <c r="AE166" s="8"/>
      <c r="AF166" s="14"/>
      <c r="AG166" s="13"/>
      <c r="AH166" s="14"/>
      <c r="AI166" s="14"/>
      <c r="AJ166" s="8"/>
      <c r="AK166" s="8"/>
      <c r="AL166" s="8"/>
      <c r="AM166" s="8"/>
      <c r="AN166" s="631"/>
      <c r="AO166" s="18"/>
      <c r="AP166" s="18"/>
      <c r="AQ166" s="18"/>
      <c r="AR166" s="18"/>
      <c r="AS166" s="18"/>
      <c r="AU166" s="448"/>
      <c r="AV166" s="448"/>
      <c r="AW166" s="8" t="str">
        <f>IF(C166&gt;0,VLOOKUP(C166,Foundation_Calc!$A$2:$C$986,3,1),
IF(J166&gt;0,VLOOKUP(J166,Foundation_Calc!$A$2:$C$986,3,1),""))</f>
        <v/>
      </c>
      <c r="AX166" s="8" t="str">
        <f>IF(C166&gt;0,VLOOKUP(C166,Foundation_Calc!$E$2:$G$986,3,1),
IF(J166&gt;0,VLOOKUP(J166,Foundation_Calc!$E$2:$G$986,3,1),""))</f>
        <v/>
      </c>
      <c r="AY166" s="631" t="str">
        <f>IF(L166="","",
IF(AX166="PT",VLOOKUP(L166,Foundation_Calc!$K$4:$R$37,VLOOKUP(AW166,Foundation_Calc!$I$2:$J$8,2,FALSE),0),
IF(AX166="K",VLOOKUP(L166,Foundation_Calc!$K$41:$R$74,VLOOKUP(AW166,Foundation_Calc!$I$2:$J$8,2,FALSE),0),"")))</f>
        <v/>
      </c>
      <c r="AZ166" s="631" t="str">
        <f>IF(K166="","",
IF(AX166="PT",VLOOKUP(K166,Foundation_Calc!$K$4:$R$37,VLOOKUP(AW166,Foundation_Calc!$I$2:$J$8,2,FALSE),0),
IF(AX166="K",VLOOKUP(K166,Foundation_Calc!$K$41:$R$74,VLOOKUP(AW166,Foundation_Calc!$I$2:$J$8,2,FALSE),0),"")))</f>
        <v/>
      </c>
      <c r="BA166" s="637" t="str">
        <f t="shared" si="47"/>
        <v/>
      </c>
      <c r="BB166" s="637" t="str">
        <f t="shared" si="48"/>
        <v/>
      </c>
      <c r="BC166" s="637" t="str">
        <f t="shared" si="49"/>
        <v/>
      </c>
      <c r="BD166" s="633" t="str">
        <f>IF(AND(L166="",H166=""),"",
IF(H166="",Pole_Calc!A$9,
IF(H166="MP",Pole_Calc!A$10,
IF(H166="AnMP",Pole_Calc!A$11,
IF(H166="A",Pole_Calc!A$12,
IF(H166="S/A",Pole_Calc!A$13,
IF(H166="A/S",Pole_Calc!A$14,"Poner a mano")))))))</f>
        <v/>
      </c>
      <c r="BE166" s="448" t="s">
        <v>1726</v>
      </c>
      <c r="BF166" s="634"/>
      <c r="BG166" s="634"/>
      <c r="BH166" s="634"/>
      <c r="BI166" s="634"/>
    </row>
    <row r="167" spans="1:61" ht="16.2" customHeight="1">
      <c r="A167" s="12"/>
      <c r="B167" s="446"/>
      <c r="C167" s="89"/>
      <c r="D167" s="13"/>
      <c r="E167" s="14"/>
      <c r="F167" s="14"/>
      <c r="G167" s="15"/>
      <c r="H167" s="8"/>
      <c r="I167" s="8"/>
      <c r="J167" s="89"/>
      <c r="K167" s="8"/>
      <c r="L167" s="8"/>
      <c r="M167" s="8" t="str">
        <f>IF(L167="","",
IF(AX167="PT",VLOOKUP(L167,Foundation_Calc!$V$4:$X$37,VLOOKUP(AX167,Foundation_Calc!$I$10:$J$13,2,FALSE),0),
IF(AX167="K",VLOOKUP(L167,Foundation_Calc!$V$41:$X$74,VLOOKUP(AX167,Foundation_Calc!$I$10:$J$13,2,FALSE),0),"")))</f>
        <v/>
      </c>
      <c r="N167" s="8"/>
      <c r="O167" s="8"/>
      <c r="P167" s="8"/>
      <c r="Q167" s="14"/>
      <c r="R167" s="15"/>
      <c r="S167" s="15"/>
      <c r="T167" s="14"/>
      <c r="U167" s="14"/>
      <c r="V167" s="14"/>
      <c r="W167" s="18"/>
      <c r="X167" s="18"/>
      <c r="Y167" s="18"/>
      <c r="Z167" s="18"/>
      <c r="AA167" s="18"/>
      <c r="AB167" s="18"/>
      <c r="AC167" s="8" t="str">
        <f t="shared" si="46"/>
        <v/>
      </c>
      <c r="AD167" s="8"/>
      <c r="AE167" s="8"/>
      <c r="AF167" s="14"/>
      <c r="AG167" s="13"/>
      <c r="AH167" s="14"/>
      <c r="AI167" s="14"/>
      <c r="AJ167" s="8"/>
      <c r="AK167" s="8"/>
      <c r="AL167" s="8"/>
      <c r="AM167" s="8"/>
      <c r="AN167" s="631"/>
      <c r="AO167" s="18"/>
      <c r="AP167" s="18"/>
      <c r="AQ167" s="18"/>
      <c r="AR167" s="18"/>
      <c r="AS167" s="18"/>
      <c r="AU167" s="448"/>
      <c r="AV167" s="448"/>
      <c r="AW167" s="8" t="str">
        <f>IF(C167&gt;0,VLOOKUP(C167,Foundation_Calc!$A$2:$C$986,3,1),
IF(J167&gt;0,VLOOKUP(J167,Foundation_Calc!$A$2:$C$986,3,1),""))</f>
        <v/>
      </c>
      <c r="AX167" s="8" t="str">
        <f>IF(C167&gt;0,VLOOKUP(C167,Foundation_Calc!$E$2:$G$986,3,1),
IF(J167&gt;0,VLOOKUP(J167,Foundation_Calc!$E$2:$G$986,3,1),""))</f>
        <v/>
      </c>
      <c r="AY167" s="631" t="str">
        <f>IF(L167="","",
IF(AX167="PT",VLOOKUP(L167,Foundation_Calc!$K$4:$R$37,VLOOKUP(AW167,Foundation_Calc!$I$2:$J$8,2,FALSE),0),
IF(AX167="K",VLOOKUP(L167,Foundation_Calc!$K$41:$R$74,VLOOKUP(AW167,Foundation_Calc!$I$2:$J$8,2,FALSE),0),"")))</f>
        <v/>
      </c>
      <c r="AZ167" s="631" t="str">
        <f>IF(K167="","",
IF(AX167="PT",VLOOKUP(K167,Foundation_Calc!$K$4:$R$37,VLOOKUP(AW167,Foundation_Calc!$I$2:$J$8,2,FALSE),0),
IF(AX167="K",VLOOKUP(K167,Foundation_Calc!$K$41:$R$74,VLOOKUP(AW167,Foundation_Calc!$I$2:$J$8,2,FALSE),0),"")))</f>
        <v/>
      </c>
      <c r="BA167" s="637" t="str">
        <f t="shared" si="47"/>
        <v/>
      </c>
      <c r="BB167" s="637" t="str">
        <f t="shared" si="48"/>
        <v/>
      </c>
      <c r="BC167" s="637" t="str">
        <f t="shared" si="49"/>
        <v/>
      </c>
      <c r="BD167" s="633" t="str">
        <f>IF(AND(L167="",H167=""),"",
IF(H167="",Pole_Calc!A$9,
IF(H167="MP",Pole_Calc!A$10,
IF(H167="AnMP",Pole_Calc!A$11,
IF(H167="A",Pole_Calc!A$12,
IF(H167="S/A",Pole_Calc!A$13,
IF(H167="A/S",Pole_Calc!A$14,"Poner a mano")))))))</f>
        <v/>
      </c>
      <c r="BE167" s="448" t="s">
        <v>1726</v>
      </c>
      <c r="BF167" s="635"/>
      <c r="BG167" s="635"/>
      <c r="BH167" s="634"/>
      <c r="BI167" s="635"/>
    </row>
    <row r="168" spans="1:61" ht="16.2" customHeight="1">
      <c r="A168" s="12"/>
      <c r="B168" s="446"/>
      <c r="C168" s="89"/>
      <c r="D168" s="13"/>
      <c r="E168" s="14"/>
      <c r="F168" s="14"/>
      <c r="G168" s="15"/>
      <c r="H168" s="8"/>
      <c r="I168" s="8"/>
      <c r="J168" s="89"/>
      <c r="K168" s="8"/>
      <c r="L168" s="8"/>
      <c r="M168" s="8" t="str">
        <f>IF(L168="","",
IF(AX168="PT",VLOOKUP(L168,Foundation_Calc!$V$4:$X$37,VLOOKUP(AX168,Foundation_Calc!$I$10:$J$13,2,FALSE),0),
IF(AX168="K",VLOOKUP(L168,Foundation_Calc!$V$41:$X$74,VLOOKUP(AX168,Foundation_Calc!$I$10:$J$13,2,FALSE),0),"")))</f>
        <v/>
      </c>
      <c r="N168" s="8"/>
      <c r="O168" s="8"/>
      <c r="P168" s="8"/>
      <c r="Q168" s="14"/>
      <c r="R168" s="15"/>
      <c r="S168" s="15"/>
      <c r="T168" s="14"/>
      <c r="U168" s="14"/>
      <c r="V168" s="14"/>
      <c r="W168" s="18"/>
      <c r="X168" s="18"/>
      <c r="Y168" s="18"/>
      <c r="Z168" s="18"/>
      <c r="AA168" s="18"/>
      <c r="AB168" s="18"/>
      <c r="AC168" s="8" t="str">
        <f t="shared" si="46"/>
        <v/>
      </c>
      <c r="AD168" s="8"/>
      <c r="AE168" s="8"/>
      <c r="AF168" s="14"/>
      <c r="AG168" s="13"/>
      <c r="AH168" s="14"/>
      <c r="AI168" s="14"/>
      <c r="AJ168" s="8"/>
      <c r="AK168" s="8"/>
      <c r="AL168" s="8"/>
      <c r="AM168" s="8"/>
      <c r="AN168" s="631"/>
      <c r="AO168" s="18"/>
      <c r="AP168" s="18"/>
      <c r="AQ168" s="18"/>
      <c r="AR168" s="18"/>
      <c r="AS168" s="18"/>
      <c r="AU168" s="448"/>
      <c r="AV168" s="448"/>
      <c r="AW168" s="8" t="str">
        <f>IF(C168&gt;0,VLOOKUP(C168,Foundation_Calc!$A$2:$C$986,3,1),
IF(J168&gt;0,VLOOKUP(J168,Foundation_Calc!$A$2:$C$986,3,1),""))</f>
        <v/>
      </c>
      <c r="AX168" s="8" t="str">
        <f>IF(C168&gt;0,VLOOKUP(C168,Foundation_Calc!$E$2:$G$986,3,1),
IF(J168&gt;0,VLOOKUP(J168,Foundation_Calc!$E$2:$G$986,3,1),""))</f>
        <v/>
      </c>
      <c r="AY168" s="631" t="str">
        <f>IF(L168="","",
IF(AX168="PT",VLOOKUP(L168,Foundation_Calc!$K$4:$R$37,VLOOKUP(AW168,Foundation_Calc!$I$2:$J$8,2,FALSE),0),
IF(AX168="K",VLOOKUP(L168,Foundation_Calc!$K$41:$R$74,VLOOKUP(AW168,Foundation_Calc!$I$2:$J$8,2,FALSE),0),"")))</f>
        <v/>
      </c>
      <c r="AZ168" s="631" t="str">
        <f>IF(K168="","",
IF(AX168="PT",VLOOKUP(K168,Foundation_Calc!$K$4:$R$37,VLOOKUP(AW168,Foundation_Calc!$I$2:$J$8,2,FALSE),0),
IF(AX168="K",VLOOKUP(K168,Foundation_Calc!$K$41:$R$74,VLOOKUP(AW168,Foundation_Calc!$I$2:$J$8,2,FALSE),0),"")))</f>
        <v/>
      </c>
      <c r="BA168" s="637" t="str">
        <f t="shared" si="47"/>
        <v/>
      </c>
      <c r="BB168" s="637" t="str">
        <f t="shared" si="48"/>
        <v/>
      </c>
      <c r="BC168" s="637" t="str">
        <f t="shared" si="49"/>
        <v/>
      </c>
      <c r="BD168" s="633" t="str">
        <f>IF(AND(L168="",H168=""),"",
IF(H168="",Pole_Calc!A$9,
IF(H168="MP",Pole_Calc!A$10,
IF(H168="AnMP",Pole_Calc!A$11,
IF(H168="A",Pole_Calc!A$12,
IF(H168="S/A",Pole_Calc!A$13,
IF(H168="A/S",Pole_Calc!A$14,"Poner a mano")))))))</f>
        <v/>
      </c>
      <c r="BE168" s="448" t="s">
        <v>1726</v>
      </c>
      <c r="BF168" s="634"/>
      <c r="BG168" s="634"/>
      <c r="BH168" s="634"/>
      <c r="BI168" s="634"/>
    </row>
    <row r="169" spans="1:61" ht="16.2" customHeight="1">
      <c r="A169" s="12"/>
      <c r="B169" s="446"/>
      <c r="C169" s="89"/>
      <c r="D169" s="13"/>
      <c r="E169" s="14"/>
      <c r="F169" s="14"/>
      <c r="G169" s="15"/>
      <c r="H169" s="8"/>
      <c r="I169" s="8"/>
      <c r="J169" s="89"/>
      <c r="K169" s="8"/>
      <c r="L169" s="8"/>
      <c r="M169" s="8" t="str">
        <f>IF(L169="","",
IF(AX169="PT",VLOOKUP(L169,Foundation_Calc!$V$4:$X$37,VLOOKUP(AX169,Foundation_Calc!$I$10:$J$13,2,FALSE),0),
IF(AX169="K",VLOOKUP(L169,Foundation_Calc!$V$41:$X$74,VLOOKUP(AX169,Foundation_Calc!$I$10:$J$13,2,FALSE),0),"")))</f>
        <v/>
      </c>
      <c r="N169" s="8"/>
      <c r="O169" s="8"/>
      <c r="P169" s="8"/>
      <c r="Q169" s="14"/>
      <c r="R169" s="15"/>
      <c r="S169" s="15"/>
      <c r="T169" s="14"/>
      <c r="U169" s="14"/>
      <c r="V169" s="14"/>
      <c r="W169" s="18"/>
      <c r="X169" s="18"/>
      <c r="Y169" s="18"/>
      <c r="Z169" s="18"/>
      <c r="AA169" s="18"/>
      <c r="AB169" s="18"/>
      <c r="AC169" s="8" t="str">
        <f t="shared" si="46"/>
        <v/>
      </c>
      <c r="AD169" s="8"/>
      <c r="AE169" s="8"/>
      <c r="AF169" s="14"/>
      <c r="AG169" s="13"/>
      <c r="AH169" s="14"/>
      <c r="AI169" s="14"/>
      <c r="AJ169" s="8"/>
      <c r="AK169" s="8"/>
      <c r="AL169" s="8"/>
      <c r="AM169" s="8"/>
      <c r="AN169" s="631"/>
      <c r="AO169" s="18"/>
      <c r="AP169" s="18"/>
      <c r="AQ169" s="18"/>
      <c r="AR169" s="18"/>
      <c r="AS169" s="18"/>
      <c r="AU169" s="448"/>
      <c r="AV169" s="448"/>
      <c r="AW169" s="8" t="str">
        <f>IF(C169&gt;0,VLOOKUP(C169,Foundation_Calc!$A$2:$C$986,3,1),
IF(J169&gt;0,VLOOKUP(J169,Foundation_Calc!$A$2:$C$986,3,1),""))</f>
        <v/>
      </c>
      <c r="AX169" s="8" t="str">
        <f>IF(C169&gt;0,VLOOKUP(C169,Foundation_Calc!$E$2:$G$986,3,1),
IF(J169&gt;0,VLOOKUP(J169,Foundation_Calc!$E$2:$G$986,3,1),""))</f>
        <v/>
      </c>
      <c r="AY169" s="631" t="str">
        <f>IF(L169="","",
IF(AX169="PT",VLOOKUP(L169,Foundation_Calc!$K$4:$R$37,VLOOKUP(AW169,Foundation_Calc!$I$2:$J$8,2,FALSE),0),
IF(AX169="K",VLOOKUP(L169,Foundation_Calc!$K$41:$R$74,VLOOKUP(AW169,Foundation_Calc!$I$2:$J$8,2,FALSE),0),"")))</f>
        <v/>
      </c>
      <c r="AZ169" s="631" t="str">
        <f>IF(K169="","",
IF(AX169="PT",VLOOKUP(K169,Foundation_Calc!$K$4:$R$37,VLOOKUP(AW169,Foundation_Calc!$I$2:$J$8,2,FALSE),0),
IF(AX169="K",VLOOKUP(K169,Foundation_Calc!$K$41:$R$74,VLOOKUP(AW169,Foundation_Calc!$I$2:$J$8,2,FALSE),0),"")))</f>
        <v/>
      </c>
      <c r="BA169" s="637" t="str">
        <f t="shared" si="47"/>
        <v/>
      </c>
      <c r="BB169" s="637" t="str">
        <f t="shared" si="48"/>
        <v/>
      </c>
      <c r="BC169" s="637" t="str">
        <f t="shared" si="49"/>
        <v/>
      </c>
      <c r="BD169" s="633" t="str">
        <f>IF(AND(L169="",H169=""),"",
IF(H169="",Pole_Calc!A$9,
IF(H169="MP",Pole_Calc!A$10,
IF(H169="AnMP",Pole_Calc!A$11,
IF(H169="A",Pole_Calc!A$12,
IF(H169="S/A",Pole_Calc!A$13,
IF(H169="A/S",Pole_Calc!A$14,"Poner a mano")))))))</f>
        <v/>
      </c>
      <c r="BE169" s="448" t="s">
        <v>1726</v>
      </c>
      <c r="BF169" s="635"/>
      <c r="BG169" s="635"/>
      <c r="BH169" s="634"/>
      <c r="BI169" s="635"/>
    </row>
    <row r="170" spans="1:61" ht="16.2" customHeight="1">
      <c r="A170" s="12"/>
      <c r="B170" s="446"/>
      <c r="C170" s="89"/>
      <c r="D170" s="13"/>
      <c r="E170" s="14"/>
      <c r="F170" s="14"/>
      <c r="G170" s="15"/>
      <c r="H170" s="8"/>
      <c r="I170" s="8"/>
      <c r="J170" s="89"/>
      <c r="K170" s="8"/>
      <c r="L170" s="8"/>
      <c r="M170" s="8" t="str">
        <f>IF(L170="","",
IF(AX170="PT",VLOOKUP(L170,Foundation_Calc!$V$4:$X$37,VLOOKUP(AX170,Foundation_Calc!$I$10:$J$13,2,FALSE),0),
IF(AX170="K",VLOOKUP(L170,Foundation_Calc!$V$41:$X$74,VLOOKUP(AX170,Foundation_Calc!$I$10:$J$13,2,FALSE),0),"")))</f>
        <v/>
      </c>
      <c r="N170" s="8"/>
      <c r="O170" s="8"/>
      <c r="P170" s="8"/>
      <c r="Q170" s="14"/>
      <c r="R170" s="15"/>
      <c r="S170" s="15"/>
      <c r="T170" s="14"/>
      <c r="U170" s="14"/>
      <c r="V170" s="14"/>
      <c r="W170" s="18"/>
      <c r="X170" s="18"/>
      <c r="Y170" s="18"/>
      <c r="Z170" s="18"/>
      <c r="AA170" s="18"/>
      <c r="AB170" s="18"/>
      <c r="AC170" s="8" t="str">
        <f t="shared" si="46"/>
        <v/>
      </c>
      <c r="AD170" s="8"/>
      <c r="AE170" s="8"/>
      <c r="AF170" s="14"/>
      <c r="AG170" s="13"/>
      <c r="AH170" s="14"/>
      <c r="AI170" s="14"/>
      <c r="AJ170" s="8"/>
      <c r="AK170" s="8"/>
      <c r="AL170" s="8"/>
      <c r="AM170" s="8"/>
      <c r="AN170" s="631"/>
      <c r="AO170" s="18"/>
      <c r="AP170" s="18"/>
      <c r="AQ170" s="18"/>
      <c r="AR170" s="18"/>
      <c r="AS170" s="18"/>
      <c r="AU170" s="448"/>
      <c r="AV170" s="448"/>
      <c r="AW170" s="8" t="str">
        <f>IF(C170&gt;0,VLOOKUP(C170,Foundation_Calc!$A$2:$C$986,3,1),
IF(J170&gt;0,VLOOKUP(J170,Foundation_Calc!$A$2:$C$986,3,1),""))</f>
        <v/>
      </c>
      <c r="AX170" s="8" t="str">
        <f>IF(C170&gt;0,VLOOKUP(C170,Foundation_Calc!$E$2:$G$986,3,1),
IF(J170&gt;0,VLOOKUP(J170,Foundation_Calc!$E$2:$G$986,3,1),""))</f>
        <v/>
      </c>
      <c r="AY170" s="631" t="str">
        <f>IF(L170="","",
IF(AX170="PT",VLOOKUP(L170,Foundation_Calc!$K$4:$R$37,VLOOKUP(AW170,Foundation_Calc!$I$2:$J$8,2,FALSE),0),
IF(AX170="K",VLOOKUP(L170,Foundation_Calc!$K$41:$R$74,VLOOKUP(AW170,Foundation_Calc!$I$2:$J$8,2,FALSE),0),"")))</f>
        <v/>
      </c>
      <c r="AZ170" s="631" t="str">
        <f>IF(K170="","",
IF(AX170="PT",VLOOKUP(K170,Foundation_Calc!$K$4:$R$37,VLOOKUP(AW170,Foundation_Calc!$I$2:$J$8,2,FALSE),0),
IF(AX170="K",VLOOKUP(K170,Foundation_Calc!$K$41:$R$74,VLOOKUP(AW170,Foundation_Calc!$I$2:$J$8,2,FALSE),0),"")))</f>
        <v/>
      </c>
      <c r="BA170" s="637" t="str">
        <f t="shared" si="47"/>
        <v/>
      </c>
      <c r="BB170" s="637" t="str">
        <f t="shared" si="48"/>
        <v/>
      </c>
      <c r="BC170" s="637" t="str">
        <f t="shared" si="49"/>
        <v/>
      </c>
      <c r="BD170" s="633" t="str">
        <f>IF(AND(L170="",H170=""),"",
IF(H170="",Pole_Calc!A$9,
IF(H170="MP",Pole_Calc!A$10,
IF(H170="AnMP",Pole_Calc!A$11,
IF(H170="A",Pole_Calc!A$12,
IF(H170="S/A",Pole_Calc!A$13,
IF(H170="A/S",Pole_Calc!A$14,"Poner a mano")))))))</f>
        <v/>
      </c>
      <c r="BE170" s="448" t="s">
        <v>1726</v>
      </c>
      <c r="BF170" s="634"/>
      <c r="BG170" s="634"/>
      <c r="BH170" s="634"/>
      <c r="BI170" s="634"/>
    </row>
    <row r="171" spans="1:61" ht="16.2" customHeight="1">
      <c r="A171" s="12"/>
      <c r="B171" s="446"/>
      <c r="C171" s="89"/>
      <c r="D171" s="13"/>
      <c r="E171" s="14"/>
      <c r="F171" s="14"/>
      <c r="G171" s="15"/>
      <c r="H171" s="8"/>
      <c r="I171" s="8"/>
      <c r="J171" s="89"/>
      <c r="K171" s="8"/>
      <c r="L171" s="8"/>
      <c r="M171" s="8" t="str">
        <f>IF(L171="","",
IF(AX171="PT",VLOOKUP(L171,Foundation_Calc!$V$4:$X$37,VLOOKUP(AX171,Foundation_Calc!$I$10:$J$13,2,FALSE),0),
IF(AX171="K",VLOOKUP(L171,Foundation_Calc!$V$41:$X$74,VLOOKUP(AX171,Foundation_Calc!$I$10:$J$13,2,FALSE),0),"")))</f>
        <v/>
      </c>
      <c r="N171" s="8"/>
      <c r="O171" s="8"/>
      <c r="P171" s="8"/>
      <c r="Q171" s="14"/>
      <c r="R171" s="15"/>
      <c r="S171" s="15"/>
      <c r="T171" s="14"/>
      <c r="U171" s="14"/>
      <c r="V171" s="14"/>
      <c r="W171" s="18"/>
      <c r="X171" s="18"/>
      <c r="Y171" s="18"/>
      <c r="Z171" s="18"/>
      <c r="AA171" s="18"/>
      <c r="AB171" s="18"/>
      <c r="AC171" s="8" t="str">
        <f t="shared" si="46"/>
        <v/>
      </c>
      <c r="AD171" s="8"/>
      <c r="AE171" s="8"/>
      <c r="AF171" s="14"/>
      <c r="AG171" s="13"/>
      <c r="AH171" s="14"/>
      <c r="AI171" s="14"/>
      <c r="AJ171" s="8"/>
      <c r="AK171" s="8"/>
      <c r="AL171" s="8"/>
      <c r="AM171" s="8"/>
      <c r="AN171" s="631"/>
      <c r="AO171" s="18"/>
      <c r="AP171" s="18"/>
      <c r="AQ171" s="18"/>
      <c r="AR171" s="18"/>
      <c r="AS171" s="18"/>
      <c r="AU171" s="448"/>
      <c r="AV171" s="448"/>
      <c r="AW171" s="8" t="str">
        <f>IF(C171&gt;0,VLOOKUP(C171,Foundation_Calc!$A$2:$C$986,3,1),
IF(J171&gt;0,VLOOKUP(J171,Foundation_Calc!$A$2:$C$986,3,1),""))</f>
        <v/>
      </c>
      <c r="AX171" s="8" t="str">
        <f>IF(C171&gt;0,VLOOKUP(C171,Foundation_Calc!$E$2:$G$986,3,1),
IF(J171&gt;0,VLOOKUP(J171,Foundation_Calc!$E$2:$G$986,3,1),""))</f>
        <v/>
      </c>
      <c r="AY171" s="631" t="str">
        <f>IF(L171="","",
IF(AX171="PT",VLOOKUP(L171,Foundation_Calc!$K$4:$R$37,VLOOKUP(AW171,Foundation_Calc!$I$2:$J$8,2,FALSE),0),
IF(AX171="K",VLOOKUP(L171,Foundation_Calc!$K$41:$R$74,VLOOKUP(AW171,Foundation_Calc!$I$2:$J$8,2,FALSE),0),"")))</f>
        <v/>
      </c>
      <c r="AZ171" s="631" t="str">
        <f>IF(K171="","",
IF(AX171="PT",VLOOKUP(K171,Foundation_Calc!$K$4:$R$37,VLOOKUP(AW171,Foundation_Calc!$I$2:$J$8,2,FALSE),0),
IF(AX171="K",VLOOKUP(K171,Foundation_Calc!$K$41:$R$74,VLOOKUP(AW171,Foundation_Calc!$I$2:$J$8,2,FALSE),0),"")))</f>
        <v/>
      </c>
      <c r="BA171" s="637" t="str">
        <f t="shared" si="47"/>
        <v/>
      </c>
      <c r="BB171" s="637" t="str">
        <f t="shared" si="48"/>
        <v/>
      </c>
      <c r="BC171" s="637" t="str">
        <f t="shared" si="49"/>
        <v/>
      </c>
      <c r="BD171" s="633" t="str">
        <f>IF(AND(L171="",H171=""),"",
IF(H171="",Pole_Calc!A$9,
IF(H171="MP",Pole_Calc!A$10,
IF(H171="AnMP",Pole_Calc!A$11,
IF(H171="A",Pole_Calc!A$12,
IF(H171="S/A",Pole_Calc!A$13,
IF(H171="A/S",Pole_Calc!A$14,"Poner a mano")))))))</f>
        <v/>
      </c>
      <c r="BE171" s="448" t="s">
        <v>1726</v>
      </c>
      <c r="BF171" s="635"/>
      <c r="BG171" s="635"/>
      <c r="BH171" s="634"/>
      <c r="BI171" s="635"/>
    </row>
    <row r="172" spans="1:61" ht="16.2" customHeight="1">
      <c r="A172" s="12"/>
      <c r="B172" s="446"/>
      <c r="C172" s="89"/>
      <c r="D172" s="13"/>
      <c r="E172" s="14"/>
      <c r="F172" s="14"/>
      <c r="G172" s="15"/>
      <c r="H172" s="8"/>
      <c r="I172" s="8"/>
      <c r="J172" s="89"/>
      <c r="K172" s="8"/>
      <c r="L172" s="8"/>
      <c r="M172" s="8" t="str">
        <f>IF(L172="","",
IF(AX172="PT",VLOOKUP(L172,Foundation_Calc!$V$4:$X$37,VLOOKUP(AX172,Foundation_Calc!$I$10:$J$13,2,FALSE),0),
IF(AX172="K",VLOOKUP(L172,Foundation_Calc!$V$41:$X$74,VLOOKUP(AX172,Foundation_Calc!$I$10:$J$13,2,FALSE),0),"")))</f>
        <v/>
      </c>
      <c r="N172" s="8"/>
      <c r="O172" s="8"/>
      <c r="P172" s="8"/>
      <c r="Q172" s="14"/>
      <c r="R172" s="15"/>
      <c r="S172" s="15"/>
      <c r="T172" s="14"/>
      <c r="U172" s="14"/>
      <c r="V172" s="14"/>
      <c r="W172" s="18"/>
      <c r="X172" s="18"/>
      <c r="Y172" s="18"/>
      <c r="Z172" s="18"/>
      <c r="AA172" s="18"/>
      <c r="AB172" s="18"/>
      <c r="AC172" s="8" t="str">
        <f t="shared" si="46"/>
        <v/>
      </c>
      <c r="AD172" s="8"/>
      <c r="AE172" s="8"/>
      <c r="AF172" s="14"/>
      <c r="AG172" s="13"/>
      <c r="AH172" s="14"/>
      <c r="AI172" s="14"/>
      <c r="AJ172" s="8"/>
      <c r="AK172" s="8"/>
      <c r="AL172" s="8"/>
      <c r="AM172" s="8"/>
      <c r="AN172" s="631"/>
      <c r="AO172" s="18"/>
      <c r="AP172" s="18"/>
      <c r="AQ172" s="18"/>
      <c r="AR172" s="18"/>
      <c r="AS172" s="18"/>
      <c r="AU172" s="448"/>
      <c r="AV172" s="448"/>
      <c r="AW172" s="8" t="str">
        <f>IF(C172&gt;0,VLOOKUP(C172,Foundation_Calc!$A$2:$C$986,3,1),
IF(J172&gt;0,VLOOKUP(J172,Foundation_Calc!$A$2:$C$986,3,1),""))</f>
        <v/>
      </c>
      <c r="AX172" s="8" t="str">
        <f>IF(C172&gt;0,VLOOKUP(C172,Foundation_Calc!$E$2:$G$986,3,1),
IF(J172&gt;0,VLOOKUP(J172,Foundation_Calc!$E$2:$G$986,3,1),""))</f>
        <v/>
      </c>
      <c r="AY172" s="631" t="str">
        <f>IF(L172="","",
IF(AX172="PT",VLOOKUP(L172,Foundation_Calc!$K$4:$R$37,VLOOKUP(AW172,Foundation_Calc!$I$2:$J$8,2,FALSE),0),
IF(AX172="K",VLOOKUP(L172,Foundation_Calc!$K$41:$R$74,VLOOKUP(AW172,Foundation_Calc!$I$2:$J$8,2,FALSE),0),"")))</f>
        <v/>
      </c>
      <c r="AZ172" s="631" t="str">
        <f>IF(K172="","",
IF(AX172="PT",VLOOKUP(K172,Foundation_Calc!$K$4:$R$37,VLOOKUP(AW172,Foundation_Calc!$I$2:$J$8,2,FALSE),0),
IF(AX172="K",VLOOKUP(K172,Foundation_Calc!$K$41:$R$74,VLOOKUP(AW172,Foundation_Calc!$I$2:$J$8,2,FALSE),0),"")))</f>
        <v/>
      </c>
      <c r="BA172" s="637" t="str">
        <f t="shared" si="47"/>
        <v/>
      </c>
      <c r="BB172" s="637" t="str">
        <f t="shared" si="48"/>
        <v/>
      </c>
      <c r="BC172" s="637" t="str">
        <f t="shared" si="49"/>
        <v/>
      </c>
      <c r="BD172" s="633" t="str">
        <f>IF(AND(L172="",H172=""),"",
IF(H172="",Pole_Calc!A$9,
IF(H172="MP",Pole_Calc!A$10,
IF(H172="AnMP",Pole_Calc!A$11,
IF(H172="A",Pole_Calc!A$12,
IF(H172="S/A",Pole_Calc!A$13,
IF(H172="A/S",Pole_Calc!A$14,"Poner a mano")))))))</f>
        <v/>
      </c>
      <c r="BE172" s="448" t="s">
        <v>1726</v>
      </c>
      <c r="BF172" s="634"/>
      <c r="BG172" s="634"/>
      <c r="BH172" s="634"/>
      <c r="BI172" s="634"/>
    </row>
    <row r="173" spans="1:61" ht="16.2" customHeight="1">
      <c r="A173" s="12"/>
      <c r="B173" s="446"/>
      <c r="C173" s="89"/>
      <c r="D173" s="13"/>
      <c r="E173" s="14"/>
      <c r="F173" s="14"/>
      <c r="G173" s="15"/>
      <c r="H173" s="8"/>
      <c r="I173" s="8"/>
      <c r="J173" s="89"/>
      <c r="K173" s="8"/>
      <c r="L173" s="8"/>
      <c r="M173" s="8" t="str">
        <f>IF(L173="","",
IF(AX173="PT",VLOOKUP(L173,Foundation_Calc!$V$4:$X$37,VLOOKUP(AX173,Foundation_Calc!$I$10:$J$13,2,FALSE),0),
IF(AX173="K",VLOOKUP(L173,Foundation_Calc!$V$41:$X$74,VLOOKUP(AX173,Foundation_Calc!$I$10:$J$13,2,FALSE),0),"")))</f>
        <v/>
      </c>
      <c r="N173" s="8"/>
      <c r="O173" s="8"/>
      <c r="P173" s="8"/>
      <c r="Q173" s="14"/>
      <c r="R173" s="15"/>
      <c r="S173" s="15"/>
      <c r="T173" s="14"/>
      <c r="U173" s="14"/>
      <c r="V173" s="14"/>
      <c r="W173" s="18"/>
      <c r="X173" s="18"/>
      <c r="Y173" s="18"/>
      <c r="Z173" s="18"/>
      <c r="AA173" s="18"/>
      <c r="AB173" s="18"/>
      <c r="AC173" s="8" t="str">
        <f t="shared" si="46"/>
        <v/>
      </c>
      <c r="AD173" s="8"/>
      <c r="AE173" s="8"/>
      <c r="AF173" s="14"/>
      <c r="AG173" s="13"/>
      <c r="AH173" s="14"/>
      <c r="AI173" s="14"/>
      <c r="AJ173" s="8"/>
      <c r="AK173" s="8"/>
      <c r="AL173" s="8"/>
      <c r="AM173" s="8"/>
      <c r="AN173" s="631"/>
      <c r="AO173" s="18"/>
      <c r="AP173" s="18"/>
      <c r="AQ173" s="18"/>
      <c r="AR173" s="18"/>
      <c r="AS173" s="18"/>
      <c r="AU173" s="448"/>
      <c r="AV173" s="448"/>
      <c r="AW173" s="8" t="str">
        <f>IF(C173&gt;0,VLOOKUP(C173,Foundation_Calc!$A$2:$C$986,3,1),
IF(J173&gt;0,VLOOKUP(J173,Foundation_Calc!$A$2:$C$986,3,1),""))</f>
        <v/>
      </c>
      <c r="AX173" s="8" t="str">
        <f>IF(C173&gt;0,VLOOKUP(C173,Foundation_Calc!$E$2:$G$986,3,1),
IF(J173&gt;0,VLOOKUP(J173,Foundation_Calc!$E$2:$G$986,3,1),""))</f>
        <v/>
      </c>
      <c r="AY173" s="631" t="str">
        <f>IF(L173="","",
IF(AX173="PT",VLOOKUP(L173,Foundation_Calc!$K$4:$R$37,VLOOKUP(AW173,Foundation_Calc!$I$2:$J$8,2,FALSE),0),
IF(AX173="K",VLOOKUP(L173,Foundation_Calc!$K$41:$R$74,VLOOKUP(AW173,Foundation_Calc!$I$2:$J$8,2,FALSE),0),"")))</f>
        <v/>
      </c>
      <c r="AZ173" s="631" t="str">
        <f>IF(K173="","",
IF(AX173="PT",VLOOKUP(K173,Foundation_Calc!$K$4:$R$37,VLOOKUP(AW173,Foundation_Calc!$I$2:$J$8,2,FALSE),0),
IF(AX173="K",VLOOKUP(K173,Foundation_Calc!$K$41:$R$74,VLOOKUP(AW173,Foundation_Calc!$I$2:$J$8,2,FALSE),0),"")))</f>
        <v/>
      </c>
      <c r="BA173" s="637" t="str">
        <f t="shared" si="47"/>
        <v/>
      </c>
      <c r="BB173" s="637" t="str">
        <f t="shared" si="48"/>
        <v/>
      </c>
      <c r="BC173" s="637" t="str">
        <f t="shared" si="49"/>
        <v/>
      </c>
      <c r="BD173" s="633" t="str">
        <f>IF(AND(L173="",H173=""),"",
IF(H173="",Pole_Calc!A$9,
IF(H173="MP",Pole_Calc!A$10,
IF(H173="AnMP",Pole_Calc!A$11,
IF(H173="A",Pole_Calc!A$12,
IF(H173="S/A",Pole_Calc!A$13,
IF(H173="A/S",Pole_Calc!A$14,"Poner a mano")))))))</f>
        <v/>
      </c>
      <c r="BE173" s="448" t="s">
        <v>1726</v>
      </c>
      <c r="BF173" s="635"/>
      <c r="BG173" s="635"/>
      <c r="BH173" s="634"/>
      <c r="BI173" s="635"/>
    </row>
    <row r="174" spans="1:61" ht="16.2" customHeight="1">
      <c r="A174" s="12"/>
      <c r="B174" s="446"/>
      <c r="C174" s="89"/>
      <c r="D174" s="13"/>
      <c r="E174" s="14"/>
      <c r="F174" s="14"/>
      <c r="G174" s="15"/>
      <c r="H174" s="8"/>
      <c r="I174" s="8"/>
      <c r="J174" s="89"/>
      <c r="K174" s="8"/>
      <c r="L174" s="8"/>
      <c r="M174" s="8" t="str">
        <f>IF(L174="","",
IF(AX174="PT",VLOOKUP(L174,Foundation_Calc!$V$4:$X$37,VLOOKUP(AX174,Foundation_Calc!$I$10:$J$13,2,FALSE),0),
IF(AX174="K",VLOOKUP(L174,Foundation_Calc!$V$41:$X$74,VLOOKUP(AX174,Foundation_Calc!$I$10:$J$13,2,FALSE),0),"")))</f>
        <v/>
      </c>
      <c r="N174" s="8"/>
      <c r="O174" s="8"/>
      <c r="P174" s="8"/>
      <c r="Q174" s="14"/>
      <c r="R174" s="15"/>
      <c r="S174" s="15"/>
      <c r="T174" s="14"/>
      <c r="U174" s="14"/>
      <c r="V174" s="14"/>
      <c r="W174" s="18"/>
      <c r="X174" s="18"/>
      <c r="Y174" s="18"/>
      <c r="Z174" s="18"/>
      <c r="AA174" s="18"/>
      <c r="AB174" s="18"/>
      <c r="AC174" s="8" t="str">
        <f t="shared" si="46"/>
        <v/>
      </c>
      <c r="AD174" s="8"/>
      <c r="AE174" s="8"/>
      <c r="AF174" s="14"/>
      <c r="AG174" s="13"/>
      <c r="AH174" s="14"/>
      <c r="AI174" s="14"/>
      <c r="AJ174" s="8"/>
      <c r="AK174" s="8"/>
      <c r="AL174" s="8"/>
      <c r="AM174" s="8"/>
      <c r="AN174" s="631"/>
      <c r="AO174" s="18"/>
      <c r="AP174" s="18"/>
      <c r="AQ174" s="18"/>
      <c r="AR174" s="18"/>
      <c r="AS174" s="18"/>
      <c r="AU174" s="448"/>
      <c r="AV174" s="448"/>
      <c r="AW174" s="8" t="str">
        <f>IF(C174&gt;0,VLOOKUP(C174,Foundation_Calc!$A$2:$C$986,3,1),
IF(J174&gt;0,VLOOKUP(J174,Foundation_Calc!$A$2:$C$986,3,1),""))</f>
        <v/>
      </c>
      <c r="AX174" s="8" t="str">
        <f>IF(C174&gt;0,VLOOKUP(C174,Foundation_Calc!$E$2:$G$986,3,1),
IF(J174&gt;0,VLOOKUP(J174,Foundation_Calc!$E$2:$G$986,3,1),""))</f>
        <v/>
      </c>
      <c r="AY174" s="631" t="str">
        <f>IF(L174="","",
IF(AX174="PT",VLOOKUP(L174,Foundation_Calc!$K$4:$R$37,VLOOKUP(AW174,Foundation_Calc!$I$2:$J$8,2,FALSE),0),
IF(AX174="K",VLOOKUP(L174,Foundation_Calc!$K$41:$R$74,VLOOKUP(AW174,Foundation_Calc!$I$2:$J$8,2,FALSE),0),"")))</f>
        <v/>
      </c>
      <c r="AZ174" s="631" t="str">
        <f>IF(K174="","",
IF(AX174="PT",VLOOKUP(K174,Foundation_Calc!$K$4:$R$37,VLOOKUP(AW174,Foundation_Calc!$I$2:$J$8,2,FALSE),0),
IF(AX174="K",VLOOKUP(K174,Foundation_Calc!$K$41:$R$74,VLOOKUP(AW174,Foundation_Calc!$I$2:$J$8,2,FALSE),0),"")))</f>
        <v/>
      </c>
      <c r="BA174" s="637" t="str">
        <f t="shared" si="47"/>
        <v/>
      </c>
      <c r="BB174" s="637" t="str">
        <f t="shared" si="48"/>
        <v/>
      </c>
      <c r="BC174" s="637" t="str">
        <f t="shared" si="49"/>
        <v/>
      </c>
      <c r="BD174" s="633" t="str">
        <f>IF(AND(L174="",H174=""),"",
IF(H174="",Pole_Calc!A$9,
IF(H174="MP",Pole_Calc!A$10,
IF(H174="AnMP",Pole_Calc!A$11,
IF(H174="A",Pole_Calc!A$12,
IF(H174="S/A",Pole_Calc!A$13,
IF(H174="A/S",Pole_Calc!A$14,"Poner a mano")))))))</f>
        <v/>
      </c>
      <c r="BE174" s="448" t="s">
        <v>1726</v>
      </c>
      <c r="BF174" s="634"/>
      <c r="BG174" s="634"/>
      <c r="BH174" s="634"/>
      <c r="BI174" s="634"/>
    </row>
    <row r="175" spans="1:61" ht="16.2" customHeight="1">
      <c r="A175" s="12"/>
      <c r="B175" s="446"/>
      <c r="C175" s="89"/>
      <c r="D175" s="13"/>
      <c r="E175" s="14"/>
      <c r="F175" s="14"/>
      <c r="G175" s="15"/>
      <c r="H175" s="8"/>
      <c r="I175" s="8"/>
      <c r="J175" s="89"/>
      <c r="K175" s="8"/>
      <c r="L175" s="8"/>
      <c r="M175" s="8" t="str">
        <f>IF(L175="","",
IF(AX175="PT",VLOOKUP(L175,Foundation_Calc!$V$4:$X$37,VLOOKUP(AX175,Foundation_Calc!$I$10:$J$13,2,FALSE),0),
IF(AX175="K",VLOOKUP(L175,Foundation_Calc!$V$41:$X$74,VLOOKUP(AX175,Foundation_Calc!$I$10:$J$13,2,FALSE),0),"")))</f>
        <v/>
      </c>
      <c r="N175" s="8"/>
      <c r="O175" s="8"/>
      <c r="P175" s="8"/>
      <c r="Q175" s="14"/>
      <c r="R175" s="15"/>
      <c r="S175" s="15"/>
      <c r="T175" s="14"/>
      <c r="U175" s="14"/>
      <c r="V175" s="14"/>
      <c r="W175" s="18"/>
      <c r="X175" s="18"/>
      <c r="Y175" s="18"/>
      <c r="Z175" s="18"/>
      <c r="AA175" s="18"/>
      <c r="AB175" s="18"/>
      <c r="AC175" s="8" t="str">
        <f t="shared" si="46"/>
        <v/>
      </c>
      <c r="AD175" s="8"/>
      <c r="AE175" s="8"/>
      <c r="AF175" s="14"/>
      <c r="AG175" s="13"/>
      <c r="AH175" s="14"/>
      <c r="AI175" s="14"/>
      <c r="AJ175" s="8"/>
      <c r="AK175" s="8"/>
      <c r="AL175" s="8"/>
      <c r="AM175" s="8"/>
      <c r="AN175" s="631"/>
      <c r="AO175" s="18"/>
      <c r="AP175" s="18"/>
      <c r="AQ175" s="18"/>
      <c r="AR175" s="18"/>
      <c r="AS175" s="18"/>
      <c r="AU175" s="448"/>
      <c r="AV175" s="448"/>
      <c r="AW175" s="8" t="str">
        <f>IF(C175&gt;0,VLOOKUP(C175,Foundation_Calc!$A$2:$C$986,3,1),
IF(J175&gt;0,VLOOKUP(J175,Foundation_Calc!$A$2:$C$986,3,1),""))</f>
        <v/>
      </c>
      <c r="AX175" s="8" t="str">
        <f>IF(C175&gt;0,VLOOKUP(C175,Foundation_Calc!$E$2:$G$986,3,1),
IF(J175&gt;0,VLOOKUP(J175,Foundation_Calc!$E$2:$G$986,3,1),""))</f>
        <v/>
      </c>
      <c r="AY175" s="631" t="str">
        <f>IF(L175="","",
IF(AX175="PT",VLOOKUP(L175,Foundation_Calc!$K$4:$R$37,VLOOKUP(AW175,Foundation_Calc!$I$2:$J$8,2,FALSE),0),
IF(AX175="K",VLOOKUP(L175,Foundation_Calc!$K$41:$R$74,VLOOKUP(AW175,Foundation_Calc!$I$2:$J$8,2,FALSE),0),"")))</f>
        <v/>
      </c>
      <c r="AZ175" s="631" t="str">
        <f>IF(K175="","",
IF(AX175="PT",VLOOKUP(K175,Foundation_Calc!$K$4:$R$37,VLOOKUP(AW175,Foundation_Calc!$I$2:$J$8,2,FALSE),0),
IF(AX175="K",VLOOKUP(K175,Foundation_Calc!$K$41:$R$74,VLOOKUP(AW175,Foundation_Calc!$I$2:$J$8,2,FALSE),0),"")))</f>
        <v/>
      </c>
      <c r="BA175" s="637" t="str">
        <f t="shared" si="47"/>
        <v/>
      </c>
      <c r="BB175" s="637" t="str">
        <f t="shared" si="48"/>
        <v/>
      </c>
      <c r="BC175" s="637" t="str">
        <f t="shared" si="49"/>
        <v/>
      </c>
      <c r="BD175" s="633" t="str">
        <f>IF(AND(L175="",H175=""),"",
IF(H175="",Pole_Calc!A$9,
IF(H175="MP",Pole_Calc!A$10,
IF(H175="AnMP",Pole_Calc!A$11,
IF(H175="A",Pole_Calc!A$12,
IF(H175="S/A",Pole_Calc!A$13,
IF(H175="A/S",Pole_Calc!A$14,"Poner a mano")))))))</f>
        <v/>
      </c>
      <c r="BE175" s="448" t="s">
        <v>1726</v>
      </c>
      <c r="BF175" s="635"/>
      <c r="BG175" s="635"/>
      <c r="BH175" s="634"/>
      <c r="BI175" s="635"/>
    </row>
    <row r="176" spans="1:61" ht="16.2" customHeight="1">
      <c r="A176" s="12"/>
      <c r="B176" s="446"/>
      <c r="C176" s="89"/>
      <c r="D176" s="13"/>
      <c r="E176" s="14"/>
      <c r="F176" s="14"/>
      <c r="G176" s="15"/>
      <c r="H176" s="8"/>
      <c r="I176" s="8"/>
      <c r="J176" s="89"/>
      <c r="K176" s="8"/>
      <c r="L176" s="8"/>
      <c r="M176" s="8" t="str">
        <f>IF(L176="","",
IF(AX176="PT",VLOOKUP(L176,Foundation_Calc!$V$4:$X$37,VLOOKUP(AX176,Foundation_Calc!$I$10:$J$13,2,FALSE),0),
IF(AX176="K",VLOOKUP(L176,Foundation_Calc!$V$41:$X$74,VLOOKUP(AX176,Foundation_Calc!$I$10:$J$13,2,FALSE),0),"")))</f>
        <v/>
      </c>
      <c r="N176" s="8"/>
      <c r="O176" s="8"/>
      <c r="P176" s="8"/>
      <c r="Q176" s="14"/>
      <c r="R176" s="15"/>
      <c r="S176" s="15"/>
      <c r="T176" s="14"/>
      <c r="U176" s="14"/>
      <c r="V176" s="14"/>
      <c r="W176" s="18"/>
      <c r="X176" s="18"/>
      <c r="Y176" s="18"/>
      <c r="Z176" s="18"/>
      <c r="AA176" s="18"/>
      <c r="AB176" s="18"/>
      <c r="AC176" s="8" t="str">
        <f t="shared" si="46"/>
        <v/>
      </c>
      <c r="AD176" s="8"/>
      <c r="AE176" s="8"/>
      <c r="AF176" s="14"/>
      <c r="AG176" s="13"/>
      <c r="AH176" s="14"/>
      <c r="AI176" s="14"/>
      <c r="AJ176" s="8"/>
      <c r="AK176" s="8"/>
      <c r="AL176" s="8"/>
      <c r="AM176" s="8"/>
      <c r="AN176" s="631"/>
      <c r="AO176" s="18"/>
      <c r="AP176" s="18"/>
      <c r="AQ176" s="18"/>
      <c r="AR176" s="18"/>
      <c r="AS176" s="18"/>
      <c r="AU176" s="448"/>
      <c r="AV176" s="448"/>
      <c r="AW176" s="8" t="str">
        <f>IF(C176&gt;0,VLOOKUP(C176,Foundation_Calc!$A$2:$C$986,3,1),
IF(J176&gt;0,VLOOKUP(J176,Foundation_Calc!$A$2:$C$986,3,1),""))</f>
        <v/>
      </c>
      <c r="AX176" s="8" t="str">
        <f>IF(C176&gt;0,VLOOKUP(C176,Foundation_Calc!$E$2:$G$986,3,1),
IF(J176&gt;0,VLOOKUP(J176,Foundation_Calc!$E$2:$G$986,3,1),""))</f>
        <v/>
      </c>
      <c r="AY176" s="631" t="str">
        <f>IF(L176="","",
IF(AX176="PT",VLOOKUP(L176,Foundation_Calc!$K$4:$R$37,VLOOKUP(AW176,Foundation_Calc!$I$2:$J$8,2,FALSE),0),
IF(AX176="K",VLOOKUP(L176,Foundation_Calc!$K$41:$R$74,VLOOKUP(AW176,Foundation_Calc!$I$2:$J$8,2,FALSE),0),"")))</f>
        <v/>
      </c>
      <c r="AZ176" s="631" t="str">
        <f>IF(K176="","",
IF(AX176="PT",VLOOKUP(K176,Foundation_Calc!$K$4:$R$37,VLOOKUP(AW176,Foundation_Calc!$I$2:$J$8,2,FALSE),0),
IF(AX176="K",VLOOKUP(K176,Foundation_Calc!$K$41:$R$74,VLOOKUP(AW176,Foundation_Calc!$I$2:$J$8,2,FALSE),0),"")))</f>
        <v/>
      </c>
      <c r="BA176" s="637" t="str">
        <f t="shared" si="47"/>
        <v/>
      </c>
      <c r="BB176" s="637" t="str">
        <f t="shared" si="48"/>
        <v/>
      </c>
      <c r="BC176" s="637" t="str">
        <f t="shared" si="49"/>
        <v/>
      </c>
      <c r="BD176" s="633" t="str">
        <f>IF(AND(L176="",H176=""),"",
IF(H176="",Pole_Calc!A$9,
IF(H176="MP",Pole_Calc!A$10,
IF(H176="AnMP",Pole_Calc!A$11,
IF(H176="A",Pole_Calc!A$12,
IF(H176="S/A",Pole_Calc!A$13,
IF(H176="A/S",Pole_Calc!A$14,"Poner a mano")))))))</f>
        <v/>
      </c>
      <c r="BE176" s="448" t="s">
        <v>1726</v>
      </c>
      <c r="BF176" s="634"/>
      <c r="BG176" s="634"/>
      <c r="BH176" s="634"/>
      <c r="BI176" s="634"/>
    </row>
    <row r="177" spans="1:61" ht="16.2" customHeight="1">
      <c r="A177" s="12"/>
      <c r="B177" s="446"/>
      <c r="C177" s="89"/>
      <c r="D177" s="13"/>
      <c r="E177" s="14"/>
      <c r="F177" s="14"/>
      <c r="G177" s="15"/>
      <c r="H177" s="8"/>
      <c r="I177" s="8"/>
      <c r="J177" s="89"/>
      <c r="K177" s="8"/>
      <c r="L177" s="8"/>
      <c r="M177" s="8" t="str">
        <f>IF(L177="","",
IF(AX177="PT",VLOOKUP(L177,Foundation_Calc!$V$4:$X$37,VLOOKUP(AX177,Foundation_Calc!$I$10:$J$13,2,FALSE),0),
IF(AX177="K",VLOOKUP(L177,Foundation_Calc!$V$41:$X$74,VLOOKUP(AX177,Foundation_Calc!$I$10:$J$13,2,FALSE),0),"")))</f>
        <v/>
      </c>
      <c r="N177" s="8"/>
      <c r="O177" s="8"/>
      <c r="P177" s="8"/>
      <c r="Q177" s="14"/>
      <c r="R177" s="15"/>
      <c r="S177" s="15"/>
      <c r="T177" s="14"/>
      <c r="U177" s="14"/>
      <c r="V177" s="14"/>
      <c r="W177" s="18"/>
      <c r="X177" s="18"/>
      <c r="Y177" s="18"/>
      <c r="Z177" s="18"/>
      <c r="AA177" s="18"/>
      <c r="AB177" s="18"/>
      <c r="AC177" s="8" t="str">
        <f t="shared" si="46"/>
        <v/>
      </c>
      <c r="AD177" s="8"/>
      <c r="AE177" s="8"/>
      <c r="AF177" s="14"/>
      <c r="AG177" s="13"/>
      <c r="AH177" s="14"/>
      <c r="AI177" s="14"/>
      <c r="AJ177" s="8"/>
      <c r="AK177" s="8"/>
      <c r="AL177" s="8"/>
      <c r="AM177" s="8"/>
      <c r="AN177" s="631"/>
      <c r="AO177" s="18"/>
      <c r="AP177" s="18"/>
      <c r="AQ177" s="18"/>
      <c r="AR177" s="18"/>
      <c r="AS177" s="18"/>
      <c r="AU177" s="448"/>
      <c r="AV177" s="448"/>
      <c r="AW177" s="8" t="str">
        <f>IF(C177&gt;0,VLOOKUP(C177,Foundation_Calc!$A$2:$C$986,3,1),
IF(J177&gt;0,VLOOKUP(J177,Foundation_Calc!$A$2:$C$986,3,1),""))</f>
        <v/>
      </c>
      <c r="AX177" s="8" t="str">
        <f>IF(C177&gt;0,VLOOKUP(C177,Foundation_Calc!$E$2:$G$986,3,1),
IF(J177&gt;0,VLOOKUP(J177,Foundation_Calc!$E$2:$G$986,3,1),""))</f>
        <v/>
      </c>
      <c r="AY177" s="631" t="str">
        <f>IF(L177="","",
IF(AX177="PT",VLOOKUP(L177,Foundation_Calc!$K$4:$R$37,VLOOKUP(AW177,Foundation_Calc!$I$2:$J$8,2,FALSE),0),
IF(AX177="K",VLOOKUP(L177,Foundation_Calc!$K$41:$R$74,VLOOKUP(AW177,Foundation_Calc!$I$2:$J$8,2,FALSE),0),"")))</f>
        <v/>
      </c>
      <c r="AZ177" s="631" t="str">
        <f>IF(K177="","",
IF(AX177="PT",VLOOKUP(K177,Foundation_Calc!$K$4:$R$37,VLOOKUP(AW177,Foundation_Calc!$I$2:$J$8,2,FALSE),0),
IF(AX177="K",VLOOKUP(K177,Foundation_Calc!$K$41:$R$74,VLOOKUP(AW177,Foundation_Calc!$I$2:$J$8,2,FALSE),0),"")))</f>
        <v/>
      </c>
      <c r="BA177" s="637" t="str">
        <f t="shared" si="47"/>
        <v/>
      </c>
      <c r="BB177" s="637" t="str">
        <f t="shared" si="48"/>
        <v/>
      </c>
      <c r="BC177" s="637" t="str">
        <f t="shared" si="49"/>
        <v/>
      </c>
      <c r="BD177" s="633" t="str">
        <f>IF(AND(L177="",H177=""),"",
IF(H177="",Pole_Calc!A$9,
IF(H177="MP",Pole_Calc!A$10,
IF(H177="AnMP",Pole_Calc!A$11,
IF(H177="A",Pole_Calc!A$12,
IF(H177="S/A",Pole_Calc!A$13,
IF(H177="A/S",Pole_Calc!A$14,"Poner a mano")))))))</f>
        <v/>
      </c>
      <c r="BE177" s="448" t="s">
        <v>1726</v>
      </c>
      <c r="BF177" s="635"/>
      <c r="BG177" s="635"/>
      <c r="BH177" s="634"/>
      <c r="BI177" s="635"/>
    </row>
    <row r="178" spans="1:61" ht="16.2" customHeight="1">
      <c r="A178" s="12"/>
      <c r="B178" s="446"/>
      <c r="C178" s="89"/>
      <c r="D178" s="13"/>
      <c r="E178" s="14"/>
      <c r="F178" s="14"/>
      <c r="G178" s="15"/>
      <c r="H178" s="8"/>
      <c r="I178" s="8"/>
      <c r="J178" s="89"/>
      <c r="K178" s="8"/>
      <c r="L178" s="8"/>
      <c r="M178" s="8" t="str">
        <f>IF(L178="","",
IF(AX178="PT",VLOOKUP(L178,Foundation_Calc!$V$4:$X$37,VLOOKUP(AX178,Foundation_Calc!$I$10:$J$13,2,FALSE),0),
IF(AX178="K",VLOOKUP(L178,Foundation_Calc!$V$41:$X$74,VLOOKUP(AX178,Foundation_Calc!$I$10:$J$13,2,FALSE),0),"")))</f>
        <v/>
      </c>
      <c r="N178" s="8"/>
      <c r="O178" s="8"/>
      <c r="P178" s="8"/>
      <c r="Q178" s="14"/>
      <c r="R178" s="15"/>
      <c r="S178" s="15"/>
      <c r="T178" s="14"/>
      <c r="U178" s="14"/>
      <c r="V178" s="14"/>
      <c r="W178" s="18"/>
      <c r="X178" s="18"/>
      <c r="Y178" s="18"/>
      <c r="Z178" s="18"/>
      <c r="AA178" s="18"/>
      <c r="AB178" s="18"/>
      <c r="AC178" s="8" t="str">
        <f t="shared" si="46"/>
        <v/>
      </c>
      <c r="AD178" s="8"/>
      <c r="AE178" s="8"/>
      <c r="AF178" s="14"/>
      <c r="AG178" s="13"/>
      <c r="AH178" s="14"/>
      <c r="AI178" s="14"/>
      <c r="AJ178" s="8"/>
      <c r="AK178" s="8"/>
      <c r="AL178" s="8"/>
      <c r="AM178" s="8"/>
      <c r="AN178" s="631"/>
      <c r="AO178" s="18"/>
      <c r="AP178" s="18"/>
      <c r="AQ178" s="18"/>
      <c r="AR178" s="18"/>
      <c r="AS178" s="18"/>
      <c r="AU178" s="448"/>
      <c r="AV178" s="448"/>
      <c r="AW178" s="8" t="str">
        <f>IF(C178&gt;0,VLOOKUP(C178,Foundation_Calc!$A$2:$C$986,3,1),
IF(J178&gt;0,VLOOKUP(J178,Foundation_Calc!$A$2:$C$986,3,1),""))</f>
        <v/>
      </c>
      <c r="AX178" s="8" t="str">
        <f>IF(C178&gt;0,VLOOKUP(C178,Foundation_Calc!$E$2:$G$986,3,1),
IF(J178&gt;0,VLOOKUP(J178,Foundation_Calc!$E$2:$G$986,3,1),""))</f>
        <v/>
      </c>
      <c r="AY178" s="631" t="str">
        <f>IF(L178="","",
IF(AX178="PT",VLOOKUP(L178,Foundation_Calc!$K$4:$R$37,VLOOKUP(AW178,Foundation_Calc!$I$2:$J$8,2,FALSE),0),
IF(AX178="K",VLOOKUP(L178,Foundation_Calc!$K$41:$R$74,VLOOKUP(AW178,Foundation_Calc!$I$2:$J$8,2,FALSE),0),"")))</f>
        <v/>
      </c>
      <c r="AZ178" s="631" t="str">
        <f>IF(K178="","",
IF(AX178="PT",VLOOKUP(K178,Foundation_Calc!$K$4:$R$37,VLOOKUP(AW178,Foundation_Calc!$I$2:$J$8,2,FALSE),0),
IF(AX178="K",VLOOKUP(K178,Foundation_Calc!$K$41:$R$74,VLOOKUP(AW178,Foundation_Calc!$I$2:$J$8,2,FALSE),0),"")))</f>
        <v/>
      </c>
      <c r="BA178" s="637" t="str">
        <f t="shared" si="47"/>
        <v/>
      </c>
      <c r="BB178" s="637" t="str">
        <f t="shared" si="48"/>
        <v/>
      </c>
      <c r="BC178" s="637" t="str">
        <f t="shared" si="49"/>
        <v/>
      </c>
      <c r="BD178" s="633" t="str">
        <f>IF(AND(L178="",H178=""),"",
IF(H178="",Pole_Calc!A$9,
IF(H178="MP",Pole_Calc!A$10,
IF(H178="AnMP",Pole_Calc!A$11,
IF(H178="A",Pole_Calc!A$12,
IF(H178="S/A",Pole_Calc!A$13,
IF(H178="A/S",Pole_Calc!A$14,"Poner a mano")))))))</f>
        <v/>
      </c>
      <c r="BE178" s="448" t="s">
        <v>1726</v>
      </c>
      <c r="BF178" s="634"/>
      <c r="BG178" s="634"/>
      <c r="BH178" s="634"/>
      <c r="BI178" s="634"/>
    </row>
    <row r="179" spans="1:61" ht="16.2" customHeight="1">
      <c r="A179" s="12"/>
      <c r="B179" s="446"/>
      <c r="C179" s="89"/>
      <c r="D179" s="13"/>
      <c r="E179" s="14"/>
      <c r="F179" s="14"/>
      <c r="G179" s="15"/>
      <c r="H179" s="8"/>
      <c r="I179" s="8"/>
      <c r="J179" s="89"/>
      <c r="K179" s="8"/>
      <c r="L179" s="8"/>
      <c r="M179" s="8" t="str">
        <f>IF(L179="","",
IF(AX179="PT",VLOOKUP(L179,Foundation_Calc!$V$4:$X$37,VLOOKUP(AX179,Foundation_Calc!$I$10:$J$13,2,FALSE),0),
IF(AX179="K",VLOOKUP(L179,Foundation_Calc!$V$41:$X$74,VLOOKUP(AX179,Foundation_Calc!$I$10:$J$13,2,FALSE),0),"")))</f>
        <v/>
      </c>
      <c r="N179" s="8"/>
      <c r="O179" s="8"/>
      <c r="P179" s="8"/>
      <c r="Q179" s="14"/>
      <c r="R179" s="15"/>
      <c r="S179" s="15"/>
      <c r="T179" s="14"/>
      <c r="U179" s="14"/>
      <c r="V179" s="14"/>
      <c r="W179" s="18"/>
      <c r="X179" s="18"/>
      <c r="Y179" s="18"/>
      <c r="Z179" s="18"/>
      <c r="AA179" s="18"/>
      <c r="AB179" s="18"/>
      <c r="AC179" s="8" t="str">
        <f t="shared" si="46"/>
        <v/>
      </c>
      <c r="AD179" s="8"/>
      <c r="AE179" s="8"/>
      <c r="AF179" s="14"/>
      <c r="AG179" s="13"/>
      <c r="AH179" s="14"/>
      <c r="AI179" s="14"/>
      <c r="AJ179" s="8"/>
      <c r="AK179" s="8"/>
      <c r="AL179" s="8"/>
      <c r="AM179" s="8"/>
      <c r="AN179" s="631"/>
      <c r="AO179" s="18"/>
      <c r="AP179" s="18"/>
      <c r="AQ179" s="18"/>
      <c r="AR179" s="18"/>
      <c r="AS179" s="18"/>
      <c r="AU179" s="448"/>
      <c r="AV179" s="448"/>
      <c r="AW179" s="8" t="str">
        <f>IF(C179&gt;0,VLOOKUP(C179,Foundation_Calc!$A$2:$C$986,3,1),
IF(J179&gt;0,VLOOKUP(J179,Foundation_Calc!$A$2:$C$986,3,1),""))</f>
        <v/>
      </c>
      <c r="AX179" s="8" t="str">
        <f>IF(C179&gt;0,VLOOKUP(C179,Foundation_Calc!$E$2:$G$986,3,1),
IF(J179&gt;0,VLOOKUP(J179,Foundation_Calc!$E$2:$G$986,3,1),""))</f>
        <v/>
      </c>
      <c r="AY179" s="631" t="str">
        <f>IF(L179="","",
IF(AX179="PT",VLOOKUP(L179,Foundation_Calc!$K$4:$R$37,VLOOKUP(AW179,Foundation_Calc!$I$2:$J$8,2,FALSE),0),
IF(AX179="K",VLOOKUP(L179,Foundation_Calc!$K$41:$R$74,VLOOKUP(AW179,Foundation_Calc!$I$2:$J$8,2,FALSE),0),"")))</f>
        <v/>
      </c>
      <c r="AZ179" s="631" t="str">
        <f>IF(K179="","",
IF(AX179="PT",VLOOKUP(K179,Foundation_Calc!$K$4:$R$37,VLOOKUP(AW179,Foundation_Calc!$I$2:$J$8,2,FALSE),0),
IF(AX179="K",VLOOKUP(K179,Foundation_Calc!$K$41:$R$74,VLOOKUP(AW179,Foundation_Calc!$I$2:$J$8,2,FALSE),0),"")))</f>
        <v/>
      </c>
      <c r="BA179" s="637" t="str">
        <f t="shared" si="47"/>
        <v/>
      </c>
      <c r="BB179" s="637" t="str">
        <f t="shared" si="48"/>
        <v/>
      </c>
      <c r="BC179" s="637" t="str">
        <f t="shared" si="49"/>
        <v/>
      </c>
      <c r="BD179" s="633" t="str">
        <f>IF(AND(L179="",H179=""),"",
IF(H179="",Pole_Calc!A$9,
IF(H179="MP",Pole_Calc!A$10,
IF(H179="AnMP",Pole_Calc!A$11,
IF(H179="A",Pole_Calc!A$12,
IF(H179="S/A",Pole_Calc!A$13,
IF(H179="A/S",Pole_Calc!A$14,"Poner a mano")))))))</f>
        <v/>
      </c>
      <c r="BE179" s="448" t="s">
        <v>1726</v>
      </c>
      <c r="BF179" s="635"/>
      <c r="BG179" s="635"/>
      <c r="BH179" s="634"/>
      <c r="BI179" s="635"/>
    </row>
    <row r="180" spans="1:61" ht="16.2" customHeight="1">
      <c r="A180" s="12"/>
      <c r="B180" s="446"/>
      <c r="C180" s="89"/>
      <c r="D180" s="13"/>
      <c r="E180" s="14"/>
      <c r="F180" s="14"/>
      <c r="G180" s="15"/>
      <c r="H180" s="8"/>
      <c r="I180" s="8"/>
      <c r="J180" s="89"/>
      <c r="K180" s="8"/>
      <c r="L180" s="8"/>
      <c r="M180" s="8" t="str">
        <f>IF(L180="","",
IF(AX180="PT",VLOOKUP(L180,Foundation_Calc!$V$4:$X$37,VLOOKUP(AX180,Foundation_Calc!$I$10:$J$13,2,FALSE),0),
IF(AX180="K",VLOOKUP(L180,Foundation_Calc!$V$41:$X$74,VLOOKUP(AX180,Foundation_Calc!$I$10:$J$13,2,FALSE),0),"")))</f>
        <v/>
      </c>
      <c r="N180" s="8"/>
      <c r="O180" s="8"/>
      <c r="P180" s="8"/>
      <c r="Q180" s="14"/>
      <c r="R180" s="15"/>
      <c r="S180" s="15"/>
      <c r="T180" s="14"/>
      <c r="U180" s="14"/>
      <c r="V180" s="14"/>
      <c r="W180" s="18"/>
      <c r="X180" s="18"/>
      <c r="Y180" s="18"/>
      <c r="Z180" s="18"/>
      <c r="AA180" s="18"/>
      <c r="AB180" s="18"/>
      <c r="AC180" s="8" t="str">
        <f t="shared" si="46"/>
        <v/>
      </c>
      <c r="AD180" s="8"/>
      <c r="AE180" s="8"/>
      <c r="AF180" s="14"/>
      <c r="AG180" s="13"/>
      <c r="AH180" s="14"/>
      <c r="AI180" s="14"/>
      <c r="AJ180" s="8"/>
      <c r="AK180" s="8"/>
      <c r="AL180" s="8"/>
      <c r="AM180" s="8"/>
      <c r="AN180" s="631"/>
      <c r="AO180" s="18"/>
      <c r="AP180" s="18"/>
      <c r="AQ180" s="18"/>
      <c r="AR180" s="18"/>
      <c r="AS180" s="18"/>
      <c r="AU180" s="448"/>
      <c r="AV180" s="448"/>
      <c r="AW180" s="8" t="str">
        <f>IF(C180&gt;0,VLOOKUP(C180,Foundation_Calc!$A$2:$C$986,3,1),
IF(J180&gt;0,VLOOKUP(J180,Foundation_Calc!$A$2:$C$986,3,1),""))</f>
        <v/>
      </c>
      <c r="AX180" s="8" t="str">
        <f>IF(C180&gt;0,VLOOKUP(C180,Foundation_Calc!$E$2:$G$986,3,1),
IF(J180&gt;0,VLOOKUP(J180,Foundation_Calc!$E$2:$G$986,3,1),""))</f>
        <v/>
      </c>
      <c r="AY180" s="631" t="str">
        <f>IF(L180="","",
IF(AX180="PT",VLOOKUP(L180,Foundation_Calc!$K$4:$R$37,VLOOKUP(AW180,Foundation_Calc!$I$2:$J$8,2,FALSE),0),
IF(AX180="K",VLOOKUP(L180,Foundation_Calc!$K$41:$R$74,VLOOKUP(AW180,Foundation_Calc!$I$2:$J$8,2,FALSE),0),"")))</f>
        <v/>
      </c>
      <c r="AZ180" s="631" t="str">
        <f>IF(K180="","",
IF(AX180="PT",VLOOKUP(K180,Foundation_Calc!$K$4:$R$37,VLOOKUP(AW180,Foundation_Calc!$I$2:$J$8,2,FALSE),0),
IF(AX180="K",VLOOKUP(K180,Foundation_Calc!$K$41:$R$74,VLOOKUP(AW180,Foundation_Calc!$I$2:$J$8,2,FALSE),0),"")))</f>
        <v/>
      </c>
      <c r="BA180" s="637" t="str">
        <f t="shared" si="47"/>
        <v/>
      </c>
      <c r="BB180" s="637" t="str">
        <f t="shared" si="48"/>
        <v/>
      </c>
      <c r="BC180" s="637" t="str">
        <f t="shared" si="49"/>
        <v/>
      </c>
      <c r="BD180" s="633" t="str">
        <f>IF(AND(L180="",H180=""),"",
IF(H180="",Pole_Calc!A$9,
IF(H180="MP",Pole_Calc!A$10,
IF(H180="AnMP",Pole_Calc!A$11,
IF(H180="A",Pole_Calc!A$12,
IF(H180="S/A",Pole_Calc!A$13,
IF(H180="A/S",Pole_Calc!A$14,"Poner a mano")))))))</f>
        <v/>
      </c>
      <c r="BE180" s="448" t="s">
        <v>1726</v>
      </c>
      <c r="BF180" s="634"/>
      <c r="BG180" s="634"/>
      <c r="BH180" s="634"/>
      <c r="BI180" s="634"/>
    </row>
    <row r="181" spans="1:61" ht="16.2" customHeight="1">
      <c r="A181" s="12"/>
      <c r="B181" s="446"/>
      <c r="C181" s="89"/>
      <c r="D181" s="13"/>
      <c r="E181" s="14"/>
      <c r="F181" s="14"/>
      <c r="G181" s="15"/>
      <c r="H181" s="8"/>
      <c r="I181" s="8"/>
      <c r="J181" s="89"/>
      <c r="K181" s="8"/>
      <c r="L181" s="8"/>
      <c r="M181" s="8" t="str">
        <f>IF(L181="","",
IF(AX181="PT",VLOOKUP(L181,Foundation_Calc!$V$4:$X$37,VLOOKUP(AX181,Foundation_Calc!$I$10:$J$13,2,FALSE),0),
IF(AX181="K",VLOOKUP(L181,Foundation_Calc!$V$41:$X$74,VLOOKUP(AX181,Foundation_Calc!$I$10:$J$13,2,FALSE),0),"")))</f>
        <v/>
      </c>
      <c r="N181" s="8"/>
      <c r="O181" s="8"/>
      <c r="P181" s="8"/>
      <c r="Q181" s="14"/>
      <c r="R181" s="15"/>
      <c r="S181" s="15"/>
      <c r="T181" s="14"/>
      <c r="U181" s="14"/>
      <c r="V181" s="14"/>
      <c r="W181" s="18"/>
      <c r="X181" s="18"/>
      <c r="Y181" s="18"/>
      <c r="Z181" s="18"/>
      <c r="AA181" s="18"/>
      <c r="AB181" s="18"/>
      <c r="AC181" s="8" t="str">
        <f t="shared" si="46"/>
        <v/>
      </c>
      <c r="AD181" s="8"/>
      <c r="AE181" s="8"/>
      <c r="AF181" s="14"/>
      <c r="AG181" s="13"/>
      <c r="AH181" s="14"/>
      <c r="AI181" s="14"/>
      <c r="AJ181" s="8"/>
      <c r="AK181" s="8"/>
      <c r="AL181" s="8"/>
      <c r="AM181" s="8"/>
      <c r="AN181" s="631"/>
      <c r="AO181" s="18"/>
      <c r="AP181" s="18"/>
      <c r="AQ181" s="18"/>
      <c r="AR181" s="18"/>
      <c r="AS181" s="18"/>
      <c r="AU181" s="448"/>
      <c r="AV181" s="448"/>
      <c r="AW181" s="8" t="str">
        <f>IF(C181&gt;0,VLOOKUP(C181,Foundation_Calc!$A$2:$C$986,3,1),
IF(J181&gt;0,VLOOKUP(J181,Foundation_Calc!$A$2:$C$986,3,1),""))</f>
        <v/>
      </c>
      <c r="AX181" s="8" t="str">
        <f>IF(C181&gt;0,VLOOKUP(C181,Foundation_Calc!$E$2:$G$986,3,1),
IF(J181&gt;0,VLOOKUP(J181,Foundation_Calc!$E$2:$G$986,3,1),""))</f>
        <v/>
      </c>
      <c r="AY181" s="631" t="str">
        <f>IF(L181="","",
IF(AX181="PT",VLOOKUP(L181,Foundation_Calc!$K$4:$R$37,VLOOKUP(AW181,Foundation_Calc!$I$2:$J$8,2,FALSE),0),
IF(AX181="K",VLOOKUP(L181,Foundation_Calc!$K$41:$R$74,VLOOKUP(AW181,Foundation_Calc!$I$2:$J$8,2,FALSE),0),"")))</f>
        <v/>
      </c>
      <c r="AZ181" s="631" t="str">
        <f>IF(K181="","",
IF(AX181="PT",VLOOKUP(K181,Foundation_Calc!$K$4:$R$37,VLOOKUP(AW181,Foundation_Calc!$I$2:$J$8,2,FALSE),0),
IF(AX181="K",VLOOKUP(K181,Foundation_Calc!$K$41:$R$74,VLOOKUP(AW181,Foundation_Calc!$I$2:$J$8,2,FALSE),0),"")))</f>
        <v/>
      </c>
      <c r="BA181" s="637" t="str">
        <f t="shared" si="47"/>
        <v/>
      </c>
      <c r="BB181" s="637" t="str">
        <f t="shared" si="48"/>
        <v/>
      </c>
      <c r="BC181" s="637" t="str">
        <f t="shared" si="49"/>
        <v/>
      </c>
      <c r="BD181" s="633" t="str">
        <f>IF(AND(L181="",H181=""),"",
IF(H181="",Pole_Calc!A$9,
IF(H181="MP",Pole_Calc!A$10,
IF(H181="AnMP",Pole_Calc!A$11,
IF(H181="A",Pole_Calc!A$12,
IF(H181="S/A",Pole_Calc!A$13,
IF(H181="A/S",Pole_Calc!A$14,"Poner a mano")))))))</f>
        <v/>
      </c>
      <c r="BE181" s="448" t="s">
        <v>1726</v>
      </c>
      <c r="BF181" s="635"/>
      <c r="BG181" s="635"/>
      <c r="BH181" s="634"/>
      <c r="BI181" s="635"/>
    </row>
    <row r="182" spans="1:61" ht="16.2" customHeight="1">
      <c r="A182" s="12"/>
      <c r="B182" s="446"/>
      <c r="C182" s="89"/>
      <c r="D182" s="13"/>
      <c r="E182" s="14"/>
      <c r="F182" s="14"/>
      <c r="G182" s="15"/>
      <c r="H182" s="8"/>
      <c r="I182" s="8"/>
      <c r="J182" s="89"/>
      <c r="K182" s="8"/>
      <c r="L182" s="8"/>
      <c r="M182" s="8" t="str">
        <f>IF(L182="","",
IF(AX182="PT",VLOOKUP(L182,Foundation_Calc!$V$4:$X$37,VLOOKUP(AX182,Foundation_Calc!$I$10:$J$13,2,FALSE),0),
IF(AX182="K",VLOOKUP(L182,Foundation_Calc!$V$41:$X$74,VLOOKUP(AX182,Foundation_Calc!$I$10:$J$13,2,FALSE),0),"")))</f>
        <v/>
      </c>
      <c r="N182" s="8"/>
      <c r="O182" s="8"/>
      <c r="P182" s="8"/>
      <c r="Q182" s="14"/>
      <c r="R182" s="15"/>
      <c r="S182" s="15"/>
      <c r="T182" s="14"/>
      <c r="U182" s="14"/>
      <c r="V182" s="14"/>
      <c r="W182" s="18"/>
      <c r="X182" s="18"/>
      <c r="Y182" s="18"/>
      <c r="Z182" s="18"/>
      <c r="AA182" s="18"/>
      <c r="AB182" s="18"/>
      <c r="AC182" s="8" t="str">
        <f t="shared" si="46"/>
        <v/>
      </c>
      <c r="AD182" s="8"/>
      <c r="AE182" s="8"/>
      <c r="AF182" s="14"/>
      <c r="AG182" s="13"/>
      <c r="AH182" s="14"/>
      <c r="AI182" s="14"/>
      <c r="AJ182" s="8"/>
      <c r="AK182" s="8"/>
      <c r="AL182" s="8"/>
      <c r="AM182" s="8"/>
      <c r="AN182" s="631"/>
      <c r="AO182" s="18"/>
      <c r="AP182" s="18"/>
      <c r="AQ182" s="18"/>
      <c r="AR182" s="18"/>
      <c r="AS182" s="18"/>
      <c r="AU182" s="448"/>
      <c r="AV182" s="448"/>
      <c r="AW182" s="8" t="str">
        <f>IF(C182&gt;0,VLOOKUP(C182,Foundation_Calc!$A$2:$C$986,3,1),
IF(J182&gt;0,VLOOKUP(J182,Foundation_Calc!$A$2:$C$986,3,1),""))</f>
        <v/>
      </c>
      <c r="AX182" s="8" t="str">
        <f>IF(C182&gt;0,VLOOKUP(C182,Foundation_Calc!$E$2:$G$986,3,1),
IF(J182&gt;0,VLOOKUP(J182,Foundation_Calc!$E$2:$G$986,3,1),""))</f>
        <v/>
      </c>
      <c r="AY182" s="631" t="str">
        <f>IF(L182="","",
IF(AX182="PT",VLOOKUP(L182,Foundation_Calc!$K$4:$R$37,VLOOKUP(AW182,Foundation_Calc!$I$2:$J$8,2,FALSE),0),
IF(AX182="K",VLOOKUP(L182,Foundation_Calc!$K$41:$R$74,VLOOKUP(AW182,Foundation_Calc!$I$2:$J$8,2,FALSE),0),"")))</f>
        <v/>
      </c>
      <c r="AZ182" s="631" t="str">
        <f>IF(K182="","",
IF(AX182="PT",VLOOKUP(K182,Foundation_Calc!$K$4:$R$37,VLOOKUP(AW182,Foundation_Calc!$I$2:$J$8,2,FALSE),0),
IF(AX182="K",VLOOKUP(K182,Foundation_Calc!$K$41:$R$74,VLOOKUP(AW182,Foundation_Calc!$I$2:$J$8,2,FALSE),0),"")))</f>
        <v/>
      </c>
      <c r="BA182" s="637" t="str">
        <f t="shared" si="47"/>
        <v/>
      </c>
      <c r="BB182" s="637" t="str">
        <f t="shared" si="48"/>
        <v/>
      </c>
      <c r="BC182" s="637" t="str">
        <f t="shared" si="49"/>
        <v/>
      </c>
      <c r="BD182" s="633" t="str">
        <f>IF(AND(L182="",H182=""),"",
IF(H182="",Pole_Calc!A$9,
IF(H182="MP",Pole_Calc!A$10,
IF(H182="AnMP",Pole_Calc!A$11,
IF(H182="A",Pole_Calc!A$12,
IF(H182="S/A",Pole_Calc!A$13,
IF(H182="A/S",Pole_Calc!A$14,"Poner a mano")))))))</f>
        <v/>
      </c>
      <c r="BE182" s="448" t="s">
        <v>1726</v>
      </c>
      <c r="BF182" s="634"/>
      <c r="BG182" s="634"/>
      <c r="BH182" s="634"/>
      <c r="BI182" s="634"/>
    </row>
    <row r="183" spans="1:61" ht="16.2" customHeight="1">
      <c r="A183" s="12"/>
      <c r="B183" s="446"/>
      <c r="C183" s="89"/>
      <c r="D183" s="13"/>
      <c r="E183" s="14"/>
      <c r="F183" s="14"/>
      <c r="G183" s="15"/>
      <c r="H183" s="8"/>
      <c r="I183" s="8"/>
      <c r="J183" s="89"/>
      <c r="K183" s="8"/>
      <c r="L183" s="8"/>
      <c r="M183" s="8" t="str">
        <f>IF(L183="","",
IF(AX183="PT",VLOOKUP(L183,Foundation_Calc!$V$4:$X$37,VLOOKUP(AX183,Foundation_Calc!$I$10:$J$13,2,FALSE),0),
IF(AX183="K",VLOOKUP(L183,Foundation_Calc!$V$41:$X$74,VLOOKUP(AX183,Foundation_Calc!$I$10:$J$13,2,FALSE),0),"")))</f>
        <v/>
      </c>
      <c r="N183" s="8"/>
      <c r="O183" s="8"/>
      <c r="P183" s="8"/>
      <c r="Q183" s="14"/>
      <c r="R183" s="15"/>
      <c r="S183" s="15"/>
      <c r="T183" s="14"/>
      <c r="U183" s="14"/>
      <c r="V183" s="14"/>
      <c r="W183" s="18"/>
      <c r="X183" s="18"/>
      <c r="Y183" s="18"/>
      <c r="Z183" s="18"/>
      <c r="AA183" s="18"/>
      <c r="AB183" s="18"/>
      <c r="AC183" s="8" t="str">
        <f t="shared" si="46"/>
        <v/>
      </c>
      <c r="AD183" s="8"/>
      <c r="AE183" s="8"/>
      <c r="AF183" s="14"/>
      <c r="AG183" s="13"/>
      <c r="AH183" s="14"/>
      <c r="AI183" s="14"/>
      <c r="AJ183" s="8"/>
      <c r="AK183" s="8"/>
      <c r="AL183" s="8"/>
      <c r="AM183" s="8"/>
      <c r="AN183" s="631"/>
      <c r="AO183" s="18"/>
      <c r="AP183" s="18"/>
      <c r="AQ183" s="18"/>
      <c r="AR183" s="18"/>
      <c r="AS183" s="18"/>
      <c r="AU183" s="448"/>
      <c r="AV183" s="448"/>
      <c r="AW183" s="8" t="str">
        <f>IF(C183&gt;0,VLOOKUP(C183,Foundation_Calc!$A$2:$C$986,3,1),
IF(J183&gt;0,VLOOKUP(J183,Foundation_Calc!$A$2:$C$986,3,1),""))</f>
        <v/>
      </c>
      <c r="AX183" s="8" t="str">
        <f>IF(C183&gt;0,VLOOKUP(C183,Foundation_Calc!$E$2:$G$986,3,1),
IF(J183&gt;0,VLOOKUP(J183,Foundation_Calc!$E$2:$G$986,3,1),""))</f>
        <v/>
      </c>
      <c r="AY183" s="631" t="str">
        <f>IF(L183="","",
IF(AX183="PT",VLOOKUP(L183,Foundation_Calc!$K$4:$R$37,VLOOKUP(AW183,Foundation_Calc!$I$2:$J$8,2,FALSE),0),
IF(AX183="K",VLOOKUP(L183,Foundation_Calc!$K$41:$R$74,VLOOKUP(AW183,Foundation_Calc!$I$2:$J$8,2,FALSE),0),"")))</f>
        <v/>
      </c>
      <c r="AZ183" s="631" t="str">
        <f>IF(K183="","",
IF(AX183="PT",VLOOKUP(K183,Foundation_Calc!$K$4:$R$37,VLOOKUP(AW183,Foundation_Calc!$I$2:$J$8,2,FALSE),0),
IF(AX183="K",VLOOKUP(K183,Foundation_Calc!$K$41:$R$74,VLOOKUP(AW183,Foundation_Calc!$I$2:$J$8,2,FALSE),0),"")))</f>
        <v/>
      </c>
      <c r="BA183" s="637" t="str">
        <f t="shared" si="47"/>
        <v/>
      </c>
      <c r="BB183" s="637" t="str">
        <f t="shared" si="48"/>
        <v/>
      </c>
      <c r="BC183" s="637" t="str">
        <f t="shared" si="49"/>
        <v/>
      </c>
      <c r="BD183" s="633" t="str">
        <f>IF(AND(L183="",H183=""),"",
IF(H183="",Pole_Calc!A$9,
IF(H183="MP",Pole_Calc!A$10,
IF(H183="AnMP",Pole_Calc!A$11,
IF(H183="A",Pole_Calc!A$12,
IF(H183="S/A",Pole_Calc!A$13,
IF(H183="A/S",Pole_Calc!A$14,"Poner a mano")))))))</f>
        <v/>
      </c>
      <c r="BE183" s="448" t="s">
        <v>1726</v>
      </c>
      <c r="BF183" s="635"/>
      <c r="BG183" s="635"/>
      <c r="BH183" s="634"/>
      <c r="BI183" s="635"/>
    </row>
    <row r="184" spans="1:61" ht="16.2" customHeight="1">
      <c r="A184" s="12"/>
      <c r="B184" s="446"/>
      <c r="C184" s="89"/>
      <c r="D184" s="13"/>
      <c r="E184" s="14"/>
      <c r="F184" s="14"/>
      <c r="G184" s="15"/>
      <c r="H184" s="8"/>
      <c r="I184" s="8"/>
      <c r="J184" s="89"/>
      <c r="K184" s="8"/>
      <c r="L184" s="8"/>
      <c r="M184" s="8" t="str">
        <f>IF(L184="","",
IF(AX184="PT",VLOOKUP(L184,Foundation_Calc!$V$4:$X$37,VLOOKUP(AX184,Foundation_Calc!$I$10:$J$13,2,FALSE),0),
IF(AX184="K",VLOOKUP(L184,Foundation_Calc!$V$41:$X$74,VLOOKUP(AX184,Foundation_Calc!$I$10:$J$13,2,FALSE),0),"")))</f>
        <v/>
      </c>
      <c r="N184" s="8"/>
      <c r="O184" s="8"/>
      <c r="P184" s="8"/>
      <c r="Q184" s="14"/>
      <c r="R184" s="15"/>
      <c r="S184" s="15"/>
      <c r="T184" s="14"/>
      <c r="U184" s="14"/>
      <c r="V184" s="14"/>
      <c r="W184" s="18"/>
      <c r="X184" s="18"/>
      <c r="Y184" s="18"/>
      <c r="Z184" s="18"/>
      <c r="AA184" s="18"/>
      <c r="AB184" s="18"/>
      <c r="AC184" s="8" t="str">
        <f t="shared" si="46"/>
        <v/>
      </c>
      <c r="AD184" s="8"/>
      <c r="AE184" s="8"/>
      <c r="AF184" s="14"/>
      <c r="AG184" s="13"/>
      <c r="AH184" s="14"/>
      <c r="AI184" s="14"/>
      <c r="AJ184" s="8"/>
      <c r="AK184" s="8"/>
      <c r="AL184" s="8"/>
      <c r="AM184" s="8"/>
      <c r="AN184" s="631"/>
      <c r="AO184" s="18"/>
      <c r="AP184" s="18"/>
      <c r="AQ184" s="18"/>
      <c r="AR184" s="18"/>
      <c r="AS184" s="18"/>
      <c r="AU184" s="448"/>
      <c r="AV184" s="448"/>
      <c r="AW184" s="8" t="str">
        <f>IF(C184&gt;0,VLOOKUP(C184,Foundation_Calc!$A$2:$C$986,3,1),
IF(J184&gt;0,VLOOKUP(J184,Foundation_Calc!$A$2:$C$986,3,1),""))</f>
        <v/>
      </c>
      <c r="AX184" s="8" t="str">
        <f>IF(C184&gt;0,VLOOKUP(C184,Foundation_Calc!$E$2:$G$986,3,1),
IF(J184&gt;0,VLOOKUP(J184,Foundation_Calc!$E$2:$G$986,3,1),""))</f>
        <v/>
      </c>
      <c r="AY184" s="631" t="str">
        <f>IF(L184="","",
IF(AX184="PT",VLOOKUP(L184,Foundation_Calc!$K$4:$R$37,VLOOKUP(AW184,Foundation_Calc!$I$2:$J$8,2,FALSE),0),
IF(AX184="K",VLOOKUP(L184,Foundation_Calc!$K$41:$R$74,VLOOKUP(AW184,Foundation_Calc!$I$2:$J$8,2,FALSE),0),"")))</f>
        <v/>
      </c>
      <c r="AZ184" s="631" t="str">
        <f>IF(K184="","",
IF(AX184="PT",VLOOKUP(K184,Foundation_Calc!$K$4:$R$37,VLOOKUP(AW184,Foundation_Calc!$I$2:$J$8,2,FALSE),0),
IF(AX184="K",VLOOKUP(K184,Foundation_Calc!$K$41:$R$74,VLOOKUP(AW184,Foundation_Calc!$I$2:$J$8,2,FALSE),0),"")))</f>
        <v/>
      </c>
      <c r="BA184" s="637" t="str">
        <f t="shared" si="47"/>
        <v/>
      </c>
      <c r="BB184" s="637" t="str">
        <f t="shared" si="48"/>
        <v/>
      </c>
      <c r="BC184" s="637" t="str">
        <f t="shared" si="49"/>
        <v/>
      </c>
      <c r="BD184" s="633" t="str">
        <f>IF(AND(L184="",H184=""),"",
IF(H184="",Pole_Calc!A$9,
IF(H184="MP",Pole_Calc!A$10,
IF(H184="AnMP",Pole_Calc!A$11,
IF(H184="A",Pole_Calc!A$12,
IF(H184="S/A",Pole_Calc!A$13,
IF(H184="A/S",Pole_Calc!A$14,"Poner a mano")))))))</f>
        <v/>
      </c>
      <c r="BE184" s="448" t="s">
        <v>1726</v>
      </c>
      <c r="BF184" s="634"/>
      <c r="BG184" s="634"/>
      <c r="BH184" s="634"/>
      <c r="BI184" s="634"/>
    </row>
    <row r="185" spans="1:61" ht="16.2" customHeight="1">
      <c r="A185" s="12"/>
      <c r="B185" s="446"/>
      <c r="C185" s="89"/>
      <c r="D185" s="13"/>
      <c r="E185" s="14"/>
      <c r="F185" s="14"/>
      <c r="G185" s="15"/>
      <c r="H185" s="8"/>
      <c r="I185" s="8"/>
      <c r="J185" s="89"/>
      <c r="K185" s="8"/>
      <c r="L185" s="8"/>
      <c r="M185" s="8" t="str">
        <f>IF(L185="","",
IF(AX185="PT",VLOOKUP(L185,Foundation_Calc!$V$4:$X$37,VLOOKUP(AX185,Foundation_Calc!$I$10:$J$13,2,FALSE),0),
IF(AX185="K",VLOOKUP(L185,Foundation_Calc!$V$41:$X$74,VLOOKUP(AX185,Foundation_Calc!$I$10:$J$13,2,FALSE),0),"")))</f>
        <v/>
      </c>
      <c r="N185" s="8"/>
      <c r="O185" s="8"/>
      <c r="P185" s="8"/>
      <c r="Q185" s="14"/>
      <c r="R185" s="15"/>
      <c r="S185" s="15"/>
      <c r="T185" s="14"/>
      <c r="U185" s="14"/>
      <c r="V185" s="14"/>
      <c r="W185" s="18"/>
      <c r="X185" s="18"/>
      <c r="Y185" s="18"/>
      <c r="Z185" s="18"/>
      <c r="AA185" s="18"/>
      <c r="AB185" s="18"/>
      <c r="AC185" s="8" t="str">
        <f t="shared" si="46"/>
        <v/>
      </c>
      <c r="AD185" s="8"/>
      <c r="AE185" s="8"/>
      <c r="AF185" s="14"/>
      <c r="AG185" s="13"/>
      <c r="AH185" s="14"/>
      <c r="AI185" s="14"/>
      <c r="AJ185" s="8"/>
      <c r="AK185" s="8"/>
      <c r="AL185" s="8"/>
      <c r="AM185" s="8"/>
      <c r="AN185" s="631"/>
      <c r="AO185" s="18"/>
      <c r="AP185" s="18"/>
      <c r="AQ185" s="18"/>
      <c r="AR185" s="18"/>
      <c r="AS185" s="18"/>
      <c r="AU185" s="448"/>
      <c r="AV185" s="448"/>
      <c r="AW185" s="8" t="str">
        <f>IF(C185&gt;0,VLOOKUP(C185,Foundation_Calc!$A$2:$C$986,3,1),
IF(J185&gt;0,VLOOKUP(J185,Foundation_Calc!$A$2:$C$986,3,1),""))</f>
        <v/>
      </c>
      <c r="AX185" s="8" t="str">
        <f>IF(C185&gt;0,VLOOKUP(C185,Foundation_Calc!$E$2:$G$986,3,1),
IF(J185&gt;0,VLOOKUP(J185,Foundation_Calc!$E$2:$G$986,3,1),""))</f>
        <v/>
      </c>
      <c r="AY185" s="631" t="str">
        <f>IF(L185="","",
IF(AX185="PT",VLOOKUP(L185,Foundation_Calc!$K$4:$R$37,VLOOKUP(AW185,Foundation_Calc!$I$2:$J$8,2,FALSE),0),
IF(AX185="K",VLOOKUP(L185,Foundation_Calc!$K$41:$R$74,VLOOKUP(AW185,Foundation_Calc!$I$2:$J$8,2,FALSE),0),"")))</f>
        <v/>
      </c>
      <c r="AZ185" s="631" t="str">
        <f>IF(K185="","",
IF(AX185="PT",VLOOKUP(K185,Foundation_Calc!$K$4:$R$37,VLOOKUP(AW185,Foundation_Calc!$I$2:$J$8,2,FALSE),0),
IF(AX185="K",VLOOKUP(K185,Foundation_Calc!$K$41:$R$74,VLOOKUP(AW185,Foundation_Calc!$I$2:$J$8,2,FALSE),0),"")))</f>
        <v/>
      </c>
      <c r="BA185" s="637" t="str">
        <f t="shared" si="47"/>
        <v/>
      </c>
      <c r="BB185" s="637" t="str">
        <f t="shared" si="48"/>
        <v/>
      </c>
      <c r="BC185" s="637" t="str">
        <f t="shared" si="49"/>
        <v/>
      </c>
      <c r="BD185" s="633" t="str">
        <f>IF(AND(L185="",H185=""),"",
IF(H185="",Pole_Calc!A$9,
IF(H185="MP",Pole_Calc!A$10,
IF(H185="AnMP",Pole_Calc!A$11,
IF(H185="A",Pole_Calc!A$12,
IF(H185="S/A",Pole_Calc!A$13,
IF(H185="A/S",Pole_Calc!A$14,"Poner a mano")))))))</f>
        <v/>
      </c>
      <c r="BE185" s="448" t="s">
        <v>1726</v>
      </c>
      <c r="BF185" s="635"/>
      <c r="BG185" s="635"/>
      <c r="BH185" s="634"/>
      <c r="BI185" s="635"/>
    </row>
    <row r="186" spans="1:61" ht="16.2" customHeight="1">
      <c r="A186" s="12"/>
      <c r="B186" s="446"/>
      <c r="C186" s="89"/>
      <c r="D186" s="13"/>
      <c r="E186" s="14"/>
      <c r="F186" s="14"/>
      <c r="G186" s="15"/>
      <c r="H186" s="8"/>
      <c r="I186" s="8"/>
      <c r="J186" s="89"/>
      <c r="K186" s="8"/>
      <c r="L186" s="8"/>
      <c r="M186" s="8" t="str">
        <f>IF(L186="","",
IF(AX186="PT",VLOOKUP(L186,Foundation_Calc!$V$4:$X$37,VLOOKUP(AX186,Foundation_Calc!$I$10:$J$13,2,FALSE),0),
IF(AX186="K",VLOOKUP(L186,Foundation_Calc!$V$41:$X$74,VLOOKUP(AX186,Foundation_Calc!$I$10:$J$13,2,FALSE),0),"")))</f>
        <v/>
      </c>
      <c r="N186" s="8"/>
      <c r="O186" s="8"/>
      <c r="P186" s="8"/>
      <c r="Q186" s="14"/>
      <c r="R186" s="15"/>
      <c r="S186" s="15"/>
      <c r="T186" s="14"/>
      <c r="U186" s="14"/>
      <c r="V186" s="14"/>
      <c r="W186" s="18"/>
      <c r="X186" s="18"/>
      <c r="Y186" s="18"/>
      <c r="Z186" s="18"/>
      <c r="AA186" s="18"/>
      <c r="AB186" s="18"/>
      <c r="AC186" s="8" t="str">
        <f t="shared" si="46"/>
        <v/>
      </c>
      <c r="AD186" s="8"/>
      <c r="AE186" s="8"/>
      <c r="AF186" s="14"/>
      <c r="AG186" s="13"/>
      <c r="AH186" s="14"/>
      <c r="AI186" s="14"/>
      <c r="AJ186" s="8"/>
      <c r="AK186" s="8"/>
      <c r="AL186" s="8"/>
      <c r="AM186" s="8"/>
      <c r="AN186" s="631"/>
      <c r="AO186" s="18"/>
      <c r="AP186" s="18"/>
      <c r="AQ186" s="18"/>
      <c r="AR186" s="18"/>
      <c r="AS186" s="18"/>
      <c r="AU186" s="448"/>
      <c r="AV186" s="448"/>
      <c r="AW186" s="8" t="str">
        <f>IF(C186&gt;0,VLOOKUP(C186,Foundation_Calc!$A$2:$C$986,3,1),
IF(J186&gt;0,VLOOKUP(J186,Foundation_Calc!$A$2:$C$986,3,1),""))</f>
        <v/>
      </c>
      <c r="AX186" s="8" t="str">
        <f>IF(C186&gt;0,VLOOKUP(C186,Foundation_Calc!$E$2:$G$986,3,1),
IF(J186&gt;0,VLOOKUP(J186,Foundation_Calc!$E$2:$G$986,3,1),""))</f>
        <v/>
      </c>
      <c r="AY186" s="631" t="str">
        <f>IF(L186="","",
IF(AX186="PT",VLOOKUP(L186,Foundation_Calc!$K$4:$R$37,VLOOKUP(AW186,Foundation_Calc!$I$2:$J$8,2,FALSE),0),
IF(AX186="K",VLOOKUP(L186,Foundation_Calc!$K$41:$R$74,VLOOKUP(AW186,Foundation_Calc!$I$2:$J$8,2,FALSE),0),"")))</f>
        <v/>
      </c>
      <c r="AZ186" s="631" t="str">
        <f>IF(K186="","",
IF(AX186="PT",VLOOKUP(K186,Foundation_Calc!$K$4:$R$37,VLOOKUP(AW186,Foundation_Calc!$I$2:$J$8,2,FALSE),0),
IF(AX186="K",VLOOKUP(K186,Foundation_Calc!$K$41:$R$74,VLOOKUP(AW186,Foundation_Calc!$I$2:$J$8,2,FALSE),0),"")))</f>
        <v/>
      </c>
      <c r="BA186" s="637" t="str">
        <f t="shared" si="47"/>
        <v/>
      </c>
      <c r="BB186" s="637" t="str">
        <f t="shared" si="48"/>
        <v/>
      </c>
      <c r="BC186" s="637" t="str">
        <f t="shared" si="49"/>
        <v/>
      </c>
      <c r="BD186" s="633" t="str">
        <f>IF(AND(L186="",H186=""),"",
IF(H186="",Pole_Calc!A$9,
IF(H186="MP",Pole_Calc!A$10,
IF(H186="AnMP",Pole_Calc!A$11,
IF(H186="A",Pole_Calc!A$12,
IF(H186="S/A",Pole_Calc!A$13,
IF(H186="A/S",Pole_Calc!A$14,"Poner a mano")))))))</f>
        <v/>
      </c>
      <c r="BE186" s="448" t="s">
        <v>1726</v>
      </c>
      <c r="BF186" s="634"/>
      <c r="BG186" s="634"/>
      <c r="BH186" s="634"/>
      <c r="BI186" s="634"/>
    </row>
    <row r="187" spans="1:61" ht="16.2" customHeight="1">
      <c r="A187" s="12"/>
      <c r="B187" s="446"/>
      <c r="C187" s="89"/>
      <c r="D187" s="13"/>
      <c r="E187" s="14"/>
      <c r="F187" s="14"/>
      <c r="G187" s="15"/>
      <c r="H187" s="8"/>
      <c r="I187" s="8"/>
      <c r="J187" s="89"/>
      <c r="K187" s="8"/>
      <c r="L187" s="8"/>
      <c r="M187" s="8" t="str">
        <f>IF(L187="","",
IF(AX187="PT",VLOOKUP(L187,Foundation_Calc!$V$4:$X$37,VLOOKUP(AX187,Foundation_Calc!$I$10:$J$13,2,FALSE),0),
IF(AX187="K",VLOOKUP(L187,Foundation_Calc!$V$41:$X$74,VLOOKUP(AX187,Foundation_Calc!$I$10:$J$13,2,FALSE),0),"")))</f>
        <v/>
      </c>
      <c r="N187" s="8"/>
      <c r="O187" s="8"/>
      <c r="P187" s="8"/>
      <c r="Q187" s="14"/>
      <c r="R187" s="15"/>
      <c r="S187" s="15"/>
      <c r="T187" s="14"/>
      <c r="U187" s="14"/>
      <c r="V187" s="14"/>
      <c r="W187" s="18"/>
      <c r="X187" s="18"/>
      <c r="Y187" s="18"/>
      <c r="Z187" s="18"/>
      <c r="AA187" s="18"/>
      <c r="AB187" s="18"/>
      <c r="AC187" s="8" t="str">
        <f t="shared" si="46"/>
        <v/>
      </c>
      <c r="AD187" s="8"/>
      <c r="AE187" s="8"/>
      <c r="AF187" s="14"/>
      <c r="AG187" s="13"/>
      <c r="AH187" s="14"/>
      <c r="AI187" s="14"/>
      <c r="AJ187" s="8"/>
      <c r="AK187" s="8"/>
      <c r="AL187" s="8"/>
      <c r="AM187" s="8"/>
      <c r="AN187" s="631"/>
      <c r="AO187" s="18"/>
      <c r="AP187" s="18"/>
      <c r="AQ187" s="18"/>
      <c r="AR187" s="18"/>
      <c r="AS187" s="18"/>
      <c r="AU187" s="448"/>
      <c r="AV187" s="448"/>
      <c r="AW187" s="8" t="str">
        <f>IF(C187&gt;0,VLOOKUP(C187,Foundation_Calc!$A$2:$C$986,3,1),
IF(J187&gt;0,VLOOKUP(J187,Foundation_Calc!$A$2:$C$986,3,1),""))</f>
        <v/>
      </c>
      <c r="AX187" s="8" t="str">
        <f>IF(C187&gt;0,VLOOKUP(C187,Foundation_Calc!$E$2:$G$986,3,1),
IF(J187&gt;0,VLOOKUP(J187,Foundation_Calc!$E$2:$G$986,3,1),""))</f>
        <v/>
      </c>
      <c r="AY187" s="631" t="str">
        <f>IF(L187="","",
IF(AX187="PT",VLOOKUP(L187,Foundation_Calc!$K$4:$R$37,VLOOKUP(AW187,Foundation_Calc!$I$2:$J$8,2,FALSE),0),
IF(AX187="K",VLOOKUP(L187,Foundation_Calc!$K$41:$R$74,VLOOKUP(AW187,Foundation_Calc!$I$2:$J$8,2,FALSE),0),"")))</f>
        <v/>
      </c>
      <c r="AZ187" s="631" t="str">
        <f>IF(K187="","",
IF(AX187="PT",VLOOKUP(K187,Foundation_Calc!$K$4:$R$37,VLOOKUP(AW187,Foundation_Calc!$I$2:$J$8,2,FALSE),0),
IF(AX187="K",VLOOKUP(K187,Foundation_Calc!$K$41:$R$74,VLOOKUP(AW187,Foundation_Calc!$I$2:$J$8,2,FALSE),0),"")))</f>
        <v/>
      </c>
      <c r="BA187" s="637" t="str">
        <f t="shared" si="47"/>
        <v/>
      </c>
      <c r="BB187" s="637" t="str">
        <f t="shared" si="48"/>
        <v/>
      </c>
      <c r="BC187" s="637" t="str">
        <f t="shared" si="49"/>
        <v/>
      </c>
      <c r="BD187" s="633" t="str">
        <f>IF(AND(L187="",H187=""),"",
IF(H187="",Pole_Calc!A$9,
IF(H187="MP",Pole_Calc!A$10,
IF(H187="AnMP",Pole_Calc!A$11,
IF(H187="A",Pole_Calc!A$12,
IF(H187="S/A",Pole_Calc!A$13,
IF(H187="A/S",Pole_Calc!A$14,"Poner a mano")))))))</f>
        <v/>
      </c>
      <c r="BE187" s="448" t="s">
        <v>1726</v>
      </c>
      <c r="BF187" s="635"/>
      <c r="BG187" s="635"/>
      <c r="BH187" s="634"/>
      <c r="BI187" s="635"/>
    </row>
    <row r="188" spans="1:61" ht="16.2" customHeight="1">
      <c r="A188" s="12"/>
      <c r="B188" s="446"/>
      <c r="C188" s="89"/>
      <c r="D188" s="13"/>
      <c r="E188" s="14"/>
      <c r="F188" s="14"/>
      <c r="G188" s="15"/>
      <c r="H188" s="8"/>
      <c r="I188" s="8"/>
      <c r="J188" s="89"/>
      <c r="K188" s="8"/>
      <c r="L188" s="8"/>
      <c r="M188" s="8" t="str">
        <f>IF(L188="","",
IF(AX188="PT",VLOOKUP(L188,Foundation_Calc!$V$4:$X$37,VLOOKUP(AX188,Foundation_Calc!$I$10:$J$13,2,FALSE),0),
IF(AX188="K",VLOOKUP(L188,Foundation_Calc!$V$41:$X$74,VLOOKUP(AX188,Foundation_Calc!$I$10:$J$13,2,FALSE),0),"")))</f>
        <v/>
      </c>
      <c r="N188" s="8"/>
      <c r="O188" s="8"/>
      <c r="P188" s="8"/>
      <c r="Q188" s="14"/>
      <c r="R188" s="15"/>
      <c r="S188" s="15"/>
      <c r="T188" s="14"/>
      <c r="U188" s="14"/>
      <c r="V188" s="14"/>
      <c r="W188" s="18"/>
      <c r="X188" s="18"/>
      <c r="Y188" s="18"/>
      <c r="Z188" s="18"/>
      <c r="AA188" s="18"/>
      <c r="AB188" s="18"/>
      <c r="AC188" s="8" t="str">
        <f t="shared" si="46"/>
        <v/>
      </c>
      <c r="AD188" s="8"/>
      <c r="AE188" s="8"/>
      <c r="AF188" s="14"/>
      <c r="AG188" s="13"/>
      <c r="AH188" s="14"/>
      <c r="AI188" s="14"/>
      <c r="AJ188" s="8"/>
      <c r="AK188" s="8"/>
      <c r="AL188" s="8"/>
      <c r="AM188" s="8"/>
      <c r="AN188" s="631"/>
      <c r="AO188" s="18"/>
      <c r="AP188" s="18"/>
      <c r="AQ188" s="18"/>
      <c r="AR188" s="18"/>
      <c r="AS188" s="18"/>
      <c r="AU188" s="448"/>
      <c r="AV188" s="448"/>
      <c r="AW188" s="8" t="str">
        <f>IF(C188&gt;0,VLOOKUP(C188,Foundation_Calc!$A$2:$C$986,3,1),
IF(J188&gt;0,VLOOKUP(J188,Foundation_Calc!$A$2:$C$986,3,1),""))</f>
        <v/>
      </c>
      <c r="AX188" s="8" t="str">
        <f>IF(C188&gt;0,VLOOKUP(C188,Foundation_Calc!$E$2:$G$986,3,1),
IF(J188&gt;0,VLOOKUP(J188,Foundation_Calc!$E$2:$G$986,3,1),""))</f>
        <v/>
      </c>
      <c r="AY188" s="631" t="str">
        <f>IF(L188="","",
IF(AX188="PT",VLOOKUP(L188,Foundation_Calc!$K$4:$R$37,VLOOKUP(AW188,Foundation_Calc!$I$2:$J$8,2,FALSE),0),
IF(AX188="K",VLOOKUP(L188,Foundation_Calc!$K$41:$R$74,VLOOKUP(AW188,Foundation_Calc!$I$2:$J$8,2,FALSE),0),"")))</f>
        <v/>
      </c>
      <c r="AZ188" s="631" t="str">
        <f>IF(K188="","",
IF(AX188="PT",VLOOKUP(K188,Foundation_Calc!$K$4:$R$37,VLOOKUP(AW188,Foundation_Calc!$I$2:$J$8,2,FALSE),0),
IF(AX188="K",VLOOKUP(K188,Foundation_Calc!$K$41:$R$74,VLOOKUP(AW188,Foundation_Calc!$I$2:$J$8,2,FALSE),0),"")))</f>
        <v/>
      </c>
      <c r="BA188" s="637" t="str">
        <f t="shared" si="47"/>
        <v/>
      </c>
      <c r="BB188" s="637" t="str">
        <f t="shared" si="48"/>
        <v/>
      </c>
      <c r="BC188" s="637" t="str">
        <f t="shared" si="49"/>
        <v/>
      </c>
      <c r="BD188" s="633" t="str">
        <f>IF(AND(L188="",H188=""),"",
IF(H188="",Pole_Calc!A$9,
IF(H188="MP",Pole_Calc!A$10,
IF(H188="AnMP",Pole_Calc!A$11,
IF(H188="A",Pole_Calc!A$12,
IF(H188="S/A",Pole_Calc!A$13,
IF(H188="A/S",Pole_Calc!A$14,"Poner a mano")))))))</f>
        <v/>
      </c>
      <c r="BE188" s="448" t="s">
        <v>1726</v>
      </c>
      <c r="BF188" s="634"/>
      <c r="BG188" s="634"/>
      <c r="BH188" s="634"/>
      <c r="BI188" s="634"/>
    </row>
    <row r="189" spans="1:61" ht="16.2" customHeight="1">
      <c r="A189" s="12"/>
      <c r="B189" s="446"/>
      <c r="C189" s="89"/>
      <c r="D189" s="13"/>
      <c r="E189" s="14"/>
      <c r="F189" s="14"/>
      <c r="G189" s="15"/>
      <c r="H189" s="8"/>
      <c r="I189" s="8"/>
      <c r="J189" s="89"/>
      <c r="K189" s="8"/>
      <c r="L189" s="8"/>
      <c r="M189" s="8" t="str">
        <f>IF(L189="","",
IF(AX189="PT",VLOOKUP(L189,Foundation_Calc!$V$4:$X$37,VLOOKUP(AX189,Foundation_Calc!$I$10:$J$13,2,FALSE),0),
IF(AX189="K",VLOOKUP(L189,Foundation_Calc!$V$41:$X$74,VLOOKUP(AX189,Foundation_Calc!$I$10:$J$13,2,FALSE),0),"")))</f>
        <v/>
      </c>
      <c r="N189" s="8"/>
      <c r="O189" s="8"/>
      <c r="P189" s="8"/>
      <c r="Q189" s="14"/>
      <c r="R189" s="15"/>
      <c r="S189" s="15"/>
      <c r="T189" s="14"/>
      <c r="U189" s="14"/>
      <c r="V189" s="14"/>
      <c r="W189" s="18"/>
      <c r="X189" s="18"/>
      <c r="Y189" s="18"/>
      <c r="Z189" s="18"/>
      <c r="AA189" s="18"/>
      <c r="AB189" s="18"/>
      <c r="AC189" s="8" t="str">
        <f t="shared" si="46"/>
        <v/>
      </c>
      <c r="AD189" s="8"/>
      <c r="AE189" s="8"/>
      <c r="AF189" s="14"/>
      <c r="AG189" s="13"/>
      <c r="AH189" s="14"/>
      <c r="AI189" s="14"/>
      <c r="AJ189" s="8"/>
      <c r="AK189" s="8"/>
      <c r="AL189" s="8"/>
      <c r="AM189" s="8"/>
      <c r="AN189" s="631"/>
      <c r="AO189" s="18"/>
      <c r="AP189" s="18"/>
      <c r="AQ189" s="18"/>
      <c r="AR189" s="18"/>
      <c r="AS189" s="18"/>
      <c r="AU189" s="448"/>
      <c r="AV189" s="448"/>
      <c r="AW189" s="8" t="str">
        <f>IF(C189&gt;0,VLOOKUP(C189,Foundation_Calc!$A$2:$C$986,3,1),
IF(J189&gt;0,VLOOKUP(J189,Foundation_Calc!$A$2:$C$986,3,1),""))</f>
        <v/>
      </c>
      <c r="AX189" s="8" t="str">
        <f>IF(C189&gt;0,VLOOKUP(C189,Foundation_Calc!$E$2:$G$986,3,1),
IF(J189&gt;0,VLOOKUP(J189,Foundation_Calc!$E$2:$G$986,3,1),""))</f>
        <v/>
      </c>
      <c r="AY189" s="631" t="str">
        <f>IF(L189="","",
IF(AX189="PT",VLOOKUP(L189,Foundation_Calc!$K$4:$R$37,VLOOKUP(AW189,Foundation_Calc!$I$2:$J$8,2,FALSE),0),
IF(AX189="K",VLOOKUP(L189,Foundation_Calc!$K$41:$R$74,VLOOKUP(AW189,Foundation_Calc!$I$2:$J$8,2,FALSE),0),"")))</f>
        <v/>
      </c>
      <c r="AZ189" s="631" t="str">
        <f>IF(K189="","",
IF(AX189="PT",VLOOKUP(K189,Foundation_Calc!$K$4:$R$37,VLOOKUP(AW189,Foundation_Calc!$I$2:$J$8,2,FALSE),0),
IF(AX189="K",VLOOKUP(K189,Foundation_Calc!$K$41:$R$74,VLOOKUP(AW189,Foundation_Calc!$I$2:$J$8,2,FALSE),0),"")))</f>
        <v/>
      </c>
      <c r="BA189" s="637" t="str">
        <f t="shared" si="47"/>
        <v/>
      </c>
      <c r="BB189" s="637" t="str">
        <f t="shared" si="48"/>
        <v/>
      </c>
      <c r="BC189" s="637" t="str">
        <f t="shared" si="49"/>
        <v/>
      </c>
      <c r="BD189" s="633" t="str">
        <f>IF(AND(L189="",H189=""),"",
IF(H189="",Pole_Calc!A$9,
IF(H189="MP",Pole_Calc!A$10,
IF(H189="AnMP",Pole_Calc!A$11,
IF(H189="A",Pole_Calc!A$12,
IF(H189="S/A",Pole_Calc!A$13,
IF(H189="A/S",Pole_Calc!A$14,"Poner a mano")))))))</f>
        <v/>
      </c>
      <c r="BE189" s="448" t="s">
        <v>1726</v>
      </c>
      <c r="BF189" s="635"/>
      <c r="BG189" s="635"/>
      <c r="BH189" s="634"/>
      <c r="BI189" s="635"/>
    </row>
    <row r="190" spans="1:61" ht="16.2" customHeight="1">
      <c r="A190" s="12"/>
      <c r="B190" s="446"/>
      <c r="C190" s="89"/>
      <c r="D190" s="13"/>
      <c r="E190" s="14"/>
      <c r="F190" s="14"/>
      <c r="G190" s="15"/>
      <c r="H190" s="8"/>
      <c r="I190" s="8"/>
      <c r="J190" s="89"/>
      <c r="K190" s="8"/>
      <c r="L190" s="8"/>
      <c r="M190" s="8" t="str">
        <f>IF(L190="","",
IF(AX190="PT",VLOOKUP(L190,Foundation_Calc!$V$4:$X$37,VLOOKUP(AX190,Foundation_Calc!$I$10:$J$13,2,FALSE),0),
IF(AX190="K",VLOOKUP(L190,Foundation_Calc!$V$41:$X$74,VLOOKUP(AX190,Foundation_Calc!$I$10:$J$13,2,FALSE),0),"")))</f>
        <v/>
      </c>
      <c r="N190" s="8"/>
      <c r="O190" s="8"/>
      <c r="P190" s="8"/>
      <c r="Q190" s="14"/>
      <c r="R190" s="15"/>
      <c r="S190" s="15"/>
      <c r="T190" s="14"/>
      <c r="U190" s="14"/>
      <c r="V190" s="14"/>
      <c r="W190" s="18"/>
      <c r="X190" s="18"/>
      <c r="Y190" s="18"/>
      <c r="Z190" s="18"/>
      <c r="AA190" s="18"/>
      <c r="AB190" s="18"/>
      <c r="AC190" s="8" t="str">
        <f t="shared" si="46"/>
        <v/>
      </c>
      <c r="AD190" s="8"/>
      <c r="AE190" s="8"/>
      <c r="AF190" s="14"/>
      <c r="AG190" s="13"/>
      <c r="AH190" s="14"/>
      <c r="AI190" s="14"/>
      <c r="AJ190" s="8"/>
      <c r="AK190" s="8"/>
      <c r="AL190" s="8"/>
      <c r="AM190" s="8"/>
      <c r="AN190" s="631"/>
      <c r="AO190" s="18"/>
      <c r="AP190" s="18"/>
      <c r="AQ190" s="18"/>
      <c r="AR190" s="18"/>
      <c r="AS190" s="18"/>
      <c r="AU190" s="448"/>
      <c r="AV190" s="448"/>
      <c r="AW190" s="8" t="str">
        <f>IF(C190&gt;0,VLOOKUP(C190,Foundation_Calc!$A$2:$C$986,3,1),
IF(J190&gt;0,VLOOKUP(J190,Foundation_Calc!$A$2:$C$986,3,1),""))</f>
        <v/>
      </c>
      <c r="AX190" s="8" t="str">
        <f>IF(C190&gt;0,VLOOKUP(C190,Foundation_Calc!$E$2:$G$986,3,1),
IF(J190&gt;0,VLOOKUP(J190,Foundation_Calc!$E$2:$G$986,3,1),""))</f>
        <v/>
      </c>
      <c r="AY190" s="631" t="str">
        <f>IF(L190="","",
IF(AX190="PT",VLOOKUP(L190,Foundation_Calc!$K$4:$R$37,VLOOKUP(AW190,Foundation_Calc!$I$2:$J$8,2,FALSE),0),
IF(AX190="K",VLOOKUP(L190,Foundation_Calc!$K$41:$R$74,VLOOKUP(AW190,Foundation_Calc!$I$2:$J$8,2,FALSE),0),"")))</f>
        <v/>
      </c>
      <c r="AZ190" s="631" t="str">
        <f>IF(K190="","",
IF(AX190="PT",VLOOKUP(K190,Foundation_Calc!$K$4:$R$37,VLOOKUP(AW190,Foundation_Calc!$I$2:$J$8,2,FALSE),0),
IF(AX190="K",VLOOKUP(K190,Foundation_Calc!$K$41:$R$74,VLOOKUP(AW190,Foundation_Calc!$I$2:$J$8,2,FALSE),0),"")))</f>
        <v/>
      </c>
      <c r="BA190" s="637" t="str">
        <f t="shared" si="47"/>
        <v/>
      </c>
      <c r="BB190" s="637" t="str">
        <f t="shared" si="48"/>
        <v/>
      </c>
      <c r="BC190" s="637" t="str">
        <f t="shared" si="49"/>
        <v/>
      </c>
      <c r="BD190" s="633" t="str">
        <f>IF(AND(L190="",H190=""),"",
IF(H190="",Pole_Calc!A$9,
IF(H190="MP",Pole_Calc!A$10,
IF(H190="AnMP",Pole_Calc!A$11,
IF(H190="A",Pole_Calc!A$12,
IF(H190="S/A",Pole_Calc!A$13,
IF(H190="A/S",Pole_Calc!A$14,"Poner a mano")))))))</f>
        <v/>
      </c>
      <c r="BE190" s="448" t="s">
        <v>1726</v>
      </c>
      <c r="BF190" s="634"/>
      <c r="BG190" s="634"/>
      <c r="BH190" s="634"/>
      <c r="BI190" s="634"/>
    </row>
    <row r="191" spans="1:61" ht="16.2" customHeight="1">
      <c r="A191" s="12"/>
      <c r="B191" s="446"/>
      <c r="C191" s="89"/>
      <c r="D191" s="13"/>
      <c r="E191" s="14"/>
      <c r="F191" s="14"/>
      <c r="G191" s="15"/>
      <c r="H191" s="8"/>
      <c r="I191" s="8"/>
      <c r="J191" s="89"/>
      <c r="K191" s="8"/>
      <c r="L191" s="8"/>
      <c r="M191" s="8" t="str">
        <f>IF(L191="","",
IF(AX191="PT",VLOOKUP(L191,Foundation_Calc!$V$4:$X$37,VLOOKUP(AX191,Foundation_Calc!$I$10:$J$13,2,FALSE),0),
IF(AX191="K",VLOOKUP(L191,Foundation_Calc!$V$41:$X$74,VLOOKUP(AX191,Foundation_Calc!$I$10:$J$13,2,FALSE),0),"")))</f>
        <v/>
      </c>
      <c r="N191" s="8"/>
      <c r="O191" s="8"/>
      <c r="P191" s="8"/>
      <c r="Q191" s="14"/>
      <c r="R191" s="15"/>
      <c r="S191" s="15"/>
      <c r="T191" s="14"/>
      <c r="U191" s="14"/>
      <c r="V191" s="14"/>
      <c r="W191" s="18"/>
      <c r="X191" s="18"/>
      <c r="Y191" s="18"/>
      <c r="Z191" s="18"/>
      <c r="AA191" s="18"/>
      <c r="AB191" s="18"/>
      <c r="AC191" s="8" t="str">
        <f t="shared" si="46"/>
        <v/>
      </c>
      <c r="AD191" s="8"/>
      <c r="AE191" s="8"/>
      <c r="AF191" s="14"/>
      <c r="AG191" s="13"/>
      <c r="AH191" s="14"/>
      <c r="AI191" s="14"/>
      <c r="AJ191" s="8"/>
      <c r="AK191" s="8"/>
      <c r="AL191" s="8"/>
      <c r="AM191" s="8"/>
      <c r="AN191" s="631"/>
      <c r="AO191" s="18"/>
      <c r="AP191" s="18"/>
      <c r="AQ191" s="18"/>
      <c r="AR191" s="18"/>
      <c r="AS191" s="18"/>
      <c r="AU191" s="448"/>
      <c r="AV191" s="448"/>
      <c r="AW191" s="8" t="str">
        <f>IF(C191&gt;0,VLOOKUP(C191,Foundation_Calc!$A$2:$C$986,3,1),
IF(J191&gt;0,VLOOKUP(J191,Foundation_Calc!$A$2:$C$986,3,1),""))</f>
        <v/>
      </c>
      <c r="AX191" s="8" t="str">
        <f>IF(C191&gt;0,VLOOKUP(C191,Foundation_Calc!$E$2:$G$986,3,1),
IF(J191&gt;0,VLOOKUP(J191,Foundation_Calc!$E$2:$G$986,3,1),""))</f>
        <v/>
      </c>
      <c r="AY191" s="631" t="str">
        <f>IF(L191="","",
IF(AX191="PT",VLOOKUP(L191,Foundation_Calc!$K$4:$R$37,VLOOKUP(AW191,Foundation_Calc!$I$2:$J$8,2,FALSE),0),
IF(AX191="K",VLOOKUP(L191,Foundation_Calc!$K$41:$R$74,VLOOKUP(AW191,Foundation_Calc!$I$2:$J$8,2,FALSE),0),"")))</f>
        <v/>
      </c>
      <c r="AZ191" s="631" t="str">
        <f>IF(K191="","",
IF(AX191="PT",VLOOKUP(K191,Foundation_Calc!$K$4:$R$37,VLOOKUP(AW191,Foundation_Calc!$I$2:$J$8,2,FALSE),0),
IF(AX191="K",VLOOKUP(K191,Foundation_Calc!$K$41:$R$74,VLOOKUP(AW191,Foundation_Calc!$I$2:$J$8,2,FALSE),0),"")))</f>
        <v/>
      </c>
      <c r="BA191" s="637" t="str">
        <f t="shared" si="47"/>
        <v/>
      </c>
      <c r="BB191" s="637" t="str">
        <f t="shared" si="48"/>
        <v/>
      </c>
      <c r="BC191" s="637" t="str">
        <f t="shared" si="49"/>
        <v/>
      </c>
      <c r="BD191" s="633" t="str">
        <f>IF(AND(L191="",H191=""),"",
IF(H191="",Pole_Calc!A$9,
IF(H191="MP",Pole_Calc!A$10,
IF(H191="AnMP",Pole_Calc!A$11,
IF(H191="A",Pole_Calc!A$12,
IF(H191="S/A",Pole_Calc!A$13,
IF(H191="A/S",Pole_Calc!A$14,"Poner a mano")))))))</f>
        <v/>
      </c>
      <c r="BE191" s="448" t="s">
        <v>1726</v>
      </c>
      <c r="BF191" s="635"/>
      <c r="BG191" s="635"/>
      <c r="BH191" s="634"/>
      <c r="BI191" s="635"/>
    </row>
    <row r="192" spans="1:61" ht="16.2" customHeight="1">
      <c r="A192" s="12"/>
      <c r="B192" s="446"/>
      <c r="C192" s="89"/>
      <c r="D192" s="13"/>
      <c r="E192" s="14"/>
      <c r="F192" s="14"/>
      <c r="G192" s="15"/>
      <c r="H192" s="8"/>
      <c r="I192" s="8"/>
      <c r="J192" s="89"/>
      <c r="K192" s="8"/>
      <c r="L192" s="8"/>
      <c r="M192" s="8" t="str">
        <f>IF(L192="","",
IF(AX192="PT",VLOOKUP(L192,Foundation_Calc!$V$4:$X$37,VLOOKUP(AX192,Foundation_Calc!$I$10:$J$13,2,FALSE),0),
IF(AX192="K",VLOOKUP(L192,Foundation_Calc!$V$41:$X$74,VLOOKUP(AX192,Foundation_Calc!$I$10:$J$13,2,FALSE),0),"")))</f>
        <v/>
      </c>
      <c r="N192" s="8"/>
      <c r="O192" s="8"/>
      <c r="P192" s="8"/>
      <c r="Q192" s="14"/>
      <c r="R192" s="15"/>
      <c r="S192" s="15"/>
      <c r="T192" s="14"/>
      <c r="U192" s="14"/>
      <c r="V192" s="14"/>
      <c r="W192" s="18"/>
      <c r="X192" s="18"/>
      <c r="Y192" s="18"/>
      <c r="Z192" s="18"/>
      <c r="AA192" s="18"/>
      <c r="AB192" s="18"/>
      <c r="AC192" s="8" t="str">
        <f t="shared" si="46"/>
        <v/>
      </c>
      <c r="AD192" s="8"/>
      <c r="AE192" s="8"/>
      <c r="AF192" s="14"/>
      <c r="AG192" s="13"/>
      <c r="AH192" s="14"/>
      <c r="AI192" s="14"/>
      <c r="AJ192" s="8"/>
      <c r="AK192" s="8"/>
      <c r="AL192" s="8"/>
      <c r="AM192" s="8"/>
      <c r="AN192" s="631"/>
      <c r="AO192" s="18"/>
      <c r="AP192" s="18"/>
      <c r="AQ192" s="18"/>
      <c r="AR192" s="18"/>
      <c r="AS192" s="18"/>
      <c r="AU192" s="448"/>
      <c r="AV192" s="448"/>
      <c r="AW192" s="8" t="str">
        <f>IF(C192&gt;0,VLOOKUP(C192,Foundation_Calc!$A$2:$C$986,3,1),
IF(J192&gt;0,VLOOKUP(J192,Foundation_Calc!$A$2:$C$986,3,1),""))</f>
        <v/>
      </c>
      <c r="AX192" s="8" t="str">
        <f>IF(C192&gt;0,VLOOKUP(C192,Foundation_Calc!$E$2:$G$986,3,1),
IF(J192&gt;0,VLOOKUP(J192,Foundation_Calc!$E$2:$G$986,3,1),""))</f>
        <v/>
      </c>
      <c r="AY192" s="631" t="str">
        <f>IF(L192="","",
IF(AX192="PT",VLOOKUP(L192,Foundation_Calc!$K$4:$R$37,VLOOKUP(AW192,Foundation_Calc!$I$2:$J$8,2,FALSE),0),
IF(AX192="K",VLOOKUP(L192,Foundation_Calc!$K$41:$R$74,VLOOKUP(AW192,Foundation_Calc!$I$2:$J$8,2,FALSE),0),"")))</f>
        <v/>
      </c>
      <c r="AZ192" s="631" t="str">
        <f>IF(K192="","",
IF(AX192="PT",VLOOKUP(K192,Foundation_Calc!$K$4:$R$37,VLOOKUP(AW192,Foundation_Calc!$I$2:$J$8,2,FALSE),0),
IF(AX192="K",VLOOKUP(K192,Foundation_Calc!$K$41:$R$74,VLOOKUP(AW192,Foundation_Calc!$I$2:$J$8,2,FALSE),0),"")))</f>
        <v/>
      </c>
      <c r="BA192" s="632" t="str">
        <f t="shared" si="47"/>
        <v/>
      </c>
      <c r="BB192" s="632" t="str">
        <f t="shared" si="48"/>
        <v/>
      </c>
      <c r="BC192" s="632" t="str">
        <f t="shared" si="49"/>
        <v/>
      </c>
      <c r="BD192" s="633" t="str">
        <f>IF(AND(L192="",H192=""),"",
IF(H192="",Pole_Calc!A$9,
IF(H192="MP",Pole_Calc!A$10,
IF(H192="AnMP",Pole_Calc!A$11,
IF(H192="A",Pole_Calc!A$12,
IF(H192="S/A",Pole_Calc!A$13,
IF(H192="A/S",Pole_Calc!A$14,"Poner a mano")))))))</f>
        <v/>
      </c>
      <c r="BE192" s="448" t="s">
        <v>1726</v>
      </c>
      <c r="BF192" s="634"/>
      <c r="BG192" s="634"/>
      <c r="BH192" s="634"/>
      <c r="BI192" s="634"/>
    </row>
    <row r="193" spans="1:61" ht="16.2" customHeight="1">
      <c r="A193" s="12"/>
      <c r="B193" s="446"/>
      <c r="C193" s="89"/>
      <c r="D193" s="13"/>
      <c r="E193" s="14"/>
      <c r="F193" s="14"/>
      <c r="G193" s="15"/>
      <c r="H193" s="8"/>
      <c r="I193" s="8"/>
      <c r="J193" s="89"/>
      <c r="K193" s="8"/>
      <c r="L193" s="8"/>
      <c r="M193" s="8" t="str">
        <f>IF(L193="","",
IF(AX193="PT",VLOOKUP(L193,Foundation_Calc!$V$4:$X$37,VLOOKUP(AX193,Foundation_Calc!$I$10:$J$13,2,FALSE),0),
IF(AX193="K",VLOOKUP(L193,Foundation_Calc!$V$41:$X$74,VLOOKUP(AX193,Foundation_Calc!$I$10:$J$13,2,FALSE),0),"")))</f>
        <v/>
      </c>
      <c r="N193" s="8"/>
      <c r="O193" s="8"/>
      <c r="P193" s="8"/>
      <c r="Q193" s="14"/>
      <c r="R193" s="15"/>
      <c r="S193" s="15"/>
      <c r="T193" s="14"/>
      <c r="U193" s="14"/>
      <c r="V193" s="14"/>
      <c r="W193" s="18"/>
      <c r="X193" s="18"/>
      <c r="Y193" s="18"/>
      <c r="Z193" s="18"/>
      <c r="AA193" s="18"/>
      <c r="AB193" s="18"/>
      <c r="AC193" s="8" t="str">
        <f t="shared" si="46"/>
        <v/>
      </c>
      <c r="AD193" s="8"/>
      <c r="AE193" s="8"/>
      <c r="AF193" s="14"/>
      <c r="AG193" s="13"/>
      <c r="AH193" s="14"/>
      <c r="AI193" s="14"/>
      <c r="AJ193" s="8"/>
      <c r="AK193" s="8"/>
      <c r="AL193" s="8"/>
      <c r="AM193" s="8"/>
      <c r="AN193" s="631"/>
      <c r="AO193" s="18"/>
      <c r="AP193" s="18"/>
      <c r="AQ193" s="18"/>
      <c r="AR193" s="18"/>
      <c r="AS193" s="18"/>
      <c r="AU193" s="448"/>
      <c r="AV193" s="448"/>
      <c r="AW193" s="8" t="str">
        <f>IF(C193&gt;0,VLOOKUP(C193,Foundation_Calc!$A$2:$C$986,3,1),
IF(J193&gt;0,VLOOKUP(J193,Foundation_Calc!$A$2:$C$986,3,1),""))</f>
        <v/>
      </c>
      <c r="AX193" s="8" t="str">
        <f>IF(C193&gt;0,VLOOKUP(C193,Foundation_Calc!$E$2:$G$986,3,1),
IF(J193&gt;0,VLOOKUP(J193,Foundation_Calc!$E$2:$G$986,3,1),""))</f>
        <v/>
      </c>
      <c r="AY193" s="631" t="str">
        <f>IF(L193="","",
IF(AX193="PT",VLOOKUP(L193,Foundation_Calc!$K$4:$R$37,VLOOKUP(AW193,Foundation_Calc!$I$2:$J$8,2,FALSE),0),
IF(AX193="K",VLOOKUP(L193,Foundation_Calc!$K$41:$R$74,VLOOKUP(AW193,Foundation_Calc!$I$2:$J$8,2,FALSE),0),"")))</f>
        <v/>
      </c>
      <c r="AZ193" s="631" t="str">
        <f>IF(K193="","",
IF(AX193="PT",VLOOKUP(K193,Foundation_Calc!$K$4:$R$37,VLOOKUP(AW193,Foundation_Calc!$I$2:$J$8,2,FALSE),0),
IF(AX193="K",VLOOKUP(K193,Foundation_Calc!$K$41:$R$74,VLOOKUP(AW193,Foundation_Calc!$I$2:$J$8,2,FALSE),0),"")))</f>
        <v/>
      </c>
      <c r="BA193" s="632" t="str">
        <f t="shared" si="47"/>
        <v/>
      </c>
      <c r="BB193" s="632" t="str">
        <f t="shared" si="48"/>
        <v/>
      </c>
      <c r="BC193" s="632" t="str">
        <f t="shared" si="49"/>
        <v/>
      </c>
      <c r="BD193" s="633" t="str">
        <f>IF(AND(L193="",H193=""),"",
IF(H193="",Pole_Calc!A$9,
IF(H193="MP",Pole_Calc!A$10,
IF(H193="AnMP",Pole_Calc!A$11,
IF(H193="A",Pole_Calc!A$12,
IF(H193="S/A",Pole_Calc!A$13,
IF(H193="A/S",Pole_Calc!A$14,"Poner a mano")))))))</f>
        <v/>
      </c>
      <c r="BE193" s="448" t="s">
        <v>1726</v>
      </c>
      <c r="BF193" s="635"/>
      <c r="BG193" s="635"/>
      <c r="BH193" s="634"/>
      <c r="BI193" s="635"/>
    </row>
    <row r="194" spans="1:61" ht="16.2" customHeight="1">
      <c r="A194" s="12"/>
      <c r="B194" s="446"/>
      <c r="C194" s="89"/>
      <c r="D194" s="13"/>
      <c r="E194" s="14"/>
      <c r="F194" s="14"/>
      <c r="G194" s="15"/>
      <c r="H194" s="8"/>
      <c r="I194" s="8"/>
      <c r="J194" s="89"/>
      <c r="K194" s="8"/>
      <c r="L194" s="8"/>
      <c r="M194" s="8" t="str">
        <f>IF(L194="","",
IF(AX194="PT",VLOOKUP(L194,Foundation_Calc!$V$4:$X$37,VLOOKUP(AX194,Foundation_Calc!$I$10:$J$13,2,FALSE),0),
IF(AX194="K",VLOOKUP(L194,Foundation_Calc!$V$41:$X$74,VLOOKUP(AX194,Foundation_Calc!$I$10:$J$13,2,FALSE),0),"")))</f>
        <v/>
      </c>
      <c r="N194" s="8"/>
      <c r="O194" s="8"/>
      <c r="P194" s="8"/>
      <c r="Q194" s="14"/>
      <c r="R194" s="15"/>
      <c r="S194" s="15"/>
      <c r="T194" s="14"/>
      <c r="U194" s="14"/>
      <c r="V194" s="14"/>
      <c r="W194" s="18"/>
      <c r="X194" s="18"/>
      <c r="Y194" s="18"/>
      <c r="Z194" s="18"/>
      <c r="AA194" s="18"/>
      <c r="AB194" s="18"/>
      <c r="AC194" s="8" t="str">
        <f t="shared" si="46"/>
        <v/>
      </c>
      <c r="AD194" s="8"/>
      <c r="AE194" s="8"/>
      <c r="AF194" s="14"/>
      <c r="AG194" s="13"/>
      <c r="AH194" s="14"/>
      <c r="AI194" s="14"/>
      <c r="AJ194" s="8"/>
      <c r="AK194" s="8"/>
      <c r="AL194" s="8"/>
      <c r="AM194" s="8"/>
      <c r="AN194" s="631"/>
      <c r="AO194" s="18"/>
      <c r="AP194" s="18"/>
      <c r="AQ194" s="18"/>
      <c r="AR194" s="18"/>
      <c r="AS194" s="18"/>
      <c r="AU194" s="448"/>
      <c r="AV194" s="448"/>
      <c r="AW194" s="8" t="str">
        <f>IF(C194&gt;0,VLOOKUP(C194,Foundation_Calc!$A$2:$C$986,3,1),
IF(J194&gt;0,VLOOKUP(J194,Foundation_Calc!$A$2:$C$986,3,1),""))</f>
        <v/>
      </c>
      <c r="AX194" s="8" t="str">
        <f>IF(C194&gt;0,VLOOKUP(C194,Foundation_Calc!$E$2:$G$986,3,1),
IF(J194&gt;0,VLOOKUP(J194,Foundation_Calc!$E$2:$G$986,3,1),""))</f>
        <v/>
      </c>
      <c r="AY194" s="631" t="str">
        <f>IF(L194="","",
IF(AX194="PT",VLOOKUP(L194,Foundation_Calc!$K$4:$R$37,VLOOKUP(AW194,Foundation_Calc!$I$2:$J$8,2,FALSE),0),
IF(AX194="K",VLOOKUP(L194,Foundation_Calc!$K$41:$R$74,VLOOKUP(AW194,Foundation_Calc!$I$2:$J$8,2,FALSE),0),"")))</f>
        <v/>
      </c>
      <c r="AZ194" s="631" t="str">
        <f>IF(K194="","",
IF(AX194="PT",VLOOKUP(K194,Foundation_Calc!$K$4:$R$37,VLOOKUP(AW194,Foundation_Calc!$I$2:$J$8,2,FALSE),0),
IF(AX194="K",VLOOKUP(K194,Foundation_Calc!$K$41:$R$74,VLOOKUP(AW194,Foundation_Calc!$I$2:$J$8,2,FALSE),0),"")))</f>
        <v/>
      </c>
      <c r="BA194" s="632" t="str">
        <f t="shared" si="47"/>
        <v/>
      </c>
      <c r="BB194" s="632" t="str">
        <f t="shared" si="48"/>
        <v/>
      </c>
      <c r="BC194" s="632" t="str">
        <f t="shared" si="49"/>
        <v/>
      </c>
      <c r="BD194" s="633" t="str">
        <f>IF(AND(L194="",H194=""),"",
IF(H194="",Pole_Calc!A$9,
IF(H194="MP",Pole_Calc!A$10,
IF(H194="AnMP",Pole_Calc!A$11,
IF(H194="A",Pole_Calc!A$12,
IF(H194="S/A",Pole_Calc!A$13,
IF(H194="A/S",Pole_Calc!A$14,"Poner a mano")))))))</f>
        <v/>
      </c>
      <c r="BE194" s="448" t="s">
        <v>1726</v>
      </c>
      <c r="BF194" s="634"/>
      <c r="BG194" s="634"/>
      <c r="BH194" s="634"/>
      <c r="BI194" s="634"/>
    </row>
    <row r="195" spans="1:61" ht="16.2" customHeight="1">
      <c r="A195" s="12"/>
      <c r="B195" s="446"/>
      <c r="C195" s="89"/>
      <c r="D195" s="13"/>
      <c r="E195" s="14"/>
      <c r="F195" s="14"/>
      <c r="G195" s="15"/>
      <c r="H195" s="8"/>
      <c r="I195" s="8"/>
      <c r="J195" s="89"/>
      <c r="K195" s="8"/>
      <c r="L195" s="8"/>
      <c r="M195" s="8" t="str">
        <f>IF(L195="","",
IF(AX195="PT",VLOOKUP(L195,Foundation_Calc!$V$4:$X$37,VLOOKUP(AX195,Foundation_Calc!$I$10:$J$13,2,FALSE),0),
IF(AX195="K",VLOOKUP(L195,Foundation_Calc!$V$41:$X$74,VLOOKUP(AX195,Foundation_Calc!$I$10:$J$13,2,FALSE),0),"")))</f>
        <v/>
      </c>
      <c r="N195" s="8"/>
      <c r="O195" s="8"/>
      <c r="P195" s="8"/>
      <c r="Q195" s="14"/>
      <c r="R195" s="15"/>
      <c r="S195" s="15"/>
      <c r="T195" s="14"/>
      <c r="U195" s="14"/>
      <c r="V195" s="14"/>
      <c r="W195" s="18"/>
      <c r="X195" s="18"/>
      <c r="Y195" s="18"/>
      <c r="Z195" s="18"/>
      <c r="AA195" s="18"/>
      <c r="AB195" s="18"/>
      <c r="AC195" s="8" t="str">
        <f t="shared" si="46"/>
        <v/>
      </c>
      <c r="AD195" s="8"/>
      <c r="AE195" s="8"/>
      <c r="AF195" s="14"/>
      <c r="AG195" s="13"/>
      <c r="AH195" s="14"/>
      <c r="AI195" s="14"/>
      <c r="AJ195" s="8"/>
      <c r="AK195" s="8"/>
      <c r="AL195" s="8"/>
      <c r="AM195" s="8"/>
      <c r="AN195" s="631"/>
      <c r="AO195" s="18"/>
      <c r="AP195" s="18"/>
      <c r="AQ195" s="18"/>
      <c r="AR195" s="18"/>
      <c r="AS195" s="18"/>
      <c r="AU195" s="448"/>
      <c r="AV195" s="448"/>
      <c r="AW195" s="8" t="str">
        <f>IF(C195&gt;0,VLOOKUP(C195,Foundation_Calc!$A$2:$C$986,3,1),
IF(J195&gt;0,VLOOKUP(J195,Foundation_Calc!$A$2:$C$986,3,1),""))</f>
        <v/>
      </c>
      <c r="AX195" s="8" t="str">
        <f>IF(C195&gt;0,VLOOKUP(C195,Foundation_Calc!$E$2:$G$986,3,1),
IF(J195&gt;0,VLOOKUP(J195,Foundation_Calc!$E$2:$G$986,3,1),""))</f>
        <v/>
      </c>
      <c r="AY195" s="631" t="str">
        <f>IF(L195="","",
IF(AX195="PT",VLOOKUP(L195,Foundation_Calc!$K$4:$R$37,VLOOKUP(AW195,Foundation_Calc!$I$2:$J$8,2,FALSE),0),
IF(AX195="K",VLOOKUP(L195,Foundation_Calc!$K$41:$R$74,VLOOKUP(AW195,Foundation_Calc!$I$2:$J$8,2,FALSE),0),"")))</f>
        <v/>
      </c>
      <c r="AZ195" s="631" t="str">
        <f>IF(K195="","",
IF(AX195="PT",VLOOKUP(K195,Foundation_Calc!$K$4:$R$37,VLOOKUP(AW195,Foundation_Calc!$I$2:$J$8,2,FALSE),0),
IF(AX195="K",VLOOKUP(K195,Foundation_Calc!$K$41:$R$74,VLOOKUP(AW195,Foundation_Calc!$I$2:$J$8,2,FALSE),0),"")))</f>
        <v/>
      </c>
      <c r="BA195" s="632" t="str">
        <f t="shared" si="47"/>
        <v/>
      </c>
      <c r="BB195" s="632" t="str">
        <f t="shared" si="48"/>
        <v/>
      </c>
      <c r="BC195" s="632" t="str">
        <f t="shared" si="49"/>
        <v/>
      </c>
      <c r="BD195" s="633" t="str">
        <f>IF(AND(L195="",H195=""),"",
IF(H195="",Pole_Calc!A$9,
IF(H195="MP",Pole_Calc!A$10,
IF(H195="AnMP",Pole_Calc!A$11,
IF(H195="A",Pole_Calc!A$12,
IF(H195="S/A",Pole_Calc!A$13,
IF(H195="A/S",Pole_Calc!A$14,"Poner a mano")))))))</f>
        <v/>
      </c>
      <c r="BE195" s="448" t="s">
        <v>1726</v>
      </c>
      <c r="BF195" s="635"/>
      <c r="BG195" s="635"/>
      <c r="BH195" s="634"/>
      <c r="BI195" s="635"/>
    </row>
    <row r="196" spans="1:61" ht="16.2" customHeight="1">
      <c r="A196" s="12"/>
      <c r="B196" s="446"/>
      <c r="C196" s="89"/>
      <c r="D196" s="13"/>
      <c r="E196" s="14"/>
      <c r="F196" s="14"/>
      <c r="G196" s="15"/>
      <c r="H196" s="8"/>
      <c r="I196" s="8"/>
      <c r="J196" s="89"/>
      <c r="K196" s="8"/>
      <c r="L196" s="8"/>
      <c r="M196" s="8" t="str">
        <f>IF(L196="","",
IF(AX196="PT",VLOOKUP(L196,Foundation_Calc!$V$4:$X$37,VLOOKUP(AX196,Foundation_Calc!$I$10:$J$13,2,FALSE),0),
IF(AX196="K",VLOOKUP(L196,Foundation_Calc!$V$41:$X$74,VLOOKUP(AX196,Foundation_Calc!$I$10:$J$13,2,FALSE),0),"")))</f>
        <v/>
      </c>
      <c r="N196" s="8"/>
      <c r="O196" s="8"/>
      <c r="P196" s="8"/>
      <c r="Q196" s="14"/>
      <c r="R196" s="15"/>
      <c r="S196" s="15"/>
      <c r="T196" s="14"/>
      <c r="U196" s="14"/>
      <c r="V196" s="14"/>
      <c r="W196" s="18"/>
      <c r="X196" s="18"/>
      <c r="Y196" s="18"/>
      <c r="Z196" s="18"/>
      <c r="AA196" s="18"/>
      <c r="AB196" s="18"/>
      <c r="AC196" s="8" t="str">
        <f t="shared" si="46"/>
        <v/>
      </c>
      <c r="AD196" s="8"/>
      <c r="AE196" s="8"/>
      <c r="AF196" s="14"/>
      <c r="AG196" s="13"/>
      <c r="AH196" s="14"/>
      <c r="AI196" s="14"/>
      <c r="AJ196" s="8"/>
      <c r="AK196" s="8"/>
      <c r="AL196" s="8"/>
      <c r="AM196" s="8"/>
      <c r="AN196" s="631"/>
      <c r="AO196" s="18"/>
      <c r="AP196" s="18"/>
      <c r="AQ196" s="18"/>
      <c r="AR196" s="18"/>
      <c r="AS196" s="18"/>
      <c r="AU196" s="448"/>
      <c r="AV196" s="448"/>
      <c r="AW196" s="8" t="str">
        <f>IF(C196&gt;0,VLOOKUP(C196,Foundation_Calc!$A$2:$C$986,3,1),
IF(J196&gt;0,VLOOKUP(J196,Foundation_Calc!$A$2:$C$986,3,1),""))</f>
        <v/>
      </c>
      <c r="AX196" s="8" t="str">
        <f>IF(C196&gt;0,VLOOKUP(C196,Foundation_Calc!$E$2:$G$986,3,1),
IF(J196&gt;0,VLOOKUP(J196,Foundation_Calc!$E$2:$G$986,3,1),""))</f>
        <v/>
      </c>
      <c r="AY196" s="631" t="str">
        <f>IF(L196="","",
IF(AX196="PT",VLOOKUP(L196,Foundation_Calc!$K$4:$R$37,VLOOKUP(AW196,Foundation_Calc!$I$2:$J$8,2,FALSE),0),
IF(AX196="K",VLOOKUP(L196,Foundation_Calc!$K$41:$R$74,VLOOKUP(AW196,Foundation_Calc!$I$2:$J$8,2,FALSE),0),"")))</f>
        <v/>
      </c>
      <c r="AZ196" s="631" t="str">
        <f>IF(K196="","",
IF(AX196="PT",VLOOKUP(K196,Foundation_Calc!$K$4:$R$37,VLOOKUP(AW196,Foundation_Calc!$I$2:$J$8,2,FALSE),0),
IF(AX196="K",VLOOKUP(K196,Foundation_Calc!$K$41:$R$74,VLOOKUP(AW196,Foundation_Calc!$I$2:$J$8,2,FALSE),0),"")))</f>
        <v/>
      </c>
      <c r="BA196" s="632" t="str">
        <f t="shared" si="47"/>
        <v/>
      </c>
      <c r="BB196" s="632" t="str">
        <f t="shared" si="48"/>
        <v/>
      </c>
      <c r="BC196" s="632" t="str">
        <f t="shared" si="49"/>
        <v/>
      </c>
      <c r="BD196" s="633" t="str">
        <f>IF(AND(L196="",H196=""),"",
IF(H196="",Pole_Calc!A$9,
IF(H196="MP",Pole_Calc!A$10,
IF(H196="AnMP",Pole_Calc!A$11,
IF(H196="A",Pole_Calc!A$12,
IF(H196="S/A",Pole_Calc!A$13,
IF(H196="A/S",Pole_Calc!A$14,"Poner a mano")))))))</f>
        <v/>
      </c>
      <c r="BE196" s="448" t="s">
        <v>1726</v>
      </c>
      <c r="BF196" s="634"/>
      <c r="BG196" s="634"/>
      <c r="BH196" s="634"/>
      <c r="BI196" s="634"/>
    </row>
    <row r="197" spans="1:61" ht="16.2" customHeight="1">
      <c r="A197" s="12"/>
      <c r="B197" s="446"/>
      <c r="C197" s="89"/>
      <c r="D197" s="13"/>
      <c r="E197" s="14"/>
      <c r="F197" s="14"/>
      <c r="G197" s="15"/>
      <c r="H197" s="8"/>
      <c r="I197" s="8"/>
      <c r="J197" s="89"/>
      <c r="K197" s="8"/>
      <c r="L197" s="8"/>
      <c r="M197" s="8" t="str">
        <f>IF(L197="","",
IF(AX197="PT",VLOOKUP(L197,Foundation_Calc!$V$4:$X$37,VLOOKUP(AX197,Foundation_Calc!$I$10:$J$13,2,FALSE),0),
IF(AX197="K",VLOOKUP(L197,Foundation_Calc!$V$41:$X$74,VLOOKUP(AX197,Foundation_Calc!$I$10:$J$13,2,FALSE),0),"")))</f>
        <v/>
      </c>
      <c r="N197" s="8"/>
      <c r="O197" s="8"/>
      <c r="P197" s="8"/>
      <c r="Q197" s="14"/>
      <c r="R197" s="15"/>
      <c r="S197" s="15"/>
      <c r="T197" s="14"/>
      <c r="U197" s="14"/>
      <c r="V197" s="14"/>
      <c r="W197" s="18"/>
      <c r="X197" s="18"/>
      <c r="Y197" s="18"/>
      <c r="Z197" s="18"/>
      <c r="AA197" s="18"/>
      <c r="AB197" s="18"/>
      <c r="AC197" s="8" t="str">
        <f t="shared" si="46"/>
        <v/>
      </c>
      <c r="AD197" s="8"/>
      <c r="AE197" s="8"/>
      <c r="AF197" s="14"/>
      <c r="AG197" s="13"/>
      <c r="AH197" s="14"/>
      <c r="AI197" s="14"/>
      <c r="AJ197" s="8"/>
      <c r="AK197" s="8"/>
      <c r="AL197" s="8"/>
      <c r="AM197" s="8"/>
      <c r="AN197" s="631"/>
      <c r="AO197" s="18"/>
      <c r="AP197" s="18"/>
      <c r="AQ197" s="18"/>
      <c r="AR197" s="18"/>
      <c r="AS197" s="18"/>
      <c r="AU197" s="448"/>
      <c r="AV197" s="448"/>
      <c r="AW197" s="8" t="str">
        <f>IF(C197&gt;0,VLOOKUP(C197,Foundation_Calc!$A$2:$C$986,3,1),
IF(J197&gt;0,VLOOKUP(J197,Foundation_Calc!$A$2:$C$986,3,1),""))</f>
        <v/>
      </c>
      <c r="AX197" s="8" t="str">
        <f>IF(C197&gt;0,VLOOKUP(C197,Foundation_Calc!$E$2:$G$986,3,1),
IF(J197&gt;0,VLOOKUP(J197,Foundation_Calc!$E$2:$G$986,3,1),""))</f>
        <v/>
      </c>
      <c r="AY197" s="631" t="str">
        <f>IF(L197="","",
IF(AX197="PT",VLOOKUP(L197,Foundation_Calc!$K$4:$R$37,VLOOKUP(AW197,Foundation_Calc!$I$2:$J$8,2,FALSE),0),
IF(AX197="K",VLOOKUP(L197,Foundation_Calc!$K$41:$R$74,VLOOKUP(AW197,Foundation_Calc!$I$2:$J$8,2,FALSE),0),"")))</f>
        <v/>
      </c>
      <c r="AZ197" s="631" t="str">
        <f>IF(K197="","",
IF(AX197="PT",VLOOKUP(K197,Foundation_Calc!$K$4:$R$37,VLOOKUP(AW197,Foundation_Calc!$I$2:$J$8,2,FALSE),0),
IF(AX197="K",VLOOKUP(K197,Foundation_Calc!$K$41:$R$74,VLOOKUP(AW197,Foundation_Calc!$I$2:$J$8,2,FALSE),0),"")))</f>
        <v/>
      </c>
      <c r="BA197" s="632" t="str">
        <f t="shared" si="47"/>
        <v/>
      </c>
      <c r="BB197" s="632" t="str">
        <f t="shared" si="48"/>
        <v/>
      </c>
      <c r="BC197" s="632" t="str">
        <f t="shared" si="49"/>
        <v/>
      </c>
      <c r="BD197" s="633" t="str">
        <f>IF(AND(L197="",H197=""),"",
IF(H197="",Pole_Calc!A$9,
IF(H197="MP",Pole_Calc!A$10,
IF(H197="AnMP",Pole_Calc!A$11,
IF(H197="A",Pole_Calc!A$12,
IF(H197="S/A",Pole_Calc!A$13,
IF(H197="A/S",Pole_Calc!A$14,"Poner a mano")))))))</f>
        <v/>
      </c>
      <c r="BE197" s="448" t="s">
        <v>1726</v>
      </c>
      <c r="BF197" s="635"/>
      <c r="BG197" s="635"/>
      <c r="BH197" s="634"/>
      <c r="BI197" s="635"/>
    </row>
    <row r="198" spans="1:61" ht="16.2" customHeight="1">
      <c r="A198" s="12"/>
      <c r="B198" s="446"/>
      <c r="C198" s="89"/>
      <c r="D198" s="13"/>
      <c r="E198" s="14"/>
      <c r="F198" s="14"/>
      <c r="G198" s="15"/>
      <c r="H198" s="8"/>
      <c r="I198" s="8"/>
      <c r="J198" s="89"/>
      <c r="K198" s="8"/>
      <c r="L198" s="8"/>
      <c r="M198" s="8" t="str">
        <f>IF(L198="","",
IF(AX198="PT",VLOOKUP(L198,Foundation_Calc!$V$4:$X$37,VLOOKUP(AX198,Foundation_Calc!$I$10:$J$13,2,FALSE),0),
IF(AX198="K",VLOOKUP(L198,Foundation_Calc!$V$41:$X$74,VLOOKUP(AX198,Foundation_Calc!$I$10:$J$13,2,FALSE),0),"")))</f>
        <v/>
      </c>
      <c r="N198" s="8"/>
      <c r="O198" s="8"/>
      <c r="P198" s="8"/>
      <c r="Q198" s="14"/>
      <c r="R198" s="15"/>
      <c r="S198" s="15"/>
      <c r="T198" s="14"/>
      <c r="U198" s="14"/>
      <c r="V198" s="14"/>
      <c r="W198" s="18"/>
      <c r="X198" s="18"/>
      <c r="Y198" s="18"/>
      <c r="Z198" s="18"/>
      <c r="AA198" s="18"/>
      <c r="AB198" s="18"/>
      <c r="AC198" s="8" t="str">
        <f t="shared" ref="AC198:AC261" si="50">IF(OR(AT198&gt;8,AT198&lt;-8),"PH",
IF(OR(AT198&gt;5,AT198&lt;-5),"PHQ",
IF(OR(AT198&gt;1,AT198&lt;-1),
"PHC","")))</f>
        <v/>
      </c>
      <c r="AD198" s="8"/>
      <c r="AE198" s="8"/>
      <c r="AF198" s="14"/>
      <c r="AG198" s="13"/>
      <c r="AH198" s="14"/>
      <c r="AI198" s="14"/>
      <c r="AJ198" s="8"/>
      <c r="AK198" s="8"/>
      <c r="AL198" s="8"/>
      <c r="AM198" s="8"/>
      <c r="AN198" s="631"/>
      <c r="AO198" s="18"/>
      <c r="AP198" s="18"/>
      <c r="AQ198" s="18"/>
      <c r="AR198" s="18"/>
      <c r="AS198" s="18"/>
      <c r="AU198" s="448"/>
      <c r="AV198" s="448"/>
      <c r="AW198" s="8" t="str">
        <f>IF(C198&gt;0,VLOOKUP(C198,Foundation_Calc!$A$2:$C$986,3,1),
IF(J198&gt;0,VLOOKUP(J198,Foundation_Calc!$A$2:$C$986,3,1),""))</f>
        <v/>
      </c>
      <c r="AX198" s="8" t="str">
        <f>IF(C198&gt;0,VLOOKUP(C198,Foundation_Calc!$E$2:$G$986,3,1),
IF(J198&gt;0,VLOOKUP(J198,Foundation_Calc!$E$2:$G$986,3,1),""))</f>
        <v/>
      </c>
      <c r="AY198" s="631" t="str">
        <f>IF(L198="","",
IF(AX198="PT",VLOOKUP(L198,Foundation_Calc!$K$4:$R$37,VLOOKUP(AW198,Foundation_Calc!$I$2:$J$8,2,FALSE),0),
IF(AX198="K",VLOOKUP(L198,Foundation_Calc!$K$41:$R$74,VLOOKUP(AW198,Foundation_Calc!$I$2:$J$8,2,FALSE),0),"")))</f>
        <v/>
      </c>
      <c r="AZ198" s="631" t="str">
        <f>IF(K198="","",
IF(AX198="PT",VLOOKUP(K198,Foundation_Calc!$K$4:$R$37,VLOOKUP(AW198,Foundation_Calc!$I$2:$J$8,2,FALSE),0),
IF(AX198="K",VLOOKUP(K198,Foundation_Calc!$K$41:$R$74,VLOOKUP(AW198,Foundation_Calc!$I$2:$J$8,2,FALSE),0),"")))</f>
        <v/>
      </c>
      <c r="BA198" s="632" t="str">
        <f t="shared" ref="BA198:BA261" si="51">IF(AY198="","",IF(AY198&gt;0,"ü",""))</f>
        <v/>
      </c>
      <c r="BB198" s="632" t="str">
        <f t="shared" ref="BB198:BB261" si="52">IF(AZ198="","",IF(AZ198&gt;0,"ü",""))</f>
        <v/>
      </c>
      <c r="BC198" s="632" t="str">
        <f t="shared" ref="BC198:BC261" si="53">IF(M198="","",IF(M198="Unique Solution","ü",""))</f>
        <v/>
      </c>
      <c r="BD198" s="633" t="str">
        <f>IF(AND(L198="",H198=""),"",
IF(H198="",Pole_Calc!A$9,
IF(H198="MP",Pole_Calc!A$10,
IF(H198="AnMP",Pole_Calc!A$11,
IF(H198="A",Pole_Calc!A$12,
IF(H198="S/A",Pole_Calc!A$13,
IF(H198="A/S",Pole_Calc!A$14,"Poner a mano")))))))</f>
        <v/>
      </c>
      <c r="BE198" s="448" t="s">
        <v>1726</v>
      </c>
      <c r="BF198" s="634"/>
      <c r="BG198" s="634"/>
      <c r="BH198" s="634"/>
      <c r="BI198" s="634"/>
    </row>
    <row r="199" spans="1:61" ht="16.2" customHeight="1">
      <c r="A199" s="12"/>
      <c r="B199" s="446"/>
      <c r="C199" s="89"/>
      <c r="D199" s="13"/>
      <c r="E199" s="14"/>
      <c r="F199" s="14"/>
      <c r="G199" s="15"/>
      <c r="H199" s="8"/>
      <c r="I199" s="8"/>
      <c r="J199" s="89"/>
      <c r="K199" s="8"/>
      <c r="L199" s="8"/>
      <c r="M199" s="8" t="str">
        <f>IF(L199="","",
IF(AX199="PT",VLOOKUP(L199,Foundation_Calc!$V$4:$X$37,VLOOKUP(AX199,Foundation_Calc!$I$10:$J$13,2,FALSE),0),
IF(AX199="K",VLOOKUP(L199,Foundation_Calc!$V$41:$X$74,VLOOKUP(AX199,Foundation_Calc!$I$10:$J$13,2,FALSE),0),"")))</f>
        <v/>
      </c>
      <c r="N199" s="8"/>
      <c r="O199" s="8"/>
      <c r="P199" s="8"/>
      <c r="Q199" s="14"/>
      <c r="R199" s="15"/>
      <c r="S199" s="15"/>
      <c r="T199" s="14"/>
      <c r="U199" s="14"/>
      <c r="V199" s="14"/>
      <c r="W199" s="18"/>
      <c r="X199" s="18"/>
      <c r="Y199" s="18"/>
      <c r="Z199" s="18"/>
      <c r="AA199" s="18"/>
      <c r="AB199" s="18"/>
      <c r="AC199" s="8" t="str">
        <f t="shared" si="50"/>
        <v/>
      </c>
      <c r="AD199" s="8"/>
      <c r="AE199" s="8"/>
      <c r="AF199" s="14"/>
      <c r="AG199" s="13"/>
      <c r="AH199" s="14"/>
      <c r="AI199" s="14"/>
      <c r="AJ199" s="8"/>
      <c r="AK199" s="8"/>
      <c r="AL199" s="8"/>
      <c r="AM199" s="8"/>
      <c r="AN199" s="631"/>
      <c r="AO199" s="18"/>
      <c r="AP199" s="18"/>
      <c r="AQ199" s="18"/>
      <c r="AR199" s="18"/>
      <c r="AS199" s="18"/>
      <c r="AU199" s="448"/>
      <c r="AV199" s="448"/>
      <c r="AW199" s="8" t="str">
        <f>IF(C199&gt;0,VLOOKUP(C199,Foundation_Calc!$A$2:$C$986,3,1),
IF(J199&gt;0,VLOOKUP(J199,Foundation_Calc!$A$2:$C$986,3,1),""))</f>
        <v/>
      </c>
      <c r="AX199" s="8" t="str">
        <f>IF(C199&gt;0,VLOOKUP(C199,Foundation_Calc!$E$2:$G$986,3,1),
IF(J199&gt;0,VLOOKUP(J199,Foundation_Calc!$E$2:$G$986,3,1),""))</f>
        <v/>
      </c>
      <c r="AY199" s="631" t="str">
        <f>IF(L199="","",
IF(AX199="PT",VLOOKUP(L199,Foundation_Calc!$K$4:$R$37,VLOOKUP(AW199,Foundation_Calc!$I$2:$J$8,2,FALSE),0),
IF(AX199="K",VLOOKUP(L199,Foundation_Calc!$K$41:$R$74,VLOOKUP(AW199,Foundation_Calc!$I$2:$J$8,2,FALSE),0),"")))</f>
        <v/>
      </c>
      <c r="AZ199" s="631" t="str">
        <f>IF(K199="","",
IF(AX199="PT",VLOOKUP(K199,Foundation_Calc!$K$4:$R$37,VLOOKUP(AW199,Foundation_Calc!$I$2:$J$8,2,FALSE),0),
IF(AX199="K",VLOOKUP(K199,Foundation_Calc!$K$41:$R$74,VLOOKUP(AW199,Foundation_Calc!$I$2:$J$8,2,FALSE),0),"")))</f>
        <v/>
      </c>
      <c r="BA199" s="632" t="str">
        <f t="shared" si="51"/>
        <v/>
      </c>
      <c r="BB199" s="632" t="str">
        <f t="shared" si="52"/>
        <v/>
      </c>
      <c r="BC199" s="632" t="str">
        <f t="shared" si="53"/>
        <v/>
      </c>
      <c r="BD199" s="633" t="str">
        <f>IF(AND(L199="",H199=""),"",
IF(H199="",Pole_Calc!A$9,
IF(H199="MP",Pole_Calc!A$10,
IF(H199="AnMP",Pole_Calc!A$11,
IF(H199="A",Pole_Calc!A$12,
IF(H199="S/A",Pole_Calc!A$13,
IF(H199="A/S",Pole_Calc!A$14,"Poner a mano")))))))</f>
        <v/>
      </c>
      <c r="BE199" s="448" t="s">
        <v>1726</v>
      </c>
      <c r="BF199" s="635"/>
      <c r="BG199" s="635"/>
      <c r="BH199" s="634"/>
      <c r="BI199" s="635"/>
    </row>
    <row r="200" spans="1:61" ht="16.2" customHeight="1">
      <c r="A200" s="12"/>
      <c r="B200" s="446"/>
      <c r="C200" s="89"/>
      <c r="D200" s="13"/>
      <c r="E200" s="14"/>
      <c r="F200" s="14"/>
      <c r="G200" s="15"/>
      <c r="H200" s="8"/>
      <c r="I200" s="8"/>
      <c r="J200" s="89"/>
      <c r="K200" s="8"/>
      <c r="L200" s="8"/>
      <c r="M200" s="8" t="str">
        <f>IF(L200="","",
IF(AX200="PT",VLOOKUP(L200,Foundation_Calc!$V$4:$X$37,VLOOKUP(AX200,Foundation_Calc!$I$10:$J$13,2,FALSE),0),
IF(AX200="K",VLOOKUP(L200,Foundation_Calc!$V$41:$X$74,VLOOKUP(AX200,Foundation_Calc!$I$10:$J$13,2,FALSE),0),"")))</f>
        <v/>
      </c>
      <c r="N200" s="8"/>
      <c r="O200" s="8"/>
      <c r="P200" s="8"/>
      <c r="Q200" s="14"/>
      <c r="R200" s="15"/>
      <c r="S200" s="15"/>
      <c r="T200" s="14"/>
      <c r="U200" s="14"/>
      <c r="V200" s="14"/>
      <c r="W200" s="18"/>
      <c r="X200" s="18"/>
      <c r="Y200" s="18"/>
      <c r="Z200" s="18"/>
      <c r="AA200" s="18"/>
      <c r="AB200" s="18"/>
      <c r="AC200" s="8" t="str">
        <f t="shared" si="50"/>
        <v/>
      </c>
      <c r="AD200" s="8"/>
      <c r="AE200" s="8"/>
      <c r="AF200" s="14"/>
      <c r="AG200" s="13"/>
      <c r="AH200" s="14"/>
      <c r="AI200" s="14"/>
      <c r="AJ200" s="8"/>
      <c r="AK200" s="8"/>
      <c r="AL200" s="8"/>
      <c r="AM200" s="8"/>
      <c r="AN200" s="631"/>
      <c r="AO200" s="18"/>
      <c r="AP200" s="18"/>
      <c r="AQ200" s="18"/>
      <c r="AR200" s="18"/>
      <c r="AS200" s="18"/>
      <c r="AU200" s="448"/>
      <c r="AV200" s="448"/>
      <c r="AW200" s="8" t="str">
        <f>IF(C200&gt;0,VLOOKUP(C200,Foundation_Calc!$A$2:$C$986,3,1),
IF(J200&gt;0,VLOOKUP(J200,Foundation_Calc!$A$2:$C$986,3,1),""))</f>
        <v/>
      </c>
      <c r="AX200" s="8" t="str">
        <f>IF(C200&gt;0,VLOOKUP(C200,Foundation_Calc!$E$2:$G$986,3,1),
IF(J200&gt;0,VLOOKUP(J200,Foundation_Calc!$E$2:$G$986,3,1),""))</f>
        <v/>
      </c>
      <c r="AY200" s="631" t="str">
        <f>IF(L200="","",
IF(AX200="PT",VLOOKUP(L200,Foundation_Calc!$K$4:$R$37,VLOOKUP(AW200,Foundation_Calc!$I$2:$J$8,2,FALSE),0),
IF(AX200="K",VLOOKUP(L200,Foundation_Calc!$K$41:$R$74,VLOOKUP(AW200,Foundation_Calc!$I$2:$J$8,2,FALSE),0),"")))</f>
        <v/>
      </c>
      <c r="AZ200" s="631" t="str">
        <f>IF(K200="","",
IF(AX200="PT",VLOOKUP(K200,Foundation_Calc!$K$4:$R$37,VLOOKUP(AW200,Foundation_Calc!$I$2:$J$8,2,FALSE),0),
IF(AX200="K",VLOOKUP(K200,Foundation_Calc!$K$41:$R$74,VLOOKUP(AW200,Foundation_Calc!$I$2:$J$8,2,FALSE),0),"")))</f>
        <v/>
      </c>
      <c r="BA200" s="632" t="str">
        <f t="shared" si="51"/>
        <v/>
      </c>
      <c r="BB200" s="632" t="str">
        <f t="shared" si="52"/>
        <v/>
      </c>
      <c r="BC200" s="632" t="str">
        <f t="shared" si="53"/>
        <v/>
      </c>
      <c r="BD200" s="633" t="str">
        <f>IF(AND(L200="",H200=""),"",
IF(H200="",Pole_Calc!A$9,
IF(H200="MP",Pole_Calc!A$10,
IF(H200="AnMP",Pole_Calc!A$11,
IF(H200="A",Pole_Calc!A$12,
IF(H200="S/A",Pole_Calc!A$13,
IF(H200="A/S",Pole_Calc!A$14,"Poner a mano")))))))</f>
        <v/>
      </c>
      <c r="BE200" s="448" t="s">
        <v>1726</v>
      </c>
      <c r="BF200" s="634"/>
      <c r="BG200" s="634"/>
      <c r="BH200" s="634"/>
      <c r="BI200" s="634"/>
    </row>
    <row r="201" spans="1:61" ht="16.2" customHeight="1">
      <c r="A201" s="12"/>
      <c r="B201" s="446"/>
      <c r="C201" s="89"/>
      <c r="D201" s="13"/>
      <c r="E201" s="14"/>
      <c r="F201" s="14"/>
      <c r="G201" s="15"/>
      <c r="H201" s="8"/>
      <c r="I201" s="8"/>
      <c r="J201" s="89"/>
      <c r="K201" s="8"/>
      <c r="L201" s="8"/>
      <c r="M201" s="8" t="str">
        <f>IF(L201="","",
IF(AX201="PT",VLOOKUP(L201,Foundation_Calc!$V$4:$X$37,VLOOKUP(AX201,Foundation_Calc!$I$10:$J$13,2,FALSE),0),
IF(AX201="K",VLOOKUP(L201,Foundation_Calc!$V$41:$X$74,VLOOKUP(AX201,Foundation_Calc!$I$10:$J$13,2,FALSE),0),"")))</f>
        <v/>
      </c>
      <c r="N201" s="8"/>
      <c r="O201" s="8"/>
      <c r="P201" s="8"/>
      <c r="Q201" s="14"/>
      <c r="R201" s="15"/>
      <c r="S201" s="15"/>
      <c r="T201" s="14"/>
      <c r="U201" s="14"/>
      <c r="V201" s="14"/>
      <c r="W201" s="18"/>
      <c r="X201" s="18"/>
      <c r="Y201" s="18"/>
      <c r="Z201" s="18"/>
      <c r="AA201" s="18"/>
      <c r="AB201" s="18"/>
      <c r="AC201" s="8" t="str">
        <f t="shared" si="50"/>
        <v/>
      </c>
      <c r="AD201" s="8"/>
      <c r="AE201" s="8"/>
      <c r="AF201" s="14"/>
      <c r="AG201" s="13"/>
      <c r="AH201" s="14"/>
      <c r="AI201" s="14"/>
      <c r="AJ201" s="8"/>
      <c r="AK201" s="8"/>
      <c r="AL201" s="8"/>
      <c r="AM201" s="8"/>
      <c r="AN201" s="631"/>
      <c r="AO201" s="18"/>
      <c r="AP201" s="18"/>
      <c r="AQ201" s="18"/>
      <c r="AR201" s="18"/>
      <c r="AS201" s="18"/>
      <c r="AU201" s="448"/>
      <c r="AV201" s="448"/>
      <c r="AW201" s="8" t="str">
        <f>IF(C201&gt;0,VLOOKUP(C201,Foundation_Calc!$A$2:$C$986,3,1),
IF(J201&gt;0,VLOOKUP(J201,Foundation_Calc!$A$2:$C$986,3,1),""))</f>
        <v/>
      </c>
      <c r="AX201" s="8" t="str">
        <f>IF(C201&gt;0,VLOOKUP(C201,Foundation_Calc!$E$2:$G$986,3,1),
IF(J201&gt;0,VLOOKUP(J201,Foundation_Calc!$E$2:$G$986,3,1),""))</f>
        <v/>
      </c>
      <c r="AY201" s="631" t="str">
        <f>IF(L201="","",
IF(AX201="PT",VLOOKUP(L201,Foundation_Calc!$K$4:$R$37,VLOOKUP(AW201,Foundation_Calc!$I$2:$J$8,2,FALSE),0),
IF(AX201="K",VLOOKUP(L201,Foundation_Calc!$K$41:$R$74,VLOOKUP(AW201,Foundation_Calc!$I$2:$J$8,2,FALSE),0),"")))</f>
        <v/>
      </c>
      <c r="AZ201" s="631" t="str">
        <f>IF(K201="","",
IF(AX201="PT",VLOOKUP(K201,Foundation_Calc!$K$4:$R$37,VLOOKUP(AW201,Foundation_Calc!$I$2:$J$8,2,FALSE),0),
IF(AX201="K",VLOOKUP(K201,Foundation_Calc!$K$41:$R$74,VLOOKUP(AW201,Foundation_Calc!$I$2:$J$8,2,FALSE),0),"")))</f>
        <v/>
      </c>
      <c r="BA201" s="632" t="str">
        <f t="shared" si="51"/>
        <v/>
      </c>
      <c r="BB201" s="632" t="str">
        <f t="shared" si="52"/>
        <v/>
      </c>
      <c r="BC201" s="632" t="str">
        <f t="shared" si="53"/>
        <v/>
      </c>
      <c r="BD201" s="633" t="str">
        <f>IF(AND(L201="",H201=""),"",
IF(H201="",Pole_Calc!A$9,
IF(H201="MP",Pole_Calc!A$10,
IF(H201="AnMP",Pole_Calc!A$11,
IF(H201="A",Pole_Calc!A$12,
IF(H201="S/A",Pole_Calc!A$13,
IF(H201="A/S",Pole_Calc!A$14,"Poner a mano")))))))</f>
        <v/>
      </c>
      <c r="BE201" s="448" t="s">
        <v>1726</v>
      </c>
      <c r="BF201" s="635"/>
      <c r="BG201" s="635"/>
      <c r="BH201" s="634"/>
      <c r="BI201" s="635"/>
    </row>
    <row r="202" spans="1:61" ht="16.2" customHeight="1">
      <c r="A202" s="12"/>
      <c r="B202" s="446"/>
      <c r="C202" s="89"/>
      <c r="D202" s="13"/>
      <c r="E202" s="14"/>
      <c r="F202" s="14"/>
      <c r="G202" s="15"/>
      <c r="H202" s="8"/>
      <c r="I202" s="8"/>
      <c r="J202" s="89"/>
      <c r="K202" s="8"/>
      <c r="L202" s="8"/>
      <c r="M202" s="8" t="str">
        <f>IF(L202="","",
IF(AX202="PT",VLOOKUP(L202,Foundation_Calc!$V$4:$X$37,VLOOKUP(AX202,Foundation_Calc!$I$10:$J$13,2,FALSE),0),
IF(AX202="K",VLOOKUP(L202,Foundation_Calc!$V$41:$X$74,VLOOKUP(AX202,Foundation_Calc!$I$10:$J$13,2,FALSE),0),"")))</f>
        <v/>
      </c>
      <c r="N202" s="8"/>
      <c r="O202" s="8"/>
      <c r="P202" s="8"/>
      <c r="Q202" s="14"/>
      <c r="R202" s="15"/>
      <c r="S202" s="15"/>
      <c r="T202" s="14"/>
      <c r="U202" s="14"/>
      <c r="V202" s="14"/>
      <c r="W202" s="18"/>
      <c r="X202" s="18"/>
      <c r="Y202" s="18"/>
      <c r="Z202" s="18"/>
      <c r="AA202" s="18"/>
      <c r="AB202" s="18"/>
      <c r="AC202" s="8" t="str">
        <f t="shared" si="50"/>
        <v/>
      </c>
      <c r="AD202" s="8"/>
      <c r="AE202" s="8"/>
      <c r="AF202" s="14"/>
      <c r="AG202" s="13"/>
      <c r="AH202" s="14"/>
      <c r="AI202" s="14"/>
      <c r="AJ202" s="8"/>
      <c r="AK202" s="8"/>
      <c r="AL202" s="8"/>
      <c r="AM202" s="8"/>
      <c r="AN202" s="631"/>
      <c r="AO202" s="18"/>
      <c r="AP202" s="18"/>
      <c r="AQ202" s="18"/>
      <c r="AR202" s="18"/>
      <c r="AS202" s="18"/>
      <c r="AU202" s="448"/>
      <c r="AV202" s="448"/>
      <c r="AW202" s="8" t="str">
        <f>IF(C202&gt;0,VLOOKUP(C202,Foundation_Calc!$A$2:$C$986,3,1),
IF(J202&gt;0,VLOOKUP(J202,Foundation_Calc!$A$2:$C$986,3,1),""))</f>
        <v/>
      </c>
      <c r="AX202" s="8" t="str">
        <f>IF(C202&gt;0,VLOOKUP(C202,Foundation_Calc!$E$2:$G$986,3,1),
IF(J202&gt;0,VLOOKUP(J202,Foundation_Calc!$E$2:$G$986,3,1),""))</f>
        <v/>
      </c>
      <c r="AY202" s="631" t="str">
        <f>IF(L202="","",
IF(AX202="PT",VLOOKUP(L202,Foundation_Calc!$K$4:$R$37,VLOOKUP(AW202,Foundation_Calc!$I$2:$J$8,2,FALSE),0),
IF(AX202="K",VLOOKUP(L202,Foundation_Calc!$K$41:$R$74,VLOOKUP(AW202,Foundation_Calc!$I$2:$J$8,2,FALSE),0),"")))</f>
        <v/>
      </c>
      <c r="AZ202" s="631" t="str">
        <f>IF(K202="","",
IF(AX202="PT",VLOOKUP(K202,Foundation_Calc!$K$4:$R$37,VLOOKUP(AW202,Foundation_Calc!$I$2:$J$8,2,FALSE),0),
IF(AX202="K",VLOOKUP(K202,Foundation_Calc!$K$41:$R$74,VLOOKUP(AW202,Foundation_Calc!$I$2:$J$8,2,FALSE),0),"")))</f>
        <v/>
      </c>
      <c r="BA202" s="632" t="str">
        <f t="shared" si="51"/>
        <v/>
      </c>
      <c r="BB202" s="632" t="str">
        <f t="shared" si="52"/>
        <v/>
      </c>
      <c r="BC202" s="632" t="str">
        <f t="shared" si="53"/>
        <v/>
      </c>
      <c r="BD202" s="633" t="str">
        <f>IF(AND(L202="",H202=""),"",
IF(H202="",Pole_Calc!A$9,
IF(H202="MP",Pole_Calc!A$10,
IF(H202="AnMP",Pole_Calc!A$11,
IF(H202="A",Pole_Calc!A$12,
IF(H202="S/A",Pole_Calc!A$13,
IF(H202="A/S",Pole_Calc!A$14,"Poner a mano")))))))</f>
        <v/>
      </c>
      <c r="BE202" s="448" t="s">
        <v>1726</v>
      </c>
      <c r="BF202" s="634"/>
      <c r="BG202" s="634"/>
      <c r="BH202" s="634"/>
      <c r="BI202" s="634"/>
    </row>
    <row r="203" spans="1:61" ht="16.2" customHeight="1">
      <c r="A203" s="12"/>
      <c r="B203" s="446"/>
      <c r="C203" s="89"/>
      <c r="D203" s="13"/>
      <c r="E203" s="14"/>
      <c r="F203" s="14"/>
      <c r="G203" s="15"/>
      <c r="H203" s="8"/>
      <c r="I203" s="8"/>
      <c r="J203" s="89"/>
      <c r="K203" s="8"/>
      <c r="L203" s="8"/>
      <c r="M203" s="8" t="str">
        <f>IF(L203="","",
IF(AX203="PT",VLOOKUP(L203,Foundation_Calc!$V$4:$X$37,VLOOKUP(AX203,Foundation_Calc!$I$10:$J$13,2,FALSE),0),
IF(AX203="K",VLOOKUP(L203,Foundation_Calc!$V$41:$X$74,VLOOKUP(AX203,Foundation_Calc!$I$10:$J$13,2,FALSE),0),"")))</f>
        <v/>
      </c>
      <c r="N203" s="8"/>
      <c r="O203" s="8"/>
      <c r="P203" s="8"/>
      <c r="Q203" s="14"/>
      <c r="R203" s="15"/>
      <c r="S203" s="15"/>
      <c r="T203" s="14"/>
      <c r="U203" s="14"/>
      <c r="V203" s="14"/>
      <c r="W203" s="18"/>
      <c r="X203" s="18"/>
      <c r="Y203" s="18"/>
      <c r="Z203" s="18"/>
      <c r="AA203" s="18"/>
      <c r="AB203" s="18"/>
      <c r="AC203" s="8" t="str">
        <f t="shared" si="50"/>
        <v/>
      </c>
      <c r="AD203" s="8"/>
      <c r="AE203" s="8"/>
      <c r="AF203" s="14"/>
      <c r="AG203" s="13"/>
      <c r="AH203" s="14"/>
      <c r="AI203" s="14"/>
      <c r="AJ203" s="8"/>
      <c r="AK203" s="8"/>
      <c r="AL203" s="8"/>
      <c r="AM203" s="8"/>
      <c r="AN203" s="631"/>
      <c r="AO203" s="18"/>
      <c r="AP203" s="18"/>
      <c r="AQ203" s="18"/>
      <c r="AR203" s="18"/>
      <c r="AS203" s="18"/>
      <c r="AU203" s="448"/>
      <c r="AV203" s="448"/>
      <c r="AW203" s="8" t="str">
        <f>IF(C203&gt;0,VLOOKUP(C203,Foundation_Calc!$A$2:$C$986,3,1),
IF(J203&gt;0,VLOOKUP(J203,Foundation_Calc!$A$2:$C$986,3,1),""))</f>
        <v/>
      </c>
      <c r="AX203" s="8" t="str">
        <f>IF(C203&gt;0,VLOOKUP(C203,Foundation_Calc!$E$2:$G$986,3,1),
IF(J203&gt;0,VLOOKUP(J203,Foundation_Calc!$E$2:$G$986,3,1),""))</f>
        <v/>
      </c>
      <c r="AY203" s="631" t="str">
        <f>IF(L203="","",
IF(AX203="PT",VLOOKUP(L203,Foundation_Calc!$K$4:$R$37,VLOOKUP(AW203,Foundation_Calc!$I$2:$J$8,2,FALSE),0),
IF(AX203="K",VLOOKUP(L203,Foundation_Calc!$K$41:$R$74,VLOOKUP(AW203,Foundation_Calc!$I$2:$J$8,2,FALSE),0),"")))</f>
        <v/>
      </c>
      <c r="AZ203" s="631" t="str">
        <f>IF(K203="","",
IF(AX203="PT",VLOOKUP(K203,Foundation_Calc!$K$4:$R$37,VLOOKUP(AW203,Foundation_Calc!$I$2:$J$8,2,FALSE),0),
IF(AX203="K",VLOOKUP(K203,Foundation_Calc!$K$41:$R$74,VLOOKUP(AW203,Foundation_Calc!$I$2:$J$8,2,FALSE),0),"")))</f>
        <v/>
      </c>
      <c r="BA203" s="632" t="str">
        <f t="shared" si="51"/>
        <v/>
      </c>
      <c r="BB203" s="632" t="str">
        <f t="shared" si="52"/>
        <v/>
      </c>
      <c r="BC203" s="632" t="str">
        <f t="shared" si="53"/>
        <v/>
      </c>
      <c r="BD203" s="633" t="str">
        <f>IF(AND(L203="",H203=""),"",
IF(H203="",Pole_Calc!A$9,
IF(H203="MP",Pole_Calc!A$10,
IF(H203="AnMP",Pole_Calc!A$11,
IF(H203="A",Pole_Calc!A$12,
IF(H203="S/A",Pole_Calc!A$13,
IF(H203="A/S",Pole_Calc!A$14,"Poner a mano")))))))</f>
        <v/>
      </c>
      <c r="BE203" s="448" t="s">
        <v>1726</v>
      </c>
      <c r="BF203" s="635"/>
      <c r="BG203" s="635"/>
      <c r="BH203" s="634"/>
      <c r="BI203" s="635"/>
    </row>
    <row r="204" spans="1:61" ht="16.2" customHeight="1">
      <c r="A204" s="12"/>
      <c r="B204" s="446"/>
      <c r="C204" s="89"/>
      <c r="D204" s="13"/>
      <c r="E204" s="14"/>
      <c r="F204" s="14"/>
      <c r="G204" s="15"/>
      <c r="H204" s="8"/>
      <c r="I204" s="8"/>
      <c r="J204" s="89"/>
      <c r="K204" s="8"/>
      <c r="L204" s="8"/>
      <c r="M204" s="8" t="str">
        <f>IF(L204="","",
IF(AX204="PT",VLOOKUP(L204,Foundation_Calc!$V$4:$X$37,VLOOKUP(AX204,Foundation_Calc!$I$10:$J$13,2,FALSE),0),
IF(AX204="K",VLOOKUP(L204,Foundation_Calc!$V$41:$X$74,VLOOKUP(AX204,Foundation_Calc!$I$10:$J$13,2,FALSE),0),"")))</f>
        <v/>
      </c>
      <c r="N204" s="8"/>
      <c r="O204" s="8"/>
      <c r="P204" s="8"/>
      <c r="Q204" s="14"/>
      <c r="R204" s="15"/>
      <c r="S204" s="15"/>
      <c r="T204" s="14"/>
      <c r="U204" s="14"/>
      <c r="V204" s="14"/>
      <c r="W204" s="18"/>
      <c r="X204" s="18"/>
      <c r="Y204" s="18"/>
      <c r="Z204" s="18"/>
      <c r="AA204" s="18"/>
      <c r="AB204" s="18"/>
      <c r="AC204" s="8" t="str">
        <f t="shared" si="50"/>
        <v/>
      </c>
      <c r="AD204" s="8"/>
      <c r="AE204" s="8"/>
      <c r="AF204" s="14"/>
      <c r="AG204" s="13"/>
      <c r="AH204" s="14"/>
      <c r="AI204" s="14"/>
      <c r="AJ204" s="8"/>
      <c r="AK204" s="8"/>
      <c r="AL204" s="8"/>
      <c r="AM204" s="8"/>
      <c r="AN204" s="631"/>
      <c r="AO204" s="18"/>
      <c r="AP204" s="18"/>
      <c r="AQ204" s="18"/>
      <c r="AR204" s="18"/>
      <c r="AS204" s="18"/>
      <c r="AU204" s="448"/>
      <c r="AV204" s="448"/>
      <c r="AW204" s="8" t="str">
        <f>IF(C204&gt;0,VLOOKUP(C204,Foundation_Calc!$A$2:$C$986,3,1),
IF(J204&gt;0,VLOOKUP(J204,Foundation_Calc!$A$2:$C$986,3,1),""))</f>
        <v/>
      </c>
      <c r="AX204" s="8" t="str">
        <f>IF(C204&gt;0,VLOOKUP(C204,Foundation_Calc!$E$2:$G$986,3,1),
IF(J204&gt;0,VLOOKUP(J204,Foundation_Calc!$E$2:$G$986,3,1),""))</f>
        <v/>
      </c>
      <c r="AY204" s="631" t="str">
        <f>IF(L204="","",
IF(AX204="PT",VLOOKUP(L204,Foundation_Calc!$K$4:$R$37,VLOOKUP(AW204,Foundation_Calc!$I$2:$J$8,2,FALSE),0),
IF(AX204="K",VLOOKUP(L204,Foundation_Calc!$K$41:$R$74,VLOOKUP(AW204,Foundation_Calc!$I$2:$J$8,2,FALSE),0),"")))</f>
        <v/>
      </c>
      <c r="AZ204" s="631" t="str">
        <f>IF(K204="","",
IF(AX204="PT",VLOOKUP(K204,Foundation_Calc!$K$4:$R$37,VLOOKUP(AW204,Foundation_Calc!$I$2:$J$8,2,FALSE),0),
IF(AX204="K",VLOOKUP(K204,Foundation_Calc!$K$41:$R$74,VLOOKUP(AW204,Foundation_Calc!$I$2:$J$8,2,FALSE),0),"")))</f>
        <v/>
      </c>
      <c r="BA204" s="632" t="str">
        <f t="shared" si="51"/>
        <v/>
      </c>
      <c r="BB204" s="632" t="str">
        <f t="shared" si="52"/>
        <v/>
      </c>
      <c r="BC204" s="632" t="str">
        <f t="shared" si="53"/>
        <v/>
      </c>
      <c r="BD204" s="633" t="str">
        <f>IF(AND(L204="",H204=""),"",
IF(H204="",Pole_Calc!A$9,
IF(H204="MP",Pole_Calc!A$10,
IF(H204="AnMP",Pole_Calc!A$11,
IF(H204="A",Pole_Calc!A$12,
IF(H204="S/A",Pole_Calc!A$13,
IF(H204="A/S",Pole_Calc!A$14,"Poner a mano")))))))</f>
        <v/>
      </c>
      <c r="BE204" s="448" t="s">
        <v>1726</v>
      </c>
      <c r="BF204" s="634"/>
      <c r="BG204" s="634"/>
      <c r="BH204" s="634"/>
      <c r="BI204" s="634"/>
    </row>
    <row r="205" spans="1:61" ht="16.2" customHeight="1">
      <c r="A205" s="12"/>
      <c r="B205" s="446"/>
      <c r="C205" s="89"/>
      <c r="D205" s="13"/>
      <c r="E205" s="14"/>
      <c r="F205" s="14"/>
      <c r="G205" s="15"/>
      <c r="H205" s="8"/>
      <c r="I205" s="8"/>
      <c r="J205" s="89"/>
      <c r="K205" s="8"/>
      <c r="L205" s="8"/>
      <c r="M205" s="8" t="str">
        <f>IF(L205="","",
IF(AX205="PT",VLOOKUP(L205,Foundation_Calc!$V$4:$X$37,VLOOKUP(AX205,Foundation_Calc!$I$10:$J$13,2,FALSE),0),
IF(AX205="K",VLOOKUP(L205,Foundation_Calc!$V$41:$X$74,VLOOKUP(AX205,Foundation_Calc!$I$10:$J$13,2,FALSE),0),"")))</f>
        <v/>
      </c>
      <c r="N205" s="8"/>
      <c r="O205" s="8"/>
      <c r="P205" s="8"/>
      <c r="Q205" s="14"/>
      <c r="R205" s="15"/>
      <c r="S205" s="15"/>
      <c r="T205" s="14"/>
      <c r="U205" s="14"/>
      <c r="V205" s="14"/>
      <c r="W205" s="18"/>
      <c r="X205" s="18"/>
      <c r="Y205" s="18"/>
      <c r="Z205" s="18"/>
      <c r="AA205" s="18"/>
      <c r="AB205" s="18"/>
      <c r="AC205" s="8" t="str">
        <f t="shared" si="50"/>
        <v/>
      </c>
      <c r="AD205" s="8"/>
      <c r="AE205" s="8"/>
      <c r="AF205" s="14"/>
      <c r="AG205" s="13"/>
      <c r="AH205" s="14"/>
      <c r="AI205" s="14"/>
      <c r="AJ205" s="8"/>
      <c r="AK205" s="8"/>
      <c r="AL205" s="8"/>
      <c r="AM205" s="8"/>
      <c r="AN205" s="631"/>
      <c r="AO205" s="18"/>
      <c r="AP205" s="18"/>
      <c r="AQ205" s="18"/>
      <c r="AR205" s="18"/>
      <c r="AS205" s="18"/>
      <c r="AU205" s="448"/>
      <c r="AV205" s="448"/>
      <c r="AW205" s="8" t="str">
        <f>IF(C205&gt;0,VLOOKUP(C205,Foundation_Calc!$A$2:$C$986,3,1),
IF(J205&gt;0,VLOOKUP(J205,Foundation_Calc!$A$2:$C$986,3,1),""))</f>
        <v/>
      </c>
      <c r="AX205" s="8" t="str">
        <f>IF(C205&gt;0,VLOOKUP(C205,Foundation_Calc!$E$2:$G$986,3,1),
IF(J205&gt;0,VLOOKUP(J205,Foundation_Calc!$E$2:$G$986,3,1),""))</f>
        <v/>
      </c>
      <c r="AY205" s="631" t="str">
        <f>IF(L205="","",
IF(AX205="PT",VLOOKUP(L205,Foundation_Calc!$K$4:$R$37,VLOOKUP(AW205,Foundation_Calc!$I$2:$J$8,2,FALSE),0),
IF(AX205="K",VLOOKUP(L205,Foundation_Calc!$K$41:$R$74,VLOOKUP(AW205,Foundation_Calc!$I$2:$J$8,2,FALSE),0),"")))</f>
        <v/>
      </c>
      <c r="AZ205" s="631" t="str">
        <f>IF(K205="","",
IF(AX205="PT",VLOOKUP(K205,Foundation_Calc!$K$4:$R$37,VLOOKUP(AW205,Foundation_Calc!$I$2:$J$8,2,FALSE),0),
IF(AX205="K",VLOOKUP(K205,Foundation_Calc!$K$41:$R$74,VLOOKUP(AW205,Foundation_Calc!$I$2:$J$8,2,FALSE),0),"")))</f>
        <v/>
      </c>
      <c r="BA205" s="632" t="str">
        <f t="shared" si="51"/>
        <v/>
      </c>
      <c r="BB205" s="632" t="str">
        <f t="shared" si="52"/>
        <v/>
      </c>
      <c r="BC205" s="632" t="str">
        <f t="shared" si="53"/>
        <v/>
      </c>
      <c r="BD205" s="633" t="str">
        <f>IF(AND(L205="",H205=""),"",
IF(H205="",Pole_Calc!A$9,
IF(H205="MP",Pole_Calc!A$10,
IF(H205="AnMP",Pole_Calc!A$11,
IF(H205="A",Pole_Calc!A$12,
IF(H205="S/A",Pole_Calc!A$13,
IF(H205="A/S",Pole_Calc!A$14,"Poner a mano")))))))</f>
        <v/>
      </c>
      <c r="BE205" s="448" t="s">
        <v>1726</v>
      </c>
      <c r="BF205" s="635"/>
      <c r="BG205" s="635"/>
      <c r="BH205" s="634"/>
      <c r="BI205" s="635"/>
    </row>
    <row r="206" spans="1:61" ht="16.2" customHeight="1">
      <c r="A206" s="12"/>
      <c r="B206" s="446"/>
      <c r="C206" s="89"/>
      <c r="D206" s="13"/>
      <c r="E206" s="14"/>
      <c r="F206" s="14"/>
      <c r="G206" s="15"/>
      <c r="H206" s="8"/>
      <c r="I206" s="8"/>
      <c r="J206" s="89"/>
      <c r="K206" s="8"/>
      <c r="L206" s="8"/>
      <c r="M206" s="8" t="str">
        <f>IF(L206="","",
IF(AX206="PT",VLOOKUP(L206,Foundation_Calc!$V$4:$X$37,VLOOKUP(AX206,Foundation_Calc!$I$10:$J$13,2,FALSE),0),
IF(AX206="K",VLOOKUP(L206,Foundation_Calc!$V$41:$X$74,VLOOKUP(AX206,Foundation_Calc!$I$10:$J$13,2,FALSE),0),"")))</f>
        <v/>
      </c>
      <c r="N206" s="8"/>
      <c r="O206" s="8"/>
      <c r="P206" s="8"/>
      <c r="Q206" s="14"/>
      <c r="R206" s="15"/>
      <c r="S206" s="15"/>
      <c r="T206" s="14"/>
      <c r="U206" s="14"/>
      <c r="V206" s="14"/>
      <c r="W206" s="18"/>
      <c r="X206" s="18"/>
      <c r="Y206" s="18"/>
      <c r="Z206" s="18"/>
      <c r="AA206" s="18"/>
      <c r="AB206" s="18"/>
      <c r="AC206" s="8" t="str">
        <f t="shared" si="50"/>
        <v/>
      </c>
      <c r="AD206" s="8"/>
      <c r="AE206" s="8"/>
      <c r="AF206" s="14"/>
      <c r="AG206" s="13"/>
      <c r="AH206" s="14"/>
      <c r="AI206" s="14"/>
      <c r="AJ206" s="8"/>
      <c r="AK206" s="8"/>
      <c r="AL206" s="8"/>
      <c r="AM206" s="8"/>
      <c r="AN206" s="631"/>
      <c r="AO206" s="18"/>
      <c r="AP206" s="18"/>
      <c r="AQ206" s="18"/>
      <c r="AR206" s="18"/>
      <c r="AS206" s="18"/>
      <c r="AU206" s="448"/>
      <c r="AV206" s="448"/>
      <c r="AW206" s="8" t="str">
        <f>IF(C206&gt;0,VLOOKUP(C206,Foundation_Calc!$A$2:$C$986,3,1),
IF(J206&gt;0,VLOOKUP(J206,Foundation_Calc!$A$2:$C$986,3,1),""))</f>
        <v/>
      </c>
      <c r="AX206" s="8" t="str">
        <f>IF(C206&gt;0,VLOOKUP(C206,Foundation_Calc!$E$2:$G$986,3,1),
IF(J206&gt;0,VLOOKUP(J206,Foundation_Calc!$E$2:$G$986,3,1),""))</f>
        <v/>
      </c>
      <c r="AY206" s="631" t="str">
        <f>IF(L206="","",
IF(AX206="PT",VLOOKUP(L206,Foundation_Calc!$K$4:$R$37,VLOOKUP(AW206,Foundation_Calc!$I$2:$J$8,2,FALSE),0),
IF(AX206="K",VLOOKUP(L206,Foundation_Calc!$K$41:$R$74,VLOOKUP(AW206,Foundation_Calc!$I$2:$J$8,2,FALSE),0),"")))</f>
        <v/>
      </c>
      <c r="AZ206" s="631" t="str">
        <f>IF(K206="","",
IF(AX206="PT",VLOOKUP(K206,Foundation_Calc!$K$4:$R$37,VLOOKUP(AW206,Foundation_Calc!$I$2:$J$8,2,FALSE),0),
IF(AX206="K",VLOOKUP(K206,Foundation_Calc!$K$41:$R$74,VLOOKUP(AW206,Foundation_Calc!$I$2:$J$8,2,FALSE),0),"")))</f>
        <v/>
      </c>
      <c r="BA206" s="632" t="str">
        <f t="shared" si="51"/>
        <v/>
      </c>
      <c r="BB206" s="632" t="str">
        <f t="shared" si="52"/>
        <v/>
      </c>
      <c r="BC206" s="632" t="str">
        <f t="shared" si="53"/>
        <v/>
      </c>
      <c r="BD206" s="633" t="str">
        <f>IF(AND(L206="",H206=""),"",
IF(H206="",Pole_Calc!A$9,
IF(H206="MP",Pole_Calc!A$10,
IF(H206="AnMP",Pole_Calc!A$11,
IF(H206="A",Pole_Calc!A$12,
IF(H206="S/A",Pole_Calc!A$13,
IF(H206="A/S",Pole_Calc!A$14,"Poner a mano")))))))</f>
        <v/>
      </c>
      <c r="BE206" s="448" t="s">
        <v>1726</v>
      </c>
      <c r="BF206" s="634"/>
      <c r="BG206" s="634"/>
      <c r="BH206" s="634"/>
      <c r="BI206" s="634"/>
    </row>
    <row r="207" spans="1:61" ht="16.2" customHeight="1">
      <c r="A207" s="12"/>
      <c r="B207" s="446"/>
      <c r="C207" s="89"/>
      <c r="D207" s="13"/>
      <c r="E207" s="14"/>
      <c r="F207" s="14"/>
      <c r="G207" s="15"/>
      <c r="H207" s="8"/>
      <c r="I207" s="8"/>
      <c r="J207" s="89"/>
      <c r="K207" s="8"/>
      <c r="L207" s="8"/>
      <c r="M207" s="8" t="str">
        <f>IF(L207="","",
IF(AX207="PT",VLOOKUP(L207,Foundation_Calc!$V$4:$X$37,VLOOKUP(AX207,Foundation_Calc!$I$10:$J$13,2,FALSE),0),
IF(AX207="K",VLOOKUP(L207,Foundation_Calc!$V$41:$X$74,VLOOKUP(AX207,Foundation_Calc!$I$10:$J$13,2,FALSE),0),"")))</f>
        <v/>
      </c>
      <c r="N207" s="8"/>
      <c r="O207" s="8"/>
      <c r="P207" s="8"/>
      <c r="Q207" s="14"/>
      <c r="R207" s="15"/>
      <c r="S207" s="15"/>
      <c r="T207" s="14"/>
      <c r="U207" s="14"/>
      <c r="V207" s="14"/>
      <c r="W207" s="18"/>
      <c r="X207" s="18"/>
      <c r="Y207" s="18"/>
      <c r="Z207" s="18"/>
      <c r="AA207" s="18"/>
      <c r="AB207" s="18"/>
      <c r="AC207" s="8" t="str">
        <f t="shared" si="50"/>
        <v/>
      </c>
      <c r="AD207" s="8"/>
      <c r="AE207" s="8"/>
      <c r="AF207" s="14"/>
      <c r="AG207" s="13"/>
      <c r="AH207" s="14"/>
      <c r="AI207" s="14"/>
      <c r="AJ207" s="8"/>
      <c r="AK207" s="8"/>
      <c r="AL207" s="8"/>
      <c r="AM207" s="8"/>
      <c r="AN207" s="631"/>
      <c r="AO207" s="18"/>
      <c r="AP207" s="18"/>
      <c r="AQ207" s="18"/>
      <c r="AR207" s="18"/>
      <c r="AS207" s="18"/>
      <c r="AU207" s="448"/>
      <c r="AV207" s="448"/>
      <c r="AW207" s="8" t="str">
        <f>IF(C207&gt;0,VLOOKUP(C207,Foundation_Calc!$A$2:$C$986,3,1),
IF(J207&gt;0,VLOOKUP(J207,Foundation_Calc!$A$2:$C$986,3,1),""))</f>
        <v/>
      </c>
      <c r="AX207" s="8" t="str">
        <f>IF(C207&gt;0,VLOOKUP(C207,Foundation_Calc!$E$2:$G$986,3,1),
IF(J207&gt;0,VLOOKUP(J207,Foundation_Calc!$E$2:$G$986,3,1),""))</f>
        <v/>
      </c>
      <c r="AY207" s="631" t="str">
        <f>IF(L207="","",
IF(AX207="PT",VLOOKUP(L207,Foundation_Calc!$K$4:$R$37,VLOOKUP(AW207,Foundation_Calc!$I$2:$J$8,2,FALSE),0),
IF(AX207="K",VLOOKUP(L207,Foundation_Calc!$K$41:$R$74,VLOOKUP(AW207,Foundation_Calc!$I$2:$J$8,2,FALSE),0),"")))</f>
        <v/>
      </c>
      <c r="AZ207" s="631" t="str">
        <f>IF(K207="","",
IF(AX207="PT",VLOOKUP(K207,Foundation_Calc!$K$4:$R$37,VLOOKUP(AW207,Foundation_Calc!$I$2:$J$8,2,FALSE),0),
IF(AX207="K",VLOOKUP(K207,Foundation_Calc!$K$41:$R$74,VLOOKUP(AW207,Foundation_Calc!$I$2:$J$8,2,FALSE),0),"")))</f>
        <v/>
      </c>
      <c r="BA207" s="632" t="str">
        <f t="shared" si="51"/>
        <v/>
      </c>
      <c r="BB207" s="632" t="str">
        <f t="shared" si="52"/>
        <v/>
      </c>
      <c r="BC207" s="632" t="str">
        <f t="shared" si="53"/>
        <v/>
      </c>
      <c r="BD207" s="633" t="str">
        <f>IF(AND(L207="",H207=""),"",
IF(H207="",Pole_Calc!A$9,
IF(H207="MP",Pole_Calc!A$10,
IF(H207="AnMP",Pole_Calc!A$11,
IF(H207="A",Pole_Calc!A$12,
IF(H207="S/A",Pole_Calc!A$13,
IF(H207="A/S",Pole_Calc!A$14,"Poner a mano")))))))</f>
        <v/>
      </c>
      <c r="BE207" s="448" t="s">
        <v>1726</v>
      </c>
      <c r="BF207" s="635"/>
      <c r="BG207" s="635"/>
      <c r="BH207" s="634"/>
      <c r="BI207" s="635"/>
    </row>
    <row r="208" spans="1:61" ht="16.2" customHeight="1">
      <c r="A208" s="12"/>
      <c r="B208" s="446"/>
      <c r="C208" s="89"/>
      <c r="D208" s="13"/>
      <c r="E208" s="14"/>
      <c r="F208" s="14"/>
      <c r="G208" s="15"/>
      <c r="H208" s="8"/>
      <c r="I208" s="8"/>
      <c r="J208" s="89"/>
      <c r="K208" s="8"/>
      <c r="L208" s="8"/>
      <c r="M208" s="8" t="str">
        <f>IF(L208="","",
IF(AX208="PT",VLOOKUP(L208,Foundation_Calc!$V$4:$X$37,VLOOKUP(AX208,Foundation_Calc!$I$10:$J$13,2,FALSE),0),
IF(AX208="K",VLOOKUP(L208,Foundation_Calc!$V$41:$X$74,VLOOKUP(AX208,Foundation_Calc!$I$10:$J$13,2,FALSE),0),"")))</f>
        <v/>
      </c>
      <c r="N208" s="8"/>
      <c r="O208" s="8"/>
      <c r="P208" s="8"/>
      <c r="Q208" s="14"/>
      <c r="R208" s="15"/>
      <c r="S208" s="15"/>
      <c r="T208" s="14"/>
      <c r="U208" s="14"/>
      <c r="V208" s="14"/>
      <c r="W208" s="18"/>
      <c r="X208" s="18"/>
      <c r="Y208" s="18"/>
      <c r="Z208" s="18"/>
      <c r="AA208" s="18"/>
      <c r="AB208" s="18"/>
      <c r="AC208" s="8" t="str">
        <f t="shared" si="50"/>
        <v/>
      </c>
      <c r="AD208" s="8"/>
      <c r="AE208" s="8"/>
      <c r="AF208" s="14"/>
      <c r="AG208" s="13"/>
      <c r="AH208" s="14"/>
      <c r="AI208" s="14"/>
      <c r="AJ208" s="8"/>
      <c r="AK208" s="8"/>
      <c r="AL208" s="8"/>
      <c r="AM208" s="8"/>
      <c r="AN208" s="631"/>
      <c r="AO208" s="18"/>
      <c r="AP208" s="18"/>
      <c r="AQ208" s="18"/>
      <c r="AR208" s="18"/>
      <c r="AS208" s="18"/>
      <c r="AU208" s="448"/>
      <c r="AV208" s="448"/>
      <c r="AW208" s="8" t="str">
        <f>IF(C208&gt;0,VLOOKUP(C208,Foundation_Calc!$A$2:$C$986,3,1),
IF(J208&gt;0,VLOOKUP(J208,Foundation_Calc!$A$2:$C$986,3,1),""))</f>
        <v/>
      </c>
      <c r="AX208" s="8" t="str">
        <f>IF(C208&gt;0,VLOOKUP(C208,Foundation_Calc!$E$2:$G$986,3,1),
IF(J208&gt;0,VLOOKUP(J208,Foundation_Calc!$E$2:$G$986,3,1),""))</f>
        <v/>
      </c>
      <c r="AY208" s="631" t="str">
        <f>IF(L208="","",
IF(AX208="PT",VLOOKUP(L208,Foundation_Calc!$K$4:$R$37,VLOOKUP(AW208,Foundation_Calc!$I$2:$J$8,2,FALSE),0),
IF(AX208="K",VLOOKUP(L208,Foundation_Calc!$K$41:$R$74,VLOOKUP(AW208,Foundation_Calc!$I$2:$J$8,2,FALSE),0),"")))</f>
        <v/>
      </c>
      <c r="AZ208" s="631" t="str">
        <f>IF(K208="","",
IF(AX208="PT",VLOOKUP(K208,Foundation_Calc!$K$4:$R$37,VLOOKUP(AW208,Foundation_Calc!$I$2:$J$8,2,FALSE),0),
IF(AX208="K",VLOOKUP(K208,Foundation_Calc!$K$41:$R$74,VLOOKUP(AW208,Foundation_Calc!$I$2:$J$8,2,FALSE),0),"")))</f>
        <v/>
      </c>
      <c r="BA208" s="632" t="str">
        <f t="shared" si="51"/>
        <v/>
      </c>
      <c r="BB208" s="632" t="str">
        <f t="shared" si="52"/>
        <v/>
      </c>
      <c r="BC208" s="632" t="str">
        <f t="shared" si="53"/>
        <v/>
      </c>
      <c r="BD208" s="633" t="str">
        <f>IF(AND(L208="",H208=""),"",
IF(H208="",Pole_Calc!A$9,
IF(H208="MP",Pole_Calc!A$10,
IF(H208="AnMP",Pole_Calc!A$11,
IF(H208="A",Pole_Calc!A$12,
IF(H208="S/A",Pole_Calc!A$13,
IF(H208="A/S",Pole_Calc!A$14,"Poner a mano")))))))</f>
        <v/>
      </c>
      <c r="BE208" s="448" t="s">
        <v>1726</v>
      </c>
      <c r="BF208" s="634"/>
      <c r="BG208" s="634"/>
      <c r="BH208" s="634"/>
      <c r="BI208" s="634"/>
    </row>
    <row r="209" spans="1:61" ht="16.2" customHeight="1">
      <c r="A209" s="12"/>
      <c r="B209" s="446"/>
      <c r="C209" s="89"/>
      <c r="D209" s="13"/>
      <c r="E209" s="14"/>
      <c r="F209" s="14"/>
      <c r="G209" s="15"/>
      <c r="H209" s="8"/>
      <c r="I209" s="8"/>
      <c r="J209" s="89"/>
      <c r="K209" s="8"/>
      <c r="L209" s="8"/>
      <c r="M209" s="8" t="str">
        <f>IF(L209="","",
IF(AX209="PT",VLOOKUP(L209,Foundation_Calc!$V$4:$X$37,VLOOKUP(AX209,Foundation_Calc!$I$10:$J$13,2,FALSE),0),
IF(AX209="K",VLOOKUP(L209,Foundation_Calc!$V$41:$X$74,VLOOKUP(AX209,Foundation_Calc!$I$10:$J$13,2,FALSE),0),"")))</f>
        <v/>
      </c>
      <c r="N209" s="8"/>
      <c r="O209" s="8"/>
      <c r="P209" s="8"/>
      <c r="Q209" s="14"/>
      <c r="R209" s="15"/>
      <c r="S209" s="15"/>
      <c r="T209" s="14"/>
      <c r="U209" s="14"/>
      <c r="V209" s="14"/>
      <c r="W209" s="18"/>
      <c r="X209" s="18"/>
      <c r="Y209" s="18"/>
      <c r="Z209" s="18"/>
      <c r="AA209" s="18"/>
      <c r="AB209" s="18"/>
      <c r="AC209" s="8" t="str">
        <f t="shared" si="50"/>
        <v/>
      </c>
      <c r="AD209" s="8"/>
      <c r="AE209" s="8"/>
      <c r="AF209" s="14"/>
      <c r="AG209" s="13"/>
      <c r="AH209" s="14"/>
      <c r="AI209" s="14"/>
      <c r="AJ209" s="8"/>
      <c r="AK209" s="8"/>
      <c r="AL209" s="8"/>
      <c r="AM209" s="8"/>
      <c r="AN209" s="631"/>
      <c r="AO209" s="18"/>
      <c r="AP209" s="18"/>
      <c r="AQ209" s="18"/>
      <c r="AR209" s="18"/>
      <c r="AS209" s="18"/>
      <c r="AU209" s="448"/>
      <c r="AV209" s="448"/>
      <c r="AW209" s="8" t="str">
        <f>IF(C209&gt;0,VLOOKUP(C209,Foundation_Calc!$A$2:$C$986,3,1),
IF(J209&gt;0,VLOOKUP(J209,Foundation_Calc!$A$2:$C$986,3,1),""))</f>
        <v/>
      </c>
      <c r="AX209" s="8" t="str">
        <f>IF(C209&gt;0,VLOOKUP(C209,Foundation_Calc!$E$2:$G$986,3,1),
IF(J209&gt;0,VLOOKUP(J209,Foundation_Calc!$E$2:$G$986,3,1),""))</f>
        <v/>
      </c>
      <c r="AY209" s="631" t="str">
        <f>IF(L209="","",
IF(AX209="PT",VLOOKUP(L209,Foundation_Calc!$K$4:$R$37,VLOOKUP(AW209,Foundation_Calc!$I$2:$J$8,2,FALSE),0),
IF(AX209="K",VLOOKUP(L209,Foundation_Calc!$K$41:$R$74,VLOOKUP(AW209,Foundation_Calc!$I$2:$J$8,2,FALSE),0),"")))</f>
        <v/>
      </c>
      <c r="AZ209" s="631" t="str">
        <f>IF(K209="","",
IF(AX209="PT",VLOOKUP(K209,Foundation_Calc!$K$4:$R$37,VLOOKUP(AW209,Foundation_Calc!$I$2:$J$8,2,FALSE),0),
IF(AX209="K",VLOOKUP(K209,Foundation_Calc!$K$41:$R$74,VLOOKUP(AW209,Foundation_Calc!$I$2:$J$8,2,FALSE),0),"")))</f>
        <v/>
      </c>
      <c r="BA209" s="632" t="str">
        <f t="shared" si="51"/>
        <v/>
      </c>
      <c r="BB209" s="632" t="str">
        <f t="shared" si="52"/>
        <v/>
      </c>
      <c r="BC209" s="632" t="str">
        <f t="shared" si="53"/>
        <v/>
      </c>
      <c r="BD209" s="633" t="str">
        <f>IF(AND(L209="",H209=""),"",
IF(H209="",Pole_Calc!A$9,
IF(H209="MP",Pole_Calc!A$10,
IF(H209="AnMP",Pole_Calc!A$11,
IF(H209="A",Pole_Calc!A$12,
IF(H209="S/A",Pole_Calc!A$13,
IF(H209="A/S",Pole_Calc!A$14,"Poner a mano")))))))</f>
        <v/>
      </c>
      <c r="BE209" s="448" t="s">
        <v>1726</v>
      </c>
      <c r="BF209" s="635"/>
      <c r="BG209" s="635"/>
      <c r="BH209" s="634"/>
      <c r="BI209" s="635"/>
    </row>
    <row r="210" spans="1:61" ht="16.2" customHeight="1">
      <c r="A210" s="12"/>
      <c r="B210" s="446"/>
      <c r="C210" s="89"/>
      <c r="D210" s="13"/>
      <c r="E210" s="14"/>
      <c r="F210" s="14"/>
      <c r="G210" s="15"/>
      <c r="H210" s="8"/>
      <c r="I210" s="8"/>
      <c r="J210" s="89"/>
      <c r="K210" s="8"/>
      <c r="L210" s="8"/>
      <c r="M210" s="8" t="str">
        <f>IF(L210="","",
IF(AX210="PT",VLOOKUP(L210,Foundation_Calc!$V$4:$X$37,VLOOKUP(AX210,Foundation_Calc!$I$10:$J$13,2,FALSE),0),
IF(AX210="K",VLOOKUP(L210,Foundation_Calc!$V$41:$X$74,VLOOKUP(AX210,Foundation_Calc!$I$10:$J$13,2,FALSE),0),"")))</f>
        <v/>
      </c>
      <c r="N210" s="8"/>
      <c r="O210" s="8"/>
      <c r="P210" s="8"/>
      <c r="Q210" s="14"/>
      <c r="R210" s="15"/>
      <c r="S210" s="15"/>
      <c r="T210" s="14"/>
      <c r="U210" s="14"/>
      <c r="V210" s="14"/>
      <c r="W210" s="18"/>
      <c r="X210" s="18"/>
      <c r="Y210" s="18"/>
      <c r="Z210" s="18"/>
      <c r="AA210" s="18"/>
      <c r="AB210" s="18"/>
      <c r="AC210" s="8" t="str">
        <f t="shared" si="50"/>
        <v/>
      </c>
      <c r="AD210" s="8"/>
      <c r="AE210" s="8"/>
      <c r="AF210" s="14"/>
      <c r="AG210" s="13"/>
      <c r="AH210" s="14"/>
      <c r="AI210" s="14"/>
      <c r="AJ210" s="8"/>
      <c r="AK210" s="8"/>
      <c r="AL210" s="8"/>
      <c r="AM210" s="8"/>
      <c r="AN210" s="631"/>
      <c r="AO210" s="18"/>
      <c r="AP210" s="18"/>
      <c r="AQ210" s="18"/>
      <c r="AR210" s="18"/>
      <c r="AS210" s="18"/>
      <c r="AU210" s="448"/>
      <c r="AV210" s="448"/>
      <c r="AW210" s="8" t="str">
        <f>IF(C210&gt;0,VLOOKUP(C210,Foundation_Calc!$A$2:$C$986,3,1),
IF(J210&gt;0,VLOOKUP(J210,Foundation_Calc!$A$2:$C$986,3,1),""))</f>
        <v/>
      </c>
      <c r="AX210" s="8" t="str">
        <f>IF(C210&gt;0,VLOOKUP(C210,Foundation_Calc!$E$2:$G$986,3,1),
IF(J210&gt;0,VLOOKUP(J210,Foundation_Calc!$E$2:$G$986,3,1),""))</f>
        <v/>
      </c>
      <c r="AY210" s="631" t="str">
        <f>IF(L210="","",
IF(AX210="PT",VLOOKUP(L210,Foundation_Calc!$K$4:$R$37,VLOOKUP(AW210,Foundation_Calc!$I$2:$J$8,2,FALSE),0),
IF(AX210="K",VLOOKUP(L210,Foundation_Calc!$K$41:$R$74,VLOOKUP(AW210,Foundation_Calc!$I$2:$J$8,2,FALSE),0),"")))</f>
        <v/>
      </c>
      <c r="AZ210" s="631" t="str">
        <f>IF(K210="","",
IF(AX210="PT",VLOOKUP(K210,Foundation_Calc!$K$4:$R$37,VLOOKUP(AW210,Foundation_Calc!$I$2:$J$8,2,FALSE),0),
IF(AX210="K",VLOOKUP(K210,Foundation_Calc!$K$41:$R$74,VLOOKUP(AW210,Foundation_Calc!$I$2:$J$8,2,FALSE),0),"")))</f>
        <v/>
      </c>
      <c r="BA210" s="632" t="str">
        <f t="shared" si="51"/>
        <v/>
      </c>
      <c r="BB210" s="632" t="str">
        <f t="shared" si="52"/>
        <v/>
      </c>
      <c r="BC210" s="632" t="str">
        <f t="shared" si="53"/>
        <v/>
      </c>
      <c r="BD210" s="633" t="str">
        <f>IF(AND(L210="",H210=""),"",
IF(H210="",Pole_Calc!A$9,
IF(H210="MP",Pole_Calc!A$10,
IF(H210="AnMP",Pole_Calc!A$11,
IF(H210="A",Pole_Calc!A$12,
IF(H210="S/A",Pole_Calc!A$13,
IF(H210="A/S",Pole_Calc!A$14,"Poner a mano")))))))</f>
        <v/>
      </c>
      <c r="BE210" s="448" t="s">
        <v>1726</v>
      </c>
      <c r="BF210" s="634"/>
      <c r="BG210" s="634"/>
      <c r="BH210" s="634"/>
      <c r="BI210" s="634"/>
    </row>
    <row r="211" spans="1:61" ht="16.2" customHeight="1">
      <c r="A211" s="12"/>
      <c r="B211" s="446"/>
      <c r="C211" s="89"/>
      <c r="D211" s="13"/>
      <c r="E211" s="14"/>
      <c r="F211" s="14"/>
      <c r="G211" s="15"/>
      <c r="H211" s="8"/>
      <c r="I211" s="8"/>
      <c r="J211" s="89"/>
      <c r="K211" s="8"/>
      <c r="L211" s="8"/>
      <c r="M211" s="8" t="str">
        <f>IF(L211="","",
IF(AX211="PT",VLOOKUP(L211,Foundation_Calc!$V$4:$X$37,VLOOKUP(AX211,Foundation_Calc!$I$10:$J$13,2,FALSE),0),
IF(AX211="K",VLOOKUP(L211,Foundation_Calc!$V$41:$X$74,VLOOKUP(AX211,Foundation_Calc!$I$10:$J$13,2,FALSE),0),"")))</f>
        <v/>
      </c>
      <c r="N211" s="8"/>
      <c r="O211" s="8"/>
      <c r="P211" s="8"/>
      <c r="Q211" s="14"/>
      <c r="R211" s="15"/>
      <c r="S211" s="15"/>
      <c r="T211" s="14"/>
      <c r="U211" s="14"/>
      <c r="V211" s="14"/>
      <c r="W211" s="18"/>
      <c r="X211" s="18"/>
      <c r="Y211" s="18"/>
      <c r="Z211" s="18"/>
      <c r="AA211" s="18"/>
      <c r="AB211" s="18"/>
      <c r="AC211" s="8" t="str">
        <f t="shared" si="50"/>
        <v/>
      </c>
      <c r="AD211" s="8"/>
      <c r="AE211" s="8"/>
      <c r="AF211" s="14"/>
      <c r="AG211" s="13"/>
      <c r="AH211" s="14"/>
      <c r="AI211" s="14"/>
      <c r="AJ211" s="8"/>
      <c r="AK211" s="8"/>
      <c r="AL211" s="8"/>
      <c r="AM211" s="8"/>
      <c r="AN211" s="631"/>
      <c r="AO211" s="18"/>
      <c r="AP211" s="18"/>
      <c r="AQ211" s="18"/>
      <c r="AR211" s="18"/>
      <c r="AS211" s="18"/>
      <c r="AU211" s="448"/>
      <c r="AV211" s="448"/>
      <c r="AW211" s="8" t="str">
        <f>IF(C211&gt;0,VLOOKUP(C211,Foundation_Calc!$A$2:$C$986,3,1),
IF(J211&gt;0,VLOOKUP(J211,Foundation_Calc!$A$2:$C$986,3,1),""))</f>
        <v/>
      </c>
      <c r="AX211" s="8" t="str">
        <f>IF(C211&gt;0,VLOOKUP(C211,Foundation_Calc!$E$2:$G$986,3,1),
IF(J211&gt;0,VLOOKUP(J211,Foundation_Calc!$E$2:$G$986,3,1),""))</f>
        <v/>
      </c>
      <c r="AY211" s="631" t="str">
        <f>IF(L211="","",
IF(AX211="PT",VLOOKUP(L211,Foundation_Calc!$K$4:$R$37,VLOOKUP(AW211,Foundation_Calc!$I$2:$J$8,2,FALSE),0),
IF(AX211="K",VLOOKUP(L211,Foundation_Calc!$K$41:$R$74,VLOOKUP(AW211,Foundation_Calc!$I$2:$J$8,2,FALSE),0),"")))</f>
        <v/>
      </c>
      <c r="AZ211" s="631" t="str">
        <f>IF(K211="","",
IF(AX211="PT",VLOOKUP(K211,Foundation_Calc!$K$4:$R$37,VLOOKUP(AW211,Foundation_Calc!$I$2:$J$8,2,FALSE),0),
IF(AX211="K",VLOOKUP(K211,Foundation_Calc!$K$41:$R$74,VLOOKUP(AW211,Foundation_Calc!$I$2:$J$8,2,FALSE),0),"")))</f>
        <v/>
      </c>
      <c r="BA211" s="632" t="str">
        <f t="shared" si="51"/>
        <v/>
      </c>
      <c r="BB211" s="632" t="str">
        <f t="shared" si="52"/>
        <v/>
      </c>
      <c r="BC211" s="632" t="str">
        <f t="shared" si="53"/>
        <v/>
      </c>
      <c r="BD211" s="633" t="str">
        <f>IF(AND(L211="",H211=""),"",
IF(H211="",Pole_Calc!A$9,
IF(H211="MP",Pole_Calc!A$10,
IF(H211="AnMP",Pole_Calc!A$11,
IF(H211="A",Pole_Calc!A$12,
IF(H211="S/A",Pole_Calc!A$13,
IF(H211="A/S",Pole_Calc!A$14,"Poner a mano")))))))</f>
        <v/>
      </c>
      <c r="BE211" s="448" t="s">
        <v>1726</v>
      </c>
      <c r="BF211" s="635"/>
      <c r="BG211" s="635"/>
      <c r="BH211" s="634"/>
      <c r="BI211" s="635"/>
    </row>
    <row r="212" spans="1:61" ht="16.2" customHeight="1">
      <c r="A212" s="12"/>
      <c r="B212" s="446"/>
      <c r="C212" s="89"/>
      <c r="D212" s="13"/>
      <c r="E212" s="14"/>
      <c r="F212" s="14"/>
      <c r="G212" s="15"/>
      <c r="H212" s="8"/>
      <c r="I212" s="8"/>
      <c r="J212" s="89"/>
      <c r="K212" s="8"/>
      <c r="L212" s="8"/>
      <c r="M212" s="8" t="str">
        <f>IF(L212="","",
IF(AX212="PT",VLOOKUP(L212,Foundation_Calc!$V$4:$X$37,VLOOKUP(AX212,Foundation_Calc!$I$10:$J$13,2,FALSE),0),
IF(AX212="K",VLOOKUP(L212,Foundation_Calc!$V$41:$X$74,VLOOKUP(AX212,Foundation_Calc!$I$10:$J$13,2,FALSE),0),"")))</f>
        <v/>
      </c>
      <c r="N212" s="8"/>
      <c r="O212" s="8"/>
      <c r="P212" s="8"/>
      <c r="Q212" s="14"/>
      <c r="R212" s="15"/>
      <c r="S212" s="15"/>
      <c r="T212" s="14"/>
      <c r="U212" s="14"/>
      <c r="V212" s="14"/>
      <c r="W212" s="18"/>
      <c r="X212" s="18"/>
      <c r="Y212" s="18"/>
      <c r="Z212" s="18"/>
      <c r="AA212" s="18"/>
      <c r="AB212" s="18"/>
      <c r="AC212" s="8" t="str">
        <f t="shared" si="50"/>
        <v/>
      </c>
      <c r="AD212" s="8"/>
      <c r="AE212" s="8"/>
      <c r="AF212" s="14"/>
      <c r="AG212" s="13"/>
      <c r="AH212" s="14"/>
      <c r="AI212" s="14"/>
      <c r="AJ212" s="8"/>
      <c r="AK212" s="8"/>
      <c r="AL212" s="8"/>
      <c r="AM212" s="8"/>
      <c r="AN212" s="631"/>
      <c r="AO212" s="18"/>
      <c r="AP212" s="18"/>
      <c r="AQ212" s="18"/>
      <c r="AR212" s="18"/>
      <c r="AS212" s="18"/>
      <c r="AU212" s="448"/>
      <c r="AV212" s="448"/>
      <c r="AW212" s="8" t="str">
        <f>IF(C212&gt;0,VLOOKUP(C212,Foundation_Calc!$A$2:$C$986,3,1),
IF(J212&gt;0,VLOOKUP(J212,Foundation_Calc!$A$2:$C$986,3,1),""))</f>
        <v/>
      </c>
      <c r="AX212" s="8" t="str">
        <f>IF(C212&gt;0,VLOOKUP(C212,Foundation_Calc!$E$2:$G$986,3,1),
IF(J212&gt;0,VLOOKUP(J212,Foundation_Calc!$E$2:$G$986,3,1),""))</f>
        <v/>
      </c>
      <c r="AY212" s="631" t="str">
        <f>IF(L212="","",
IF(AX212="PT",VLOOKUP(L212,Foundation_Calc!$K$4:$R$37,VLOOKUP(AW212,Foundation_Calc!$I$2:$J$8,2,FALSE),0),
IF(AX212="K",VLOOKUP(L212,Foundation_Calc!$K$41:$R$74,VLOOKUP(AW212,Foundation_Calc!$I$2:$J$8,2,FALSE),0),"")))</f>
        <v/>
      </c>
      <c r="AZ212" s="631" t="str">
        <f>IF(K212="","",
IF(AX212="PT",VLOOKUP(K212,Foundation_Calc!$K$4:$R$37,VLOOKUP(AW212,Foundation_Calc!$I$2:$J$8,2,FALSE),0),
IF(AX212="K",VLOOKUP(K212,Foundation_Calc!$K$41:$R$74,VLOOKUP(AW212,Foundation_Calc!$I$2:$J$8,2,FALSE),0),"")))</f>
        <v/>
      </c>
      <c r="BA212" s="632" t="str">
        <f t="shared" si="51"/>
        <v/>
      </c>
      <c r="BB212" s="632" t="str">
        <f t="shared" si="52"/>
        <v/>
      </c>
      <c r="BC212" s="632" t="str">
        <f t="shared" si="53"/>
        <v/>
      </c>
      <c r="BD212" s="633" t="str">
        <f>IF(AND(L212="",H212=""),"",
IF(H212="",Pole_Calc!A$9,
IF(H212="MP",Pole_Calc!A$10,
IF(H212="AnMP",Pole_Calc!A$11,
IF(H212="A",Pole_Calc!A$12,
IF(H212="S/A",Pole_Calc!A$13,
IF(H212="A/S",Pole_Calc!A$14,"Poner a mano")))))))</f>
        <v/>
      </c>
      <c r="BE212" s="448" t="s">
        <v>1726</v>
      </c>
      <c r="BF212" s="634"/>
      <c r="BG212" s="634"/>
      <c r="BH212" s="634"/>
      <c r="BI212" s="634"/>
    </row>
    <row r="213" spans="1:61" ht="16.2" customHeight="1">
      <c r="A213" s="12"/>
      <c r="B213" s="446"/>
      <c r="C213" s="89"/>
      <c r="D213" s="13"/>
      <c r="E213" s="14"/>
      <c r="F213" s="14"/>
      <c r="G213" s="15"/>
      <c r="H213" s="8"/>
      <c r="I213" s="8"/>
      <c r="J213" s="89"/>
      <c r="K213" s="8"/>
      <c r="L213" s="8"/>
      <c r="M213" s="8" t="str">
        <f>IF(L213="","",
IF(AX213="PT",VLOOKUP(L213,Foundation_Calc!$V$4:$X$37,VLOOKUP(AX213,Foundation_Calc!$I$10:$J$13,2,FALSE),0),
IF(AX213="K",VLOOKUP(L213,Foundation_Calc!$V$41:$X$74,VLOOKUP(AX213,Foundation_Calc!$I$10:$J$13,2,FALSE),0),"")))</f>
        <v/>
      </c>
      <c r="N213" s="8"/>
      <c r="O213" s="8"/>
      <c r="P213" s="8"/>
      <c r="Q213" s="14"/>
      <c r="R213" s="15"/>
      <c r="S213" s="15"/>
      <c r="T213" s="14"/>
      <c r="U213" s="14"/>
      <c r="V213" s="14"/>
      <c r="W213" s="18"/>
      <c r="X213" s="18"/>
      <c r="Y213" s="18"/>
      <c r="Z213" s="18"/>
      <c r="AA213" s="18"/>
      <c r="AB213" s="18"/>
      <c r="AC213" s="8" t="str">
        <f t="shared" si="50"/>
        <v/>
      </c>
      <c r="AD213" s="8"/>
      <c r="AE213" s="8"/>
      <c r="AF213" s="14"/>
      <c r="AG213" s="13"/>
      <c r="AH213" s="14"/>
      <c r="AI213" s="14"/>
      <c r="AJ213" s="8"/>
      <c r="AK213" s="8"/>
      <c r="AL213" s="8"/>
      <c r="AM213" s="8"/>
      <c r="AN213" s="631"/>
      <c r="AO213" s="18"/>
      <c r="AP213" s="18"/>
      <c r="AQ213" s="18"/>
      <c r="AR213" s="18"/>
      <c r="AS213" s="18"/>
      <c r="AU213" s="448"/>
      <c r="AV213" s="448"/>
      <c r="AW213" s="8" t="str">
        <f>IF(C213&gt;0,VLOOKUP(C213,Foundation_Calc!$A$2:$C$986,3,1),
IF(J213&gt;0,VLOOKUP(J213,Foundation_Calc!$A$2:$C$986,3,1),""))</f>
        <v/>
      </c>
      <c r="AX213" s="8" t="str">
        <f>IF(C213&gt;0,VLOOKUP(C213,Foundation_Calc!$E$2:$G$986,3,1),
IF(J213&gt;0,VLOOKUP(J213,Foundation_Calc!$E$2:$G$986,3,1),""))</f>
        <v/>
      </c>
      <c r="AY213" s="631" t="str">
        <f>IF(L213="","",
IF(AX213="PT",VLOOKUP(L213,Foundation_Calc!$K$4:$R$37,VLOOKUP(AW213,Foundation_Calc!$I$2:$J$8,2,FALSE),0),
IF(AX213="K",VLOOKUP(L213,Foundation_Calc!$K$41:$R$74,VLOOKUP(AW213,Foundation_Calc!$I$2:$J$8,2,FALSE),0),"")))</f>
        <v/>
      </c>
      <c r="AZ213" s="631" t="str">
        <f>IF(K213="","",
IF(AX213="PT",VLOOKUP(K213,Foundation_Calc!$K$4:$R$37,VLOOKUP(AW213,Foundation_Calc!$I$2:$J$8,2,FALSE),0),
IF(AX213="K",VLOOKUP(K213,Foundation_Calc!$K$41:$R$74,VLOOKUP(AW213,Foundation_Calc!$I$2:$J$8,2,FALSE),0),"")))</f>
        <v/>
      </c>
      <c r="BA213" s="632" t="str">
        <f t="shared" si="51"/>
        <v/>
      </c>
      <c r="BB213" s="632" t="str">
        <f t="shared" si="52"/>
        <v/>
      </c>
      <c r="BC213" s="632" t="str">
        <f t="shared" si="53"/>
        <v/>
      </c>
      <c r="BD213" s="633" t="str">
        <f>IF(AND(L213="",H213=""),"",
IF(H213="",Pole_Calc!A$9,
IF(H213="MP",Pole_Calc!A$10,
IF(H213="AnMP",Pole_Calc!A$11,
IF(H213="A",Pole_Calc!A$12,
IF(H213="S/A",Pole_Calc!A$13,
IF(H213="A/S",Pole_Calc!A$14,"Poner a mano")))))))</f>
        <v/>
      </c>
      <c r="BE213" s="448" t="s">
        <v>1726</v>
      </c>
      <c r="BF213" s="635"/>
      <c r="BG213" s="635"/>
      <c r="BH213" s="634"/>
      <c r="BI213" s="635"/>
    </row>
    <row r="214" spans="1:61" ht="16.2" customHeight="1">
      <c r="A214" s="12"/>
      <c r="B214" s="446"/>
      <c r="C214" s="89"/>
      <c r="D214" s="13"/>
      <c r="E214" s="14"/>
      <c r="F214" s="14"/>
      <c r="G214" s="15"/>
      <c r="H214" s="8"/>
      <c r="I214" s="8"/>
      <c r="J214" s="89"/>
      <c r="K214" s="8"/>
      <c r="L214" s="8"/>
      <c r="M214" s="8" t="str">
        <f>IF(L214="","",
IF(AX214="PT",VLOOKUP(L214,Foundation_Calc!$V$4:$X$37,VLOOKUP(AX214,Foundation_Calc!$I$10:$J$13,2,FALSE),0),
IF(AX214="K",VLOOKUP(L214,Foundation_Calc!$V$41:$X$74,VLOOKUP(AX214,Foundation_Calc!$I$10:$J$13,2,FALSE),0),"")))</f>
        <v/>
      </c>
      <c r="N214" s="8"/>
      <c r="O214" s="8"/>
      <c r="P214" s="8"/>
      <c r="Q214" s="14"/>
      <c r="R214" s="15"/>
      <c r="S214" s="15"/>
      <c r="T214" s="14"/>
      <c r="U214" s="14"/>
      <c r="V214" s="14"/>
      <c r="W214" s="18"/>
      <c r="X214" s="18"/>
      <c r="Y214" s="18"/>
      <c r="Z214" s="18"/>
      <c r="AA214" s="18"/>
      <c r="AB214" s="18"/>
      <c r="AC214" s="8" t="str">
        <f t="shared" si="50"/>
        <v/>
      </c>
      <c r="AD214" s="8"/>
      <c r="AE214" s="8"/>
      <c r="AF214" s="14"/>
      <c r="AG214" s="13"/>
      <c r="AH214" s="14"/>
      <c r="AI214" s="14"/>
      <c r="AJ214" s="8"/>
      <c r="AK214" s="8"/>
      <c r="AL214" s="8"/>
      <c r="AM214" s="8"/>
      <c r="AN214" s="631"/>
      <c r="AO214" s="18"/>
      <c r="AP214" s="18"/>
      <c r="AQ214" s="18"/>
      <c r="AR214" s="18"/>
      <c r="AS214" s="18"/>
      <c r="AU214" s="448"/>
      <c r="AV214" s="448"/>
      <c r="AW214" s="8" t="str">
        <f>IF(C214&gt;0,VLOOKUP(C214,Foundation_Calc!$A$2:$C$986,3,1),
IF(J214&gt;0,VLOOKUP(J214,Foundation_Calc!$A$2:$C$986,3,1),""))</f>
        <v/>
      </c>
      <c r="AX214" s="8" t="str">
        <f>IF(C214&gt;0,VLOOKUP(C214,Foundation_Calc!$E$2:$G$986,3,1),
IF(J214&gt;0,VLOOKUP(J214,Foundation_Calc!$E$2:$G$986,3,1),""))</f>
        <v/>
      </c>
      <c r="AY214" s="631" t="str">
        <f>IF(L214="","",
IF(AX214="PT",VLOOKUP(L214,Foundation_Calc!$K$4:$R$37,VLOOKUP(AW214,Foundation_Calc!$I$2:$J$8,2,FALSE),0),
IF(AX214="K",VLOOKUP(L214,Foundation_Calc!$K$41:$R$74,VLOOKUP(AW214,Foundation_Calc!$I$2:$J$8,2,FALSE),0),"")))</f>
        <v/>
      </c>
      <c r="AZ214" s="631" t="str">
        <f>IF(K214="","",
IF(AX214="PT",VLOOKUP(K214,Foundation_Calc!$K$4:$R$37,VLOOKUP(AW214,Foundation_Calc!$I$2:$J$8,2,FALSE),0),
IF(AX214="K",VLOOKUP(K214,Foundation_Calc!$K$41:$R$74,VLOOKUP(AW214,Foundation_Calc!$I$2:$J$8,2,FALSE),0),"")))</f>
        <v/>
      </c>
      <c r="BA214" s="632" t="str">
        <f t="shared" si="51"/>
        <v/>
      </c>
      <c r="BB214" s="632" t="str">
        <f t="shared" si="52"/>
        <v/>
      </c>
      <c r="BC214" s="632" t="str">
        <f t="shared" si="53"/>
        <v/>
      </c>
      <c r="BD214" s="633" t="str">
        <f>IF(AND(L214="",H214=""),"",
IF(H214="",Pole_Calc!A$9,
IF(H214="MP",Pole_Calc!A$10,
IF(H214="AnMP",Pole_Calc!A$11,
IF(H214="A",Pole_Calc!A$12,
IF(H214="S/A",Pole_Calc!A$13,
IF(H214="A/S",Pole_Calc!A$14,"Poner a mano")))))))</f>
        <v/>
      </c>
      <c r="BE214" s="448" t="s">
        <v>1726</v>
      </c>
      <c r="BF214" s="634"/>
      <c r="BG214" s="634"/>
      <c r="BH214" s="634"/>
      <c r="BI214" s="634"/>
    </row>
    <row r="215" spans="1:61" ht="16.2" customHeight="1">
      <c r="A215" s="12"/>
      <c r="B215" s="446"/>
      <c r="C215" s="89"/>
      <c r="D215" s="13"/>
      <c r="E215" s="14"/>
      <c r="F215" s="14"/>
      <c r="G215" s="15"/>
      <c r="H215" s="8"/>
      <c r="I215" s="8"/>
      <c r="J215" s="89"/>
      <c r="K215" s="8"/>
      <c r="L215" s="8"/>
      <c r="M215" s="8" t="str">
        <f>IF(L215="","",
IF(AX215="PT",VLOOKUP(L215,Foundation_Calc!$V$4:$X$37,VLOOKUP(AX215,Foundation_Calc!$I$10:$J$13,2,FALSE),0),
IF(AX215="K",VLOOKUP(L215,Foundation_Calc!$V$41:$X$74,VLOOKUP(AX215,Foundation_Calc!$I$10:$J$13,2,FALSE),0),"")))</f>
        <v/>
      </c>
      <c r="N215" s="8"/>
      <c r="O215" s="8"/>
      <c r="P215" s="8"/>
      <c r="Q215" s="14"/>
      <c r="R215" s="15"/>
      <c r="S215" s="15"/>
      <c r="T215" s="14"/>
      <c r="U215" s="14"/>
      <c r="V215" s="14"/>
      <c r="W215" s="18"/>
      <c r="X215" s="18"/>
      <c r="Y215" s="18"/>
      <c r="Z215" s="18"/>
      <c r="AA215" s="18"/>
      <c r="AB215" s="18"/>
      <c r="AC215" s="8" t="str">
        <f t="shared" si="50"/>
        <v/>
      </c>
      <c r="AD215" s="8"/>
      <c r="AE215" s="8"/>
      <c r="AF215" s="14"/>
      <c r="AG215" s="13"/>
      <c r="AH215" s="14"/>
      <c r="AI215" s="14"/>
      <c r="AJ215" s="8"/>
      <c r="AK215" s="8"/>
      <c r="AL215" s="8"/>
      <c r="AM215" s="8"/>
      <c r="AN215" s="631"/>
      <c r="AO215" s="18"/>
      <c r="AP215" s="18"/>
      <c r="AQ215" s="18"/>
      <c r="AR215" s="18"/>
      <c r="AS215" s="18"/>
      <c r="AU215" s="448"/>
      <c r="AV215" s="448"/>
      <c r="AW215" s="8" t="str">
        <f>IF(C215&gt;0,VLOOKUP(C215,Foundation_Calc!$A$2:$C$986,3,1),
IF(J215&gt;0,VLOOKUP(J215,Foundation_Calc!$A$2:$C$986,3,1),""))</f>
        <v/>
      </c>
      <c r="AX215" s="8" t="str">
        <f>IF(C215&gt;0,VLOOKUP(C215,Foundation_Calc!$E$2:$G$986,3,1),
IF(J215&gt;0,VLOOKUP(J215,Foundation_Calc!$E$2:$G$986,3,1),""))</f>
        <v/>
      </c>
      <c r="AY215" s="631" t="str">
        <f>IF(L215="","",
IF(AX215="PT",VLOOKUP(L215,Foundation_Calc!$K$4:$R$37,VLOOKUP(AW215,Foundation_Calc!$I$2:$J$8,2,FALSE),0),
IF(AX215="K",VLOOKUP(L215,Foundation_Calc!$K$41:$R$74,VLOOKUP(AW215,Foundation_Calc!$I$2:$J$8,2,FALSE),0),"")))</f>
        <v/>
      </c>
      <c r="AZ215" s="631" t="str">
        <f>IF(K215="","",
IF(AX215="PT",VLOOKUP(K215,Foundation_Calc!$K$4:$R$37,VLOOKUP(AW215,Foundation_Calc!$I$2:$J$8,2,FALSE),0),
IF(AX215="K",VLOOKUP(K215,Foundation_Calc!$K$41:$R$74,VLOOKUP(AW215,Foundation_Calc!$I$2:$J$8,2,FALSE),0),"")))</f>
        <v/>
      </c>
      <c r="BA215" s="632" t="str">
        <f t="shared" si="51"/>
        <v/>
      </c>
      <c r="BB215" s="632" t="str">
        <f t="shared" si="52"/>
        <v/>
      </c>
      <c r="BC215" s="632" t="str">
        <f t="shared" si="53"/>
        <v/>
      </c>
      <c r="BD215" s="633" t="str">
        <f>IF(AND(L215="",H215=""),"",
IF(H215="",Pole_Calc!A$9,
IF(H215="MP",Pole_Calc!A$10,
IF(H215="AnMP",Pole_Calc!A$11,
IF(H215="A",Pole_Calc!A$12,
IF(H215="S/A",Pole_Calc!A$13,
IF(H215="A/S",Pole_Calc!A$14,"Poner a mano")))))))</f>
        <v/>
      </c>
      <c r="BE215" s="448" t="s">
        <v>1726</v>
      </c>
      <c r="BF215" s="635"/>
      <c r="BG215" s="635"/>
      <c r="BH215" s="634"/>
      <c r="BI215" s="635"/>
    </row>
    <row r="216" spans="1:61" ht="16.2" customHeight="1">
      <c r="A216" s="12"/>
      <c r="B216" s="446"/>
      <c r="C216" s="89"/>
      <c r="D216" s="13"/>
      <c r="E216" s="14"/>
      <c r="F216" s="14"/>
      <c r="G216" s="15"/>
      <c r="H216" s="8"/>
      <c r="I216" s="8"/>
      <c r="J216" s="89"/>
      <c r="K216" s="8"/>
      <c r="L216" s="8"/>
      <c r="M216" s="8" t="str">
        <f>IF(L216="","",
IF(AX216="PT",VLOOKUP(L216,Foundation_Calc!$V$4:$X$37,VLOOKUP(AX216,Foundation_Calc!$I$10:$J$13,2,FALSE),0),
IF(AX216="K",VLOOKUP(L216,Foundation_Calc!$V$41:$X$74,VLOOKUP(AX216,Foundation_Calc!$I$10:$J$13,2,FALSE),0),"")))</f>
        <v/>
      </c>
      <c r="N216" s="8"/>
      <c r="O216" s="8"/>
      <c r="P216" s="8"/>
      <c r="Q216" s="14"/>
      <c r="R216" s="15"/>
      <c r="S216" s="15"/>
      <c r="T216" s="14"/>
      <c r="U216" s="14"/>
      <c r="V216" s="14"/>
      <c r="W216" s="18"/>
      <c r="X216" s="18"/>
      <c r="Y216" s="18"/>
      <c r="Z216" s="18"/>
      <c r="AA216" s="18"/>
      <c r="AB216" s="18"/>
      <c r="AC216" s="8" t="str">
        <f t="shared" si="50"/>
        <v/>
      </c>
      <c r="AD216" s="8"/>
      <c r="AE216" s="8"/>
      <c r="AF216" s="14"/>
      <c r="AG216" s="13"/>
      <c r="AH216" s="14"/>
      <c r="AI216" s="14"/>
      <c r="AJ216" s="8"/>
      <c r="AK216" s="8"/>
      <c r="AL216" s="8"/>
      <c r="AM216" s="8"/>
      <c r="AN216" s="631"/>
      <c r="AO216" s="18"/>
      <c r="AP216" s="18"/>
      <c r="AQ216" s="18"/>
      <c r="AR216" s="18"/>
      <c r="AS216" s="18"/>
      <c r="AU216" s="448"/>
      <c r="AV216" s="448"/>
      <c r="AW216" s="8" t="str">
        <f>IF(C216&gt;0,VLOOKUP(C216,Foundation_Calc!$A$2:$C$986,3,1),
IF(J216&gt;0,VLOOKUP(J216,Foundation_Calc!$A$2:$C$986,3,1),""))</f>
        <v/>
      </c>
      <c r="AX216" s="8" t="str">
        <f>IF(C216&gt;0,VLOOKUP(C216,Foundation_Calc!$E$2:$G$986,3,1),
IF(J216&gt;0,VLOOKUP(J216,Foundation_Calc!$E$2:$G$986,3,1),""))</f>
        <v/>
      </c>
      <c r="AY216" s="631" t="str">
        <f>IF(L216="","",
IF(AX216="PT",VLOOKUP(L216,Foundation_Calc!$K$4:$R$37,VLOOKUP(AW216,Foundation_Calc!$I$2:$J$8,2,FALSE),0),
IF(AX216="K",VLOOKUP(L216,Foundation_Calc!$K$41:$R$74,VLOOKUP(AW216,Foundation_Calc!$I$2:$J$8,2,FALSE),0),"")))</f>
        <v/>
      </c>
      <c r="AZ216" s="631" t="str">
        <f>IF(K216="","",
IF(AX216="PT",VLOOKUP(K216,Foundation_Calc!$K$4:$R$37,VLOOKUP(AW216,Foundation_Calc!$I$2:$J$8,2,FALSE),0),
IF(AX216="K",VLOOKUP(K216,Foundation_Calc!$K$41:$R$74,VLOOKUP(AW216,Foundation_Calc!$I$2:$J$8,2,FALSE),0),"")))</f>
        <v/>
      </c>
      <c r="BA216" s="632" t="str">
        <f t="shared" si="51"/>
        <v/>
      </c>
      <c r="BB216" s="632" t="str">
        <f t="shared" si="52"/>
        <v/>
      </c>
      <c r="BC216" s="632" t="str">
        <f t="shared" si="53"/>
        <v/>
      </c>
      <c r="BD216" s="633" t="str">
        <f>IF(AND(L216="",H216=""),"",
IF(H216="",Pole_Calc!A$9,
IF(H216="MP",Pole_Calc!A$10,
IF(H216="AnMP",Pole_Calc!A$11,
IF(H216="A",Pole_Calc!A$12,
IF(H216="S/A",Pole_Calc!A$13,
IF(H216="A/S",Pole_Calc!A$14,"Poner a mano")))))))</f>
        <v/>
      </c>
      <c r="BE216" s="448" t="s">
        <v>1726</v>
      </c>
      <c r="BF216" s="634"/>
      <c r="BG216" s="634"/>
      <c r="BH216" s="634"/>
      <c r="BI216" s="634"/>
    </row>
    <row r="217" spans="1:61" ht="16.2" customHeight="1">
      <c r="A217" s="12"/>
      <c r="B217" s="446"/>
      <c r="C217" s="89"/>
      <c r="D217" s="13"/>
      <c r="E217" s="14"/>
      <c r="F217" s="14"/>
      <c r="G217" s="15"/>
      <c r="H217" s="8"/>
      <c r="I217" s="8"/>
      <c r="J217" s="89"/>
      <c r="K217" s="8"/>
      <c r="L217" s="8"/>
      <c r="M217" s="8" t="str">
        <f>IF(L217="","",
IF(AX217="PT",VLOOKUP(L217,Foundation_Calc!$V$4:$X$37,VLOOKUP(AX217,Foundation_Calc!$I$10:$J$13,2,FALSE),0),
IF(AX217="K",VLOOKUP(L217,Foundation_Calc!$V$41:$X$74,VLOOKUP(AX217,Foundation_Calc!$I$10:$J$13,2,FALSE),0),"")))</f>
        <v/>
      </c>
      <c r="N217" s="8"/>
      <c r="O217" s="8"/>
      <c r="P217" s="8"/>
      <c r="Q217" s="14"/>
      <c r="R217" s="15"/>
      <c r="S217" s="15"/>
      <c r="T217" s="14"/>
      <c r="U217" s="14"/>
      <c r="V217" s="14"/>
      <c r="W217" s="18"/>
      <c r="X217" s="18"/>
      <c r="Y217" s="18"/>
      <c r="Z217" s="18"/>
      <c r="AA217" s="18"/>
      <c r="AB217" s="18"/>
      <c r="AC217" s="8" t="str">
        <f t="shared" si="50"/>
        <v/>
      </c>
      <c r="AD217" s="8"/>
      <c r="AE217" s="8"/>
      <c r="AF217" s="14"/>
      <c r="AG217" s="13"/>
      <c r="AH217" s="14"/>
      <c r="AI217" s="14"/>
      <c r="AJ217" s="8"/>
      <c r="AK217" s="8"/>
      <c r="AL217" s="8"/>
      <c r="AM217" s="8"/>
      <c r="AN217" s="631"/>
      <c r="AO217" s="18"/>
      <c r="AP217" s="18"/>
      <c r="AQ217" s="18"/>
      <c r="AR217" s="18"/>
      <c r="AS217" s="18"/>
      <c r="AU217" s="448"/>
      <c r="AV217" s="448"/>
      <c r="AW217" s="8" t="str">
        <f>IF(C217&gt;0,VLOOKUP(C217,Foundation_Calc!$A$2:$C$986,3,1),
IF(J217&gt;0,VLOOKUP(J217,Foundation_Calc!$A$2:$C$986,3,1),""))</f>
        <v/>
      </c>
      <c r="AX217" s="8" t="str">
        <f>IF(C217&gt;0,VLOOKUP(C217,Foundation_Calc!$E$2:$G$986,3,1),
IF(J217&gt;0,VLOOKUP(J217,Foundation_Calc!$E$2:$G$986,3,1),""))</f>
        <v/>
      </c>
      <c r="AY217" s="631" t="str">
        <f>IF(L217="","",
IF(AX217="PT",VLOOKUP(L217,Foundation_Calc!$K$4:$R$37,VLOOKUP(AW217,Foundation_Calc!$I$2:$J$8,2,FALSE),0),
IF(AX217="K",VLOOKUP(L217,Foundation_Calc!$K$41:$R$74,VLOOKUP(AW217,Foundation_Calc!$I$2:$J$8,2,FALSE),0),"")))</f>
        <v/>
      </c>
      <c r="AZ217" s="631" t="str">
        <f>IF(K217="","",
IF(AX217="PT",VLOOKUP(K217,Foundation_Calc!$K$4:$R$37,VLOOKUP(AW217,Foundation_Calc!$I$2:$J$8,2,FALSE),0),
IF(AX217="K",VLOOKUP(K217,Foundation_Calc!$K$41:$R$74,VLOOKUP(AW217,Foundation_Calc!$I$2:$J$8,2,FALSE),0),"")))</f>
        <v/>
      </c>
      <c r="BA217" s="632" t="str">
        <f t="shared" si="51"/>
        <v/>
      </c>
      <c r="BB217" s="632" t="str">
        <f t="shared" si="52"/>
        <v/>
      </c>
      <c r="BC217" s="632" t="str">
        <f t="shared" si="53"/>
        <v/>
      </c>
      <c r="BD217" s="633" t="str">
        <f>IF(AND(L217="",H217=""),"",
IF(H217="",Pole_Calc!A$9,
IF(H217="MP",Pole_Calc!A$10,
IF(H217="AnMP",Pole_Calc!A$11,
IF(H217="A",Pole_Calc!A$12,
IF(H217="S/A",Pole_Calc!A$13,
IF(H217="A/S",Pole_Calc!A$14,"Poner a mano")))))))</f>
        <v/>
      </c>
      <c r="BE217" s="448" t="s">
        <v>1726</v>
      </c>
      <c r="BF217" s="635"/>
      <c r="BG217" s="635"/>
      <c r="BH217" s="634"/>
      <c r="BI217" s="635"/>
    </row>
    <row r="218" spans="1:61" ht="16.2" customHeight="1">
      <c r="A218" s="12"/>
      <c r="B218" s="446"/>
      <c r="C218" s="89"/>
      <c r="D218" s="13"/>
      <c r="E218" s="14"/>
      <c r="F218" s="14"/>
      <c r="G218" s="15"/>
      <c r="H218" s="8"/>
      <c r="I218" s="8"/>
      <c r="J218" s="89"/>
      <c r="K218" s="8"/>
      <c r="L218" s="8"/>
      <c r="M218" s="8" t="str">
        <f>IF(L218="","",
IF(AX218="PT",VLOOKUP(L218,Foundation_Calc!$V$4:$X$37,VLOOKUP(AX218,Foundation_Calc!$I$10:$J$13,2,FALSE),0),
IF(AX218="K",VLOOKUP(L218,Foundation_Calc!$V$41:$X$74,VLOOKUP(AX218,Foundation_Calc!$I$10:$J$13,2,FALSE),0),"")))</f>
        <v/>
      </c>
      <c r="N218" s="8"/>
      <c r="O218" s="8"/>
      <c r="P218" s="8"/>
      <c r="Q218" s="14"/>
      <c r="R218" s="15"/>
      <c r="S218" s="15"/>
      <c r="T218" s="14"/>
      <c r="U218" s="14"/>
      <c r="V218" s="14"/>
      <c r="W218" s="18"/>
      <c r="X218" s="18"/>
      <c r="Y218" s="18"/>
      <c r="Z218" s="18"/>
      <c r="AA218" s="18"/>
      <c r="AB218" s="18"/>
      <c r="AC218" s="8" t="str">
        <f t="shared" si="50"/>
        <v/>
      </c>
      <c r="AD218" s="8"/>
      <c r="AE218" s="8"/>
      <c r="AF218" s="14"/>
      <c r="AG218" s="13"/>
      <c r="AH218" s="14"/>
      <c r="AI218" s="14"/>
      <c r="AJ218" s="8"/>
      <c r="AK218" s="8"/>
      <c r="AL218" s="8"/>
      <c r="AM218" s="8"/>
      <c r="AN218" s="631"/>
      <c r="AO218" s="18"/>
      <c r="AP218" s="18"/>
      <c r="AQ218" s="18"/>
      <c r="AR218" s="18"/>
      <c r="AS218" s="18"/>
      <c r="AU218" s="448"/>
      <c r="AV218" s="448"/>
      <c r="AW218" s="8" t="str">
        <f>IF(C218&gt;0,VLOOKUP(C218,Foundation_Calc!$A$2:$C$986,3,1),
IF(J218&gt;0,VLOOKUP(J218,Foundation_Calc!$A$2:$C$986,3,1),""))</f>
        <v/>
      </c>
      <c r="AX218" s="8" t="str">
        <f>IF(C218&gt;0,VLOOKUP(C218,Foundation_Calc!$E$2:$G$986,3,1),
IF(J218&gt;0,VLOOKUP(J218,Foundation_Calc!$E$2:$G$986,3,1),""))</f>
        <v/>
      </c>
      <c r="AY218" s="631" t="str">
        <f>IF(L218="","",
IF(AX218="PT",VLOOKUP(L218,Foundation_Calc!$K$4:$R$37,VLOOKUP(AW218,Foundation_Calc!$I$2:$J$8,2,FALSE),0),
IF(AX218="K",VLOOKUP(L218,Foundation_Calc!$K$41:$R$74,VLOOKUP(AW218,Foundation_Calc!$I$2:$J$8,2,FALSE),0),"")))</f>
        <v/>
      </c>
      <c r="AZ218" s="631" t="str">
        <f>IF(K218="","",
IF(AX218="PT",VLOOKUP(K218,Foundation_Calc!$K$4:$R$37,VLOOKUP(AW218,Foundation_Calc!$I$2:$J$8,2,FALSE),0),
IF(AX218="K",VLOOKUP(K218,Foundation_Calc!$K$41:$R$74,VLOOKUP(AW218,Foundation_Calc!$I$2:$J$8,2,FALSE),0),"")))</f>
        <v/>
      </c>
      <c r="BA218" s="632" t="str">
        <f t="shared" si="51"/>
        <v/>
      </c>
      <c r="BB218" s="632" t="str">
        <f t="shared" si="52"/>
        <v/>
      </c>
      <c r="BC218" s="632" t="str">
        <f t="shared" si="53"/>
        <v/>
      </c>
      <c r="BD218" s="633" t="str">
        <f>IF(AND(L218="",H218=""),"",
IF(H218="",Pole_Calc!A$9,
IF(H218="MP",Pole_Calc!A$10,
IF(H218="AnMP",Pole_Calc!A$11,
IF(H218="A",Pole_Calc!A$12,
IF(H218="S/A",Pole_Calc!A$13,
IF(H218="A/S",Pole_Calc!A$14,"Poner a mano")))))))</f>
        <v/>
      </c>
      <c r="BE218" s="448" t="s">
        <v>1726</v>
      </c>
      <c r="BF218" s="634"/>
      <c r="BG218" s="634"/>
      <c r="BH218" s="634"/>
      <c r="BI218" s="634"/>
    </row>
    <row r="219" spans="1:61" ht="16.2" customHeight="1">
      <c r="A219" s="12"/>
      <c r="B219" s="446"/>
      <c r="C219" s="89"/>
      <c r="D219" s="13"/>
      <c r="E219" s="14"/>
      <c r="F219" s="14"/>
      <c r="G219" s="15"/>
      <c r="H219" s="8"/>
      <c r="I219" s="8"/>
      <c r="J219" s="89"/>
      <c r="K219" s="8"/>
      <c r="L219" s="8"/>
      <c r="M219" s="8" t="str">
        <f>IF(L219="","",
IF(AX219="PT",VLOOKUP(L219,Foundation_Calc!$V$4:$X$37,VLOOKUP(AX219,Foundation_Calc!$I$10:$J$13,2,FALSE),0),
IF(AX219="K",VLOOKUP(L219,Foundation_Calc!$V$41:$X$74,VLOOKUP(AX219,Foundation_Calc!$I$10:$J$13,2,FALSE),0),"")))</f>
        <v/>
      </c>
      <c r="N219" s="8"/>
      <c r="O219" s="8"/>
      <c r="P219" s="8"/>
      <c r="Q219" s="14"/>
      <c r="R219" s="15"/>
      <c r="S219" s="15"/>
      <c r="T219" s="14"/>
      <c r="U219" s="14"/>
      <c r="V219" s="14"/>
      <c r="W219" s="18"/>
      <c r="X219" s="18"/>
      <c r="Y219" s="18"/>
      <c r="Z219" s="18"/>
      <c r="AA219" s="18"/>
      <c r="AB219" s="18"/>
      <c r="AC219" s="8" t="str">
        <f t="shared" si="50"/>
        <v/>
      </c>
      <c r="AD219" s="8"/>
      <c r="AE219" s="8"/>
      <c r="AF219" s="14"/>
      <c r="AG219" s="13"/>
      <c r="AH219" s="14"/>
      <c r="AI219" s="14"/>
      <c r="AJ219" s="8"/>
      <c r="AK219" s="8"/>
      <c r="AL219" s="8"/>
      <c r="AM219" s="8"/>
      <c r="AN219" s="631"/>
      <c r="AO219" s="18"/>
      <c r="AP219" s="18"/>
      <c r="AQ219" s="18"/>
      <c r="AR219" s="18"/>
      <c r="AS219" s="18"/>
      <c r="AU219" s="448"/>
      <c r="AV219" s="448"/>
      <c r="AW219" s="8" t="str">
        <f>IF(C219&gt;0,VLOOKUP(C219,Foundation_Calc!$A$2:$C$986,3,1),
IF(J219&gt;0,VLOOKUP(J219,Foundation_Calc!$A$2:$C$986,3,1),""))</f>
        <v/>
      </c>
      <c r="AX219" s="8" t="str">
        <f>IF(C219&gt;0,VLOOKUP(C219,Foundation_Calc!$E$2:$G$986,3,1),
IF(J219&gt;0,VLOOKUP(J219,Foundation_Calc!$E$2:$G$986,3,1),""))</f>
        <v/>
      </c>
      <c r="AY219" s="631" t="str">
        <f>IF(L219="","",
IF(AX219="PT",VLOOKUP(L219,Foundation_Calc!$K$4:$R$37,VLOOKUP(AW219,Foundation_Calc!$I$2:$J$8,2,FALSE),0),
IF(AX219="K",VLOOKUP(L219,Foundation_Calc!$K$41:$R$74,VLOOKUP(AW219,Foundation_Calc!$I$2:$J$8,2,FALSE),0),"")))</f>
        <v/>
      </c>
      <c r="AZ219" s="631" t="str">
        <f>IF(K219="","",
IF(AX219="PT",VLOOKUP(K219,Foundation_Calc!$K$4:$R$37,VLOOKUP(AW219,Foundation_Calc!$I$2:$J$8,2,FALSE),0),
IF(AX219="K",VLOOKUP(K219,Foundation_Calc!$K$41:$R$74,VLOOKUP(AW219,Foundation_Calc!$I$2:$J$8,2,FALSE),0),"")))</f>
        <v/>
      </c>
      <c r="BA219" s="632" t="str">
        <f t="shared" si="51"/>
        <v/>
      </c>
      <c r="BB219" s="632" t="str">
        <f t="shared" si="52"/>
        <v/>
      </c>
      <c r="BC219" s="632" t="str">
        <f t="shared" si="53"/>
        <v/>
      </c>
      <c r="BD219" s="633" t="str">
        <f>IF(AND(L219="",H219=""),"",
IF(H219="",Pole_Calc!A$9,
IF(H219="MP",Pole_Calc!A$10,
IF(H219="AnMP",Pole_Calc!A$11,
IF(H219="A",Pole_Calc!A$12,
IF(H219="S/A",Pole_Calc!A$13,
IF(H219="A/S",Pole_Calc!A$14,"Poner a mano")))))))</f>
        <v/>
      </c>
      <c r="BE219" s="448" t="s">
        <v>1726</v>
      </c>
      <c r="BF219" s="635"/>
      <c r="BG219" s="635"/>
      <c r="BH219" s="634"/>
      <c r="BI219" s="635"/>
    </row>
    <row r="220" spans="1:61" ht="16.2" customHeight="1">
      <c r="A220" s="12"/>
      <c r="B220" s="446"/>
      <c r="C220" s="89"/>
      <c r="D220" s="13"/>
      <c r="E220" s="14"/>
      <c r="F220" s="14"/>
      <c r="G220" s="15"/>
      <c r="H220" s="8"/>
      <c r="I220" s="8"/>
      <c r="J220" s="89"/>
      <c r="K220" s="8"/>
      <c r="L220" s="8"/>
      <c r="M220" s="8" t="str">
        <f>IF(L220="","",
IF(AX220="PT",VLOOKUP(L220,Foundation_Calc!$V$4:$X$37,VLOOKUP(AX220,Foundation_Calc!$I$10:$J$13,2,FALSE),0),
IF(AX220="K",VLOOKUP(L220,Foundation_Calc!$V$41:$X$74,VLOOKUP(AX220,Foundation_Calc!$I$10:$J$13,2,FALSE),0),"")))</f>
        <v/>
      </c>
      <c r="N220" s="8"/>
      <c r="O220" s="8"/>
      <c r="P220" s="8"/>
      <c r="Q220" s="14"/>
      <c r="R220" s="15"/>
      <c r="S220" s="15"/>
      <c r="T220" s="14"/>
      <c r="U220" s="14"/>
      <c r="V220" s="14"/>
      <c r="W220" s="18"/>
      <c r="X220" s="18"/>
      <c r="Y220" s="18"/>
      <c r="Z220" s="18"/>
      <c r="AA220" s="18"/>
      <c r="AB220" s="18"/>
      <c r="AC220" s="8" t="str">
        <f t="shared" si="50"/>
        <v/>
      </c>
      <c r="AD220" s="8"/>
      <c r="AE220" s="8"/>
      <c r="AF220" s="14"/>
      <c r="AG220" s="13"/>
      <c r="AH220" s="14"/>
      <c r="AI220" s="14"/>
      <c r="AJ220" s="8"/>
      <c r="AK220" s="8"/>
      <c r="AL220" s="8"/>
      <c r="AM220" s="8"/>
      <c r="AN220" s="631"/>
      <c r="AO220" s="18"/>
      <c r="AP220" s="18"/>
      <c r="AQ220" s="18"/>
      <c r="AR220" s="18"/>
      <c r="AS220" s="18"/>
      <c r="AU220" s="448"/>
      <c r="AV220" s="448"/>
      <c r="AW220" s="8" t="str">
        <f>IF(C220&gt;0,VLOOKUP(C220,Foundation_Calc!$A$2:$C$986,3,1),
IF(J220&gt;0,VLOOKUP(J220,Foundation_Calc!$A$2:$C$986,3,1),""))</f>
        <v/>
      </c>
      <c r="AX220" s="8" t="str">
        <f>IF(C220&gt;0,VLOOKUP(C220,Foundation_Calc!$E$2:$G$986,3,1),
IF(J220&gt;0,VLOOKUP(J220,Foundation_Calc!$E$2:$G$986,3,1),""))</f>
        <v/>
      </c>
      <c r="AY220" s="631" t="str">
        <f>IF(L220="","",
IF(AX220="PT",VLOOKUP(L220,Foundation_Calc!$K$4:$R$37,VLOOKUP(AW220,Foundation_Calc!$I$2:$J$8,2,FALSE),0),
IF(AX220="K",VLOOKUP(L220,Foundation_Calc!$K$41:$R$74,VLOOKUP(AW220,Foundation_Calc!$I$2:$J$8,2,FALSE),0),"")))</f>
        <v/>
      </c>
      <c r="AZ220" s="631" t="str">
        <f>IF(K220="","",
IF(AX220="PT",VLOOKUP(K220,Foundation_Calc!$K$4:$R$37,VLOOKUP(AW220,Foundation_Calc!$I$2:$J$8,2,FALSE),0),
IF(AX220="K",VLOOKUP(K220,Foundation_Calc!$K$41:$R$74,VLOOKUP(AW220,Foundation_Calc!$I$2:$J$8,2,FALSE),0),"")))</f>
        <v/>
      </c>
      <c r="BA220" s="632" t="str">
        <f t="shared" si="51"/>
        <v/>
      </c>
      <c r="BB220" s="632" t="str">
        <f t="shared" si="52"/>
        <v/>
      </c>
      <c r="BC220" s="632" t="str">
        <f t="shared" si="53"/>
        <v/>
      </c>
      <c r="BD220" s="633" t="str">
        <f>IF(AND(L220="",H220=""),"",
IF(H220="",Pole_Calc!A$9,
IF(H220="MP",Pole_Calc!A$10,
IF(H220="AnMP",Pole_Calc!A$11,
IF(H220="A",Pole_Calc!A$12,
IF(H220="S/A",Pole_Calc!A$13,
IF(H220="A/S",Pole_Calc!A$14,"Poner a mano")))))))</f>
        <v/>
      </c>
      <c r="BE220" s="448" t="s">
        <v>1726</v>
      </c>
      <c r="BF220" s="634"/>
      <c r="BG220" s="634"/>
      <c r="BH220" s="634"/>
      <c r="BI220" s="634"/>
    </row>
    <row r="221" spans="1:61" ht="16.2" customHeight="1">
      <c r="A221" s="12"/>
      <c r="B221" s="446"/>
      <c r="C221" s="89"/>
      <c r="D221" s="13"/>
      <c r="E221" s="14"/>
      <c r="F221" s="14"/>
      <c r="G221" s="15"/>
      <c r="H221" s="8"/>
      <c r="I221" s="8"/>
      <c r="J221" s="89"/>
      <c r="K221" s="8"/>
      <c r="L221" s="8"/>
      <c r="M221" s="8" t="str">
        <f>IF(L221="","",
IF(AX221="PT",VLOOKUP(L221,Foundation_Calc!$V$4:$X$37,VLOOKUP(AX221,Foundation_Calc!$I$10:$J$13,2,FALSE),0),
IF(AX221="K",VLOOKUP(L221,Foundation_Calc!$V$41:$X$74,VLOOKUP(AX221,Foundation_Calc!$I$10:$J$13,2,FALSE),0),"")))</f>
        <v/>
      </c>
      <c r="N221" s="8"/>
      <c r="O221" s="8"/>
      <c r="P221" s="8"/>
      <c r="Q221" s="14"/>
      <c r="R221" s="15"/>
      <c r="S221" s="15"/>
      <c r="T221" s="14"/>
      <c r="U221" s="14"/>
      <c r="V221" s="14"/>
      <c r="W221" s="18"/>
      <c r="X221" s="18"/>
      <c r="Y221" s="18"/>
      <c r="Z221" s="18"/>
      <c r="AA221" s="18"/>
      <c r="AB221" s="18"/>
      <c r="AC221" s="8" t="str">
        <f t="shared" si="50"/>
        <v/>
      </c>
      <c r="AD221" s="8"/>
      <c r="AE221" s="8"/>
      <c r="AF221" s="14"/>
      <c r="AG221" s="13"/>
      <c r="AH221" s="14"/>
      <c r="AI221" s="14"/>
      <c r="AJ221" s="8"/>
      <c r="AK221" s="8"/>
      <c r="AL221" s="8"/>
      <c r="AM221" s="8"/>
      <c r="AN221" s="631"/>
      <c r="AO221" s="18"/>
      <c r="AP221" s="18"/>
      <c r="AQ221" s="18"/>
      <c r="AR221" s="18"/>
      <c r="AS221" s="18"/>
      <c r="AU221" s="448"/>
      <c r="AV221" s="448"/>
      <c r="AW221" s="8" t="str">
        <f>IF(C221&gt;0,VLOOKUP(C221,Foundation_Calc!$A$2:$C$986,3,1),
IF(J221&gt;0,VLOOKUP(J221,Foundation_Calc!$A$2:$C$986,3,1),""))</f>
        <v/>
      </c>
      <c r="AX221" s="8" t="str">
        <f>IF(C221&gt;0,VLOOKUP(C221,Foundation_Calc!$E$2:$G$986,3,1),
IF(J221&gt;0,VLOOKUP(J221,Foundation_Calc!$E$2:$G$986,3,1),""))</f>
        <v/>
      </c>
      <c r="AY221" s="631" t="str">
        <f>IF(L221="","",
IF(AX221="PT",VLOOKUP(L221,Foundation_Calc!$K$4:$R$37,VLOOKUP(AW221,Foundation_Calc!$I$2:$J$8,2,FALSE),0),
IF(AX221="K",VLOOKUP(L221,Foundation_Calc!$K$41:$R$74,VLOOKUP(AW221,Foundation_Calc!$I$2:$J$8,2,FALSE),0),"")))</f>
        <v/>
      </c>
      <c r="AZ221" s="631" t="str">
        <f>IF(K221="","",
IF(AX221="PT",VLOOKUP(K221,Foundation_Calc!$K$4:$R$37,VLOOKUP(AW221,Foundation_Calc!$I$2:$J$8,2,FALSE),0),
IF(AX221="K",VLOOKUP(K221,Foundation_Calc!$K$41:$R$74,VLOOKUP(AW221,Foundation_Calc!$I$2:$J$8,2,FALSE),0),"")))</f>
        <v/>
      </c>
      <c r="BA221" s="632" t="str">
        <f t="shared" si="51"/>
        <v/>
      </c>
      <c r="BB221" s="632" t="str">
        <f t="shared" si="52"/>
        <v/>
      </c>
      <c r="BC221" s="632" t="str">
        <f t="shared" si="53"/>
        <v/>
      </c>
      <c r="BD221" s="633" t="str">
        <f>IF(AND(L221="",H221=""),"",
IF(H221="",Pole_Calc!A$9,
IF(H221="MP",Pole_Calc!A$10,
IF(H221="AnMP",Pole_Calc!A$11,
IF(H221="A",Pole_Calc!A$12,
IF(H221="S/A",Pole_Calc!A$13,
IF(H221="A/S",Pole_Calc!A$14,"Poner a mano")))))))</f>
        <v/>
      </c>
      <c r="BE221" s="448" t="s">
        <v>1726</v>
      </c>
      <c r="BF221" s="635"/>
      <c r="BG221" s="635"/>
      <c r="BH221" s="634"/>
      <c r="BI221" s="635"/>
    </row>
    <row r="222" spans="1:61" ht="16.2" customHeight="1">
      <c r="A222" s="12"/>
      <c r="B222" s="446"/>
      <c r="C222" s="89"/>
      <c r="D222" s="13"/>
      <c r="E222" s="14"/>
      <c r="F222" s="14"/>
      <c r="G222" s="15"/>
      <c r="H222" s="8"/>
      <c r="I222" s="8"/>
      <c r="J222" s="89"/>
      <c r="K222" s="8"/>
      <c r="L222" s="8"/>
      <c r="M222" s="8" t="str">
        <f>IF(L222="","",
IF(AX222="PT",VLOOKUP(L222,Foundation_Calc!$V$4:$X$37,VLOOKUP(AX222,Foundation_Calc!$I$10:$J$13,2,FALSE),0),
IF(AX222="K",VLOOKUP(L222,Foundation_Calc!$V$41:$X$74,VLOOKUP(AX222,Foundation_Calc!$I$10:$J$13,2,FALSE),0),"")))</f>
        <v/>
      </c>
      <c r="N222" s="8"/>
      <c r="O222" s="8"/>
      <c r="P222" s="8"/>
      <c r="Q222" s="14"/>
      <c r="R222" s="15"/>
      <c r="S222" s="15"/>
      <c r="T222" s="14"/>
      <c r="U222" s="14"/>
      <c r="V222" s="14"/>
      <c r="W222" s="18"/>
      <c r="X222" s="18"/>
      <c r="Y222" s="18"/>
      <c r="Z222" s="18"/>
      <c r="AA222" s="18"/>
      <c r="AB222" s="18"/>
      <c r="AC222" s="8" t="str">
        <f t="shared" si="50"/>
        <v/>
      </c>
      <c r="AD222" s="8"/>
      <c r="AE222" s="8"/>
      <c r="AF222" s="14"/>
      <c r="AG222" s="13"/>
      <c r="AH222" s="14"/>
      <c r="AI222" s="14"/>
      <c r="AJ222" s="8"/>
      <c r="AK222" s="8"/>
      <c r="AL222" s="8"/>
      <c r="AM222" s="8"/>
      <c r="AN222" s="631"/>
      <c r="AO222" s="18"/>
      <c r="AP222" s="18"/>
      <c r="AQ222" s="18"/>
      <c r="AR222" s="18"/>
      <c r="AS222" s="18"/>
      <c r="AU222" s="448"/>
      <c r="AV222" s="448"/>
      <c r="AW222" s="8" t="str">
        <f>IF(C222&gt;0,VLOOKUP(C222,Foundation_Calc!$A$2:$C$986,3,1),
IF(J222&gt;0,VLOOKUP(J222,Foundation_Calc!$A$2:$C$986,3,1),""))</f>
        <v/>
      </c>
      <c r="AX222" s="8" t="str">
        <f>IF(C222&gt;0,VLOOKUP(C222,Foundation_Calc!$E$2:$G$986,3,1),
IF(J222&gt;0,VLOOKUP(J222,Foundation_Calc!$E$2:$G$986,3,1),""))</f>
        <v/>
      </c>
      <c r="AY222" s="631" t="str">
        <f>IF(L222="","",
IF(AX222="PT",VLOOKUP(L222,Foundation_Calc!$K$4:$R$37,VLOOKUP(AW222,Foundation_Calc!$I$2:$J$8,2,FALSE),0),
IF(AX222="K",VLOOKUP(L222,Foundation_Calc!$K$41:$R$74,VLOOKUP(AW222,Foundation_Calc!$I$2:$J$8,2,FALSE),0),"")))</f>
        <v/>
      </c>
      <c r="AZ222" s="631" t="str">
        <f>IF(K222="","",
IF(AX222="PT",VLOOKUP(K222,Foundation_Calc!$K$4:$R$37,VLOOKUP(AW222,Foundation_Calc!$I$2:$J$8,2,FALSE),0),
IF(AX222="K",VLOOKUP(K222,Foundation_Calc!$K$41:$R$74,VLOOKUP(AW222,Foundation_Calc!$I$2:$J$8,2,FALSE),0),"")))</f>
        <v/>
      </c>
      <c r="BA222" s="632" t="str">
        <f t="shared" si="51"/>
        <v/>
      </c>
      <c r="BB222" s="632" t="str">
        <f t="shared" si="52"/>
        <v/>
      </c>
      <c r="BC222" s="632" t="str">
        <f t="shared" si="53"/>
        <v/>
      </c>
      <c r="BD222" s="633" t="str">
        <f>IF(AND(L222="",H222=""),"",
IF(H222="",Pole_Calc!A$9,
IF(H222="MP",Pole_Calc!A$10,
IF(H222="AnMP",Pole_Calc!A$11,
IF(H222="A",Pole_Calc!A$12,
IF(H222="S/A",Pole_Calc!A$13,
IF(H222="A/S",Pole_Calc!A$14,"Poner a mano")))))))</f>
        <v/>
      </c>
      <c r="BE222" s="448" t="s">
        <v>1726</v>
      </c>
      <c r="BF222" s="634"/>
      <c r="BG222" s="634"/>
      <c r="BH222" s="634"/>
      <c r="BI222" s="634"/>
    </row>
    <row r="223" spans="1:61" ht="16.2" customHeight="1">
      <c r="A223" s="12"/>
      <c r="B223" s="446"/>
      <c r="C223" s="89"/>
      <c r="D223" s="13"/>
      <c r="E223" s="14"/>
      <c r="F223" s="14"/>
      <c r="G223" s="15"/>
      <c r="H223" s="8"/>
      <c r="I223" s="8"/>
      <c r="J223" s="89"/>
      <c r="K223" s="8"/>
      <c r="L223" s="8"/>
      <c r="M223" s="8" t="str">
        <f>IF(L223="","",
IF(AX223="PT",VLOOKUP(L223,Foundation_Calc!$V$4:$X$37,VLOOKUP(AX223,Foundation_Calc!$I$10:$J$13,2,FALSE),0),
IF(AX223="K",VLOOKUP(L223,Foundation_Calc!$V$41:$X$74,VLOOKUP(AX223,Foundation_Calc!$I$10:$J$13,2,FALSE),0),"")))</f>
        <v/>
      </c>
      <c r="N223" s="8"/>
      <c r="O223" s="8"/>
      <c r="P223" s="8"/>
      <c r="Q223" s="14"/>
      <c r="R223" s="15"/>
      <c r="S223" s="15"/>
      <c r="T223" s="14"/>
      <c r="U223" s="14"/>
      <c r="V223" s="14"/>
      <c r="W223" s="18"/>
      <c r="X223" s="18"/>
      <c r="Y223" s="18"/>
      <c r="Z223" s="18"/>
      <c r="AA223" s="18"/>
      <c r="AB223" s="18"/>
      <c r="AC223" s="8" t="str">
        <f t="shared" si="50"/>
        <v/>
      </c>
      <c r="AD223" s="8"/>
      <c r="AE223" s="8"/>
      <c r="AF223" s="14"/>
      <c r="AG223" s="13"/>
      <c r="AH223" s="14"/>
      <c r="AI223" s="14"/>
      <c r="AJ223" s="8"/>
      <c r="AK223" s="8"/>
      <c r="AL223" s="8"/>
      <c r="AM223" s="8"/>
      <c r="AN223" s="631"/>
      <c r="AO223" s="18"/>
      <c r="AP223" s="18"/>
      <c r="AQ223" s="18"/>
      <c r="AR223" s="18"/>
      <c r="AS223" s="18"/>
      <c r="AU223" s="448"/>
      <c r="AV223" s="448"/>
      <c r="AW223" s="8" t="str">
        <f>IF(C223&gt;0,VLOOKUP(C223,Foundation_Calc!$A$2:$C$986,3,1),
IF(J223&gt;0,VLOOKUP(J223,Foundation_Calc!$A$2:$C$986,3,1),""))</f>
        <v/>
      </c>
      <c r="AX223" s="8" t="str">
        <f>IF(C223&gt;0,VLOOKUP(C223,Foundation_Calc!$E$2:$G$986,3,1),
IF(J223&gt;0,VLOOKUP(J223,Foundation_Calc!$E$2:$G$986,3,1),""))</f>
        <v/>
      </c>
      <c r="AY223" s="631" t="str">
        <f>IF(L223="","",
IF(AX223="PT",VLOOKUP(L223,Foundation_Calc!$K$4:$R$37,VLOOKUP(AW223,Foundation_Calc!$I$2:$J$8,2,FALSE),0),
IF(AX223="K",VLOOKUP(L223,Foundation_Calc!$K$41:$R$74,VLOOKUP(AW223,Foundation_Calc!$I$2:$J$8,2,FALSE),0),"")))</f>
        <v/>
      </c>
      <c r="AZ223" s="631" t="str">
        <f>IF(K223="","",
IF(AX223="PT",VLOOKUP(K223,Foundation_Calc!$K$4:$R$37,VLOOKUP(AW223,Foundation_Calc!$I$2:$J$8,2,FALSE),0),
IF(AX223="K",VLOOKUP(K223,Foundation_Calc!$K$41:$R$74,VLOOKUP(AW223,Foundation_Calc!$I$2:$J$8,2,FALSE),0),"")))</f>
        <v/>
      </c>
      <c r="BA223" s="632" t="str">
        <f t="shared" si="51"/>
        <v/>
      </c>
      <c r="BB223" s="632" t="str">
        <f t="shared" si="52"/>
        <v/>
      </c>
      <c r="BC223" s="632" t="str">
        <f t="shared" si="53"/>
        <v/>
      </c>
      <c r="BD223" s="633" t="str">
        <f>IF(AND(L223="",H223=""),"",
IF(H223="",Pole_Calc!A$9,
IF(H223="MP",Pole_Calc!A$10,
IF(H223="AnMP",Pole_Calc!A$11,
IF(H223="A",Pole_Calc!A$12,
IF(H223="S/A",Pole_Calc!A$13,
IF(H223="A/S",Pole_Calc!A$14,"Poner a mano")))))))</f>
        <v/>
      </c>
      <c r="BE223" s="448" t="s">
        <v>1726</v>
      </c>
      <c r="BF223" s="635"/>
      <c r="BG223" s="635"/>
      <c r="BH223" s="634"/>
      <c r="BI223" s="635"/>
    </row>
    <row r="224" spans="1:61" ht="16.2" customHeight="1">
      <c r="A224" s="12"/>
      <c r="B224" s="446"/>
      <c r="C224" s="89"/>
      <c r="D224" s="13"/>
      <c r="E224" s="14"/>
      <c r="F224" s="14"/>
      <c r="G224" s="15"/>
      <c r="H224" s="8"/>
      <c r="I224" s="8"/>
      <c r="J224" s="89"/>
      <c r="K224" s="8"/>
      <c r="L224" s="8"/>
      <c r="M224" s="8" t="str">
        <f>IF(L224="","",
IF(AX224="PT",VLOOKUP(L224,Foundation_Calc!$V$4:$X$37,VLOOKUP(AX224,Foundation_Calc!$I$10:$J$13,2,FALSE),0),
IF(AX224="K",VLOOKUP(L224,Foundation_Calc!$V$41:$X$74,VLOOKUP(AX224,Foundation_Calc!$I$10:$J$13,2,FALSE),0),"")))</f>
        <v/>
      </c>
      <c r="N224" s="8"/>
      <c r="O224" s="8"/>
      <c r="P224" s="8"/>
      <c r="Q224" s="14"/>
      <c r="R224" s="15"/>
      <c r="S224" s="15"/>
      <c r="T224" s="14"/>
      <c r="U224" s="14"/>
      <c r="V224" s="14"/>
      <c r="W224" s="18"/>
      <c r="X224" s="18"/>
      <c r="Y224" s="18"/>
      <c r="Z224" s="18"/>
      <c r="AA224" s="18"/>
      <c r="AB224" s="18"/>
      <c r="AC224" s="8" t="str">
        <f t="shared" si="50"/>
        <v/>
      </c>
      <c r="AD224" s="8"/>
      <c r="AE224" s="8"/>
      <c r="AF224" s="14"/>
      <c r="AG224" s="13"/>
      <c r="AH224" s="14"/>
      <c r="AI224" s="14"/>
      <c r="AJ224" s="8"/>
      <c r="AK224" s="8"/>
      <c r="AL224" s="8"/>
      <c r="AM224" s="8"/>
      <c r="AN224" s="631"/>
      <c r="AO224" s="18"/>
      <c r="AP224" s="18"/>
      <c r="AQ224" s="18"/>
      <c r="AR224" s="18"/>
      <c r="AS224" s="18"/>
      <c r="AU224" s="448"/>
      <c r="AV224" s="448"/>
      <c r="AW224" s="8" t="str">
        <f>IF(C224&gt;0,VLOOKUP(C224,Foundation_Calc!$A$2:$C$986,3,1),
IF(J224&gt;0,VLOOKUP(J224,Foundation_Calc!$A$2:$C$986,3,1),""))</f>
        <v/>
      </c>
      <c r="AX224" s="8" t="str">
        <f>IF(C224&gt;0,VLOOKUP(C224,Foundation_Calc!$E$2:$G$986,3,1),
IF(J224&gt;0,VLOOKUP(J224,Foundation_Calc!$E$2:$G$986,3,1),""))</f>
        <v/>
      </c>
      <c r="AY224" s="631" t="str">
        <f>IF(L224="","",
IF(AX224="PT",VLOOKUP(L224,Foundation_Calc!$K$4:$R$37,VLOOKUP(AW224,Foundation_Calc!$I$2:$J$8,2,FALSE),0),
IF(AX224="K",VLOOKUP(L224,Foundation_Calc!$K$41:$R$74,VLOOKUP(AW224,Foundation_Calc!$I$2:$J$8,2,FALSE),0),"")))</f>
        <v/>
      </c>
      <c r="AZ224" s="631" t="str">
        <f>IF(K224="","",
IF(AX224="PT",VLOOKUP(K224,Foundation_Calc!$K$4:$R$37,VLOOKUP(AW224,Foundation_Calc!$I$2:$J$8,2,FALSE),0),
IF(AX224="K",VLOOKUP(K224,Foundation_Calc!$K$41:$R$74,VLOOKUP(AW224,Foundation_Calc!$I$2:$J$8,2,FALSE),0),"")))</f>
        <v/>
      </c>
      <c r="BA224" s="632" t="str">
        <f t="shared" si="51"/>
        <v/>
      </c>
      <c r="BB224" s="632" t="str">
        <f t="shared" si="52"/>
        <v/>
      </c>
      <c r="BC224" s="632" t="str">
        <f t="shared" si="53"/>
        <v/>
      </c>
      <c r="BD224" s="633" t="str">
        <f>IF(AND(L224="",H224=""),"",
IF(H224="",Pole_Calc!A$9,
IF(H224="MP",Pole_Calc!A$10,
IF(H224="AnMP",Pole_Calc!A$11,
IF(H224="A",Pole_Calc!A$12,
IF(H224="S/A",Pole_Calc!A$13,
IF(H224="A/S",Pole_Calc!A$14,"Poner a mano")))))))</f>
        <v/>
      </c>
      <c r="BE224" s="448" t="s">
        <v>1726</v>
      </c>
      <c r="BF224" s="634"/>
      <c r="BG224" s="634"/>
      <c r="BH224" s="634"/>
      <c r="BI224" s="634"/>
    </row>
    <row r="225" spans="1:61" ht="16.2" customHeight="1">
      <c r="A225" s="12"/>
      <c r="B225" s="446"/>
      <c r="C225" s="89"/>
      <c r="D225" s="13"/>
      <c r="E225" s="14"/>
      <c r="F225" s="14"/>
      <c r="G225" s="15"/>
      <c r="H225" s="8"/>
      <c r="I225" s="8"/>
      <c r="J225" s="89"/>
      <c r="K225" s="8"/>
      <c r="L225" s="8"/>
      <c r="M225" s="8" t="str">
        <f>IF(L225="","",
IF(AX225="PT",VLOOKUP(L225,Foundation_Calc!$V$4:$X$37,VLOOKUP(AX225,Foundation_Calc!$I$10:$J$13,2,FALSE),0),
IF(AX225="K",VLOOKUP(L225,Foundation_Calc!$V$41:$X$74,VLOOKUP(AX225,Foundation_Calc!$I$10:$J$13,2,FALSE),0),"")))</f>
        <v/>
      </c>
      <c r="N225" s="8"/>
      <c r="O225" s="8"/>
      <c r="P225" s="8"/>
      <c r="Q225" s="14"/>
      <c r="R225" s="15"/>
      <c r="S225" s="15"/>
      <c r="T225" s="14"/>
      <c r="U225" s="14"/>
      <c r="V225" s="14"/>
      <c r="W225" s="18"/>
      <c r="X225" s="18"/>
      <c r="Y225" s="18"/>
      <c r="Z225" s="18"/>
      <c r="AA225" s="18"/>
      <c r="AB225" s="18"/>
      <c r="AC225" s="8" t="str">
        <f t="shared" si="50"/>
        <v/>
      </c>
      <c r="AD225" s="8"/>
      <c r="AE225" s="8"/>
      <c r="AF225" s="14"/>
      <c r="AG225" s="13"/>
      <c r="AH225" s="14"/>
      <c r="AI225" s="14"/>
      <c r="AJ225" s="8"/>
      <c r="AK225" s="8"/>
      <c r="AL225" s="8"/>
      <c r="AM225" s="8"/>
      <c r="AN225" s="631"/>
      <c r="AO225" s="18"/>
      <c r="AP225" s="18"/>
      <c r="AQ225" s="18"/>
      <c r="AR225" s="18"/>
      <c r="AS225" s="18"/>
      <c r="AU225" s="448"/>
      <c r="AV225" s="448"/>
      <c r="AW225" s="8" t="str">
        <f>IF(C225&gt;0,VLOOKUP(C225,Foundation_Calc!$A$2:$C$986,3,1),
IF(J225&gt;0,VLOOKUP(J225,Foundation_Calc!$A$2:$C$986,3,1),""))</f>
        <v/>
      </c>
      <c r="AX225" s="8" t="str">
        <f>IF(C225&gt;0,VLOOKUP(C225,Foundation_Calc!$E$2:$G$986,3,1),
IF(J225&gt;0,VLOOKUP(J225,Foundation_Calc!$E$2:$G$986,3,1),""))</f>
        <v/>
      </c>
      <c r="AY225" s="631" t="str">
        <f>IF(L225="","",
IF(AX225="PT",VLOOKUP(L225,Foundation_Calc!$K$4:$R$37,VLOOKUP(AW225,Foundation_Calc!$I$2:$J$8,2,FALSE),0),
IF(AX225="K",VLOOKUP(L225,Foundation_Calc!$K$41:$R$74,VLOOKUP(AW225,Foundation_Calc!$I$2:$J$8,2,FALSE),0),"")))</f>
        <v/>
      </c>
      <c r="AZ225" s="631" t="str">
        <f>IF(K225="","",
IF(AX225="PT",VLOOKUP(K225,Foundation_Calc!$K$4:$R$37,VLOOKUP(AW225,Foundation_Calc!$I$2:$J$8,2,FALSE),0),
IF(AX225="K",VLOOKUP(K225,Foundation_Calc!$K$41:$R$74,VLOOKUP(AW225,Foundation_Calc!$I$2:$J$8,2,FALSE),0),"")))</f>
        <v/>
      </c>
      <c r="BA225" s="632" t="str">
        <f t="shared" si="51"/>
        <v/>
      </c>
      <c r="BB225" s="632" t="str">
        <f t="shared" si="52"/>
        <v/>
      </c>
      <c r="BC225" s="632" t="str">
        <f t="shared" si="53"/>
        <v/>
      </c>
      <c r="BD225" s="633" t="str">
        <f>IF(AND(L225="",H225=""),"",
IF(H225="",Pole_Calc!A$9,
IF(H225="MP",Pole_Calc!A$10,
IF(H225="AnMP",Pole_Calc!A$11,
IF(H225="A",Pole_Calc!A$12,
IF(H225="S/A",Pole_Calc!A$13,
IF(H225="A/S",Pole_Calc!A$14,"Poner a mano")))))))</f>
        <v/>
      </c>
      <c r="BE225" s="448" t="s">
        <v>1726</v>
      </c>
      <c r="BF225" s="635"/>
      <c r="BG225" s="635"/>
      <c r="BH225" s="634"/>
      <c r="BI225" s="635"/>
    </row>
    <row r="226" spans="1:61" ht="16.2" customHeight="1">
      <c r="A226" s="12"/>
      <c r="B226" s="446"/>
      <c r="C226" s="89"/>
      <c r="D226" s="13"/>
      <c r="E226" s="14"/>
      <c r="F226" s="14"/>
      <c r="G226" s="15"/>
      <c r="H226" s="8"/>
      <c r="I226" s="8"/>
      <c r="J226" s="89"/>
      <c r="K226" s="8"/>
      <c r="L226" s="8"/>
      <c r="M226" s="8" t="str">
        <f>IF(L226="","",
IF(AX226="PT",VLOOKUP(L226,Foundation_Calc!$V$4:$X$37,VLOOKUP(AX226,Foundation_Calc!$I$10:$J$13,2,FALSE),0),
IF(AX226="K",VLOOKUP(L226,Foundation_Calc!$V$41:$X$74,VLOOKUP(AX226,Foundation_Calc!$I$10:$J$13,2,FALSE),0),"")))</f>
        <v/>
      </c>
      <c r="N226" s="8"/>
      <c r="O226" s="8"/>
      <c r="P226" s="8"/>
      <c r="Q226" s="14"/>
      <c r="R226" s="15"/>
      <c r="S226" s="15"/>
      <c r="T226" s="14"/>
      <c r="U226" s="14"/>
      <c r="V226" s="14"/>
      <c r="W226" s="18"/>
      <c r="X226" s="18"/>
      <c r="Y226" s="18"/>
      <c r="Z226" s="18"/>
      <c r="AA226" s="18"/>
      <c r="AB226" s="18"/>
      <c r="AC226" s="8" t="str">
        <f t="shared" si="50"/>
        <v/>
      </c>
      <c r="AD226" s="8"/>
      <c r="AE226" s="8"/>
      <c r="AF226" s="14"/>
      <c r="AG226" s="13"/>
      <c r="AH226" s="14"/>
      <c r="AI226" s="14"/>
      <c r="AJ226" s="8"/>
      <c r="AK226" s="8"/>
      <c r="AL226" s="8"/>
      <c r="AM226" s="8"/>
      <c r="AN226" s="631"/>
      <c r="AO226" s="18"/>
      <c r="AP226" s="18"/>
      <c r="AQ226" s="18"/>
      <c r="AR226" s="18"/>
      <c r="AS226" s="18"/>
      <c r="AU226" s="448"/>
      <c r="AV226" s="448"/>
      <c r="AW226" s="8" t="str">
        <f>IF(C226&gt;0,VLOOKUP(C226,Foundation_Calc!$A$2:$C$986,3,1),
IF(J226&gt;0,VLOOKUP(J226,Foundation_Calc!$A$2:$C$986,3,1),""))</f>
        <v/>
      </c>
      <c r="AX226" s="8" t="str">
        <f>IF(C226&gt;0,VLOOKUP(C226,Foundation_Calc!$E$2:$G$986,3,1),
IF(J226&gt;0,VLOOKUP(J226,Foundation_Calc!$E$2:$G$986,3,1),""))</f>
        <v/>
      </c>
      <c r="AY226" s="631" t="str">
        <f>IF(L226="","",
IF(AX226="PT",VLOOKUP(L226,Foundation_Calc!$K$4:$R$37,VLOOKUP(AW226,Foundation_Calc!$I$2:$J$8,2,FALSE),0),
IF(AX226="K",VLOOKUP(L226,Foundation_Calc!$K$41:$R$74,VLOOKUP(AW226,Foundation_Calc!$I$2:$J$8,2,FALSE),0),"")))</f>
        <v/>
      </c>
      <c r="AZ226" s="631" t="str">
        <f>IF(K226="","",
IF(AX226="PT",VLOOKUP(K226,Foundation_Calc!$K$4:$R$37,VLOOKUP(AW226,Foundation_Calc!$I$2:$J$8,2,FALSE),0),
IF(AX226="K",VLOOKUP(K226,Foundation_Calc!$K$41:$R$74,VLOOKUP(AW226,Foundation_Calc!$I$2:$J$8,2,FALSE),0),"")))</f>
        <v/>
      </c>
      <c r="BA226" s="632" t="str">
        <f t="shared" si="51"/>
        <v/>
      </c>
      <c r="BB226" s="632" t="str">
        <f t="shared" si="52"/>
        <v/>
      </c>
      <c r="BC226" s="632" t="str">
        <f t="shared" si="53"/>
        <v/>
      </c>
      <c r="BD226" s="633" t="str">
        <f>IF(AND(L226="",H226=""),"",
IF(H226="",Pole_Calc!A$9,
IF(H226="MP",Pole_Calc!A$10,
IF(H226="AnMP",Pole_Calc!A$11,
IF(H226="A",Pole_Calc!A$12,
IF(H226="S/A",Pole_Calc!A$13,
IF(H226="A/S",Pole_Calc!A$14,"Poner a mano")))))))</f>
        <v/>
      </c>
      <c r="BE226" s="448" t="s">
        <v>1726</v>
      </c>
      <c r="BF226" s="634"/>
      <c r="BG226" s="634"/>
      <c r="BH226" s="634"/>
      <c r="BI226" s="634"/>
    </row>
    <row r="227" spans="1:61" ht="16.2" customHeight="1">
      <c r="A227" s="12"/>
      <c r="B227" s="446"/>
      <c r="C227" s="89"/>
      <c r="D227" s="13"/>
      <c r="E227" s="14"/>
      <c r="F227" s="14"/>
      <c r="G227" s="15"/>
      <c r="H227" s="8"/>
      <c r="I227" s="8"/>
      <c r="J227" s="89"/>
      <c r="K227" s="8"/>
      <c r="L227" s="8"/>
      <c r="M227" s="8" t="str">
        <f>IF(L227="","",
IF(AX227="PT",VLOOKUP(L227,Foundation_Calc!$V$4:$X$37,VLOOKUP(AX227,Foundation_Calc!$I$10:$J$13,2,FALSE),0),
IF(AX227="K",VLOOKUP(L227,Foundation_Calc!$V$41:$X$74,VLOOKUP(AX227,Foundation_Calc!$I$10:$J$13,2,FALSE),0),"")))</f>
        <v/>
      </c>
      <c r="N227" s="8"/>
      <c r="O227" s="8"/>
      <c r="P227" s="8"/>
      <c r="Q227" s="14"/>
      <c r="R227" s="15"/>
      <c r="S227" s="15"/>
      <c r="T227" s="14"/>
      <c r="U227" s="14"/>
      <c r="V227" s="14"/>
      <c r="W227" s="18"/>
      <c r="X227" s="18"/>
      <c r="Y227" s="18"/>
      <c r="Z227" s="18"/>
      <c r="AA227" s="18"/>
      <c r="AB227" s="18"/>
      <c r="AC227" s="8" t="str">
        <f t="shared" si="50"/>
        <v/>
      </c>
      <c r="AD227" s="8"/>
      <c r="AE227" s="8"/>
      <c r="AF227" s="14"/>
      <c r="AG227" s="13"/>
      <c r="AH227" s="14"/>
      <c r="AI227" s="14"/>
      <c r="AJ227" s="8"/>
      <c r="AK227" s="8"/>
      <c r="AL227" s="8"/>
      <c r="AM227" s="8"/>
      <c r="AN227" s="631"/>
      <c r="AO227" s="18"/>
      <c r="AP227" s="18"/>
      <c r="AQ227" s="18"/>
      <c r="AR227" s="18"/>
      <c r="AS227" s="18"/>
      <c r="AU227" s="448"/>
      <c r="AV227" s="448"/>
      <c r="AW227" s="8" t="str">
        <f>IF(C227&gt;0,VLOOKUP(C227,Foundation_Calc!$A$2:$C$986,3,1),
IF(J227&gt;0,VLOOKUP(J227,Foundation_Calc!$A$2:$C$986,3,1),""))</f>
        <v/>
      </c>
      <c r="AX227" s="8" t="str">
        <f>IF(C227&gt;0,VLOOKUP(C227,Foundation_Calc!$E$2:$G$986,3,1),
IF(J227&gt;0,VLOOKUP(J227,Foundation_Calc!$E$2:$G$986,3,1),""))</f>
        <v/>
      </c>
      <c r="AY227" s="631" t="str">
        <f>IF(L227="","",
IF(AX227="PT",VLOOKUP(L227,Foundation_Calc!$K$4:$R$37,VLOOKUP(AW227,Foundation_Calc!$I$2:$J$8,2,FALSE),0),
IF(AX227="K",VLOOKUP(L227,Foundation_Calc!$K$41:$R$74,VLOOKUP(AW227,Foundation_Calc!$I$2:$J$8,2,FALSE),0),"")))</f>
        <v/>
      </c>
      <c r="AZ227" s="631" t="str">
        <f>IF(K227="","",
IF(AX227="PT",VLOOKUP(K227,Foundation_Calc!$K$4:$R$37,VLOOKUP(AW227,Foundation_Calc!$I$2:$J$8,2,FALSE),0),
IF(AX227="K",VLOOKUP(K227,Foundation_Calc!$K$41:$R$74,VLOOKUP(AW227,Foundation_Calc!$I$2:$J$8,2,FALSE),0),"")))</f>
        <v/>
      </c>
      <c r="BA227" s="632" t="str">
        <f t="shared" si="51"/>
        <v/>
      </c>
      <c r="BB227" s="632" t="str">
        <f t="shared" si="52"/>
        <v/>
      </c>
      <c r="BC227" s="632" t="str">
        <f t="shared" si="53"/>
        <v/>
      </c>
      <c r="BD227" s="633" t="str">
        <f>IF(AND(L227="",H227=""),"",
IF(H227="",Pole_Calc!A$9,
IF(H227="MP",Pole_Calc!A$10,
IF(H227="AnMP",Pole_Calc!A$11,
IF(H227="A",Pole_Calc!A$12,
IF(H227="S/A",Pole_Calc!A$13,
IF(H227="A/S",Pole_Calc!A$14,"Poner a mano")))))))</f>
        <v/>
      </c>
      <c r="BE227" s="448" t="s">
        <v>1726</v>
      </c>
      <c r="BF227" s="635"/>
      <c r="BG227" s="635"/>
      <c r="BH227" s="634"/>
      <c r="BI227" s="635"/>
    </row>
    <row r="228" spans="1:61" ht="16.2" customHeight="1">
      <c r="A228" s="12"/>
      <c r="B228" s="446"/>
      <c r="C228" s="89"/>
      <c r="D228" s="13"/>
      <c r="E228" s="14"/>
      <c r="F228" s="14"/>
      <c r="G228" s="15"/>
      <c r="H228" s="8"/>
      <c r="I228" s="8"/>
      <c r="J228" s="89"/>
      <c r="K228" s="8"/>
      <c r="L228" s="8"/>
      <c r="M228" s="8" t="str">
        <f>IF(L228="","",
IF(AX228="PT",VLOOKUP(L228,Foundation_Calc!$V$4:$X$37,VLOOKUP(AX228,Foundation_Calc!$I$10:$J$13,2,FALSE),0),
IF(AX228="K",VLOOKUP(L228,Foundation_Calc!$V$41:$X$74,VLOOKUP(AX228,Foundation_Calc!$I$10:$J$13,2,FALSE),0),"")))</f>
        <v/>
      </c>
      <c r="N228" s="8"/>
      <c r="O228" s="8"/>
      <c r="P228" s="8"/>
      <c r="Q228" s="14"/>
      <c r="R228" s="15"/>
      <c r="S228" s="15"/>
      <c r="T228" s="14"/>
      <c r="U228" s="14"/>
      <c r="V228" s="14"/>
      <c r="W228" s="18"/>
      <c r="X228" s="18"/>
      <c r="Y228" s="18"/>
      <c r="Z228" s="18"/>
      <c r="AA228" s="18"/>
      <c r="AB228" s="18"/>
      <c r="AC228" s="8" t="str">
        <f t="shared" si="50"/>
        <v/>
      </c>
      <c r="AD228" s="8"/>
      <c r="AE228" s="8"/>
      <c r="AF228" s="14"/>
      <c r="AG228" s="13"/>
      <c r="AH228" s="14"/>
      <c r="AI228" s="14"/>
      <c r="AJ228" s="8"/>
      <c r="AK228" s="8"/>
      <c r="AL228" s="8"/>
      <c r="AM228" s="8"/>
      <c r="AN228" s="631"/>
      <c r="AO228" s="18"/>
      <c r="AP228" s="18"/>
      <c r="AQ228" s="18"/>
      <c r="AR228" s="18"/>
      <c r="AS228" s="18"/>
      <c r="AU228" s="448"/>
      <c r="AV228" s="448"/>
      <c r="AW228" s="8" t="str">
        <f>IF(C228&gt;0,VLOOKUP(C228,Foundation_Calc!$A$2:$C$986,3,1),
IF(J228&gt;0,VLOOKUP(J228,Foundation_Calc!$A$2:$C$986,3,1),""))</f>
        <v/>
      </c>
      <c r="AX228" s="8" t="str">
        <f>IF(C228&gt;0,VLOOKUP(C228,Foundation_Calc!$E$2:$G$986,3,1),
IF(J228&gt;0,VLOOKUP(J228,Foundation_Calc!$E$2:$G$986,3,1),""))</f>
        <v/>
      </c>
      <c r="AY228" s="631" t="str">
        <f>IF(L228="","",
IF(AX228="PT",VLOOKUP(L228,Foundation_Calc!$K$4:$R$37,VLOOKUP(AW228,Foundation_Calc!$I$2:$J$8,2,FALSE),0),
IF(AX228="K",VLOOKUP(L228,Foundation_Calc!$K$41:$R$74,VLOOKUP(AW228,Foundation_Calc!$I$2:$J$8,2,FALSE),0),"")))</f>
        <v/>
      </c>
      <c r="AZ228" s="631" t="str">
        <f>IF(K228="","",
IF(AX228="PT",VLOOKUP(K228,Foundation_Calc!$K$4:$R$37,VLOOKUP(AW228,Foundation_Calc!$I$2:$J$8,2,FALSE),0),
IF(AX228="K",VLOOKUP(K228,Foundation_Calc!$K$41:$R$74,VLOOKUP(AW228,Foundation_Calc!$I$2:$J$8,2,FALSE),0),"")))</f>
        <v/>
      </c>
      <c r="BA228" s="632" t="str">
        <f t="shared" si="51"/>
        <v/>
      </c>
      <c r="BB228" s="632" t="str">
        <f t="shared" si="52"/>
        <v/>
      </c>
      <c r="BC228" s="632" t="str">
        <f t="shared" si="53"/>
        <v/>
      </c>
      <c r="BD228" s="633" t="str">
        <f>IF(AND(L228="",H228=""),"",
IF(H228="",Pole_Calc!A$9,
IF(H228="MP",Pole_Calc!A$10,
IF(H228="AnMP",Pole_Calc!A$11,
IF(H228="A",Pole_Calc!A$12,
IF(H228="S/A",Pole_Calc!A$13,
IF(H228="A/S",Pole_Calc!A$14,"Poner a mano")))))))</f>
        <v/>
      </c>
      <c r="BE228" s="448" t="s">
        <v>1726</v>
      </c>
      <c r="BF228" s="634"/>
      <c r="BG228" s="634"/>
      <c r="BH228" s="634"/>
      <c r="BI228" s="634"/>
    </row>
    <row r="229" spans="1:61" ht="16.2" customHeight="1">
      <c r="A229" s="12"/>
      <c r="B229" s="446"/>
      <c r="C229" s="89"/>
      <c r="D229" s="13"/>
      <c r="E229" s="14"/>
      <c r="F229" s="14"/>
      <c r="G229" s="15"/>
      <c r="H229" s="8"/>
      <c r="I229" s="8"/>
      <c r="J229" s="89"/>
      <c r="K229" s="8"/>
      <c r="L229" s="8"/>
      <c r="M229" s="8" t="str">
        <f>IF(L229="","",
IF(AX229="PT",VLOOKUP(L229,Foundation_Calc!$V$4:$X$37,VLOOKUP(AX229,Foundation_Calc!$I$10:$J$13,2,FALSE),0),
IF(AX229="K",VLOOKUP(L229,Foundation_Calc!$V$41:$X$74,VLOOKUP(AX229,Foundation_Calc!$I$10:$J$13,2,FALSE),0),"")))</f>
        <v/>
      </c>
      <c r="N229" s="8"/>
      <c r="O229" s="8"/>
      <c r="P229" s="8"/>
      <c r="Q229" s="14"/>
      <c r="R229" s="15"/>
      <c r="S229" s="15"/>
      <c r="T229" s="14"/>
      <c r="U229" s="14"/>
      <c r="V229" s="14"/>
      <c r="W229" s="18"/>
      <c r="X229" s="18"/>
      <c r="Y229" s="18"/>
      <c r="Z229" s="18"/>
      <c r="AA229" s="18"/>
      <c r="AB229" s="18"/>
      <c r="AC229" s="8" t="str">
        <f t="shared" si="50"/>
        <v/>
      </c>
      <c r="AD229" s="8"/>
      <c r="AE229" s="8"/>
      <c r="AF229" s="14"/>
      <c r="AG229" s="13"/>
      <c r="AH229" s="14"/>
      <c r="AI229" s="14"/>
      <c r="AJ229" s="8"/>
      <c r="AK229" s="8"/>
      <c r="AL229" s="8"/>
      <c r="AM229" s="8"/>
      <c r="AN229" s="631"/>
      <c r="AO229" s="18"/>
      <c r="AP229" s="18"/>
      <c r="AQ229" s="18"/>
      <c r="AR229" s="18"/>
      <c r="AS229" s="18"/>
      <c r="AU229" s="448"/>
      <c r="AV229" s="448"/>
      <c r="AW229" s="8" t="str">
        <f>IF(C229&gt;0,VLOOKUP(C229,Foundation_Calc!$A$2:$C$986,3,1),
IF(J229&gt;0,VLOOKUP(J229,Foundation_Calc!$A$2:$C$986,3,1),""))</f>
        <v/>
      </c>
      <c r="AX229" s="8" t="str">
        <f>IF(C229&gt;0,VLOOKUP(C229,Foundation_Calc!$E$2:$G$986,3,1),
IF(J229&gt;0,VLOOKUP(J229,Foundation_Calc!$E$2:$G$986,3,1),""))</f>
        <v/>
      </c>
      <c r="AY229" s="631" t="str">
        <f>IF(L229="","",
IF(AX229="PT",VLOOKUP(L229,Foundation_Calc!$K$4:$R$37,VLOOKUP(AW229,Foundation_Calc!$I$2:$J$8,2,FALSE),0),
IF(AX229="K",VLOOKUP(L229,Foundation_Calc!$K$41:$R$74,VLOOKUP(AW229,Foundation_Calc!$I$2:$J$8,2,FALSE),0),"")))</f>
        <v/>
      </c>
      <c r="AZ229" s="631" t="str">
        <f>IF(K229="","",
IF(AX229="PT",VLOOKUP(K229,Foundation_Calc!$K$4:$R$37,VLOOKUP(AW229,Foundation_Calc!$I$2:$J$8,2,FALSE),0),
IF(AX229="K",VLOOKUP(K229,Foundation_Calc!$K$41:$R$74,VLOOKUP(AW229,Foundation_Calc!$I$2:$J$8,2,FALSE),0),"")))</f>
        <v/>
      </c>
      <c r="BA229" s="632" t="str">
        <f t="shared" si="51"/>
        <v/>
      </c>
      <c r="BB229" s="632" t="str">
        <f t="shared" si="52"/>
        <v/>
      </c>
      <c r="BC229" s="632" t="str">
        <f t="shared" si="53"/>
        <v/>
      </c>
      <c r="BD229" s="633" t="str">
        <f>IF(AND(L229="",H229=""),"",
IF(H229="",Pole_Calc!A$9,
IF(H229="MP",Pole_Calc!A$10,
IF(H229="AnMP",Pole_Calc!A$11,
IF(H229="A",Pole_Calc!A$12,
IF(H229="S/A",Pole_Calc!A$13,
IF(H229="A/S",Pole_Calc!A$14,"Poner a mano")))))))</f>
        <v/>
      </c>
      <c r="BE229" s="448" t="s">
        <v>1726</v>
      </c>
      <c r="BF229" s="635"/>
      <c r="BG229" s="635"/>
      <c r="BH229" s="634"/>
      <c r="BI229" s="635"/>
    </row>
    <row r="230" spans="1:61" ht="16.2" customHeight="1">
      <c r="A230" s="12"/>
      <c r="B230" s="446"/>
      <c r="C230" s="89"/>
      <c r="D230" s="13"/>
      <c r="E230" s="14"/>
      <c r="F230" s="14"/>
      <c r="G230" s="15"/>
      <c r="H230" s="8"/>
      <c r="I230" s="8"/>
      <c r="J230" s="89"/>
      <c r="K230" s="8"/>
      <c r="L230" s="8"/>
      <c r="M230" s="8" t="str">
        <f>IF(L230="","",
IF(AX230="PT",VLOOKUP(L230,Foundation_Calc!$V$4:$X$37,VLOOKUP(AX230,Foundation_Calc!$I$10:$J$13,2,FALSE),0),
IF(AX230="K",VLOOKUP(L230,Foundation_Calc!$V$41:$X$74,VLOOKUP(AX230,Foundation_Calc!$I$10:$J$13,2,FALSE),0),"")))</f>
        <v/>
      </c>
      <c r="N230" s="8"/>
      <c r="O230" s="8"/>
      <c r="P230" s="8"/>
      <c r="Q230" s="14"/>
      <c r="R230" s="15"/>
      <c r="S230" s="15"/>
      <c r="T230" s="14"/>
      <c r="U230" s="14"/>
      <c r="V230" s="14"/>
      <c r="W230" s="18"/>
      <c r="X230" s="18"/>
      <c r="Y230" s="18"/>
      <c r="Z230" s="18"/>
      <c r="AA230" s="18"/>
      <c r="AB230" s="18"/>
      <c r="AC230" s="8" t="str">
        <f t="shared" si="50"/>
        <v/>
      </c>
      <c r="AD230" s="8"/>
      <c r="AE230" s="8"/>
      <c r="AF230" s="14"/>
      <c r="AG230" s="13"/>
      <c r="AH230" s="14"/>
      <c r="AI230" s="14"/>
      <c r="AJ230" s="8"/>
      <c r="AK230" s="8"/>
      <c r="AL230" s="8"/>
      <c r="AM230" s="8"/>
      <c r="AN230" s="631"/>
      <c r="AO230" s="18"/>
      <c r="AP230" s="18"/>
      <c r="AQ230" s="18"/>
      <c r="AR230" s="18"/>
      <c r="AS230" s="18"/>
      <c r="AU230" s="448"/>
      <c r="AV230" s="448"/>
      <c r="AW230" s="8" t="str">
        <f>IF(C230&gt;0,VLOOKUP(C230,Foundation_Calc!$A$2:$C$986,3,1),
IF(J230&gt;0,VLOOKUP(J230,Foundation_Calc!$A$2:$C$986,3,1),""))</f>
        <v/>
      </c>
      <c r="AX230" s="8" t="str">
        <f>IF(C230&gt;0,VLOOKUP(C230,Foundation_Calc!$E$2:$G$986,3,1),
IF(J230&gt;0,VLOOKUP(J230,Foundation_Calc!$E$2:$G$986,3,1),""))</f>
        <v/>
      </c>
      <c r="AY230" s="631" t="str">
        <f>IF(L230="","",
IF(AX230="PT",VLOOKUP(L230,Foundation_Calc!$K$4:$R$37,VLOOKUP(AW230,Foundation_Calc!$I$2:$J$8,2,FALSE),0),
IF(AX230="K",VLOOKUP(L230,Foundation_Calc!$K$41:$R$74,VLOOKUP(AW230,Foundation_Calc!$I$2:$J$8,2,FALSE),0),"")))</f>
        <v/>
      </c>
      <c r="AZ230" s="631" t="str">
        <f>IF(K230="","",
IF(AX230="PT",VLOOKUP(K230,Foundation_Calc!$K$4:$R$37,VLOOKUP(AW230,Foundation_Calc!$I$2:$J$8,2,FALSE),0),
IF(AX230="K",VLOOKUP(K230,Foundation_Calc!$K$41:$R$74,VLOOKUP(AW230,Foundation_Calc!$I$2:$J$8,2,FALSE),0),"")))</f>
        <v/>
      </c>
      <c r="BA230" s="632" t="str">
        <f t="shared" si="51"/>
        <v/>
      </c>
      <c r="BB230" s="632" t="str">
        <f t="shared" si="52"/>
        <v/>
      </c>
      <c r="BC230" s="632" t="str">
        <f t="shared" si="53"/>
        <v/>
      </c>
      <c r="BD230" s="633" t="str">
        <f>IF(AND(L230="",H230=""),"",
IF(H230="",Pole_Calc!A$9,
IF(H230="MP",Pole_Calc!A$10,
IF(H230="AnMP",Pole_Calc!A$11,
IF(H230="A",Pole_Calc!A$12,
IF(H230="S/A",Pole_Calc!A$13,
IF(H230="A/S",Pole_Calc!A$14,"Poner a mano")))))))</f>
        <v/>
      </c>
      <c r="BE230" s="448" t="s">
        <v>1726</v>
      </c>
      <c r="BF230" s="634"/>
      <c r="BG230" s="634"/>
      <c r="BH230" s="634"/>
      <c r="BI230" s="634"/>
    </row>
    <row r="231" spans="1:61" ht="16.2" customHeight="1">
      <c r="A231" s="12"/>
      <c r="B231" s="446"/>
      <c r="C231" s="89"/>
      <c r="D231" s="13"/>
      <c r="E231" s="14"/>
      <c r="F231" s="14"/>
      <c r="G231" s="15"/>
      <c r="H231" s="8"/>
      <c r="I231" s="8"/>
      <c r="J231" s="89"/>
      <c r="K231" s="8"/>
      <c r="L231" s="8"/>
      <c r="M231" s="8" t="str">
        <f>IF(L231="","",
IF(AX231="PT",VLOOKUP(L231,Foundation_Calc!$V$4:$X$37,VLOOKUP(AX231,Foundation_Calc!$I$10:$J$13,2,FALSE),0),
IF(AX231="K",VLOOKUP(L231,Foundation_Calc!$V$41:$X$74,VLOOKUP(AX231,Foundation_Calc!$I$10:$J$13,2,FALSE),0),"")))</f>
        <v/>
      </c>
      <c r="N231" s="8"/>
      <c r="O231" s="8"/>
      <c r="P231" s="8"/>
      <c r="Q231" s="14"/>
      <c r="R231" s="15"/>
      <c r="S231" s="15"/>
      <c r="T231" s="14"/>
      <c r="U231" s="14"/>
      <c r="V231" s="14"/>
      <c r="W231" s="18"/>
      <c r="X231" s="18"/>
      <c r="Y231" s="18"/>
      <c r="Z231" s="18"/>
      <c r="AA231" s="18"/>
      <c r="AB231" s="18"/>
      <c r="AC231" s="8" t="str">
        <f t="shared" si="50"/>
        <v/>
      </c>
      <c r="AD231" s="8"/>
      <c r="AE231" s="8"/>
      <c r="AF231" s="14"/>
      <c r="AG231" s="13"/>
      <c r="AH231" s="14"/>
      <c r="AI231" s="14"/>
      <c r="AJ231" s="8"/>
      <c r="AK231" s="8"/>
      <c r="AL231" s="8"/>
      <c r="AM231" s="8"/>
      <c r="AN231" s="631"/>
      <c r="AO231" s="18"/>
      <c r="AP231" s="18"/>
      <c r="AQ231" s="18"/>
      <c r="AR231" s="18"/>
      <c r="AS231" s="18"/>
      <c r="AU231" s="448"/>
      <c r="AV231" s="448"/>
      <c r="AW231" s="8" t="str">
        <f>IF(C231&gt;0,VLOOKUP(C231,Foundation_Calc!$A$2:$C$986,3,1),
IF(J231&gt;0,VLOOKUP(J231,Foundation_Calc!$A$2:$C$986,3,1),""))</f>
        <v/>
      </c>
      <c r="AX231" s="8" t="str">
        <f>IF(C231&gt;0,VLOOKUP(C231,Foundation_Calc!$E$2:$G$986,3,1),
IF(J231&gt;0,VLOOKUP(J231,Foundation_Calc!$E$2:$G$986,3,1),""))</f>
        <v/>
      </c>
      <c r="AY231" s="631" t="str">
        <f>IF(L231="","",
IF(AX231="PT",VLOOKUP(L231,Foundation_Calc!$K$4:$R$37,VLOOKUP(AW231,Foundation_Calc!$I$2:$J$8,2,FALSE),0),
IF(AX231="K",VLOOKUP(L231,Foundation_Calc!$K$41:$R$74,VLOOKUP(AW231,Foundation_Calc!$I$2:$J$8,2,FALSE),0),"")))</f>
        <v/>
      </c>
      <c r="AZ231" s="631" t="str">
        <f>IF(K231="","",
IF(AX231="PT",VLOOKUP(K231,Foundation_Calc!$K$4:$R$37,VLOOKUP(AW231,Foundation_Calc!$I$2:$J$8,2,FALSE),0),
IF(AX231="K",VLOOKUP(K231,Foundation_Calc!$K$41:$R$74,VLOOKUP(AW231,Foundation_Calc!$I$2:$J$8,2,FALSE),0),"")))</f>
        <v/>
      </c>
      <c r="BA231" s="632" t="str">
        <f t="shared" si="51"/>
        <v/>
      </c>
      <c r="BB231" s="632" t="str">
        <f t="shared" si="52"/>
        <v/>
      </c>
      <c r="BC231" s="632" t="str">
        <f t="shared" si="53"/>
        <v/>
      </c>
      <c r="BD231" s="633" t="str">
        <f>IF(AND(L231="",H231=""),"",
IF(H231="",Pole_Calc!A$9,
IF(H231="MP",Pole_Calc!A$10,
IF(H231="AnMP",Pole_Calc!A$11,
IF(H231="A",Pole_Calc!A$12,
IF(H231="S/A",Pole_Calc!A$13,
IF(H231="A/S",Pole_Calc!A$14,"Poner a mano")))))))</f>
        <v/>
      </c>
      <c r="BE231" s="448" t="s">
        <v>1726</v>
      </c>
      <c r="BF231" s="635"/>
      <c r="BG231" s="635"/>
      <c r="BH231" s="634"/>
      <c r="BI231" s="635"/>
    </row>
    <row r="232" spans="1:61" ht="16.2" customHeight="1">
      <c r="A232" s="12"/>
      <c r="B232" s="446"/>
      <c r="C232" s="89"/>
      <c r="D232" s="13"/>
      <c r="E232" s="14"/>
      <c r="F232" s="14"/>
      <c r="G232" s="15"/>
      <c r="H232" s="8"/>
      <c r="I232" s="8"/>
      <c r="J232" s="89"/>
      <c r="K232" s="8"/>
      <c r="L232" s="8"/>
      <c r="M232" s="8" t="str">
        <f>IF(L232="","",
IF(AX232="PT",VLOOKUP(L232,Foundation_Calc!$V$4:$X$37,VLOOKUP(AX232,Foundation_Calc!$I$10:$J$13,2,FALSE),0),
IF(AX232="K",VLOOKUP(L232,Foundation_Calc!$V$41:$X$74,VLOOKUP(AX232,Foundation_Calc!$I$10:$J$13,2,FALSE),0),"")))</f>
        <v/>
      </c>
      <c r="N232" s="8"/>
      <c r="O232" s="8"/>
      <c r="P232" s="8"/>
      <c r="Q232" s="14"/>
      <c r="R232" s="15"/>
      <c r="S232" s="15"/>
      <c r="T232" s="14"/>
      <c r="U232" s="14"/>
      <c r="V232" s="14"/>
      <c r="W232" s="18"/>
      <c r="X232" s="18"/>
      <c r="Y232" s="18"/>
      <c r="Z232" s="18"/>
      <c r="AA232" s="18"/>
      <c r="AB232" s="18"/>
      <c r="AC232" s="8" t="str">
        <f t="shared" si="50"/>
        <v/>
      </c>
      <c r="AD232" s="8"/>
      <c r="AE232" s="8"/>
      <c r="AF232" s="14"/>
      <c r="AG232" s="13"/>
      <c r="AH232" s="14"/>
      <c r="AI232" s="14"/>
      <c r="AJ232" s="8"/>
      <c r="AK232" s="8"/>
      <c r="AL232" s="8"/>
      <c r="AM232" s="8"/>
      <c r="AN232" s="631"/>
      <c r="AO232" s="18"/>
      <c r="AP232" s="18"/>
      <c r="AQ232" s="18"/>
      <c r="AR232" s="18"/>
      <c r="AS232" s="18"/>
      <c r="AU232" s="448"/>
      <c r="AV232" s="448"/>
      <c r="AW232" s="8" t="str">
        <f>IF(C232&gt;0,VLOOKUP(C232,Foundation_Calc!$A$2:$C$986,3,1),
IF(J232&gt;0,VLOOKUP(J232,Foundation_Calc!$A$2:$C$986,3,1),""))</f>
        <v/>
      </c>
      <c r="AX232" s="8" t="str">
        <f>IF(C232&gt;0,VLOOKUP(C232,Foundation_Calc!$E$2:$G$986,3,1),
IF(J232&gt;0,VLOOKUP(J232,Foundation_Calc!$E$2:$G$986,3,1),""))</f>
        <v/>
      </c>
      <c r="AY232" s="631" t="str">
        <f>IF(L232="","",
IF(AX232="PT",VLOOKUP(L232,Foundation_Calc!$K$4:$R$37,VLOOKUP(AW232,Foundation_Calc!$I$2:$J$8,2,FALSE),0),
IF(AX232="K",VLOOKUP(L232,Foundation_Calc!$K$41:$R$74,VLOOKUP(AW232,Foundation_Calc!$I$2:$J$8,2,FALSE),0),"")))</f>
        <v/>
      </c>
      <c r="AZ232" s="631" t="str">
        <f>IF(K232="","",
IF(AX232="PT",VLOOKUP(K232,Foundation_Calc!$K$4:$R$37,VLOOKUP(AW232,Foundation_Calc!$I$2:$J$8,2,FALSE),0),
IF(AX232="K",VLOOKUP(K232,Foundation_Calc!$K$41:$R$74,VLOOKUP(AW232,Foundation_Calc!$I$2:$J$8,2,FALSE),0),"")))</f>
        <v/>
      </c>
      <c r="BA232" s="632" t="str">
        <f t="shared" si="51"/>
        <v/>
      </c>
      <c r="BB232" s="632" t="str">
        <f t="shared" si="52"/>
        <v/>
      </c>
      <c r="BC232" s="632" t="str">
        <f t="shared" si="53"/>
        <v/>
      </c>
      <c r="BD232" s="633" t="str">
        <f>IF(AND(L232="",H232=""),"",
IF(H232="",Pole_Calc!A$9,
IF(H232="MP",Pole_Calc!A$10,
IF(H232="AnMP",Pole_Calc!A$11,
IF(H232="A",Pole_Calc!A$12,
IF(H232="S/A",Pole_Calc!A$13,
IF(H232="A/S",Pole_Calc!A$14,"Poner a mano")))))))</f>
        <v/>
      </c>
      <c r="BE232" s="448" t="s">
        <v>1726</v>
      </c>
      <c r="BF232" s="634"/>
      <c r="BG232" s="634"/>
      <c r="BH232" s="634"/>
      <c r="BI232" s="634"/>
    </row>
    <row r="233" spans="1:61" ht="16.2" customHeight="1">
      <c r="A233" s="12"/>
      <c r="B233" s="446"/>
      <c r="C233" s="89"/>
      <c r="D233" s="13"/>
      <c r="E233" s="14"/>
      <c r="F233" s="14"/>
      <c r="G233" s="15"/>
      <c r="H233" s="8"/>
      <c r="I233" s="8"/>
      <c r="J233" s="89"/>
      <c r="K233" s="8"/>
      <c r="L233" s="8"/>
      <c r="M233" s="8" t="str">
        <f>IF(L233="","",
IF(AX233="PT",VLOOKUP(L233,Foundation_Calc!$V$4:$X$37,VLOOKUP(AX233,Foundation_Calc!$I$10:$J$13,2,FALSE),0),
IF(AX233="K",VLOOKUP(L233,Foundation_Calc!$V$41:$X$74,VLOOKUP(AX233,Foundation_Calc!$I$10:$J$13,2,FALSE),0),"")))</f>
        <v/>
      </c>
      <c r="N233" s="8"/>
      <c r="O233" s="8"/>
      <c r="P233" s="8"/>
      <c r="Q233" s="14"/>
      <c r="R233" s="15"/>
      <c r="S233" s="15"/>
      <c r="T233" s="14"/>
      <c r="U233" s="14"/>
      <c r="V233" s="14"/>
      <c r="W233" s="18"/>
      <c r="X233" s="18"/>
      <c r="Y233" s="18"/>
      <c r="Z233" s="18"/>
      <c r="AA233" s="18"/>
      <c r="AB233" s="18"/>
      <c r="AC233" s="8" t="str">
        <f t="shared" si="50"/>
        <v/>
      </c>
      <c r="AD233" s="8"/>
      <c r="AE233" s="8"/>
      <c r="AF233" s="14"/>
      <c r="AG233" s="13"/>
      <c r="AH233" s="14"/>
      <c r="AI233" s="14"/>
      <c r="AJ233" s="8"/>
      <c r="AK233" s="8"/>
      <c r="AL233" s="8"/>
      <c r="AM233" s="8"/>
      <c r="AN233" s="631"/>
      <c r="AO233" s="18"/>
      <c r="AP233" s="18"/>
      <c r="AQ233" s="18"/>
      <c r="AR233" s="18"/>
      <c r="AS233" s="18"/>
      <c r="AU233" s="448"/>
      <c r="AV233" s="448"/>
      <c r="AW233" s="8" t="str">
        <f>IF(C233&gt;0,VLOOKUP(C233,Foundation_Calc!$A$2:$C$986,3,1),
IF(J233&gt;0,VLOOKUP(J233,Foundation_Calc!$A$2:$C$986,3,1),""))</f>
        <v/>
      </c>
      <c r="AX233" s="8" t="str">
        <f>IF(C233&gt;0,VLOOKUP(C233,Foundation_Calc!$E$2:$G$986,3,1),
IF(J233&gt;0,VLOOKUP(J233,Foundation_Calc!$E$2:$G$986,3,1),""))</f>
        <v/>
      </c>
      <c r="AY233" s="631" t="str">
        <f>IF(L233="","",
IF(AX233="PT",VLOOKUP(L233,Foundation_Calc!$K$4:$R$37,VLOOKUP(AW233,Foundation_Calc!$I$2:$J$8,2,FALSE),0),
IF(AX233="K",VLOOKUP(L233,Foundation_Calc!$K$41:$R$74,VLOOKUP(AW233,Foundation_Calc!$I$2:$J$8,2,FALSE),0),"")))</f>
        <v/>
      </c>
      <c r="AZ233" s="631" t="str">
        <f>IF(K233="","",
IF(AX233="PT",VLOOKUP(K233,Foundation_Calc!$K$4:$R$37,VLOOKUP(AW233,Foundation_Calc!$I$2:$J$8,2,FALSE),0),
IF(AX233="K",VLOOKUP(K233,Foundation_Calc!$K$41:$R$74,VLOOKUP(AW233,Foundation_Calc!$I$2:$J$8,2,FALSE),0),"")))</f>
        <v/>
      </c>
      <c r="BA233" s="632" t="str">
        <f t="shared" si="51"/>
        <v/>
      </c>
      <c r="BB233" s="632" t="str">
        <f t="shared" si="52"/>
        <v/>
      </c>
      <c r="BC233" s="632" t="str">
        <f t="shared" si="53"/>
        <v/>
      </c>
      <c r="BD233" s="633" t="str">
        <f>IF(AND(L233="",H233=""),"",
IF(H233="",Pole_Calc!A261,
IF(H233="MP",Pole_Calc!A262,
IF(H233="AnMP",Pole_Calc!A263,
IF(H233="A",Pole_Calc!A264,
IF(H233="S/A",Pole_Calc!A265,
IF(H233="A/S",Pole_Calc!A266,"Poner a mano")))))))</f>
        <v/>
      </c>
      <c r="BE233" s="448" t="s">
        <v>1726</v>
      </c>
      <c r="BF233" s="635"/>
      <c r="BG233" s="635"/>
      <c r="BH233" s="634"/>
      <c r="BI233" s="635"/>
    </row>
    <row r="234" spans="1:61" ht="16.2" customHeight="1">
      <c r="A234" s="12"/>
      <c r="B234" s="446"/>
      <c r="C234" s="89"/>
      <c r="D234" s="13"/>
      <c r="E234" s="14"/>
      <c r="F234" s="14"/>
      <c r="G234" s="15"/>
      <c r="H234" s="8"/>
      <c r="I234" s="8"/>
      <c r="J234" s="89"/>
      <c r="K234" s="8"/>
      <c r="L234" s="8"/>
      <c r="M234" s="8" t="str">
        <f>IF(L234="","",
IF(AX234="PT",VLOOKUP(L234,Foundation_Calc!$V$4:$X$37,VLOOKUP(AX234,Foundation_Calc!$I$10:$J$13,2,FALSE),0),
IF(AX234="K",VLOOKUP(L234,Foundation_Calc!$V$41:$X$74,VLOOKUP(AX234,Foundation_Calc!$I$10:$J$13,2,FALSE),0),"")))</f>
        <v/>
      </c>
      <c r="N234" s="8"/>
      <c r="O234" s="8"/>
      <c r="P234" s="8"/>
      <c r="Q234" s="14"/>
      <c r="R234" s="15"/>
      <c r="S234" s="15"/>
      <c r="T234" s="14"/>
      <c r="U234" s="14"/>
      <c r="V234" s="14"/>
      <c r="W234" s="18"/>
      <c r="X234" s="18"/>
      <c r="Y234" s="18"/>
      <c r="Z234" s="18"/>
      <c r="AA234" s="18"/>
      <c r="AB234" s="18"/>
      <c r="AC234" s="8" t="str">
        <f t="shared" si="50"/>
        <v/>
      </c>
      <c r="AD234" s="8"/>
      <c r="AE234" s="8"/>
      <c r="AF234" s="14"/>
      <c r="AG234" s="13"/>
      <c r="AH234" s="14"/>
      <c r="AI234" s="14"/>
      <c r="AJ234" s="8"/>
      <c r="AK234" s="8"/>
      <c r="AL234" s="8"/>
      <c r="AM234" s="8"/>
      <c r="AN234" s="631"/>
      <c r="AO234" s="18"/>
      <c r="AP234" s="18"/>
      <c r="AQ234" s="18"/>
      <c r="AR234" s="18"/>
      <c r="AS234" s="18"/>
      <c r="AU234" s="448"/>
      <c r="AV234" s="448"/>
      <c r="AW234" s="8" t="str">
        <f>IF(C234&gt;0,VLOOKUP(C234,Foundation_Calc!$A$2:$C$986,3,1),
IF(J234&gt;0,VLOOKUP(J234,Foundation_Calc!$A$2:$C$986,3,1),""))</f>
        <v/>
      </c>
      <c r="AX234" s="8" t="str">
        <f>IF(C234&gt;0,VLOOKUP(C234,Foundation_Calc!$E$2:$G$986,3,1),
IF(J234&gt;0,VLOOKUP(J234,Foundation_Calc!$E$2:$G$986,3,1),""))</f>
        <v/>
      </c>
      <c r="AY234" s="631" t="str">
        <f>IF(L234="","",
IF(AX234="PT",VLOOKUP(L234,Foundation_Calc!$K$4:$R$37,VLOOKUP(AW234,Foundation_Calc!$I$2:$J$8,2,FALSE),0),
IF(AX234="K",VLOOKUP(L234,Foundation_Calc!$K$41:$R$74,VLOOKUP(AW234,Foundation_Calc!$I$2:$J$8,2,FALSE),0),"")))</f>
        <v/>
      </c>
      <c r="AZ234" s="631" t="str">
        <f>IF(K234="","",
IF(AX234="PT",VLOOKUP(K234,Foundation_Calc!$K$4:$R$37,VLOOKUP(AW234,Foundation_Calc!$I$2:$J$8,2,FALSE),0),
IF(AX234="K",VLOOKUP(K234,Foundation_Calc!$K$41:$R$74,VLOOKUP(AW234,Foundation_Calc!$I$2:$J$8,2,FALSE),0),"")))</f>
        <v/>
      </c>
      <c r="BA234" s="632" t="str">
        <f t="shared" si="51"/>
        <v/>
      </c>
      <c r="BB234" s="632" t="str">
        <f t="shared" si="52"/>
        <v/>
      </c>
      <c r="BC234" s="632" t="str">
        <f t="shared" si="53"/>
        <v/>
      </c>
      <c r="BD234" s="633" t="str">
        <f>IF(AND(L234="",H234=""),"",
IF(H234="",Pole_Calc!A262,
IF(H234="MP",Pole_Calc!A263,
IF(H234="AnMP",Pole_Calc!A264,
IF(H234="A",Pole_Calc!A265,
IF(H234="S/A",Pole_Calc!A266,
IF(H234="A/S",Pole_Calc!A267,"Poner a mano")))))))</f>
        <v/>
      </c>
      <c r="BE234" s="448" t="s">
        <v>1726</v>
      </c>
      <c r="BF234" s="634"/>
      <c r="BG234" s="634"/>
      <c r="BH234" s="634"/>
      <c r="BI234" s="634"/>
    </row>
    <row r="235" spans="1:61" ht="16.2" customHeight="1">
      <c r="A235" s="12"/>
      <c r="B235" s="446"/>
      <c r="C235" s="89"/>
      <c r="D235" s="13"/>
      <c r="E235" s="14"/>
      <c r="F235" s="14"/>
      <c r="G235" s="15"/>
      <c r="H235" s="8"/>
      <c r="I235" s="8"/>
      <c r="J235" s="89"/>
      <c r="K235" s="8"/>
      <c r="L235" s="8"/>
      <c r="M235" s="8" t="str">
        <f>IF(L235="","",
IF(AX235="PT",VLOOKUP(L235,Foundation_Calc!$V$4:$X$37,VLOOKUP(AX235,Foundation_Calc!$I$10:$J$13,2,FALSE),0),
IF(AX235="K",VLOOKUP(L235,Foundation_Calc!$V$41:$X$74,VLOOKUP(AX235,Foundation_Calc!$I$10:$J$13,2,FALSE),0),"")))</f>
        <v/>
      </c>
      <c r="N235" s="8"/>
      <c r="O235" s="8"/>
      <c r="P235" s="8"/>
      <c r="Q235" s="14"/>
      <c r="R235" s="15"/>
      <c r="S235" s="15"/>
      <c r="T235" s="14"/>
      <c r="U235" s="14"/>
      <c r="V235" s="14"/>
      <c r="W235" s="18"/>
      <c r="X235" s="18"/>
      <c r="Y235" s="18"/>
      <c r="Z235" s="18"/>
      <c r="AA235" s="18"/>
      <c r="AB235" s="18"/>
      <c r="AC235" s="8" t="str">
        <f t="shared" si="50"/>
        <v/>
      </c>
      <c r="AD235" s="8"/>
      <c r="AE235" s="8"/>
      <c r="AF235" s="14"/>
      <c r="AG235" s="13"/>
      <c r="AH235" s="14"/>
      <c r="AI235" s="14"/>
      <c r="AJ235" s="8"/>
      <c r="AK235" s="8"/>
      <c r="AL235" s="8"/>
      <c r="AM235" s="8"/>
      <c r="AN235" s="631"/>
      <c r="AO235" s="18"/>
      <c r="AP235" s="18"/>
      <c r="AQ235" s="18"/>
      <c r="AR235" s="18"/>
      <c r="AS235" s="18"/>
      <c r="AU235" s="448"/>
      <c r="AV235" s="448"/>
      <c r="AW235" s="8" t="str">
        <f>IF(C235&gt;0,VLOOKUP(C235,Foundation_Calc!$A$2:$C$986,3,1),
IF(J235&gt;0,VLOOKUP(J235,Foundation_Calc!$A$2:$C$986,3,1),""))</f>
        <v/>
      </c>
      <c r="AX235" s="8" t="str">
        <f>IF(C235&gt;0,VLOOKUP(C235,Foundation_Calc!$E$2:$G$986,3,1),
IF(J235&gt;0,VLOOKUP(J235,Foundation_Calc!$E$2:$G$986,3,1),""))</f>
        <v/>
      </c>
      <c r="AY235" s="631" t="str">
        <f>IF(L235="","",
IF(AX235="PT",VLOOKUP(L235,Foundation_Calc!$K$4:$R$37,VLOOKUP(AW235,Foundation_Calc!$I$2:$J$8,2,FALSE),0),
IF(AX235="K",VLOOKUP(L235,Foundation_Calc!$K$41:$R$74,VLOOKUP(AW235,Foundation_Calc!$I$2:$J$8,2,FALSE),0),"")))</f>
        <v/>
      </c>
      <c r="AZ235" s="631" t="str">
        <f>IF(K235="","",
IF(AX235="PT",VLOOKUP(K235,Foundation_Calc!$K$4:$R$37,VLOOKUP(AW235,Foundation_Calc!$I$2:$J$8,2,FALSE),0),
IF(AX235="K",VLOOKUP(K235,Foundation_Calc!$K$41:$R$74,VLOOKUP(AW235,Foundation_Calc!$I$2:$J$8,2,FALSE),0),"")))</f>
        <v/>
      </c>
      <c r="BA235" s="632" t="str">
        <f t="shared" si="51"/>
        <v/>
      </c>
      <c r="BB235" s="632" t="str">
        <f t="shared" si="52"/>
        <v/>
      </c>
      <c r="BC235" s="632" t="str">
        <f t="shared" si="53"/>
        <v/>
      </c>
      <c r="BD235" s="633" t="str">
        <f>IF(AND(L235="",H235=""),"",
IF(H235="",Pole_Calc!A263,
IF(H235="MP",Pole_Calc!A264,
IF(H235="AnMP",Pole_Calc!A265,
IF(H235="A",Pole_Calc!A266,
IF(H235="S/A",Pole_Calc!A267,
IF(H235="A/S",Pole_Calc!A268,"Poner a mano")))))))</f>
        <v/>
      </c>
      <c r="BE235" s="448" t="s">
        <v>1726</v>
      </c>
      <c r="BF235" s="635"/>
      <c r="BG235" s="635"/>
      <c r="BH235" s="634"/>
      <c r="BI235" s="635"/>
    </row>
    <row r="236" spans="1:61" ht="16.2" customHeight="1">
      <c r="A236" s="12"/>
      <c r="B236" s="446"/>
      <c r="C236" s="89"/>
      <c r="D236" s="13"/>
      <c r="E236" s="14"/>
      <c r="F236" s="14"/>
      <c r="G236" s="15"/>
      <c r="H236" s="8"/>
      <c r="I236" s="8"/>
      <c r="J236" s="89"/>
      <c r="K236" s="8"/>
      <c r="L236" s="8"/>
      <c r="M236" s="8" t="str">
        <f>IF(L236="","",
IF(AX236="PT",VLOOKUP(L236,Foundation_Calc!$V$4:$X$37,VLOOKUP(AX236,Foundation_Calc!$I$10:$J$13,2,FALSE),0),
IF(AX236="K",VLOOKUP(L236,Foundation_Calc!$V$41:$X$74,VLOOKUP(AX236,Foundation_Calc!$I$10:$J$13,2,FALSE),0),"")))</f>
        <v/>
      </c>
      <c r="N236" s="8"/>
      <c r="O236" s="8"/>
      <c r="P236" s="8"/>
      <c r="Q236" s="14"/>
      <c r="R236" s="15"/>
      <c r="S236" s="15"/>
      <c r="T236" s="14"/>
      <c r="U236" s="14"/>
      <c r="V236" s="14"/>
      <c r="W236" s="18"/>
      <c r="X236" s="18"/>
      <c r="Y236" s="18"/>
      <c r="Z236" s="18"/>
      <c r="AA236" s="18"/>
      <c r="AB236" s="18"/>
      <c r="AC236" s="8" t="str">
        <f t="shared" si="50"/>
        <v/>
      </c>
      <c r="AD236" s="8"/>
      <c r="AE236" s="8"/>
      <c r="AF236" s="14"/>
      <c r="AG236" s="13"/>
      <c r="AH236" s="14"/>
      <c r="AI236" s="14"/>
      <c r="AJ236" s="8"/>
      <c r="AK236" s="8"/>
      <c r="AL236" s="8"/>
      <c r="AM236" s="8"/>
      <c r="AN236" s="631"/>
      <c r="AO236" s="18"/>
      <c r="AP236" s="18"/>
      <c r="AQ236" s="18"/>
      <c r="AR236" s="18"/>
      <c r="AS236" s="18"/>
      <c r="AU236" s="448"/>
      <c r="AV236" s="448"/>
      <c r="AW236" s="8" t="str">
        <f>IF(C236&gt;0,VLOOKUP(C236,Foundation_Calc!$A$2:$C$986,3,1),
IF(J236&gt;0,VLOOKUP(J236,Foundation_Calc!$A$2:$C$986,3,1),""))</f>
        <v/>
      </c>
      <c r="AX236" s="8" t="str">
        <f>IF(C236&gt;0,VLOOKUP(C236,Foundation_Calc!$E$2:$G$986,3,1),
IF(J236&gt;0,VLOOKUP(J236,Foundation_Calc!$E$2:$G$986,3,1),""))</f>
        <v/>
      </c>
      <c r="AY236" s="631" t="str">
        <f>IF(L236="","",
IF(AX236="PT",VLOOKUP(L236,Foundation_Calc!$K$4:$R$37,VLOOKUP(AW236,Foundation_Calc!$I$2:$J$8,2,FALSE),0),
IF(AX236="K",VLOOKUP(L236,Foundation_Calc!$K$41:$R$74,VLOOKUP(AW236,Foundation_Calc!$I$2:$J$8,2,FALSE),0),"")))</f>
        <v/>
      </c>
      <c r="AZ236" s="631" t="str">
        <f>IF(K236="","",
IF(AX236="PT",VLOOKUP(K236,Foundation_Calc!$K$4:$R$37,VLOOKUP(AW236,Foundation_Calc!$I$2:$J$8,2,FALSE),0),
IF(AX236="K",VLOOKUP(K236,Foundation_Calc!$K$41:$R$74,VLOOKUP(AW236,Foundation_Calc!$I$2:$J$8,2,FALSE),0),"")))</f>
        <v/>
      </c>
      <c r="BA236" s="632" t="str">
        <f t="shared" si="51"/>
        <v/>
      </c>
      <c r="BB236" s="632" t="str">
        <f t="shared" si="52"/>
        <v/>
      </c>
      <c r="BC236" s="632" t="str">
        <f t="shared" si="53"/>
        <v/>
      </c>
      <c r="BD236" s="633" t="str">
        <f>IF(AND(L236="",H236=""),"",
IF(H236="",Pole_Calc!A264,
IF(H236="MP",Pole_Calc!A265,
IF(H236="AnMP",Pole_Calc!A266,
IF(H236="A",Pole_Calc!A267,
IF(H236="S/A",Pole_Calc!A268,
IF(H236="A/S",Pole_Calc!A269,"Poner a mano")))))))</f>
        <v/>
      </c>
      <c r="BE236" s="448" t="s">
        <v>1726</v>
      </c>
      <c r="BF236" s="634"/>
      <c r="BG236" s="634"/>
      <c r="BH236" s="634"/>
      <c r="BI236" s="634"/>
    </row>
    <row r="237" spans="1:61" ht="16.2" customHeight="1">
      <c r="A237" s="12"/>
      <c r="B237" s="446"/>
      <c r="C237" s="89"/>
      <c r="D237" s="13"/>
      <c r="E237" s="14"/>
      <c r="F237" s="14"/>
      <c r="G237" s="15"/>
      <c r="H237" s="8"/>
      <c r="I237" s="8"/>
      <c r="J237" s="89"/>
      <c r="K237" s="8"/>
      <c r="L237" s="8"/>
      <c r="M237" s="8" t="str">
        <f>IF(L237="","",
IF(AX237="PT",VLOOKUP(L237,Foundation_Calc!$V$4:$X$37,VLOOKUP(AX237,Foundation_Calc!$I$10:$J$13,2,FALSE),0),
IF(AX237="K",VLOOKUP(L237,Foundation_Calc!$V$41:$X$74,VLOOKUP(AX237,Foundation_Calc!$I$10:$J$13,2,FALSE),0),"")))</f>
        <v/>
      </c>
      <c r="N237" s="8"/>
      <c r="O237" s="8"/>
      <c r="P237" s="8"/>
      <c r="Q237" s="14"/>
      <c r="R237" s="15"/>
      <c r="S237" s="15"/>
      <c r="T237" s="14"/>
      <c r="U237" s="14"/>
      <c r="V237" s="14"/>
      <c r="W237" s="18"/>
      <c r="X237" s="18"/>
      <c r="Y237" s="18"/>
      <c r="Z237" s="18"/>
      <c r="AA237" s="18"/>
      <c r="AB237" s="18"/>
      <c r="AC237" s="8" t="str">
        <f t="shared" si="50"/>
        <v/>
      </c>
      <c r="AD237" s="8"/>
      <c r="AE237" s="8"/>
      <c r="AF237" s="14"/>
      <c r="AG237" s="13"/>
      <c r="AH237" s="14"/>
      <c r="AI237" s="14"/>
      <c r="AJ237" s="8"/>
      <c r="AK237" s="8"/>
      <c r="AL237" s="8"/>
      <c r="AM237" s="8"/>
      <c r="AN237" s="631"/>
      <c r="AO237" s="18"/>
      <c r="AP237" s="18"/>
      <c r="AQ237" s="18"/>
      <c r="AR237" s="18"/>
      <c r="AS237" s="18"/>
      <c r="AU237" s="448"/>
      <c r="AV237" s="448"/>
      <c r="AW237" s="8" t="str">
        <f>IF(C237&gt;0,VLOOKUP(C237,Foundation_Calc!$A$2:$C$986,3,1),
IF(J237&gt;0,VLOOKUP(J237,Foundation_Calc!$A$2:$C$986,3,1),""))</f>
        <v/>
      </c>
      <c r="AX237" s="8" t="str">
        <f>IF(C237&gt;0,VLOOKUP(C237,Foundation_Calc!$E$2:$G$986,3,1),
IF(J237&gt;0,VLOOKUP(J237,Foundation_Calc!$E$2:$G$986,3,1),""))</f>
        <v/>
      </c>
      <c r="AY237" s="631" t="str">
        <f>IF(L237="","",
IF(AX237="PT",VLOOKUP(L237,Foundation_Calc!$K$4:$R$37,VLOOKUP(AW237,Foundation_Calc!$I$2:$J$8,2,FALSE),0),
IF(AX237="K",VLOOKUP(L237,Foundation_Calc!$K$41:$R$74,VLOOKUP(AW237,Foundation_Calc!$I$2:$J$8,2,FALSE),0),"")))</f>
        <v/>
      </c>
      <c r="AZ237" s="631" t="str">
        <f>IF(K237="","",
IF(AX237="PT",VLOOKUP(K237,Foundation_Calc!$K$4:$R$37,VLOOKUP(AW237,Foundation_Calc!$I$2:$J$8,2,FALSE),0),
IF(AX237="K",VLOOKUP(K237,Foundation_Calc!$K$41:$R$74,VLOOKUP(AW237,Foundation_Calc!$I$2:$J$8,2,FALSE),0),"")))</f>
        <v/>
      </c>
      <c r="BA237" s="632" t="str">
        <f t="shared" si="51"/>
        <v/>
      </c>
      <c r="BB237" s="632" t="str">
        <f t="shared" si="52"/>
        <v/>
      </c>
      <c r="BC237" s="632" t="str">
        <f t="shared" si="53"/>
        <v/>
      </c>
      <c r="BD237" s="633" t="str">
        <f>IF(AND(L237="",H237=""),"",
IF(H237="",Pole_Calc!A265,
IF(H237="MP",Pole_Calc!A266,
IF(H237="AnMP",Pole_Calc!A267,
IF(H237="A",Pole_Calc!A268,
IF(H237="S/A",Pole_Calc!A269,
IF(H237="A/S",Pole_Calc!A270,"Poner a mano")))))))</f>
        <v/>
      </c>
      <c r="BE237" s="448" t="s">
        <v>1726</v>
      </c>
      <c r="BF237" s="635"/>
      <c r="BG237" s="635"/>
      <c r="BH237" s="634"/>
      <c r="BI237" s="635"/>
    </row>
    <row r="238" spans="1:61" ht="16.2" customHeight="1">
      <c r="A238" s="12"/>
      <c r="B238" s="446"/>
      <c r="C238" s="89"/>
      <c r="D238" s="13"/>
      <c r="E238" s="14"/>
      <c r="F238" s="14"/>
      <c r="G238" s="15"/>
      <c r="H238" s="8"/>
      <c r="I238" s="8"/>
      <c r="J238" s="89"/>
      <c r="K238" s="8"/>
      <c r="L238" s="8"/>
      <c r="M238" s="8" t="str">
        <f>IF(L238="","",
IF(AX238="PT",VLOOKUP(L238,Foundation_Calc!$V$4:$X$37,VLOOKUP(AX238,Foundation_Calc!$I$10:$J$13,2,FALSE),0),
IF(AX238="K",VLOOKUP(L238,Foundation_Calc!$V$41:$X$74,VLOOKUP(AX238,Foundation_Calc!$I$10:$J$13,2,FALSE),0),"")))</f>
        <v/>
      </c>
      <c r="N238" s="8"/>
      <c r="O238" s="8"/>
      <c r="P238" s="8"/>
      <c r="Q238" s="14"/>
      <c r="R238" s="15"/>
      <c r="S238" s="15"/>
      <c r="T238" s="14"/>
      <c r="U238" s="14"/>
      <c r="V238" s="14"/>
      <c r="W238" s="18"/>
      <c r="X238" s="18"/>
      <c r="Y238" s="18"/>
      <c r="Z238" s="18"/>
      <c r="AA238" s="18"/>
      <c r="AB238" s="18"/>
      <c r="AC238" s="8" t="str">
        <f t="shared" si="50"/>
        <v/>
      </c>
      <c r="AD238" s="8"/>
      <c r="AE238" s="8"/>
      <c r="AF238" s="14"/>
      <c r="AG238" s="13"/>
      <c r="AH238" s="14"/>
      <c r="AI238" s="14"/>
      <c r="AJ238" s="8"/>
      <c r="AK238" s="8"/>
      <c r="AL238" s="8"/>
      <c r="AM238" s="8"/>
      <c r="AN238" s="631"/>
      <c r="AO238" s="18"/>
      <c r="AP238" s="18"/>
      <c r="AQ238" s="18"/>
      <c r="AR238" s="18"/>
      <c r="AS238" s="18"/>
      <c r="AU238" s="448"/>
      <c r="AV238" s="448"/>
      <c r="AW238" s="8" t="str">
        <f>IF(C238&gt;0,VLOOKUP(C238,Foundation_Calc!$A$2:$C$986,3,1),
IF(J238&gt;0,VLOOKUP(J238,Foundation_Calc!$A$2:$C$986,3,1),""))</f>
        <v/>
      </c>
      <c r="AX238" s="8" t="str">
        <f>IF(C238&gt;0,VLOOKUP(C238,Foundation_Calc!$E$2:$G$986,3,1),
IF(J238&gt;0,VLOOKUP(J238,Foundation_Calc!$E$2:$G$986,3,1),""))</f>
        <v/>
      </c>
      <c r="AY238" s="631" t="str">
        <f>IF(L238="","",
IF(AX238="PT",VLOOKUP(L238,Foundation_Calc!$K$4:$R$37,VLOOKUP(AW238,Foundation_Calc!$I$2:$J$8,2,FALSE),0),
IF(AX238="K",VLOOKUP(L238,Foundation_Calc!$K$41:$R$74,VLOOKUP(AW238,Foundation_Calc!$I$2:$J$8,2,FALSE),0),"")))</f>
        <v/>
      </c>
      <c r="AZ238" s="631" t="str">
        <f>IF(K238="","",
IF(AX238="PT",VLOOKUP(K238,Foundation_Calc!$K$4:$R$37,VLOOKUP(AW238,Foundation_Calc!$I$2:$J$8,2,FALSE),0),
IF(AX238="K",VLOOKUP(K238,Foundation_Calc!$K$41:$R$74,VLOOKUP(AW238,Foundation_Calc!$I$2:$J$8,2,FALSE),0),"")))</f>
        <v/>
      </c>
      <c r="BA238" s="632" t="str">
        <f t="shared" si="51"/>
        <v/>
      </c>
      <c r="BB238" s="632" t="str">
        <f t="shared" si="52"/>
        <v/>
      </c>
      <c r="BC238" s="632" t="str">
        <f t="shared" si="53"/>
        <v/>
      </c>
      <c r="BD238" s="633" t="str">
        <f>IF(AND(L238="",H238=""),"",
IF(H238="",Pole_Calc!A266,
IF(H238="MP",Pole_Calc!A267,
IF(H238="AnMP",Pole_Calc!A268,
IF(H238="A",Pole_Calc!A269,
IF(H238="S/A",Pole_Calc!A270,
IF(H238="A/S",Pole_Calc!A271,"Poner a mano")))))))</f>
        <v/>
      </c>
      <c r="BE238" s="448" t="s">
        <v>1726</v>
      </c>
      <c r="BF238" s="634"/>
      <c r="BG238" s="634"/>
      <c r="BH238" s="634"/>
      <c r="BI238" s="634"/>
    </row>
    <row r="239" spans="1:61" ht="16.2" customHeight="1">
      <c r="A239" s="12"/>
      <c r="B239" s="446"/>
      <c r="C239" s="89"/>
      <c r="D239" s="13"/>
      <c r="E239" s="14"/>
      <c r="F239" s="14"/>
      <c r="G239" s="15"/>
      <c r="H239" s="8"/>
      <c r="I239" s="8"/>
      <c r="J239" s="89"/>
      <c r="K239" s="8"/>
      <c r="L239" s="8"/>
      <c r="M239" s="8" t="str">
        <f>IF(L239="","",
IF(AX239="PT",VLOOKUP(L239,Foundation_Calc!$V$4:$X$37,VLOOKUP(AX239,Foundation_Calc!$I$10:$J$13,2,FALSE),0),
IF(AX239="K",VLOOKUP(L239,Foundation_Calc!$V$41:$X$74,VLOOKUP(AX239,Foundation_Calc!$I$10:$J$13,2,FALSE),0),"")))</f>
        <v/>
      </c>
      <c r="N239" s="8"/>
      <c r="O239" s="8"/>
      <c r="P239" s="8"/>
      <c r="Q239" s="14"/>
      <c r="R239" s="15"/>
      <c r="S239" s="15"/>
      <c r="T239" s="14"/>
      <c r="U239" s="14"/>
      <c r="V239" s="14"/>
      <c r="W239" s="18"/>
      <c r="X239" s="18"/>
      <c r="Y239" s="18"/>
      <c r="Z239" s="18"/>
      <c r="AA239" s="18"/>
      <c r="AB239" s="18"/>
      <c r="AC239" s="8" t="str">
        <f t="shared" si="50"/>
        <v/>
      </c>
      <c r="AD239" s="8"/>
      <c r="AE239" s="8"/>
      <c r="AF239" s="14"/>
      <c r="AG239" s="13"/>
      <c r="AH239" s="14"/>
      <c r="AI239" s="14"/>
      <c r="AJ239" s="8"/>
      <c r="AK239" s="8"/>
      <c r="AL239" s="8"/>
      <c r="AM239" s="8"/>
      <c r="AN239" s="631"/>
      <c r="AO239" s="18"/>
      <c r="AP239" s="18"/>
      <c r="AQ239" s="18"/>
      <c r="AR239" s="18"/>
      <c r="AS239" s="18"/>
      <c r="AU239" s="448"/>
      <c r="AV239" s="448"/>
      <c r="AW239" s="8" t="str">
        <f>IF(C239&gt;0,VLOOKUP(C239,Foundation_Calc!$A$2:$C$986,3,1),
IF(J239&gt;0,VLOOKUP(J239,Foundation_Calc!$A$2:$C$986,3,1),""))</f>
        <v/>
      </c>
      <c r="AX239" s="8" t="str">
        <f>IF(C239&gt;0,VLOOKUP(C239,Foundation_Calc!$E$2:$G$986,3,1),
IF(J239&gt;0,VLOOKUP(J239,Foundation_Calc!$E$2:$G$986,3,1),""))</f>
        <v/>
      </c>
      <c r="AY239" s="631" t="str">
        <f>IF(L239="","",
IF(AX239="PT",VLOOKUP(L239,Foundation_Calc!$K$4:$R$37,VLOOKUP(AW239,Foundation_Calc!$I$2:$J$8,2,FALSE),0),
IF(AX239="K",VLOOKUP(L239,Foundation_Calc!$K$41:$R$74,VLOOKUP(AW239,Foundation_Calc!$I$2:$J$8,2,FALSE),0),"")))</f>
        <v/>
      </c>
      <c r="AZ239" s="631" t="str">
        <f>IF(K239="","",
IF(AX239="PT",VLOOKUP(K239,Foundation_Calc!$K$4:$R$37,VLOOKUP(AW239,Foundation_Calc!$I$2:$J$8,2,FALSE),0),
IF(AX239="K",VLOOKUP(K239,Foundation_Calc!$K$41:$R$74,VLOOKUP(AW239,Foundation_Calc!$I$2:$J$8,2,FALSE),0),"")))</f>
        <v/>
      </c>
      <c r="BA239" s="632" t="str">
        <f t="shared" si="51"/>
        <v/>
      </c>
      <c r="BB239" s="632" t="str">
        <f t="shared" si="52"/>
        <v/>
      </c>
      <c r="BC239" s="632" t="str">
        <f t="shared" si="53"/>
        <v/>
      </c>
      <c r="BD239" s="633" t="str">
        <f>IF(AND(L239="",H239=""),"",
IF(H239="",Pole_Calc!A267,
IF(H239="MP",Pole_Calc!A268,
IF(H239="AnMP",Pole_Calc!A269,
IF(H239="A",Pole_Calc!A270,
IF(H239="S/A",Pole_Calc!A271,
IF(H239="A/S",Pole_Calc!A272,"Poner a mano")))))))</f>
        <v/>
      </c>
      <c r="BE239" s="448" t="s">
        <v>1726</v>
      </c>
      <c r="BF239" s="635"/>
      <c r="BG239" s="635"/>
      <c r="BH239" s="634"/>
      <c r="BI239" s="635"/>
    </row>
    <row r="240" spans="1:61" ht="16.2" customHeight="1">
      <c r="A240" s="12"/>
      <c r="B240" s="446"/>
      <c r="C240" s="89"/>
      <c r="D240" s="13"/>
      <c r="E240" s="14"/>
      <c r="F240" s="14"/>
      <c r="G240" s="15"/>
      <c r="H240" s="8"/>
      <c r="I240" s="8"/>
      <c r="J240" s="89"/>
      <c r="K240" s="8"/>
      <c r="L240" s="8"/>
      <c r="M240" s="8" t="str">
        <f>IF(L240="","",
IF(AX240="PT",VLOOKUP(L240,Foundation_Calc!$V$4:$X$37,VLOOKUP(AX240,Foundation_Calc!$I$10:$J$13,2,FALSE),0),
IF(AX240="K",VLOOKUP(L240,Foundation_Calc!$V$41:$X$74,VLOOKUP(AX240,Foundation_Calc!$I$10:$J$13,2,FALSE),0),"")))</f>
        <v/>
      </c>
      <c r="N240" s="8"/>
      <c r="O240" s="8"/>
      <c r="P240" s="8"/>
      <c r="Q240" s="14"/>
      <c r="R240" s="15"/>
      <c r="S240" s="15"/>
      <c r="T240" s="14"/>
      <c r="U240" s="14"/>
      <c r="V240" s="14"/>
      <c r="W240" s="18"/>
      <c r="X240" s="18"/>
      <c r="Y240" s="18"/>
      <c r="Z240" s="18"/>
      <c r="AA240" s="18"/>
      <c r="AB240" s="18"/>
      <c r="AC240" s="8" t="str">
        <f t="shared" si="50"/>
        <v/>
      </c>
      <c r="AD240" s="8"/>
      <c r="AE240" s="8"/>
      <c r="AF240" s="14"/>
      <c r="AG240" s="13"/>
      <c r="AH240" s="14"/>
      <c r="AI240" s="14"/>
      <c r="AJ240" s="8"/>
      <c r="AK240" s="8"/>
      <c r="AL240" s="8"/>
      <c r="AM240" s="8"/>
      <c r="AN240" s="631"/>
      <c r="AO240" s="18"/>
      <c r="AP240" s="18"/>
      <c r="AQ240" s="18"/>
      <c r="AR240" s="18"/>
      <c r="AS240" s="18"/>
      <c r="AU240" s="448"/>
      <c r="AV240" s="448"/>
      <c r="AW240" s="8" t="str">
        <f>IF(C240&gt;0,VLOOKUP(C240,Foundation_Calc!$A$2:$C$986,3,1),
IF(J240&gt;0,VLOOKUP(J240,Foundation_Calc!$A$2:$C$986,3,1),""))</f>
        <v/>
      </c>
      <c r="AX240" s="8" t="str">
        <f>IF(C240&gt;0,VLOOKUP(C240,Foundation_Calc!$E$2:$G$986,3,1),
IF(J240&gt;0,VLOOKUP(J240,Foundation_Calc!$E$2:$G$986,3,1),""))</f>
        <v/>
      </c>
      <c r="AY240" s="631" t="str">
        <f>IF(L240="","",
IF(AX240="PT",VLOOKUP(L240,Foundation_Calc!$K$4:$R$37,VLOOKUP(AW240,Foundation_Calc!$I$2:$J$8,2,FALSE),0),
IF(AX240="K",VLOOKUP(L240,Foundation_Calc!$K$41:$R$74,VLOOKUP(AW240,Foundation_Calc!$I$2:$J$8,2,FALSE),0),"")))</f>
        <v/>
      </c>
      <c r="AZ240" s="631" t="str">
        <f>IF(K240="","",
IF(AX240="PT",VLOOKUP(K240,Foundation_Calc!$K$4:$R$37,VLOOKUP(AW240,Foundation_Calc!$I$2:$J$8,2,FALSE),0),
IF(AX240="K",VLOOKUP(K240,Foundation_Calc!$K$41:$R$74,VLOOKUP(AW240,Foundation_Calc!$I$2:$J$8,2,FALSE),0),"")))</f>
        <v/>
      </c>
      <c r="BA240" s="632" t="str">
        <f t="shared" si="51"/>
        <v/>
      </c>
      <c r="BB240" s="632" t="str">
        <f t="shared" si="52"/>
        <v/>
      </c>
      <c r="BC240" s="632" t="str">
        <f t="shared" si="53"/>
        <v/>
      </c>
      <c r="BD240" s="633" t="str">
        <f>IF(AND(L240="",H240=""),"",
IF(H240="",Pole_Calc!A268,
IF(H240="MP",Pole_Calc!A269,
IF(H240="AnMP",Pole_Calc!A270,
IF(H240="A",Pole_Calc!A271,
IF(H240="S/A",Pole_Calc!A272,
IF(H240="A/S",Pole_Calc!A273,"Poner a mano")))))))</f>
        <v/>
      </c>
      <c r="BE240" s="448" t="s">
        <v>1726</v>
      </c>
      <c r="BF240" s="634"/>
      <c r="BG240" s="634"/>
      <c r="BH240" s="634"/>
      <c r="BI240" s="634"/>
    </row>
    <row r="241" spans="1:61" ht="16.2" customHeight="1">
      <c r="A241" s="12"/>
      <c r="B241" s="446"/>
      <c r="C241" s="89"/>
      <c r="D241" s="13"/>
      <c r="E241" s="14"/>
      <c r="F241" s="14"/>
      <c r="G241" s="15"/>
      <c r="H241" s="8"/>
      <c r="I241" s="8"/>
      <c r="J241" s="89"/>
      <c r="K241" s="8"/>
      <c r="L241" s="8"/>
      <c r="M241" s="8" t="str">
        <f>IF(L241="","",
IF(AX241="PT",VLOOKUP(L241,Foundation_Calc!$V$4:$X$37,VLOOKUP(AX241,Foundation_Calc!$I$10:$J$13,2,FALSE),0),
IF(AX241="K",VLOOKUP(L241,Foundation_Calc!$V$41:$X$74,VLOOKUP(AX241,Foundation_Calc!$I$10:$J$13,2,FALSE),0),"")))</f>
        <v/>
      </c>
      <c r="N241" s="8"/>
      <c r="O241" s="8"/>
      <c r="P241" s="8"/>
      <c r="Q241" s="14"/>
      <c r="R241" s="15"/>
      <c r="S241" s="15"/>
      <c r="T241" s="14"/>
      <c r="U241" s="14"/>
      <c r="V241" s="14"/>
      <c r="W241" s="18"/>
      <c r="X241" s="18"/>
      <c r="Y241" s="18"/>
      <c r="Z241" s="18"/>
      <c r="AA241" s="18"/>
      <c r="AB241" s="18"/>
      <c r="AC241" s="8" t="str">
        <f t="shared" si="50"/>
        <v/>
      </c>
      <c r="AD241" s="8"/>
      <c r="AE241" s="8"/>
      <c r="AF241" s="14"/>
      <c r="AG241" s="13"/>
      <c r="AH241" s="14"/>
      <c r="AI241" s="14"/>
      <c r="AJ241" s="8"/>
      <c r="AK241" s="8"/>
      <c r="AL241" s="8"/>
      <c r="AM241" s="8"/>
      <c r="AN241" s="631"/>
      <c r="AO241" s="18"/>
      <c r="AP241" s="18"/>
      <c r="AQ241" s="18"/>
      <c r="AR241" s="18"/>
      <c r="AS241" s="18"/>
      <c r="AU241" s="448"/>
      <c r="AV241" s="448"/>
      <c r="AW241" s="8" t="str">
        <f>IF(C241&gt;0,VLOOKUP(C241,Foundation_Calc!$A$2:$C$986,3,1),
IF(J241&gt;0,VLOOKUP(J241,Foundation_Calc!$A$2:$C$986,3,1),""))</f>
        <v/>
      </c>
      <c r="AX241" s="8" t="str">
        <f>IF(C241&gt;0,VLOOKUP(C241,Foundation_Calc!$E$2:$G$986,3,1),
IF(J241&gt;0,VLOOKUP(J241,Foundation_Calc!$E$2:$G$986,3,1),""))</f>
        <v/>
      </c>
      <c r="AY241" s="631" t="str">
        <f>IF(L241="","",
IF(AX241="PT",VLOOKUP(L241,Foundation_Calc!$K$4:$R$37,VLOOKUP(AW241,Foundation_Calc!$I$2:$J$8,2,FALSE),0),
IF(AX241="K",VLOOKUP(L241,Foundation_Calc!$K$41:$R$74,VLOOKUP(AW241,Foundation_Calc!$I$2:$J$8,2,FALSE),0),"")))</f>
        <v/>
      </c>
      <c r="AZ241" s="631" t="str">
        <f>IF(K241="","",
IF(AX241="PT",VLOOKUP(K241,Foundation_Calc!$K$4:$R$37,VLOOKUP(AW241,Foundation_Calc!$I$2:$J$8,2,FALSE),0),
IF(AX241="K",VLOOKUP(K241,Foundation_Calc!$K$41:$R$74,VLOOKUP(AW241,Foundation_Calc!$I$2:$J$8,2,FALSE),0),"")))</f>
        <v/>
      </c>
      <c r="BA241" s="632" t="str">
        <f t="shared" si="51"/>
        <v/>
      </c>
      <c r="BB241" s="632" t="str">
        <f t="shared" si="52"/>
        <v/>
      </c>
      <c r="BC241" s="632" t="str">
        <f t="shared" si="53"/>
        <v/>
      </c>
      <c r="BD241" s="633" t="str">
        <f>IF(AND(L241="",H241=""),"",
IF(H241="",Pole_Calc!A269,
IF(H241="MP",Pole_Calc!A270,
IF(H241="AnMP",Pole_Calc!A271,
IF(H241="A",Pole_Calc!A272,
IF(H241="S/A",Pole_Calc!A273,
IF(H241="A/S",Pole_Calc!A274,"Poner a mano")))))))</f>
        <v/>
      </c>
      <c r="BE241" s="448" t="s">
        <v>1726</v>
      </c>
      <c r="BF241" s="635"/>
      <c r="BG241" s="635"/>
      <c r="BH241" s="634"/>
      <c r="BI241" s="635"/>
    </row>
    <row r="242" spans="1:61" ht="16.2" customHeight="1">
      <c r="A242" s="12"/>
      <c r="B242" s="446"/>
      <c r="C242" s="89"/>
      <c r="D242" s="13"/>
      <c r="E242" s="14"/>
      <c r="F242" s="14"/>
      <c r="G242" s="15"/>
      <c r="H242" s="8"/>
      <c r="I242" s="8"/>
      <c r="J242" s="89"/>
      <c r="K242" s="8"/>
      <c r="L242" s="8"/>
      <c r="M242" s="8" t="str">
        <f>IF(L242="","",
IF(AX242="PT",VLOOKUP(L242,Foundation_Calc!$V$4:$X$37,VLOOKUP(AX242,Foundation_Calc!$I$10:$J$13,2,FALSE),0),
IF(AX242="K",VLOOKUP(L242,Foundation_Calc!$V$41:$X$74,VLOOKUP(AX242,Foundation_Calc!$I$10:$J$13,2,FALSE),0),"")))</f>
        <v/>
      </c>
      <c r="N242" s="8"/>
      <c r="O242" s="8"/>
      <c r="P242" s="8"/>
      <c r="Q242" s="14"/>
      <c r="R242" s="15"/>
      <c r="S242" s="15"/>
      <c r="T242" s="14"/>
      <c r="U242" s="14"/>
      <c r="V242" s="14"/>
      <c r="W242" s="18"/>
      <c r="X242" s="18"/>
      <c r="Y242" s="18"/>
      <c r="Z242" s="18"/>
      <c r="AA242" s="18"/>
      <c r="AB242" s="18"/>
      <c r="AC242" s="8" t="str">
        <f t="shared" si="50"/>
        <v/>
      </c>
      <c r="AD242" s="8"/>
      <c r="AE242" s="8"/>
      <c r="AF242" s="14"/>
      <c r="AG242" s="13"/>
      <c r="AH242" s="14"/>
      <c r="AI242" s="14"/>
      <c r="AJ242" s="8"/>
      <c r="AK242" s="8"/>
      <c r="AL242" s="8"/>
      <c r="AM242" s="8"/>
      <c r="AN242" s="631"/>
      <c r="AO242" s="18"/>
      <c r="AP242" s="18"/>
      <c r="AQ242" s="18"/>
      <c r="AR242" s="18"/>
      <c r="AS242" s="18"/>
      <c r="AU242" s="448"/>
      <c r="AV242" s="448"/>
      <c r="AW242" s="8" t="str">
        <f>IF(C242&gt;0,VLOOKUP(C242,Foundation_Calc!$A$2:$C$986,3,1),
IF(J242&gt;0,VLOOKUP(J242,Foundation_Calc!$A$2:$C$986,3,1),""))</f>
        <v/>
      </c>
      <c r="AX242" s="8" t="str">
        <f>IF(C242&gt;0,VLOOKUP(C242,Foundation_Calc!$E$2:$G$986,3,1),
IF(J242&gt;0,VLOOKUP(J242,Foundation_Calc!$E$2:$G$986,3,1),""))</f>
        <v/>
      </c>
      <c r="AY242" s="631" t="str">
        <f>IF(L242="","",
IF(AX242="PT",VLOOKUP(L242,Foundation_Calc!$K$4:$R$37,VLOOKUP(AW242,Foundation_Calc!$I$2:$J$8,2,FALSE),0),
IF(AX242="K",VLOOKUP(L242,Foundation_Calc!$K$41:$R$74,VLOOKUP(AW242,Foundation_Calc!$I$2:$J$8,2,FALSE),0),"")))</f>
        <v/>
      </c>
      <c r="AZ242" s="631" t="str">
        <f>IF(K242="","",
IF(AX242="PT",VLOOKUP(K242,Foundation_Calc!$K$4:$R$37,VLOOKUP(AW242,Foundation_Calc!$I$2:$J$8,2,FALSE),0),
IF(AX242="K",VLOOKUP(K242,Foundation_Calc!$K$41:$R$74,VLOOKUP(AW242,Foundation_Calc!$I$2:$J$8,2,FALSE),0),"")))</f>
        <v/>
      </c>
      <c r="BA242" s="632" t="str">
        <f t="shared" si="51"/>
        <v/>
      </c>
      <c r="BB242" s="632" t="str">
        <f t="shared" si="52"/>
        <v/>
      </c>
      <c r="BC242" s="632" t="str">
        <f t="shared" si="53"/>
        <v/>
      </c>
      <c r="BD242" s="633" t="str">
        <f>IF(AND(L242="",H242=""),"",
IF(H242="",Pole_Calc!A270,
IF(H242="MP",Pole_Calc!A271,
IF(H242="AnMP",Pole_Calc!A272,
IF(H242="A",Pole_Calc!A273,
IF(H242="S/A",Pole_Calc!A274,
IF(H242="A/S",Pole_Calc!A275,"Poner a mano")))))))</f>
        <v/>
      </c>
      <c r="BE242" s="448" t="s">
        <v>1726</v>
      </c>
      <c r="BF242" s="634"/>
      <c r="BG242" s="634"/>
      <c r="BH242" s="634"/>
      <c r="BI242" s="634"/>
    </row>
    <row r="243" spans="1:61" ht="16.2" customHeight="1">
      <c r="A243" s="12"/>
      <c r="B243" s="446"/>
      <c r="C243" s="89"/>
      <c r="D243" s="13"/>
      <c r="E243" s="14"/>
      <c r="F243" s="14"/>
      <c r="G243" s="15"/>
      <c r="H243" s="8"/>
      <c r="I243" s="8"/>
      <c r="J243" s="89"/>
      <c r="K243" s="8"/>
      <c r="L243" s="8"/>
      <c r="M243" s="8" t="str">
        <f>IF(L243="","",
IF(AX243="PT",VLOOKUP(L243,Foundation_Calc!$V$4:$X$37,VLOOKUP(AX243,Foundation_Calc!$I$10:$J$13,2,FALSE),0),
IF(AX243="K",VLOOKUP(L243,Foundation_Calc!$V$41:$X$74,VLOOKUP(AX243,Foundation_Calc!$I$10:$J$13,2,FALSE),0),"")))</f>
        <v/>
      </c>
      <c r="N243" s="8"/>
      <c r="O243" s="8"/>
      <c r="P243" s="8"/>
      <c r="Q243" s="14"/>
      <c r="R243" s="15"/>
      <c r="S243" s="15"/>
      <c r="T243" s="14"/>
      <c r="U243" s="14"/>
      <c r="V243" s="14"/>
      <c r="W243" s="18"/>
      <c r="X243" s="18"/>
      <c r="Y243" s="18"/>
      <c r="Z243" s="18"/>
      <c r="AA243" s="18"/>
      <c r="AB243" s="18"/>
      <c r="AC243" s="8" t="str">
        <f t="shared" si="50"/>
        <v/>
      </c>
      <c r="AD243" s="8"/>
      <c r="AE243" s="8"/>
      <c r="AF243" s="14"/>
      <c r="AG243" s="13"/>
      <c r="AH243" s="14"/>
      <c r="AI243" s="14"/>
      <c r="AJ243" s="8"/>
      <c r="AK243" s="8"/>
      <c r="AL243" s="8"/>
      <c r="AM243" s="8"/>
      <c r="AN243" s="631"/>
      <c r="AO243" s="18"/>
      <c r="AP243" s="18"/>
      <c r="AQ243" s="18"/>
      <c r="AR243" s="18"/>
      <c r="AS243" s="18"/>
      <c r="AU243" s="448"/>
      <c r="AV243" s="448"/>
      <c r="AW243" s="8" t="str">
        <f>IF(C243&gt;0,VLOOKUP(C243,Foundation_Calc!$A$2:$C$986,3,1),
IF(J243&gt;0,VLOOKUP(J243,Foundation_Calc!$A$2:$C$986,3,1),""))</f>
        <v/>
      </c>
      <c r="AX243" s="8" t="str">
        <f>IF(C243&gt;0,VLOOKUP(C243,Foundation_Calc!$E$2:$G$986,3,1),
IF(J243&gt;0,VLOOKUP(J243,Foundation_Calc!$E$2:$G$986,3,1),""))</f>
        <v/>
      </c>
      <c r="AY243" s="631" t="str">
        <f>IF(L243="","",
IF(AX243="PT",VLOOKUP(L243,Foundation_Calc!$K$4:$R$37,VLOOKUP(AW243,Foundation_Calc!$I$2:$J$8,2,FALSE),0),
IF(AX243="K",VLOOKUP(L243,Foundation_Calc!$K$41:$R$74,VLOOKUP(AW243,Foundation_Calc!$I$2:$J$8,2,FALSE),0),"")))</f>
        <v/>
      </c>
      <c r="AZ243" s="631" t="str">
        <f>IF(K243="","",
IF(AX243="PT",VLOOKUP(K243,Foundation_Calc!$K$4:$R$37,VLOOKUP(AW243,Foundation_Calc!$I$2:$J$8,2,FALSE),0),
IF(AX243="K",VLOOKUP(K243,Foundation_Calc!$K$41:$R$74,VLOOKUP(AW243,Foundation_Calc!$I$2:$J$8,2,FALSE),0),"")))</f>
        <v/>
      </c>
      <c r="BA243" s="632" t="str">
        <f t="shared" si="51"/>
        <v/>
      </c>
      <c r="BB243" s="632" t="str">
        <f t="shared" si="52"/>
        <v/>
      </c>
      <c r="BC243" s="632" t="str">
        <f t="shared" si="53"/>
        <v/>
      </c>
      <c r="BD243" s="633" t="str">
        <f>IF(AND(L243="",H243=""),"",
IF(H243="",Pole_Calc!A271,
IF(H243="MP",Pole_Calc!A272,
IF(H243="AnMP",Pole_Calc!A273,
IF(H243="A",Pole_Calc!A274,
IF(H243="S/A",Pole_Calc!A275,
IF(H243="A/S",Pole_Calc!A276,"Poner a mano")))))))</f>
        <v/>
      </c>
      <c r="BE243" s="448" t="s">
        <v>1726</v>
      </c>
      <c r="BF243" s="635"/>
      <c r="BG243" s="635"/>
      <c r="BH243" s="634"/>
      <c r="BI243" s="635"/>
    </row>
    <row r="244" spans="1:61" ht="16.2" customHeight="1">
      <c r="A244" s="12"/>
      <c r="B244" s="446"/>
      <c r="C244" s="89"/>
      <c r="D244" s="13"/>
      <c r="E244" s="14"/>
      <c r="F244" s="14"/>
      <c r="G244" s="15"/>
      <c r="H244" s="8"/>
      <c r="I244" s="8"/>
      <c r="J244" s="89"/>
      <c r="K244" s="8"/>
      <c r="L244" s="8"/>
      <c r="M244" s="8" t="str">
        <f>IF(L244="","",
IF(AX244="PT",VLOOKUP(L244,Foundation_Calc!$V$4:$X$37,VLOOKUP(AX244,Foundation_Calc!$I$10:$J$13,2,FALSE),0),
IF(AX244="K",VLOOKUP(L244,Foundation_Calc!$V$41:$X$74,VLOOKUP(AX244,Foundation_Calc!$I$10:$J$13,2,FALSE),0),"")))</f>
        <v/>
      </c>
      <c r="N244" s="8"/>
      <c r="O244" s="8"/>
      <c r="P244" s="8"/>
      <c r="Q244" s="14"/>
      <c r="R244" s="15"/>
      <c r="S244" s="15"/>
      <c r="T244" s="14"/>
      <c r="U244" s="14"/>
      <c r="V244" s="14"/>
      <c r="W244" s="18"/>
      <c r="X244" s="18"/>
      <c r="Y244" s="18"/>
      <c r="Z244" s="18"/>
      <c r="AA244" s="18"/>
      <c r="AB244" s="18"/>
      <c r="AC244" s="8" t="str">
        <f t="shared" si="50"/>
        <v/>
      </c>
      <c r="AD244" s="8"/>
      <c r="AE244" s="8"/>
      <c r="AF244" s="14"/>
      <c r="AG244" s="13"/>
      <c r="AH244" s="14"/>
      <c r="AI244" s="14"/>
      <c r="AJ244" s="8"/>
      <c r="AK244" s="8"/>
      <c r="AL244" s="8"/>
      <c r="AM244" s="8"/>
      <c r="AN244" s="631"/>
      <c r="AO244" s="18"/>
      <c r="AP244" s="18"/>
      <c r="AQ244" s="18"/>
      <c r="AR244" s="18"/>
      <c r="AS244" s="18"/>
      <c r="AU244" s="448"/>
      <c r="AV244" s="448"/>
      <c r="AW244" s="8" t="str">
        <f>IF(C244&gt;0,VLOOKUP(C244,Foundation_Calc!$A$2:$C$986,3,1),
IF(J244&gt;0,VLOOKUP(J244,Foundation_Calc!$A$2:$C$986,3,1),""))</f>
        <v/>
      </c>
      <c r="AX244" s="8" t="str">
        <f>IF(C244&gt;0,VLOOKUP(C244,Foundation_Calc!$E$2:$G$986,3,1),
IF(J244&gt;0,VLOOKUP(J244,Foundation_Calc!$E$2:$G$986,3,1),""))</f>
        <v/>
      </c>
      <c r="AY244" s="631" t="str">
        <f>IF(L244="","",
IF(AX244="PT",VLOOKUP(L244,Foundation_Calc!$K$4:$R$37,VLOOKUP(AW244,Foundation_Calc!$I$2:$J$8,2,FALSE),0),
IF(AX244="K",VLOOKUP(L244,Foundation_Calc!$K$41:$R$74,VLOOKUP(AW244,Foundation_Calc!$I$2:$J$8,2,FALSE),0),"")))</f>
        <v/>
      </c>
      <c r="AZ244" s="631" t="str">
        <f>IF(K244="","",
IF(AX244="PT",VLOOKUP(K244,Foundation_Calc!$K$4:$R$37,VLOOKUP(AW244,Foundation_Calc!$I$2:$J$8,2,FALSE),0),
IF(AX244="K",VLOOKUP(K244,Foundation_Calc!$K$41:$R$74,VLOOKUP(AW244,Foundation_Calc!$I$2:$J$8,2,FALSE),0),"")))</f>
        <v/>
      </c>
      <c r="BA244" s="632" t="str">
        <f t="shared" si="51"/>
        <v/>
      </c>
      <c r="BB244" s="632" t="str">
        <f t="shared" si="52"/>
        <v/>
      </c>
      <c r="BC244" s="632" t="str">
        <f t="shared" si="53"/>
        <v/>
      </c>
      <c r="BD244" s="633" t="str">
        <f>IF(AND(L244="",H244=""),"",
IF(H244="",Pole_Calc!A272,
IF(H244="MP",Pole_Calc!A273,
IF(H244="AnMP",Pole_Calc!A274,
IF(H244="A",Pole_Calc!A275,
IF(H244="S/A",Pole_Calc!A276,
IF(H244="A/S",Pole_Calc!A277,"Poner a mano")))))))</f>
        <v/>
      </c>
      <c r="BE244" s="448" t="s">
        <v>1726</v>
      </c>
      <c r="BF244" s="634"/>
      <c r="BG244" s="634"/>
      <c r="BH244" s="634"/>
      <c r="BI244" s="634"/>
    </row>
    <row r="245" spans="1:61" ht="16.2" customHeight="1">
      <c r="A245" s="12"/>
      <c r="B245" s="446"/>
      <c r="C245" s="89"/>
      <c r="D245" s="13"/>
      <c r="E245" s="14"/>
      <c r="F245" s="14"/>
      <c r="G245" s="15"/>
      <c r="H245" s="8"/>
      <c r="I245" s="8"/>
      <c r="J245" s="89"/>
      <c r="K245" s="8"/>
      <c r="L245" s="8"/>
      <c r="M245" s="8" t="str">
        <f>IF(L245="","",
IF(AX245="PT",VLOOKUP(L245,Foundation_Calc!$V$4:$X$37,VLOOKUP(AX245,Foundation_Calc!$I$10:$J$13,2,FALSE),0),
IF(AX245="K",VLOOKUP(L245,Foundation_Calc!$V$41:$X$74,VLOOKUP(AX245,Foundation_Calc!$I$10:$J$13,2,FALSE),0),"")))</f>
        <v/>
      </c>
      <c r="N245" s="8"/>
      <c r="O245" s="8"/>
      <c r="P245" s="8"/>
      <c r="Q245" s="14"/>
      <c r="R245" s="15"/>
      <c r="S245" s="15"/>
      <c r="T245" s="14"/>
      <c r="U245" s="14"/>
      <c r="V245" s="14"/>
      <c r="W245" s="18"/>
      <c r="X245" s="18"/>
      <c r="Y245" s="18"/>
      <c r="Z245" s="18"/>
      <c r="AA245" s="18"/>
      <c r="AB245" s="18"/>
      <c r="AC245" s="8" t="str">
        <f t="shared" si="50"/>
        <v/>
      </c>
      <c r="AD245" s="8"/>
      <c r="AE245" s="8"/>
      <c r="AF245" s="14"/>
      <c r="AG245" s="13"/>
      <c r="AH245" s="14"/>
      <c r="AI245" s="14"/>
      <c r="AJ245" s="8"/>
      <c r="AK245" s="8"/>
      <c r="AL245" s="8"/>
      <c r="AM245" s="8"/>
      <c r="AN245" s="631"/>
      <c r="AO245" s="18"/>
      <c r="AP245" s="18"/>
      <c r="AQ245" s="18"/>
      <c r="AR245" s="18"/>
      <c r="AS245" s="18"/>
      <c r="AU245" s="448"/>
      <c r="AV245" s="448"/>
      <c r="AW245" s="8" t="str">
        <f>IF(C245&gt;0,VLOOKUP(C245,Foundation_Calc!$A$2:$C$986,3,1),
IF(J245&gt;0,VLOOKUP(J245,Foundation_Calc!$A$2:$C$986,3,1),""))</f>
        <v/>
      </c>
      <c r="AX245" s="8" t="str">
        <f>IF(C245&gt;0,VLOOKUP(C245,Foundation_Calc!$E$2:$G$986,3,1),
IF(J245&gt;0,VLOOKUP(J245,Foundation_Calc!$E$2:$G$986,3,1),""))</f>
        <v/>
      </c>
      <c r="AY245" s="631" t="str">
        <f>IF(L245="","",
IF(AX245="PT",VLOOKUP(L245,Foundation_Calc!$K$4:$R$37,VLOOKUP(AW245,Foundation_Calc!$I$2:$J$8,2,FALSE),0),
IF(AX245="K",VLOOKUP(L245,Foundation_Calc!$K$41:$R$74,VLOOKUP(AW245,Foundation_Calc!$I$2:$J$8,2,FALSE),0),"")))</f>
        <v/>
      </c>
      <c r="AZ245" s="631" t="str">
        <f>IF(K245="","",
IF(AX245="PT",VLOOKUP(K245,Foundation_Calc!$K$4:$R$37,VLOOKUP(AW245,Foundation_Calc!$I$2:$J$8,2,FALSE),0),
IF(AX245="K",VLOOKUP(K245,Foundation_Calc!$K$41:$R$74,VLOOKUP(AW245,Foundation_Calc!$I$2:$J$8,2,FALSE),0),"")))</f>
        <v/>
      </c>
      <c r="BA245" s="632" t="str">
        <f t="shared" si="51"/>
        <v/>
      </c>
      <c r="BB245" s="632" t="str">
        <f t="shared" si="52"/>
        <v/>
      </c>
      <c r="BC245" s="632" t="str">
        <f t="shared" si="53"/>
        <v/>
      </c>
      <c r="BD245" s="633" t="str">
        <f>IF(AND(L245="",H245=""),"",
IF(H245="",Pole_Calc!A273,
IF(H245="MP",Pole_Calc!A274,
IF(H245="AnMP",Pole_Calc!A275,
IF(H245="A",Pole_Calc!A276,
IF(H245="S/A",Pole_Calc!A277,
IF(H245="A/S",Pole_Calc!A278,"Poner a mano")))))))</f>
        <v/>
      </c>
      <c r="BE245" s="448" t="s">
        <v>1726</v>
      </c>
      <c r="BF245" s="635"/>
      <c r="BG245" s="635"/>
      <c r="BH245" s="634"/>
      <c r="BI245" s="635"/>
    </row>
    <row r="246" spans="1:61" ht="16.2" customHeight="1">
      <c r="A246" s="12"/>
      <c r="B246" s="446"/>
      <c r="C246" s="89"/>
      <c r="D246" s="13"/>
      <c r="E246" s="14"/>
      <c r="F246" s="14"/>
      <c r="G246" s="15"/>
      <c r="H246" s="8"/>
      <c r="I246" s="8"/>
      <c r="J246" s="89"/>
      <c r="K246" s="8"/>
      <c r="L246" s="8"/>
      <c r="M246" s="8" t="str">
        <f>IF(L246="","",
IF(AX246="PT",VLOOKUP(L246,Foundation_Calc!$V$4:$X$37,VLOOKUP(AX246,Foundation_Calc!$I$10:$J$13,2,FALSE),0),
IF(AX246="K",VLOOKUP(L246,Foundation_Calc!$V$41:$X$74,VLOOKUP(AX246,Foundation_Calc!$I$10:$J$13,2,FALSE),0),"")))</f>
        <v/>
      </c>
      <c r="N246" s="8"/>
      <c r="O246" s="8"/>
      <c r="P246" s="8"/>
      <c r="Q246" s="14"/>
      <c r="R246" s="15"/>
      <c r="S246" s="15"/>
      <c r="T246" s="14"/>
      <c r="U246" s="14"/>
      <c r="V246" s="14"/>
      <c r="W246" s="18"/>
      <c r="X246" s="18"/>
      <c r="Y246" s="18"/>
      <c r="Z246" s="18"/>
      <c r="AA246" s="18"/>
      <c r="AB246" s="18"/>
      <c r="AC246" s="8" t="str">
        <f t="shared" si="50"/>
        <v/>
      </c>
      <c r="AD246" s="8"/>
      <c r="AE246" s="8"/>
      <c r="AF246" s="14"/>
      <c r="AG246" s="13"/>
      <c r="AH246" s="14"/>
      <c r="AI246" s="14"/>
      <c r="AJ246" s="8"/>
      <c r="AK246" s="8"/>
      <c r="AL246" s="8"/>
      <c r="AM246" s="8"/>
      <c r="AN246" s="631"/>
      <c r="AO246" s="18"/>
      <c r="AP246" s="18"/>
      <c r="AQ246" s="18"/>
      <c r="AR246" s="18"/>
      <c r="AS246" s="18"/>
      <c r="AU246" s="448"/>
      <c r="AV246" s="448"/>
      <c r="AW246" s="8" t="str">
        <f>IF(C246&gt;0,VLOOKUP(C246,Foundation_Calc!$A$2:$C$986,3,1),
IF(J246&gt;0,VLOOKUP(J246,Foundation_Calc!$A$2:$C$986,3,1),""))</f>
        <v/>
      </c>
      <c r="AX246" s="8" t="str">
        <f>IF(C246&gt;0,VLOOKUP(C246,Foundation_Calc!$E$2:$G$986,3,1),
IF(J246&gt;0,VLOOKUP(J246,Foundation_Calc!$E$2:$G$986,3,1),""))</f>
        <v/>
      </c>
      <c r="AY246" s="631" t="str">
        <f>IF(L246="","",
IF(AX246="PT",VLOOKUP(L246,Foundation_Calc!$K$4:$R$37,VLOOKUP(AW246,Foundation_Calc!$I$2:$J$8,2,FALSE),0),
IF(AX246="K",VLOOKUP(L246,Foundation_Calc!$K$41:$R$74,VLOOKUP(AW246,Foundation_Calc!$I$2:$J$8,2,FALSE),0),"")))</f>
        <v/>
      </c>
      <c r="AZ246" s="631" t="str">
        <f>IF(K246="","",
IF(AX246="PT",VLOOKUP(K246,Foundation_Calc!$K$4:$R$37,VLOOKUP(AW246,Foundation_Calc!$I$2:$J$8,2,FALSE),0),
IF(AX246="K",VLOOKUP(K246,Foundation_Calc!$K$41:$R$74,VLOOKUP(AW246,Foundation_Calc!$I$2:$J$8,2,FALSE),0),"")))</f>
        <v/>
      </c>
      <c r="BA246" s="632" t="str">
        <f t="shared" si="51"/>
        <v/>
      </c>
      <c r="BB246" s="632" t="str">
        <f t="shared" si="52"/>
        <v/>
      </c>
      <c r="BC246" s="632" t="str">
        <f t="shared" si="53"/>
        <v/>
      </c>
      <c r="BD246" s="633" t="str">
        <f>IF(AND(L246="",H246=""),"",
IF(H246="",Pole_Calc!A274,
IF(H246="MP",Pole_Calc!A275,
IF(H246="AnMP",Pole_Calc!A276,
IF(H246="A",Pole_Calc!A277,
IF(H246="S/A",Pole_Calc!A278,
IF(H246="A/S",Pole_Calc!A279,"Poner a mano")))))))</f>
        <v/>
      </c>
      <c r="BE246" s="448" t="s">
        <v>1726</v>
      </c>
      <c r="BF246" s="634"/>
      <c r="BG246" s="634"/>
      <c r="BH246" s="634"/>
      <c r="BI246" s="634"/>
    </row>
    <row r="247" spans="1:61" ht="16.2" customHeight="1">
      <c r="A247" s="12"/>
      <c r="B247" s="446"/>
      <c r="C247" s="89"/>
      <c r="D247" s="13"/>
      <c r="E247" s="14"/>
      <c r="F247" s="14"/>
      <c r="G247" s="15"/>
      <c r="H247" s="8"/>
      <c r="I247" s="8"/>
      <c r="J247" s="89"/>
      <c r="K247" s="8"/>
      <c r="L247" s="8"/>
      <c r="M247" s="8" t="str">
        <f>IF(L247="","",
IF(AX247="PT",VLOOKUP(L247,Foundation_Calc!$V$4:$X$37,VLOOKUP(AX247,Foundation_Calc!$I$10:$J$13,2,FALSE),0),
IF(AX247="K",VLOOKUP(L247,Foundation_Calc!$V$41:$X$74,VLOOKUP(AX247,Foundation_Calc!$I$10:$J$13,2,FALSE),0),"")))</f>
        <v/>
      </c>
      <c r="N247" s="8"/>
      <c r="O247" s="8"/>
      <c r="P247" s="8"/>
      <c r="Q247" s="14"/>
      <c r="R247" s="15"/>
      <c r="S247" s="15"/>
      <c r="T247" s="14"/>
      <c r="U247" s="14"/>
      <c r="V247" s="14"/>
      <c r="W247" s="18"/>
      <c r="X247" s="18"/>
      <c r="Y247" s="18"/>
      <c r="Z247" s="18"/>
      <c r="AA247" s="18"/>
      <c r="AB247" s="18"/>
      <c r="AC247" s="8" t="str">
        <f t="shared" si="50"/>
        <v/>
      </c>
      <c r="AD247" s="8"/>
      <c r="AE247" s="8"/>
      <c r="AF247" s="14"/>
      <c r="AG247" s="13"/>
      <c r="AH247" s="14"/>
      <c r="AI247" s="14"/>
      <c r="AJ247" s="8"/>
      <c r="AK247" s="8"/>
      <c r="AL247" s="8"/>
      <c r="AM247" s="8"/>
      <c r="AN247" s="631"/>
      <c r="AO247" s="18"/>
      <c r="AP247" s="18"/>
      <c r="AQ247" s="18"/>
      <c r="AR247" s="18"/>
      <c r="AS247" s="18"/>
      <c r="AU247" s="448"/>
      <c r="AV247" s="448"/>
      <c r="AW247" s="8" t="str">
        <f>IF(C247&gt;0,VLOOKUP(C247,Foundation_Calc!$A$2:$C$986,3,1),
IF(J247&gt;0,VLOOKUP(J247,Foundation_Calc!$A$2:$C$986,3,1),""))</f>
        <v/>
      </c>
      <c r="AX247" s="8" t="str">
        <f>IF(C247&gt;0,VLOOKUP(C247,Foundation_Calc!$E$2:$G$986,3,1),
IF(J247&gt;0,VLOOKUP(J247,Foundation_Calc!$E$2:$G$986,3,1),""))</f>
        <v/>
      </c>
      <c r="AY247" s="631" t="str">
        <f>IF(L247="","",
IF(AX247="PT",VLOOKUP(L247,Foundation_Calc!$K$4:$R$37,VLOOKUP(AW247,Foundation_Calc!$I$2:$J$8,2,FALSE),0),
IF(AX247="K",VLOOKUP(L247,Foundation_Calc!$K$41:$R$74,VLOOKUP(AW247,Foundation_Calc!$I$2:$J$8,2,FALSE),0),"")))</f>
        <v/>
      </c>
      <c r="AZ247" s="631" t="str">
        <f>IF(K247="","",
IF(AX247="PT",VLOOKUP(K247,Foundation_Calc!$K$4:$R$37,VLOOKUP(AW247,Foundation_Calc!$I$2:$J$8,2,FALSE),0),
IF(AX247="K",VLOOKUP(K247,Foundation_Calc!$K$41:$R$74,VLOOKUP(AW247,Foundation_Calc!$I$2:$J$8,2,FALSE),0),"")))</f>
        <v/>
      </c>
      <c r="BA247" s="632" t="str">
        <f t="shared" si="51"/>
        <v/>
      </c>
      <c r="BB247" s="632" t="str">
        <f t="shared" si="52"/>
        <v/>
      </c>
      <c r="BC247" s="632" t="str">
        <f t="shared" si="53"/>
        <v/>
      </c>
      <c r="BD247" s="633" t="str">
        <f>IF(AND(L247="",H247=""),"",
IF(H247="",Pole_Calc!A275,
IF(H247="MP",Pole_Calc!A276,
IF(H247="AnMP",Pole_Calc!A277,
IF(H247="A",Pole_Calc!A278,
IF(H247="S/A",Pole_Calc!A279,
IF(H247="A/S",Pole_Calc!A280,"Poner a mano")))))))</f>
        <v/>
      </c>
      <c r="BE247" s="448" t="s">
        <v>1726</v>
      </c>
      <c r="BF247" s="635"/>
      <c r="BG247" s="635"/>
      <c r="BH247" s="634"/>
      <c r="BI247" s="635"/>
    </row>
    <row r="248" spans="1:61" ht="16.2" customHeight="1">
      <c r="A248" s="12"/>
      <c r="B248" s="446"/>
      <c r="C248" s="89"/>
      <c r="D248" s="13"/>
      <c r="E248" s="14"/>
      <c r="F248" s="14"/>
      <c r="G248" s="15"/>
      <c r="H248" s="8"/>
      <c r="I248" s="8"/>
      <c r="J248" s="89"/>
      <c r="K248" s="8"/>
      <c r="L248" s="8"/>
      <c r="M248" s="8" t="str">
        <f>IF(L248="","",
IF(AX248="PT",VLOOKUP(L248,Foundation_Calc!$V$4:$X$37,VLOOKUP(AX248,Foundation_Calc!$I$10:$J$13,2,FALSE),0),
IF(AX248="K",VLOOKUP(L248,Foundation_Calc!$V$41:$X$74,VLOOKUP(AX248,Foundation_Calc!$I$10:$J$13,2,FALSE),0),"")))</f>
        <v/>
      </c>
      <c r="N248" s="8"/>
      <c r="O248" s="8"/>
      <c r="P248" s="8"/>
      <c r="Q248" s="14"/>
      <c r="R248" s="15"/>
      <c r="S248" s="15"/>
      <c r="T248" s="14"/>
      <c r="U248" s="14"/>
      <c r="V248" s="14"/>
      <c r="W248" s="18"/>
      <c r="X248" s="18"/>
      <c r="Y248" s="18"/>
      <c r="Z248" s="18"/>
      <c r="AA248" s="18"/>
      <c r="AB248" s="18"/>
      <c r="AC248" s="8" t="str">
        <f t="shared" si="50"/>
        <v/>
      </c>
      <c r="AD248" s="8"/>
      <c r="AE248" s="8"/>
      <c r="AF248" s="14"/>
      <c r="AG248" s="13"/>
      <c r="AH248" s="14"/>
      <c r="AI248" s="14"/>
      <c r="AJ248" s="8"/>
      <c r="AK248" s="8"/>
      <c r="AL248" s="8"/>
      <c r="AM248" s="8"/>
      <c r="AN248" s="631"/>
      <c r="AO248" s="18"/>
      <c r="AP248" s="18"/>
      <c r="AQ248" s="18"/>
      <c r="AR248" s="18"/>
      <c r="AS248" s="18"/>
      <c r="AU248" s="448"/>
      <c r="AV248" s="448"/>
      <c r="AW248" s="8" t="str">
        <f>IF(C248&gt;0,VLOOKUP(C248,Foundation_Calc!$A$2:$C$986,3,1),
IF(J248&gt;0,VLOOKUP(J248,Foundation_Calc!$A$2:$C$986,3,1),""))</f>
        <v/>
      </c>
      <c r="AX248" s="8" t="str">
        <f>IF(C248&gt;0,VLOOKUP(C248,Foundation_Calc!$E$2:$G$986,3,1),
IF(J248&gt;0,VLOOKUP(J248,Foundation_Calc!$E$2:$G$986,3,1),""))</f>
        <v/>
      </c>
      <c r="AY248" s="631" t="str">
        <f>IF(L248="","",
IF(AX248="PT",VLOOKUP(L248,Foundation_Calc!$K$4:$R$37,VLOOKUP(AW248,Foundation_Calc!$I$2:$J$8,2,FALSE),0),
IF(AX248="K",VLOOKUP(L248,Foundation_Calc!$K$41:$R$74,VLOOKUP(AW248,Foundation_Calc!$I$2:$J$8,2,FALSE),0),"")))</f>
        <v/>
      </c>
      <c r="AZ248" s="631" t="str">
        <f>IF(K248="","",
IF(AX248="PT",VLOOKUP(K248,Foundation_Calc!$K$4:$R$37,VLOOKUP(AW248,Foundation_Calc!$I$2:$J$8,2,FALSE),0),
IF(AX248="K",VLOOKUP(K248,Foundation_Calc!$K$41:$R$74,VLOOKUP(AW248,Foundation_Calc!$I$2:$J$8,2,FALSE),0),"")))</f>
        <v/>
      </c>
      <c r="BA248" s="632" t="str">
        <f t="shared" si="51"/>
        <v/>
      </c>
      <c r="BB248" s="632" t="str">
        <f t="shared" si="52"/>
        <v/>
      </c>
      <c r="BC248" s="632" t="str">
        <f t="shared" si="53"/>
        <v/>
      </c>
      <c r="BD248" s="633" t="str">
        <f>IF(AND(L248="",H248=""),"",
IF(H248="",Pole_Calc!A276,
IF(H248="MP",Pole_Calc!A277,
IF(H248="AnMP",Pole_Calc!A278,
IF(H248="A",Pole_Calc!A279,
IF(H248="S/A",Pole_Calc!A280,
IF(H248="A/S",Pole_Calc!A281,"Poner a mano")))))))</f>
        <v/>
      </c>
      <c r="BE248" s="448" t="s">
        <v>1726</v>
      </c>
      <c r="BF248" s="634"/>
      <c r="BG248" s="634"/>
      <c r="BH248" s="634"/>
      <c r="BI248" s="634"/>
    </row>
    <row r="249" spans="1:61" ht="16.2" customHeight="1">
      <c r="A249" s="12"/>
      <c r="B249" s="446"/>
      <c r="C249" s="89"/>
      <c r="D249" s="13"/>
      <c r="E249" s="14"/>
      <c r="F249" s="14"/>
      <c r="G249" s="15"/>
      <c r="H249" s="8"/>
      <c r="I249" s="8"/>
      <c r="J249" s="89"/>
      <c r="K249" s="8"/>
      <c r="L249" s="8"/>
      <c r="M249" s="8" t="str">
        <f>IF(L249="","",
IF(AX249="PT",VLOOKUP(L249,Foundation_Calc!$V$4:$X$37,VLOOKUP(AX249,Foundation_Calc!$I$10:$J$13,2,FALSE),0),
IF(AX249="K",VLOOKUP(L249,Foundation_Calc!$V$41:$X$74,VLOOKUP(AX249,Foundation_Calc!$I$10:$J$13,2,FALSE),0),"")))</f>
        <v/>
      </c>
      <c r="N249" s="8"/>
      <c r="O249" s="8"/>
      <c r="P249" s="8"/>
      <c r="Q249" s="14"/>
      <c r="R249" s="15"/>
      <c r="S249" s="15"/>
      <c r="T249" s="14"/>
      <c r="U249" s="14"/>
      <c r="V249" s="14"/>
      <c r="W249" s="18"/>
      <c r="X249" s="18"/>
      <c r="Y249" s="18"/>
      <c r="Z249" s="18"/>
      <c r="AA249" s="18"/>
      <c r="AB249" s="18"/>
      <c r="AC249" s="8" t="str">
        <f t="shared" si="50"/>
        <v/>
      </c>
      <c r="AD249" s="8"/>
      <c r="AE249" s="8"/>
      <c r="AF249" s="14"/>
      <c r="AG249" s="13"/>
      <c r="AH249" s="14"/>
      <c r="AI249" s="14"/>
      <c r="AJ249" s="8"/>
      <c r="AK249" s="8"/>
      <c r="AL249" s="8"/>
      <c r="AM249" s="8"/>
      <c r="AN249" s="631"/>
      <c r="AO249" s="18"/>
      <c r="AP249" s="18"/>
      <c r="AQ249" s="18"/>
      <c r="AR249" s="18"/>
      <c r="AS249" s="18"/>
      <c r="AU249" s="448"/>
      <c r="AV249" s="448"/>
      <c r="AW249" s="8" t="str">
        <f>IF(C249&gt;0,VLOOKUP(C249,Foundation_Calc!$A$2:$C$986,3,1),
IF(J249&gt;0,VLOOKUP(J249,Foundation_Calc!$A$2:$C$986,3,1),""))</f>
        <v/>
      </c>
      <c r="AX249" s="8" t="str">
        <f>IF(C249&gt;0,VLOOKUP(C249,Foundation_Calc!$E$2:$G$986,3,1),
IF(J249&gt;0,VLOOKUP(J249,Foundation_Calc!$E$2:$G$986,3,1),""))</f>
        <v/>
      </c>
      <c r="AY249" s="631" t="str">
        <f>IF(L249="","",
IF(AX249="PT",VLOOKUP(L249,Foundation_Calc!$K$4:$R$37,VLOOKUP(AW249,Foundation_Calc!$I$2:$J$8,2,FALSE),0),
IF(AX249="K",VLOOKUP(L249,Foundation_Calc!$K$41:$R$74,VLOOKUP(AW249,Foundation_Calc!$I$2:$J$8,2,FALSE),0),"")))</f>
        <v/>
      </c>
      <c r="AZ249" s="631" t="str">
        <f>IF(K249="","",
IF(AX249="PT",VLOOKUP(K249,Foundation_Calc!$K$4:$R$37,VLOOKUP(AW249,Foundation_Calc!$I$2:$J$8,2,FALSE),0),
IF(AX249="K",VLOOKUP(K249,Foundation_Calc!$K$41:$R$74,VLOOKUP(AW249,Foundation_Calc!$I$2:$J$8,2,FALSE),0),"")))</f>
        <v/>
      </c>
      <c r="BA249" s="632" t="str">
        <f t="shared" si="51"/>
        <v/>
      </c>
      <c r="BB249" s="632" t="str">
        <f t="shared" si="52"/>
        <v/>
      </c>
      <c r="BC249" s="632" t="str">
        <f t="shared" si="53"/>
        <v/>
      </c>
      <c r="BD249" s="633" t="str">
        <f>IF(AND(L249="",H249=""),"",
IF(H249="",Pole_Calc!A277,
IF(H249="MP",Pole_Calc!A278,
IF(H249="AnMP",Pole_Calc!A279,
IF(H249="A",Pole_Calc!A280,
IF(H249="S/A",Pole_Calc!A281,
IF(H249="A/S",Pole_Calc!A282,"Poner a mano")))))))</f>
        <v/>
      </c>
      <c r="BE249" s="448" t="s">
        <v>1726</v>
      </c>
      <c r="BF249" s="635"/>
      <c r="BG249" s="635"/>
      <c r="BH249" s="634"/>
      <c r="BI249" s="635"/>
    </row>
    <row r="250" spans="1:61" ht="16.2" customHeight="1">
      <c r="A250" s="12"/>
      <c r="B250" s="446"/>
      <c r="C250" s="89"/>
      <c r="D250" s="13"/>
      <c r="E250" s="14"/>
      <c r="F250" s="14"/>
      <c r="G250" s="15"/>
      <c r="H250" s="8"/>
      <c r="I250" s="8"/>
      <c r="J250" s="89"/>
      <c r="K250" s="8"/>
      <c r="L250" s="8"/>
      <c r="M250" s="8" t="str">
        <f>IF(L250="","",
IF(AX250="PT",VLOOKUP(L250,Foundation_Calc!$V$4:$X$37,VLOOKUP(AX250,Foundation_Calc!$I$10:$J$13,2,FALSE),0),
IF(AX250="K",VLOOKUP(L250,Foundation_Calc!$V$41:$X$74,VLOOKUP(AX250,Foundation_Calc!$I$10:$J$13,2,FALSE),0),"")))</f>
        <v/>
      </c>
      <c r="N250" s="8"/>
      <c r="O250" s="8"/>
      <c r="P250" s="8"/>
      <c r="Q250" s="14"/>
      <c r="R250" s="15"/>
      <c r="S250" s="15"/>
      <c r="T250" s="14"/>
      <c r="U250" s="14"/>
      <c r="V250" s="14"/>
      <c r="W250" s="18"/>
      <c r="X250" s="18"/>
      <c r="Y250" s="18"/>
      <c r="Z250" s="18"/>
      <c r="AA250" s="18"/>
      <c r="AB250" s="18"/>
      <c r="AC250" s="8" t="str">
        <f t="shared" si="50"/>
        <v/>
      </c>
      <c r="AD250" s="8"/>
      <c r="AE250" s="8"/>
      <c r="AF250" s="14"/>
      <c r="AG250" s="13"/>
      <c r="AH250" s="14"/>
      <c r="AI250" s="14"/>
      <c r="AJ250" s="8"/>
      <c r="AK250" s="8"/>
      <c r="AL250" s="8"/>
      <c r="AM250" s="8"/>
      <c r="AN250" s="631"/>
      <c r="AO250" s="18"/>
      <c r="AP250" s="18"/>
      <c r="AQ250" s="18"/>
      <c r="AR250" s="18"/>
      <c r="AS250" s="18"/>
      <c r="AU250" s="448"/>
      <c r="AV250" s="448"/>
      <c r="AW250" s="8" t="str">
        <f>IF(C250&gt;0,VLOOKUP(C250,Foundation_Calc!$A$2:$C$986,3,1),
IF(J250&gt;0,VLOOKUP(J250,Foundation_Calc!$A$2:$C$986,3,1),""))</f>
        <v/>
      </c>
      <c r="AX250" s="8" t="str">
        <f>IF(C250&gt;0,VLOOKUP(C250,Foundation_Calc!$E$2:$G$986,3,1),
IF(J250&gt;0,VLOOKUP(J250,Foundation_Calc!$E$2:$G$986,3,1),""))</f>
        <v/>
      </c>
      <c r="AY250" s="631" t="str">
        <f>IF(L250="","",
IF(AX250="PT",VLOOKUP(L250,Foundation_Calc!$K$4:$R$37,VLOOKUP(AW250,Foundation_Calc!$I$2:$J$8,2,FALSE),0),
IF(AX250="K",VLOOKUP(L250,Foundation_Calc!$K$41:$R$74,VLOOKUP(AW250,Foundation_Calc!$I$2:$J$8,2,FALSE),0),"")))</f>
        <v/>
      </c>
      <c r="AZ250" s="631" t="str">
        <f>IF(K250="","",
IF(AX250="PT",VLOOKUP(K250,Foundation_Calc!$K$4:$R$37,VLOOKUP(AW250,Foundation_Calc!$I$2:$J$8,2,FALSE),0),
IF(AX250="K",VLOOKUP(K250,Foundation_Calc!$K$41:$R$74,VLOOKUP(AW250,Foundation_Calc!$I$2:$J$8,2,FALSE),0),"")))</f>
        <v/>
      </c>
      <c r="BA250" s="632" t="str">
        <f t="shared" si="51"/>
        <v/>
      </c>
      <c r="BB250" s="632" t="str">
        <f t="shared" si="52"/>
        <v/>
      </c>
      <c r="BC250" s="632" t="str">
        <f t="shared" si="53"/>
        <v/>
      </c>
      <c r="BD250" s="633" t="str">
        <f>IF(AND(L250="",H250=""),"",
IF(H250="",Pole_Calc!A278,
IF(H250="MP",Pole_Calc!A279,
IF(H250="AnMP",Pole_Calc!A280,
IF(H250="A",Pole_Calc!A281,
IF(H250="S/A",Pole_Calc!A282,
IF(H250="A/S",Pole_Calc!A283,"Poner a mano")))))))</f>
        <v/>
      </c>
      <c r="BE250" s="448" t="s">
        <v>1726</v>
      </c>
      <c r="BF250" s="634"/>
      <c r="BG250" s="634"/>
      <c r="BH250" s="634"/>
      <c r="BI250" s="634"/>
    </row>
    <row r="251" spans="1:61" ht="16.2" customHeight="1">
      <c r="A251" s="12"/>
      <c r="B251" s="446"/>
      <c r="C251" s="89"/>
      <c r="D251" s="13"/>
      <c r="E251" s="14"/>
      <c r="F251" s="14"/>
      <c r="G251" s="15"/>
      <c r="H251" s="8"/>
      <c r="I251" s="8"/>
      <c r="J251" s="89"/>
      <c r="K251" s="8"/>
      <c r="L251" s="8"/>
      <c r="M251" s="8" t="str">
        <f>IF(L251="","",
IF(AX251="PT",VLOOKUP(L251,Foundation_Calc!$V$4:$X$37,VLOOKUP(AX251,Foundation_Calc!$I$10:$J$13,2,FALSE),0),
IF(AX251="K",VLOOKUP(L251,Foundation_Calc!$V$41:$X$74,VLOOKUP(AX251,Foundation_Calc!$I$10:$J$13,2,FALSE),0),"")))</f>
        <v/>
      </c>
      <c r="N251" s="8"/>
      <c r="O251" s="8"/>
      <c r="P251" s="8"/>
      <c r="Q251" s="14"/>
      <c r="R251" s="15"/>
      <c r="S251" s="15"/>
      <c r="T251" s="14"/>
      <c r="U251" s="14"/>
      <c r="V251" s="14"/>
      <c r="W251" s="18"/>
      <c r="X251" s="18"/>
      <c r="Y251" s="18"/>
      <c r="Z251" s="18"/>
      <c r="AA251" s="18"/>
      <c r="AB251" s="18"/>
      <c r="AC251" s="8" t="str">
        <f t="shared" si="50"/>
        <v/>
      </c>
      <c r="AD251" s="8"/>
      <c r="AE251" s="8"/>
      <c r="AF251" s="14"/>
      <c r="AG251" s="13"/>
      <c r="AH251" s="14"/>
      <c r="AI251" s="14"/>
      <c r="AJ251" s="8"/>
      <c r="AK251" s="8"/>
      <c r="AL251" s="8"/>
      <c r="AM251" s="8"/>
      <c r="AN251" s="631"/>
      <c r="AO251" s="18"/>
      <c r="AP251" s="18"/>
      <c r="AQ251" s="18"/>
      <c r="AR251" s="18"/>
      <c r="AS251" s="18"/>
      <c r="AU251" s="448"/>
      <c r="AV251" s="448"/>
      <c r="AW251" s="8" t="str">
        <f>IF(C251&gt;0,VLOOKUP(C251,Foundation_Calc!$A$2:$C$986,3,1),
IF(J251&gt;0,VLOOKUP(J251,Foundation_Calc!$A$2:$C$986,3,1),""))</f>
        <v/>
      </c>
      <c r="AX251" s="8" t="str">
        <f>IF(C251&gt;0,VLOOKUP(C251,Foundation_Calc!$E$2:$G$986,3,1),
IF(J251&gt;0,VLOOKUP(J251,Foundation_Calc!$E$2:$G$986,3,1),""))</f>
        <v/>
      </c>
      <c r="AY251" s="631" t="str">
        <f>IF(L251="","",
IF(AX251="PT",VLOOKUP(L251,Foundation_Calc!$K$4:$R$37,VLOOKUP(AW251,Foundation_Calc!$I$2:$J$8,2,FALSE),0),
IF(AX251="K",VLOOKUP(L251,Foundation_Calc!$K$41:$R$74,VLOOKUP(AW251,Foundation_Calc!$I$2:$J$8,2,FALSE),0),"")))</f>
        <v/>
      </c>
      <c r="AZ251" s="631" t="str">
        <f>IF(K251="","",
IF(AX251="PT",VLOOKUP(K251,Foundation_Calc!$K$4:$R$37,VLOOKUP(AW251,Foundation_Calc!$I$2:$J$8,2,FALSE),0),
IF(AX251="K",VLOOKUP(K251,Foundation_Calc!$K$41:$R$74,VLOOKUP(AW251,Foundation_Calc!$I$2:$J$8,2,FALSE),0),"")))</f>
        <v/>
      </c>
      <c r="BA251" s="632" t="str">
        <f t="shared" si="51"/>
        <v/>
      </c>
      <c r="BB251" s="632" t="str">
        <f t="shared" si="52"/>
        <v/>
      </c>
      <c r="BC251" s="632" t="str">
        <f t="shared" si="53"/>
        <v/>
      </c>
      <c r="BD251" s="633" t="str">
        <f>IF(AND(L251="",H251=""),"",
IF(H251="",Pole_Calc!A279,
IF(H251="MP",Pole_Calc!A280,
IF(H251="AnMP",Pole_Calc!A281,
IF(H251="A",Pole_Calc!A282,
IF(H251="S/A",Pole_Calc!A283,
IF(H251="A/S",Pole_Calc!A284,"Poner a mano")))))))</f>
        <v/>
      </c>
      <c r="BE251" s="448" t="s">
        <v>1726</v>
      </c>
      <c r="BF251" s="635"/>
      <c r="BG251" s="635"/>
      <c r="BH251" s="634"/>
      <c r="BI251" s="635"/>
    </row>
    <row r="252" spans="1:61" ht="16.2" customHeight="1">
      <c r="A252" s="12"/>
      <c r="B252" s="446"/>
      <c r="C252" s="89"/>
      <c r="D252" s="13"/>
      <c r="E252" s="14"/>
      <c r="F252" s="14"/>
      <c r="G252" s="15"/>
      <c r="H252" s="8"/>
      <c r="I252" s="8"/>
      <c r="J252" s="89"/>
      <c r="K252" s="8"/>
      <c r="L252" s="8"/>
      <c r="M252" s="8" t="str">
        <f>IF(L252="","",
IF(AX252="PT",VLOOKUP(L252,Foundation_Calc!$V$4:$X$37,VLOOKUP(AX252,Foundation_Calc!$I$10:$J$13,2,FALSE),0),
IF(AX252="K",VLOOKUP(L252,Foundation_Calc!$V$41:$X$74,VLOOKUP(AX252,Foundation_Calc!$I$10:$J$13,2,FALSE),0),"")))</f>
        <v/>
      </c>
      <c r="N252" s="8"/>
      <c r="O252" s="8"/>
      <c r="P252" s="8"/>
      <c r="Q252" s="14"/>
      <c r="R252" s="15"/>
      <c r="S252" s="15"/>
      <c r="T252" s="14"/>
      <c r="U252" s="14"/>
      <c r="V252" s="14"/>
      <c r="W252" s="18"/>
      <c r="X252" s="18"/>
      <c r="Y252" s="18"/>
      <c r="Z252" s="18"/>
      <c r="AA252" s="18"/>
      <c r="AB252" s="18"/>
      <c r="AC252" s="8" t="str">
        <f t="shared" si="50"/>
        <v/>
      </c>
      <c r="AD252" s="8"/>
      <c r="AE252" s="8"/>
      <c r="AF252" s="14"/>
      <c r="AG252" s="13"/>
      <c r="AH252" s="14"/>
      <c r="AI252" s="14"/>
      <c r="AJ252" s="8"/>
      <c r="AK252" s="8"/>
      <c r="AL252" s="8"/>
      <c r="AM252" s="8"/>
      <c r="AN252" s="631"/>
      <c r="AO252" s="18"/>
      <c r="AP252" s="18"/>
      <c r="AQ252" s="18"/>
      <c r="AR252" s="18"/>
      <c r="AS252" s="18"/>
      <c r="AU252" s="448"/>
      <c r="AV252" s="448"/>
      <c r="AW252" s="8" t="str">
        <f>IF(C252&gt;0,VLOOKUP(C252,Foundation_Calc!$A$2:$C$986,3,1),
IF(J252&gt;0,VLOOKUP(J252,Foundation_Calc!$A$2:$C$986,3,1),""))</f>
        <v/>
      </c>
      <c r="AX252" s="8" t="str">
        <f>IF(C252&gt;0,VLOOKUP(C252,Foundation_Calc!$E$2:$G$986,3,1),
IF(J252&gt;0,VLOOKUP(J252,Foundation_Calc!$E$2:$G$986,3,1),""))</f>
        <v/>
      </c>
      <c r="AY252" s="631" t="str">
        <f>IF(L252="","",
IF(AX252="PT",VLOOKUP(L252,Foundation_Calc!$K$4:$R$37,VLOOKUP(AW252,Foundation_Calc!$I$2:$J$8,2,FALSE),0),
IF(AX252="K",VLOOKUP(L252,Foundation_Calc!$K$41:$R$74,VLOOKUP(AW252,Foundation_Calc!$I$2:$J$8,2,FALSE),0),"")))</f>
        <v/>
      </c>
      <c r="AZ252" s="631" t="str">
        <f>IF(K252="","",
IF(AX252="PT",VLOOKUP(K252,Foundation_Calc!$K$4:$R$37,VLOOKUP(AW252,Foundation_Calc!$I$2:$J$8,2,FALSE),0),
IF(AX252="K",VLOOKUP(K252,Foundation_Calc!$K$41:$R$74,VLOOKUP(AW252,Foundation_Calc!$I$2:$J$8,2,FALSE),0),"")))</f>
        <v/>
      </c>
      <c r="BA252" s="632" t="str">
        <f t="shared" si="51"/>
        <v/>
      </c>
      <c r="BB252" s="632" t="str">
        <f t="shared" si="52"/>
        <v/>
      </c>
      <c r="BC252" s="632" t="str">
        <f t="shared" si="53"/>
        <v/>
      </c>
      <c r="BD252" s="633" t="str">
        <f>IF(AND(L252="",H252=""),"",
IF(H252="",Pole_Calc!A280,
IF(H252="MP",Pole_Calc!A281,
IF(H252="AnMP",Pole_Calc!A282,
IF(H252="A",Pole_Calc!A283,
IF(H252="S/A",Pole_Calc!A284,
IF(H252="A/S",Pole_Calc!A285,"Poner a mano")))))))</f>
        <v/>
      </c>
      <c r="BE252" s="448" t="s">
        <v>1726</v>
      </c>
      <c r="BF252" s="634"/>
      <c r="BG252" s="634"/>
      <c r="BH252" s="634"/>
      <c r="BI252" s="634"/>
    </row>
    <row r="253" spans="1:61" ht="16.2" customHeight="1">
      <c r="A253" s="12"/>
      <c r="B253" s="446"/>
      <c r="C253" s="89"/>
      <c r="D253" s="13"/>
      <c r="E253" s="14"/>
      <c r="F253" s="14"/>
      <c r="G253" s="15"/>
      <c r="H253" s="8"/>
      <c r="I253" s="8"/>
      <c r="J253" s="89"/>
      <c r="K253" s="8"/>
      <c r="L253" s="8"/>
      <c r="M253" s="8" t="str">
        <f>IF(L253="","",
IF(AX253="PT",VLOOKUP(L253,Foundation_Calc!$V$4:$X$37,VLOOKUP(AX253,Foundation_Calc!$I$10:$J$13,2,FALSE),0),
IF(AX253="K",VLOOKUP(L253,Foundation_Calc!$V$41:$X$74,VLOOKUP(AX253,Foundation_Calc!$I$10:$J$13,2,FALSE),0),"")))</f>
        <v/>
      </c>
      <c r="N253" s="8"/>
      <c r="O253" s="8"/>
      <c r="P253" s="8"/>
      <c r="Q253" s="14"/>
      <c r="R253" s="15"/>
      <c r="S253" s="15"/>
      <c r="T253" s="14"/>
      <c r="U253" s="14"/>
      <c r="V253" s="14"/>
      <c r="W253" s="18"/>
      <c r="X253" s="18"/>
      <c r="Y253" s="18"/>
      <c r="Z253" s="18"/>
      <c r="AA253" s="18"/>
      <c r="AB253" s="18"/>
      <c r="AC253" s="8" t="str">
        <f t="shared" si="50"/>
        <v/>
      </c>
      <c r="AD253" s="8"/>
      <c r="AE253" s="8"/>
      <c r="AF253" s="14"/>
      <c r="AG253" s="13"/>
      <c r="AH253" s="14"/>
      <c r="AI253" s="14"/>
      <c r="AJ253" s="8"/>
      <c r="AK253" s="8"/>
      <c r="AL253" s="8"/>
      <c r="AM253" s="8"/>
      <c r="AN253" s="631"/>
      <c r="AO253" s="18"/>
      <c r="AP253" s="18"/>
      <c r="AQ253" s="18"/>
      <c r="AR253" s="18"/>
      <c r="AS253" s="18"/>
      <c r="AU253" s="448"/>
      <c r="AV253" s="448"/>
      <c r="AW253" s="8" t="str">
        <f>IF(C253&gt;0,VLOOKUP(C253,Foundation_Calc!$A$2:$C$986,3,1),
IF(J253&gt;0,VLOOKUP(J253,Foundation_Calc!$A$2:$C$986,3,1),""))</f>
        <v/>
      </c>
      <c r="AX253" s="8" t="str">
        <f>IF(C253&gt;0,VLOOKUP(C253,Foundation_Calc!$E$2:$G$986,3,1),
IF(J253&gt;0,VLOOKUP(J253,Foundation_Calc!$E$2:$G$986,3,1),""))</f>
        <v/>
      </c>
      <c r="AY253" s="631" t="str">
        <f>IF(L253="","",
IF(AX253="PT",VLOOKUP(L253,Foundation_Calc!$K$4:$R$37,VLOOKUP(AW253,Foundation_Calc!$I$2:$J$8,2,FALSE),0),
IF(AX253="K",VLOOKUP(L253,Foundation_Calc!$K$41:$R$74,VLOOKUP(AW253,Foundation_Calc!$I$2:$J$8,2,FALSE),0),"")))</f>
        <v/>
      </c>
      <c r="AZ253" s="631" t="str">
        <f>IF(K253="","",
IF(AX253="PT",VLOOKUP(K253,Foundation_Calc!$K$4:$R$37,VLOOKUP(AW253,Foundation_Calc!$I$2:$J$8,2,FALSE),0),
IF(AX253="K",VLOOKUP(K253,Foundation_Calc!$K$41:$R$74,VLOOKUP(AW253,Foundation_Calc!$I$2:$J$8,2,FALSE),0),"")))</f>
        <v/>
      </c>
      <c r="BA253" s="632" t="str">
        <f t="shared" si="51"/>
        <v/>
      </c>
      <c r="BB253" s="632" t="str">
        <f t="shared" si="52"/>
        <v/>
      </c>
      <c r="BC253" s="632" t="str">
        <f t="shared" si="53"/>
        <v/>
      </c>
      <c r="BD253" s="633" t="str">
        <f>IF(AND(L253="",H253=""),"",
IF(H253="",Pole_Calc!A281,
IF(H253="MP",Pole_Calc!A282,
IF(H253="AnMP",Pole_Calc!A283,
IF(H253="A",Pole_Calc!A284,
IF(H253="S/A",Pole_Calc!A285,
IF(H253="A/S",Pole_Calc!A286,"Poner a mano")))))))</f>
        <v/>
      </c>
      <c r="BE253" s="448" t="s">
        <v>1726</v>
      </c>
      <c r="BF253" s="635"/>
      <c r="BG253" s="635"/>
      <c r="BH253" s="634"/>
      <c r="BI253" s="635"/>
    </row>
    <row r="254" spans="1:61" ht="16.2" customHeight="1">
      <c r="A254" s="12"/>
      <c r="B254" s="446"/>
      <c r="C254" s="89"/>
      <c r="D254" s="13"/>
      <c r="E254" s="14"/>
      <c r="F254" s="14"/>
      <c r="G254" s="15"/>
      <c r="H254" s="8"/>
      <c r="I254" s="8"/>
      <c r="J254" s="89"/>
      <c r="K254" s="8"/>
      <c r="L254" s="8"/>
      <c r="M254" s="8" t="str">
        <f>IF(L254="","",
IF(AX254="PT",VLOOKUP(L254,Foundation_Calc!$V$4:$X$37,VLOOKUP(AX254,Foundation_Calc!$I$10:$J$13,2,FALSE),0),
IF(AX254="K",VLOOKUP(L254,Foundation_Calc!$V$41:$X$74,VLOOKUP(AX254,Foundation_Calc!$I$10:$J$13,2,FALSE),0),"")))</f>
        <v/>
      </c>
      <c r="N254" s="8"/>
      <c r="O254" s="8"/>
      <c r="P254" s="8"/>
      <c r="Q254" s="14"/>
      <c r="R254" s="15"/>
      <c r="S254" s="15"/>
      <c r="T254" s="14"/>
      <c r="U254" s="14"/>
      <c r="V254" s="14"/>
      <c r="W254" s="18"/>
      <c r="X254" s="18"/>
      <c r="Y254" s="18"/>
      <c r="Z254" s="18"/>
      <c r="AA254" s="18"/>
      <c r="AB254" s="18"/>
      <c r="AC254" s="8" t="str">
        <f t="shared" si="50"/>
        <v/>
      </c>
      <c r="AD254" s="8"/>
      <c r="AE254" s="8"/>
      <c r="AF254" s="14"/>
      <c r="AG254" s="13"/>
      <c r="AH254" s="14"/>
      <c r="AI254" s="14"/>
      <c r="AJ254" s="8"/>
      <c r="AK254" s="8"/>
      <c r="AL254" s="8"/>
      <c r="AM254" s="8"/>
      <c r="AN254" s="631"/>
      <c r="AO254" s="18"/>
      <c r="AP254" s="18"/>
      <c r="AQ254" s="18"/>
      <c r="AR254" s="18"/>
      <c r="AS254" s="18"/>
      <c r="AU254" s="448"/>
      <c r="AV254" s="448"/>
      <c r="AW254" s="8" t="str">
        <f>IF(C254&gt;0,VLOOKUP(C254,Foundation_Calc!$A$2:$C$986,3,1),
IF(J254&gt;0,VLOOKUP(J254,Foundation_Calc!$A$2:$C$986,3,1),""))</f>
        <v/>
      </c>
      <c r="AX254" s="8" t="str">
        <f>IF(C254&gt;0,VLOOKUP(C254,Foundation_Calc!$E$2:$G$986,3,1),
IF(J254&gt;0,VLOOKUP(J254,Foundation_Calc!$E$2:$G$986,3,1),""))</f>
        <v/>
      </c>
      <c r="AY254" s="631" t="str">
        <f>IF(L254="","",
IF(AX254="PT",VLOOKUP(L254,Foundation_Calc!$K$4:$R$37,VLOOKUP(AW254,Foundation_Calc!$I$2:$J$8,2,FALSE),0),
IF(AX254="K",VLOOKUP(L254,Foundation_Calc!$K$41:$R$74,VLOOKUP(AW254,Foundation_Calc!$I$2:$J$8,2,FALSE),0),"")))</f>
        <v/>
      </c>
      <c r="AZ254" s="631" t="str">
        <f>IF(K254="","",
IF(AX254="PT",VLOOKUP(K254,Foundation_Calc!$K$4:$R$37,VLOOKUP(AW254,Foundation_Calc!$I$2:$J$8,2,FALSE),0),
IF(AX254="K",VLOOKUP(K254,Foundation_Calc!$K$41:$R$74,VLOOKUP(AW254,Foundation_Calc!$I$2:$J$8,2,FALSE),0),"")))</f>
        <v/>
      </c>
      <c r="BA254" s="632" t="str">
        <f t="shared" si="51"/>
        <v/>
      </c>
      <c r="BB254" s="632" t="str">
        <f t="shared" si="52"/>
        <v/>
      </c>
      <c r="BC254" s="632" t="str">
        <f t="shared" si="53"/>
        <v/>
      </c>
      <c r="BD254" s="633" t="str">
        <f>IF(AND(L254="",H254=""),"",
IF(H254="",Pole_Calc!A282,
IF(H254="MP",Pole_Calc!A283,
IF(H254="AnMP",Pole_Calc!A284,
IF(H254="A",Pole_Calc!A285,
IF(H254="S/A",Pole_Calc!A286,
IF(H254="A/S",Pole_Calc!A287,"Poner a mano")))))))</f>
        <v/>
      </c>
      <c r="BE254" s="448" t="s">
        <v>1726</v>
      </c>
      <c r="BF254" s="634"/>
      <c r="BG254" s="634"/>
      <c r="BH254" s="634"/>
      <c r="BI254" s="634"/>
    </row>
    <row r="255" spans="1:61" ht="16.2" customHeight="1">
      <c r="A255" s="12"/>
      <c r="B255" s="446"/>
      <c r="C255" s="89"/>
      <c r="D255" s="13"/>
      <c r="E255" s="14"/>
      <c r="F255" s="14"/>
      <c r="G255" s="15"/>
      <c r="H255" s="8"/>
      <c r="I255" s="8"/>
      <c r="J255" s="89"/>
      <c r="K255" s="8"/>
      <c r="L255" s="8"/>
      <c r="M255" s="8" t="str">
        <f>IF(L255="","",
IF(AX255="PT",VLOOKUP(L255,Foundation_Calc!$V$4:$X$37,VLOOKUP(AX255,Foundation_Calc!$I$10:$J$13,2,FALSE),0),
IF(AX255="K",VLOOKUP(L255,Foundation_Calc!$V$41:$X$74,VLOOKUP(AX255,Foundation_Calc!$I$10:$J$13,2,FALSE),0),"")))</f>
        <v/>
      </c>
      <c r="N255" s="8"/>
      <c r="O255" s="8"/>
      <c r="P255" s="8"/>
      <c r="Q255" s="14"/>
      <c r="R255" s="15"/>
      <c r="S255" s="15"/>
      <c r="T255" s="14"/>
      <c r="U255" s="14"/>
      <c r="V255" s="14"/>
      <c r="W255" s="18"/>
      <c r="X255" s="18"/>
      <c r="Y255" s="18"/>
      <c r="Z255" s="18"/>
      <c r="AA255" s="18"/>
      <c r="AB255" s="18"/>
      <c r="AC255" s="8" t="str">
        <f t="shared" si="50"/>
        <v/>
      </c>
      <c r="AD255" s="8"/>
      <c r="AE255" s="8"/>
      <c r="AF255" s="14"/>
      <c r="AG255" s="13"/>
      <c r="AH255" s="14"/>
      <c r="AI255" s="14"/>
      <c r="AJ255" s="8"/>
      <c r="AK255" s="8"/>
      <c r="AL255" s="8"/>
      <c r="AM255" s="8"/>
      <c r="AN255" s="631"/>
      <c r="AO255" s="18"/>
      <c r="AP255" s="18"/>
      <c r="AQ255" s="18"/>
      <c r="AR255" s="18"/>
      <c r="AS255" s="18"/>
      <c r="AU255" s="448"/>
      <c r="AV255" s="448"/>
      <c r="AW255" s="8" t="str">
        <f>IF(C255&gt;0,VLOOKUP(C255,Foundation_Calc!$A$2:$C$986,3,1),
IF(J255&gt;0,VLOOKUP(J255,Foundation_Calc!$A$2:$C$986,3,1),""))</f>
        <v/>
      </c>
      <c r="AX255" s="8" t="str">
        <f>IF(C255&gt;0,VLOOKUP(C255,Foundation_Calc!$E$2:$G$986,3,1),
IF(J255&gt;0,VLOOKUP(J255,Foundation_Calc!$E$2:$G$986,3,1),""))</f>
        <v/>
      </c>
      <c r="AY255" s="631" t="str">
        <f>IF(L255="","",
IF(AX255="PT",VLOOKUP(L255,Foundation_Calc!$K$4:$R$37,VLOOKUP(AW255,Foundation_Calc!$I$2:$J$8,2,FALSE),0),
IF(AX255="K",VLOOKUP(L255,Foundation_Calc!$K$41:$R$74,VLOOKUP(AW255,Foundation_Calc!$I$2:$J$8,2,FALSE),0),"")))</f>
        <v/>
      </c>
      <c r="AZ255" s="631" t="str">
        <f>IF(K255="","",
IF(AX255="PT",VLOOKUP(K255,Foundation_Calc!$K$4:$R$37,VLOOKUP(AW255,Foundation_Calc!$I$2:$J$8,2,FALSE),0),
IF(AX255="K",VLOOKUP(K255,Foundation_Calc!$K$41:$R$74,VLOOKUP(AW255,Foundation_Calc!$I$2:$J$8,2,FALSE),0),"")))</f>
        <v/>
      </c>
      <c r="BA255" s="632" t="str">
        <f t="shared" si="51"/>
        <v/>
      </c>
      <c r="BB255" s="632" t="str">
        <f t="shared" si="52"/>
        <v/>
      </c>
      <c r="BC255" s="632" t="str">
        <f t="shared" si="53"/>
        <v/>
      </c>
      <c r="BD255" s="633" t="str">
        <f>IF(AND(L255="",H255=""),"",
IF(H255="",Pole_Calc!A283,
IF(H255="MP",Pole_Calc!A284,
IF(H255="AnMP",Pole_Calc!A285,
IF(H255="A",Pole_Calc!A286,
IF(H255="S/A",Pole_Calc!A287,
IF(H255="A/S",Pole_Calc!A288,"Poner a mano")))))))</f>
        <v/>
      </c>
      <c r="BE255" s="448" t="s">
        <v>1726</v>
      </c>
      <c r="BF255" s="635"/>
      <c r="BG255" s="635"/>
      <c r="BH255" s="634"/>
      <c r="BI255" s="635"/>
    </row>
    <row r="256" spans="1:61" ht="16.2" customHeight="1">
      <c r="A256" s="12"/>
      <c r="B256" s="446"/>
      <c r="C256" s="89"/>
      <c r="D256" s="13"/>
      <c r="E256" s="14"/>
      <c r="F256" s="14"/>
      <c r="G256" s="15"/>
      <c r="H256" s="8"/>
      <c r="I256" s="8"/>
      <c r="J256" s="89"/>
      <c r="K256" s="8"/>
      <c r="L256" s="8"/>
      <c r="M256" s="8" t="str">
        <f>IF(L256="","",
IF(AX256="PT",VLOOKUP(L256,Foundation_Calc!$V$4:$X$37,VLOOKUP(AX256,Foundation_Calc!$I$10:$J$13,2,FALSE),0),
IF(AX256="K",VLOOKUP(L256,Foundation_Calc!$V$41:$X$74,VLOOKUP(AX256,Foundation_Calc!$I$10:$J$13,2,FALSE),0),"")))</f>
        <v/>
      </c>
      <c r="N256" s="8"/>
      <c r="O256" s="8"/>
      <c r="P256" s="8"/>
      <c r="Q256" s="14"/>
      <c r="R256" s="15"/>
      <c r="S256" s="15"/>
      <c r="T256" s="14"/>
      <c r="U256" s="14"/>
      <c r="V256" s="14"/>
      <c r="W256" s="18"/>
      <c r="X256" s="18"/>
      <c r="Y256" s="18"/>
      <c r="Z256" s="18"/>
      <c r="AA256" s="18"/>
      <c r="AB256" s="18"/>
      <c r="AC256" s="8" t="str">
        <f t="shared" si="50"/>
        <v/>
      </c>
      <c r="AD256" s="8"/>
      <c r="AE256" s="8"/>
      <c r="AF256" s="14"/>
      <c r="AG256" s="13"/>
      <c r="AH256" s="14"/>
      <c r="AI256" s="14"/>
      <c r="AJ256" s="8"/>
      <c r="AK256" s="8"/>
      <c r="AL256" s="8"/>
      <c r="AM256" s="8"/>
      <c r="AN256" s="631"/>
      <c r="AO256" s="18"/>
      <c r="AP256" s="18"/>
      <c r="AQ256" s="18"/>
      <c r="AR256" s="18"/>
      <c r="AS256" s="18"/>
      <c r="AU256" s="448"/>
      <c r="AV256" s="448"/>
      <c r="AW256" s="8" t="str">
        <f>IF(C256&gt;0,VLOOKUP(C256,Foundation_Calc!$A$2:$C$986,3,1),
IF(J256&gt;0,VLOOKUP(J256,Foundation_Calc!$A$2:$C$986,3,1),""))</f>
        <v/>
      </c>
      <c r="AX256" s="8" t="str">
        <f>IF(C256&gt;0,VLOOKUP(C256,Foundation_Calc!$E$2:$G$986,3,1),
IF(J256&gt;0,VLOOKUP(J256,Foundation_Calc!$E$2:$G$986,3,1),""))</f>
        <v/>
      </c>
      <c r="AY256" s="631" t="str">
        <f>IF(L256="","",
IF(AX256="PT",VLOOKUP(L256,Foundation_Calc!$K$4:$R$37,VLOOKUP(AW256,Foundation_Calc!$I$2:$J$8,2,FALSE),0),
IF(AX256="K",VLOOKUP(L256,Foundation_Calc!$K$41:$R$74,VLOOKUP(AW256,Foundation_Calc!$I$2:$J$8,2,FALSE),0),"")))</f>
        <v/>
      </c>
      <c r="AZ256" s="631" t="str">
        <f>IF(K256="","",
IF(AX256="PT",VLOOKUP(K256,Foundation_Calc!$K$4:$R$37,VLOOKUP(AW256,Foundation_Calc!$I$2:$J$8,2,FALSE),0),
IF(AX256="K",VLOOKUP(K256,Foundation_Calc!$K$41:$R$74,VLOOKUP(AW256,Foundation_Calc!$I$2:$J$8,2,FALSE),0),"")))</f>
        <v/>
      </c>
      <c r="BA256" s="632" t="str">
        <f t="shared" si="51"/>
        <v/>
      </c>
      <c r="BB256" s="632" t="str">
        <f t="shared" si="52"/>
        <v/>
      </c>
      <c r="BC256" s="632" t="str">
        <f t="shared" si="53"/>
        <v/>
      </c>
      <c r="BD256" s="633" t="str">
        <f>IF(AND(L256="",H256=""),"",
IF(H256="",Pole_Calc!A284,
IF(H256="MP",Pole_Calc!A285,
IF(H256="AnMP",Pole_Calc!A286,
IF(H256="A",Pole_Calc!A287,
IF(H256="S/A",Pole_Calc!A288,
IF(H256="A/S",Pole_Calc!A289,"Poner a mano")))))))</f>
        <v/>
      </c>
      <c r="BE256" s="448" t="s">
        <v>1726</v>
      </c>
      <c r="BF256" s="634"/>
      <c r="BG256" s="634"/>
      <c r="BH256" s="634"/>
      <c r="BI256" s="634"/>
    </row>
    <row r="257" spans="1:61" ht="16.2" customHeight="1">
      <c r="A257" s="12"/>
      <c r="B257" s="446"/>
      <c r="C257" s="89"/>
      <c r="D257" s="13"/>
      <c r="E257" s="14"/>
      <c r="F257" s="14"/>
      <c r="G257" s="15"/>
      <c r="H257" s="8"/>
      <c r="I257" s="8"/>
      <c r="J257" s="89"/>
      <c r="K257" s="8"/>
      <c r="L257" s="8"/>
      <c r="M257" s="8" t="str">
        <f>IF(L257="","",
IF(AX257="PT",VLOOKUP(L257,Foundation_Calc!$V$4:$X$37,VLOOKUP(AX257,Foundation_Calc!$I$10:$J$13,2,FALSE),0),
IF(AX257="K",VLOOKUP(L257,Foundation_Calc!$V$41:$X$74,VLOOKUP(AX257,Foundation_Calc!$I$10:$J$13,2,FALSE),0),"")))</f>
        <v/>
      </c>
      <c r="N257" s="8"/>
      <c r="O257" s="8"/>
      <c r="P257" s="8"/>
      <c r="Q257" s="14"/>
      <c r="R257" s="15"/>
      <c r="S257" s="15"/>
      <c r="T257" s="14"/>
      <c r="U257" s="14"/>
      <c r="V257" s="14"/>
      <c r="W257" s="18"/>
      <c r="X257" s="18"/>
      <c r="Y257" s="18"/>
      <c r="Z257" s="18"/>
      <c r="AA257" s="18"/>
      <c r="AB257" s="18"/>
      <c r="AC257" s="8" t="str">
        <f t="shared" si="50"/>
        <v/>
      </c>
      <c r="AD257" s="8"/>
      <c r="AE257" s="8"/>
      <c r="AF257" s="14"/>
      <c r="AG257" s="13"/>
      <c r="AH257" s="14"/>
      <c r="AI257" s="14"/>
      <c r="AJ257" s="8"/>
      <c r="AK257" s="8"/>
      <c r="AL257" s="8"/>
      <c r="AM257" s="8"/>
      <c r="AN257" s="631"/>
      <c r="AO257" s="18"/>
      <c r="AP257" s="18"/>
      <c r="AQ257" s="18"/>
      <c r="AR257" s="18"/>
      <c r="AS257" s="18"/>
      <c r="AU257" s="448"/>
      <c r="AV257" s="448"/>
      <c r="AW257" s="8" t="str">
        <f>IF(C257&gt;0,VLOOKUP(C257,Foundation_Calc!$A$2:$C$986,3,1),
IF(J257&gt;0,VLOOKUP(J257,Foundation_Calc!$A$2:$C$986,3,1),""))</f>
        <v/>
      </c>
      <c r="AX257" s="8" t="str">
        <f>IF(C257&gt;0,VLOOKUP(C257,Foundation_Calc!$E$2:$G$986,3,1),
IF(J257&gt;0,VLOOKUP(J257,Foundation_Calc!$E$2:$G$986,3,1),""))</f>
        <v/>
      </c>
      <c r="AY257" s="631" t="str">
        <f>IF(L257="","",
IF(AX257="PT",VLOOKUP(L257,Foundation_Calc!$K$4:$R$37,VLOOKUP(AW257,Foundation_Calc!$I$2:$J$8,2,FALSE),0),
IF(AX257="K",VLOOKUP(L257,Foundation_Calc!$K$41:$R$74,VLOOKUP(AW257,Foundation_Calc!$I$2:$J$8,2,FALSE),0),"")))</f>
        <v/>
      </c>
      <c r="AZ257" s="631" t="str">
        <f>IF(K257="","",
IF(AX257="PT",VLOOKUP(K257,Foundation_Calc!$K$4:$R$37,VLOOKUP(AW257,Foundation_Calc!$I$2:$J$8,2,FALSE),0),
IF(AX257="K",VLOOKUP(K257,Foundation_Calc!$K$41:$R$74,VLOOKUP(AW257,Foundation_Calc!$I$2:$J$8,2,FALSE),0),"")))</f>
        <v/>
      </c>
      <c r="BA257" s="632" t="str">
        <f t="shared" si="51"/>
        <v/>
      </c>
      <c r="BB257" s="632" t="str">
        <f t="shared" si="52"/>
        <v/>
      </c>
      <c r="BC257" s="632" t="str">
        <f t="shared" si="53"/>
        <v/>
      </c>
      <c r="BD257" s="633" t="str">
        <f>IF(AND(L257="",H257=""),"",
IF(H257="",Pole_Calc!A285,
IF(H257="MP",Pole_Calc!A286,
IF(H257="AnMP",Pole_Calc!A287,
IF(H257="A",Pole_Calc!A288,
IF(H257="S/A",Pole_Calc!A289,
IF(H257="A/S",Pole_Calc!A290,"Poner a mano")))))))</f>
        <v/>
      </c>
      <c r="BE257" s="448" t="s">
        <v>1726</v>
      </c>
      <c r="BF257" s="635"/>
      <c r="BG257" s="635"/>
      <c r="BH257" s="634"/>
      <c r="BI257" s="635"/>
    </row>
    <row r="258" spans="1:61" ht="16.2" customHeight="1">
      <c r="A258" s="12"/>
      <c r="B258" s="446"/>
      <c r="C258" s="89"/>
      <c r="D258" s="13"/>
      <c r="E258" s="14"/>
      <c r="F258" s="14"/>
      <c r="G258" s="15"/>
      <c r="H258" s="8"/>
      <c r="I258" s="8"/>
      <c r="J258" s="89"/>
      <c r="K258" s="8"/>
      <c r="L258" s="8"/>
      <c r="M258" s="8" t="str">
        <f>IF(L258="","",
IF(AX258="PT",VLOOKUP(L258,Foundation_Calc!$V$4:$X$37,VLOOKUP(AX258,Foundation_Calc!$I$10:$J$13,2,FALSE),0),
IF(AX258="K",VLOOKUP(L258,Foundation_Calc!$V$41:$X$74,VLOOKUP(AX258,Foundation_Calc!$I$10:$J$13,2,FALSE),0),"")))</f>
        <v/>
      </c>
      <c r="N258" s="8"/>
      <c r="O258" s="8"/>
      <c r="P258" s="8"/>
      <c r="Q258" s="14"/>
      <c r="R258" s="15"/>
      <c r="S258" s="15"/>
      <c r="T258" s="14"/>
      <c r="U258" s="14"/>
      <c r="V258" s="14"/>
      <c r="W258" s="18"/>
      <c r="X258" s="18"/>
      <c r="Y258" s="18"/>
      <c r="Z258" s="18"/>
      <c r="AA258" s="18"/>
      <c r="AB258" s="18"/>
      <c r="AC258" s="8" t="str">
        <f t="shared" si="50"/>
        <v/>
      </c>
      <c r="AD258" s="8"/>
      <c r="AE258" s="8"/>
      <c r="AF258" s="14"/>
      <c r="AG258" s="13"/>
      <c r="AH258" s="14"/>
      <c r="AI258" s="14"/>
      <c r="AJ258" s="8"/>
      <c r="AK258" s="8"/>
      <c r="AL258" s="8"/>
      <c r="AM258" s="8"/>
      <c r="AN258" s="631"/>
      <c r="AO258" s="18"/>
      <c r="AP258" s="18"/>
      <c r="AQ258" s="18"/>
      <c r="AR258" s="18"/>
      <c r="AS258" s="18"/>
      <c r="AU258" s="448"/>
      <c r="AV258" s="448"/>
      <c r="AW258" s="8" t="str">
        <f>IF(C258&gt;0,VLOOKUP(C258,Foundation_Calc!$A$2:$C$986,3,1),
IF(J258&gt;0,VLOOKUP(J258,Foundation_Calc!$A$2:$C$986,3,1),""))</f>
        <v/>
      </c>
      <c r="AX258" s="8" t="str">
        <f>IF(C258&gt;0,VLOOKUP(C258,Foundation_Calc!$E$2:$G$986,3,1),
IF(J258&gt;0,VLOOKUP(J258,Foundation_Calc!$E$2:$G$986,3,1),""))</f>
        <v/>
      </c>
      <c r="AY258" s="631" t="str">
        <f>IF(L258="","",
IF(AX258="PT",VLOOKUP(L258,Foundation_Calc!$K$4:$R$37,VLOOKUP(AW258,Foundation_Calc!$I$2:$J$8,2,FALSE),0),
IF(AX258="K",VLOOKUP(L258,Foundation_Calc!$K$41:$R$74,VLOOKUP(AW258,Foundation_Calc!$I$2:$J$8,2,FALSE),0),"")))</f>
        <v/>
      </c>
      <c r="AZ258" s="631" t="str">
        <f>IF(K258="","",
IF(AX258="PT",VLOOKUP(K258,Foundation_Calc!$K$4:$R$37,VLOOKUP(AW258,Foundation_Calc!$I$2:$J$8,2,FALSE),0),
IF(AX258="K",VLOOKUP(K258,Foundation_Calc!$K$41:$R$74,VLOOKUP(AW258,Foundation_Calc!$I$2:$J$8,2,FALSE),0),"")))</f>
        <v/>
      </c>
      <c r="BA258" s="632" t="str">
        <f t="shared" si="51"/>
        <v/>
      </c>
      <c r="BB258" s="632" t="str">
        <f t="shared" si="52"/>
        <v/>
      </c>
      <c r="BC258" s="632" t="str">
        <f t="shared" si="53"/>
        <v/>
      </c>
      <c r="BD258" s="633" t="str">
        <f>IF(AND(L258="",H258=""),"",
IF(H258="",Pole_Calc!A286,
IF(H258="MP",Pole_Calc!A287,
IF(H258="AnMP",Pole_Calc!A288,
IF(H258="A",Pole_Calc!A289,
IF(H258="S/A",Pole_Calc!A290,
IF(H258="A/S",Pole_Calc!A291,"Poner a mano")))))))</f>
        <v/>
      </c>
      <c r="BE258" s="448" t="s">
        <v>1726</v>
      </c>
      <c r="BF258" s="634"/>
      <c r="BG258" s="634"/>
      <c r="BH258" s="634"/>
      <c r="BI258" s="634"/>
    </row>
    <row r="259" spans="1:61" ht="16.2" customHeight="1">
      <c r="A259" s="12"/>
      <c r="B259" s="446"/>
      <c r="C259" s="89"/>
      <c r="D259" s="13"/>
      <c r="E259" s="14"/>
      <c r="F259" s="14"/>
      <c r="G259" s="15"/>
      <c r="H259" s="8"/>
      <c r="I259" s="8"/>
      <c r="J259" s="89"/>
      <c r="K259" s="8"/>
      <c r="L259" s="8"/>
      <c r="M259" s="8" t="str">
        <f>IF(L259="","",
IF(AX259="PT",VLOOKUP(L259,Foundation_Calc!$V$4:$X$37,VLOOKUP(AX259,Foundation_Calc!$I$10:$J$13,2,FALSE),0),
IF(AX259="K",VLOOKUP(L259,Foundation_Calc!$V$41:$X$74,VLOOKUP(AX259,Foundation_Calc!$I$10:$J$13,2,FALSE),0),"")))</f>
        <v/>
      </c>
      <c r="N259" s="8"/>
      <c r="O259" s="8"/>
      <c r="P259" s="8"/>
      <c r="Q259" s="14"/>
      <c r="R259" s="15"/>
      <c r="S259" s="15"/>
      <c r="T259" s="14"/>
      <c r="U259" s="14"/>
      <c r="V259" s="14"/>
      <c r="W259" s="18"/>
      <c r="X259" s="18"/>
      <c r="Y259" s="18"/>
      <c r="Z259" s="18"/>
      <c r="AA259" s="18"/>
      <c r="AB259" s="18"/>
      <c r="AC259" s="8" t="str">
        <f t="shared" si="50"/>
        <v/>
      </c>
      <c r="AD259" s="8"/>
      <c r="AE259" s="8"/>
      <c r="AF259" s="14"/>
      <c r="AG259" s="13"/>
      <c r="AH259" s="14"/>
      <c r="AI259" s="14"/>
      <c r="AJ259" s="8"/>
      <c r="AK259" s="8"/>
      <c r="AL259" s="8"/>
      <c r="AM259" s="8"/>
      <c r="AN259" s="631"/>
      <c r="AO259" s="18"/>
      <c r="AP259" s="18"/>
      <c r="AQ259" s="18"/>
      <c r="AR259" s="18"/>
      <c r="AS259" s="18"/>
      <c r="AU259" s="448"/>
      <c r="AV259" s="448"/>
      <c r="AW259" s="8" t="str">
        <f>IF(C259&gt;0,VLOOKUP(C259,Foundation_Calc!$A$2:$C$986,3,1),
IF(J259&gt;0,VLOOKUP(J259,Foundation_Calc!$A$2:$C$986,3,1),""))</f>
        <v/>
      </c>
      <c r="AX259" s="8" t="str">
        <f>IF(C259&gt;0,VLOOKUP(C259,Foundation_Calc!$E$2:$G$986,3,1),
IF(J259&gt;0,VLOOKUP(J259,Foundation_Calc!$E$2:$G$986,3,1),""))</f>
        <v/>
      </c>
      <c r="AY259" s="631" t="str">
        <f>IF(L259="","",
IF(AX259="PT",VLOOKUP(L259,Foundation_Calc!$K$4:$R$37,VLOOKUP(AW259,Foundation_Calc!$I$2:$J$8,2,FALSE),0),
IF(AX259="K",VLOOKUP(L259,Foundation_Calc!$K$41:$R$74,VLOOKUP(AW259,Foundation_Calc!$I$2:$J$8,2,FALSE),0),"")))</f>
        <v/>
      </c>
      <c r="AZ259" s="631" t="str">
        <f>IF(K259="","",
IF(AX259="PT",VLOOKUP(K259,Foundation_Calc!$K$4:$R$37,VLOOKUP(AW259,Foundation_Calc!$I$2:$J$8,2,FALSE),0),
IF(AX259="K",VLOOKUP(K259,Foundation_Calc!$K$41:$R$74,VLOOKUP(AW259,Foundation_Calc!$I$2:$J$8,2,FALSE),0),"")))</f>
        <v/>
      </c>
      <c r="BA259" s="632" t="str">
        <f t="shared" si="51"/>
        <v/>
      </c>
      <c r="BB259" s="632" t="str">
        <f t="shared" si="52"/>
        <v/>
      </c>
      <c r="BC259" s="632" t="str">
        <f t="shared" si="53"/>
        <v/>
      </c>
      <c r="BD259" s="633" t="str">
        <f>IF(AND(L259="",H259=""),"",
IF(H259="",Pole_Calc!A287,
IF(H259="MP",Pole_Calc!A288,
IF(H259="AnMP",Pole_Calc!A289,
IF(H259="A",Pole_Calc!A290,
IF(H259="S/A",Pole_Calc!A291,
IF(H259="A/S",Pole_Calc!A292,"Poner a mano")))))))</f>
        <v/>
      </c>
      <c r="BE259" s="448" t="s">
        <v>1726</v>
      </c>
      <c r="BF259" s="635"/>
      <c r="BG259" s="635"/>
      <c r="BH259" s="634"/>
      <c r="BI259" s="635"/>
    </row>
    <row r="260" spans="1:61" ht="16.2" customHeight="1">
      <c r="A260" s="12"/>
      <c r="B260" s="446"/>
      <c r="C260" s="89"/>
      <c r="D260" s="13"/>
      <c r="E260" s="14"/>
      <c r="F260" s="14"/>
      <c r="G260" s="15"/>
      <c r="H260" s="8"/>
      <c r="I260" s="8"/>
      <c r="J260" s="89"/>
      <c r="K260" s="8"/>
      <c r="L260" s="8"/>
      <c r="M260" s="8" t="str">
        <f>IF(L260="","",
IF(AX260="PT",VLOOKUP(L260,Foundation_Calc!$V$4:$X$37,VLOOKUP(AX260,Foundation_Calc!$I$10:$J$13,2,FALSE),0),
IF(AX260="K",VLOOKUP(L260,Foundation_Calc!$V$41:$X$74,VLOOKUP(AX260,Foundation_Calc!$I$10:$J$13,2,FALSE),0),"")))</f>
        <v/>
      </c>
      <c r="N260" s="8"/>
      <c r="O260" s="8"/>
      <c r="P260" s="8"/>
      <c r="Q260" s="14"/>
      <c r="R260" s="15"/>
      <c r="S260" s="15"/>
      <c r="T260" s="14"/>
      <c r="U260" s="14"/>
      <c r="V260" s="14"/>
      <c r="W260" s="18"/>
      <c r="X260" s="18"/>
      <c r="Y260" s="18"/>
      <c r="Z260" s="18"/>
      <c r="AA260" s="18"/>
      <c r="AB260" s="18"/>
      <c r="AC260" s="8" t="str">
        <f t="shared" si="50"/>
        <v/>
      </c>
      <c r="AD260" s="8"/>
      <c r="AE260" s="8"/>
      <c r="AF260" s="14"/>
      <c r="AG260" s="13"/>
      <c r="AH260" s="14"/>
      <c r="AI260" s="14"/>
      <c r="AJ260" s="8"/>
      <c r="AK260" s="8"/>
      <c r="AL260" s="8"/>
      <c r="AM260" s="8"/>
      <c r="AN260" s="631"/>
      <c r="AO260" s="18"/>
      <c r="AP260" s="18"/>
      <c r="AQ260" s="18"/>
      <c r="AR260" s="18"/>
      <c r="AS260" s="18"/>
      <c r="AU260" s="448"/>
      <c r="AV260" s="448"/>
      <c r="AW260" s="8" t="str">
        <f>IF(C260&gt;0,VLOOKUP(C260,Foundation_Calc!$A$2:$C$986,3,1),
IF(J260&gt;0,VLOOKUP(J260,Foundation_Calc!$A$2:$C$986,3,1),""))</f>
        <v/>
      </c>
      <c r="AX260" s="8" t="str">
        <f>IF(C260&gt;0,VLOOKUP(C260,Foundation_Calc!$E$2:$G$986,3,1),
IF(J260&gt;0,VLOOKUP(J260,Foundation_Calc!$E$2:$G$986,3,1),""))</f>
        <v/>
      </c>
      <c r="AY260" s="631" t="str">
        <f>IF(L260="","",
IF(AX260="PT",VLOOKUP(L260,Foundation_Calc!$K$4:$R$37,VLOOKUP(AW260,Foundation_Calc!$I$2:$J$8,2,FALSE),0),
IF(AX260="K",VLOOKUP(L260,Foundation_Calc!$K$41:$R$74,VLOOKUP(AW260,Foundation_Calc!$I$2:$J$8,2,FALSE),0),"")))</f>
        <v/>
      </c>
      <c r="AZ260" s="631" t="str">
        <f>IF(K260="","",
IF(AX260="PT",VLOOKUP(K260,Foundation_Calc!$K$4:$R$37,VLOOKUP(AW260,Foundation_Calc!$I$2:$J$8,2,FALSE),0),
IF(AX260="K",VLOOKUP(K260,Foundation_Calc!$K$41:$R$74,VLOOKUP(AW260,Foundation_Calc!$I$2:$J$8,2,FALSE),0),"")))</f>
        <v/>
      </c>
      <c r="BA260" s="632" t="str">
        <f t="shared" si="51"/>
        <v/>
      </c>
      <c r="BB260" s="632" t="str">
        <f t="shared" si="52"/>
        <v/>
      </c>
      <c r="BC260" s="632" t="str">
        <f t="shared" si="53"/>
        <v/>
      </c>
      <c r="BD260" s="633" t="str">
        <f>IF(AND(L260="",H260=""),"",
IF(H260="",Pole_Calc!A288,
IF(H260="MP",Pole_Calc!A289,
IF(H260="AnMP",Pole_Calc!A290,
IF(H260="A",Pole_Calc!A291,
IF(H260="S/A",Pole_Calc!A292,
IF(H260="A/S",Pole_Calc!A293,"Poner a mano")))))))</f>
        <v/>
      </c>
      <c r="BE260" s="448" t="s">
        <v>1726</v>
      </c>
      <c r="BF260" s="634"/>
      <c r="BG260" s="634"/>
      <c r="BH260" s="634"/>
      <c r="BI260" s="634"/>
    </row>
    <row r="261" spans="1:61" ht="16.2" customHeight="1">
      <c r="A261" s="12"/>
      <c r="B261" s="446"/>
      <c r="C261" s="89"/>
      <c r="D261" s="13"/>
      <c r="E261" s="14"/>
      <c r="F261" s="14"/>
      <c r="G261" s="15"/>
      <c r="H261" s="8"/>
      <c r="I261" s="8"/>
      <c r="J261" s="89"/>
      <c r="K261" s="8"/>
      <c r="L261" s="8"/>
      <c r="M261" s="8" t="str">
        <f>IF(L261="","",
IF(AX261="PT",VLOOKUP(L261,Foundation_Calc!$V$4:$X$37,VLOOKUP(AX261,Foundation_Calc!$I$10:$J$13,2,FALSE),0),
IF(AX261="K",VLOOKUP(L261,Foundation_Calc!$V$41:$X$74,VLOOKUP(AX261,Foundation_Calc!$I$10:$J$13,2,FALSE),0),"")))</f>
        <v/>
      </c>
      <c r="N261" s="8"/>
      <c r="O261" s="8"/>
      <c r="P261" s="8"/>
      <c r="Q261" s="14"/>
      <c r="R261" s="15"/>
      <c r="S261" s="15"/>
      <c r="T261" s="14"/>
      <c r="U261" s="14"/>
      <c r="V261" s="14"/>
      <c r="W261" s="18"/>
      <c r="X261" s="18"/>
      <c r="Y261" s="18"/>
      <c r="Z261" s="18"/>
      <c r="AA261" s="18"/>
      <c r="AB261" s="18"/>
      <c r="AC261" s="8" t="str">
        <f t="shared" si="50"/>
        <v/>
      </c>
      <c r="AD261" s="8"/>
      <c r="AE261" s="8"/>
      <c r="AF261" s="14"/>
      <c r="AG261" s="13"/>
      <c r="AH261" s="14"/>
      <c r="AI261" s="14"/>
      <c r="AJ261" s="8"/>
      <c r="AK261" s="8"/>
      <c r="AL261" s="8"/>
      <c r="AM261" s="8"/>
      <c r="AN261" s="631"/>
      <c r="AO261" s="18"/>
      <c r="AP261" s="18"/>
      <c r="AQ261" s="18"/>
      <c r="AR261" s="18"/>
      <c r="AS261" s="18"/>
      <c r="AU261" s="448"/>
      <c r="AV261" s="448"/>
      <c r="AW261" s="8" t="str">
        <f>IF(C261&gt;0,VLOOKUP(C261,Foundation_Calc!$A$2:$C$986,3,1),
IF(J261&gt;0,VLOOKUP(J261,Foundation_Calc!$A$2:$C$986,3,1),""))</f>
        <v/>
      </c>
      <c r="AX261" s="8" t="str">
        <f>IF(C261&gt;0,VLOOKUP(C261,Foundation_Calc!$E$2:$G$986,3,1),
IF(J261&gt;0,VLOOKUP(J261,Foundation_Calc!$E$2:$G$986,3,1),""))</f>
        <v/>
      </c>
      <c r="AY261" s="631" t="str">
        <f>IF(L261="","",
IF(AX261="PT",VLOOKUP(L261,Foundation_Calc!$K$4:$R$37,VLOOKUP(AW261,Foundation_Calc!$I$2:$J$8,2,FALSE),0),
IF(AX261="K",VLOOKUP(L261,Foundation_Calc!$K$41:$R$74,VLOOKUP(AW261,Foundation_Calc!$I$2:$J$8,2,FALSE),0),"")))</f>
        <v/>
      </c>
      <c r="AZ261" s="631" t="str">
        <f>IF(K261="","",
IF(AX261="PT",VLOOKUP(K261,Foundation_Calc!$K$4:$R$37,VLOOKUP(AW261,Foundation_Calc!$I$2:$J$8,2,FALSE),0),
IF(AX261="K",VLOOKUP(K261,Foundation_Calc!$K$41:$R$74,VLOOKUP(AW261,Foundation_Calc!$I$2:$J$8,2,FALSE),0),"")))</f>
        <v/>
      </c>
      <c r="BA261" s="632" t="str">
        <f t="shared" si="51"/>
        <v/>
      </c>
      <c r="BB261" s="632" t="str">
        <f t="shared" si="52"/>
        <v/>
      </c>
      <c r="BC261" s="632" t="str">
        <f t="shared" si="53"/>
        <v/>
      </c>
      <c r="BD261" s="633" t="str">
        <f>IF(AND(L261="",H261=""),"",
IF(H261="",Pole_Calc!A289,
IF(H261="MP",Pole_Calc!A290,
IF(H261="AnMP",Pole_Calc!A291,
IF(H261="A",Pole_Calc!A292,
IF(H261="S/A",Pole_Calc!A293,
IF(H261="A/S",Pole_Calc!A294,"Poner a mano")))))))</f>
        <v/>
      </c>
      <c r="BE261" s="448" t="s">
        <v>1726</v>
      </c>
      <c r="BF261" s="635"/>
      <c r="BG261" s="635"/>
      <c r="BH261" s="634"/>
      <c r="BI261" s="635"/>
    </row>
    <row r="262" spans="1:61" ht="16.2" customHeight="1">
      <c r="A262" s="12"/>
      <c r="B262" s="446"/>
      <c r="C262" s="89"/>
      <c r="D262" s="13"/>
      <c r="E262" s="14"/>
      <c r="F262" s="14"/>
      <c r="G262" s="15"/>
      <c r="H262" s="8"/>
      <c r="I262" s="8"/>
      <c r="J262" s="89"/>
      <c r="K262" s="8"/>
      <c r="L262" s="8"/>
      <c r="M262" s="8" t="str">
        <f>IF(L262="","",
IF(AX262="PT",VLOOKUP(L262,Foundation_Calc!$V$4:$X$37,VLOOKUP(AX262,Foundation_Calc!$I$10:$J$13,2,FALSE),0),
IF(AX262="K",VLOOKUP(L262,Foundation_Calc!$V$41:$X$74,VLOOKUP(AX262,Foundation_Calc!$I$10:$J$13,2,FALSE),0),"")))</f>
        <v/>
      </c>
      <c r="N262" s="8"/>
      <c r="O262" s="8"/>
      <c r="P262" s="8"/>
      <c r="Q262" s="14"/>
      <c r="R262" s="15"/>
      <c r="S262" s="15"/>
      <c r="T262" s="14"/>
      <c r="U262" s="14"/>
      <c r="V262" s="14"/>
      <c r="W262" s="18"/>
      <c r="X262" s="18"/>
      <c r="Y262" s="18"/>
      <c r="Z262" s="18"/>
      <c r="AA262" s="18"/>
      <c r="AB262" s="18"/>
      <c r="AC262" s="8" t="str">
        <f t="shared" ref="AC262:AC325" si="54">IF(OR(AT262&gt;8,AT262&lt;-8),"PH",
IF(OR(AT262&gt;5,AT262&lt;-5),"PHQ",
IF(OR(AT262&gt;1,AT262&lt;-1),
"PHC","")))</f>
        <v/>
      </c>
      <c r="AD262" s="8"/>
      <c r="AE262" s="8"/>
      <c r="AF262" s="14"/>
      <c r="AG262" s="13"/>
      <c r="AH262" s="14"/>
      <c r="AI262" s="14"/>
      <c r="AJ262" s="8"/>
      <c r="AK262" s="8"/>
      <c r="AL262" s="8"/>
      <c r="AM262" s="8"/>
      <c r="AN262" s="631"/>
      <c r="AO262" s="18"/>
      <c r="AP262" s="18"/>
      <c r="AQ262" s="18"/>
      <c r="AR262" s="18"/>
      <c r="AS262" s="18"/>
      <c r="AU262" s="448"/>
      <c r="AV262" s="448"/>
      <c r="AW262" s="8" t="str">
        <f>IF(C262&gt;0,VLOOKUP(C262,Foundation_Calc!$A$2:$C$986,3,1),
IF(J262&gt;0,VLOOKUP(J262,Foundation_Calc!$A$2:$C$986,3,1),""))</f>
        <v/>
      </c>
      <c r="AX262" s="8" t="str">
        <f>IF(C262&gt;0,VLOOKUP(C262,Foundation_Calc!$E$2:$G$986,3,1),
IF(J262&gt;0,VLOOKUP(J262,Foundation_Calc!$E$2:$G$986,3,1),""))</f>
        <v/>
      </c>
      <c r="AY262" s="631" t="str">
        <f>IF(L262="","",
IF(AX262="PT",VLOOKUP(L262,Foundation_Calc!$K$4:$R$37,VLOOKUP(AW262,Foundation_Calc!$I$2:$J$8,2,FALSE),0),
IF(AX262="K",VLOOKUP(L262,Foundation_Calc!$K$41:$R$74,VLOOKUP(AW262,Foundation_Calc!$I$2:$J$8,2,FALSE),0),"")))</f>
        <v/>
      </c>
      <c r="AZ262" s="631" t="str">
        <f>IF(K262="","",
IF(AX262="PT",VLOOKUP(K262,Foundation_Calc!$K$4:$R$37,VLOOKUP(AW262,Foundation_Calc!$I$2:$J$8,2,FALSE),0),
IF(AX262="K",VLOOKUP(K262,Foundation_Calc!$K$41:$R$74,VLOOKUP(AW262,Foundation_Calc!$I$2:$J$8,2,FALSE),0),"")))</f>
        <v/>
      </c>
      <c r="BA262" s="632" t="str">
        <f t="shared" ref="BA262:BA325" si="55">IF(AY262="","",IF(AY262&gt;0,"ü",""))</f>
        <v/>
      </c>
      <c r="BB262" s="632" t="str">
        <f t="shared" ref="BB262:BB325" si="56">IF(AZ262="","",IF(AZ262&gt;0,"ü",""))</f>
        <v/>
      </c>
      <c r="BC262" s="632" t="str">
        <f t="shared" ref="BC262:BC325" si="57">IF(M262="","",IF(M262="Unique Solution","ü",""))</f>
        <v/>
      </c>
      <c r="BD262" s="633" t="str">
        <f>IF(AND(L262="",H262=""),"",
IF(H262="",Pole_Calc!A290,
IF(H262="MP",Pole_Calc!A291,
IF(H262="AnMP",Pole_Calc!A292,
IF(H262="A",Pole_Calc!A293,
IF(H262="S/A",Pole_Calc!A294,
IF(H262="A/S",Pole_Calc!A295,"Poner a mano")))))))</f>
        <v/>
      </c>
      <c r="BE262" s="448" t="s">
        <v>1726</v>
      </c>
      <c r="BF262" s="634"/>
      <c r="BG262" s="634"/>
      <c r="BH262" s="634"/>
      <c r="BI262" s="634"/>
    </row>
    <row r="263" spans="1:61" ht="16.2" customHeight="1">
      <c r="A263" s="12"/>
      <c r="B263" s="446"/>
      <c r="C263" s="89"/>
      <c r="D263" s="13"/>
      <c r="E263" s="14"/>
      <c r="F263" s="14"/>
      <c r="G263" s="15"/>
      <c r="H263" s="8"/>
      <c r="I263" s="8"/>
      <c r="J263" s="89"/>
      <c r="K263" s="8"/>
      <c r="L263" s="8"/>
      <c r="M263" s="8" t="str">
        <f>IF(L263="","",
IF(AX263="PT",VLOOKUP(L263,Foundation_Calc!$V$4:$X$37,VLOOKUP(AX263,Foundation_Calc!$I$10:$J$13,2,FALSE),0),
IF(AX263="K",VLOOKUP(L263,Foundation_Calc!$V$41:$X$74,VLOOKUP(AX263,Foundation_Calc!$I$10:$J$13,2,FALSE),0),"")))</f>
        <v/>
      </c>
      <c r="N263" s="8"/>
      <c r="O263" s="8"/>
      <c r="P263" s="8"/>
      <c r="Q263" s="14"/>
      <c r="R263" s="15"/>
      <c r="S263" s="15"/>
      <c r="T263" s="14"/>
      <c r="U263" s="14"/>
      <c r="V263" s="14"/>
      <c r="W263" s="18"/>
      <c r="X263" s="18"/>
      <c r="Y263" s="18"/>
      <c r="Z263" s="18"/>
      <c r="AA263" s="18"/>
      <c r="AB263" s="18"/>
      <c r="AC263" s="8" t="str">
        <f t="shared" si="54"/>
        <v/>
      </c>
      <c r="AD263" s="8"/>
      <c r="AE263" s="8"/>
      <c r="AF263" s="14"/>
      <c r="AG263" s="13"/>
      <c r="AH263" s="14"/>
      <c r="AI263" s="14"/>
      <c r="AJ263" s="8"/>
      <c r="AK263" s="8"/>
      <c r="AL263" s="8"/>
      <c r="AM263" s="8"/>
      <c r="AN263" s="631"/>
      <c r="AO263" s="18"/>
      <c r="AP263" s="18"/>
      <c r="AQ263" s="18"/>
      <c r="AR263" s="18"/>
      <c r="AS263" s="18"/>
      <c r="AU263" s="448"/>
      <c r="AV263" s="448"/>
      <c r="AW263" s="8" t="str">
        <f>IF(C263&gt;0,VLOOKUP(C263,Foundation_Calc!$A$2:$C$986,3,1),
IF(J263&gt;0,VLOOKUP(J263,Foundation_Calc!$A$2:$C$986,3,1),""))</f>
        <v/>
      </c>
      <c r="AX263" s="8" t="str">
        <f>IF(C263&gt;0,VLOOKUP(C263,Foundation_Calc!$E$2:$G$986,3,1),
IF(J263&gt;0,VLOOKUP(J263,Foundation_Calc!$E$2:$G$986,3,1),""))</f>
        <v/>
      </c>
      <c r="AY263" s="631" t="str">
        <f>IF(L263="","",
IF(AX263="PT",VLOOKUP(L263,Foundation_Calc!$K$4:$R$37,VLOOKUP(AW263,Foundation_Calc!$I$2:$J$8,2,FALSE),0),
IF(AX263="K",VLOOKUP(L263,Foundation_Calc!$K$41:$R$74,VLOOKUP(AW263,Foundation_Calc!$I$2:$J$8,2,FALSE),0),"")))</f>
        <v/>
      </c>
      <c r="AZ263" s="631" t="str">
        <f>IF(K263="","",
IF(AX263="PT",VLOOKUP(K263,Foundation_Calc!$K$4:$R$37,VLOOKUP(AW263,Foundation_Calc!$I$2:$J$8,2,FALSE),0),
IF(AX263="K",VLOOKUP(K263,Foundation_Calc!$K$41:$R$74,VLOOKUP(AW263,Foundation_Calc!$I$2:$J$8,2,FALSE),0),"")))</f>
        <v/>
      </c>
      <c r="BA263" s="632" t="str">
        <f t="shared" si="55"/>
        <v/>
      </c>
      <c r="BB263" s="632" t="str">
        <f t="shared" si="56"/>
        <v/>
      </c>
      <c r="BC263" s="632" t="str">
        <f t="shared" si="57"/>
        <v/>
      </c>
      <c r="BD263" s="633" t="str">
        <f>IF(AND(L263="",H263=""),"",
IF(H263="",Pole_Calc!A291,
IF(H263="MP",Pole_Calc!A292,
IF(H263="AnMP",Pole_Calc!A293,
IF(H263="A",Pole_Calc!A294,
IF(H263="S/A",Pole_Calc!A295,
IF(H263="A/S",Pole_Calc!A296,"Poner a mano")))))))</f>
        <v/>
      </c>
      <c r="BE263" s="448" t="s">
        <v>1726</v>
      </c>
      <c r="BF263" s="635"/>
      <c r="BG263" s="635"/>
      <c r="BH263" s="634"/>
      <c r="BI263" s="635"/>
    </row>
    <row r="264" spans="1:61" ht="16.2" customHeight="1">
      <c r="A264" s="12"/>
      <c r="B264" s="446"/>
      <c r="C264" s="89"/>
      <c r="D264" s="13"/>
      <c r="E264" s="14"/>
      <c r="F264" s="14"/>
      <c r="G264" s="15"/>
      <c r="H264" s="8"/>
      <c r="I264" s="8"/>
      <c r="J264" s="89"/>
      <c r="K264" s="8"/>
      <c r="L264" s="8"/>
      <c r="M264" s="8" t="str">
        <f>IF(L264="","",
IF(AX264="PT",VLOOKUP(L264,Foundation_Calc!$V$4:$X$37,VLOOKUP(AX264,Foundation_Calc!$I$10:$J$13,2,FALSE),0),
IF(AX264="K",VLOOKUP(L264,Foundation_Calc!$V$41:$X$74,VLOOKUP(AX264,Foundation_Calc!$I$10:$J$13,2,FALSE),0),"")))</f>
        <v/>
      </c>
      <c r="N264" s="8"/>
      <c r="O264" s="8"/>
      <c r="P264" s="8"/>
      <c r="Q264" s="14"/>
      <c r="R264" s="15"/>
      <c r="S264" s="15"/>
      <c r="T264" s="14"/>
      <c r="U264" s="14"/>
      <c r="V264" s="14"/>
      <c r="W264" s="18"/>
      <c r="X264" s="18"/>
      <c r="Y264" s="18"/>
      <c r="Z264" s="18"/>
      <c r="AA264" s="18"/>
      <c r="AB264" s="18"/>
      <c r="AC264" s="8" t="str">
        <f t="shared" si="54"/>
        <v/>
      </c>
      <c r="AD264" s="8"/>
      <c r="AE264" s="8"/>
      <c r="AF264" s="14"/>
      <c r="AG264" s="13"/>
      <c r="AH264" s="14"/>
      <c r="AI264" s="14"/>
      <c r="AJ264" s="8"/>
      <c r="AK264" s="8"/>
      <c r="AL264" s="8"/>
      <c r="AM264" s="8"/>
      <c r="AN264" s="631"/>
      <c r="AO264" s="18"/>
      <c r="AP264" s="18"/>
      <c r="AQ264" s="18"/>
      <c r="AR264" s="18"/>
      <c r="AS264" s="18"/>
      <c r="AU264" s="448"/>
      <c r="AV264" s="448"/>
      <c r="AW264" s="8" t="str">
        <f>IF(C264&gt;0,VLOOKUP(C264,Foundation_Calc!$A$2:$C$986,3,1),
IF(J264&gt;0,VLOOKUP(J264,Foundation_Calc!$A$2:$C$986,3,1),""))</f>
        <v/>
      </c>
      <c r="AX264" s="8" t="str">
        <f>IF(C264&gt;0,VLOOKUP(C264,Foundation_Calc!$E$2:$G$986,3,1),
IF(J264&gt;0,VLOOKUP(J264,Foundation_Calc!$E$2:$G$986,3,1),""))</f>
        <v/>
      </c>
      <c r="AY264" s="631" t="str">
        <f>IF(L264="","",
IF(AX264="PT",VLOOKUP(L264,Foundation_Calc!$K$4:$R$37,VLOOKUP(AW264,Foundation_Calc!$I$2:$J$8,2,FALSE),0),
IF(AX264="K",VLOOKUP(L264,Foundation_Calc!$K$41:$R$74,VLOOKUP(AW264,Foundation_Calc!$I$2:$J$8,2,FALSE),0),"")))</f>
        <v/>
      </c>
      <c r="AZ264" s="631" t="str">
        <f>IF(K264="","",
IF(AX264="PT",VLOOKUP(K264,Foundation_Calc!$K$4:$R$37,VLOOKUP(AW264,Foundation_Calc!$I$2:$J$8,2,FALSE),0),
IF(AX264="K",VLOOKUP(K264,Foundation_Calc!$K$41:$R$74,VLOOKUP(AW264,Foundation_Calc!$I$2:$J$8,2,FALSE),0),"")))</f>
        <v/>
      </c>
      <c r="BA264" s="632" t="str">
        <f t="shared" si="55"/>
        <v/>
      </c>
      <c r="BB264" s="632" t="str">
        <f t="shared" si="56"/>
        <v/>
      </c>
      <c r="BC264" s="632" t="str">
        <f t="shared" si="57"/>
        <v/>
      </c>
      <c r="BD264" s="633" t="str">
        <f>IF(AND(L264="",H264=""),"",
IF(H264="",Pole_Calc!A292,
IF(H264="MP",Pole_Calc!A293,
IF(H264="AnMP",Pole_Calc!A294,
IF(H264="A",Pole_Calc!A295,
IF(H264="S/A",Pole_Calc!A296,
IF(H264="A/S",Pole_Calc!A297,"Poner a mano")))))))</f>
        <v/>
      </c>
      <c r="BE264" s="448" t="s">
        <v>1726</v>
      </c>
      <c r="BF264" s="634"/>
      <c r="BG264" s="634"/>
      <c r="BH264" s="634"/>
      <c r="BI264" s="634"/>
    </row>
    <row r="265" spans="1:61" ht="16.2" customHeight="1">
      <c r="A265" s="12"/>
      <c r="B265" s="446"/>
      <c r="C265" s="89"/>
      <c r="D265" s="13"/>
      <c r="E265" s="14"/>
      <c r="F265" s="14"/>
      <c r="G265" s="15"/>
      <c r="H265" s="8"/>
      <c r="I265" s="8"/>
      <c r="J265" s="89"/>
      <c r="K265" s="8"/>
      <c r="L265" s="8"/>
      <c r="M265" s="8" t="str">
        <f>IF(L265="","",
IF(AX265="PT",VLOOKUP(L265,Foundation_Calc!$V$4:$X$37,VLOOKUP(AX265,Foundation_Calc!$I$10:$J$13,2,FALSE),0),
IF(AX265="K",VLOOKUP(L265,Foundation_Calc!$V$41:$X$74,VLOOKUP(AX265,Foundation_Calc!$I$10:$J$13,2,FALSE),0),"")))</f>
        <v/>
      </c>
      <c r="N265" s="8"/>
      <c r="O265" s="8"/>
      <c r="P265" s="8"/>
      <c r="Q265" s="14"/>
      <c r="R265" s="15"/>
      <c r="S265" s="15"/>
      <c r="T265" s="14"/>
      <c r="U265" s="14"/>
      <c r="V265" s="14"/>
      <c r="W265" s="18"/>
      <c r="X265" s="18"/>
      <c r="Y265" s="18"/>
      <c r="Z265" s="18"/>
      <c r="AA265" s="18"/>
      <c r="AB265" s="18"/>
      <c r="AC265" s="8" t="str">
        <f t="shared" si="54"/>
        <v/>
      </c>
      <c r="AD265" s="8"/>
      <c r="AE265" s="8"/>
      <c r="AF265" s="14"/>
      <c r="AG265" s="13"/>
      <c r="AH265" s="14"/>
      <c r="AI265" s="14"/>
      <c r="AJ265" s="8"/>
      <c r="AK265" s="8"/>
      <c r="AL265" s="8"/>
      <c r="AM265" s="8"/>
      <c r="AN265" s="631"/>
      <c r="AO265" s="18"/>
      <c r="AP265" s="18"/>
      <c r="AQ265" s="18"/>
      <c r="AR265" s="18"/>
      <c r="AS265" s="18"/>
      <c r="AU265" s="448"/>
      <c r="AV265" s="448"/>
      <c r="AW265" s="8" t="str">
        <f>IF(C265&gt;0,VLOOKUP(C265,Foundation_Calc!$A$2:$C$986,3,1),
IF(J265&gt;0,VLOOKUP(J265,Foundation_Calc!$A$2:$C$986,3,1),""))</f>
        <v/>
      </c>
      <c r="AX265" s="8" t="str">
        <f>IF(C265&gt;0,VLOOKUP(C265,Foundation_Calc!$E$2:$G$986,3,1),
IF(J265&gt;0,VLOOKUP(J265,Foundation_Calc!$E$2:$G$986,3,1),""))</f>
        <v/>
      </c>
      <c r="AY265" s="631" t="str">
        <f>IF(L265="","",
IF(AX265="PT",VLOOKUP(L265,Foundation_Calc!$K$4:$R$37,VLOOKUP(AW265,Foundation_Calc!$I$2:$J$8,2,FALSE),0),
IF(AX265="K",VLOOKUP(L265,Foundation_Calc!$K$41:$R$74,VLOOKUP(AW265,Foundation_Calc!$I$2:$J$8,2,FALSE),0),"")))</f>
        <v/>
      </c>
      <c r="AZ265" s="631" t="str">
        <f>IF(K265="","",
IF(AX265="PT",VLOOKUP(K265,Foundation_Calc!$K$4:$R$37,VLOOKUP(AW265,Foundation_Calc!$I$2:$J$8,2,FALSE),0),
IF(AX265="K",VLOOKUP(K265,Foundation_Calc!$K$41:$R$74,VLOOKUP(AW265,Foundation_Calc!$I$2:$J$8,2,FALSE),0),"")))</f>
        <v/>
      </c>
      <c r="BA265" s="632" t="str">
        <f t="shared" si="55"/>
        <v/>
      </c>
      <c r="BB265" s="632" t="str">
        <f t="shared" si="56"/>
        <v/>
      </c>
      <c r="BC265" s="632" t="str">
        <f t="shared" si="57"/>
        <v/>
      </c>
      <c r="BD265" s="633" t="str">
        <f>IF(AND(L265="",H265=""),"",
IF(H265="",Pole_Calc!A293,
IF(H265="MP",Pole_Calc!A294,
IF(H265="AnMP",Pole_Calc!A295,
IF(H265="A",Pole_Calc!A296,
IF(H265="S/A",Pole_Calc!A297,
IF(H265="A/S",Pole_Calc!A298,"Poner a mano")))))))</f>
        <v/>
      </c>
      <c r="BE265" s="448" t="s">
        <v>1726</v>
      </c>
      <c r="BF265" s="635"/>
      <c r="BG265" s="635"/>
      <c r="BH265" s="634"/>
      <c r="BI265" s="635"/>
    </row>
    <row r="266" spans="1:61" ht="16.2" customHeight="1">
      <c r="A266" s="12"/>
      <c r="B266" s="446"/>
      <c r="C266" s="89"/>
      <c r="D266" s="13"/>
      <c r="E266" s="14"/>
      <c r="F266" s="14"/>
      <c r="G266" s="15"/>
      <c r="H266" s="8"/>
      <c r="I266" s="8"/>
      <c r="J266" s="89"/>
      <c r="K266" s="8"/>
      <c r="L266" s="8"/>
      <c r="M266" s="8" t="str">
        <f>IF(L266="","",
IF(AX266="PT",VLOOKUP(L266,Foundation_Calc!$V$4:$X$37,VLOOKUP(AX266,Foundation_Calc!$I$10:$J$13,2,FALSE),0),
IF(AX266="K",VLOOKUP(L266,Foundation_Calc!$V$41:$X$74,VLOOKUP(AX266,Foundation_Calc!$I$10:$J$13,2,FALSE),0),"")))</f>
        <v/>
      </c>
      <c r="N266" s="8"/>
      <c r="O266" s="8"/>
      <c r="P266" s="8"/>
      <c r="Q266" s="14"/>
      <c r="R266" s="15"/>
      <c r="S266" s="15"/>
      <c r="T266" s="14"/>
      <c r="U266" s="14"/>
      <c r="V266" s="14"/>
      <c r="W266" s="18"/>
      <c r="X266" s="18"/>
      <c r="Y266" s="18"/>
      <c r="Z266" s="18"/>
      <c r="AA266" s="18"/>
      <c r="AB266" s="18"/>
      <c r="AC266" s="8" t="str">
        <f t="shared" si="54"/>
        <v/>
      </c>
      <c r="AD266" s="8"/>
      <c r="AE266" s="8"/>
      <c r="AF266" s="14"/>
      <c r="AG266" s="13"/>
      <c r="AH266" s="14"/>
      <c r="AI266" s="14"/>
      <c r="AJ266" s="8"/>
      <c r="AK266" s="8"/>
      <c r="AL266" s="8"/>
      <c r="AM266" s="8"/>
      <c r="AN266" s="631"/>
      <c r="AO266" s="18"/>
      <c r="AP266" s="18"/>
      <c r="AQ266" s="18"/>
      <c r="AR266" s="18"/>
      <c r="AS266" s="18"/>
      <c r="AU266" s="448"/>
      <c r="AV266" s="448"/>
      <c r="AW266" s="8" t="str">
        <f>IF(C266&gt;0,VLOOKUP(C266,Foundation_Calc!$A$2:$C$986,3,1),
IF(J266&gt;0,VLOOKUP(J266,Foundation_Calc!$A$2:$C$986,3,1),""))</f>
        <v/>
      </c>
      <c r="AX266" s="8" t="str">
        <f>IF(C266&gt;0,VLOOKUP(C266,Foundation_Calc!$E$2:$G$986,3,1),
IF(J266&gt;0,VLOOKUP(J266,Foundation_Calc!$E$2:$G$986,3,1),""))</f>
        <v/>
      </c>
      <c r="AY266" s="631" t="str">
        <f>IF(L266="","",
IF(AX266="PT",VLOOKUP(L266,Foundation_Calc!$K$4:$R$37,VLOOKUP(AW266,Foundation_Calc!$I$2:$J$8,2,FALSE),0),
IF(AX266="K",VLOOKUP(L266,Foundation_Calc!$K$41:$R$74,VLOOKUP(AW266,Foundation_Calc!$I$2:$J$8,2,FALSE),0),"")))</f>
        <v/>
      </c>
      <c r="AZ266" s="631" t="str">
        <f>IF(K266="","",
IF(AX266="PT",VLOOKUP(K266,Foundation_Calc!$K$4:$R$37,VLOOKUP(AW266,Foundation_Calc!$I$2:$J$8,2,FALSE),0),
IF(AX266="K",VLOOKUP(K266,Foundation_Calc!$K$41:$R$74,VLOOKUP(AW266,Foundation_Calc!$I$2:$J$8,2,FALSE),0),"")))</f>
        <v/>
      </c>
      <c r="BA266" s="632" t="str">
        <f t="shared" si="55"/>
        <v/>
      </c>
      <c r="BB266" s="632" t="str">
        <f t="shared" si="56"/>
        <v/>
      </c>
      <c r="BC266" s="632" t="str">
        <f t="shared" si="57"/>
        <v/>
      </c>
      <c r="BD266" s="633" t="str">
        <f>IF(AND(L266="",H266=""),"",
IF(H266="",Pole_Calc!A294,
IF(H266="MP",Pole_Calc!A295,
IF(H266="AnMP",Pole_Calc!A296,
IF(H266="A",Pole_Calc!A297,
IF(H266="S/A",Pole_Calc!A298,
IF(H266="A/S",Pole_Calc!A299,"Poner a mano")))))))</f>
        <v/>
      </c>
      <c r="BE266" s="448" t="s">
        <v>1726</v>
      </c>
      <c r="BF266" s="634"/>
      <c r="BG266" s="634"/>
      <c r="BH266" s="634"/>
      <c r="BI266" s="634"/>
    </row>
    <row r="267" spans="1:61" ht="16.2" customHeight="1">
      <c r="A267" s="12"/>
      <c r="B267" s="446"/>
      <c r="C267" s="89"/>
      <c r="D267" s="13"/>
      <c r="E267" s="14"/>
      <c r="F267" s="14"/>
      <c r="G267" s="15"/>
      <c r="H267" s="8"/>
      <c r="I267" s="8"/>
      <c r="J267" s="89"/>
      <c r="K267" s="8"/>
      <c r="L267" s="8"/>
      <c r="M267" s="8" t="str">
        <f>IF(L267="","",
IF(AX267="PT",VLOOKUP(L267,Foundation_Calc!$V$4:$X$37,VLOOKUP(AX267,Foundation_Calc!$I$10:$J$13,2,FALSE),0),
IF(AX267="K",VLOOKUP(L267,Foundation_Calc!$V$41:$X$74,VLOOKUP(AX267,Foundation_Calc!$I$10:$J$13,2,FALSE),0),"")))</f>
        <v/>
      </c>
      <c r="N267" s="8"/>
      <c r="O267" s="8"/>
      <c r="P267" s="8"/>
      <c r="Q267" s="14"/>
      <c r="R267" s="15"/>
      <c r="S267" s="15"/>
      <c r="T267" s="14"/>
      <c r="U267" s="14"/>
      <c r="V267" s="14"/>
      <c r="W267" s="18"/>
      <c r="X267" s="18"/>
      <c r="Y267" s="18"/>
      <c r="Z267" s="18"/>
      <c r="AA267" s="18"/>
      <c r="AB267" s="18"/>
      <c r="AC267" s="8" t="str">
        <f t="shared" si="54"/>
        <v/>
      </c>
      <c r="AD267" s="8"/>
      <c r="AE267" s="8"/>
      <c r="AF267" s="14"/>
      <c r="AG267" s="13"/>
      <c r="AH267" s="14"/>
      <c r="AI267" s="14"/>
      <c r="AJ267" s="8"/>
      <c r="AK267" s="8"/>
      <c r="AL267" s="8"/>
      <c r="AM267" s="8"/>
      <c r="AN267" s="631"/>
      <c r="AO267" s="18"/>
      <c r="AP267" s="18"/>
      <c r="AQ267" s="18"/>
      <c r="AR267" s="18"/>
      <c r="AS267" s="18"/>
      <c r="AU267" s="448"/>
      <c r="AV267" s="448"/>
      <c r="AW267" s="8" t="str">
        <f>IF(C267&gt;0,VLOOKUP(C267,Foundation_Calc!$A$2:$C$986,3,1),
IF(J267&gt;0,VLOOKUP(J267,Foundation_Calc!$A$2:$C$986,3,1),""))</f>
        <v/>
      </c>
      <c r="AX267" s="8" t="str">
        <f>IF(C267&gt;0,VLOOKUP(C267,Foundation_Calc!$E$2:$G$986,3,1),
IF(J267&gt;0,VLOOKUP(J267,Foundation_Calc!$E$2:$G$986,3,1),""))</f>
        <v/>
      </c>
      <c r="AY267" s="631" t="str">
        <f>IF(L267="","",
IF(AX267="PT",VLOOKUP(L267,Foundation_Calc!$K$4:$R$37,VLOOKUP(AW267,Foundation_Calc!$I$2:$J$8,2,FALSE),0),
IF(AX267="K",VLOOKUP(L267,Foundation_Calc!$K$41:$R$74,VLOOKUP(AW267,Foundation_Calc!$I$2:$J$8,2,FALSE),0),"")))</f>
        <v/>
      </c>
      <c r="AZ267" s="631" t="str">
        <f>IF(K267="","",
IF(AX267="PT",VLOOKUP(K267,Foundation_Calc!$K$4:$R$37,VLOOKUP(AW267,Foundation_Calc!$I$2:$J$8,2,FALSE),0),
IF(AX267="K",VLOOKUP(K267,Foundation_Calc!$K$41:$R$74,VLOOKUP(AW267,Foundation_Calc!$I$2:$J$8,2,FALSE),0),"")))</f>
        <v/>
      </c>
      <c r="BA267" s="632" t="str">
        <f t="shared" si="55"/>
        <v/>
      </c>
      <c r="BB267" s="632" t="str">
        <f t="shared" si="56"/>
        <v/>
      </c>
      <c r="BC267" s="632" t="str">
        <f t="shared" si="57"/>
        <v/>
      </c>
      <c r="BD267" s="633" t="str">
        <f>IF(AND(L267="",H267=""),"",
IF(H267="",Pole_Calc!A295,
IF(H267="MP",Pole_Calc!A296,
IF(H267="AnMP",Pole_Calc!A297,
IF(H267="A",Pole_Calc!A298,
IF(H267="S/A",Pole_Calc!A299,
IF(H267="A/S",Pole_Calc!A300,"Poner a mano")))))))</f>
        <v/>
      </c>
      <c r="BE267" s="448" t="s">
        <v>1726</v>
      </c>
      <c r="BF267" s="635"/>
      <c r="BG267" s="635"/>
      <c r="BH267" s="634"/>
      <c r="BI267" s="635"/>
    </row>
    <row r="268" spans="1:61" ht="16.2" customHeight="1">
      <c r="A268" s="12"/>
      <c r="B268" s="446"/>
      <c r="C268" s="89"/>
      <c r="D268" s="13"/>
      <c r="E268" s="14"/>
      <c r="F268" s="14"/>
      <c r="G268" s="15"/>
      <c r="H268" s="8"/>
      <c r="I268" s="8"/>
      <c r="J268" s="89"/>
      <c r="K268" s="8"/>
      <c r="L268" s="8"/>
      <c r="M268" s="8" t="str">
        <f>IF(L268="","",
IF(AX268="PT",VLOOKUP(L268,Foundation_Calc!$V$4:$X$37,VLOOKUP(AX268,Foundation_Calc!$I$10:$J$13,2,FALSE),0),
IF(AX268="K",VLOOKUP(L268,Foundation_Calc!$V$41:$X$74,VLOOKUP(AX268,Foundation_Calc!$I$10:$J$13,2,FALSE),0),"")))</f>
        <v/>
      </c>
      <c r="N268" s="8"/>
      <c r="O268" s="8"/>
      <c r="P268" s="8"/>
      <c r="Q268" s="14"/>
      <c r="R268" s="15"/>
      <c r="S268" s="15"/>
      <c r="T268" s="14"/>
      <c r="U268" s="14"/>
      <c r="V268" s="14"/>
      <c r="W268" s="18"/>
      <c r="X268" s="18"/>
      <c r="Y268" s="18"/>
      <c r="Z268" s="18"/>
      <c r="AA268" s="18"/>
      <c r="AB268" s="18"/>
      <c r="AC268" s="8" t="str">
        <f t="shared" si="54"/>
        <v/>
      </c>
      <c r="AD268" s="8"/>
      <c r="AE268" s="8"/>
      <c r="AF268" s="14"/>
      <c r="AG268" s="13"/>
      <c r="AH268" s="14"/>
      <c r="AI268" s="14"/>
      <c r="AJ268" s="8"/>
      <c r="AK268" s="8"/>
      <c r="AL268" s="8"/>
      <c r="AM268" s="8"/>
      <c r="AN268" s="631"/>
      <c r="AO268" s="18"/>
      <c r="AP268" s="18"/>
      <c r="AQ268" s="18"/>
      <c r="AR268" s="18"/>
      <c r="AS268" s="18"/>
      <c r="AU268" s="448"/>
      <c r="AV268" s="448"/>
      <c r="AW268" s="8" t="str">
        <f>IF(C268&gt;0,VLOOKUP(C268,Foundation_Calc!$A$2:$C$986,3,1),
IF(J268&gt;0,VLOOKUP(J268,Foundation_Calc!$A$2:$C$986,3,1),""))</f>
        <v/>
      </c>
      <c r="AX268" s="8" t="str">
        <f>IF(C268&gt;0,VLOOKUP(C268,Foundation_Calc!$E$2:$G$986,3,1),
IF(J268&gt;0,VLOOKUP(J268,Foundation_Calc!$E$2:$G$986,3,1),""))</f>
        <v/>
      </c>
      <c r="AY268" s="631" t="str">
        <f>IF(L268="","",
IF(AX268="PT",VLOOKUP(L268,Foundation_Calc!$K$4:$R$37,VLOOKUP(AW268,Foundation_Calc!$I$2:$J$8,2,FALSE),0),
IF(AX268="K",VLOOKUP(L268,Foundation_Calc!$K$41:$R$74,VLOOKUP(AW268,Foundation_Calc!$I$2:$J$8,2,FALSE),0),"")))</f>
        <v/>
      </c>
      <c r="AZ268" s="631" t="str">
        <f>IF(K268="","",
IF(AX268="PT",VLOOKUP(K268,Foundation_Calc!$K$4:$R$37,VLOOKUP(AW268,Foundation_Calc!$I$2:$J$8,2,FALSE),0),
IF(AX268="K",VLOOKUP(K268,Foundation_Calc!$K$41:$R$74,VLOOKUP(AW268,Foundation_Calc!$I$2:$J$8,2,FALSE),0),"")))</f>
        <v/>
      </c>
      <c r="BA268" s="632" t="str">
        <f t="shared" si="55"/>
        <v/>
      </c>
      <c r="BB268" s="632" t="str">
        <f t="shared" si="56"/>
        <v/>
      </c>
      <c r="BC268" s="632" t="str">
        <f t="shared" si="57"/>
        <v/>
      </c>
      <c r="BD268" s="633" t="str">
        <f>IF(AND(L268="",H268=""),"",
IF(H268="",Pole_Calc!A296,
IF(H268="MP",Pole_Calc!A297,
IF(H268="AnMP",Pole_Calc!A298,
IF(H268="A",Pole_Calc!A299,
IF(H268="S/A",Pole_Calc!A300,
IF(H268="A/S",Pole_Calc!A301,"Poner a mano")))))))</f>
        <v/>
      </c>
      <c r="BE268" s="448" t="s">
        <v>1726</v>
      </c>
      <c r="BF268" s="634"/>
      <c r="BG268" s="634"/>
      <c r="BH268" s="634"/>
      <c r="BI268" s="634"/>
    </row>
    <row r="269" spans="1:61" ht="16.2" customHeight="1">
      <c r="A269" s="12"/>
      <c r="B269" s="446"/>
      <c r="C269" s="89"/>
      <c r="D269" s="13"/>
      <c r="E269" s="14"/>
      <c r="F269" s="14"/>
      <c r="G269" s="15"/>
      <c r="H269" s="8"/>
      <c r="I269" s="8"/>
      <c r="J269" s="89"/>
      <c r="K269" s="8"/>
      <c r="L269" s="8"/>
      <c r="M269" s="8" t="str">
        <f>IF(L269="","",
IF(AX269="PT",VLOOKUP(L269,Foundation_Calc!$V$4:$X$37,VLOOKUP(AX269,Foundation_Calc!$I$10:$J$13,2,FALSE),0),
IF(AX269="K",VLOOKUP(L269,Foundation_Calc!$V$41:$X$74,VLOOKUP(AX269,Foundation_Calc!$I$10:$J$13,2,FALSE),0),"")))</f>
        <v/>
      </c>
      <c r="N269" s="8"/>
      <c r="O269" s="8"/>
      <c r="P269" s="8"/>
      <c r="Q269" s="14"/>
      <c r="R269" s="15"/>
      <c r="S269" s="15"/>
      <c r="T269" s="14"/>
      <c r="U269" s="14"/>
      <c r="V269" s="14"/>
      <c r="W269" s="18"/>
      <c r="X269" s="18"/>
      <c r="Y269" s="18"/>
      <c r="Z269" s="18"/>
      <c r="AA269" s="18"/>
      <c r="AB269" s="18"/>
      <c r="AC269" s="8" t="str">
        <f t="shared" si="54"/>
        <v/>
      </c>
      <c r="AD269" s="8"/>
      <c r="AE269" s="8"/>
      <c r="AF269" s="14"/>
      <c r="AG269" s="13"/>
      <c r="AH269" s="14"/>
      <c r="AI269" s="14"/>
      <c r="AJ269" s="8"/>
      <c r="AK269" s="8"/>
      <c r="AL269" s="8"/>
      <c r="AM269" s="8"/>
      <c r="AN269" s="631"/>
      <c r="AO269" s="18"/>
      <c r="AP269" s="18"/>
      <c r="AQ269" s="18"/>
      <c r="AR269" s="18"/>
      <c r="AS269" s="18"/>
      <c r="AU269" s="448"/>
      <c r="AV269" s="448"/>
      <c r="AW269" s="8" t="str">
        <f>IF(C269&gt;0,VLOOKUP(C269,Foundation_Calc!$A$2:$C$986,3,1),
IF(J269&gt;0,VLOOKUP(J269,Foundation_Calc!$A$2:$C$986,3,1),""))</f>
        <v/>
      </c>
      <c r="AX269" s="8" t="str">
        <f>IF(C269&gt;0,VLOOKUP(C269,Foundation_Calc!$E$2:$G$986,3,1),
IF(J269&gt;0,VLOOKUP(J269,Foundation_Calc!$E$2:$G$986,3,1),""))</f>
        <v/>
      </c>
      <c r="AY269" s="631" t="str">
        <f>IF(L269="","",
IF(AX269="PT",VLOOKUP(L269,Foundation_Calc!$K$4:$R$37,VLOOKUP(AW269,Foundation_Calc!$I$2:$J$8,2,FALSE),0),
IF(AX269="K",VLOOKUP(L269,Foundation_Calc!$K$41:$R$74,VLOOKUP(AW269,Foundation_Calc!$I$2:$J$8,2,FALSE),0),"")))</f>
        <v/>
      </c>
      <c r="AZ269" s="631" t="str">
        <f>IF(K269="","",
IF(AX269="PT",VLOOKUP(K269,Foundation_Calc!$K$4:$R$37,VLOOKUP(AW269,Foundation_Calc!$I$2:$J$8,2,FALSE),0),
IF(AX269="K",VLOOKUP(K269,Foundation_Calc!$K$41:$R$74,VLOOKUP(AW269,Foundation_Calc!$I$2:$J$8,2,FALSE),0),"")))</f>
        <v/>
      </c>
      <c r="BA269" s="632" t="str">
        <f t="shared" si="55"/>
        <v/>
      </c>
      <c r="BB269" s="632" t="str">
        <f t="shared" si="56"/>
        <v/>
      </c>
      <c r="BC269" s="632" t="str">
        <f t="shared" si="57"/>
        <v/>
      </c>
      <c r="BD269" s="633" t="str">
        <f>IF(AND(L269="",H269=""),"",
IF(H269="",Pole_Calc!A297,
IF(H269="MP",Pole_Calc!A298,
IF(H269="AnMP",Pole_Calc!A299,
IF(H269="A",Pole_Calc!A300,
IF(H269="S/A",Pole_Calc!A301,
IF(H269="A/S",Pole_Calc!A302,"Poner a mano")))))))</f>
        <v/>
      </c>
      <c r="BE269" s="448" t="s">
        <v>1726</v>
      </c>
      <c r="BF269" s="635"/>
      <c r="BG269" s="635"/>
      <c r="BH269" s="634"/>
      <c r="BI269" s="635"/>
    </row>
    <row r="270" spans="1:61" ht="16.2" customHeight="1">
      <c r="A270" s="12"/>
      <c r="B270" s="446"/>
      <c r="C270" s="89"/>
      <c r="D270" s="13"/>
      <c r="E270" s="14"/>
      <c r="F270" s="14"/>
      <c r="G270" s="15"/>
      <c r="H270" s="8"/>
      <c r="I270" s="8"/>
      <c r="J270" s="89"/>
      <c r="K270" s="8"/>
      <c r="L270" s="8"/>
      <c r="M270" s="8" t="str">
        <f>IF(L270="","",
IF(AX270="PT",VLOOKUP(L270,Foundation_Calc!$V$4:$X$37,VLOOKUP(AX270,Foundation_Calc!$I$10:$J$13,2,FALSE),0),
IF(AX270="K",VLOOKUP(L270,Foundation_Calc!$V$41:$X$74,VLOOKUP(AX270,Foundation_Calc!$I$10:$J$13,2,FALSE),0),"")))</f>
        <v/>
      </c>
      <c r="N270" s="8"/>
      <c r="O270" s="8"/>
      <c r="P270" s="8"/>
      <c r="Q270" s="14"/>
      <c r="R270" s="15"/>
      <c r="S270" s="15"/>
      <c r="T270" s="14"/>
      <c r="U270" s="14"/>
      <c r="V270" s="14"/>
      <c r="W270" s="18"/>
      <c r="X270" s="18"/>
      <c r="Y270" s="18"/>
      <c r="Z270" s="18"/>
      <c r="AA270" s="18"/>
      <c r="AB270" s="18"/>
      <c r="AC270" s="8" t="str">
        <f t="shared" si="54"/>
        <v/>
      </c>
      <c r="AD270" s="8"/>
      <c r="AE270" s="8"/>
      <c r="AF270" s="14"/>
      <c r="AG270" s="13"/>
      <c r="AH270" s="14"/>
      <c r="AI270" s="14"/>
      <c r="AJ270" s="8"/>
      <c r="AK270" s="8"/>
      <c r="AL270" s="8"/>
      <c r="AM270" s="8"/>
      <c r="AN270" s="631"/>
      <c r="AO270" s="18"/>
      <c r="AP270" s="18"/>
      <c r="AQ270" s="18"/>
      <c r="AR270" s="18"/>
      <c r="AS270" s="18"/>
      <c r="AU270" s="448"/>
      <c r="AV270" s="448"/>
      <c r="AW270" s="8" t="str">
        <f>IF(C270&gt;0,VLOOKUP(C270,Foundation_Calc!$A$2:$C$986,3,1),
IF(J270&gt;0,VLOOKUP(J270,Foundation_Calc!$A$2:$C$986,3,1),""))</f>
        <v/>
      </c>
      <c r="AX270" s="8" t="str">
        <f>IF(C270&gt;0,VLOOKUP(C270,Foundation_Calc!$E$2:$G$986,3,1),
IF(J270&gt;0,VLOOKUP(J270,Foundation_Calc!$E$2:$G$986,3,1),""))</f>
        <v/>
      </c>
      <c r="AY270" s="631" t="str">
        <f>IF(L270="","",
IF(AX270="PT",VLOOKUP(L270,Foundation_Calc!$K$4:$R$37,VLOOKUP(AW270,Foundation_Calc!$I$2:$J$8,2,FALSE),0),
IF(AX270="K",VLOOKUP(L270,Foundation_Calc!$K$41:$R$74,VLOOKUP(AW270,Foundation_Calc!$I$2:$J$8,2,FALSE),0),"")))</f>
        <v/>
      </c>
      <c r="AZ270" s="631" t="str">
        <f>IF(K270="","",
IF(AX270="PT",VLOOKUP(K270,Foundation_Calc!$K$4:$R$37,VLOOKUP(AW270,Foundation_Calc!$I$2:$J$8,2,FALSE),0),
IF(AX270="K",VLOOKUP(K270,Foundation_Calc!$K$41:$R$74,VLOOKUP(AW270,Foundation_Calc!$I$2:$J$8,2,FALSE),0),"")))</f>
        <v/>
      </c>
      <c r="BA270" s="632" t="str">
        <f t="shared" si="55"/>
        <v/>
      </c>
      <c r="BB270" s="632" t="str">
        <f t="shared" si="56"/>
        <v/>
      </c>
      <c r="BC270" s="632" t="str">
        <f t="shared" si="57"/>
        <v/>
      </c>
      <c r="BD270" s="633" t="str">
        <f>IF(AND(L270="",H270=""),"",
IF(H270="",Pole_Calc!A298,
IF(H270="MP",Pole_Calc!A299,
IF(H270="AnMP",Pole_Calc!A300,
IF(H270="A",Pole_Calc!A301,
IF(H270="S/A",Pole_Calc!A302,
IF(H270="A/S",Pole_Calc!A303,"Poner a mano")))))))</f>
        <v/>
      </c>
      <c r="BE270" s="448" t="s">
        <v>1726</v>
      </c>
      <c r="BF270" s="634"/>
      <c r="BG270" s="634"/>
      <c r="BH270" s="634"/>
      <c r="BI270" s="634"/>
    </row>
    <row r="271" spans="1:61" ht="16.2" customHeight="1">
      <c r="A271" s="12"/>
      <c r="B271" s="446"/>
      <c r="C271" s="89"/>
      <c r="D271" s="13"/>
      <c r="E271" s="14"/>
      <c r="F271" s="14"/>
      <c r="G271" s="15"/>
      <c r="H271" s="8"/>
      <c r="I271" s="8"/>
      <c r="J271" s="89"/>
      <c r="K271" s="8"/>
      <c r="L271" s="8"/>
      <c r="M271" s="8" t="str">
        <f>IF(L271="","",
IF(AX271="PT",VLOOKUP(L271,Foundation_Calc!$V$4:$X$37,VLOOKUP(AX271,Foundation_Calc!$I$10:$J$13,2,FALSE),0),
IF(AX271="K",VLOOKUP(L271,Foundation_Calc!$V$41:$X$74,VLOOKUP(AX271,Foundation_Calc!$I$10:$J$13,2,FALSE),0),"")))</f>
        <v/>
      </c>
      <c r="N271" s="8"/>
      <c r="O271" s="8"/>
      <c r="P271" s="8"/>
      <c r="Q271" s="14"/>
      <c r="R271" s="15"/>
      <c r="S271" s="15"/>
      <c r="T271" s="14"/>
      <c r="U271" s="14"/>
      <c r="V271" s="14"/>
      <c r="W271" s="18"/>
      <c r="X271" s="18"/>
      <c r="Y271" s="18"/>
      <c r="Z271" s="18"/>
      <c r="AA271" s="18"/>
      <c r="AB271" s="18"/>
      <c r="AC271" s="8" t="str">
        <f t="shared" si="54"/>
        <v/>
      </c>
      <c r="AD271" s="8"/>
      <c r="AE271" s="8"/>
      <c r="AF271" s="14"/>
      <c r="AG271" s="13"/>
      <c r="AH271" s="14"/>
      <c r="AI271" s="14"/>
      <c r="AJ271" s="8"/>
      <c r="AK271" s="8"/>
      <c r="AL271" s="8"/>
      <c r="AM271" s="8"/>
      <c r="AN271" s="631"/>
      <c r="AO271" s="18"/>
      <c r="AP271" s="18"/>
      <c r="AQ271" s="18"/>
      <c r="AR271" s="18"/>
      <c r="AS271" s="18"/>
      <c r="AU271" s="448"/>
      <c r="AV271" s="448"/>
      <c r="AW271" s="8" t="str">
        <f>IF(C271&gt;0,VLOOKUP(C271,Foundation_Calc!$A$2:$C$986,3,1),
IF(J271&gt;0,VLOOKUP(J271,Foundation_Calc!$A$2:$C$986,3,1),""))</f>
        <v/>
      </c>
      <c r="AX271" s="8" t="str">
        <f>IF(C271&gt;0,VLOOKUP(C271,Foundation_Calc!$E$2:$G$986,3,1),
IF(J271&gt;0,VLOOKUP(J271,Foundation_Calc!$E$2:$G$986,3,1),""))</f>
        <v/>
      </c>
      <c r="AY271" s="631" t="str">
        <f>IF(L271="","",
IF(AX271="PT",VLOOKUP(L271,Foundation_Calc!$K$4:$R$37,VLOOKUP(AW271,Foundation_Calc!$I$2:$J$8,2,FALSE),0),
IF(AX271="K",VLOOKUP(L271,Foundation_Calc!$K$41:$R$74,VLOOKUP(AW271,Foundation_Calc!$I$2:$J$8,2,FALSE),0),"")))</f>
        <v/>
      </c>
      <c r="AZ271" s="631" t="str">
        <f>IF(K271="","",
IF(AX271="PT",VLOOKUP(K271,Foundation_Calc!$K$4:$R$37,VLOOKUP(AW271,Foundation_Calc!$I$2:$J$8,2,FALSE),0),
IF(AX271="K",VLOOKUP(K271,Foundation_Calc!$K$41:$R$74,VLOOKUP(AW271,Foundation_Calc!$I$2:$J$8,2,FALSE),0),"")))</f>
        <v/>
      </c>
      <c r="BA271" s="632" t="str">
        <f t="shared" si="55"/>
        <v/>
      </c>
      <c r="BB271" s="632" t="str">
        <f t="shared" si="56"/>
        <v/>
      </c>
      <c r="BC271" s="632" t="str">
        <f t="shared" si="57"/>
        <v/>
      </c>
      <c r="BD271" s="633" t="str">
        <f>IF(AND(L271="",H271=""),"",
IF(H271="",Pole_Calc!A299,
IF(H271="MP",Pole_Calc!A300,
IF(H271="AnMP",Pole_Calc!A301,
IF(H271="A",Pole_Calc!A302,
IF(H271="S/A",Pole_Calc!A303,
IF(H271="A/S",Pole_Calc!A304,"Poner a mano")))))))</f>
        <v/>
      </c>
      <c r="BE271" s="448" t="s">
        <v>1726</v>
      </c>
      <c r="BF271" s="635"/>
      <c r="BG271" s="635"/>
      <c r="BH271" s="634"/>
      <c r="BI271" s="635"/>
    </row>
    <row r="272" spans="1:61" ht="16.2" customHeight="1">
      <c r="A272" s="12"/>
      <c r="B272" s="446"/>
      <c r="C272" s="89"/>
      <c r="D272" s="13"/>
      <c r="E272" s="14"/>
      <c r="F272" s="14"/>
      <c r="G272" s="15"/>
      <c r="H272" s="8"/>
      <c r="I272" s="8"/>
      <c r="J272" s="89"/>
      <c r="K272" s="8"/>
      <c r="L272" s="8"/>
      <c r="M272" s="8" t="str">
        <f>IF(L272="","",
IF(AX272="PT",VLOOKUP(L272,Foundation_Calc!$V$4:$X$37,VLOOKUP(AX272,Foundation_Calc!$I$10:$J$13,2,FALSE),0),
IF(AX272="K",VLOOKUP(L272,Foundation_Calc!$V$41:$X$74,VLOOKUP(AX272,Foundation_Calc!$I$10:$J$13,2,FALSE),0),"")))</f>
        <v/>
      </c>
      <c r="N272" s="8"/>
      <c r="O272" s="8"/>
      <c r="P272" s="8"/>
      <c r="Q272" s="14"/>
      <c r="R272" s="15"/>
      <c r="S272" s="15"/>
      <c r="T272" s="14"/>
      <c r="U272" s="14"/>
      <c r="V272" s="14"/>
      <c r="W272" s="18"/>
      <c r="X272" s="18"/>
      <c r="Y272" s="18"/>
      <c r="Z272" s="18"/>
      <c r="AA272" s="18"/>
      <c r="AB272" s="18"/>
      <c r="AC272" s="8" t="str">
        <f t="shared" si="54"/>
        <v/>
      </c>
      <c r="AD272" s="8"/>
      <c r="AE272" s="8"/>
      <c r="AF272" s="14"/>
      <c r="AG272" s="13"/>
      <c r="AH272" s="14"/>
      <c r="AI272" s="14"/>
      <c r="AJ272" s="8"/>
      <c r="AK272" s="8"/>
      <c r="AL272" s="8"/>
      <c r="AM272" s="8"/>
      <c r="AN272" s="631"/>
      <c r="AO272" s="18"/>
      <c r="AP272" s="18"/>
      <c r="AQ272" s="18"/>
      <c r="AR272" s="18"/>
      <c r="AS272" s="18"/>
      <c r="AU272" s="448"/>
      <c r="AV272" s="448"/>
      <c r="AW272" s="8" t="str">
        <f>IF(C272&gt;0,VLOOKUP(C272,Foundation_Calc!$A$2:$C$986,3,1),
IF(J272&gt;0,VLOOKUP(J272,Foundation_Calc!$A$2:$C$986,3,1),""))</f>
        <v/>
      </c>
      <c r="AX272" s="8" t="str">
        <f>IF(C272&gt;0,VLOOKUP(C272,Foundation_Calc!$E$2:$G$986,3,1),
IF(J272&gt;0,VLOOKUP(J272,Foundation_Calc!$E$2:$G$986,3,1),""))</f>
        <v/>
      </c>
      <c r="AY272" s="631" t="str">
        <f>IF(L272="","",
IF(AX272="PT",VLOOKUP(L272,Foundation_Calc!$K$4:$R$37,VLOOKUP(AW272,Foundation_Calc!$I$2:$J$8,2,FALSE),0),
IF(AX272="K",VLOOKUP(L272,Foundation_Calc!$K$41:$R$74,VLOOKUP(AW272,Foundation_Calc!$I$2:$J$8,2,FALSE),0),"")))</f>
        <v/>
      </c>
      <c r="AZ272" s="631" t="str">
        <f>IF(K272="","",
IF(AX272="PT",VLOOKUP(K272,Foundation_Calc!$K$4:$R$37,VLOOKUP(AW272,Foundation_Calc!$I$2:$J$8,2,FALSE),0),
IF(AX272="K",VLOOKUP(K272,Foundation_Calc!$K$41:$R$74,VLOOKUP(AW272,Foundation_Calc!$I$2:$J$8,2,FALSE),0),"")))</f>
        <v/>
      </c>
      <c r="BA272" s="632" t="str">
        <f t="shared" si="55"/>
        <v/>
      </c>
      <c r="BB272" s="632" t="str">
        <f t="shared" si="56"/>
        <v/>
      </c>
      <c r="BC272" s="632" t="str">
        <f t="shared" si="57"/>
        <v/>
      </c>
      <c r="BD272" s="633" t="str">
        <f>IF(AND(L272="",H272=""),"",
IF(H272="",Pole_Calc!A300,
IF(H272="MP",Pole_Calc!A301,
IF(H272="AnMP",Pole_Calc!A302,
IF(H272="A",Pole_Calc!A303,
IF(H272="S/A",Pole_Calc!A304,
IF(H272="A/S",Pole_Calc!A305,"Poner a mano")))))))</f>
        <v/>
      </c>
      <c r="BE272" s="448" t="s">
        <v>1726</v>
      </c>
      <c r="BF272" s="634"/>
      <c r="BG272" s="634"/>
      <c r="BH272" s="634"/>
      <c r="BI272" s="634"/>
    </row>
    <row r="273" spans="1:61" ht="16.2" customHeight="1">
      <c r="A273" s="12"/>
      <c r="B273" s="446"/>
      <c r="C273" s="89"/>
      <c r="D273" s="13"/>
      <c r="E273" s="14"/>
      <c r="F273" s="14"/>
      <c r="G273" s="15"/>
      <c r="H273" s="8"/>
      <c r="I273" s="8"/>
      <c r="J273" s="89"/>
      <c r="K273" s="8"/>
      <c r="L273" s="8"/>
      <c r="M273" s="8" t="str">
        <f>IF(L273="","",
IF(AX273="PT",VLOOKUP(L273,Foundation_Calc!$V$4:$X$37,VLOOKUP(AX273,Foundation_Calc!$I$10:$J$13,2,FALSE),0),
IF(AX273="K",VLOOKUP(L273,Foundation_Calc!$V$41:$X$74,VLOOKUP(AX273,Foundation_Calc!$I$10:$J$13,2,FALSE),0),"")))</f>
        <v/>
      </c>
      <c r="N273" s="8"/>
      <c r="O273" s="8"/>
      <c r="P273" s="8"/>
      <c r="Q273" s="14"/>
      <c r="R273" s="15"/>
      <c r="S273" s="15"/>
      <c r="T273" s="14"/>
      <c r="U273" s="14"/>
      <c r="V273" s="14"/>
      <c r="W273" s="18"/>
      <c r="X273" s="18"/>
      <c r="Y273" s="18"/>
      <c r="Z273" s="18"/>
      <c r="AA273" s="18"/>
      <c r="AB273" s="18"/>
      <c r="AC273" s="8" t="str">
        <f t="shared" si="54"/>
        <v/>
      </c>
      <c r="AD273" s="8"/>
      <c r="AE273" s="8"/>
      <c r="AF273" s="14"/>
      <c r="AG273" s="13"/>
      <c r="AH273" s="14"/>
      <c r="AI273" s="14"/>
      <c r="AJ273" s="8"/>
      <c r="AK273" s="8"/>
      <c r="AL273" s="8"/>
      <c r="AM273" s="8"/>
      <c r="AN273" s="631"/>
      <c r="AO273" s="18"/>
      <c r="AP273" s="18"/>
      <c r="AQ273" s="18"/>
      <c r="AR273" s="18"/>
      <c r="AS273" s="18"/>
      <c r="AU273" s="448"/>
      <c r="AV273" s="448"/>
      <c r="AW273" s="8" t="str">
        <f>IF(C273&gt;0,VLOOKUP(C273,Foundation_Calc!$A$2:$C$986,3,1),
IF(J273&gt;0,VLOOKUP(J273,Foundation_Calc!$A$2:$C$986,3,1),""))</f>
        <v/>
      </c>
      <c r="AX273" s="8" t="str">
        <f>IF(C273&gt;0,VLOOKUP(C273,Foundation_Calc!$E$2:$G$986,3,1),
IF(J273&gt;0,VLOOKUP(J273,Foundation_Calc!$E$2:$G$986,3,1),""))</f>
        <v/>
      </c>
      <c r="AY273" s="631" t="str">
        <f>IF(L273="","",
IF(AX273="PT",VLOOKUP(L273,Foundation_Calc!$K$4:$R$37,VLOOKUP(AW273,Foundation_Calc!$I$2:$J$8,2,FALSE),0),
IF(AX273="K",VLOOKUP(L273,Foundation_Calc!$K$41:$R$74,VLOOKUP(AW273,Foundation_Calc!$I$2:$J$8,2,FALSE),0),"")))</f>
        <v/>
      </c>
      <c r="AZ273" s="631" t="str">
        <f>IF(K273="","",
IF(AX273="PT",VLOOKUP(K273,Foundation_Calc!$K$4:$R$37,VLOOKUP(AW273,Foundation_Calc!$I$2:$J$8,2,FALSE),0),
IF(AX273="K",VLOOKUP(K273,Foundation_Calc!$K$41:$R$74,VLOOKUP(AW273,Foundation_Calc!$I$2:$J$8,2,FALSE),0),"")))</f>
        <v/>
      </c>
      <c r="BA273" s="632" t="str">
        <f t="shared" si="55"/>
        <v/>
      </c>
      <c r="BB273" s="632" t="str">
        <f t="shared" si="56"/>
        <v/>
      </c>
      <c r="BC273" s="632" t="str">
        <f t="shared" si="57"/>
        <v/>
      </c>
      <c r="BD273" s="633" t="str">
        <f>IF(AND(L273="",H273=""),"",
IF(H273="",Pole_Calc!A301,
IF(H273="MP",Pole_Calc!A302,
IF(H273="AnMP",Pole_Calc!A303,
IF(H273="A",Pole_Calc!A304,
IF(H273="S/A",Pole_Calc!A305,
IF(H273="A/S",Pole_Calc!A306,"Poner a mano")))))))</f>
        <v/>
      </c>
      <c r="BE273" s="448" t="s">
        <v>1726</v>
      </c>
      <c r="BF273" s="635"/>
      <c r="BG273" s="635"/>
      <c r="BH273" s="634"/>
      <c r="BI273" s="635"/>
    </row>
    <row r="274" spans="1:61" ht="16.2" customHeight="1">
      <c r="A274" s="12"/>
      <c r="B274" s="446"/>
      <c r="C274" s="89"/>
      <c r="D274" s="13"/>
      <c r="E274" s="14"/>
      <c r="F274" s="14"/>
      <c r="G274" s="15"/>
      <c r="H274" s="8"/>
      <c r="I274" s="8"/>
      <c r="J274" s="89"/>
      <c r="K274" s="8"/>
      <c r="L274" s="8"/>
      <c r="M274" s="8" t="str">
        <f>IF(L274="","",
IF(AX274="PT",VLOOKUP(L274,Foundation_Calc!$V$4:$X$37,VLOOKUP(AX274,Foundation_Calc!$I$10:$J$13,2,FALSE),0),
IF(AX274="K",VLOOKUP(L274,Foundation_Calc!$V$41:$X$74,VLOOKUP(AX274,Foundation_Calc!$I$10:$J$13,2,FALSE),0),"")))</f>
        <v/>
      </c>
      <c r="N274" s="8"/>
      <c r="O274" s="8"/>
      <c r="P274" s="8"/>
      <c r="Q274" s="14"/>
      <c r="R274" s="15"/>
      <c r="S274" s="15"/>
      <c r="T274" s="14"/>
      <c r="U274" s="14"/>
      <c r="V274" s="14"/>
      <c r="W274" s="18"/>
      <c r="X274" s="18"/>
      <c r="Y274" s="18"/>
      <c r="Z274" s="18"/>
      <c r="AA274" s="18"/>
      <c r="AB274" s="18"/>
      <c r="AC274" s="8" t="str">
        <f t="shared" si="54"/>
        <v/>
      </c>
      <c r="AD274" s="8"/>
      <c r="AE274" s="8"/>
      <c r="AF274" s="14"/>
      <c r="AG274" s="13"/>
      <c r="AH274" s="14"/>
      <c r="AI274" s="14"/>
      <c r="AJ274" s="8"/>
      <c r="AK274" s="8"/>
      <c r="AL274" s="8"/>
      <c r="AM274" s="8"/>
      <c r="AN274" s="631"/>
      <c r="AO274" s="18"/>
      <c r="AP274" s="18"/>
      <c r="AQ274" s="18"/>
      <c r="AR274" s="18"/>
      <c r="AS274" s="18"/>
      <c r="AU274" s="448"/>
      <c r="AV274" s="448"/>
      <c r="AW274" s="8" t="str">
        <f>IF(C274&gt;0,VLOOKUP(C274,Foundation_Calc!$A$2:$C$986,3,1),
IF(J274&gt;0,VLOOKUP(J274,Foundation_Calc!$A$2:$C$986,3,1),""))</f>
        <v/>
      </c>
      <c r="AX274" s="8" t="str">
        <f>IF(C274&gt;0,VLOOKUP(C274,Foundation_Calc!$E$2:$G$986,3,1),
IF(J274&gt;0,VLOOKUP(J274,Foundation_Calc!$E$2:$G$986,3,1),""))</f>
        <v/>
      </c>
      <c r="AY274" s="631" t="str">
        <f>IF(L274="","",
IF(AX274="PT",VLOOKUP(L274,Foundation_Calc!$K$4:$R$37,VLOOKUP(AW274,Foundation_Calc!$I$2:$J$8,2,FALSE),0),
IF(AX274="K",VLOOKUP(L274,Foundation_Calc!$K$41:$R$74,VLOOKUP(AW274,Foundation_Calc!$I$2:$J$8,2,FALSE),0),"")))</f>
        <v/>
      </c>
      <c r="AZ274" s="631" t="str">
        <f>IF(K274="","",
IF(AX274="PT",VLOOKUP(K274,Foundation_Calc!$K$4:$R$37,VLOOKUP(AW274,Foundation_Calc!$I$2:$J$8,2,FALSE),0),
IF(AX274="K",VLOOKUP(K274,Foundation_Calc!$K$41:$R$74,VLOOKUP(AW274,Foundation_Calc!$I$2:$J$8,2,FALSE),0),"")))</f>
        <v/>
      </c>
      <c r="BA274" s="632" t="str">
        <f t="shared" si="55"/>
        <v/>
      </c>
      <c r="BB274" s="632" t="str">
        <f t="shared" si="56"/>
        <v/>
      </c>
      <c r="BC274" s="632" t="str">
        <f t="shared" si="57"/>
        <v/>
      </c>
      <c r="BD274" s="633" t="str">
        <f>IF(AND(L274="",H274=""),"",
IF(H274="",Pole_Calc!A302,
IF(H274="MP",Pole_Calc!A303,
IF(H274="AnMP",Pole_Calc!A304,
IF(H274="A",Pole_Calc!A305,
IF(H274="S/A",Pole_Calc!A306,
IF(H274="A/S",Pole_Calc!A307,"Poner a mano")))))))</f>
        <v/>
      </c>
      <c r="BE274" s="448" t="s">
        <v>1726</v>
      </c>
      <c r="BF274" s="634"/>
      <c r="BG274" s="634"/>
      <c r="BH274" s="634"/>
      <c r="BI274" s="634"/>
    </row>
    <row r="275" spans="1:61" ht="16.2" customHeight="1">
      <c r="A275" s="12"/>
      <c r="B275" s="446"/>
      <c r="C275" s="89"/>
      <c r="D275" s="13"/>
      <c r="E275" s="14"/>
      <c r="F275" s="14"/>
      <c r="G275" s="15"/>
      <c r="H275" s="8"/>
      <c r="I275" s="8"/>
      <c r="J275" s="89"/>
      <c r="K275" s="8"/>
      <c r="L275" s="8"/>
      <c r="M275" s="8" t="str">
        <f>IF(L275="","",
IF(AX275="PT",VLOOKUP(L275,Foundation_Calc!$V$4:$X$37,VLOOKUP(AX275,Foundation_Calc!$I$10:$J$13,2,FALSE),0),
IF(AX275="K",VLOOKUP(L275,Foundation_Calc!$V$41:$X$74,VLOOKUP(AX275,Foundation_Calc!$I$10:$J$13,2,FALSE),0),"")))</f>
        <v/>
      </c>
      <c r="N275" s="8"/>
      <c r="O275" s="8"/>
      <c r="P275" s="8"/>
      <c r="Q275" s="14"/>
      <c r="R275" s="15"/>
      <c r="S275" s="15"/>
      <c r="T275" s="14"/>
      <c r="U275" s="14"/>
      <c r="V275" s="14"/>
      <c r="W275" s="18"/>
      <c r="X275" s="18"/>
      <c r="Y275" s="18"/>
      <c r="Z275" s="18"/>
      <c r="AA275" s="18"/>
      <c r="AB275" s="18"/>
      <c r="AC275" s="8" t="str">
        <f t="shared" si="54"/>
        <v/>
      </c>
      <c r="AD275" s="8"/>
      <c r="AE275" s="8"/>
      <c r="AF275" s="14"/>
      <c r="AG275" s="13"/>
      <c r="AH275" s="14"/>
      <c r="AI275" s="14"/>
      <c r="AJ275" s="8"/>
      <c r="AK275" s="8"/>
      <c r="AL275" s="8"/>
      <c r="AM275" s="8"/>
      <c r="AN275" s="631"/>
      <c r="AO275" s="18"/>
      <c r="AP275" s="18"/>
      <c r="AQ275" s="18"/>
      <c r="AR275" s="18"/>
      <c r="AS275" s="18"/>
      <c r="AU275" s="448"/>
      <c r="AV275" s="448"/>
      <c r="AW275" s="8" t="str">
        <f>IF(C275&gt;0,VLOOKUP(C275,Foundation_Calc!$A$2:$C$986,3,1),
IF(J275&gt;0,VLOOKUP(J275,Foundation_Calc!$A$2:$C$986,3,1),""))</f>
        <v/>
      </c>
      <c r="AX275" s="8" t="str">
        <f>IF(C275&gt;0,VLOOKUP(C275,Foundation_Calc!$E$2:$G$986,3,1),
IF(J275&gt;0,VLOOKUP(J275,Foundation_Calc!$E$2:$G$986,3,1),""))</f>
        <v/>
      </c>
      <c r="AY275" s="631" t="str">
        <f>IF(L275="","",
IF(AX275="PT",VLOOKUP(L275,Foundation_Calc!$K$4:$R$37,VLOOKUP(AW275,Foundation_Calc!$I$2:$J$8,2,FALSE),0),
IF(AX275="K",VLOOKUP(L275,Foundation_Calc!$K$41:$R$74,VLOOKUP(AW275,Foundation_Calc!$I$2:$J$8,2,FALSE),0),"")))</f>
        <v/>
      </c>
      <c r="AZ275" s="631" t="str">
        <f>IF(K275="","",
IF(AX275="PT",VLOOKUP(K275,Foundation_Calc!$K$4:$R$37,VLOOKUP(AW275,Foundation_Calc!$I$2:$J$8,2,FALSE),0),
IF(AX275="K",VLOOKUP(K275,Foundation_Calc!$K$41:$R$74,VLOOKUP(AW275,Foundation_Calc!$I$2:$J$8,2,FALSE),0),"")))</f>
        <v/>
      </c>
      <c r="BA275" s="632" t="str">
        <f t="shared" si="55"/>
        <v/>
      </c>
      <c r="BB275" s="632" t="str">
        <f t="shared" si="56"/>
        <v/>
      </c>
      <c r="BC275" s="632" t="str">
        <f t="shared" si="57"/>
        <v/>
      </c>
      <c r="BD275" s="633" t="str">
        <f>IF(AND(L275="",H275=""),"",
IF(H275="",Pole_Calc!A303,
IF(H275="MP",Pole_Calc!A304,
IF(H275="AnMP",Pole_Calc!A305,
IF(H275="A",Pole_Calc!A306,
IF(H275="S/A",Pole_Calc!A307,
IF(H275="A/S",Pole_Calc!A308,"Poner a mano")))))))</f>
        <v/>
      </c>
      <c r="BE275" s="448" t="s">
        <v>1726</v>
      </c>
      <c r="BF275" s="635"/>
      <c r="BG275" s="635"/>
      <c r="BH275" s="634"/>
      <c r="BI275" s="635"/>
    </row>
    <row r="276" spans="1:61" ht="16.2" customHeight="1">
      <c r="A276" s="12"/>
      <c r="B276" s="446"/>
      <c r="C276" s="89"/>
      <c r="D276" s="13"/>
      <c r="E276" s="14"/>
      <c r="F276" s="14"/>
      <c r="G276" s="15"/>
      <c r="H276" s="8"/>
      <c r="I276" s="8"/>
      <c r="J276" s="89"/>
      <c r="K276" s="8"/>
      <c r="L276" s="8"/>
      <c r="M276" s="8" t="str">
        <f>IF(L276="","",
IF(AX276="PT",VLOOKUP(L276,Foundation_Calc!$V$4:$X$37,VLOOKUP(AX276,Foundation_Calc!$I$10:$J$13,2,FALSE),0),
IF(AX276="K",VLOOKUP(L276,Foundation_Calc!$V$41:$X$74,VLOOKUP(AX276,Foundation_Calc!$I$10:$J$13,2,FALSE),0),"")))</f>
        <v/>
      </c>
      <c r="N276" s="8"/>
      <c r="O276" s="8"/>
      <c r="P276" s="8"/>
      <c r="Q276" s="14"/>
      <c r="R276" s="15"/>
      <c r="S276" s="15"/>
      <c r="T276" s="14"/>
      <c r="U276" s="14"/>
      <c r="V276" s="14"/>
      <c r="W276" s="18"/>
      <c r="X276" s="18"/>
      <c r="Y276" s="18"/>
      <c r="Z276" s="18"/>
      <c r="AA276" s="18"/>
      <c r="AB276" s="18"/>
      <c r="AC276" s="8" t="str">
        <f t="shared" si="54"/>
        <v/>
      </c>
      <c r="AD276" s="8"/>
      <c r="AE276" s="8"/>
      <c r="AF276" s="14"/>
      <c r="AG276" s="13"/>
      <c r="AH276" s="14"/>
      <c r="AI276" s="14"/>
      <c r="AJ276" s="8"/>
      <c r="AK276" s="8"/>
      <c r="AL276" s="8"/>
      <c r="AM276" s="8"/>
      <c r="AN276" s="631"/>
      <c r="AO276" s="18"/>
      <c r="AP276" s="18"/>
      <c r="AQ276" s="18"/>
      <c r="AR276" s="18"/>
      <c r="AS276" s="18"/>
      <c r="AU276" s="448"/>
      <c r="AV276" s="448"/>
      <c r="AW276" s="8" t="str">
        <f>IF(C276&gt;0,VLOOKUP(C276,Foundation_Calc!$A$2:$C$986,3,1),
IF(J276&gt;0,VLOOKUP(J276,Foundation_Calc!$A$2:$C$986,3,1),""))</f>
        <v/>
      </c>
      <c r="AX276" s="8" t="str">
        <f>IF(C276&gt;0,VLOOKUP(C276,Foundation_Calc!$E$2:$G$986,3,1),
IF(J276&gt;0,VLOOKUP(J276,Foundation_Calc!$E$2:$G$986,3,1),""))</f>
        <v/>
      </c>
      <c r="AY276" s="631" t="str">
        <f>IF(L276="","",
IF(AX276="PT",VLOOKUP(L276,Foundation_Calc!$K$4:$R$37,VLOOKUP(AW276,Foundation_Calc!$I$2:$J$8,2,FALSE),0),
IF(AX276="K",VLOOKUP(L276,Foundation_Calc!$K$41:$R$74,VLOOKUP(AW276,Foundation_Calc!$I$2:$J$8,2,FALSE),0),"")))</f>
        <v/>
      </c>
      <c r="AZ276" s="631" t="str">
        <f>IF(K276="","",
IF(AX276="PT",VLOOKUP(K276,Foundation_Calc!$K$4:$R$37,VLOOKUP(AW276,Foundation_Calc!$I$2:$J$8,2,FALSE),0),
IF(AX276="K",VLOOKUP(K276,Foundation_Calc!$K$41:$R$74,VLOOKUP(AW276,Foundation_Calc!$I$2:$J$8,2,FALSE),0),"")))</f>
        <v/>
      </c>
      <c r="BA276" s="632" t="str">
        <f t="shared" si="55"/>
        <v/>
      </c>
      <c r="BB276" s="632" t="str">
        <f t="shared" si="56"/>
        <v/>
      </c>
      <c r="BC276" s="632" t="str">
        <f t="shared" si="57"/>
        <v/>
      </c>
      <c r="BD276" s="633" t="str">
        <f>IF(AND(L276="",H276=""),"",
IF(H276="",Pole_Calc!A304,
IF(H276="MP",Pole_Calc!A305,
IF(H276="AnMP",Pole_Calc!A306,
IF(H276="A",Pole_Calc!A307,
IF(H276="S/A",Pole_Calc!A308,
IF(H276="A/S",Pole_Calc!A309,"Poner a mano")))))))</f>
        <v/>
      </c>
      <c r="BE276" s="448" t="s">
        <v>1726</v>
      </c>
      <c r="BF276" s="634"/>
      <c r="BG276" s="634"/>
      <c r="BH276" s="634"/>
      <c r="BI276" s="634"/>
    </row>
    <row r="277" spans="1:61" ht="16.2" customHeight="1">
      <c r="A277" s="12"/>
      <c r="B277" s="446"/>
      <c r="C277" s="89"/>
      <c r="D277" s="13"/>
      <c r="E277" s="14"/>
      <c r="F277" s="14"/>
      <c r="G277" s="15"/>
      <c r="H277" s="8"/>
      <c r="I277" s="8"/>
      <c r="J277" s="89"/>
      <c r="K277" s="8"/>
      <c r="L277" s="8"/>
      <c r="M277" s="8" t="str">
        <f>IF(L277="","",
IF(AX277="PT",VLOOKUP(L277,Foundation_Calc!$V$4:$X$37,VLOOKUP(AX277,Foundation_Calc!$I$10:$J$13,2,FALSE),0),
IF(AX277="K",VLOOKUP(L277,Foundation_Calc!$V$41:$X$74,VLOOKUP(AX277,Foundation_Calc!$I$10:$J$13,2,FALSE),0),"")))</f>
        <v/>
      </c>
      <c r="N277" s="8"/>
      <c r="O277" s="8"/>
      <c r="P277" s="8"/>
      <c r="Q277" s="14"/>
      <c r="R277" s="15"/>
      <c r="S277" s="15"/>
      <c r="T277" s="14"/>
      <c r="U277" s="14"/>
      <c r="V277" s="14"/>
      <c r="W277" s="18"/>
      <c r="X277" s="18"/>
      <c r="Y277" s="18"/>
      <c r="Z277" s="18"/>
      <c r="AA277" s="18"/>
      <c r="AB277" s="18"/>
      <c r="AC277" s="8" t="str">
        <f t="shared" si="54"/>
        <v/>
      </c>
      <c r="AD277" s="8"/>
      <c r="AE277" s="8"/>
      <c r="AF277" s="14"/>
      <c r="AG277" s="13"/>
      <c r="AH277" s="14"/>
      <c r="AI277" s="14"/>
      <c r="AJ277" s="8"/>
      <c r="AK277" s="8"/>
      <c r="AL277" s="8"/>
      <c r="AM277" s="8"/>
      <c r="AN277" s="631"/>
      <c r="AO277" s="18"/>
      <c r="AP277" s="18"/>
      <c r="AQ277" s="18"/>
      <c r="AR277" s="18"/>
      <c r="AS277" s="18"/>
      <c r="AU277" s="448"/>
      <c r="AV277" s="448"/>
      <c r="AW277" s="8" t="str">
        <f>IF(C277&gt;0,VLOOKUP(C277,Foundation_Calc!$A$2:$C$986,3,1),
IF(J277&gt;0,VLOOKUP(J277,Foundation_Calc!$A$2:$C$986,3,1),""))</f>
        <v/>
      </c>
      <c r="AX277" s="8" t="str">
        <f>IF(C277&gt;0,VLOOKUP(C277,Foundation_Calc!$E$2:$G$986,3,1),
IF(J277&gt;0,VLOOKUP(J277,Foundation_Calc!$E$2:$G$986,3,1),""))</f>
        <v/>
      </c>
      <c r="AY277" s="631" t="str">
        <f>IF(L277="","",
IF(AX277="PT",VLOOKUP(L277,Foundation_Calc!$K$4:$R$37,VLOOKUP(AW277,Foundation_Calc!$I$2:$J$8,2,FALSE),0),
IF(AX277="K",VLOOKUP(L277,Foundation_Calc!$K$41:$R$74,VLOOKUP(AW277,Foundation_Calc!$I$2:$J$8,2,FALSE),0),"")))</f>
        <v/>
      </c>
      <c r="AZ277" s="631" t="str">
        <f>IF(K277="","",
IF(AX277="PT",VLOOKUP(K277,Foundation_Calc!$K$4:$R$37,VLOOKUP(AW277,Foundation_Calc!$I$2:$J$8,2,FALSE),0),
IF(AX277="K",VLOOKUP(K277,Foundation_Calc!$K$41:$R$74,VLOOKUP(AW277,Foundation_Calc!$I$2:$J$8,2,FALSE),0),"")))</f>
        <v/>
      </c>
      <c r="BA277" s="632" t="str">
        <f t="shared" si="55"/>
        <v/>
      </c>
      <c r="BB277" s="632" t="str">
        <f t="shared" si="56"/>
        <v/>
      </c>
      <c r="BC277" s="632" t="str">
        <f t="shared" si="57"/>
        <v/>
      </c>
      <c r="BD277" s="633" t="str">
        <f>IF(AND(L277="",H277=""),"",
IF(H277="",Pole_Calc!A305,
IF(H277="MP",Pole_Calc!A306,
IF(H277="AnMP",Pole_Calc!A307,
IF(H277="A",Pole_Calc!A308,
IF(H277="S/A",Pole_Calc!A309,
IF(H277="A/S",Pole_Calc!A310,"Poner a mano")))))))</f>
        <v/>
      </c>
      <c r="BE277" s="448" t="s">
        <v>1726</v>
      </c>
      <c r="BF277" s="635"/>
      <c r="BG277" s="635"/>
      <c r="BH277" s="634"/>
      <c r="BI277" s="635"/>
    </row>
    <row r="278" spans="1:61" ht="16.2" customHeight="1">
      <c r="A278" s="12"/>
      <c r="B278" s="446"/>
      <c r="C278" s="89"/>
      <c r="D278" s="13"/>
      <c r="E278" s="14"/>
      <c r="F278" s="14"/>
      <c r="G278" s="15"/>
      <c r="H278" s="8"/>
      <c r="I278" s="8"/>
      <c r="J278" s="89"/>
      <c r="K278" s="8"/>
      <c r="L278" s="8"/>
      <c r="M278" s="8" t="str">
        <f>IF(L278="","",
IF(AX278="PT",VLOOKUP(L278,Foundation_Calc!$V$4:$X$37,VLOOKUP(AX278,Foundation_Calc!$I$10:$J$13,2,FALSE),0),
IF(AX278="K",VLOOKUP(L278,Foundation_Calc!$V$41:$X$74,VLOOKUP(AX278,Foundation_Calc!$I$10:$J$13,2,FALSE),0),"")))</f>
        <v/>
      </c>
      <c r="N278" s="8"/>
      <c r="O278" s="8"/>
      <c r="P278" s="8"/>
      <c r="Q278" s="14"/>
      <c r="R278" s="15"/>
      <c r="S278" s="15"/>
      <c r="T278" s="14"/>
      <c r="U278" s="14"/>
      <c r="V278" s="14"/>
      <c r="W278" s="18"/>
      <c r="X278" s="18"/>
      <c r="Y278" s="18"/>
      <c r="Z278" s="18"/>
      <c r="AA278" s="18"/>
      <c r="AB278" s="18"/>
      <c r="AC278" s="8" t="str">
        <f t="shared" si="54"/>
        <v/>
      </c>
      <c r="AD278" s="8"/>
      <c r="AE278" s="8"/>
      <c r="AF278" s="14"/>
      <c r="AG278" s="13"/>
      <c r="AH278" s="14"/>
      <c r="AI278" s="14"/>
      <c r="AJ278" s="8"/>
      <c r="AK278" s="8"/>
      <c r="AL278" s="8"/>
      <c r="AM278" s="8"/>
      <c r="AN278" s="631"/>
      <c r="AO278" s="18"/>
      <c r="AP278" s="18"/>
      <c r="AQ278" s="18"/>
      <c r="AR278" s="18"/>
      <c r="AS278" s="18"/>
      <c r="AU278" s="448"/>
      <c r="AV278" s="448"/>
      <c r="AW278" s="8" t="str">
        <f>IF(C278&gt;0,VLOOKUP(C278,Foundation_Calc!$A$2:$C$986,3,1),
IF(J278&gt;0,VLOOKUP(J278,Foundation_Calc!$A$2:$C$986,3,1),""))</f>
        <v/>
      </c>
      <c r="AX278" s="8" t="str">
        <f>IF(C278&gt;0,VLOOKUP(C278,Foundation_Calc!$E$2:$G$986,3,1),
IF(J278&gt;0,VLOOKUP(J278,Foundation_Calc!$E$2:$G$986,3,1),""))</f>
        <v/>
      </c>
      <c r="AY278" s="631" t="str">
        <f>IF(L278="","",
IF(AX278="PT",VLOOKUP(L278,Foundation_Calc!$K$4:$R$37,VLOOKUP(AW278,Foundation_Calc!$I$2:$J$8,2,FALSE),0),
IF(AX278="K",VLOOKUP(L278,Foundation_Calc!$K$41:$R$74,VLOOKUP(AW278,Foundation_Calc!$I$2:$J$8,2,FALSE),0),"")))</f>
        <v/>
      </c>
      <c r="AZ278" s="631" t="str">
        <f>IF(K278="","",
IF(AX278="PT",VLOOKUP(K278,Foundation_Calc!$K$4:$R$37,VLOOKUP(AW278,Foundation_Calc!$I$2:$J$8,2,FALSE),0),
IF(AX278="K",VLOOKUP(K278,Foundation_Calc!$K$41:$R$74,VLOOKUP(AW278,Foundation_Calc!$I$2:$J$8,2,FALSE),0),"")))</f>
        <v/>
      </c>
      <c r="BA278" s="632" t="str">
        <f t="shared" si="55"/>
        <v/>
      </c>
      <c r="BB278" s="632" t="str">
        <f t="shared" si="56"/>
        <v/>
      </c>
      <c r="BC278" s="632" t="str">
        <f t="shared" si="57"/>
        <v/>
      </c>
      <c r="BD278" s="633" t="str">
        <f>IF(AND(L278="",H278=""),"",
IF(H278="",Pole_Calc!A306,
IF(H278="MP",Pole_Calc!A307,
IF(H278="AnMP",Pole_Calc!A308,
IF(H278="A",Pole_Calc!A309,
IF(H278="S/A",Pole_Calc!A310,
IF(H278="A/S",Pole_Calc!A311,"Poner a mano")))))))</f>
        <v/>
      </c>
      <c r="BE278" s="448" t="s">
        <v>1726</v>
      </c>
      <c r="BF278" s="634"/>
      <c r="BG278" s="634"/>
      <c r="BH278" s="634"/>
      <c r="BI278" s="634"/>
    </row>
    <row r="279" spans="1:61" ht="16.2" customHeight="1">
      <c r="A279" s="12"/>
      <c r="B279" s="446"/>
      <c r="C279" s="89"/>
      <c r="D279" s="13"/>
      <c r="E279" s="14"/>
      <c r="F279" s="14"/>
      <c r="G279" s="15"/>
      <c r="H279" s="8"/>
      <c r="I279" s="8"/>
      <c r="J279" s="89"/>
      <c r="K279" s="8"/>
      <c r="L279" s="8"/>
      <c r="M279" s="8" t="str">
        <f>IF(L279="","",
IF(AX279="PT",VLOOKUP(L279,Foundation_Calc!$V$4:$X$37,VLOOKUP(AX279,Foundation_Calc!$I$10:$J$13,2,FALSE),0),
IF(AX279="K",VLOOKUP(L279,Foundation_Calc!$V$41:$X$74,VLOOKUP(AX279,Foundation_Calc!$I$10:$J$13,2,FALSE),0),"")))</f>
        <v/>
      </c>
      <c r="N279" s="8"/>
      <c r="O279" s="8"/>
      <c r="P279" s="8"/>
      <c r="Q279" s="14"/>
      <c r="R279" s="15"/>
      <c r="S279" s="15"/>
      <c r="T279" s="14"/>
      <c r="U279" s="14"/>
      <c r="V279" s="14"/>
      <c r="W279" s="18"/>
      <c r="X279" s="18"/>
      <c r="Y279" s="18"/>
      <c r="Z279" s="18"/>
      <c r="AA279" s="18"/>
      <c r="AB279" s="18"/>
      <c r="AC279" s="8" t="str">
        <f t="shared" si="54"/>
        <v/>
      </c>
      <c r="AD279" s="8"/>
      <c r="AE279" s="8"/>
      <c r="AF279" s="14"/>
      <c r="AG279" s="13"/>
      <c r="AH279" s="14"/>
      <c r="AI279" s="14"/>
      <c r="AJ279" s="8"/>
      <c r="AK279" s="8"/>
      <c r="AL279" s="8"/>
      <c r="AM279" s="8"/>
      <c r="AN279" s="631"/>
      <c r="AO279" s="18"/>
      <c r="AP279" s="18"/>
      <c r="AQ279" s="18"/>
      <c r="AR279" s="18"/>
      <c r="AS279" s="18"/>
      <c r="AU279" s="448"/>
      <c r="AV279" s="448"/>
      <c r="AW279" s="8" t="str">
        <f>IF(C279&gt;0,VLOOKUP(C279,Foundation_Calc!$A$2:$C$986,3,1),
IF(J279&gt;0,VLOOKUP(J279,Foundation_Calc!$A$2:$C$986,3,1),""))</f>
        <v/>
      </c>
      <c r="AX279" s="8" t="str">
        <f>IF(C279&gt;0,VLOOKUP(C279,Foundation_Calc!$E$2:$G$986,3,1),
IF(J279&gt;0,VLOOKUP(J279,Foundation_Calc!$E$2:$G$986,3,1),""))</f>
        <v/>
      </c>
      <c r="AY279" s="631" t="str">
        <f>IF(L279="","",
IF(AX279="PT",VLOOKUP(L279,Foundation_Calc!$K$4:$R$37,VLOOKUP(AW279,Foundation_Calc!$I$2:$J$8,2,FALSE),0),
IF(AX279="K",VLOOKUP(L279,Foundation_Calc!$K$41:$R$74,VLOOKUP(AW279,Foundation_Calc!$I$2:$J$8,2,FALSE),0),"")))</f>
        <v/>
      </c>
      <c r="AZ279" s="631" t="str">
        <f>IF(K279="","",
IF(AX279="PT",VLOOKUP(K279,Foundation_Calc!$K$4:$R$37,VLOOKUP(AW279,Foundation_Calc!$I$2:$J$8,2,FALSE),0),
IF(AX279="K",VLOOKUP(K279,Foundation_Calc!$K$41:$R$74,VLOOKUP(AW279,Foundation_Calc!$I$2:$J$8,2,FALSE),0),"")))</f>
        <v/>
      </c>
      <c r="BA279" s="632" t="str">
        <f t="shared" si="55"/>
        <v/>
      </c>
      <c r="BB279" s="632" t="str">
        <f t="shared" si="56"/>
        <v/>
      </c>
      <c r="BC279" s="632" t="str">
        <f t="shared" si="57"/>
        <v/>
      </c>
      <c r="BD279" s="633" t="str">
        <f>IF(AND(L279="",H279=""),"",
IF(H279="",Pole_Calc!A307,
IF(H279="MP",Pole_Calc!A308,
IF(H279="AnMP",Pole_Calc!A309,
IF(H279="A",Pole_Calc!A310,
IF(H279="S/A",Pole_Calc!A311,
IF(H279="A/S",Pole_Calc!A312,"Poner a mano")))))))</f>
        <v/>
      </c>
      <c r="BE279" s="448" t="s">
        <v>1726</v>
      </c>
      <c r="BF279" s="635"/>
      <c r="BG279" s="635"/>
      <c r="BH279" s="634"/>
      <c r="BI279" s="635"/>
    </row>
    <row r="280" spans="1:61" ht="16.2" customHeight="1">
      <c r="A280" s="12"/>
      <c r="B280" s="446"/>
      <c r="C280" s="89"/>
      <c r="D280" s="13"/>
      <c r="E280" s="14"/>
      <c r="F280" s="14"/>
      <c r="G280" s="15"/>
      <c r="H280" s="8"/>
      <c r="I280" s="8"/>
      <c r="J280" s="89"/>
      <c r="K280" s="8"/>
      <c r="L280" s="8"/>
      <c r="M280" s="8" t="str">
        <f>IF(L280="","",
IF(AX280="PT",VLOOKUP(L280,Foundation_Calc!$V$4:$X$37,VLOOKUP(AX280,Foundation_Calc!$I$10:$J$13,2,FALSE),0),
IF(AX280="K",VLOOKUP(L280,Foundation_Calc!$V$41:$X$74,VLOOKUP(AX280,Foundation_Calc!$I$10:$J$13,2,FALSE),0),"")))</f>
        <v/>
      </c>
      <c r="N280" s="8"/>
      <c r="O280" s="8"/>
      <c r="P280" s="8"/>
      <c r="Q280" s="14"/>
      <c r="R280" s="15"/>
      <c r="S280" s="15"/>
      <c r="T280" s="14"/>
      <c r="U280" s="14"/>
      <c r="V280" s="14"/>
      <c r="W280" s="18"/>
      <c r="X280" s="18"/>
      <c r="Y280" s="18"/>
      <c r="Z280" s="18"/>
      <c r="AA280" s="18"/>
      <c r="AB280" s="18"/>
      <c r="AC280" s="8" t="str">
        <f t="shared" si="54"/>
        <v/>
      </c>
      <c r="AD280" s="8"/>
      <c r="AE280" s="8"/>
      <c r="AF280" s="14"/>
      <c r="AG280" s="13"/>
      <c r="AH280" s="14"/>
      <c r="AI280" s="14"/>
      <c r="AJ280" s="8"/>
      <c r="AK280" s="8"/>
      <c r="AL280" s="8"/>
      <c r="AM280" s="8"/>
      <c r="AN280" s="631"/>
      <c r="AO280" s="18"/>
      <c r="AP280" s="18"/>
      <c r="AQ280" s="18"/>
      <c r="AR280" s="18"/>
      <c r="AS280" s="18"/>
      <c r="AU280" s="448"/>
      <c r="AV280" s="448"/>
      <c r="AW280" s="8" t="str">
        <f>IF(C280&gt;0,VLOOKUP(C280,Foundation_Calc!$A$2:$C$986,3,1),
IF(J280&gt;0,VLOOKUP(J280,Foundation_Calc!$A$2:$C$986,3,1),""))</f>
        <v/>
      </c>
      <c r="AX280" s="8" t="str">
        <f>IF(C280&gt;0,VLOOKUP(C280,Foundation_Calc!$E$2:$G$986,3,1),
IF(J280&gt;0,VLOOKUP(J280,Foundation_Calc!$E$2:$G$986,3,1),""))</f>
        <v/>
      </c>
      <c r="AY280" s="631" t="str">
        <f>IF(L280="","",
IF(AX280="PT",VLOOKUP(L280,Foundation_Calc!$K$4:$R$37,VLOOKUP(AW280,Foundation_Calc!$I$2:$J$8,2,FALSE),0),
IF(AX280="K",VLOOKUP(L280,Foundation_Calc!$K$41:$R$74,VLOOKUP(AW280,Foundation_Calc!$I$2:$J$8,2,FALSE),0),"")))</f>
        <v/>
      </c>
      <c r="AZ280" s="631" t="str">
        <f>IF(K280="","",
IF(AX280="PT",VLOOKUP(K280,Foundation_Calc!$K$4:$R$37,VLOOKUP(AW280,Foundation_Calc!$I$2:$J$8,2,FALSE),0),
IF(AX280="K",VLOOKUP(K280,Foundation_Calc!$K$41:$R$74,VLOOKUP(AW280,Foundation_Calc!$I$2:$J$8,2,FALSE),0),"")))</f>
        <v/>
      </c>
      <c r="BA280" s="632" t="str">
        <f t="shared" si="55"/>
        <v/>
      </c>
      <c r="BB280" s="632" t="str">
        <f t="shared" si="56"/>
        <v/>
      </c>
      <c r="BC280" s="632" t="str">
        <f t="shared" si="57"/>
        <v/>
      </c>
      <c r="BD280" s="633" t="str">
        <f>IF(AND(L280="",H280=""),"",
IF(H280="",Pole_Calc!A308,
IF(H280="MP",Pole_Calc!A309,
IF(H280="AnMP",Pole_Calc!A310,
IF(H280="A",Pole_Calc!A311,
IF(H280="S/A",Pole_Calc!A312,
IF(H280="A/S",Pole_Calc!A313,"Poner a mano")))))))</f>
        <v/>
      </c>
      <c r="BE280" s="448" t="s">
        <v>1726</v>
      </c>
      <c r="BF280" s="634"/>
      <c r="BG280" s="634"/>
      <c r="BH280" s="634"/>
      <c r="BI280" s="634"/>
    </row>
    <row r="281" spans="1:61" ht="16.2" customHeight="1">
      <c r="A281" s="12"/>
      <c r="B281" s="446"/>
      <c r="C281" s="89"/>
      <c r="D281" s="13"/>
      <c r="E281" s="14"/>
      <c r="F281" s="14"/>
      <c r="G281" s="15"/>
      <c r="H281" s="8"/>
      <c r="I281" s="8"/>
      <c r="J281" s="89"/>
      <c r="K281" s="8"/>
      <c r="L281" s="8"/>
      <c r="M281" s="8" t="str">
        <f>IF(L281="","",
IF(AX281="PT",VLOOKUP(L281,Foundation_Calc!$V$4:$X$37,VLOOKUP(AX281,Foundation_Calc!$I$10:$J$13,2,FALSE),0),
IF(AX281="K",VLOOKUP(L281,Foundation_Calc!$V$41:$X$74,VLOOKUP(AX281,Foundation_Calc!$I$10:$J$13,2,FALSE),0),"")))</f>
        <v/>
      </c>
      <c r="N281" s="8"/>
      <c r="O281" s="8"/>
      <c r="P281" s="8"/>
      <c r="Q281" s="14"/>
      <c r="R281" s="15"/>
      <c r="S281" s="15"/>
      <c r="T281" s="14"/>
      <c r="U281" s="14"/>
      <c r="V281" s="14"/>
      <c r="W281" s="18"/>
      <c r="X281" s="18"/>
      <c r="Y281" s="18"/>
      <c r="Z281" s="18"/>
      <c r="AA281" s="18"/>
      <c r="AB281" s="18"/>
      <c r="AC281" s="8" t="str">
        <f t="shared" si="54"/>
        <v/>
      </c>
      <c r="AD281" s="8"/>
      <c r="AE281" s="8"/>
      <c r="AF281" s="14"/>
      <c r="AG281" s="13"/>
      <c r="AH281" s="14"/>
      <c r="AI281" s="14"/>
      <c r="AJ281" s="8"/>
      <c r="AK281" s="8"/>
      <c r="AL281" s="8"/>
      <c r="AM281" s="8"/>
      <c r="AN281" s="631"/>
      <c r="AO281" s="18"/>
      <c r="AP281" s="18"/>
      <c r="AQ281" s="18"/>
      <c r="AR281" s="18"/>
      <c r="AS281" s="18"/>
      <c r="AU281" s="448"/>
      <c r="AV281" s="448"/>
      <c r="AW281" s="8" t="str">
        <f>IF(C281&gt;0,VLOOKUP(C281,Foundation_Calc!$A$2:$C$986,3,1),
IF(J281&gt;0,VLOOKUP(J281,Foundation_Calc!$A$2:$C$986,3,1),""))</f>
        <v/>
      </c>
      <c r="AX281" s="8" t="str">
        <f>IF(C281&gt;0,VLOOKUP(C281,Foundation_Calc!$E$2:$G$986,3,1),
IF(J281&gt;0,VLOOKUP(J281,Foundation_Calc!$E$2:$G$986,3,1),""))</f>
        <v/>
      </c>
      <c r="AY281" s="631" t="str">
        <f>IF(L281="","",
IF(AX281="PT",VLOOKUP(L281,Foundation_Calc!$K$4:$R$37,VLOOKUP(AW281,Foundation_Calc!$I$2:$J$8,2,FALSE),0),
IF(AX281="K",VLOOKUP(L281,Foundation_Calc!$K$41:$R$74,VLOOKUP(AW281,Foundation_Calc!$I$2:$J$8,2,FALSE),0),"")))</f>
        <v/>
      </c>
      <c r="AZ281" s="631" t="str">
        <f>IF(K281="","",
IF(AX281="PT",VLOOKUP(K281,Foundation_Calc!$K$4:$R$37,VLOOKUP(AW281,Foundation_Calc!$I$2:$J$8,2,FALSE),0),
IF(AX281="K",VLOOKUP(K281,Foundation_Calc!$K$41:$R$74,VLOOKUP(AW281,Foundation_Calc!$I$2:$J$8,2,FALSE),0),"")))</f>
        <v/>
      </c>
      <c r="BA281" s="632" t="str">
        <f t="shared" si="55"/>
        <v/>
      </c>
      <c r="BB281" s="632" t="str">
        <f t="shared" si="56"/>
        <v/>
      </c>
      <c r="BC281" s="632" t="str">
        <f t="shared" si="57"/>
        <v/>
      </c>
      <c r="BD281" s="633" t="str">
        <f>IF(AND(L281="",H281=""),"",
IF(H281="",Pole_Calc!A309,
IF(H281="MP",Pole_Calc!A310,
IF(H281="AnMP",Pole_Calc!A311,
IF(H281="A",Pole_Calc!A312,
IF(H281="S/A",Pole_Calc!A313,
IF(H281="A/S",Pole_Calc!A314,"Poner a mano")))))))</f>
        <v/>
      </c>
      <c r="BE281" s="448" t="s">
        <v>1726</v>
      </c>
      <c r="BF281" s="635"/>
      <c r="BG281" s="635"/>
      <c r="BH281" s="634"/>
      <c r="BI281" s="635"/>
    </row>
    <row r="282" spans="1:61" ht="16.2" customHeight="1">
      <c r="A282" s="12"/>
      <c r="B282" s="446"/>
      <c r="C282" s="89"/>
      <c r="D282" s="13"/>
      <c r="E282" s="14"/>
      <c r="F282" s="14"/>
      <c r="G282" s="15"/>
      <c r="H282" s="8"/>
      <c r="I282" s="8"/>
      <c r="J282" s="89"/>
      <c r="K282" s="8"/>
      <c r="L282" s="8"/>
      <c r="M282" s="8" t="str">
        <f>IF(L282="","",
IF(AX282="PT",VLOOKUP(L282,Foundation_Calc!$V$4:$X$37,VLOOKUP(AX282,Foundation_Calc!$I$10:$J$13,2,FALSE),0),
IF(AX282="K",VLOOKUP(L282,Foundation_Calc!$V$41:$X$74,VLOOKUP(AX282,Foundation_Calc!$I$10:$J$13,2,FALSE),0),"")))</f>
        <v/>
      </c>
      <c r="N282" s="8"/>
      <c r="O282" s="8"/>
      <c r="P282" s="8"/>
      <c r="Q282" s="14"/>
      <c r="R282" s="15"/>
      <c r="S282" s="15"/>
      <c r="T282" s="14"/>
      <c r="U282" s="14"/>
      <c r="V282" s="14"/>
      <c r="W282" s="18"/>
      <c r="X282" s="18"/>
      <c r="Y282" s="18"/>
      <c r="Z282" s="18"/>
      <c r="AA282" s="18"/>
      <c r="AB282" s="18"/>
      <c r="AC282" s="8" t="str">
        <f t="shared" si="54"/>
        <v/>
      </c>
      <c r="AD282" s="8"/>
      <c r="AE282" s="8"/>
      <c r="AF282" s="14"/>
      <c r="AG282" s="13"/>
      <c r="AH282" s="14"/>
      <c r="AI282" s="14"/>
      <c r="AJ282" s="8"/>
      <c r="AK282" s="8"/>
      <c r="AL282" s="8"/>
      <c r="AM282" s="8"/>
      <c r="AN282" s="631"/>
      <c r="AO282" s="18"/>
      <c r="AP282" s="18"/>
      <c r="AQ282" s="18"/>
      <c r="AR282" s="18"/>
      <c r="AS282" s="18"/>
      <c r="AU282" s="448"/>
      <c r="AV282" s="448"/>
      <c r="AW282" s="8" t="str">
        <f>IF(C282&gt;0,VLOOKUP(C282,Foundation_Calc!$A$2:$C$986,3,1),
IF(J282&gt;0,VLOOKUP(J282,Foundation_Calc!$A$2:$C$986,3,1),""))</f>
        <v/>
      </c>
      <c r="AX282" s="8" t="str">
        <f>IF(C282&gt;0,VLOOKUP(C282,Foundation_Calc!$E$2:$G$986,3,1),
IF(J282&gt;0,VLOOKUP(J282,Foundation_Calc!$E$2:$G$986,3,1),""))</f>
        <v/>
      </c>
      <c r="AY282" s="631" t="str">
        <f>IF(L282="","",
IF(AX282="PT",VLOOKUP(L282,Foundation_Calc!$K$4:$R$37,VLOOKUP(AW282,Foundation_Calc!$I$2:$J$8,2,FALSE),0),
IF(AX282="K",VLOOKUP(L282,Foundation_Calc!$K$41:$R$74,VLOOKUP(AW282,Foundation_Calc!$I$2:$J$8,2,FALSE),0),"")))</f>
        <v/>
      </c>
      <c r="AZ282" s="631" t="str">
        <f>IF(K282="","",
IF(AX282="PT",VLOOKUP(K282,Foundation_Calc!$K$4:$R$37,VLOOKUP(AW282,Foundation_Calc!$I$2:$J$8,2,FALSE),0),
IF(AX282="K",VLOOKUP(K282,Foundation_Calc!$K$41:$R$74,VLOOKUP(AW282,Foundation_Calc!$I$2:$J$8,2,FALSE),0),"")))</f>
        <v/>
      </c>
      <c r="BA282" s="632" t="str">
        <f t="shared" si="55"/>
        <v/>
      </c>
      <c r="BB282" s="632" t="str">
        <f t="shared" si="56"/>
        <v/>
      </c>
      <c r="BC282" s="632" t="str">
        <f t="shared" si="57"/>
        <v/>
      </c>
      <c r="BD282" s="633" t="str">
        <f>IF(AND(L282="",H282=""),"",
IF(H282="",Pole_Calc!A310,
IF(H282="MP",Pole_Calc!A311,
IF(H282="AnMP",Pole_Calc!A312,
IF(H282="A",Pole_Calc!A313,
IF(H282="S/A",Pole_Calc!A314,
IF(H282="A/S",Pole_Calc!A315,"Poner a mano")))))))</f>
        <v/>
      </c>
      <c r="BE282" s="448" t="s">
        <v>1726</v>
      </c>
      <c r="BF282" s="634"/>
      <c r="BG282" s="634"/>
      <c r="BH282" s="634"/>
      <c r="BI282" s="634"/>
    </row>
    <row r="283" spans="1:61" ht="16.2" customHeight="1">
      <c r="A283" s="12"/>
      <c r="B283" s="446"/>
      <c r="C283" s="89"/>
      <c r="D283" s="13"/>
      <c r="E283" s="14"/>
      <c r="F283" s="14"/>
      <c r="G283" s="15"/>
      <c r="H283" s="8"/>
      <c r="I283" s="8"/>
      <c r="J283" s="89"/>
      <c r="K283" s="8"/>
      <c r="L283" s="8"/>
      <c r="M283" s="8" t="str">
        <f>IF(L283="","",
IF(AX283="PT",VLOOKUP(L283,Foundation_Calc!$V$4:$X$37,VLOOKUP(AX283,Foundation_Calc!$I$10:$J$13,2,FALSE),0),
IF(AX283="K",VLOOKUP(L283,Foundation_Calc!$V$41:$X$74,VLOOKUP(AX283,Foundation_Calc!$I$10:$J$13,2,FALSE),0),"")))</f>
        <v/>
      </c>
      <c r="N283" s="8"/>
      <c r="O283" s="8"/>
      <c r="P283" s="8"/>
      <c r="Q283" s="14"/>
      <c r="R283" s="15"/>
      <c r="S283" s="15"/>
      <c r="T283" s="14"/>
      <c r="U283" s="14"/>
      <c r="V283" s="14"/>
      <c r="W283" s="18"/>
      <c r="X283" s="18"/>
      <c r="Y283" s="18"/>
      <c r="Z283" s="18"/>
      <c r="AA283" s="18"/>
      <c r="AB283" s="18"/>
      <c r="AC283" s="8" t="str">
        <f t="shared" si="54"/>
        <v/>
      </c>
      <c r="AD283" s="8"/>
      <c r="AE283" s="8"/>
      <c r="AF283" s="14"/>
      <c r="AG283" s="13"/>
      <c r="AH283" s="14"/>
      <c r="AI283" s="14"/>
      <c r="AJ283" s="8"/>
      <c r="AK283" s="8"/>
      <c r="AL283" s="8"/>
      <c r="AM283" s="8"/>
      <c r="AN283" s="631"/>
      <c r="AO283" s="18"/>
      <c r="AP283" s="18"/>
      <c r="AQ283" s="18"/>
      <c r="AR283" s="18"/>
      <c r="AS283" s="18"/>
      <c r="AU283" s="448"/>
      <c r="AV283" s="448"/>
      <c r="AW283" s="8" t="str">
        <f>IF(C283&gt;0,VLOOKUP(C283,Foundation_Calc!$A$2:$C$986,3,1),
IF(J283&gt;0,VLOOKUP(J283,Foundation_Calc!$A$2:$C$986,3,1),""))</f>
        <v/>
      </c>
      <c r="AX283" s="8" t="str">
        <f>IF(C283&gt;0,VLOOKUP(C283,Foundation_Calc!$E$2:$G$986,3,1),
IF(J283&gt;0,VLOOKUP(J283,Foundation_Calc!$E$2:$G$986,3,1),""))</f>
        <v/>
      </c>
      <c r="AY283" s="631" t="str">
        <f>IF(L283="","",
IF(AX283="PT",VLOOKUP(L283,Foundation_Calc!$K$4:$R$37,VLOOKUP(AW283,Foundation_Calc!$I$2:$J$8,2,FALSE),0),
IF(AX283="K",VLOOKUP(L283,Foundation_Calc!$K$41:$R$74,VLOOKUP(AW283,Foundation_Calc!$I$2:$J$8,2,FALSE),0),"")))</f>
        <v/>
      </c>
      <c r="AZ283" s="631" t="str">
        <f>IF(K283="","",
IF(AX283="PT",VLOOKUP(K283,Foundation_Calc!$K$4:$R$37,VLOOKUP(AW283,Foundation_Calc!$I$2:$J$8,2,FALSE),0),
IF(AX283="K",VLOOKUP(K283,Foundation_Calc!$K$41:$R$74,VLOOKUP(AW283,Foundation_Calc!$I$2:$J$8,2,FALSE),0),"")))</f>
        <v/>
      </c>
      <c r="BA283" s="632" t="str">
        <f t="shared" si="55"/>
        <v/>
      </c>
      <c r="BB283" s="632" t="str">
        <f t="shared" si="56"/>
        <v/>
      </c>
      <c r="BC283" s="632" t="str">
        <f t="shared" si="57"/>
        <v/>
      </c>
      <c r="BD283" s="633" t="str">
        <f>IF(AND(L283="",H283=""),"",
IF(H283="",Pole_Calc!A311,
IF(H283="MP",Pole_Calc!A312,
IF(H283="AnMP",Pole_Calc!A313,
IF(H283="A",Pole_Calc!A314,
IF(H283="S/A",Pole_Calc!A315,
IF(H283="A/S",Pole_Calc!A316,"Poner a mano")))))))</f>
        <v/>
      </c>
      <c r="BE283" s="448" t="s">
        <v>1726</v>
      </c>
      <c r="BF283" s="635"/>
      <c r="BG283" s="635"/>
      <c r="BH283" s="634"/>
      <c r="BI283" s="635"/>
    </row>
    <row r="284" spans="1:61" ht="16.2" customHeight="1">
      <c r="A284" s="12"/>
      <c r="B284" s="446"/>
      <c r="C284" s="89"/>
      <c r="D284" s="13"/>
      <c r="E284" s="14"/>
      <c r="F284" s="14"/>
      <c r="G284" s="15"/>
      <c r="H284" s="8"/>
      <c r="I284" s="8"/>
      <c r="J284" s="89"/>
      <c r="K284" s="8"/>
      <c r="L284" s="8"/>
      <c r="M284" s="8" t="str">
        <f>IF(L284="","",
IF(AX284="PT",VLOOKUP(L284,Foundation_Calc!$V$4:$X$37,VLOOKUP(AX284,Foundation_Calc!$I$10:$J$13,2,FALSE),0),
IF(AX284="K",VLOOKUP(L284,Foundation_Calc!$V$41:$X$74,VLOOKUP(AX284,Foundation_Calc!$I$10:$J$13,2,FALSE),0),"")))</f>
        <v/>
      </c>
      <c r="N284" s="8"/>
      <c r="O284" s="8"/>
      <c r="P284" s="8"/>
      <c r="Q284" s="14"/>
      <c r="R284" s="15"/>
      <c r="S284" s="15"/>
      <c r="T284" s="14"/>
      <c r="U284" s="14"/>
      <c r="V284" s="14"/>
      <c r="W284" s="18"/>
      <c r="X284" s="18"/>
      <c r="Y284" s="18"/>
      <c r="Z284" s="18"/>
      <c r="AA284" s="18"/>
      <c r="AB284" s="18"/>
      <c r="AC284" s="8" t="str">
        <f t="shared" si="54"/>
        <v/>
      </c>
      <c r="AD284" s="8"/>
      <c r="AE284" s="8"/>
      <c r="AF284" s="14"/>
      <c r="AG284" s="13"/>
      <c r="AH284" s="14"/>
      <c r="AI284" s="14"/>
      <c r="AJ284" s="8"/>
      <c r="AK284" s="8"/>
      <c r="AL284" s="8"/>
      <c r="AM284" s="8"/>
      <c r="AN284" s="631"/>
      <c r="AO284" s="18"/>
      <c r="AP284" s="18"/>
      <c r="AQ284" s="18"/>
      <c r="AR284" s="18"/>
      <c r="AS284" s="18"/>
      <c r="AU284" s="448"/>
      <c r="AV284" s="448"/>
      <c r="AW284" s="8" t="str">
        <f>IF(C284&gt;0,VLOOKUP(C284,Foundation_Calc!$A$2:$C$986,3,1),
IF(J284&gt;0,VLOOKUP(J284,Foundation_Calc!$A$2:$C$986,3,1),""))</f>
        <v/>
      </c>
      <c r="AX284" s="8" t="str">
        <f>IF(C284&gt;0,VLOOKUP(C284,Foundation_Calc!$E$2:$G$986,3,1),
IF(J284&gt;0,VLOOKUP(J284,Foundation_Calc!$E$2:$G$986,3,1),""))</f>
        <v/>
      </c>
      <c r="AY284" s="631" t="str">
        <f>IF(L284="","",
IF(AX284="PT",VLOOKUP(L284,Foundation_Calc!$K$4:$R$37,VLOOKUP(AW284,Foundation_Calc!$I$2:$J$8,2,FALSE),0),
IF(AX284="K",VLOOKUP(L284,Foundation_Calc!$K$41:$R$74,VLOOKUP(AW284,Foundation_Calc!$I$2:$J$8,2,FALSE),0),"")))</f>
        <v/>
      </c>
      <c r="AZ284" s="631" t="str">
        <f>IF(K284="","",
IF(AX284="PT",VLOOKUP(K284,Foundation_Calc!$K$4:$R$37,VLOOKUP(AW284,Foundation_Calc!$I$2:$J$8,2,FALSE),0),
IF(AX284="K",VLOOKUP(K284,Foundation_Calc!$K$41:$R$74,VLOOKUP(AW284,Foundation_Calc!$I$2:$J$8,2,FALSE),0),"")))</f>
        <v/>
      </c>
      <c r="BA284" s="632" t="str">
        <f t="shared" si="55"/>
        <v/>
      </c>
      <c r="BB284" s="632" t="str">
        <f t="shared" si="56"/>
        <v/>
      </c>
      <c r="BC284" s="632" t="str">
        <f t="shared" si="57"/>
        <v/>
      </c>
      <c r="BD284" s="633" t="str">
        <f>IF(AND(L284="",H284=""),"",
IF(H284="",Pole_Calc!A312,
IF(H284="MP",Pole_Calc!A313,
IF(H284="AnMP",Pole_Calc!A314,
IF(H284="A",Pole_Calc!A315,
IF(H284="S/A",Pole_Calc!A316,
IF(H284="A/S",Pole_Calc!A317,"Poner a mano")))))))</f>
        <v/>
      </c>
      <c r="BE284" s="448" t="s">
        <v>1726</v>
      </c>
      <c r="BF284" s="634"/>
      <c r="BG284" s="634"/>
      <c r="BH284" s="634"/>
      <c r="BI284" s="634"/>
    </row>
    <row r="285" spans="1:61" ht="16.2" customHeight="1">
      <c r="A285" s="12"/>
      <c r="B285" s="446"/>
      <c r="C285" s="89"/>
      <c r="D285" s="13"/>
      <c r="E285" s="14"/>
      <c r="F285" s="14"/>
      <c r="G285" s="15"/>
      <c r="H285" s="8"/>
      <c r="I285" s="8"/>
      <c r="J285" s="89"/>
      <c r="K285" s="8"/>
      <c r="L285" s="8"/>
      <c r="M285" s="8" t="str">
        <f>IF(L285="","",
IF(AX285="PT",VLOOKUP(L285,Foundation_Calc!$V$4:$X$37,VLOOKUP(AX285,Foundation_Calc!$I$10:$J$13,2,FALSE),0),
IF(AX285="K",VLOOKUP(L285,Foundation_Calc!$V$41:$X$74,VLOOKUP(AX285,Foundation_Calc!$I$10:$J$13,2,FALSE),0),"")))</f>
        <v/>
      </c>
      <c r="N285" s="8"/>
      <c r="O285" s="8"/>
      <c r="P285" s="8"/>
      <c r="Q285" s="14"/>
      <c r="R285" s="15"/>
      <c r="S285" s="15"/>
      <c r="T285" s="14"/>
      <c r="U285" s="14"/>
      <c r="V285" s="14"/>
      <c r="W285" s="18"/>
      <c r="X285" s="18"/>
      <c r="Y285" s="18"/>
      <c r="Z285" s="18"/>
      <c r="AA285" s="18"/>
      <c r="AB285" s="18"/>
      <c r="AC285" s="8" t="str">
        <f t="shared" si="54"/>
        <v/>
      </c>
      <c r="AD285" s="8"/>
      <c r="AE285" s="8"/>
      <c r="AF285" s="14"/>
      <c r="AG285" s="13"/>
      <c r="AH285" s="14"/>
      <c r="AI285" s="14"/>
      <c r="AJ285" s="8"/>
      <c r="AK285" s="8"/>
      <c r="AL285" s="8"/>
      <c r="AM285" s="8"/>
      <c r="AN285" s="631"/>
      <c r="AO285" s="18"/>
      <c r="AP285" s="18"/>
      <c r="AQ285" s="18"/>
      <c r="AR285" s="18"/>
      <c r="AS285" s="18"/>
      <c r="AU285" s="448"/>
      <c r="AV285" s="448"/>
      <c r="AW285" s="8" t="str">
        <f>IF(C285&gt;0,VLOOKUP(C285,Foundation_Calc!$A$2:$C$986,3,1),
IF(J285&gt;0,VLOOKUP(J285,Foundation_Calc!$A$2:$C$986,3,1),""))</f>
        <v/>
      </c>
      <c r="AX285" s="8" t="str">
        <f>IF(C285&gt;0,VLOOKUP(C285,Foundation_Calc!$E$2:$G$986,3,1),
IF(J285&gt;0,VLOOKUP(J285,Foundation_Calc!$E$2:$G$986,3,1),""))</f>
        <v/>
      </c>
      <c r="AY285" s="631" t="str">
        <f>IF(L285="","",
IF(AX285="PT",VLOOKUP(L285,Foundation_Calc!$K$4:$R$37,VLOOKUP(AW285,Foundation_Calc!$I$2:$J$8,2,FALSE),0),
IF(AX285="K",VLOOKUP(L285,Foundation_Calc!$K$41:$R$74,VLOOKUP(AW285,Foundation_Calc!$I$2:$J$8,2,FALSE),0),"")))</f>
        <v/>
      </c>
      <c r="AZ285" s="631" t="str">
        <f>IF(K285="","",
IF(AX285="PT",VLOOKUP(K285,Foundation_Calc!$K$4:$R$37,VLOOKUP(AW285,Foundation_Calc!$I$2:$J$8,2,FALSE),0),
IF(AX285="K",VLOOKUP(K285,Foundation_Calc!$K$41:$R$74,VLOOKUP(AW285,Foundation_Calc!$I$2:$J$8,2,FALSE),0),"")))</f>
        <v/>
      </c>
      <c r="BA285" s="632" t="str">
        <f t="shared" si="55"/>
        <v/>
      </c>
      <c r="BB285" s="632" t="str">
        <f t="shared" si="56"/>
        <v/>
      </c>
      <c r="BC285" s="632" t="str">
        <f t="shared" si="57"/>
        <v/>
      </c>
      <c r="BD285" s="633" t="str">
        <f>IF(AND(L285="",H285=""),"",
IF(H285="",Pole_Calc!A313,
IF(H285="MP",Pole_Calc!A314,
IF(H285="AnMP",Pole_Calc!A315,
IF(H285="A",Pole_Calc!A316,
IF(H285="S/A",Pole_Calc!A317,
IF(H285="A/S",Pole_Calc!A318,"Poner a mano")))))))</f>
        <v/>
      </c>
      <c r="BE285" s="448" t="s">
        <v>1726</v>
      </c>
      <c r="BF285" s="635"/>
      <c r="BG285" s="635"/>
      <c r="BH285" s="634"/>
      <c r="BI285" s="635"/>
    </row>
    <row r="286" spans="1:61" ht="16.2" customHeight="1">
      <c r="A286" s="12"/>
      <c r="B286" s="446"/>
      <c r="C286" s="89"/>
      <c r="D286" s="13"/>
      <c r="E286" s="14"/>
      <c r="F286" s="14"/>
      <c r="G286" s="15"/>
      <c r="H286" s="8"/>
      <c r="I286" s="8"/>
      <c r="J286" s="89"/>
      <c r="K286" s="8"/>
      <c r="L286" s="8"/>
      <c r="M286" s="8" t="str">
        <f>IF(L286="","",
IF(AX286="PT",VLOOKUP(L286,Foundation_Calc!$V$4:$X$37,VLOOKUP(AX286,Foundation_Calc!$I$10:$J$13,2,FALSE),0),
IF(AX286="K",VLOOKUP(L286,Foundation_Calc!$V$41:$X$74,VLOOKUP(AX286,Foundation_Calc!$I$10:$J$13,2,FALSE),0),"")))</f>
        <v/>
      </c>
      <c r="N286" s="8"/>
      <c r="O286" s="8"/>
      <c r="P286" s="8"/>
      <c r="Q286" s="14"/>
      <c r="R286" s="15"/>
      <c r="S286" s="15"/>
      <c r="T286" s="14"/>
      <c r="U286" s="14"/>
      <c r="V286" s="14"/>
      <c r="W286" s="18"/>
      <c r="X286" s="18"/>
      <c r="Y286" s="18"/>
      <c r="Z286" s="18"/>
      <c r="AA286" s="18"/>
      <c r="AB286" s="18"/>
      <c r="AC286" s="8" t="str">
        <f t="shared" si="54"/>
        <v/>
      </c>
      <c r="AD286" s="8"/>
      <c r="AE286" s="8"/>
      <c r="AF286" s="14"/>
      <c r="AG286" s="13"/>
      <c r="AH286" s="14"/>
      <c r="AI286" s="14"/>
      <c r="AJ286" s="8"/>
      <c r="AK286" s="8"/>
      <c r="AL286" s="8"/>
      <c r="AM286" s="8"/>
      <c r="AN286" s="631"/>
      <c r="AO286" s="18"/>
      <c r="AP286" s="18"/>
      <c r="AQ286" s="18"/>
      <c r="AR286" s="18"/>
      <c r="AS286" s="18"/>
      <c r="AU286" s="448"/>
      <c r="AV286" s="448"/>
      <c r="AW286" s="8" t="str">
        <f>IF(C286&gt;0,VLOOKUP(C286,Foundation_Calc!$A$2:$C$986,3,1),
IF(J286&gt;0,VLOOKUP(J286,Foundation_Calc!$A$2:$C$986,3,1),""))</f>
        <v/>
      </c>
      <c r="AX286" s="8" t="str">
        <f>IF(C286&gt;0,VLOOKUP(C286,Foundation_Calc!$E$2:$G$986,3,1),
IF(J286&gt;0,VLOOKUP(J286,Foundation_Calc!$E$2:$G$986,3,1),""))</f>
        <v/>
      </c>
      <c r="AY286" s="631" t="str">
        <f>IF(L286="","",
IF(AX286="PT",VLOOKUP(L286,Foundation_Calc!$K$4:$R$37,VLOOKUP(AW286,Foundation_Calc!$I$2:$J$8,2,FALSE),0),
IF(AX286="K",VLOOKUP(L286,Foundation_Calc!$K$41:$R$74,VLOOKUP(AW286,Foundation_Calc!$I$2:$J$8,2,FALSE),0),"")))</f>
        <v/>
      </c>
      <c r="AZ286" s="631" t="str">
        <f>IF(K286="","",
IF(AX286="PT",VLOOKUP(K286,Foundation_Calc!$K$4:$R$37,VLOOKUP(AW286,Foundation_Calc!$I$2:$J$8,2,FALSE),0),
IF(AX286="K",VLOOKUP(K286,Foundation_Calc!$K$41:$R$74,VLOOKUP(AW286,Foundation_Calc!$I$2:$J$8,2,FALSE),0),"")))</f>
        <v/>
      </c>
      <c r="BA286" s="632" t="str">
        <f t="shared" si="55"/>
        <v/>
      </c>
      <c r="BB286" s="632" t="str">
        <f t="shared" si="56"/>
        <v/>
      </c>
      <c r="BC286" s="632" t="str">
        <f t="shared" si="57"/>
        <v/>
      </c>
      <c r="BD286" s="633" t="str">
        <f>IF(AND(L286="",H286=""),"",
IF(H286="",Pole_Calc!A314,
IF(H286="MP",Pole_Calc!A315,
IF(H286="AnMP",Pole_Calc!A316,
IF(H286="A",Pole_Calc!A317,
IF(H286="S/A",Pole_Calc!A318,
IF(H286="A/S",Pole_Calc!A319,"Poner a mano")))))))</f>
        <v/>
      </c>
      <c r="BE286" s="448" t="s">
        <v>1726</v>
      </c>
      <c r="BF286" s="634"/>
      <c r="BG286" s="634"/>
      <c r="BH286" s="634"/>
      <c r="BI286" s="634"/>
    </row>
    <row r="287" spans="1:61" ht="16.2" customHeight="1">
      <c r="A287" s="12"/>
      <c r="B287" s="446"/>
      <c r="C287" s="89"/>
      <c r="D287" s="13"/>
      <c r="E287" s="14"/>
      <c r="F287" s="14"/>
      <c r="G287" s="15"/>
      <c r="H287" s="8"/>
      <c r="I287" s="8"/>
      <c r="J287" s="89"/>
      <c r="K287" s="8"/>
      <c r="L287" s="8"/>
      <c r="M287" s="8" t="str">
        <f>IF(L287="","",
IF(AX287="PT",VLOOKUP(L287,Foundation_Calc!$V$4:$X$37,VLOOKUP(AX287,Foundation_Calc!$I$10:$J$13,2,FALSE),0),
IF(AX287="K",VLOOKUP(L287,Foundation_Calc!$V$41:$X$74,VLOOKUP(AX287,Foundation_Calc!$I$10:$J$13,2,FALSE),0),"")))</f>
        <v/>
      </c>
      <c r="N287" s="8"/>
      <c r="O287" s="8"/>
      <c r="P287" s="8"/>
      <c r="Q287" s="14"/>
      <c r="R287" s="15"/>
      <c r="S287" s="15"/>
      <c r="T287" s="14"/>
      <c r="U287" s="14"/>
      <c r="V287" s="14"/>
      <c r="W287" s="18"/>
      <c r="X287" s="18"/>
      <c r="Y287" s="18"/>
      <c r="Z287" s="18"/>
      <c r="AA287" s="18"/>
      <c r="AB287" s="18"/>
      <c r="AC287" s="8" t="str">
        <f t="shared" si="54"/>
        <v/>
      </c>
      <c r="AD287" s="8"/>
      <c r="AE287" s="8"/>
      <c r="AF287" s="14"/>
      <c r="AG287" s="13"/>
      <c r="AH287" s="14"/>
      <c r="AI287" s="14"/>
      <c r="AJ287" s="8"/>
      <c r="AK287" s="8"/>
      <c r="AL287" s="8"/>
      <c r="AM287" s="8"/>
      <c r="AN287" s="631"/>
      <c r="AO287" s="18"/>
      <c r="AP287" s="18"/>
      <c r="AQ287" s="18"/>
      <c r="AR287" s="18"/>
      <c r="AS287" s="18"/>
      <c r="AU287" s="448"/>
      <c r="AV287" s="448"/>
      <c r="AW287" s="8" t="str">
        <f>IF(C287&gt;0,VLOOKUP(C287,Foundation_Calc!$A$2:$C$986,3,1),
IF(J287&gt;0,VLOOKUP(J287,Foundation_Calc!$A$2:$C$986,3,1),""))</f>
        <v/>
      </c>
      <c r="AX287" s="8" t="str">
        <f>IF(C287&gt;0,VLOOKUP(C287,Foundation_Calc!$E$2:$G$986,3,1),
IF(J287&gt;0,VLOOKUP(J287,Foundation_Calc!$E$2:$G$986,3,1),""))</f>
        <v/>
      </c>
      <c r="AY287" s="631" t="str">
        <f>IF(L287="","",
IF(AX287="PT",VLOOKUP(L287,Foundation_Calc!$K$4:$R$37,VLOOKUP(AW287,Foundation_Calc!$I$2:$J$8,2,FALSE),0),
IF(AX287="K",VLOOKUP(L287,Foundation_Calc!$K$41:$R$74,VLOOKUP(AW287,Foundation_Calc!$I$2:$J$8,2,FALSE),0),"")))</f>
        <v/>
      </c>
      <c r="AZ287" s="631" t="str">
        <f>IF(K287="","",
IF(AX287="PT",VLOOKUP(K287,Foundation_Calc!$K$4:$R$37,VLOOKUP(AW287,Foundation_Calc!$I$2:$J$8,2,FALSE),0),
IF(AX287="K",VLOOKUP(K287,Foundation_Calc!$K$41:$R$74,VLOOKUP(AW287,Foundation_Calc!$I$2:$J$8,2,FALSE),0),"")))</f>
        <v/>
      </c>
      <c r="BA287" s="632" t="str">
        <f t="shared" si="55"/>
        <v/>
      </c>
      <c r="BB287" s="632" t="str">
        <f t="shared" si="56"/>
        <v/>
      </c>
      <c r="BC287" s="632" t="str">
        <f t="shared" si="57"/>
        <v/>
      </c>
      <c r="BD287" s="633" t="str">
        <f>IF(AND(L287="",H287=""),"",
IF(H287="",Pole_Calc!A315,
IF(H287="MP",Pole_Calc!A316,
IF(H287="AnMP",Pole_Calc!A317,
IF(H287="A",Pole_Calc!A318,
IF(H287="S/A",Pole_Calc!A319,
IF(H287="A/S",Pole_Calc!A320,"Poner a mano")))))))</f>
        <v/>
      </c>
      <c r="BE287" s="448" t="s">
        <v>1726</v>
      </c>
      <c r="BF287" s="635"/>
      <c r="BG287" s="635"/>
      <c r="BH287" s="634"/>
      <c r="BI287" s="635"/>
    </row>
    <row r="288" spans="1:61" ht="16.2" customHeight="1">
      <c r="A288" s="12"/>
      <c r="B288" s="446"/>
      <c r="C288" s="89"/>
      <c r="D288" s="13"/>
      <c r="E288" s="14"/>
      <c r="F288" s="14"/>
      <c r="G288" s="15"/>
      <c r="H288" s="8"/>
      <c r="I288" s="8"/>
      <c r="J288" s="89"/>
      <c r="K288" s="8"/>
      <c r="L288" s="8"/>
      <c r="M288" s="8" t="str">
        <f>IF(L288="","",
IF(AX288="PT",VLOOKUP(L288,Foundation_Calc!$V$4:$X$37,VLOOKUP(AX288,Foundation_Calc!$I$10:$J$13,2,FALSE),0),
IF(AX288="K",VLOOKUP(L288,Foundation_Calc!$V$41:$X$74,VLOOKUP(AX288,Foundation_Calc!$I$10:$J$13,2,FALSE),0),"")))</f>
        <v/>
      </c>
      <c r="N288" s="8"/>
      <c r="O288" s="8"/>
      <c r="P288" s="8"/>
      <c r="Q288" s="14"/>
      <c r="R288" s="15"/>
      <c r="S288" s="15"/>
      <c r="T288" s="14"/>
      <c r="U288" s="14"/>
      <c r="V288" s="14"/>
      <c r="W288" s="18"/>
      <c r="X288" s="18"/>
      <c r="Y288" s="18"/>
      <c r="Z288" s="18"/>
      <c r="AA288" s="18"/>
      <c r="AB288" s="18"/>
      <c r="AC288" s="8" t="str">
        <f t="shared" si="54"/>
        <v/>
      </c>
      <c r="AD288" s="8"/>
      <c r="AE288" s="8"/>
      <c r="AF288" s="14"/>
      <c r="AG288" s="13"/>
      <c r="AH288" s="14"/>
      <c r="AI288" s="14"/>
      <c r="AJ288" s="8"/>
      <c r="AK288" s="8"/>
      <c r="AL288" s="8"/>
      <c r="AM288" s="8"/>
      <c r="AN288" s="631"/>
      <c r="AO288" s="18"/>
      <c r="AP288" s="18"/>
      <c r="AQ288" s="18"/>
      <c r="AR288" s="18"/>
      <c r="AS288" s="18"/>
      <c r="AU288" s="448"/>
      <c r="AV288" s="448"/>
      <c r="AW288" s="8" t="str">
        <f>IF(C288&gt;0,VLOOKUP(C288,Foundation_Calc!$A$2:$C$986,3,1),
IF(J288&gt;0,VLOOKUP(J288,Foundation_Calc!$A$2:$C$986,3,1),""))</f>
        <v/>
      </c>
      <c r="AX288" s="8" t="str">
        <f>IF(C288&gt;0,VLOOKUP(C288,Foundation_Calc!$E$2:$G$986,3,1),
IF(J288&gt;0,VLOOKUP(J288,Foundation_Calc!$E$2:$G$986,3,1),""))</f>
        <v/>
      </c>
      <c r="AY288" s="631" t="str">
        <f>IF(L288="","",
IF(AX288="PT",VLOOKUP(L288,Foundation_Calc!$K$4:$R$37,VLOOKUP(AW288,Foundation_Calc!$I$2:$J$8,2,FALSE),0),
IF(AX288="K",VLOOKUP(L288,Foundation_Calc!$K$41:$R$74,VLOOKUP(AW288,Foundation_Calc!$I$2:$J$8,2,FALSE),0),"")))</f>
        <v/>
      </c>
      <c r="AZ288" s="631" t="str">
        <f>IF(K288="","",
IF(AX288="PT",VLOOKUP(K288,Foundation_Calc!$K$4:$R$37,VLOOKUP(AW288,Foundation_Calc!$I$2:$J$8,2,FALSE),0),
IF(AX288="K",VLOOKUP(K288,Foundation_Calc!$K$41:$R$74,VLOOKUP(AW288,Foundation_Calc!$I$2:$J$8,2,FALSE),0),"")))</f>
        <v/>
      </c>
      <c r="BA288" s="632" t="str">
        <f t="shared" si="55"/>
        <v/>
      </c>
      <c r="BB288" s="632" t="str">
        <f t="shared" si="56"/>
        <v/>
      </c>
      <c r="BC288" s="632" t="str">
        <f t="shared" si="57"/>
        <v/>
      </c>
      <c r="BD288" s="633" t="str">
        <f>IF(AND(L288="",H288=""),"",
IF(H288="",Pole_Calc!A316,
IF(H288="MP",Pole_Calc!A317,
IF(H288="AnMP",Pole_Calc!A318,
IF(H288="A",Pole_Calc!A319,
IF(H288="S/A",Pole_Calc!A320,
IF(H288="A/S",Pole_Calc!A321,"Poner a mano")))))))</f>
        <v/>
      </c>
      <c r="BE288" s="448" t="s">
        <v>1726</v>
      </c>
      <c r="BF288" s="634"/>
      <c r="BG288" s="634"/>
      <c r="BH288" s="634"/>
      <c r="BI288" s="634"/>
    </row>
    <row r="289" spans="1:61" ht="16.2" customHeight="1">
      <c r="A289" s="12"/>
      <c r="B289" s="446"/>
      <c r="C289" s="89"/>
      <c r="D289" s="13"/>
      <c r="E289" s="14"/>
      <c r="F289" s="14"/>
      <c r="G289" s="15"/>
      <c r="H289" s="8"/>
      <c r="I289" s="8"/>
      <c r="J289" s="89"/>
      <c r="K289" s="8"/>
      <c r="L289" s="8"/>
      <c r="M289" s="8" t="str">
        <f>IF(L289="","",
IF(AX289="PT",VLOOKUP(L289,Foundation_Calc!$V$4:$X$37,VLOOKUP(AX289,Foundation_Calc!$I$10:$J$13,2,FALSE),0),
IF(AX289="K",VLOOKUP(L289,Foundation_Calc!$V$41:$X$74,VLOOKUP(AX289,Foundation_Calc!$I$10:$J$13,2,FALSE),0),"")))</f>
        <v/>
      </c>
      <c r="N289" s="8"/>
      <c r="O289" s="8"/>
      <c r="P289" s="8"/>
      <c r="Q289" s="14"/>
      <c r="R289" s="15"/>
      <c r="S289" s="15"/>
      <c r="T289" s="14"/>
      <c r="U289" s="14"/>
      <c r="V289" s="14"/>
      <c r="W289" s="18"/>
      <c r="X289" s="18"/>
      <c r="Y289" s="18"/>
      <c r="Z289" s="18"/>
      <c r="AA289" s="18"/>
      <c r="AB289" s="18"/>
      <c r="AC289" s="8" t="str">
        <f t="shared" si="54"/>
        <v/>
      </c>
      <c r="AD289" s="8"/>
      <c r="AE289" s="8"/>
      <c r="AF289" s="14"/>
      <c r="AG289" s="13"/>
      <c r="AH289" s="14"/>
      <c r="AI289" s="14"/>
      <c r="AJ289" s="8"/>
      <c r="AK289" s="8"/>
      <c r="AL289" s="8"/>
      <c r="AM289" s="8"/>
      <c r="AN289" s="631"/>
      <c r="AO289" s="18"/>
      <c r="AP289" s="18"/>
      <c r="AQ289" s="18"/>
      <c r="AR289" s="18"/>
      <c r="AS289" s="18"/>
      <c r="AU289" s="448"/>
      <c r="AV289" s="448"/>
      <c r="AW289" s="8" t="str">
        <f>IF(C289&gt;0,VLOOKUP(C289,Foundation_Calc!$A$2:$C$986,3,1),
IF(J289&gt;0,VLOOKUP(J289,Foundation_Calc!$A$2:$C$986,3,1),""))</f>
        <v/>
      </c>
      <c r="AX289" s="8" t="str">
        <f>IF(C289&gt;0,VLOOKUP(C289,Foundation_Calc!$E$2:$G$986,3,1),
IF(J289&gt;0,VLOOKUP(J289,Foundation_Calc!$E$2:$G$986,3,1),""))</f>
        <v/>
      </c>
      <c r="AY289" s="631" t="str">
        <f>IF(L289="","",
IF(AX289="PT",VLOOKUP(L289,Foundation_Calc!$K$4:$R$37,VLOOKUP(AW289,Foundation_Calc!$I$2:$J$8,2,FALSE),0),
IF(AX289="K",VLOOKUP(L289,Foundation_Calc!$K$41:$R$74,VLOOKUP(AW289,Foundation_Calc!$I$2:$J$8,2,FALSE),0),"")))</f>
        <v/>
      </c>
      <c r="AZ289" s="631" t="str">
        <f>IF(K289="","",
IF(AX289="PT",VLOOKUP(K289,Foundation_Calc!$K$4:$R$37,VLOOKUP(AW289,Foundation_Calc!$I$2:$J$8,2,FALSE),0),
IF(AX289="K",VLOOKUP(K289,Foundation_Calc!$K$41:$R$74,VLOOKUP(AW289,Foundation_Calc!$I$2:$J$8,2,FALSE),0),"")))</f>
        <v/>
      </c>
      <c r="BA289" s="632" t="str">
        <f t="shared" si="55"/>
        <v/>
      </c>
      <c r="BB289" s="632" t="str">
        <f t="shared" si="56"/>
        <v/>
      </c>
      <c r="BC289" s="632" t="str">
        <f t="shared" si="57"/>
        <v/>
      </c>
      <c r="BD289" s="633" t="str">
        <f>IF(AND(L289="",H289=""),"",
IF(H289="",Pole_Calc!A317,
IF(H289="MP",Pole_Calc!A318,
IF(H289="AnMP",Pole_Calc!A319,
IF(H289="A",Pole_Calc!A320,
IF(H289="S/A",Pole_Calc!A321,
IF(H289="A/S",Pole_Calc!A322,"Poner a mano")))))))</f>
        <v/>
      </c>
      <c r="BE289" s="448" t="s">
        <v>1726</v>
      </c>
      <c r="BF289" s="635"/>
      <c r="BG289" s="635"/>
      <c r="BH289" s="634"/>
      <c r="BI289" s="635"/>
    </row>
    <row r="290" spans="1:61" ht="16.2" customHeight="1">
      <c r="A290" s="12"/>
      <c r="B290" s="446"/>
      <c r="C290" s="89"/>
      <c r="D290" s="13"/>
      <c r="E290" s="14"/>
      <c r="F290" s="14"/>
      <c r="G290" s="15"/>
      <c r="H290" s="8"/>
      <c r="I290" s="8"/>
      <c r="J290" s="89"/>
      <c r="K290" s="8"/>
      <c r="L290" s="8"/>
      <c r="M290" s="8" t="str">
        <f>IF(L290="","",
IF(AX290="PT",VLOOKUP(L290,Foundation_Calc!$V$4:$X$37,VLOOKUP(AX290,Foundation_Calc!$I$10:$J$13,2,FALSE),0),
IF(AX290="K",VLOOKUP(L290,Foundation_Calc!$V$41:$X$74,VLOOKUP(AX290,Foundation_Calc!$I$10:$J$13,2,FALSE),0),"")))</f>
        <v/>
      </c>
      <c r="N290" s="8"/>
      <c r="O290" s="8"/>
      <c r="P290" s="8"/>
      <c r="Q290" s="14"/>
      <c r="R290" s="15"/>
      <c r="S290" s="15"/>
      <c r="T290" s="14"/>
      <c r="U290" s="14"/>
      <c r="V290" s="14"/>
      <c r="W290" s="18"/>
      <c r="X290" s="18"/>
      <c r="Y290" s="18"/>
      <c r="Z290" s="18"/>
      <c r="AA290" s="18"/>
      <c r="AB290" s="18"/>
      <c r="AC290" s="8" t="str">
        <f t="shared" si="54"/>
        <v/>
      </c>
      <c r="AD290" s="8"/>
      <c r="AE290" s="8"/>
      <c r="AF290" s="14"/>
      <c r="AG290" s="13"/>
      <c r="AH290" s="14"/>
      <c r="AI290" s="14"/>
      <c r="AJ290" s="8"/>
      <c r="AK290" s="8"/>
      <c r="AL290" s="8"/>
      <c r="AM290" s="8"/>
      <c r="AN290" s="631"/>
      <c r="AO290" s="18"/>
      <c r="AP290" s="18"/>
      <c r="AQ290" s="18"/>
      <c r="AR290" s="18"/>
      <c r="AS290" s="18"/>
      <c r="AU290" s="448"/>
      <c r="AV290" s="448"/>
      <c r="AW290" s="8" t="str">
        <f>IF(C290&gt;0,VLOOKUP(C290,Foundation_Calc!$A$2:$C$986,3,1),
IF(J290&gt;0,VLOOKUP(J290,Foundation_Calc!$A$2:$C$986,3,1),""))</f>
        <v/>
      </c>
      <c r="AX290" s="8" t="str">
        <f>IF(C290&gt;0,VLOOKUP(C290,Foundation_Calc!$E$2:$G$986,3,1),
IF(J290&gt;0,VLOOKUP(J290,Foundation_Calc!$E$2:$G$986,3,1),""))</f>
        <v/>
      </c>
      <c r="AY290" s="631" t="str">
        <f>IF(L290="","",
IF(AX290="PT",VLOOKUP(L290,Foundation_Calc!$K$4:$R$37,VLOOKUP(AW290,Foundation_Calc!$I$2:$J$8,2,FALSE),0),
IF(AX290="K",VLOOKUP(L290,Foundation_Calc!$K$41:$R$74,VLOOKUP(AW290,Foundation_Calc!$I$2:$J$8,2,FALSE),0),"")))</f>
        <v/>
      </c>
      <c r="AZ290" s="631" t="str">
        <f>IF(K290="","",
IF(AX290="PT",VLOOKUP(K290,Foundation_Calc!$K$4:$R$37,VLOOKUP(AW290,Foundation_Calc!$I$2:$J$8,2,FALSE),0),
IF(AX290="K",VLOOKUP(K290,Foundation_Calc!$K$41:$R$74,VLOOKUP(AW290,Foundation_Calc!$I$2:$J$8,2,FALSE),0),"")))</f>
        <v/>
      </c>
      <c r="BA290" s="632" t="str">
        <f t="shared" si="55"/>
        <v/>
      </c>
      <c r="BB290" s="632" t="str">
        <f t="shared" si="56"/>
        <v/>
      </c>
      <c r="BC290" s="632" t="str">
        <f t="shared" si="57"/>
        <v/>
      </c>
      <c r="BD290" s="633" t="str">
        <f>IF(AND(L290="",H290=""),"",
IF(H290="",Pole_Calc!A318,
IF(H290="MP",Pole_Calc!A319,
IF(H290="AnMP",Pole_Calc!A320,
IF(H290="A",Pole_Calc!A321,
IF(H290="S/A",Pole_Calc!A322,
IF(H290="A/S",Pole_Calc!A323,"Poner a mano")))))))</f>
        <v/>
      </c>
      <c r="BE290" s="448" t="s">
        <v>1726</v>
      </c>
      <c r="BF290" s="634"/>
      <c r="BG290" s="634"/>
      <c r="BH290" s="634"/>
      <c r="BI290" s="634"/>
    </row>
    <row r="291" spans="1:61" ht="16.2" customHeight="1">
      <c r="A291" s="12"/>
      <c r="B291" s="446"/>
      <c r="C291" s="89"/>
      <c r="D291" s="13"/>
      <c r="E291" s="14"/>
      <c r="F291" s="14"/>
      <c r="G291" s="15"/>
      <c r="H291" s="8"/>
      <c r="I291" s="8"/>
      <c r="J291" s="89"/>
      <c r="K291" s="8"/>
      <c r="L291" s="8"/>
      <c r="M291" s="8" t="str">
        <f>IF(L291="","",
IF(AX291="PT",VLOOKUP(L291,Foundation_Calc!$V$4:$X$37,VLOOKUP(AX291,Foundation_Calc!$I$10:$J$13,2,FALSE),0),
IF(AX291="K",VLOOKUP(L291,Foundation_Calc!$V$41:$X$74,VLOOKUP(AX291,Foundation_Calc!$I$10:$J$13,2,FALSE),0),"")))</f>
        <v/>
      </c>
      <c r="N291" s="8"/>
      <c r="O291" s="8"/>
      <c r="P291" s="8"/>
      <c r="Q291" s="14"/>
      <c r="R291" s="15"/>
      <c r="S291" s="15"/>
      <c r="T291" s="14"/>
      <c r="U291" s="14"/>
      <c r="V291" s="14"/>
      <c r="W291" s="18"/>
      <c r="X291" s="18"/>
      <c r="Y291" s="18"/>
      <c r="Z291" s="18"/>
      <c r="AA291" s="18"/>
      <c r="AB291" s="18"/>
      <c r="AC291" s="8" t="str">
        <f t="shared" si="54"/>
        <v/>
      </c>
      <c r="AD291" s="8"/>
      <c r="AE291" s="8"/>
      <c r="AF291" s="14"/>
      <c r="AG291" s="13"/>
      <c r="AH291" s="14"/>
      <c r="AI291" s="14"/>
      <c r="AJ291" s="8"/>
      <c r="AK291" s="8"/>
      <c r="AL291" s="8"/>
      <c r="AM291" s="8"/>
      <c r="AN291" s="631"/>
      <c r="AO291" s="18"/>
      <c r="AP291" s="18"/>
      <c r="AQ291" s="18"/>
      <c r="AR291" s="18"/>
      <c r="AS291" s="18"/>
      <c r="AU291" s="448"/>
      <c r="AV291" s="448"/>
      <c r="AW291" s="8" t="str">
        <f>IF(C291&gt;0,VLOOKUP(C291,Foundation_Calc!$A$2:$C$986,3,1),
IF(J291&gt;0,VLOOKUP(J291,Foundation_Calc!$A$2:$C$986,3,1),""))</f>
        <v/>
      </c>
      <c r="AX291" s="8" t="str">
        <f>IF(C291&gt;0,VLOOKUP(C291,Foundation_Calc!$E$2:$G$986,3,1),
IF(J291&gt;0,VLOOKUP(J291,Foundation_Calc!$E$2:$G$986,3,1),""))</f>
        <v/>
      </c>
      <c r="AY291" s="631" t="str">
        <f>IF(L291="","",
IF(AX291="PT",VLOOKUP(L291,Foundation_Calc!$K$4:$R$37,VLOOKUP(AW291,Foundation_Calc!$I$2:$J$8,2,FALSE),0),
IF(AX291="K",VLOOKUP(L291,Foundation_Calc!$K$41:$R$74,VLOOKUP(AW291,Foundation_Calc!$I$2:$J$8,2,FALSE),0),"")))</f>
        <v/>
      </c>
      <c r="AZ291" s="631" t="str">
        <f>IF(K291="","",
IF(AX291="PT",VLOOKUP(K291,Foundation_Calc!$K$4:$R$37,VLOOKUP(AW291,Foundation_Calc!$I$2:$J$8,2,FALSE),0),
IF(AX291="K",VLOOKUP(K291,Foundation_Calc!$K$41:$R$74,VLOOKUP(AW291,Foundation_Calc!$I$2:$J$8,2,FALSE),0),"")))</f>
        <v/>
      </c>
      <c r="BA291" s="632" t="str">
        <f t="shared" si="55"/>
        <v/>
      </c>
      <c r="BB291" s="632" t="str">
        <f t="shared" si="56"/>
        <v/>
      </c>
      <c r="BC291" s="632" t="str">
        <f t="shared" si="57"/>
        <v/>
      </c>
      <c r="BD291" s="633" t="str">
        <f>IF(AND(L291="",H291=""),"",
IF(H291="",Pole_Calc!A319,
IF(H291="MP",Pole_Calc!A320,
IF(H291="AnMP",Pole_Calc!A321,
IF(H291="A",Pole_Calc!A322,
IF(H291="S/A",Pole_Calc!A323,
IF(H291="A/S",Pole_Calc!A324,"Poner a mano")))))))</f>
        <v/>
      </c>
      <c r="BE291" s="448" t="s">
        <v>1726</v>
      </c>
      <c r="BF291" s="635"/>
      <c r="BG291" s="635"/>
      <c r="BH291" s="634"/>
      <c r="BI291" s="635"/>
    </row>
    <row r="292" spans="1:61" ht="16.2" customHeight="1">
      <c r="A292" s="12"/>
      <c r="B292" s="446"/>
      <c r="C292" s="89"/>
      <c r="D292" s="13"/>
      <c r="E292" s="14"/>
      <c r="F292" s="14"/>
      <c r="G292" s="15"/>
      <c r="H292" s="8"/>
      <c r="I292" s="8"/>
      <c r="J292" s="89"/>
      <c r="K292" s="8"/>
      <c r="L292" s="8"/>
      <c r="M292" s="8" t="str">
        <f>IF(L292="","",
IF(AX292="PT",VLOOKUP(L292,Foundation_Calc!$V$4:$X$37,VLOOKUP(AX292,Foundation_Calc!$I$10:$J$13,2,FALSE),0),
IF(AX292="K",VLOOKUP(L292,Foundation_Calc!$V$41:$X$74,VLOOKUP(AX292,Foundation_Calc!$I$10:$J$13,2,FALSE),0),"")))</f>
        <v/>
      </c>
      <c r="N292" s="8"/>
      <c r="O292" s="8"/>
      <c r="P292" s="8"/>
      <c r="Q292" s="14"/>
      <c r="R292" s="15"/>
      <c r="S292" s="15"/>
      <c r="T292" s="14"/>
      <c r="U292" s="14"/>
      <c r="V292" s="14"/>
      <c r="W292" s="18"/>
      <c r="X292" s="18"/>
      <c r="Y292" s="18"/>
      <c r="Z292" s="18"/>
      <c r="AA292" s="18"/>
      <c r="AB292" s="18"/>
      <c r="AC292" s="8" t="str">
        <f t="shared" si="54"/>
        <v/>
      </c>
      <c r="AD292" s="8"/>
      <c r="AE292" s="8"/>
      <c r="AF292" s="14"/>
      <c r="AG292" s="13"/>
      <c r="AH292" s="14"/>
      <c r="AI292" s="14"/>
      <c r="AJ292" s="8"/>
      <c r="AK292" s="8"/>
      <c r="AL292" s="8"/>
      <c r="AM292" s="8"/>
      <c r="AN292" s="631"/>
      <c r="AO292" s="18"/>
      <c r="AP292" s="18"/>
      <c r="AQ292" s="18"/>
      <c r="AR292" s="18"/>
      <c r="AS292" s="18"/>
      <c r="AU292" s="448"/>
      <c r="AV292" s="448"/>
      <c r="AW292" s="8" t="str">
        <f>IF(C292&gt;0,VLOOKUP(C292,Foundation_Calc!$A$2:$C$986,3,1),
IF(J292&gt;0,VLOOKUP(J292,Foundation_Calc!$A$2:$C$986,3,1),""))</f>
        <v/>
      </c>
      <c r="AX292" s="8" t="str">
        <f>IF(C292&gt;0,VLOOKUP(C292,Foundation_Calc!$E$2:$G$986,3,1),
IF(J292&gt;0,VLOOKUP(J292,Foundation_Calc!$E$2:$G$986,3,1),""))</f>
        <v/>
      </c>
      <c r="AY292" s="631" t="str">
        <f>IF(L292="","",
IF(AX292="PT",VLOOKUP(L292,Foundation_Calc!$K$4:$R$37,VLOOKUP(AW292,Foundation_Calc!$I$2:$J$8,2,FALSE),0),
IF(AX292="K",VLOOKUP(L292,Foundation_Calc!$K$41:$R$74,VLOOKUP(AW292,Foundation_Calc!$I$2:$J$8,2,FALSE),0),"")))</f>
        <v/>
      </c>
      <c r="AZ292" s="631" t="str">
        <f>IF(K292="","",
IF(AX292="PT",VLOOKUP(K292,Foundation_Calc!$K$4:$R$37,VLOOKUP(AW292,Foundation_Calc!$I$2:$J$8,2,FALSE),0),
IF(AX292="K",VLOOKUP(K292,Foundation_Calc!$K$41:$R$74,VLOOKUP(AW292,Foundation_Calc!$I$2:$J$8,2,FALSE),0),"")))</f>
        <v/>
      </c>
      <c r="BA292" s="632" t="str">
        <f t="shared" si="55"/>
        <v/>
      </c>
      <c r="BB292" s="632" t="str">
        <f t="shared" si="56"/>
        <v/>
      </c>
      <c r="BC292" s="632" t="str">
        <f t="shared" si="57"/>
        <v/>
      </c>
      <c r="BD292" s="633" t="str">
        <f>IF(AND(L292="",H292=""),"",
IF(H292="",Pole_Calc!A320,
IF(H292="MP",Pole_Calc!A321,
IF(H292="AnMP",Pole_Calc!A322,
IF(H292="A",Pole_Calc!A323,
IF(H292="S/A",Pole_Calc!A324,
IF(H292="A/S",Pole_Calc!A325,"Poner a mano")))))))</f>
        <v/>
      </c>
      <c r="BE292" s="448" t="s">
        <v>1726</v>
      </c>
      <c r="BF292" s="634"/>
      <c r="BG292" s="634"/>
      <c r="BH292" s="634"/>
      <c r="BI292" s="634"/>
    </row>
    <row r="293" spans="1:61" ht="16.2" customHeight="1">
      <c r="A293" s="12"/>
      <c r="B293" s="446"/>
      <c r="C293" s="89"/>
      <c r="D293" s="13"/>
      <c r="E293" s="14"/>
      <c r="F293" s="14"/>
      <c r="G293" s="15"/>
      <c r="H293" s="8"/>
      <c r="I293" s="8"/>
      <c r="J293" s="89"/>
      <c r="K293" s="8"/>
      <c r="L293" s="8"/>
      <c r="M293" s="8" t="str">
        <f>IF(L293="","",
IF(AX293="PT",VLOOKUP(L293,Foundation_Calc!$V$4:$X$37,VLOOKUP(AX293,Foundation_Calc!$I$10:$J$13,2,FALSE),0),
IF(AX293="K",VLOOKUP(L293,Foundation_Calc!$V$41:$X$74,VLOOKUP(AX293,Foundation_Calc!$I$10:$J$13,2,FALSE),0),"")))</f>
        <v/>
      </c>
      <c r="N293" s="8"/>
      <c r="O293" s="8"/>
      <c r="P293" s="8"/>
      <c r="Q293" s="14"/>
      <c r="R293" s="15"/>
      <c r="S293" s="15"/>
      <c r="T293" s="14"/>
      <c r="U293" s="14"/>
      <c r="V293" s="14"/>
      <c r="W293" s="18"/>
      <c r="X293" s="18"/>
      <c r="Y293" s="18"/>
      <c r="Z293" s="18"/>
      <c r="AA293" s="18"/>
      <c r="AB293" s="18"/>
      <c r="AC293" s="8" t="str">
        <f t="shared" si="54"/>
        <v/>
      </c>
      <c r="AD293" s="8"/>
      <c r="AE293" s="8"/>
      <c r="AF293" s="14"/>
      <c r="AG293" s="13"/>
      <c r="AH293" s="14"/>
      <c r="AI293" s="14"/>
      <c r="AJ293" s="8"/>
      <c r="AK293" s="8"/>
      <c r="AL293" s="8"/>
      <c r="AM293" s="8"/>
      <c r="AN293" s="631"/>
      <c r="AO293" s="18"/>
      <c r="AP293" s="18"/>
      <c r="AQ293" s="18"/>
      <c r="AR293" s="18"/>
      <c r="AS293" s="18"/>
      <c r="AU293" s="448"/>
      <c r="AV293" s="448"/>
      <c r="AW293" s="8" t="str">
        <f>IF(C293&gt;0,VLOOKUP(C293,Foundation_Calc!$A$2:$C$986,3,1),
IF(J293&gt;0,VLOOKUP(J293,Foundation_Calc!$A$2:$C$986,3,1),""))</f>
        <v/>
      </c>
      <c r="AX293" s="8" t="str">
        <f>IF(C293&gt;0,VLOOKUP(C293,Foundation_Calc!$E$2:$G$986,3,1),
IF(J293&gt;0,VLOOKUP(J293,Foundation_Calc!$E$2:$G$986,3,1),""))</f>
        <v/>
      </c>
      <c r="AY293" s="631" t="str">
        <f>IF(L293="","",
IF(AX293="PT",VLOOKUP(L293,Foundation_Calc!$K$4:$R$37,VLOOKUP(AW293,Foundation_Calc!$I$2:$J$8,2,FALSE),0),
IF(AX293="K",VLOOKUP(L293,Foundation_Calc!$K$41:$R$74,VLOOKUP(AW293,Foundation_Calc!$I$2:$J$8,2,FALSE),0),"")))</f>
        <v/>
      </c>
      <c r="AZ293" s="631" t="str">
        <f>IF(K293="","",
IF(AX293="PT",VLOOKUP(K293,Foundation_Calc!$K$4:$R$37,VLOOKUP(AW293,Foundation_Calc!$I$2:$J$8,2,FALSE),0),
IF(AX293="K",VLOOKUP(K293,Foundation_Calc!$K$41:$R$74,VLOOKUP(AW293,Foundation_Calc!$I$2:$J$8,2,FALSE),0),"")))</f>
        <v/>
      </c>
      <c r="BA293" s="632" t="str">
        <f t="shared" si="55"/>
        <v/>
      </c>
      <c r="BB293" s="632" t="str">
        <f t="shared" si="56"/>
        <v/>
      </c>
      <c r="BC293" s="632" t="str">
        <f t="shared" si="57"/>
        <v/>
      </c>
      <c r="BD293" s="633" t="str">
        <f>IF(AND(L293="",H293=""),"",
IF(H293="",Pole_Calc!A321,
IF(H293="MP",Pole_Calc!A322,
IF(H293="AnMP",Pole_Calc!A323,
IF(H293="A",Pole_Calc!A324,
IF(H293="S/A",Pole_Calc!A325,
IF(H293="A/S",Pole_Calc!A326,"Poner a mano")))))))</f>
        <v/>
      </c>
      <c r="BE293" s="448" t="s">
        <v>1726</v>
      </c>
      <c r="BF293" s="635"/>
      <c r="BG293" s="635"/>
      <c r="BH293" s="634"/>
      <c r="BI293" s="635"/>
    </row>
    <row r="294" spans="1:61" ht="16.2" customHeight="1">
      <c r="A294" s="12"/>
      <c r="B294" s="446"/>
      <c r="C294" s="89"/>
      <c r="D294" s="13"/>
      <c r="E294" s="14"/>
      <c r="F294" s="14"/>
      <c r="G294" s="15"/>
      <c r="H294" s="8"/>
      <c r="I294" s="8"/>
      <c r="J294" s="89"/>
      <c r="K294" s="8"/>
      <c r="L294" s="8"/>
      <c r="M294" s="8" t="str">
        <f>IF(L294="","",
IF(AX294="PT",VLOOKUP(L294,Foundation_Calc!$V$4:$X$37,VLOOKUP(AX294,Foundation_Calc!$I$10:$J$13,2,FALSE),0),
IF(AX294="K",VLOOKUP(L294,Foundation_Calc!$V$41:$X$74,VLOOKUP(AX294,Foundation_Calc!$I$10:$J$13,2,FALSE),0),"")))</f>
        <v/>
      </c>
      <c r="N294" s="8"/>
      <c r="O294" s="8"/>
      <c r="P294" s="8"/>
      <c r="Q294" s="14"/>
      <c r="R294" s="15"/>
      <c r="S294" s="15"/>
      <c r="T294" s="14"/>
      <c r="U294" s="14"/>
      <c r="V294" s="14"/>
      <c r="W294" s="18"/>
      <c r="X294" s="18"/>
      <c r="Y294" s="18"/>
      <c r="Z294" s="18"/>
      <c r="AA294" s="18"/>
      <c r="AB294" s="18"/>
      <c r="AC294" s="8" t="str">
        <f t="shared" si="54"/>
        <v/>
      </c>
      <c r="AD294" s="8"/>
      <c r="AE294" s="8"/>
      <c r="AF294" s="14"/>
      <c r="AG294" s="13"/>
      <c r="AH294" s="14"/>
      <c r="AI294" s="14"/>
      <c r="AJ294" s="8"/>
      <c r="AK294" s="8"/>
      <c r="AL294" s="8"/>
      <c r="AM294" s="8"/>
      <c r="AN294" s="631"/>
      <c r="AO294" s="18"/>
      <c r="AP294" s="18"/>
      <c r="AQ294" s="18"/>
      <c r="AR294" s="18"/>
      <c r="AS294" s="18"/>
      <c r="AU294" s="448"/>
      <c r="AV294" s="448"/>
      <c r="AW294" s="8" t="str">
        <f>IF(C294&gt;0,VLOOKUP(C294,Foundation_Calc!$A$2:$C$986,3,1),
IF(J294&gt;0,VLOOKUP(J294,Foundation_Calc!$A$2:$C$986,3,1),""))</f>
        <v/>
      </c>
      <c r="AX294" s="8" t="str">
        <f>IF(C294&gt;0,VLOOKUP(C294,Foundation_Calc!$E$2:$G$986,3,1),
IF(J294&gt;0,VLOOKUP(J294,Foundation_Calc!$E$2:$G$986,3,1),""))</f>
        <v/>
      </c>
      <c r="AY294" s="631" t="str">
        <f>IF(L294="","",
IF(AX294="PT",VLOOKUP(L294,Foundation_Calc!$K$4:$R$37,VLOOKUP(AW294,Foundation_Calc!$I$2:$J$8,2,FALSE),0),
IF(AX294="K",VLOOKUP(L294,Foundation_Calc!$K$41:$R$74,VLOOKUP(AW294,Foundation_Calc!$I$2:$J$8,2,FALSE),0),"")))</f>
        <v/>
      </c>
      <c r="AZ294" s="631" t="str">
        <f>IF(K294="","",
IF(AX294="PT",VLOOKUP(K294,Foundation_Calc!$K$4:$R$37,VLOOKUP(AW294,Foundation_Calc!$I$2:$J$8,2,FALSE),0),
IF(AX294="K",VLOOKUP(K294,Foundation_Calc!$K$41:$R$74,VLOOKUP(AW294,Foundation_Calc!$I$2:$J$8,2,FALSE),0),"")))</f>
        <v/>
      </c>
      <c r="BA294" s="632" t="str">
        <f t="shared" si="55"/>
        <v/>
      </c>
      <c r="BB294" s="632" t="str">
        <f t="shared" si="56"/>
        <v/>
      </c>
      <c r="BC294" s="632" t="str">
        <f t="shared" si="57"/>
        <v/>
      </c>
      <c r="BD294" s="633" t="str">
        <f>IF(AND(L294="",H294=""),"",
IF(H294="",Pole_Calc!A322,
IF(H294="MP",Pole_Calc!A323,
IF(H294="AnMP",Pole_Calc!A324,
IF(H294="A",Pole_Calc!A325,
IF(H294="S/A",Pole_Calc!A326,
IF(H294="A/S",Pole_Calc!A327,"Poner a mano")))))))</f>
        <v/>
      </c>
      <c r="BE294" s="448" t="s">
        <v>1726</v>
      </c>
      <c r="BF294" s="634"/>
      <c r="BG294" s="634"/>
      <c r="BH294" s="634"/>
      <c r="BI294" s="634"/>
    </row>
    <row r="295" spans="1:61" ht="16.2" customHeight="1">
      <c r="A295" s="12"/>
      <c r="B295" s="446"/>
      <c r="C295" s="89"/>
      <c r="D295" s="13"/>
      <c r="E295" s="14"/>
      <c r="F295" s="14"/>
      <c r="G295" s="15"/>
      <c r="H295" s="8"/>
      <c r="I295" s="8"/>
      <c r="J295" s="89"/>
      <c r="K295" s="8"/>
      <c r="L295" s="8"/>
      <c r="M295" s="8" t="str">
        <f>IF(L295="","",
IF(AX295="PT",VLOOKUP(L295,Foundation_Calc!$V$4:$X$37,VLOOKUP(AX295,Foundation_Calc!$I$10:$J$13,2,FALSE),0),
IF(AX295="K",VLOOKUP(L295,Foundation_Calc!$V$41:$X$74,VLOOKUP(AX295,Foundation_Calc!$I$10:$J$13,2,FALSE),0),"")))</f>
        <v/>
      </c>
      <c r="N295" s="8"/>
      <c r="O295" s="8"/>
      <c r="P295" s="8"/>
      <c r="Q295" s="14"/>
      <c r="R295" s="15"/>
      <c r="S295" s="15"/>
      <c r="T295" s="14"/>
      <c r="U295" s="14"/>
      <c r="V295" s="14"/>
      <c r="W295" s="18"/>
      <c r="X295" s="18"/>
      <c r="Y295" s="18"/>
      <c r="Z295" s="18"/>
      <c r="AA295" s="18"/>
      <c r="AB295" s="18"/>
      <c r="AC295" s="8" t="str">
        <f t="shared" si="54"/>
        <v/>
      </c>
      <c r="AD295" s="8"/>
      <c r="AE295" s="8"/>
      <c r="AF295" s="14"/>
      <c r="AG295" s="13"/>
      <c r="AH295" s="14"/>
      <c r="AI295" s="14"/>
      <c r="AJ295" s="8"/>
      <c r="AK295" s="8"/>
      <c r="AL295" s="8"/>
      <c r="AM295" s="8"/>
      <c r="AN295" s="631"/>
      <c r="AO295" s="18"/>
      <c r="AP295" s="18"/>
      <c r="AQ295" s="18"/>
      <c r="AR295" s="18"/>
      <c r="AS295" s="18"/>
      <c r="AU295" s="448"/>
      <c r="AV295" s="448"/>
      <c r="AW295" s="8" t="str">
        <f>IF(C295&gt;0,VLOOKUP(C295,Foundation_Calc!$A$2:$C$986,3,1),
IF(J295&gt;0,VLOOKUP(J295,Foundation_Calc!$A$2:$C$986,3,1),""))</f>
        <v/>
      </c>
      <c r="AX295" s="8" t="str">
        <f>IF(C295&gt;0,VLOOKUP(C295,Foundation_Calc!$E$2:$G$986,3,1),
IF(J295&gt;0,VLOOKUP(J295,Foundation_Calc!$E$2:$G$986,3,1),""))</f>
        <v/>
      </c>
      <c r="AY295" s="631" t="str">
        <f>IF(L295="","",
IF(AX295="PT",VLOOKUP(L295,Foundation_Calc!$K$4:$R$37,VLOOKUP(AW295,Foundation_Calc!$I$2:$J$8,2,FALSE),0),
IF(AX295="K",VLOOKUP(L295,Foundation_Calc!$K$41:$R$74,VLOOKUP(AW295,Foundation_Calc!$I$2:$J$8,2,FALSE),0),"")))</f>
        <v/>
      </c>
      <c r="AZ295" s="631" t="str">
        <f>IF(K295="","",
IF(AX295="PT",VLOOKUP(K295,Foundation_Calc!$K$4:$R$37,VLOOKUP(AW295,Foundation_Calc!$I$2:$J$8,2,FALSE),0),
IF(AX295="K",VLOOKUP(K295,Foundation_Calc!$K$41:$R$74,VLOOKUP(AW295,Foundation_Calc!$I$2:$J$8,2,FALSE),0),"")))</f>
        <v/>
      </c>
      <c r="BA295" s="632" t="str">
        <f t="shared" si="55"/>
        <v/>
      </c>
      <c r="BB295" s="632" t="str">
        <f t="shared" si="56"/>
        <v/>
      </c>
      <c r="BC295" s="632" t="str">
        <f t="shared" si="57"/>
        <v/>
      </c>
      <c r="BD295" s="633" t="str">
        <f>IF(AND(L295="",H295=""),"",
IF(H295="",Pole_Calc!A323,
IF(H295="MP",Pole_Calc!A324,
IF(H295="AnMP",Pole_Calc!A325,
IF(H295="A",Pole_Calc!A326,
IF(H295="S/A",Pole_Calc!A327,
IF(H295="A/S",Pole_Calc!A328,"Poner a mano")))))))</f>
        <v/>
      </c>
      <c r="BE295" s="448" t="s">
        <v>1726</v>
      </c>
      <c r="BF295" s="635"/>
      <c r="BG295" s="635"/>
      <c r="BH295" s="634"/>
      <c r="BI295" s="635"/>
    </row>
    <row r="296" spans="1:61" ht="16.2" customHeight="1">
      <c r="A296" s="12"/>
      <c r="B296" s="446"/>
      <c r="C296" s="89"/>
      <c r="D296" s="13"/>
      <c r="E296" s="14"/>
      <c r="F296" s="14"/>
      <c r="G296" s="15"/>
      <c r="H296" s="8"/>
      <c r="I296" s="8"/>
      <c r="J296" s="89"/>
      <c r="K296" s="8"/>
      <c r="L296" s="8"/>
      <c r="M296" s="8" t="str">
        <f>IF(L296="","",
IF(AX296="PT",VLOOKUP(L296,Foundation_Calc!$V$4:$X$37,VLOOKUP(AX296,Foundation_Calc!$I$10:$J$13,2,FALSE),0),
IF(AX296="K",VLOOKUP(L296,Foundation_Calc!$V$41:$X$74,VLOOKUP(AX296,Foundation_Calc!$I$10:$J$13,2,FALSE),0),"")))</f>
        <v/>
      </c>
      <c r="N296" s="8"/>
      <c r="O296" s="8"/>
      <c r="P296" s="8"/>
      <c r="Q296" s="14"/>
      <c r="R296" s="15"/>
      <c r="S296" s="15"/>
      <c r="T296" s="14"/>
      <c r="U296" s="14"/>
      <c r="V296" s="14"/>
      <c r="W296" s="18"/>
      <c r="X296" s="18"/>
      <c r="Y296" s="18"/>
      <c r="Z296" s="18"/>
      <c r="AA296" s="18"/>
      <c r="AB296" s="18"/>
      <c r="AC296" s="8" t="str">
        <f t="shared" si="54"/>
        <v/>
      </c>
      <c r="AD296" s="8"/>
      <c r="AE296" s="8"/>
      <c r="AF296" s="14"/>
      <c r="AG296" s="13"/>
      <c r="AH296" s="14"/>
      <c r="AI296" s="14"/>
      <c r="AJ296" s="8"/>
      <c r="AK296" s="8"/>
      <c r="AL296" s="8"/>
      <c r="AM296" s="8"/>
      <c r="AN296" s="631"/>
      <c r="AO296" s="18"/>
      <c r="AP296" s="18"/>
      <c r="AQ296" s="18"/>
      <c r="AR296" s="18"/>
      <c r="AS296" s="18"/>
      <c r="AU296" s="448"/>
      <c r="AV296" s="448"/>
      <c r="AW296" s="8" t="str">
        <f>IF(C296&gt;0,VLOOKUP(C296,Foundation_Calc!$A$2:$C$986,3,1),
IF(J296&gt;0,VLOOKUP(J296,Foundation_Calc!$A$2:$C$986,3,1),""))</f>
        <v/>
      </c>
      <c r="AX296" s="8" t="str">
        <f>IF(C296&gt;0,VLOOKUP(C296,Foundation_Calc!$E$2:$G$986,3,1),
IF(J296&gt;0,VLOOKUP(J296,Foundation_Calc!$E$2:$G$986,3,1),""))</f>
        <v/>
      </c>
      <c r="AY296" s="631" t="str">
        <f>IF(L296="","",
IF(AX296="PT",VLOOKUP(L296,Foundation_Calc!$K$4:$R$37,VLOOKUP(AW296,Foundation_Calc!$I$2:$J$8,2,FALSE),0),
IF(AX296="K",VLOOKUP(L296,Foundation_Calc!$K$41:$R$74,VLOOKUP(AW296,Foundation_Calc!$I$2:$J$8,2,FALSE),0),"")))</f>
        <v/>
      </c>
      <c r="AZ296" s="631" t="str">
        <f>IF(K296="","",
IF(AX296="PT",VLOOKUP(K296,Foundation_Calc!$K$4:$R$37,VLOOKUP(AW296,Foundation_Calc!$I$2:$J$8,2,FALSE),0),
IF(AX296="K",VLOOKUP(K296,Foundation_Calc!$K$41:$R$74,VLOOKUP(AW296,Foundation_Calc!$I$2:$J$8,2,FALSE),0),"")))</f>
        <v/>
      </c>
      <c r="BA296" s="632" t="str">
        <f t="shared" si="55"/>
        <v/>
      </c>
      <c r="BB296" s="632" t="str">
        <f t="shared" si="56"/>
        <v/>
      </c>
      <c r="BC296" s="632" t="str">
        <f t="shared" si="57"/>
        <v/>
      </c>
      <c r="BD296" s="633" t="str">
        <f>IF(AND(L296="",H296=""),"",
IF(H296="",Pole_Calc!A324,
IF(H296="MP",Pole_Calc!A325,
IF(H296="AnMP",Pole_Calc!A326,
IF(H296="A",Pole_Calc!A327,
IF(H296="S/A",Pole_Calc!A328,
IF(H296="A/S",Pole_Calc!A329,"Poner a mano")))))))</f>
        <v/>
      </c>
      <c r="BE296" s="448" t="s">
        <v>1726</v>
      </c>
      <c r="BF296" s="634"/>
      <c r="BG296" s="634"/>
      <c r="BH296" s="634"/>
      <c r="BI296" s="634"/>
    </row>
    <row r="297" spans="1:61" ht="16.2" customHeight="1">
      <c r="A297" s="12"/>
      <c r="B297" s="446"/>
      <c r="C297" s="89"/>
      <c r="D297" s="13"/>
      <c r="E297" s="14"/>
      <c r="F297" s="14"/>
      <c r="G297" s="15"/>
      <c r="H297" s="8"/>
      <c r="I297" s="8"/>
      <c r="J297" s="89"/>
      <c r="K297" s="8"/>
      <c r="L297" s="8"/>
      <c r="M297" s="8" t="str">
        <f>IF(L297="","",
IF(AX297="PT",VLOOKUP(L297,Foundation_Calc!$V$4:$X$37,VLOOKUP(AX297,Foundation_Calc!$I$10:$J$13,2,FALSE),0),
IF(AX297="K",VLOOKUP(L297,Foundation_Calc!$V$41:$X$74,VLOOKUP(AX297,Foundation_Calc!$I$10:$J$13,2,FALSE),0),"")))</f>
        <v/>
      </c>
      <c r="N297" s="8"/>
      <c r="O297" s="8"/>
      <c r="P297" s="8"/>
      <c r="Q297" s="14"/>
      <c r="R297" s="15"/>
      <c r="S297" s="15"/>
      <c r="T297" s="14"/>
      <c r="U297" s="14"/>
      <c r="V297" s="14"/>
      <c r="W297" s="18"/>
      <c r="X297" s="18"/>
      <c r="Y297" s="18"/>
      <c r="Z297" s="18"/>
      <c r="AA297" s="18"/>
      <c r="AB297" s="18"/>
      <c r="AC297" s="8" t="str">
        <f t="shared" si="54"/>
        <v/>
      </c>
      <c r="AD297" s="8"/>
      <c r="AE297" s="8"/>
      <c r="AF297" s="14"/>
      <c r="AG297" s="13"/>
      <c r="AH297" s="14"/>
      <c r="AI297" s="14"/>
      <c r="AJ297" s="8"/>
      <c r="AK297" s="8"/>
      <c r="AL297" s="8"/>
      <c r="AM297" s="8"/>
      <c r="AN297" s="631"/>
      <c r="AO297" s="18"/>
      <c r="AP297" s="18"/>
      <c r="AQ297" s="18"/>
      <c r="AR297" s="18"/>
      <c r="AS297" s="18"/>
      <c r="AU297" s="448"/>
      <c r="AV297" s="448"/>
      <c r="AW297" s="8" t="str">
        <f>IF(C297&gt;0,VLOOKUP(C297,Foundation_Calc!$A$2:$C$986,3,1),
IF(J297&gt;0,VLOOKUP(J297,Foundation_Calc!$A$2:$C$986,3,1),""))</f>
        <v/>
      </c>
      <c r="AX297" s="8" t="str">
        <f>IF(C297&gt;0,VLOOKUP(C297,Foundation_Calc!$E$2:$G$986,3,1),
IF(J297&gt;0,VLOOKUP(J297,Foundation_Calc!$E$2:$G$986,3,1),""))</f>
        <v/>
      </c>
      <c r="AY297" s="631" t="str">
        <f>IF(L297="","",
IF(AX297="PT",VLOOKUP(L297,Foundation_Calc!$K$4:$R$37,VLOOKUP(AW297,Foundation_Calc!$I$2:$J$8,2,FALSE),0),
IF(AX297="K",VLOOKUP(L297,Foundation_Calc!$K$41:$R$74,VLOOKUP(AW297,Foundation_Calc!$I$2:$J$8,2,FALSE),0),"")))</f>
        <v/>
      </c>
      <c r="AZ297" s="631" t="str">
        <f>IF(K297="","",
IF(AX297="PT",VLOOKUP(K297,Foundation_Calc!$K$4:$R$37,VLOOKUP(AW297,Foundation_Calc!$I$2:$J$8,2,FALSE),0),
IF(AX297="K",VLOOKUP(K297,Foundation_Calc!$K$41:$R$74,VLOOKUP(AW297,Foundation_Calc!$I$2:$J$8,2,FALSE),0),"")))</f>
        <v/>
      </c>
      <c r="BA297" s="632" t="str">
        <f t="shared" si="55"/>
        <v/>
      </c>
      <c r="BB297" s="632" t="str">
        <f t="shared" si="56"/>
        <v/>
      </c>
      <c r="BC297" s="632" t="str">
        <f t="shared" si="57"/>
        <v/>
      </c>
      <c r="BD297" s="633" t="str">
        <f>IF(AND(L297="",H297=""),"",
IF(H297="",Pole_Calc!A325,
IF(H297="MP",Pole_Calc!A326,
IF(H297="AnMP",Pole_Calc!A327,
IF(H297="A",Pole_Calc!A328,
IF(H297="S/A",Pole_Calc!A329,
IF(H297="A/S",Pole_Calc!A330,"Poner a mano")))))))</f>
        <v/>
      </c>
      <c r="BE297" s="448" t="s">
        <v>1726</v>
      </c>
      <c r="BF297" s="635"/>
      <c r="BG297" s="635"/>
      <c r="BH297" s="634"/>
      <c r="BI297" s="635"/>
    </row>
    <row r="298" spans="1:61" ht="16.2" customHeight="1">
      <c r="A298" s="12"/>
      <c r="B298" s="446"/>
      <c r="C298" s="89"/>
      <c r="D298" s="13"/>
      <c r="E298" s="14"/>
      <c r="F298" s="14"/>
      <c r="G298" s="15"/>
      <c r="H298" s="8"/>
      <c r="I298" s="8"/>
      <c r="J298" s="89"/>
      <c r="K298" s="8"/>
      <c r="L298" s="8"/>
      <c r="M298" s="8" t="str">
        <f>IF(L298="","",
IF(AX298="PT",VLOOKUP(L298,Foundation_Calc!$V$4:$X$37,VLOOKUP(AX298,Foundation_Calc!$I$10:$J$13,2,FALSE),0),
IF(AX298="K",VLOOKUP(L298,Foundation_Calc!$V$41:$X$74,VLOOKUP(AX298,Foundation_Calc!$I$10:$J$13,2,FALSE),0),"")))</f>
        <v/>
      </c>
      <c r="N298" s="8"/>
      <c r="O298" s="8"/>
      <c r="P298" s="8"/>
      <c r="Q298" s="14"/>
      <c r="R298" s="15"/>
      <c r="S298" s="15"/>
      <c r="T298" s="14"/>
      <c r="U298" s="14"/>
      <c r="V298" s="14"/>
      <c r="W298" s="18"/>
      <c r="X298" s="18"/>
      <c r="Y298" s="18"/>
      <c r="Z298" s="18"/>
      <c r="AA298" s="18"/>
      <c r="AB298" s="18"/>
      <c r="AC298" s="8" t="str">
        <f t="shared" si="54"/>
        <v/>
      </c>
      <c r="AD298" s="8"/>
      <c r="AE298" s="8"/>
      <c r="AF298" s="14"/>
      <c r="AG298" s="13"/>
      <c r="AH298" s="14"/>
      <c r="AI298" s="14"/>
      <c r="AJ298" s="8"/>
      <c r="AK298" s="8"/>
      <c r="AL298" s="8"/>
      <c r="AM298" s="8"/>
      <c r="AN298" s="631"/>
      <c r="AO298" s="18"/>
      <c r="AP298" s="18"/>
      <c r="AQ298" s="18"/>
      <c r="AR298" s="18"/>
      <c r="AS298" s="18"/>
      <c r="AU298" s="448"/>
      <c r="AV298" s="448"/>
      <c r="AW298" s="8" t="str">
        <f>IF(C298&gt;0,VLOOKUP(C298,Foundation_Calc!$A$2:$C$986,3,1),
IF(J298&gt;0,VLOOKUP(J298,Foundation_Calc!$A$2:$C$986,3,1),""))</f>
        <v/>
      </c>
      <c r="AX298" s="8" t="str">
        <f>IF(C298&gt;0,VLOOKUP(C298,Foundation_Calc!$E$2:$G$986,3,1),
IF(J298&gt;0,VLOOKUP(J298,Foundation_Calc!$E$2:$G$986,3,1),""))</f>
        <v/>
      </c>
      <c r="AY298" s="631" t="str">
        <f>IF(L298="","",
IF(AX298="PT",VLOOKUP(L298,Foundation_Calc!$K$4:$R$37,VLOOKUP(AW298,Foundation_Calc!$I$2:$J$8,2,FALSE),0),
IF(AX298="K",VLOOKUP(L298,Foundation_Calc!$K$41:$R$74,VLOOKUP(AW298,Foundation_Calc!$I$2:$J$8,2,FALSE),0),"")))</f>
        <v/>
      </c>
      <c r="AZ298" s="631" t="str">
        <f>IF(K298="","",
IF(AX298="PT",VLOOKUP(K298,Foundation_Calc!$K$4:$R$37,VLOOKUP(AW298,Foundation_Calc!$I$2:$J$8,2,FALSE),0),
IF(AX298="K",VLOOKUP(K298,Foundation_Calc!$K$41:$R$74,VLOOKUP(AW298,Foundation_Calc!$I$2:$J$8,2,FALSE),0),"")))</f>
        <v/>
      </c>
      <c r="BA298" s="632" t="str">
        <f t="shared" si="55"/>
        <v/>
      </c>
      <c r="BB298" s="632" t="str">
        <f t="shared" si="56"/>
        <v/>
      </c>
      <c r="BC298" s="632" t="str">
        <f t="shared" si="57"/>
        <v/>
      </c>
      <c r="BD298" s="633" t="str">
        <f>IF(AND(L298="",H298=""),"",
IF(H298="",Pole_Calc!A326,
IF(H298="MP",Pole_Calc!A327,
IF(H298="AnMP",Pole_Calc!A328,
IF(H298="A",Pole_Calc!A329,
IF(H298="S/A",Pole_Calc!A330,
IF(H298="A/S",Pole_Calc!A331,"Poner a mano")))))))</f>
        <v/>
      </c>
      <c r="BE298" s="448" t="s">
        <v>1726</v>
      </c>
      <c r="BF298" s="634"/>
      <c r="BG298" s="634"/>
      <c r="BH298" s="634"/>
      <c r="BI298" s="634"/>
    </row>
    <row r="299" spans="1:61" ht="16.2" customHeight="1">
      <c r="A299" s="12"/>
      <c r="B299" s="446"/>
      <c r="C299" s="89"/>
      <c r="D299" s="13"/>
      <c r="E299" s="14"/>
      <c r="F299" s="14"/>
      <c r="G299" s="15"/>
      <c r="H299" s="8"/>
      <c r="I299" s="8"/>
      <c r="J299" s="89"/>
      <c r="K299" s="8"/>
      <c r="L299" s="8"/>
      <c r="M299" s="8" t="str">
        <f>IF(L299="","",
IF(AX299="PT",VLOOKUP(L299,Foundation_Calc!$V$4:$X$37,VLOOKUP(AX299,Foundation_Calc!$I$10:$J$13,2,FALSE),0),
IF(AX299="K",VLOOKUP(L299,Foundation_Calc!$V$41:$X$74,VLOOKUP(AX299,Foundation_Calc!$I$10:$J$13,2,FALSE),0),"")))</f>
        <v/>
      </c>
      <c r="N299" s="8"/>
      <c r="O299" s="8"/>
      <c r="P299" s="8"/>
      <c r="Q299" s="14"/>
      <c r="R299" s="15"/>
      <c r="S299" s="15"/>
      <c r="T299" s="14"/>
      <c r="U299" s="14"/>
      <c r="V299" s="14"/>
      <c r="W299" s="18"/>
      <c r="X299" s="18"/>
      <c r="Y299" s="18"/>
      <c r="Z299" s="18"/>
      <c r="AA299" s="18"/>
      <c r="AB299" s="18"/>
      <c r="AC299" s="8" t="str">
        <f t="shared" si="54"/>
        <v/>
      </c>
      <c r="AD299" s="8"/>
      <c r="AE299" s="8"/>
      <c r="AF299" s="14"/>
      <c r="AG299" s="13"/>
      <c r="AH299" s="14"/>
      <c r="AI299" s="14"/>
      <c r="AJ299" s="8"/>
      <c r="AK299" s="8"/>
      <c r="AL299" s="8"/>
      <c r="AM299" s="8"/>
      <c r="AN299" s="631"/>
      <c r="AO299" s="18"/>
      <c r="AP299" s="18"/>
      <c r="AQ299" s="18"/>
      <c r="AR299" s="18"/>
      <c r="AS299" s="18"/>
      <c r="AU299" s="448"/>
      <c r="AV299" s="448"/>
      <c r="AW299" s="8" t="str">
        <f>IF(C299&gt;0,VLOOKUP(C299,Foundation_Calc!$A$2:$C$986,3,1),
IF(J299&gt;0,VLOOKUP(J299,Foundation_Calc!$A$2:$C$986,3,1),""))</f>
        <v/>
      </c>
      <c r="AX299" s="8" t="str">
        <f>IF(C299&gt;0,VLOOKUP(C299,Foundation_Calc!$E$2:$G$986,3,1),
IF(J299&gt;0,VLOOKUP(J299,Foundation_Calc!$E$2:$G$986,3,1),""))</f>
        <v/>
      </c>
      <c r="AY299" s="631" t="str">
        <f>IF(L299="","",
IF(AX299="PT",VLOOKUP(L299,Foundation_Calc!$K$4:$R$37,VLOOKUP(AW299,Foundation_Calc!$I$2:$J$8,2,FALSE),0),
IF(AX299="K",VLOOKUP(L299,Foundation_Calc!$K$41:$R$74,VLOOKUP(AW299,Foundation_Calc!$I$2:$J$8,2,FALSE),0),"")))</f>
        <v/>
      </c>
      <c r="AZ299" s="631" t="str">
        <f>IF(K299="","",
IF(AX299="PT",VLOOKUP(K299,Foundation_Calc!$K$4:$R$37,VLOOKUP(AW299,Foundation_Calc!$I$2:$J$8,2,FALSE),0),
IF(AX299="K",VLOOKUP(K299,Foundation_Calc!$K$41:$R$74,VLOOKUP(AW299,Foundation_Calc!$I$2:$J$8,2,FALSE),0),"")))</f>
        <v/>
      </c>
      <c r="BA299" s="632" t="str">
        <f t="shared" si="55"/>
        <v/>
      </c>
      <c r="BB299" s="632" t="str">
        <f t="shared" si="56"/>
        <v/>
      </c>
      <c r="BC299" s="632" t="str">
        <f t="shared" si="57"/>
        <v/>
      </c>
      <c r="BD299" s="633" t="str">
        <f>IF(AND(L299="",H299=""),"",
IF(H299="",Pole_Calc!A327,
IF(H299="MP",Pole_Calc!A328,
IF(H299="AnMP",Pole_Calc!A329,
IF(H299="A",Pole_Calc!A330,
IF(H299="S/A",Pole_Calc!A331,
IF(H299="A/S",Pole_Calc!A332,"Poner a mano")))))))</f>
        <v/>
      </c>
      <c r="BE299" s="448" t="s">
        <v>1726</v>
      </c>
      <c r="BF299" s="635"/>
      <c r="BG299" s="635"/>
      <c r="BH299" s="634"/>
      <c r="BI299" s="635"/>
    </row>
    <row r="300" spans="1:61" ht="16.2" customHeight="1">
      <c r="A300" s="12"/>
      <c r="B300" s="446"/>
      <c r="C300" s="89"/>
      <c r="D300" s="13"/>
      <c r="E300" s="14"/>
      <c r="F300" s="14"/>
      <c r="G300" s="15"/>
      <c r="H300" s="8"/>
      <c r="I300" s="8"/>
      <c r="J300" s="89"/>
      <c r="K300" s="8"/>
      <c r="L300" s="8"/>
      <c r="M300" s="8" t="str">
        <f>IF(L300="","",
IF(AX300="PT",VLOOKUP(L300,Foundation_Calc!$V$4:$X$37,VLOOKUP(AX300,Foundation_Calc!$I$10:$J$13,2,FALSE),0),
IF(AX300="K",VLOOKUP(L300,Foundation_Calc!$V$41:$X$74,VLOOKUP(AX300,Foundation_Calc!$I$10:$J$13,2,FALSE),0),"")))</f>
        <v/>
      </c>
      <c r="N300" s="8"/>
      <c r="O300" s="8"/>
      <c r="P300" s="8"/>
      <c r="Q300" s="14"/>
      <c r="R300" s="15"/>
      <c r="S300" s="15"/>
      <c r="T300" s="14"/>
      <c r="U300" s="14"/>
      <c r="V300" s="14"/>
      <c r="W300" s="18"/>
      <c r="X300" s="18"/>
      <c r="Y300" s="18"/>
      <c r="Z300" s="18"/>
      <c r="AA300" s="18"/>
      <c r="AB300" s="18"/>
      <c r="AC300" s="8" t="str">
        <f t="shared" si="54"/>
        <v/>
      </c>
      <c r="AD300" s="8"/>
      <c r="AE300" s="8"/>
      <c r="AF300" s="14"/>
      <c r="AG300" s="13"/>
      <c r="AH300" s="14"/>
      <c r="AI300" s="14"/>
      <c r="AJ300" s="8"/>
      <c r="AK300" s="8"/>
      <c r="AL300" s="8"/>
      <c r="AM300" s="8"/>
      <c r="AN300" s="631"/>
      <c r="AO300" s="18"/>
      <c r="AP300" s="18"/>
      <c r="AQ300" s="18"/>
      <c r="AR300" s="18"/>
      <c r="AS300" s="18"/>
      <c r="AU300" s="448"/>
      <c r="AV300" s="448"/>
      <c r="AW300" s="8" t="str">
        <f>IF(C300&gt;0,VLOOKUP(C300,Foundation_Calc!$A$2:$C$986,3,1),
IF(J300&gt;0,VLOOKUP(J300,Foundation_Calc!$A$2:$C$986,3,1),""))</f>
        <v/>
      </c>
      <c r="AX300" s="8" t="str">
        <f>IF(C300&gt;0,VLOOKUP(C300,Foundation_Calc!$E$2:$G$986,3,1),
IF(J300&gt;0,VLOOKUP(J300,Foundation_Calc!$E$2:$G$986,3,1),""))</f>
        <v/>
      </c>
      <c r="AY300" s="631" t="str">
        <f>IF(L300="","",
IF(AX300="PT",VLOOKUP(L300,Foundation_Calc!$K$4:$R$37,VLOOKUP(AW300,Foundation_Calc!$I$2:$J$8,2,FALSE),0),
IF(AX300="K",VLOOKUP(L300,Foundation_Calc!$K$41:$R$74,VLOOKUP(AW300,Foundation_Calc!$I$2:$J$8,2,FALSE),0),"")))</f>
        <v/>
      </c>
      <c r="AZ300" s="631" t="str">
        <f>IF(K300="","",
IF(AX300="PT",VLOOKUP(K300,Foundation_Calc!$K$4:$R$37,VLOOKUP(AW300,Foundation_Calc!$I$2:$J$8,2,FALSE),0),
IF(AX300="K",VLOOKUP(K300,Foundation_Calc!$K$41:$R$74,VLOOKUP(AW300,Foundation_Calc!$I$2:$J$8,2,FALSE),0),"")))</f>
        <v/>
      </c>
      <c r="BA300" s="632" t="str">
        <f t="shared" si="55"/>
        <v/>
      </c>
      <c r="BB300" s="632" t="str">
        <f t="shared" si="56"/>
        <v/>
      </c>
      <c r="BC300" s="632" t="str">
        <f t="shared" si="57"/>
        <v/>
      </c>
      <c r="BD300" s="633" t="str">
        <f>IF(AND(L300="",H300=""),"",
IF(H300="",Pole_Calc!A328,
IF(H300="MP",Pole_Calc!A329,
IF(H300="AnMP",Pole_Calc!A330,
IF(H300="A",Pole_Calc!A331,
IF(H300="S/A",Pole_Calc!A332,
IF(H300="A/S",Pole_Calc!A333,"Poner a mano")))))))</f>
        <v/>
      </c>
      <c r="BE300" s="448" t="s">
        <v>1726</v>
      </c>
      <c r="BF300" s="634"/>
      <c r="BG300" s="634"/>
      <c r="BH300" s="634"/>
      <c r="BI300" s="634"/>
    </row>
    <row r="301" spans="1:61" ht="16.2" customHeight="1">
      <c r="A301" s="12"/>
      <c r="B301" s="446"/>
      <c r="C301" s="89"/>
      <c r="D301" s="13"/>
      <c r="E301" s="14"/>
      <c r="F301" s="14"/>
      <c r="G301" s="15"/>
      <c r="H301" s="8"/>
      <c r="I301" s="8"/>
      <c r="J301" s="89"/>
      <c r="K301" s="8"/>
      <c r="L301" s="8"/>
      <c r="M301" s="8" t="str">
        <f>IF(L301="","",
IF(AX301="PT",VLOOKUP(L301,Foundation_Calc!$V$4:$X$37,VLOOKUP(AX301,Foundation_Calc!$I$10:$J$13,2,FALSE),0),
IF(AX301="K",VLOOKUP(L301,Foundation_Calc!$V$41:$X$74,VLOOKUP(AX301,Foundation_Calc!$I$10:$J$13,2,FALSE),0),"")))</f>
        <v/>
      </c>
      <c r="N301" s="8"/>
      <c r="O301" s="8"/>
      <c r="P301" s="8"/>
      <c r="Q301" s="14"/>
      <c r="R301" s="15"/>
      <c r="S301" s="15"/>
      <c r="T301" s="14"/>
      <c r="U301" s="14"/>
      <c r="V301" s="14"/>
      <c r="W301" s="18"/>
      <c r="X301" s="18"/>
      <c r="Y301" s="18"/>
      <c r="Z301" s="18"/>
      <c r="AA301" s="18"/>
      <c r="AB301" s="18"/>
      <c r="AC301" s="8" t="str">
        <f t="shared" si="54"/>
        <v/>
      </c>
      <c r="AD301" s="8"/>
      <c r="AE301" s="8"/>
      <c r="AF301" s="14"/>
      <c r="AG301" s="13"/>
      <c r="AH301" s="14"/>
      <c r="AI301" s="14"/>
      <c r="AJ301" s="8"/>
      <c r="AK301" s="8"/>
      <c r="AL301" s="8"/>
      <c r="AM301" s="8"/>
      <c r="AN301" s="631"/>
      <c r="AO301" s="18"/>
      <c r="AP301" s="18"/>
      <c r="AQ301" s="18"/>
      <c r="AR301" s="18"/>
      <c r="AS301" s="18"/>
      <c r="AU301" s="448"/>
      <c r="AV301" s="448"/>
      <c r="AW301" s="8" t="str">
        <f>IF(C301&gt;0,VLOOKUP(C301,Foundation_Calc!$A$2:$C$986,3,1),
IF(J301&gt;0,VLOOKUP(J301,Foundation_Calc!$A$2:$C$986,3,1),""))</f>
        <v/>
      </c>
      <c r="AX301" s="8" t="str">
        <f>IF(C301&gt;0,VLOOKUP(C301,Foundation_Calc!$E$2:$G$986,3,1),
IF(J301&gt;0,VLOOKUP(J301,Foundation_Calc!$E$2:$G$986,3,1),""))</f>
        <v/>
      </c>
      <c r="AY301" s="631" t="str">
        <f>IF(L301="","",
IF(AX301="PT",VLOOKUP(L301,Foundation_Calc!$K$4:$R$37,VLOOKUP(AW301,Foundation_Calc!$I$2:$J$8,2,FALSE),0),
IF(AX301="K",VLOOKUP(L301,Foundation_Calc!$K$41:$R$74,VLOOKUP(AW301,Foundation_Calc!$I$2:$J$8,2,FALSE),0),"")))</f>
        <v/>
      </c>
      <c r="AZ301" s="631" t="str">
        <f>IF(K301="","",
IF(AX301="PT",VLOOKUP(K301,Foundation_Calc!$K$4:$R$37,VLOOKUP(AW301,Foundation_Calc!$I$2:$J$8,2,FALSE),0),
IF(AX301="K",VLOOKUP(K301,Foundation_Calc!$K$41:$R$74,VLOOKUP(AW301,Foundation_Calc!$I$2:$J$8,2,FALSE),0),"")))</f>
        <v/>
      </c>
      <c r="BA301" s="632" t="str">
        <f t="shared" si="55"/>
        <v/>
      </c>
      <c r="BB301" s="632" t="str">
        <f t="shared" si="56"/>
        <v/>
      </c>
      <c r="BC301" s="632" t="str">
        <f t="shared" si="57"/>
        <v/>
      </c>
      <c r="BD301" s="633" t="str">
        <f>IF(AND(L301="",H301=""),"",
IF(H301="",Pole_Calc!A329,
IF(H301="MP",Pole_Calc!A330,
IF(H301="AnMP",Pole_Calc!A331,
IF(H301="A",Pole_Calc!A332,
IF(H301="S/A",Pole_Calc!A333,
IF(H301="A/S",Pole_Calc!A334,"Poner a mano")))))))</f>
        <v/>
      </c>
      <c r="BE301" s="448" t="s">
        <v>1726</v>
      </c>
      <c r="BF301" s="635"/>
      <c r="BG301" s="635"/>
      <c r="BH301" s="634"/>
      <c r="BI301" s="635"/>
    </row>
    <row r="302" spans="1:61" ht="16.2" customHeight="1">
      <c r="A302" s="12"/>
      <c r="B302" s="446"/>
      <c r="C302" s="89"/>
      <c r="D302" s="13"/>
      <c r="E302" s="14"/>
      <c r="F302" s="14"/>
      <c r="G302" s="15"/>
      <c r="H302" s="8"/>
      <c r="I302" s="8"/>
      <c r="J302" s="89"/>
      <c r="K302" s="8"/>
      <c r="L302" s="8"/>
      <c r="M302" s="8" t="str">
        <f>IF(L302="","",
IF(AX302="PT",VLOOKUP(L302,Foundation_Calc!$V$4:$X$37,VLOOKUP(AX302,Foundation_Calc!$I$10:$J$13,2,FALSE),0),
IF(AX302="K",VLOOKUP(L302,Foundation_Calc!$V$41:$X$74,VLOOKUP(AX302,Foundation_Calc!$I$10:$J$13,2,FALSE),0),"")))</f>
        <v/>
      </c>
      <c r="N302" s="8"/>
      <c r="O302" s="8"/>
      <c r="P302" s="8"/>
      <c r="Q302" s="14"/>
      <c r="R302" s="15"/>
      <c r="S302" s="15"/>
      <c r="T302" s="14"/>
      <c r="U302" s="14"/>
      <c r="V302" s="14"/>
      <c r="W302" s="18"/>
      <c r="X302" s="18"/>
      <c r="Y302" s="18"/>
      <c r="Z302" s="18"/>
      <c r="AA302" s="18"/>
      <c r="AB302" s="18"/>
      <c r="AC302" s="8" t="str">
        <f t="shared" si="54"/>
        <v/>
      </c>
      <c r="AD302" s="8"/>
      <c r="AE302" s="8"/>
      <c r="AF302" s="14"/>
      <c r="AG302" s="13"/>
      <c r="AH302" s="14"/>
      <c r="AI302" s="14"/>
      <c r="AJ302" s="8"/>
      <c r="AK302" s="8"/>
      <c r="AL302" s="8"/>
      <c r="AM302" s="8"/>
      <c r="AN302" s="631"/>
      <c r="AO302" s="18"/>
      <c r="AP302" s="18"/>
      <c r="AQ302" s="18"/>
      <c r="AR302" s="18"/>
      <c r="AS302" s="18"/>
      <c r="AU302" s="448"/>
      <c r="AV302" s="448"/>
      <c r="AW302" s="8" t="str">
        <f>IF(C302&gt;0,VLOOKUP(C302,Foundation_Calc!$A$2:$C$986,3,1),
IF(J302&gt;0,VLOOKUP(J302,Foundation_Calc!$A$2:$C$986,3,1),""))</f>
        <v/>
      </c>
      <c r="AX302" s="8" t="str">
        <f>IF(C302&gt;0,VLOOKUP(C302,Foundation_Calc!$E$2:$G$986,3,1),
IF(J302&gt;0,VLOOKUP(J302,Foundation_Calc!$E$2:$G$986,3,1),""))</f>
        <v/>
      </c>
      <c r="AY302" s="631" t="str">
        <f>IF(L302="","",
IF(AX302="PT",VLOOKUP(L302,Foundation_Calc!$K$4:$R$37,VLOOKUP(AW302,Foundation_Calc!$I$2:$J$8,2,FALSE),0),
IF(AX302="K",VLOOKUP(L302,Foundation_Calc!$K$41:$R$74,VLOOKUP(AW302,Foundation_Calc!$I$2:$J$8,2,FALSE),0),"")))</f>
        <v/>
      </c>
      <c r="AZ302" s="631" t="str">
        <f>IF(K302="","",
IF(AX302="PT",VLOOKUP(K302,Foundation_Calc!$K$4:$R$37,VLOOKUP(AW302,Foundation_Calc!$I$2:$J$8,2,FALSE),0),
IF(AX302="K",VLOOKUP(K302,Foundation_Calc!$K$41:$R$74,VLOOKUP(AW302,Foundation_Calc!$I$2:$J$8,2,FALSE),0),"")))</f>
        <v/>
      </c>
      <c r="BA302" s="632" t="str">
        <f t="shared" si="55"/>
        <v/>
      </c>
      <c r="BB302" s="632" t="str">
        <f t="shared" si="56"/>
        <v/>
      </c>
      <c r="BC302" s="632" t="str">
        <f t="shared" si="57"/>
        <v/>
      </c>
      <c r="BD302" s="633" t="str">
        <f>IF(AND(L302="",H302=""),"",
IF(H302="",Pole_Calc!A330,
IF(H302="MP",Pole_Calc!A331,
IF(H302="AnMP",Pole_Calc!A332,
IF(H302="A",Pole_Calc!A333,
IF(H302="S/A",Pole_Calc!A334,
IF(H302="A/S",Pole_Calc!A335,"Poner a mano")))))))</f>
        <v/>
      </c>
      <c r="BE302" s="448" t="s">
        <v>1726</v>
      </c>
      <c r="BF302" s="634"/>
      <c r="BG302" s="634"/>
      <c r="BH302" s="634"/>
      <c r="BI302" s="634"/>
    </row>
    <row r="303" spans="1:61" ht="16.2" customHeight="1">
      <c r="A303" s="12"/>
      <c r="B303" s="446"/>
      <c r="C303" s="89"/>
      <c r="D303" s="13"/>
      <c r="E303" s="14"/>
      <c r="F303" s="14"/>
      <c r="G303" s="15"/>
      <c r="H303" s="8"/>
      <c r="I303" s="8"/>
      <c r="J303" s="89"/>
      <c r="K303" s="8"/>
      <c r="L303" s="8"/>
      <c r="M303" s="8" t="str">
        <f>IF(L303="","",
IF(AX303="PT",VLOOKUP(L303,Foundation_Calc!$V$4:$X$37,VLOOKUP(AX303,Foundation_Calc!$I$10:$J$13,2,FALSE),0),
IF(AX303="K",VLOOKUP(L303,Foundation_Calc!$V$41:$X$74,VLOOKUP(AX303,Foundation_Calc!$I$10:$J$13,2,FALSE),0),"")))</f>
        <v/>
      </c>
      <c r="N303" s="8"/>
      <c r="O303" s="8"/>
      <c r="P303" s="8"/>
      <c r="Q303" s="14"/>
      <c r="R303" s="15"/>
      <c r="S303" s="15"/>
      <c r="T303" s="14"/>
      <c r="U303" s="14"/>
      <c r="V303" s="14"/>
      <c r="W303" s="18"/>
      <c r="X303" s="18"/>
      <c r="Y303" s="18"/>
      <c r="Z303" s="18"/>
      <c r="AA303" s="18"/>
      <c r="AB303" s="18"/>
      <c r="AC303" s="8" t="str">
        <f t="shared" si="54"/>
        <v/>
      </c>
      <c r="AD303" s="8"/>
      <c r="AE303" s="8"/>
      <c r="AF303" s="14"/>
      <c r="AG303" s="13"/>
      <c r="AH303" s="14"/>
      <c r="AI303" s="14"/>
      <c r="AJ303" s="8"/>
      <c r="AK303" s="8"/>
      <c r="AL303" s="8"/>
      <c r="AM303" s="8"/>
      <c r="AN303" s="631"/>
      <c r="AO303" s="18"/>
      <c r="AP303" s="18"/>
      <c r="AQ303" s="18"/>
      <c r="AR303" s="18"/>
      <c r="AS303" s="18"/>
      <c r="AU303" s="448"/>
      <c r="AV303" s="448"/>
      <c r="AW303" s="8" t="str">
        <f>IF(C303&gt;0,VLOOKUP(C303,Foundation_Calc!$A$2:$C$986,3,1),
IF(J303&gt;0,VLOOKUP(J303,Foundation_Calc!$A$2:$C$986,3,1),""))</f>
        <v/>
      </c>
      <c r="AX303" s="8" t="str">
        <f>IF(C303&gt;0,VLOOKUP(C303,Foundation_Calc!$E$2:$G$986,3,1),
IF(J303&gt;0,VLOOKUP(J303,Foundation_Calc!$E$2:$G$986,3,1),""))</f>
        <v/>
      </c>
      <c r="AY303" s="631" t="str">
        <f>IF(L303="","",
IF(AX303="PT",VLOOKUP(L303,Foundation_Calc!$K$4:$R$37,VLOOKUP(AW303,Foundation_Calc!$I$2:$J$8,2,FALSE),0),
IF(AX303="K",VLOOKUP(L303,Foundation_Calc!$K$41:$R$74,VLOOKUP(AW303,Foundation_Calc!$I$2:$J$8,2,FALSE),0),"")))</f>
        <v/>
      </c>
      <c r="AZ303" s="631" t="str">
        <f>IF(K303="","",
IF(AX303="PT",VLOOKUP(K303,Foundation_Calc!$K$4:$R$37,VLOOKUP(AW303,Foundation_Calc!$I$2:$J$8,2,FALSE),0),
IF(AX303="K",VLOOKUP(K303,Foundation_Calc!$K$41:$R$74,VLOOKUP(AW303,Foundation_Calc!$I$2:$J$8,2,FALSE),0),"")))</f>
        <v/>
      </c>
      <c r="BA303" s="632" t="str">
        <f t="shared" si="55"/>
        <v/>
      </c>
      <c r="BB303" s="632" t="str">
        <f t="shared" si="56"/>
        <v/>
      </c>
      <c r="BC303" s="632" t="str">
        <f t="shared" si="57"/>
        <v/>
      </c>
      <c r="BD303" s="633" t="str">
        <f>IF(AND(L303="",H303=""),"",
IF(H303="",Pole_Calc!A331,
IF(H303="MP",Pole_Calc!A332,
IF(H303="AnMP",Pole_Calc!A333,
IF(H303="A",Pole_Calc!A334,
IF(H303="S/A",Pole_Calc!A335,
IF(H303="A/S",Pole_Calc!A336,"Poner a mano")))))))</f>
        <v/>
      </c>
      <c r="BE303" s="448" t="s">
        <v>1726</v>
      </c>
      <c r="BF303" s="635"/>
      <c r="BG303" s="635"/>
      <c r="BH303" s="634"/>
      <c r="BI303" s="635"/>
    </row>
    <row r="304" spans="1:61" ht="16.2" customHeight="1">
      <c r="A304" s="12"/>
      <c r="B304" s="446"/>
      <c r="C304" s="89"/>
      <c r="D304" s="13"/>
      <c r="E304" s="14"/>
      <c r="F304" s="14"/>
      <c r="G304" s="15"/>
      <c r="H304" s="8"/>
      <c r="I304" s="8"/>
      <c r="J304" s="89"/>
      <c r="K304" s="8"/>
      <c r="L304" s="8"/>
      <c r="M304" s="8" t="str">
        <f>IF(L304="","",
IF(AX304="PT",VLOOKUP(L304,Foundation_Calc!$V$4:$X$37,VLOOKUP(AX304,Foundation_Calc!$I$10:$J$13,2,FALSE),0),
IF(AX304="K",VLOOKUP(L304,Foundation_Calc!$V$41:$X$74,VLOOKUP(AX304,Foundation_Calc!$I$10:$J$13,2,FALSE),0),"")))</f>
        <v/>
      </c>
      <c r="N304" s="8"/>
      <c r="O304" s="8"/>
      <c r="P304" s="8"/>
      <c r="Q304" s="14"/>
      <c r="R304" s="15"/>
      <c r="S304" s="15"/>
      <c r="T304" s="14"/>
      <c r="U304" s="14"/>
      <c r="V304" s="14"/>
      <c r="W304" s="18"/>
      <c r="X304" s="18"/>
      <c r="Y304" s="18"/>
      <c r="Z304" s="18"/>
      <c r="AA304" s="18"/>
      <c r="AB304" s="18"/>
      <c r="AC304" s="8" t="str">
        <f t="shared" si="54"/>
        <v/>
      </c>
      <c r="AD304" s="8"/>
      <c r="AE304" s="8"/>
      <c r="AF304" s="14"/>
      <c r="AG304" s="13"/>
      <c r="AH304" s="14"/>
      <c r="AI304" s="14"/>
      <c r="AJ304" s="8"/>
      <c r="AK304" s="8"/>
      <c r="AL304" s="8"/>
      <c r="AM304" s="8"/>
      <c r="AN304" s="631"/>
      <c r="AO304" s="18"/>
      <c r="AP304" s="18"/>
      <c r="AQ304" s="18"/>
      <c r="AR304" s="18"/>
      <c r="AS304" s="18"/>
      <c r="AU304" s="448"/>
      <c r="AV304" s="448"/>
      <c r="AW304" s="8" t="str">
        <f>IF(C304&gt;0,VLOOKUP(C304,Foundation_Calc!$A$2:$C$986,3,1),
IF(J304&gt;0,VLOOKUP(J304,Foundation_Calc!$A$2:$C$986,3,1),""))</f>
        <v/>
      </c>
      <c r="AX304" s="8" t="str">
        <f>IF(C304&gt;0,VLOOKUP(C304,Foundation_Calc!$E$2:$G$986,3,1),
IF(J304&gt;0,VLOOKUP(J304,Foundation_Calc!$E$2:$G$986,3,1),""))</f>
        <v/>
      </c>
      <c r="AY304" s="631" t="str">
        <f>IF(L304="","",
IF(AX304="PT",VLOOKUP(L304,Foundation_Calc!$K$4:$R$37,VLOOKUP(AW304,Foundation_Calc!$I$2:$J$8,2,FALSE),0),
IF(AX304="K",VLOOKUP(L304,Foundation_Calc!$K$41:$R$74,VLOOKUP(AW304,Foundation_Calc!$I$2:$J$8,2,FALSE),0),"")))</f>
        <v/>
      </c>
      <c r="AZ304" s="631" t="str">
        <f>IF(K304="","",
IF(AX304="PT",VLOOKUP(K304,Foundation_Calc!$K$4:$R$37,VLOOKUP(AW304,Foundation_Calc!$I$2:$J$8,2,FALSE),0),
IF(AX304="K",VLOOKUP(K304,Foundation_Calc!$K$41:$R$74,VLOOKUP(AW304,Foundation_Calc!$I$2:$J$8,2,FALSE),0),"")))</f>
        <v/>
      </c>
      <c r="BA304" s="632" t="str">
        <f t="shared" si="55"/>
        <v/>
      </c>
      <c r="BB304" s="632" t="str">
        <f t="shared" si="56"/>
        <v/>
      </c>
      <c r="BC304" s="632" t="str">
        <f t="shared" si="57"/>
        <v/>
      </c>
      <c r="BD304" s="633" t="str">
        <f>IF(AND(L304="",H304=""),"",
IF(H304="",Pole_Calc!A332,
IF(H304="MP",Pole_Calc!A333,
IF(H304="AnMP",Pole_Calc!A334,
IF(H304="A",Pole_Calc!A335,
IF(H304="S/A",Pole_Calc!A336,
IF(H304="A/S",Pole_Calc!A337,"Poner a mano")))))))</f>
        <v/>
      </c>
      <c r="BE304" s="448" t="s">
        <v>1726</v>
      </c>
      <c r="BF304" s="634"/>
      <c r="BG304" s="634"/>
      <c r="BH304" s="634"/>
      <c r="BI304" s="634"/>
    </row>
    <row r="305" spans="1:61" ht="16.2" customHeight="1">
      <c r="A305" s="12"/>
      <c r="B305" s="446"/>
      <c r="C305" s="89"/>
      <c r="D305" s="13"/>
      <c r="E305" s="14"/>
      <c r="F305" s="14"/>
      <c r="G305" s="15"/>
      <c r="H305" s="8"/>
      <c r="I305" s="8"/>
      <c r="J305" s="89"/>
      <c r="K305" s="8"/>
      <c r="L305" s="8"/>
      <c r="M305" s="8" t="str">
        <f>IF(L305="","",
IF(AX305="PT",VLOOKUP(L305,Foundation_Calc!$V$4:$X$37,VLOOKUP(AX305,Foundation_Calc!$I$10:$J$13,2,FALSE),0),
IF(AX305="K",VLOOKUP(L305,Foundation_Calc!$V$41:$X$74,VLOOKUP(AX305,Foundation_Calc!$I$10:$J$13,2,FALSE),0),"")))</f>
        <v/>
      </c>
      <c r="N305" s="8"/>
      <c r="O305" s="8"/>
      <c r="P305" s="8"/>
      <c r="Q305" s="14"/>
      <c r="R305" s="15"/>
      <c r="S305" s="15"/>
      <c r="T305" s="14"/>
      <c r="U305" s="14"/>
      <c r="V305" s="14"/>
      <c r="W305" s="18"/>
      <c r="X305" s="18"/>
      <c r="Y305" s="18"/>
      <c r="Z305" s="18"/>
      <c r="AA305" s="18"/>
      <c r="AB305" s="18"/>
      <c r="AC305" s="8" t="str">
        <f t="shared" si="54"/>
        <v/>
      </c>
      <c r="AD305" s="8"/>
      <c r="AE305" s="8"/>
      <c r="AF305" s="14"/>
      <c r="AG305" s="13"/>
      <c r="AH305" s="14"/>
      <c r="AI305" s="14"/>
      <c r="AJ305" s="8"/>
      <c r="AK305" s="8"/>
      <c r="AL305" s="8"/>
      <c r="AM305" s="8"/>
      <c r="AN305" s="631"/>
      <c r="AO305" s="18"/>
      <c r="AP305" s="18"/>
      <c r="AQ305" s="18"/>
      <c r="AR305" s="18"/>
      <c r="AS305" s="18"/>
      <c r="AU305" s="448"/>
      <c r="AV305" s="448"/>
      <c r="AW305" s="8" t="str">
        <f>IF(C305&gt;0,VLOOKUP(C305,Foundation_Calc!$A$2:$C$986,3,1),
IF(J305&gt;0,VLOOKUP(J305,Foundation_Calc!$A$2:$C$986,3,1),""))</f>
        <v/>
      </c>
      <c r="AX305" s="8" t="str">
        <f>IF(C305&gt;0,VLOOKUP(C305,Foundation_Calc!$E$2:$G$986,3,1),
IF(J305&gt;0,VLOOKUP(J305,Foundation_Calc!$E$2:$G$986,3,1),""))</f>
        <v/>
      </c>
      <c r="AY305" s="631" t="str">
        <f>IF(L305="","",
IF(AX305="PT",VLOOKUP(L305,Foundation_Calc!$K$4:$R$37,VLOOKUP(AW305,Foundation_Calc!$I$2:$J$8,2,FALSE),0),
IF(AX305="K",VLOOKUP(L305,Foundation_Calc!$K$41:$R$74,VLOOKUP(AW305,Foundation_Calc!$I$2:$J$8,2,FALSE),0),"")))</f>
        <v/>
      </c>
      <c r="AZ305" s="631" t="str">
        <f>IF(K305="","",
IF(AX305="PT",VLOOKUP(K305,Foundation_Calc!$K$4:$R$37,VLOOKUP(AW305,Foundation_Calc!$I$2:$J$8,2,FALSE),0),
IF(AX305="K",VLOOKUP(K305,Foundation_Calc!$K$41:$R$74,VLOOKUP(AW305,Foundation_Calc!$I$2:$J$8,2,FALSE),0),"")))</f>
        <v/>
      </c>
      <c r="BA305" s="632" t="str">
        <f t="shared" si="55"/>
        <v/>
      </c>
      <c r="BB305" s="632" t="str">
        <f t="shared" si="56"/>
        <v/>
      </c>
      <c r="BC305" s="632" t="str">
        <f t="shared" si="57"/>
        <v/>
      </c>
      <c r="BD305" s="633" t="str">
        <f>IF(AND(L305="",H305=""),"",
IF(H305="",Pole_Calc!A333,
IF(H305="MP",Pole_Calc!A334,
IF(H305="AnMP",Pole_Calc!A335,
IF(H305="A",Pole_Calc!A336,
IF(H305="S/A",Pole_Calc!A337,
IF(H305="A/S",Pole_Calc!A338,"Poner a mano")))))))</f>
        <v/>
      </c>
      <c r="BE305" s="448" t="s">
        <v>1726</v>
      </c>
      <c r="BF305" s="635"/>
      <c r="BG305" s="635"/>
      <c r="BH305" s="634"/>
      <c r="BI305" s="635"/>
    </row>
    <row r="306" spans="1:61" ht="16.2" customHeight="1">
      <c r="A306" s="12"/>
      <c r="B306" s="446"/>
      <c r="C306" s="89"/>
      <c r="D306" s="13"/>
      <c r="E306" s="14"/>
      <c r="F306" s="14"/>
      <c r="G306" s="15"/>
      <c r="H306" s="8"/>
      <c r="I306" s="8"/>
      <c r="J306" s="89"/>
      <c r="K306" s="8"/>
      <c r="L306" s="8"/>
      <c r="M306" s="8" t="str">
        <f>IF(L306="","",
IF(AX306="PT",VLOOKUP(L306,Foundation_Calc!$V$4:$X$37,VLOOKUP(AX306,Foundation_Calc!$I$10:$J$13,2,FALSE),0),
IF(AX306="K",VLOOKUP(L306,Foundation_Calc!$V$41:$X$74,VLOOKUP(AX306,Foundation_Calc!$I$10:$J$13,2,FALSE),0),"")))</f>
        <v/>
      </c>
      <c r="N306" s="8"/>
      <c r="O306" s="8"/>
      <c r="P306" s="8"/>
      <c r="Q306" s="14"/>
      <c r="R306" s="15"/>
      <c r="S306" s="15"/>
      <c r="T306" s="14"/>
      <c r="U306" s="14"/>
      <c r="V306" s="14"/>
      <c r="W306" s="18"/>
      <c r="X306" s="18"/>
      <c r="Y306" s="18"/>
      <c r="Z306" s="18"/>
      <c r="AA306" s="18"/>
      <c r="AB306" s="18"/>
      <c r="AC306" s="8" t="str">
        <f t="shared" si="54"/>
        <v/>
      </c>
      <c r="AD306" s="8"/>
      <c r="AE306" s="8"/>
      <c r="AF306" s="14"/>
      <c r="AG306" s="13"/>
      <c r="AH306" s="14"/>
      <c r="AI306" s="14"/>
      <c r="AJ306" s="8"/>
      <c r="AK306" s="8"/>
      <c r="AL306" s="8"/>
      <c r="AM306" s="8"/>
      <c r="AN306" s="631"/>
      <c r="AO306" s="18"/>
      <c r="AP306" s="18"/>
      <c r="AQ306" s="18"/>
      <c r="AR306" s="18"/>
      <c r="AS306" s="18"/>
      <c r="AU306" s="448"/>
      <c r="AV306" s="448"/>
      <c r="AW306" s="8" t="str">
        <f>IF(C306&gt;0,VLOOKUP(C306,Foundation_Calc!$A$2:$C$986,3,1),
IF(J306&gt;0,VLOOKUP(J306,Foundation_Calc!$A$2:$C$986,3,1),""))</f>
        <v/>
      </c>
      <c r="AX306" s="8" t="str">
        <f>IF(C306&gt;0,VLOOKUP(C306,Foundation_Calc!$E$2:$G$986,3,1),
IF(J306&gt;0,VLOOKUP(J306,Foundation_Calc!$E$2:$G$986,3,1),""))</f>
        <v/>
      </c>
      <c r="AY306" s="631" t="str">
        <f>IF(L306="","",
IF(AX306="PT",VLOOKUP(L306,Foundation_Calc!$K$4:$R$37,VLOOKUP(AW306,Foundation_Calc!$I$2:$J$8,2,FALSE),0),
IF(AX306="K",VLOOKUP(L306,Foundation_Calc!$K$41:$R$74,VLOOKUP(AW306,Foundation_Calc!$I$2:$J$8,2,FALSE),0),"")))</f>
        <v/>
      </c>
      <c r="AZ306" s="631" t="str">
        <f>IF(K306="","",
IF(AX306="PT",VLOOKUP(K306,Foundation_Calc!$K$4:$R$37,VLOOKUP(AW306,Foundation_Calc!$I$2:$J$8,2,FALSE),0),
IF(AX306="K",VLOOKUP(K306,Foundation_Calc!$K$41:$R$74,VLOOKUP(AW306,Foundation_Calc!$I$2:$J$8,2,FALSE),0),"")))</f>
        <v/>
      </c>
      <c r="BA306" s="632" t="str">
        <f t="shared" si="55"/>
        <v/>
      </c>
      <c r="BB306" s="632" t="str">
        <f t="shared" si="56"/>
        <v/>
      </c>
      <c r="BC306" s="632" t="str">
        <f t="shared" si="57"/>
        <v/>
      </c>
      <c r="BD306" s="633" t="str">
        <f>IF(AND(L306="",H306=""),"",
IF(H306="",Pole_Calc!A334,
IF(H306="MP",Pole_Calc!A335,
IF(H306="AnMP",Pole_Calc!A336,
IF(H306="A",Pole_Calc!A337,
IF(H306="S/A",Pole_Calc!A338,
IF(H306="A/S",Pole_Calc!A339,"Poner a mano")))))))</f>
        <v/>
      </c>
      <c r="BE306" s="448" t="s">
        <v>1726</v>
      </c>
      <c r="BF306" s="634"/>
      <c r="BG306" s="634"/>
      <c r="BH306" s="634"/>
      <c r="BI306" s="634"/>
    </row>
    <row r="307" spans="1:61" ht="16.2" customHeight="1">
      <c r="A307" s="12"/>
      <c r="B307" s="446"/>
      <c r="C307" s="89"/>
      <c r="D307" s="13"/>
      <c r="E307" s="14"/>
      <c r="F307" s="14"/>
      <c r="G307" s="15"/>
      <c r="H307" s="8"/>
      <c r="I307" s="8"/>
      <c r="J307" s="89"/>
      <c r="K307" s="8"/>
      <c r="L307" s="8"/>
      <c r="M307" s="8" t="str">
        <f>IF(L307="","",
IF(AX307="PT",VLOOKUP(L307,Foundation_Calc!$V$4:$X$37,VLOOKUP(AX307,Foundation_Calc!$I$10:$J$13,2,FALSE),0),
IF(AX307="K",VLOOKUP(L307,Foundation_Calc!$V$41:$X$74,VLOOKUP(AX307,Foundation_Calc!$I$10:$J$13,2,FALSE),0),"")))</f>
        <v/>
      </c>
      <c r="N307" s="8"/>
      <c r="O307" s="8"/>
      <c r="P307" s="8"/>
      <c r="Q307" s="14"/>
      <c r="R307" s="15"/>
      <c r="S307" s="15"/>
      <c r="T307" s="14"/>
      <c r="U307" s="14"/>
      <c r="V307" s="14"/>
      <c r="W307" s="18"/>
      <c r="X307" s="18"/>
      <c r="Y307" s="18"/>
      <c r="Z307" s="18"/>
      <c r="AA307" s="18"/>
      <c r="AB307" s="18"/>
      <c r="AC307" s="8" t="str">
        <f t="shared" si="54"/>
        <v/>
      </c>
      <c r="AD307" s="8"/>
      <c r="AE307" s="8"/>
      <c r="AF307" s="14"/>
      <c r="AG307" s="13"/>
      <c r="AH307" s="14"/>
      <c r="AI307" s="14"/>
      <c r="AJ307" s="8"/>
      <c r="AK307" s="8"/>
      <c r="AL307" s="8"/>
      <c r="AM307" s="8"/>
      <c r="AN307" s="631"/>
      <c r="AO307" s="18"/>
      <c r="AP307" s="18"/>
      <c r="AQ307" s="18"/>
      <c r="AR307" s="18"/>
      <c r="AS307" s="18"/>
      <c r="AU307" s="448"/>
      <c r="AV307" s="448"/>
      <c r="AW307" s="8" t="str">
        <f>IF(C307&gt;0,VLOOKUP(C307,Foundation_Calc!$A$2:$C$986,3,1),
IF(J307&gt;0,VLOOKUP(J307,Foundation_Calc!$A$2:$C$986,3,1),""))</f>
        <v/>
      </c>
      <c r="AX307" s="8" t="str">
        <f>IF(C307&gt;0,VLOOKUP(C307,Foundation_Calc!$E$2:$G$986,3,1),
IF(J307&gt;0,VLOOKUP(J307,Foundation_Calc!$E$2:$G$986,3,1),""))</f>
        <v/>
      </c>
      <c r="AY307" s="631" t="str">
        <f>IF(L307="","",
IF(AX307="PT",VLOOKUP(L307,Foundation_Calc!$K$4:$R$37,VLOOKUP(AW307,Foundation_Calc!$I$2:$J$8,2,FALSE),0),
IF(AX307="K",VLOOKUP(L307,Foundation_Calc!$K$41:$R$74,VLOOKUP(AW307,Foundation_Calc!$I$2:$J$8,2,FALSE),0),"")))</f>
        <v/>
      </c>
      <c r="AZ307" s="631" t="str">
        <f>IF(K307="","",
IF(AX307="PT",VLOOKUP(K307,Foundation_Calc!$K$4:$R$37,VLOOKUP(AW307,Foundation_Calc!$I$2:$J$8,2,FALSE),0),
IF(AX307="K",VLOOKUP(K307,Foundation_Calc!$K$41:$R$74,VLOOKUP(AW307,Foundation_Calc!$I$2:$J$8,2,FALSE),0),"")))</f>
        <v/>
      </c>
      <c r="BA307" s="632" t="str">
        <f t="shared" si="55"/>
        <v/>
      </c>
      <c r="BB307" s="632" t="str">
        <f t="shared" si="56"/>
        <v/>
      </c>
      <c r="BC307" s="632" t="str">
        <f t="shared" si="57"/>
        <v/>
      </c>
      <c r="BD307" s="633" t="str">
        <f>IF(AND(L307="",H307=""),"",
IF(H307="",Pole_Calc!A335,
IF(H307="MP",Pole_Calc!A336,
IF(H307="AnMP",Pole_Calc!A337,
IF(H307="A",Pole_Calc!A338,
IF(H307="S/A",Pole_Calc!A339,
IF(H307="A/S",Pole_Calc!A340,"Poner a mano")))))))</f>
        <v/>
      </c>
      <c r="BE307" s="448" t="s">
        <v>1726</v>
      </c>
      <c r="BF307" s="635"/>
      <c r="BG307" s="635"/>
      <c r="BH307" s="634"/>
      <c r="BI307" s="635"/>
    </row>
    <row r="308" spans="1:61" ht="16.2" customHeight="1">
      <c r="A308" s="12"/>
      <c r="B308" s="446"/>
      <c r="C308" s="89"/>
      <c r="D308" s="13"/>
      <c r="E308" s="14"/>
      <c r="F308" s="14"/>
      <c r="G308" s="15"/>
      <c r="H308" s="8"/>
      <c r="I308" s="8"/>
      <c r="J308" s="89"/>
      <c r="K308" s="8"/>
      <c r="L308" s="8"/>
      <c r="M308" s="8" t="str">
        <f>IF(L308="","",
IF(AX308="PT",VLOOKUP(L308,Foundation_Calc!$V$4:$X$37,VLOOKUP(AX308,Foundation_Calc!$I$10:$J$13,2,FALSE),0),
IF(AX308="K",VLOOKUP(L308,Foundation_Calc!$V$41:$X$74,VLOOKUP(AX308,Foundation_Calc!$I$10:$J$13,2,FALSE),0),"")))</f>
        <v/>
      </c>
      <c r="N308" s="8"/>
      <c r="O308" s="8"/>
      <c r="P308" s="8"/>
      <c r="Q308" s="14"/>
      <c r="R308" s="15"/>
      <c r="S308" s="15"/>
      <c r="T308" s="14"/>
      <c r="U308" s="14"/>
      <c r="V308" s="14"/>
      <c r="W308" s="18"/>
      <c r="X308" s="18"/>
      <c r="Y308" s="18"/>
      <c r="Z308" s="18"/>
      <c r="AA308" s="18"/>
      <c r="AB308" s="18"/>
      <c r="AC308" s="8" t="str">
        <f t="shared" si="54"/>
        <v/>
      </c>
      <c r="AD308" s="8"/>
      <c r="AE308" s="8"/>
      <c r="AF308" s="14"/>
      <c r="AG308" s="13"/>
      <c r="AH308" s="14"/>
      <c r="AI308" s="14"/>
      <c r="AJ308" s="8"/>
      <c r="AK308" s="8"/>
      <c r="AL308" s="8"/>
      <c r="AM308" s="8"/>
      <c r="AN308" s="631"/>
      <c r="AO308" s="18"/>
      <c r="AP308" s="18"/>
      <c r="AQ308" s="18"/>
      <c r="AR308" s="18"/>
      <c r="AS308" s="18"/>
      <c r="AU308" s="448"/>
      <c r="AV308" s="448"/>
      <c r="AW308" s="8" t="str">
        <f>IF(C308&gt;0,VLOOKUP(C308,Foundation_Calc!$A$2:$C$986,3,1),
IF(J308&gt;0,VLOOKUP(J308,Foundation_Calc!$A$2:$C$986,3,1),""))</f>
        <v/>
      </c>
      <c r="AX308" s="8" t="str">
        <f>IF(C308&gt;0,VLOOKUP(C308,Foundation_Calc!$E$2:$G$986,3,1),
IF(J308&gt;0,VLOOKUP(J308,Foundation_Calc!$E$2:$G$986,3,1),""))</f>
        <v/>
      </c>
      <c r="AY308" s="631" t="str">
        <f>IF(L308="","",
IF(AX308="PT",VLOOKUP(L308,Foundation_Calc!$K$4:$R$37,VLOOKUP(AW308,Foundation_Calc!$I$2:$J$8,2,FALSE),0),
IF(AX308="K",VLOOKUP(L308,Foundation_Calc!$K$41:$R$74,VLOOKUP(AW308,Foundation_Calc!$I$2:$J$8,2,FALSE),0),"")))</f>
        <v/>
      </c>
      <c r="AZ308" s="631" t="str">
        <f>IF(K308="","",
IF(AX308="PT",VLOOKUP(K308,Foundation_Calc!$K$4:$R$37,VLOOKUP(AW308,Foundation_Calc!$I$2:$J$8,2,FALSE),0),
IF(AX308="K",VLOOKUP(K308,Foundation_Calc!$K$41:$R$74,VLOOKUP(AW308,Foundation_Calc!$I$2:$J$8,2,FALSE),0),"")))</f>
        <v/>
      </c>
      <c r="BA308" s="632" t="str">
        <f t="shared" si="55"/>
        <v/>
      </c>
      <c r="BB308" s="632" t="str">
        <f t="shared" si="56"/>
        <v/>
      </c>
      <c r="BC308" s="632" t="str">
        <f t="shared" si="57"/>
        <v/>
      </c>
      <c r="BD308" s="633" t="str">
        <f>IF(AND(L308="",H308=""),"",
IF(H308="",Pole_Calc!A336,
IF(H308="MP",Pole_Calc!A337,
IF(H308="AnMP",Pole_Calc!A338,
IF(H308="A",Pole_Calc!A339,
IF(H308="S/A",Pole_Calc!A340,
IF(H308="A/S",Pole_Calc!A341,"Poner a mano")))))))</f>
        <v/>
      </c>
      <c r="BE308" s="448" t="s">
        <v>1726</v>
      </c>
      <c r="BF308" s="634"/>
      <c r="BG308" s="634"/>
      <c r="BH308" s="634"/>
      <c r="BI308" s="634"/>
    </row>
    <row r="309" spans="1:61" ht="16.2" customHeight="1">
      <c r="A309" s="12"/>
      <c r="B309" s="446"/>
      <c r="C309" s="89"/>
      <c r="D309" s="13"/>
      <c r="E309" s="14"/>
      <c r="F309" s="14"/>
      <c r="G309" s="15"/>
      <c r="H309" s="8"/>
      <c r="I309" s="8"/>
      <c r="J309" s="89"/>
      <c r="K309" s="8"/>
      <c r="L309" s="8"/>
      <c r="M309" s="8" t="str">
        <f>IF(L309="","",
IF(AX309="PT",VLOOKUP(L309,Foundation_Calc!$V$4:$X$37,VLOOKUP(AX309,Foundation_Calc!$I$10:$J$13,2,FALSE),0),
IF(AX309="K",VLOOKUP(L309,Foundation_Calc!$V$41:$X$74,VLOOKUP(AX309,Foundation_Calc!$I$10:$J$13,2,FALSE),0),"")))</f>
        <v/>
      </c>
      <c r="N309" s="8"/>
      <c r="O309" s="8"/>
      <c r="P309" s="8"/>
      <c r="Q309" s="14"/>
      <c r="R309" s="15"/>
      <c r="S309" s="15"/>
      <c r="T309" s="14"/>
      <c r="U309" s="14"/>
      <c r="V309" s="14"/>
      <c r="W309" s="18"/>
      <c r="X309" s="18"/>
      <c r="Y309" s="18"/>
      <c r="Z309" s="18"/>
      <c r="AA309" s="18"/>
      <c r="AB309" s="18"/>
      <c r="AC309" s="8" t="str">
        <f t="shared" si="54"/>
        <v/>
      </c>
      <c r="AD309" s="8"/>
      <c r="AE309" s="8"/>
      <c r="AF309" s="14"/>
      <c r="AG309" s="13"/>
      <c r="AH309" s="14"/>
      <c r="AI309" s="14"/>
      <c r="AJ309" s="8"/>
      <c r="AK309" s="8"/>
      <c r="AL309" s="8"/>
      <c r="AM309" s="8"/>
      <c r="AN309" s="631"/>
      <c r="AO309" s="18"/>
      <c r="AP309" s="18"/>
      <c r="AQ309" s="18"/>
      <c r="AR309" s="18"/>
      <c r="AS309" s="18"/>
      <c r="AU309" s="448"/>
      <c r="AV309" s="448"/>
      <c r="AW309" s="8" t="str">
        <f>IF(C309&gt;0,VLOOKUP(C309,Foundation_Calc!$A$2:$C$986,3,1),
IF(J309&gt;0,VLOOKUP(J309,Foundation_Calc!$A$2:$C$986,3,1),""))</f>
        <v/>
      </c>
      <c r="AX309" s="8" t="str">
        <f>IF(C309&gt;0,VLOOKUP(C309,Foundation_Calc!$E$2:$G$986,3,1),
IF(J309&gt;0,VLOOKUP(J309,Foundation_Calc!$E$2:$G$986,3,1),""))</f>
        <v/>
      </c>
      <c r="AY309" s="631" t="str">
        <f>IF(L309="","",
IF(AX309="PT",VLOOKUP(L309,Foundation_Calc!$K$4:$R$37,VLOOKUP(AW309,Foundation_Calc!$I$2:$J$8,2,FALSE),0),
IF(AX309="K",VLOOKUP(L309,Foundation_Calc!$K$41:$R$74,VLOOKUP(AW309,Foundation_Calc!$I$2:$J$8,2,FALSE),0),"")))</f>
        <v/>
      </c>
      <c r="AZ309" s="631" t="str">
        <f>IF(K309="","",
IF(AX309="PT",VLOOKUP(K309,Foundation_Calc!$K$4:$R$37,VLOOKUP(AW309,Foundation_Calc!$I$2:$J$8,2,FALSE),0),
IF(AX309="K",VLOOKUP(K309,Foundation_Calc!$K$41:$R$74,VLOOKUP(AW309,Foundation_Calc!$I$2:$J$8,2,FALSE),0),"")))</f>
        <v/>
      </c>
      <c r="BA309" s="632" t="str">
        <f t="shared" si="55"/>
        <v/>
      </c>
      <c r="BB309" s="632" t="str">
        <f t="shared" si="56"/>
        <v/>
      </c>
      <c r="BC309" s="632" t="str">
        <f t="shared" si="57"/>
        <v/>
      </c>
      <c r="BD309" s="633" t="str">
        <f>IF(AND(L309="",H309=""),"",
IF(H309="",Pole_Calc!A337,
IF(H309="MP",Pole_Calc!A338,
IF(H309="AnMP",Pole_Calc!A339,
IF(H309="A",Pole_Calc!A340,
IF(H309="S/A",Pole_Calc!A341,
IF(H309="A/S",Pole_Calc!A342,"Poner a mano")))))))</f>
        <v/>
      </c>
      <c r="BE309" s="448" t="s">
        <v>1726</v>
      </c>
      <c r="BF309" s="635"/>
      <c r="BG309" s="635"/>
      <c r="BH309" s="634"/>
      <c r="BI309" s="635"/>
    </row>
    <row r="310" spans="1:61" ht="16.2" customHeight="1">
      <c r="A310" s="12"/>
      <c r="B310" s="446"/>
      <c r="C310" s="89"/>
      <c r="D310" s="13"/>
      <c r="E310" s="14"/>
      <c r="F310" s="14"/>
      <c r="G310" s="15"/>
      <c r="H310" s="8"/>
      <c r="I310" s="8"/>
      <c r="J310" s="89"/>
      <c r="K310" s="8"/>
      <c r="L310" s="8"/>
      <c r="M310" s="8" t="str">
        <f>IF(L310="","",
IF(AX310="PT",VLOOKUP(L310,Foundation_Calc!$V$4:$X$37,VLOOKUP(AX310,Foundation_Calc!$I$10:$J$13,2,FALSE),0),
IF(AX310="K",VLOOKUP(L310,Foundation_Calc!$V$41:$X$74,VLOOKUP(AX310,Foundation_Calc!$I$10:$J$13,2,FALSE),0),"")))</f>
        <v/>
      </c>
      <c r="N310" s="8"/>
      <c r="O310" s="8"/>
      <c r="P310" s="8"/>
      <c r="Q310" s="14"/>
      <c r="R310" s="15"/>
      <c r="S310" s="15"/>
      <c r="T310" s="14"/>
      <c r="U310" s="14"/>
      <c r="V310" s="14"/>
      <c r="W310" s="18"/>
      <c r="X310" s="18"/>
      <c r="Y310" s="18"/>
      <c r="Z310" s="18"/>
      <c r="AA310" s="18"/>
      <c r="AB310" s="18"/>
      <c r="AC310" s="8" t="str">
        <f t="shared" si="54"/>
        <v/>
      </c>
      <c r="AD310" s="8"/>
      <c r="AE310" s="8"/>
      <c r="AF310" s="14"/>
      <c r="AG310" s="13"/>
      <c r="AH310" s="14"/>
      <c r="AI310" s="14"/>
      <c r="AJ310" s="8"/>
      <c r="AK310" s="8"/>
      <c r="AL310" s="8"/>
      <c r="AM310" s="8"/>
      <c r="AN310" s="631"/>
      <c r="AO310" s="18"/>
      <c r="AP310" s="18"/>
      <c r="AQ310" s="18"/>
      <c r="AR310" s="18"/>
      <c r="AS310" s="18"/>
      <c r="AU310" s="448"/>
      <c r="AV310" s="448"/>
      <c r="AW310" s="8" t="str">
        <f>IF(C310&gt;0,VLOOKUP(C310,Foundation_Calc!$A$2:$C$986,3,1),
IF(J310&gt;0,VLOOKUP(J310,Foundation_Calc!$A$2:$C$986,3,1),""))</f>
        <v/>
      </c>
      <c r="AX310" s="8" t="str">
        <f>IF(C310&gt;0,VLOOKUP(C310,Foundation_Calc!$E$2:$G$986,3,1),
IF(J310&gt;0,VLOOKUP(J310,Foundation_Calc!$E$2:$G$986,3,1),""))</f>
        <v/>
      </c>
      <c r="AY310" s="631" t="str">
        <f>IF(L310="","",
IF(AX310="PT",VLOOKUP(L310,Foundation_Calc!$K$4:$R$37,VLOOKUP(AW310,Foundation_Calc!$I$2:$J$8,2,FALSE),0),
IF(AX310="K",VLOOKUP(L310,Foundation_Calc!$K$41:$R$74,VLOOKUP(AW310,Foundation_Calc!$I$2:$J$8,2,FALSE),0),"")))</f>
        <v/>
      </c>
      <c r="AZ310" s="631" t="str">
        <f>IF(K310="","",
IF(AX310="PT",VLOOKUP(K310,Foundation_Calc!$K$4:$R$37,VLOOKUP(AW310,Foundation_Calc!$I$2:$J$8,2,FALSE),0),
IF(AX310="K",VLOOKUP(K310,Foundation_Calc!$K$41:$R$74,VLOOKUP(AW310,Foundation_Calc!$I$2:$J$8,2,FALSE),0),"")))</f>
        <v/>
      </c>
      <c r="BA310" s="632" t="str">
        <f t="shared" si="55"/>
        <v/>
      </c>
      <c r="BB310" s="632" t="str">
        <f t="shared" si="56"/>
        <v/>
      </c>
      <c r="BC310" s="632" t="str">
        <f t="shared" si="57"/>
        <v/>
      </c>
      <c r="BD310" s="633" t="str">
        <f>IF(AND(L310="",H310=""),"",
IF(H310="",Pole_Calc!A338,
IF(H310="MP",Pole_Calc!A339,
IF(H310="AnMP",Pole_Calc!A340,
IF(H310="A",Pole_Calc!A341,
IF(H310="S/A",Pole_Calc!A342,
IF(H310="A/S",Pole_Calc!A343,"Poner a mano")))))))</f>
        <v/>
      </c>
      <c r="BE310" s="448" t="s">
        <v>1726</v>
      </c>
      <c r="BF310" s="634"/>
      <c r="BG310" s="634"/>
      <c r="BH310" s="634"/>
      <c r="BI310" s="634"/>
    </row>
    <row r="311" spans="1:61" ht="16.2" customHeight="1">
      <c r="A311" s="12"/>
      <c r="B311" s="446"/>
      <c r="C311" s="89"/>
      <c r="D311" s="13"/>
      <c r="E311" s="14"/>
      <c r="F311" s="14"/>
      <c r="G311" s="15"/>
      <c r="H311" s="8"/>
      <c r="I311" s="8"/>
      <c r="J311" s="89"/>
      <c r="K311" s="8"/>
      <c r="L311" s="8"/>
      <c r="M311" s="8" t="str">
        <f>IF(L311="","",
IF(AX311="PT",VLOOKUP(L311,Foundation_Calc!$V$4:$X$37,VLOOKUP(AX311,Foundation_Calc!$I$10:$J$13,2,FALSE),0),
IF(AX311="K",VLOOKUP(L311,Foundation_Calc!$V$41:$X$74,VLOOKUP(AX311,Foundation_Calc!$I$10:$J$13,2,FALSE),0),"")))</f>
        <v/>
      </c>
      <c r="N311" s="8"/>
      <c r="O311" s="8"/>
      <c r="P311" s="8"/>
      <c r="Q311" s="14"/>
      <c r="R311" s="15"/>
      <c r="S311" s="15"/>
      <c r="T311" s="14"/>
      <c r="U311" s="14"/>
      <c r="V311" s="14"/>
      <c r="W311" s="18"/>
      <c r="X311" s="18"/>
      <c r="Y311" s="18"/>
      <c r="Z311" s="18"/>
      <c r="AA311" s="18"/>
      <c r="AB311" s="18"/>
      <c r="AC311" s="8" t="str">
        <f t="shared" si="54"/>
        <v/>
      </c>
      <c r="AD311" s="8"/>
      <c r="AE311" s="8"/>
      <c r="AF311" s="14"/>
      <c r="AG311" s="13"/>
      <c r="AH311" s="14"/>
      <c r="AI311" s="14"/>
      <c r="AJ311" s="8"/>
      <c r="AK311" s="8"/>
      <c r="AL311" s="8"/>
      <c r="AM311" s="8"/>
      <c r="AN311" s="631"/>
      <c r="AO311" s="18"/>
      <c r="AP311" s="18"/>
      <c r="AQ311" s="18"/>
      <c r="AR311" s="18"/>
      <c r="AS311" s="18"/>
      <c r="AU311" s="448"/>
      <c r="AV311" s="448"/>
      <c r="AW311" s="8" t="str">
        <f>IF(C311&gt;0,VLOOKUP(C311,Foundation_Calc!$A$2:$C$986,3,1),
IF(J311&gt;0,VLOOKUP(J311,Foundation_Calc!$A$2:$C$986,3,1),""))</f>
        <v/>
      </c>
      <c r="AX311" s="8" t="str">
        <f>IF(C311&gt;0,VLOOKUP(C311,Foundation_Calc!$E$2:$G$986,3,1),
IF(J311&gt;0,VLOOKUP(J311,Foundation_Calc!$E$2:$G$986,3,1),""))</f>
        <v/>
      </c>
      <c r="AY311" s="631" t="str">
        <f>IF(L311="","",
IF(AX311="PT",VLOOKUP(L311,Foundation_Calc!$K$4:$R$37,VLOOKUP(AW311,Foundation_Calc!$I$2:$J$8,2,FALSE),0),
IF(AX311="K",VLOOKUP(L311,Foundation_Calc!$K$41:$R$74,VLOOKUP(AW311,Foundation_Calc!$I$2:$J$8,2,FALSE),0),"")))</f>
        <v/>
      </c>
      <c r="AZ311" s="631" t="str">
        <f>IF(K311="","",
IF(AX311="PT",VLOOKUP(K311,Foundation_Calc!$K$4:$R$37,VLOOKUP(AW311,Foundation_Calc!$I$2:$J$8,2,FALSE),0),
IF(AX311="K",VLOOKUP(K311,Foundation_Calc!$K$41:$R$74,VLOOKUP(AW311,Foundation_Calc!$I$2:$J$8,2,FALSE),0),"")))</f>
        <v/>
      </c>
      <c r="BA311" s="632" t="str">
        <f t="shared" si="55"/>
        <v/>
      </c>
      <c r="BB311" s="632" t="str">
        <f t="shared" si="56"/>
        <v/>
      </c>
      <c r="BC311" s="632" t="str">
        <f t="shared" si="57"/>
        <v/>
      </c>
      <c r="BD311" s="633" t="str">
        <f>IF(AND(L311="",H311=""),"",
IF(H311="",Pole_Calc!A339,
IF(H311="MP",Pole_Calc!A340,
IF(H311="AnMP",Pole_Calc!A341,
IF(H311="A",Pole_Calc!A342,
IF(H311="S/A",Pole_Calc!A343,
IF(H311="A/S",Pole_Calc!A344,"Poner a mano")))))))</f>
        <v/>
      </c>
      <c r="BE311" s="448" t="s">
        <v>1726</v>
      </c>
      <c r="BF311" s="635"/>
      <c r="BG311" s="635"/>
      <c r="BH311" s="634"/>
      <c r="BI311" s="635"/>
    </row>
    <row r="312" spans="1:61" ht="16.2" customHeight="1">
      <c r="A312" s="12"/>
      <c r="B312" s="446"/>
      <c r="C312" s="89"/>
      <c r="D312" s="13"/>
      <c r="E312" s="14"/>
      <c r="F312" s="14"/>
      <c r="G312" s="15"/>
      <c r="H312" s="8"/>
      <c r="I312" s="8"/>
      <c r="J312" s="89"/>
      <c r="K312" s="8"/>
      <c r="L312" s="8"/>
      <c r="M312" s="8" t="str">
        <f>IF(L312="","",
IF(AX312="PT",VLOOKUP(L312,Foundation_Calc!$V$4:$X$37,VLOOKUP(AX312,Foundation_Calc!$I$10:$J$13,2,FALSE),0),
IF(AX312="K",VLOOKUP(L312,Foundation_Calc!$V$41:$X$74,VLOOKUP(AX312,Foundation_Calc!$I$10:$J$13,2,FALSE),0),"")))</f>
        <v/>
      </c>
      <c r="N312" s="8"/>
      <c r="O312" s="8"/>
      <c r="P312" s="8"/>
      <c r="Q312" s="14"/>
      <c r="R312" s="15"/>
      <c r="S312" s="15"/>
      <c r="T312" s="14"/>
      <c r="U312" s="14"/>
      <c r="V312" s="14"/>
      <c r="W312" s="18"/>
      <c r="X312" s="18"/>
      <c r="Y312" s="18"/>
      <c r="Z312" s="18"/>
      <c r="AA312" s="18"/>
      <c r="AB312" s="18"/>
      <c r="AC312" s="8" t="str">
        <f t="shared" si="54"/>
        <v/>
      </c>
      <c r="AD312" s="8"/>
      <c r="AE312" s="8"/>
      <c r="AF312" s="14"/>
      <c r="AG312" s="13"/>
      <c r="AH312" s="14"/>
      <c r="AI312" s="14"/>
      <c r="AJ312" s="8"/>
      <c r="AK312" s="8"/>
      <c r="AL312" s="8"/>
      <c r="AM312" s="8"/>
      <c r="AN312" s="631"/>
      <c r="AO312" s="18"/>
      <c r="AP312" s="18"/>
      <c r="AQ312" s="18"/>
      <c r="AR312" s="18"/>
      <c r="AS312" s="18"/>
      <c r="AU312" s="448"/>
      <c r="AV312" s="448"/>
      <c r="AW312" s="8" t="str">
        <f>IF(C312&gt;0,VLOOKUP(C312,Foundation_Calc!$A$2:$C$986,3,1),
IF(J312&gt;0,VLOOKUP(J312,Foundation_Calc!$A$2:$C$986,3,1),""))</f>
        <v/>
      </c>
      <c r="AX312" s="8" t="str">
        <f>IF(C312&gt;0,VLOOKUP(C312,Foundation_Calc!$E$2:$G$986,3,1),
IF(J312&gt;0,VLOOKUP(J312,Foundation_Calc!$E$2:$G$986,3,1),""))</f>
        <v/>
      </c>
      <c r="AY312" s="631" t="str">
        <f>IF(L312="","",
IF(AX312="PT",VLOOKUP(L312,Foundation_Calc!$K$4:$R$37,VLOOKUP(AW312,Foundation_Calc!$I$2:$J$8,2,FALSE),0),
IF(AX312="K",VLOOKUP(L312,Foundation_Calc!$K$41:$R$74,VLOOKUP(AW312,Foundation_Calc!$I$2:$J$8,2,FALSE),0),"")))</f>
        <v/>
      </c>
      <c r="AZ312" s="631" t="str">
        <f>IF(K312="","",
IF(AX312="PT",VLOOKUP(K312,Foundation_Calc!$K$4:$R$37,VLOOKUP(AW312,Foundation_Calc!$I$2:$J$8,2,FALSE),0),
IF(AX312="K",VLOOKUP(K312,Foundation_Calc!$K$41:$R$74,VLOOKUP(AW312,Foundation_Calc!$I$2:$J$8,2,FALSE),0),"")))</f>
        <v/>
      </c>
      <c r="BA312" s="632" t="str">
        <f t="shared" si="55"/>
        <v/>
      </c>
      <c r="BB312" s="632" t="str">
        <f t="shared" si="56"/>
        <v/>
      </c>
      <c r="BC312" s="632" t="str">
        <f t="shared" si="57"/>
        <v/>
      </c>
      <c r="BD312" s="633" t="str">
        <f>IF(AND(L312="",H312=""),"",
IF(H312="",Pole_Calc!A340,
IF(H312="MP",Pole_Calc!A341,
IF(H312="AnMP",Pole_Calc!A342,
IF(H312="A",Pole_Calc!A343,
IF(H312="S/A",Pole_Calc!A344,
IF(H312="A/S",Pole_Calc!A345,"Poner a mano")))))))</f>
        <v/>
      </c>
      <c r="BE312" s="448" t="s">
        <v>1726</v>
      </c>
      <c r="BF312" s="634"/>
      <c r="BG312" s="634"/>
      <c r="BH312" s="634"/>
      <c r="BI312" s="634"/>
    </row>
    <row r="313" spans="1:61" ht="16.2" customHeight="1">
      <c r="A313" s="12"/>
      <c r="B313" s="446"/>
      <c r="C313" s="89"/>
      <c r="D313" s="13"/>
      <c r="E313" s="14"/>
      <c r="F313" s="14"/>
      <c r="G313" s="15"/>
      <c r="H313" s="8"/>
      <c r="I313" s="8"/>
      <c r="J313" s="89"/>
      <c r="K313" s="8"/>
      <c r="L313" s="8"/>
      <c r="M313" s="8" t="str">
        <f>IF(L313="","",
IF(AX313="PT",VLOOKUP(L313,Foundation_Calc!$V$4:$X$37,VLOOKUP(AX313,Foundation_Calc!$I$10:$J$13,2,FALSE),0),
IF(AX313="K",VLOOKUP(L313,Foundation_Calc!$V$41:$X$74,VLOOKUP(AX313,Foundation_Calc!$I$10:$J$13,2,FALSE),0),"")))</f>
        <v/>
      </c>
      <c r="N313" s="8"/>
      <c r="O313" s="8"/>
      <c r="P313" s="8"/>
      <c r="Q313" s="14"/>
      <c r="R313" s="15"/>
      <c r="S313" s="15"/>
      <c r="T313" s="14"/>
      <c r="U313" s="14"/>
      <c r="V313" s="14"/>
      <c r="W313" s="18"/>
      <c r="X313" s="18"/>
      <c r="Y313" s="18"/>
      <c r="Z313" s="18"/>
      <c r="AA313" s="18"/>
      <c r="AB313" s="18"/>
      <c r="AC313" s="8" t="str">
        <f t="shared" si="54"/>
        <v/>
      </c>
      <c r="AD313" s="8"/>
      <c r="AE313" s="8"/>
      <c r="AF313" s="14"/>
      <c r="AG313" s="13"/>
      <c r="AH313" s="14"/>
      <c r="AI313" s="14"/>
      <c r="AJ313" s="8"/>
      <c r="AK313" s="8"/>
      <c r="AL313" s="8"/>
      <c r="AM313" s="8"/>
      <c r="AN313" s="631"/>
      <c r="AO313" s="18"/>
      <c r="AP313" s="18"/>
      <c r="AQ313" s="18"/>
      <c r="AR313" s="18"/>
      <c r="AS313" s="18"/>
      <c r="AU313" s="448"/>
      <c r="AV313" s="448"/>
      <c r="AW313" s="8" t="str">
        <f>IF(C313&gt;0,VLOOKUP(C313,Foundation_Calc!$A$2:$C$986,3,1),
IF(J313&gt;0,VLOOKUP(J313,Foundation_Calc!$A$2:$C$986,3,1),""))</f>
        <v/>
      </c>
      <c r="AX313" s="8" t="str">
        <f>IF(C313&gt;0,VLOOKUP(C313,Foundation_Calc!$E$2:$G$986,3,1),
IF(J313&gt;0,VLOOKUP(J313,Foundation_Calc!$E$2:$G$986,3,1),""))</f>
        <v/>
      </c>
      <c r="AY313" s="631" t="str">
        <f>IF(L313="","",
IF(AX313="PT",VLOOKUP(L313,Foundation_Calc!$K$4:$R$37,VLOOKUP(AW313,Foundation_Calc!$I$2:$J$8,2,FALSE),0),
IF(AX313="K",VLOOKUP(L313,Foundation_Calc!$K$41:$R$74,VLOOKUP(AW313,Foundation_Calc!$I$2:$J$8,2,FALSE),0),"")))</f>
        <v/>
      </c>
      <c r="AZ313" s="631" t="str">
        <f>IF(K313="","",
IF(AX313="PT",VLOOKUP(K313,Foundation_Calc!$K$4:$R$37,VLOOKUP(AW313,Foundation_Calc!$I$2:$J$8,2,FALSE),0),
IF(AX313="K",VLOOKUP(K313,Foundation_Calc!$K$41:$R$74,VLOOKUP(AW313,Foundation_Calc!$I$2:$J$8,2,FALSE),0),"")))</f>
        <v/>
      </c>
      <c r="BA313" s="632" t="str">
        <f t="shared" si="55"/>
        <v/>
      </c>
      <c r="BB313" s="632" t="str">
        <f t="shared" si="56"/>
        <v/>
      </c>
      <c r="BC313" s="632" t="str">
        <f t="shared" si="57"/>
        <v/>
      </c>
      <c r="BD313" s="633" t="str">
        <f>IF(AND(L313="",H313=""),"",
IF(H313="",Pole_Calc!A341,
IF(H313="MP",Pole_Calc!A342,
IF(H313="AnMP",Pole_Calc!A343,
IF(H313="A",Pole_Calc!A344,
IF(H313="S/A",Pole_Calc!A345,
IF(H313="A/S",Pole_Calc!A346,"Poner a mano")))))))</f>
        <v/>
      </c>
      <c r="BE313" s="448" t="s">
        <v>1726</v>
      </c>
      <c r="BF313" s="635"/>
      <c r="BG313" s="635"/>
      <c r="BH313" s="634"/>
      <c r="BI313" s="635"/>
    </row>
    <row r="314" spans="1:61" ht="16.2" customHeight="1">
      <c r="A314" s="12"/>
      <c r="B314" s="446"/>
      <c r="C314" s="89"/>
      <c r="D314" s="13"/>
      <c r="E314" s="14"/>
      <c r="F314" s="14"/>
      <c r="G314" s="15"/>
      <c r="H314" s="8"/>
      <c r="I314" s="8"/>
      <c r="J314" s="89"/>
      <c r="K314" s="8"/>
      <c r="L314" s="8"/>
      <c r="M314" s="8" t="str">
        <f>IF(L314="","",
IF(AX314="PT",VLOOKUP(L314,Foundation_Calc!$V$4:$X$37,VLOOKUP(AX314,Foundation_Calc!$I$10:$J$13,2,FALSE),0),
IF(AX314="K",VLOOKUP(L314,Foundation_Calc!$V$41:$X$74,VLOOKUP(AX314,Foundation_Calc!$I$10:$J$13,2,FALSE),0),"")))</f>
        <v/>
      </c>
      <c r="N314" s="8"/>
      <c r="O314" s="8"/>
      <c r="P314" s="8"/>
      <c r="Q314" s="14"/>
      <c r="R314" s="15"/>
      <c r="S314" s="15"/>
      <c r="T314" s="14"/>
      <c r="U314" s="14"/>
      <c r="V314" s="14"/>
      <c r="W314" s="18"/>
      <c r="X314" s="18"/>
      <c r="Y314" s="18"/>
      <c r="Z314" s="18"/>
      <c r="AA314" s="18"/>
      <c r="AB314" s="18"/>
      <c r="AC314" s="8" t="str">
        <f t="shared" si="54"/>
        <v/>
      </c>
      <c r="AD314" s="8"/>
      <c r="AE314" s="8"/>
      <c r="AF314" s="14"/>
      <c r="AG314" s="13"/>
      <c r="AH314" s="14"/>
      <c r="AI314" s="14"/>
      <c r="AJ314" s="8"/>
      <c r="AK314" s="8"/>
      <c r="AL314" s="8"/>
      <c r="AM314" s="8"/>
      <c r="AN314" s="631"/>
      <c r="AO314" s="18"/>
      <c r="AP314" s="18"/>
      <c r="AQ314" s="18"/>
      <c r="AR314" s="18"/>
      <c r="AS314" s="18"/>
      <c r="AU314" s="448"/>
      <c r="AV314" s="448"/>
      <c r="AW314" s="8" t="str">
        <f>IF(C314&gt;0,VLOOKUP(C314,Foundation_Calc!$A$2:$C$986,3,1),
IF(J314&gt;0,VLOOKUP(J314,Foundation_Calc!$A$2:$C$986,3,1),""))</f>
        <v/>
      </c>
      <c r="AX314" s="8" t="str">
        <f>IF(C314&gt;0,VLOOKUP(C314,Foundation_Calc!$E$2:$G$986,3,1),
IF(J314&gt;0,VLOOKUP(J314,Foundation_Calc!$E$2:$G$986,3,1),""))</f>
        <v/>
      </c>
      <c r="AY314" s="631" t="str">
        <f>IF(L314="","",
IF(AX314="PT",VLOOKUP(L314,Foundation_Calc!$K$4:$R$37,VLOOKUP(AW314,Foundation_Calc!$I$2:$J$8,2,FALSE),0),
IF(AX314="K",VLOOKUP(L314,Foundation_Calc!$K$41:$R$74,VLOOKUP(AW314,Foundation_Calc!$I$2:$J$8,2,FALSE),0),"")))</f>
        <v/>
      </c>
      <c r="AZ314" s="631" t="str">
        <f>IF(K314="","",
IF(AX314="PT",VLOOKUP(K314,Foundation_Calc!$K$4:$R$37,VLOOKUP(AW314,Foundation_Calc!$I$2:$J$8,2,FALSE),0),
IF(AX314="K",VLOOKUP(K314,Foundation_Calc!$K$41:$R$74,VLOOKUP(AW314,Foundation_Calc!$I$2:$J$8,2,FALSE),0),"")))</f>
        <v/>
      </c>
      <c r="BA314" s="632" t="str">
        <f t="shared" si="55"/>
        <v/>
      </c>
      <c r="BB314" s="632" t="str">
        <f t="shared" si="56"/>
        <v/>
      </c>
      <c r="BC314" s="632" t="str">
        <f t="shared" si="57"/>
        <v/>
      </c>
      <c r="BD314" s="633" t="str">
        <f>IF(AND(L314="",H314=""),"",
IF(H314="",Pole_Calc!A342,
IF(H314="MP",Pole_Calc!A343,
IF(H314="AnMP",Pole_Calc!A344,
IF(H314="A",Pole_Calc!A345,
IF(H314="S/A",Pole_Calc!A346,
IF(H314="A/S",Pole_Calc!A347,"Poner a mano")))))))</f>
        <v/>
      </c>
      <c r="BE314" s="448" t="s">
        <v>1726</v>
      </c>
      <c r="BF314" s="634"/>
      <c r="BG314" s="634"/>
      <c r="BH314" s="634"/>
      <c r="BI314" s="634"/>
    </row>
    <row r="315" spans="1:61" ht="16.2" customHeight="1">
      <c r="A315" s="12"/>
      <c r="B315" s="446"/>
      <c r="C315" s="89"/>
      <c r="D315" s="13"/>
      <c r="E315" s="14"/>
      <c r="F315" s="14"/>
      <c r="G315" s="15"/>
      <c r="H315" s="8"/>
      <c r="I315" s="8"/>
      <c r="J315" s="89"/>
      <c r="K315" s="8"/>
      <c r="L315" s="8"/>
      <c r="M315" s="8" t="str">
        <f>IF(L315="","",
IF(AX315="PT",VLOOKUP(L315,Foundation_Calc!$V$4:$X$37,VLOOKUP(AX315,Foundation_Calc!$I$10:$J$13,2,FALSE),0),
IF(AX315="K",VLOOKUP(L315,Foundation_Calc!$V$41:$X$74,VLOOKUP(AX315,Foundation_Calc!$I$10:$J$13,2,FALSE),0),"")))</f>
        <v/>
      </c>
      <c r="N315" s="8"/>
      <c r="O315" s="8"/>
      <c r="P315" s="8"/>
      <c r="Q315" s="14"/>
      <c r="R315" s="15"/>
      <c r="S315" s="15"/>
      <c r="T315" s="14"/>
      <c r="U315" s="14"/>
      <c r="V315" s="14"/>
      <c r="W315" s="18"/>
      <c r="X315" s="18"/>
      <c r="Y315" s="18"/>
      <c r="Z315" s="18"/>
      <c r="AA315" s="18"/>
      <c r="AB315" s="18"/>
      <c r="AC315" s="8" t="str">
        <f t="shared" si="54"/>
        <v/>
      </c>
      <c r="AD315" s="8"/>
      <c r="AE315" s="8"/>
      <c r="AF315" s="14"/>
      <c r="AG315" s="13"/>
      <c r="AH315" s="14"/>
      <c r="AI315" s="14"/>
      <c r="AJ315" s="8"/>
      <c r="AK315" s="8"/>
      <c r="AL315" s="8"/>
      <c r="AM315" s="8"/>
      <c r="AN315" s="631"/>
      <c r="AO315" s="18"/>
      <c r="AP315" s="18"/>
      <c r="AQ315" s="18"/>
      <c r="AR315" s="18"/>
      <c r="AS315" s="18"/>
      <c r="AU315" s="448"/>
      <c r="AV315" s="448"/>
      <c r="AW315" s="8" t="str">
        <f>IF(C315&gt;0,VLOOKUP(C315,Foundation_Calc!$A$2:$C$986,3,1),
IF(J315&gt;0,VLOOKUP(J315,Foundation_Calc!$A$2:$C$986,3,1),""))</f>
        <v/>
      </c>
      <c r="AX315" s="8" t="str">
        <f>IF(C315&gt;0,VLOOKUP(C315,Foundation_Calc!$E$2:$G$986,3,1),
IF(J315&gt;0,VLOOKUP(J315,Foundation_Calc!$E$2:$G$986,3,1),""))</f>
        <v/>
      </c>
      <c r="AY315" s="631" t="str">
        <f>IF(L315="","",
IF(AX315="PT",VLOOKUP(L315,Foundation_Calc!$K$4:$R$37,VLOOKUP(AW315,Foundation_Calc!$I$2:$J$8,2,FALSE),0),
IF(AX315="K",VLOOKUP(L315,Foundation_Calc!$K$41:$R$74,VLOOKUP(AW315,Foundation_Calc!$I$2:$J$8,2,FALSE),0),"")))</f>
        <v/>
      </c>
      <c r="AZ315" s="631" t="str">
        <f>IF(K315="","",
IF(AX315="PT",VLOOKUP(K315,Foundation_Calc!$K$4:$R$37,VLOOKUP(AW315,Foundation_Calc!$I$2:$J$8,2,FALSE),0),
IF(AX315="K",VLOOKUP(K315,Foundation_Calc!$K$41:$R$74,VLOOKUP(AW315,Foundation_Calc!$I$2:$J$8,2,FALSE),0),"")))</f>
        <v/>
      </c>
      <c r="BA315" s="632" t="str">
        <f t="shared" si="55"/>
        <v/>
      </c>
      <c r="BB315" s="632" t="str">
        <f t="shared" si="56"/>
        <v/>
      </c>
      <c r="BC315" s="632" t="str">
        <f t="shared" si="57"/>
        <v/>
      </c>
      <c r="BD315" s="633" t="str">
        <f>IF(AND(L315="",H315=""),"",
IF(H315="",Pole_Calc!A343,
IF(H315="MP",Pole_Calc!A344,
IF(H315="AnMP",Pole_Calc!A345,
IF(H315="A",Pole_Calc!A346,
IF(H315="S/A",Pole_Calc!A347,
IF(H315="A/S",Pole_Calc!A348,"Poner a mano")))))))</f>
        <v/>
      </c>
      <c r="BE315" s="448" t="s">
        <v>1726</v>
      </c>
      <c r="BF315" s="635"/>
      <c r="BG315" s="635"/>
      <c r="BH315" s="634"/>
      <c r="BI315" s="635"/>
    </row>
    <row r="316" spans="1:61" ht="16.2" customHeight="1">
      <c r="A316" s="12"/>
      <c r="B316" s="446"/>
      <c r="C316" s="89"/>
      <c r="D316" s="13"/>
      <c r="E316" s="14"/>
      <c r="F316" s="14"/>
      <c r="G316" s="15"/>
      <c r="H316" s="8"/>
      <c r="I316" s="8"/>
      <c r="J316" s="89"/>
      <c r="K316" s="8"/>
      <c r="L316" s="8"/>
      <c r="M316" s="8" t="str">
        <f>IF(L316="","",
IF(AX316="PT",VLOOKUP(L316,Foundation_Calc!$V$4:$X$37,VLOOKUP(AX316,Foundation_Calc!$I$10:$J$13,2,FALSE),0),
IF(AX316="K",VLOOKUP(L316,Foundation_Calc!$V$41:$X$74,VLOOKUP(AX316,Foundation_Calc!$I$10:$J$13,2,FALSE),0),"")))</f>
        <v/>
      </c>
      <c r="N316" s="8"/>
      <c r="O316" s="8"/>
      <c r="P316" s="8"/>
      <c r="Q316" s="14"/>
      <c r="R316" s="15"/>
      <c r="S316" s="15"/>
      <c r="T316" s="14"/>
      <c r="U316" s="14"/>
      <c r="V316" s="14"/>
      <c r="W316" s="18"/>
      <c r="X316" s="18"/>
      <c r="Y316" s="18"/>
      <c r="Z316" s="18"/>
      <c r="AA316" s="18"/>
      <c r="AB316" s="18"/>
      <c r="AC316" s="8" t="str">
        <f t="shared" si="54"/>
        <v/>
      </c>
      <c r="AD316" s="8"/>
      <c r="AE316" s="8"/>
      <c r="AF316" s="14"/>
      <c r="AG316" s="13"/>
      <c r="AH316" s="14"/>
      <c r="AI316" s="14"/>
      <c r="AJ316" s="8"/>
      <c r="AK316" s="8"/>
      <c r="AL316" s="8"/>
      <c r="AM316" s="8"/>
      <c r="AN316" s="631"/>
      <c r="AO316" s="18"/>
      <c r="AP316" s="18"/>
      <c r="AQ316" s="18"/>
      <c r="AR316" s="18"/>
      <c r="AS316" s="18"/>
      <c r="AU316" s="448"/>
      <c r="AV316" s="448"/>
      <c r="AW316" s="8" t="str">
        <f>IF(C316&gt;0,VLOOKUP(C316,Foundation_Calc!$A$2:$C$986,3,1),
IF(J316&gt;0,VLOOKUP(J316,Foundation_Calc!$A$2:$C$986,3,1),""))</f>
        <v/>
      </c>
      <c r="AX316" s="8" t="str">
        <f>IF(C316&gt;0,VLOOKUP(C316,Foundation_Calc!$E$2:$G$986,3,1),
IF(J316&gt;0,VLOOKUP(J316,Foundation_Calc!$E$2:$G$986,3,1),""))</f>
        <v/>
      </c>
      <c r="AY316" s="631" t="str">
        <f>IF(L316="","",
IF(AX316="PT",VLOOKUP(L316,Foundation_Calc!$K$4:$R$37,VLOOKUP(AW316,Foundation_Calc!$I$2:$J$8,2,FALSE),0),
IF(AX316="K",VLOOKUP(L316,Foundation_Calc!$K$41:$R$74,VLOOKUP(AW316,Foundation_Calc!$I$2:$J$8,2,FALSE),0),"")))</f>
        <v/>
      </c>
      <c r="AZ316" s="631" t="str">
        <f>IF(K316="","",
IF(AX316="PT",VLOOKUP(K316,Foundation_Calc!$K$4:$R$37,VLOOKUP(AW316,Foundation_Calc!$I$2:$J$8,2,FALSE),0),
IF(AX316="K",VLOOKUP(K316,Foundation_Calc!$K$41:$R$74,VLOOKUP(AW316,Foundation_Calc!$I$2:$J$8,2,FALSE),0),"")))</f>
        <v/>
      </c>
      <c r="BA316" s="632" t="str">
        <f t="shared" si="55"/>
        <v/>
      </c>
      <c r="BB316" s="632" t="str">
        <f t="shared" si="56"/>
        <v/>
      </c>
      <c r="BC316" s="632" t="str">
        <f t="shared" si="57"/>
        <v/>
      </c>
      <c r="BD316" s="633" t="str">
        <f>IF(AND(L316="",H316=""),"",
IF(H316="",Pole_Calc!A344,
IF(H316="MP",Pole_Calc!A345,
IF(H316="AnMP",Pole_Calc!A346,
IF(H316="A",Pole_Calc!A347,
IF(H316="S/A",Pole_Calc!A348,
IF(H316="A/S",Pole_Calc!A349,"Poner a mano")))))))</f>
        <v/>
      </c>
      <c r="BE316" s="448" t="s">
        <v>1726</v>
      </c>
      <c r="BF316" s="634"/>
      <c r="BG316" s="634"/>
      <c r="BH316" s="634"/>
      <c r="BI316" s="634"/>
    </row>
    <row r="317" spans="1:61" ht="16.2" customHeight="1">
      <c r="A317" s="12"/>
      <c r="B317" s="446"/>
      <c r="C317" s="89"/>
      <c r="D317" s="13"/>
      <c r="E317" s="14"/>
      <c r="F317" s="14"/>
      <c r="G317" s="15"/>
      <c r="H317" s="8"/>
      <c r="I317" s="8"/>
      <c r="J317" s="89"/>
      <c r="K317" s="8"/>
      <c r="L317" s="8"/>
      <c r="M317" s="8" t="str">
        <f>IF(L317="","",
IF(AX317="PT",VLOOKUP(L317,Foundation_Calc!$V$4:$X$37,VLOOKUP(AX317,Foundation_Calc!$I$10:$J$13,2,FALSE),0),
IF(AX317="K",VLOOKUP(L317,Foundation_Calc!$V$41:$X$74,VLOOKUP(AX317,Foundation_Calc!$I$10:$J$13,2,FALSE),0),"")))</f>
        <v/>
      </c>
      <c r="N317" s="8"/>
      <c r="O317" s="8"/>
      <c r="P317" s="8"/>
      <c r="Q317" s="14"/>
      <c r="R317" s="15"/>
      <c r="S317" s="15"/>
      <c r="T317" s="14"/>
      <c r="U317" s="14"/>
      <c r="V317" s="14"/>
      <c r="W317" s="18"/>
      <c r="X317" s="18"/>
      <c r="Y317" s="18"/>
      <c r="Z317" s="18"/>
      <c r="AA317" s="18"/>
      <c r="AB317" s="18"/>
      <c r="AC317" s="8" t="str">
        <f t="shared" si="54"/>
        <v/>
      </c>
      <c r="AD317" s="8"/>
      <c r="AE317" s="8"/>
      <c r="AF317" s="14"/>
      <c r="AG317" s="13"/>
      <c r="AH317" s="14"/>
      <c r="AI317" s="14"/>
      <c r="AJ317" s="8"/>
      <c r="AK317" s="8"/>
      <c r="AL317" s="8"/>
      <c r="AM317" s="8"/>
      <c r="AN317" s="631"/>
      <c r="AO317" s="18"/>
      <c r="AP317" s="18"/>
      <c r="AQ317" s="18"/>
      <c r="AR317" s="18"/>
      <c r="AS317" s="18"/>
      <c r="AU317" s="448"/>
      <c r="AV317" s="448"/>
      <c r="AW317" s="8" t="str">
        <f>IF(C317&gt;0,VLOOKUP(C317,Foundation_Calc!$A$2:$C$986,3,1),
IF(J317&gt;0,VLOOKUP(J317,Foundation_Calc!$A$2:$C$986,3,1),""))</f>
        <v/>
      </c>
      <c r="AX317" s="8" t="str">
        <f>IF(C317&gt;0,VLOOKUP(C317,Foundation_Calc!$E$2:$G$986,3,1),
IF(J317&gt;0,VLOOKUP(J317,Foundation_Calc!$E$2:$G$986,3,1),""))</f>
        <v/>
      </c>
      <c r="AY317" s="631" t="str">
        <f>IF(L317="","",
IF(AX317="PT",VLOOKUP(L317,Foundation_Calc!$K$4:$R$37,VLOOKUP(AW317,Foundation_Calc!$I$2:$J$8,2,FALSE),0),
IF(AX317="K",VLOOKUP(L317,Foundation_Calc!$K$41:$R$74,VLOOKUP(AW317,Foundation_Calc!$I$2:$J$8,2,FALSE),0),"")))</f>
        <v/>
      </c>
      <c r="AZ317" s="631" t="str">
        <f>IF(K317="","",
IF(AX317="PT",VLOOKUP(K317,Foundation_Calc!$K$4:$R$37,VLOOKUP(AW317,Foundation_Calc!$I$2:$J$8,2,FALSE),0),
IF(AX317="K",VLOOKUP(K317,Foundation_Calc!$K$41:$R$74,VLOOKUP(AW317,Foundation_Calc!$I$2:$J$8,2,FALSE),0),"")))</f>
        <v/>
      </c>
      <c r="BA317" s="632" t="str">
        <f t="shared" si="55"/>
        <v/>
      </c>
      <c r="BB317" s="632" t="str">
        <f t="shared" si="56"/>
        <v/>
      </c>
      <c r="BC317" s="632" t="str">
        <f t="shared" si="57"/>
        <v/>
      </c>
      <c r="BD317" s="633" t="str">
        <f>IF(AND(L317="",H317=""),"",
IF(H317="",Pole_Calc!A345,
IF(H317="MP",Pole_Calc!A346,
IF(H317="AnMP",Pole_Calc!A347,
IF(H317="A",Pole_Calc!A348,
IF(H317="S/A",Pole_Calc!A349,
IF(H317="A/S",Pole_Calc!A350,"Poner a mano")))))))</f>
        <v/>
      </c>
      <c r="BE317" s="448" t="s">
        <v>1726</v>
      </c>
      <c r="BF317" s="635"/>
      <c r="BG317" s="635"/>
      <c r="BH317" s="634"/>
      <c r="BI317" s="635"/>
    </row>
    <row r="318" spans="1:61" ht="16.2" customHeight="1">
      <c r="A318" s="12"/>
      <c r="B318" s="446"/>
      <c r="C318" s="89"/>
      <c r="D318" s="13"/>
      <c r="E318" s="14"/>
      <c r="F318" s="14"/>
      <c r="G318" s="15"/>
      <c r="H318" s="8"/>
      <c r="I318" s="8"/>
      <c r="J318" s="89"/>
      <c r="K318" s="8"/>
      <c r="L318" s="8"/>
      <c r="M318" s="8" t="str">
        <f>IF(L318="","",
IF(AX318="PT",VLOOKUP(L318,Foundation_Calc!$V$4:$X$37,VLOOKUP(AX318,Foundation_Calc!$I$10:$J$13,2,FALSE),0),
IF(AX318="K",VLOOKUP(L318,Foundation_Calc!$V$41:$X$74,VLOOKUP(AX318,Foundation_Calc!$I$10:$J$13,2,FALSE),0),"")))</f>
        <v/>
      </c>
      <c r="N318" s="8"/>
      <c r="O318" s="8"/>
      <c r="P318" s="8"/>
      <c r="Q318" s="14"/>
      <c r="R318" s="15"/>
      <c r="S318" s="15"/>
      <c r="T318" s="14"/>
      <c r="U318" s="14"/>
      <c r="V318" s="14"/>
      <c r="W318" s="18"/>
      <c r="X318" s="18"/>
      <c r="Y318" s="18"/>
      <c r="Z318" s="18"/>
      <c r="AA318" s="18"/>
      <c r="AB318" s="18"/>
      <c r="AC318" s="8" t="str">
        <f t="shared" si="54"/>
        <v/>
      </c>
      <c r="AD318" s="8"/>
      <c r="AE318" s="8"/>
      <c r="AF318" s="14"/>
      <c r="AG318" s="13"/>
      <c r="AH318" s="14"/>
      <c r="AI318" s="14"/>
      <c r="AJ318" s="8"/>
      <c r="AK318" s="8"/>
      <c r="AL318" s="8"/>
      <c r="AM318" s="8"/>
      <c r="AN318" s="631"/>
      <c r="AO318" s="18"/>
      <c r="AP318" s="18"/>
      <c r="AQ318" s="18"/>
      <c r="AR318" s="18"/>
      <c r="AS318" s="18"/>
      <c r="AU318" s="448"/>
      <c r="AV318" s="448"/>
      <c r="AW318" s="8" t="str">
        <f>IF(C318&gt;0,VLOOKUP(C318,Foundation_Calc!$A$2:$C$986,3,1),
IF(J318&gt;0,VLOOKUP(J318,Foundation_Calc!$A$2:$C$986,3,1),""))</f>
        <v/>
      </c>
      <c r="AX318" s="8" t="str">
        <f>IF(C318&gt;0,VLOOKUP(C318,Foundation_Calc!$E$2:$G$986,3,1),
IF(J318&gt;0,VLOOKUP(J318,Foundation_Calc!$E$2:$G$986,3,1),""))</f>
        <v/>
      </c>
      <c r="AY318" s="631" t="str">
        <f>IF(L318="","",
IF(AX318="PT",VLOOKUP(L318,Foundation_Calc!$K$4:$R$37,VLOOKUP(AW318,Foundation_Calc!$I$2:$J$8,2,FALSE),0),
IF(AX318="K",VLOOKUP(L318,Foundation_Calc!$K$41:$R$74,VLOOKUP(AW318,Foundation_Calc!$I$2:$J$8,2,FALSE),0),"")))</f>
        <v/>
      </c>
      <c r="AZ318" s="631" t="str">
        <f>IF(K318="","",
IF(AX318="PT",VLOOKUP(K318,Foundation_Calc!$K$4:$R$37,VLOOKUP(AW318,Foundation_Calc!$I$2:$J$8,2,FALSE),0),
IF(AX318="K",VLOOKUP(K318,Foundation_Calc!$K$41:$R$74,VLOOKUP(AW318,Foundation_Calc!$I$2:$J$8,2,FALSE),0),"")))</f>
        <v/>
      </c>
      <c r="BA318" s="632" t="str">
        <f t="shared" si="55"/>
        <v/>
      </c>
      <c r="BB318" s="632" t="str">
        <f t="shared" si="56"/>
        <v/>
      </c>
      <c r="BC318" s="632" t="str">
        <f t="shared" si="57"/>
        <v/>
      </c>
      <c r="BD318" s="633" t="str">
        <f>IF(AND(L318="",H318=""),"",
IF(H318="",Pole_Calc!A346,
IF(H318="MP",Pole_Calc!A347,
IF(H318="AnMP",Pole_Calc!A348,
IF(H318="A",Pole_Calc!A349,
IF(H318="S/A",Pole_Calc!A350,
IF(H318="A/S",Pole_Calc!A351,"Poner a mano")))))))</f>
        <v/>
      </c>
      <c r="BE318" s="448" t="s">
        <v>1726</v>
      </c>
      <c r="BF318" s="634"/>
      <c r="BG318" s="634"/>
      <c r="BH318" s="634"/>
      <c r="BI318" s="634"/>
    </row>
    <row r="319" spans="1:61" ht="16.2" customHeight="1">
      <c r="A319" s="12"/>
      <c r="B319" s="446"/>
      <c r="C319" s="89"/>
      <c r="D319" s="13"/>
      <c r="E319" s="14"/>
      <c r="F319" s="14"/>
      <c r="G319" s="15"/>
      <c r="H319" s="8"/>
      <c r="I319" s="8"/>
      <c r="J319" s="89"/>
      <c r="K319" s="8"/>
      <c r="L319" s="8"/>
      <c r="M319" s="8" t="str">
        <f>IF(L319="","",
IF(AX319="PT",VLOOKUP(L319,Foundation_Calc!$V$4:$X$37,VLOOKUP(AX319,Foundation_Calc!$I$10:$J$13,2,FALSE),0),
IF(AX319="K",VLOOKUP(L319,Foundation_Calc!$V$41:$X$74,VLOOKUP(AX319,Foundation_Calc!$I$10:$J$13,2,FALSE),0),"")))</f>
        <v/>
      </c>
      <c r="N319" s="8"/>
      <c r="O319" s="8"/>
      <c r="P319" s="8"/>
      <c r="Q319" s="14"/>
      <c r="R319" s="15"/>
      <c r="S319" s="15"/>
      <c r="T319" s="14"/>
      <c r="U319" s="14"/>
      <c r="V319" s="14"/>
      <c r="W319" s="18"/>
      <c r="X319" s="18"/>
      <c r="Y319" s="18"/>
      <c r="Z319" s="18"/>
      <c r="AA319" s="18"/>
      <c r="AB319" s="18"/>
      <c r="AC319" s="8" t="str">
        <f t="shared" si="54"/>
        <v/>
      </c>
      <c r="AD319" s="8"/>
      <c r="AE319" s="8"/>
      <c r="AF319" s="14"/>
      <c r="AG319" s="13"/>
      <c r="AH319" s="14"/>
      <c r="AI319" s="14"/>
      <c r="AJ319" s="8"/>
      <c r="AK319" s="8"/>
      <c r="AL319" s="8"/>
      <c r="AM319" s="8"/>
      <c r="AN319" s="631"/>
      <c r="AO319" s="18"/>
      <c r="AP319" s="18"/>
      <c r="AQ319" s="18"/>
      <c r="AR319" s="18"/>
      <c r="AS319" s="18"/>
      <c r="AU319" s="448"/>
      <c r="AV319" s="448"/>
      <c r="AW319" s="8" t="str">
        <f>IF(C319&gt;0,VLOOKUP(C319,Foundation_Calc!$A$2:$C$986,3,1),
IF(J319&gt;0,VLOOKUP(J319,Foundation_Calc!$A$2:$C$986,3,1),""))</f>
        <v/>
      </c>
      <c r="AX319" s="8" t="str">
        <f>IF(C319&gt;0,VLOOKUP(C319,Foundation_Calc!$E$2:$G$986,3,1),
IF(J319&gt;0,VLOOKUP(J319,Foundation_Calc!$E$2:$G$986,3,1),""))</f>
        <v/>
      </c>
      <c r="AY319" s="631" t="str">
        <f>IF(L319="","",
IF(AX319="PT",VLOOKUP(L319,Foundation_Calc!$K$4:$R$37,VLOOKUP(AW319,Foundation_Calc!$I$2:$J$8,2,FALSE),0),
IF(AX319="K",VLOOKUP(L319,Foundation_Calc!$K$41:$R$74,VLOOKUP(AW319,Foundation_Calc!$I$2:$J$8,2,FALSE),0),"")))</f>
        <v/>
      </c>
      <c r="AZ319" s="631" t="str">
        <f>IF(K319="","",
IF(AX319="PT",VLOOKUP(K319,Foundation_Calc!$K$4:$R$37,VLOOKUP(AW319,Foundation_Calc!$I$2:$J$8,2,FALSE),0),
IF(AX319="K",VLOOKUP(K319,Foundation_Calc!$K$41:$R$74,VLOOKUP(AW319,Foundation_Calc!$I$2:$J$8,2,FALSE),0),"")))</f>
        <v/>
      </c>
      <c r="BA319" s="632" t="str">
        <f t="shared" si="55"/>
        <v/>
      </c>
      <c r="BB319" s="632" t="str">
        <f t="shared" si="56"/>
        <v/>
      </c>
      <c r="BC319" s="632" t="str">
        <f t="shared" si="57"/>
        <v/>
      </c>
      <c r="BD319" s="633" t="str">
        <f>IF(AND(L319="",H319=""),"",
IF(H319="",Pole_Calc!A347,
IF(H319="MP",Pole_Calc!A348,
IF(H319="AnMP",Pole_Calc!A349,
IF(H319="A",Pole_Calc!A350,
IF(H319="S/A",Pole_Calc!A351,
IF(H319="A/S",Pole_Calc!A352,"Poner a mano")))))))</f>
        <v/>
      </c>
      <c r="BE319" s="448" t="s">
        <v>1726</v>
      </c>
      <c r="BF319" s="635"/>
      <c r="BG319" s="635"/>
      <c r="BH319" s="634"/>
      <c r="BI319" s="635"/>
    </row>
    <row r="320" spans="1:61" ht="16.2" customHeight="1">
      <c r="A320" s="12"/>
      <c r="B320" s="446"/>
      <c r="C320" s="89"/>
      <c r="D320" s="13"/>
      <c r="E320" s="14"/>
      <c r="F320" s="14"/>
      <c r="G320" s="15"/>
      <c r="H320" s="8"/>
      <c r="I320" s="8"/>
      <c r="J320" s="89"/>
      <c r="K320" s="8"/>
      <c r="L320" s="8"/>
      <c r="M320" s="8" t="str">
        <f>IF(L320="","",
IF(AX320="PT",VLOOKUP(L320,Foundation_Calc!$V$4:$X$37,VLOOKUP(AX320,Foundation_Calc!$I$10:$J$13,2,FALSE),0),
IF(AX320="K",VLOOKUP(L320,Foundation_Calc!$V$41:$X$74,VLOOKUP(AX320,Foundation_Calc!$I$10:$J$13,2,FALSE),0),"")))</f>
        <v/>
      </c>
      <c r="N320" s="8"/>
      <c r="O320" s="8"/>
      <c r="P320" s="8"/>
      <c r="Q320" s="14"/>
      <c r="R320" s="15"/>
      <c r="S320" s="15"/>
      <c r="T320" s="14"/>
      <c r="U320" s="14"/>
      <c r="V320" s="14"/>
      <c r="W320" s="18"/>
      <c r="X320" s="18"/>
      <c r="Y320" s="18"/>
      <c r="Z320" s="18"/>
      <c r="AA320" s="18"/>
      <c r="AB320" s="18"/>
      <c r="AC320" s="8" t="str">
        <f t="shared" si="54"/>
        <v/>
      </c>
      <c r="AD320" s="8"/>
      <c r="AE320" s="8"/>
      <c r="AF320" s="14"/>
      <c r="AG320" s="13"/>
      <c r="AH320" s="14"/>
      <c r="AI320" s="14"/>
      <c r="AJ320" s="8"/>
      <c r="AK320" s="8"/>
      <c r="AL320" s="8"/>
      <c r="AM320" s="8"/>
      <c r="AN320" s="631"/>
      <c r="AO320" s="18"/>
      <c r="AP320" s="18"/>
      <c r="AQ320" s="18"/>
      <c r="AR320" s="18"/>
      <c r="AS320" s="18"/>
      <c r="AU320" s="448"/>
      <c r="AV320" s="448"/>
      <c r="AW320" s="8" t="str">
        <f>IF(C320&gt;0,VLOOKUP(C320,Foundation_Calc!$A$2:$C$986,3,1),
IF(J320&gt;0,VLOOKUP(J320,Foundation_Calc!$A$2:$C$986,3,1),""))</f>
        <v/>
      </c>
      <c r="AX320" s="8" t="str">
        <f>IF(C320&gt;0,VLOOKUP(C320,Foundation_Calc!$E$2:$G$986,3,1),
IF(J320&gt;0,VLOOKUP(J320,Foundation_Calc!$E$2:$G$986,3,1),""))</f>
        <v/>
      </c>
      <c r="AY320" s="631" t="str">
        <f>IF(L320="","",
IF(AX320="PT",VLOOKUP(L320,Foundation_Calc!$K$4:$R$37,VLOOKUP(AW320,Foundation_Calc!$I$2:$J$8,2,FALSE),0),
IF(AX320="K",VLOOKUP(L320,Foundation_Calc!$K$41:$R$74,VLOOKUP(AW320,Foundation_Calc!$I$2:$J$8,2,FALSE),0),"")))</f>
        <v/>
      </c>
      <c r="AZ320" s="631" t="str">
        <f>IF(K320="","",
IF(AX320="PT",VLOOKUP(K320,Foundation_Calc!$K$4:$R$37,VLOOKUP(AW320,Foundation_Calc!$I$2:$J$8,2,FALSE),0),
IF(AX320="K",VLOOKUP(K320,Foundation_Calc!$K$41:$R$74,VLOOKUP(AW320,Foundation_Calc!$I$2:$J$8,2,FALSE),0),"")))</f>
        <v/>
      </c>
      <c r="BA320" s="632" t="str">
        <f t="shared" si="55"/>
        <v/>
      </c>
      <c r="BB320" s="632" t="str">
        <f t="shared" si="56"/>
        <v/>
      </c>
      <c r="BC320" s="632" t="str">
        <f t="shared" si="57"/>
        <v/>
      </c>
      <c r="BD320" s="633" t="str">
        <f>IF(AND(L320="",H320=""),"",
IF(H320="",Pole_Calc!A348,
IF(H320="MP",Pole_Calc!A349,
IF(H320="AnMP",Pole_Calc!A350,
IF(H320="A",Pole_Calc!A351,
IF(H320="S/A",Pole_Calc!A352,
IF(H320="A/S",Pole_Calc!A353,"Poner a mano")))))))</f>
        <v/>
      </c>
      <c r="BE320" s="448" t="s">
        <v>1726</v>
      </c>
      <c r="BF320" s="634"/>
      <c r="BG320" s="634"/>
      <c r="BH320" s="634"/>
      <c r="BI320" s="634"/>
    </row>
    <row r="321" spans="1:61" ht="16.2" customHeight="1">
      <c r="A321" s="12"/>
      <c r="B321" s="446"/>
      <c r="C321" s="89"/>
      <c r="D321" s="13"/>
      <c r="E321" s="14"/>
      <c r="F321" s="14"/>
      <c r="G321" s="15"/>
      <c r="H321" s="8"/>
      <c r="I321" s="8"/>
      <c r="J321" s="89"/>
      <c r="K321" s="8"/>
      <c r="L321" s="8"/>
      <c r="M321" s="8" t="str">
        <f>IF(L321="","",
IF(AX321="PT",VLOOKUP(L321,Foundation_Calc!$V$4:$X$37,VLOOKUP(AX321,Foundation_Calc!$I$10:$J$13,2,FALSE),0),
IF(AX321="K",VLOOKUP(L321,Foundation_Calc!$V$41:$X$74,VLOOKUP(AX321,Foundation_Calc!$I$10:$J$13,2,FALSE),0),"")))</f>
        <v/>
      </c>
      <c r="N321" s="8"/>
      <c r="O321" s="8"/>
      <c r="P321" s="8"/>
      <c r="Q321" s="14"/>
      <c r="R321" s="15"/>
      <c r="S321" s="15"/>
      <c r="T321" s="14"/>
      <c r="U321" s="14"/>
      <c r="V321" s="14"/>
      <c r="W321" s="18"/>
      <c r="X321" s="18"/>
      <c r="Y321" s="18"/>
      <c r="Z321" s="18"/>
      <c r="AA321" s="18"/>
      <c r="AB321" s="18"/>
      <c r="AC321" s="8" t="str">
        <f t="shared" si="54"/>
        <v/>
      </c>
      <c r="AD321" s="8"/>
      <c r="AE321" s="8"/>
      <c r="AF321" s="14"/>
      <c r="AG321" s="13"/>
      <c r="AH321" s="14"/>
      <c r="AI321" s="14"/>
      <c r="AJ321" s="8"/>
      <c r="AK321" s="8"/>
      <c r="AL321" s="8"/>
      <c r="AM321" s="8"/>
      <c r="AN321" s="631"/>
      <c r="AO321" s="18"/>
      <c r="AP321" s="18"/>
      <c r="AQ321" s="18"/>
      <c r="AR321" s="18"/>
      <c r="AS321" s="18"/>
      <c r="AU321" s="448"/>
      <c r="AV321" s="448"/>
      <c r="AW321" s="8" t="str">
        <f>IF(C321&gt;0,VLOOKUP(C321,Foundation_Calc!$A$2:$C$986,3,1),
IF(J321&gt;0,VLOOKUP(J321,Foundation_Calc!$A$2:$C$986,3,1),""))</f>
        <v/>
      </c>
      <c r="AX321" s="8" t="str">
        <f>IF(C321&gt;0,VLOOKUP(C321,Foundation_Calc!$E$2:$G$986,3,1),
IF(J321&gt;0,VLOOKUP(J321,Foundation_Calc!$E$2:$G$986,3,1),""))</f>
        <v/>
      </c>
      <c r="AY321" s="631" t="str">
        <f>IF(L321="","",
IF(AX321="PT",VLOOKUP(L321,Foundation_Calc!$K$4:$R$37,VLOOKUP(AW321,Foundation_Calc!$I$2:$J$8,2,FALSE),0),
IF(AX321="K",VLOOKUP(L321,Foundation_Calc!$K$41:$R$74,VLOOKUP(AW321,Foundation_Calc!$I$2:$J$8,2,FALSE),0),"")))</f>
        <v/>
      </c>
      <c r="AZ321" s="631" t="str">
        <f>IF(K321="","",
IF(AX321="PT",VLOOKUP(K321,Foundation_Calc!$K$4:$R$37,VLOOKUP(AW321,Foundation_Calc!$I$2:$J$8,2,FALSE),0),
IF(AX321="K",VLOOKUP(K321,Foundation_Calc!$K$41:$R$74,VLOOKUP(AW321,Foundation_Calc!$I$2:$J$8,2,FALSE),0),"")))</f>
        <v/>
      </c>
      <c r="BA321" s="632" t="str">
        <f t="shared" si="55"/>
        <v/>
      </c>
      <c r="BB321" s="632" t="str">
        <f t="shared" si="56"/>
        <v/>
      </c>
      <c r="BC321" s="632" t="str">
        <f t="shared" si="57"/>
        <v/>
      </c>
      <c r="BD321" s="633" t="str">
        <f>IF(AND(L321="",H321=""),"",
IF(H321="",Pole_Calc!A349,
IF(H321="MP",Pole_Calc!A350,
IF(H321="AnMP",Pole_Calc!A351,
IF(H321="A",Pole_Calc!A352,
IF(H321="S/A",Pole_Calc!A353,
IF(H321="A/S",Pole_Calc!A354,"Poner a mano")))))))</f>
        <v/>
      </c>
      <c r="BE321" s="448" t="s">
        <v>1726</v>
      </c>
      <c r="BF321" s="635"/>
      <c r="BG321" s="635"/>
      <c r="BH321" s="634"/>
      <c r="BI321" s="635"/>
    </row>
    <row r="322" spans="1:61" ht="16.2" customHeight="1">
      <c r="A322" s="12"/>
      <c r="B322" s="446"/>
      <c r="C322" s="89"/>
      <c r="D322" s="13"/>
      <c r="E322" s="14"/>
      <c r="F322" s="14"/>
      <c r="G322" s="15"/>
      <c r="H322" s="8"/>
      <c r="I322" s="8"/>
      <c r="J322" s="89"/>
      <c r="K322" s="8"/>
      <c r="L322" s="8"/>
      <c r="M322" s="8" t="str">
        <f>IF(L322="","",
IF(AX322="PT",VLOOKUP(L322,Foundation_Calc!$V$4:$X$37,VLOOKUP(AX322,Foundation_Calc!$I$10:$J$13,2,FALSE),0),
IF(AX322="K",VLOOKUP(L322,Foundation_Calc!$V$41:$X$74,VLOOKUP(AX322,Foundation_Calc!$I$10:$J$13,2,FALSE),0),"")))</f>
        <v/>
      </c>
      <c r="N322" s="8"/>
      <c r="O322" s="8"/>
      <c r="P322" s="8"/>
      <c r="Q322" s="14"/>
      <c r="R322" s="15"/>
      <c r="S322" s="15"/>
      <c r="T322" s="14"/>
      <c r="U322" s="14"/>
      <c r="V322" s="14"/>
      <c r="W322" s="18"/>
      <c r="X322" s="18"/>
      <c r="Y322" s="18"/>
      <c r="Z322" s="18"/>
      <c r="AA322" s="18"/>
      <c r="AB322" s="18"/>
      <c r="AC322" s="8" t="str">
        <f t="shared" si="54"/>
        <v/>
      </c>
      <c r="AD322" s="8"/>
      <c r="AE322" s="8"/>
      <c r="AF322" s="14"/>
      <c r="AG322" s="13"/>
      <c r="AH322" s="14"/>
      <c r="AI322" s="14"/>
      <c r="AJ322" s="8"/>
      <c r="AK322" s="8"/>
      <c r="AL322" s="8"/>
      <c r="AM322" s="8"/>
      <c r="AN322" s="631"/>
      <c r="AO322" s="18"/>
      <c r="AP322" s="18"/>
      <c r="AQ322" s="18"/>
      <c r="AR322" s="18"/>
      <c r="AS322" s="18"/>
      <c r="AU322" s="448"/>
      <c r="AV322" s="448"/>
      <c r="AW322" s="8" t="str">
        <f>IF(C322&gt;0,VLOOKUP(C322,Foundation_Calc!$A$2:$C$986,3,1),
IF(J322&gt;0,VLOOKUP(J322,Foundation_Calc!$A$2:$C$986,3,1),""))</f>
        <v/>
      </c>
      <c r="AX322" s="8" t="str">
        <f>IF(C322&gt;0,VLOOKUP(C322,Foundation_Calc!$E$2:$G$986,3,1),
IF(J322&gt;0,VLOOKUP(J322,Foundation_Calc!$E$2:$G$986,3,1),""))</f>
        <v/>
      </c>
      <c r="AY322" s="631" t="str">
        <f>IF(L322="","",
IF(AX322="PT",VLOOKUP(L322,Foundation_Calc!$K$4:$R$37,VLOOKUP(AW322,Foundation_Calc!$I$2:$J$8,2,FALSE),0),
IF(AX322="K",VLOOKUP(L322,Foundation_Calc!$K$41:$R$74,VLOOKUP(AW322,Foundation_Calc!$I$2:$J$8,2,FALSE),0),"")))</f>
        <v/>
      </c>
      <c r="AZ322" s="631" t="str">
        <f>IF(K322="","",
IF(AX322="PT",VLOOKUP(K322,Foundation_Calc!$K$4:$R$37,VLOOKUP(AW322,Foundation_Calc!$I$2:$J$8,2,FALSE),0),
IF(AX322="K",VLOOKUP(K322,Foundation_Calc!$K$41:$R$74,VLOOKUP(AW322,Foundation_Calc!$I$2:$J$8,2,FALSE),0),"")))</f>
        <v/>
      </c>
      <c r="BA322" s="632" t="str">
        <f t="shared" si="55"/>
        <v/>
      </c>
      <c r="BB322" s="632" t="str">
        <f t="shared" si="56"/>
        <v/>
      </c>
      <c r="BC322" s="632" t="str">
        <f t="shared" si="57"/>
        <v/>
      </c>
      <c r="BD322" s="633" t="str">
        <f>IF(AND(L322="",H322=""),"",
IF(H322="",Pole_Calc!A350,
IF(H322="MP",Pole_Calc!A351,
IF(H322="AnMP",Pole_Calc!A352,
IF(H322="A",Pole_Calc!A353,
IF(H322="S/A",Pole_Calc!A354,
IF(H322="A/S",Pole_Calc!A355,"Poner a mano")))))))</f>
        <v/>
      </c>
      <c r="BE322" s="448" t="s">
        <v>1726</v>
      </c>
      <c r="BF322" s="634"/>
      <c r="BG322" s="634"/>
      <c r="BH322" s="634"/>
      <c r="BI322" s="634"/>
    </row>
    <row r="323" spans="1:61" ht="16.2" customHeight="1">
      <c r="A323" s="12"/>
      <c r="B323" s="446"/>
      <c r="C323" s="89"/>
      <c r="D323" s="13"/>
      <c r="E323" s="14"/>
      <c r="F323" s="14"/>
      <c r="G323" s="15"/>
      <c r="H323" s="8"/>
      <c r="I323" s="8"/>
      <c r="J323" s="89"/>
      <c r="K323" s="8"/>
      <c r="L323" s="8"/>
      <c r="M323" s="8" t="str">
        <f>IF(L323="","",
IF(AX323="PT",VLOOKUP(L323,Foundation_Calc!$V$4:$X$37,VLOOKUP(AX323,Foundation_Calc!$I$10:$J$13,2,FALSE),0),
IF(AX323="K",VLOOKUP(L323,Foundation_Calc!$V$41:$X$74,VLOOKUP(AX323,Foundation_Calc!$I$10:$J$13,2,FALSE),0),"")))</f>
        <v/>
      </c>
      <c r="N323" s="8"/>
      <c r="O323" s="8"/>
      <c r="P323" s="8"/>
      <c r="Q323" s="14"/>
      <c r="R323" s="15"/>
      <c r="S323" s="15"/>
      <c r="T323" s="14"/>
      <c r="U323" s="14"/>
      <c r="V323" s="14"/>
      <c r="W323" s="18"/>
      <c r="X323" s="18"/>
      <c r="Y323" s="18"/>
      <c r="Z323" s="18"/>
      <c r="AA323" s="18"/>
      <c r="AB323" s="18"/>
      <c r="AC323" s="8" t="str">
        <f t="shared" si="54"/>
        <v/>
      </c>
      <c r="AD323" s="8"/>
      <c r="AE323" s="8"/>
      <c r="AF323" s="14"/>
      <c r="AG323" s="13"/>
      <c r="AH323" s="14"/>
      <c r="AI323" s="14"/>
      <c r="AJ323" s="8"/>
      <c r="AK323" s="8"/>
      <c r="AL323" s="8"/>
      <c r="AM323" s="8"/>
      <c r="AN323" s="631"/>
      <c r="AO323" s="18"/>
      <c r="AP323" s="18"/>
      <c r="AQ323" s="18"/>
      <c r="AR323" s="18"/>
      <c r="AS323" s="18"/>
      <c r="AU323" s="448"/>
      <c r="AV323" s="448"/>
      <c r="AW323" s="8" t="str">
        <f>IF(C323&gt;0,VLOOKUP(C323,Foundation_Calc!$A$2:$C$986,3,1),
IF(J323&gt;0,VLOOKUP(J323,Foundation_Calc!$A$2:$C$986,3,1),""))</f>
        <v/>
      </c>
      <c r="AX323" s="8" t="str">
        <f>IF(C323&gt;0,VLOOKUP(C323,Foundation_Calc!$E$2:$G$986,3,1),
IF(J323&gt;0,VLOOKUP(J323,Foundation_Calc!$E$2:$G$986,3,1),""))</f>
        <v/>
      </c>
      <c r="AY323" s="631" t="str">
        <f>IF(L323="","",
IF(AX323="PT",VLOOKUP(L323,Foundation_Calc!$K$4:$R$37,VLOOKUP(AW323,Foundation_Calc!$I$2:$J$8,2,FALSE),0),
IF(AX323="K",VLOOKUP(L323,Foundation_Calc!$K$41:$R$74,VLOOKUP(AW323,Foundation_Calc!$I$2:$J$8,2,FALSE),0),"")))</f>
        <v/>
      </c>
      <c r="AZ323" s="631" t="str">
        <f>IF(K323="","",
IF(AX323="PT",VLOOKUP(K323,Foundation_Calc!$K$4:$R$37,VLOOKUP(AW323,Foundation_Calc!$I$2:$J$8,2,FALSE),0),
IF(AX323="K",VLOOKUP(K323,Foundation_Calc!$K$41:$R$74,VLOOKUP(AW323,Foundation_Calc!$I$2:$J$8,2,FALSE),0),"")))</f>
        <v/>
      </c>
      <c r="BA323" s="632" t="str">
        <f t="shared" si="55"/>
        <v/>
      </c>
      <c r="BB323" s="632" t="str">
        <f t="shared" si="56"/>
        <v/>
      </c>
      <c r="BC323" s="632" t="str">
        <f t="shared" si="57"/>
        <v/>
      </c>
      <c r="BD323" s="633" t="str">
        <f>IF(AND(L323="",H323=""),"",
IF(H323="",Pole_Calc!A351,
IF(H323="MP",Pole_Calc!A352,
IF(H323="AnMP",Pole_Calc!A353,
IF(H323="A",Pole_Calc!A354,
IF(H323="S/A",Pole_Calc!A355,
IF(H323="A/S",Pole_Calc!A356,"Poner a mano")))))))</f>
        <v/>
      </c>
      <c r="BE323" s="448" t="s">
        <v>1726</v>
      </c>
      <c r="BF323" s="635"/>
      <c r="BG323" s="635"/>
      <c r="BH323" s="634"/>
      <c r="BI323" s="635"/>
    </row>
    <row r="324" spans="1:61" ht="16.2" customHeight="1">
      <c r="A324" s="12"/>
      <c r="B324" s="446"/>
      <c r="C324" s="89"/>
      <c r="D324" s="13"/>
      <c r="E324" s="14"/>
      <c r="F324" s="14"/>
      <c r="G324" s="15"/>
      <c r="H324" s="8"/>
      <c r="I324" s="8"/>
      <c r="J324" s="89"/>
      <c r="K324" s="8"/>
      <c r="L324" s="8"/>
      <c r="M324" s="8" t="str">
        <f>IF(L324="","",
IF(AX324="PT",VLOOKUP(L324,Foundation_Calc!$V$4:$X$37,VLOOKUP(AX324,Foundation_Calc!$I$10:$J$13,2,FALSE),0),
IF(AX324="K",VLOOKUP(L324,Foundation_Calc!$V$41:$X$74,VLOOKUP(AX324,Foundation_Calc!$I$10:$J$13,2,FALSE),0),"")))</f>
        <v/>
      </c>
      <c r="N324" s="8"/>
      <c r="O324" s="8"/>
      <c r="P324" s="8"/>
      <c r="Q324" s="14"/>
      <c r="R324" s="15"/>
      <c r="S324" s="15"/>
      <c r="T324" s="14"/>
      <c r="U324" s="14"/>
      <c r="V324" s="14"/>
      <c r="W324" s="18"/>
      <c r="X324" s="18"/>
      <c r="Y324" s="18"/>
      <c r="Z324" s="18"/>
      <c r="AA324" s="18"/>
      <c r="AB324" s="18"/>
      <c r="AC324" s="8" t="str">
        <f t="shared" si="54"/>
        <v/>
      </c>
      <c r="AD324" s="8"/>
      <c r="AE324" s="8"/>
      <c r="AF324" s="14"/>
      <c r="AG324" s="13"/>
      <c r="AH324" s="14"/>
      <c r="AI324" s="14"/>
      <c r="AJ324" s="8"/>
      <c r="AK324" s="8"/>
      <c r="AL324" s="8"/>
      <c r="AM324" s="8"/>
      <c r="AN324" s="631"/>
      <c r="AO324" s="18"/>
      <c r="AP324" s="18"/>
      <c r="AQ324" s="18"/>
      <c r="AR324" s="18"/>
      <c r="AS324" s="18"/>
      <c r="AU324" s="448"/>
      <c r="AV324" s="448"/>
      <c r="AW324" s="8" t="str">
        <f>IF(C324&gt;0,VLOOKUP(C324,Foundation_Calc!$A$2:$C$986,3,1),
IF(J324&gt;0,VLOOKUP(J324,Foundation_Calc!$A$2:$C$986,3,1),""))</f>
        <v/>
      </c>
      <c r="AX324" s="8" t="str">
        <f>IF(C324&gt;0,VLOOKUP(C324,Foundation_Calc!$E$2:$G$986,3,1),
IF(J324&gt;0,VLOOKUP(J324,Foundation_Calc!$E$2:$G$986,3,1),""))</f>
        <v/>
      </c>
      <c r="AY324" s="631" t="str">
        <f>IF(L324="","",
IF(AX324="PT",VLOOKUP(L324,Foundation_Calc!$K$4:$R$37,VLOOKUP(AW324,Foundation_Calc!$I$2:$J$8,2,FALSE),0),
IF(AX324="K",VLOOKUP(L324,Foundation_Calc!$K$41:$R$74,VLOOKUP(AW324,Foundation_Calc!$I$2:$J$8,2,FALSE),0),"")))</f>
        <v/>
      </c>
      <c r="AZ324" s="631" t="str">
        <f>IF(K324="","",
IF(AX324="PT",VLOOKUP(K324,Foundation_Calc!$K$4:$R$37,VLOOKUP(AW324,Foundation_Calc!$I$2:$J$8,2,FALSE),0),
IF(AX324="K",VLOOKUP(K324,Foundation_Calc!$K$41:$R$74,VLOOKUP(AW324,Foundation_Calc!$I$2:$J$8,2,FALSE),0),"")))</f>
        <v/>
      </c>
      <c r="BA324" s="632" t="str">
        <f t="shared" si="55"/>
        <v/>
      </c>
      <c r="BB324" s="632" t="str">
        <f t="shared" si="56"/>
        <v/>
      </c>
      <c r="BC324" s="632" t="str">
        <f t="shared" si="57"/>
        <v/>
      </c>
      <c r="BD324" s="633" t="str">
        <f>IF(AND(L324="",H324=""),"",
IF(H324="",Pole_Calc!A352,
IF(H324="MP",Pole_Calc!A353,
IF(H324="AnMP",Pole_Calc!A354,
IF(H324="A",Pole_Calc!A355,
IF(H324="S/A",Pole_Calc!A356,
IF(H324="A/S",Pole_Calc!A357,"Poner a mano")))))))</f>
        <v/>
      </c>
      <c r="BE324" s="448" t="s">
        <v>1726</v>
      </c>
      <c r="BF324" s="634"/>
      <c r="BG324" s="634"/>
      <c r="BH324" s="634"/>
      <c r="BI324" s="634"/>
    </row>
    <row r="325" spans="1:61" ht="16.2" customHeight="1">
      <c r="A325" s="12"/>
      <c r="B325" s="446"/>
      <c r="C325" s="89"/>
      <c r="D325" s="13"/>
      <c r="E325" s="14"/>
      <c r="F325" s="14"/>
      <c r="G325" s="15"/>
      <c r="H325" s="8"/>
      <c r="I325" s="8"/>
      <c r="J325" s="89"/>
      <c r="K325" s="8"/>
      <c r="L325" s="8"/>
      <c r="M325" s="8" t="str">
        <f>IF(L325="","",
IF(AX325="PT",VLOOKUP(L325,Foundation_Calc!$V$4:$X$37,VLOOKUP(AX325,Foundation_Calc!$I$10:$J$13,2,FALSE),0),
IF(AX325="K",VLOOKUP(L325,Foundation_Calc!$V$41:$X$74,VLOOKUP(AX325,Foundation_Calc!$I$10:$J$13,2,FALSE),0),"")))</f>
        <v/>
      </c>
      <c r="N325" s="8"/>
      <c r="O325" s="8"/>
      <c r="P325" s="8"/>
      <c r="Q325" s="14"/>
      <c r="R325" s="15"/>
      <c r="S325" s="15"/>
      <c r="T325" s="14"/>
      <c r="U325" s="14"/>
      <c r="V325" s="14"/>
      <c r="W325" s="18"/>
      <c r="X325" s="18"/>
      <c r="Y325" s="18"/>
      <c r="Z325" s="18"/>
      <c r="AA325" s="18"/>
      <c r="AB325" s="18"/>
      <c r="AC325" s="8" t="str">
        <f t="shared" si="54"/>
        <v/>
      </c>
      <c r="AD325" s="8"/>
      <c r="AE325" s="8"/>
      <c r="AF325" s="14"/>
      <c r="AG325" s="13"/>
      <c r="AH325" s="14"/>
      <c r="AI325" s="14"/>
      <c r="AJ325" s="8"/>
      <c r="AK325" s="8"/>
      <c r="AL325" s="8"/>
      <c r="AM325" s="8"/>
      <c r="AN325" s="631"/>
      <c r="AO325" s="18"/>
      <c r="AP325" s="18"/>
      <c r="AQ325" s="18"/>
      <c r="AR325" s="18"/>
      <c r="AS325" s="18"/>
      <c r="AU325" s="448"/>
      <c r="AV325" s="448"/>
      <c r="AW325" s="8" t="str">
        <f>IF(C325&gt;0,VLOOKUP(C325,Foundation_Calc!$A$2:$C$986,3,1),
IF(J325&gt;0,VLOOKUP(J325,Foundation_Calc!$A$2:$C$986,3,1),""))</f>
        <v/>
      </c>
      <c r="AX325" s="8" t="str">
        <f>IF(C325&gt;0,VLOOKUP(C325,Foundation_Calc!$E$2:$G$986,3,1),
IF(J325&gt;0,VLOOKUP(J325,Foundation_Calc!$E$2:$G$986,3,1),""))</f>
        <v/>
      </c>
      <c r="AY325" s="631" t="str">
        <f>IF(L325="","",
IF(AX325="PT",VLOOKUP(L325,Foundation_Calc!$K$4:$R$37,VLOOKUP(AW325,Foundation_Calc!$I$2:$J$8,2,FALSE),0),
IF(AX325="K",VLOOKUP(L325,Foundation_Calc!$K$41:$R$74,VLOOKUP(AW325,Foundation_Calc!$I$2:$J$8,2,FALSE),0),"")))</f>
        <v/>
      </c>
      <c r="AZ325" s="631" t="str">
        <f>IF(K325="","",
IF(AX325="PT",VLOOKUP(K325,Foundation_Calc!$K$4:$R$37,VLOOKUP(AW325,Foundation_Calc!$I$2:$J$8,2,FALSE),0),
IF(AX325="K",VLOOKUP(K325,Foundation_Calc!$K$41:$R$74,VLOOKUP(AW325,Foundation_Calc!$I$2:$J$8,2,FALSE),0),"")))</f>
        <v/>
      </c>
      <c r="BA325" s="632" t="str">
        <f t="shared" si="55"/>
        <v/>
      </c>
      <c r="BB325" s="632" t="str">
        <f t="shared" si="56"/>
        <v/>
      </c>
      <c r="BC325" s="632" t="str">
        <f t="shared" si="57"/>
        <v/>
      </c>
      <c r="BD325" s="633" t="str">
        <f>IF(AND(L325="",H325=""),"",
IF(H325="",Pole_Calc!A353,
IF(H325="MP",Pole_Calc!A354,
IF(H325="AnMP",Pole_Calc!A355,
IF(H325="A",Pole_Calc!A356,
IF(H325="S/A",Pole_Calc!A357,
IF(H325="A/S",Pole_Calc!A358,"Poner a mano")))))))</f>
        <v/>
      </c>
      <c r="BE325" s="448" t="s">
        <v>1726</v>
      </c>
      <c r="BF325" s="635"/>
      <c r="BG325" s="635"/>
      <c r="BH325" s="634"/>
      <c r="BI325" s="635"/>
    </row>
    <row r="326" spans="1:61" ht="16.2" customHeight="1">
      <c r="A326" s="12"/>
      <c r="B326" s="446"/>
      <c r="C326" s="89"/>
      <c r="D326" s="13"/>
      <c r="E326" s="14"/>
      <c r="F326" s="14"/>
      <c r="G326" s="15"/>
      <c r="H326" s="8"/>
      <c r="I326" s="8"/>
      <c r="J326" s="89"/>
      <c r="K326" s="8"/>
      <c r="L326" s="8"/>
      <c r="M326" s="8" t="str">
        <f>IF(L326="","",
IF(AX326="PT",VLOOKUP(L326,Foundation_Calc!$V$4:$X$37,VLOOKUP(AX326,Foundation_Calc!$I$10:$J$13,2,FALSE),0),
IF(AX326="K",VLOOKUP(L326,Foundation_Calc!$V$41:$X$74,VLOOKUP(AX326,Foundation_Calc!$I$10:$J$13,2,FALSE),0),"")))</f>
        <v/>
      </c>
      <c r="N326" s="8"/>
      <c r="O326" s="8"/>
      <c r="P326" s="8"/>
      <c r="Q326" s="14"/>
      <c r="R326" s="15"/>
      <c r="S326" s="15"/>
      <c r="T326" s="14"/>
      <c r="U326" s="14"/>
      <c r="V326" s="14"/>
      <c r="W326" s="18"/>
      <c r="X326" s="18"/>
      <c r="Y326" s="18"/>
      <c r="Z326" s="18"/>
      <c r="AA326" s="18"/>
      <c r="AB326" s="18"/>
      <c r="AC326" s="8" t="str">
        <f t="shared" ref="AC326:AC389" si="58">IF(OR(AT326&gt;8,AT326&lt;-8),"PH",
IF(OR(AT326&gt;5,AT326&lt;-5),"PHQ",
IF(OR(AT326&gt;1,AT326&lt;-1),
"PHC","")))</f>
        <v/>
      </c>
      <c r="AD326" s="8"/>
      <c r="AE326" s="8"/>
      <c r="AF326" s="14"/>
      <c r="AG326" s="13"/>
      <c r="AH326" s="14"/>
      <c r="AI326" s="14"/>
      <c r="AJ326" s="8"/>
      <c r="AK326" s="8"/>
      <c r="AL326" s="8"/>
      <c r="AM326" s="8"/>
      <c r="AN326" s="631"/>
      <c r="AO326" s="18"/>
      <c r="AP326" s="18"/>
      <c r="AQ326" s="18"/>
      <c r="AR326" s="18"/>
      <c r="AS326" s="18"/>
      <c r="AU326" s="448"/>
      <c r="AV326" s="448"/>
      <c r="AW326" s="8" t="str">
        <f>IF(C326&gt;0,VLOOKUP(C326,Foundation_Calc!$A$2:$C$986,3,1),
IF(J326&gt;0,VLOOKUP(J326,Foundation_Calc!$A$2:$C$986,3,1),""))</f>
        <v/>
      </c>
      <c r="AX326" s="8" t="str">
        <f>IF(C326&gt;0,VLOOKUP(C326,Foundation_Calc!$E$2:$G$986,3,1),
IF(J326&gt;0,VLOOKUP(J326,Foundation_Calc!$E$2:$G$986,3,1),""))</f>
        <v/>
      </c>
      <c r="AY326" s="631" t="str">
        <f>IF(L326="","",
IF(AX326="PT",VLOOKUP(L326,Foundation_Calc!$K$4:$R$37,VLOOKUP(AW326,Foundation_Calc!$I$2:$J$8,2,FALSE),0),
IF(AX326="K",VLOOKUP(L326,Foundation_Calc!$K$41:$R$74,VLOOKUP(AW326,Foundation_Calc!$I$2:$J$8,2,FALSE),0),"")))</f>
        <v/>
      </c>
      <c r="AZ326" s="631" t="str">
        <f>IF(K326="","",
IF(AX326="PT",VLOOKUP(K326,Foundation_Calc!$K$4:$R$37,VLOOKUP(AW326,Foundation_Calc!$I$2:$J$8,2,FALSE),0),
IF(AX326="K",VLOOKUP(K326,Foundation_Calc!$K$41:$R$74,VLOOKUP(AW326,Foundation_Calc!$I$2:$J$8,2,FALSE),0),"")))</f>
        <v/>
      </c>
      <c r="BA326" s="632" t="str">
        <f t="shared" ref="BA326:BA389" si="59">IF(AY326="","",IF(AY326&gt;0,"ü",""))</f>
        <v/>
      </c>
      <c r="BB326" s="632" t="str">
        <f t="shared" ref="BB326:BB389" si="60">IF(AZ326="","",IF(AZ326&gt;0,"ü",""))</f>
        <v/>
      </c>
      <c r="BC326" s="632" t="str">
        <f t="shared" ref="BC326:BC389" si="61">IF(M326="","",IF(M326="Unique Solution","ü",""))</f>
        <v/>
      </c>
      <c r="BD326" s="633" t="str">
        <f>IF(AND(L326="",H326=""),"",
IF(H326="",Pole_Calc!A354,
IF(H326="MP",Pole_Calc!A355,
IF(H326="AnMP",Pole_Calc!A356,
IF(H326="A",Pole_Calc!A357,
IF(H326="S/A",Pole_Calc!A358,
IF(H326="A/S",Pole_Calc!A359,"Poner a mano")))))))</f>
        <v/>
      </c>
      <c r="BE326" s="448" t="s">
        <v>1726</v>
      </c>
      <c r="BF326" s="634"/>
      <c r="BG326" s="634"/>
      <c r="BH326" s="634"/>
      <c r="BI326" s="634"/>
    </row>
    <row r="327" spans="1:61" ht="16.2" customHeight="1">
      <c r="A327" s="12"/>
      <c r="B327" s="446"/>
      <c r="C327" s="89"/>
      <c r="D327" s="13"/>
      <c r="E327" s="14"/>
      <c r="F327" s="14"/>
      <c r="G327" s="15"/>
      <c r="H327" s="8"/>
      <c r="I327" s="8"/>
      <c r="J327" s="89"/>
      <c r="K327" s="8"/>
      <c r="L327" s="8"/>
      <c r="M327" s="8" t="str">
        <f>IF(L327="","",
IF(AX327="PT",VLOOKUP(L327,Foundation_Calc!$V$4:$X$37,VLOOKUP(AX327,Foundation_Calc!$I$10:$J$13,2,FALSE),0),
IF(AX327="K",VLOOKUP(L327,Foundation_Calc!$V$41:$X$74,VLOOKUP(AX327,Foundation_Calc!$I$10:$J$13,2,FALSE),0),"")))</f>
        <v/>
      </c>
      <c r="N327" s="8"/>
      <c r="O327" s="8"/>
      <c r="P327" s="8"/>
      <c r="Q327" s="14"/>
      <c r="R327" s="15"/>
      <c r="S327" s="15"/>
      <c r="T327" s="14"/>
      <c r="U327" s="14"/>
      <c r="V327" s="14"/>
      <c r="W327" s="18"/>
      <c r="X327" s="18"/>
      <c r="Y327" s="18"/>
      <c r="Z327" s="18"/>
      <c r="AA327" s="18"/>
      <c r="AB327" s="18"/>
      <c r="AC327" s="8" t="str">
        <f t="shared" si="58"/>
        <v/>
      </c>
      <c r="AD327" s="8"/>
      <c r="AE327" s="8"/>
      <c r="AF327" s="14"/>
      <c r="AG327" s="13"/>
      <c r="AH327" s="14"/>
      <c r="AI327" s="14"/>
      <c r="AJ327" s="8"/>
      <c r="AK327" s="8"/>
      <c r="AL327" s="8"/>
      <c r="AM327" s="8"/>
      <c r="AN327" s="631"/>
      <c r="AO327" s="18"/>
      <c r="AP327" s="18"/>
      <c r="AQ327" s="18"/>
      <c r="AR327" s="18"/>
      <c r="AS327" s="18"/>
      <c r="AU327" s="448"/>
      <c r="AV327" s="448"/>
      <c r="AW327" s="8" t="str">
        <f>IF(C327&gt;0,VLOOKUP(C327,Foundation_Calc!$A$2:$C$986,3,1),
IF(J327&gt;0,VLOOKUP(J327,Foundation_Calc!$A$2:$C$986,3,1),""))</f>
        <v/>
      </c>
      <c r="AX327" s="8" t="str">
        <f>IF(C327&gt;0,VLOOKUP(C327,Foundation_Calc!$E$2:$G$986,3,1),
IF(J327&gt;0,VLOOKUP(J327,Foundation_Calc!$E$2:$G$986,3,1),""))</f>
        <v/>
      </c>
      <c r="AY327" s="631" t="str">
        <f>IF(L327="","",
IF(AX327="PT",VLOOKUP(L327,Foundation_Calc!$K$4:$R$37,VLOOKUP(AW327,Foundation_Calc!$I$2:$J$8,2,FALSE),0),
IF(AX327="K",VLOOKUP(L327,Foundation_Calc!$K$41:$R$74,VLOOKUP(AW327,Foundation_Calc!$I$2:$J$8,2,FALSE),0),"")))</f>
        <v/>
      </c>
      <c r="AZ327" s="631" t="str">
        <f>IF(K327="","",
IF(AX327="PT",VLOOKUP(K327,Foundation_Calc!$K$4:$R$37,VLOOKUP(AW327,Foundation_Calc!$I$2:$J$8,2,FALSE),0),
IF(AX327="K",VLOOKUP(K327,Foundation_Calc!$K$41:$R$74,VLOOKUP(AW327,Foundation_Calc!$I$2:$J$8,2,FALSE),0),"")))</f>
        <v/>
      </c>
      <c r="BA327" s="632" t="str">
        <f t="shared" si="59"/>
        <v/>
      </c>
      <c r="BB327" s="632" t="str">
        <f t="shared" si="60"/>
        <v/>
      </c>
      <c r="BC327" s="632" t="str">
        <f t="shared" si="61"/>
        <v/>
      </c>
      <c r="BD327" s="633" t="str">
        <f>IF(AND(L327="",H327=""),"",
IF(H327="",Pole_Calc!A355,
IF(H327="MP",Pole_Calc!A356,
IF(H327="AnMP",Pole_Calc!A357,
IF(H327="A",Pole_Calc!A358,
IF(H327="S/A",Pole_Calc!A359,
IF(H327="A/S",Pole_Calc!A360,"Poner a mano")))))))</f>
        <v/>
      </c>
      <c r="BE327" s="448" t="s">
        <v>1726</v>
      </c>
      <c r="BF327" s="635"/>
      <c r="BG327" s="635"/>
      <c r="BH327" s="634"/>
      <c r="BI327" s="635"/>
    </row>
    <row r="328" spans="1:61" ht="16.2" customHeight="1">
      <c r="A328" s="12"/>
      <c r="B328" s="446"/>
      <c r="C328" s="89"/>
      <c r="D328" s="13"/>
      <c r="E328" s="14"/>
      <c r="F328" s="14"/>
      <c r="G328" s="15"/>
      <c r="H328" s="8"/>
      <c r="I328" s="8"/>
      <c r="J328" s="89"/>
      <c r="K328" s="8"/>
      <c r="L328" s="8"/>
      <c r="M328" s="8" t="str">
        <f>IF(L328="","",
IF(AX328="PT",VLOOKUP(L328,Foundation_Calc!$V$4:$X$37,VLOOKUP(AX328,Foundation_Calc!$I$10:$J$13,2,FALSE),0),
IF(AX328="K",VLOOKUP(L328,Foundation_Calc!$V$41:$X$74,VLOOKUP(AX328,Foundation_Calc!$I$10:$J$13,2,FALSE),0),"")))</f>
        <v/>
      </c>
      <c r="N328" s="8"/>
      <c r="O328" s="8"/>
      <c r="P328" s="8"/>
      <c r="Q328" s="14"/>
      <c r="R328" s="15"/>
      <c r="S328" s="15"/>
      <c r="T328" s="14"/>
      <c r="U328" s="14"/>
      <c r="V328" s="14"/>
      <c r="W328" s="18"/>
      <c r="X328" s="18"/>
      <c r="Y328" s="18"/>
      <c r="Z328" s="18"/>
      <c r="AA328" s="18"/>
      <c r="AB328" s="18"/>
      <c r="AC328" s="8" t="str">
        <f t="shared" si="58"/>
        <v/>
      </c>
      <c r="AD328" s="8"/>
      <c r="AE328" s="8"/>
      <c r="AF328" s="14"/>
      <c r="AG328" s="13"/>
      <c r="AH328" s="14"/>
      <c r="AI328" s="14"/>
      <c r="AJ328" s="8"/>
      <c r="AK328" s="8"/>
      <c r="AL328" s="8"/>
      <c r="AM328" s="8"/>
      <c r="AN328" s="631"/>
      <c r="AO328" s="18"/>
      <c r="AP328" s="18"/>
      <c r="AQ328" s="18"/>
      <c r="AR328" s="18"/>
      <c r="AS328" s="18"/>
      <c r="AU328" s="448"/>
      <c r="AV328" s="448"/>
      <c r="AW328" s="8" t="str">
        <f>IF(C328&gt;0,VLOOKUP(C328,Foundation_Calc!$A$2:$C$986,3,1),
IF(J328&gt;0,VLOOKUP(J328,Foundation_Calc!$A$2:$C$986,3,1),""))</f>
        <v/>
      </c>
      <c r="AX328" s="8" t="str">
        <f>IF(C328&gt;0,VLOOKUP(C328,Foundation_Calc!$E$2:$G$986,3,1),
IF(J328&gt;0,VLOOKUP(J328,Foundation_Calc!$E$2:$G$986,3,1),""))</f>
        <v/>
      </c>
      <c r="AY328" s="631" t="str">
        <f>IF(L328="","",
IF(AX328="PT",VLOOKUP(L328,Foundation_Calc!$K$4:$R$37,VLOOKUP(AW328,Foundation_Calc!$I$2:$J$8,2,FALSE),0),
IF(AX328="K",VLOOKUP(L328,Foundation_Calc!$K$41:$R$74,VLOOKUP(AW328,Foundation_Calc!$I$2:$J$8,2,FALSE),0),"")))</f>
        <v/>
      </c>
      <c r="AZ328" s="631" t="str">
        <f>IF(K328="","",
IF(AX328="PT",VLOOKUP(K328,Foundation_Calc!$K$4:$R$37,VLOOKUP(AW328,Foundation_Calc!$I$2:$J$8,2,FALSE),0),
IF(AX328="K",VLOOKUP(K328,Foundation_Calc!$K$41:$R$74,VLOOKUP(AW328,Foundation_Calc!$I$2:$J$8,2,FALSE),0),"")))</f>
        <v/>
      </c>
      <c r="BA328" s="632" t="str">
        <f t="shared" si="59"/>
        <v/>
      </c>
      <c r="BB328" s="632" t="str">
        <f t="shared" si="60"/>
        <v/>
      </c>
      <c r="BC328" s="632" t="str">
        <f t="shared" si="61"/>
        <v/>
      </c>
      <c r="BD328" s="633" t="str">
        <f>IF(AND(L328="",H328=""),"",
IF(H328="",Pole_Calc!A356,
IF(H328="MP",Pole_Calc!A357,
IF(H328="AnMP",Pole_Calc!A358,
IF(H328="A",Pole_Calc!A359,
IF(H328="S/A",Pole_Calc!A360,
IF(H328="A/S",Pole_Calc!A361,"Poner a mano")))))))</f>
        <v/>
      </c>
      <c r="BE328" s="448" t="s">
        <v>1726</v>
      </c>
      <c r="BF328" s="634"/>
      <c r="BG328" s="634"/>
      <c r="BH328" s="634"/>
      <c r="BI328" s="634"/>
    </row>
    <row r="329" spans="1:61" ht="16.2" customHeight="1">
      <c r="A329" s="12"/>
      <c r="B329" s="446"/>
      <c r="C329" s="89"/>
      <c r="D329" s="13"/>
      <c r="E329" s="14"/>
      <c r="F329" s="14"/>
      <c r="G329" s="15"/>
      <c r="H329" s="8"/>
      <c r="I329" s="8"/>
      <c r="J329" s="89"/>
      <c r="K329" s="8"/>
      <c r="L329" s="8"/>
      <c r="M329" s="8" t="str">
        <f>IF(L329="","",
IF(AX329="PT",VLOOKUP(L329,Foundation_Calc!$V$4:$X$37,VLOOKUP(AX329,Foundation_Calc!$I$10:$J$13,2,FALSE),0),
IF(AX329="K",VLOOKUP(L329,Foundation_Calc!$V$41:$X$74,VLOOKUP(AX329,Foundation_Calc!$I$10:$J$13,2,FALSE),0),"")))</f>
        <v/>
      </c>
      <c r="N329" s="8"/>
      <c r="O329" s="8"/>
      <c r="P329" s="8"/>
      <c r="Q329" s="14"/>
      <c r="R329" s="15"/>
      <c r="S329" s="15"/>
      <c r="T329" s="14"/>
      <c r="U329" s="14"/>
      <c r="V329" s="14"/>
      <c r="W329" s="18"/>
      <c r="X329" s="18"/>
      <c r="Y329" s="18"/>
      <c r="Z329" s="18"/>
      <c r="AA329" s="18"/>
      <c r="AB329" s="18"/>
      <c r="AC329" s="8" t="str">
        <f t="shared" si="58"/>
        <v/>
      </c>
      <c r="AD329" s="8"/>
      <c r="AE329" s="8"/>
      <c r="AF329" s="14"/>
      <c r="AG329" s="13"/>
      <c r="AH329" s="14"/>
      <c r="AI329" s="14"/>
      <c r="AJ329" s="8"/>
      <c r="AK329" s="8"/>
      <c r="AL329" s="8"/>
      <c r="AM329" s="8"/>
      <c r="AN329" s="631"/>
      <c r="AO329" s="18"/>
      <c r="AP329" s="18"/>
      <c r="AQ329" s="18"/>
      <c r="AR329" s="18"/>
      <c r="AS329" s="18"/>
      <c r="AU329" s="448"/>
      <c r="AV329" s="448"/>
      <c r="AW329" s="8" t="str">
        <f>IF(C329&gt;0,VLOOKUP(C329,Foundation_Calc!$A$2:$C$986,3,1),
IF(J329&gt;0,VLOOKUP(J329,Foundation_Calc!$A$2:$C$986,3,1),""))</f>
        <v/>
      </c>
      <c r="AX329" s="8" t="str">
        <f>IF(C329&gt;0,VLOOKUP(C329,Foundation_Calc!$E$2:$G$986,3,1),
IF(J329&gt;0,VLOOKUP(J329,Foundation_Calc!$E$2:$G$986,3,1),""))</f>
        <v/>
      </c>
      <c r="AY329" s="631" t="str">
        <f>IF(L329="","",
IF(AX329="PT",VLOOKUP(L329,Foundation_Calc!$K$4:$R$37,VLOOKUP(AW329,Foundation_Calc!$I$2:$J$8,2,FALSE),0),
IF(AX329="K",VLOOKUP(L329,Foundation_Calc!$K$41:$R$74,VLOOKUP(AW329,Foundation_Calc!$I$2:$J$8,2,FALSE),0),"")))</f>
        <v/>
      </c>
      <c r="AZ329" s="631" t="str">
        <f>IF(K329="","",
IF(AX329="PT",VLOOKUP(K329,Foundation_Calc!$K$4:$R$37,VLOOKUP(AW329,Foundation_Calc!$I$2:$J$8,2,FALSE),0),
IF(AX329="K",VLOOKUP(K329,Foundation_Calc!$K$41:$R$74,VLOOKUP(AW329,Foundation_Calc!$I$2:$J$8,2,FALSE),0),"")))</f>
        <v/>
      </c>
      <c r="BA329" s="632" t="str">
        <f t="shared" si="59"/>
        <v/>
      </c>
      <c r="BB329" s="632" t="str">
        <f t="shared" si="60"/>
        <v/>
      </c>
      <c r="BC329" s="632" t="str">
        <f t="shared" si="61"/>
        <v/>
      </c>
      <c r="BD329" s="633" t="str">
        <f>IF(AND(L329="",H329=""),"",
IF(H329="",Pole_Calc!A357,
IF(H329="MP",Pole_Calc!A358,
IF(H329="AnMP",Pole_Calc!A359,
IF(H329="A",Pole_Calc!A360,
IF(H329="S/A",Pole_Calc!A361,
IF(H329="A/S",Pole_Calc!A362,"Poner a mano")))))))</f>
        <v/>
      </c>
      <c r="BE329" s="448" t="s">
        <v>1726</v>
      </c>
      <c r="BF329" s="635"/>
      <c r="BG329" s="635"/>
      <c r="BH329" s="634"/>
      <c r="BI329" s="635"/>
    </row>
    <row r="330" spans="1:61" ht="16.2" customHeight="1">
      <c r="A330" s="12"/>
      <c r="B330" s="446"/>
      <c r="C330" s="89"/>
      <c r="D330" s="13"/>
      <c r="E330" s="14"/>
      <c r="F330" s="14"/>
      <c r="G330" s="15"/>
      <c r="H330" s="8"/>
      <c r="I330" s="8"/>
      <c r="J330" s="89"/>
      <c r="K330" s="8"/>
      <c r="L330" s="8"/>
      <c r="M330" s="8" t="str">
        <f>IF(L330="","",
IF(AX330="PT",VLOOKUP(L330,Foundation_Calc!$V$4:$X$37,VLOOKUP(AX330,Foundation_Calc!$I$10:$J$13,2,FALSE),0),
IF(AX330="K",VLOOKUP(L330,Foundation_Calc!$V$41:$X$74,VLOOKUP(AX330,Foundation_Calc!$I$10:$J$13,2,FALSE),0),"")))</f>
        <v/>
      </c>
      <c r="N330" s="8"/>
      <c r="O330" s="8"/>
      <c r="P330" s="8"/>
      <c r="Q330" s="14"/>
      <c r="R330" s="15"/>
      <c r="S330" s="15"/>
      <c r="T330" s="14"/>
      <c r="U330" s="14"/>
      <c r="V330" s="14"/>
      <c r="W330" s="18"/>
      <c r="X330" s="18"/>
      <c r="Y330" s="18"/>
      <c r="Z330" s="18"/>
      <c r="AA330" s="18"/>
      <c r="AB330" s="18"/>
      <c r="AC330" s="8" t="str">
        <f t="shared" si="58"/>
        <v/>
      </c>
      <c r="AD330" s="8"/>
      <c r="AE330" s="8"/>
      <c r="AF330" s="14"/>
      <c r="AG330" s="13"/>
      <c r="AH330" s="14"/>
      <c r="AI330" s="14"/>
      <c r="AJ330" s="8"/>
      <c r="AK330" s="8"/>
      <c r="AL330" s="8"/>
      <c r="AM330" s="8"/>
      <c r="AN330" s="631"/>
      <c r="AO330" s="18"/>
      <c r="AP330" s="18"/>
      <c r="AQ330" s="18"/>
      <c r="AR330" s="18"/>
      <c r="AS330" s="18"/>
      <c r="AU330" s="448"/>
      <c r="AV330" s="448"/>
      <c r="AW330" s="8" t="str">
        <f>IF(C330&gt;0,VLOOKUP(C330,Foundation_Calc!$A$2:$C$986,3,1),
IF(J330&gt;0,VLOOKUP(J330,Foundation_Calc!$A$2:$C$986,3,1),""))</f>
        <v/>
      </c>
      <c r="AX330" s="8" t="str">
        <f>IF(C330&gt;0,VLOOKUP(C330,Foundation_Calc!$E$2:$G$986,3,1),
IF(J330&gt;0,VLOOKUP(J330,Foundation_Calc!$E$2:$G$986,3,1),""))</f>
        <v/>
      </c>
      <c r="AY330" s="631" t="str">
        <f>IF(L330="","",
IF(AX330="PT",VLOOKUP(L330,Foundation_Calc!$K$4:$R$37,VLOOKUP(AW330,Foundation_Calc!$I$2:$J$8,2,FALSE),0),
IF(AX330="K",VLOOKUP(L330,Foundation_Calc!$K$41:$R$74,VLOOKUP(AW330,Foundation_Calc!$I$2:$J$8,2,FALSE),0),"")))</f>
        <v/>
      </c>
      <c r="AZ330" s="631" t="str">
        <f>IF(K330="","",
IF(AX330="PT",VLOOKUP(K330,Foundation_Calc!$K$4:$R$37,VLOOKUP(AW330,Foundation_Calc!$I$2:$J$8,2,FALSE),0),
IF(AX330="K",VLOOKUP(K330,Foundation_Calc!$K$41:$R$74,VLOOKUP(AW330,Foundation_Calc!$I$2:$J$8,2,FALSE),0),"")))</f>
        <v/>
      </c>
      <c r="BA330" s="632" t="str">
        <f t="shared" si="59"/>
        <v/>
      </c>
      <c r="BB330" s="632" t="str">
        <f t="shared" si="60"/>
        <v/>
      </c>
      <c r="BC330" s="632" t="str">
        <f t="shared" si="61"/>
        <v/>
      </c>
      <c r="BD330" s="633" t="str">
        <f>IF(AND(L330="",H330=""),"",
IF(H330="",Pole_Calc!A358,
IF(H330="MP",Pole_Calc!A359,
IF(H330="AnMP",Pole_Calc!A360,
IF(H330="A",Pole_Calc!A361,
IF(H330="S/A",Pole_Calc!A362,
IF(H330="A/S",Pole_Calc!A363,"Poner a mano")))))))</f>
        <v/>
      </c>
      <c r="BE330" s="448" t="s">
        <v>1726</v>
      </c>
      <c r="BF330" s="634"/>
      <c r="BG330" s="634"/>
      <c r="BH330" s="634"/>
      <c r="BI330" s="634"/>
    </row>
    <row r="331" spans="1:61" ht="16.2" customHeight="1">
      <c r="A331" s="12"/>
      <c r="B331" s="446"/>
      <c r="C331" s="89"/>
      <c r="D331" s="13"/>
      <c r="E331" s="14"/>
      <c r="F331" s="14"/>
      <c r="G331" s="15"/>
      <c r="H331" s="8"/>
      <c r="I331" s="8"/>
      <c r="J331" s="89"/>
      <c r="K331" s="8"/>
      <c r="L331" s="8"/>
      <c r="M331" s="8" t="str">
        <f>IF(L331="","",
IF(AX331="PT",VLOOKUP(L331,Foundation_Calc!$V$4:$X$37,VLOOKUP(AX331,Foundation_Calc!$I$10:$J$13,2,FALSE),0),
IF(AX331="K",VLOOKUP(L331,Foundation_Calc!$V$41:$X$74,VLOOKUP(AX331,Foundation_Calc!$I$10:$J$13,2,FALSE),0),"")))</f>
        <v/>
      </c>
      <c r="N331" s="8"/>
      <c r="O331" s="8"/>
      <c r="P331" s="8"/>
      <c r="Q331" s="14"/>
      <c r="R331" s="15"/>
      <c r="S331" s="15"/>
      <c r="T331" s="14"/>
      <c r="U331" s="14"/>
      <c r="V331" s="14"/>
      <c r="W331" s="18"/>
      <c r="X331" s="18"/>
      <c r="Y331" s="18"/>
      <c r="Z331" s="18"/>
      <c r="AA331" s="18"/>
      <c r="AB331" s="18"/>
      <c r="AC331" s="8" t="str">
        <f t="shared" si="58"/>
        <v/>
      </c>
      <c r="AD331" s="8"/>
      <c r="AE331" s="8"/>
      <c r="AF331" s="14"/>
      <c r="AG331" s="13"/>
      <c r="AH331" s="14"/>
      <c r="AI331" s="14"/>
      <c r="AJ331" s="8"/>
      <c r="AK331" s="8"/>
      <c r="AL331" s="8"/>
      <c r="AM331" s="8"/>
      <c r="AN331" s="631"/>
      <c r="AO331" s="18"/>
      <c r="AP331" s="18"/>
      <c r="AQ331" s="18"/>
      <c r="AR331" s="18"/>
      <c r="AS331" s="18"/>
      <c r="AU331" s="448"/>
      <c r="AV331" s="448"/>
      <c r="AW331" s="8" t="str">
        <f>IF(C331&gt;0,VLOOKUP(C331,Foundation_Calc!$A$2:$C$986,3,1),
IF(J331&gt;0,VLOOKUP(J331,Foundation_Calc!$A$2:$C$986,3,1),""))</f>
        <v/>
      </c>
      <c r="AX331" s="8" t="str">
        <f>IF(C331&gt;0,VLOOKUP(C331,Foundation_Calc!$E$2:$G$986,3,1),
IF(J331&gt;0,VLOOKUP(J331,Foundation_Calc!$E$2:$G$986,3,1),""))</f>
        <v/>
      </c>
      <c r="AY331" s="631" t="str">
        <f>IF(L331="","",
IF(AX331="PT",VLOOKUP(L331,Foundation_Calc!$K$4:$R$37,VLOOKUP(AW331,Foundation_Calc!$I$2:$J$8,2,FALSE),0),
IF(AX331="K",VLOOKUP(L331,Foundation_Calc!$K$41:$R$74,VLOOKUP(AW331,Foundation_Calc!$I$2:$J$8,2,FALSE),0),"")))</f>
        <v/>
      </c>
      <c r="AZ331" s="631" t="str">
        <f>IF(K331="","",
IF(AX331="PT",VLOOKUP(K331,Foundation_Calc!$K$4:$R$37,VLOOKUP(AW331,Foundation_Calc!$I$2:$J$8,2,FALSE),0),
IF(AX331="K",VLOOKUP(K331,Foundation_Calc!$K$41:$R$74,VLOOKUP(AW331,Foundation_Calc!$I$2:$J$8,2,FALSE),0),"")))</f>
        <v/>
      </c>
      <c r="BA331" s="632" t="str">
        <f t="shared" si="59"/>
        <v/>
      </c>
      <c r="BB331" s="632" t="str">
        <f t="shared" si="60"/>
        <v/>
      </c>
      <c r="BC331" s="632" t="str">
        <f t="shared" si="61"/>
        <v/>
      </c>
      <c r="BD331" s="633" t="str">
        <f>IF(AND(L331="",H331=""),"",
IF(H331="",Pole_Calc!A359,
IF(H331="MP",Pole_Calc!A360,
IF(H331="AnMP",Pole_Calc!A361,
IF(H331="A",Pole_Calc!A362,
IF(H331="S/A",Pole_Calc!A363,
IF(H331="A/S",Pole_Calc!A364,"Poner a mano")))))))</f>
        <v/>
      </c>
      <c r="BE331" s="448" t="s">
        <v>1726</v>
      </c>
      <c r="BF331" s="635"/>
      <c r="BG331" s="635"/>
      <c r="BH331" s="634"/>
      <c r="BI331" s="635"/>
    </row>
    <row r="332" spans="1:61" ht="16.2" customHeight="1">
      <c r="A332" s="12"/>
      <c r="B332" s="446"/>
      <c r="C332" s="89"/>
      <c r="D332" s="13"/>
      <c r="E332" s="14"/>
      <c r="F332" s="14"/>
      <c r="G332" s="15"/>
      <c r="H332" s="8"/>
      <c r="I332" s="8"/>
      <c r="J332" s="89"/>
      <c r="K332" s="8"/>
      <c r="L332" s="8"/>
      <c r="M332" s="8" t="str">
        <f>IF(L332="","",
IF(AX332="PT",VLOOKUP(L332,Foundation_Calc!$V$4:$X$37,VLOOKUP(AX332,Foundation_Calc!$I$10:$J$13,2,FALSE),0),
IF(AX332="K",VLOOKUP(L332,Foundation_Calc!$V$41:$X$74,VLOOKUP(AX332,Foundation_Calc!$I$10:$J$13,2,FALSE),0),"")))</f>
        <v/>
      </c>
      <c r="N332" s="8"/>
      <c r="O332" s="8"/>
      <c r="P332" s="8"/>
      <c r="Q332" s="14"/>
      <c r="R332" s="15"/>
      <c r="S332" s="15"/>
      <c r="T332" s="14"/>
      <c r="U332" s="14"/>
      <c r="V332" s="14"/>
      <c r="W332" s="18"/>
      <c r="X332" s="18"/>
      <c r="Y332" s="18"/>
      <c r="Z332" s="18"/>
      <c r="AA332" s="18"/>
      <c r="AB332" s="18"/>
      <c r="AC332" s="8" t="str">
        <f t="shared" si="58"/>
        <v/>
      </c>
      <c r="AD332" s="8"/>
      <c r="AE332" s="8"/>
      <c r="AF332" s="14"/>
      <c r="AG332" s="13"/>
      <c r="AH332" s="14"/>
      <c r="AI332" s="14"/>
      <c r="AJ332" s="8"/>
      <c r="AK332" s="8"/>
      <c r="AL332" s="8"/>
      <c r="AM332" s="8"/>
      <c r="AN332" s="631"/>
      <c r="AO332" s="18"/>
      <c r="AP332" s="18"/>
      <c r="AQ332" s="18"/>
      <c r="AR332" s="18"/>
      <c r="AS332" s="18"/>
      <c r="AU332" s="448"/>
      <c r="AV332" s="448"/>
      <c r="AW332" s="8" t="str">
        <f>IF(C332&gt;0,VLOOKUP(C332,Foundation_Calc!$A$2:$C$986,3,1),
IF(J332&gt;0,VLOOKUP(J332,Foundation_Calc!$A$2:$C$986,3,1),""))</f>
        <v/>
      </c>
      <c r="AX332" s="8" t="str">
        <f>IF(C332&gt;0,VLOOKUP(C332,Foundation_Calc!$E$2:$G$986,3,1),
IF(J332&gt;0,VLOOKUP(J332,Foundation_Calc!$E$2:$G$986,3,1),""))</f>
        <v/>
      </c>
      <c r="AY332" s="631" t="str">
        <f>IF(L332="","",
IF(AX332="PT",VLOOKUP(L332,Foundation_Calc!$K$4:$R$37,VLOOKUP(AW332,Foundation_Calc!$I$2:$J$8,2,FALSE),0),
IF(AX332="K",VLOOKUP(L332,Foundation_Calc!$K$41:$R$74,VLOOKUP(AW332,Foundation_Calc!$I$2:$J$8,2,FALSE),0),"")))</f>
        <v/>
      </c>
      <c r="AZ332" s="631" t="str">
        <f>IF(K332="","",
IF(AX332="PT",VLOOKUP(K332,Foundation_Calc!$K$4:$R$37,VLOOKUP(AW332,Foundation_Calc!$I$2:$J$8,2,FALSE),0),
IF(AX332="K",VLOOKUP(K332,Foundation_Calc!$K$41:$R$74,VLOOKUP(AW332,Foundation_Calc!$I$2:$J$8,2,FALSE),0),"")))</f>
        <v/>
      </c>
      <c r="BA332" s="632" t="str">
        <f t="shared" si="59"/>
        <v/>
      </c>
      <c r="BB332" s="632" t="str">
        <f t="shared" si="60"/>
        <v/>
      </c>
      <c r="BC332" s="632" t="str">
        <f t="shared" si="61"/>
        <v/>
      </c>
      <c r="BD332" s="633" t="str">
        <f>IF(AND(L332="",H332=""),"",
IF(H332="",Pole_Calc!A360,
IF(H332="MP",Pole_Calc!A361,
IF(H332="AnMP",Pole_Calc!A362,
IF(H332="A",Pole_Calc!A363,
IF(H332="S/A",Pole_Calc!A364,
IF(H332="A/S",Pole_Calc!A365,"Poner a mano")))))))</f>
        <v/>
      </c>
      <c r="BE332" s="448" t="s">
        <v>1726</v>
      </c>
      <c r="BF332" s="634"/>
      <c r="BG332" s="634"/>
      <c r="BH332" s="634"/>
      <c r="BI332" s="634"/>
    </row>
    <row r="333" spans="1:61" ht="16.2" customHeight="1">
      <c r="A333" s="12"/>
      <c r="B333" s="446"/>
      <c r="C333" s="89"/>
      <c r="D333" s="13"/>
      <c r="E333" s="14"/>
      <c r="F333" s="14"/>
      <c r="G333" s="15"/>
      <c r="H333" s="8"/>
      <c r="I333" s="8"/>
      <c r="J333" s="89"/>
      <c r="K333" s="8"/>
      <c r="L333" s="8"/>
      <c r="M333" s="8" t="str">
        <f>IF(L333="","",
IF(AX333="PT",VLOOKUP(L333,Foundation_Calc!$V$4:$X$37,VLOOKUP(AX333,Foundation_Calc!$I$10:$J$13,2,FALSE),0),
IF(AX333="K",VLOOKUP(L333,Foundation_Calc!$V$41:$X$74,VLOOKUP(AX333,Foundation_Calc!$I$10:$J$13,2,FALSE),0),"")))</f>
        <v/>
      </c>
      <c r="N333" s="8"/>
      <c r="O333" s="8"/>
      <c r="P333" s="8"/>
      <c r="Q333" s="14"/>
      <c r="R333" s="15"/>
      <c r="S333" s="15"/>
      <c r="T333" s="14"/>
      <c r="U333" s="14"/>
      <c r="V333" s="14"/>
      <c r="W333" s="18"/>
      <c r="X333" s="18"/>
      <c r="Y333" s="18"/>
      <c r="Z333" s="18"/>
      <c r="AA333" s="18"/>
      <c r="AB333" s="18"/>
      <c r="AC333" s="8" t="str">
        <f t="shared" si="58"/>
        <v/>
      </c>
      <c r="AD333" s="8"/>
      <c r="AE333" s="8"/>
      <c r="AF333" s="14"/>
      <c r="AG333" s="13"/>
      <c r="AH333" s="14"/>
      <c r="AI333" s="14"/>
      <c r="AJ333" s="8"/>
      <c r="AK333" s="8"/>
      <c r="AL333" s="8"/>
      <c r="AM333" s="8"/>
      <c r="AN333" s="631"/>
      <c r="AO333" s="18"/>
      <c r="AP333" s="18"/>
      <c r="AQ333" s="18"/>
      <c r="AR333" s="18"/>
      <c r="AS333" s="18"/>
      <c r="AU333" s="448"/>
      <c r="AV333" s="448"/>
      <c r="AW333" s="8" t="str">
        <f>IF(C333&gt;0,VLOOKUP(C333,Foundation_Calc!$A$2:$C$986,3,1),
IF(J333&gt;0,VLOOKUP(J333,Foundation_Calc!$A$2:$C$986,3,1),""))</f>
        <v/>
      </c>
      <c r="AX333" s="8" t="str">
        <f>IF(C333&gt;0,VLOOKUP(C333,Foundation_Calc!$E$2:$G$986,3,1),
IF(J333&gt;0,VLOOKUP(J333,Foundation_Calc!$E$2:$G$986,3,1),""))</f>
        <v/>
      </c>
      <c r="AY333" s="631" t="str">
        <f>IF(L333="","",
IF(AX333="PT",VLOOKUP(L333,Foundation_Calc!$K$4:$R$37,VLOOKUP(AW333,Foundation_Calc!$I$2:$J$8,2,FALSE),0),
IF(AX333="K",VLOOKUP(L333,Foundation_Calc!$K$41:$R$74,VLOOKUP(AW333,Foundation_Calc!$I$2:$J$8,2,FALSE),0),"")))</f>
        <v/>
      </c>
      <c r="AZ333" s="631" t="str">
        <f>IF(K333="","",
IF(AX333="PT",VLOOKUP(K333,Foundation_Calc!$K$4:$R$37,VLOOKUP(AW333,Foundation_Calc!$I$2:$J$8,2,FALSE),0),
IF(AX333="K",VLOOKUP(K333,Foundation_Calc!$K$41:$R$74,VLOOKUP(AW333,Foundation_Calc!$I$2:$J$8,2,FALSE),0),"")))</f>
        <v/>
      </c>
      <c r="BA333" s="632" t="str">
        <f t="shared" si="59"/>
        <v/>
      </c>
      <c r="BB333" s="632" t="str">
        <f t="shared" si="60"/>
        <v/>
      </c>
      <c r="BC333" s="632" t="str">
        <f t="shared" si="61"/>
        <v/>
      </c>
      <c r="BD333" s="633" t="str">
        <f>IF(AND(L333="",H333=""),"",
IF(H333="",Pole_Calc!A361,
IF(H333="MP",Pole_Calc!A362,
IF(H333="AnMP",Pole_Calc!A363,
IF(H333="A",Pole_Calc!A364,
IF(H333="S/A",Pole_Calc!A365,
IF(H333="A/S",Pole_Calc!A366,"Poner a mano")))))))</f>
        <v/>
      </c>
      <c r="BE333" s="448" t="s">
        <v>1726</v>
      </c>
      <c r="BF333" s="635"/>
      <c r="BG333" s="635"/>
      <c r="BH333" s="634"/>
      <c r="BI333" s="635"/>
    </row>
    <row r="334" spans="1:61" ht="16.2" customHeight="1">
      <c r="A334" s="12"/>
      <c r="B334" s="446"/>
      <c r="C334" s="89"/>
      <c r="D334" s="13"/>
      <c r="E334" s="14"/>
      <c r="F334" s="14"/>
      <c r="G334" s="15"/>
      <c r="H334" s="8"/>
      <c r="I334" s="8"/>
      <c r="J334" s="89"/>
      <c r="K334" s="8"/>
      <c r="L334" s="8"/>
      <c r="M334" s="8" t="str">
        <f>IF(L334="","",
IF(AX334="PT",VLOOKUP(L334,Foundation_Calc!$V$4:$X$37,VLOOKUP(AX334,Foundation_Calc!$I$10:$J$13,2,FALSE),0),
IF(AX334="K",VLOOKUP(L334,Foundation_Calc!$V$41:$X$74,VLOOKUP(AX334,Foundation_Calc!$I$10:$J$13,2,FALSE),0),"")))</f>
        <v/>
      </c>
      <c r="N334" s="8"/>
      <c r="O334" s="8"/>
      <c r="P334" s="8"/>
      <c r="Q334" s="14"/>
      <c r="R334" s="15"/>
      <c r="S334" s="15"/>
      <c r="T334" s="14"/>
      <c r="U334" s="14"/>
      <c r="V334" s="14"/>
      <c r="W334" s="18"/>
      <c r="X334" s="18"/>
      <c r="Y334" s="18"/>
      <c r="Z334" s="18"/>
      <c r="AA334" s="18"/>
      <c r="AB334" s="18"/>
      <c r="AC334" s="8" t="str">
        <f t="shared" si="58"/>
        <v/>
      </c>
      <c r="AD334" s="8"/>
      <c r="AE334" s="8"/>
      <c r="AF334" s="14"/>
      <c r="AG334" s="13"/>
      <c r="AH334" s="14"/>
      <c r="AI334" s="14"/>
      <c r="AJ334" s="8"/>
      <c r="AK334" s="8"/>
      <c r="AL334" s="8"/>
      <c r="AM334" s="8"/>
      <c r="AN334" s="631"/>
      <c r="AO334" s="18"/>
      <c r="AP334" s="18"/>
      <c r="AQ334" s="18"/>
      <c r="AR334" s="18"/>
      <c r="AS334" s="18"/>
      <c r="AU334" s="448"/>
      <c r="AV334" s="448"/>
      <c r="AW334" s="8" t="str">
        <f>IF(C334&gt;0,VLOOKUP(C334,Foundation_Calc!$A$2:$C$986,3,1),
IF(J334&gt;0,VLOOKUP(J334,Foundation_Calc!$A$2:$C$986,3,1),""))</f>
        <v/>
      </c>
      <c r="AX334" s="8" t="str">
        <f>IF(C334&gt;0,VLOOKUP(C334,Foundation_Calc!$E$2:$G$986,3,1),
IF(J334&gt;0,VLOOKUP(J334,Foundation_Calc!$E$2:$G$986,3,1),""))</f>
        <v/>
      </c>
      <c r="AY334" s="631" t="str">
        <f>IF(L334="","",
IF(AX334="PT",VLOOKUP(L334,Foundation_Calc!$K$4:$R$37,VLOOKUP(AW334,Foundation_Calc!$I$2:$J$8,2,FALSE),0),
IF(AX334="K",VLOOKUP(L334,Foundation_Calc!$K$41:$R$74,VLOOKUP(AW334,Foundation_Calc!$I$2:$J$8,2,FALSE),0),"")))</f>
        <v/>
      </c>
      <c r="AZ334" s="631" t="str">
        <f>IF(K334="","",
IF(AX334="PT",VLOOKUP(K334,Foundation_Calc!$K$4:$R$37,VLOOKUP(AW334,Foundation_Calc!$I$2:$J$8,2,FALSE),0),
IF(AX334="K",VLOOKUP(K334,Foundation_Calc!$K$41:$R$74,VLOOKUP(AW334,Foundation_Calc!$I$2:$J$8,2,FALSE),0),"")))</f>
        <v/>
      </c>
      <c r="BA334" s="632" t="str">
        <f t="shared" si="59"/>
        <v/>
      </c>
      <c r="BB334" s="632" t="str">
        <f t="shared" si="60"/>
        <v/>
      </c>
      <c r="BC334" s="632" t="str">
        <f t="shared" si="61"/>
        <v/>
      </c>
      <c r="BD334" s="633" t="str">
        <f>IF(AND(L334="",H334=""),"",
IF(H334="",Pole_Calc!A362,
IF(H334="MP",Pole_Calc!A363,
IF(H334="AnMP",Pole_Calc!A364,
IF(H334="A",Pole_Calc!A365,
IF(H334="S/A",Pole_Calc!A366,
IF(H334="A/S",Pole_Calc!A367,"Poner a mano")))))))</f>
        <v/>
      </c>
      <c r="BE334" s="448" t="s">
        <v>1726</v>
      </c>
      <c r="BF334" s="634"/>
      <c r="BG334" s="634"/>
      <c r="BH334" s="634"/>
      <c r="BI334" s="634"/>
    </row>
    <row r="335" spans="1:61" ht="16.2" customHeight="1">
      <c r="A335" s="12"/>
      <c r="B335" s="446"/>
      <c r="C335" s="89"/>
      <c r="D335" s="13"/>
      <c r="E335" s="14"/>
      <c r="F335" s="14"/>
      <c r="G335" s="15"/>
      <c r="H335" s="8"/>
      <c r="I335" s="8"/>
      <c r="J335" s="89"/>
      <c r="K335" s="8"/>
      <c r="L335" s="8"/>
      <c r="M335" s="8" t="str">
        <f>IF(L335="","",
IF(AX335="PT",VLOOKUP(L335,Foundation_Calc!$V$4:$X$37,VLOOKUP(AX335,Foundation_Calc!$I$10:$J$13,2,FALSE),0),
IF(AX335="K",VLOOKUP(L335,Foundation_Calc!$V$41:$X$74,VLOOKUP(AX335,Foundation_Calc!$I$10:$J$13,2,FALSE),0),"")))</f>
        <v/>
      </c>
      <c r="N335" s="8"/>
      <c r="O335" s="8"/>
      <c r="P335" s="8"/>
      <c r="Q335" s="14"/>
      <c r="R335" s="15"/>
      <c r="S335" s="15"/>
      <c r="T335" s="14"/>
      <c r="U335" s="14"/>
      <c r="V335" s="14"/>
      <c r="W335" s="18"/>
      <c r="X335" s="18"/>
      <c r="Y335" s="18"/>
      <c r="Z335" s="18"/>
      <c r="AA335" s="18"/>
      <c r="AB335" s="18"/>
      <c r="AC335" s="8" t="str">
        <f t="shared" si="58"/>
        <v/>
      </c>
      <c r="AD335" s="8"/>
      <c r="AE335" s="8"/>
      <c r="AF335" s="14"/>
      <c r="AG335" s="13"/>
      <c r="AH335" s="14"/>
      <c r="AI335" s="14"/>
      <c r="AJ335" s="8"/>
      <c r="AK335" s="8"/>
      <c r="AL335" s="8"/>
      <c r="AM335" s="8"/>
      <c r="AN335" s="631"/>
      <c r="AO335" s="18"/>
      <c r="AP335" s="18"/>
      <c r="AQ335" s="18"/>
      <c r="AR335" s="18"/>
      <c r="AS335" s="18"/>
      <c r="AU335" s="448"/>
      <c r="AV335" s="448"/>
      <c r="AW335" s="8" t="str">
        <f>IF(C335&gt;0,VLOOKUP(C335,Foundation_Calc!$A$2:$C$986,3,1),
IF(J335&gt;0,VLOOKUP(J335,Foundation_Calc!$A$2:$C$986,3,1),""))</f>
        <v/>
      </c>
      <c r="AX335" s="8" t="str">
        <f>IF(C335&gt;0,VLOOKUP(C335,Foundation_Calc!$E$2:$G$986,3,1),
IF(J335&gt;0,VLOOKUP(J335,Foundation_Calc!$E$2:$G$986,3,1),""))</f>
        <v/>
      </c>
      <c r="AY335" s="631" t="str">
        <f>IF(L335="","",
IF(AX335="PT",VLOOKUP(L335,Foundation_Calc!$K$4:$R$37,VLOOKUP(AW335,Foundation_Calc!$I$2:$J$8,2,FALSE),0),
IF(AX335="K",VLOOKUP(L335,Foundation_Calc!$K$41:$R$74,VLOOKUP(AW335,Foundation_Calc!$I$2:$J$8,2,FALSE),0),"")))</f>
        <v/>
      </c>
      <c r="AZ335" s="631" t="str">
        <f>IF(K335="","",
IF(AX335="PT",VLOOKUP(K335,Foundation_Calc!$K$4:$R$37,VLOOKUP(AW335,Foundation_Calc!$I$2:$J$8,2,FALSE),0),
IF(AX335="K",VLOOKUP(K335,Foundation_Calc!$K$41:$R$74,VLOOKUP(AW335,Foundation_Calc!$I$2:$J$8,2,FALSE),0),"")))</f>
        <v/>
      </c>
      <c r="BA335" s="632" t="str">
        <f t="shared" si="59"/>
        <v/>
      </c>
      <c r="BB335" s="632" t="str">
        <f t="shared" si="60"/>
        <v/>
      </c>
      <c r="BC335" s="632" t="str">
        <f t="shared" si="61"/>
        <v/>
      </c>
      <c r="BD335" s="633" t="str">
        <f>IF(AND(L335="",H335=""),"",
IF(H335="",Pole_Calc!A363,
IF(H335="MP",Pole_Calc!A364,
IF(H335="AnMP",Pole_Calc!A365,
IF(H335="A",Pole_Calc!A366,
IF(H335="S/A",Pole_Calc!A367,
IF(H335="A/S",Pole_Calc!A368,"Poner a mano")))))))</f>
        <v/>
      </c>
      <c r="BE335" s="448" t="s">
        <v>1726</v>
      </c>
      <c r="BF335" s="635"/>
      <c r="BG335" s="635"/>
      <c r="BH335" s="634"/>
      <c r="BI335" s="635"/>
    </row>
    <row r="336" spans="1:61" ht="16.2" customHeight="1">
      <c r="A336" s="12"/>
      <c r="B336" s="446"/>
      <c r="C336" s="89"/>
      <c r="D336" s="13"/>
      <c r="E336" s="14"/>
      <c r="F336" s="14"/>
      <c r="G336" s="15"/>
      <c r="H336" s="8"/>
      <c r="I336" s="8"/>
      <c r="J336" s="89"/>
      <c r="K336" s="8"/>
      <c r="L336" s="8"/>
      <c r="M336" s="8" t="str">
        <f>IF(L336="","",
IF(AX336="PT",VLOOKUP(L336,Foundation_Calc!$V$4:$X$37,VLOOKUP(AX336,Foundation_Calc!$I$10:$J$13,2,FALSE),0),
IF(AX336="K",VLOOKUP(L336,Foundation_Calc!$V$41:$X$74,VLOOKUP(AX336,Foundation_Calc!$I$10:$J$13,2,FALSE),0),"")))</f>
        <v/>
      </c>
      <c r="N336" s="8"/>
      <c r="O336" s="8"/>
      <c r="P336" s="8"/>
      <c r="Q336" s="14"/>
      <c r="R336" s="15"/>
      <c r="S336" s="15"/>
      <c r="T336" s="14"/>
      <c r="U336" s="14"/>
      <c r="V336" s="14"/>
      <c r="W336" s="18"/>
      <c r="X336" s="18"/>
      <c r="Y336" s="18"/>
      <c r="Z336" s="18"/>
      <c r="AA336" s="18"/>
      <c r="AB336" s="18"/>
      <c r="AC336" s="8" t="str">
        <f t="shared" si="58"/>
        <v/>
      </c>
      <c r="AD336" s="8"/>
      <c r="AE336" s="8"/>
      <c r="AF336" s="14"/>
      <c r="AG336" s="13"/>
      <c r="AH336" s="14"/>
      <c r="AI336" s="14"/>
      <c r="AJ336" s="8"/>
      <c r="AK336" s="8"/>
      <c r="AL336" s="8"/>
      <c r="AM336" s="8"/>
      <c r="AN336" s="631"/>
      <c r="AO336" s="18"/>
      <c r="AP336" s="18"/>
      <c r="AQ336" s="18"/>
      <c r="AR336" s="18"/>
      <c r="AS336" s="18"/>
      <c r="AU336" s="448"/>
      <c r="AV336" s="448"/>
      <c r="AW336" s="8" t="str">
        <f>IF(C336&gt;0,VLOOKUP(C336,Foundation_Calc!$A$2:$C$986,3,1),
IF(J336&gt;0,VLOOKUP(J336,Foundation_Calc!$A$2:$C$986,3,1),""))</f>
        <v/>
      </c>
      <c r="AX336" s="8" t="str">
        <f>IF(C336&gt;0,VLOOKUP(C336,Foundation_Calc!$E$2:$G$986,3,1),
IF(J336&gt;0,VLOOKUP(J336,Foundation_Calc!$E$2:$G$986,3,1),""))</f>
        <v/>
      </c>
      <c r="AY336" s="631" t="str">
        <f>IF(L336="","",
IF(AX336="PT",VLOOKUP(L336,Foundation_Calc!$K$4:$R$37,VLOOKUP(AW336,Foundation_Calc!$I$2:$J$8,2,FALSE),0),
IF(AX336="K",VLOOKUP(L336,Foundation_Calc!$K$41:$R$74,VLOOKUP(AW336,Foundation_Calc!$I$2:$J$8,2,FALSE),0),"")))</f>
        <v/>
      </c>
      <c r="AZ336" s="631" t="str">
        <f>IF(K336="","",
IF(AX336="PT",VLOOKUP(K336,Foundation_Calc!$K$4:$R$37,VLOOKUP(AW336,Foundation_Calc!$I$2:$J$8,2,FALSE),0),
IF(AX336="K",VLOOKUP(K336,Foundation_Calc!$K$41:$R$74,VLOOKUP(AW336,Foundation_Calc!$I$2:$J$8,2,FALSE),0),"")))</f>
        <v/>
      </c>
      <c r="BA336" s="632" t="str">
        <f t="shared" si="59"/>
        <v/>
      </c>
      <c r="BB336" s="632" t="str">
        <f t="shared" si="60"/>
        <v/>
      </c>
      <c r="BC336" s="632" t="str">
        <f t="shared" si="61"/>
        <v/>
      </c>
      <c r="BD336" s="633" t="str">
        <f>IF(AND(L336="",H336=""),"",
IF(H336="",Pole_Calc!A364,
IF(H336="MP",Pole_Calc!A365,
IF(H336="AnMP",Pole_Calc!A366,
IF(H336="A",Pole_Calc!A367,
IF(H336="S/A",Pole_Calc!A368,
IF(H336="A/S",Pole_Calc!A369,"Poner a mano")))))))</f>
        <v/>
      </c>
      <c r="BE336" s="448" t="s">
        <v>1726</v>
      </c>
      <c r="BF336" s="634"/>
      <c r="BG336" s="634"/>
      <c r="BH336" s="634"/>
      <c r="BI336" s="634"/>
    </row>
    <row r="337" spans="1:61" ht="16.2" customHeight="1">
      <c r="A337" s="12"/>
      <c r="B337" s="446"/>
      <c r="C337" s="89"/>
      <c r="D337" s="13"/>
      <c r="E337" s="14"/>
      <c r="F337" s="14"/>
      <c r="G337" s="15"/>
      <c r="H337" s="8"/>
      <c r="I337" s="8"/>
      <c r="J337" s="89"/>
      <c r="K337" s="8"/>
      <c r="L337" s="8"/>
      <c r="M337" s="8" t="str">
        <f>IF(L337="","",
IF(AX337="PT",VLOOKUP(L337,Foundation_Calc!$V$4:$X$37,VLOOKUP(AX337,Foundation_Calc!$I$10:$J$13,2,FALSE),0),
IF(AX337="K",VLOOKUP(L337,Foundation_Calc!$V$41:$X$74,VLOOKUP(AX337,Foundation_Calc!$I$10:$J$13,2,FALSE),0),"")))</f>
        <v/>
      </c>
      <c r="N337" s="8"/>
      <c r="O337" s="8"/>
      <c r="P337" s="8"/>
      <c r="Q337" s="14"/>
      <c r="R337" s="15"/>
      <c r="S337" s="15"/>
      <c r="T337" s="14"/>
      <c r="U337" s="14"/>
      <c r="V337" s="14"/>
      <c r="W337" s="18"/>
      <c r="X337" s="18"/>
      <c r="Y337" s="18"/>
      <c r="Z337" s="18"/>
      <c r="AA337" s="18"/>
      <c r="AB337" s="18"/>
      <c r="AC337" s="8" t="str">
        <f t="shared" si="58"/>
        <v/>
      </c>
      <c r="AD337" s="8"/>
      <c r="AE337" s="8"/>
      <c r="AF337" s="14"/>
      <c r="AG337" s="13"/>
      <c r="AH337" s="14"/>
      <c r="AI337" s="14"/>
      <c r="AJ337" s="8"/>
      <c r="AK337" s="8"/>
      <c r="AL337" s="8"/>
      <c r="AM337" s="8"/>
      <c r="AN337" s="631"/>
      <c r="AO337" s="18"/>
      <c r="AP337" s="18"/>
      <c r="AQ337" s="18"/>
      <c r="AR337" s="18"/>
      <c r="AS337" s="18"/>
      <c r="AU337" s="448"/>
      <c r="AV337" s="448"/>
      <c r="AW337" s="8" t="str">
        <f>IF(C337&gt;0,VLOOKUP(C337,Foundation_Calc!$A$2:$C$986,3,1),
IF(J337&gt;0,VLOOKUP(J337,Foundation_Calc!$A$2:$C$986,3,1),""))</f>
        <v/>
      </c>
      <c r="AX337" s="8" t="str">
        <f>IF(C337&gt;0,VLOOKUP(C337,Foundation_Calc!$E$2:$G$986,3,1),
IF(J337&gt;0,VLOOKUP(J337,Foundation_Calc!$E$2:$G$986,3,1),""))</f>
        <v/>
      </c>
      <c r="AY337" s="631" t="str">
        <f>IF(L337="","",
IF(AX337="PT",VLOOKUP(L337,Foundation_Calc!$K$4:$R$37,VLOOKUP(AW337,Foundation_Calc!$I$2:$J$8,2,FALSE),0),
IF(AX337="K",VLOOKUP(L337,Foundation_Calc!$K$41:$R$74,VLOOKUP(AW337,Foundation_Calc!$I$2:$J$8,2,FALSE),0),"")))</f>
        <v/>
      </c>
      <c r="AZ337" s="631" t="str">
        <f>IF(K337="","",
IF(AX337="PT",VLOOKUP(K337,Foundation_Calc!$K$4:$R$37,VLOOKUP(AW337,Foundation_Calc!$I$2:$J$8,2,FALSE),0),
IF(AX337="K",VLOOKUP(K337,Foundation_Calc!$K$41:$R$74,VLOOKUP(AW337,Foundation_Calc!$I$2:$J$8,2,FALSE),0),"")))</f>
        <v/>
      </c>
      <c r="BA337" s="632" t="str">
        <f t="shared" si="59"/>
        <v/>
      </c>
      <c r="BB337" s="632" t="str">
        <f t="shared" si="60"/>
        <v/>
      </c>
      <c r="BC337" s="632" t="str">
        <f t="shared" si="61"/>
        <v/>
      </c>
      <c r="BD337" s="633" t="str">
        <f>IF(AND(L337="",H337=""),"",
IF(H337="",Pole_Calc!A365,
IF(H337="MP",Pole_Calc!A366,
IF(H337="AnMP",Pole_Calc!A367,
IF(H337="A",Pole_Calc!A368,
IF(H337="S/A",Pole_Calc!A369,
IF(H337="A/S",Pole_Calc!A370,"Poner a mano")))))))</f>
        <v/>
      </c>
      <c r="BE337" s="448" t="s">
        <v>1726</v>
      </c>
      <c r="BF337" s="635"/>
      <c r="BG337" s="635"/>
      <c r="BH337" s="634"/>
      <c r="BI337" s="635"/>
    </row>
    <row r="338" spans="1:61" ht="16.2" customHeight="1">
      <c r="A338" s="12"/>
      <c r="B338" s="446"/>
      <c r="C338" s="89"/>
      <c r="D338" s="13"/>
      <c r="E338" s="14"/>
      <c r="F338" s="14"/>
      <c r="G338" s="15"/>
      <c r="H338" s="8"/>
      <c r="I338" s="8"/>
      <c r="J338" s="89"/>
      <c r="K338" s="8"/>
      <c r="L338" s="8"/>
      <c r="M338" s="8" t="str">
        <f>IF(L338="","",
IF(AX338="PT",VLOOKUP(L338,Foundation_Calc!$V$4:$X$37,VLOOKUP(AX338,Foundation_Calc!$I$10:$J$13,2,FALSE),0),
IF(AX338="K",VLOOKUP(L338,Foundation_Calc!$V$41:$X$74,VLOOKUP(AX338,Foundation_Calc!$I$10:$J$13,2,FALSE),0),"")))</f>
        <v/>
      </c>
      <c r="N338" s="8"/>
      <c r="O338" s="8"/>
      <c r="P338" s="8"/>
      <c r="Q338" s="14"/>
      <c r="R338" s="15"/>
      <c r="S338" s="15"/>
      <c r="T338" s="14"/>
      <c r="U338" s="14"/>
      <c r="V338" s="14"/>
      <c r="W338" s="18"/>
      <c r="X338" s="18"/>
      <c r="Y338" s="18"/>
      <c r="Z338" s="18"/>
      <c r="AA338" s="18"/>
      <c r="AB338" s="18"/>
      <c r="AC338" s="8" t="str">
        <f t="shared" si="58"/>
        <v/>
      </c>
      <c r="AD338" s="8"/>
      <c r="AE338" s="8"/>
      <c r="AF338" s="14"/>
      <c r="AG338" s="13"/>
      <c r="AH338" s="14"/>
      <c r="AI338" s="14"/>
      <c r="AJ338" s="8"/>
      <c r="AK338" s="8"/>
      <c r="AL338" s="8"/>
      <c r="AM338" s="8"/>
      <c r="AN338" s="631"/>
      <c r="AO338" s="18"/>
      <c r="AP338" s="18"/>
      <c r="AQ338" s="18"/>
      <c r="AR338" s="18"/>
      <c r="AS338" s="18"/>
      <c r="AU338" s="448"/>
      <c r="AV338" s="448"/>
      <c r="AW338" s="8" t="str">
        <f>IF(C338&gt;0,VLOOKUP(C338,Foundation_Calc!$A$2:$C$986,3,1),
IF(J338&gt;0,VLOOKUP(J338,Foundation_Calc!$A$2:$C$986,3,1),""))</f>
        <v/>
      </c>
      <c r="AX338" s="8" t="str">
        <f>IF(C338&gt;0,VLOOKUP(C338,Foundation_Calc!$E$2:$G$986,3,1),
IF(J338&gt;0,VLOOKUP(J338,Foundation_Calc!$E$2:$G$986,3,1),""))</f>
        <v/>
      </c>
      <c r="AY338" s="631" t="str">
        <f>IF(L338="","",
IF(AX338="PT",VLOOKUP(L338,Foundation_Calc!$K$4:$R$37,VLOOKUP(AW338,Foundation_Calc!$I$2:$J$8,2,FALSE),0),
IF(AX338="K",VLOOKUP(L338,Foundation_Calc!$K$41:$R$74,VLOOKUP(AW338,Foundation_Calc!$I$2:$J$8,2,FALSE),0),"")))</f>
        <v/>
      </c>
      <c r="AZ338" s="631" t="str">
        <f>IF(K338="","",
IF(AX338="PT",VLOOKUP(K338,Foundation_Calc!$K$4:$R$37,VLOOKUP(AW338,Foundation_Calc!$I$2:$J$8,2,FALSE),0),
IF(AX338="K",VLOOKUP(K338,Foundation_Calc!$K$41:$R$74,VLOOKUP(AW338,Foundation_Calc!$I$2:$J$8,2,FALSE),0),"")))</f>
        <v/>
      </c>
      <c r="BA338" s="632" t="str">
        <f t="shared" si="59"/>
        <v/>
      </c>
      <c r="BB338" s="632" t="str">
        <f t="shared" si="60"/>
        <v/>
      </c>
      <c r="BC338" s="632" t="str">
        <f t="shared" si="61"/>
        <v/>
      </c>
      <c r="BD338" s="633" t="str">
        <f>IF(AND(L338="",H338=""),"",
IF(H338="",Pole_Calc!A366,
IF(H338="MP",Pole_Calc!A367,
IF(H338="AnMP",Pole_Calc!A368,
IF(H338="A",Pole_Calc!A369,
IF(H338="S/A",Pole_Calc!A370,
IF(H338="A/S",Pole_Calc!A371,"Poner a mano")))))))</f>
        <v/>
      </c>
      <c r="BE338" s="448" t="s">
        <v>1726</v>
      </c>
      <c r="BF338" s="634"/>
      <c r="BG338" s="634"/>
      <c r="BH338" s="634"/>
      <c r="BI338" s="634"/>
    </row>
    <row r="339" spans="1:61" ht="16.2" customHeight="1">
      <c r="A339" s="12"/>
      <c r="B339" s="446"/>
      <c r="C339" s="89"/>
      <c r="D339" s="13"/>
      <c r="E339" s="14"/>
      <c r="F339" s="14"/>
      <c r="G339" s="15"/>
      <c r="H339" s="8"/>
      <c r="I339" s="8"/>
      <c r="J339" s="89"/>
      <c r="K339" s="8"/>
      <c r="L339" s="8"/>
      <c r="M339" s="8" t="str">
        <f>IF(L339="","",
IF(AX339="PT",VLOOKUP(L339,Foundation_Calc!$V$4:$X$37,VLOOKUP(AX339,Foundation_Calc!$I$10:$J$13,2,FALSE),0),
IF(AX339="K",VLOOKUP(L339,Foundation_Calc!$V$41:$X$74,VLOOKUP(AX339,Foundation_Calc!$I$10:$J$13,2,FALSE),0),"")))</f>
        <v/>
      </c>
      <c r="N339" s="8"/>
      <c r="O339" s="8"/>
      <c r="P339" s="8"/>
      <c r="Q339" s="14"/>
      <c r="R339" s="15"/>
      <c r="S339" s="15"/>
      <c r="T339" s="14"/>
      <c r="U339" s="14"/>
      <c r="V339" s="14"/>
      <c r="W339" s="18"/>
      <c r="X339" s="18"/>
      <c r="Y339" s="18"/>
      <c r="Z339" s="18"/>
      <c r="AA339" s="18"/>
      <c r="AB339" s="18"/>
      <c r="AC339" s="8" t="str">
        <f t="shared" si="58"/>
        <v/>
      </c>
      <c r="AD339" s="8"/>
      <c r="AE339" s="8"/>
      <c r="AF339" s="14"/>
      <c r="AG339" s="13"/>
      <c r="AH339" s="14"/>
      <c r="AI339" s="14"/>
      <c r="AJ339" s="8"/>
      <c r="AK339" s="8"/>
      <c r="AL339" s="8"/>
      <c r="AM339" s="8"/>
      <c r="AN339" s="631"/>
      <c r="AO339" s="18"/>
      <c r="AP339" s="18"/>
      <c r="AQ339" s="18"/>
      <c r="AR339" s="18"/>
      <c r="AS339" s="18"/>
      <c r="AU339" s="448"/>
      <c r="AV339" s="448"/>
      <c r="AW339" s="8" t="str">
        <f>IF(C339&gt;0,VLOOKUP(C339,Foundation_Calc!$A$2:$C$986,3,1),
IF(J339&gt;0,VLOOKUP(J339,Foundation_Calc!$A$2:$C$986,3,1),""))</f>
        <v/>
      </c>
      <c r="AX339" s="8" t="str">
        <f>IF(C339&gt;0,VLOOKUP(C339,Foundation_Calc!$E$2:$G$986,3,1),
IF(J339&gt;0,VLOOKUP(J339,Foundation_Calc!$E$2:$G$986,3,1),""))</f>
        <v/>
      </c>
      <c r="AY339" s="631" t="str">
        <f>IF(L339="","",
IF(AX339="PT",VLOOKUP(L339,Foundation_Calc!$K$4:$R$37,VLOOKUP(AW339,Foundation_Calc!$I$2:$J$8,2,FALSE),0),
IF(AX339="K",VLOOKUP(L339,Foundation_Calc!$K$41:$R$74,VLOOKUP(AW339,Foundation_Calc!$I$2:$J$8,2,FALSE),0),"")))</f>
        <v/>
      </c>
      <c r="AZ339" s="631" t="str">
        <f>IF(K339="","",
IF(AX339="PT",VLOOKUP(K339,Foundation_Calc!$K$4:$R$37,VLOOKUP(AW339,Foundation_Calc!$I$2:$J$8,2,FALSE),0),
IF(AX339="K",VLOOKUP(K339,Foundation_Calc!$K$41:$R$74,VLOOKUP(AW339,Foundation_Calc!$I$2:$J$8,2,FALSE),0),"")))</f>
        <v/>
      </c>
      <c r="BA339" s="632" t="str">
        <f t="shared" si="59"/>
        <v/>
      </c>
      <c r="BB339" s="632" t="str">
        <f t="shared" si="60"/>
        <v/>
      </c>
      <c r="BC339" s="632" t="str">
        <f t="shared" si="61"/>
        <v/>
      </c>
      <c r="BD339" s="633" t="str">
        <f>IF(AND(L339="",H339=""),"",
IF(H339="",Pole_Calc!A367,
IF(H339="MP",Pole_Calc!A368,
IF(H339="AnMP",Pole_Calc!A369,
IF(H339="A",Pole_Calc!A370,
IF(H339="S/A",Pole_Calc!A371,
IF(H339="A/S",Pole_Calc!A372,"Poner a mano")))))))</f>
        <v/>
      </c>
      <c r="BE339" s="448" t="s">
        <v>1726</v>
      </c>
      <c r="BF339" s="635"/>
      <c r="BG339" s="635"/>
      <c r="BH339" s="634"/>
      <c r="BI339" s="635"/>
    </row>
    <row r="340" spans="1:61" ht="16.2" customHeight="1">
      <c r="A340" s="12"/>
      <c r="B340" s="446"/>
      <c r="C340" s="89"/>
      <c r="D340" s="13"/>
      <c r="E340" s="14"/>
      <c r="F340" s="14"/>
      <c r="G340" s="15"/>
      <c r="H340" s="8"/>
      <c r="I340" s="8"/>
      <c r="J340" s="89"/>
      <c r="K340" s="8"/>
      <c r="L340" s="8"/>
      <c r="M340" s="8" t="str">
        <f>IF(L340="","",
IF(AX340="PT",VLOOKUP(L340,Foundation_Calc!$V$4:$X$37,VLOOKUP(AX340,Foundation_Calc!$I$10:$J$13,2,FALSE),0),
IF(AX340="K",VLOOKUP(L340,Foundation_Calc!$V$41:$X$74,VLOOKUP(AX340,Foundation_Calc!$I$10:$J$13,2,FALSE),0),"")))</f>
        <v/>
      </c>
      <c r="N340" s="8"/>
      <c r="O340" s="8"/>
      <c r="P340" s="8"/>
      <c r="Q340" s="14"/>
      <c r="R340" s="15"/>
      <c r="S340" s="15"/>
      <c r="T340" s="14"/>
      <c r="U340" s="14"/>
      <c r="V340" s="14"/>
      <c r="W340" s="18"/>
      <c r="X340" s="18"/>
      <c r="Y340" s="18"/>
      <c r="Z340" s="18"/>
      <c r="AA340" s="18"/>
      <c r="AB340" s="18"/>
      <c r="AC340" s="8" t="str">
        <f t="shared" si="58"/>
        <v/>
      </c>
      <c r="AD340" s="8"/>
      <c r="AE340" s="8"/>
      <c r="AF340" s="14"/>
      <c r="AG340" s="13"/>
      <c r="AH340" s="14"/>
      <c r="AI340" s="14"/>
      <c r="AJ340" s="8"/>
      <c r="AK340" s="8"/>
      <c r="AL340" s="8"/>
      <c r="AM340" s="8"/>
      <c r="AN340" s="631"/>
      <c r="AO340" s="18"/>
      <c r="AP340" s="18"/>
      <c r="AQ340" s="18"/>
      <c r="AR340" s="18"/>
      <c r="AS340" s="18"/>
      <c r="AU340" s="448"/>
      <c r="AV340" s="448"/>
      <c r="AW340" s="8" t="str">
        <f>IF(C340&gt;0,VLOOKUP(C340,Foundation_Calc!$A$2:$C$986,3,1),
IF(J340&gt;0,VLOOKUP(J340,Foundation_Calc!$A$2:$C$986,3,1),""))</f>
        <v/>
      </c>
      <c r="AX340" s="8" t="str">
        <f>IF(C340&gt;0,VLOOKUP(C340,Foundation_Calc!$E$2:$G$986,3,1),
IF(J340&gt;0,VLOOKUP(J340,Foundation_Calc!$E$2:$G$986,3,1),""))</f>
        <v/>
      </c>
      <c r="AY340" s="631" t="str">
        <f>IF(L340="","",
IF(AX340="PT",VLOOKUP(L340,Foundation_Calc!$K$4:$R$37,VLOOKUP(AW340,Foundation_Calc!$I$2:$J$8,2,FALSE),0),
IF(AX340="K",VLOOKUP(L340,Foundation_Calc!$K$41:$R$74,VLOOKUP(AW340,Foundation_Calc!$I$2:$J$8,2,FALSE),0),"")))</f>
        <v/>
      </c>
      <c r="AZ340" s="631" t="str">
        <f>IF(K340="","",
IF(AX340="PT",VLOOKUP(K340,Foundation_Calc!$K$4:$R$37,VLOOKUP(AW340,Foundation_Calc!$I$2:$J$8,2,FALSE),0),
IF(AX340="K",VLOOKUP(K340,Foundation_Calc!$K$41:$R$74,VLOOKUP(AW340,Foundation_Calc!$I$2:$J$8,2,FALSE),0),"")))</f>
        <v/>
      </c>
      <c r="BA340" s="632" t="str">
        <f t="shared" si="59"/>
        <v/>
      </c>
      <c r="BB340" s="632" t="str">
        <f t="shared" si="60"/>
        <v/>
      </c>
      <c r="BC340" s="632" t="str">
        <f t="shared" si="61"/>
        <v/>
      </c>
      <c r="BD340" s="633" t="str">
        <f>IF(AND(L340="",H340=""),"",
IF(H340="",Pole_Calc!A368,
IF(H340="MP",Pole_Calc!A369,
IF(H340="AnMP",Pole_Calc!A370,
IF(H340="A",Pole_Calc!A371,
IF(H340="S/A",Pole_Calc!A372,
IF(H340="A/S",Pole_Calc!A373,"Poner a mano")))))))</f>
        <v/>
      </c>
      <c r="BE340" s="448" t="s">
        <v>1726</v>
      </c>
      <c r="BF340" s="634"/>
      <c r="BG340" s="634"/>
      <c r="BH340" s="634"/>
      <c r="BI340" s="634"/>
    </row>
    <row r="341" spans="1:61" ht="16.2" customHeight="1">
      <c r="A341" s="12"/>
      <c r="B341" s="446"/>
      <c r="C341" s="89"/>
      <c r="D341" s="13"/>
      <c r="E341" s="14"/>
      <c r="F341" s="14"/>
      <c r="G341" s="15"/>
      <c r="H341" s="8"/>
      <c r="I341" s="8"/>
      <c r="J341" s="89"/>
      <c r="K341" s="8"/>
      <c r="L341" s="8"/>
      <c r="M341" s="8" t="str">
        <f>IF(L341="","",
IF(AX341="PT",VLOOKUP(L341,Foundation_Calc!$V$4:$X$37,VLOOKUP(AX341,Foundation_Calc!$I$10:$J$13,2,FALSE),0),
IF(AX341="K",VLOOKUP(L341,Foundation_Calc!$V$41:$X$74,VLOOKUP(AX341,Foundation_Calc!$I$10:$J$13,2,FALSE),0),"")))</f>
        <v/>
      </c>
      <c r="N341" s="8"/>
      <c r="O341" s="8"/>
      <c r="P341" s="8"/>
      <c r="Q341" s="14"/>
      <c r="R341" s="15"/>
      <c r="S341" s="15"/>
      <c r="T341" s="14"/>
      <c r="U341" s="14"/>
      <c r="V341" s="14"/>
      <c r="W341" s="18"/>
      <c r="X341" s="18"/>
      <c r="Y341" s="18"/>
      <c r="Z341" s="18"/>
      <c r="AA341" s="18"/>
      <c r="AB341" s="18"/>
      <c r="AC341" s="8" t="str">
        <f t="shared" si="58"/>
        <v/>
      </c>
      <c r="AD341" s="8"/>
      <c r="AE341" s="8"/>
      <c r="AF341" s="14"/>
      <c r="AG341" s="13"/>
      <c r="AH341" s="14"/>
      <c r="AI341" s="14"/>
      <c r="AJ341" s="8"/>
      <c r="AK341" s="8"/>
      <c r="AL341" s="8"/>
      <c r="AM341" s="8"/>
      <c r="AN341" s="631"/>
      <c r="AO341" s="18"/>
      <c r="AP341" s="18"/>
      <c r="AQ341" s="18"/>
      <c r="AR341" s="18"/>
      <c r="AS341" s="18"/>
      <c r="AU341" s="448"/>
      <c r="AV341" s="448"/>
      <c r="AW341" s="8" t="str">
        <f>IF(C341&gt;0,VLOOKUP(C341,Foundation_Calc!$A$2:$C$986,3,1),
IF(J341&gt;0,VLOOKUP(J341,Foundation_Calc!$A$2:$C$986,3,1),""))</f>
        <v/>
      </c>
      <c r="AX341" s="8" t="str">
        <f>IF(C341&gt;0,VLOOKUP(C341,Foundation_Calc!$E$2:$G$986,3,1),
IF(J341&gt;0,VLOOKUP(J341,Foundation_Calc!$E$2:$G$986,3,1),""))</f>
        <v/>
      </c>
      <c r="AY341" s="631" t="str">
        <f>IF(L341="","",
IF(AX341="PT",VLOOKUP(L341,Foundation_Calc!$K$4:$R$37,VLOOKUP(AW341,Foundation_Calc!$I$2:$J$8,2,FALSE),0),
IF(AX341="K",VLOOKUP(L341,Foundation_Calc!$K$41:$R$74,VLOOKUP(AW341,Foundation_Calc!$I$2:$J$8,2,FALSE),0),"")))</f>
        <v/>
      </c>
      <c r="AZ341" s="631" t="str">
        <f>IF(K341="","",
IF(AX341="PT",VLOOKUP(K341,Foundation_Calc!$K$4:$R$37,VLOOKUP(AW341,Foundation_Calc!$I$2:$J$8,2,FALSE),0),
IF(AX341="K",VLOOKUP(K341,Foundation_Calc!$K$41:$R$74,VLOOKUP(AW341,Foundation_Calc!$I$2:$J$8,2,FALSE),0),"")))</f>
        <v/>
      </c>
      <c r="BA341" s="632" t="str">
        <f t="shared" si="59"/>
        <v/>
      </c>
      <c r="BB341" s="632" t="str">
        <f t="shared" si="60"/>
        <v/>
      </c>
      <c r="BC341" s="632" t="str">
        <f t="shared" si="61"/>
        <v/>
      </c>
      <c r="BD341" s="633" t="str">
        <f>IF(AND(L341="",H341=""),"",
IF(H341="",Pole_Calc!A369,
IF(H341="MP",Pole_Calc!A370,
IF(H341="AnMP",Pole_Calc!A371,
IF(H341="A",Pole_Calc!A372,
IF(H341="S/A",Pole_Calc!A373,
IF(H341="A/S",Pole_Calc!A374,"Poner a mano")))))))</f>
        <v/>
      </c>
      <c r="BE341" s="448" t="s">
        <v>1726</v>
      </c>
      <c r="BF341" s="635"/>
      <c r="BG341" s="635"/>
      <c r="BH341" s="634"/>
      <c r="BI341" s="635"/>
    </row>
    <row r="342" spans="1:61" ht="16.2" customHeight="1">
      <c r="A342" s="12"/>
      <c r="B342" s="446"/>
      <c r="C342" s="89"/>
      <c r="D342" s="13"/>
      <c r="E342" s="14"/>
      <c r="F342" s="14"/>
      <c r="G342" s="15"/>
      <c r="H342" s="8"/>
      <c r="I342" s="8"/>
      <c r="J342" s="89"/>
      <c r="K342" s="8"/>
      <c r="L342" s="8"/>
      <c r="M342" s="8" t="str">
        <f>IF(L342="","",
IF(AX342="PT",VLOOKUP(L342,Foundation_Calc!$V$4:$X$37,VLOOKUP(AX342,Foundation_Calc!$I$10:$J$13,2,FALSE),0),
IF(AX342="K",VLOOKUP(L342,Foundation_Calc!$V$41:$X$74,VLOOKUP(AX342,Foundation_Calc!$I$10:$J$13,2,FALSE),0),"")))</f>
        <v/>
      </c>
      <c r="N342" s="8"/>
      <c r="O342" s="8"/>
      <c r="P342" s="8"/>
      <c r="Q342" s="14"/>
      <c r="R342" s="15"/>
      <c r="S342" s="15"/>
      <c r="T342" s="14"/>
      <c r="U342" s="14"/>
      <c r="V342" s="14"/>
      <c r="W342" s="18"/>
      <c r="X342" s="18"/>
      <c r="Y342" s="18"/>
      <c r="Z342" s="18"/>
      <c r="AA342" s="18"/>
      <c r="AB342" s="18"/>
      <c r="AC342" s="8" t="str">
        <f t="shared" si="58"/>
        <v/>
      </c>
      <c r="AD342" s="8"/>
      <c r="AE342" s="8"/>
      <c r="AF342" s="14"/>
      <c r="AG342" s="13"/>
      <c r="AH342" s="14"/>
      <c r="AI342" s="14"/>
      <c r="AJ342" s="8"/>
      <c r="AK342" s="8"/>
      <c r="AL342" s="8"/>
      <c r="AM342" s="8"/>
      <c r="AN342" s="631"/>
      <c r="AO342" s="18"/>
      <c r="AP342" s="18"/>
      <c r="AQ342" s="18"/>
      <c r="AR342" s="18"/>
      <c r="AS342" s="18"/>
      <c r="AU342" s="448"/>
      <c r="AV342" s="448"/>
      <c r="AW342" s="8" t="str">
        <f>IF(C342&gt;0,VLOOKUP(C342,Foundation_Calc!$A$2:$C$986,3,1),
IF(J342&gt;0,VLOOKUP(J342,Foundation_Calc!$A$2:$C$986,3,1),""))</f>
        <v/>
      </c>
      <c r="AX342" s="8" t="str">
        <f>IF(C342&gt;0,VLOOKUP(C342,Foundation_Calc!$E$2:$G$986,3,1),
IF(J342&gt;0,VLOOKUP(J342,Foundation_Calc!$E$2:$G$986,3,1),""))</f>
        <v/>
      </c>
      <c r="AY342" s="631" t="str">
        <f>IF(L342="","",
IF(AX342="PT",VLOOKUP(L342,Foundation_Calc!$K$4:$R$37,VLOOKUP(AW342,Foundation_Calc!$I$2:$J$8,2,FALSE),0),
IF(AX342="K",VLOOKUP(L342,Foundation_Calc!$K$41:$R$74,VLOOKUP(AW342,Foundation_Calc!$I$2:$J$8,2,FALSE),0),"")))</f>
        <v/>
      </c>
      <c r="AZ342" s="631" t="str">
        <f>IF(K342="","",
IF(AX342="PT",VLOOKUP(K342,Foundation_Calc!$K$4:$R$37,VLOOKUP(AW342,Foundation_Calc!$I$2:$J$8,2,FALSE),0),
IF(AX342="K",VLOOKUP(K342,Foundation_Calc!$K$41:$R$74,VLOOKUP(AW342,Foundation_Calc!$I$2:$J$8,2,FALSE),0),"")))</f>
        <v/>
      </c>
      <c r="BA342" s="632" t="str">
        <f t="shared" si="59"/>
        <v/>
      </c>
      <c r="BB342" s="632" t="str">
        <f t="shared" si="60"/>
        <v/>
      </c>
      <c r="BC342" s="632" t="str">
        <f t="shared" si="61"/>
        <v/>
      </c>
      <c r="BD342" s="633" t="str">
        <f>IF(AND(L342="",H342=""),"",
IF(H342="",Pole_Calc!A370,
IF(H342="MP",Pole_Calc!A371,
IF(H342="AnMP",Pole_Calc!A372,
IF(H342="A",Pole_Calc!A373,
IF(H342="S/A",Pole_Calc!A374,
IF(H342="A/S",Pole_Calc!A375,"Poner a mano")))))))</f>
        <v/>
      </c>
      <c r="BE342" s="448" t="s">
        <v>1726</v>
      </c>
      <c r="BF342" s="634"/>
      <c r="BG342" s="634"/>
      <c r="BH342" s="634"/>
      <c r="BI342" s="634"/>
    </row>
    <row r="343" spans="1:61" ht="16.2" customHeight="1">
      <c r="A343" s="12"/>
      <c r="B343" s="446"/>
      <c r="C343" s="89"/>
      <c r="D343" s="13"/>
      <c r="E343" s="14"/>
      <c r="F343" s="14"/>
      <c r="G343" s="15"/>
      <c r="H343" s="8"/>
      <c r="I343" s="8"/>
      <c r="J343" s="89"/>
      <c r="K343" s="8"/>
      <c r="L343" s="8"/>
      <c r="M343" s="8" t="str">
        <f>IF(L343="","",
IF(AX343="PT",VLOOKUP(L343,Foundation_Calc!$V$4:$X$37,VLOOKUP(AX343,Foundation_Calc!$I$10:$J$13,2,FALSE),0),
IF(AX343="K",VLOOKUP(L343,Foundation_Calc!$V$41:$X$74,VLOOKUP(AX343,Foundation_Calc!$I$10:$J$13,2,FALSE),0),"")))</f>
        <v/>
      </c>
      <c r="N343" s="8"/>
      <c r="O343" s="8"/>
      <c r="P343" s="8"/>
      <c r="Q343" s="14"/>
      <c r="R343" s="15"/>
      <c r="S343" s="15"/>
      <c r="T343" s="14"/>
      <c r="U343" s="14"/>
      <c r="V343" s="14"/>
      <c r="W343" s="18"/>
      <c r="X343" s="18"/>
      <c r="Y343" s="18"/>
      <c r="Z343" s="18"/>
      <c r="AA343" s="18"/>
      <c r="AB343" s="18"/>
      <c r="AC343" s="8" t="str">
        <f t="shared" si="58"/>
        <v/>
      </c>
      <c r="AD343" s="8"/>
      <c r="AE343" s="8"/>
      <c r="AF343" s="14"/>
      <c r="AG343" s="13"/>
      <c r="AH343" s="14"/>
      <c r="AI343" s="14"/>
      <c r="AJ343" s="8"/>
      <c r="AK343" s="8"/>
      <c r="AL343" s="8"/>
      <c r="AM343" s="8"/>
      <c r="AN343" s="631"/>
      <c r="AO343" s="18"/>
      <c r="AP343" s="18"/>
      <c r="AQ343" s="18"/>
      <c r="AR343" s="18"/>
      <c r="AS343" s="18"/>
      <c r="AU343" s="448"/>
      <c r="AV343" s="448"/>
      <c r="AW343" s="8" t="str">
        <f>IF(C343&gt;0,VLOOKUP(C343,Foundation_Calc!$A$2:$C$986,3,1),
IF(J343&gt;0,VLOOKUP(J343,Foundation_Calc!$A$2:$C$986,3,1),""))</f>
        <v/>
      </c>
      <c r="AX343" s="8" t="str">
        <f>IF(C343&gt;0,VLOOKUP(C343,Foundation_Calc!$E$2:$G$986,3,1),
IF(J343&gt;0,VLOOKUP(J343,Foundation_Calc!$E$2:$G$986,3,1),""))</f>
        <v/>
      </c>
      <c r="AY343" s="631" t="str">
        <f>IF(L343="","",
IF(AX343="PT",VLOOKUP(L343,Foundation_Calc!$K$4:$R$37,VLOOKUP(AW343,Foundation_Calc!$I$2:$J$8,2,FALSE),0),
IF(AX343="K",VLOOKUP(L343,Foundation_Calc!$K$41:$R$74,VLOOKUP(AW343,Foundation_Calc!$I$2:$J$8,2,FALSE),0),"")))</f>
        <v/>
      </c>
      <c r="AZ343" s="631" t="str">
        <f>IF(K343="","",
IF(AX343="PT",VLOOKUP(K343,Foundation_Calc!$K$4:$R$37,VLOOKUP(AW343,Foundation_Calc!$I$2:$J$8,2,FALSE),0),
IF(AX343="K",VLOOKUP(K343,Foundation_Calc!$K$41:$R$74,VLOOKUP(AW343,Foundation_Calc!$I$2:$J$8,2,FALSE),0),"")))</f>
        <v/>
      </c>
      <c r="BA343" s="632" t="str">
        <f t="shared" si="59"/>
        <v/>
      </c>
      <c r="BB343" s="632" t="str">
        <f t="shared" si="60"/>
        <v/>
      </c>
      <c r="BC343" s="632" t="str">
        <f t="shared" si="61"/>
        <v/>
      </c>
      <c r="BD343" s="633" t="str">
        <f>IF(AND(L343="",H343=""),"",
IF(H343="",Pole_Calc!A371,
IF(H343="MP",Pole_Calc!A372,
IF(H343="AnMP",Pole_Calc!A373,
IF(H343="A",Pole_Calc!A374,
IF(H343="S/A",Pole_Calc!A375,
IF(H343="A/S",Pole_Calc!A376,"Poner a mano")))))))</f>
        <v/>
      </c>
      <c r="BE343" s="448" t="s">
        <v>1726</v>
      </c>
      <c r="BF343" s="635"/>
      <c r="BG343" s="635"/>
      <c r="BH343" s="634"/>
      <c r="BI343" s="635"/>
    </row>
    <row r="344" spans="1:61" ht="16.2" customHeight="1">
      <c r="A344" s="12"/>
      <c r="B344" s="446"/>
      <c r="C344" s="89"/>
      <c r="D344" s="13"/>
      <c r="E344" s="14"/>
      <c r="F344" s="14"/>
      <c r="G344" s="15"/>
      <c r="H344" s="8"/>
      <c r="I344" s="8"/>
      <c r="J344" s="89"/>
      <c r="K344" s="8"/>
      <c r="L344" s="8"/>
      <c r="M344" s="8" t="str">
        <f>IF(L344="","",
IF(AX344="PT",VLOOKUP(L344,Foundation_Calc!$V$4:$X$37,VLOOKUP(AX344,Foundation_Calc!$I$10:$J$13,2,FALSE),0),
IF(AX344="K",VLOOKUP(L344,Foundation_Calc!$V$41:$X$74,VLOOKUP(AX344,Foundation_Calc!$I$10:$J$13,2,FALSE),0),"")))</f>
        <v/>
      </c>
      <c r="N344" s="8"/>
      <c r="O344" s="8"/>
      <c r="P344" s="8"/>
      <c r="Q344" s="14"/>
      <c r="R344" s="15"/>
      <c r="S344" s="15"/>
      <c r="T344" s="14"/>
      <c r="U344" s="14"/>
      <c r="V344" s="14"/>
      <c r="W344" s="18"/>
      <c r="X344" s="18"/>
      <c r="Y344" s="18"/>
      <c r="Z344" s="18"/>
      <c r="AA344" s="18"/>
      <c r="AB344" s="18"/>
      <c r="AC344" s="8" t="str">
        <f t="shared" si="58"/>
        <v/>
      </c>
      <c r="AD344" s="8"/>
      <c r="AE344" s="8"/>
      <c r="AF344" s="14"/>
      <c r="AG344" s="13"/>
      <c r="AH344" s="14"/>
      <c r="AI344" s="14"/>
      <c r="AJ344" s="8"/>
      <c r="AK344" s="8"/>
      <c r="AL344" s="8"/>
      <c r="AM344" s="8"/>
      <c r="AN344" s="631"/>
      <c r="AO344" s="18"/>
      <c r="AP344" s="18"/>
      <c r="AQ344" s="18"/>
      <c r="AR344" s="18"/>
      <c r="AS344" s="18"/>
      <c r="AU344" s="448"/>
      <c r="AV344" s="448"/>
      <c r="AW344" s="8" t="str">
        <f>IF(C344&gt;0,VLOOKUP(C344,Foundation_Calc!$A$2:$C$986,3,1),
IF(J344&gt;0,VLOOKUP(J344,Foundation_Calc!$A$2:$C$986,3,1),""))</f>
        <v/>
      </c>
      <c r="AX344" s="8" t="str">
        <f>IF(C344&gt;0,VLOOKUP(C344,Foundation_Calc!$E$2:$G$986,3,1),
IF(J344&gt;0,VLOOKUP(J344,Foundation_Calc!$E$2:$G$986,3,1),""))</f>
        <v/>
      </c>
      <c r="AY344" s="631" t="str">
        <f>IF(L344="","",
IF(AX344="PT",VLOOKUP(L344,Foundation_Calc!$K$4:$R$37,VLOOKUP(AW344,Foundation_Calc!$I$2:$J$8,2,FALSE),0),
IF(AX344="K",VLOOKUP(L344,Foundation_Calc!$K$41:$R$74,VLOOKUP(AW344,Foundation_Calc!$I$2:$J$8,2,FALSE),0),"")))</f>
        <v/>
      </c>
      <c r="AZ344" s="631" t="str">
        <f>IF(K344="","",
IF(AX344="PT",VLOOKUP(K344,Foundation_Calc!$K$4:$R$37,VLOOKUP(AW344,Foundation_Calc!$I$2:$J$8,2,FALSE),0),
IF(AX344="K",VLOOKUP(K344,Foundation_Calc!$K$41:$R$74,VLOOKUP(AW344,Foundation_Calc!$I$2:$J$8,2,FALSE),0),"")))</f>
        <v/>
      </c>
      <c r="BA344" s="632" t="str">
        <f t="shared" si="59"/>
        <v/>
      </c>
      <c r="BB344" s="632" t="str">
        <f t="shared" si="60"/>
        <v/>
      </c>
      <c r="BC344" s="632" t="str">
        <f t="shared" si="61"/>
        <v/>
      </c>
      <c r="BD344" s="633" t="str">
        <f>IF(AND(L344="",H344=""),"",
IF(H344="",Pole_Calc!A372,
IF(H344="MP",Pole_Calc!A373,
IF(H344="AnMP",Pole_Calc!A374,
IF(H344="A",Pole_Calc!A375,
IF(H344="S/A",Pole_Calc!A376,
IF(H344="A/S",Pole_Calc!A377,"Poner a mano")))))))</f>
        <v/>
      </c>
      <c r="BE344" s="448" t="s">
        <v>1726</v>
      </c>
      <c r="BF344" s="634"/>
      <c r="BG344" s="634"/>
      <c r="BH344" s="634"/>
      <c r="BI344" s="634"/>
    </row>
    <row r="345" spans="1:61" ht="16.2" customHeight="1">
      <c r="A345" s="12"/>
      <c r="B345" s="446"/>
      <c r="C345" s="89"/>
      <c r="D345" s="13"/>
      <c r="E345" s="14"/>
      <c r="F345" s="14"/>
      <c r="G345" s="15"/>
      <c r="H345" s="8"/>
      <c r="I345" s="8"/>
      <c r="J345" s="89"/>
      <c r="K345" s="8"/>
      <c r="L345" s="8"/>
      <c r="M345" s="8" t="str">
        <f>IF(L345="","",
IF(AX345="PT",VLOOKUP(L345,Foundation_Calc!$V$4:$X$37,VLOOKUP(AX345,Foundation_Calc!$I$10:$J$13,2,FALSE),0),
IF(AX345="K",VLOOKUP(L345,Foundation_Calc!$V$41:$X$74,VLOOKUP(AX345,Foundation_Calc!$I$10:$J$13,2,FALSE),0),"")))</f>
        <v/>
      </c>
      <c r="N345" s="8"/>
      <c r="O345" s="8"/>
      <c r="P345" s="8"/>
      <c r="Q345" s="14"/>
      <c r="R345" s="15"/>
      <c r="S345" s="15"/>
      <c r="T345" s="14"/>
      <c r="U345" s="14"/>
      <c r="V345" s="14"/>
      <c r="W345" s="18"/>
      <c r="X345" s="18"/>
      <c r="Y345" s="18"/>
      <c r="Z345" s="18"/>
      <c r="AA345" s="18"/>
      <c r="AB345" s="18"/>
      <c r="AC345" s="8" t="str">
        <f t="shared" si="58"/>
        <v/>
      </c>
      <c r="AD345" s="8"/>
      <c r="AE345" s="8"/>
      <c r="AF345" s="14"/>
      <c r="AG345" s="13"/>
      <c r="AH345" s="14"/>
      <c r="AI345" s="14"/>
      <c r="AJ345" s="8"/>
      <c r="AK345" s="8"/>
      <c r="AL345" s="8"/>
      <c r="AM345" s="8"/>
      <c r="AN345" s="631"/>
      <c r="AO345" s="18"/>
      <c r="AP345" s="18"/>
      <c r="AQ345" s="18"/>
      <c r="AR345" s="18"/>
      <c r="AS345" s="18"/>
      <c r="AU345" s="448"/>
      <c r="AV345" s="448"/>
      <c r="AW345" s="8" t="str">
        <f>IF(C345&gt;0,VLOOKUP(C345,Foundation_Calc!$A$2:$C$986,3,1),
IF(J345&gt;0,VLOOKUP(J345,Foundation_Calc!$A$2:$C$986,3,1),""))</f>
        <v/>
      </c>
      <c r="AX345" s="8" t="str">
        <f>IF(C345&gt;0,VLOOKUP(C345,Foundation_Calc!$E$2:$G$986,3,1),
IF(J345&gt;0,VLOOKUP(J345,Foundation_Calc!$E$2:$G$986,3,1),""))</f>
        <v/>
      </c>
      <c r="AY345" s="631" t="str">
        <f>IF(L345="","",
IF(AX345="PT",VLOOKUP(L345,Foundation_Calc!$K$4:$R$37,VLOOKUP(AW345,Foundation_Calc!$I$2:$J$8,2,FALSE),0),
IF(AX345="K",VLOOKUP(L345,Foundation_Calc!$K$41:$R$74,VLOOKUP(AW345,Foundation_Calc!$I$2:$J$8,2,FALSE),0),"")))</f>
        <v/>
      </c>
      <c r="AZ345" s="631" t="str">
        <f>IF(K345="","",
IF(AX345="PT",VLOOKUP(K345,Foundation_Calc!$K$4:$R$37,VLOOKUP(AW345,Foundation_Calc!$I$2:$J$8,2,FALSE),0),
IF(AX345="K",VLOOKUP(K345,Foundation_Calc!$K$41:$R$74,VLOOKUP(AW345,Foundation_Calc!$I$2:$J$8,2,FALSE),0),"")))</f>
        <v/>
      </c>
      <c r="BA345" s="632" t="str">
        <f t="shared" si="59"/>
        <v/>
      </c>
      <c r="BB345" s="632" t="str">
        <f t="shared" si="60"/>
        <v/>
      </c>
      <c r="BC345" s="632" t="str">
        <f t="shared" si="61"/>
        <v/>
      </c>
      <c r="BD345" s="633" t="str">
        <f>IF(AND(L345="",H345=""),"",
IF(H345="",Pole_Calc!A373,
IF(H345="MP",Pole_Calc!A374,
IF(H345="AnMP",Pole_Calc!A375,
IF(H345="A",Pole_Calc!A376,
IF(H345="S/A",Pole_Calc!A377,
IF(H345="A/S",Pole_Calc!A378,"Poner a mano")))))))</f>
        <v/>
      </c>
      <c r="BE345" s="448" t="s">
        <v>1726</v>
      </c>
      <c r="BF345" s="635"/>
      <c r="BG345" s="635"/>
      <c r="BH345" s="634"/>
      <c r="BI345" s="635"/>
    </row>
    <row r="346" spans="1:61" ht="16.2" customHeight="1">
      <c r="A346" s="12"/>
      <c r="B346" s="446"/>
      <c r="C346" s="89"/>
      <c r="D346" s="13"/>
      <c r="E346" s="14"/>
      <c r="F346" s="14"/>
      <c r="G346" s="15"/>
      <c r="H346" s="8"/>
      <c r="I346" s="8"/>
      <c r="J346" s="89"/>
      <c r="K346" s="8"/>
      <c r="L346" s="8"/>
      <c r="M346" s="8" t="str">
        <f>IF(L346="","",
IF(AX346="PT",VLOOKUP(L346,Foundation_Calc!$V$4:$X$37,VLOOKUP(AX346,Foundation_Calc!$I$10:$J$13,2,FALSE),0),
IF(AX346="K",VLOOKUP(L346,Foundation_Calc!$V$41:$X$74,VLOOKUP(AX346,Foundation_Calc!$I$10:$J$13,2,FALSE),0),"")))</f>
        <v/>
      </c>
      <c r="N346" s="8"/>
      <c r="O346" s="8"/>
      <c r="P346" s="8"/>
      <c r="Q346" s="14"/>
      <c r="R346" s="15"/>
      <c r="S346" s="15"/>
      <c r="T346" s="14"/>
      <c r="U346" s="14"/>
      <c r="V346" s="14"/>
      <c r="W346" s="18"/>
      <c r="X346" s="18"/>
      <c r="Y346" s="18"/>
      <c r="Z346" s="18"/>
      <c r="AA346" s="18"/>
      <c r="AB346" s="18"/>
      <c r="AC346" s="8" t="str">
        <f t="shared" si="58"/>
        <v/>
      </c>
      <c r="AD346" s="8"/>
      <c r="AE346" s="8"/>
      <c r="AF346" s="14"/>
      <c r="AG346" s="13"/>
      <c r="AH346" s="14"/>
      <c r="AI346" s="14"/>
      <c r="AJ346" s="8"/>
      <c r="AK346" s="8"/>
      <c r="AL346" s="8"/>
      <c r="AM346" s="8"/>
      <c r="AN346" s="631"/>
      <c r="AO346" s="18"/>
      <c r="AP346" s="18"/>
      <c r="AQ346" s="18"/>
      <c r="AR346" s="18"/>
      <c r="AS346" s="18"/>
      <c r="AU346" s="448"/>
      <c r="AV346" s="448"/>
      <c r="AW346" s="8" t="str">
        <f>IF(C346&gt;0,VLOOKUP(C346,Foundation_Calc!$A$2:$C$986,3,1),
IF(J346&gt;0,VLOOKUP(J346,Foundation_Calc!$A$2:$C$986,3,1),""))</f>
        <v/>
      </c>
      <c r="AX346" s="8" t="str">
        <f>IF(C346&gt;0,VLOOKUP(C346,Foundation_Calc!$E$2:$G$986,3,1),
IF(J346&gt;0,VLOOKUP(J346,Foundation_Calc!$E$2:$G$986,3,1),""))</f>
        <v/>
      </c>
      <c r="AY346" s="631" t="str">
        <f>IF(L346="","",
IF(AX346="PT",VLOOKUP(L346,Foundation_Calc!$K$4:$R$37,VLOOKUP(AW346,Foundation_Calc!$I$2:$J$8,2,FALSE),0),
IF(AX346="K",VLOOKUP(L346,Foundation_Calc!$K$41:$R$74,VLOOKUP(AW346,Foundation_Calc!$I$2:$J$8,2,FALSE),0),"")))</f>
        <v/>
      </c>
      <c r="AZ346" s="631" t="str">
        <f>IF(K346="","",
IF(AX346="PT",VLOOKUP(K346,Foundation_Calc!$K$4:$R$37,VLOOKUP(AW346,Foundation_Calc!$I$2:$J$8,2,FALSE),0),
IF(AX346="K",VLOOKUP(K346,Foundation_Calc!$K$41:$R$74,VLOOKUP(AW346,Foundation_Calc!$I$2:$J$8,2,FALSE),0),"")))</f>
        <v/>
      </c>
      <c r="BA346" s="632" t="str">
        <f t="shared" si="59"/>
        <v/>
      </c>
      <c r="BB346" s="632" t="str">
        <f t="shared" si="60"/>
        <v/>
      </c>
      <c r="BC346" s="632" t="str">
        <f t="shared" si="61"/>
        <v/>
      </c>
      <c r="BD346" s="633" t="str">
        <f>IF(AND(L346="",H346=""),"",
IF(H346="",Pole_Calc!A374,
IF(H346="MP",Pole_Calc!A375,
IF(H346="AnMP",Pole_Calc!A376,
IF(H346="A",Pole_Calc!A377,
IF(H346="S/A",Pole_Calc!A378,
IF(H346="A/S",Pole_Calc!A379,"Poner a mano")))))))</f>
        <v/>
      </c>
      <c r="BE346" s="448" t="s">
        <v>1726</v>
      </c>
      <c r="BF346" s="634"/>
      <c r="BG346" s="634"/>
      <c r="BH346" s="634"/>
      <c r="BI346" s="634"/>
    </row>
    <row r="347" spans="1:61" ht="16.2" customHeight="1">
      <c r="A347" s="12"/>
      <c r="B347" s="446"/>
      <c r="C347" s="89"/>
      <c r="D347" s="13"/>
      <c r="E347" s="14"/>
      <c r="F347" s="14"/>
      <c r="G347" s="15"/>
      <c r="H347" s="8"/>
      <c r="I347" s="8"/>
      <c r="J347" s="89"/>
      <c r="K347" s="8"/>
      <c r="L347" s="8"/>
      <c r="M347" s="8" t="str">
        <f>IF(L347="","",
IF(AX347="PT",VLOOKUP(L347,Foundation_Calc!$V$4:$X$37,VLOOKUP(AX347,Foundation_Calc!$I$10:$J$13,2,FALSE),0),
IF(AX347="K",VLOOKUP(L347,Foundation_Calc!$V$41:$X$74,VLOOKUP(AX347,Foundation_Calc!$I$10:$J$13,2,FALSE),0),"")))</f>
        <v/>
      </c>
      <c r="N347" s="8"/>
      <c r="O347" s="8"/>
      <c r="P347" s="8"/>
      <c r="Q347" s="14"/>
      <c r="R347" s="15"/>
      <c r="S347" s="15"/>
      <c r="T347" s="14"/>
      <c r="U347" s="14"/>
      <c r="V347" s="14"/>
      <c r="W347" s="18"/>
      <c r="X347" s="18"/>
      <c r="Y347" s="18"/>
      <c r="Z347" s="18"/>
      <c r="AA347" s="18"/>
      <c r="AB347" s="18"/>
      <c r="AC347" s="8" t="str">
        <f t="shared" si="58"/>
        <v/>
      </c>
      <c r="AD347" s="8"/>
      <c r="AE347" s="8"/>
      <c r="AF347" s="14"/>
      <c r="AG347" s="13"/>
      <c r="AH347" s="14"/>
      <c r="AI347" s="14"/>
      <c r="AJ347" s="8"/>
      <c r="AK347" s="8"/>
      <c r="AL347" s="8"/>
      <c r="AM347" s="8"/>
      <c r="AN347" s="631"/>
      <c r="AO347" s="18"/>
      <c r="AP347" s="18"/>
      <c r="AQ347" s="18"/>
      <c r="AR347" s="18"/>
      <c r="AS347" s="18"/>
      <c r="AU347" s="448"/>
      <c r="AV347" s="448"/>
      <c r="AW347" s="8" t="str">
        <f>IF(C347&gt;0,VLOOKUP(C347,Foundation_Calc!$A$2:$C$986,3,1),
IF(J347&gt;0,VLOOKUP(J347,Foundation_Calc!$A$2:$C$986,3,1),""))</f>
        <v/>
      </c>
      <c r="AX347" s="8" t="str">
        <f>IF(C347&gt;0,VLOOKUP(C347,Foundation_Calc!$E$2:$G$986,3,1),
IF(J347&gt;0,VLOOKUP(J347,Foundation_Calc!$E$2:$G$986,3,1),""))</f>
        <v/>
      </c>
      <c r="AY347" s="631" t="str">
        <f>IF(L347="","",
IF(AX347="PT",VLOOKUP(L347,Foundation_Calc!$K$4:$R$37,VLOOKUP(AW347,Foundation_Calc!$I$2:$J$8,2,FALSE),0),
IF(AX347="K",VLOOKUP(L347,Foundation_Calc!$K$41:$R$74,VLOOKUP(AW347,Foundation_Calc!$I$2:$J$8,2,FALSE),0),"")))</f>
        <v/>
      </c>
      <c r="AZ347" s="631" t="str">
        <f>IF(K347="","",
IF(AX347="PT",VLOOKUP(K347,Foundation_Calc!$K$4:$R$37,VLOOKUP(AW347,Foundation_Calc!$I$2:$J$8,2,FALSE),0),
IF(AX347="K",VLOOKUP(K347,Foundation_Calc!$K$41:$R$74,VLOOKUP(AW347,Foundation_Calc!$I$2:$J$8,2,FALSE),0),"")))</f>
        <v/>
      </c>
      <c r="BA347" s="632" t="str">
        <f t="shared" si="59"/>
        <v/>
      </c>
      <c r="BB347" s="632" t="str">
        <f t="shared" si="60"/>
        <v/>
      </c>
      <c r="BC347" s="632" t="str">
        <f t="shared" si="61"/>
        <v/>
      </c>
      <c r="BD347" s="633" t="str">
        <f>IF(AND(L347="",H347=""),"",
IF(H347="",Pole_Calc!A375,
IF(H347="MP",Pole_Calc!A376,
IF(H347="AnMP",Pole_Calc!A377,
IF(H347="A",Pole_Calc!A378,
IF(H347="S/A",Pole_Calc!A379,
IF(H347="A/S",Pole_Calc!A380,"Poner a mano")))))))</f>
        <v/>
      </c>
      <c r="BE347" s="448" t="s">
        <v>1726</v>
      </c>
      <c r="BF347" s="635"/>
      <c r="BG347" s="635"/>
      <c r="BH347" s="634"/>
      <c r="BI347" s="635"/>
    </row>
    <row r="348" spans="1:61" ht="16.2" customHeight="1">
      <c r="A348" s="12"/>
      <c r="B348" s="446"/>
      <c r="C348" s="89"/>
      <c r="D348" s="13"/>
      <c r="E348" s="14"/>
      <c r="F348" s="14"/>
      <c r="G348" s="15"/>
      <c r="H348" s="8"/>
      <c r="I348" s="8"/>
      <c r="J348" s="89"/>
      <c r="K348" s="8"/>
      <c r="L348" s="8"/>
      <c r="M348" s="8" t="str">
        <f>IF(L348="","",
IF(AX348="PT",VLOOKUP(L348,Foundation_Calc!$V$4:$X$37,VLOOKUP(AX348,Foundation_Calc!$I$10:$J$13,2,FALSE),0),
IF(AX348="K",VLOOKUP(L348,Foundation_Calc!$V$41:$X$74,VLOOKUP(AX348,Foundation_Calc!$I$10:$J$13,2,FALSE),0),"")))</f>
        <v/>
      </c>
      <c r="N348" s="8"/>
      <c r="O348" s="8"/>
      <c r="P348" s="8"/>
      <c r="Q348" s="14"/>
      <c r="R348" s="15"/>
      <c r="S348" s="15"/>
      <c r="T348" s="14"/>
      <c r="U348" s="14"/>
      <c r="V348" s="14"/>
      <c r="W348" s="18"/>
      <c r="X348" s="18"/>
      <c r="Y348" s="18"/>
      <c r="Z348" s="18"/>
      <c r="AA348" s="18"/>
      <c r="AB348" s="18"/>
      <c r="AC348" s="8" t="str">
        <f t="shared" si="58"/>
        <v/>
      </c>
      <c r="AD348" s="8"/>
      <c r="AE348" s="8"/>
      <c r="AF348" s="14"/>
      <c r="AG348" s="13"/>
      <c r="AH348" s="14"/>
      <c r="AI348" s="14"/>
      <c r="AJ348" s="8"/>
      <c r="AK348" s="8"/>
      <c r="AL348" s="8"/>
      <c r="AM348" s="8"/>
      <c r="AN348" s="631"/>
      <c r="AO348" s="18"/>
      <c r="AP348" s="18"/>
      <c r="AQ348" s="18"/>
      <c r="AR348" s="18"/>
      <c r="AS348" s="18"/>
      <c r="AU348" s="448"/>
      <c r="AV348" s="448"/>
      <c r="AW348" s="8" t="str">
        <f>IF(C348&gt;0,VLOOKUP(C348,Foundation_Calc!$A$2:$C$986,3,1),
IF(J348&gt;0,VLOOKUP(J348,Foundation_Calc!$A$2:$C$986,3,1),""))</f>
        <v/>
      </c>
      <c r="AX348" s="8" t="str">
        <f>IF(C348&gt;0,VLOOKUP(C348,Foundation_Calc!$E$2:$G$986,3,1),
IF(J348&gt;0,VLOOKUP(J348,Foundation_Calc!$E$2:$G$986,3,1),""))</f>
        <v/>
      </c>
      <c r="AY348" s="631" t="str">
        <f>IF(L348="","",
IF(AX348="PT",VLOOKUP(L348,Foundation_Calc!$K$4:$R$37,VLOOKUP(AW348,Foundation_Calc!$I$2:$J$8,2,FALSE),0),
IF(AX348="K",VLOOKUP(L348,Foundation_Calc!$K$41:$R$74,VLOOKUP(AW348,Foundation_Calc!$I$2:$J$8,2,FALSE),0),"")))</f>
        <v/>
      </c>
      <c r="AZ348" s="631" t="str">
        <f>IF(K348="","",
IF(AX348="PT",VLOOKUP(K348,Foundation_Calc!$K$4:$R$37,VLOOKUP(AW348,Foundation_Calc!$I$2:$J$8,2,FALSE),0),
IF(AX348="K",VLOOKUP(K348,Foundation_Calc!$K$41:$R$74,VLOOKUP(AW348,Foundation_Calc!$I$2:$J$8,2,FALSE),0),"")))</f>
        <v/>
      </c>
      <c r="BA348" s="632" t="str">
        <f t="shared" si="59"/>
        <v/>
      </c>
      <c r="BB348" s="632" t="str">
        <f t="shared" si="60"/>
        <v/>
      </c>
      <c r="BC348" s="632" t="str">
        <f t="shared" si="61"/>
        <v/>
      </c>
      <c r="BD348" s="633" t="str">
        <f>IF(AND(L348="",H348=""),"",
IF(H348="",Pole_Calc!A376,
IF(H348="MP",Pole_Calc!A377,
IF(H348="AnMP",Pole_Calc!A378,
IF(H348="A",Pole_Calc!A379,
IF(H348="S/A",Pole_Calc!A380,
IF(H348="A/S",Pole_Calc!A381,"Poner a mano")))))))</f>
        <v/>
      </c>
      <c r="BE348" s="448" t="s">
        <v>1726</v>
      </c>
      <c r="BF348" s="634"/>
      <c r="BG348" s="634"/>
      <c r="BH348" s="634"/>
      <c r="BI348" s="634"/>
    </row>
    <row r="349" spans="1:61" ht="16.2" customHeight="1">
      <c r="A349" s="12"/>
      <c r="B349" s="446"/>
      <c r="C349" s="89"/>
      <c r="D349" s="13"/>
      <c r="E349" s="14"/>
      <c r="F349" s="14"/>
      <c r="G349" s="15"/>
      <c r="H349" s="8"/>
      <c r="I349" s="8"/>
      <c r="J349" s="89"/>
      <c r="K349" s="8"/>
      <c r="L349" s="8"/>
      <c r="M349" s="8" t="str">
        <f>IF(L349="","",
IF(AX349="PT",VLOOKUP(L349,Foundation_Calc!$V$4:$X$37,VLOOKUP(AX349,Foundation_Calc!$I$10:$J$13,2,FALSE),0),
IF(AX349="K",VLOOKUP(L349,Foundation_Calc!$V$41:$X$74,VLOOKUP(AX349,Foundation_Calc!$I$10:$J$13,2,FALSE),0),"")))</f>
        <v/>
      </c>
      <c r="N349" s="8"/>
      <c r="O349" s="8"/>
      <c r="P349" s="8"/>
      <c r="Q349" s="14"/>
      <c r="R349" s="15"/>
      <c r="S349" s="15"/>
      <c r="T349" s="14"/>
      <c r="U349" s="14"/>
      <c r="V349" s="14"/>
      <c r="W349" s="18"/>
      <c r="X349" s="18"/>
      <c r="Y349" s="18"/>
      <c r="Z349" s="18"/>
      <c r="AA349" s="18"/>
      <c r="AB349" s="18"/>
      <c r="AC349" s="8" t="str">
        <f t="shared" si="58"/>
        <v/>
      </c>
      <c r="AD349" s="8"/>
      <c r="AE349" s="8"/>
      <c r="AF349" s="14"/>
      <c r="AG349" s="13"/>
      <c r="AH349" s="14"/>
      <c r="AI349" s="14"/>
      <c r="AJ349" s="8"/>
      <c r="AK349" s="8"/>
      <c r="AL349" s="8"/>
      <c r="AM349" s="8"/>
      <c r="AN349" s="631"/>
      <c r="AO349" s="18"/>
      <c r="AP349" s="18"/>
      <c r="AQ349" s="18"/>
      <c r="AR349" s="18"/>
      <c r="AS349" s="18"/>
      <c r="AU349" s="448"/>
      <c r="AV349" s="448"/>
      <c r="AW349" s="8" t="str">
        <f>IF(C349&gt;0,VLOOKUP(C349,Foundation_Calc!$A$2:$C$986,3,1),
IF(J349&gt;0,VLOOKUP(J349,Foundation_Calc!$A$2:$C$986,3,1),""))</f>
        <v/>
      </c>
      <c r="AX349" s="8" t="str">
        <f>IF(C349&gt;0,VLOOKUP(C349,Foundation_Calc!$E$2:$G$986,3,1),
IF(J349&gt;0,VLOOKUP(J349,Foundation_Calc!$E$2:$G$986,3,1),""))</f>
        <v/>
      </c>
      <c r="AY349" s="631" t="str">
        <f>IF(L349="","",
IF(AX349="PT",VLOOKUP(L349,Foundation_Calc!$K$4:$R$37,VLOOKUP(AW349,Foundation_Calc!$I$2:$J$8,2,FALSE),0),
IF(AX349="K",VLOOKUP(L349,Foundation_Calc!$K$41:$R$74,VLOOKUP(AW349,Foundation_Calc!$I$2:$J$8,2,FALSE),0),"")))</f>
        <v/>
      </c>
      <c r="AZ349" s="631" t="str">
        <f>IF(K349="","",
IF(AX349="PT",VLOOKUP(K349,Foundation_Calc!$K$4:$R$37,VLOOKUP(AW349,Foundation_Calc!$I$2:$J$8,2,FALSE),0),
IF(AX349="K",VLOOKUP(K349,Foundation_Calc!$K$41:$R$74,VLOOKUP(AW349,Foundation_Calc!$I$2:$J$8,2,FALSE),0),"")))</f>
        <v/>
      </c>
      <c r="BA349" s="632" t="str">
        <f t="shared" si="59"/>
        <v/>
      </c>
      <c r="BB349" s="632" t="str">
        <f t="shared" si="60"/>
        <v/>
      </c>
      <c r="BC349" s="632" t="str">
        <f t="shared" si="61"/>
        <v/>
      </c>
      <c r="BD349" s="633" t="str">
        <f>IF(AND(L349="",H349=""),"",
IF(H349="",Pole_Calc!A377,
IF(H349="MP",Pole_Calc!A378,
IF(H349="AnMP",Pole_Calc!A379,
IF(H349="A",Pole_Calc!A380,
IF(H349="S/A",Pole_Calc!A381,
IF(H349="A/S",Pole_Calc!A382,"Poner a mano")))))))</f>
        <v/>
      </c>
      <c r="BE349" s="448" t="s">
        <v>1726</v>
      </c>
      <c r="BF349" s="635"/>
      <c r="BG349" s="635"/>
      <c r="BH349" s="634"/>
      <c r="BI349" s="635"/>
    </row>
    <row r="350" spans="1:61" ht="16.2" customHeight="1">
      <c r="A350" s="12"/>
      <c r="B350" s="446"/>
      <c r="C350" s="89"/>
      <c r="D350" s="13"/>
      <c r="E350" s="14"/>
      <c r="F350" s="14"/>
      <c r="G350" s="15"/>
      <c r="H350" s="8"/>
      <c r="I350" s="8"/>
      <c r="J350" s="89"/>
      <c r="K350" s="8"/>
      <c r="L350" s="8"/>
      <c r="M350" s="8" t="str">
        <f>IF(L350="","",
IF(AX350="PT",VLOOKUP(L350,Foundation_Calc!$V$4:$X$37,VLOOKUP(AX350,Foundation_Calc!$I$10:$J$13,2,FALSE),0),
IF(AX350="K",VLOOKUP(L350,Foundation_Calc!$V$41:$X$74,VLOOKUP(AX350,Foundation_Calc!$I$10:$J$13,2,FALSE),0),"")))</f>
        <v/>
      </c>
      <c r="N350" s="8"/>
      <c r="O350" s="8"/>
      <c r="P350" s="8"/>
      <c r="Q350" s="14"/>
      <c r="R350" s="15"/>
      <c r="S350" s="15"/>
      <c r="T350" s="14"/>
      <c r="U350" s="14"/>
      <c r="V350" s="14"/>
      <c r="W350" s="18"/>
      <c r="X350" s="18"/>
      <c r="Y350" s="18"/>
      <c r="Z350" s="18"/>
      <c r="AA350" s="18"/>
      <c r="AB350" s="18"/>
      <c r="AC350" s="8" t="str">
        <f t="shared" si="58"/>
        <v/>
      </c>
      <c r="AD350" s="8"/>
      <c r="AE350" s="8"/>
      <c r="AF350" s="14"/>
      <c r="AG350" s="13"/>
      <c r="AH350" s="14"/>
      <c r="AI350" s="14"/>
      <c r="AJ350" s="8"/>
      <c r="AK350" s="8"/>
      <c r="AL350" s="8"/>
      <c r="AM350" s="8"/>
      <c r="AN350" s="631"/>
      <c r="AO350" s="18"/>
      <c r="AP350" s="18"/>
      <c r="AQ350" s="18"/>
      <c r="AR350" s="18"/>
      <c r="AS350" s="18"/>
      <c r="AU350" s="448"/>
      <c r="AV350" s="448"/>
      <c r="AW350" s="8" t="str">
        <f>IF(C350&gt;0,VLOOKUP(C350,Foundation_Calc!$A$2:$C$986,3,1),
IF(J350&gt;0,VLOOKUP(J350,Foundation_Calc!$A$2:$C$986,3,1),""))</f>
        <v/>
      </c>
      <c r="AX350" s="8" t="str">
        <f>IF(C350&gt;0,VLOOKUP(C350,Foundation_Calc!$E$2:$G$986,3,1),
IF(J350&gt;0,VLOOKUP(J350,Foundation_Calc!$E$2:$G$986,3,1),""))</f>
        <v/>
      </c>
      <c r="AY350" s="631" t="str">
        <f>IF(L350="","",
IF(AX350="PT",VLOOKUP(L350,Foundation_Calc!$K$4:$R$37,VLOOKUP(AW350,Foundation_Calc!$I$2:$J$8,2,FALSE),0),
IF(AX350="K",VLOOKUP(L350,Foundation_Calc!$K$41:$R$74,VLOOKUP(AW350,Foundation_Calc!$I$2:$J$8,2,FALSE),0),"")))</f>
        <v/>
      </c>
      <c r="AZ350" s="631" t="str">
        <f>IF(K350="","",
IF(AX350="PT",VLOOKUP(K350,Foundation_Calc!$K$4:$R$37,VLOOKUP(AW350,Foundation_Calc!$I$2:$J$8,2,FALSE),0),
IF(AX350="K",VLOOKUP(K350,Foundation_Calc!$K$41:$R$74,VLOOKUP(AW350,Foundation_Calc!$I$2:$J$8,2,FALSE),0),"")))</f>
        <v/>
      </c>
      <c r="BA350" s="632" t="str">
        <f t="shared" si="59"/>
        <v/>
      </c>
      <c r="BB350" s="632" t="str">
        <f t="shared" si="60"/>
        <v/>
      </c>
      <c r="BC350" s="632" t="str">
        <f t="shared" si="61"/>
        <v/>
      </c>
      <c r="BD350" s="633" t="str">
        <f>IF(AND(L350="",H350=""),"",
IF(H350="",Pole_Calc!A378,
IF(H350="MP",Pole_Calc!A379,
IF(H350="AnMP",Pole_Calc!A380,
IF(H350="A",Pole_Calc!A381,
IF(H350="S/A",Pole_Calc!A382,
IF(H350="A/S",Pole_Calc!A383,"Poner a mano")))))))</f>
        <v/>
      </c>
      <c r="BE350" s="448" t="s">
        <v>1726</v>
      </c>
      <c r="BF350" s="634"/>
      <c r="BG350" s="634"/>
      <c r="BH350" s="634"/>
      <c r="BI350" s="634"/>
    </row>
    <row r="351" spans="1:61" ht="16.2" customHeight="1">
      <c r="A351" s="12"/>
      <c r="B351" s="446"/>
      <c r="C351" s="89"/>
      <c r="D351" s="13"/>
      <c r="E351" s="14"/>
      <c r="F351" s="14"/>
      <c r="G351" s="15"/>
      <c r="H351" s="8"/>
      <c r="I351" s="8"/>
      <c r="J351" s="89"/>
      <c r="K351" s="8"/>
      <c r="L351" s="8"/>
      <c r="M351" s="8" t="str">
        <f>IF(L351="","",
IF(AX351="PT",VLOOKUP(L351,Foundation_Calc!$V$4:$X$37,VLOOKUP(AX351,Foundation_Calc!$I$10:$J$13,2,FALSE),0),
IF(AX351="K",VLOOKUP(L351,Foundation_Calc!$V$41:$X$74,VLOOKUP(AX351,Foundation_Calc!$I$10:$J$13,2,FALSE),0),"")))</f>
        <v/>
      </c>
      <c r="N351" s="8"/>
      <c r="O351" s="8"/>
      <c r="P351" s="8"/>
      <c r="Q351" s="14"/>
      <c r="R351" s="15"/>
      <c r="S351" s="15"/>
      <c r="T351" s="14"/>
      <c r="U351" s="14"/>
      <c r="V351" s="14"/>
      <c r="W351" s="18"/>
      <c r="X351" s="18"/>
      <c r="Y351" s="18"/>
      <c r="Z351" s="18"/>
      <c r="AA351" s="18"/>
      <c r="AB351" s="18"/>
      <c r="AC351" s="8" t="str">
        <f t="shared" si="58"/>
        <v/>
      </c>
      <c r="AD351" s="8"/>
      <c r="AE351" s="8"/>
      <c r="AF351" s="14"/>
      <c r="AG351" s="13"/>
      <c r="AH351" s="14"/>
      <c r="AI351" s="14"/>
      <c r="AJ351" s="8"/>
      <c r="AK351" s="8"/>
      <c r="AL351" s="8"/>
      <c r="AM351" s="8"/>
      <c r="AN351" s="631"/>
      <c r="AO351" s="18"/>
      <c r="AP351" s="18"/>
      <c r="AQ351" s="18"/>
      <c r="AR351" s="18"/>
      <c r="AS351" s="18"/>
      <c r="AU351" s="448"/>
      <c r="AV351" s="448"/>
      <c r="AW351" s="8" t="str">
        <f>IF(C351&gt;0,VLOOKUP(C351,Foundation_Calc!$A$2:$C$986,3,1),
IF(J351&gt;0,VLOOKUP(J351,Foundation_Calc!$A$2:$C$986,3,1),""))</f>
        <v/>
      </c>
      <c r="AX351" s="8" t="str">
        <f>IF(C351&gt;0,VLOOKUP(C351,Foundation_Calc!$E$2:$G$986,3,1),
IF(J351&gt;0,VLOOKUP(J351,Foundation_Calc!$E$2:$G$986,3,1),""))</f>
        <v/>
      </c>
      <c r="AY351" s="631" t="str">
        <f>IF(L351="","",
IF(AX351="PT",VLOOKUP(L351,Foundation_Calc!$K$4:$R$37,VLOOKUP(AW351,Foundation_Calc!$I$2:$J$8,2,FALSE),0),
IF(AX351="K",VLOOKUP(L351,Foundation_Calc!$K$41:$R$74,VLOOKUP(AW351,Foundation_Calc!$I$2:$J$8,2,FALSE),0),"")))</f>
        <v/>
      </c>
      <c r="AZ351" s="631" t="str">
        <f>IF(K351="","",
IF(AX351="PT",VLOOKUP(K351,Foundation_Calc!$K$4:$R$37,VLOOKUP(AW351,Foundation_Calc!$I$2:$J$8,2,FALSE),0),
IF(AX351="K",VLOOKUP(K351,Foundation_Calc!$K$41:$R$74,VLOOKUP(AW351,Foundation_Calc!$I$2:$J$8,2,FALSE),0),"")))</f>
        <v/>
      </c>
      <c r="BA351" s="632" t="str">
        <f t="shared" si="59"/>
        <v/>
      </c>
      <c r="BB351" s="632" t="str">
        <f t="shared" si="60"/>
        <v/>
      </c>
      <c r="BC351" s="632" t="str">
        <f t="shared" si="61"/>
        <v/>
      </c>
      <c r="BD351" s="633" t="str">
        <f>IF(AND(L351="",H351=""),"",
IF(H351="",Pole_Calc!A379,
IF(H351="MP",Pole_Calc!A380,
IF(H351="AnMP",Pole_Calc!A381,
IF(H351="A",Pole_Calc!A382,
IF(H351="S/A",Pole_Calc!A383,
IF(H351="A/S",Pole_Calc!A384,"Poner a mano")))))))</f>
        <v/>
      </c>
      <c r="BE351" s="448" t="s">
        <v>1726</v>
      </c>
      <c r="BF351" s="635"/>
      <c r="BG351" s="635"/>
      <c r="BH351" s="634"/>
      <c r="BI351" s="635"/>
    </row>
    <row r="352" spans="1:61" ht="16.2" customHeight="1">
      <c r="A352" s="12"/>
      <c r="B352" s="446"/>
      <c r="C352" s="89"/>
      <c r="D352" s="13"/>
      <c r="E352" s="14"/>
      <c r="F352" s="14"/>
      <c r="G352" s="15"/>
      <c r="H352" s="8"/>
      <c r="I352" s="8"/>
      <c r="J352" s="89"/>
      <c r="K352" s="8"/>
      <c r="L352" s="8"/>
      <c r="M352" s="8" t="str">
        <f>IF(L352="","",
IF(AX352="PT",VLOOKUP(L352,Foundation_Calc!$V$4:$X$37,VLOOKUP(AX352,Foundation_Calc!$I$10:$J$13,2,FALSE),0),
IF(AX352="K",VLOOKUP(L352,Foundation_Calc!$V$41:$X$74,VLOOKUP(AX352,Foundation_Calc!$I$10:$J$13,2,FALSE),0),"")))</f>
        <v/>
      </c>
      <c r="N352" s="8"/>
      <c r="O352" s="8"/>
      <c r="P352" s="8"/>
      <c r="Q352" s="14"/>
      <c r="R352" s="15"/>
      <c r="S352" s="15"/>
      <c r="T352" s="14"/>
      <c r="U352" s="14"/>
      <c r="V352" s="14"/>
      <c r="W352" s="18"/>
      <c r="X352" s="18"/>
      <c r="Y352" s="18"/>
      <c r="Z352" s="18"/>
      <c r="AA352" s="18"/>
      <c r="AB352" s="18"/>
      <c r="AC352" s="8" t="str">
        <f t="shared" si="58"/>
        <v/>
      </c>
      <c r="AD352" s="8"/>
      <c r="AE352" s="8"/>
      <c r="AF352" s="14"/>
      <c r="AG352" s="13"/>
      <c r="AH352" s="14"/>
      <c r="AI352" s="14"/>
      <c r="AJ352" s="8"/>
      <c r="AK352" s="8"/>
      <c r="AL352" s="8"/>
      <c r="AM352" s="8"/>
      <c r="AN352" s="631"/>
      <c r="AO352" s="18"/>
      <c r="AP352" s="18"/>
      <c r="AQ352" s="18"/>
      <c r="AR352" s="18"/>
      <c r="AS352" s="18"/>
      <c r="AU352" s="448"/>
      <c r="AV352" s="448"/>
      <c r="AW352" s="8" t="str">
        <f>IF(C352&gt;0,VLOOKUP(C352,Foundation_Calc!$A$2:$C$986,3,1),
IF(J352&gt;0,VLOOKUP(J352,Foundation_Calc!$A$2:$C$986,3,1),""))</f>
        <v/>
      </c>
      <c r="AX352" s="8" t="str">
        <f>IF(C352&gt;0,VLOOKUP(C352,Foundation_Calc!$E$2:$G$986,3,1),
IF(J352&gt;0,VLOOKUP(J352,Foundation_Calc!$E$2:$G$986,3,1),""))</f>
        <v/>
      </c>
      <c r="AY352" s="631" t="str">
        <f>IF(L352="","",
IF(AX352="PT",VLOOKUP(L352,Foundation_Calc!$K$4:$R$37,VLOOKUP(AW352,Foundation_Calc!$I$2:$J$8,2,FALSE),0),
IF(AX352="K",VLOOKUP(L352,Foundation_Calc!$K$41:$R$74,VLOOKUP(AW352,Foundation_Calc!$I$2:$J$8,2,FALSE),0),"")))</f>
        <v/>
      </c>
      <c r="AZ352" s="631" t="str">
        <f>IF(K352="","",
IF(AX352="PT",VLOOKUP(K352,Foundation_Calc!$K$4:$R$37,VLOOKUP(AW352,Foundation_Calc!$I$2:$J$8,2,FALSE),0),
IF(AX352="K",VLOOKUP(K352,Foundation_Calc!$K$41:$R$74,VLOOKUP(AW352,Foundation_Calc!$I$2:$J$8,2,FALSE),0),"")))</f>
        <v/>
      </c>
      <c r="BA352" s="632" t="str">
        <f t="shared" si="59"/>
        <v/>
      </c>
      <c r="BB352" s="632" t="str">
        <f t="shared" si="60"/>
        <v/>
      </c>
      <c r="BC352" s="632" t="str">
        <f t="shared" si="61"/>
        <v/>
      </c>
      <c r="BD352" s="633" t="str">
        <f>IF(AND(L352="",H352=""),"",
IF(H352="",Pole_Calc!A380,
IF(H352="MP",Pole_Calc!A381,
IF(H352="AnMP",Pole_Calc!A382,
IF(H352="A",Pole_Calc!A383,
IF(H352="S/A",Pole_Calc!A384,
IF(H352="A/S",Pole_Calc!A385,"Poner a mano")))))))</f>
        <v/>
      </c>
      <c r="BE352" s="448" t="s">
        <v>1726</v>
      </c>
      <c r="BF352" s="634"/>
      <c r="BG352" s="634"/>
      <c r="BH352" s="634"/>
      <c r="BI352" s="634"/>
    </row>
    <row r="353" spans="1:61" ht="16.2" customHeight="1">
      <c r="A353" s="12"/>
      <c r="B353" s="446"/>
      <c r="C353" s="89"/>
      <c r="D353" s="13"/>
      <c r="E353" s="14"/>
      <c r="F353" s="14"/>
      <c r="G353" s="15"/>
      <c r="H353" s="8"/>
      <c r="I353" s="8"/>
      <c r="J353" s="89"/>
      <c r="K353" s="8"/>
      <c r="L353" s="8"/>
      <c r="M353" s="8" t="str">
        <f>IF(L353="","",
IF(AX353="PT",VLOOKUP(L353,Foundation_Calc!$V$4:$X$37,VLOOKUP(AX353,Foundation_Calc!$I$10:$J$13,2,FALSE),0),
IF(AX353="K",VLOOKUP(L353,Foundation_Calc!$V$41:$X$74,VLOOKUP(AX353,Foundation_Calc!$I$10:$J$13,2,FALSE),0),"")))</f>
        <v/>
      </c>
      <c r="N353" s="8"/>
      <c r="O353" s="8"/>
      <c r="P353" s="8"/>
      <c r="Q353" s="14"/>
      <c r="R353" s="15"/>
      <c r="S353" s="15"/>
      <c r="T353" s="14"/>
      <c r="U353" s="14"/>
      <c r="V353" s="14"/>
      <c r="W353" s="18"/>
      <c r="X353" s="18"/>
      <c r="Y353" s="18"/>
      <c r="Z353" s="18"/>
      <c r="AA353" s="18"/>
      <c r="AB353" s="18"/>
      <c r="AC353" s="8" t="str">
        <f t="shared" si="58"/>
        <v/>
      </c>
      <c r="AD353" s="8"/>
      <c r="AE353" s="8"/>
      <c r="AF353" s="14"/>
      <c r="AG353" s="13"/>
      <c r="AH353" s="14"/>
      <c r="AI353" s="14"/>
      <c r="AJ353" s="8"/>
      <c r="AK353" s="8"/>
      <c r="AL353" s="8"/>
      <c r="AM353" s="8"/>
      <c r="AN353" s="631"/>
      <c r="AO353" s="18"/>
      <c r="AP353" s="18"/>
      <c r="AQ353" s="18"/>
      <c r="AR353" s="18"/>
      <c r="AS353" s="18"/>
      <c r="AU353" s="448"/>
      <c r="AV353" s="448"/>
      <c r="AW353" s="8" t="str">
        <f>IF(C353&gt;0,VLOOKUP(C353,Foundation_Calc!$A$2:$C$986,3,1),
IF(J353&gt;0,VLOOKUP(J353,Foundation_Calc!$A$2:$C$986,3,1),""))</f>
        <v/>
      </c>
      <c r="AX353" s="8" t="str">
        <f>IF(C353&gt;0,VLOOKUP(C353,Foundation_Calc!$E$2:$G$986,3,1),
IF(J353&gt;0,VLOOKUP(J353,Foundation_Calc!$E$2:$G$986,3,1),""))</f>
        <v/>
      </c>
      <c r="AY353" s="631" t="str">
        <f>IF(L353="","",
IF(AX353="PT",VLOOKUP(L353,Foundation_Calc!$K$4:$R$37,VLOOKUP(AW353,Foundation_Calc!$I$2:$J$8,2,FALSE),0),
IF(AX353="K",VLOOKUP(L353,Foundation_Calc!$K$41:$R$74,VLOOKUP(AW353,Foundation_Calc!$I$2:$J$8,2,FALSE),0),"")))</f>
        <v/>
      </c>
      <c r="AZ353" s="631" t="str">
        <f>IF(K353="","",
IF(AX353="PT",VLOOKUP(K353,Foundation_Calc!$K$4:$R$37,VLOOKUP(AW353,Foundation_Calc!$I$2:$J$8,2,FALSE),0),
IF(AX353="K",VLOOKUP(K353,Foundation_Calc!$K$41:$R$74,VLOOKUP(AW353,Foundation_Calc!$I$2:$J$8,2,FALSE),0),"")))</f>
        <v/>
      </c>
      <c r="BA353" s="632" t="str">
        <f t="shared" si="59"/>
        <v/>
      </c>
      <c r="BB353" s="632" t="str">
        <f t="shared" si="60"/>
        <v/>
      </c>
      <c r="BC353" s="632" t="str">
        <f t="shared" si="61"/>
        <v/>
      </c>
      <c r="BD353" s="633" t="str">
        <f>IF(AND(L353="",H353=""),"",
IF(H353="",Pole_Calc!A381,
IF(H353="MP",Pole_Calc!A382,
IF(H353="AnMP",Pole_Calc!A383,
IF(H353="A",Pole_Calc!A384,
IF(H353="S/A",Pole_Calc!A385,
IF(H353="A/S",Pole_Calc!A386,"Poner a mano")))))))</f>
        <v/>
      </c>
      <c r="BE353" s="448" t="s">
        <v>1726</v>
      </c>
      <c r="BF353" s="635"/>
      <c r="BG353" s="635"/>
      <c r="BH353" s="634"/>
      <c r="BI353" s="635"/>
    </row>
    <row r="354" spans="1:61" ht="16.2" customHeight="1">
      <c r="A354" s="12"/>
      <c r="B354" s="446"/>
      <c r="C354" s="89"/>
      <c r="D354" s="13"/>
      <c r="E354" s="14"/>
      <c r="F354" s="14"/>
      <c r="G354" s="15"/>
      <c r="H354" s="8"/>
      <c r="I354" s="8"/>
      <c r="J354" s="89"/>
      <c r="K354" s="8"/>
      <c r="L354" s="8"/>
      <c r="M354" s="8" t="str">
        <f>IF(L354="","",
IF(AX354="PT",VLOOKUP(L354,Foundation_Calc!$V$4:$X$37,VLOOKUP(AX354,Foundation_Calc!$I$10:$J$13,2,FALSE),0),
IF(AX354="K",VLOOKUP(L354,Foundation_Calc!$V$41:$X$74,VLOOKUP(AX354,Foundation_Calc!$I$10:$J$13,2,FALSE),0),"")))</f>
        <v/>
      </c>
      <c r="N354" s="8"/>
      <c r="O354" s="8"/>
      <c r="P354" s="8"/>
      <c r="Q354" s="14"/>
      <c r="R354" s="15"/>
      <c r="S354" s="15"/>
      <c r="T354" s="14"/>
      <c r="U354" s="14"/>
      <c r="V354" s="14"/>
      <c r="W354" s="18"/>
      <c r="X354" s="18"/>
      <c r="Y354" s="18"/>
      <c r="Z354" s="18"/>
      <c r="AA354" s="18"/>
      <c r="AB354" s="18"/>
      <c r="AC354" s="8" t="str">
        <f t="shared" si="58"/>
        <v/>
      </c>
      <c r="AD354" s="8"/>
      <c r="AE354" s="8"/>
      <c r="AF354" s="14"/>
      <c r="AG354" s="13"/>
      <c r="AH354" s="14"/>
      <c r="AI354" s="14"/>
      <c r="AJ354" s="8"/>
      <c r="AK354" s="8"/>
      <c r="AL354" s="8"/>
      <c r="AM354" s="8"/>
      <c r="AN354" s="631"/>
      <c r="AO354" s="18"/>
      <c r="AP354" s="18"/>
      <c r="AQ354" s="18"/>
      <c r="AR354" s="18"/>
      <c r="AS354" s="18"/>
      <c r="AU354" s="448"/>
      <c r="AV354" s="448"/>
      <c r="AW354" s="8" t="str">
        <f>IF(C354&gt;0,VLOOKUP(C354,Foundation_Calc!$A$2:$C$986,3,1),
IF(J354&gt;0,VLOOKUP(J354,Foundation_Calc!$A$2:$C$986,3,1),""))</f>
        <v/>
      </c>
      <c r="AX354" s="8" t="str">
        <f>IF(C354&gt;0,VLOOKUP(C354,Foundation_Calc!$E$2:$G$986,3,1),
IF(J354&gt;0,VLOOKUP(J354,Foundation_Calc!$E$2:$G$986,3,1),""))</f>
        <v/>
      </c>
      <c r="AY354" s="631" t="str">
        <f>IF(L354="","",
IF(AX354="PT",VLOOKUP(L354,Foundation_Calc!$K$4:$R$37,VLOOKUP(AW354,Foundation_Calc!$I$2:$J$8,2,FALSE),0),
IF(AX354="K",VLOOKUP(L354,Foundation_Calc!$K$41:$R$74,VLOOKUP(AW354,Foundation_Calc!$I$2:$J$8,2,FALSE),0),"")))</f>
        <v/>
      </c>
      <c r="AZ354" s="631" t="str">
        <f>IF(K354="","",
IF(AX354="PT",VLOOKUP(K354,Foundation_Calc!$K$4:$R$37,VLOOKUP(AW354,Foundation_Calc!$I$2:$J$8,2,FALSE),0),
IF(AX354="K",VLOOKUP(K354,Foundation_Calc!$K$41:$R$74,VLOOKUP(AW354,Foundation_Calc!$I$2:$J$8,2,FALSE),0),"")))</f>
        <v/>
      </c>
      <c r="BA354" s="632" t="str">
        <f t="shared" si="59"/>
        <v/>
      </c>
      <c r="BB354" s="632" t="str">
        <f t="shared" si="60"/>
        <v/>
      </c>
      <c r="BC354" s="632" t="str">
        <f t="shared" si="61"/>
        <v/>
      </c>
      <c r="BD354" s="633" t="str">
        <f>IF(AND(L354="",H354=""),"",
IF(H354="",Pole_Calc!A382,
IF(H354="MP",Pole_Calc!A383,
IF(H354="AnMP",Pole_Calc!A384,
IF(H354="A",Pole_Calc!A385,
IF(H354="S/A",Pole_Calc!A386,
IF(H354="A/S",Pole_Calc!A387,"Poner a mano")))))))</f>
        <v/>
      </c>
      <c r="BE354" s="448" t="s">
        <v>1726</v>
      </c>
      <c r="BF354" s="634"/>
      <c r="BG354" s="634"/>
      <c r="BH354" s="634"/>
      <c r="BI354" s="634"/>
    </row>
    <row r="355" spans="1:61" ht="16.2" customHeight="1">
      <c r="A355" s="12"/>
      <c r="B355" s="446"/>
      <c r="C355" s="89"/>
      <c r="D355" s="13"/>
      <c r="E355" s="14"/>
      <c r="F355" s="14"/>
      <c r="G355" s="15"/>
      <c r="H355" s="8"/>
      <c r="I355" s="8"/>
      <c r="J355" s="89"/>
      <c r="K355" s="8"/>
      <c r="L355" s="8"/>
      <c r="M355" s="8" t="str">
        <f>IF(L355="","",
IF(AX355="PT",VLOOKUP(L355,Foundation_Calc!$V$4:$X$37,VLOOKUP(AX355,Foundation_Calc!$I$10:$J$13,2,FALSE),0),
IF(AX355="K",VLOOKUP(L355,Foundation_Calc!$V$41:$X$74,VLOOKUP(AX355,Foundation_Calc!$I$10:$J$13,2,FALSE),0),"")))</f>
        <v/>
      </c>
      <c r="N355" s="8"/>
      <c r="O355" s="8"/>
      <c r="P355" s="8"/>
      <c r="Q355" s="14"/>
      <c r="R355" s="15"/>
      <c r="S355" s="15"/>
      <c r="T355" s="14"/>
      <c r="U355" s="14"/>
      <c r="V355" s="14"/>
      <c r="W355" s="18"/>
      <c r="X355" s="18"/>
      <c r="Y355" s="18"/>
      <c r="Z355" s="18"/>
      <c r="AA355" s="18"/>
      <c r="AB355" s="18"/>
      <c r="AC355" s="8" t="str">
        <f t="shared" si="58"/>
        <v/>
      </c>
      <c r="AD355" s="8"/>
      <c r="AE355" s="8"/>
      <c r="AF355" s="14"/>
      <c r="AG355" s="13"/>
      <c r="AH355" s="14"/>
      <c r="AI355" s="14"/>
      <c r="AJ355" s="8"/>
      <c r="AK355" s="8"/>
      <c r="AL355" s="8"/>
      <c r="AM355" s="8"/>
      <c r="AN355" s="631"/>
      <c r="AO355" s="18"/>
      <c r="AP355" s="18"/>
      <c r="AQ355" s="18"/>
      <c r="AR355" s="18"/>
      <c r="AS355" s="18"/>
      <c r="AU355" s="448"/>
      <c r="AV355" s="448"/>
      <c r="AW355" s="8" t="str">
        <f>IF(C355&gt;0,VLOOKUP(C355,Foundation_Calc!$A$2:$C$986,3,1),
IF(J355&gt;0,VLOOKUP(J355,Foundation_Calc!$A$2:$C$986,3,1),""))</f>
        <v/>
      </c>
      <c r="AX355" s="8" t="str">
        <f>IF(C355&gt;0,VLOOKUP(C355,Foundation_Calc!$E$2:$G$986,3,1),
IF(J355&gt;0,VLOOKUP(J355,Foundation_Calc!$E$2:$G$986,3,1),""))</f>
        <v/>
      </c>
      <c r="AY355" s="631" t="str">
        <f>IF(L355="","",
IF(AX355="PT",VLOOKUP(L355,Foundation_Calc!$K$4:$R$37,VLOOKUP(AW355,Foundation_Calc!$I$2:$J$8,2,FALSE),0),
IF(AX355="K",VLOOKUP(L355,Foundation_Calc!$K$41:$R$74,VLOOKUP(AW355,Foundation_Calc!$I$2:$J$8,2,FALSE),0),"")))</f>
        <v/>
      </c>
      <c r="AZ355" s="631" t="str">
        <f>IF(K355="","",
IF(AX355="PT",VLOOKUP(K355,Foundation_Calc!$K$4:$R$37,VLOOKUP(AW355,Foundation_Calc!$I$2:$J$8,2,FALSE),0),
IF(AX355="K",VLOOKUP(K355,Foundation_Calc!$K$41:$R$74,VLOOKUP(AW355,Foundation_Calc!$I$2:$J$8,2,FALSE),0),"")))</f>
        <v/>
      </c>
      <c r="BA355" s="632" t="str">
        <f t="shared" si="59"/>
        <v/>
      </c>
      <c r="BB355" s="632" t="str">
        <f t="shared" si="60"/>
        <v/>
      </c>
      <c r="BC355" s="632" t="str">
        <f t="shared" si="61"/>
        <v/>
      </c>
      <c r="BD355" s="633" t="str">
        <f>IF(AND(L355="",H355=""),"",
IF(H355="",Pole_Calc!A383,
IF(H355="MP",Pole_Calc!A384,
IF(H355="AnMP",Pole_Calc!A385,
IF(H355="A",Pole_Calc!A386,
IF(H355="S/A",Pole_Calc!A387,
IF(H355="A/S",Pole_Calc!A388,"Poner a mano")))))))</f>
        <v/>
      </c>
      <c r="BE355" s="448" t="s">
        <v>1726</v>
      </c>
      <c r="BF355" s="635"/>
      <c r="BG355" s="635"/>
      <c r="BH355" s="634"/>
      <c r="BI355" s="635"/>
    </row>
    <row r="356" spans="1:61" ht="16.2" customHeight="1">
      <c r="A356" s="12"/>
      <c r="B356" s="446"/>
      <c r="C356" s="89"/>
      <c r="D356" s="13"/>
      <c r="E356" s="14"/>
      <c r="F356" s="14"/>
      <c r="G356" s="15"/>
      <c r="H356" s="8"/>
      <c r="I356" s="8"/>
      <c r="J356" s="89"/>
      <c r="K356" s="8"/>
      <c r="L356" s="8"/>
      <c r="M356" s="8" t="str">
        <f>IF(L356="","",
IF(AX356="PT",VLOOKUP(L356,Foundation_Calc!$V$4:$X$37,VLOOKUP(AX356,Foundation_Calc!$I$10:$J$13,2,FALSE),0),
IF(AX356="K",VLOOKUP(L356,Foundation_Calc!$V$41:$X$74,VLOOKUP(AX356,Foundation_Calc!$I$10:$J$13,2,FALSE),0),"")))</f>
        <v/>
      </c>
      <c r="N356" s="8"/>
      <c r="O356" s="8"/>
      <c r="P356" s="8"/>
      <c r="Q356" s="14"/>
      <c r="R356" s="15"/>
      <c r="S356" s="15"/>
      <c r="T356" s="14"/>
      <c r="U356" s="14"/>
      <c r="V356" s="14"/>
      <c r="W356" s="18"/>
      <c r="X356" s="18"/>
      <c r="Y356" s="18"/>
      <c r="Z356" s="18"/>
      <c r="AA356" s="18"/>
      <c r="AB356" s="18"/>
      <c r="AC356" s="8" t="str">
        <f t="shared" si="58"/>
        <v/>
      </c>
      <c r="AD356" s="8"/>
      <c r="AE356" s="8"/>
      <c r="AF356" s="14"/>
      <c r="AG356" s="13"/>
      <c r="AH356" s="14"/>
      <c r="AI356" s="14"/>
      <c r="AJ356" s="8"/>
      <c r="AK356" s="8"/>
      <c r="AL356" s="8"/>
      <c r="AM356" s="8"/>
      <c r="AN356" s="631"/>
      <c r="AO356" s="18"/>
      <c r="AP356" s="18"/>
      <c r="AQ356" s="18"/>
      <c r="AR356" s="18"/>
      <c r="AS356" s="18"/>
      <c r="AU356" s="448"/>
      <c r="AV356" s="448"/>
      <c r="AW356" s="8" t="str">
        <f>IF(C356&gt;0,VLOOKUP(C356,Foundation_Calc!$A$2:$C$986,3,1),
IF(J356&gt;0,VLOOKUP(J356,Foundation_Calc!$A$2:$C$986,3,1),""))</f>
        <v/>
      </c>
      <c r="AX356" s="8" t="str">
        <f>IF(C356&gt;0,VLOOKUP(C356,Foundation_Calc!$E$2:$G$986,3,1),
IF(J356&gt;0,VLOOKUP(J356,Foundation_Calc!$E$2:$G$986,3,1),""))</f>
        <v/>
      </c>
      <c r="AY356" s="631" t="str">
        <f>IF(L356="","",
IF(AX356="PT",VLOOKUP(L356,Foundation_Calc!$K$4:$R$37,VLOOKUP(AW356,Foundation_Calc!$I$2:$J$8,2,FALSE),0),
IF(AX356="K",VLOOKUP(L356,Foundation_Calc!$K$41:$R$74,VLOOKUP(AW356,Foundation_Calc!$I$2:$J$8,2,FALSE),0),"")))</f>
        <v/>
      </c>
      <c r="AZ356" s="631" t="str">
        <f>IF(K356="","",
IF(AX356="PT",VLOOKUP(K356,Foundation_Calc!$K$4:$R$37,VLOOKUP(AW356,Foundation_Calc!$I$2:$J$8,2,FALSE),0),
IF(AX356="K",VLOOKUP(K356,Foundation_Calc!$K$41:$R$74,VLOOKUP(AW356,Foundation_Calc!$I$2:$J$8,2,FALSE),0),"")))</f>
        <v/>
      </c>
      <c r="BA356" s="632" t="str">
        <f t="shared" si="59"/>
        <v/>
      </c>
      <c r="BB356" s="632" t="str">
        <f t="shared" si="60"/>
        <v/>
      </c>
      <c r="BC356" s="632" t="str">
        <f t="shared" si="61"/>
        <v/>
      </c>
      <c r="BD356" s="633" t="str">
        <f>IF(AND(L356="",H356=""),"",
IF(H356="",Pole_Calc!A384,
IF(H356="MP",Pole_Calc!A385,
IF(H356="AnMP",Pole_Calc!A386,
IF(H356="A",Pole_Calc!A387,
IF(H356="S/A",Pole_Calc!A388,
IF(H356="A/S",Pole_Calc!A389,"Poner a mano")))))))</f>
        <v/>
      </c>
      <c r="BE356" s="448" t="s">
        <v>1726</v>
      </c>
      <c r="BF356" s="634"/>
      <c r="BG356" s="634"/>
      <c r="BH356" s="634"/>
      <c r="BI356" s="634"/>
    </row>
    <row r="357" spans="1:61" ht="16.2" customHeight="1">
      <c r="A357" s="12"/>
      <c r="B357" s="446"/>
      <c r="C357" s="89"/>
      <c r="D357" s="13"/>
      <c r="E357" s="14"/>
      <c r="F357" s="14"/>
      <c r="G357" s="15"/>
      <c r="H357" s="8"/>
      <c r="I357" s="8"/>
      <c r="J357" s="89"/>
      <c r="K357" s="8"/>
      <c r="L357" s="8"/>
      <c r="M357" s="8" t="str">
        <f>IF(L357="","",
IF(AX357="PT",VLOOKUP(L357,Foundation_Calc!$V$4:$X$37,VLOOKUP(AX357,Foundation_Calc!$I$10:$J$13,2,FALSE),0),
IF(AX357="K",VLOOKUP(L357,Foundation_Calc!$V$41:$X$74,VLOOKUP(AX357,Foundation_Calc!$I$10:$J$13,2,FALSE),0),"")))</f>
        <v/>
      </c>
      <c r="N357" s="8"/>
      <c r="O357" s="8"/>
      <c r="P357" s="8"/>
      <c r="Q357" s="14"/>
      <c r="R357" s="15"/>
      <c r="S357" s="15"/>
      <c r="T357" s="14"/>
      <c r="U357" s="14"/>
      <c r="V357" s="14"/>
      <c r="W357" s="18"/>
      <c r="X357" s="18"/>
      <c r="Y357" s="18"/>
      <c r="Z357" s="18"/>
      <c r="AA357" s="18"/>
      <c r="AB357" s="18"/>
      <c r="AC357" s="8" t="str">
        <f t="shared" si="58"/>
        <v/>
      </c>
      <c r="AD357" s="8"/>
      <c r="AE357" s="8"/>
      <c r="AF357" s="14"/>
      <c r="AG357" s="13"/>
      <c r="AH357" s="14"/>
      <c r="AI357" s="14"/>
      <c r="AJ357" s="8"/>
      <c r="AK357" s="8"/>
      <c r="AL357" s="8"/>
      <c r="AM357" s="8"/>
      <c r="AN357" s="631"/>
      <c r="AO357" s="18"/>
      <c r="AP357" s="18"/>
      <c r="AQ357" s="18"/>
      <c r="AR357" s="18"/>
      <c r="AS357" s="18"/>
      <c r="AU357" s="448"/>
      <c r="AV357" s="448"/>
      <c r="AW357" s="8" t="str">
        <f>IF(C357&gt;0,VLOOKUP(C357,Foundation_Calc!$A$2:$C$986,3,1),
IF(J357&gt;0,VLOOKUP(J357,Foundation_Calc!$A$2:$C$986,3,1),""))</f>
        <v/>
      </c>
      <c r="AX357" s="8" t="str">
        <f>IF(C357&gt;0,VLOOKUP(C357,Foundation_Calc!$E$2:$G$986,3,1),
IF(J357&gt;0,VLOOKUP(J357,Foundation_Calc!$E$2:$G$986,3,1),""))</f>
        <v/>
      </c>
      <c r="AY357" s="631" t="str">
        <f>IF(L357="","",
IF(AX357="PT",VLOOKUP(L357,Foundation_Calc!$K$4:$R$37,VLOOKUP(AW357,Foundation_Calc!$I$2:$J$8,2,FALSE),0),
IF(AX357="K",VLOOKUP(L357,Foundation_Calc!$K$41:$R$74,VLOOKUP(AW357,Foundation_Calc!$I$2:$J$8,2,FALSE),0),"")))</f>
        <v/>
      </c>
      <c r="AZ357" s="631" t="str">
        <f>IF(K357="","",
IF(AX357="PT",VLOOKUP(K357,Foundation_Calc!$K$4:$R$37,VLOOKUP(AW357,Foundation_Calc!$I$2:$J$8,2,FALSE),0),
IF(AX357="K",VLOOKUP(K357,Foundation_Calc!$K$41:$R$74,VLOOKUP(AW357,Foundation_Calc!$I$2:$J$8,2,FALSE),0),"")))</f>
        <v/>
      </c>
      <c r="BA357" s="632" t="str">
        <f t="shared" si="59"/>
        <v/>
      </c>
      <c r="BB357" s="632" t="str">
        <f t="shared" si="60"/>
        <v/>
      </c>
      <c r="BC357" s="632" t="str">
        <f t="shared" si="61"/>
        <v/>
      </c>
      <c r="BD357" s="633" t="str">
        <f>IF(AND(L357="",H357=""),"",
IF(H357="",Pole_Calc!A385,
IF(H357="MP",Pole_Calc!A386,
IF(H357="AnMP",Pole_Calc!A387,
IF(H357="A",Pole_Calc!A388,
IF(H357="S/A",Pole_Calc!A389,
IF(H357="A/S",Pole_Calc!A390,"Poner a mano")))))))</f>
        <v/>
      </c>
      <c r="BE357" s="448" t="s">
        <v>1726</v>
      </c>
      <c r="BF357" s="635"/>
      <c r="BG357" s="635"/>
      <c r="BH357" s="634"/>
      <c r="BI357" s="635"/>
    </row>
    <row r="358" spans="1:61" ht="16.2" customHeight="1">
      <c r="A358" s="12"/>
      <c r="B358" s="446"/>
      <c r="C358" s="89"/>
      <c r="D358" s="13"/>
      <c r="E358" s="14"/>
      <c r="F358" s="14"/>
      <c r="G358" s="15"/>
      <c r="H358" s="8"/>
      <c r="I358" s="8"/>
      <c r="J358" s="89"/>
      <c r="K358" s="8"/>
      <c r="L358" s="8"/>
      <c r="M358" s="8" t="str">
        <f>IF(L358="","",
IF(AX358="PT",VLOOKUP(L358,Foundation_Calc!$V$4:$X$37,VLOOKUP(AX358,Foundation_Calc!$I$10:$J$13,2,FALSE),0),
IF(AX358="K",VLOOKUP(L358,Foundation_Calc!$V$41:$X$74,VLOOKUP(AX358,Foundation_Calc!$I$10:$J$13,2,FALSE),0),"")))</f>
        <v/>
      </c>
      <c r="N358" s="8"/>
      <c r="O358" s="8"/>
      <c r="P358" s="8"/>
      <c r="Q358" s="14"/>
      <c r="R358" s="15"/>
      <c r="S358" s="15"/>
      <c r="T358" s="14"/>
      <c r="U358" s="14"/>
      <c r="V358" s="14"/>
      <c r="W358" s="18"/>
      <c r="X358" s="18"/>
      <c r="Y358" s="18"/>
      <c r="Z358" s="18"/>
      <c r="AA358" s="18"/>
      <c r="AB358" s="18"/>
      <c r="AC358" s="8" t="str">
        <f t="shared" si="58"/>
        <v/>
      </c>
      <c r="AD358" s="8"/>
      <c r="AE358" s="8"/>
      <c r="AF358" s="14"/>
      <c r="AG358" s="13"/>
      <c r="AH358" s="14"/>
      <c r="AI358" s="14"/>
      <c r="AJ358" s="8"/>
      <c r="AK358" s="8"/>
      <c r="AL358" s="8"/>
      <c r="AM358" s="8"/>
      <c r="AN358" s="631"/>
      <c r="AO358" s="18"/>
      <c r="AP358" s="18"/>
      <c r="AQ358" s="18"/>
      <c r="AR358" s="18"/>
      <c r="AS358" s="18"/>
      <c r="AU358" s="448"/>
      <c r="AV358" s="448"/>
      <c r="AW358" s="8" t="str">
        <f>IF(C358&gt;0,VLOOKUP(C358,Foundation_Calc!$A$2:$C$986,3,1),
IF(J358&gt;0,VLOOKUP(J358,Foundation_Calc!$A$2:$C$986,3,1),""))</f>
        <v/>
      </c>
      <c r="AX358" s="8" t="str">
        <f>IF(C358&gt;0,VLOOKUP(C358,Foundation_Calc!$E$2:$G$986,3,1),
IF(J358&gt;0,VLOOKUP(J358,Foundation_Calc!$E$2:$G$986,3,1),""))</f>
        <v/>
      </c>
      <c r="AY358" s="631" t="str">
        <f>IF(L358="","",
IF(AX358="PT",VLOOKUP(L358,Foundation_Calc!$K$4:$R$37,VLOOKUP(AW358,Foundation_Calc!$I$2:$J$8,2,FALSE),0),
IF(AX358="K",VLOOKUP(L358,Foundation_Calc!$K$41:$R$74,VLOOKUP(AW358,Foundation_Calc!$I$2:$J$8,2,FALSE),0),"")))</f>
        <v/>
      </c>
      <c r="AZ358" s="631" t="str">
        <f>IF(K358="","",
IF(AX358="PT",VLOOKUP(K358,Foundation_Calc!$K$4:$R$37,VLOOKUP(AW358,Foundation_Calc!$I$2:$J$8,2,FALSE),0),
IF(AX358="K",VLOOKUP(K358,Foundation_Calc!$K$41:$R$74,VLOOKUP(AW358,Foundation_Calc!$I$2:$J$8,2,FALSE),0),"")))</f>
        <v/>
      </c>
      <c r="BA358" s="632" t="str">
        <f t="shared" si="59"/>
        <v/>
      </c>
      <c r="BB358" s="632" t="str">
        <f t="shared" si="60"/>
        <v/>
      </c>
      <c r="BC358" s="632" t="str">
        <f t="shared" si="61"/>
        <v/>
      </c>
      <c r="BD358" s="633" t="str">
        <f>IF(AND(L358="",H358=""),"",
IF(H358="",Pole_Calc!A386,
IF(H358="MP",Pole_Calc!A387,
IF(H358="AnMP",Pole_Calc!A388,
IF(H358="A",Pole_Calc!A389,
IF(H358="S/A",Pole_Calc!A390,
IF(H358="A/S",Pole_Calc!A391,"Poner a mano")))))))</f>
        <v/>
      </c>
      <c r="BE358" s="448" t="s">
        <v>1726</v>
      </c>
      <c r="BF358" s="634"/>
      <c r="BG358" s="634"/>
      <c r="BH358" s="634"/>
      <c r="BI358" s="634"/>
    </row>
    <row r="359" spans="1:61" ht="16.2" customHeight="1">
      <c r="A359" s="12"/>
      <c r="B359" s="446"/>
      <c r="C359" s="89"/>
      <c r="D359" s="13"/>
      <c r="E359" s="14"/>
      <c r="F359" s="14"/>
      <c r="G359" s="15"/>
      <c r="H359" s="8"/>
      <c r="I359" s="8"/>
      <c r="J359" s="89"/>
      <c r="K359" s="8"/>
      <c r="L359" s="8"/>
      <c r="M359" s="8" t="str">
        <f>IF(L359="","",
IF(AX359="PT",VLOOKUP(L359,Foundation_Calc!$V$4:$X$37,VLOOKUP(AX359,Foundation_Calc!$I$10:$J$13,2,FALSE),0),
IF(AX359="K",VLOOKUP(L359,Foundation_Calc!$V$41:$X$74,VLOOKUP(AX359,Foundation_Calc!$I$10:$J$13,2,FALSE),0),"")))</f>
        <v/>
      </c>
      <c r="N359" s="8"/>
      <c r="O359" s="8"/>
      <c r="P359" s="8"/>
      <c r="Q359" s="14"/>
      <c r="R359" s="15"/>
      <c r="S359" s="15"/>
      <c r="T359" s="14"/>
      <c r="U359" s="14"/>
      <c r="V359" s="14"/>
      <c r="W359" s="18"/>
      <c r="X359" s="18"/>
      <c r="Y359" s="18"/>
      <c r="Z359" s="18"/>
      <c r="AA359" s="18"/>
      <c r="AB359" s="18"/>
      <c r="AC359" s="8" t="str">
        <f t="shared" si="58"/>
        <v/>
      </c>
      <c r="AD359" s="8"/>
      <c r="AE359" s="8"/>
      <c r="AF359" s="14"/>
      <c r="AG359" s="13"/>
      <c r="AH359" s="14"/>
      <c r="AI359" s="14"/>
      <c r="AJ359" s="8"/>
      <c r="AK359" s="8"/>
      <c r="AL359" s="8"/>
      <c r="AM359" s="8"/>
      <c r="AN359" s="631"/>
      <c r="AO359" s="18"/>
      <c r="AP359" s="18"/>
      <c r="AQ359" s="18"/>
      <c r="AR359" s="18"/>
      <c r="AS359" s="18"/>
      <c r="AU359" s="448"/>
      <c r="AV359" s="448"/>
      <c r="AW359" s="8" t="str">
        <f>IF(C359&gt;0,VLOOKUP(C359,Foundation_Calc!$A$2:$C$986,3,1),
IF(J359&gt;0,VLOOKUP(J359,Foundation_Calc!$A$2:$C$986,3,1),""))</f>
        <v/>
      </c>
      <c r="AX359" s="8" t="str">
        <f>IF(C359&gt;0,VLOOKUP(C359,Foundation_Calc!$E$2:$G$986,3,1),
IF(J359&gt;0,VLOOKUP(J359,Foundation_Calc!$E$2:$G$986,3,1),""))</f>
        <v/>
      </c>
      <c r="AY359" s="631" t="str">
        <f>IF(L359="","",
IF(AX359="PT",VLOOKUP(L359,Foundation_Calc!$K$4:$R$37,VLOOKUP(AW359,Foundation_Calc!$I$2:$J$8,2,FALSE),0),
IF(AX359="K",VLOOKUP(L359,Foundation_Calc!$K$41:$R$74,VLOOKUP(AW359,Foundation_Calc!$I$2:$J$8,2,FALSE),0),"")))</f>
        <v/>
      </c>
      <c r="AZ359" s="631" t="str">
        <f>IF(K359="","",
IF(AX359="PT",VLOOKUP(K359,Foundation_Calc!$K$4:$R$37,VLOOKUP(AW359,Foundation_Calc!$I$2:$J$8,2,FALSE),0),
IF(AX359="K",VLOOKUP(K359,Foundation_Calc!$K$41:$R$74,VLOOKUP(AW359,Foundation_Calc!$I$2:$J$8,2,FALSE),0),"")))</f>
        <v/>
      </c>
      <c r="BA359" s="632" t="str">
        <f t="shared" si="59"/>
        <v/>
      </c>
      <c r="BB359" s="632" t="str">
        <f t="shared" si="60"/>
        <v/>
      </c>
      <c r="BC359" s="632" t="str">
        <f t="shared" si="61"/>
        <v/>
      </c>
      <c r="BD359" s="633" t="str">
        <f>IF(AND(L359="",H359=""),"",
IF(H359="",Pole_Calc!A387,
IF(H359="MP",Pole_Calc!A388,
IF(H359="AnMP",Pole_Calc!A389,
IF(H359="A",Pole_Calc!A390,
IF(H359="S/A",Pole_Calc!A391,
IF(H359="A/S",Pole_Calc!A392,"Poner a mano")))))))</f>
        <v/>
      </c>
      <c r="BE359" s="448" t="s">
        <v>1726</v>
      </c>
      <c r="BF359" s="635"/>
      <c r="BG359" s="635"/>
      <c r="BH359" s="634"/>
      <c r="BI359" s="635"/>
    </row>
    <row r="360" spans="1:61" ht="16.2" customHeight="1">
      <c r="A360" s="12"/>
      <c r="B360" s="446"/>
      <c r="C360" s="89"/>
      <c r="D360" s="13"/>
      <c r="E360" s="14"/>
      <c r="F360" s="14"/>
      <c r="G360" s="15"/>
      <c r="H360" s="8"/>
      <c r="I360" s="8"/>
      <c r="J360" s="89"/>
      <c r="K360" s="8"/>
      <c r="L360" s="8"/>
      <c r="M360" s="8" t="str">
        <f>IF(L360="","",
IF(AX360="PT",VLOOKUP(L360,Foundation_Calc!$V$4:$X$37,VLOOKUP(AX360,Foundation_Calc!$I$10:$J$13,2,FALSE),0),
IF(AX360="K",VLOOKUP(L360,Foundation_Calc!$V$41:$X$74,VLOOKUP(AX360,Foundation_Calc!$I$10:$J$13,2,FALSE),0),"")))</f>
        <v/>
      </c>
      <c r="N360" s="8"/>
      <c r="O360" s="8"/>
      <c r="P360" s="8"/>
      <c r="Q360" s="14"/>
      <c r="R360" s="15"/>
      <c r="S360" s="15"/>
      <c r="T360" s="14"/>
      <c r="U360" s="14"/>
      <c r="V360" s="14"/>
      <c r="W360" s="18"/>
      <c r="X360" s="18"/>
      <c r="Y360" s="18"/>
      <c r="Z360" s="18"/>
      <c r="AA360" s="18"/>
      <c r="AB360" s="18"/>
      <c r="AC360" s="8" t="str">
        <f t="shared" si="58"/>
        <v/>
      </c>
      <c r="AD360" s="8"/>
      <c r="AE360" s="8"/>
      <c r="AF360" s="14"/>
      <c r="AG360" s="13"/>
      <c r="AH360" s="14"/>
      <c r="AI360" s="14"/>
      <c r="AJ360" s="8"/>
      <c r="AK360" s="8"/>
      <c r="AL360" s="8"/>
      <c r="AM360" s="8"/>
      <c r="AN360" s="631"/>
      <c r="AO360" s="18"/>
      <c r="AP360" s="18"/>
      <c r="AQ360" s="18"/>
      <c r="AR360" s="18"/>
      <c r="AS360" s="18"/>
      <c r="AU360" s="448"/>
      <c r="AV360" s="448"/>
      <c r="AW360" s="8" t="str">
        <f>IF(C360&gt;0,VLOOKUP(C360,Foundation_Calc!$A$2:$C$986,3,1),
IF(J360&gt;0,VLOOKUP(J360,Foundation_Calc!$A$2:$C$986,3,1),""))</f>
        <v/>
      </c>
      <c r="AX360" s="8" t="str">
        <f>IF(C360&gt;0,VLOOKUP(C360,Foundation_Calc!$E$2:$G$986,3,1),
IF(J360&gt;0,VLOOKUP(J360,Foundation_Calc!$E$2:$G$986,3,1),""))</f>
        <v/>
      </c>
      <c r="AY360" s="631" t="str">
        <f>IF(L360="","",
IF(AX360="PT",VLOOKUP(L360,Foundation_Calc!$K$4:$R$37,VLOOKUP(AW360,Foundation_Calc!$I$2:$J$8,2,FALSE),0),
IF(AX360="K",VLOOKUP(L360,Foundation_Calc!$K$41:$R$74,VLOOKUP(AW360,Foundation_Calc!$I$2:$J$8,2,FALSE),0),"")))</f>
        <v/>
      </c>
      <c r="AZ360" s="631" t="str">
        <f>IF(K360="","",
IF(AX360="PT",VLOOKUP(K360,Foundation_Calc!$K$4:$R$37,VLOOKUP(AW360,Foundation_Calc!$I$2:$J$8,2,FALSE),0),
IF(AX360="K",VLOOKUP(K360,Foundation_Calc!$K$41:$R$74,VLOOKUP(AW360,Foundation_Calc!$I$2:$J$8,2,FALSE),0),"")))</f>
        <v/>
      </c>
      <c r="BA360" s="632" t="str">
        <f t="shared" si="59"/>
        <v/>
      </c>
      <c r="BB360" s="632" t="str">
        <f t="shared" si="60"/>
        <v/>
      </c>
      <c r="BC360" s="632" t="str">
        <f t="shared" si="61"/>
        <v/>
      </c>
      <c r="BD360" s="633" t="str">
        <f>IF(AND(L360="",H360=""),"",
IF(H360="",Pole_Calc!A388,
IF(H360="MP",Pole_Calc!A389,
IF(H360="AnMP",Pole_Calc!A390,
IF(H360="A",Pole_Calc!A391,
IF(H360="S/A",Pole_Calc!A392,
IF(H360="A/S",Pole_Calc!A393,"Poner a mano")))))))</f>
        <v/>
      </c>
      <c r="BE360" s="448" t="s">
        <v>1726</v>
      </c>
      <c r="BF360" s="634"/>
      <c r="BG360" s="634"/>
      <c r="BH360" s="634"/>
      <c r="BI360" s="634"/>
    </row>
    <row r="361" spans="1:61" ht="16.2" customHeight="1">
      <c r="A361" s="12"/>
      <c r="B361" s="446"/>
      <c r="C361" s="89"/>
      <c r="D361" s="13"/>
      <c r="E361" s="14"/>
      <c r="F361" s="14"/>
      <c r="G361" s="15"/>
      <c r="H361" s="8"/>
      <c r="I361" s="8"/>
      <c r="J361" s="89"/>
      <c r="K361" s="8"/>
      <c r="L361" s="8"/>
      <c r="M361" s="8" t="str">
        <f>IF(L361="","",
IF(AX361="PT",VLOOKUP(L361,Foundation_Calc!$V$4:$X$37,VLOOKUP(AX361,Foundation_Calc!$I$10:$J$13,2,FALSE),0),
IF(AX361="K",VLOOKUP(L361,Foundation_Calc!$V$41:$X$74,VLOOKUP(AX361,Foundation_Calc!$I$10:$J$13,2,FALSE),0),"")))</f>
        <v/>
      </c>
      <c r="N361" s="8"/>
      <c r="O361" s="8"/>
      <c r="P361" s="8"/>
      <c r="Q361" s="14"/>
      <c r="R361" s="15"/>
      <c r="S361" s="15"/>
      <c r="T361" s="14"/>
      <c r="U361" s="14"/>
      <c r="V361" s="14"/>
      <c r="W361" s="18"/>
      <c r="X361" s="18"/>
      <c r="Y361" s="18"/>
      <c r="Z361" s="18"/>
      <c r="AA361" s="18"/>
      <c r="AB361" s="18"/>
      <c r="AC361" s="8" t="str">
        <f t="shared" si="58"/>
        <v/>
      </c>
      <c r="AD361" s="8"/>
      <c r="AE361" s="8"/>
      <c r="AF361" s="14"/>
      <c r="AG361" s="13"/>
      <c r="AH361" s="14"/>
      <c r="AI361" s="14"/>
      <c r="AJ361" s="8"/>
      <c r="AK361" s="8"/>
      <c r="AL361" s="8"/>
      <c r="AM361" s="8"/>
      <c r="AN361" s="631"/>
      <c r="AO361" s="18"/>
      <c r="AP361" s="18"/>
      <c r="AQ361" s="18"/>
      <c r="AR361" s="18"/>
      <c r="AS361" s="18"/>
      <c r="AU361" s="448"/>
      <c r="AV361" s="448"/>
      <c r="AW361" s="8" t="str">
        <f>IF(C361&gt;0,VLOOKUP(C361,Foundation_Calc!$A$2:$C$986,3,1),
IF(J361&gt;0,VLOOKUP(J361,Foundation_Calc!$A$2:$C$986,3,1),""))</f>
        <v/>
      </c>
      <c r="AX361" s="8" t="str">
        <f>IF(C361&gt;0,VLOOKUP(C361,Foundation_Calc!$E$2:$G$986,3,1),
IF(J361&gt;0,VLOOKUP(J361,Foundation_Calc!$E$2:$G$986,3,1),""))</f>
        <v/>
      </c>
      <c r="AY361" s="631" t="str">
        <f>IF(L361="","",
IF(AX361="PT",VLOOKUP(L361,Foundation_Calc!$K$4:$R$37,VLOOKUP(AW361,Foundation_Calc!$I$2:$J$8,2,FALSE),0),
IF(AX361="K",VLOOKUP(L361,Foundation_Calc!$K$41:$R$74,VLOOKUP(AW361,Foundation_Calc!$I$2:$J$8,2,FALSE),0),"")))</f>
        <v/>
      </c>
      <c r="AZ361" s="631" t="str">
        <f>IF(K361="","",
IF(AX361="PT",VLOOKUP(K361,Foundation_Calc!$K$4:$R$37,VLOOKUP(AW361,Foundation_Calc!$I$2:$J$8,2,FALSE),0),
IF(AX361="K",VLOOKUP(K361,Foundation_Calc!$K$41:$R$74,VLOOKUP(AW361,Foundation_Calc!$I$2:$J$8,2,FALSE),0),"")))</f>
        <v/>
      </c>
      <c r="BA361" s="632" t="str">
        <f t="shared" si="59"/>
        <v/>
      </c>
      <c r="BB361" s="632" t="str">
        <f t="shared" si="60"/>
        <v/>
      </c>
      <c r="BC361" s="632" t="str">
        <f t="shared" si="61"/>
        <v/>
      </c>
      <c r="BD361" s="633" t="str">
        <f>IF(AND(L361="",H361=""),"",
IF(H361="",Pole_Calc!A389,
IF(H361="MP",Pole_Calc!A390,
IF(H361="AnMP",Pole_Calc!A391,
IF(H361="A",Pole_Calc!A392,
IF(H361="S/A",Pole_Calc!A393,
IF(H361="A/S",Pole_Calc!A394,"Poner a mano")))))))</f>
        <v/>
      </c>
      <c r="BE361" s="448" t="s">
        <v>1726</v>
      </c>
      <c r="BF361" s="635"/>
      <c r="BG361" s="635"/>
      <c r="BH361" s="634"/>
      <c r="BI361" s="635"/>
    </row>
    <row r="362" spans="1:61" ht="16.2" customHeight="1">
      <c r="A362" s="12"/>
      <c r="B362" s="446"/>
      <c r="C362" s="89"/>
      <c r="D362" s="13"/>
      <c r="E362" s="14"/>
      <c r="F362" s="14"/>
      <c r="G362" s="15"/>
      <c r="H362" s="8"/>
      <c r="I362" s="8"/>
      <c r="J362" s="89"/>
      <c r="K362" s="8"/>
      <c r="L362" s="8"/>
      <c r="M362" s="8" t="str">
        <f>IF(L362="","",
IF(AX362="PT",VLOOKUP(L362,Foundation_Calc!$V$4:$X$37,VLOOKUP(AX362,Foundation_Calc!$I$10:$J$13,2,FALSE),0),
IF(AX362="K",VLOOKUP(L362,Foundation_Calc!$V$41:$X$74,VLOOKUP(AX362,Foundation_Calc!$I$10:$J$13,2,FALSE),0),"")))</f>
        <v/>
      </c>
      <c r="N362" s="8"/>
      <c r="O362" s="8"/>
      <c r="P362" s="8"/>
      <c r="Q362" s="14"/>
      <c r="R362" s="15"/>
      <c r="S362" s="15"/>
      <c r="T362" s="14"/>
      <c r="U362" s="14"/>
      <c r="V362" s="14"/>
      <c r="W362" s="18"/>
      <c r="X362" s="18"/>
      <c r="Y362" s="18"/>
      <c r="Z362" s="18"/>
      <c r="AA362" s="18"/>
      <c r="AB362" s="18"/>
      <c r="AC362" s="8" t="str">
        <f t="shared" si="58"/>
        <v/>
      </c>
      <c r="AD362" s="8"/>
      <c r="AE362" s="8"/>
      <c r="AF362" s="14"/>
      <c r="AG362" s="13"/>
      <c r="AH362" s="14"/>
      <c r="AI362" s="14"/>
      <c r="AJ362" s="8"/>
      <c r="AK362" s="8"/>
      <c r="AL362" s="8"/>
      <c r="AM362" s="8"/>
      <c r="AN362" s="631"/>
      <c r="AO362" s="18"/>
      <c r="AP362" s="18"/>
      <c r="AQ362" s="18"/>
      <c r="AR362" s="18"/>
      <c r="AS362" s="18"/>
      <c r="AU362" s="448"/>
      <c r="AV362" s="448"/>
      <c r="AW362" s="8" t="str">
        <f>IF(C362&gt;0,VLOOKUP(C362,Foundation_Calc!$A$2:$C$986,3,1),
IF(J362&gt;0,VLOOKUP(J362,Foundation_Calc!$A$2:$C$986,3,1),""))</f>
        <v/>
      </c>
      <c r="AX362" s="8" t="str">
        <f>IF(C362&gt;0,VLOOKUP(C362,Foundation_Calc!$E$2:$G$986,3,1),
IF(J362&gt;0,VLOOKUP(J362,Foundation_Calc!$E$2:$G$986,3,1),""))</f>
        <v/>
      </c>
      <c r="AY362" s="631" t="str">
        <f>IF(L362="","",
IF(AX362="PT",VLOOKUP(L362,Foundation_Calc!$K$4:$R$37,VLOOKUP(AW362,Foundation_Calc!$I$2:$J$8,2,FALSE),0),
IF(AX362="K",VLOOKUP(L362,Foundation_Calc!$K$41:$R$74,VLOOKUP(AW362,Foundation_Calc!$I$2:$J$8,2,FALSE),0),"")))</f>
        <v/>
      </c>
      <c r="AZ362" s="631" t="str">
        <f>IF(K362="","",
IF(AX362="PT",VLOOKUP(K362,Foundation_Calc!$K$4:$R$37,VLOOKUP(AW362,Foundation_Calc!$I$2:$J$8,2,FALSE),0),
IF(AX362="K",VLOOKUP(K362,Foundation_Calc!$K$41:$R$74,VLOOKUP(AW362,Foundation_Calc!$I$2:$J$8,2,FALSE),0),"")))</f>
        <v/>
      </c>
      <c r="BA362" s="632" t="str">
        <f t="shared" si="59"/>
        <v/>
      </c>
      <c r="BB362" s="632" t="str">
        <f t="shared" si="60"/>
        <v/>
      </c>
      <c r="BC362" s="632" t="str">
        <f t="shared" si="61"/>
        <v/>
      </c>
      <c r="BD362" s="633" t="str">
        <f>IF(AND(L362="",H362=""),"",
IF(H362="",Pole_Calc!A390,
IF(H362="MP",Pole_Calc!A391,
IF(H362="AnMP",Pole_Calc!A392,
IF(H362="A",Pole_Calc!A393,
IF(H362="S/A",Pole_Calc!A394,
IF(H362="A/S",Pole_Calc!A395,"Poner a mano")))))))</f>
        <v/>
      </c>
      <c r="BE362" s="448" t="s">
        <v>1726</v>
      </c>
      <c r="BF362" s="634"/>
      <c r="BG362" s="634"/>
      <c r="BH362" s="634"/>
      <c r="BI362" s="634"/>
    </row>
    <row r="363" spans="1:61" ht="16.2" customHeight="1">
      <c r="A363" s="12"/>
      <c r="B363" s="446"/>
      <c r="C363" s="89"/>
      <c r="D363" s="13"/>
      <c r="E363" s="14"/>
      <c r="F363" s="14"/>
      <c r="G363" s="15"/>
      <c r="H363" s="8"/>
      <c r="I363" s="8"/>
      <c r="J363" s="89"/>
      <c r="K363" s="8"/>
      <c r="L363" s="8"/>
      <c r="M363" s="8" t="str">
        <f>IF(L363="","",
IF(AX363="PT",VLOOKUP(L363,Foundation_Calc!$V$4:$X$37,VLOOKUP(AX363,Foundation_Calc!$I$10:$J$13,2,FALSE),0),
IF(AX363="K",VLOOKUP(L363,Foundation_Calc!$V$41:$X$74,VLOOKUP(AX363,Foundation_Calc!$I$10:$J$13,2,FALSE),0),"")))</f>
        <v/>
      </c>
      <c r="N363" s="8"/>
      <c r="O363" s="8"/>
      <c r="P363" s="8"/>
      <c r="Q363" s="14"/>
      <c r="R363" s="15"/>
      <c r="S363" s="15"/>
      <c r="T363" s="14"/>
      <c r="U363" s="14"/>
      <c r="V363" s="14"/>
      <c r="W363" s="18"/>
      <c r="X363" s="18"/>
      <c r="Y363" s="18"/>
      <c r="Z363" s="18"/>
      <c r="AA363" s="18"/>
      <c r="AB363" s="18"/>
      <c r="AC363" s="8" t="str">
        <f t="shared" si="58"/>
        <v/>
      </c>
      <c r="AD363" s="8"/>
      <c r="AE363" s="8"/>
      <c r="AF363" s="14"/>
      <c r="AG363" s="13"/>
      <c r="AH363" s="14"/>
      <c r="AI363" s="14"/>
      <c r="AJ363" s="8"/>
      <c r="AK363" s="8"/>
      <c r="AL363" s="8"/>
      <c r="AM363" s="8"/>
      <c r="AN363" s="631"/>
      <c r="AO363" s="18"/>
      <c r="AP363" s="18"/>
      <c r="AQ363" s="18"/>
      <c r="AR363" s="18"/>
      <c r="AS363" s="18"/>
      <c r="AU363" s="448"/>
      <c r="AV363" s="448"/>
      <c r="AW363" s="8" t="str">
        <f>IF(C363&gt;0,VLOOKUP(C363,Foundation_Calc!$A$2:$C$986,3,1),
IF(J363&gt;0,VLOOKUP(J363,Foundation_Calc!$A$2:$C$986,3,1),""))</f>
        <v/>
      </c>
      <c r="AX363" s="8" t="str">
        <f>IF(C363&gt;0,VLOOKUP(C363,Foundation_Calc!$E$2:$G$986,3,1),
IF(J363&gt;0,VLOOKUP(J363,Foundation_Calc!$E$2:$G$986,3,1),""))</f>
        <v/>
      </c>
      <c r="AY363" s="631" t="str">
        <f>IF(L363="","",
IF(AX363="PT",VLOOKUP(L363,Foundation_Calc!$K$4:$R$37,VLOOKUP(AW363,Foundation_Calc!$I$2:$J$8,2,FALSE),0),
IF(AX363="K",VLOOKUP(L363,Foundation_Calc!$K$41:$R$74,VLOOKUP(AW363,Foundation_Calc!$I$2:$J$8,2,FALSE),0),"")))</f>
        <v/>
      </c>
      <c r="AZ363" s="631" t="str">
        <f>IF(K363="","",
IF(AX363="PT",VLOOKUP(K363,Foundation_Calc!$K$4:$R$37,VLOOKUP(AW363,Foundation_Calc!$I$2:$J$8,2,FALSE),0),
IF(AX363="K",VLOOKUP(K363,Foundation_Calc!$K$41:$R$74,VLOOKUP(AW363,Foundation_Calc!$I$2:$J$8,2,FALSE),0),"")))</f>
        <v/>
      </c>
      <c r="BA363" s="632" t="str">
        <f t="shared" si="59"/>
        <v/>
      </c>
      <c r="BB363" s="632" t="str">
        <f t="shared" si="60"/>
        <v/>
      </c>
      <c r="BC363" s="632" t="str">
        <f t="shared" si="61"/>
        <v/>
      </c>
      <c r="BD363" s="633" t="str">
        <f>IF(AND(L363="",H363=""),"",
IF(H363="",Pole_Calc!A391,
IF(H363="MP",Pole_Calc!A392,
IF(H363="AnMP",Pole_Calc!A393,
IF(H363="A",Pole_Calc!A394,
IF(H363="S/A",Pole_Calc!A395,
IF(H363="A/S",Pole_Calc!A396,"Poner a mano")))))))</f>
        <v/>
      </c>
      <c r="BE363" s="448" t="s">
        <v>1726</v>
      </c>
      <c r="BF363" s="635"/>
      <c r="BG363" s="635"/>
      <c r="BH363" s="634"/>
      <c r="BI363" s="635"/>
    </row>
    <row r="364" spans="1:61" ht="16.2" customHeight="1">
      <c r="A364" s="12"/>
      <c r="B364" s="446"/>
      <c r="C364" s="89"/>
      <c r="D364" s="13"/>
      <c r="E364" s="14"/>
      <c r="F364" s="14"/>
      <c r="G364" s="15"/>
      <c r="H364" s="8"/>
      <c r="I364" s="8"/>
      <c r="J364" s="89"/>
      <c r="K364" s="8"/>
      <c r="L364" s="8"/>
      <c r="M364" s="8" t="str">
        <f>IF(L364="","",
IF(AX364="PT",VLOOKUP(L364,Foundation_Calc!$V$4:$X$37,VLOOKUP(AX364,Foundation_Calc!$I$10:$J$13,2,FALSE),0),
IF(AX364="K",VLOOKUP(L364,Foundation_Calc!$V$41:$X$74,VLOOKUP(AX364,Foundation_Calc!$I$10:$J$13,2,FALSE),0),"")))</f>
        <v/>
      </c>
      <c r="N364" s="8"/>
      <c r="O364" s="8"/>
      <c r="P364" s="8"/>
      <c r="Q364" s="14"/>
      <c r="R364" s="15"/>
      <c r="S364" s="15"/>
      <c r="T364" s="14"/>
      <c r="U364" s="14"/>
      <c r="V364" s="14"/>
      <c r="W364" s="18"/>
      <c r="X364" s="18"/>
      <c r="Y364" s="18"/>
      <c r="Z364" s="18"/>
      <c r="AA364" s="18"/>
      <c r="AB364" s="18"/>
      <c r="AC364" s="8" t="str">
        <f t="shared" si="58"/>
        <v/>
      </c>
      <c r="AD364" s="8"/>
      <c r="AE364" s="8"/>
      <c r="AF364" s="14"/>
      <c r="AG364" s="13"/>
      <c r="AH364" s="14"/>
      <c r="AI364" s="14"/>
      <c r="AJ364" s="8"/>
      <c r="AK364" s="8"/>
      <c r="AL364" s="8"/>
      <c r="AM364" s="8"/>
      <c r="AN364" s="631"/>
      <c r="AO364" s="18"/>
      <c r="AP364" s="18"/>
      <c r="AQ364" s="18"/>
      <c r="AR364" s="18"/>
      <c r="AS364" s="18"/>
      <c r="AU364" s="448"/>
      <c r="AV364" s="448"/>
      <c r="AW364" s="8" t="str">
        <f>IF(C364&gt;0,VLOOKUP(C364,Foundation_Calc!$A$2:$C$986,3,1),
IF(J364&gt;0,VLOOKUP(J364,Foundation_Calc!$A$2:$C$986,3,1),""))</f>
        <v/>
      </c>
      <c r="AX364" s="8" t="str">
        <f>IF(C364&gt;0,VLOOKUP(C364,Foundation_Calc!$E$2:$G$986,3,1),
IF(J364&gt;0,VLOOKUP(J364,Foundation_Calc!$E$2:$G$986,3,1),""))</f>
        <v/>
      </c>
      <c r="AY364" s="631" t="str">
        <f>IF(L364="","",
IF(AX364="PT",VLOOKUP(L364,Foundation_Calc!$K$4:$R$37,VLOOKUP(AW364,Foundation_Calc!$I$2:$J$8,2,FALSE),0),
IF(AX364="K",VLOOKUP(L364,Foundation_Calc!$K$41:$R$74,VLOOKUP(AW364,Foundation_Calc!$I$2:$J$8,2,FALSE),0),"")))</f>
        <v/>
      </c>
      <c r="AZ364" s="631" t="str">
        <f>IF(K364="","",
IF(AX364="PT",VLOOKUP(K364,Foundation_Calc!$K$4:$R$37,VLOOKUP(AW364,Foundation_Calc!$I$2:$J$8,2,FALSE),0),
IF(AX364="K",VLOOKUP(K364,Foundation_Calc!$K$41:$R$74,VLOOKUP(AW364,Foundation_Calc!$I$2:$J$8,2,FALSE),0),"")))</f>
        <v/>
      </c>
      <c r="BA364" s="632" t="str">
        <f t="shared" si="59"/>
        <v/>
      </c>
      <c r="BB364" s="632" t="str">
        <f t="shared" si="60"/>
        <v/>
      </c>
      <c r="BC364" s="632" t="str">
        <f t="shared" si="61"/>
        <v/>
      </c>
      <c r="BD364" s="633" t="str">
        <f>IF(AND(L364="",H364=""),"",
IF(H364="",Pole_Calc!A392,
IF(H364="MP",Pole_Calc!A393,
IF(H364="AnMP",Pole_Calc!A394,
IF(H364="A",Pole_Calc!A395,
IF(H364="S/A",Pole_Calc!A396,
IF(H364="A/S",Pole_Calc!A397,"Poner a mano")))))))</f>
        <v/>
      </c>
      <c r="BE364" s="448" t="s">
        <v>1726</v>
      </c>
      <c r="BF364" s="634"/>
      <c r="BG364" s="634"/>
      <c r="BH364" s="634"/>
      <c r="BI364" s="634"/>
    </row>
    <row r="365" spans="1:61" ht="16.2" customHeight="1">
      <c r="A365" s="12"/>
      <c r="B365" s="446"/>
      <c r="C365" s="89"/>
      <c r="D365" s="13"/>
      <c r="E365" s="14"/>
      <c r="F365" s="14"/>
      <c r="G365" s="15"/>
      <c r="H365" s="8"/>
      <c r="I365" s="8"/>
      <c r="J365" s="89"/>
      <c r="K365" s="8"/>
      <c r="L365" s="8"/>
      <c r="M365" s="8" t="str">
        <f>IF(L365="","",
IF(AX365="PT",VLOOKUP(L365,Foundation_Calc!$V$4:$X$37,VLOOKUP(AX365,Foundation_Calc!$I$10:$J$13,2,FALSE),0),
IF(AX365="K",VLOOKUP(L365,Foundation_Calc!$V$41:$X$74,VLOOKUP(AX365,Foundation_Calc!$I$10:$J$13,2,FALSE),0),"")))</f>
        <v/>
      </c>
      <c r="N365" s="8"/>
      <c r="O365" s="8"/>
      <c r="P365" s="8"/>
      <c r="Q365" s="14"/>
      <c r="R365" s="15"/>
      <c r="S365" s="15"/>
      <c r="T365" s="14"/>
      <c r="U365" s="14"/>
      <c r="V365" s="14"/>
      <c r="W365" s="18"/>
      <c r="X365" s="18"/>
      <c r="Y365" s="18"/>
      <c r="Z365" s="18"/>
      <c r="AA365" s="18"/>
      <c r="AB365" s="18"/>
      <c r="AC365" s="8" t="str">
        <f t="shared" si="58"/>
        <v/>
      </c>
      <c r="AD365" s="8"/>
      <c r="AE365" s="8"/>
      <c r="AF365" s="14"/>
      <c r="AG365" s="13"/>
      <c r="AH365" s="14"/>
      <c r="AI365" s="14"/>
      <c r="AJ365" s="8"/>
      <c r="AK365" s="8"/>
      <c r="AL365" s="8"/>
      <c r="AM365" s="8"/>
      <c r="AN365" s="631"/>
      <c r="AO365" s="18"/>
      <c r="AP365" s="18"/>
      <c r="AQ365" s="18"/>
      <c r="AR365" s="18"/>
      <c r="AS365" s="18"/>
      <c r="AU365" s="448"/>
      <c r="AV365" s="448"/>
      <c r="AW365" s="8" t="str">
        <f>IF(C365&gt;0,VLOOKUP(C365,Foundation_Calc!$A$2:$C$986,3,1),
IF(J365&gt;0,VLOOKUP(J365,Foundation_Calc!$A$2:$C$986,3,1),""))</f>
        <v/>
      </c>
      <c r="AX365" s="8" t="str">
        <f>IF(C365&gt;0,VLOOKUP(C365,Foundation_Calc!$E$2:$G$986,3,1),
IF(J365&gt;0,VLOOKUP(J365,Foundation_Calc!$E$2:$G$986,3,1),""))</f>
        <v/>
      </c>
      <c r="AY365" s="631" t="str">
        <f>IF(L365="","",
IF(AX365="PT",VLOOKUP(L365,Foundation_Calc!$K$4:$R$37,VLOOKUP(AW365,Foundation_Calc!$I$2:$J$8,2,FALSE),0),
IF(AX365="K",VLOOKUP(L365,Foundation_Calc!$K$41:$R$74,VLOOKUP(AW365,Foundation_Calc!$I$2:$J$8,2,FALSE),0),"")))</f>
        <v/>
      </c>
      <c r="AZ365" s="631" t="str">
        <f>IF(K365="","",
IF(AX365="PT",VLOOKUP(K365,Foundation_Calc!$K$4:$R$37,VLOOKUP(AW365,Foundation_Calc!$I$2:$J$8,2,FALSE),0),
IF(AX365="K",VLOOKUP(K365,Foundation_Calc!$K$41:$R$74,VLOOKUP(AW365,Foundation_Calc!$I$2:$J$8,2,FALSE),0),"")))</f>
        <v/>
      </c>
      <c r="BA365" s="632" t="str">
        <f t="shared" si="59"/>
        <v/>
      </c>
      <c r="BB365" s="632" t="str">
        <f t="shared" si="60"/>
        <v/>
      </c>
      <c r="BC365" s="632" t="str">
        <f t="shared" si="61"/>
        <v/>
      </c>
      <c r="BD365" s="633" t="str">
        <f>IF(AND(L365="",H365=""),"",
IF(H365="",Pole_Calc!A393,
IF(H365="MP",Pole_Calc!A394,
IF(H365="AnMP",Pole_Calc!A395,
IF(H365="A",Pole_Calc!A396,
IF(H365="S/A",Pole_Calc!A397,
IF(H365="A/S",Pole_Calc!A398,"Poner a mano")))))))</f>
        <v/>
      </c>
      <c r="BE365" s="448" t="s">
        <v>1726</v>
      </c>
      <c r="BF365" s="635"/>
      <c r="BG365" s="635"/>
      <c r="BH365" s="634"/>
      <c r="BI365" s="635"/>
    </row>
    <row r="366" spans="1:61" ht="16.2" customHeight="1">
      <c r="A366" s="12"/>
      <c r="B366" s="446"/>
      <c r="C366" s="89"/>
      <c r="D366" s="13"/>
      <c r="E366" s="14"/>
      <c r="F366" s="14"/>
      <c r="G366" s="15"/>
      <c r="H366" s="8"/>
      <c r="I366" s="8"/>
      <c r="J366" s="89"/>
      <c r="K366" s="8"/>
      <c r="L366" s="8"/>
      <c r="M366" s="8" t="str">
        <f>IF(L366="","",
IF(AX366="PT",VLOOKUP(L366,Foundation_Calc!$V$4:$X$37,VLOOKUP(AX366,Foundation_Calc!$I$10:$J$13,2,FALSE),0),
IF(AX366="K",VLOOKUP(L366,Foundation_Calc!$V$41:$X$74,VLOOKUP(AX366,Foundation_Calc!$I$10:$J$13,2,FALSE),0),"")))</f>
        <v/>
      </c>
      <c r="N366" s="8"/>
      <c r="O366" s="8"/>
      <c r="P366" s="8"/>
      <c r="Q366" s="14"/>
      <c r="R366" s="15"/>
      <c r="S366" s="15"/>
      <c r="T366" s="14"/>
      <c r="U366" s="14"/>
      <c r="V366" s="14"/>
      <c r="W366" s="18"/>
      <c r="X366" s="18"/>
      <c r="Y366" s="18"/>
      <c r="Z366" s="18"/>
      <c r="AA366" s="18"/>
      <c r="AB366" s="18"/>
      <c r="AC366" s="8" t="str">
        <f t="shared" si="58"/>
        <v/>
      </c>
      <c r="AD366" s="8"/>
      <c r="AE366" s="8"/>
      <c r="AF366" s="14"/>
      <c r="AG366" s="13"/>
      <c r="AH366" s="14"/>
      <c r="AI366" s="14"/>
      <c r="AJ366" s="8"/>
      <c r="AK366" s="8"/>
      <c r="AL366" s="8"/>
      <c r="AM366" s="8"/>
      <c r="AN366" s="631"/>
      <c r="AO366" s="18"/>
      <c r="AP366" s="18"/>
      <c r="AQ366" s="18"/>
      <c r="AR366" s="18"/>
      <c r="AS366" s="18"/>
      <c r="AU366" s="448"/>
      <c r="AV366" s="448"/>
      <c r="AW366" s="8" t="str">
        <f>IF(C366&gt;0,VLOOKUP(C366,Foundation_Calc!$A$2:$C$986,3,1),
IF(J366&gt;0,VLOOKUP(J366,Foundation_Calc!$A$2:$C$986,3,1),""))</f>
        <v/>
      </c>
      <c r="AX366" s="8" t="str">
        <f>IF(C366&gt;0,VLOOKUP(C366,Foundation_Calc!$E$2:$G$986,3,1),
IF(J366&gt;0,VLOOKUP(J366,Foundation_Calc!$E$2:$G$986,3,1),""))</f>
        <v/>
      </c>
      <c r="AY366" s="631" t="str">
        <f>IF(L366="","",
IF(AX366="PT",VLOOKUP(L366,Foundation_Calc!$K$4:$R$37,VLOOKUP(AW366,Foundation_Calc!$I$2:$J$8,2,FALSE),0),
IF(AX366="K",VLOOKUP(L366,Foundation_Calc!$K$41:$R$74,VLOOKUP(AW366,Foundation_Calc!$I$2:$J$8,2,FALSE),0),"")))</f>
        <v/>
      </c>
      <c r="AZ366" s="631" t="str">
        <f>IF(K366="","",
IF(AX366="PT",VLOOKUP(K366,Foundation_Calc!$K$4:$R$37,VLOOKUP(AW366,Foundation_Calc!$I$2:$J$8,2,FALSE),0),
IF(AX366="K",VLOOKUP(K366,Foundation_Calc!$K$41:$R$74,VLOOKUP(AW366,Foundation_Calc!$I$2:$J$8,2,FALSE),0),"")))</f>
        <v/>
      </c>
      <c r="BA366" s="632" t="str">
        <f t="shared" si="59"/>
        <v/>
      </c>
      <c r="BB366" s="632" t="str">
        <f t="shared" si="60"/>
        <v/>
      </c>
      <c r="BC366" s="632" t="str">
        <f t="shared" si="61"/>
        <v/>
      </c>
      <c r="BD366" s="633" t="str">
        <f>IF(AND(L366="",H366=""),"",
IF(H366="",Pole_Calc!A394,
IF(H366="MP",Pole_Calc!A395,
IF(H366="AnMP",Pole_Calc!A396,
IF(H366="A",Pole_Calc!A397,
IF(H366="S/A",Pole_Calc!A398,
IF(H366="A/S",Pole_Calc!A399,"Poner a mano")))))))</f>
        <v/>
      </c>
      <c r="BE366" s="448" t="s">
        <v>1726</v>
      </c>
      <c r="BF366" s="634"/>
      <c r="BG366" s="634"/>
      <c r="BH366" s="634"/>
      <c r="BI366" s="634"/>
    </row>
    <row r="367" spans="1:61" ht="16.2" customHeight="1">
      <c r="A367" s="12"/>
      <c r="B367" s="446"/>
      <c r="C367" s="89"/>
      <c r="D367" s="13"/>
      <c r="E367" s="14"/>
      <c r="F367" s="14"/>
      <c r="G367" s="15"/>
      <c r="H367" s="8"/>
      <c r="I367" s="8"/>
      <c r="J367" s="89"/>
      <c r="K367" s="8"/>
      <c r="L367" s="8"/>
      <c r="M367" s="8" t="str">
        <f>IF(L367="","",
IF(AX367="PT",VLOOKUP(L367,Foundation_Calc!$V$4:$X$37,VLOOKUP(AX367,Foundation_Calc!$I$10:$J$13,2,FALSE),0),
IF(AX367="K",VLOOKUP(L367,Foundation_Calc!$V$41:$X$74,VLOOKUP(AX367,Foundation_Calc!$I$10:$J$13,2,FALSE),0),"")))</f>
        <v/>
      </c>
      <c r="N367" s="8"/>
      <c r="O367" s="8"/>
      <c r="P367" s="8"/>
      <c r="Q367" s="14"/>
      <c r="R367" s="15"/>
      <c r="S367" s="15"/>
      <c r="T367" s="14"/>
      <c r="U367" s="14"/>
      <c r="V367" s="14"/>
      <c r="W367" s="18"/>
      <c r="X367" s="18"/>
      <c r="Y367" s="18"/>
      <c r="Z367" s="18"/>
      <c r="AA367" s="18"/>
      <c r="AB367" s="18"/>
      <c r="AC367" s="8" t="str">
        <f t="shared" si="58"/>
        <v/>
      </c>
      <c r="AD367" s="8"/>
      <c r="AE367" s="8"/>
      <c r="AF367" s="14"/>
      <c r="AG367" s="13"/>
      <c r="AH367" s="14"/>
      <c r="AI367" s="14"/>
      <c r="AJ367" s="8"/>
      <c r="AK367" s="8"/>
      <c r="AL367" s="8"/>
      <c r="AM367" s="8"/>
      <c r="AN367" s="631"/>
      <c r="AO367" s="18"/>
      <c r="AP367" s="18"/>
      <c r="AQ367" s="18"/>
      <c r="AR367" s="18"/>
      <c r="AS367" s="18"/>
      <c r="AU367" s="448"/>
      <c r="AV367" s="448"/>
      <c r="AW367" s="8" t="str">
        <f>IF(C367&gt;0,VLOOKUP(C367,Foundation_Calc!$A$2:$C$986,3,1),
IF(J367&gt;0,VLOOKUP(J367,Foundation_Calc!$A$2:$C$986,3,1),""))</f>
        <v/>
      </c>
      <c r="AX367" s="8" t="str">
        <f>IF(C367&gt;0,VLOOKUP(C367,Foundation_Calc!$E$2:$G$986,3,1),
IF(J367&gt;0,VLOOKUP(J367,Foundation_Calc!$E$2:$G$986,3,1),""))</f>
        <v/>
      </c>
      <c r="AY367" s="631" t="str">
        <f>IF(L367="","",
IF(AX367="PT",VLOOKUP(L367,Foundation_Calc!$K$4:$R$37,VLOOKUP(AW367,Foundation_Calc!$I$2:$J$8,2,FALSE),0),
IF(AX367="K",VLOOKUP(L367,Foundation_Calc!$K$41:$R$74,VLOOKUP(AW367,Foundation_Calc!$I$2:$J$8,2,FALSE),0),"")))</f>
        <v/>
      </c>
      <c r="AZ367" s="631" t="str">
        <f>IF(K367="","",
IF(AX367="PT",VLOOKUP(K367,Foundation_Calc!$K$4:$R$37,VLOOKUP(AW367,Foundation_Calc!$I$2:$J$8,2,FALSE),0),
IF(AX367="K",VLOOKUP(K367,Foundation_Calc!$K$41:$R$74,VLOOKUP(AW367,Foundation_Calc!$I$2:$J$8,2,FALSE),0),"")))</f>
        <v/>
      </c>
      <c r="BA367" s="632" t="str">
        <f t="shared" si="59"/>
        <v/>
      </c>
      <c r="BB367" s="632" t="str">
        <f t="shared" si="60"/>
        <v/>
      </c>
      <c r="BC367" s="632" t="str">
        <f t="shared" si="61"/>
        <v/>
      </c>
      <c r="BD367" s="633" t="str">
        <f>IF(AND(L367="",H367=""),"",
IF(H367="",Pole_Calc!A395,
IF(H367="MP",Pole_Calc!A396,
IF(H367="AnMP",Pole_Calc!A397,
IF(H367="A",Pole_Calc!A398,
IF(H367="S/A",Pole_Calc!A399,
IF(H367="A/S",Pole_Calc!A400,"Poner a mano")))))))</f>
        <v/>
      </c>
      <c r="BE367" s="448" t="s">
        <v>1726</v>
      </c>
      <c r="BF367" s="635"/>
      <c r="BG367" s="635"/>
      <c r="BH367" s="634"/>
      <c r="BI367" s="635"/>
    </row>
    <row r="368" spans="1:61" ht="16.2" customHeight="1">
      <c r="A368" s="12"/>
      <c r="B368" s="446"/>
      <c r="C368" s="89"/>
      <c r="D368" s="13"/>
      <c r="E368" s="14"/>
      <c r="F368" s="14"/>
      <c r="G368" s="15"/>
      <c r="H368" s="8"/>
      <c r="I368" s="8"/>
      <c r="J368" s="89"/>
      <c r="K368" s="8"/>
      <c r="L368" s="8"/>
      <c r="M368" s="8" t="str">
        <f>IF(L368="","",
IF(AX368="PT",VLOOKUP(L368,Foundation_Calc!$V$4:$X$37,VLOOKUP(AX368,Foundation_Calc!$I$10:$J$13,2,FALSE),0),
IF(AX368="K",VLOOKUP(L368,Foundation_Calc!$V$41:$X$74,VLOOKUP(AX368,Foundation_Calc!$I$10:$J$13,2,FALSE),0),"")))</f>
        <v/>
      </c>
      <c r="N368" s="8"/>
      <c r="O368" s="8"/>
      <c r="P368" s="8"/>
      <c r="Q368" s="14"/>
      <c r="R368" s="15"/>
      <c r="S368" s="15"/>
      <c r="T368" s="14"/>
      <c r="U368" s="14"/>
      <c r="V368" s="14"/>
      <c r="W368" s="18"/>
      <c r="X368" s="18"/>
      <c r="Y368" s="18"/>
      <c r="Z368" s="18"/>
      <c r="AA368" s="18"/>
      <c r="AB368" s="18"/>
      <c r="AC368" s="8" t="str">
        <f t="shared" si="58"/>
        <v/>
      </c>
      <c r="AD368" s="8"/>
      <c r="AE368" s="8"/>
      <c r="AF368" s="14"/>
      <c r="AG368" s="13"/>
      <c r="AH368" s="14"/>
      <c r="AI368" s="14"/>
      <c r="AJ368" s="8"/>
      <c r="AK368" s="8"/>
      <c r="AL368" s="8"/>
      <c r="AM368" s="8"/>
      <c r="AN368" s="631"/>
      <c r="AO368" s="18"/>
      <c r="AP368" s="18"/>
      <c r="AQ368" s="18"/>
      <c r="AR368" s="18"/>
      <c r="AS368" s="18"/>
      <c r="AU368" s="448"/>
      <c r="AV368" s="448"/>
      <c r="AW368" s="8" t="str">
        <f>IF(C368&gt;0,VLOOKUP(C368,Foundation_Calc!$A$2:$C$986,3,1),
IF(J368&gt;0,VLOOKUP(J368,Foundation_Calc!$A$2:$C$986,3,1),""))</f>
        <v/>
      </c>
      <c r="AX368" s="8" t="str">
        <f>IF(C368&gt;0,VLOOKUP(C368,Foundation_Calc!$E$2:$G$986,3,1),
IF(J368&gt;0,VLOOKUP(J368,Foundation_Calc!$E$2:$G$986,3,1),""))</f>
        <v/>
      </c>
      <c r="AY368" s="631" t="str">
        <f>IF(L368="","",
IF(AX368="PT",VLOOKUP(L368,Foundation_Calc!$K$4:$R$37,VLOOKUP(AW368,Foundation_Calc!$I$2:$J$8,2,FALSE),0),
IF(AX368="K",VLOOKUP(L368,Foundation_Calc!$K$41:$R$74,VLOOKUP(AW368,Foundation_Calc!$I$2:$J$8,2,FALSE),0),"")))</f>
        <v/>
      </c>
      <c r="AZ368" s="631" t="str">
        <f>IF(K368="","",
IF(AX368="PT",VLOOKUP(K368,Foundation_Calc!$K$4:$R$37,VLOOKUP(AW368,Foundation_Calc!$I$2:$J$8,2,FALSE),0),
IF(AX368="K",VLOOKUP(K368,Foundation_Calc!$K$41:$R$74,VLOOKUP(AW368,Foundation_Calc!$I$2:$J$8,2,FALSE),0),"")))</f>
        <v/>
      </c>
      <c r="BA368" s="632" t="str">
        <f t="shared" si="59"/>
        <v/>
      </c>
      <c r="BB368" s="632" t="str">
        <f t="shared" si="60"/>
        <v/>
      </c>
      <c r="BC368" s="632" t="str">
        <f t="shared" si="61"/>
        <v/>
      </c>
      <c r="BD368" s="633" t="str">
        <f>IF(AND(L368="",H368=""),"",
IF(H368="",Pole_Calc!A396,
IF(H368="MP",Pole_Calc!A397,
IF(H368="AnMP",Pole_Calc!A398,
IF(H368="A",Pole_Calc!A399,
IF(H368="S/A",Pole_Calc!A400,
IF(H368="A/S",Pole_Calc!A401,"Poner a mano")))))))</f>
        <v/>
      </c>
      <c r="BE368" s="448" t="s">
        <v>1726</v>
      </c>
      <c r="BF368" s="634"/>
      <c r="BG368" s="634"/>
      <c r="BH368" s="634"/>
      <c r="BI368" s="634"/>
    </row>
    <row r="369" spans="1:61" ht="16.2" customHeight="1">
      <c r="A369" s="12"/>
      <c r="B369" s="446"/>
      <c r="C369" s="89"/>
      <c r="D369" s="13"/>
      <c r="E369" s="14"/>
      <c r="F369" s="14"/>
      <c r="G369" s="15"/>
      <c r="H369" s="8"/>
      <c r="I369" s="8"/>
      <c r="J369" s="89"/>
      <c r="K369" s="8"/>
      <c r="L369" s="8"/>
      <c r="M369" s="8" t="str">
        <f>IF(L369="","",
IF(AX369="PT",VLOOKUP(L369,Foundation_Calc!$V$4:$X$37,VLOOKUP(AX369,Foundation_Calc!$I$10:$J$13,2,FALSE),0),
IF(AX369="K",VLOOKUP(L369,Foundation_Calc!$V$41:$X$74,VLOOKUP(AX369,Foundation_Calc!$I$10:$J$13,2,FALSE),0),"")))</f>
        <v/>
      </c>
      <c r="N369" s="8"/>
      <c r="O369" s="8"/>
      <c r="P369" s="8"/>
      <c r="Q369" s="14"/>
      <c r="R369" s="15"/>
      <c r="S369" s="15"/>
      <c r="T369" s="14"/>
      <c r="U369" s="14"/>
      <c r="V369" s="14"/>
      <c r="W369" s="18"/>
      <c r="X369" s="18"/>
      <c r="Y369" s="18"/>
      <c r="Z369" s="18"/>
      <c r="AA369" s="18"/>
      <c r="AB369" s="18"/>
      <c r="AC369" s="8" t="str">
        <f t="shared" si="58"/>
        <v/>
      </c>
      <c r="AD369" s="8"/>
      <c r="AE369" s="8"/>
      <c r="AF369" s="14"/>
      <c r="AG369" s="13"/>
      <c r="AH369" s="14"/>
      <c r="AI369" s="14"/>
      <c r="AJ369" s="8"/>
      <c r="AK369" s="8"/>
      <c r="AL369" s="8"/>
      <c r="AM369" s="8"/>
      <c r="AN369" s="631"/>
      <c r="AO369" s="18"/>
      <c r="AP369" s="18"/>
      <c r="AQ369" s="18"/>
      <c r="AR369" s="18"/>
      <c r="AS369" s="18"/>
      <c r="AU369" s="448"/>
      <c r="AV369" s="448"/>
      <c r="AW369" s="8" t="str">
        <f>IF(C369&gt;0,VLOOKUP(C369,Foundation_Calc!$A$2:$C$986,3,1),
IF(J369&gt;0,VLOOKUP(J369,Foundation_Calc!$A$2:$C$986,3,1),""))</f>
        <v/>
      </c>
      <c r="AX369" s="8" t="str">
        <f>IF(C369&gt;0,VLOOKUP(C369,Foundation_Calc!$E$2:$G$986,3,1),
IF(J369&gt;0,VLOOKUP(J369,Foundation_Calc!$E$2:$G$986,3,1),""))</f>
        <v/>
      </c>
      <c r="AY369" s="631" t="str">
        <f>IF(L369="","",
IF(AX369="PT",VLOOKUP(L369,Foundation_Calc!$K$4:$R$37,VLOOKUP(AW369,Foundation_Calc!$I$2:$J$8,2,FALSE),0),
IF(AX369="K",VLOOKUP(L369,Foundation_Calc!$K$41:$R$74,VLOOKUP(AW369,Foundation_Calc!$I$2:$J$8,2,FALSE),0),"")))</f>
        <v/>
      </c>
      <c r="AZ369" s="631" t="str">
        <f>IF(K369="","",
IF(AX369="PT",VLOOKUP(K369,Foundation_Calc!$K$4:$R$37,VLOOKUP(AW369,Foundation_Calc!$I$2:$J$8,2,FALSE),0),
IF(AX369="K",VLOOKUP(K369,Foundation_Calc!$K$41:$R$74,VLOOKUP(AW369,Foundation_Calc!$I$2:$J$8,2,FALSE),0),"")))</f>
        <v/>
      </c>
      <c r="BA369" s="632" t="str">
        <f t="shared" si="59"/>
        <v/>
      </c>
      <c r="BB369" s="632" t="str">
        <f t="shared" si="60"/>
        <v/>
      </c>
      <c r="BC369" s="632" t="str">
        <f t="shared" si="61"/>
        <v/>
      </c>
      <c r="BD369" s="633" t="str">
        <f>IF(AND(L369="",H369=""),"",
IF(H369="",Pole_Calc!A397,
IF(H369="MP",Pole_Calc!A398,
IF(H369="AnMP",Pole_Calc!A399,
IF(H369="A",Pole_Calc!A400,
IF(H369="S/A",Pole_Calc!A401,
IF(H369="A/S",Pole_Calc!A402,"Poner a mano")))))))</f>
        <v/>
      </c>
      <c r="BE369" s="448" t="s">
        <v>1726</v>
      </c>
      <c r="BF369" s="635"/>
      <c r="BG369" s="635"/>
      <c r="BH369" s="634"/>
      <c r="BI369" s="635"/>
    </row>
    <row r="370" spans="1:61" ht="16.2" customHeight="1">
      <c r="A370" s="12"/>
      <c r="B370" s="446"/>
      <c r="C370" s="89"/>
      <c r="D370" s="13"/>
      <c r="E370" s="14"/>
      <c r="F370" s="14"/>
      <c r="G370" s="15"/>
      <c r="H370" s="8"/>
      <c r="I370" s="8"/>
      <c r="J370" s="89"/>
      <c r="K370" s="8"/>
      <c r="L370" s="8"/>
      <c r="M370" s="8" t="str">
        <f>IF(L370="","",
IF(AX370="PT",VLOOKUP(L370,Foundation_Calc!$V$4:$X$37,VLOOKUP(AX370,Foundation_Calc!$I$10:$J$13,2,FALSE),0),
IF(AX370="K",VLOOKUP(L370,Foundation_Calc!$V$41:$X$74,VLOOKUP(AX370,Foundation_Calc!$I$10:$J$13,2,FALSE),0),"")))</f>
        <v/>
      </c>
      <c r="N370" s="8"/>
      <c r="O370" s="8"/>
      <c r="P370" s="8"/>
      <c r="Q370" s="14"/>
      <c r="R370" s="15"/>
      <c r="S370" s="15"/>
      <c r="T370" s="14"/>
      <c r="U370" s="14"/>
      <c r="V370" s="14"/>
      <c r="W370" s="18"/>
      <c r="X370" s="18"/>
      <c r="Y370" s="18"/>
      <c r="Z370" s="18"/>
      <c r="AA370" s="18"/>
      <c r="AB370" s="18"/>
      <c r="AC370" s="8" t="str">
        <f t="shared" si="58"/>
        <v/>
      </c>
      <c r="AD370" s="8"/>
      <c r="AE370" s="8"/>
      <c r="AF370" s="14"/>
      <c r="AG370" s="13"/>
      <c r="AH370" s="14"/>
      <c r="AI370" s="14"/>
      <c r="AJ370" s="8"/>
      <c r="AK370" s="8"/>
      <c r="AL370" s="8"/>
      <c r="AM370" s="8"/>
      <c r="AN370" s="631"/>
      <c r="AO370" s="18"/>
      <c r="AP370" s="18"/>
      <c r="AQ370" s="18"/>
      <c r="AR370" s="18"/>
      <c r="AS370" s="18"/>
      <c r="AU370" s="448"/>
      <c r="AV370" s="448"/>
      <c r="AW370" s="8" t="str">
        <f>IF(C370&gt;0,VLOOKUP(C370,Foundation_Calc!$A$2:$C$986,3,1),
IF(J370&gt;0,VLOOKUP(J370,Foundation_Calc!$A$2:$C$986,3,1),""))</f>
        <v/>
      </c>
      <c r="AX370" s="8" t="str">
        <f>IF(C370&gt;0,VLOOKUP(C370,Foundation_Calc!$E$2:$G$986,3,1),
IF(J370&gt;0,VLOOKUP(J370,Foundation_Calc!$E$2:$G$986,3,1),""))</f>
        <v/>
      </c>
      <c r="AY370" s="631" t="str">
        <f>IF(L370="","",
IF(AX370="PT",VLOOKUP(L370,Foundation_Calc!$K$4:$R$37,VLOOKUP(AW370,Foundation_Calc!$I$2:$J$8,2,FALSE),0),
IF(AX370="K",VLOOKUP(L370,Foundation_Calc!$K$41:$R$74,VLOOKUP(AW370,Foundation_Calc!$I$2:$J$8,2,FALSE),0),"")))</f>
        <v/>
      </c>
      <c r="AZ370" s="631" t="str">
        <f>IF(K370="","",
IF(AX370="PT",VLOOKUP(K370,Foundation_Calc!$K$4:$R$37,VLOOKUP(AW370,Foundation_Calc!$I$2:$J$8,2,FALSE),0),
IF(AX370="K",VLOOKUP(K370,Foundation_Calc!$K$41:$R$74,VLOOKUP(AW370,Foundation_Calc!$I$2:$J$8,2,FALSE),0),"")))</f>
        <v/>
      </c>
      <c r="BA370" s="632" t="str">
        <f t="shared" si="59"/>
        <v/>
      </c>
      <c r="BB370" s="632" t="str">
        <f t="shared" si="60"/>
        <v/>
      </c>
      <c r="BC370" s="632" t="str">
        <f t="shared" si="61"/>
        <v/>
      </c>
      <c r="BD370" s="633" t="str">
        <f>IF(AND(L370="",H370=""),"",
IF(H370="",Pole_Calc!A398,
IF(H370="MP",Pole_Calc!A399,
IF(H370="AnMP",Pole_Calc!A400,
IF(H370="A",Pole_Calc!A401,
IF(H370="S/A",Pole_Calc!A402,
IF(H370="A/S",Pole_Calc!A403,"Poner a mano")))))))</f>
        <v/>
      </c>
      <c r="BE370" s="448" t="s">
        <v>1726</v>
      </c>
      <c r="BF370" s="634"/>
      <c r="BG370" s="634"/>
      <c r="BH370" s="634"/>
      <c r="BI370" s="634"/>
    </row>
    <row r="371" spans="1:61" ht="16.2" customHeight="1">
      <c r="A371" s="12"/>
      <c r="B371" s="446"/>
      <c r="C371" s="89"/>
      <c r="D371" s="13"/>
      <c r="E371" s="14"/>
      <c r="F371" s="14"/>
      <c r="G371" s="15"/>
      <c r="H371" s="8"/>
      <c r="I371" s="8"/>
      <c r="J371" s="89"/>
      <c r="K371" s="8"/>
      <c r="L371" s="8"/>
      <c r="M371" s="8" t="str">
        <f>IF(L371="","",
IF(AX371="PT",VLOOKUP(L371,Foundation_Calc!$V$4:$X$37,VLOOKUP(AX371,Foundation_Calc!$I$10:$J$13,2,FALSE),0),
IF(AX371="K",VLOOKUP(L371,Foundation_Calc!$V$41:$X$74,VLOOKUP(AX371,Foundation_Calc!$I$10:$J$13,2,FALSE),0),"")))</f>
        <v/>
      </c>
      <c r="N371" s="8"/>
      <c r="O371" s="8"/>
      <c r="P371" s="8"/>
      <c r="Q371" s="14"/>
      <c r="R371" s="15"/>
      <c r="S371" s="15"/>
      <c r="T371" s="14"/>
      <c r="U371" s="14"/>
      <c r="V371" s="14"/>
      <c r="W371" s="18"/>
      <c r="X371" s="18"/>
      <c r="Y371" s="18"/>
      <c r="Z371" s="18"/>
      <c r="AA371" s="18"/>
      <c r="AB371" s="18"/>
      <c r="AC371" s="8" t="str">
        <f t="shared" si="58"/>
        <v/>
      </c>
      <c r="AD371" s="8"/>
      <c r="AE371" s="8"/>
      <c r="AF371" s="14"/>
      <c r="AG371" s="13"/>
      <c r="AH371" s="14"/>
      <c r="AI371" s="14"/>
      <c r="AJ371" s="8"/>
      <c r="AK371" s="8"/>
      <c r="AL371" s="8"/>
      <c r="AM371" s="8"/>
      <c r="AN371" s="631"/>
      <c r="AO371" s="18"/>
      <c r="AP371" s="18"/>
      <c r="AQ371" s="18"/>
      <c r="AR371" s="18"/>
      <c r="AS371" s="18"/>
      <c r="AU371" s="448"/>
      <c r="AV371" s="448"/>
      <c r="AW371" s="8" t="str">
        <f>IF(C371&gt;0,VLOOKUP(C371,Foundation_Calc!$A$2:$C$986,3,1),
IF(J371&gt;0,VLOOKUP(J371,Foundation_Calc!$A$2:$C$986,3,1),""))</f>
        <v/>
      </c>
      <c r="AX371" s="8" t="str">
        <f>IF(C371&gt;0,VLOOKUP(C371,Foundation_Calc!$E$2:$G$986,3,1),
IF(J371&gt;0,VLOOKUP(J371,Foundation_Calc!$E$2:$G$986,3,1),""))</f>
        <v/>
      </c>
      <c r="AY371" s="631" t="str">
        <f>IF(L371="","",
IF(AX371="PT",VLOOKUP(L371,Foundation_Calc!$K$4:$R$37,VLOOKUP(AW371,Foundation_Calc!$I$2:$J$8,2,FALSE),0),
IF(AX371="K",VLOOKUP(L371,Foundation_Calc!$K$41:$R$74,VLOOKUP(AW371,Foundation_Calc!$I$2:$J$8,2,FALSE),0),"")))</f>
        <v/>
      </c>
      <c r="AZ371" s="631" t="str">
        <f>IF(K371="","",
IF(AX371="PT",VLOOKUP(K371,Foundation_Calc!$K$4:$R$37,VLOOKUP(AW371,Foundation_Calc!$I$2:$J$8,2,FALSE),0),
IF(AX371="K",VLOOKUP(K371,Foundation_Calc!$K$41:$R$74,VLOOKUP(AW371,Foundation_Calc!$I$2:$J$8,2,FALSE),0),"")))</f>
        <v/>
      </c>
      <c r="BA371" s="632" t="str">
        <f t="shared" si="59"/>
        <v/>
      </c>
      <c r="BB371" s="632" t="str">
        <f t="shared" si="60"/>
        <v/>
      </c>
      <c r="BC371" s="632" t="str">
        <f t="shared" si="61"/>
        <v/>
      </c>
      <c r="BD371" s="633" t="str">
        <f>IF(AND(L371="",H371=""),"",
IF(H371="",Pole_Calc!A399,
IF(H371="MP",Pole_Calc!A400,
IF(H371="AnMP",Pole_Calc!A401,
IF(H371="A",Pole_Calc!A402,
IF(H371="S/A",Pole_Calc!A403,
IF(H371="A/S",Pole_Calc!A404,"Poner a mano")))))))</f>
        <v/>
      </c>
      <c r="BE371" s="448" t="s">
        <v>1726</v>
      </c>
      <c r="BF371" s="635"/>
      <c r="BG371" s="635"/>
      <c r="BH371" s="634"/>
      <c r="BI371" s="635"/>
    </row>
    <row r="372" spans="1:61" ht="16.2" customHeight="1">
      <c r="A372" s="12"/>
      <c r="B372" s="446"/>
      <c r="C372" s="89"/>
      <c r="D372" s="13"/>
      <c r="E372" s="14"/>
      <c r="F372" s="14"/>
      <c r="G372" s="15"/>
      <c r="H372" s="8"/>
      <c r="I372" s="8"/>
      <c r="J372" s="89"/>
      <c r="K372" s="8"/>
      <c r="L372" s="8"/>
      <c r="M372" s="8" t="str">
        <f>IF(L372="","",
IF(AX372="PT",VLOOKUP(L372,Foundation_Calc!$V$4:$X$37,VLOOKUP(AX372,Foundation_Calc!$I$10:$J$13,2,FALSE),0),
IF(AX372="K",VLOOKUP(L372,Foundation_Calc!$V$41:$X$74,VLOOKUP(AX372,Foundation_Calc!$I$10:$J$13,2,FALSE),0),"")))</f>
        <v/>
      </c>
      <c r="N372" s="8"/>
      <c r="O372" s="8"/>
      <c r="P372" s="8"/>
      <c r="Q372" s="14"/>
      <c r="R372" s="15"/>
      <c r="S372" s="15"/>
      <c r="T372" s="14"/>
      <c r="U372" s="14"/>
      <c r="V372" s="14"/>
      <c r="W372" s="18"/>
      <c r="X372" s="18"/>
      <c r="Y372" s="18"/>
      <c r="Z372" s="18"/>
      <c r="AA372" s="18"/>
      <c r="AB372" s="18"/>
      <c r="AC372" s="8" t="str">
        <f t="shared" si="58"/>
        <v/>
      </c>
      <c r="AD372" s="8"/>
      <c r="AE372" s="8"/>
      <c r="AF372" s="14"/>
      <c r="AG372" s="13"/>
      <c r="AH372" s="14"/>
      <c r="AI372" s="14"/>
      <c r="AJ372" s="8"/>
      <c r="AK372" s="8"/>
      <c r="AL372" s="8"/>
      <c r="AM372" s="8"/>
      <c r="AN372" s="631"/>
      <c r="AO372" s="18"/>
      <c r="AP372" s="18"/>
      <c r="AQ372" s="18"/>
      <c r="AR372" s="18"/>
      <c r="AS372" s="18"/>
      <c r="AU372" s="448"/>
      <c r="AV372" s="448"/>
      <c r="AW372" s="8" t="str">
        <f>IF(C372&gt;0,VLOOKUP(C372,Foundation_Calc!$A$2:$C$986,3,1),
IF(J372&gt;0,VLOOKUP(J372,Foundation_Calc!$A$2:$C$986,3,1),""))</f>
        <v/>
      </c>
      <c r="AX372" s="8" t="str">
        <f>IF(C372&gt;0,VLOOKUP(C372,Foundation_Calc!$E$2:$G$986,3,1),
IF(J372&gt;0,VLOOKUP(J372,Foundation_Calc!$E$2:$G$986,3,1),""))</f>
        <v/>
      </c>
      <c r="AY372" s="631" t="str">
        <f>IF(L372="","",
IF(AX372="PT",VLOOKUP(L372,Foundation_Calc!$K$4:$R$37,VLOOKUP(AW372,Foundation_Calc!$I$2:$J$8,2,FALSE),0),
IF(AX372="K",VLOOKUP(L372,Foundation_Calc!$K$41:$R$74,VLOOKUP(AW372,Foundation_Calc!$I$2:$J$8,2,FALSE),0),"")))</f>
        <v/>
      </c>
      <c r="AZ372" s="631" t="str">
        <f>IF(K372="","",
IF(AX372="PT",VLOOKUP(K372,Foundation_Calc!$K$4:$R$37,VLOOKUP(AW372,Foundation_Calc!$I$2:$J$8,2,FALSE),0),
IF(AX372="K",VLOOKUP(K372,Foundation_Calc!$K$41:$R$74,VLOOKUP(AW372,Foundation_Calc!$I$2:$J$8,2,FALSE),0),"")))</f>
        <v/>
      </c>
      <c r="BA372" s="632" t="str">
        <f t="shared" si="59"/>
        <v/>
      </c>
      <c r="BB372" s="632" t="str">
        <f t="shared" si="60"/>
        <v/>
      </c>
      <c r="BC372" s="632" t="str">
        <f t="shared" si="61"/>
        <v/>
      </c>
      <c r="BD372" s="633" t="str">
        <f>IF(AND(L372="",H372=""),"",
IF(H372="",Pole_Calc!A400,
IF(H372="MP",Pole_Calc!A401,
IF(H372="AnMP",Pole_Calc!A402,
IF(H372="A",Pole_Calc!A403,
IF(H372="S/A",Pole_Calc!A404,
IF(H372="A/S",Pole_Calc!A405,"Poner a mano")))))))</f>
        <v/>
      </c>
      <c r="BE372" s="448" t="s">
        <v>1726</v>
      </c>
      <c r="BF372" s="634"/>
      <c r="BG372" s="634"/>
      <c r="BH372" s="634"/>
      <c r="BI372" s="634"/>
    </row>
    <row r="373" spans="1:61" ht="16.2" customHeight="1">
      <c r="A373" s="12"/>
      <c r="B373" s="446"/>
      <c r="C373" s="89"/>
      <c r="D373" s="13"/>
      <c r="E373" s="14"/>
      <c r="F373" s="14"/>
      <c r="G373" s="15"/>
      <c r="H373" s="8"/>
      <c r="I373" s="8"/>
      <c r="J373" s="89"/>
      <c r="K373" s="8"/>
      <c r="L373" s="8"/>
      <c r="M373" s="8" t="str">
        <f>IF(L373="","",
IF(AX373="PT",VLOOKUP(L373,Foundation_Calc!$V$4:$X$37,VLOOKUP(AX373,Foundation_Calc!$I$10:$J$13,2,FALSE),0),
IF(AX373="K",VLOOKUP(L373,Foundation_Calc!$V$41:$X$74,VLOOKUP(AX373,Foundation_Calc!$I$10:$J$13,2,FALSE),0),"")))</f>
        <v/>
      </c>
      <c r="N373" s="8"/>
      <c r="O373" s="8"/>
      <c r="P373" s="8"/>
      <c r="Q373" s="14"/>
      <c r="R373" s="15"/>
      <c r="S373" s="15"/>
      <c r="T373" s="14"/>
      <c r="U373" s="14"/>
      <c r="V373" s="14"/>
      <c r="W373" s="18"/>
      <c r="X373" s="18"/>
      <c r="Y373" s="18"/>
      <c r="Z373" s="18"/>
      <c r="AA373" s="18"/>
      <c r="AB373" s="18"/>
      <c r="AC373" s="8" t="str">
        <f t="shared" si="58"/>
        <v/>
      </c>
      <c r="AD373" s="8"/>
      <c r="AE373" s="8"/>
      <c r="AF373" s="14"/>
      <c r="AG373" s="13"/>
      <c r="AH373" s="14"/>
      <c r="AI373" s="14"/>
      <c r="AJ373" s="8"/>
      <c r="AK373" s="8"/>
      <c r="AL373" s="8"/>
      <c r="AM373" s="8"/>
      <c r="AN373" s="631"/>
      <c r="AO373" s="18"/>
      <c r="AP373" s="18"/>
      <c r="AQ373" s="18"/>
      <c r="AR373" s="18"/>
      <c r="AS373" s="18"/>
      <c r="AU373" s="448"/>
      <c r="AV373" s="448"/>
      <c r="AW373" s="8" t="str">
        <f>IF(C373&gt;0,VLOOKUP(C373,Foundation_Calc!$A$2:$C$986,3,1),
IF(J373&gt;0,VLOOKUP(J373,Foundation_Calc!$A$2:$C$986,3,1),""))</f>
        <v/>
      </c>
      <c r="AX373" s="8" t="str">
        <f>IF(C373&gt;0,VLOOKUP(C373,Foundation_Calc!$E$2:$G$986,3,1),
IF(J373&gt;0,VLOOKUP(J373,Foundation_Calc!$E$2:$G$986,3,1),""))</f>
        <v/>
      </c>
      <c r="AY373" s="631" t="str">
        <f>IF(L373="","",
IF(AX373="PT",VLOOKUP(L373,Foundation_Calc!$K$4:$R$37,VLOOKUP(AW373,Foundation_Calc!$I$2:$J$8,2,FALSE),0),
IF(AX373="K",VLOOKUP(L373,Foundation_Calc!$K$41:$R$74,VLOOKUP(AW373,Foundation_Calc!$I$2:$J$8,2,FALSE),0),"")))</f>
        <v/>
      </c>
      <c r="AZ373" s="631" t="str">
        <f>IF(K373="","",
IF(AX373="PT",VLOOKUP(K373,Foundation_Calc!$K$4:$R$37,VLOOKUP(AW373,Foundation_Calc!$I$2:$J$8,2,FALSE),0),
IF(AX373="K",VLOOKUP(K373,Foundation_Calc!$K$41:$R$74,VLOOKUP(AW373,Foundation_Calc!$I$2:$J$8,2,FALSE),0),"")))</f>
        <v/>
      </c>
      <c r="BA373" s="632" t="str">
        <f t="shared" si="59"/>
        <v/>
      </c>
      <c r="BB373" s="632" t="str">
        <f t="shared" si="60"/>
        <v/>
      </c>
      <c r="BC373" s="632" t="str">
        <f t="shared" si="61"/>
        <v/>
      </c>
      <c r="BD373" s="633" t="str">
        <f>IF(AND(L373="",H373=""),"",
IF(H373="",Pole_Calc!A401,
IF(H373="MP",Pole_Calc!A402,
IF(H373="AnMP",Pole_Calc!A403,
IF(H373="A",Pole_Calc!A404,
IF(H373="S/A",Pole_Calc!A405,
IF(H373="A/S",Pole_Calc!A406,"Poner a mano")))))))</f>
        <v/>
      </c>
      <c r="BE373" s="448" t="s">
        <v>1726</v>
      </c>
      <c r="BF373" s="635"/>
      <c r="BG373" s="635"/>
      <c r="BH373" s="634"/>
      <c r="BI373" s="635"/>
    </row>
    <row r="374" spans="1:61" ht="16.2" customHeight="1">
      <c r="A374" s="12"/>
      <c r="B374" s="446"/>
      <c r="C374" s="89"/>
      <c r="D374" s="13"/>
      <c r="E374" s="14"/>
      <c r="F374" s="14"/>
      <c r="G374" s="15"/>
      <c r="H374" s="8"/>
      <c r="I374" s="8"/>
      <c r="J374" s="89"/>
      <c r="K374" s="8"/>
      <c r="L374" s="8"/>
      <c r="M374" s="8" t="str">
        <f>IF(L374="","",
IF(AX374="PT",VLOOKUP(L374,Foundation_Calc!$V$4:$X$37,VLOOKUP(AX374,Foundation_Calc!$I$10:$J$13,2,FALSE),0),
IF(AX374="K",VLOOKUP(L374,Foundation_Calc!$V$41:$X$74,VLOOKUP(AX374,Foundation_Calc!$I$10:$J$13,2,FALSE),0),"")))</f>
        <v/>
      </c>
      <c r="N374" s="8"/>
      <c r="O374" s="8"/>
      <c r="P374" s="8"/>
      <c r="Q374" s="14"/>
      <c r="R374" s="15"/>
      <c r="S374" s="15"/>
      <c r="T374" s="14"/>
      <c r="U374" s="14"/>
      <c r="V374" s="14"/>
      <c r="W374" s="18"/>
      <c r="X374" s="18"/>
      <c r="Y374" s="18"/>
      <c r="Z374" s="18"/>
      <c r="AA374" s="18"/>
      <c r="AB374" s="18"/>
      <c r="AC374" s="8" t="str">
        <f t="shared" si="58"/>
        <v/>
      </c>
      <c r="AD374" s="8"/>
      <c r="AE374" s="8"/>
      <c r="AF374" s="14"/>
      <c r="AG374" s="13"/>
      <c r="AH374" s="14"/>
      <c r="AI374" s="14"/>
      <c r="AJ374" s="8"/>
      <c r="AK374" s="8"/>
      <c r="AL374" s="8"/>
      <c r="AM374" s="8"/>
      <c r="AN374" s="631"/>
      <c r="AO374" s="18"/>
      <c r="AP374" s="18"/>
      <c r="AQ374" s="18"/>
      <c r="AR374" s="18"/>
      <c r="AS374" s="18"/>
      <c r="AU374" s="448"/>
      <c r="AV374" s="448"/>
      <c r="AW374" s="8" t="str">
        <f>IF(C374&gt;0,VLOOKUP(C374,Foundation_Calc!$A$2:$C$986,3,1),
IF(J374&gt;0,VLOOKUP(J374,Foundation_Calc!$A$2:$C$986,3,1),""))</f>
        <v/>
      </c>
      <c r="AX374" s="8" t="str">
        <f>IF(C374&gt;0,VLOOKUP(C374,Foundation_Calc!$E$2:$G$986,3,1),
IF(J374&gt;0,VLOOKUP(J374,Foundation_Calc!$E$2:$G$986,3,1),""))</f>
        <v/>
      </c>
      <c r="AY374" s="631" t="str">
        <f>IF(L374="","",
IF(AX374="PT",VLOOKUP(L374,Foundation_Calc!$K$4:$R$37,VLOOKUP(AW374,Foundation_Calc!$I$2:$J$8,2,FALSE),0),
IF(AX374="K",VLOOKUP(L374,Foundation_Calc!$K$41:$R$74,VLOOKUP(AW374,Foundation_Calc!$I$2:$J$8,2,FALSE),0),"")))</f>
        <v/>
      </c>
      <c r="AZ374" s="631" t="str">
        <f>IF(K374="","",
IF(AX374="PT",VLOOKUP(K374,Foundation_Calc!$K$4:$R$37,VLOOKUP(AW374,Foundation_Calc!$I$2:$J$8,2,FALSE),0),
IF(AX374="K",VLOOKUP(K374,Foundation_Calc!$K$41:$R$74,VLOOKUP(AW374,Foundation_Calc!$I$2:$J$8,2,FALSE),0),"")))</f>
        <v/>
      </c>
      <c r="BA374" s="632" t="str">
        <f t="shared" si="59"/>
        <v/>
      </c>
      <c r="BB374" s="632" t="str">
        <f t="shared" si="60"/>
        <v/>
      </c>
      <c r="BC374" s="632" t="str">
        <f t="shared" si="61"/>
        <v/>
      </c>
      <c r="BD374" s="633" t="str">
        <f>IF(AND(L374="",H374=""),"",
IF(H374="",Pole_Calc!A402,
IF(H374="MP",Pole_Calc!A403,
IF(H374="AnMP",Pole_Calc!A404,
IF(H374="A",Pole_Calc!A405,
IF(H374="S/A",Pole_Calc!A406,
IF(H374="A/S",Pole_Calc!A407,"Poner a mano")))))))</f>
        <v/>
      </c>
      <c r="BE374" s="448" t="s">
        <v>1726</v>
      </c>
      <c r="BF374" s="634"/>
      <c r="BG374" s="634"/>
      <c r="BH374" s="634"/>
      <c r="BI374" s="634"/>
    </row>
    <row r="375" spans="1:61" ht="16.2" customHeight="1">
      <c r="A375" s="12"/>
      <c r="B375" s="446"/>
      <c r="C375" s="89"/>
      <c r="D375" s="13"/>
      <c r="E375" s="14"/>
      <c r="F375" s="14"/>
      <c r="G375" s="15"/>
      <c r="H375" s="8"/>
      <c r="I375" s="8"/>
      <c r="J375" s="89"/>
      <c r="K375" s="8"/>
      <c r="L375" s="8"/>
      <c r="M375" s="8" t="str">
        <f>IF(L375="","",
IF(AX375="PT",VLOOKUP(L375,Foundation_Calc!$V$4:$X$37,VLOOKUP(AX375,Foundation_Calc!$I$10:$J$13,2,FALSE),0),
IF(AX375="K",VLOOKUP(L375,Foundation_Calc!$V$41:$X$74,VLOOKUP(AX375,Foundation_Calc!$I$10:$J$13,2,FALSE),0),"")))</f>
        <v/>
      </c>
      <c r="N375" s="8"/>
      <c r="O375" s="8"/>
      <c r="P375" s="8"/>
      <c r="Q375" s="14"/>
      <c r="R375" s="15"/>
      <c r="S375" s="15"/>
      <c r="T375" s="14"/>
      <c r="U375" s="14"/>
      <c r="V375" s="14"/>
      <c r="W375" s="18"/>
      <c r="X375" s="18"/>
      <c r="Y375" s="18"/>
      <c r="Z375" s="18"/>
      <c r="AA375" s="18"/>
      <c r="AB375" s="18"/>
      <c r="AC375" s="8" t="str">
        <f t="shared" si="58"/>
        <v/>
      </c>
      <c r="AD375" s="8"/>
      <c r="AE375" s="8"/>
      <c r="AF375" s="14"/>
      <c r="AG375" s="13"/>
      <c r="AH375" s="14"/>
      <c r="AI375" s="14"/>
      <c r="AJ375" s="8"/>
      <c r="AK375" s="8"/>
      <c r="AL375" s="8"/>
      <c r="AM375" s="8"/>
      <c r="AN375" s="631"/>
      <c r="AO375" s="18"/>
      <c r="AP375" s="18"/>
      <c r="AQ375" s="18"/>
      <c r="AR375" s="18"/>
      <c r="AS375" s="18"/>
      <c r="AU375" s="448"/>
      <c r="AV375" s="448"/>
      <c r="AW375" s="8" t="str">
        <f>IF(C375&gt;0,VLOOKUP(C375,Foundation_Calc!$A$2:$C$986,3,1),
IF(J375&gt;0,VLOOKUP(J375,Foundation_Calc!$A$2:$C$986,3,1),""))</f>
        <v/>
      </c>
      <c r="AX375" s="8" t="str">
        <f>IF(C375&gt;0,VLOOKUP(C375,Foundation_Calc!$E$2:$G$986,3,1),
IF(J375&gt;0,VLOOKUP(J375,Foundation_Calc!$E$2:$G$986,3,1),""))</f>
        <v/>
      </c>
      <c r="AY375" s="631" t="str">
        <f>IF(L375="","",
IF(AX375="PT",VLOOKUP(L375,Foundation_Calc!$K$4:$R$37,VLOOKUP(AW375,Foundation_Calc!$I$2:$J$8,2,FALSE),0),
IF(AX375="K",VLOOKUP(L375,Foundation_Calc!$K$41:$R$74,VLOOKUP(AW375,Foundation_Calc!$I$2:$J$8,2,FALSE),0),"")))</f>
        <v/>
      </c>
      <c r="AZ375" s="631" t="str">
        <f>IF(K375="","",
IF(AX375="PT",VLOOKUP(K375,Foundation_Calc!$K$4:$R$37,VLOOKUP(AW375,Foundation_Calc!$I$2:$J$8,2,FALSE),0),
IF(AX375="K",VLOOKUP(K375,Foundation_Calc!$K$41:$R$74,VLOOKUP(AW375,Foundation_Calc!$I$2:$J$8,2,FALSE),0),"")))</f>
        <v/>
      </c>
      <c r="BA375" s="632" t="str">
        <f t="shared" si="59"/>
        <v/>
      </c>
      <c r="BB375" s="632" t="str">
        <f t="shared" si="60"/>
        <v/>
      </c>
      <c r="BC375" s="632" t="str">
        <f t="shared" si="61"/>
        <v/>
      </c>
      <c r="BD375" s="633" t="str">
        <f>IF(AND(L375="",H375=""),"",
IF(H375="",Pole_Calc!A403,
IF(H375="MP",Pole_Calc!A404,
IF(H375="AnMP",Pole_Calc!A405,
IF(H375="A",Pole_Calc!A406,
IF(H375="S/A",Pole_Calc!A407,
IF(H375="A/S",Pole_Calc!A408,"Poner a mano")))))))</f>
        <v/>
      </c>
      <c r="BE375" s="448" t="s">
        <v>1726</v>
      </c>
      <c r="BF375" s="635"/>
      <c r="BG375" s="635"/>
      <c r="BH375" s="634"/>
      <c r="BI375" s="635"/>
    </row>
    <row r="376" spans="1:61" ht="16.2" customHeight="1">
      <c r="A376" s="12"/>
      <c r="B376" s="446"/>
      <c r="C376" s="89"/>
      <c r="D376" s="13"/>
      <c r="E376" s="14"/>
      <c r="F376" s="14"/>
      <c r="G376" s="15"/>
      <c r="H376" s="8"/>
      <c r="I376" s="8"/>
      <c r="J376" s="89"/>
      <c r="K376" s="8"/>
      <c r="L376" s="8"/>
      <c r="M376" s="8" t="str">
        <f>IF(L376="","",
IF(AX376="PT",VLOOKUP(L376,Foundation_Calc!$V$4:$X$37,VLOOKUP(AX376,Foundation_Calc!$I$10:$J$13,2,FALSE),0),
IF(AX376="K",VLOOKUP(L376,Foundation_Calc!$V$41:$X$74,VLOOKUP(AX376,Foundation_Calc!$I$10:$J$13,2,FALSE),0),"")))</f>
        <v/>
      </c>
      <c r="N376" s="8"/>
      <c r="O376" s="8"/>
      <c r="P376" s="8"/>
      <c r="Q376" s="14"/>
      <c r="R376" s="15"/>
      <c r="S376" s="15"/>
      <c r="T376" s="14"/>
      <c r="U376" s="14"/>
      <c r="V376" s="14"/>
      <c r="W376" s="18"/>
      <c r="X376" s="18"/>
      <c r="Y376" s="18"/>
      <c r="Z376" s="18"/>
      <c r="AA376" s="18"/>
      <c r="AB376" s="18"/>
      <c r="AC376" s="8" t="str">
        <f t="shared" si="58"/>
        <v/>
      </c>
      <c r="AD376" s="8"/>
      <c r="AE376" s="8"/>
      <c r="AF376" s="14"/>
      <c r="AG376" s="13"/>
      <c r="AH376" s="14"/>
      <c r="AI376" s="14"/>
      <c r="AJ376" s="8"/>
      <c r="AK376" s="8"/>
      <c r="AL376" s="8"/>
      <c r="AM376" s="8"/>
      <c r="AN376" s="631"/>
      <c r="AO376" s="18"/>
      <c r="AP376" s="18"/>
      <c r="AQ376" s="18"/>
      <c r="AR376" s="18"/>
      <c r="AS376" s="18"/>
      <c r="AU376" s="448"/>
      <c r="AV376" s="448"/>
      <c r="AW376" s="8" t="str">
        <f>IF(C376&gt;0,VLOOKUP(C376,Foundation_Calc!$A$2:$C$986,3,1),
IF(J376&gt;0,VLOOKUP(J376,Foundation_Calc!$A$2:$C$986,3,1),""))</f>
        <v/>
      </c>
      <c r="AX376" s="8" t="str">
        <f>IF(C376&gt;0,VLOOKUP(C376,Foundation_Calc!$E$2:$G$986,3,1),
IF(J376&gt;0,VLOOKUP(J376,Foundation_Calc!$E$2:$G$986,3,1),""))</f>
        <v/>
      </c>
      <c r="AY376" s="631" t="str">
        <f>IF(L376="","",
IF(AX376="PT",VLOOKUP(L376,Foundation_Calc!$K$4:$R$37,VLOOKUP(AW376,Foundation_Calc!$I$2:$J$8,2,FALSE),0),
IF(AX376="K",VLOOKUP(L376,Foundation_Calc!$K$41:$R$74,VLOOKUP(AW376,Foundation_Calc!$I$2:$J$8,2,FALSE),0),"")))</f>
        <v/>
      </c>
      <c r="AZ376" s="631" t="str">
        <f>IF(K376="","",
IF(AX376="PT",VLOOKUP(K376,Foundation_Calc!$K$4:$R$37,VLOOKUP(AW376,Foundation_Calc!$I$2:$J$8,2,FALSE),0),
IF(AX376="K",VLOOKUP(K376,Foundation_Calc!$K$41:$R$74,VLOOKUP(AW376,Foundation_Calc!$I$2:$J$8,2,FALSE),0),"")))</f>
        <v/>
      </c>
      <c r="BA376" s="632" t="str">
        <f t="shared" si="59"/>
        <v/>
      </c>
      <c r="BB376" s="632" t="str">
        <f t="shared" si="60"/>
        <v/>
      </c>
      <c r="BC376" s="632" t="str">
        <f t="shared" si="61"/>
        <v/>
      </c>
      <c r="BD376" s="633" t="str">
        <f>IF(AND(L376="",H376=""),"",
IF(H376="",Pole_Calc!A404,
IF(H376="MP",Pole_Calc!A405,
IF(H376="AnMP",Pole_Calc!A406,
IF(H376="A",Pole_Calc!A407,
IF(H376="S/A",Pole_Calc!A408,
IF(H376="A/S",Pole_Calc!A409,"Poner a mano")))))))</f>
        <v/>
      </c>
      <c r="BE376" s="448" t="s">
        <v>1726</v>
      </c>
      <c r="BF376" s="634"/>
      <c r="BG376" s="634"/>
      <c r="BH376" s="634"/>
      <c r="BI376" s="634"/>
    </row>
    <row r="377" spans="1:61" ht="16.2" customHeight="1">
      <c r="A377" s="12"/>
      <c r="B377" s="446"/>
      <c r="C377" s="89"/>
      <c r="D377" s="13"/>
      <c r="E377" s="14"/>
      <c r="F377" s="14"/>
      <c r="G377" s="15"/>
      <c r="H377" s="8"/>
      <c r="I377" s="8"/>
      <c r="J377" s="89"/>
      <c r="K377" s="8"/>
      <c r="L377" s="8"/>
      <c r="M377" s="8" t="str">
        <f>IF(L377="","",
IF(AX377="PT",VLOOKUP(L377,Foundation_Calc!$V$4:$X$37,VLOOKUP(AX377,Foundation_Calc!$I$10:$J$13,2,FALSE),0),
IF(AX377="K",VLOOKUP(L377,Foundation_Calc!$V$41:$X$74,VLOOKUP(AX377,Foundation_Calc!$I$10:$J$13,2,FALSE),0),"")))</f>
        <v/>
      </c>
      <c r="N377" s="8"/>
      <c r="O377" s="8"/>
      <c r="P377" s="8"/>
      <c r="Q377" s="14"/>
      <c r="R377" s="15"/>
      <c r="S377" s="15"/>
      <c r="T377" s="14"/>
      <c r="U377" s="14"/>
      <c r="V377" s="14"/>
      <c r="W377" s="18"/>
      <c r="X377" s="18"/>
      <c r="Y377" s="18"/>
      <c r="Z377" s="18"/>
      <c r="AA377" s="18"/>
      <c r="AB377" s="18"/>
      <c r="AC377" s="8" t="str">
        <f t="shared" si="58"/>
        <v/>
      </c>
      <c r="AD377" s="8"/>
      <c r="AE377" s="8"/>
      <c r="AF377" s="14"/>
      <c r="AG377" s="13"/>
      <c r="AH377" s="14"/>
      <c r="AI377" s="14"/>
      <c r="AJ377" s="8"/>
      <c r="AK377" s="8"/>
      <c r="AL377" s="8"/>
      <c r="AM377" s="8"/>
      <c r="AN377" s="631"/>
      <c r="AO377" s="18"/>
      <c r="AP377" s="18"/>
      <c r="AQ377" s="18"/>
      <c r="AR377" s="18"/>
      <c r="AS377" s="18"/>
      <c r="AU377" s="448"/>
      <c r="AV377" s="448"/>
      <c r="AW377" s="8" t="str">
        <f>IF(C377&gt;0,VLOOKUP(C377,Foundation_Calc!$A$2:$C$986,3,1),
IF(J377&gt;0,VLOOKUP(J377,Foundation_Calc!$A$2:$C$986,3,1),""))</f>
        <v/>
      </c>
      <c r="AX377" s="8" t="str">
        <f>IF(C377&gt;0,VLOOKUP(C377,Foundation_Calc!$E$2:$G$986,3,1),
IF(J377&gt;0,VLOOKUP(J377,Foundation_Calc!$E$2:$G$986,3,1),""))</f>
        <v/>
      </c>
      <c r="AY377" s="631" t="str">
        <f>IF(L377="","",
IF(AX377="PT",VLOOKUP(L377,Foundation_Calc!$K$4:$R$37,VLOOKUP(AW377,Foundation_Calc!$I$2:$J$8,2,FALSE),0),
IF(AX377="K",VLOOKUP(L377,Foundation_Calc!$K$41:$R$74,VLOOKUP(AW377,Foundation_Calc!$I$2:$J$8,2,FALSE),0),"")))</f>
        <v/>
      </c>
      <c r="AZ377" s="631" t="str">
        <f>IF(K377="","",
IF(AX377="PT",VLOOKUP(K377,Foundation_Calc!$K$4:$R$37,VLOOKUP(AW377,Foundation_Calc!$I$2:$J$8,2,FALSE),0),
IF(AX377="K",VLOOKUP(K377,Foundation_Calc!$K$41:$R$74,VLOOKUP(AW377,Foundation_Calc!$I$2:$J$8,2,FALSE),0),"")))</f>
        <v/>
      </c>
      <c r="BA377" s="632" t="str">
        <f t="shared" si="59"/>
        <v/>
      </c>
      <c r="BB377" s="632" t="str">
        <f t="shared" si="60"/>
        <v/>
      </c>
      <c r="BC377" s="632" t="str">
        <f t="shared" si="61"/>
        <v/>
      </c>
      <c r="BD377" s="633" t="str">
        <f>IF(AND(L377="",H377=""),"",
IF(H377="",Pole_Calc!A405,
IF(H377="MP",Pole_Calc!A406,
IF(H377="AnMP",Pole_Calc!A407,
IF(H377="A",Pole_Calc!A408,
IF(H377="S/A",Pole_Calc!A409,
IF(H377="A/S",Pole_Calc!A410,"Poner a mano")))))))</f>
        <v/>
      </c>
      <c r="BE377" s="448" t="s">
        <v>1726</v>
      </c>
      <c r="BF377" s="635"/>
      <c r="BG377" s="635"/>
      <c r="BH377" s="634"/>
      <c r="BI377" s="635"/>
    </row>
    <row r="378" spans="1:61" ht="16.2" customHeight="1">
      <c r="A378" s="12"/>
      <c r="B378" s="446"/>
      <c r="C378" s="89"/>
      <c r="D378" s="13"/>
      <c r="E378" s="14"/>
      <c r="F378" s="14"/>
      <c r="G378" s="15"/>
      <c r="H378" s="8"/>
      <c r="I378" s="8"/>
      <c r="J378" s="89"/>
      <c r="K378" s="8"/>
      <c r="L378" s="8"/>
      <c r="M378" s="8" t="str">
        <f>IF(L378="","",
IF(AX378="PT",VLOOKUP(L378,Foundation_Calc!$V$4:$X$37,VLOOKUP(AX378,Foundation_Calc!$I$10:$J$13,2,FALSE),0),
IF(AX378="K",VLOOKUP(L378,Foundation_Calc!$V$41:$X$74,VLOOKUP(AX378,Foundation_Calc!$I$10:$J$13,2,FALSE),0),"")))</f>
        <v/>
      </c>
      <c r="N378" s="8"/>
      <c r="O378" s="8"/>
      <c r="P378" s="8"/>
      <c r="Q378" s="14"/>
      <c r="R378" s="15"/>
      <c r="S378" s="15"/>
      <c r="T378" s="14"/>
      <c r="U378" s="14"/>
      <c r="V378" s="14"/>
      <c r="W378" s="18"/>
      <c r="X378" s="18"/>
      <c r="Y378" s="18"/>
      <c r="Z378" s="18"/>
      <c r="AA378" s="18"/>
      <c r="AB378" s="18"/>
      <c r="AC378" s="8" t="str">
        <f t="shared" si="58"/>
        <v/>
      </c>
      <c r="AD378" s="8"/>
      <c r="AE378" s="8"/>
      <c r="AF378" s="14"/>
      <c r="AG378" s="13"/>
      <c r="AH378" s="14"/>
      <c r="AI378" s="14"/>
      <c r="AJ378" s="8"/>
      <c r="AK378" s="8"/>
      <c r="AL378" s="8"/>
      <c r="AM378" s="8"/>
      <c r="AN378" s="631"/>
      <c r="AO378" s="18"/>
      <c r="AP378" s="18"/>
      <c r="AQ378" s="18"/>
      <c r="AR378" s="18"/>
      <c r="AS378" s="18"/>
      <c r="AU378" s="448"/>
      <c r="AV378" s="448"/>
      <c r="AW378" s="8" t="str">
        <f>IF(C378&gt;0,VLOOKUP(C378,Foundation_Calc!$A$2:$C$986,3,1),
IF(J378&gt;0,VLOOKUP(J378,Foundation_Calc!$A$2:$C$986,3,1),""))</f>
        <v/>
      </c>
      <c r="AX378" s="8" t="str">
        <f>IF(C378&gt;0,VLOOKUP(C378,Foundation_Calc!$E$2:$G$986,3,1),
IF(J378&gt;0,VLOOKUP(J378,Foundation_Calc!$E$2:$G$986,3,1),""))</f>
        <v/>
      </c>
      <c r="AY378" s="631" t="str">
        <f>IF(L378="","",
IF(AX378="PT",VLOOKUP(L378,Foundation_Calc!$K$4:$R$37,VLOOKUP(AW378,Foundation_Calc!$I$2:$J$8,2,FALSE),0),
IF(AX378="K",VLOOKUP(L378,Foundation_Calc!$K$41:$R$74,VLOOKUP(AW378,Foundation_Calc!$I$2:$J$8,2,FALSE),0),"")))</f>
        <v/>
      </c>
      <c r="AZ378" s="631" t="str">
        <f>IF(K378="","",
IF(AX378="PT",VLOOKUP(K378,Foundation_Calc!$K$4:$R$37,VLOOKUP(AW378,Foundation_Calc!$I$2:$J$8,2,FALSE),0),
IF(AX378="K",VLOOKUP(K378,Foundation_Calc!$K$41:$R$74,VLOOKUP(AW378,Foundation_Calc!$I$2:$J$8,2,FALSE),0),"")))</f>
        <v/>
      </c>
      <c r="BA378" s="632" t="str">
        <f t="shared" si="59"/>
        <v/>
      </c>
      <c r="BB378" s="632" t="str">
        <f t="shared" si="60"/>
        <v/>
      </c>
      <c r="BC378" s="632" t="str">
        <f t="shared" si="61"/>
        <v/>
      </c>
      <c r="BD378" s="633" t="str">
        <f>IF(AND(L378="",H378=""),"",
IF(H378="",Pole_Calc!A406,
IF(H378="MP",Pole_Calc!A407,
IF(H378="AnMP",Pole_Calc!A408,
IF(H378="A",Pole_Calc!A409,
IF(H378="S/A",Pole_Calc!A410,
IF(H378="A/S",Pole_Calc!A411,"Poner a mano")))))))</f>
        <v/>
      </c>
      <c r="BE378" s="448" t="s">
        <v>1726</v>
      </c>
      <c r="BF378" s="634"/>
      <c r="BG378" s="634"/>
      <c r="BH378" s="634"/>
      <c r="BI378" s="634"/>
    </row>
    <row r="379" spans="1:61" ht="16.2" customHeight="1">
      <c r="A379" s="12"/>
      <c r="B379" s="446"/>
      <c r="C379" s="89"/>
      <c r="D379" s="13"/>
      <c r="E379" s="14"/>
      <c r="F379" s="14"/>
      <c r="G379" s="15"/>
      <c r="H379" s="8"/>
      <c r="I379" s="8"/>
      <c r="J379" s="89"/>
      <c r="K379" s="8"/>
      <c r="L379" s="8"/>
      <c r="M379" s="8" t="str">
        <f>IF(L379="","",
IF(AX379="PT",VLOOKUP(L379,Foundation_Calc!$V$4:$X$37,VLOOKUP(AX379,Foundation_Calc!$I$10:$J$13,2,FALSE),0),
IF(AX379="K",VLOOKUP(L379,Foundation_Calc!$V$41:$X$74,VLOOKUP(AX379,Foundation_Calc!$I$10:$J$13,2,FALSE),0),"")))</f>
        <v/>
      </c>
      <c r="N379" s="8"/>
      <c r="O379" s="8"/>
      <c r="P379" s="8"/>
      <c r="Q379" s="14"/>
      <c r="R379" s="15"/>
      <c r="S379" s="15"/>
      <c r="T379" s="14"/>
      <c r="U379" s="14"/>
      <c r="V379" s="14"/>
      <c r="W379" s="18"/>
      <c r="X379" s="18"/>
      <c r="Y379" s="18"/>
      <c r="Z379" s="18"/>
      <c r="AA379" s="18"/>
      <c r="AB379" s="18"/>
      <c r="AC379" s="8" t="str">
        <f t="shared" si="58"/>
        <v/>
      </c>
      <c r="AD379" s="8"/>
      <c r="AE379" s="8"/>
      <c r="AF379" s="14"/>
      <c r="AG379" s="13"/>
      <c r="AH379" s="14"/>
      <c r="AI379" s="14"/>
      <c r="AJ379" s="8"/>
      <c r="AK379" s="8"/>
      <c r="AL379" s="8"/>
      <c r="AM379" s="8"/>
      <c r="AN379" s="631"/>
      <c r="AO379" s="18"/>
      <c r="AP379" s="18"/>
      <c r="AQ379" s="18"/>
      <c r="AR379" s="18"/>
      <c r="AS379" s="18"/>
      <c r="AU379" s="448"/>
      <c r="AV379" s="448"/>
      <c r="AW379" s="8" t="str">
        <f>IF(C379&gt;0,VLOOKUP(C379,Foundation_Calc!$A$2:$C$986,3,1),
IF(J379&gt;0,VLOOKUP(J379,Foundation_Calc!$A$2:$C$986,3,1),""))</f>
        <v/>
      </c>
      <c r="AX379" s="8" t="str">
        <f>IF(C379&gt;0,VLOOKUP(C379,Foundation_Calc!$E$2:$G$986,3,1),
IF(J379&gt;0,VLOOKUP(J379,Foundation_Calc!$E$2:$G$986,3,1),""))</f>
        <v/>
      </c>
      <c r="AY379" s="631" t="str">
        <f>IF(L379="","",
IF(AX379="PT",VLOOKUP(L379,Foundation_Calc!$K$4:$R$37,VLOOKUP(AW379,Foundation_Calc!$I$2:$J$8,2,FALSE),0),
IF(AX379="K",VLOOKUP(L379,Foundation_Calc!$K$41:$R$74,VLOOKUP(AW379,Foundation_Calc!$I$2:$J$8,2,FALSE),0),"")))</f>
        <v/>
      </c>
      <c r="AZ379" s="631" t="str">
        <f>IF(K379="","",
IF(AX379="PT",VLOOKUP(K379,Foundation_Calc!$K$4:$R$37,VLOOKUP(AW379,Foundation_Calc!$I$2:$J$8,2,FALSE),0),
IF(AX379="K",VLOOKUP(K379,Foundation_Calc!$K$41:$R$74,VLOOKUP(AW379,Foundation_Calc!$I$2:$J$8,2,FALSE),0),"")))</f>
        <v/>
      </c>
      <c r="BA379" s="632" t="str">
        <f t="shared" si="59"/>
        <v/>
      </c>
      <c r="BB379" s="632" t="str">
        <f t="shared" si="60"/>
        <v/>
      </c>
      <c r="BC379" s="632" t="str">
        <f t="shared" si="61"/>
        <v/>
      </c>
      <c r="BD379" s="633" t="str">
        <f>IF(AND(L379="",H379=""),"",
IF(H379="",Pole_Calc!A407,
IF(H379="MP",Pole_Calc!A408,
IF(H379="AnMP",Pole_Calc!A409,
IF(H379="A",Pole_Calc!A410,
IF(H379="S/A",Pole_Calc!A411,
IF(H379="A/S",Pole_Calc!A412,"Poner a mano")))))))</f>
        <v/>
      </c>
      <c r="BE379" s="448" t="s">
        <v>1726</v>
      </c>
      <c r="BF379" s="635"/>
      <c r="BG379" s="635"/>
      <c r="BH379" s="634"/>
      <c r="BI379" s="635"/>
    </row>
    <row r="380" spans="1:61" ht="16.2" customHeight="1">
      <c r="A380" s="12"/>
      <c r="B380" s="446"/>
      <c r="C380" s="89"/>
      <c r="D380" s="13"/>
      <c r="E380" s="14"/>
      <c r="F380" s="14"/>
      <c r="G380" s="15"/>
      <c r="H380" s="8"/>
      <c r="I380" s="8"/>
      <c r="J380" s="89"/>
      <c r="K380" s="8"/>
      <c r="L380" s="8"/>
      <c r="M380" s="8" t="str">
        <f>IF(L380="","",
IF(AX380="PT",VLOOKUP(L380,Foundation_Calc!$V$4:$X$37,VLOOKUP(AX380,Foundation_Calc!$I$10:$J$13,2,FALSE),0),
IF(AX380="K",VLOOKUP(L380,Foundation_Calc!$V$41:$X$74,VLOOKUP(AX380,Foundation_Calc!$I$10:$J$13,2,FALSE),0),"")))</f>
        <v/>
      </c>
      <c r="N380" s="8"/>
      <c r="O380" s="8"/>
      <c r="P380" s="8"/>
      <c r="Q380" s="14"/>
      <c r="R380" s="15"/>
      <c r="S380" s="15"/>
      <c r="T380" s="14"/>
      <c r="U380" s="14"/>
      <c r="V380" s="14"/>
      <c r="W380" s="18"/>
      <c r="X380" s="18"/>
      <c r="Y380" s="18"/>
      <c r="Z380" s="18"/>
      <c r="AA380" s="18"/>
      <c r="AB380" s="18"/>
      <c r="AC380" s="8" t="str">
        <f t="shared" si="58"/>
        <v/>
      </c>
      <c r="AD380" s="8"/>
      <c r="AE380" s="8"/>
      <c r="AF380" s="14"/>
      <c r="AG380" s="13"/>
      <c r="AH380" s="14"/>
      <c r="AI380" s="14"/>
      <c r="AJ380" s="8"/>
      <c r="AK380" s="8"/>
      <c r="AL380" s="8"/>
      <c r="AM380" s="8"/>
      <c r="AN380" s="631"/>
      <c r="AO380" s="18"/>
      <c r="AP380" s="18"/>
      <c r="AQ380" s="18"/>
      <c r="AR380" s="18"/>
      <c r="AS380" s="18"/>
      <c r="AU380" s="448"/>
      <c r="AV380" s="448"/>
      <c r="AW380" s="8" t="str">
        <f>IF(C380&gt;0,VLOOKUP(C380,Foundation_Calc!$A$2:$C$986,3,1),
IF(J380&gt;0,VLOOKUP(J380,Foundation_Calc!$A$2:$C$986,3,1),""))</f>
        <v/>
      </c>
      <c r="AX380" s="8" t="str">
        <f>IF(C380&gt;0,VLOOKUP(C380,Foundation_Calc!$E$2:$G$986,3,1),
IF(J380&gt;0,VLOOKUP(J380,Foundation_Calc!$E$2:$G$986,3,1),""))</f>
        <v/>
      </c>
      <c r="AY380" s="631" t="str">
        <f>IF(L380="","",
IF(AX380="PT",VLOOKUP(L380,Foundation_Calc!$K$4:$R$37,VLOOKUP(AW380,Foundation_Calc!$I$2:$J$8,2,FALSE),0),
IF(AX380="K",VLOOKUP(L380,Foundation_Calc!$K$41:$R$74,VLOOKUP(AW380,Foundation_Calc!$I$2:$J$8,2,FALSE),0),"")))</f>
        <v/>
      </c>
      <c r="AZ380" s="631" t="str">
        <f>IF(K380="","",
IF(AX380="PT",VLOOKUP(K380,Foundation_Calc!$K$4:$R$37,VLOOKUP(AW380,Foundation_Calc!$I$2:$J$8,2,FALSE),0),
IF(AX380="K",VLOOKUP(K380,Foundation_Calc!$K$41:$R$74,VLOOKUP(AW380,Foundation_Calc!$I$2:$J$8,2,FALSE),0),"")))</f>
        <v/>
      </c>
      <c r="BA380" s="632" t="str">
        <f t="shared" si="59"/>
        <v/>
      </c>
      <c r="BB380" s="632" t="str">
        <f t="shared" si="60"/>
        <v/>
      </c>
      <c r="BC380" s="632" t="str">
        <f t="shared" si="61"/>
        <v/>
      </c>
      <c r="BD380" s="633" t="str">
        <f>IF(AND(L380="",H380=""),"",
IF(H380="",Pole_Calc!A408,
IF(H380="MP",Pole_Calc!A409,
IF(H380="AnMP",Pole_Calc!A410,
IF(H380="A",Pole_Calc!A411,
IF(H380="S/A",Pole_Calc!A412,
IF(H380="A/S",Pole_Calc!A413,"Poner a mano")))))))</f>
        <v/>
      </c>
      <c r="BE380" s="448" t="s">
        <v>1726</v>
      </c>
      <c r="BF380" s="634"/>
      <c r="BG380" s="634"/>
      <c r="BH380" s="634"/>
      <c r="BI380" s="634"/>
    </row>
    <row r="381" spans="1:61" ht="16.2" customHeight="1">
      <c r="A381" s="12"/>
      <c r="B381" s="446"/>
      <c r="C381" s="89"/>
      <c r="D381" s="13"/>
      <c r="E381" s="14"/>
      <c r="F381" s="14"/>
      <c r="G381" s="15"/>
      <c r="H381" s="8"/>
      <c r="I381" s="8"/>
      <c r="J381" s="89"/>
      <c r="K381" s="8"/>
      <c r="L381" s="8"/>
      <c r="M381" s="8" t="str">
        <f>IF(L381="","",
IF(AX381="PT",VLOOKUP(L381,Foundation_Calc!$V$4:$X$37,VLOOKUP(AX381,Foundation_Calc!$I$10:$J$13,2,FALSE),0),
IF(AX381="K",VLOOKUP(L381,Foundation_Calc!$V$41:$X$74,VLOOKUP(AX381,Foundation_Calc!$I$10:$J$13,2,FALSE),0),"")))</f>
        <v/>
      </c>
      <c r="N381" s="8"/>
      <c r="O381" s="8"/>
      <c r="P381" s="8"/>
      <c r="Q381" s="14"/>
      <c r="R381" s="15"/>
      <c r="S381" s="15"/>
      <c r="T381" s="14"/>
      <c r="U381" s="14"/>
      <c r="V381" s="14"/>
      <c r="W381" s="18"/>
      <c r="X381" s="18"/>
      <c r="Y381" s="18"/>
      <c r="Z381" s="18"/>
      <c r="AA381" s="18"/>
      <c r="AB381" s="18"/>
      <c r="AC381" s="8" t="str">
        <f t="shared" si="58"/>
        <v/>
      </c>
      <c r="AD381" s="8"/>
      <c r="AE381" s="8"/>
      <c r="AF381" s="14"/>
      <c r="AG381" s="13"/>
      <c r="AH381" s="14"/>
      <c r="AI381" s="14"/>
      <c r="AJ381" s="8"/>
      <c r="AK381" s="8"/>
      <c r="AL381" s="8"/>
      <c r="AM381" s="8"/>
      <c r="AN381" s="631"/>
      <c r="AO381" s="18"/>
      <c r="AP381" s="18"/>
      <c r="AQ381" s="18"/>
      <c r="AR381" s="18"/>
      <c r="AS381" s="18"/>
      <c r="AU381" s="448"/>
      <c r="AV381" s="448"/>
      <c r="AW381" s="8" t="str">
        <f>IF(C381&gt;0,VLOOKUP(C381,Foundation_Calc!$A$2:$C$986,3,1),
IF(J381&gt;0,VLOOKUP(J381,Foundation_Calc!$A$2:$C$986,3,1),""))</f>
        <v/>
      </c>
      <c r="AX381" s="8" t="str">
        <f>IF(C381&gt;0,VLOOKUP(C381,Foundation_Calc!$E$2:$G$986,3,1),
IF(J381&gt;0,VLOOKUP(J381,Foundation_Calc!$E$2:$G$986,3,1),""))</f>
        <v/>
      </c>
      <c r="AY381" s="631" t="str">
        <f>IF(L381="","",
IF(AX381="PT",VLOOKUP(L381,Foundation_Calc!$K$4:$R$37,VLOOKUP(AW381,Foundation_Calc!$I$2:$J$8,2,FALSE),0),
IF(AX381="K",VLOOKUP(L381,Foundation_Calc!$K$41:$R$74,VLOOKUP(AW381,Foundation_Calc!$I$2:$J$8,2,FALSE),0),"")))</f>
        <v/>
      </c>
      <c r="AZ381" s="631" t="str">
        <f>IF(K381="","",
IF(AX381="PT",VLOOKUP(K381,Foundation_Calc!$K$4:$R$37,VLOOKUP(AW381,Foundation_Calc!$I$2:$J$8,2,FALSE),0),
IF(AX381="K",VLOOKUP(K381,Foundation_Calc!$K$41:$R$74,VLOOKUP(AW381,Foundation_Calc!$I$2:$J$8,2,FALSE),0),"")))</f>
        <v/>
      </c>
      <c r="BA381" s="632" t="str">
        <f t="shared" si="59"/>
        <v/>
      </c>
      <c r="BB381" s="632" t="str">
        <f t="shared" si="60"/>
        <v/>
      </c>
      <c r="BC381" s="632" t="str">
        <f t="shared" si="61"/>
        <v/>
      </c>
      <c r="BD381" s="633" t="str">
        <f>IF(AND(L381="",H381=""),"",
IF(H381="",Pole_Calc!A409,
IF(H381="MP",Pole_Calc!A410,
IF(H381="AnMP",Pole_Calc!A411,
IF(H381="A",Pole_Calc!A412,
IF(H381="S/A",Pole_Calc!A413,
IF(H381="A/S",Pole_Calc!A414,"Poner a mano")))))))</f>
        <v/>
      </c>
      <c r="BE381" s="448" t="s">
        <v>1726</v>
      </c>
      <c r="BF381" s="635"/>
      <c r="BG381" s="635"/>
      <c r="BH381" s="634"/>
      <c r="BI381" s="635"/>
    </row>
    <row r="382" spans="1:61" ht="16.2" customHeight="1">
      <c r="A382" s="12"/>
      <c r="B382" s="446"/>
      <c r="C382" s="89"/>
      <c r="D382" s="13"/>
      <c r="E382" s="14"/>
      <c r="F382" s="14"/>
      <c r="G382" s="15"/>
      <c r="H382" s="8"/>
      <c r="I382" s="8"/>
      <c r="J382" s="89"/>
      <c r="K382" s="8"/>
      <c r="L382" s="8"/>
      <c r="M382" s="8" t="str">
        <f>IF(L382="","",
IF(AX382="PT",VLOOKUP(L382,Foundation_Calc!$V$4:$X$37,VLOOKUP(AX382,Foundation_Calc!$I$10:$J$13,2,FALSE),0),
IF(AX382="K",VLOOKUP(L382,Foundation_Calc!$V$41:$X$74,VLOOKUP(AX382,Foundation_Calc!$I$10:$J$13,2,FALSE),0),"")))</f>
        <v/>
      </c>
      <c r="N382" s="8"/>
      <c r="O382" s="8"/>
      <c r="P382" s="8"/>
      <c r="Q382" s="14"/>
      <c r="R382" s="15"/>
      <c r="S382" s="15"/>
      <c r="T382" s="14"/>
      <c r="U382" s="14"/>
      <c r="V382" s="14"/>
      <c r="W382" s="18"/>
      <c r="X382" s="18"/>
      <c r="Y382" s="18"/>
      <c r="Z382" s="18"/>
      <c r="AA382" s="18"/>
      <c r="AB382" s="18"/>
      <c r="AC382" s="8" t="str">
        <f t="shared" si="58"/>
        <v/>
      </c>
      <c r="AD382" s="8"/>
      <c r="AE382" s="8"/>
      <c r="AF382" s="14"/>
      <c r="AG382" s="13"/>
      <c r="AH382" s="14"/>
      <c r="AI382" s="14"/>
      <c r="AJ382" s="8"/>
      <c r="AK382" s="8"/>
      <c r="AL382" s="8"/>
      <c r="AM382" s="8"/>
      <c r="AN382" s="631"/>
      <c r="AO382" s="18"/>
      <c r="AP382" s="18"/>
      <c r="AQ382" s="18"/>
      <c r="AR382" s="18"/>
      <c r="AS382" s="18"/>
      <c r="AU382" s="448"/>
      <c r="AV382" s="448"/>
      <c r="AW382" s="8" t="str">
        <f>IF(C382&gt;0,VLOOKUP(C382,Foundation_Calc!$A$2:$C$986,3,1),
IF(J382&gt;0,VLOOKUP(J382,Foundation_Calc!$A$2:$C$986,3,1),""))</f>
        <v/>
      </c>
      <c r="AX382" s="8" t="str">
        <f>IF(C382&gt;0,VLOOKUP(C382,Foundation_Calc!$E$2:$G$986,3,1),
IF(J382&gt;0,VLOOKUP(J382,Foundation_Calc!$E$2:$G$986,3,1),""))</f>
        <v/>
      </c>
      <c r="AY382" s="631" t="str">
        <f>IF(L382="","",
IF(AX382="PT",VLOOKUP(L382,Foundation_Calc!$K$4:$R$37,VLOOKUP(AW382,Foundation_Calc!$I$2:$J$8,2,FALSE),0),
IF(AX382="K",VLOOKUP(L382,Foundation_Calc!$K$41:$R$74,VLOOKUP(AW382,Foundation_Calc!$I$2:$J$8,2,FALSE),0),"")))</f>
        <v/>
      </c>
      <c r="AZ382" s="631" t="str">
        <f>IF(K382="","",
IF(AX382="PT",VLOOKUP(K382,Foundation_Calc!$K$4:$R$37,VLOOKUP(AW382,Foundation_Calc!$I$2:$J$8,2,FALSE),0),
IF(AX382="K",VLOOKUP(K382,Foundation_Calc!$K$41:$R$74,VLOOKUP(AW382,Foundation_Calc!$I$2:$J$8,2,FALSE),0),"")))</f>
        <v/>
      </c>
      <c r="BA382" s="632" t="str">
        <f t="shared" si="59"/>
        <v/>
      </c>
      <c r="BB382" s="632" t="str">
        <f t="shared" si="60"/>
        <v/>
      </c>
      <c r="BC382" s="632" t="str">
        <f t="shared" si="61"/>
        <v/>
      </c>
      <c r="BD382" s="633" t="str">
        <f>IF(AND(L382="",H382=""),"",
IF(H382="",Pole_Calc!A410,
IF(H382="MP",Pole_Calc!A411,
IF(H382="AnMP",Pole_Calc!A412,
IF(H382="A",Pole_Calc!A413,
IF(H382="S/A",Pole_Calc!A414,
IF(H382="A/S",Pole_Calc!A415,"Poner a mano")))))))</f>
        <v/>
      </c>
      <c r="BE382" s="448" t="s">
        <v>1726</v>
      </c>
      <c r="BF382" s="634"/>
      <c r="BG382" s="634"/>
      <c r="BH382" s="634"/>
      <c r="BI382" s="634"/>
    </row>
    <row r="383" spans="1:61" ht="16.2" customHeight="1">
      <c r="A383" s="12"/>
      <c r="B383" s="446"/>
      <c r="C383" s="89"/>
      <c r="D383" s="13"/>
      <c r="E383" s="14"/>
      <c r="F383" s="14"/>
      <c r="G383" s="15"/>
      <c r="H383" s="8"/>
      <c r="I383" s="8"/>
      <c r="J383" s="89"/>
      <c r="K383" s="8"/>
      <c r="L383" s="8"/>
      <c r="M383" s="8" t="str">
        <f>IF(L383="","",
IF(AX383="PT",VLOOKUP(L383,Foundation_Calc!$V$4:$X$37,VLOOKUP(AX383,Foundation_Calc!$I$10:$J$13,2,FALSE),0),
IF(AX383="K",VLOOKUP(L383,Foundation_Calc!$V$41:$X$74,VLOOKUP(AX383,Foundation_Calc!$I$10:$J$13,2,FALSE),0),"")))</f>
        <v/>
      </c>
      <c r="N383" s="8"/>
      <c r="O383" s="8"/>
      <c r="P383" s="8"/>
      <c r="Q383" s="14"/>
      <c r="R383" s="15"/>
      <c r="S383" s="15"/>
      <c r="T383" s="14"/>
      <c r="U383" s="14"/>
      <c r="V383" s="14"/>
      <c r="W383" s="18"/>
      <c r="X383" s="18"/>
      <c r="Y383" s="18"/>
      <c r="Z383" s="18"/>
      <c r="AA383" s="18"/>
      <c r="AB383" s="18"/>
      <c r="AC383" s="8" t="str">
        <f t="shared" si="58"/>
        <v/>
      </c>
      <c r="AD383" s="8"/>
      <c r="AE383" s="8"/>
      <c r="AF383" s="14"/>
      <c r="AG383" s="13"/>
      <c r="AH383" s="14"/>
      <c r="AI383" s="14"/>
      <c r="AJ383" s="8"/>
      <c r="AK383" s="8"/>
      <c r="AL383" s="8"/>
      <c r="AM383" s="8"/>
      <c r="AN383" s="631"/>
      <c r="AO383" s="18"/>
      <c r="AP383" s="18"/>
      <c r="AQ383" s="18"/>
      <c r="AR383" s="18"/>
      <c r="AS383" s="18"/>
      <c r="AU383" s="448"/>
      <c r="AV383" s="448"/>
      <c r="AW383" s="8" t="str">
        <f>IF(C383&gt;0,VLOOKUP(C383,Foundation_Calc!$A$2:$C$986,3,1),
IF(J383&gt;0,VLOOKUP(J383,Foundation_Calc!$A$2:$C$986,3,1),""))</f>
        <v/>
      </c>
      <c r="AX383" s="8" t="str">
        <f>IF(C383&gt;0,VLOOKUP(C383,Foundation_Calc!$E$2:$G$986,3,1),
IF(J383&gt;0,VLOOKUP(J383,Foundation_Calc!$E$2:$G$986,3,1),""))</f>
        <v/>
      </c>
      <c r="AY383" s="631" t="str">
        <f>IF(L383="","",
IF(AX383="PT",VLOOKUP(L383,Foundation_Calc!$K$4:$R$37,VLOOKUP(AW383,Foundation_Calc!$I$2:$J$8,2,FALSE),0),
IF(AX383="K",VLOOKUP(L383,Foundation_Calc!$K$41:$R$74,VLOOKUP(AW383,Foundation_Calc!$I$2:$J$8,2,FALSE),0),"")))</f>
        <v/>
      </c>
      <c r="AZ383" s="631" t="str">
        <f>IF(K383="","",
IF(AX383="PT",VLOOKUP(K383,Foundation_Calc!$K$4:$R$37,VLOOKUP(AW383,Foundation_Calc!$I$2:$J$8,2,FALSE),0),
IF(AX383="K",VLOOKUP(K383,Foundation_Calc!$K$41:$R$74,VLOOKUP(AW383,Foundation_Calc!$I$2:$J$8,2,FALSE),0),"")))</f>
        <v/>
      </c>
      <c r="BA383" s="632" t="str">
        <f t="shared" si="59"/>
        <v/>
      </c>
      <c r="BB383" s="632" t="str">
        <f t="shared" si="60"/>
        <v/>
      </c>
      <c r="BC383" s="632" t="str">
        <f t="shared" si="61"/>
        <v/>
      </c>
      <c r="BD383" s="633" t="str">
        <f>IF(AND(L383="",H383=""),"",
IF(H383="",Pole_Calc!A411,
IF(H383="MP",Pole_Calc!A412,
IF(H383="AnMP",Pole_Calc!A413,
IF(H383="A",Pole_Calc!A414,
IF(H383="S/A",Pole_Calc!A415,
IF(H383="A/S",Pole_Calc!A416,"Poner a mano")))))))</f>
        <v/>
      </c>
      <c r="BE383" s="448" t="s">
        <v>1726</v>
      </c>
      <c r="BF383" s="635"/>
      <c r="BG383" s="635"/>
      <c r="BH383" s="634"/>
      <c r="BI383" s="635"/>
    </row>
    <row r="384" spans="1:61" ht="16.2" customHeight="1">
      <c r="A384" s="12"/>
      <c r="B384" s="446"/>
      <c r="C384" s="89"/>
      <c r="D384" s="13"/>
      <c r="E384" s="14"/>
      <c r="F384" s="14"/>
      <c r="G384" s="15"/>
      <c r="H384" s="8"/>
      <c r="I384" s="8"/>
      <c r="J384" s="89"/>
      <c r="K384" s="8"/>
      <c r="L384" s="8"/>
      <c r="M384" s="8" t="str">
        <f>IF(L384="","",
IF(AX384="PT",VLOOKUP(L384,Foundation_Calc!$V$4:$X$37,VLOOKUP(AX384,Foundation_Calc!$I$10:$J$13,2,FALSE),0),
IF(AX384="K",VLOOKUP(L384,Foundation_Calc!$V$41:$X$74,VLOOKUP(AX384,Foundation_Calc!$I$10:$J$13,2,FALSE),0),"")))</f>
        <v/>
      </c>
      <c r="N384" s="8"/>
      <c r="O384" s="8"/>
      <c r="P384" s="8"/>
      <c r="Q384" s="14"/>
      <c r="R384" s="15"/>
      <c r="S384" s="15"/>
      <c r="T384" s="14"/>
      <c r="U384" s="14"/>
      <c r="V384" s="14"/>
      <c r="W384" s="18"/>
      <c r="X384" s="18"/>
      <c r="Y384" s="18"/>
      <c r="Z384" s="18"/>
      <c r="AA384" s="18"/>
      <c r="AB384" s="18"/>
      <c r="AC384" s="8" t="str">
        <f t="shared" si="58"/>
        <v/>
      </c>
      <c r="AD384" s="8"/>
      <c r="AE384" s="8"/>
      <c r="AF384" s="14"/>
      <c r="AG384" s="13"/>
      <c r="AH384" s="14"/>
      <c r="AI384" s="14"/>
      <c r="AJ384" s="8"/>
      <c r="AK384" s="8"/>
      <c r="AL384" s="8"/>
      <c r="AM384" s="8"/>
      <c r="AN384" s="631"/>
      <c r="AO384" s="18"/>
      <c r="AP384" s="18"/>
      <c r="AQ384" s="18"/>
      <c r="AR384" s="18"/>
      <c r="AS384" s="18"/>
      <c r="AU384" s="448"/>
      <c r="AV384" s="448"/>
      <c r="AW384" s="8" t="str">
        <f>IF(C384&gt;0,VLOOKUP(C384,Foundation_Calc!$A$2:$C$986,3,1),
IF(J384&gt;0,VLOOKUP(J384,Foundation_Calc!$A$2:$C$986,3,1),""))</f>
        <v/>
      </c>
      <c r="AX384" s="8" t="str">
        <f>IF(C384&gt;0,VLOOKUP(C384,Foundation_Calc!$E$2:$G$986,3,1),
IF(J384&gt;0,VLOOKUP(J384,Foundation_Calc!$E$2:$G$986,3,1),""))</f>
        <v/>
      </c>
      <c r="AY384" s="631" t="str">
        <f>IF(L384="","",
IF(AX384="PT",VLOOKUP(L384,Foundation_Calc!$K$4:$R$37,VLOOKUP(AW384,Foundation_Calc!$I$2:$J$8,2,FALSE),0),
IF(AX384="K",VLOOKUP(L384,Foundation_Calc!$K$41:$R$74,VLOOKUP(AW384,Foundation_Calc!$I$2:$J$8,2,FALSE),0),"")))</f>
        <v/>
      </c>
      <c r="AZ384" s="631" t="str">
        <f>IF(K384="","",
IF(AX384="PT",VLOOKUP(K384,Foundation_Calc!$K$4:$R$37,VLOOKUP(AW384,Foundation_Calc!$I$2:$J$8,2,FALSE),0),
IF(AX384="K",VLOOKUP(K384,Foundation_Calc!$K$41:$R$74,VLOOKUP(AW384,Foundation_Calc!$I$2:$J$8,2,FALSE),0),"")))</f>
        <v/>
      </c>
      <c r="BA384" s="632" t="str">
        <f t="shared" si="59"/>
        <v/>
      </c>
      <c r="BB384" s="632" t="str">
        <f t="shared" si="60"/>
        <v/>
      </c>
      <c r="BC384" s="632" t="str">
        <f t="shared" si="61"/>
        <v/>
      </c>
      <c r="BD384" s="633" t="str">
        <f>IF(AND(L384="",H384=""),"",
IF(H384="",Pole_Calc!A412,
IF(H384="MP",Pole_Calc!A413,
IF(H384="AnMP",Pole_Calc!A414,
IF(H384="A",Pole_Calc!A415,
IF(H384="S/A",Pole_Calc!A416,
IF(H384="A/S",Pole_Calc!A417,"Poner a mano")))))))</f>
        <v/>
      </c>
      <c r="BE384" s="448" t="s">
        <v>1726</v>
      </c>
      <c r="BF384" s="634"/>
      <c r="BG384" s="634"/>
      <c r="BH384" s="634"/>
      <c r="BI384" s="634"/>
    </row>
    <row r="385" spans="1:61" ht="16.2" customHeight="1">
      <c r="A385" s="12"/>
      <c r="B385" s="446"/>
      <c r="C385" s="89"/>
      <c r="D385" s="13"/>
      <c r="E385" s="14"/>
      <c r="F385" s="14"/>
      <c r="G385" s="15"/>
      <c r="H385" s="8"/>
      <c r="I385" s="8"/>
      <c r="J385" s="89"/>
      <c r="K385" s="8"/>
      <c r="L385" s="8"/>
      <c r="M385" s="8" t="str">
        <f>IF(L385="","",
IF(AX385="PT",VLOOKUP(L385,Foundation_Calc!$V$4:$X$37,VLOOKUP(AX385,Foundation_Calc!$I$10:$J$13,2,FALSE),0),
IF(AX385="K",VLOOKUP(L385,Foundation_Calc!$V$41:$X$74,VLOOKUP(AX385,Foundation_Calc!$I$10:$J$13,2,FALSE),0),"")))</f>
        <v/>
      </c>
      <c r="N385" s="8"/>
      <c r="O385" s="8"/>
      <c r="P385" s="8"/>
      <c r="Q385" s="14"/>
      <c r="R385" s="15"/>
      <c r="S385" s="15"/>
      <c r="T385" s="14"/>
      <c r="U385" s="14"/>
      <c r="V385" s="14"/>
      <c r="W385" s="18"/>
      <c r="X385" s="18"/>
      <c r="Y385" s="18"/>
      <c r="Z385" s="18"/>
      <c r="AA385" s="18"/>
      <c r="AB385" s="18"/>
      <c r="AC385" s="8" t="str">
        <f t="shared" si="58"/>
        <v/>
      </c>
      <c r="AD385" s="8"/>
      <c r="AE385" s="8"/>
      <c r="AF385" s="14"/>
      <c r="AG385" s="13"/>
      <c r="AH385" s="14"/>
      <c r="AI385" s="14"/>
      <c r="AJ385" s="8"/>
      <c r="AK385" s="8"/>
      <c r="AL385" s="8"/>
      <c r="AM385" s="8"/>
      <c r="AN385" s="631"/>
      <c r="AO385" s="18"/>
      <c r="AP385" s="18"/>
      <c r="AQ385" s="18"/>
      <c r="AR385" s="18"/>
      <c r="AS385" s="18"/>
      <c r="AU385" s="448"/>
      <c r="AV385" s="448"/>
      <c r="AW385" s="8" t="str">
        <f>IF(C385&gt;0,VLOOKUP(C385,Foundation_Calc!$A$2:$C$986,3,1),
IF(J385&gt;0,VLOOKUP(J385,Foundation_Calc!$A$2:$C$986,3,1),""))</f>
        <v/>
      </c>
      <c r="AX385" s="8" t="str">
        <f>IF(C385&gt;0,VLOOKUP(C385,Foundation_Calc!$E$2:$G$986,3,1),
IF(J385&gt;0,VLOOKUP(J385,Foundation_Calc!$E$2:$G$986,3,1),""))</f>
        <v/>
      </c>
      <c r="AY385" s="631" t="str">
        <f>IF(L385="","",
IF(AX385="PT",VLOOKUP(L385,Foundation_Calc!$K$4:$R$37,VLOOKUP(AW385,Foundation_Calc!$I$2:$J$8,2,FALSE),0),
IF(AX385="K",VLOOKUP(L385,Foundation_Calc!$K$41:$R$74,VLOOKUP(AW385,Foundation_Calc!$I$2:$J$8,2,FALSE),0),"")))</f>
        <v/>
      </c>
      <c r="AZ385" s="631" t="str">
        <f>IF(K385="","",
IF(AX385="PT",VLOOKUP(K385,Foundation_Calc!$K$4:$R$37,VLOOKUP(AW385,Foundation_Calc!$I$2:$J$8,2,FALSE),0),
IF(AX385="K",VLOOKUP(K385,Foundation_Calc!$K$41:$R$74,VLOOKUP(AW385,Foundation_Calc!$I$2:$J$8,2,FALSE),0),"")))</f>
        <v/>
      </c>
      <c r="BA385" s="632" t="str">
        <f t="shared" si="59"/>
        <v/>
      </c>
      <c r="BB385" s="632" t="str">
        <f t="shared" si="60"/>
        <v/>
      </c>
      <c r="BC385" s="632" t="str">
        <f t="shared" si="61"/>
        <v/>
      </c>
      <c r="BD385" s="633" t="str">
        <f>IF(AND(L385="",H385=""),"",
IF(H385="",Pole_Calc!A413,
IF(H385="MP",Pole_Calc!A414,
IF(H385="AnMP",Pole_Calc!A415,
IF(H385="A",Pole_Calc!A416,
IF(H385="S/A",Pole_Calc!A417,
IF(H385="A/S",Pole_Calc!A418,"Poner a mano")))))))</f>
        <v/>
      </c>
      <c r="BE385" s="448" t="s">
        <v>1726</v>
      </c>
      <c r="BF385" s="635"/>
      <c r="BG385" s="635"/>
      <c r="BH385" s="634"/>
      <c r="BI385" s="635"/>
    </row>
    <row r="386" spans="1:61" ht="16.2" customHeight="1">
      <c r="A386" s="12"/>
      <c r="B386" s="446"/>
      <c r="C386" s="89"/>
      <c r="D386" s="13"/>
      <c r="E386" s="14"/>
      <c r="F386" s="14"/>
      <c r="G386" s="15"/>
      <c r="H386" s="8"/>
      <c r="I386" s="8"/>
      <c r="J386" s="89"/>
      <c r="K386" s="8"/>
      <c r="L386" s="8"/>
      <c r="M386" s="8" t="str">
        <f>IF(L386="","",
IF(AX386="PT",VLOOKUP(L386,Foundation_Calc!$V$4:$X$37,VLOOKUP(AX386,Foundation_Calc!$I$10:$J$13,2,FALSE),0),
IF(AX386="K",VLOOKUP(L386,Foundation_Calc!$V$41:$X$74,VLOOKUP(AX386,Foundation_Calc!$I$10:$J$13,2,FALSE),0),"")))</f>
        <v/>
      </c>
      <c r="N386" s="8"/>
      <c r="O386" s="8"/>
      <c r="P386" s="8"/>
      <c r="Q386" s="14"/>
      <c r="R386" s="15"/>
      <c r="S386" s="15"/>
      <c r="T386" s="14"/>
      <c r="U386" s="14"/>
      <c r="V386" s="14"/>
      <c r="W386" s="18"/>
      <c r="X386" s="18"/>
      <c r="Y386" s="18"/>
      <c r="Z386" s="18"/>
      <c r="AA386" s="18"/>
      <c r="AB386" s="18"/>
      <c r="AC386" s="8" t="str">
        <f t="shared" si="58"/>
        <v/>
      </c>
      <c r="AD386" s="8"/>
      <c r="AE386" s="8"/>
      <c r="AF386" s="14"/>
      <c r="AG386" s="13"/>
      <c r="AH386" s="14"/>
      <c r="AI386" s="14"/>
      <c r="AJ386" s="8"/>
      <c r="AK386" s="8"/>
      <c r="AL386" s="8"/>
      <c r="AM386" s="8"/>
      <c r="AN386" s="631"/>
      <c r="AO386" s="18"/>
      <c r="AP386" s="18"/>
      <c r="AQ386" s="18"/>
      <c r="AR386" s="18"/>
      <c r="AS386" s="18"/>
      <c r="AU386" s="448"/>
      <c r="AV386" s="448"/>
      <c r="AW386" s="8" t="str">
        <f>IF(C386&gt;0,VLOOKUP(C386,Foundation_Calc!$A$2:$C$986,3,1),
IF(J386&gt;0,VLOOKUP(J386,Foundation_Calc!$A$2:$C$986,3,1),""))</f>
        <v/>
      </c>
      <c r="AX386" s="8" t="str">
        <f>IF(C386&gt;0,VLOOKUP(C386,Foundation_Calc!$E$2:$G$986,3,1),
IF(J386&gt;0,VLOOKUP(J386,Foundation_Calc!$E$2:$G$986,3,1),""))</f>
        <v/>
      </c>
      <c r="AY386" s="631" t="str">
        <f>IF(L386="","",
IF(AX386="PT",VLOOKUP(L386,Foundation_Calc!$K$4:$R$37,VLOOKUP(AW386,Foundation_Calc!$I$2:$J$8,2,FALSE),0),
IF(AX386="K",VLOOKUP(L386,Foundation_Calc!$K$41:$R$74,VLOOKUP(AW386,Foundation_Calc!$I$2:$J$8,2,FALSE),0),"")))</f>
        <v/>
      </c>
      <c r="AZ386" s="631" t="str">
        <f>IF(K386="","",
IF(AX386="PT",VLOOKUP(K386,Foundation_Calc!$K$4:$R$37,VLOOKUP(AW386,Foundation_Calc!$I$2:$J$8,2,FALSE),0),
IF(AX386="K",VLOOKUP(K386,Foundation_Calc!$K$41:$R$74,VLOOKUP(AW386,Foundation_Calc!$I$2:$J$8,2,FALSE),0),"")))</f>
        <v/>
      </c>
      <c r="BA386" s="632" t="str">
        <f t="shared" si="59"/>
        <v/>
      </c>
      <c r="BB386" s="632" t="str">
        <f t="shared" si="60"/>
        <v/>
      </c>
      <c r="BC386" s="632" t="str">
        <f t="shared" si="61"/>
        <v/>
      </c>
      <c r="BD386" s="633" t="str">
        <f>IF(AND(L386="",H386=""),"",
IF(H386="",Pole_Calc!A414,
IF(H386="MP",Pole_Calc!A415,
IF(H386="AnMP",Pole_Calc!A416,
IF(H386="A",Pole_Calc!A417,
IF(H386="S/A",Pole_Calc!A418,
IF(H386="A/S",Pole_Calc!A419,"Poner a mano")))))))</f>
        <v/>
      </c>
      <c r="BE386" s="448" t="s">
        <v>1726</v>
      </c>
      <c r="BF386" s="634"/>
      <c r="BG386" s="634"/>
      <c r="BH386" s="634"/>
      <c r="BI386" s="634"/>
    </row>
    <row r="387" spans="1:61" ht="16.2" customHeight="1">
      <c r="A387" s="12"/>
      <c r="B387" s="446"/>
      <c r="C387" s="89"/>
      <c r="D387" s="13"/>
      <c r="E387" s="14"/>
      <c r="F387" s="14"/>
      <c r="G387" s="15"/>
      <c r="H387" s="8"/>
      <c r="I387" s="8"/>
      <c r="J387" s="89"/>
      <c r="K387" s="8"/>
      <c r="L387" s="8"/>
      <c r="M387" s="8" t="str">
        <f>IF(L387="","",
IF(AX387="PT",VLOOKUP(L387,Foundation_Calc!$V$4:$X$37,VLOOKUP(AX387,Foundation_Calc!$I$10:$J$13,2,FALSE),0),
IF(AX387="K",VLOOKUP(L387,Foundation_Calc!$V$41:$X$74,VLOOKUP(AX387,Foundation_Calc!$I$10:$J$13,2,FALSE),0),"")))</f>
        <v/>
      </c>
      <c r="N387" s="8"/>
      <c r="O387" s="8"/>
      <c r="P387" s="8"/>
      <c r="Q387" s="14"/>
      <c r="R387" s="15"/>
      <c r="S387" s="15"/>
      <c r="T387" s="14"/>
      <c r="U387" s="14"/>
      <c r="V387" s="14"/>
      <c r="W387" s="18"/>
      <c r="X387" s="18"/>
      <c r="Y387" s="18"/>
      <c r="Z387" s="18"/>
      <c r="AA387" s="18"/>
      <c r="AB387" s="18"/>
      <c r="AC387" s="8" t="str">
        <f t="shared" si="58"/>
        <v/>
      </c>
      <c r="AD387" s="8"/>
      <c r="AE387" s="8"/>
      <c r="AF387" s="14"/>
      <c r="AG387" s="13"/>
      <c r="AH387" s="14"/>
      <c r="AI387" s="14"/>
      <c r="AJ387" s="8"/>
      <c r="AK387" s="8"/>
      <c r="AL387" s="8"/>
      <c r="AM387" s="8"/>
      <c r="AN387" s="631"/>
      <c r="AO387" s="18"/>
      <c r="AP387" s="18"/>
      <c r="AQ387" s="18"/>
      <c r="AR387" s="18"/>
      <c r="AS387" s="18"/>
      <c r="AU387" s="448"/>
      <c r="AV387" s="448"/>
      <c r="AW387" s="8" t="str">
        <f>IF(C387&gt;0,VLOOKUP(C387,Foundation_Calc!$A$2:$C$986,3,1),
IF(J387&gt;0,VLOOKUP(J387,Foundation_Calc!$A$2:$C$986,3,1),""))</f>
        <v/>
      </c>
      <c r="AX387" s="8" t="str">
        <f>IF(C387&gt;0,VLOOKUP(C387,Foundation_Calc!$E$2:$G$986,3,1),
IF(J387&gt;0,VLOOKUP(J387,Foundation_Calc!$E$2:$G$986,3,1),""))</f>
        <v/>
      </c>
      <c r="AY387" s="631" t="str">
        <f>IF(L387="","",
IF(AX387="PT",VLOOKUP(L387,Foundation_Calc!$K$4:$R$37,VLOOKUP(AW387,Foundation_Calc!$I$2:$J$8,2,FALSE),0),
IF(AX387="K",VLOOKUP(L387,Foundation_Calc!$K$41:$R$74,VLOOKUP(AW387,Foundation_Calc!$I$2:$J$8,2,FALSE),0),"")))</f>
        <v/>
      </c>
      <c r="AZ387" s="631" t="str">
        <f>IF(K387="","",
IF(AX387="PT",VLOOKUP(K387,Foundation_Calc!$K$4:$R$37,VLOOKUP(AW387,Foundation_Calc!$I$2:$J$8,2,FALSE),0),
IF(AX387="K",VLOOKUP(K387,Foundation_Calc!$K$41:$R$74,VLOOKUP(AW387,Foundation_Calc!$I$2:$J$8,2,FALSE),0),"")))</f>
        <v/>
      </c>
      <c r="BA387" s="632" t="str">
        <f t="shared" si="59"/>
        <v/>
      </c>
      <c r="BB387" s="632" t="str">
        <f t="shared" si="60"/>
        <v/>
      </c>
      <c r="BC387" s="632" t="str">
        <f t="shared" si="61"/>
        <v/>
      </c>
      <c r="BD387" s="633" t="str">
        <f>IF(AND(L387="",H387=""),"",
IF(H387="",Pole_Calc!A415,
IF(H387="MP",Pole_Calc!A416,
IF(H387="AnMP",Pole_Calc!A417,
IF(H387="A",Pole_Calc!A418,
IF(H387="S/A",Pole_Calc!A419,
IF(H387="A/S",Pole_Calc!A420,"Poner a mano")))))))</f>
        <v/>
      </c>
      <c r="BE387" s="448" t="s">
        <v>1726</v>
      </c>
      <c r="BF387" s="635"/>
      <c r="BG387" s="635"/>
      <c r="BH387" s="634"/>
      <c r="BI387" s="635"/>
    </row>
    <row r="388" spans="1:61" ht="16.2" customHeight="1">
      <c r="A388" s="12"/>
      <c r="B388" s="446"/>
      <c r="C388" s="89"/>
      <c r="D388" s="13"/>
      <c r="E388" s="14"/>
      <c r="F388" s="14"/>
      <c r="G388" s="15"/>
      <c r="H388" s="8"/>
      <c r="I388" s="8"/>
      <c r="J388" s="89"/>
      <c r="K388" s="8"/>
      <c r="L388" s="8"/>
      <c r="M388" s="8" t="str">
        <f>IF(L388="","",
IF(AX388="PT",VLOOKUP(L388,Foundation_Calc!$V$4:$X$37,VLOOKUP(AX388,Foundation_Calc!$I$10:$J$13,2,FALSE),0),
IF(AX388="K",VLOOKUP(L388,Foundation_Calc!$V$41:$X$74,VLOOKUP(AX388,Foundation_Calc!$I$10:$J$13,2,FALSE),0),"")))</f>
        <v/>
      </c>
      <c r="N388" s="8"/>
      <c r="O388" s="8"/>
      <c r="P388" s="8"/>
      <c r="Q388" s="14"/>
      <c r="R388" s="15"/>
      <c r="S388" s="15"/>
      <c r="T388" s="14"/>
      <c r="U388" s="14"/>
      <c r="V388" s="14"/>
      <c r="W388" s="18"/>
      <c r="X388" s="18"/>
      <c r="Y388" s="18"/>
      <c r="Z388" s="18"/>
      <c r="AA388" s="18"/>
      <c r="AB388" s="18"/>
      <c r="AC388" s="8" t="str">
        <f t="shared" si="58"/>
        <v/>
      </c>
      <c r="AD388" s="8"/>
      <c r="AE388" s="8"/>
      <c r="AF388" s="14"/>
      <c r="AG388" s="13"/>
      <c r="AH388" s="14"/>
      <c r="AI388" s="14"/>
      <c r="AJ388" s="8"/>
      <c r="AK388" s="8"/>
      <c r="AL388" s="8"/>
      <c r="AM388" s="8"/>
      <c r="AN388" s="631"/>
      <c r="AO388" s="18"/>
      <c r="AP388" s="18"/>
      <c r="AQ388" s="18"/>
      <c r="AR388" s="18"/>
      <c r="AS388" s="18"/>
      <c r="AU388" s="448"/>
      <c r="AV388" s="448"/>
      <c r="AW388" s="8" t="str">
        <f>IF(C388&gt;0,VLOOKUP(C388,Foundation_Calc!$A$2:$C$986,3,1),
IF(J388&gt;0,VLOOKUP(J388,Foundation_Calc!$A$2:$C$986,3,1),""))</f>
        <v/>
      </c>
      <c r="AX388" s="8" t="str">
        <f>IF(C388&gt;0,VLOOKUP(C388,Foundation_Calc!$E$2:$G$986,3,1),
IF(J388&gt;0,VLOOKUP(J388,Foundation_Calc!$E$2:$G$986,3,1),""))</f>
        <v/>
      </c>
      <c r="AY388" s="631" t="str">
        <f>IF(L388="","",
IF(AX388="PT",VLOOKUP(L388,Foundation_Calc!$K$4:$R$37,VLOOKUP(AW388,Foundation_Calc!$I$2:$J$8,2,FALSE),0),
IF(AX388="K",VLOOKUP(L388,Foundation_Calc!$K$41:$R$74,VLOOKUP(AW388,Foundation_Calc!$I$2:$J$8,2,FALSE),0),"")))</f>
        <v/>
      </c>
      <c r="AZ388" s="631" t="str">
        <f>IF(K388="","",
IF(AX388="PT",VLOOKUP(K388,Foundation_Calc!$K$4:$R$37,VLOOKUP(AW388,Foundation_Calc!$I$2:$J$8,2,FALSE),0),
IF(AX388="K",VLOOKUP(K388,Foundation_Calc!$K$41:$R$74,VLOOKUP(AW388,Foundation_Calc!$I$2:$J$8,2,FALSE),0),"")))</f>
        <v/>
      </c>
      <c r="BA388" s="632" t="str">
        <f t="shared" si="59"/>
        <v/>
      </c>
      <c r="BB388" s="632" t="str">
        <f t="shared" si="60"/>
        <v/>
      </c>
      <c r="BC388" s="632" t="str">
        <f t="shared" si="61"/>
        <v/>
      </c>
      <c r="BD388" s="633" t="str">
        <f>IF(AND(L388="",H388=""),"",
IF(H388="",Pole_Calc!A416,
IF(H388="MP",Pole_Calc!A417,
IF(H388="AnMP",Pole_Calc!A418,
IF(H388="A",Pole_Calc!A419,
IF(H388="S/A",Pole_Calc!A420,
IF(H388="A/S",Pole_Calc!A421,"Poner a mano")))))))</f>
        <v/>
      </c>
      <c r="BE388" s="448" t="s">
        <v>1726</v>
      </c>
      <c r="BF388" s="634"/>
      <c r="BG388" s="634"/>
      <c r="BH388" s="634"/>
      <c r="BI388" s="634"/>
    </row>
    <row r="389" spans="1:61" ht="16.2" customHeight="1">
      <c r="A389" s="12"/>
      <c r="B389" s="446"/>
      <c r="C389" s="89"/>
      <c r="D389" s="13"/>
      <c r="E389" s="14"/>
      <c r="F389" s="14"/>
      <c r="G389" s="15"/>
      <c r="H389" s="8"/>
      <c r="I389" s="8"/>
      <c r="J389" s="89"/>
      <c r="K389" s="8"/>
      <c r="L389" s="8"/>
      <c r="M389" s="8" t="str">
        <f>IF(L389="","",
IF(AX389="PT",VLOOKUP(L389,Foundation_Calc!$V$4:$X$37,VLOOKUP(AX389,Foundation_Calc!$I$10:$J$13,2,FALSE),0),
IF(AX389="K",VLOOKUP(L389,Foundation_Calc!$V$41:$X$74,VLOOKUP(AX389,Foundation_Calc!$I$10:$J$13,2,FALSE),0),"")))</f>
        <v/>
      </c>
      <c r="N389" s="8"/>
      <c r="O389" s="8"/>
      <c r="P389" s="8"/>
      <c r="Q389" s="14"/>
      <c r="R389" s="15"/>
      <c r="S389" s="15"/>
      <c r="T389" s="14"/>
      <c r="U389" s="14"/>
      <c r="V389" s="14"/>
      <c r="W389" s="18"/>
      <c r="X389" s="18"/>
      <c r="Y389" s="18"/>
      <c r="Z389" s="18"/>
      <c r="AA389" s="18"/>
      <c r="AB389" s="18"/>
      <c r="AC389" s="8" t="str">
        <f t="shared" si="58"/>
        <v/>
      </c>
      <c r="AD389" s="8"/>
      <c r="AE389" s="8"/>
      <c r="AF389" s="14"/>
      <c r="AG389" s="13"/>
      <c r="AH389" s="14"/>
      <c r="AI389" s="14"/>
      <c r="AJ389" s="8"/>
      <c r="AK389" s="8"/>
      <c r="AL389" s="8"/>
      <c r="AM389" s="8"/>
      <c r="AN389" s="631"/>
      <c r="AO389" s="18"/>
      <c r="AP389" s="18"/>
      <c r="AQ389" s="18"/>
      <c r="AR389" s="18"/>
      <c r="AS389" s="18"/>
      <c r="AU389" s="448"/>
      <c r="AV389" s="448"/>
      <c r="AW389" s="8" t="str">
        <f>IF(C389&gt;0,VLOOKUP(C389,Foundation_Calc!$A$2:$C$986,3,1),
IF(J389&gt;0,VLOOKUP(J389,Foundation_Calc!$A$2:$C$986,3,1),""))</f>
        <v/>
      </c>
      <c r="AX389" s="8" t="str">
        <f>IF(C389&gt;0,VLOOKUP(C389,Foundation_Calc!$E$2:$G$986,3,1),
IF(J389&gt;0,VLOOKUP(J389,Foundation_Calc!$E$2:$G$986,3,1),""))</f>
        <v/>
      </c>
      <c r="AY389" s="631" t="str">
        <f>IF(L389="","",
IF(AX389="PT",VLOOKUP(L389,Foundation_Calc!$K$4:$R$37,VLOOKUP(AW389,Foundation_Calc!$I$2:$J$8,2,FALSE),0),
IF(AX389="K",VLOOKUP(L389,Foundation_Calc!$K$41:$R$74,VLOOKUP(AW389,Foundation_Calc!$I$2:$J$8,2,FALSE),0),"")))</f>
        <v/>
      </c>
      <c r="AZ389" s="631" t="str">
        <f>IF(K389="","",
IF(AX389="PT",VLOOKUP(K389,Foundation_Calc!$K$4:$R$37,VLOOKUP(AW389,Foundation_Calc!$I$2:$J$8,2,FALSE),0),
IF(AX389="K",VLOOKUP(K389,Foundation_Calc!$K$41:$R$74,VLOOKUP(AW389,Foundation_Calc!$I$2:$J$8,2,FALSE),0),"")))</f>
        <v/>
      </c>
      <c r="BA389" s="632" t="str">
        <f t="shared" si="59"/>
        <v/>
      </c>
      <c r="BB389" s="632" t="str">
        <f t="shared" si="60"/>
        <v/>
      </c>
      <c r="BC389" s="632" t="str">
        <f t="shared" si="61"/>
        <v/>
      </c>
      <c r="BD389" s="633" t="str">
        <f>IF(AND(L389="",H389=""),"",
IF(H389="",Pole_Calc!A417,
IF(H389="MP",Pole_Calc!A418,
IF(H389="AnMP",Pole_Calc!A419,
IF(H389="A",Pole_Calc!A420,
IF(H389="S/A",Pole_Calc!A421,
IF(H389="A/S",Pole_Calc!A422,"Poner a mano")))))))</f>
        <v/>
      </c>
      <c r="BE389" s="448" t="s">
        <v>1726</v>
      </c>
      <c r="BF389" s="635"/>
      <c r="BG389" s="635"/>
      <c r="BH389" s="634"/>
      <c r="BI389" s="635"/>
    </row>
    <row r="390" spans="1:61" ht="16.2" customHeight="1">
      <c r="A390" s="12"/>
      <c r="B390" s="446"/>
      <c r="C390" s="89"/>
      <c r="D390" s="13"/>
      <c r="E390" s="14"/>
      <c r="F390" s="14"/>
      <c r="G390" s="15"/>
      <c r="H390" s="8"/>
      <c r="I390" s="8"/>
      <c r="J390" s="89"/>
      <c r="K390" s="8"/>
      <c r="L390" s="8"/>
      <c r="M390" s="8" t="str">
        <f>IF(L390="","",
IF(AX390="PT",VLOOKUP(L390,Foundation_Calc!$V$4:$X$37,VLOOKUP(AX390,Foundation_Calc!$I$10:$J$13,2,FALSE),0),
IF(AX390="K",VLOOKUP(L390,Foundation_Calc!$V$41:$X$74,VLOOKUP(AX390,Foundation_Calc!$I$10:$J$13,2,FALSE),0),"")))</f>
        <v/>
      </c>
      <c r="N390" s="8"/>
      <c r="O390" s="8"/>
      <c r="P390" s="8"/>
      <c r="Q390" s="14"/>
      <c r="R390" s="15"/>
      <c r="S390" s="15"/>
      <c r="T390" s="14"/>
      <c r="U390" s="14"/>
      <c r="V390" s="14"/>
      <c r="W390" s="18"/>
      <c r="X390" s="18"/>
      <c r="Y390" s="18"/>
      <c r="Z390" s="18"/>
      <c r="AA390" s="18"/>
      <c r="AB390" s="18"/>
      <c r="AC390" s="8" t="str">
        <f t="shared" ref="AC390:AC453" si="62">IF(OR(AT390&gt;8,AT390&lt;-8),"PH",
IF(OR(AT390&gt;5,AT390&lt;-5),"PHQ",
IF(OR(AT390&gt;1,AT390&lt;-1),
"PHC","")))</f>
        <v/>
      </c>
      <c r="AD390" s="8"/>
      <c r="AE390" s="8"/>
      <c r="AF390" s="14"/>
      <c r="AG390" s="13"/>
      <c r="AH390" s="14"/>
      <c r="AI390" s="14"/>
      <c r="AJ390" s="8"/>
      <c r="AK390" s="8"/>
      <c r="AL390" s="8"/>
      <c r="AM390" s="8"/>
      <c r="AN390" s="631"/>
      <c r="AO390" s="18"/>
      <c r="AP390" s="18"/>
      <c r="AQ390" s="18"/>
      <c r="AR390" s="18"/>
      <c r="AS390" s="18"/>
      <c r="AU390" s="448"/>
      <c r="AV390" s="448"/>
      <c r="AW390" s="8" t="str">
        <f>IF(C390&gt;0,VLOOKUP(C390,Foundation_Calc!$A$2:$C$986,3,1),
IF(J390&gt;0,VLOOKUP(J390,Foundation_Calc!$A$2:$C$986,3,1),""))</f>
        <v/>
      </c>
      <c r="AX390" s="8" t="str">
        <f>IF(C390&gt;0,VLOOKUP(C390,Foundation_Calc!$E$2:$G$986,3,1),
IF(J390&gt;0,VLOOKUP(J390,Foundation_Calc!$E$2:$G$986,3,1),""))</f>
        <v/>
      </c>
      <c r="AY390" s="631" t="str">
        <f>IF(L390="","",
IF(AX390="PT",VLOOKUP(L390,Foundation_Calc!$K$4:$R$37,VLOOKUP(AW390,Foundation_Calc!$I$2:$J$8,2,FALSE),0),
IF(AX390="K",VLOOKUP(L390,Foundation_Calc!$K$41:$R$74,VLOOKUP(AW390,Foundation_Calc!$I$2:$J$8,2,FALSE),0),"")))</f>
        <v/>
      </c>
      <c r="AZ390" s="631" t="str">
        <f>IF(K390="","",
IF(AX390="PT",VLOOKUP(K390,Foundation_Calc!$K$4:$R$37,VLOOKUP(AW390,Foundation_Calc!$I$2:$J$8,2,FALSE),0),
IF(AX390="K",VLOOKUP(K390,Foundation_Calc!$K$41:$R$74,VLOOKUP(AW390,Foundation_Calc!$I$2:$J$8,2,FALSE),0),"")))</f>
        <v/>
      </c>
      <c r="BA390" s="632" t="str">
        <f t="shared" ref="BA390:BA453" si="63">IF(AY390="","",IF(AY390&gt;0,"ü",""))</f>
        <v/>
      </c>
      <c r="BB390" s="632" t="str">
        <f t="shared" ref="BB390:BB453" si="64">IF(AZ390="","",IF(AZ390&gt;0,"ü",""))</f>
        <v/>
      </c>
      <c r="BC390" s="632" t="str">
        <f t="shared" ref="BC390:BC453" si="65">IF(M390="","",IF(M390="Unique Solution","ü",""))</f>
        <v/>
      </c>
      <c r="BD390" s="633" t="str">
        <f>IF(AND(L390="",H390=""),"",
IF(H390="",Pole_Calc!A418,
IF(H390="MP",Pole_Calc!A419,
IF(H390="AnMP",Pole_Calc!A420,
IF(H390="A",Pole_Calc!A421,
IF(H390="S/A",Pole_Calc!A422,
IF(H390="A/S",Pole_Calc!A423,"Poner a mano")))))))</f>
        <v/>
      </c>
      <c r="BE390" s="448" t="s">
        <v>1726</v>
      </c>
      <c r="BF390" s="634"/>
      <c r="BG390" s="634"/>
      <c r="BH390" s="634"/>
      <c r="BI390" s="634"/>
    </row>
    <row r="391" spans="1:61" ht="16.2" customHeight="1">
      <c r="A391" s="12"/>
      <c r="B391" s="446"/>
      <c r="C391" s="89"/>
      <c r="D391" s="13"/>
      <c r="E391" s="14"/>
      <c r="F391" s="14"/>
      <c r="G391" s="15"/>
      <c r="H391" s="8"/>
      <c r="I391" s="8"/>
      <c r="J391" s="89"/>
      <c r="K391" s="8"/>
      <c r="L391" s="8"/>
      <c r="M391" s="8" t="str">
        <f>IF(L391="","",
IF(AX391="PT",VLOOKUP(L391,Foundation_Calc!$V$4:$X$37,VLOOKUP(AX391,Foundation_Calc!$I$10:$J$13,2,FALSE),0),
IF(AX391="K",VLOOKUP(L391,Foundation_Calc!$V$41:$X$74,VLOOKUP(AX391,Foundation_Calc!$I$10:$J$13,2,FALSE),0),"")))</f>
        <v/>
      </c>
      <c r="N391" s="8"/>
      <c r="O391" s="8"/>
      <c r="P391" s="8"/>
      <c r="Q391" s="14"/>
      <c r="R391" s="15"/>
      <c r="S391" s="15"/>
      <c r="T391" s="14"/>
      <c r="U391" s="14"/>
      <c r="V391" s="14"/>
      <c r="W391" s="18"/>
      <c r="X391" s="18"/>
      <c r="Y391" s="18"/>
      <c r="Z391" s="18"/>
      <c r="AA391" s="18"/>
      <c r="AB391" s="18"/>
      <c r="AC391" s="8" t="str">
        <f t="shared" si="62"/>
        <v/>
      </c>
      <c r="AD391" s="8"/>
      <c r="AE391" s="8"/>
      <c r="AF391" s="14"/>
      <c r="AG391" s="13"/>
      <c r="AH391" s="14"/>
      <c r="AI391" s="14"/>
      <c r="AJ391" s="8"/>
      <c r="AK391" s="8"/>
      <c r="AL391" s="8"/>
      <c r="AM391" s="8"/>
      <c r="AN391" s="631"/>
      <c r="AO391" s="18"/>
      <c r="AP391" s="18"/>
      <c r="AQ391" s="18"/>
      <c r="AR391" s="18"/>
      <c r="AS391" s="18"/>
      <c r="AU391" s="448"/>
      <c r="AV391" s="448"/>
      <c r="AW391" s="8" t="str">
        <f>IF(C391&gt;0,VLOOKUP(C391,Foundation_Calc!$A$2:$C$986,3,1),
IF(J391&gt;0,VLOOKUP(J391,Foundation_Calc!$A$2:$C$986,3,1),""))</f>
        <v/>
      </c>
      <c r="AX391" s="8" t="str">
        <f>IF(C391&gt;0,VLOOKUP(C391,Foundation_Calc!$E$2:$G$986,3,1),
IF(J391&gt;0,VLOOKUP(J391,Foundation_Calc!$E$2:$G$986,3,1),""))</f>
        <v/>
      </c>
      <c r="AY391" s="631" t="str">
        <f>IF(L391="","",
IF(AX391="PT",VLOOKUP(L391,Foundation_Calc!$K$4:$R$37,VLOOKUP(AW391,Foundation_Calc!$I$2:$J$8,2,FALSE),0),
IF(AX391="K",VLOOKUP(L391,Foundation_Calc!$K$41:$R$74,VLOOKUP(AW391,Foundation_Calc!$I$2:$J$8,2,FALSE),0),"")))</f>
        <v/>
      </c>
      <c r="AZ391" s="631" t="str">
        <f>IF(K391="","",
IF(AX391="PT",VLOOKUP(K391,Foundation_Calc!$K$4:$R$37,VLOOKUP(AW391,Foundation_Calc!$I$2:$J$8,2,FALSE),0),
IF(AX391="K",VLOOKUP(K391,Foundation_Calc!$K$41:$R$74,VLOOKUP(AW391,Foundation_Calc!$I$2:$J$8,2,FALSE),0),"")))</f>
        <v/>
      </c>
      <c r="BA391" s="632" t="str">
        <f t="shared" si="63"/>
        <v/>
      </c>
      <c r="BB391" s="632" t="str">
        <f t="shared" si="64"/>
        <v/>
      </c>
      <c r="BC391" s="632" t="str">
        <f t="shared" si="65"/>
        <v/>
      </c>
      <c r="BD391" s="633" t="str">
        <f>IF(AND(L391="",H391=""),"",
IF(H391="",Pole_Calc!A419,
IF(H391="MP",Pole_Calc!A420,
IF(H391="AnMP",Pole_Calc!A421,
IF(H391="A",Pole_Calc!A422,
IF(H391="S/A",Pole_Calc!A423,
IF(H391="A/S",Pole_Calc!A424,"Poner a mano")))))))</f>
        <v/>
      </c>
      <c r="BE391" s="448" t="s">
        <v>1726</v>
      </c>
      <c r="BF391" s="635"/>
      <c r="BG391" s="635"/>
      <c r="BH391" s="634"/>
      <c r="BI391" s="635"/>
    </row>
    <row r="392" spans="1:61" ht="16.2" customHeight="1">
      <c r="A392" s="12"/>
      <c r="B392" s="446"/>
      <c r="C392" s="89"/>
      <c r="D392" s="13"/>
      <c r="E392" s="14"/>
      <c r="F392" s="14"/>
      <c r="G392" s="15"/>
      <c r="H392" s="8"/>
      <c r="I392" s="8"/>
      <c r="J392" s="89"/>
      <c r="K392" s="8"/>
      <c r="L392" s="8"/>
      <c r="M392" s="8" t="str">
        <f>IF(L392="","",
IF(AX392="PT",VLOOKUP(L392,Foundation_Calc!$V$4:$X$37,VLOOKUP(AX392,Foundation_Calc!$I$10:$J$13,2,FALSE),0),
IF(AX392="K",VLOOKUP(L392,Foundation_Calc!$V$41:$X$74,VLOOKUP(AX392,Foundation_Calc!$I$10:$J$13,2,FALSE),0),"")))</f>
        <v/>
      </c>
      <c r="N392" s="8"/>
      <c r="O392" s="8"/>
      <c r="P392" s="8"/>
      <c r="Q392" s="14"/>
      <c r="R392" s="15"/>
      <c r="S392" s="15"/>
      <c r="T392" s="14"/>
      <c r="U392" s="14"/>
      <c r="V392" s="14"/>
      <c r="W392" s="18"/>
      <c r="X392" s="18"/>
      <c r="Y392" s="18"/>
      <c r="Z392" s="18"/>
      <c r="AA392" s="18"/>
      <c r="AB392" s="18"/>
      <c r="AC392" s="8" t="str">
        <f t="shared" si="62"/>
        <v/>
      </c>
      <c r="AD392" s="8"/>
      <c r="AE392" s="8"/>
      <c r="AF392" s="14"/>
      <c r="AG392" s="13"/>
      <c r="AH392" s="14"/>
      <c r="AI392" s="14"/>
      <c r="AJ392" s="8"/>
      <c r="AK392" s="8"/>
      <c r="AL392" s="8"/>
      <c r="AM392" s="8"/>
      <c r="AN392" s="631"/>
      <c r="AO392" s="18"/>
      <c r="AP392" s="18"/>
      <c r="AQ392" s="18"/>
      <c r="AR392" s="18"/>
      <c r="AS392" s="18"/>
      <c r="AU392" s="448"/>
      <c r="AV392" s="448"/>
      <c r="AW392" s="8" t="str">
        <f>IF(C392&gt;0,VLOOKUP(C392,Foundation_Calc!$A$2:$C$986,3,1),
IF(J392&gt;0,VLOOKUP(J392,Foundation_Calc!$A$2:$C$986,3,1),""))</f>
        <v/>
      </c>
      <c r="AX392" s="8" t="str">
        <f>IF(C392&gt;0,VLOOKUP(C392,Foundation_Calc!$E$2:$G$986,3,1),
IF(J392&gt;0,VLOOKUP(J392,Foundation_Calc!$E$2:$G$986,3,1),""))</f>
        <v/>
      </c>
      <c r="AY392" s="631" t="str">
        <f>IF(L392="","",
IF(AX392="PT",VLOOKUP(L392,Foundation_Calc!$K$4:$R$37,VLOOKUP(AW392,Foundation_Calc!$I$2:$J$8,2,FALSE),0),
IF(AX392="K",VLOOKUP(L392,Foundation_Calc!$K$41:$R$74,VLOOKUP(AW392,Foundation_Calc!$I$2:$J$8,2,FALSE),0),"")))</f>
        <v/>
      </c>
      <c r="AZ392" s="631" t="str">
        <f>IF(K392="","",
IF(AX392="PT",VLOOKUP(K392,Foundation_Calc!$K$4:$R$37,VLOOKUP(AW392,Foundation_Calc!$I$2:$J$8,2,FALSE),0),
IF(AX392="K",VLOOKUP(K392,Foundation_Calc!$K$41:$R$74,VLOOKUP(AW392,Foundation_Calc!$I$2:$J$8,2,FALSE),0),"")))</f>
        <v/>
      </c>
      <c r="BA392" s="632" t="str">
        <f t="shared" si="63"/>
        <v/>
      </c>
      <c r="BB392" s="632" t="str">
        <f t="shared" si="64"/>
        <v/>
      </c>
      <c r="BC392" s="632" t="str">
        <f t="shared" si="65"/>
        <v/>
      </c>
      <c r="BD392" s="633" t="str">
        <f>IF(AND(L392="",H392=""),"",
IF(H392="",Pole_Calc!A420,
IF(H392="MP",Pole_Calc!A421,
IF(H392="AnMP",Pole_Calc!A422,
IF(H392="A",Pole_Calc!A423,
IF(H392="S/A",Pole_Calc!A424,
IF(H392="A/S",Pole_Calc!A425,"Poner a mano")))))))</f>
        <v/>
      </c>
      <c r="BE392" s="448" t="s">
        <v>1726</v>
      </c>
      <c r="BF392" s="634"/>
      <c r="BG392" s="634"/>
      <c r="BH392" s="634"/>
      <c r="BI392" s="634"/>
    </row>
    <row r="393" spans="1:61" ht="16.2" customHeight="1">
      <c r="A393" s="12"/>
      <c r="B393" s="446"/>
      <c r="C393" s="89"/>
      <c r="D393" s="13"/>
      <c r="E393" s="14"/>
      <c r="F393" s="14"/>
      <c r="G393" s="15"/>
      <c r="H393" s="8"/>
      <c r="I393" s="8"/>
      <c r="J393" s="89"/>
      <c r="K393" s="8"/>
      <c r="L393" s="8"/>
      <c r="M393" s="8" t="str">
        <f>IF(L393="","",
IF(AX393="PT",VLOOKUP(L393,Foundation_Calc!$V$4:$X$37,VLOOKUP(AX393,Foundation_Calc!$I$10:$J$13,2,FALSE),0),
IF(AX393="K",VLOOKUP(L393,Foundation_Calc!$V$41:$X$74,VLOOKUP(AX393,Foundation_Calc!$I$10:$J$13,2,FALSE),0),"")))</f>
        <v/>
      </c>
      <c r="N393" s="8"/>
      <c r="O393" s="8"/>
      <c r="P393" s="8"/>
      <c r="Q393" s="14"/>
      <c r="R393" s="15"/>
      <c r="S393" s="15"/>
      <c r="T393" s="14"/>
      <c r="U393" s="14"/>
      <c r="V393" s="14"/>
      <c r="W393" s="18"/>
      <c r="X393" s="18"/>
      <c r="Y393" s="18"/>
      <c r="Z393" s="18"/>
      <c r="AA393" s="18"/>
      <c r="AB393" s="18"/>
      <c r="AC393" s="8" t="str">
        <f t="shared" si="62"/>
        <v/>
      </c>
      <c r="AD393" s="8"/>
      <c r="AE393" s="8"/>
      <c r="AF393" s="14"/>
      <c r="AG393" s="13"/>
      <c r="AH393" s="14"/>
      <c r="AI393" s="14"/>
      <c r="AJ393" s="8"/>
      <c r="AK393" s="8"/>
      <c r="AL393" s="8"/>
      <c r="AM393" s="8"/>
      <c r="AN393" s="631"/>
      <c r="AO393" s="18"/>
      <c r="AP393" s="18"/>
      <c r="AQ393" s="18"/>
      <c r="AR393" s="18"/>
      <c r="AS393" s="18"/>
      <c r="AU393" s="448"/>
      <c r="AV393" s="448"/>
      <c r="AW393" s="8" t="str">
        <f>IF(C393&gt;0,VLOOKUP(C393,Foundation_Calc!$A$2:$C$986,3,1),
IF(J393&gt;0,VLOOKUP(J393,Foundation_Calc!$A$2:$C$986,3,1),""))</f>
        <v/>
      </c>
      <c r="AX393" s="8" t="str">
        <f>IF(C393&gt;0,VLOOKUP(C393,Foundation_Calc!$E$2:$G$986,3,1),
IF(J393&gt;0,VLOOKUP(J393,Foundation_Calc!$E$2:$G$986,3,1),""))</f>
        <v/>
      </c>
      <c r="AY393" s="631" t="str">
        <f>IF(L393="","",
IF(AX393="PT",VLOOKUP(L393,Foundation_Calc!$K$4:$R$37,VLOOKUP(AW393,Foundation_Calc!$I$2:$J$8,2,FALSE),0),
IF(AX393="K",VLOOKUP(L393,Foundation_Calc!$K$41:$R$74,VLOOKUP(AW393,Foundation_Calc!$I$2:$J$8,2,FALSE),0),"")))</f>
        <v/>
      </c>
      <c r="AZ393" s="631" t="str">
        <f>IF(K393="","",
IF(AX393="PT",VLOOKUP(K393,Foundation_Calc!$K$4:$R$37,VLOOKUP(AW393,Foundation_Calc!$I$2:$J$8,2,FALSE),0),
IF(AX393="K",VLOOKUP(K393,Foundation_Calc!$K$41:$R$74,VLOOKUP(AW393,Foundation_Calc!$I$2:$J$8,2,FALSE),0),"")))</f>
        <v/>
      </c>
      <c r="BA393" s="632" t="str">
        <f t="shared" si="63"/>
        <v/>
      </c>
      <c r="BB393" s="632" t="str">
        <f t="shared" si="64"/>
        <v/>
      </c>
      <c r="BC393" s="632" t="str">
        <f t="shared" si="65"/>
        <v/>
      </c>
      <c r="BD393" s="633" t="str">
        <f>IF(AND(L393="",H393=""),"",
IF(H393="",Pole_Calc!A421,
IF(H393="MP",Pole_Calc!A422,
IF(H393="AnMP",Pole_Calc!A423,
IF(H393="A",Pole_Calc!A424,
IF(H393="S/A",Pole_Calc!A425,
IF(H393="A/S",Pole_Calc!A426,"Poner a mano")))))))</f>
        <v/>
      </c>
      <c r="BE393" s="448" t="s">
        <v>1726</v>
      </c>
      <c r="BF393" s="635"/>
      <c r="BG393" s="635"/>
      <c r="BH393" s="634"/>
      <c r="BI393" s="635"/>
    </row>
    <row r="394" spans="1:61" ht="16.2" customHeight="1">
      <c r="A394" s="12"/>
      <c r="B394" s="446"/>
      <c r="C394" s="89"/>
      <c r="D394" s="13"/>
      <c r="E394" s="14"/>
      <c r="F394" s="14"/>
      <c r="G394" s="15"/>
      <c r="H394" s="8"/>
      <c r="I394" s="8"/>
      <c r="J394" s="89"/>
      <c r="K394" s="8"/>
      <c r="L394" s="8"/>
      <c r="M394" s="8" t="str">
        <f>IF(L394="","",
IF(AX394="PT",VLOOKUP(L394,Foundation_Calc!$V$4:$X$37,VLOOKUP(AX394,Foundation_Calc!$I$10:$J$13,2,FALSE),0),
IF(AX394="K",VLOOKUP(L394,Foundation_Calc!$V$41:$X$74,VLOOKUP(AX394,Foundation_Calc!$I$10:$J$13,2,FALSE),0),"")))</f>
        <v/>
      </c>
      <c r="N394" s="8"/>
      <c r="O394" s="8"/>
      <c r="P394" s="8"/>
      <c r="Q394" s="14"/>
      <c r="R394" s="15"/>
      <c r="S394" s="15"/>
      <c r="T394" s="14"/>
      <c r="U394" s="14"/>
      <c r="V394" s="14"/>
      <c r="W394" s="18"/>
      <c r="X394" s="18"/>
      <c r="Y394" s="18"/>
      <c r="Z394" s="18"/>
      <c r="AA394" s="18"/>
      <c r="AB394" s="18"/>
      <c r="AC394" s="8" t="str">
        <f t="shared" si="62"/>
        <v/>
      </c>
      <c r="AD394" s="8"/>
      <c r="AE394" s="8"/>
      <c r="AF394" s="14"/>
      <c r="AG394" s="13"/>
      <c r="AH394" s="14"/>
      <c r="AI394" s="14"/>
      <c r="AJ394" s="8"/>
      <c r="AK394" s="8"/>
      <c r="AL394" s="8"/>
      <c r="AM394" s="8"/>
      <c r="AN394" s="631"/>
      <c r="AO394" s="18"/>
      <c r="AP394" s="18"/>
      <c r="AQ394" s="18"/>
      <c r="AR394" s="18"/>
      <c r="AS394" s="18"/>
      <c r="AU394" s="448"/>
      <c r="AV394" s="448"/>
      <c r="AW394" s="8" t="str">
        <f>IF(C394&gt;0,VLOOKUP(C394,Foundation_Calc!$A$2:$C$986,3,1),
IF(J394&gt;0,VLOOKUP(J394,Foundation_Calc!$A$2:$C$986,3,1),""))</f>
        <v/>
      </c>
      <c r="AX394" s="8" t="str">
        <f>IF(C394&gt;0,VLOOKUP(C394,Foundation_Calc!$E$2:$G$986,3,1),
IF(J394&gt;0,VLOOKUP(J394,Foundation_Calc!$E$2:$G$986,3,1),""))</f>
        <v/>
      </c>
      <c r="AY394" s="631" t="str">
        <f>IF(L394="","",
IF(AX394="PT",VLOOKUP(L394,Foundation_Calc!$K$4:$R$37,VLOOKUP(AW394,Foundation_Calc!$I$2:$J$8,2,FALSE),0),
IF(AX394="K",VLOOKUP(L394,Foundation_Calc!$K$41:$R$74,VLOOKUP(AW394,Foundation_Calc!$I$2:$J$8,2,FALSE),0),"")))</f>
        <v/>
      </c>
      <c r="AZ394" s="631" t="str">
        <f>IF(K394="","",
IF(AX394="PT",VLOOKUP(K394,Foundation_Calc!$K$4:$R$37,VLOOKUP(AW394,Foundation_Calc!$I$2:$J$8,2,FALSE),0),
IF(AX394="K",VLOOKUP(K394,Foundation_Calc!$K$41:$R$74,VLOOKUP(AW394,Foundation_Calc!$I$2:$J$8,2,FALSE),0),"")))</f>
        <v/>
      </c>
      <c r="BA394" s="632" t="str">
        <f t="shared" si="63"/>
        <v/>
      </c>
      <c r="BB394" s="632" t="str">
        <f t="shared" si="64"/>
        <v/>
      </c>
      <c r="BC394" s="632" t="str">
        <f t="shared" si="65"/>
        <v/>
      </c>
      <c r="BD394" s="633" t="str">
        <f>IF(AND(L394="",H394=""),"",
IF(H394="",Pole_Calc!A422,
IF(H394="MP",Pole_Calc!A423,
IF(H394="AnMP",Pole_Calc!A424,
IF(H394="A",Pole_Calc!A425,
IF(H394="S/A",Pole_Calc!A426,
IF(H394="A/S",Pole_Calc!A427,"Poner a mano")))))))</f>
        <v/>
      </c>
      <c r="BE394" s="448" t="s">
        <v>1726</v>
      </c>
      <c r="BF394" s="634"/>
      <c r="BG394" s="634"/>
      <c r="BH394" s="634"/>
      <c r="BI394" s="634"/>
    </row>
    <row r="395" spans="1:61" ht="16.2" customHeight="1">
      <c r="A395" s="12"/>
      <c r="B395" s="446"/>
      <c r="C395" s="89"/>
      <c r="D395" s="13"/>
      <c r="E395" s="14"/>
      <c r="F395" s="14"/>
      <c r="G395" s="15"/>
      <c r="H395" s="8"/>
      <c r="I395" s="8"/>
      <c r="J395" s="89"/>
      <c r="K395" s="8"/>
      <c r="L395" s="8"/>
      <c r="M395" s="8" t="str">
        <f>IF(L395="","",
IF(AX395="PT",VLOOKUP(L395,Foundation_Calc!$V$4:$X$37,VLOOKUP(AX395,Foundation_Calc!$I$10:$J$13,2,FALSE),0),
IF(AX395="K",VLOOKUP(L395,Foundation_Calc!$V$41:$X$74,VLOOKUP(AX395,Foundation_Calc!$I$10:$J$13,2,FALSE),0),"")))</f>
        <v/>
      </c>
      <c r="N395" s="8"/>
      <c r="O395" s="8"/>
      <c r="P395" s="8"/>
      <c r="Q395" s="14"/>
      <c r="R395" s="15"/>
      <c r="S395" s="15"/>
      <c r="T395" s="14"/>
      <c r="U395" s="14"/>
      <c r="V395" s="14"/>
      <c r="W395" s="18"/>
      <c r="X395" s="18"/>
      <c r="Y395" s="18"/>
      <c r="Z395" s="18"/>
      <c r="AA395" s="18"/>
      <c r="AB395" s="18"/>
      <c r="AC395" s="8" t="str">
        <f t="shared" si="62"/>
        <v/>
      </c>
      <c r="AD395" s="8"/>
      <c r="AE395" s="8"/>
      <c r="AF395" s="14"/>
      <c r="AG395" s="13"/>
      <c r="AH395" s="14"/>
      <c r="AI395" s="14"/>
      <c r="AJ395" s="8"/>
      <c r="AK395" s="8"/>
      <c r="AL395" s="8"/>
      <c r="AM395" s="8"/>
      <c r="AN395" s="631"/>
      <c r="AO395" s="18"/>
      <c r="AP395" s="18"/>
      <c r="AQ395" s="18"/>
      <c r="AR395" s="18"/>
      <c r="AS395" s="18"/>
      <c r="AU395" s="448"/>
      <c r="AV395" s="448"/>
      <c r="AW395" s="8" t="str">
        <f>IF(C395&gt;0,VLOOKUP(C395,Foundation_Calc!$A$2:$C$986,3,1),
IF(J395&gt;0,VLOOKUP(J395,Foundation_Calc!$A$2:$C$986,3,1),""))</f>
        <v/>
      </c>
      <c r="AX395" s="8" t="str">
        <f>IF(C395&gt;0,VLOOKUP(C395,Foundation_Calc!$E$2:$G$986,3,1),
IF(J395&gt;0,VLOOKUP(J395,Foundation_Calc!$E$2:$G$986,3,1),""))</f>
        <v/>
      </c>
      <c r="AY395" s="631" t="str">
        <f>IF(L395="","",
IF(AX395="PT",VLOOKUP(L395,Foundation_Calc!$K$4:$R$37,VLOOKUP(AW395,Foundation_Calc!$I$2:$J$8,2,FALSE),0),
IF(AX395="K",VLOOKUP(L395,Foundation_Calc!$K$41:$R$74,VLOOKUP(AW395,Foundation_Calc!$I$2:$J$8,2,FALSE),0),"")))</f>
        <v/>
      </c>
      <c r="AZ395" s="631" t="str">
        <f>IF(K395="","",
IF(AX395="PT",VLOOKUP(K395,Foundation_Calc!$K$4:$R$37,VLOOKUP(AW395,Foundation_Calc!$I$2:$J$8,2,FALSE),0),
IF(AX395="K",VLOOKUP(K395,Foundation_Calc!$K$41:$R$74,VLOOKUP(AW395,Foundation_Calc!$I$2:$J$8,2,FALSE),0),"")))</f>
        <v/>
      </c>
      <c r="BA395" s="632" t="str">
        <f t="shared" si="63"/>
        <v/>
      </c>
      <c r="BB395" s="632" t="str">
        <f t="shared" si="64"/>
        <v/>
      </c>
      <c r="BC395" s="632" t="str">
        <f t="shared" si="65"/>
        <v/>
      </c>
      <c r="BD395" s="633" t="str">
        <f>IF(AND(L395="",H395=""),"",
IF(H395="",Pole_Calc!A423,
IF(H395="MP",Pole_Calc!A424,
IF(H395="AnMP",Pole_Calc!A425,
IF(H395="A",Pole_Calc!A426,
IF(H395="S/A",Pole_Calc!A427,
IF(H395="A/S",Pole_Calc!A428,"Poner a mano")))))))</f>
        <v/>
      </c>
      <c r="BE395" s="448" t="s">
        <v>1726</v>
      </c>
      <c r="BF395" s="635"/>
      <c r="BG395" s="635"/>
      <c r="BH395" s="634"/>
      <c r="BI395" s="635"/>
    </row>
    <row r="396" spans="1:61" ht="16.2" customHeight="1">
      <c r="A396" s="12"/>
      <c r="B396" s="446"/>
      <c r="C396" s="89"/>
      <c r="D396" s="13"/>
      <c r="E396" s="14"/>
      <c r="F396" s="14"/>
      <c r="G396" s="15"/>
      <c r="H396" s="8"/>
      <c r="I396" s="8"/>
      <c r="J396" s="89"/>
      <c r="K396" s="8"/>
      <c r="L396" s="8"/>
      <c r="M396" s="8" t="str">
        <f>IF(L396="","",
IF(AX396="PT",VLOOKUP(L396,Foundation_Calc!$V$4:$X$37,VLOOKUP(AX396,Foundation_Calc!$I$10:$J$13,2,FALSE),0),
IF(AX396="K",VLOOKUP(L396,Foundation_Calc!$V$41:$X$74,VLOOKUP(AX396,Foundation_Calc!$I$10:$J$13,2,FALSE),0),"")))</f>
        <v/>
      </c>
      <c r="N396" s="8"/>
      <c r="O396" s="8"/>
      <c r="P396" s="8"/>
      <c r="Q396" s="14"/>
      <c r="R396" s="15"/>
      <c r="S396" s="15"/>
      <c r="T396" s="14"/>
      <c r="U396" s="14"/>
      <c r="V396" s="14"/>
      <c r="W396" s="18"/>
      <c r="X396" s="18"/>
      <c r="Y396" s="18"/>
      <c r="Z396" s="18"/>
      <c r="AA396" s="18"/>
      <c r="AB396" s="18"/>
      <c r="AC396" s="8" t="str">
        <f t="shared" si="62"/>
        <v/>
      </c>
      <c r="AD396" s="8"/>
      <c r="AE396" s="8"/>
      <c r="AF396" s="14"/>
      <c r="AG396" s="13"/>
      <c r="AH396" s="14"/>
      <c r="AI396" s="14"/>
      <c r="AJ396" s="8"/>
      <c r="AK396" s="8"/>
      <c r="AL396" s="8"/>
      <c r="AM396" s="8"/>
      <c r="AN396" s="631"/>
      <c r="AO396" s="18"/>
      <c r="AP396" s="18"/>
      <c r="AQ396" s="18"/>
      <c r="AR396" s="18"/>
      <c r="AS396" s="18"/>
      <c r="AU396" s="448"/>
      <c r="AV396" s="448"/>
      <c r="AW396" s="8" t="str">
        <f>IF(C396&gt;0,VLOOKUP(C396,Foundation_Calc!$A$2:$C$986,3,1),
IF(J396&gt;0,VLOOKUP(J396,Foundation_Calc!$A$2:$C$986,3,1),""))</f>
        <v/>
      </c>
      <c r="AX396" s="8" t="str">
        <f>IF(C396&gt;0,VLOOKUP(C396,Foundation_Calc!$E$2:$G$986,3,1),
IF(J396&gt;0,VLOOKUP(J396,Foundation_Calc!$E$2:$G$986,3,1),""))</f>
        <v/>
      </c>
      <c r="AY396" s="631" t="str">
        <f>IF(L396="","",
IF(AX396="PT",VLOOKUP(L396,Foundation_Calc!$K$4:$R$37,VLOOKUP(AW396,Foundation_Calc!$I$2:$J$8,2,FALSE),0),
IF(AX396="K",VLOOKUP(L396,Foundation_Calc!$K$41:$R$74,VLOOKUP(AW396,Foundation_Calc!$I$2:$J$8,2,FALSE),0),"")))</f>
        <v/>
      </c>
      <c r="AZ396" s="631" t="str">
        <f>IF(K396="","",
IF(AX396="PT",VLOOKUP(K396,Foundation_Calc!$K$4:$R$37,VLOOKUP(AW396,Foundation_Calc!$I$2:$J$8,2,FALSE),0),
IF(AX396="K",VLOOKUP(K396,Foundation_Calc!$K$41:$R$74,VLOOKUP(AW396,Foundation_Calc!$I$2:$J$8,2,FALSE),0),"")))</f>
        <v/>
      </c>
      <c r="BA396" s="632" t="str">
        <f t="shared" si="63"/>
        <v/>
      </c>
      <c r="BB396" s="632" t="str">
        <f t="shared" si="64"/>
        <v/>
      </c>
      <c r="BC396" s="632" t="str">
        <f t="shared" si="65"/>
        <v/>
      </c>
      <c r="BD396" s="633" t="str">
        <f>IF(AND(L396="",H396=""),"",
IF(H396="",Pole_Calc!A424,
IF(H396="MP",Pole_Calc!A425,
IF(H396="AnMP",Pole_Calc!A426,
IF(H396="A",Pole_Calc!A427,
IF(H396="S/A",Pole_Calc!A428,
IF(H396="A/S",Pole_Calc!A429,"Poner a mano")))))))</f>
        <v/>
      </c>
      <c r="BE396" s="448" t="s">
        <v>1726</v>
      </c>
      <c r="BF396" s="634"/>
      <c r="BG396" s="634"/>
      <c r="BH396" s="634"/>
      <c r="BI396" s="634"/>
    </row>
    <row r="397" spans="1:61" ht="16.2" customHeight="1">
      <c r="A397" s="12"/>
      <c r="B397" s="446"/>
      <c r="C397" s="89"/>
      <c r="D397" s="13"/>
      <c r="E397" s="14"/>
      <c r="F397" s="14"/>
      <c r="G397" s="15"/>
      <c r="H397" s="8"/>
      <c r="I397" s="8"/>
      <c r="J397" s="89"/>
      <c r="K397" s="8"/>
      <c r="L397" s="8"/>
      <c r="M397" s="8" t="str">
        <f>IF(L397="","",
IF(AX397="PT",VLOOKUP(L397,Foundation_Calc!$V$4:$X$37,VLOOKUP(AX397,Foundation_Calc!$I$10:$J$13,2,FALSE),0),
IF(AX397="K",VLOOKUP(L397,Foundation_Calc!$V$41:$X$74,VLOOKUP(AX397,Foundation_Calc!$I$10:$J$13,2,FALSE),0),"")))</f>
        <v/>
      </c>
      <c r="N397" s="8"/>
      <c r="O397" s="8"/>
      <c r="P397" s="8"/>
      <c r="Q397" s="14"/>
      <c r="R397" s="15"/>
      <c r="S397" s="15"/>
      <c r="T397" s="14"/>
      <c r="U397" s="14"/>
      <c r="V397" s="14"/>
      <c r="W397" s="18"/>
      <c r="X397" s="18"/>
      <c r="Y397" s="18"/>
      <c r="Z397" s="18"/>
      <c r="AA397" s="18"/>
      <c r="AB397" s="18"/>
      <c r="AC397" s="8" t="str">
        <f t="shared" si="62"/>
        <v/>
      </c>
      <c r="AD397" s="8"/>
      <c r="AE397" s="8"/>
      <c r="AF397" s="14"/>
      <c r="AG397" s="13"/>
      <c r="AH397" s="14"/>
      <c r="AI397" s="14"/>
      <c r="AJ397" s="8"/>
      <c r="AK397" s="8"/>
      <c r="AL397" s="8"/>
      <c r="AM397" s="8"/>
      <c r="AN397" s="631"/>
      <c r="AO397" s="18"/>
      <c r="AP397" s="18"/>
      <c r="AQ397" s="18"/>
      <c r="AR397" s="18"/>
      <c r="AS397" s="18"/>
      <c r="AU397" s="448"/>
      <c r="AV397" s="448"/>
      <c r="AW397" s="8" t="str">
        <f>IF(C397&gt;0,VLOOKUP(C397,Foundation_Calc!$A$2:$C$986,3,1),
IF(J397&gt;0,VLOOKUP(J397,Foundation_Calc!$A$2:$C$986,3,1),""))</f>
        <v/>
      </c>
      <c r="AX397" s="8" t="str">
        <f>IF(C397&gt;0,VLOOKUP(C397,Foundation_Calc!$E$2:$G$986,3,1),
IF(J397&gt;0,VLOOKUP(J397,Foundation_Calc!$E$2:$G$986,3,1),""))</f>
        <v/>
      </c>
      <c r="AY397" s="631" t="str">
        <f>IF(L397="","",
IF(AX397="PT",VLOOKUP(L397,Foundation_Calc!$K$4:$R$37,VLOOKUP(AW397,Foundation_Calc!$I$2:$J$8,2,FALSE),0),
IF(AX397="K",VLOOKUP(L397,Foundation_Calc!$K$41:$R$74,VLOOKUP(AW397,Foundation_Calc!$I$2:$J$8,2,FALSE),0),"")))</f>
        <v/>
      </c>
      <c r="AZ397" s="631" t="str">
        <f>IF(K397="","",
IF(AX397="PT",VLOOKUP(K397,Foundation_Calc!$K$4:$R$37,VLOOKUP(AW397,Foundation_Calc!$I$2:$J$8,2,FALSE),0),
IF(AX397="K",VLOOKUP(K397,Foundation_Calc!$K$41:$R$74,VLOOKUP(AW397,Foundation_Calc!$I$2:$J$8,2,FALSE),0),"")))</f>
        <v/>
      </c>
      <c r="BA397" s="632" t="str">
        <f t="shared" si="63"/>
        <v/>
      </c>
      <c r="BB397" s="632" t="str">
        <f t="shared" si="64"/>
        <v/>
      </c>
      <c r="BC397" s="632" t="str">
        <f t="shared" si="65"/>
        <v/>
      </c>
      <c r="BD397" s="633" t="str">
        <f>IF(AND(L397="",H397=""),"",
IF(H397="",Pole_Calc!A425,
IF(H397="MP",Pole_Calc!A426,
IF(H397="AnMP",Pole_Calc!A427,
IF(H397="A",Pole_Calc!A428,
IF(H397="S/A",Pole_Calc!A429,
IF(H397="A/S",Pole_Calc!A430,"Poner a mano")))))))</f>
        <v/>
      </c>
      <c r="BE397" s="448" t="s">
        <v>1726</v>
      </c>
      <c r="BF397" s="635"/>
      <c r="BG397" s="635"/>
      <c r="BH397" s="634"/>
      <c r="BI397" s="635"/>
    </row>
    <row r="398" spans="1:61" ht="16.2" customHeight="1">
      <c r="A398" s="12"/>
      <c r="B398" s="446"/>
      <c r="C398" s="89"/>
      <c r="D398" s="13"/>
      <c r="E398" s="14"/>
      <c r="F398" s="14"/>
      <c r="G398" s="15"/>
      <c r="H398" s="8"/>
      <c r="I398" s="8"/>
      <c r="J398" s="89"/>
      <c r="K398" s="8"/>
      <c r="L398" s="8"/>
      <c r="M398" s="8" t="str">
        <f>IF(L398="","",
IF(AX398="PT",VLOOKUP(L398,Foundation_Calc!$V$4:$X$37,VLOOKUP(AX398,Foundation_Calc!$I$10:$J$13,2,FALSE),0),
IF(AX398="K",VLOOKUP(L398,Foundation_Calc!$V$41:$X$74,VLOOKUP(AX398,Foundation_Calc!$I$10:$J$13,2,FALSE),0),"")))</f>
        <v/>
      </c>
      <c r="N398" s="8"/>
      <c r="O398" s="8"/>
      <c r="P398" s="8"/>
      <c r="Q398" s="14"/>
      <c r="R398" s="15"/>
      <c r="S398" s="15"/>
      <c r="T398" s="14"/>
      <c r="U398" s="14"/>
      <c r="V398" s="14"/>
      <c r="W398" s="18"/>
      <c r="X398" s="18"/>
      <c r="Y398" s="18"/>
      <c r="Z398" s="18"/>
      <c r="AA398" s="18"/>
      <c r="AB398" s="18"/>
      <c r="AC398" s="8" t="str">
        <f t="shared" si="62"/>
        <v/>
      </c>
      <c r="AD398" s="8"/>
      <c r="AE398" s="8"/>
      <c r="AF398" s="14"/>
      <c r="AG398" s="13"/>
      <c r="AH398" s="14"/>
      <c r="AI398" s="14"/>
      <c r="AJ398" s="8"/>
      <c r="AK398" s="8"/>
      <c r="AL398" s="8"/>
      <c r="AM398" s="8"/>
      <c r="AN398" s="631"/>
      <c r="AO398" s="18"/>
      <c r="AP398" s="18"/>
      <c r="AQ398" s="18"/>
      <c r="AR398" s="18"/>
      <c r="AS398" s="18"/>
      <c r="AU398" s="448"/>
      <c r="AV398" s="448"/>
      <c r="AW398" s="8" t="str">
        <f>IF(C398&gt;0,VLOOKUP(C398,Foundation_Calc!$A$2:$C$986,3,1),
IF(J398&gt;0,VLOOKUP(J398,Foundation_Calc!$A$2:$C$986,3,1),""))</f>
        <v/>
      </c>
      <c r="AX398" s="8" t="str">
        <f>IF(C398&gt;0,VLOOKUP(C398,Foundation_Calc!$E$2:$G$986,3,1),
IF(J398&gt;0,VLOOKUP(J398,Foundation_Calc!$E$2:$G$986,3,1),""))</f>
        <v/>
      </c>
      <c r="AY398" s="631" t="str">
        <f>IF(L398="","",
IF(AX398="PT",VLOOKUP(L398,Foundation_Calc!$K$4:$R$37,VLOOKUP(AW398,Foundation_Calc!$I$2:$J$8,2,FALSE),0),
IF(AX398="K",VLOOKUP(L398,Foundation_Calc!$K$41:$R$74,VLOOKUP(AW398,Foundation_Calc!$I$2:$J$8,2,FALSE),0),"")))</f>
        <v/>
      </c>
      <c r="AZ398" s="631" t="str">
        <f>IF(K398="","",
IF(AX398="PT",VLOOKUP(K398,Foundation_Calc!$K$4:$R$37,VLOOKUP(AW398,Foundation_Calc!$I$2:$J$8,2,FALSE),0),
IF(AX398="K",VLOOKUP(K398,Foundation_Calc!$K$41:$R$74,VLOOKUP(AW398,Foundation_Calc!$I$2:$J$8,2,FALSE),0),"")))</f>
        <v/>
      </c>
      <c r="BA398" s="632" t="str">
        <f t="shared" si="63"/>
        <v/>
      </c>
      <c r="BB398" s="632" t="str">
        <f t="shared" si="64"/>
        <v/>
      </c>
      <c r="BC398" s="632" t="str">
        <f t="shared" si="65"/>
        <v/>
      </c>
      <c r="BD398" s="633" t="str">
        <f>IF(AND(L398="",H398=""),"",
IF(H398="",Pole_Calc!A426,
IF(H398="MP",Pole_Calc!A427,
IF(H398="AnMP",Pole_Calc!A428,
IF(H398="A",Pole_Calc!A429,
IF(H398="S/A",Pole_Calc!A430,
IF(H398="A/S",Pole_Calc!A431,"Poner a mano")))))))</f>
        <v/>
      </c>
      <c r="BE398" s="448" t="s">
        <v>1726</v>
      </c>
      <c r="BF398" s="634"/>
      <c r="BG398" s="634"/>
      <c r="BH398" s="634"/>
      <c r="BI398" s="634"/>
    </row>
    <row r="399" spans="1:61" ht="16.2" customHeight="1">
      <c r="A399" s="12"/>
      <c r="B399" s="446"/>
      <c r="C399" s="89"/>
      <c r="D399" s="13"/>
      <c r="E399" s="14"/>
      <c r="F399" s="14"/>
      <c r="G399" s="15"/>
      <c r="H399" s="8"/>
      <c r="I399" s="8"/>
      <c r="J399" s="89"/>
      <c r="K399" s="8"/>
      <c r="L399" s="8"/>
      <c r="M399" s="8" t="str">
        <f>IF(L399="","",
IF(AX399="PT",VLOOKUP(L399,Foundation_Calc!$V$4:$X$37,VLOOKUP(AX399,Foundation_Calc!$I$10:$J$13,2,FALSE),0),
IF(AX399="K",VLOOKUP(L399,Foundation_Calc!$V$41:$X$74,VLOOKUP(AX399,Foundation_Calc!$I$10:$J$13,2,FALSE),0),"")))</f>
        <v/>
      </c>
      <c r="N399" s="8"/>
      <c r="O399" s="8"/>
      <c r="P399" s="8"/>
      <c r="Q399" s="14"/>
      <c r="R399" s="15"/>
      <c r="S399" s="15"/>
      <c r="T399" s="14"/>
      <c r="U399" s="14"/>
      <c r="V399" s="14"/>
      <c r="W399" s="18"/>
      <c r="X399" s="18"/>
      <c r="Y399" s="18"/>
      <c r="Z399" s="18"/>
      <c r="AA399" s="18"/>
      <c r="AB399" s="18"/>
      <c r="AC399" s="8" t="str">
        <f t="shared" si="62"/>
        <v/>
      </c>
      <c r="AD399" s="8"/>
      <c r="AE399" s="8"/>
      <c r="AF399" s="14"/>
      <c r="AG399" s="13"/>
      <c r="AH399" s="14"/>
      <c r="AI399" s="14"/>
      <c r="AJ399" s="8"/>
      <c r="AK399" s="8"/>
      <c r="AL399" s="8"/>
      <c r="AM399" s="8"/>
      <c r="AN399" s="631"/>
      <c r="AO399" s="18"/>
      <c r="AP399" s="18"/>
      <c r="AQ399" s="18"/>
      <c r="AR399" s="18"/>
      <c r="AS399" s="18"/>
      <c r="AU399" s="448"/>
      <c r="AV399" s="448"/>
      <c r="AW399" s="8" t="str">
        <f>IF(C399&gt;0,VLOOKUP(C399,Foundation_Calc!$A$2:$C$986,3,1),
IF(J399&gt;0,VLOOKUP(J399,Foundation_Calc!$A$2:$C$986,3,1),""))</f>
        <v/>
      </c>
      <c r="AX399" s="8" t="str">
        <f>IF(C399&gt;0,VLOOKUP(C399,Foundation_Calc!$E$2:$G$986,3,1),
IF(J399&gt;0,VLOOKUP(J399,Foundation_Calc!$E$2:$G$986,3,1),""))</f>
        <v/>
      </c>
      <c r="AY399" s="631" t="str">
        <f>IF(L399="","",
IF(AX399="PT",VLOOKUP(L399,Foundation_Calc!$K$4:$R$37,VLOOKUP(AW399,Foundation_Calc!$I$2:$J$8,2,FALSE),0),
IF(AX399="K",VLOOKUP(L399,Foundation_Calc!$K$41:$R$74,VLOOKUP(AW399,Foundation_Calc!$I$2:$J$8,2,FALSE),0),"")))</f>
        <v/>
      </c>
      <c r="AZ399" s="631" t="str">
        <f>IF(K399="","",
IF(AX399="PT",VLOOKUP(K399,Foundation_Calc!$K$4:$R$37,VLOOKUP(AW399,Foundation_Calc!$I$2:$J$8,2,FALSE),0),
IF(AX399="K",VLOOKUP(K399,Foundation_Calc!$K$41:$R$74,VLOOKUP(AW399,Foundation_Calc!$I$2:$J$8,2,FALSE),0),"")))</f>
        <v/>
      </c>
      <c r="BA399" s="632" t="str">
        <f t="shared" si="63"/>
        <v/>
      </c>
      <c r="BB399" s="632" t="str">
        <f t="shared" si="64"/>
        <v/>
      </c>
      <c r="BC399" s="632" t="str">
        <f t="shared" si="65"/>
        <v/>
      </c>
      <c r="BD399" s="633" t="str">
        <f>IF(AND(L399="",H399=""),"",
IF(H399="",Pole_Calc!A427,
IF(H399="MP",Pole_Calc!A428,
IF(H399="AnMP",Pole_Calc!A429,
IF(H399="A",Pole_Calc!A430,
IF(H399="S/A",Pole_Calc!A431,
IF(H399="A/S",Pole_Calc!A432,"Poner a mano")))))))</f>
        <v/>
      </c>
      <c r="BE399" s="448" t="s">
        <v>1726</v>
      </c>
      <c r="BF399" s="635"/>
      <c r="BG399" s="635"/>
      <c r="BH399" s="634"/>
      <c r="BI399" s="635"/>
    </row>
    <row r="400" spans="1:61" ht="16.2" customHeight="1">
      <c r="A400" s="12"/>
      <c r="B400" s="446"/>
      <c r="C400" s="89"/>
      <c r="D400" s="13"/>
      <c r="E400" s="14"/>
      <c r="F400" s="14"/>
      <c r="G400" s="15"/>
      <c r="H400" s="8"/>
      <c r="I400" s="8"/>
      <c r="J400" s="89"/>
      <c r="K400" s="8"/>
      <c r="L400" s="8"/>
      <c r="M400" s="8" t="str">
        <f>IF(L400="","",
IF(AX400="PT",VLOOKUP(L400,Foundation_Calc!$V$4:$X$37,VLOOKUP(AX400,Foundation_Calc!$I$10:$J$13,2,FALSE),0),
IF(AX400="K",VLOOKUP(L400,Foundation_Calc!$V$41:$X$74,VLOOKUP(AX400,Foundation_Calc!$I$10:$J$13,2,FALSE),0),"")))</f>
        <v/>
      </c>
      <c r="N400" s="8"/>
      <c r="O400" s="8"/>
      <c r="P400" s="8"/>
      <c r="Q400" s="14"/>
      <c r="R400" s="15"/>
      <c r="S400" s="15"/>
      <c r="T400" s="14"/>
      <c r="U400" s="14"/>
      <c r="V400" s="14"/>
      <c r="W400" s="18"/>
      <c r="X400" s="18"/>
      <c r="Y400" s="18"/>
      <c r="Z400" s="18"/>
      <c r="AA400" s="18"/>
      <c r="AB400" s="18"/>
      <c r="AC400" s="8" t="str">
        <f t="shared" si="62"/>
        <v/>
      </c>
      <c r="AD400" s="8"/>
      <c r="AE400" s="8"/>
      <c r="AF400" s="14"/>
      <c r="AG400" s="13"/>
      <c r="AH400" s="14"/>
      <c r="AI400" s="14"/>
      <c r="AJ400" s="8"/>
      <c r="AK400" s="8"/>
      <c r="AL400" s="8"/>
      <c r="AM400" s="8"/>
      <c r="AN400" s="631"/>
      <c r="AO400" s="18"/>
      <c r="AP400" s="18"/>
      <c r="AQ400" s="18"/>
      <c r="AR400" s="18"/>
      <c r="AS400" s="18"/>
      <c r="AU400" s="448"/>
      <c r="AV400" s="448"/>
      <c r="AW400" s="8" t="str">
        <f>IF(C400&gt;0,VLOOKUP(C400,Foundation_Calc!$A$2:$C$986,3,1),
IF(J400&gt;0,VLOOKUP(J400,Foundation_Calc!$A$2:$C$986,3,1),""))</f>
        <v/>
      </c>
      <c r="AX400" s="8" t="str">
        <f>IF(C400&gt;0,VLOOKUP(C400,Foundation_Calc!$E$2:$G$986,3,1),
IF(J400&gt;0,VLOOKUP(J400,Foundation_Calc!$E$2:$G$986,3,1),""))</f>
        <v/>
      </c>
      <c r="AY400" s="631" t="str">
        <f>IF(L400="","",
IF(AX400="PT",VLOOKUP(L400,Foundation_Calc!$K$4:$R$37,VLOOKUP(AW400,Foundation_Calc!$I$2:$J$8,2,FALSE),0),
IF(AX400="K",VLOOKUP(L400,Foundation_Calc!$K$41:$R$74,VLOOKUP(AW400,Foundation_Calc!$I$2:$J$8,2,FALSE),0),"")))</f>
        <v/>
      </c>
      <c r="AZ400" s="631" t="str">
        <f>IF(K400="","",
IF(AX400="PT",VLOOKUP(K400,Foundation_Calc!$K$4:$R$37,VLOOKUP(AW400,Foundation_Calc!$I$2:$J$8,2,FALSE),0),
IF(AX400="K",VLOOKUP(K400,Foundation_Calc!$K$41:$R$74,VLOOKUP(AW400,Foundation_Calc!$I$2:$J$8,2,FALSE),0),"")))</f>
        <v/>
      </c>
      <c r="BA400" s="632" t="str">
        <f t="shared" si="63"/>
        <v/>
      </c>
      <c r="BB400" s="632" t="str">
        <f t="shared" si="64"/>
        <v/>
      </c>
      <c r="BC400" s="632" t="str">
        <f t="shared" si="65"/>
        <v/>
      </c>
      <c r="BD400" s="633" t="str">
        <f>IF(AND(L400="",H400=""),"",
IF(H400="",Pole_Calc!A428,
IF(H400="MP",Pole_Calc!A429,
IF(H400="AnMP",Pole_Calc!A430,
IF(H400="A",Pole_Calc!A431,
IF(H400="S/A",Pole_Calc!A432,
IF(H400="A/S",Pole_Calc!A433,"Poner a mano")))))))</f>
        <v/>
      </c>
      <c r="BE400" s="448" t="s">
        <v>1726</v>
      </c>
      <c r="BF400" s="634"/>
      <c r="BG400" s="634"/>
      <c r="BH400" s="634"/>
      <c r="BI400" s="634"/>
    </row>
    <row r="401" spans="1:61" ht="16.2" customHeight="1">
      <c r="A401" s="12"/>
      <c r="B401" s="446"/>
      <c r="C401" s="89"/>
      <c r="D401" s="13"/>
      <c r="E401" s="14"/>
      <c r="F401" s="14"/>
      <c r="G401" s="15"/>
      <c r="H401" s="8"/>
      <c r="I401" s="8"/>
      <c r="J401" s="89"/>
      <c r="K401" s="8"/>
      <c r="L401" s="8"/>
      <c r="M401" s="8" t="str">
        <f>IF(L401="","",
IF(AX401="PT",VLOOKUP(L401,Foundation_Calc!$V$4:$X$37,VLOOKUP(AX401,Foundation_Calc!$I$10:$J$13,2,FALSE),0),
IF(AX401="K",VLOOKUP(L401,Foundation_Calc!$V$41:$X$74,VLOOKUP(AX401,Foundation_Calc!$I$10:$J$13,2,FALSE),0),"")))</f>
        <v/>
      </c>
      <c r="N401" s="8"/>
      <c r="O401" s="8"/>
      <c r="P401" s="8"/>
      <c r="Q401" s="14"/>
      <c r="R401" s="15"/>
      <c r="S401" s="15"/>
      <c r="T401" s="14"/>
      <c r="U401" s="14"/>
      <c r="V401" s="14"/>
      <c r="W401" s="18"/>
      <c r="X401" s="18"/>
      <c r="Y401" s="18"/>
      <c r="Z401" s="18"/>
      <c r="AA401" s="18"/>
      <c r="AB401" s="18"/>
      <c r="AC401" s="8" t="str">
        <f t="shared" si="62"/>
        <v/>
      </c>
      <c r="AD401" s="8"/>
      <c r="AE401" s="8"/>
      <c r="AF401" s="14"/>
      <c r="AG401" s="13"/>
      <c r="AH401" s="14"/>
      <c r="AI401" s="14"/>
      <c r="AJ401" s="8"/>
      <c r="AK401" s="8"/>
      <c r="AL401" s="8"/>
      <c r="AM401" s="8"/>
      <c r="AN401" s="631"/>
      <c r="AO401" s="18"/>
      <c r="AP401" s="18"/>
      <c r="AQ401" s="18"/>
      <c r="AR401" s="18"/>
      <c r="AS401" s="18"/>
      <c r="AU401" s="448"/>
      <c r="AV401" s="448"/>
      <c r="AW401" s="8" t="str">
        <f>IF(C401&gt;0,VLOOKUP(C401,Foundation_Calc!$A$2:$C$986,3,1),
IF(J401&gt;0,VLOOKUP(J401,Foundation_Calc!$A$2:$C$986,3,1),""))</f>
        <v/>
      </c>
      <c r="AX401" s="8" t="str">
        <f>IF(C401&gt;0,VLOOKUP(C401,Foundation_Calc!$E$2:$G$986,3,1),
IF(J401&gt;0,VLOOKUP(J401,Foundation_Calc!$E$2:$G$986,3,1),""))</f>
        <v/>
      </c>
      <c r="AY401" s="631" t="str">
        <f>IF(L401="","",
IF(AX401="PT",VLOOKUP(L401,Foundation_Calc!$K$4:$R$37,VLOOKUP(AW401,Foundation_Calc!$I$2:$J$8,2,FALSE),0),
IF(AX401="K",VLOOKUP(L401,Foundation_Calc!$K$41:$R$74,VLOOKUP(AW401,Foundation_Calc!$I$2:$J$8,2,FALSE),0),"")))</f>
        <v/>
      </c>
      <c r="AZ401" s="631" t="str">
        <f>IF(K401="","",
IF(AX401="PT",VLOOKUP(K401,Foundation_Calc!$K$4:$R$37,VLOOKUP(AW401,Foundation_Calc!$I$2:$J$8,2,FALSE),0),
IF(AX401="K",VLOOKUP(K401,Foundation_Calc!$K$41:$R$74,VLOOKUP(AW401,Foundation_Calc!$I$2:$J$8,2,FALSE),0),"")))</f>
        <v/>
      </c>
      <c r="BA401" s="632" t="str">
        <f t="shared" si="63"/>
        <v/>
      </c>
      <c r="BB401" s="632" t="str">
        <f t="shared" si="64"/>
        <v/>
      </c>
      <c r="BC401" s="632" t="str">
        <f t="shared" si="65"/>
        <v/>
      </c>
      <c r="BD401" s="633" t="str">
        <f>IF(AND(L401="",H401=""),"",
IF(H401="",Pole_Calc!A429,
IF(H401="MP",Pole_Calc!A430,
IF(H401="AnMP",Pole_Calc!A431,
IF(H401="A",Pole_Calc!A432,
IF(H401="S/A",Pole_Calc!A433,
IF(H401="A/S",Pole_Calc!A434,"Poner a mano")))))))</f>
        <v/>
      </c>
      <c r="BE401" s="448" t="s">
        <v>1726</v>
      </c>
      <c r="BF401" s="635"/>
      <c r="BG401" s="635"/>
      <c r="BH401" s="634"/>
      <c r="BI401" s="635"/>
    </row>
    <row r="402" spans="1:61" ht="16.2" customHeight="1">
      <c r="A402" s="12"/>
      <c r="B402" s="446"/>
      <c r="C402" s="89"/>
      <c r="D402" s="13"/>
      <c r="E402" s="14"/>
      <c r="F402" s="14"/>
      <c r="G402" s="15"/>
      <c r="H402" s="8"/>
      <c r="I402" s="8"/>
      <c r="J402" s="89"/>
      <c r="K402" s="8"/>
      <c r="L402" s="8"/>
      <c r="M402" s="8" t="str">
        <f>IF(L402="","",
IF(AX402="PT",VLOOKUP(L402,Foundation_Calc!$V$4:$X$37,VLOOKUP(AX402,Foundation_Calc!$I$10:$J$13,2,FALSE),0),
IF(AX402="K",VLOOKUP(L402,Foundation_Calc!$V$41:$X$74,VLOOKUP(AX402,Foundation_Calc!$I$10:$J$13,2,FALSE),0),"")))</f>
        <v/>
      </c>
      <c r="N402" s="8"/>
      <c r="O402" s="8"/>
      <c r="P402" s="8"/>
      <c r="Q402" s="14"/>
      <c r="R402" s="15"/>
      <c r="S402" s="15"/>
      <c r="T402" s="14"/>
      <c r="U402" s="14"/>
      <c r="V402" s="14"/>
      <c r="W402" s="18"/>
      <c r="X402" s="18"/>
      <c r="Y402" s="18"/>
      <c r="Z402" s="18"/>
      <c r="AA402" s="18"/>
      <c r="AB402" s="18"/>
      <c r="AC402" s="8" t="str">
        <f t="shared" si="62"/>
        <v/>
      </c>
      <c r="AD402" s="8"/>
      <c r="AE402" s="8"/>
      <c r="AF402" s="14"/>
      <c r="AG402" s="13"/>
      <c r="AH402" s="14"/>
      <c r="AI402" s="14"/>
      <c r="AJ402" s="8"/>
      <c r="AK402" s="8"/>
      <c r="AL402" s="8"/>
      <c r="AM402" s="8"/>
      <c r="AN402" s="631"/>
      <c r="AO402" s="18"/>
      <c r="AP402" s="18"/>
      <c r="AQ402" s="18"/>
      <c r="AR402" s="18"/>
      <c r="AS402" s="18"/>
      <c r="AU402" s="448"/>
      <c r="AV402" s="448"/>
      <c r="AW402" s="8" t="str">
        <f>IF(C402&gt;0,VLOOKUP(C402,Foundation_Calc!$A$2:$C$986,3,1),
IF(J402&gt;0,VLOOKUP(J402,Foundation_Calc!$A$2:$C$986,3,1),""))</f>
        <v/>
      </c>
      <c r="AX402" s="8" t="str">
        <f>IF(C402&gt;0,VLOOKUP(C402,Foundation_Calc!$E$2:$G$986,3,1),
IF(J402&gt;0,VLOOKUP(J402,Foundation_Calc!$E$2:$G$986,3,1),""))</f>
        <v/>
      </c>
      <c r="AY402" s="631" t="str">
        <f>IF(L402="","",
IF(AX402="PT",VLOOKUP(L402,Foundation_Calc!$K$4:$R$37,VLOOKUP(AW402,Foundation_Calc!$I$2:$J$8,2,FALSE),0),
IF(AX402="K",VLOOKUP(L402,Foundation_Calc!$K$41:$R$74,VLOOKUP(AW402,Foundation_Calc!$I$2:$J$8,2,FALSE),0),"")))</f>
        <v/>
      </c>
      <c r="AZ402" s="631" t="str">
        <f>IF(K402="","",
IF(AX402="PT",VLOOKUP(K402,Foundation_Calc!$K$4:$R$37,VLOOKUP(AW402,Foundation_Calc!$I$2:$J$8,2,FALSE),0),
IF(AX402="K",VLOOKUP(K402,Foundation_Calc!$K$41:$R$74,VLOOKUP(AW402,Foundation_Calc!$I$2:$J$8,2,FALSE),0),"")))</f>
        <v/>
      </c>
      <c r="BA402" s="632" t="str">
        <f t="shared" si="63"/>
        <v/>
      </c>
      <c r="BB402" s="632" t="str">
        <f t="shared" si="64"/>
        <v/>
      </c>
      <c r="BC402" s="632" t="str">
        <f t="shared" si="65"/>
        <v/>
      </c>
      <c r="BD402" s="633" t="str">
        <f>IF(AND(L402="",H402=""),"",
IF(H402="",Pole_Calc!A430,
IF(H402="MP",Pole_Calc!A431,
IF(H402="AnMP",Pole_Calc!A432,
IF(H402="A",Pole_Calc!A433,
IF(H402="S/A",Pole_Calc!A434,
IF(H402="A/S",Pole_Calc!A435,"Poner a mano")))))))</f>
        <v/>
      </c>
      <c r="BE402" s="448" t="s">
        <v>1726</v>
      </c>
      <c r="BF402" s="634"/>
      <c r="BG402" s="634"/>
      <c r="BH402" s="634"/>
      <c r="BI402" s="634"/>
    </row>
    <row r="403" spans="1:61" ht="16.2" customHeight="1">
      <c r="A403" s="12"/>
      <c r="B403" s="446"/>
      <c r="C403" s="89"/>
      <c r="D403" s="13"/>
      <c r="E403" s="14"/>
      <c r="F403" s="14"/>
      <c r="G403" s="15"/>
      <c r="H403" s="8"/>
      <c r="I403" s="8"/>
      <c r="J403" s="89"/>
      <c r="K403" s="8"/>
      <c r="L403" s="8"/>
      <c r="M403" s="8" t="str">
        <f>IF(L403="","",
IF(AX403="PT",VLOOKUP(L403,Foundation_Calc!$V$4:$X$37,VLOOKUP(AX403,Foundation_Calc!$I$10:$J$13,2,FALSE),0),
IF(AX403="K",VLOOKUP(L403,Foundation_Calc!$V$41:$X$74,VLOOKUP(AX403,Foundation_Calc!$I$10:$J$13,2,FALSE),0),"")))</f>
        <v/>
      </c>
      <c r="N403" s="8"/>
      <c r="O403" s="8"/>
      <c r="P403" s="8"/>
      <c r="Q403" s="14"/>
      <c r="R403" s="15"/>
      <c r="S403" s="15"/>
      <c r="T403" s="14"/>
      <c r="U403" s="14"/>
      <c r="V403" s="14"/>
      <c r="W403" s="18"/>
      <c r="X403" s="18"/>
      <c r="Y403" s="18"/>
      <c r="Z403" s="18"/>
      <c r="AA403" s="18"/>
      <c r="AB403" s="18"/>
      <c r="AC403" s="8" t="str">
        <f t="shared" si="62"/>
        <v/>
      </c>
      <c r="AD403" s="8"/>
      <c r="AE403" s="8"/>
      <c r="AF403" s="14"/>
      <c r="AG403" s="13"/>
      <c r="AH403" s="14"/>
      <c r="AI403" s="14"/>
      <c r="AJ403" s="8"/>
      <c r="AK403" s="8"/>
      <c r="AL403" s="8"/>
      <c r="AM403" s="8"/>
      <c r="AN403" s="631"/>
      <c r="AO403" s="18"/>
      <c r="AP403" s="18"/>
      <c r="AQ403" s="18"/>
      <c r="AR403" s="18"/>
      <c r="AS403" s="18"/>
      <c r="AU403" s="448"/>
      <c r="AV403" s="448"/>
      <c r="AW403" s="8" t="str">
        <f>IF(C403&gt;0,VLOOKUP(C403,Foundation_Calc!$A$2:$C$986,3,1),
IF(J403&gt;0,VLOOKUP(J403,Foundation_Calc!$A$2:$C$986,3,1),""))</f>
        <v/>
      </c>
      <c r="AX403" s="8" t="str">
        <f>IF(C403&gt;0,VLOOKUP(C403,Foundation_Calc!$E$2:$G$986,3,1),
IF(J403&gt;0,VLOOKUP(J403,Foundation_Calc!$E$2:$G$986,3,1),""))</f>
        <v/>
      </c>
      <c r="AY403" s="631" t="str">
        <f>IF(L403="","",
IF(AX403="PT",VLOOKUP(L403,Foundation_Calc!$K$4:$R$37,VLOOKUP(AW403,Foundation_Calc!$I$2:$J$8,2,FALSE),0),
IF(AX403="K",VLOOKUP(L403,Foundation_Calc!$K$41:$R$74,VLOOKUP(AW403,Foundation_Calc!$I$2:$J$8,2,FALSE),0),"")))</f>
        <v/>
      </c>
      <c r="AZ403" s="631" t="str">
        <f>IF(K403="","",
IF(AX403="PT",VLOOKUP(K403,Foundation_Calc!$K$4:$R$37,VLOOKUP(AW403,Foundation_Calc!$I$2:$J$8,2,FALSE),0),
IF(AX403="K",VLOOKUP(K403,Foundation_Calc!$K$41:$R$74,VLOOKUP(AW403,Foundation_Calc!$I$2:$J$8,2,FALSE),0),"")))</f>
        <v/>
      </c>
      <c r="BA403" s="632" t="str">
        <f t="shared" si="63"/>
        <v/>
      </c>
      <c r="BB403" s="632" t="str">
        <f t="shared" si="64"/>
        <v/>
      </c>
      <c r="BC403" s="632" t="str">
        <f t="shared" si="65"/>
        <v/>
      </c>
      <c r="BD403" s="633" t="str">
        <f>IF(AND(L403="",H403=""),"",
IF(H403="",Pole_Calc!A431,
IF(H403="MP",Pole_Calc!A432,
IF(H403="AnMP",Pole_Calc!A433,
IF(H403="A",Pole_Calc!A434,
IF(H403="S/A",Pole_Calc!A435,
IF(H403="A/S",Pole_Calc!A436,"Poner a mano")))))))</f>
        <v/>
      </c>
      <c r="BE403" s="448" t="s">
        <v>1726</v>
      </c>
      <c r="BF403" s="635"/>
      <c r="BG403" s="635"/>
      <c r="BH403" s="634"/>
      <c r="BI403" s="635"/>
    </row>
    <row r="404" spans="1:61" ht="16.2" customHeight="1">
      <c r="A404" s="12"/>
      <c r="B404" s="446"/>
      <c r="C404" s="89"/>
      <c r="D404" s="13"/>
      <c r="E404" s="14"/>
      <c r="F404" s="14"/>
      <c r="G404" s="15"/>
      <c r="H404" s="8"/>
      <c r="I404" s="8"/>
      <c r="J404" s="89"/>
      <c r="K404" s="8"/>
      <c r="L404" s="8"/>
      <c r="M404" s="8" t="str">
        <f>IF(L404="","",
IF(AX404="PT",VLOOKUP(L404,Foundation_Calc!$V$4:$X$37,VLOOKUP(AX404,Foundation_Calc!$I$10:$J$13,2,FALSE),0),
IF(AX404="K",VLOOKUP(L404,Foundation_Calc!$V$41:$X$74,VLOOKUP(AX404,Foundation_Calc!$I$10:$J$13,2,FALSE),0),"")))</f>
        <v/>
      </c>
      <c r="N404" s="8"/>
      <c r="O404" s="8"/>
      <c r="P404" s="8"/>
      <c r="Q404" s="14"/>
      <c r="R404" s="15"/>
      <c r="S404" s="15"/>
      <c r="T404" s="14"/>
      <c r="U404" s="14"/>
      <c r="V404" s="14"/>
      <c r="W404" s="18"/>
      <c r="X404" s="18"/>
      <c r="Y404" s="18"/>
      <c r="Z404" s="18"/>
      <c r="AA404" s="18"/>
      <c r="AB404" s="18"/>
      <c r="AC404" s="8" t="str">
        <f t="shared" si="62"/>
        <v/>
      </c>
      <c r="AD404" s="8"/>
      <c r="AE404" s="8"/>
      <c r="AF404" s="14"/>
      <c r="AG404" s="13"/>
      <c r="AH404" s="14"/>
      <c r="AI404" s="14"/>
      <c r="AJ404" s="8"/>
      <c r="AK404" s="8"/>
      <c r="AL404" s="8"/>
      <c r="AM404" s="8"/>
      <c r="AN404" s="631"/>
      <c r="AO404" s="18"/>
      <c r="AP404" s="18"/>
      <c r="AQ404" s="18"/>
      <c r="AR404" s="18"/>
      <c r="AS404" s="18"/>
      <c r="AU404" s="448"/>
      <c r="AV404" s="448"/>
      <c r="AW404" s="8" t="str">
        <f>IF(C404&gt;0,VLOOKUP(C404,Foundation_Calc!$A$2:$C$986,3,1),
IF(J404&gt;0,VLOOKUP(J404,Foundation_Calc!$A$2:$C$986,3,1),""))</f>
        <v/>
      </c>
      <c r="AX404" s="8" t="str">
        <f>IF(C404&gt;0,VLOOKUP(C404,Foundation_Calc!$E$2:$G$986,3,1),
IF(J404&gt;0,VLOOKUP(J404,Foundation_Calc!$E$2:$G$986,3,1),""))</f>
        <v/>
      </c>
      <c r="AY404" s="631" t="str">
        <f>IF(L404="","",
IF(AX404="PT",VLOOKUP(L404,Foundation_Calc!$K$4:$R$37,VLOOKUP(AW404,Foundation_Calc!$I$2:$J$8,2,FALSE),0),
IF(AX404="K",VLOOKUP(L404,Foundation_Calc!$K$41:$R$74,VLOOKUP(AW404,Foundation_Calc!$I$2:$J$8,2,FALSE),0),"")))</f>
        <v/>
      </c>
      <c r="AZ404" s="631" t="str">
        <f>IF(K404="","",
IF(AX404="PT",VLOOKUP(K404,Foundation_Calc!$K$4:$R$37,VLOOKUP(AW404,Foundation_Calc!$I$2:$J$8,2,FALSE),0),
IF(AX404="K",VLOOKUP(K404,Foundation_Calc!$K$41:$R$74,VLOOKUP(AW404,Foundation_Calc!$I$2:$J$8,2,FALSE),0),"")))</f>
        <v/>
      </c>
      <c r="BA404" s="632" t="str">
        <f t="shared" si="63"/>
        <v/>
      </c>
      <c r="BB404" s="632" t="str">
        <f t="shared" si="64"/>
        <v/>
      </c>
      <c r="BC404" s="632" t="str">
        <f t="shared" si="65"/>
        <v/>
      </c>
      <c r="BD404" s="633" t="str">
        <f>IF(AND(L404="",H404=""),"",
IF(H404="",Pole_Calc!A432,
IF(H404="MP",Pole_Calc!A433,
IF(H404="AnMP",Pole_Calc!A434,
IF(H404="A",Pole_Calc!A435,
IF(H404="S/A",Pole_Calc!A436,
IF(H404="A/S",Pole_Calc!A437,"Poner a mano")))))))</f>
        <v/>
      </c>
      <c r="BE404" s="448" t="s">
        <v>1726</v>
      </c>
      <c r="BF404" s="634"/>
      <c r="BG404" s="634"/>
      <c r="BH404" s="634"/>
      <c r="BI404" s="634"/>
    </row>
    <row r="405" spans="1:61" ht="16.2" customHeight="1">
      <c r="A405" s="12"/>
      <c r="B405" s="446"/>
      <c r="C405" s="89"/>
      <c r="D405" s="13"/>
      <c r="E405" s="14"/>
      <c r="F405" s="14"/>
      <c r="G405" s="15"/>
      <c r="H405" s="8"/>
      <c r="I405" s="8"/>
      <c r="J405" s="89"/>
      <c r="K405" s="8"/>
      <c r="L405" s="8"/>
      <c r="M405" s="8" t="str">
        <f>IF(L405="","",
IF(AX405="PT",VLOOKUP(L405,Foundation_Calc!$V$4:$X$37,VLOOKUP(AX405,Foundation_Calc!$I$10:$J$13,2,FALSE),0),
IF(AX405="K",VLOOKUP(L405,Foundation_Calc!$V$41:$X$74,VLOOKUP(AX405,Foundation_Calc!$I$10:$J$13,2,FALSE),0),"")))</f>
        <v/>
      </c>
      <c r="N405" s="8"/>
      <c r="O405" s="8"/>
      <c r="P405" s="8"/>
      <c r="Q405" s="14"/>
      <c r="R405" s="15"/>
      <c r="S405" s="15"/>
      <c r="T405" s="14"/>
      <c r="U405" s="14"/>
      <c r="V405" s="14"/>
      <c r="W405" s="18"/>
      <c r="X405" s="18"/>
      <c r="Y405" s="18"/>
      <c r="Z405" s="18"/>
      <c r="AA405" s="18"/>
      <c r="AB405" s="18"/>
      <c r="AC405" s="8" t="str">
        <f t="shared" si="62"/>
        <v/>
      </c>
      <c r="AD405" s="8"/>
      <c r="AE405" s="8"/>
      <c r="AF405" s="14"/>
      <c r="AG405" s="13"/>
      <c r="AH405" s="14"/>
      <c r="AI405" s="14"/>
      <c r="AJ405" s="8"/>
      <c r="AK405" s="8"/>
      <c r="AL405" s="8"/>
      <c r="AM405" s="8"/>
      <c r="AN405" s="631"/>
      <c r="AO405" s="18"/>
      <c r="AP405" s="18"/>
      <c r="AQ405" s="18"/>
      <c r="AR405" s="18"/>
      <c r="AS405" s="18"/>
      <c r="AU405" s="448"/>
      <c r="AV405" s="448"/>
      <c r="AW405" s="8" t="str">
        <f>IF(C405&gt;0,VLOOKUP(C405,Foundation_Calc!$A$2:$C$986,3,1),
IF(J405&gt;0,VLOOKUP(J405,Foundation_Calc!$A$2:$C$986,3,1),""))</f>
        <v/>
      </c>
      <c r="AX405" s="8" t="str">
        <f>IF(C405&gt;0,VLOOKUP(C405,Foundation_Calc!$E$2:$G$986,3,1),
IF(J405&gt;0,VLOOKUP(J405,Foundation_Calc!$E$2:$G$986,3,1),""))</f>
        <v/>
      </c>
      <c r="AY405" s="631" t="str">
        <f>IF(L405="","",
IF(AX405="PT",VLOOKUP(L405,Foundation_Calc!$K$4:$R$37,VLOOKUP(AW405,Foundation_Calc!$I$2:$J$8,2,FALSE),0),
IF(AX405="K",VLOOKUP(L405,Foundation_Calc!$K$41:$R$74,VLOOKUP(AW405,Foundation_Calc!$I$2:$J$8,2,FALSE),0),"")))</f>
        <v/>
      </c>
      <c r="AZ405" s="631" t="str">
        <f>IF(K405="","",
IF(AX405="PT",VLOOKUP(K405,Foundation_Calc!$K$4:$R$37,VLOOKUP(AW405,Foundation_Calc!$I$2:$J$8,2,FALSE),0),
IF(AX405="K",VLOOKUP(K405,Foundation_Calc!$K$41:$R$74,VLOOKUP(AW405,Foundation_Calc!$I$2:$J$8,2,FALSE),0),"")))</f>
        <v/>
      </c>
      <c r="BA405" s="632" t="str">
        <f t="shared" si="63"/>
        <v/>
      </c>
      <c r="BB405" s="632" t="str">
        <f t="shared" si="64"/>
        <v/>
      </c>
      <c r="BC405" s="632" t="str">
        <f t="shared" si="65"/>
        <v/>
      </c>
      <c r="BD405" s="633" t="str">
        <f>IF(AND(L405="",H405=""),"",
IF(H405="",Pole_Calc!A433,
IF(H405="MP",Pole_Calc!A434,
IF(H405="AnMP",Pole_Calc!A435,
IF(H405="A",Pole_Calc!A436,
IF(H405="S/A",Pole_Calc!A437,
IF(H405="A/S",Pole_Calc!A438,"Poner a mano")))))))</f>
        <v/>
      </c>
      <c r="BE405" s="448" t="s">
        <v>1726</v>
      </c>
      <c r="BF405" s="635"/>
      <c r="BG405" s="635"/>
      <c r="BH405" s="634"/>
      <c r="BI405" s="635"/>
    </row>
    <row r="406" spans="1:61" ht="16.2" customHeight="1">
      <c r="A406" s="12"/>
      <c r="B406" s="446"/>
      <c r="C406" s="89"/>
      <c r="D406" s="13"/>
      <c r="E406" s="14"/>
      <c r="F406" s="14"/>
      <c r="G406" s="15"/>
      <c r="H406" s="8"/>
      <c r="I406" s="8"/>
      <c r="J406" s="89"/>
      <c r="K406" s="8"/>
      <c r="L406" s="8"/>
      <c r="M406" s="8" t="str">
        <f>IF(L406="","",
IF(AX406="PT",VLOOKUP(L406,Foundation_Calc!$V$4:$X$37,VLOOKUP(AX406,Foundation_Calc!$I$10:$J$13,2,FALSE),0),
IF(AX406="K",VLOOKUP(L406,Foundation_Calc!$V$41:$X$74,VLOOKUP(AX406,Foundation_Calc!$I$10:$J$13,2,FALSE),0),"")))</f>
        <v/>
      </c>
      <c r="N406" s="8"/>
      <c r="O406" s="8"/>
      <c r="P406" s="8"/>
      <c r="Q406" s="14"/>
      <c r="R406" s="15"/>
      <c r="S406" s="15"/>
      <c r="T406" s="14"/>
      <c r="U406" s="14"/>
      <c r="V406" s="14"/>
      <c r="W406" s="18"/>
      <c r="X406" s="18"/>
      <c r="Y406" s="18"/>
      <c r="Z406" s="18"/>
      <c r="AA406" s="18"/>
      <c r="AB406" s="18"/>
      <c r="AC406" s="8" t="str">
        <f t="shared" si="62"/>
        <v/>
      </c>
      <c r="AD406" s="8"/>
      <c r="AE406" s="8"/>
      <c r="AF406" s="14"/>
      <c r="AG406" s="13"/>
      <c r="AH406" s="14"/>
      <c r="AI406" s="14"/>
      <c r="AJ406" s="8"/>
      <c r="AK406" s="8"/>
      <c r="AL406" s="8"/>
      <c r="AM406" s="8"/>
      <c r="AN406" s="631"/>
      <c r="AO406" s="18"/>
      <c r="AP406" s="18"/>
      <c r="AQ406" s="18"/>
      <c r="AR406" s="18"/>
      <c r="AS406" s="18"/>
      <c r="AU406" s="448"/>
      <c r="AV406" s="448"/>
      <c r="AW406" s="8" t="str">
        <f>IF(C406&gt;0,VLOOKUP(C406,Foundation_Calc!$A$2:$C$986,3,1),
IF(J406&gt;0,VLOOKUP(J406,Foundation_Calc!$A$2:$C$986,3,1),""))</f>
        <v/>
      </c>
      <c r="AX406" s="8" t="str">
        <f>IF(C406&gt;0,VLOOKUP(C406,Foundation_Calc!$E$2:$G$986,3,1),
IF(J406&gt;0,VLOOKUP(J406,Foundation_Calc!$E$2:$G$986,3,1),""))</f>
        <v/>
      </c>
      <c r="AY406" s="631" t="str">
        <f>IF(L406="","",
IF(AX406="PT",VLOOKUP(L406,Foundation_Calc!$K$4:$R$37,VLOOKUP(AW406,Foundation_Calc!$I$2:$J$8,2,FALSE),0),
IF(AX406="K",VLOOKUP(L406,Foundation_Calc!$K$41:$R$74,VLOOKUP(AW406,Foundation_Calc!$I$2:$J$8,2,FALSE),0),"")))</f>
        <v/>
      </c>
      <c r="AZ406" s="631" t="str">
        <f>IF(K406="","",
IF(AX406="PT",VLOOKUP(K406,Foundation_Calc!$K$4:$R$37,VLOOKUP(AW406,Foundation_Calc!$I$2:$J$8,2,FALSE),0),
IF(AX406="K",VLOOKUP(K406,Foundation_Calc!$K$41:$R$74,VLOOKUP(AW406,Foundation_Calc!$I$2:$J$8,2,FALSE),0),"")))</f>
        <v/>
      </c>
      <c r="BA406" s="632" t="str">
        <f t="shared" si="63"/>
        <v/>
      </c>
      <c r="BB406" s="632" t="str">
        <f t="shared" si="64"/>
        <v/>
      </c>
      <c r="BC406" s="632" t="str">
        <f t="shared" si="65"/>
        <v/>
      </c>
      <c r="BD406" s="633" t="str">
        <f>IF(AND(L406="",H406=""),"",
IF(H406="",Pole_Calc!A434,
IF(H406="MP",Pole_Calc!A435,
IF(H406="AnMP",Pole_Calc!A436,
IF(H406="A",Pole_Calc!A437,
IF(H406="S/A",Pole_Calc!A438,
IF(H406="A/S",Pole_Calc!A439,"Poner a mano")))))))</f>
        <v/>
      </c>
      <c r="BE406" s="448" t="s">
        <v>1726</v>
      </c>
      <c r="BF406" s="634"/>
      <c r="BG406" s="634"/>
      <c r="BH406" s="634"/>
      <c r="BI406" s="634"/>
    </row>
    <row r="407" spans="1:61" ht="16.2" customHeight="1">
      <c r="A407" s="12"/>
      <c r="B407" s="446"/>
      <c r="C407" s="89"/>
      <c r="D407" s="13"/>
      <c r="E407" s="14"/>
      <c r="F407" s="14"/>
      <c r="G407" s="15"/>
      <c r="H407" s="8"/>
      <c r="I407" s="8"/>
      <c r="J407" s="89"/>
      <c r="K407" s="8"/>
      <c r="L407" s="8"/>
      <c r="M407" s="8" t="str">
        <f>IF(L407="","",
IF(AX407="PT",VLOOKUP(L407,Foundation_Calc!$V$4:$X$37,VLOOKUP(AX407,Foundation_Calc!$I$10:$J$13,2,FALSE),0),
IF(AX407="K",VLOOKUP(L407,Foundation_Calc!$V$41:$X$74,VLOOKUP(AX407,Foundation_Calc!$I$10:$J$13,2,FALSE),0),"")))</f>
        <v/>
      </c>
      <c r="N407" s="8"/>
      <c r="O407" s="8"/>
      <c r="P407" s="8"/>
      <c r="Q407" s="14"/>
      <c r="R407" s="15"/>
      <c r="S407" s="15"/>
      <c r="T407" s="14"/>
      <c r="U407" s="14"/>
      <c r="V407" s="14"/>
      <c r="W407" s="18"/>
      <c r="X407" s="18"/>
      <c r="Y407" s="18"/>
      <c r="Z407" s="18"/>
      <c r="AA407" s="18"/>
      <c r="AB407" s="18"/>
      <c r="AC407" s="8" t="str">
        <f t="shared" si="62"/>
        <v/>
      </c>
      <c r="AD407" s="8"/>
      <c r="AE407" s="8"/>
      <c r="AF407" s="14"/>
      <c r="AG407" s="13"/>
      <c r="AH407" s="14"/>
      <c r="AI407" s="14"/>
      <c r="AJ407" s="8"/>
      <c r="AK407" s="8"/>
      <c r="AL407" s="8"/>
      <c r="AM407" s="8"/>
      <c r="AN407" s="631"/>
      <c r="AO407" s="18"/>
      <c r="AP407" s="18"/>
      <c r="AQ407" s="18"/>
      <c r="AR407" s="18"/>
      <c r="AS407" s="18"/>
      <c r="AU407" s="448"/>
      <c r="AV407" s="448"/>
      <c r="AW407" s="8" t="str">
        <f>IF(C407&gt;0,VLOOKUP(C407,Foundation_Calc!$A$2:$C$986,3,1),
IF(J407&gt;0,VLOOKUP(J407,Foundation_Calc!$A$2:$C$986,3,1),""))</f>
        <v/>
      </c>
      <c r="AX407" s="8" t="str">
        <f>IF(C407&gt;0,VLOOKUP(C407,Foundation_Calc!$E$2:$G$986,3,1),
IF(J407&gt;0,VLOOKUP(J407,Foundation_Calc!$E$2:$G$986,3,1),""))</f>
        <v/>
      </c>
      <c r="AY407" s="631" t="str">
        <f>IF(L407="","",
IF(AX407="PT",VLOOKUP(L407,Foundation_Calc!$K$4:$R$37,VLOOKUP(AW407,Foundation_Calc!$I$2:$J$8,2,FALSE),0),
IF(AX407="K",VLOOKUP(L407,Foundation_Calc!$K$41:$R$74,VLOOKUP(AW407,Foundation_Calc!$I$2:$J$8,2,FALSE),0),"")))</f>
        <v/>
      </c>
      <c r="AZ407" s="631" t="str">
        <f>IF(K407="","",
IF(AX407="PT",VLOOKUP(K407,Foundation_Calc!$K$4:$R$37,VLOOKUP(AW407,Foundation_Calc!$I$2:$J$8,2,FALSE),0),
IF(AX407="K",VLOOKUP(K407,Foundation_Calc!$K$41:$R$74,VLOOKUP(AW407,Foundation_Calc!$I$2:$J$8,2,FALSE),0),"")))</f>
        <v/>
      </c>
      <c r="BA407" s="632" t="str">
        <f t="shared" si="63"/>
        <v/>
      </c>
      <c r="BB407" s="632" t="str">
        <f t="shared" si="64"/>
        <v/>
      </c>
      <c r="BC407" s="632" t="str">
        <f t="shared" si="65"/>
        <v/>
      </c>
      <c r="BD407" s="633" t="str">
        <f>IF(AND(L407="",H407=""),"",
IF(H407="",Pole_Calc!A435,
IF(H407="MP",Pole_Calc!A436,
IF(H407="AnMP",Pole_Calc!A437,
IF(H407="A",Pole_Calc!A438,
IF(H407="S/A",Pole_Calc!A439,
IF(H407="A/S",Pole_Calc!A440,"Poner a mano")))))))</f>
        <v/>
      </c>
      <c r="BE407" s="448" t="s">
        <v>1726</v>
      </c>
      <c r="BF407" s="635"/>
      <c r="BG407" s="635"/>
      <c r="BH407" s="634"/>
      <c r="BI407" s="635"/>
    </row>
    <row r="408" spans="1:61" ht="16.2" customHeight="1">
      <c r="A408" s="12"/>
      <c r="B408" s="446"/>
      <c r="C408" s="89"/>
      <c r="D408" s="13"/>
      <c r="E408" s="14"/>
      <c r="F408" s="14"/>
      <c r="G408" s="15"/>
      <c r="H408" s="8"/>
      <c r="I408" s="8"/>
      <c r="J408" s="89"/>
      <c r="K408" s="8"/>
      <c r="L408" s="8"/>
      <c r="M408" s="8" t="str">
        <f>IF(L408="","",
IF(AX408="PT",VLOOKUP(L408,Foundation_Calc!$V$4:$X$37,VLOOKUP(AX408,Foundation_Calc!$I$10:$J$13,2,FALSE),0),
IF(AX408="K",VLOOKUP(L408,Foundation_Calc!$V$41:$X$74,VLOOKUP(AX408,Foundation_Calc!$I$10:$J$13,2,FALSE),0),"")))</f>
        <v/>
      </c>
      <c r="N408" s="8"/>
      <c r="O408" s="8"/>
      <c r="P408" s="8"/>
      <c r="Q408" s="14"/>
      <c r="R408" s="15"/>
      <c r="S408" s="15"/>
      <c r="T408" s="14"/>
      <c r="U408" s="14"/>
      <c r="V408" s="14"/>
      <c r="W408" s="18"/>
      <c r="X408" s="18"/>
      <c r="Y408" s="18"/>
      <c r="Z408" s="18"/>
      <c r="AA408" s="18"/>
      <c r="AB408" s="18"/>
      <c r="AC408" s="8" t="str">
        <f t="shared" si="62"/>
        <v/>
      </c>
      <c r="AD408" s="8"/>
      <c r="AE408" s="8"/>
      <c r="AF408" s="14"/>
      <c r="AG408" s="13"/>
      <c r="AH408" s="14"/>
      <c r="AI408" s="14"/>
      <c r="AJ408" s="8"/>
      <c r="AK408" s="8"/>
      <c r="AL408" s="8"/>
      <c r="AM408" s="8"/>
      <c r="AN408" s="631"/>
      <c r="AO408" s="18"/>
      <c r="AP408" s="18"/>
      <c r="AQ408" s="18"/>
      <c r="AR408" s="18"/>
      <c r="AS408" s="18"/>
      <c r="AU408" s="448"/>
      <c r="AV408" s="448"/>
      <c r="AW408" s="8" t="str">
        <f>IF(C408&gt;0,VLOOKUP(C408,Foundation_Calc!$A$2:$C$986,3,1),
IF(J408&gt;0,VLOOKUP(J408,Foundation_Calc!$A$2:$C$986,3,1),""))</f>
        <v/>
      </c>
      <c r="AX408" s="8" t="str">
        <f>IF(C408&gt;0,VLOOKUP(C408,Foundation_Calc!$E$2:$G$986,3,1),
IF(J408&gt;0,VLOOKUP(J408,Foundation_Calc!$E$2:$G$986,3,1),""))</f>
        <v/>
      </c>
      <c r="AY408" s="631" t="str">
        <f>IF(L408="","",
IF(AX408="PT",VLOOKUP(L408,Foundation_Calc!$K$4:$R$37,VLOOKUP(AW408,Foundation_Calc!$I$2:$J$8,2,FALSE),0),
IF(AX408="K",VLOOKUP(L408,Foundation_Calc!$K$41:$R$74,VLOOKUP(AW408,Foundation_Calc!$I$2:$J$8,2,FALSE),0),"")))</f>
        <v/>
      </c>
      <c r="AZ408" s="631" t="str">
        <f>IF(K408="","",
IF(AX408="PT",VLOOKUP(K408,Foundation_Calc!$K$4:$R$37,VLOOKUP(AW408,Foundation_Calc!$I$2:$J$8,2,FALSE),0),
IF(AX408="K",VLOOKUP(K408,Foundation_Calc!$K$41:$R$74,VLOOKUP(AW408,Foundation_Calc!$I$2:$J$8,2,FALSE),0),"")))</f>
        <v/>
      </c>
      <c r="BA408" s="632" t="str">
        <f t="shared" si="63"/>
        <v/>
      </c>
      <c r="BB408" s="632" t="str">
        <f t="shared" si="64"/>
        <v/>
      </c>
      <c r="BC408" s="632" t="str">
        <f t="shared" si="65"/>
        <v/>
      </c>
      <c r="BD408" s="633" t="str">
        <f>IF(AND(L408="",H408=""),"",
IF(H408="",Pole_Calc!A436,
IF(H408="MP",Pole_Calc!A437,
IF(H408="AnMP",Pole_Calc!A438,
IF(H408="A",Pole_Calc!A439,
IF(H408="S/A",Pole_Calc!A440,
IF(H408="A/S",Pole_Calc!A441,"Poner a mano")))))))</f>
        <v/>
      </c>
      <c r="BE408" s="448" t="s">
        <v>1726</v>
      </c>
      <c r="BF408" s="634"/>
      <c r="BG408" s="634"/>
      <c r="BH408" s="634"/>
      <c r="BI408" s="634"/>
    </row>
    <row r="409" spans="1:61" ht="16.2" customHeight="1">
      <c r="A409" s="12"/>
      <c r="B409" s="446"/>
      <c r="C409" s="89"/>
      <c r="D409" s="13"/>
      <c r="E409" s="14"/>
      <c r="F409" s="14"/>
      <c r="G409" s="15"/>
      <c r="H409" s="8"/>
      <c r="I409" s="8"/>
      <c r="J409" s="89"/>
      <c r="K409" s="8"/>
      <c r="L409" s="8"/>
      <c r="M409" s="8" t="str">
        <f>IF(L409="","",
IF(AX409="PT",VLOOKUP(L409,Foundation_Calc!$V$4:$X$37,VLOOKUP(AX409,Foundation_Calc!$I$10:$J$13,2,FALSE),0),
IF(AX409="K",VLOOKUP(L409,Foundation_Calc!$V$41:$X$74,VLOOKUP(AX409,Foundation_Calc!$I$10:$J$13,2,FALSE),0),"")))</f>
        <v/>
      </c>
      <c r="N409" s="8"/>
      <c r="O409" s="8"/>
      <c r="P409" s="8"/>
      <c r="Q409" s="14"/>
      <c r="R409" s="15"/>
      <c r="S409" s="15"/>
      <c r="T409" s="14"/>
      <c r="U409" s="14"/>
      <c r="V409" s="14"/>
      <c r="W409" s="18"/>
      <c r="X409" s="18"/>
      <c r="Y409" s="18"/>
      <c r="Z409" s="18"/>
      <c r="AA409" s="18"/>
      <c r="AB409" s="18"/>
      <c r="AC409" s="8" t="str">
        <f t="shared" si="62"/>
        <v/>
      </c>
      <c r="AD409" s="8"/>
      <c r="AE409" s="8"/>
      <c r="AF409" s="14"/>
      <c r="AG409" s="13"/>
      <c r="AH409" s="14"/>
      <c r="AI409" s="14"/>
      <c r="AJ409" s="8"/>
      <c r="AK409" s="8"/>
      <c r="AL409" s="8"/>
      <c r="AM409" s="8"/>
      <c r="AN409" s="631"/>
      <c r="AO409" s="18"/>
      <c r="AP409" s="18"/>
      <c r="AQ409" s="18"/>
      <c r="AR409" s="18"/>
      <c r="AS409" s="18"/>
      <c r="AU409" s="448"/>
      <c r="AV409" s="448"/>
      <c r="AW409" s="8" t="str">
        <f>IF(C409&gt;0,VLOOKUP(C409,Foundation_Calc!$A$2:$C$986,3,1),
IF(J409&gt;0,VLOOKUP(J409,Foundation_Calc!$A$2:$C$986,3,1),""))</f>
        <v/>
      </c>
      <c r="AX409" s="8" t="str">
        <f>IF(C409&gt;0,VLOOKUP(C409,Foundation_Calc!$E$2:$G$986,3,1),
IF(J409&gt;0,VLOOKUP(J409,Foundation_Calc!$E$2:$G$986,3,1),""))</f>
        <v/>
      </c>
      <c r="AY409" s="631" t="str">
        <f>IF(L409="","",
IF(AX409="PT",VLOOKUP(L409,Foundation_Calc!$K$4:$R$37,VLOOKUP(AW409,Foundation_Calc!$I$2:$J$8,2,FALSE),0),
IF(AX409="K",VLOOKUP(L409,Foundation_Calc!$K$41:$R$74,VLOOKUP(AW409,Foundation_Calc!$I$2:$J$8,2,FALSE),0),"")))</f>
        <v/>
      </c>
      <c r="AZ409" s="631" t="str">
        <f>IF(K409="","",
IF(AX409="PT",VLOOKUP(K409,Foundation_Calc!$K$4:$R$37,VLOOKUP(AW409,Foundation_Calc!$I$2:$J$8,2,FALSE),0),
IF(AX409="K",VLOOKUP(K409,Foundation_Calc!$K$41:$R$74,VLOOKUP(AW409,Foundation_Calc!$I$2:$J$8,2,FALSE),0),"")))</f>
        <v/>
      </c>
      <c r="BA409" s="632" t="str">
        <f t="shared" si="63"/>
        <v/>
      </c>
      <c r="BB409" s="632" t="str">
        <f t="shared" si="64"/>
        <v/>
      </c>
      <c r="BC409" s="632" t="str">
        <f t="shared" si="65"/>
        <v/>
      </c>
      <c r="BD409" s="633" t="str">
        <f>IF(AND(L409="",H409=""),"",
IF(H409="",Pole_Calc!A437,
IF(H409="MP",Pole_Calc!A438,
IF(H409="AnMP",Pole_Calc!A439,
IF(H409="A",Pole_Calc!A440,
IF(H409="S/A",Pole_Calc!A441,
IF(H409="A/S",Pole_Calc!A442,"Poner a mano")))))))</f>
        <v/>
      </c>
      <c r="BE409" s="448" t="s">
        <v>1726</v>
      </c>
      <c r="BF409" s="635"/>
      <c r="BG409" s="635"/>
      <c r="BH409" s="634"/>
      <c r="BI409" s="635"/>
    </row>
    <row r="410" spans="1:61" ht="16.2" customHeight="1">
      <c r="A410" s="12"/>
      <c r="B410" s="446"/>
      <c r="C410" s="89"/>
      <c r="D410" s="13"/>
      <c r="E410" s="14"/>
      <c r="F410" s="14"/>
      <c r="G410" s="15"/>
      <c r="H410" s="8"/>
      <c r="I410" s="8"/>
      <c r="J410" s="89"/>
      <c r="K410" s="8"/>
      <c r="L410" s="8"/>
      <c r="M410" s="8" t="str">
        <f>IF(L410="","",
IF(AX410="PT",VLOOKUP(L410,Foundation_Calc!$V$4:$X$37,VLOOKUP(AX410,Foundation_Calc!$I$10:$J$13,2,FALSE),0),
IF(AX410="K",VLOOKUP(L410,Foundation_Calc!$V$41:$X$74,VLOOKUP(AX410,Foundation_Calc!$I$10:$J$13,2,FALSE),0),"")))</f>
        <v/>
      </c>
      <c r="N410" s="8"/>
      <c r="O410" s="8"/>
      <c r="P410" s="8"/>
      <c r="Q410" s="14"/>
      <c r="R410" s="15"/>
      <c r="S410" s="15"/>
      <c r="T410" s="14"/>
      <c r="U410" s="14"/>
      <c r="V410" s="14"/>
      <c r="W410" s="18"/>
      <c r="X410" s="18"/>
      <c r="Y410" s="18"/>
      <c r="Z410" s="18"/>
      <c r="AA410" s="18"/>
      <c r="AB410" s="18"/>
      <c r="AC410" s="8" t="str">
        <f t="shared" si="62"/>
        <v/>
      </c>
      <c r="AD410" s="8"/>
      <c r="AE410" s="8"/>
      <c r="AF410" s="14"/>
      <c r="AG410" s="13"/>
      <c r="AH410" s="14"/>
      <c r="AI410" s="14"/>
      <c r="AJ410" s="8"/>
      <c r="AK410" s="8"/>
      <c r="AL410" s="8"/>
      <c r="AM410" s="8"/>
      <c r="AN410" s="631"/>
      <c r="AO410" s="18"/>
      <c r="AP410" s="18"/>
      <c r="AQ410" s="18"/>
      <c r="AR410" s="18"/>
      <c r="AS410" s="18"/>
      <c r="AU410" s="448"/>
      <c r="AV410" s="448"/>
      <c r="AW410" s="8" t="str">
        <f>IF(C410&gt;0,VLOOKUP(C410,Foundation_Calc!$A$2:$C$986,3,1),
IF(J410&gt;0,VLOOKUP(J410,Foundation_Calc!$A$2:$C$986,3,1),""))</f>
        <v/>
      </c>
      <c r="AX410" s="8" t="str">
        <f>IF(C410&gt;0,VLOOKUP(C410,Foundation_Calc!$E$2:$G$986,3,1),
IF(J410&gt;0,VLOOKUP(J410,Foundation_Calc!$E$2:$G$986,3,1),""))</f>
        <v/>
      </c>
      <c r="AY410" s="631" t="str">
        <f>IF(L410="","",
IF(AX410="PT",VLOOKUP(L410,Foundation_Calc!$K$4:$R$37,VLOOKUP(AW410,Foundation_Calc!$I$2:$J$8,2,FALSE),0),
IF(AX410="K",VLOOKUP(L410,Foundation_Calc!$K$41:$R$74,VLOOKUP(AW410,Foundation_Calc!$I$2:$J$8,2,FALSE),0),"")))</f>
        <v/>
      </c>
      <c r="AZ410" s="631" t="str">
        <f>IF(K410="","",
IF(AX410="PT",VLOOKUP(K410,Foundation_Calc!$K$4:$R$37,VLOOKUP(AW410,Foundation_Calc!$I$2:$J$8,2,FALSE),0),
IF(AX410="K",VLOOKUP(K410,Foundation_Calc!$K$41:$R$74,VLOOKUP(AW410,Foundation_Calc!$I$2:$J$8,2,FALSE),0),"")))</f>
        <v/>
      </c>
      <c r="BA410" s="632" t="str">
        <f t="shared" si="63"/>
        <v/>
      </c>
      <c r="BB410" s="632" t="str">
        <f t="shared" si="64"/>
        <v/>
      </c>
      <c r="BC410" s="632" t="str">
        <f t="shared" si="65"/>
        <v/>
      </c>
      <c r="BD410" s="633" t="str">
        <f>IF(AND(L410="",H410=""),"",
IF(H410="",Pole_Calc!A438,
IF(H410="MP",Pole_Calc!A439,
IF(H410="AnMP",Pole_Calc!A440,
IF(H410="A",Pole_Calc!A441,
IF(H410="S/A",Pole_Calc!A442,
IF(H410="A/S",Pole_Calc!A443,"Poner a mano")))))))</f>
        <v/>
      </c>
      <c r="BE410" s="448" t="s">
        <v>1726</v>
      </c>
      <c r="BF410" s="634"/>
      <c r="BG410" s="634"/>
      <c r="BH410" s="634"/>
      <c r="BI410" s="634"/>
    </row>
    <row r="411" spans="1:61" ht="16.2" customHeight="1">
      <c r="A411" s="12"/>
      <c r="B411" s="446"/>
      <c r="C411" s="89"/>
      <c r="D411" s="13"/>
      <c r="E411" s="14"/>
      <c r="F411" s="14"/>
      <c r="G411" s="15"/>
      <c r="H411" s="8"/>
      <c r="I411" s="8"/>
      <c r="J411" s="89"/>
      <c r="K411" s="8"/>
      <c r="L411" s="8"/>
      <c r="M411" s="8" t="str">
        <f>IF(L411="","",
IF(AX411="PT",VLOOKUP(L411,Foundation_Calc!$V$4:$X$37,VLOOKUP(AX411,Foundation_Calc!$I$10:$J$13,2,FALSE),0),
IF(AX411="K",VLOOKUP(L411,Foundation_Calc!$V$41:$X$74,VLOOKUP(AX411,Foundation_Calc!$I$10:$J$13,2,FALSE),0),"")))</f>
        <v/>
      </c>
      <c r="N411" s="8"/>
      <c r="O411" s="8"/>
      <c r="P411" s="8"/>
      <c r="Q411" s="14"/>
      <c r="R411" s="15"/>
      <c r="S411" s="15"/>
      <c r="T411" s="14"/>
      <c r="U411" s="14"/>
      <c r="V411" s="14"/>
      <c r="W411" s="18"/>
      <c r="X411" s="18"/>
      <c r="Y411" s="18"/>
      <c r="Z411" s="18"/>
      <c r="AA411" s="18"/>
      <c r="AB411" s="18"/>
      <c r="AC411" s="8" t="str">
        <f t="shared" si="62"/>
        <v/>
      </c>
      <c r="AD411" s="8"/>
      <c r="AE411" s="8"/>
      <c r="AF411" s="14"/>
      <c r="AG411" s="13"/>
      <c r="AH411" s="14"/>
      <c r="AI411" s="14"/>
      <c r="AJ411" s="8"/>
      <c r="AK411" s="8"/>
      <c r="AL411" s="8"/>
      <c r="AM411" s="8"/>
      <c r="AN411" s="631"/>
      <c r="AO411" s="18"/>
      <c r="AP411" s="18"/>
      <c r="AQ411" s="18"/>
      <c r="AR411" s="18"/>
      <c r="AS411" s="18"/>
      <c r="AU411" s="448"/>
      <c r="AV411" s="448"/>
      <c r="AW411" s="8" t="str">
        <f>IF(C411&gt;0,VLOOKUP(C411,Foundation_Calc!$A$2:$C$986,3,1),
IF(J411&gt;0,VLOOKUP(J411,Foundation_Calc!$A$2:$C$986,3,1),""))</f>
        <v/>
      </c>
      <c r="AX411" s="8" t="str">
        <f>IF(C411&gt;0,VLOOKUP(C411,Foundation_Calc!$E$2:$G$986,3,1),
IF(J411&gt;0,VLOOKUP(J411,Foundation_Calc!$E$2:$G$986,3,1),""))</f>
        <v/>
      </c>
      <c r="AY411" s="631" t="str">
        <f>IF(L411="","",
IF(AX411="PT",VLOOKUP(L411,Foundation_Calc!$K$4:$R$37,VLOOKUP(AW411,Foundation_Calc!$I$2:$J$8,2,FALSE),0),
IF(AX411="K",VLOOKUP(L411,Foundation_Calc!$K$41:$R$74,VLOOKUP(AW411,Foundation_Calc!$I$2:$J$8,2,FALSE),0),"")))</f>
        <v/>
      </c>
      <c r="AZ411" s="631" t="str">
        <f>IF(K411="","",
IF(AX411="PT",VLOOKUP(K411,Foundation_Calc!$K$4:$R$37,VLOOKUP(AW411,Foundation_Calc!$I$2:$J$8,2,FALSE),0),
IF(AX411="K",VLOOKUP(K411,Foundation_Calc!$K$41:$R$74,VLOOKUP(AW411,Foundation_Calc!$I$2:$J$8,2,FALSE),0),"")))</f>
        <v/>
      </c>
      <c r="BA411" s="632" t="str">
        <f t="shared" si="63"/>
        <v/>
      </c>
      <c r="BB411" s="632" t="str">
        <f t="shared" si="64"/>
        <v/>
      </c>
      <c r="BC411" s="632" t="str">
        <f t="shared" si="65"/>
        <v/>
      </c>
      <c r="BD411" s="633" t="str">
        <f>IF(AND(L411="",H411=""),"",
IF(H411="",Pole_Calc!A439,
IF(H411="MP",Pole_Calc!A440,
IF(H411="AnMP",Pole_Calc!A441,
IF(H411="A",Pole_Calc!A442,
IF(H411="S/A",Pole_Calc!A443,
IF(H411="A/S",Pole_Calc!A444,"Poner a mano")))))))</f>
        <v/>
      </c>
      <c r="BE411" s="448" t="s">
        <v>1726</v>
      </c>
      <c r="BF411" s="635"/>
      <c r="BG411" s="635"/>
      <c r="BH411" s="634"/>
      <c r="BI411" s="635"/>
    </row>
    <row r="412" spans="1:61" ht="16.2" customHeight="1">
      <c r="A412" s="12"/>
      <c r="B412" s="446"/>
      <c r="C412" s="89"/>
      <c r="D412" s="13"/>
      <c r="E412" s="14"/>
      <c r="F412" s="14"/>
      <c r="G412" s="15"/>
      <c r="H412" s="8"/>
      <c r="I412" s="8"/>
      <c r="J412" s="89"/>
      <c r="K412" s="8"/>
      <c r="L412" s="8"/>
      <c r="M412" s="8" t="str">
        <f>IF(L412="","",
IF(AX412="PT",VLOOKUP(L412,Foundation_Calc!$V$4:$X$37,VLOOKUP(AX412,Foundation_Calc!$I$10:$J$13,2,FALSE),0),
IF(AX412="K",VLOOKUP(L412,Foundation_Calc!$V$41:$X$74,VLOOKUP(AX412,Foundation_Calc!$I$10:$J$13,2,FALSE),0),"")))</f>
        <v/>
      </c>
      <c r="N412" s="8"/>
      <c r="O412" s="8"/>
      <c r="P412" s="8"/>
      <c r="Q412" s="14"/>
      <c r="R412" s="15"/>
      <c r="S412" s="15"/>
      <c r="T412" s="14"/>
      <c r="U412" s="14"/>
      <c r="V412" s="14"/>
      <c r="W412" s="18"/>
      <c r="X412" s="18"/>
      <c r="Y412" s="18"/>
      <c r="Z412" s="18"/>
      <c r="AA412" s="18"/>
      <c r="AB412" s="18"/>
      <c r="AC412" s="8" t="str">
        <f t="shared" si="62"/>
        <v/>
      </c>
      <c r="AD412" s="8"/>
      <c r="AE412" s="8"/>
      <c r="AF412" s="14"/>
      <c r="AG412" s="13"/>
      <c r="AH412" s="14"/>
      <c r="AI412" s="14"/>
      <c r="AJ412" s="8"/>
      <c r="AK412" s="8"/>
      <c r="AL412" s="8"/>
      <c r="AM412" s="8"/>
      <c r="AN412" s="631"/>
      <c r="AO412" s="18"/>
      <c r="AP412" s="18"/>
      <c r="AQ412" s="18"/>
      <c r="AR412" s="18"/>
      <c r="AS412" s="18"/>
      <c r="AU412" s="448"/>
      <c r="AV412" s="448"/>
      <c r="AW412" s="8" t="str">
        <f>IF(C412&gt;0,VLOOKUP(C412,Foundation_Calc!$A$2:$C$986,3,1),
IF(J412&gt;0,VLOOKUP(J412,Foundation_Calc!$A$2:$C$986,3,1),""))</f>
        <v/>
      </c>
      <c r="AX412" s="8" t="str">
        <f>IF(C412&gt;0,VLOOKUP(C412,Foundation_Calc!$E$2:$G$986,3,1),
IF(J412&gt;0,VLOOKUP(J412,Foundation_Calc!$E$2:$G$986,3,1),""))</f>
        <v/>
      </c>
      <c r="AY412" s="631" t="str">
        <f>IF(L412="","",
IF(AX412="PT",VLOOKUP(L412,Foundation_Calc!$K$4:$R$37,VLOOKUP(AW412,Foundation_Calc!$I$2:$J$8,2,FALSE),0),
IF(AX412="K",VLOOKUP(L412,Foundation_Calc!$K$41:$R$74,VLOOKUP(AW412,Foundation_Calc!$I$2:$J$8,2,FALSE),0),"")))</f>
        <v/>
      </c>
      <c r="AZ412" s="631" t="str">
        <f>IF(K412="","",
IF(AX412="PT",VLOOKUP(K412,Foundation_Calc!$K$4:$R$37,VLOOKUP(AW412,Foundation_Calc!$I$2:$J$8,2,FALSE),0),
IF(AX412="K",VLOOKUP(K412,Foundation_Calc!$K$41:$R$74,VLOOKUP(AW412,Foundation_Calc!$I$2:$J$8,2,FALSE),0),"")))</f>
        <v/>
      </c>
      <c r="BA412" s="632" t="str">
        <f t="shared" si="63"/>
        <v/>
      </c>
      <c r="BB412" s="632" t="str">
        <f t="shared" si="64"/>
        <v/>
      </c>
      <c r="BC412" s="632" t="str">
        <f t="shared" si="65"/>
        <v/>
      </c>
      <c r="BD412" s="633" t="str">
        <f>IF(AND(L412="",H412=""),"",
IF(H412="",Pole_Calc!A440,
IF(H412="MP",Pole_Calc!A441,
IF(H412="AnMP",Pole_Calc!A442,
IF(H412="A",Pole_Calc!A443,
IF(H412="S/A",Pole_Calc!A444,
IF(H412="A/S",Pole_Calc!A445,"Poner a mano")))))))</f>
        <v/>
      </c>
      <c r="BE412" s="448" t="s">
        <v>1726</v>
      </c>
      <c r="BF412" s="634"/>
      <c r="BG412" s="634"/>
      <c r="BH412" s="634"/>
      <c r="BI412" s="634"/>
    </row>
    <row r="413" spans="1:61" ht="16.2" customHeight="1">
      <c r="A413" s="12"/>
      <c r="B413" s="446"/>
      <c r="C413" s="89"/>
      <c r="D413" s="13"/>
      <c r="E413" s="14"/>
      <c r="F413" s="14"/>
      <c r="G413" s="15"/>
      <c r="H413" s="8"/>
      <c r="I413" s="8"/>
      <c r="J413" s="89"/>
      <c r="K413" s="8"/>
      <c r="L413" s="8"/>
      <c r="M413" s="8" t="str">
        <f>IF(L413="","",
IF(AX413="PT",VLOOKUP(L413,Foundation_Calc!$V$4:$X$37,VLOOKUP(AX413,Foundation_Calc!$I$10:$J$13,2,FALSE),0),
IF(AX413="K",VLOOKUP(L413,Foundation_Calc!$V$41:$X$74,VLOOKUP(AX413,Foundation_Calc!$I$10:$J$13,2,FALSE),0),"")))</f>
        <v/>
      </c>
      <c r="N413" s="8"/>
      <c r="O413" s="8"/>
      <c r="P413" s="8"/>
      <c r="Q413" s="14"/>
      <c r="R413" s="15"/>
      <c r="S413" s="15"/>
      <c r="T413" s="14"/>
      <c r="U413" s="14"/>
      <c r="V413" s="14"/>
      <c r="W413" s="18"/>
      <c r="X413" s="18"/>
      <c r="Y413" s="18"/>
      <c r="Z413" s="18"/>
      <c r="AA413" s="18"/>
      <c r="AB413" s="18"/>
      <c r="AC413" s="8" t="str">
        <f t="shared" si="62"/>
        <v/>
      </c>
      <c r="AD413" s="8"/>
      <c r="AE413" s="8"/>
      <c r="AF413" s="14"/>
      <c r="AG413" s="13"/>
      <c r="AH413" s="14"/>
      <c r="AI413" s="14"/>
      <c r="AJ413" s="8"/>
      <c r="AK413" s="8"/>
      <c r="AL413" s="8"/>
      <c r="AM413" s="8"/>
      <c r="AN413" s="631"/>
      <c r="AO413" s="18"/>
      <c r="AP413" s="18"/>
      <c r="AQ413" s="18"/>
      <c r="AR413" s="18"/>
      <c r="AS413" s="18"/>
      <c r="AU413" s="448"/>
      <c r="AV413" s="448"/>
      <c r="AW413" s="8" t="str">
        <f>IF(C413&gt;0,VLOOKUP(C413,Foundation_Calc!$A$2:$C$986,3,1),
IF(J413&gt;0,VLOOKUP(J413,Foundation_Calc!$A$2:$C$986,3,1),""))</f>
        <v/>
      </c>
      <c r="AX413" s="8" t="str">
        <f>IF(C413&gt;0,VLOOKUP(C413,Foundation_Calc!$E$2:$G$986,3,1),
IF(J413&gt;0,VLOOKUP(J413,Foundation_Calc!$E$2:$G$986,3,1),""))</f>
        <v/>
      </c>
      <c r="AY413" s="631" t="str">
        <f>IF(L413="","",
IF(AX413="PT",VLOOKUP(L413,Foundation_Calc!$K$4:$R$37,VLOOKUP(AW413,Foundation_Calc!$I$2:$J$8,2,FALSE),0),
IF(AX413="K",VLOOKUP(L413,Foundation_Calc!$K$41:$R$74,VLOOKUP(AW413,Foundation_Calc!$I$2:$J$8,2,FALSE),0),"")))</f>
        <v/>
      </c>
      <c r="AZ413" s="631" t="str">
        <f>IF(K413="","",
IF(AX413="PT",VLOOKUP(K413,Foundation_Calc!$K$4:$R$37,VLOOKUP(AW413,Foundation_Calc!$I$2:$J$8,2,FALSE),0),
IF(AX413="K",VLOOKUP(K413,Foundation_Calc!$K$41:$R$74,VLOOKUP(AW413,Foundation_Calc!$I$2:$J$8,2,FALSE),0),"")))</f>
        <v/>
      </c>
      <c r="BA413" s="632" t="str">
        <f t="shared" si="63"/>
        <v/>
      </c>
      <c r="BB413" s="632" t="str">
        <f t="shared" si="64"/>
        <v/>
      </c>
      <c r="BC413" s="632" t="str">
        <f t="shared" si="65"/>
        <v/>
      </c>
      <c r="BD413" s="633" t="str">
        <f>IF(AND(L413="",H413=""),"",
IF(H413="",Pole_Calc!A441,
IF(H413="MP",Pole_Calc!A442,
IF(H413="AnMP",Pole_Calc!A443,
IF(H413="A",Pole_Calc!A444,
IF(H413="S/A",Pole_Calc!A445,
IF(H413="A/S",Pole_Calc!A446,"Poner a mano")))))))</f>
        <v/>
      </c>
      <c r="BE413" s="448" t="s">
        <v>1726</v>
      </c>
      <c r="BF413" s="635"/>
      <c r="BG413" s="635"/>
      <c r="BH413" s="634"/>
      <c r="BI413" s="635"/>
    </row>
    <row r="414" spans="1:61" ht="16.2" customHeight="1">
      <c r="A414" s="12"/>
      <c r="B414" s="446"/>
      <c r="C414" s="89"/>
      <c r="D414" s="13"/>
      <c r="E414" s="14"/>
      <c r="F414" s="14"/>
      <c r="G414" s="15"/>
      <c r="H414" s="8"/>
      <c r="I414" s="8"/>
      <c r="J414" s="89"/>
      <c r="K414" s="8"/>
      <c r="L414" s="8"/>
      <c r="M414" s="8" t="str">
        <f>IF(L414="","",
IF(AX414="PT",VLOOKUP(L414,Foundation_Calc!$V$4:$X$37,VLOOKUP(AX414,Foundation_Calc!$I$10:$J$13,2,FALSE),0),
IF(AX414="K",VLOOKUP(L414,Foundation_Calc!$V$41:$X$74,VLOOKUP(AX414,Foundation_Calc!$I$10:$J$13,2,FALSE),0),"")))</f>
        <v/>
      </c>
      <c r="N414" s="8"/>
      <c r="O414" s="8"/>
      <c r="P414" s="8"/>
      <c r="Q414" s="14"/>
      <c r="R414" s="15"/>
      <c r="S414" s="15"/>
      <c r="T414" s="14"/>
      <c r="U414" s="14"/>
      <c r="V414" s="14"/>
      <c r="W414" s="18"/>
      <c r="X414" s="18"/>
      <c r="Y414" s="18"/>
      <c r="Z414" s="18"/>
      <c r="AA414" s="18"/>
      <c r="AB414" s="18"/>
      <c r="AC414" s="8" t="str">
        <f t="shared" si="62"/>
        <v/>
      </c>
      <c r="AD414" s="8"/>
      <c r="AE414" s="8"/>
      <c r="AF414" s="14"/>
      <c r="AG414" s="13"/>
      <c r="AH414" s="14"/>
      <c r="AI414" s="14"/>
      <c r="AJ414" s="8"/>
      <c r="AK414" s="8"/>
      <c r="AL414" s="8"/>
      <c r="AM414" s="8"/>
      <c r="AN414" s="631"/>
      <c r="AO414" s="18"/>
      <c r="AP414" s="18"/>
      <c r="AQ414" s="18"/>
      <c r="AR414" s="18"/>
      <c r="AS414" s="18"/>
      <c r="AU414" s="448"/>
      <c r="AV414" s="448"/>
      <c r="AW414" s="8" t="str">
        <f>IF(C414&gt;0,VLOOKUP(C414,Foundation_Calc!$A$2:$C$986,3,1),
IF(J414&gt;0,VLOOKUP(J414,Foundation_Calc!$A$2:$C$986,3,1),""))</f>
        <v/>
      </c>
      <c r="AX414" s="8" t="str">
        <f>IF(C414&gt;0,VLOOKUP(C414,Foundation_Calc!$E$2:$G$986,3,1),
IF(J414&gt;0,VLOOKUP(J414,Foundation_Calc!$E$2:$G$986,3,1),""))</f>
        <v/>
      </c>
      <c r="AY414" s="631" t="str">
        <f>IF(L414="","",
IF(AX414="PT",VLOOKUP(L414,Foundation_Calc!$K$4:$R$37,VLOOKUP(AW414,Foundation_Calc!$I$2:$J$8,2,FALSE),0),
IF(AX414="K",VLOOKUP(L414,Foundation_Calc!$K$41:$R$74,VLOOKUP(AW414,Foundation_Calc!$I$2:$J$8,2,FALSE),0),"")))</f>
        <v/>
      </c>
      <c r="AZ414" s="631" t="str">
        <f>IF(K414="","",
IF(AX414="PT",VLOOKUP(K414,Foundation_Calc!$K$4:$R$37,VLOOKUP(AW414,Foundation_Calc!$I$2:$J$8,2,FALSE),0),
IF(AX414="K",VLOOKUP(K414,Foundation_Calc!$K$41:$R$74,VLOOKUP(AW414,Foundation_Calc!$I$2:$J$8,2,FALSE),0),"")))</f>
        <v/>
      </c>
      <c r="BA414" s="632" t="str">
        <f t="shared" si="63"/>
        <v/>
      </c>
      <c r="BB414" s="632" t="str">
        <f t="shared" si="64"/>
        <v/>
      </c>
      <c r="BC414" s="632" t="str">
        <f t="shared" si="65"/>
        <v/>
      </c>
      <c r="BD414" s="633" t="str">
        <f>IF(AND(L414="",H414=""),"",
IF(H414="",Pole_Calc!A442,
IF(H414="MP",Pole_Calc!A443,
IF(H414="AnMP",Pole_Calc!A444,
IF(H414="A",Pole_Calc!A445,
IF(H414="S/A",Pole_Calc!A446,
IF(H414="A/S",Pole_Calc!A447,"Poner a mano")))))))</f>
        <v/>
      </c>
      <c r="BE414" s="448" t="s">
        <v>1726</v>
      </c>
      <c r="BF414" s="634"/>
      <c r="BG414" s="634"/>
      <c r="BH414" s="634"/>
      <c r="BI414" s="634"/>
    </row>
    <row r="415" spans="1:61" ht="16.2" customHeight="1">
      <c r="A415" s="12"/>
      <c r="B415" s="446"/>
      <c r="C415" s="89"/>
      <c r="D415" s="13"/>
      <c r="E415" s="14"/>
      <c r="F415" s="14"/>
      <c r="G415" s="15"/>
      <c r="H415" s="8"/>
      <c r="I415" s="8"/>
      <c r="J415" s="89"/>
      <c r="K415" s="8"/>
      <c r="L415" s="8"/>
      <c r="M415" s="8" t="str">
        <f>IF(L415="","",
IF(AX415="PT",VLOOKUP(L415,Foundation_Calc!$V$4:$X$37,VLOOKUP(AX415,Foundation_Calc!$I$10:$J$13,2,FALSE),0),
IF(AX415="K",VLOOKUP(L415,Foundation_Calc!$V$41:$X$74,VLOOKUP(AX415,Foundation_Calc!$I$10:$J$13,2,FALSE),0),"")))</f>
        <v/>
      </c>
      <c r="N415" s="8"/>
      <c r="O415" s="8"/>
      <c r="P415" s="8"/>
      <c r="Q415" s="14"/>
      <c r="R415" s="15"/>
      <c r="S415" s="15"/>
      <c r="T415" s="14"/>
      <c r="U415" s="14"/>
      <c r="V415" s="14"/>
      <c r="W415" s="18"/>
      <c r="X415" s="18"/>
      <c r="Y415" s="18"/>
      <c r="Z415" s="18"/>
      <c r="AA415" s="18"/>
      <c r="AB415" s="18"/>
      <c r="AC415" s="8" t="str">
        <f t="shared" si="62"/>
        <v/>
      </c>
      <c r="AD415" s="8"/>
      <c r="AE415" s="8"/>
      <c r="AF415" s="14"/>
      <c r="AG415" s="13"/>
      <c r="AH415" s="14"/>
      <c r="AI415" s="14"/>
      <c r="AJ415" s="8"/>
      <c r="AK415" s="8"/>
      <c r="AL415" s="8"/>
      <c r="AM415" s="8"/>
      <c r="AN415" s="631"/>
      <c r="AO415" s="18"/>
      <c r="AP415" s="18"/>
      <c r="AQ415" s="18"/>
      <c r="AR415" s="18"/>
      <c r="AS415" s="18"/>
      <c r="AU415" s="448"/>
      <c r="AV415" s="448"/>
      <c r="AW415" s="8" t="str">
        <f>IF(C415&gt;0,VLOOKUP(C415,Foundation_Calc!$A$2:$C$986,3,1),
IF(J415&gt;0,VLOOKUP(J415,Foundation_Calc!$A$2:$C$986,3,1),""))</f>
        <v/>
      </c>
      <c r="AX415" s="8" t="str">
        <f>IF(C415&gt;0,VLOOKUP(C415,Foundation_Calc!$E$2:$G$986,3,1),
IF(J415&gt;0,VLOOKUP(J415,Foundation_Calc!$E$2:$G$986,3,1),""))</f>
        <v/>
      </c>
      <c r="AY415" s="631" t="str">
        <f>IF(L415="","",
IF(AX415="PT",VLOOKUP(L415,Foundation_Calc!$K$4:$R$37,VLOOKUP(AW415,Foundation_Calc!$I$2:$J$8,2,FALSE),0),
IF(AX415="K",VLOOKUP(L415,Foundation_Calc!$K$41:$R$74,VLOOKUP(AW415,Foundation_Calc!$I$2:$J$8,2,FALSE),0),"")))</f>
        <v/>
      </c>
      <c r="AZ415" s="631" t="str">
        <f>IF(K415="","",
IF(AX415="PT",VLOOKUP(K415,Foundation_Calc!$K$4:$R$37,VLOOKUP(AW415,Foundation_Calc!$I$2:$J$8,2,FALSE),0),
IF(AX415="K",VLOOKUP(K415,Foundation_Calc!$K$41:$R$74,VLOOKUP(AW415,Foundation_Calc!$I$2:$J$8,2,FALSE),0),"")))</f>
        <v/>
      </c>
      <c r="BA415" s="632" t="str">
        <f t="shared" si="63"/>
        <v/>
      </c>
      <c r="BB415" s="632" t="str">
        <f t="shared" si="64"/>
        <v/>
      </c>
      <c r="BC415" s="632" t="str">
        <f t="shared" si="65"/>
        <v/>
      </c>
      <c r="BD415" s="633" t="str">
        <f>IF(AND(L415="",H415=""),"",
IF(H415="",Pole_Calc!A443,
IF(H415="MP",Pole_Calc!A444,
IF(H415="AnMP",Pole_Calc!A445,
IF(H415="A",Pole_Calc!A446,
IF(H415="S/A",Pole_Calc!A447,
IF(H415="A/S",Pole_Calc!A448,"Poner a mano")))))))</f>
        <v/>
      </c>
      <c r="BE415" s="448" t="s">
        <v>1726</v>
      </c>
      <c r="BF415" s="635"/>
      <c r="BG415" s="635"/>
      <c r="BH415" s="634"/>
      <c r="BI415" s="635"/>
    </row>
    <row r="416" spans="1:61" ht="16.2" customHeight="1">
      <c r="A416" s="12"/>
      <c r="B416" s="446"/>
      <c r="C416" s="89"/>
      <c r="D416" s="13"/>
      <c r="E416" s="14"/>
      <c r="F416" s="14"/>
      <c r="G416" s="15"/>
      <c r="H416" s="8"/>
      <c r="I416" s="8"/>
      <c r="J416" s="89"/>
      <c r="K416" s="8"/>
      <c r="L416" s="8"/>
      <c r="M416" s="8" t="str">
        <f>IF(L416="","",
IF(AX416="PT",VLOOKUP(L416,Foundation_Calc!$V$4:$X$37,VLOOKUP(AX416,Foundation_Calc!$I$10:$J$13,2,FALSE),0),
IF(AX416="K",VLOOKUP(L416,Foundation_Calc!$V$41:$X$74,VLOOKUP(AX416,Foundation_Calc!$I$10:$J$13,2,FALSE),0),"")))</f>
        <v/>
      </c>
      <c r="N416" s="8"/>
      <c r="O416" s="8"/>
      <c r="P416" s="8"/>
      <c r="Q416" s="14"/>
      <c r="R416" s="15"/>
      <c r="S416" s="15"/>
      <c r="T416" s="14"/>
      <c r="U416" s="14"/>
      <c r="V416" s="14"/>
      <c r="W416" s="18"/>
      <c r="X416" s="18"/>
      <c r="Y416" s="18"/>
      <c r="Z416" s="18"/>
      <c r="AA416" s="18"/>
      <c r="AB416" s="18"/>
      <c r="AC416" s="8" t="str">
        <f t="shared" si="62"/>
        <v/>
      </c>
      <c r="AD416" s="8"/>
      <c r="AE416" s="8"/>
      <c r="AF416" s="14"/>
      <c r="AG416" s="13"/>
      <c r="AH416" s="14"/>
      <c r="AI416" s="14"/>
      <c r="AJ416" s="8"/>
      <c r="AK416" s="8"/>
      <c r="AL416" s="8"/>
      <c r="AM416" s="8"/>
      <c r="AN416" s="631"/>
      <c r="AO416" s="18"/>
      <c r="AP416" s="18"/>
      <c r="AQ416" s="18"/>
      <c r="AR416" s="18"/>
      <c r="AS416" s="18"/>
      <c r="AU416" s="448"/>
      <c r="AV416" s="448"/>
      <c r="AW416" s="8" t="str">
        <f>IF(C416&gt;0,VLOOKUP(C416,Foundation_Calc!$A$2:$C$986,3,1),
IF(J416&gt;0,VLOOKUP(J416,Foundation_Calc!$A$2:$C$986,3,1),""))</f>
        <v/>
      </c>
      <c r="AX416" s="8" t="str">
        <f>IF(C416&gt;0,VLOOKUP(C416,Foundation_Calc!$E$2:$G$986,3,1),
IF(J416&gt;0,VLOOKUP(J416,Foundation_Calc!$E$2:$G$986,3,1),""))</f>
        <v/>
      </c>
      <c r="AY416" s="631" t="str">
        <f>IF(L416="","",
IF(AX416="PT",VLOOKUP(L416,Foundation_Calc!$K$4:$R$37,VLOOKUP(AW416,Foundation_Calc!$I$2:$J$8,2,FALSE),0),
IF(AX416="K",VLOOKUP(L416,Foundation_Calc!$K$41:$R$74,VLOOKUP(AW416,Foundation_Calc!$I$2:$J$8,2,FALSE),0),"")))</f>
        <v/>
      </c>
      <c r="AZ416" s="631" t="str">
        <f>IF(K416="","",
IF(AX416="PT",VLOOKUP(K416,Foundation_Calc!$K$4:$R$37,VLOOKUP(AW416,Foundation_Calc!$I$2:$J$8,2,FALSE),0),
IF(AX416="K",VLOOKUP(K416,Foundation_Calc!$K$41:$R$74,VLOOKUP(AW416,Foundation_Calc!$I$2:$J$8,2,FALSE),0),"")))</f>
        <v/>
      </c>
      <c r="BA416" s="632" t="str">
        <f t="shared" si="63"/>
        <v/>
      </c>
      <c r="BB416" s="632" t="str">
        <f t="shared" si="64"/>
        <v/>
      </c>
      <c r="BC416" s="632" t="str">
        <f t="shared" si="65"/>
        <v/>
      </c>
      <c r="BD416" s="633" t="str">
        <f>IF(AND(L416="",H416=""),"",
IF(H416="",Pole_Calc!A444,
IF(H416="MP",Pole_Calc!A445,
IF(H416="AnMP",Pole_Calc!A446,
IF(H416="A",Pole_Calc!A447,
IF(H416="S/A",Pole_Calc!A448,
IF(H416="A/S",Pole_Calc!A449,"Poner a mano")))))))</f>
        <v/>
      </c>
      <c r="BE416" s="448" t="s">
        <v>1726</v>
      </c>
      <c r="BF416" s="634"/>
      <c r="BG416" s="634"/>
      <c r="BH416" s="634"/>
      <c r="BI416" s="634"/>
    </row>
    <row r="417" spans="1:61" ht="16.2" customHeight="1">
      <c r="A417" s="12"/>
      <c r="B417" s="446"/>
      <c r="C417" s="89"/>
      <c r="D417" s="13"/>
      <c r="E417" s="14"/>
      <c r="F417" s="14"/>
      <c r="G417" s="15"/>
      <c r="H417" s="8"/>
      <c r="I417" s="8"/>
      <c r="J417" s="89"/>
      <c r="K417" s="8"/>
      <c r="L417" s="8"/>
      <c r="M417" s="8" t="str">
        <f>IF(L417="","",
IF(AX417="PT",VLOOKUP(L417,Foundation_Calc!$V$4:$X$37,VLOOKUP(AX417,Foundation_Calc!$I$10:$J$13,2,FALSE),0),
IF(AX417="K",VLOOKUP(L417,Foundation_Calc!$V$41:$X$74,VLOOKUP(AX417,Foundation_Calc!$I$10:$J$13,2,FALSE),0),"")))</f>
        <v/>
      </c>
      <c r="N417" s="8"/>
      <c r="O417" s="8"/>
      <c r="P417" s="8"/>
      <c r="Q417" s="14"/>
      <c r="R417" s="15"/>
      <c r="S417" s="15"/>
      <c r="T417" s="14"/>
      <c r="U417" s="14"/>
      <c r="V417" s="14"/>
      <c r="W417" s="18"/>
      <c r="X417" s="18"/>
      <c r="Y417" s="18"/>
      <c r="Z417" s="18"/>
      <c r="AA417" s="18"/>
      <c r="AB417" s="18"/>
      <c r="AC417" s="8" t="str">
        <f t="shared" si="62"/>
        <v/>
      </c>
      <c r="AD417" s="8"/>
      <c r="AE417" s="8"/>
      <c r="AF417" s="14"/>
      <c r="AG417" s="13"/>
      <c r="AH417" s="14"/>
      <c r="AI417" s="14"/>
      <c r="AJ417" s="8"/>
      <c r="AK417" s="8"/>
      <c r="AL417" s="8"/>
      <c r="AM417" s="8"/>
      <c r="AN417" s="631"/>
      <c r="AO417" s="18"/>
      <c r="AP417" s="18"/>
      <c r="AQ417" s="18"/>
      <c r="AR417" s="18"/>
      <c r="AS417" s="18"/>
      <c r="AU417" s="448"/>
      <c r="AV417" s="448"/>
      <c r="AW417" s="8" t="str">
        <f>IF(C417&gt;0,VLOOKUP(C417,Foundation_Calc!$A$2:$C$986,3,1),
IF(J417&gt;0,VLOOKUP(J417,Foundation_Calc!$A$2:$C$986,3,1),""))</f>
        <v/>
      </c>
      <c r="AX417" s="8" t="str">
        <f>IF(C417&gt;0,VLOOKUP(C417,Foundation_Calc!$E$2:$G$986,3,1),
IF(J417&gt;0,VLOOKUP(J417,Foundation_Calc!$E$2:$G$986,3,1),""))</f>
        <v/>
      </c>
      <c r="AY417" s="631" t="str">
        <f>IF(L417="","",
IF(AX417="PT",VLOOKUP(L417,Foundation_Calc!$K$4:$R$37,VLOOKUP(AW417,Foundation_Calc!$I$2:$J$8,2,FALSE),0),
IF(AX417="K",VLOOKUP(L417,Foundation_Calc!$K$41:$R$74,VLOOKUP(AW417,Foundation_Calc!$I$2:$J$8,2,FALSE),0),"")))</f>
        <v/>
      </c>
      <c r="AZ417" s="631" t="str">
        <f>IF(K417="","",
IF(AX417="PT",VLOOKUP(K417,Foundation_Calc!$K$4:$R$37,VLOOKUP(AW417,Foundation_Calc!$I$2:$J$8,2,FALSE),0),
IF(AX417="K",VLOOKUP(K417,Foundation_Calc!$K$41:$R$74,VLOOKUP(AW417,Foundation_Calc!$I$2:$J$8,2,FALSE),0),"")))</f>
        <v/>
      </c>
      <c r="BA417" s="632" t="str">
        <f t="shared" si="63"/>
        <v/>
      </c>
      <c r="BB417" s="632" t="str">
        <f t="shared" si="64"/>
        <v/>
      </c>
      <c r="BC417" s="632" t="str">
        <f t="shared" si="65"/>
        <v/>
      </c>
      <c r="BD417" s="633" t="str">
        <f>IF(AND(L417="",H417=""),"",
IF(H417="",Pole_Calc!A445,
IF(H417="MP",Pole_Calc!A446,
IF(H417="AnMP",Pole_Calc!A447,
IF(H417="A",Pole_Calc!A448,
IF(H417="S/A",Pole_Calc!A449,
IF(H417="A/S",Pole_Calc!A450,"Poner a mano")))))))</f>
        <v/>
      </c>
      <c r="BE417" s="448" t="s">
        <v>1726</v>
      </c>
      <c r="BF417" s="635"/>
      <c r="BG417" s="635"/>
      <c r="BH417" s="634"/>
      <c r="BI417" s="635"/>
    </row>
    <row r="418" spans="1:61" ht="16.2" customHeight="1">
      <c r="A418" s="12"/>
      <c r="B418" s="446"/>
      <c r="C418" s="89"/>
      <c r="D418" s="13"/>
      <c r="E418" s="14"/>
      <c r="F418" s="14"/>
      <c r="G418" s="15"/>
      <c r="H418" s="8"/>
      <c r="I418" s="8"/>
      <c r="J418" s="89"/>
      <c r="K418" s="8"/>
      <c r="L418" s="8"/>
      <c r="M418" s="8" t="str">
        <f>IF(L418="","",
IF(AX418="PT",VLOOKUP(L418,Foundation_Calc!$V$4:$X$37,VLOOKUP(AX418,Foundation_Calc!$I$10:$J$13,2,FALSE),0),
IF(AX418="K",VLOOKUP(L418,Foundation_Calc!$V$41:$X$74,VLOOKUP(AX418,Foundation_Calc!$I$10:$J$13,2,FALSE),0),"")))</f>
        <v/>
      </c>
      <c r="N418" s="8"/>
      <c r="O418" s="8"/>
      <c r="P418" s="8"/>
      <c r="Q418" s="14"/>
      <c r="R418" s="15"/>
      <c r="S418" s="15"/>
      <c r="T418" s="14"/>
      <c r="U418" s="14"/>
      <c r="V418" s="14"/>
      <c r="W418" s="18"/>
      <c r="X418" s="18"/>
      <c r="Y418" s="18"/>
      <c r="Z418" s="18"/>
      <c r="AA418" s="18"/>
      <c r="AB418" s="18"/>
      <c r="AC418" s="8" t="str">
        <f t="shared" si="62"/>
        <v/>
      </c>
      <c r="AD418" s="8"/>
      <c r="AE418" s="8"/>
      <c r="AF418" s="14"/>
      <c r="AG418" s="13"/>
      <c r="AH418" s="14"/>
      <c r="AI418" s="14"/>
      <c r="AJ418" s="8"/>
      <c r="AK418" s="8"/>
      <c r="AL418" s="8"/>
      <c r="AM418" s="8"/>
      <c r="AN418" s="631"/>
      <c r="AO418" s="18"/>
      <c r="AP418" s="18"/>
      <c r="AQ418" s="18"/>
      <c r="AR418" s="18"/>
      <c r="AS418" s="18"/>
      <c r="AU418" s="448"/>
      <c r="AV418" s="448"/>
      <c r="AW418" s="8" t="str">
        <f>IF(C418&gt;0,VLOOKUP(C418,Foundation_Calc!$A$2:$C$986,3,1),
IF(J418&gt;0,VLOOKUP(J418,Foundation_Calc!$A$2:$C$986,3,1),""))</f>
        <v/>
      </c>
      <c r="AX418" s="8" t="str">
        <f>IF(C418&gt;0,VLOOKUP(C418,Foundation_Calc!$E$2:$G$986,3,1),
IF(J418&gt;0,VLOOKUP(J418,Foundation_Calc!$E$2:$G$986,3,1),""))</f>
        <v/>
      </c>
      <c r="AY418" s="631" t="str">
        <f>IF(L418="","",
IF(AX418="PT",VLOOKUP(L418,Foundation_Calc!$K$4:$R$37,VLOOKUP(AW418,Foundation_Calc!$I$2:$J$8,2,FALSE),0),
IF(AX418="K",VLOOKUP(L418,Foundation_Calc!$K$41:$R$74,VLOOKUP(AW418,Foundation_Calc!$I$2:$J$8,2,FALSE),0),"")))</f>
        <v/>
      </c>
      <c r="AZ418" s="631" t="str">
        <f>IF(K418="","",
IF(AX418="PT",VLOOKUP(K418,Foundation_Calc!$K$4:$R$37,VLOOKUP(AW418,Foundation_Calc!$I$2:$J$8,2,FALSE),0),
IF(AX418="K",VLOOKUP(K418,Foundation_Calc!$K$41:$R$74,VLOOKUP(AW418,Foundation_Calc!$I$2:$J$8,2,FALSE),0),"")))</f>
        <v/>
      </c>
      <c r="BA418" s="632" t="str">
        <f t="shared" si="63"/>
        <v/>
      </c>
      <c r="BB418" s="632" t="str">
        <f t="shared" si="64"/>
        <v/>
      </c>
      <c r="BC418" s="632" t="str">
        <f t="shared" si="65"/>
        <v/>
      </c>
      <c r="BD418" s="633" t="str">
        <f>IF(AND(L418="",H418=""),"",
IF(H418="",Pole_Calc!A446,
IF(H418="MP",Pole_Calc!A447,
IF(H418="AnMP",Pole_Calc!A448,
IF(H418="A",Pole_Calc!A449,
IF(H418="S/A",Pole_Calc!A450,
IF(H418="A/S",Pole_Calc!A451,"Poner a mano")))))))</f>
        <v/>
      </c>
      <c r="BE418" s="448" t="s">
        <v>1726</v>
      </c>
      <c r="BF418" s="634"/>
      <c r="BG418" s="634"/>
      <c r="BH418" s="634"/>
      <c r="BI418" s="634"/>
    </row>
    <row r="419" spans="1:61" ht="16.2" customHeight="1">
      <c r="A419" s="12"/>
      <c r="B419" s="446"/>
      <c r="C419" s="89"/>
      <c r="D419" s="13"/>
      <c r="E419" s="14"/>
      <c r="F419" s="14"/>
      <c r="G419" s="15"/>
      <c r="H419" s="8"/>
      <c r="I419" s="8"/>
      <c r="J419" s="89"/>
      <c r="K419" s="8"/>
      <c r="L419" s="8"/>
      <c r="M419" s="8" t="str">
        <f>IF(L419="","",
IF(AX419="PT",VLOOKUP(L419,Foundation_Calc!$V$4:$X$37,VLOOKUP(AX419,Foundation_Calc!$I$10:$J$13,2,FALSE),0),
IF(AX419="K",VLOOKUP(L419,Foundation_Calc!$V$41:$X$74,VLOOKUP(AX419,Foundation_Calc!$I$10:$J$13,2,FALSE),0),"")))</f>
        <v/>
      </c>
      <c r="N419" s="8"/>
      <c r="O419" s="8"/>
      <c r="P419" s="8"/>
      <c r="Q419" s="14"/>
      <c r="R419" s="15"/>
      <c r="S419" s="15"/>
      <c r="T419" s="14"/>
      <c r="U419" s="14"/>
      <c r="V419" s="14"/>
      <c r="W419" s="18"/>
      <c r="X419" s="18"/>
      <c r="Y419" s="18"/>
      <c r="Z419" s="18"/>
      <c r="AA419" s="18"/>
      <c r="AB419" s="18"/>
      <c r="AC419" s="8" t="str">
        <f t="shared" si="62"/>
        <v/>
      </c>
      <c r="AD419" s="8"/>
      <c r="AE419" s="8"/>
      <c r="AF419" s="14"/>
      <c r="AG419" s="13"/>
      <c r="AH419" s="14"/>
      <c r="AI419" s="14"/>
      <c r="AJ419" s="8"/>
      <c r="AK419" s="8"/>
      <c r="AL419" s="8"/>
      <c r="AM419" s="8"/>
      <c r="AN419" s="631"/>
      <c r="AO419" s="18"/>
      <c r="AP419" s="18"/>
      <c r="AQ419" s="18"/>
      <c r="AR419" s="18"/>
      <c r="AS419" s="18"/>
      <c r="AU419" s="448"/>
      <c r="AV419" s="448"/>
      <c r="AW419" s="8" t="str">
        <f>IF(C419&gt;0,VLOOKUP(C419,Foundation_Calc!$A$2:$C$986,3,1),
IF(J419&gt;0,VLOOKUP(J419,Foundation_Calc!$A$2:$C$986,3,1),""))</f>
        <v/>
      </c>
      <c r="AX419" s="8" t="str">
        <f>IF(C419&gt;0,VLOOKUP(C419,Foundation_Calc!$E$2:$G$986,3,1),
IF(J419&gt;0,VLOOKUP(J419,Foundation_Calc!$E$2:$G$986,3,1),""))</f>
        <v/>
      </c>
      <c r="AY419" s="631" t="str">
        <f>IF(L419="","",
IF(AX419="PT",VLOOKUP(L419,Foundation_Calc!$K$4:$R$37,VLOOKUP(AW419,Foundation_Calc!$I$2:$J$8,2,FALSE),0),
IF(AX419="K",VLOOKUP(L419,Foundation_Calc!$K$41:$R$74,VLOOKUP(AW419,Foundation_Calc!$I$2:$J$8,2,FALSE),0),"")))</f>
        <v/>
      </c>
      <c r="AZ419" s="631" t="str">
        <f>IF(K419="","",
IF(AX419="PT",VLOOKUP(K419,Foundation_Calc!$K$4:$R$37,VLOOKUP(AW419,Foundation_Calc!$I$2:$J$8,2,FALSE),0),
IF(AX419="K",VLOOKUP(K419,Foundation_Calc!$K$41:$R$74,VLOOKUP(AW419,Foundation_Calc!$I$2:$J$8,2,FALSE),0),"")))</f>
        <v/>
      </c>
      <c r="BA419" s="632" t="str">
        <f t="shared" si="63"/>
        <v/>
      </c>
      <c r="BB419" s="632" t="str">
        <f t="shared" si="64"/>
        <v/>
      </c>
      <c r="BC419" s="632" t="str">
        <f t="shared" si="65"/>
        <v/>
      </c>
      <c r="BD419" s="633" t="str">
        <f>IF(AND(L419="",H419=""),"",
IF(H419="",Pole_Calc!A447,
IF(H419="MP",Pole_Calc!A448,
IF(H419="AnMP",Pole_Calc!A449,
IF(H419="A",Pole_Calc!A450,
IF(H419="S/A",Pole_Calc!A451,
IF(H419="A/S",Pole_Calc!A452,"Poner a mano")))))))</f>
        <v/>
      </c>
      <c r="BE419" s="448" t="s">
        <v>1726</v>
      </c>
      <c r="BF419" s="635"/>
      <c r="BG419" s="635"/>
      <c r="BH419" s="634"/>
      <c r="BI419" s="635"/>
    </row>
    <row r="420" spans="1:61" ht="16.2" customHeight="1">
      <c r="A420" s="12"/>
      <c r="B420" s="446"/>
      <c r="C420" s="89"/>
      <c r="D420" s="13"/>
      <c r="E420" s="14"/>
      <c r="F420" s="14"/>
      <c r="G420" s="15"/>
      <c r="H420" s="8"/>
      <c r="I420" s="8"/>
      <c r="J420" s="89"/>
      <c r="K420" s="8"/>
      <c r="L420" s="8"/>
      <c r="M420" s="8" t="str">
        <f>IF(L420="","",
IF(AX420="PT",VLOOKUP(L420,Foundation_Calc!$V$4:$X$37,VLOOKUP(AX420,Foundation_Calc!$I$10:$J$13,2,FALSE),0),
IF(AX420="K",VLOOKUP(L420,Foundation_Calc!$V$41:$X$74,VLOOKUP(AX420,Foundation_Calc!$I$10:$J$13,2,FALSE),0),"")))</f>
        <v/>
      </c>
      <c r="N420" s="8"/>
      <c r="O420" s="8"/>
      <c r="P420" s="8"/>
      <c r="Q420" s="14"/>
      <c r="R420" s="15"/>
      <c r="S420" s="15"/>
      <c r="T420" s="14"/>
      <c r="U420" s="14"/>
      <c r="V420" s="14"/>
      <c r="W420" s="18"/>
      <c r="X420" s="18"/>
      <c r="Y420" s="18"/>
      <c r="Z420" s="18"/>
      <c r="AA420" s="18"/>
      <c r="AB420" s="18"/>
      <c r="AC420" s="8" t="str">
        <f t="shared" si="62"/>
        <v/>
      </c>
      <c r="AD420" s="8"/>
      <c r="AE420" s="8"/>
      <c r="AF420" s="14"/>
      <c r="AG420" s="13"/>
      <c r="AH420" s="14"/>
      <c r="AI420" s="14"/>
      <c r="AJ420" s="8"/>
      <c r="AK420" s="8"/>
      <c r="AL420" s="8"/>
      <c r="AM420" s="8"/>
      <c r="AN420" s="631"/>
      <c r="AO420" s="18"/>
      <c r="AP420" s="18"/>
      <c r="AQ420" s="18"/>
      <c r="AR420" s="18"/>
      <c r="AS420" s="18"/>
      <c r="AU420" s="448"/>
      <c r="AV420" s="448"/>
      <c r="AW420" s="8" t="str">
        <f>IF(C420&gt;0,VLOOKUP(C420,Foundation_Calc!$A$2:$C$986,3,1),
IF(J420&gt;0,VLOOKUP(J420,Foundation_Calc!$A$2:$C$986,3,1),""))</f>
        <v/>
      </c>
      <c r="AX420" s="8" t="str">
        <f>IF(C420&gt;0,VLOOKUP(C420,Foundation_Calc!$E$2:$G$986,3,1),
IF(J420&gt;0,VLOOKUP(J420,Foundation_Calc!$E$2:$G$986,3,1),""))</f>
        <v/>
      </c>
      <c r="AY420" s="631" t="str">
        <f>IF(L420="","",
IF(AX420="PT",VLOOKUP(L420,Foundation_Calc!$K$4:$R$37,VLOOKUP(AW420,Foundation_Calc!$I$2:$J$8,2,FALSE),0),
IF(AX420="K",VLOOKUP(L420,Foundation_Calc!$K$41:$R$74,VLOOKUP(AW420,Foundation_Calc!$I$2:$J$8,2,FALSE),0),"")))</f>
        <v/>
      </c>
      <c r="AZ420" s="631" t="str">
        <f>IF(K420="","",
IF(AX420="PT",VLOOKUP(K420,Foundation_Calc!$K$4:$R$37,VLOOKUP(AW420,Foundation_Calc!$I$2:$J$8,2,FALSE),0),
IF(AX420="K",VLOOKUP(K420,Foundation_Calc!$K$41:$R$74,VLOOKUP(AW420,Foundation_Calc!$I$2:$J$8,2,FALSE),0),"")))</f>
        <v/>
      </c>
      <c r="BA420" s="632" t="str">
        <f t="shared" si="63"/>
        <v/>
      </c>
      <c r="BB420" s="632" t="str">
        <f t="shared" si="64"/>
        <v/>
      </c>
      <c r="BC420" s="632" t="str">
        <f t="shared" si="65"/>
        <v/>
      </c>
      <c r="BD420" s="633" t="str">
        <f>IF(AND(L420="",H420=""),"",
IF(H420="",Pole_Calc!A448,
IF(H420="MP",Pole_Calc!A449,
IF(H420="AnMP",Pole_Calc!A450,
IF(H420="A",Pole_Calc!A451,
IF(H420="S/A",Pole_Calc!A452,
IF(H420="A/S",Pole_Calc!A453,"Poner a mano")))))))</f>
        <v/>
      </c>
      <c r="BE420" s="448" t="s">
        <v>1726</v>
      </c>
      <c r="BF420" s="634"/>
      <c r="BG420" s="634"/>
      <c r="BH420" s="634"/>
      <c r="BI420" s="634"/>
    </row>
    <row r="421" spans="1:61" ht="16.2" customHeight="1">
      <c r="A421" s="12"/>
      <c r="B421" s="446"/>
      <c r="C421" s="89"/>
      <c r="D421" s="13"/>
      <c r="E421" s="14"/>
      <c r="F421" s="14"/>
      <c r="G421" s="15"/>
      <c r="H421" s="8"/>
      <c r="I421" s="8"/>
      <c r="J421" s="89"/>
      <c r="K421" s="8"/>
      <c r="L421" s="8"/>
      <c r="M421" s="8" t="str">
        <f>IF(L421="","",
IF(AX421="PT",VLOOKUP(L421,Foundation_Calc!$V$4:$X$37,VLOOKUP(AX421,Foundation_Calc!$I$10:$J$13,2,FALSE),0),
IF(AX421="K",VLOOKUP(L421,Foundation_Calc!$V$41:$X$74,VLOOKUP(AX421,Foundation_Calc!$I$10:$J$13,2,FALSE),0),"")))</f>
        <v/>
      </c>
      <c r="N421" s="8"/>
      <c r="O421" s="8"/>
      <c r="P421" s="8"/>
      <c r="Q421" s="14"/>
      <c r="R421" s="15"/>
      <c r="S421" s="15"/>
      <c r="T421" s="14"/>
      <c r="U421" s="14"/>
      <c r="V421" s="14"/>
      <c r="W421" s="18"/>
      <c r="X421" s="18"/>
      <c r="Y421" s="18"/>
      <c r="Z421" s="18"/>
      <c r="AA421" s="18"/>
      <c r="AB421" s="18"/>
      <c r="AC421" s="8" t="str">
        <f t="shared" si="62"/>
        <v/>
      </c>
      <c r="AD421" s="8"/>
      <c r="AE421" s="8"/>
      <c r="AF421" s="14"/>
      <c r="AG421" s="13"/>
      <c r="AH421" s="14"/>
      <c r="AI421" s="14"/>
      <c r="AJ421" s="8"/>
      <c r="AK421" s="8"/>
      <c r="AL421" s="8"/>
      <c r="AM421" s="8"/>
      <c r="AN421" s="631"/>
      <c r="AO421" s="18"/>
      <c r="AP421" s="18"/>
      <c r="AQ421" s="18"/>
      <c r="AR421" s="18"/>
      <c r="AS421" s="18"/>
      <c r="AU421" s="448"/>
      <c r="AV421" s="448"/>
      <c r="AW421" s="8" t="str">
        <f>IF(C421&gt;0,VLOOKUP(C421,Foundation_Calc!$A$2:$C$986,3,1),
IF(J421&gt;0,VLOOKUP(J421,Foundation_Calc!$A$2:$C$986,3,1),""))</f>
        <v/>
      </c>
      <c r="AX421" s="8" t="str">
        <f>IF(C421&gt;0,VLOOKUP(C421,Foundation_Calc!$E$2:$G$986,3,1),
IF(J421&gt;0,VLOOKUP(J421,Foundation_Calc!$E$2:$G$986,3,1),""))</f>
        <v/>
      </c>
      <c r="AY421" s="631" t="str">
        <f>IF(L421="","",
IF(AX421="PT",VLOOKUP(L421,Foundation_Calc!$K$4:$R$37,VLOOKUP(AW421,Foundation_Calc!$I$2:$J$8,2,FALSE),0),
IF(AX421="K",VLOOKUP(L421,Foundation_Calc!$K$41:$R$74,VLOOKUP(AW421,Foundation_Calc!$I$2:$J$8,2,FALSE),0),"")))</f>
        <v/>
      </c>
      <c r="AZ421" s="631" t="str">
        <f>IF(K421="","",
IF(AX421="PT",VLOOKUP(K421,Foundation_Calc!$K$4:$R$37,VLOOKUP(AW421,Foundation_Calc!$I$2:$J$8,2,FALSE),0),
IF(AX421="K",VLOOKUP(K421,Foundation_Calc!$K$41:$R$74,VLOOKUP(AW421,Foundation_Calc!$I$2:$J$8,2,FALSE),0),"")))</f>
        <v/>
      </c>
      <c r="BA421" s="632" t="str">
        <f t="shared" si="63"/>
        <v/>
      </c>
      <c r="BB421" s="632" t="str">
        <f t="shared" si="64"/>
        <v/>
      </c>
      <c r="BC421" s="632" t="str">
        <f t="shared" si="65"/>
        <v/>
      </c>
      <c r="BD421" s="633" t="str">
        <f>IF(AND(L421="",H421=""),"",
IF(H421="",Pole_Calc!A449,
IF(H421="MP",Pole_Calc!A450,
IF(H421="AnMP",Pole_Calc!A451,
IF(H421="A",Pole_Calc!A452,
IF(H421="S/A",Pole_Calc!A453,
IF(H421="A/S",Pole_Calc!A454,"Poner a mano")))))))</f>
        <v/>
      </c>
      <c r="BE421" s="448" t="s">
        <v>1726</v>
      </c>
      <c r="BF421" s="635"/>
      <c r="BG421" s="635"/>
      <c r="BH421" s="634"/>
      <c r="BI421" s="635"/>
    </row>
    <row r="422" spans="1:61" ht="16.2" customHeight="1">
      <c r="A422" s="12"/>
      <c r="B422" s="446"/>
      <c r="C422" s="89"/>
      <c r="D422" s="13"/>
      <c r="E422" s="14"/>
      <c r="F422" s="14"/>
      <c r="G422" s="15"/>
      <c r="H422" s="8"/>
      <c r="I422" s="8"/>
      <c r="J422" s="89"/>
      <c r="K422" s="8"/>
      <c r="L422" s="8"/>
      <c r="M422" s="8" t="str">
        <f>IF(L422="","",
IF(AX422="PT",VLOOKUP(L422,Foundation_Calc!$V$4:$X$37,VLOOKUP(AX422,Foundation_Calc!$I$10:$J$13,2,FALSE),0),
IF(AX422="K",VLOOKUP(L422,Foundation_Calc!$V$41:$X$74,VLOOKUP(AX422,Foundation_Calc!$I$10:$J$13,2,FALSE),0),"")))</f>
        <v/>
      </c>
      <c r="N422" s="8"/>
      <c r="O422" s="8"/>
      <c r="P422" s="8"/>
      <c r="Q422" s="14"/>
      <c r="R422" s="15"/>
      <c r="S422" s="15"/>
      <c r="T422" s="14"/>
      <c r="U422" s="14"/>
      <c r="V422" s="14"/>
      <c r="W422" s="18"/>
      <c r="X422" s="18"/>
      <c r="Y422" s="18"/>
      <c r="Z422" s="18"/>
      <c r="AA422" s="18"/>
      <c r="AB422" s="18"/>
      <c r="AC422" s="8" t="str">
        <f t="shared" si="62"/>
        <v/>
      </c>
      <c r="AD422" s="8"/>
      <c r="AE422" s="8"/>
      <c r="AF422" s="14"/>
      <c r="AG422" s="13"/>
      <c r="AH422" s="14"/>
      <c r="AI422" s="14"/>
      <c r="AJ422" s="8"/>
      <c r="AK422" s="8"/>
      <c r="AL422" s="8"/>
      <c r="AM422" s="8"/>
      <c r="AN422" s="631"/>
      <c r="AO422" s="18"/>
      <c r="AP422" s="18"/>
      <c r="AQ422" s="18"/>
      <c r="AR422" s="18"/>
      <c r="AS422" s="18"/>
      <c r="AU422" s="448"/>
      <c r="AV422" s="448"/>
      <c r="AW422" s="8" t="str">
        <f>IF(C422&gt;0,VLOOKUP(C422,Foundation_Calc!$A$2:$C$986,3,1),
IF(J422&gt;0,VLOOKUP(J422,Foundation_Calc!$A$2:$C$986,3,1),""))</f>
        <v/>
      </c>
      <c r="AX422" s="8" t="str">
        <f>IF(C422&gt;0,VLOOKUP(C422,Foundation_Calc!$E$2:$G$986,3,1),
IF(J422&gt;0,VLOOKUP(J422,Foundation_Calc!$E$2:$G$986,3,1),""))</f>
        <v/>
      </c>
      <c r="AY422" s="631" t="str">
        <f>IF(L422="","",
IF(AX422="PT",VLOOKUP(L422,Foundation_Calc!$K$4:$R$37,VLOOKUP(AW422,Foundation_Calc!$I$2:$J$8,2,FALSE),0),
IF(AX422="K",VLOOKUP(L422,Foundation_Calc!$K$41:$R$74,VLOOKUP(AW422,Foundation_Calc!$I$2:$J$8,2,FALSE),0),"")))</f>
        <v/>
      </c>
      <c r="AZ422" s="631" t="str">
        <f>IF(K422="","",
IF(AX422="PT",VLOOKUP(K422,Foundation_Calc!$K$4:$R$37,VLOOKUP(AW422,Foundation_Calc!$I$2:$J$8,2,FALSE),0),
IF(AX422="K",VLOOKUP(K422,Foundation_Calc!$K$41:$R$74,VLOOKUP(AW422,Foundation_Calc!$I$2:$J$8,2,FALSE),0),"")))</f>
        <v/>
      </c>
      <c r="BA422" s="632" t="str">
        <f t="shared" si="63"/>
        <v/>
      </c>
      <c r="BB422" s="632" t="str">
        <f t="shared" si="64"/>
        <v/>
      </c>
      <c r="BC422" s="632" t="str">
        <f t="shared" si="65"/>
        <v/>
      </c>
      <c r="BD422" s="633" t="str">
        <f>IF(AND(L422="",H422=""),"",
IF(H422="",Pole_Calc!A450,
IF(H422="MP",Pole_Calc!A451,
IF(H422="AnMP",Pole_Calc!A452,
IF(H422="A",Pole_Calc!A453,
IF(H422="S/A",Pole_Calc!A454,
IF(H422="A/S",Pole_Calc!A455,"Poner a mano")))))))</f>
        <v/>
      </c>
      <c r="BE422" s="448" t="s">
        <v>1726</v>
      </c>
      <c r="BF422" s="634"/>
      <c r="BG422" s="634"/>
      <c r="BH422" s="634"/>
      <c r="BI422" s="634"/>
    </row>
    <row r="423" spans="1:61" ht="16.2" customHeight="1">
      <c r="A423" s="12"/>
      <c r="B423" s="446"/>
      <c r="C423" s="89"/>
      <c r="D423" s="13"/>
      <c r="E423" s="14"/>
      <c r="F423" s="14"/>
      <c r="G423" s="15"/>
      <c r="H423" s="8"/>
      <c r="I423" s="8"/>
      <c r="J423" s="89"/>
      <c r="K423" s="8"/>
      <c r="L423" s="8"/>
      <c r="M423" s="8" t="str">
        <f>IF(L423="","",
IF(AX423="PT",VLOOKUP(L423,Foundation_Calc!$V$4:$X$37,VLOOKUP(AX423,Foundation_Calc!$I$10:$J$13,2,FALSE),0),
IF(AX423="K",VLOOKUP(L423,Foundation_Calc!$V$41:$X$74,VLOOKUP(AX423,Foundation_Calc!$I$10:$J$13,2,FALSE),0),"")))</f>
        <v/>
      </c>
      <c r="N423" s="8"/>
      <c r="O423" s="8"/>
      <c r="P423" s="8"/>
      <c r="Q423" s="14"/>
      <c r="R423" s="15"/>
      <c r="S423" s="15"/>
      <c r="T423" s="14"/>
      <c r="U423" s="14"/>
      <c r="V423" s="14"/>
      <c r="W423" s="18"/>
      <c r="X423" s="18"/>
      <c r="Y423" s="18"/>
      <c r="Z423" s="18"/>
      <c r="AA423" s="18"/>
      <c r="AB423" s="18"/>
      <c r="AC423" s="8" t="str">
        <f t="shared" si="62"/>
        <v/>
      </c>
      <c r="AD423" s="8"/>
      <c r="AE423" s="8"/>
      <c r="AF423" s="14"/>
      <c r="AG423" s="13"/>
      <c r="AH423" s="14"/>
      <c r="AI423" s="14"/>
      <c r="AJ423" s="8"/>
      <c r="AK423" s="8"/>
      <c r="AL423" s="8"/>
      <c r="AM423" s="8"/>
      <c r="AN423" s="631"/>
      <c r="AO423" s="18"/>
      <c r="AP423" s="18"/>
      <c r="AQ423" s="18"/>
      <c r="AR423" s="18"/>
      <c r="AS423" s="18"/>
      <c r="AU423" s="448"/>
      <c r="AV423" s="448"/>
      <c r="AW423" s="8" t="str">
        <f>IF(C423&gt;0,VLOOKUP(C423,Foundation_Calc!$A$2:$C$986,3,1),
IF(J423&gt;0,VLOOKUP(J423,Foundation_Calc!$A$2:$C$986,3,1),""))</f>
        <v/>
      </c>
      <c r="AX423" s="8" t="str">
        <f>IF(C423&gt;0,VLOOKUP(C423,Foundation_Calc!$E$2:$G$986,3,1),
IF(J423&gt;0,VLOOKUP(J423,Foundation_Calc!$E$2:$G$986,3,1),""))</f>
        <v/>
      </c>
      <c r="AY423" s="631" t="str">
        <f>IF(L423="","",
IF(AX423="PT",VLOOKUP(L423,Foundation_Calc!$K$4:$R$37,VLOOKUP(AW423,Foundation_Calc!$I$2:$J$8,2,FALSE),0),
IF(AX423="K",VLOOKUP(L423,Foundation_Calc!$K$41:$R$74,VLOOKUP(AW423,Foundation_Calc!$I$2:$J$8,2,FALSE),0),"")))</f>
        <v/>
      </c>
      <c r="AZ423" s="631" t="str">
        <f>IF(K423="","",
IF(AX423="PT",VLOOKUP(K423,Foundation_Calc!$K$4:$R$37,VLOOKUP(AW423,Foundation_Calc!$I$2:$J$8,2,FALSE),0),
IF(AX423="K",VLOOKUP(K423,Foundation_Calc!$K$41:$R$74,VLOOKUP(AW423,Foundation_Calc!$I$2:$J$8,2,FALSE),0),"")))</f>
        <v/>
      </c>
      <c r="BA423" s="632" t="str">
        <f t="shared" si="63"/>
        <v/>
      </c>
      <c r="BB423" s="632" t="str">
        <f t="shared" si="64"/>
        <v/>
      </c>
      <c r="BC423" s="632" t="str">
        <f t="shared" si="65"/>
        <v/>
      </c>
      <c r="BD423" s="633" t="str">
        <f>IF(AND(L423="",H423=""),"",
IF(H423="",Pole_Calc!A451,
IF(H423="MP",Pole_Calc!A452,
IF(H423="AnMP",Pole_Calc!A453,
IF(H423="A",Pole_Calc!A454,
IF(H423="S/A",Pole_Calc!A455,
IF(H423="A/S",Pole_Calc!A456,"Poner a mano")))))))</f>
        <v/>
      </c>
      <c r="BE423" s="448" t="s">
        <v>1726</v>
      </c>
      <c r="BF423" s="635"/>
      <c r="BG423" s="635"/>
      <c r="BH423" s="634"/>
      <c r="BI423" s="635"/>
    </row>
    <row r="424" spans="1:61" ht="16.2" customHeight="1">
      <c r="A424" s="12"/>
      <c r="B424" s="446"/>
      <c r="C424" s="89"/>
      <c r="D424" s="13"/>
      <c r="E424" s="14"/>
      <c r="F424" s="14"/>
      <c r="G424" s="15"/>
      <c r="H424" s="8"/>
      <c r="I424" s="8"/>
      <c r="J424" s="89"/>
      <c r="K424" s="8"/>
      <c r="L424" s="8"/>
      <c r="M424" s="8" t="str">
        <f>IF(L424="","",
IF(AX424="PT",VLOOKUP(L424,Foundation_Calc!$V$4:$X$37,VLOOKUP(AX424,Foundation_Calc!$I$10:$J$13,2,FALSE),0),
IF(AX424="K",VLOOKUP(L424,Foundation_Calc!$V$41:$X$74,VLOOKUP(AX424,Foundation_Calc!$I$10:$J$13,2,FALSE),0),"")))</f>
        <v/>
      </c>
      <c r="N424" s="8"/>
      <c r="O424" s="8"/>
      <c r="P424" s="8"/>
      <c r="Q424" s="14"/>
      <c r="R424" s="15"/>
      <c r="S424" s="15"/>
      <c r="T424" s="14"/>
      <c r="U424" s="14"/>
      <c r="V424" s="14"/>
      <c r="W424" s="18"/>
      <c r="X424" s="18"/>
      <c r="Y424" s="18"/>
      <c r="Z424" s="18"/>
      <c r="AA424" s="18"/>
      <c r="AB424" s="18"/>
      <c r="AC424" s="8" t="str">
        <f t="shared" si="62"/>
        <v/>
      </c>
      <c r="AD424" s="8"/>
      <c r="AE424" s="8"/>
      <c r="AF424" s="14"/>
      <c r="AG424" s="13"/>
      <c r="AH424" s="14"/>
      <c r="AI424" s="14"/>
      <c r="AJ424" s="8"/>
      <c r="AK424" s="8"/>
      <c r="AL424" s="8"/>
      <c r="AM424" s="8"/>
      <c r="AN424" s="631"/>
      <c r="AO424" s="18"/>
      <c r="AP424" s="18"/>
      <c r="AQ424" s="18"/>
      <c r="AR424" s="18"/>
      <c r="AS424" s="18"/>
      <c r="AU424" s="448"/>
      <c r="AV424" s="448"/>
      <c r="AW424" s="8" t="str">
        <f>IF(C424&gt;0,VLOOKUP(C424,Foundation_Calc!$A$2:$C$986,3,1),
IF(J424&gt;0,VLOOKUP(J424,Foundation_Calc!$A$2:$C$986,3,1),""))</f>
        <v/>
      </c>
      <c r="AX424" s="8" t="str">
        <f>IF(C424&gt;0,VLOOKUP(C424,Foundation_Calc!$E$2:$G$986,3,1),
IF(J424&gt;0,VLOOKUP(J424,Foundation_Calc!$E$2:$G$986,3,1),""))</f>
        <v/>
      </c>
      <c r="AY424" s="631" t="str">
        <f>IF(L424="","",
IF(AX424="PT",VLOOKUP(L424,Foundation_Calc!$K$4:$R$37,VLOOKUP(AW424,Foundation_Calc!$I$2:$J$8,2,FALSE),0),
IF(AX424="K",VLOOKUP(L424,Foundation_Calc!$K$41:$R$74,VLOOKUP(AW424,Foundation_Calc!$I$2:$J$8,2,FALSE),0),"")))</f>
        <v/>
      </c>
      <c r="AZ424" s="631" t="str">
        <f>IF(K424="","",
IF(AX424="PT",VLOOKUP(K424,Foundation_Calc!$K$4:$R$37,VLOOKUP(AW424,Foundation_Calc!$I$2:$J$8,2,FALSE),0),
IF(AX424="K",VLOOKUP(K424,Foundation_Calc!$K$41:$R$74,VLOOKUP(AW424,Foundation_Calc!$I$2:$J$8,2,FALSE),0),"")))</f>
        <v/>
      </c>
      <c r="BA424" s="632" t="str">
        <f t="shared" si="63"/>
        <v/>
      </c>
      <c r="BB424" s="632" t="str">
        <f t="shared" si="64"/>
        <v/>
      </c>
      <c r="BC424" s="632" t="str">
        <f t="shared" si="65"/>
        <v/>
      </c>
      <c r="BD424" s="633" t="str">
        <f>IF(AND(L424="",H424=""),"",
IF(H424="",Pole_Calc!A452,
IF(H424="MP",Pole_Calc!A453,
IF(H424="AnMP",Pole_Calc!A454,
IF(H424="A",Pole_Calc!A455,
IF(H424="S/A",Pole_Calc!A456,
IF(H424="A/S",Pole_Calc!A457,"Poner a mano")))))))</f>
        <v/>
      </c>
      <c r="BE424" s="448" t="s">
        <v>1726</v>
      </c>
      <c r="BF424" s="634"/>
      <c r="BG424" s="634"/>
      <c r="BH424" s="634"/>
      <c r="BI424" s="634"/>
    </row>
    <row r="425" spans="1:61" ht="16.2" customHeight="1">
      <c r="A425" s="12"/>
      <c r="B425" s="446"/>
      <c r="C425" s="89"/>
      <c r="D425" s="13"/>
      <c r="E425" s="14"/>
      <c r="F425" s="14"/>
      <c r="G425" s="15"/>
      <c r="H425" s="8"/>
      <c r="I425" s="8"/>
      <c r="J425" s="89"/>
      <c r="K425" s="8"/>
      <c r="L425" s="8"/>
      <c r="M425" s="8" t="str">
        <f>IF(L425="","",
IF(AX425="PT",VLOOKUP(L425,Foundation_Calc!$V$4:$X$37,VLOOKUP(AX425,Foundation_Calc!$I$10:$J$13,2,FALSE),0),
IF(AX425="K",VLOOKUP(L425,Foundation_Calc!$V$41:$X$74,VLOOKUP(AX425,Foundation_Calc!$I$10:$J$13,2,FALSE),0),"")))</f>
        <v/>
      </c>
      <c r="N425" s="8"/>
      <c r="O425" s="8"/>
      <c r="P425" s="8"/>
      <c r="Q425" s="14"/>
      <c r="R425" s="15"/>
      <c r="S425" s="15"/>
      <c r="T425" s="14"/>
      <c r="U425" s="14"/>
      <c r="V425" s="14"/>
      <c r="W425" s="18"/>
      <c r="X425" s="18"/>
      <c r="Y425" s="18"/>
      <c r="Z425" s="18"/>
      <c r="AA425" s="18"/>
      <c r="AB425" s="18"/>
      <c r="AC425" s="8" t="str">
        <f t="shared" si="62"/>
        <v/>
      </c>
      <c r="AD425" s="8"/>
      <c r="AE425" s="8"/>
      <c r="AF425" s="14"/>
      <c r="AG425" s="13"/>
      <c r="AH425" s="14"/>
      <c r="AI425" s="14"/>
      <c r="AJ425" s="8"/>
      <c r="AK425" s="8"/>
      <c r="AL425" s="8"/>
      <c r="AM425" s="8"/>
      <c r="AN425" s="631"/>
      <c r="AO425" s="18"/>
      <c r="AP425" s="18"/>
      <c r="AQ425" s="18"/>
      <c r="AR425" s="18"/>
      <c r="AS425" s="18"/>
      <c r="AU425" s="448"/>
      <c r="AV425" s="448"/>
      <c r="AW425" s="8" t="str">
        <f>IF(C425&gt;0,VLOOKUP(C425,Foundation_Calc!$A$2:$C$986,3,1),
IF(J425&gt;0,VLOOKUP(J425,Foundation_Calc!$A$2:$C$986,3,1),""))</f>
        <v/>
      </c>
      <c r="AX425" s="8" t="str">
        <f>IF(C425&gt;0,VLOOKUP(C425,Foundation_Calc!$E$2:$G$986,3,1),
IF(J425&gt;0,VLOOKUP(J425,Foundation_Calc!$E$2:$G$986,3,1),""))</f>
        <v/>
      </c>
      <c r="AY425" s="631" t="str">
        <f>IF(L425="","",
IF(AX425="PT",VLOOKUP(L425,Foundation_Calc!$K$4:$R$37,VLOOKUP(AW425,Foundation_Calc!$I$2:$J$8,2,FALSE),0),
IF(AX425="K",VLOOKUP(L425,Foundation_Calc!$K$41:$R$74,VLOOKUP(AW425,Foundation_Calc!$I$2:$J$8,2,FALSE),0),"")))</f>
        <v/>
      </c>
      <c r="AZ425" s="631" t="str">
        <f>IF(K425="","",
IF(AX425="PT",VLOOKUP(K425,Foundation_Calc!$K$4:$R$37,VLOOKUP(AW425,Foundation_Calc!$I$2:$J$8,2,FALSE),0),
IF(AX425="K",VLOOKUP(K425,Foundation_Calc!$K$41:$R$74,VLOOKUP(AW425,Foundation_Calc!$I$2:$J$8,2,FALSE),0),"")))</f>
        <v/>
      </c>
      <c r="BA425" s="632" t="str">
        <f t="shared" si="63"/>
        <v/>
      </c>
      <c r="BB425" s="632" t="str">
        <f t="shared" si="64"/>
        <v/>
      </c>
      <c r="BC425" s="632" t="str">
        <f t="shared" si="65"/>
        <v/>
      </c>
      <c r="BD425" s="633" t="str">
        <f>IF(AND(L425="",H425=""),"",
IF(H425="",Pole_Calc!A453,
IF(H425="MP",Pole_Calc!A454,
IF(H425="AnMP",Pole_Calc!A455,
IF(H425="A",Pole_Calc!A456,
IF(H425="S/A",Pole_Calc!A457,
IF(H425="A/S",Pole_Calc!A458,"Poner a mano")))))))</f>
        <v/>
      </c>
      <c r="BE425" s="448" t="s">
        <v>1726</v>
      </c>
      <c r="BF425" s="635"/>
      <c r="BG425" s="635"/>
      <c r="BH425" s="634"/>
      <c r="BI425" s="635"/>
    </row>
    <row r="426" spans="1:61" ht="16.2" customHeight="1">
      <c r="A426" s="12"/>
      <c r="B426" s="446"/>
      <c r="C426" s="89"/>
      <c r="D426" s="13"/>
      <c r="E426" s="14"/>
      <c r="F426" s="14"/>
      <c r="G426" s="15"/>
      <c r="H426" s="8"/>
      <c r="I426" s="8"/>
      <c r="J426" s="89"/>
      <c r="K426" s="8"/>
      <c r="L426" s="8"/>
      <c r="M426" s="8" t="str">
        <f>IF(L426="","",
IF(AX426="PT",VLOOKUP(L426,Foundation_Calc!$V$4:$X$37,VLOOKUP(AX426,Foundation_Calc!$I$10:$J$13,2,FALSE),0),
IF(AX426="K",VLOOKUP(L426,Foundation_Calc!$V$41:$X$74,VLOOKUP(AX426,Foundation_Calc!$I$10:$J$13,2,FALSE),0),"")))</f>
        <v/>
      </c>
      <c r="N426" s="8"/>
      <c r="O426" s="8"/>
      <c r="P426" s="8"/>
      <c r="Q426" s="14"/>
      <c r="R426" s="15"/>
      <c r="S426" s="15"/>
      <c r="T426" s="14"/>
      <c r="U426" s="14"/>
      <c r="V426" s="14"/>
      <c r="W426" s="18"/>
      <c r="X426" s="18"/>
      <c r="Y426" s="18"/>
      <c r="Z426" s="18"/>
      <c r="AA426" s="18"/>
      <c r="AB426" s="18"/>
      <c r="AC426" s="8" t="str">
        <f t="shared" si="62"/>
        <v/>
      </c>
      <c r="AD426" s="8"/>
      <c r="AE426" s="8"/>
      <c r="AF426" s="14"/>
      <c r="AG426" s="13"/>
      <c r="AH426" s="14"/>
      <c r="AI426" s="14"/>
      <c r="AJ426" s="8"/>
      <c r="AK426" s="8"/>
      <c r="AL426" s="8"/>
      <c r="AM426" s="8"/>
      <c r="AN426" s="631"/>
      <c r="AO426" s="18"/>
      <c r="AP426" s="18"/>
      <c r="AQ426" s="18"/>
      <c r="AR426" s="18"/>
      <c r="AS426" s="18"/>
      <c r="AU426" s="448"/>
      <c r="AV426" s="448"/>
      <c r="AW426" s="8" t="str">
        <f>IF(C426&gt;0,VLOOKUP(C426,Foundation_Calc!$A$2:$C$986,3,1),
IF(J426&gt;0,VLOOKUP(J426,Foundation_Calc!$A$2:$C$986,3,1),""))</f>
        <v/>
      </c>
      <c r="AX426" s="8" t="str">
        <f>IF(C426&gt;0,VLOOKUP(C426,Foundation_Calc!$E$2:$G$986,3,1),
IF(J426&gt;0,VLOOKUP(J426,Foundation_Calc!$E$2:$G$986,3,1),""))</f>
        <v/>
      </c>
      <c r="AY426" s="631" t="str">
        <f>IF(L426="","",
IF(AX426="PT",VLOOKUP(L426,Foundation_Calc!$K$4:$R$37,VLOOKUP(AW426,Foundation_Calc!$I$2:$J$8,2,FALSE),0),
IF(AX426="K",VLOOKUP(L426,Foundation_Calc!$K$41:$R$74,VLOOKUP(AW426,Foundation_Calc!$I$2:$J$8,2,FALSE),0),"")))</f>
        <v/>
      </c>
      <c r="AZ426" s="631" t="str">
        <f>IF(K426="","",
IF(AX426="PT",VLOOKUP(K426,Foundation_Calc!$K$4:$R$37,VLOOKUP(AW426,Foundation_Calc!$I$2:$J$8,2,FALSE),0),
IF(AX426="K",VLOOKUP(K426,Foundation_Calc!$K$41:$R$74,VLOOKUP(AW426,Foundation_Calc!$I$2:$J$8,2,FALSE),0),"")))</f>
        <v/>
      </c>
      <c r="BA426" s="632" t="str">
        <f t="shared" si="63"/>
        <v/>
      </c>
      <c r="BB426" s="632" t="str">
        <f t="shared" si="64"/>
        <v/>
      </c>
      <c r="BC426" s="632" t="str">
        <f t="shared" si="65"/>
        <v/>
      </c>
      <c r="BD426" s="633" t="str">
        <f>IF(AND(L426="",H426=""),"",
IF(H426="",Pole_Calc!A454,
IF(H426="MP",Pole_Calc!A455,
IF(H426="AnMP",Pole_Calc!A456,
IF(H426="A",Pole_Calc!A457,
IF(H426="S/A",Pole_Calc!A458,
IF(H426="A/S",Pole_Calc!A459,"Poner a mano")))))))</f>
        <v/>
      </c>
      <c r="BE426" s="448" t="s">
        <v>1726</v>
      </c>
      <c r="BF426" s="634"/>
      <c r="BG426" s="634"/>
      <c r="BH426" s="634"/>
      <c r="BI426" s="634"/>
    </row>
    <row r="427" spans="1:61" ht="16.2" customHeight="1">
      <c r="A427" s="12"/>
      <c r="B427" s="446"/>
      <c r="C427" s="89"/>
      <c r="D427" s="13"/>
      <c r="E427" s="14"/>
      <c r="F427" s="14"/>
      <c r="G427" s="15"/>
      <c r="H427" s="8"/>
      <c r="I427" s="8"/>
      <c r="J427" s="89"/>
      <c r="K427" s="8"/>
      <c r="L427" s="8"/>
      <c r="M427" s="8" t="str">
        <f>IF(L427="","",
IF(AX427="PT",VLOOKUP(L427,Foundation_Calc!$V$4:$X$37,VLOOKUP(AX427,Foundation_Calc!$I$10:$J$13,2,FALSE),0),
IF(AX427="K",VLOOKUP(L427,Foundation_Calc!$V$41:$X$74,VLOOKUP(AX427,Foundation_Calc!$I$10:$J$13,2,FALSE),0),"")))</f>
        <v/>
      </c>
      <c r="N427" s="8"/>
      <c r="O427" s="8"/>
      <c r="P427" s="8"/>
      <c r="Q427" s="14"/>
      <c r="R427" s="15"/>
      <c r="S427" s="15"/>
      <c r="T427" s="14"/>
      <c r="U427" s="14"/>
      <c r="V427" s="14"/>
      <c r="W427" s="18"/>
      <c r="X427" s="18"/>
      <c r="Y427" s="18"/>
      <c r="Z427" s="18"/>
      <c r="AA427" s="18"/>
      <c r="AB427" s="18"/>
      <c r="AC427" s="8" t="str">
        <f t="shared" si="62"/>
        <v/>
      </c>
      <c r="AD427" s="8"/>
      <c r="AE427" s="8"/>
      <c r="AF427" s="14"/>
      <c r="AG427" s="13"/>
      <c r="AH427" s="14"/>
      <c r="AI427" s="14"/>
      <c r="AJ427" s="8"/>
      <c r="AK427" s="8"/>
      <c r="AL427" s="8"/>
      <c r="AM427" s="8"/>
      <c r="AN427" s="631"/>
      <c r="AO427" s="18"/>
      <c r="AP427" s="18"/>
      <c r="AQ427" s="18"/>
      <c r="AR427" s="18"/>
      <c r="AS427" s="18"/>
      <c r="AU427" s="448"/>
      <c r="AV427" s="448"/>
      <c r="AW427" s="8" t="str">
        <f>IF(C427&gt;0,VLOOKUP(C427,Foundation_Calc!$A$2:$C$986,3,1),
IF(J427&gt;0,VLOOKUP(J427,Foundation_Calc!$A$2:$C$986,3,1),""))</f>
        <v/>
      </c>
      <c r="AX427" s="8" t="str">
        <f>IF(C427&gt;0,VLOOKUP(C427,Foundation_Calc!$E$2:$G$986,3,1),
IF(J427&gt;0,VLOOKUP(J427,Foundation_Calc!$E$2:$G$986,3,1),""))</f>
        <v/>
      </c>
      <c r="AY427" s="631" t="str">
        <f>IF(L427="","",
IF(AX427="PT",VLOOKUP(L427,Foundation_Calc!$K$4:$R$37,VLOOKUP(AW427,Foundation_Calc!$I$2:$J$8,2,FALSE),0),
IF(AX427="K",VLOOKUP(L427,Foundation_Calc!$K$41:$R$74,VLOOKUP(AW427,Foundation_Calc!$I$2:$J$8,2,FALSE),0),"")))</f>
        <v/>
      </c>
      <c r="AZ427" s="631" t="str">
        <f>IF(K427="","",
IF(AX427="PT",VLOOKUP(K427,Foundation_Calc!$K$4:$R$37,VLOOKUP(AW427,Foundation_Calc!$I$2:$J$8,2,FALSE),0),
IF(AX427="K",VLOOKUP(K427,Foundation_Calc!$K$41:$R$74,VLOOKUP(AW427,Foundation_Calc!$I$2:$J$8,2,FALSE),0),"")))</f>
        <v/>
      </c>
      <c r="BA427" s="632" t="str">
        <f t="shared" si="63"/>
        <v/>
      </c>
      <c r="BB427" s="632" t="str">
        <f t="shared" si="64"/>
        <v/>
      </c>
      <c r="BC427" s="632" t="str">
        <f t="shared" si="65"/>
        <v/>
      </c>
      <c r="BD427" s="633" t="str">
        <f>IF(AND(L427="",H427=""),"",
IF(H427="",Pole_Calc!A455,
IF(H427="MP",Pole_Calc!A456,
IF(H427="AnMP",Pole_Calc!A457,
IF(H427="A",Pole_Calc!A458,
IF(H427="S/A",Pole_Calc!A459,
IF(H427="A/S",Pole_Calc!A460,"Poner a mano")))))))</f>
        <v/>
      </c>
      <c r="BE427" s="448" t="s">
        <v>1726</v>
      </c>
      <c r="BF427" s="635"/>
      <c r="BG427" s="635"/>
      <c r="BH427" s="634"/>
      <c r="BI427" s="635"/>
    </row>
    <row r="428" spans="1:61" ht="16.2" customHeight="1">
      <c r="A428" s="12"/>
      <c r="B428" s="446"/>
      <c r="C428" s="89"/>
      <c r="D428" s="13"/>
      <c r="E428" s="14"/>
      <c r="F428" s="14"/>
      <c r="G428" s="15"/>
      <c r="H428" s="8"/>
      <c r="I428" s="8"/>
      <c r="J428" s="89"/>
      <c r="K428" s="8"/>
      <c r="L428" s="8"/>
      <c r="M428" s="8" t="str">
        <f>IF(L428="","",
IF(AX428="PT",VLOOKUP(L428,Foundation_Calc!$V$4:$X$37,VLOOKUP(AX428,Foundation_Calc!$I$10:$J$13,2,FALSE),0),
IF(AX428="K",VLOOKUP(L428,Foundation_Calc!$V$41:$X$74,VLOOKUP(AX428,Foundation_Calc!$I$10:$J$13,2,FALSE),0),"")))</f>
        <v/>
      </c>
      <c r="N428" s="8"/>
      <c r="O428" s="8"/>
      <c r="P428" s="8"/>
      <c r="Q428" s="14"/>
      <c r="R428" s="15"/>
      <c r="S428" s="15"/>
      <c r="T428" s="14"/>
      <c r="U428" s="14"/>
      <c r="V428" s="14"/>
      <c r="W428" s="18"/>
      <c r="X428" s="18"/>
      <c r="Y428" s="18"/>
      <c r="Z428" s="18"/>
      <c r="AA428" s="18"/>
      <c r="AB428" s="18"/>
      <c r="AC428" s="8" t="str">
        <f t="shared" si="62"/>
        <v/>
      </c>
      <c r="AD428" s="8"/>
      <c r="AE428" s="8"/>
      <c r="AF428" s="14"/>
      <c r="AG428" s="13"/>
      <c r="AH428" s="14"/>
      <c r="AI428" s="14"/>
      <c r="AJ428" s="8"/>
      <c r="AK428" s="8"/>
      <c r="AL428" s="8"/>
      <c r="AM428" s="8"/>
      <c r="AN428" s="631"/>
      <c r="AO428" s="18"/>
      <c r="AP428" s="18"/>
      <c r="AQ428" s="18"/>
      <c r="AR428" s="18"/>
      <c r="AS428" s="18"/>
      <c r="AU428" s="448"/>
      <c r="AV428" s="448"/>
      <c r="AW428" s="8" t="str">
        <f>IF(C428&gt;0,VLOOKUP(C428,Foundation_Calc!$A$2:$C$986,3,1),
IF(J428&gt;0,VLOOKUP(J428,Foundation_Calc!$A$2:$C$986,3,1),""))</f>
        <v/>
      </c>
      <c r="AX428" s="8" t="str">
        <f>IF(C428&gt;0,VLOOKUP(C428,Foundation_Calc!$E$2:$G$986,3,1),
IF(J428&gt;0,VLOOKUP(J428,Foundation_Calc!$E$2:$G$986,3,1),""))</f>
        <v/>
      </c>
      <c r="AY428" s="631" t="str">
        <f>IF(L428="","",
IF(AX428="PT",VLOOKUP(L428,Foundation_Calc!$K$4:$R$37,VLOOKUP(AW428,Foundation_Calc!$I$2:$J$8,2,FALSE),0),
IF(AX428="K",VLOOKUP(L428,Foundation_Calc!$K$41:$R$74,VLOOKUP(AW428,Foundation_Calc!$I$2:$J$8,2,FALSE),0),"")))</f>
        <v/>
      </c>
      <c r="AZ428" s="631" t="str">
        <f>IF(K428="","",
IF(AX428="PT",VLOOKUP(K428,Foundation_Calc!$K$4:$R$37,VLOOKUP(AW428,Foundation_Calc!$I$2:$J$8,2,FALSE),0),
IF(AX428="K",VLOOKUP(K428,Foundation_Calc!$K$41:$R$74,VLOOKUP(AW428,Foundation_Calc!$I$2:$J$8,2,FALSE),0),"")))</f>
        <v/>
      </c>
      <c r="BA428" s="632" t="str">
        <f t="shared" si="63"/>
        <v/>
      </c>
      <c r="BB428" s="632" t="str">
        <f t="shared" si="64"/>
        <v/>
      </c>
      <c r="BC428" s="632" t="str">
        <f t="shared" si="65"/>
        <v/>
      </c>
      <c r="BD428" s="633" t="str">
        <f>IF(AND(L428="",H428=""),"",
IF(H428="",Pole_Calc!A456,
IF(H428="MP",Pole_Calc!A457,
IF(H428="AnMP",Pole_Calc!A458,
IF(H428="A",Pole_Calc!A459,
IF(H428="S/A",Pole_Calc!A460,
IF(H428="A/S",Pole_Calc!A461,"Poner a mano")))))))</f>
        <v/>
      </c>
      <c r="BE428" s="448" t="s">
        <v>1726</v>
      </c>
      <c r="BF428" s="634"/>
      <c r="BG428" s="634"/>
      <c r="BH428" s="634"/>
      <c r="BI428" s="634"/>
    </row>
    <row r="429" spans="1:61" ht="16.2" customHeight="1">
      <c r="A429" s="12"/>
      <c r="B429" s="446"/>
      <c r="C429" s="89"/>
      <c r="D429" s="13"/>
      <c r="E429" s="14"/>
      <c r="F429" s="14"/>
      <c r="G429" s="15"/>
      <c r="H429" s="8"/>
      <c r="I429" s="8"/>
      <c r="J429" s="89"/>
      <c r="K429" s="8"/>
      <c r="L429" s="8"/>
      <c r="M429" s="8" t="str">
        <f>IF(L429="","",
IF(AX429="PT",VLOOKUP(L429,Foundation_Calc!$V$4:$X$37,VLOOKUP(AX429,Foundation_Calc!$I$10:$J$13,2,FALSE),0),
IF(AX429="K",VLOOKUP(L429,Foundation_Calc!$V$41:$X$74,VLOOKUP(AX429,Foundation_Calc!$I$10:$J$13,2,FALSE),0),"")))</f>
        <v/>
      </c>
      <c r="N429" s="8"/>
      <c r="O429" s="8"/>
      <c r="P429" s="8"/>
      <c r="Q429" s="14"/>
      <c r="R429" s="15"/>
      <c r="S429" s="15"/>
      <c r="T429" s="14"/>
      <c r="U429" s="14"/>
      <c r="V429" s="14"/>
      <c r="W429" s="18"/>
      <c r="X429" s="18"/>
      <c r="Y429" s="18"/>
      <c r="Z429" s="18"/>
      <c r="AA429" s="18"/>
      <c r="AB429" s="18"/>
      <c r="AC429" s="8" t="str">
        <f t="shared" si="62"/>
        <v/>
      </c>
      <c r="AD429" s="8"/>
      <c r="AE429" s="8"/>
      <c r="AF429" s="14"/>
      <c r="AG429" s="13"/>
      <c r="AH429" s="14"/>
      <c r="AI429" s="14"/>
      <c r="AJ429" s="8"/>
      <c r="AK429" s="8"/>
      <c r="AL429" s="8"/>
      <c r="AM429" s="8"/>
      <c r="AN429" s="631"/>
      <c r="AO429" s="18"/>
      <c r="AP429" s="18"/>
      <c r="AQ429" s="18"/>
      <c r="AR429" s="18"/>
      <c r="AS429" s="18"/>
      <c r="AU429" s="448"/>
      <c r="AV429" s="448"/>
      <c r="AW429" s="8" t="str">
        <f>IF(C429&gt;0,VLOOKUP(C429,Foundation_Calc!$A$2:$C$986,3,1),
IF(J429&gt;0,VLOOKUP(J429,Foundation_Calc!$A$2:$C$986,3,1),""))</f>
        <v/>
      </c>
      <c r="AX429" s="8" t="str">
        <f>IF(C429&gt;0,VLOOKUP(C429,Foundation_Calc!$E$2:$G$986,3,1),
IF(J429&gt;0,VLOOKUP(J429,Foundation_Calc!$E$2:$G$986,3,1),""))</f>
        <v/>
      </c>
      <c r="AY429" s="631" t="str">
        <f>IF(L429="","",
IF(AX429="PT",VLOOKUP(L429,Foundation_Calc!$K$4:$R$37,VLOOKUP(AW429,Foundation_Calc!$I$2:$J$8,2,FALSE),0),
IF(AX429="K",VLOOKUP(L429,Foundation_Calc!$K$41:$R$74,VLOOKUP(AW429,Foundation_Calc!$I$2:$J$8,2,FALSE),0),"")))</f>
        <v/>
      </c>
      <c r="AZ429" s="631" t="str">
        <f>IF(K429="","",
IF(AX429="PT",VLOOKUP(K429,Foundation_Calc!$K$4:$R$37,VLOOKUP(AW429,Foundation_Calc!$I$2:$J$8,2,FALSE),0),
IF(AX429="K",VLOOKUP(K429,Foundation_Calc!$K$41:$R$74,VLOOKUP(AW429,Foundation_Calc!$I$2:$J$8,2,FALSE),0),"")))</f>
        <v/>
      </c>
      <c r="BA429" s="632" t="str">
        <f t="shared" si="63"/>
        <v/>
      </c>
      <c r="BB429" s="632" t="str">
        <f t="shared" si="64"/>
        <v/>
      </c>
      <c r="BC429" s="632" t="str">
        <f t="shared" si="65"/>
        <v/>
      </c>
      <c r="BD429" s="633" t="str">
        <f>IF(AND(L429="",H429=""),"",
IF(H429="",Pole_Calc!A457,
IF(H429="MP",Pole_Calc!A458,
IF(H429="AnMP",Pole_Calc!A459,
IF(H429="A",Pole_Calc!A460,
IF(H429="S/A",Pole_Calc!A461,
IF(H429="A/S",Pole_Calc!A462,"Poner a mano")))))))</f>
        <v/>
      </c>
      <c r="BE429" s="448" t="s">
        <v>1726</v>
      </c>
      <c r="BF429" s="635"/>
      <c r="BG429" s="635"/>
      <c r="BH429" s="634"/>
      <c r="BI429" s="635"/>
    </row>
    <row r="430" spans="1:61" ht="16.2" customHeight="1">
      <c r="A430" s="12"/>
      <c r="B430" s="446"/>
      <c r="C430" s="89"/>
      <c r="D430" s="13"/>
      <c r="E430" s="14"/>
      <c r="F430" s="14"/>
      <c r="G430" s="15"/>
      <c r="H430" s="8"/>
      <c r="I430" s="8"/>
      <c r="J430" s="89"/>
      <c r="K430" s="8"/>
      <c r="L430" s="8"/>
      <c r="M430" s="8" t="str">
        <f>IF(L430="","",
IF(AX430="PT",VLOOKUP(L430,Foundation_Calc!$V$4:$X$37,VLOOKUP(AX430,Foundation_Calc!$I$10:$J$13,2,FALSE),0),
IF(AX430="K",VLOOKUP(L430,Foundation_Calc!$V$41:$X$74,VLOOKUP(AX430,Foundation_Calc!$I$10:$J$13,2,FALSE),0),"")))</f>
        <v/>
      </c>
      <c r="N430" s="8"/>
      <c r="O430" s="8"/>
      <c r="P430" s="8"/>
      <c r="Q430" s="14"/>
      <c r="R430" s="15"/>
      <c r="S430" s="15"/>
      <c r="T430" s="14"/>
      <c r="U430" s="14"/>
      <c r="V430" s="14"/>
      <c r="W430" s="18"/>
      <c r="X430" s="18"/>
      <c r="Y430" s="18"/>
      <c r="Z430" s="18"/>
      <c r="AA430" s="18"/>
      <c r="AB430" s="18"/>
      <c r="AC430" s="8" t="str">
        <f t="shared" si="62"/>
        <v/>
      </c>
      <c r="AD430" s="8"/>
      <c r="AE430" s="8"/>
      <c r="AF430" s="14"/>
      <c r="AG430" s="13"/>
      <c r="AH430" s="14"/>
      <c r="AI430" s="14"/>
      <c r="AJ430" s="8"/>
      <c r="AK430" s="8"/>
      <c r="AL430" s="8"/>
      <c r="AM430" s="8"/>
      <c r="AN430" s="631"/>
      <c r="AO430" s="18"/>
      <c r="AP430" s="18"/>
      <c r="AQ430" s="18"/>
      <c r="AR430" s="18"/>
      <c r="AS430" s="18"/>
      <c r="AU430" s="448"/>
      <c r="AV430" s="448"/>
      <c r="AW430" s="8" t="str">
        <f>IF(C430&gt;0,VLOOKUP(C430,Foundation_Calc!$A$2:$C$986,3,1),
IF(J430&gt;0,VLOOKUP(J430,Foundation_Calc!$A$2:$C$986,3,1),""))</f>
        <v/>
      </c>
      <c r="AX430" s="8" t="str">
        <f>IF(C430&gt;0,VLOOKUP(C430,Foundation_Calc!$E$2:$G$986,3,1),
IF(J430&gt;0,VLOOKUP(J430,Foundation_Calc!$E$2:$G$986,3,1),""))</f>
        <v/>
      </c>
      <c r="AY430" s="631" t="str">
        <f>IF(L430="","",
IF(AX430="PT",VLOOKUP(L430,Foundation_Calc!$K$4:$R$37,VLOOKUP(AW430,Foundation_Calc!$I$2:$J$8,2,FALSE),0),
IF(AX430="K",VLOOKUP(L430,Foundation_Calc!$K$41:$R$74,VLOOKUP(AW430,Foundation_Calc!$I$2:$J$8,2,FALSE),0),"")))</f>
        <v/>
      </c>
      <c r="AZ430" s="631" t="str">
        <f>IF(K430="","",
IF(AX430="PT",VLOOKUP(K430,Foundation_Calc!$K$4:$R$37,VLOOKUP(AW430,Foundation_Calc!$I$2:$J$8,2,FALSE),0),
IF(AX430="K",VLOOKUP(K430,Foundation_Calc!$K$41:$R$74,VLOOKUP(AW430,Foundation_Calc!$I$2:$J$8,2,FALSE),0),"")))</f>
        <v/>
      </c>
      <c r="BA430" s="632" t="str">
        <f t="shared" si="63"/>
        <v/>
      </c>
      <c r="BB430" s="632" t="str">
        <f t="shared" si="64"/>
        <v/>
      </c>
      <c r="BC430" s="632" t="str">
        <f t="shared" si="65"/>
        <v/>
      </c>
      <c r="BD430" s="633" t="str">
        <f>IF(AND(L430="",H430=""),"",
IF(H430="",Pole_Calc!A458,
IF(H430="MP",Pole_Calc!A459,
IF(H430="AnMP",Pole_Calc!A460,
IF(H430="A",Pole_Calc!A461,
IF(H430="S/A",Pole_Calc!A462,
IF(H430="A/S",Pole_Calc!A463,"Poner a mano")))))))</f>
        <v/>
      </c>
      <c r="BE430" s="448" t="s">
        <v>1726</v>
      </c>
      <c r="BF430" s="634"/>
      <c r="BG430" s="634"/>
      <c r="BH430" s="634"/>
      <c r="BI430" s="634"/>
    </row>
    <row r="431" spans="1:61" ht="16.2" customHeight="1">
      <c r="A431" s="12"/>
      <c r="B431" s="446"/>
      <c r="C431" s="89"/>
      <c r="D431" s="13"/>
      <c r="E431" s="14"/>
      <c r="F431" s="14"/>
      <c r="G431" s="15"/>
      <c r="H431" s="8"/>
      <c r="I431" s="8"/>
      <c r="J431" s="89"/>
      <c r="K431" s="8"/>
      <c r="L431" s="8"/>
      <c r="M431" s="8" t="str">
        <f>IF(L431="","",
IF(AX431="PT",VLOOKUP(L431,Foundation_Calc!$V$4:$X$37,VLOOKUP(AX431,Foundation_Calc!$I$10:$J$13,2,FALSE),0),
IF(AX431="K",VLOOKUP(L431,Foundation_Calc!$V$41:$X$74,VLOOKUP(AX431,Foundation_Calc!$I$10:$J$13,2,FALSE),0),"")))</f>
        <v/>
      </c>
      <c r="N431" s="8"/>
      <c r="O431" s="8"/>
      <c r="P431" s="8"/>
      <c r="Q431" s="14"/>
      <c r="R431" s="15"/>
      <c r="S431" s="15"/>
      <c r="T431" s="14"/>
      <c r="U431" s="14"/>
      <c r="V431" s="14"/>
      <c r="W431" s="18"/>
      <c r="X431" s="18"/>
      <c r="Y431" s="18"/>
      <c r="Z431" s="18"/>
      <c r="AA431" s="18"/>
      <c r="AB431" s="18"/>
      <c r="AC431" s="8" t="str">
        <f t="shared" si="62"/>
        <v/>
      </c>
      <c r="AD431" s="8"/>
      <c r="AE431" s="8"/>
      <c r="AF431" s="14"/>
      <c r="AG431" s="13"/>
      <c r="AH431" s="14"/>
      <c r="AI431" s="14"/>
      <c r="AJ431" s="8"/>
      <c r="AK431" s="8"/>
      <c r="AL431" s="8"/>
      <c r="AM431" s="8"/>
      <c r="AN431" s="631"/>
      <c r="AO431" s="18"/>
      <c r="AP431" s="18"/>
      <c r="AQ431" s="18"/>
      <c r="AR431" s="18"/>
      <c r="AS431" s="18"/>
      <c r="AU431" s="448"/>
      <c r="AV431" s="448"/>
      <c r="AW431" s="8" t="str">
        <f>IF(C431&gt;0,VLOOKUP(C431,Foundation_Calc!$A$2:$C$986,3,1),
IF(J431&gt;0,VLOOKUP(J431,Foundation_Calc!$A$2:$C$986,3,1),""))</f>
        <v/>
      </c>
      <c r="AX431" s="8" t="str">
        <f>IF(C431&gt;0,VLOOKUP(C431,Foundation_Calc!$E$2:$G$986,3,1),
IF(J431&gt;0,VLOOKUP(J431,Foundation_Calc!$E$2:$G$986,3,1),""))</f>
        <v/>
      </c>
      <c r="AY431" s="631" t="str">
        <f>IF(L431="","",
IF(AX431="PT",VLOOKUP(L431,Foundation_Calc!$K$4:$R$37,VLOOKUP(AW431,Foundation_Calc!$I$2:$J$8,2,FALSE),0),
IF(AX431="K",VLOOKUP(L431,Foundation_Calc!$K$41:$R$74,VLOOKUP(AW431,Foundation_Calc!$I$2:$J$8,2,FALSE),0),"")))</f>
        <v/>
      </c>
      <c r="AZ431" s="631" t="str">
        <f>IF(K431="","",
IF(AX431="PT",VLOOKUP(K431,Foundation_Calc!$K$4:$R$37,VLOOKUP(AW431,Foundation_Calc!$I$2:$J$8,2,FALSE),0),
IF(AX431="K",VLOOKUP(K431,Foundation_Calc!$K$41:$R$74,VLOOKUP(AW431,Foundation_Calc!$I$2:$J$8,2,FALSE),0),"")))</f>
        <v/>
      </c>
      <c r="BA431" s="632" t="str">
        <f t="shared" si="63"/>
        <v/>
      </c>
      <c r="BB431" s="632" t="str">
        <f t="shared" si="64"/>
        <v/>
      </c>
      <c r="BC431" s="632" t="str">
        <f t="shared" si="65"/>
        <v/>
      </c>
      <c r="BD431" s="633" t="str">
        <f>IF(AND(L431="",H431=""),"",
IF(H431="",Pole_Calc!A459,
IF(H431="MP",Pole_Calc!A460,
IF(H431="AnMP",Pole_Calc!A461,
IF(H431="A",Pole_Calc!A462,
IF(H431="S/A",Pole_Calc!A463,
IF(H431="A/S",Pole_Calc!A464,"Poner a mano")))))))</f>
        <v/>
      </c>
      <c r="BE431" s="448" t="s">
        <v>1726</v>
      </c>
      <c r="BF431" s="635"/>
      <c r="BG431" s="635"/>
      <c r="BH431" s="634"/>
      <c r="BI431" s="635"/>
    </row>
    <row r="432" spans="1:61" ht="16.2" customHeight="1">
      <c r="A432" s="12"/>
      <c r="B432" s="446"/>
      <c r="C432" s="89"/>
      <c r="D432" s="13"/>
      <c r="E432" s="14"/>
      <c r="F432" s="14"/>
      <c r="G432" s="15"/>
      <c r="H432" s="8"/>
      <c r="I432" s="8"/>
      <c r="J432" s="89"/>
      <c r="K432" s="8"/>
      <c r="L432" s="8"/>
      <c r="M432" s="8" t="str">
        <f>IF(L432="","",
IF(AX432="PT",VLOOKUP(L432,Foundation_Calc!$V$4:$X$37,VLOOKUP(AX432,Foundation_Calc!$I$10:$J$13,2,FALSE),0),
IF(AX432="K",VLOOKUP(L432,Foundation_Calc!$V$41:$X$74,VLOOKUP(AX432,Foundation_Calc!$I$10:$J$13,2,FALSE),0),"")))</f>
        <v/>
      </c>
      <c r="N432" s="8"/>
      <c r="O432" s="8"/>
      <c r="P432" s="8"/>
      <c r="Q432" s="14"/>
      <c r="R432" s="15"/>
      <c r="S432" s="15"/>
      <c r="T432" s="14"/>
      <c r="U432" s="14"/>
      <c r="V432" s="14"/>
      <c r="W432" s="18"/>
      <c r="X432" s="18"/>
      <c r="Y432" s="18"/>
      <c r="Z432" s="18"/>
      <c r="AA432" s="18"/>
      <c r="AB432" s="18"/>
      <c r="AC432" s="8" t="str">
        <f t="shared" si="62"/>
        <v/>
      </c>
      <c r="AD432" s="8"/>
      <c r="AE432" s="8"/>
      <c r="AF432" s="14"/>
      <c r="AG432" s="13"/>
      <c r="AH432" s="14"/>
      <c r="AI432" s="14"/>
      <c r="AJ432" s="8"/>
      <c r="AK432" s="8"/>
      <c r="AL432" s="8"/>
      <c r="AM432" s="8"/>
      <c r="AN432" s="631"/>
      <c r="AO432" s="18"/>
      <c r="AP432" s="18"/>
      <c r="AQ432" s="18"/>
      <c r="AR432" s="18"/>
      <c r="AS432" s="18"/>
      <c r="AU432" s="448"/>
      <c r="AV432" s="448"/>
      <c r="AW432" s="8" t="str">
        <f>IF(C432&gt;0,VLOOKUP(C432,Foundation_Calc!$A$2:$C$986,3,1),
IF(J432&gt;0,VLOOKUP(J432,Foundation_Calc!$A$2:$C$986,3,1),""))</f>
        <v/>
      </c>
      <c r="AX432" s="8" t="str">
        <f>IF(C432&gt;0,VLOOKUP(C432,Foundation_Calc!$E$2:$G$986,3,1),
IF(J432&gt;0,VLOOKUP(J432,Foundation_Calc!$E$2:$G$986,3,1),""))</f>
        <v/>
      </c>
      <c r="AY432" s="631" t="str">
        <f>IF(L432="","",
IF(AX432="PT",VLOOKUP(L432,Foundation_Calc!$K$4:$R$37,VLOOKUP(AW432,Foundation_Calc!$I$2:$J$8,2,FALSE),0),
IF(AX432="K",VLOOKUP(L432,Foundation_Calc!$K$41:$R$74,VLOOKUP(AW432,Foundation_Calc!$I$2:$J$8,2,FALSE),0),"")))</f>
        <v/>
      </c>
      <c r="AZ432" s="631" t="str">
        <f>IF(K432="","",
IF(AX432="PT",VLOOKUP(K432,Foundation_Calc!$K$4:$R$37,VLOOKUP(AW432,Foundation_Calc!$I$2:$J$8,2,FALSE),0),
IF(AX432="K",VLOOKUP(K432,Foundation_Calc!$K$41:$R$74,VLOOKUP(AW432,Foundation_Calc!$I$2:$J$8,2,FALSE),0),"")))</f>
        <v/>
      </c>
      <c r="BA432" s="632" t="str">
        <f t="shared" si="63"/>
        <v/>
      </c>
      <c r="BB432" s="632" t="str">
        <f t="shared" si="64"/>
        <v/>
      </c>
      <c r="BC432" s="632" t="str">
        <f t="shared" si="65"/>
        <v/>
      </c>
      <c r="BD432" s="633" t="str">
        <f>IF(AND(L432="",H432=""),"",
IF(H432="",Pole_Calc!A460,
IF(H432="MP",Pole_Calc!A461,
IF(H432="AnMP",Pole_Calc!A462,
IF(H432="A",Pole_Calc!A463,
IF(H432="S/A",Pole_Calc!A464,
IF(H432="A/S",Pole_Calc!A465,"Poner a mano")))))))</f>
        <v/>
      </c>
      <c r="BE432" s="448" t="s">
        <v>1726</v>
      </c>
      <c r="BF432" s="634"/>
      <c r="BG432" s="634"/>
      <c r="BH432" s="634"/>
      <c r="BI432" s="634"/>
    </row>
    <row r="433" spans="1:61" ht="16.2" customHeight="1">
      <c r="A433" s="12"/>
      <c r="B433" s="446"/>
      <c r="C433" s="89"/>
      <c r="D433" s="13"/>
      <c r="E433" s="14"/>
      <c r="F433" s="14"/>
      <c r="G433" s="15"/>
      <c r="H433" s="8"/>
      <c r="I433" s="8"/>
      <c r="J433" s="89"/>
      <c r="K433" s="8"/>
      <c r="L433" s="8"/>
      <c r="M433" s="8" t="str">
        <f>IF(L433="","",
IF(AX433="PT",VLOOKUP(L433,Foundation_Calc!$V$4:$X$37,VLOOKUP(AX433,Foundation_Calc!$I$10:$J$13,2,FALSE),0),
IF(AX433="K",VLOOKUP(L433,Foundation_Calc!$V$41:$X$74,VLOOKUP(AX433,Foundation_Calc!$I$10:$J$13,2,FALSE),0),"")))</f>
        <v/>
      </c>
      <c r="N433" s="8"/>
      <c r="O433" s="8"/>
      <c r="P433" s="8"/>
      <c r="Q433" s="14"/>
      <c r="R433" s="15"/>
      <c r="S433" s="15"/>
      <c r="T433" s="14"/>
      <c r="U433" s="14"/>
      <c r="V433" s="14"/>
      <c r="W433" s="18"/>
      <c r="X433" s="18"/>
      <c r="Y433" s="18"/>
      <c r="Z433" s="18"/>
      <c r="AA433" s="18"/>
      <c r="AB433" s="18"/>
      <c r="AC433" s="8" t="str">
        <f t="shared" si="62"/>
        <v/>
      </c>
      <c r="AD433" s="8"/>
      <c r="AE433" s="8"/>
      <c r="AF433" s="14"/>
      <c r="AG433" s="13"/>
      <c r="AH433" s="14"/>
      <c r="AI433" s="14"/>
      <c r="AJ433" s="8"/>
      <c r="AK433" s="8"/>
      <c r="AL433" s="8"/>
      <c r="AM433" s="8"/>
      <c r="AN433" s="631"/>
      <c r="AO433" s="18"/>
      <c r="AP433" s="18"/>
      <c r="AQ433" s="18"/>
      <c r="AR433" s="18"/>
      <c r="AS433" s="18"/>
      <c r="AU433" s="448"/>
      <c r="AV433" s="448"/>
      <c r="AW433" s="8" t="str">
        <f>IF(C433&gt;0,VLOOKUP(C433,Foundation_Calc!$A$2:$C$986,3,1),
IF(J433&gt;0,VLOOKUP(J433,Foundation_Calc!$A$2:$C$986,3,1),""))</f>
        <v/>
      </c>
      <c r="AX433" s="8" t="str">
        <f>IF(C433&gt;0,VLOOKUP(C433,Foundation_Calc!$E$2:$G$986,3,1),
IF(J433&gt;0,VLOOKUP(J433,Foundation_Calc!$E$2:$G$986,3,1),""))</f>
        <v/>
      </c>
      <c r="AY433" s="631" t="str">
        <f>IF(L433="","",
IF(AX433="PT",VLOOKUP(L433,Foundation_Calc!$K$4:$R$37,VLOOKUP(AW433,Foundation_Calc!$I$2:$J$8,2,FALSE),0),
IF(AX433="K",VLOOKUP(L433,Foundation_Calc!$K$41:$R$74,VLOOKUP(AW433,Foundation_Calc!$I$2:$J$8,2,FALSE),0),"")))</f>
        <v/>
      </c>
      <c r="AZ433" s="631" t="str">
        <f>IF(K433="","",
IF(AX433="PT",VLOOKUP(K433,Foundation_Calc!$K$4:$R$37,VLOOKUP(AW433,Foundation_Calc!$I$2:$J$8,2,FALSE),0),
IF(AX433="K",VLOOKUP(K433,Foundation_Calc!$K$41:$R$74,VLOOKUP(AW433,Foundation_Calc!$I$2:$J$8,2,FALSE),0),"")))</f>
        <v/>
      </c>
      <c r="BA433" s="632" t="str">
        <f t="shared" si="63"/>
        <v/>
      </c>
      <c r="BB433" s="632" t="str">
        <f t="shared" si="64"/>
        <v/>
      </c>
      <c r="BC433" s="632" t="str">
        <f t="shared" si="65"/>
        <v/>
      </c>
      <c r="BD433" s="633" t="str">
        <f>IF(AND(L433="",H433=""),"",
IF(H433="",Pole_Calc!A461,
IF(H433="MP",Pole_Calc!A462,
IF(H433="AnMP",Pole_Calc!A463,
IF(H433="A",Pole_Calc!A464,
IF(H433="S/A",Pole_Calc!A465,
IF(H433="A/S",Pole_Calc!A466,"Poner a mano")))))))</f>
        <v/>
      </c>
      <c r="BE433" s="448" t="s">
        <v>1726</v>
      </c>
      <c r="BF433" s="635"/>
      <c r="BG433" s="635"/>
      <c r="BH433" s="634"/>
      <c r="BI433" s="635"/>
    </row>
    <row r="434" spans="1:61" ht="16.2" customHeight="1">
      <c r="A434" s="12"/>
      <c r="B434" s="446"/>
      <c r="C434" s="89"/>
      <c r="D434" s="13"/>
      <c r="E434" s="14"/>
      <c r="F434" s="14"/>
      <c r="G434" s="15"/>
      <c r="H434" s="8"/>
      <c r="I434" s="8"/>
      <c r="J434" s="89"/>
      <c r="K434" s="8"/>
      <c r="L434" s="8"/>
      <c r="M434" s="8" t="str">
        <f>IF(L434="","",
IF(AX434="PT",VLOOKUP(L434,Foundation_Calc!$V$4:$X$37,VLOOKUP(AX434,Foundation_Calc!$I$10:$J$13,2,FALSE),0),
IF(AX434="K",VLOOKUP(L434,Foundation_Calc!$V$41:$X$74,VLOOKUP(AX434,Foundation_Calc!$I$10:$J$13,2,FALSE),0),"")))</f>
        <v/>
      </c>
      <c r="N434" s="8"/>
      <c r="O434" s="8"/>
      <c r="P434" s="8"/>
      <c r="Q434" s="14"/>
      <c r="R434" s="15"/>
      <c r="S434" s="15"/>
      <c r="T434" s="14"/>
      <c r="U434" s="14"/>
      <c r="V434" s="14"/>
      <c r="W434" s="18"/>
      <c r="X434" s="18"/>
      <c r="Y434" s="18"/>
      <c r="Z434" s="18"/>
      <c r="AA434" s="18"/>
      <c r="AB434" s="18"/>
      <c r="AC434" s="8" t="str">
        <f t="shared" si="62"/>
        <v/>
      </c>
      <c r="AD434" s="8"/>
      <c r="AE434" s="8"/>
      <c r="AF434" s="14"/>
      <c r="AG434" s="13"/>
      <c r="AH434" s="14"/>
      <c r="AI434" s="14"/>
      <c r="AJ434" s="8"/>
      <c r="AK434" s="8"/>
      <c r="AL434" s="8"/>
      <c r="AM434" s="8"/>
      <c r="AN434" s="631"/>
      <c r="AO434" s="18"/>
      <c r="AP434" s="18"/>
      <c r="AQ434" s="18"/>
      <c r="AR434" s="18"/>
      <c r="AS434" s="18"/>
      <c r="AU434" s="448"/>
      <c r="AV434" s="448"/>
      <c r="AW434" s="8" t="str">
        <f>IF(C434&gt;0,VLOOKUP(C434,Foundation_Calc!$A$2:$C$986,3,1),
IF(J434&gt;0,VLOOKUP(J434,Foundation_Calc!$A$2:$C$986,3,1),""))</f>
        <v/>
      </c>
      <c r="AX434" s="8" t="str">
        <f>IF(C434&gt;0,VLOOKUP(C434,Foundation_Calc!$E$2:$G$986,3,1),
IF(J434&gt;0,VLOOKUP(J434,Foundation_Calc!$E$2:$G$986,3,1),""))</f>
        <v/>
      </c>
      <c r="AY434" s="631" t="str">
        <f>IF(L434="","",
IF(AX434="PT",VLOOKUP(L434,Foundation_Calc!$K$4:$R$37,VLOOKUP(AW434,Foundation_Calc!$I$2:$J$8,2,FALSE),0),
IF(AX434="K",VLOOKUP(L434,Foundation_Calc!$K$41:$R$74,VLOOKUP(AW434,Foundation_Calc!$I$2:$J$8,2,FALSE),0),"")))</f>
        <v/>
      </c>
      <c r="AZ434" s="631" t="str">
        <f>IF(K434="","",
IF(AX434="PT",VLOOKUP(K434,Foundation_Calc!$K$4:$R$37,VLOOKUP(AW434,Foundation_Calc!$I$2:$J$8,2,FALSE),0),
IF(AX434="K",VLOOKUP(K434,Foundation_Calc!$K$41:$R$74,VLOOKUP(AW434,Foundation_Calc!$I$2:$J$8,2,FALSE),0),"")))</f>
        <v/>
      </c>
      <c r="BA434" s="632" t="str">
        <f t="shared" si="63"/>
        <v/>
      </c>
      <c r="BB434" s="632" t="str">
        <f t="shared" si="64"/>
        <v/>
      </c>
      <c r="BC434" s="632" t="str">
        <f t="shared" si="65"/>
        <v/>
      </c>
      <c r="BD434" s="633" t="str">
        <f>IF(AND(L434="",H434=""),"",
IF(H434="",Pole_Calc!A462,
IF(H434="MP",Pole_Calc!A463,
IF(H434="AnMP",Pole_Calc!A464,
IF(H434="A",Pole_Calc!A465,
IF(H434="S/A",Pole_Calc!A466,
IF(H434="A/S",Pole_Calc!A467,"Poner a mano")))))))</f>
        <v/>
      </c>
      <c r="BE434" s="448" t="s">
        <v>1726</v>
      </c>
      <c r="BF434" s="634"/>
      <c r="BG434" s="634"/>
      <c r="BH434" s="634"/>
      <c r="BI434" s="634"/>
    </row>
    <row r="435" spans="1:61" ht="16.2" customHeight="1">
      <c r="A435" s="12"/>
      <c r="B435" s="446"/>
      <c r="C435" s="89"/>
      <c r="D435" s="13"/>
      <c r="E435" s="14"/>
      <c r="F435" s="14"/>
      <c r="G435" s="15"/>
      <c r="H435" s="8"/>
      <c r="I435" s="8"/>
      <c r="J435" s="89"/>
      <c r="K435" s="8"/>
      <c r="L435" s="8"/>
      <c r="M435" s="8" t="str">
        <f>IF(L435="","",
IF(AX435="PT",VLOOKUP(L435,Foundation_Calc!$V$4:$X$37,VLOOKUP(AX435,Foundation_Calc!$I$10:$J$13,2,FALSE),0),
IF(AX435="K",VLOOKUP(L435,Foundation_Calc!$V$41:$X$74,VLOOKUP(AX435,Foundation_Calc!$I$10:$J$13,2,FALSE),0),"")))</f>
        <v/>
      </c>
      <c r="N435" s="8"/>
      <c r="O435" s="8"/>
      <c r="P435" s="8"/>
      <c r="Q435" s="14"/>
      <c r="R435" s="15"/>
      <c r="S435" s="15"/>
      <c r="T435" s="14"/>
      <c r="U435" s="14"/>
      <c r="V435" s="14"/>
      <c r="W435" s="18"/>
      <c r="X435" s="18"/>
      <c r="Y435" s="18"/>
      <c r="Z435" s="18"/>
      <c r="AA435" s="18"/>
      <c r="AB435" s="18"/>
      <c r="AC435" s="8" t="str">
        <f t="shared" si="62"/>
        <v/>
      </c>
      <c r="AD435" s="8"/>
      <c r="AE435" s="8"/>
      <c r="AF435" s="14"/>
      <c r="AG435" s="13"/>
      <c r="AH435" s="14"/>
      <c r="AI435" s="14"/>
      <c r="AJ435" s="8"/>
      <c r="AK435" s="8"/>
      <c r="AL435" s="8"/>
      <c r="AM435" s="8"/>
      <c r="AN435" s="631"/>
      <c r="AO435" s="18"/>
      <c r="AP435" s="18"/>
      <c r="AQ435" s="18"/>
      <c r="AR435" s="18"/>
      <c r="AS435" s="18"/>
      <c r="AU435" s="448"/>
      <c r="AV435" s="448"/>
      <c r="AW435" s="8" t="str">
        <f>IF(C435&gt;0,VLOOKUP(C435,Foundation_Calc!$A$2:$C$986,3,1),
IF(J435&gt;0,VLOOKUP(J435,Foundation_Calc!$A$2:$C$986,3,1),""))</f>
        <v/>
      </c>
      <c r="AX435" s="8" t="str">
        <f>IF(C435&gt;0,VLOOKUP(C435,Foundation_Calc!$E$2:$G$986,3,1),
IF(J435&gt;0,VLOOKUP(J435,Foundation_Calc!$E$2:$G$986,3,1),""))</f>
        <v/>
      </c>
      <c r="AY435" s="631" t="str">
        <f>IF(L435="","",
IF(AX435="PT",VLOOKUP(L435,Foundation_Calc!$K$4:$R$37,VLOOKUP(AW435,Foundation_Calc!$I$2:$J$8,2,FALSE),0),
IF(AX435="K",VLOOKUP(L435,Foundation_Calc!$K$41:$R$74,VLOOKUP(AW435,Foundation_Calc!$I$2:$J$8,2,FALSE),0),"")))</f>
        <v/>
      </c>
      <c r="AZ435" s="631" t="str">
        <f>IF(K435="","",
IF(AX435="PT",VLOOKUP(K435,Foundation_Calc!$K$4:$R$37,VLOOKUP(AW435,Foundation_Calc!$I$2:$J$8,2,FALSE),0),
IF(AX435="K",VLOOKUP(K435,Foundation_Calc!$K$41:$R$74,VLOOKUP(AW435,Foundation_Calc!$I$2:$J$8,2,FALSE),0),"")))</f>
        <v/>
      </c>
      <c r="BA435" s="632" t="str">
        <f t="shared" si="63"/>
        <v/>
      </c>
      <c r="BB435" s="632" t="str">
        <f t="shared" si="64"/>
        <v/>
      </c>
      <c r="BC435" s="632" t="str">
        <f t="shared" si="65"/>
        <v/>
      </c>
      <c r="BD435" s="633" t="str">
        <f>IF(AND(L435="",H435=""),"",
IF(H435="",Pole_Calc!A463,
IF(H435="MP",Pole_Calc!A464,
IF(H435="AnMP",Pole_Calc!A465,
IF(H435="A",Pole_Calc!A466,
IF(H435="S/A",Pole_Calc!A467,
IF(H435="A/S",Pole_Calc!A468,"Poner a mano")))))))</f>
        <v/>
      </c>
      <c r="BE435" s="448" t="s">
        <v>1726</v>
      </c>
      <c r="BF435" s="635"/>
      <c r="BG435" s="635"/>
      <c r="BH435" s="634"/>
      <c r="BI435" s="635"/>
    </row>
    <row r="436" spans="1:61" ht="16.2" customHeight="1">
      <c r="A436" s="12"/>
      <c r="B436" s="446"/>
      <c r="C436" s="89"/>
      <c r="D436" s="13"/>
      <c r="E436" s="14"/>
      <c r="F436" s="14"/>
      <c r="G436" s="15"/>
      <c r="H436" s="8"/>
      <c r="I436" s="8"/>
      <c r="J436" s="89"/>
      <c r="K436" s="8"/>
      <c r="L436" s="8"/>
      <c r="M436" s="8" t="str">
        <f>IF(L436="","",
IF(AX436="PT",VLOOKUP(L436,Foundation_Calc!$V$4:$X$37,VLOOKUP(AX436,Foundation_Calc!$I$10:$J$13,2,FALSE),0),
IF(AX436="K",VLOOKUP(L436,Foundation_Calc!$V$41:$X$74,VLOOKUP(AX436,Foundation_Calc!$I$10:$J$13,2,FALSE),0),"")))</f>
        <v/>
      </c>
      <c r="N436" s="8"/>
      <c r="O436" s="8"/>
      <c r="P436" s="8"/>
      <c r="Q436" s="14"/>
      <c r="R436" s="15"/>
      <c r="S436" s="15"/>
      <c r="T436" s="14"/>
      <c r="U436" s="14"/>
      <c r="V436" s="14"/>
      <c r="W436" s="18"/>
      <c r="X436" s="18"/>
      <c r="Y436" s="18"/>
      <c r="Z436" s="18"/>
      <c r="AA436" s="18"/>
      <c r="AB436" s="18"/>
      <c r="AC436" s="8" t="str">
        <f t="shared" si="62"/>
        <v/>
      </c>
      <c r="AD436" s="8"/>
      <c r="AE436" s="8"/>
      <c r="AF436" s="14"/>
      <c r="AG436" s="13"/>
      <c r="AH436" s="14"/>
      <c r="AI436" s="14"/>
      <c r="AJ436" s="8"/>
      <c r="AK436" s="8"/>
      <c r="AL436" s="8"/>
      <c r="AM436" s="8"/>
      <c r="AN436" s="631"/>
      <c r="AO436" s="18"/>
      <c r="AP436" s="18"/>
      <c r="AQ436" s="18"/>
      <c r="AR436" s="18"/>
      <c r="AS436" s="18"/>
      <c r="AU436" s="448"/>
      <c r="AV436" s="448"/>
      <c r="AW436" s="8" t="str">
        <f>IF(C436&gt;0,VLOOKUP(C436,Foundation_Calc!$A$2:$C$986,3,1),
IF(J436&gt;0,VLOOKUP(J436,Foundation_Calc!$A$2:$C$986,3,1),""))</f>
        <v/>
      </c>
      <c r="AX436" s="8" t="str">
        <f>IF(C436&gt;0,VLOOKUP(C436,Foundation_Calc!$E$2:$G$986,3,1),
IF(J436&gt;0,VLOOKUP(J436,Foundation_Calc!$E$2:$G$986,3,1),""))</f>
        <v/>
      </c>
      <c r="AY436" s="631" t="str">
        <f>IF(L436="","",
IF(AX436="PT",VLOOKUP(L436,Foundation_Calc!$K$4:$R$37,VLOOKUP(AW436,Foundation_Calc!$I$2:$J$8,2,FALSE),0),
IF(AX436="K",VLOOKUP(L436,Foundation_Calc!$K$41:$R$74,VLOOKUP(AW436,Foundation_Calc!$I$2:$J$8,2,FALSE),0),"")))</f>
        <v/>
      </c>
      <c r="AZ436" s="631" t="str">
        <f>IF(K436="","",
IF(AX436="PT",VLOOKUP(K436,Foundation_Calc!$K$4:$R$37,VLOOKUP(AW436,Foundation_Calc!$I$2:$J$8,2,FALSE),0),
IF(AX436="K",VLOOKUP(K436,Foundation_Calc!$K$41:$R$74,VLOOKUP(AW436,Foundation_Calc!$I$2:$J$8,2,FALSE),0),"")))</f>
        <v/>
      </c>
      <c r="BA436" s="632" t="str">
        <f t="shared" si="63"/>
        <v/>
      </c>
      <c r="BB436" s="632" t="str">
        <f t="shared" si="64"/>
        <v/>
      </c>
      <c r="BC436" s="632" t="str">
        <f t="shared" si="65"/>
        <v/>
      </c>
      <c r="BD436" s="633" t="str">
        <f>IF(AND(L436="",H436=""),"",
IF(H436="",Pole_Calc!A464,
IF(H436="MP",Pole_Calc!A465,
IF(H436="AnMP",Pole_Calc!A466,
IF(H436="A",Pole_Calc!A467,
IF(H436="S/A",Pole_Calc!A468,
IF(H436="A/S",Pole_Calc!A469,"Poner a mano")))))))</f>
        <v/>
      </c>
      <c r="BE436" s="448" t="s">
        <v>1726</v>
      </c>
      <c r="BF436" s="634"/>
      <c r="BG436" s="634"/>
      <c r="BH436" s="634"/>
      <c r="BI436" s="634"/>
    </row>
    <row r="437" spans="1:61" ht="16.2" customHeight="1">
      <c r="A437" s="12"/>
      <c r="B437" s="446"/>
      <c r="C437" s="89"/>
      <c r="D437" s="13"/>
      <c r="E437" s="14"/>
      <c r="F437" s="14"/>
      <c r="G437" s="15"/>
      <c r="H437" s="8"/>
      <c r="I437" s="8"/>
      <c r="J437" s="89"/>
      <c r="K437" s="8"/>
      <c r="L437" s="8"/>
      <c r="M437" s="8" t="str">
        <f>IF(L437="","",
IF(AX437="PT",VLOOKUP(L437,Foundation_Calc!$V$4:$X$37,VLOOKUP(AX437,Foundation_Calc!$I$10:$J$13,2,FALSE),0),
IF(AX437="K",VLOOKUP(L437,Foundation_Calc!$V$41:$X$74,VLOOKUP(AX437,Foundation_Calc!$I$10:$J$13,2,FALSE),0),"")))</f>
        <v/>
      </c>
      <c r="N437" s="8"/>
      <c r="O437" s="8"/>
      <c r="P437" s="8"/>
      <c r="Q437" s="14"/>
      <c r="R437" s="15"/>
      <c r="S437" s="15"/>
      <c r="T437" s="14"/>
      <c r="U437" s="14"/>
      <c r="V437" s="14"/>
      <c r="W437" s="18"/>
      <c r="X437" s="18"/>
      <c r="Y437" s="18"/>
      <c r="Z437" s="18"/>
      <c r="AA437" s="18"/>
      <c r="AB437" s="18"/>
      <c r="AC437" s="8" t="str">
        <f t="shared" si="62"/>
        <v/>
      </c>
      <c r="AD437" s="8"/>
      <c r="AE437" s="8"/>
      <c r="AF437" s="14"/>
      <c r="AG437" s="13"/>
      <c r="AH437" s="14"/>
      <c r="AI437" s="14"/>
      <c r="AJ437" s="8"/>
      <c r="AK437" s="8"/>
      <c r="AL437" s="8"/>
      <c r="AM437" s="8"/>
      <c r="AN437" s="631"/>
      <c r="AO437" s="18"/>
      <c r="AP437" s="18"/>
      <c r="AQ437" s="18"/>
      <c r="AR437" s="18"/>
      <c r="AS437" s="18"/>
      <c r="AU437" s="448"/>
      <c r="AV437" s="448"/>
      <c r="AW437" s="8" t="str">
        <f>IF(C437&gt;0,VLOOKUP(C437,Foundation_Calc!$A$2:$C$986,3,1),
IF(J437&gt;0,VLOOKUP(J437,Foundation_Calc!$A$2:$C$986,3,1),""))</f>
        <v/>
      </c>
      <c r="AX437" s="8" t="str">
        <f>IF(C437&gt;0,VLOOKUP(C437,Foundation_Calc!$E$2:$G$986,3,1),
IF(J437&gt;0,VLOOKUP(J437,Foundation_Calc!$E$2:$G$986,3,1),""))</f>
        <v/>
      </c>
      <c r="AY437" s="631" t="str">
        <f>IF(L437="","",
IF(AX437="PT",VLOOKUP(L437,Foundation_Calc!$K$4:$R$37,VLOOKUP(AW437,Foundation_Calc!$I$2:$J$8,2,FALSE),0),
IF(AX437="K",VLOOKUP(L437,Foundation_Calc!$K$41:$R$74,VLOOKUP(AW437,Foundation_Calc!$I$2:$J$8,2,FALSE),0),"")))</f>
        <v/>
      </c>
      <c r="AZ437" s="631" t="str">
        <f>IF(K437="","",
IF(AX437="PT",VLOOKUP(K437,Foundation_Calc!$K$4:$R$37,VLOOKUP(AW437,Foundation_Calc!$I$2:$J$8,2,FALSE),0),
IF(AX437="K",VLOOKUP(K437,Foundation_Calc!$K$41:$R$74,VLOOKUP(AW437,Foundation_Calc!$I$2:$J$8,2,FALSE),0),"")))</f>
        <v/>
      </c>
      <c r="BA437" s="632" t="str">
        <f t="shared" si="63"/>
        <v/>
      </c>
      <c r="BB437" s="632" t="str">
        <f t="shared" si="64"/>
        <v/>
      </c>
      <c r="BC437" s="632" t="str">
        <f t="shared" si="65"/>
        <v/>
      </c>
      <c r="BD437" s="633" t="str">
        <f>IF(AND(L437="",H437=""),"",
IF(H437="",Pole_Calc!A465,
IF(H437="MP",Pole_Calc!A466,
IF(H437="AnMP",Pole_Calc!A467,
IF(H437="A",Pole_Calc!A468,
IF(H437="S/A",Pole_Calc!A469,
IF(H437="A/S",Pole_Calc!A470,"Poner a mano")))))))</f>
        <v/>
      </c>
      <c r="BE437" s="448" t="s">
        <v>1726</v>
      </c>
      <c r="BF437" s="635"/>
      <c r="BG437" s="635"/>
      <c r="BH437" s="634"/>
      <c r="BI437" s="635"/>
    </row>
    <row r="438" spans="1:61" ht="16.2" customHeight="1">
      <c r="A438" s="12"/>
      <c r="B438" s="446"/>
      <c r="C438" s="89"/>
      <c r="D438" s="13"/>
      <c r="E438" s="14"/>
      <c r="F438" s="14"/>
      <c r="G438" s="15"/>
      <c r="H438" s="8"/>
      <c r="I438" s="8"/>
      <c r="J438" s="89"/>
      <c r="K438" s="8"/>
      <c r="L438" s="8"/>
      <c r="M438" s="8" t="str">
        <f>IF(L438="","",
IF(AX438="PT",VLOOKUP(L438,Foundation_Calc!$V$4:$X$37,VLOOKUP(AX438,Foundation_Calc!$I$10:$J$13,2,FALSE),0),
IF(AX438="K",VLOOKUP(L438,Foundation_Calc!$V$41:$X$74,VLOOKUP(AX438,Foundation_Calc!$I$10:$J$13,2,FALSE),0),"")))</f>
        <v/>
      </c>
      <c r="N438" s="8"/>
      <c r="O438" s="8"/>
      <c r="P438" s="8"/>
      <c r="Q438" s="14"/>
      <c r="R438" s="15"/>
      <c r="S438" s="15"/>
      <c r="T438" s="14"/>
      <c r="U438" s="14"/>
      <c r="V438" s="14"/>
      <c r="W438" s="18"/>
      <c r="X438" s="18"/>
      <c r="Y438" s="18"/>
      <c r="Z438" s="18"/>
      <c r="AA438" s="18"/>
      <c r="AB438" s="18"/>
      <c r="AC438" s="8" t="str">
        <f t="shared" si="62"/>
        <v/>
      </c>
      <c r="AD438" s="8"/>
      <c r="AE438" s="8"/>
      <c r="AF438" s="14"/>
      <c r="AG438" s="13"/>
      <c r="AH438" s="14"/>
      <c r="AI438" s="14"/>
      <c r="AJ438" s="8"/>
      <c r="AK438" s="8"/>
      <c r="AL438" s="8"/>
      <c r="AM438" s="8"/>
      <c r="AN438" s="631"/>
      <c r="AO438" s="18"/>
      <c r="AP438" s="18"/>
      <c r="AQ438" s="18"/>
      <c r="AR438" s="18"/>
      <c r="AS438" s="18"/>
      <c r="AU438" s="448"/>
      <c r="AV438" s="448"/>
      <c r="AW438" s="8" t="str">
        <f>IF(C438&gt;0,VLOOKUP(C438,Foundation_Calc!$A$2:$C$986,3,1),
IF(J438&gt;0,VLOOKUP(J438,Foundation_Calc!$A$2:$C$986,3,1),""))</f>
        <v/>
      </c>
      <c r="AX438" s="8" t="str">
        <f>IF(C438&gt;0,VLOOKUP(C438,Foundation_Calc!$E$2:$G$986,3,1),
IF(J438&gt;0,VLOOKUP(J438,Foundation_Calc!$E$2:$G$986,3,1),""))</f>
        <v/>
      </c>
      <c r="AY438" s="631" t="str">
        <f>IF(L438="","",
IF(AX438="PT",VLOOKUP(L438,Foundation_Calc!$K$4:$R$37,VLOOKUP(AW438,Foundation_Calc!$I$2:$J$8,2,FALSE),0),
IF(AX438="K",VLOOKUP(L438,Foundation_Calc!$K$41:$R$74,VLOOKUP(AW438,Foundation_Calc!$I$2:$J$8,2,FALSE),0),"")))</f>
        <v/>
      </c>
      <c r="AZ438" s="631" t="str">
        <f>IF(K438="","",
IF(AX438="PT",VLOOKUP(K438,Foundation_Calc!$K$4:$R$37,VLOOKUP(AW438,Foundation_Calc!$I$2:$J$8,2,FALSE),0),
IF(AX438="K",VLOOKUP(K438,Foundation_Calc!$K$41:$R$74,VLOOKUP(AW438,Foundation_Calc!$I$2:$J$8,2,FALSE),0),"")))</f>
        <v/>
      </c>
      <c r="BA438" s="632" t="str">
        <f t="shared" si="63"/>
        <v/>
      </c>
      <c r="BB438" s="632" t="str">
        <f t="shared" si="64"/>
        <v/>
      </c>
      <c r="BC438" s="632" t="str">
        <f t="shared" si="65"/>
        <v/>
      </c>
      <c r="BD438" s="633" t="str">
        <f>IF(AND(L438="",H438=""),"",
IF(H438="",Pole_Calc!A466,
IF(H438="MP",Pole_Calc!A467,
IF(H438="AnMP",Pole_Calc!A468,
IF(H438="A",Pole_Calc!A469,
IF(H438="S/A",Pole_Calc!A470,
IF(H438="A/S",Pole_Calc!A471,"Poner a mano")))))))</f>
        <v/>
      </c>
      <c r="BE438" s="448" t="s">
        <v>1726</v>
      </c>
      <c r="BF438" s="634"/>
      <c r="BG438" s="634"/>
      <c r="BH438" s="634"/>
      <c r="BI438" s="634"/>
    </row>
    <row r="439" spans="1:61" ht="16.2" customHeight="1">
      <c r="A439" s="12"/>
      <c r="B439" s="446"/>
      <c r="C439" s="89"/>
      <c r="D439" s="13"/>
      <c r="E439" s="14"/>
      <c r="F439" s="14"/>
      <c r="G439" s="15"/>
      <c r="H439" s="8"/>
      <c r="I439" s="8"/>
      <c r="J439" s="89"/>
      <c r="K439" s="8"/>
      <c r="L439" s="8"/>
      <c r="M439" s="8" t="str">
        <f>IF(L439="","",
IF(AX439="PT",VLOOKUP(L439,Foundation_Calc!$V$4:$X$37,VLOOKUP(AX439,Foundation_Calc!$I$10:$J$13,2,FALSE),0),
IF(AX439="K",VLOOKUP(L439,Foundation_Calc!$V$41:$X$74,VLOOKUP(AX439,Foundation_Calc!$I$10:$J$13,2,FALSE),0),"")))</f>
        <v/>
      </c>
      <c r="N439" s="8"/>
      <c r="O439" s="8"/>
      <c r="P439" s="8"/>
      <c r="Q439" s="14"/>
      <c r="R439" s="15"/>
      <c r="S439" s="15"/>
      <c r="T439" s="14"/>
      <c r="U439" s="14"/>
      <c r="V439" s="14"/>
      <c r="W439" s="18"/>
      <c r="X439" s="18"/>
      <c r="Y439" s="18"/>
      <c r="Z439" s="18"/>
      <c r="AA439" s="18"/>
      <c r="AB439" s="18"/>
      <c r="AC439" s="8" t="str">
        <f t="shared" si="62"/>
        <v/>
      </c>
      <c r="AD439" s="8"/>
      <c r="AE439" s="8"/>
      <c r="AF439" s="14"/>
      <c r="AG439" s="13"/>
      <c r="AH439" s="14"/>
      <c r="AI439" s="14"/>
      <c r="AJ439" s="8"/>
      <c r="AK439" s="8"/>
      <c r="AL439" s="8"/>
      <c r="AM439" s="8"/>
      <c r="AN439" s="631"/>
      <c r="AO439" s="18"/>
      <c r="AP439" s="18"/>
      <c r="AQ439" s="18"/>
      <c r="AR439" s="18"/>
      <c r="AS439" s="18"/>
      <c r="AU439" s="448"/>
      <c r="AV439" s="448"/>
      <c r="AW439" s="8" t="str">
        <f>IF(C439&gt;0,VLOOKUP(C439,Foundation_Calc!$A$2:$C$986,3,1),
IF(J439&gt;0,VLOOKUP(J439,Foundation_Calc!$A$2:$C$986,3,1),""))</f>
        <v/>
      </c>
      <c r="AX439" s="8" t="str">
        <f>IF(C439&gt;0,VLOOKUP(C439,Foundation_Calc!$E$2:$G$986,3,1),
IF(J439&gt;0,VLOOKUP(J439,Foundation_Calc!$E$2:$G$986,3,1),""))</f>
        <v/>
      </c>
      <c r="AY439" s="631" t="str">
        <f>IF(L439="","",
IF(AX439="PT",VLOOKUP(L439,Foundation_Calc!$K$4:$R$37,VLOOKUP(AW439,Foundation_Calc!$I$2:$J$8,2,FALSE),0),
IF(AX439="K",VLOOKUP(L439,Foundation_Calc!$K$41:$R$74,VLOOKUP(AW439,Foundation_Calc!$I$2:$J$8,2,FALSE),0),"")))</f>
        <v/>
      </c>
      <c r="AZ439" s="631" t="str">
        <f>IF(K439="","",
IF(AX439="PT",VLOOKUP(K439,Foundation_Calc!$K$4:$R$37,VLOOKUP(AW439,Foundation_Calc!$I$2:$J$8,2,FALSE),0),
IF(AX439="K",VLOOKUP(K439,Foundation_Calc!$K$41:$R$74,VLOOKUP(AW439,Foundation_Calc!$I$2:$J$8,2,FALSE),0),"")))</f>
        <v/>
      </c>
      <c r="BA439" s="632" t="str">
        <f t="shared" si="63"/>
        <v/>
      </c>
      <c r="BB439" s="632" t="str">
        <f t="shared" si="64"/>
        <v/>
      </c>
      <c r="BC439" s="632" t="str">
        <f t="shared" si="65"/>
        <v/>
      </c>
      <c r="BD439" s="633" t="str">
        <f>IF(AND(L439="",H439=""),"",
IF(H439="",Pole_Calc!A467,
IF(H439="MP",Pole_Calc!A468,
IF(H439="AnMP",Pole_Calc!A469,
IF(H439="A",Pole_Calc!A470,
IF(H439="S/A",Pole_Calc!A471,
IF(H439="A/S",Pole_Calc!A472,"Poner a mano")))))))</f>
        <v/>
      </c>
      <c r="BE439" s="448" t="s">
        <v>1726</v>
      </c>
      <c r="BF439" s="635"/>
      <c r="BG439" s="635"/>
      <c r="BH439" s="634"/>
      <c r="BI439" s="635"/>
    </row>
    <row r="440" spans="1:61" ht="16.2" customHeight="1">
      <c r="A440" s="12"/>
      <c r="B440" s="446"/>
      <c r="C440" s="89"/>
      <c r="D440" s="13"/>
      <c r="E440" s="14"/>
      <c r="F440" s="14"/>
      <c r="G440" s="15"/>
      <c r="H440" s="8"/>
      <c r="I440" s="8"/>
      <c r="J440" s="89"/>
      <c r="K440" s="8"/>
      <c r="L440" s="8"/>
      <c r="M440" s="8" t="str">
        <f>IF(L440="","",
IF(AX440="PT",VLOOKUP(L440,Foundation_Calc!$V$4:$X$37,VLOOKUP(AX440,Foundation_Calc!$I$10:$J$13,2,FALSE),0),
IF(AX440="K",VLOOKUP(L440,Foundation_Calc!$V$41:$X$74,VLOOKUP(AX440,Foundation_Calc!$I$10:$J$13,2,FALSE),0),"")))</f>
        <v/>
      </c>
      <c r="N440" s="8"/>
      <c r="O440" s="8"/>
      <c r="P440" s="8"/>
      <c r="Q440" s="14"/>
      <c r="R440" s="15"/>
      <c r="S440" s="15"/>
      <c r="T440" s="14"/>
      <c r="U440" s="14"/>
      <c r="V440" s="14"/>
      <c r="W440" s="18"/>
      <c r="X440" s="18"/>
      <c r="Y440" s="18"/>
      <c r="Z440" s="18"/>
      <c r="AA440" s="18"/>
      <c r="AB440" s="18"/>
      <c r="AC440" s="8" t="str">
        <f t="shared" si="62"/>
        <v/>
      </c>
      <c r="AD440" s="8"/>
      <c r="AE440" s="8"/>
      <c r="AF440" s="14"/>
      <c r="AG440" s="13"/>
      <c r="AH440" s="14"/>
      <c r="AI440" s="14"/>
      <c r="AJ440" s="8"/>
      <c r="AK440" s="8"/>
      <c r="AL440" s="8"/>
      <c r="AM440" s="8"/>
      <c r="AN440" s="631"/>
      <c r="AO440" s="18"/>
      <c r="AP440" s="18"/>
      <c r="AQ440" s="18"/>
      <c r="AR440" s="18"/>
      <c r="AS440" s="18"/>
      <c r="AU440" s="448"/>
      <c r="AV440" s="448"/>
      <c r="AW440" s="8" t="str">
        <f>IF(C440&gt;0,VLOOKUP(C440,Foundation_Calc!$A$2:$C$986,3,1),
IF(J440&gt;0,VLOOKUP(J440,Foundation_Calc!$A$2:$C$986,3,1),""))</f>
        <v/>
      </c>
      <c r="AX440" s="8" t="str">
        <f>IF(C440&gt;0,VLOOKUP(C440,Foundation_Calc!$E$2:$G$986,3,1),
IF(J440&gt;0,VLOOKUP(J440,Foundation_Calc!$E$2:$G$986,3,1),""))</f>
        <v/>
      </c>
      <c r="AY440" s="631" t="str">
        <f>IF(L440="","",
IF(AX440="PT",VLOOKUP(L440,Foundation_Calc!$K$4:$R$37,VLOOKUP(AW440,Foundation_Calc!$I$2:$J$8,2,FALSE),0),
IF(AX440="K",VLOOKUP(L440,Foundation_Calc!$K$41:$R$74,VLOOKUP(AW440,Foundation_Calc!$I$2:$J$8,2,FALSE),0),"")))</f>
        <v/>
      </c>
      <c r="AZ440" s="631" t="str">
        <f>IF(K440="","",
IF(AX440="PT",VLOOKUP(K440,Foundation_Calc!$K$4:$R$37,VLOOKUP(AW440,Foundation_Calc!$I$2:$J$8,2,FALSE),0),
IF(AX440="K",VLOOKUP(K440,Foundation_Calc!$K$41:$R$74,VLOOKUP(AW440,Foundation_Calc!$I$2:$J$8,2,FALSE),0),"")))</f>
        <v/>
      </c>
      <c r="BA440" s="632" t="str">
        <f t="shared" si="63"/>
        <v/>
      </c>
      <c r="BB440" s="632" t="str">
        <f t="shared" si="64"/>
        <v/>
      </c>
      <c r="BC440" s="632" t="str">
        <f t="shared" si="65"/>
        <v/>
      </c>
      <c r="BD440" s="633" t="str">
        <f>IF(AND(L440="",H440=""),"",
IF(H440="",Pole_Calc!A468,
IF(H440="MP",Pole_Calc!A469,
IF(H440="AnMP",Pole_Calc!A470,
IF(H440="A",Pole_Calc!A471,
IF(H440="S/A",Pole_Calc!A472,
IF(H440="A/S",Pole_Calc!A473,"Poner a mano")))))))</f>
        <v/>
      </c>
      <c r="BE440" s="448" t="s">
        <v>1726</v>
      </c>
      <c r="BF440" s="634"/>
      <c r="BG440" s="634"/>
      <c r="BH440" s="634"/>
      <c r="BI440" s="634"/>
    </row>
    <row r="441" spans="1:61" ht="16.2" customHeight="1">
      <c r="A441" s="12"/>
      <c r="B441" s="446"/>
      <c r="C441" s="89"/>
      <c r="D441" s="13"/>
      <c r="E441" s="14"/>
      <c r="F441" s="14"/>
      <c r="G441" s="15"/>
      <c r="H441" s="8"/>
      <c r="I441" s="8"/>
      <c r="J441" s="89"/>
      <c r="K441" s="8"/>
      <c r="L441" s="8"/>
      <c r="M441" s="8" t="str">
        <f>IF(L441="","",
IF(AX441="PT",VLOOKUP(L441,Foundation_Calc!$V$4:$X$37,VLOOKUP(AX441,Foundation_Calc!$I$10:$J$13,2,FALSE),0),
IF(AX441="K",VLOOKUP(L441,Foundation_Calc!$V$41:$X$74,VLOOKUP(AX441,Foundation_Calc!$I$10:$J$13,2,FALSE),0),"")))</f>
        <v/>
      </c>
      <c r="N441" s="8"/>
      <c r="O441" s="8"/>
      <c r="P441" s="8"/>
      <c r="Q441" s="14"/>
      <c r="R441" s="15"/>
      <c r="S441" s="15"/>
      <c r="T441" s="14"/>
      <c r="U441" s="14"/>
      <c r="V441" s="14"/>
      <c r="W441" s="18"/>
      <c r="X441" s="18"/>
      <c r="Y441" s="18"/>
      <c r="Z441" s="18"/>
      <c r="AA441" s="18"/>
      <c r="AB441" s="18"/>
      <c r="AC441" s="8" t="str">
        <f t="shared" si="62"/>
        <v/>
      </c>
      <c r="AD441" s="8"/>
      <c r="AE441" s="8"/>
      <c r="AF441" s="14"/>
      <c r="AG441" s="13"/>
      <c r="AH441" s="14"/>
      <c r="AI441" s="14"/>
      <c r="AJ441" s="8"/>
      <c r="AK441" s="8"/>
      <c r="AL441" s="8"/>
      <c r="AM441" s="8"/>
      <c r="AN441" s="631"/>
      <c r="AO441" s="18"/>
      <c r="AP441" s="18"/>
      <c r="AQ441" s="18"/>
      <c r="AR441" s="18"/>
      <c r="AS441" s="18"/>
      <c r="AU441" s="448"/>
      <c r="AV441" s="448"/>
      <c r="AW441" s="8" t="str">
        <f>IF(C441&gt;0,VLOOKUP(C441,Foundation_Calc!$A$2:$C$986,3,1),
IF(J441&gt;0,VLOOKUP(J441,Foundation_Calc!$A$2:$C$986,3,1),""))</f>
        <v/>
      </c>
      <c r="AX441" s="8" t="str">
        <f>IF(C441&gt;0,VLOOKUP(C441,Foundation_Calc!$E$2:$G$986,3,1),
IF(J441&gt;0,VLOOKUP(J441,Foundation_Calc!$E$2:$G$986,3,1),""))</f>
        <v/>
      </c>
      <c r="AY441" s="631" t="str">
        <f>IF(L441="","",
IF(AX441="PT",VLOOKUP(L441,Foundation_Calc!$K$4:$R$37,VLOOKUP(AW441,Foundation_Calc!$I$2:$J$8,2,FALSE),0),
IF(AX441="K",VLOOKUP(L441,Foundation_Calc!$K$41:$R$74,VLOOKUP(AW441,Foundation_Calc!$I$2:$J$8,2,FALSE),0),"")))</f>
        <v/>
      </c>
      <c r="AZ441" s="631" t="str">
        <f>IF(K441="","",
IF(AX441="PT",VLOOKUP(K441,Foundation_Calc!$K$4:$R$37,VLOOKUP(AW441,Foundation_Calc!$I$2:$J$8,2,FALSE),0),
IF(AX441="K",VLOOKUP(K441,Foundation_Calc!$K$41:$R$74,VLOOKUP(AW441,Foundation_Calc!$I$2:$J$8,2,FALSE),0),"")))</f>
        <v/>
      </c>
      <c r="BA441" s="632" t="str">
        <f t="shared" si="63"/>
        <v/>
      </c>
      <c r="BB441" s="632" t="str">
        <f t="shared" si="64"/>
        <v/>
      </c>
      <c r="BC441" s="632" t="str">
        <f t="shared" si="65"/>
        <v/>
      </c>
      <c r="BD441" s="633" t="str">
        <f>IF(AND(L441="",H441=""),"",
IF(H441="",Pole_Calc!A469,
IF(H441="MP",Pole_Calc!A470,
IF(H441="AnMP",Pole_Calc!A471,
IF(H441="A",Pole_Calc!A472,
IF(H441="S/A",Pole_Calc!A473,
IF(H441="A/S",Pole_Calc!A474,"Poner a mano")))))))</f>
        <v/>
      </c>
      <c r="BE441" s="448" t="s">
        <v>1726</v>
      </c>
      <c r="BF441" s="635"/>
      <c r="BG441" s="635"/>
      <c r="BH441" s="634"/>
      <c r="BI441" s="635"/>
    </row>
    <row r="442" spans="1:61" ht="16.2" customHeight="1">
      <c r="A442" s="12"/>
      <c r="B442" s="446"/>
      <c r="C442" s="89"/>
      <c r="D442" s="13"/>
      <c r="E442" s="14"/>
      <c r="F442" s="14"/>
      <c r="G442" s="15"/>
      <c r="H442" s="8"/>
      <c r="I442" s="8"/>
      <c r="J442" s="89"/>
      <c r="K442" s="8"/>
      <c r="L442" s="8"/>
      <c r="M442" s="8" t="str">
        <f>IF(L442="","",
IF(AX442="PT",VLOOKUP(L442,Foundation_Calc!$V$4:$X$37,VLOOKUP(AX442,Foundation_Calc!$I$10:$J$13,2,FALSE),0),
IF(AX442="K",VLOOKUP(L442,Foundation_Calc!$V$41:$X$74,VLOOKUP(AX442,Foundation_Calc!$I$10:$J$13,2,FALSE),0),"")))</f>
        <v/>
      </c>
      <c r="N442" s="8"/>
      <c r="O442" s="8"/>
      <c r="P442" s="8"/>
      <c r="Q442" s="14"/>
      <c r="R442" s="15"/>
      <c r="S442" s="15"/>
      <c r="T442" s="14"/>
      <c r="U442" s="14"/>
      <c r="V442" s="14"/>
      <c r="W442" s="18"/>
      <c r="X442" s="18"/>
      <c r="Y442" s="18"/>
      <c r="Z442" s="18"/>
      <c r="AA442" s="18"/>
      <c r="AB442" s="18"/>
      <c r="AC442" s="8" t="str">
        <f t="shared" si="62"/>
        <v/>
      </c>
      <c r="AD442" s="8"/>
      <c r="AE442" s="8"/>
      <c r="AF442" s="14"/>
      <c r="AG442" s="13"/>
      <c r="AH442" s="14"/>
      <c r="AI442" s="14"/>
      <c r="AJ442" s="8"/>
      <c r="AK442" s="8"/>
      <c r="AL442" s="8"/>
      <c r="AM442" s="8"/>
      <c r="AN442" s="631"/>
      <c r="AO442" s="18"/>
      <c r="AP442" s="18"/>
      <c r="AQ442" s="18"/>
      <c r="AR442" s="18"/>
      <c r="AS442" s="18"/>
      <c r="AU442" s="448"/>
      <c r="AV442" s="448"/>
      <c r="AW442" s="8" t="str">
        <f>IF(C442&gt;0,VLOOKUP(C442,Foundation_Calc!$A$2:$C$986,3,1),
IF(J442&gt;0,VLOOKUP(J442,Foundation_Calc!$A$2:$C$986,3,1),""))</f>
        <v/>
      </c>
      <c r="AX442" s="8" t="str">
        <f>IF(C442&gt;0,VLOOKUP(C442,Foundation_Calc!$E$2:$G$986,3,1),
IF(J442&gt;0,VLOOKUP(J442,Foundation_Calc!$E$2:$G$986,3,1),""))</f>
        <v/>
      </c>
      <c r="AY442" s="631" t="str">
        <f>IF(L442="","",
IF(AX442="PT",VLOOKUP(L442,Foundation_Calc!$K$4:$R$37,VLOOKUP(AW442,Foundation_Calc!$I$2:$J$8,2,FALSE),0),
IF(AX442="K",VLOOKUP(L442,Foundation_Calc!$K$41:$R$74,VLOOKUP(AW442,Foundation_Calc!$I$2:$J$8,2,FALSE),0),"")))</f>
        <v/>
      </c>
      <c r="AZ442" s="631" t="str">
        <f>IF(K442="","",
IF(AX442="PT",VLOOKUP(K442,Foundation_Calc!$K$4:$R$37,VLOOKUP(AW442,Foundation_Calc!$I$2:$J$8,2,FALSE),0),
IF(AX442="K",VLOOKUP(K442,Foundation_Calc!$K$41:$R$74,VLOOKUP(AW442,Foundation_Calc!$I$2:$J$8,2,FALSE),0),"")))</f>
        <v/>
      </c>
      <c r="BA442" s="632" t="str">
        <f t="shared" si="63"/>
        <v/>
      </c>
      <c r="BB442" s="632" t="str">
        <f t="shared" si="64"/>
        <v/>
      </c>
      <c r="BC442" s="632" t="str">
        <f t="shared" si="65"/>
        <v/>
      </c>
      <c r="BD442" s="633" t="str">
        <f>IF(AND(L442="",H442=""),"",
IF(H442="",Pole_Calc!A470,
IF(H442="MP",Pole_Calc!A471,
IF(H442="AnMP",Pole_Calc!A472,
IF(H442="A",Pole_Calc!A473,
IF(H442="S/A",Pole_Calc!A474,
IF(H442="A/S",Pole_Calc!A475,"Poner a mano")))))))</f>
        <v/>
      </c>
      <c r="BE442" s="448" t="s">
        <v>1726</v>
      </c>
      <c r="BF442" s="634"/>
      <c r="BG442" s="634"/>
      <c r="BH442" s="634"/>
      <c r="BI442" s="634"/>
    </row>
    <row r="443" spans="1:61" ht="16.2" customHeight="1">
      <c r="A443" s="12"/>
      <c r="B443" s="446"/>
      <c r="C443" s="89"/>
      <c r="D443" s="13"/>
      <c r="E443" s="14"/>
      <c r="F443" s="14"/>
      <c r="G443" s="15"/>
      <c r="H443" s="8"/>
      <c r="I443" s="8"/>
      <c r="J443" s="89"/>
      <c r="K443" s="8"/>
      <c r="L443" s="8"/>
      <c r="M443" s="8" t="str">
        <f>IF(L443="","",
IF(AX443="PT",VLOOKUP(L443,Foundation_Calc!$V$4:$X$37,VLOOKUP(AX443,Foundation_Calc!$I$10:$J$13,2,FALSE),0),
IF(AX443="K",VLOOKUP(L443,Foundation_Calc!$V$41:$X$74,VLOOKUP(AX443,Foundation_Calc!$I$10:$J$13,2,FALSE),0),"")))</f>
        <v/>
      </c>
      <c r="N443" s="8"/>
      <c r="O443" s="8"/>
      <c r="P443" s="8"/>
      <c r="Q443" s="14"/>
      <c r="R443" s="15"/>
      <c r="S443" s="15"/>
      <c r="T443" s="14"/>
      <c r="U443" s="14"/>
      <c r="V443" s="14"/>
      <c r="W443" s="18"/>
      <c r="X443" s="18"/>
      <c r="Y443" s="18"/>
      <c r="Z443" s="18"/>
      <c r="AA443" s="18"/>
      <c r="AB443" s="18"/>
      <c r="AC443" s="8" t="str">
        <f t="shared" si="62"/>
        <v/>
      </c>
      <c r="AD443" s="8"/>
      <c r="AE443" s="8"/>
      <c r="AF443" s="14"/>
      <c r="AG443" s="13"/>
      <c r="AH443" s="14"/>
      <c r="AI443" s="14"/>
      <c r="AJ443" s="8"/>
      <c r="AK443" s="8"/>
      <c r="AL443" s="8"/>
      <c r="AM443" s="8"/>
      <c r="AN443" s="631"/>
      <c r="AO443" s="18"/>
      <c r="AP443" s="18"/>
      <c r="AQ443" s="18"/>
      <c r="AR443" s="18"/>
      <c r="AS443" s="18"/>
      <c r="AU443" s="448"/>
      <c r="AV443" s="448"/>
      <c r="AW443" s="8" t="str">
        <f>IF(C443&gt;0,VLOOKUP(C443,Foundation_Calc!$A$2:$C$986,3,1),
IF(J443&gt;0,VLOOKUP(J443,Foundation_Calc!$A$2:$C$986,3,1),""))</f>
        <v/>
      </c>
      <c r="AX443" s="8" t="str">
        <f>IF(C443&gt;0,VLOOKUP(C443,Foundation_Calc!$E$2:$G$986,3,1),
IF(J443&gt;0,VLOOKUP(J443,Foundation_Calc!$E$2:$G$986,3,1),""))</f>
        <v/>
      </c>
      <c r="AY443" s="631" t="str">
        <f>IF(L443="","",
IF(AX443="PT",VLOOKUP(L443,Foundation_Calc!$K$4:$R$37,VLOOKUP(AW443,Foundation_Calc!$I$2:$J$8,2,FALSE),0),
IF(AX443="K",VLOOKUP(L443,Foundation_Calc!$K$41:$R$74,VLOOKUP(AW443,Foundation_Calc!$I$2:$J$8,2,FALSE),0),"")))</f>
        <v/>
      </c>
      <c r="AZ443" s="631" t="str">
        <f>IF(K443="","",
IF(AX443="PT",VLOOKUP(K443,Foundation_Calc!$K$4:$R$37,VLOOKUP(AW443,Foundation_Calc!$I$2:$J$8,2,FALSE),0),
IF(AX443="K",VLOOKUP(K443,Foundation_Calc!$K$41:$R$74,VLOOKUP(AW443,Foundation_Calc!$I$2:$J$8,2,FALSE),0),"")))</f>
        <v/>
      </c>
      <c r="BA443" s="632" t="str">
        <f t="shared" si="63"/>
        <v/>
      </c>
      <c r="BB443" s="632" t="str">
        <f t="shared" si="64"/>
        <v/>
      </c>
      <c r="BC443" s="632" t="str">
        <f t="shared" si="65"/>
        <v/>
      </c>
      <c r="BD443" s="633" t="str">
        <f>IF(AND(L443="",H443=""),"",
IF(H443="",Pole_Calc!A471,
IF(H443="MP",Pole_Calc!A472,
IF(H443="AnMP",Pole_Calc!A473,
IF(H443="A",Pole_Calc!A474,
IF(H443="S/A",Pole_Calc!A475,
IF(H443="A/S",Pole_Calc!A476,"Poner a mano")))))))</f>
        <v/>
      </c>
      <c r="BE443" s="448" t="s">
        <v>1726</v>
      </c>
      <c r="BF443" s="635"/>
      <c r="BG443" s="635"/>
      <c r="BH443" s="634"/>
      <c r="BI443" s="635"/>
    </row>
    <row r="444" spans="1:61" ht="16.2" customHeight="1">
      <c r="A444" s="12"/>
      <c r="B444" s="446"/>
      <c r="C444" s="89"/>
      <c r="D444" s="13"/>
      <c r="E444" s="14"/>
      <c r="F444" s="14"/>
      <c r="G444" s="15"/>
      <c r="H444" s="8"/>
      <c r="I444" s="8"/>
      <c r="J444" s="89"/>
      <c r="K444" s="8"/>
      <c r="L444" s="8"/>
      <c r="M444" s="8" t="str">
        <f>IF(L444="","",
IF(AX444="PT",VLOOKUP(L444,Foundation_Calc!$V$4:$X$37,VLOOKUP(AX444,Foundation_Calc!$I$10:$J$13,2,FALSE),0),
IF(AX444="K",VLOOKUP(L444,Foundation_Calc!$V$41:$X$74,VLOOKUP(AX444,Foundation_Calc!$I$10:$J$13,2,FALSE),0),"")))</f>
        <v/>
      </c>
      <c r="N444" s="8"/>
      <c r="O444" s="8"/>
      <c r="P444" s="8"/>
      <c r="Q444" s="14"/>
      <c r="R444" s="15"/>
      <c r="S444" s="15"/>
      <c r="T444" s="14"/>
      <c r="U444" s="14"/>
      <c r="V444" s="14"/>
      <c r="W444" s="18"/>
      <c r="X444" s="18"/>
      <c r="Y444" s="18"/>
      <c r="Z444" s="18"/>
      <c r="AA444" s="18"/>
      <c r="AB444" s="18"/>
      <c r="AC444" s="8" t="str">
        <f t="shared" si="62"/>
        <v/>
      </c>
      <c r="AD444" s="8"/>
      <c r="AE444" s="8"/>
      <c r="AF444" s="14"/>
      <c r="AG444" s="13"/>
      <c r="AH444" s="14"/>
      <c r="AI444" s="14"/>
      <c r="AJ444" s="8"/>
      <c r="AK444" s="8"/>
      <c r="AL444" s="8"/>
      <c r="AM444" s="8"/>
      <c r="AN444" s="631"/>
      <c r="AO444" s="18"/>
      <c r="AP444" s="18"/>
      <c r="AQ444" s="18"/>
      <c r="AR444" s="18"/>
      <c r="AS444" s="18"/>
      <c r="AU444" s="448"/>
      <c r="AV444" s="448"/>
      <c r="AW444" s="8" t="str">
        <f>IF(C444&gt;0,VLOOKUP(C444,Foundation_Calc!$A$2:$C$986,3,1),
IF(J444&gt;0,VLOOKUP(J444,Foundation_Calc!$A$2:$C$986,3,1),""))</f>
        <v/>
      </c>
      <c r="AX444" s="8" t="str">
        <f>IF(C444&gt;0,VLOOKUP(C444,Foundation_Calc!$E$2:$G$986,3,1),
IF(J444&gt;0,VLOOKUP(J444,Foundation_Calc!$E$2:$G$986,3,1),""))</f>
        <v/>
      </c>
      <c r="AY444" s="631" t="str">
        <f>IF(L444="","",
IF(AX444="PT",VLOOKUP(L444,Foundation_Calc!$K$4:$R$37,VLOOKUP(AW444,Foundation_Calc!$I$2:$J$8,2,FALSE),0),
IF(AX444="K",VLOOKUP(L444,Foundation_Calc!$K$41:$R$74,VLOOKUP(AW444,Foundation_Calc!$I$2:$J$8,2,FALSE),0),"")))</f>
        <v/>
      </c>
      <c r="AZ444" s="631" t="str">
        <f>IF(K444="","",
IF(AX444="PT",VLOOKUP(K444,Foundation_Calc!$K$4:$R$37,VLOOKUP(AW444,Foundation_Calc!$I$2:$J$8,2,FALSE),0),
IF(AX444="K",VLOOKUP(K444,Foundation_Calc!$K$41:$R$74,VLOOKUP(AW444,Foundation_Calc!$I$2:$J$8,2,FALSE),0),"")))</f>
        <v/>
      </c>
      <c r="BA444" s="632" t="str">
        <f t="shared" si="63"/>
        <v/>
      </c>
      <c r="BB444" s="632" t="str">
        <f t="shared" si="64"/>
        <v/>
      </c>
      <c r="BC444" s="632" t="str">
        <f t="shared" si="65"/>
        <v/>
      </c>
      <c r="BD444" s="633" t="str">
        <f>IF(AND(L444="",H444=""),"",
IF(H444="",Pole_Calc!A472,
IF(H444="MP",Pole_Calc!A473,
IF(H444="AnMP",Pole_Calc!A474,
IF(H444="A",Pole_Calc!A475,
IF(H444="S/A",Pole_Calc!A476,
IF(H444="A/S",Pole_Calc!A477,"Poner a mano")))))))</f>
        <v/>
      </c>
      <c r="BE444" s="448" t="s">
        <v>1726</v>
      </c>
      <c r="BF444" s="634"/>
      <c r="BG444" s="634"/>
      <c r="BH444" s="634"/>
      <c r="BI444" s="634"/>
    </row>
    <row r="445" spans="1:61" ht="16.2" customHeight="1">
      <c r="A445" s="12"/>
      <c r="B445" s="446"/>
      <c r="C445" s="89"/>
      <c r="D445" s="13"/>
      <c r="E445" s="14"/>
      <c r="F445" s="14"/>
      <c r="G445" s="15"/>
      <c r="H445" s="8"/>
      <c r="I445" s="8"/>
      <c r="J445" s="89"/>
      <c r="K445" s="8"/>
      <c r="L445" s="8"/>
      <c r="M445" s="8" t="str">
        <f>IF(L445="","",
IF(AX445="PT",VLOOKUP(L445,Foundation_Calc!$V$4:$X$37,VLOOKUP(AX445,Foundation_Calc!$I$10:$J$13,2,FALSE),0),
IF(AX445="K",VLOOKUP(L445,Foundation_Calc!$V$41:$X$74,VLOOKUP(AX445,Foundation_Calc!$I$10:$J$13,2,FALSE),0),"")))</f>
        <v/>
      </c>
      <c r="N445" s="8"/>
      <c r="O445" s="8"/>
      <c r="P445" s="8"/>
      <c r="Q445" s="14"/>
      <c r="R445" s="15"/>
      <c r="S445" s="15"/>
      <c r="T445" s="14"/>
      <c r="U445" s="14"/>
      <c r="V445" s="14"/>
      <c r="W445" s="18"/>
      <c r="X445" s="18"/>
      <c r="Y445" s="18"/>
      <c r="Z445" s="18"/>
      <c r="AA445" s="18"/>
      <c r="AB445" s="18"/>
      <c r="AC445" s="8" t="str">
        <f t="shared" si="62"/>
        <v/>
      </c>
      <c r="AD445" s="8"/>
      <c r="AE445" s="8"/>
      <c r="AF445" s="14"/>
      <c r="AG445" s="13"/>
      <c r="AH445" s="14"/>
      <c r="AI445" s="14"/>
      <c r="AJ445" s="8"/>
      <c r="AK445" s="8"/>
      <c r="AL445" s="8"/>
      <c r="AM445" s="8"/>
      <c r="AN445" s="631"/>
      <c r="AO445" s="18"/>
      <c r="AP445" s="18"/>
      <c r="AQ445" s="18"/>
      <c r="AR445" s="18"/>
      <c r="AS445" s="18"/>
      <c r="AU445" s="448"/>
      <c r="AV445" s="448"/>
      <c r="AW445" s="8" t="str">
        <f>IF(C445&gt;0,VLOOKUP(C445,Foundation_Calc!$A$2:$C$986,3,1),
IF(J445&gt;0,VLOOKUP(J445,Foundation_Calc!$A$2:$C$986,3,1),""))</f>
        <v/>
      </c>
      <c r="AX445" s="8" t="str">
        <f>IF(C445&gt;0,VLOOKUP(C445,Foundation_Calc!$E$2:$G$986,3,1),
IF(J445&gt;0,VLOOKUP(J445,Foundation_Calc!$E$2:$G$986,3,1),""))</f>
        <v/>
      </c>
      <c r="AY445" s="631" t="str">
        <f>IF(L445="","",
IF(AX445="PT",VLOOKUP(L445,Foundation_Calc!$K$4:$R$37,VLOOKUP(AW445,Foundation_Calc!$I$2:$J$8,2,FALSE),0),
IF(AX445="K",VLOOKUP(L445,Foundation_Calc!$K$41:$R$74,VLOOKUP(AW445,Foundation_Calc!$I$2:$J$8,2,FALSE),0),"")))</f>
        <v/>
      </c>
      <c r="AZ445" s="631" t="str">
        <f>IF(K445="","",
IF(AX445="PT",VLOOKUP(K445,Foundation_Calc!$K$4:$R$37,VLOOKUP(AW445,Foundation_Calc!$I$2:$J$8,2,FALSE),0),
IF(AX445="K",VLOOKUP(K445,Foundation_Calc!$K$41:$R$74,VLOOKUP(AW445,Foundation_Calc!$I$2:$J$8,2,FALSE),0),"")))</f>
        <v/>
      </c>
      <c r="BA445" s="632" t="str">
        <f t="shared" si="63"/>
        <v/>
      </c>
      <c r="BB445" s="632" t="str">
        <f t="shared" si="64"/>
        <v/>
      </c>
      <c r="BC445" s="632" t="str">
        <f t="shared" si="65"/>
        <v/>
      </c>
      <c r="BD445" s="633" t="str">
        <f>IF(AND(L445="",H445=""),"",
IF(H445="",Pole_Calc!A473,
IF(H445="MP",Pole_Calc!A474,
IF(H445="AnMP",Pole_Calc!A475,
IF(H445="A",Pole_Calc!A476,
IF(H445="S/A",Pole_Calc!A477,
IF(H445="A/S",Pole_Calc!A478,"Poner a mano")))))))</f>
        <v/>
      </c>
      <c r="BE445" s="448" t="s">
        <v>1726</v>
      </c>
      <c r="BF445" s="635"/>
      <c r="BG445" s="635"/>
      <c r="BH445" s="634"/>
      <c r="BI445" s="635"/>
    </row>
    <row r="446" spans="1:61" ht="16.2" customHeight="1">
      <c r="A446" s="12"/>
      <c r="B446" s="446"/>
      <c r="C446" s="89"/>
      <c r="D446" s="13"/>
      <c r="E446" s="14"/>
      <c r="F446" s="14"/>
      <c r="G446" s="15"/>
      <c r="H446" s="8"/>
      <c r="I446" s="8"/>
      <c r="J446" s="89"/>
      <c r="K446" s="8"/>
      <c r="L446" s="8"/>
      <c r="M446" s="8" t="str">
        <f>IF(L446="","",
IF(AX446="PT",VLOOKUP(L446,Foundation_Calc!$V$4:$X$37,VLOOKUP(AX446,Foundation_Calc!$I$10:$J$13,2,FALSE),0),
IF(AX446="K",VLOOKUP(L446,Foundation_Calc!$V$41:$X$74,VLOOKUP(AX446,Foundation_Calc!$I$10:$J$13,2,FALSE),0),"")))</f>
        <v/>
      </c>
      <c r="N446" s="8"/>
      <c r="O446" s="8"/>
      <c r="P446" s="8"/>
      <c r="Q446" s="14"/>
      <c r="R446" s="15"/>
      <c r="S446" s="15"/>
      <c r="T446" s="14"/>
      <c r="U446" s="14"/>
      <c r="V446" s="14"/>
      <c r="W446" s="18"/>
      <c r="X446" s="18"/>
      <c r="Y446" s="18"/>
      <c r="Z446" s="18"/>
      <c r="AA446" s="18"/>
      <c r="AB446" s="18"/>
      <c r="AC446" s="8" t="str">
        <f t="shared" si="62"/>
        <v/>
      </c>
      <c r="AD446" s="8"/>
      <c r="AE446" s="8"/>
      <c r="AF446" s="14"/>
      <c r="AG446" s="13"/>
      <c r="AH446" s="14"/>
      <c r="AI446" s="14"/>
      <c r="AJ446" s="8"/>
      <c r="AK446" s="8"/>
      <c r="AL446" s="8"/>
      <c r="AM446" s="8"/>
      <c r="AN446" s="631"/>
      <c r="AO446" s="18"/>
      <c r="AP446" s="18"/>
      <c r="AQ446" s="18"/>
      <c r="AR446" s="18"/>
      <c r="AS446" s="18"/>
      <c r="AU446" s="448"/>
      <c r="AV446" s="448"/>
      <c r="AW446" s="8" t="str">
        <f>IF(C446&gt;0,VLOOKUP(C446,Foundation_Calc!$A$2:$C$986,3,1),
IF(J446&gt;0,VLOOKUP(J446,Foundation_Calc!$A$2:$C$986,3,1),""))</f>
        <v/>
      </c>
      <c r="AX446" s="8" t="str">
        <f>IF(C446&gt;0,VLOOKUP(C446,Foundation_Calc!$E$2:$G$986,3,1),
IF(J446&gt;0,VLOOKUP(J446,Foundation_Calc!$E$2:$G$986,3,1),""))</f>
        <v/>
      </c>
      <c r="AY446" s="631" t="str">
        <f>IF(L446="","",
IF(AX446="PT",VLOOKUP(L446,Foundation_Calc!$K$4:$R$37,VLOOKUP(AW446,Foundation_Calc!$I$2:$J$8,2,FALSE),0),
IF(AX446="K",VLOOKUP(L446,Foundation_Calc!$K$41:$R$74,VLOOKUP(AW446,Foundation_Calc!$I$2:$J$8,2,FALSE),0),"")))</f>
        <v/>
      </c>
      <c r="AZ446" s="631" t="str">
        <f>IF(K446="","",
IF(AX446="PT",VLOOKUP(K446,Foundation_Calc!$K$4:$R$37,VLOOKUP(AW446,Foundation_Calc!$I$2:$J$8,2,FALSE),0),
IF(AX446="K",VLOOKUP(K446,Foundation_Calc!$K$41:$R$74,VLOOKUP(AW446,Foundation_Calc!$I$2:$J$8,2,FALSE),0),"")))</f>
        <v/>
      </c>
      <c r="BA446" s="632" t="str">
        <f t="shared" si="63"/>
        <v/>
      </c>
      <c r="BB446" s="632" t="str">
        <f t="shared" si="64"/>
        <v/>
      </c>
      <c r="BC446" s="632" t="str">
        <f t="shared" si="65"/>
        <v/>
      </c>
      <c r="BD446" s="633" t="str">
        <f>IF(AND(L446="",H446=""),"",
IF(H446="",Pole_Calc!A474,
IF(H446="MP",Pole_Calc!A475,
IF(H446="AnMP",Pole_Calc!A476,
IF(H446="A",Pole_Calc!A477,
IF(H446="S/A",Pole_Calc!A478,
IF(H446="A/S",Pole_Calc!A479,"Poner a mano")))))))</f>
        <v/>
      </c>
      <c r="BE446" s="448" t="s">
        <v>1726</v>
      </c>
      <c r="BF446" s="634"/>
      <c r="BG446" s="634"/>
      <c r="BH446" s="634"/>
      <c r="BI446" s="634"/>
    </row>
    <row r="447" spans="1:61" ht="16.2" customHeight="1">
      <c r="A447" s="12"/>
      <c r="B447" s="446"/>
      <c r="C447" s="89"/>
      <c r="D447" s="13"/>
      <c r="E447" s="14"/>
      <c r="F447" s="14"/>
      <c r="G447" s="15"/>
      <c r="H447" s="8"/>
      <c r="I447" s="8"/>
      <c r="J447" s="89"/>
      <c r="K447" s="8"/>
      <c r="L447" s="8"/>
      <c r="M447" s="8" t="str">
        <f>IF(L447="","",
IF(AX447="PT",VLOOKUP(L447,Foundation_Calc!$V$4:$X$37,VLOOKUP(AX447,Foundation_Calc!$I$10:$J$13,2,FALSE),0),
IF(AX447="K",VLOOKUP(L447,Foundation_Calc!$V$41:$X$74,VLOOKUP(AX447,Foundation_Calc!$I$10:$J$13,2,FALSE),0),"")))</f>
        <v/>
      </c>
      <c r="N447" s="8"/>
      <c r="O447" s="8"/>
      <c r="P447" s="8"/>
      <c r="Q447" s="14"/>
      <c r="R447" s="15"/>
      <c r="S447" s="15"/>
      <c r="T447" s="14"/>
      <c r="U447" s="14"/>
      <c r="V447" s="14"/>
      <c r="W447" s="18"/>
      <c r="X447" s="18"/>
      <c r="Y447" s="18"/>
      <c r="Z447" s="18"/>
      <c r="AA447" s="18"/>
      <c r="AB447" s="18"/>
      <c r="AC447" s="8" t="str">
        <f t="shared" si="62"/>
        <v/>
      </c>
      <c r="AD447" s="8"/>
      <c r="AE447" s="8"/>
      <c r="AF447" s="14"/>
      <c r="AG447" s="13"/>
      <c r="AH447" s="14"/>
      <c r="AI447" s="14"/>
      <c r="AJ447" s="8"/>
      <c r="AK447" s="8"/>
      <c r="AL447" s="8"/>
      <c r="AM447" s="8"/>
      <c r="AN447" s="631"/>
      <c r="AO447" s="18"/>
      <c r="AP447" s="18"/>
      <c r="AQ447" s="18"/>
      <c r="AR447" s="18"/>
      <c r="AS447" s="18"/>
      <c r="AU447" s="448"/>
      <c r="AV447" s="448"/>
      <c r="AW447" s="8" t="str">
        <f>IF(C447&gt;0,VLOOKUP(C447,Foundation_Calc!$A$2:$C$986,3,1),
IF(J447&gt;0,VLOOKUP(J447,Foundation_Calc!$A$2:$C$986,3,1),""))</f>
        <v/>
      </c>
      <c r="AX447" s="8" t="str">
        <f>IF(C447&gt;0,VLOOKUP(C447,Foundation_Calc!$E$2:$G$986,3,1),
IF(J447&gt;0,VLOOKUP(J447,Foundation_Calc!$E$2:$G$986,3,1),""))</f>
        <v/>
      </c>
      <c r="AY447" s="631" t="str">
        <f>IF(L447="","",
IF(AX447="PT",VLOOKUP(L447,Foundation_Calc!$K$4:$R$37,VLOOKUP(AW447,Foundation_Calc!$I$2:$J$8,2,FALSE),0),
IF(AX447="K",VLOOKUP(L447,Foundation_Calc!$K$41:$R$74,VLOOKUP(AW447,Foundation_Calc!$I$2:$J$8,2,FALSE),0),"")))</f>
        <v/>
      </c>
      <c r="AZ447" s="631" t="str">
        <f>IF(K447="","",
IF(AX447="PT",VLOOKUP(K447,Foundation_Calc!$K$4:$R$37,VLOOKUP(AW447,Foundation_Calc!$I$2:$J$8,2,FALSE),0),
IF(AX447="K",VLOOKUP(K447,Foundation_Calc!$K$41:$R$74,VLOOKUP(AW447,Foundation_Calc!$I$2:$J$8,2,FALSE),0),"")))</f>
        <v/>
      </c>
      <c r="BA447" s="632" t="str">
        <f t="shared" si="63"/>
        <v/>
      </c>
      <c r="BB447" s="632" t="str">
        <f t="shared" si="64"/>
        <v/>
      </c>
      <c r="BC447" s="632" t="str">
        <f t="shared" si="65"/>
        <v/>
      </c>
      <c r="BD447" s="633" t="str">
        <f>IF(AND(L447="",H447=""),"",
IF(H447="",Pole_Calc!A475,
IF(H447="MP",Pole_Calc!A476,
IF(H447="AnMP",Pole_Calc!A477,
IF(H447="A",Pole_Calc!A478,
IF(H447="S/A",Pole_Calc!A479,
IF(H447="A/S",Pole_Calc!A480,"Poner a mano")))))))</f>
        <v/>
      </c>
      <c r="BE447" s="448" t="s">
        <v>1726</v>
      </c>
      <c r="BF447" s="635"/>
      <c r="BG447" s="635"/>
      <c r="BH447" s="634"/>
      <c r="BI447" s="635"/>
    </row>
    <row r="448" spans="1:61" ht="16.2" customHeight="1">
      <c r="A448" s="12"/>
      <c r="B448" s="446"/>
      <c r="C448" s="89"/>
      <c r="D448" s="13"/>
      <c r="E448" s="14"/>
      <c r="F448" s="14"/>
      <c r="G448" s="15"/>
      <c r="H448" s="8"/>
      <c r="I448" s="8"/>
      <c r="J448" s="89"/>
      <c r="K448" s="8"/>
      <c r="L448" s="8"/>
      <c r="M448" s="8" t="str">
        <f>IF(L448="","",
IF(AX448="PT",VLOOKUP(L448,Foundation_Calc!$V$4:$X$37,VLOOKUP(AX448,Foundation_Calc!$I$10:$J$13,2,FALSE),0),
IF(AX448="K",VLOOKUP(L448,Foundation_Calc!$V$41:$X$74,VLOOKUP(AX448,Foundation_Calc!$I$10:$J$13,2,FALSE),0),"")))</f>
        <v/>
      </c>
      <c r="N448" s="8"/>
      <c r="O448" s="8"/>
      <c r="P448" s="8"/>
      <c r="Q448" s="14"/>
      <c r="R448" s="15"/>
      <c r="S448" s="15"/>
      <c r="T448" s="14"/>
      <c r="U448" s="14"/>
      <c r="V448" s="14"/>
      <c r="W448" s="18"/>
      <c r="X448" s="18"/>
      <c r="Y448" s="18"/>
      <c r="Z448" s="18"/>
      <c r="AA448" s="18"/>
      <c r="AB448" s="18"/>
      <c r="AC448" s="8" t="str">
        <f t="shared" si="62"/>
        <v/>
      </c>
      <c r="AD448" s="8"/>
      <c r="AE448" s="8"/>
      <c r="AF448" s="14"/>
      <c r="AG448" s="13"/>
      <c r="AH448" s="14"/>
      <c r="AI448" s="14"/>
      <c r="AJ448" s="8"/>
      <c r="AK448" s="8"/>
      <c r="AL448" s="8"/>
      <c r="AM448" s="8"/>
      <c r="AN448" s="631"/>
      <c r="AO448" s="18"/>
      <c r="AP448" s="18"/>
      <c r="AQ448" s="18"/>
      <c r="AR448" s="18"/>
      <c r="AS448" s="18"/>
      <c r="AU448" s="448"/>
      <c r="AV448" s="448"/>
      <c r="AW448" s="8" t="str">
        <f>IF(C448&gt;0,VLOOKUP(C448,Foundation_Calc!$A$2:$C$986,3,1),
IF(J448&gt;0,VLOOKUP(J448,Foundation_Calc!$A$2:$C$986,3,1),""))</f>
        <v/>
      </c>
      <c r="AX448" s="8" t="str">
        <f>IF(C448&gt;0,VLOOKUP(C448,Foundation_Calc!$E$2:$G$986,3,1),
IF(J448&gt;0,VLOOKUP(J448,Foundation_Calc!$E$2:$G$986,3,1),""))</f>
        <v/>
      </c>
      <c r="AY448" s="631" t="str">
        <f>IF(L448="","",
IF(AX448="PT",VLOOKUP(L448,Foundation_Calc!$K$4:$R$37,VLOOKUP(AW448,Foundation_Calc!$I$2:$J$8,2,FALSE),0),
IF(AX448="K",VLOOKUP(L448,Foundation_Calc!$K$41:$R$74,VLOOKUP(AW448,Foundation_Calc!$I$2:$J$8,2,FALSE),0),"")))</f>
        <v/>
      </c>
      <c r="AZ448" s="631" t="str">
        <f>IF(K448="","",
IF(AX448="PT",VLOOKUP(K448,Foundation_Calc!$K$4:$R$37,VLOOKUP(AW448,Foundation_Calc!$I$2:$J$8,2,FALSE),0),
IF(AX448="K",VLOOKUP(K448,Foundation_Calc!$K$41:$R$74,VLOOKUP(AW448,Foundation_Calc!$I$2:$J$8,2,FALSE),0),"")))</f>
        <v/>
      </c>
      <c r="BA448" s="632" t="str">
        <f t="shared" si="63"/>
        <v/>
      </c>
      <c r="BB448" s="632" t="str">
        <f t="shared" si="64"/>
        <v/>
      </c>
      <c r="BC448" s="632" t="str">
        <f t="shared" si="65"/>
        <v/>
      </c>
      <c r="BD448" s="633" t="str">
        <f>IF(AND(L448="",H448=""),"",
IF(H448="",Pole_Calc!A476,
IF(H448="MP",Pole_Calc!A477,
IF(H448="AnMP",Pole_Calc!A478,
IF(H448="A",Pole_Calc!A479,
IF(H448="S/A",Pole_Calc!A480,
IF(H448="A/S",Pole_Calc!A481,"Poner a mano")))))))</f>
        <v/>
      </c>
      <c r="BE448" s="448" t="s">
        <v>1726</v>
      </c>
      <c r="BF448" s="634"/>
      <c r="BG448" s="634"/>
      <c r="BH448" s="634"/>
      <c r="BI448" s="634"/>
    </row>
    <row r="449" spans="1:61" ht="16.2" customHeight="1">
      <c r="A449" s="12"/>
      <c r="B449" s="446"/>
      <c r="C449" s="89"/>
      <c r="D449" s="13"/>
      <c r="E449" s="14"/>
      <c r="F449" s="14"/>
      <c r="G449" s="15"/>
      <c r="H449" s="8"/>
      <c r="I449" s="8"/>
      <c r="J449" s="89"/>
      <c r="K449" s="8"/>
      <c r="L449" s="8"/>
      <c r="M449" s="8" t="str">
        <f>IF(L449="","",
IF(AX449="PT",VLOOKUP(L449,Foundation_Calc!$V$4:$X$37,VLOOKUP(AX449,Foundation_Calc!$I$10:$J$13,2,FALSE),0),
IF(AX449="K",VLOOKUP(L449,Foundation_Calc!$V$41:$X$74,VLOOKUP(AX449,Foundation_Calc!$I$10:$J$13,2,FALSE),0),"")))</f>
        <v/>
      </c>
      <c r="N449" s="8"/>
      <c r="O449" s="8"/>
      <c r="P449" s="8"/>
      <c r="Q449" s="14"/>
      <c r="R449" s="15"/>
      <c r="S449" s="15"/>
      <c r="T449" s="14"/>
      <c r="U449" s="14"/>
      <c r="V449" s="14"/>
      <c r="W449" s="18"/>
      <c r="X449" s="18"/>
      <c r="Y449" s="18"/>
      <c r="Z449" s="18"/>
      <c r="AA449" s="18"/>
      <c r="AB449" s="18"/>
      <c r="AC449" s="8" t="str">
        <f t="shared" si="62"/>
        <v/>
      </c>
      <c r="AD449" s="8"/>
      <c r="AE449" s="8"/>
      <c r="AF449" s="14"/>
      <c r="AG449" s="13"/>
      <c r="AH449" s="14"/>
      <c r="AI449" s="14"/>
      <c r="AJ449" s="8"/>
      <c r="AK449" s="8"/>
      <c r="AL449" s="8"/>
      <c r="AM449" s="8"/>
      <c r="AN449" s="631"/>
      <c r="AO449" s="18"/>
      <c r="AP449" s="18"/>
      <c r="AQ449" s="18"/>
      <c r="AR449" s="18"/>
      <c r="AS449" s="18"/>
      <c r="AU449" s="448"/>
      <c r="AV449" s="448"/>
      <c r="AW449" s="8" t="str">
        <f>IF(C449&gt;0,VLOOKUP(C449,Foundation_Calc!$A$2:$C$986,3,1),
IF(J449&gt;0,VLOOKUP(J449,Foundation_Calc!$A$2:$C$986,3,1),""))</f>
        <v/>
      </c>
      <c r="AX449" s="8" t="str">
        <f>IF(C449&gt;0,VLOOKUP(C449,Foundation_Calc!$E$2:$G$986,3,1),
IF(J449&gt;0,VLOOKUP(J449,Foundation_Calc!$E$2:$G$986,3,1),""))</f>
        <v/>
      </c>
      <c r="AY449" s="631" t="str">
        <f>IF(L449="","",
IF(AX449="PT",VLOOKUP(L449,Foundation_Calc!$K$4:$R$37,VLOOKUP(AW449,Foundation_Calc!$I$2:$J$8,2,FALSE),0),
IF(AX449="K",VLOOKUP(L449,Foundation_Calc!$K$41:$R$74,VLOOKUP(AW449,Foundation_Calc!$I$2:$J$8,2,FALSE),0),"")))</f>
        <v/>
      </c>
      <c r="AZ449" s="631" t="str">
        <f>IF(K449="","",
IF(AX449="PT",VLOOKUP(K449,Foundation_Calc!$K$4:$R$37,VLOOKUP(AW449,Foundation_Calc!$I$2:$J$8,2,FALSE),0),
IF(AX449="K",VLOOKUP(K449,Foundation_Calc!$K$41:$R$74,VLOOKUP(AW449,Foundation_Calc!$I$2:$J$8,2,FALSE),0),"")))</f>
        <v/>
      </c>
      <c r="BA449" s="632" t="str">
        <f t="shared" si="63"/>
        <v/>
      </c>
      <c r="BB449" s="632" t="str">
        <f t="shared" si="64"/>
        <v/>
      </c>
      <c r="BC449" s="632" t="str">
        <f t="shared" si="65"/>
        <v/>
      </c>
      <c r="BD449" s="633" t="str">
        <f>IF(AND(L449="",H449=""),"",
IF(H449="",Pole_Calc!A477,
IF(H449="MP",Pole_Calc!A478,
IF(H449="AnMP",Pole_Calc!A479,
IF(H449="A",Pole_Calc!A480,
IF(H449="S/A",Pole_Calc!A481,
IF(H449="A/S",Pole_Calc!A482,"Poner a mano")))))))</f>
        <v/>
      </c>
      <c r="BE449" s="448" t="s">
        <v>1726</v>
      </c>
      <c r="BF449" s="635"/>
      <c r="BG449" s="635"/>
      <c r="BH449" s="634"/>
      <c r="BI449" s="635"/>
    </row>
    <row r="450" spans="1:61" ht="16.2" customHeight="1">
      <c r="A450" s="12"/>
      <c r="B450" s="446"/>
      <c r="C450" s="89"/>
      <c r="D450" s="13"/>
      <c r="E450" s="14"/>
      <c r="F450" s="14"/>
      <c r="G450" s="15"/>
      <c r="H450" s="8"/>
      <c r="I450" s="8"/>
      <c r="J450" s="89"/>
      <c r="K450" s="8"/>
      <c r="L450" s="8"/>
      <c r="M450" s="8" t="str">
        <f>IF(L450="","",
IF(AX450="PT",VLOOKUP(L450,Foundation_Calc!$V$4:$X$37,VLOOKUP(AX450,Foundation_Calc!$I$10:$J$13,2,FALSE),0),
IF(AX450="K",VLOOKUP(L450,Foundation_Calc!$V$41:$X$74,VLOOKUP(AX450,Foundation_Calc!$I$10:$J$13,2,FALSE),0),"")))</f>
        <v/>
      </c>
      <c r="N450" s="8"/>
      <c r="O450" s="8"/>
      <c r="P450" s="8"/>
      <c r="Q450" s="14"/>
      <c r="R450" s="15"/>
      <c r="S450" s="15"/>
      <c r="T450" s="14"/>
      <c r="U450" s="14"/>
      <c r="V450" s="14"/>
      <c r="W450" s="18"/>
      <c r="X450" s="18"/>
      <c r="Y450" s="18"/>
      <c r="Z450" s="18"/>
      <c r="AA450" s="18"/>
      <c r="AB450" s="18"/>
      <c r="AC450" s="8" t="str">
        <f t="shared" si="62"/>
        <v/>
      </c>
      <c r="AD450" s="8"/>
      <c r="AE450" s="8"/>
      <c r="AF450" s="14"/>
      <c r="AG450" s="13"/>
      <c r="AH450" s="14"/>
      <c r="AI450" s="14"/>
      <c r="AJ450" s="8"/>
      <c r="AK450" s="8"/>
      <c r="AL450" s="8"/>
      <c r="AM450" s="8"/>
      <c r="AN450" s="631"/>
      <c r="AO450" s="18"/>
      <c r="AP450" s="18"/>
      <c r="AQ450" s="18"/>
      <c r="AR450" s="18"/>
      <c r="AS450" s="18"/>
      <c r="AU450" s="448"/>
      <c r="AV450" s="448"/>
      <c r="AW450" s="8" t="str">
        <f>IF(C450&gt;0,VLOOKUP(C450,Foundation_Calc!$A$2:$C$986,3,1),
IF(J450&gt;0,VLOOKUP(J450,Foundation_Calc!$A$2:$C$986,3,1),""))</f>
        <v/>
      </c>
      <c r="AX450" s="8" t="str">
        <f>IF(C450&gt;0,VLOOKUP(C450,Foundation_Calc!$E$2:$G$986,3,1),
IF(J450&gt;0,VLOOKUP(J450,Foundation_Calc!$E$2:$G$986,3,1),""))</f>
        <v/>
      </c>
      <c r="AY450" s="631" t="str">
        <f>IF(L450="","",
IF(AX450="PT",VLOOKUP(L450,Foundation_Calc!$K$4:$R$37,VLOOKUP(AW450,Foundation_Calc!$I$2:$J$8,2,FALSE),0),
IF(AX450="K",VLOOKUP(L450,Foundation_Calc!$K$41:$R$74,VLOOKUP(AW450,Foundation_Calc!$I$2:$J$8,2,FALSE),0),"")))</f>
        <v/>
      </c>
      <c r="AZ450" s="631" t="str">
        <f>IF(K450="","",
IF(AX450="PT",VLOOKUP(K450,Foundation_Calc!$K$4:$R$37,VLOOKUP(AW450,Foundation_Calc!$I$2:$J$8,2,FALSE),0),
IF(AX450="K",VLOOKUP(K450,Foundation_Calc!$K$41:$R$74,VLOOKUP(AW450,Foundation_Calc!$I$2:$J$8,2,FALSE),0),"")))</f>
        <v/>
      </c>
      <c r="BA450" s="632" t="str">
        <f t="shared" si="63"/>
        <v/>
      </c>
      <c r="BB450" s="632" t="str">
        <f t="shared" si="64"/>
        <v/>
      </c>
      <c r="BC450" s="632" t="str">
        <f t="shared" si="65"/>
        <v/>
      </c>
      <c r="BD450" s="633" t="str">
        <f>IF(AND(L450="",H450=""),"",
IF(H450="",Pole_Calc!A478,
IF(H450="MP",Pole_Calc!A479,
IF(H450="AnMP",Pole_Calc!A480,
IF(H450="A",Pole_Calc!A481,
IF(H450="S/A",Pole_Calc!A482,
IF(H450="A/S",Pole_Calc!A483,"Poner a mano")))))))</f>
        <v/>
      </c>
      <c r="BE450" s="448" t="s">
        <v>1726</v>
      </c>
      <c r="BF450" s="634"/>
      <c r="BG450" s="634"/>
      <c r="BH450" s="634"/>
      <c r="BI450" s="634"/>
    </row>
    <row r="451" spans="1:61" ht="16.2" customHeight="1">
      <c r="A451" s="12"/>
      <c r="B451" s="446"/>
      <c r="C451" s="89"/>
      <c r="D451" s="13"/>
      <c r="E451" s="14"/>
      <c r="F451" s="14"/>
      <c r="G451" s="15"/>
      <c r="H451" s="8"/>
      <c r="I451" s="8"/>
      <c r="J451" s="89"/>
      <c r="K451" s="8"/>
      <c r="L451" s="8"/>
      <c r="M451" s="8" t="str">
        <f>IF(L451="","",
IF(AX451="PT",VLOOKUP(L451,Foundation_Calc!$V$4:$X$37,VLOOKUP(AX451,Foundation_Calc!$I$10:$J$13,2,FALSE),0),
IF(AX451="K",VLOOKUP(L451,Foundation_Calc!$V$41:$X$74,VLOOKUP(AX451,Foundation_Calc!$I$10:$J$13,2,FALSE),0),"")))</f>
        <v/>
      </c>
      <c r="N451" s="8"/>
      <c r="O451" s="8"/>
      <c r="P451" s="8"/>
      <c r="Q451" s="14"/>
      <c r="R451" s="15"/>
      <c r="S451" s="15"/>
      <c r="T451" s="14"/>
      <c r="U451" s="14"/>
      <c r="V451" s="14"/>
      <c r="W451" s="18"/>
      <c r="X451" s="18"/>
      <c r="Y451" s="18"/>
      <c r="Z451" s="18"/>
      <c r="AA451" s="18"/>
      <c r="AB451" s="18"/>
      <c r="AC451" s="8" t="str">
        <f t="shared" si="62"/>
        <v/>
      </c>
      <c r="AD451" s="8"/>
      <c r="AE451" s="8"/>
      <c r="AF451" s="14"/>
      <c r="AG451" s="13"/>
      <c r="AH451" s="14"/>
      <c r="AI451" s="14"/>
      <c r="AJ451" s="8"/>
      <c r="AK451" s="8"/>
      <c r="AL451" s="8"/>
      <c r="AM451" s="8"/>
      <c r="AN451" s="631"/>
      <c r="AO451" s="18"/>
      <c r="AP451" s="18"/>
      <c r="AQ451" s="18"/>
      <c r="AR451" s="18"/>
      <c r="AS451" s="18"/>
      <c r="AU451" s="448"/>
      <c r="AV451" s="448"/>
      <c r="AW451" s="8" t="str">
        <f>IF(C451&gt;0,VLOOKUP(C451,Foundation_Calc!$A$2:$C$986,3,1),
IF(J451&gt;0,VLOOKUP(J451,Foundation_Calc!$A$2:$C$986,3,1),""))</f>
        <v/>
      </c>
      <c r="AX451" s="8" t="str">
        <f>IF(C451&gt;0,VLOOKUP(C451,Foundation_Calc!$E$2:$G$986,3,1),
IF(J451&gt;0,VLOOKUP(J451,Foundation_Calc!$E$2:$G$986,3,1),""))</f>
        <v/>
      </c>
      <c r="AY451" s="631" t="str">
        <f>IF(L451="","",
IF(AX451="PT",VLOOKUP(L451,Foundation_Calc!$K$4:$R$37,VLOOKUP(AW451,Foundation_Calc!$I$2:$J$8,2,FALSE),0),
IF(AX451="K",VLOOKUP(L451,Foundation_Calc!$K$41:$R$74,VLOOKUP(AW451,Foundation_Calc!$I$2:$J$8,2,FALSE),0),"")))</f>
        <v/>
      </c>
      <c r="AZ451" s="631" t="str">
        <f>IF(K451="","",
IF(AX451="PT",VLOOKUP(K451,Foundation_Calc!$K$4:$R$37,VLOOKUP(AW451,Foundation_Calc!$I$2:$J$8,2,FALSE),0),
IF(AX451="K",VLOOKUP(K451,Foundation_Calc!$K$41:$R$74,VLOOKUP(AW451,Foundation_Calc!$I$2:$J$8,2,FALSE),0),"")))</f>
        <v/>
      </c>
      <c r="BA451" s="632" t="str">
        <f t="shared" si="63"/>
        <v/>
      </c>
      <c r="BB451" s="632" t="str">
        <f t="shared" si="64"/>
        <v/>
      </c>
      <c r="BC451" s="632" t="str">
        <f t="shared" si="65"/>
        <v/>
      </c>
      <c r="BD451" s="633" t="str">
        <f>IF(AND(L451="",H451=""),"",
IF(H451="",Pole_Calc!A479,
IF(H451="MP",Pole_Calc!A480,
IF(H451="AnMP",Pole_Calc!A481,
IF(H451="A",Pole_Calc!A482,
IF(H451="S/A",Pole_Calc!A483,
IF(H451="A/S",Pole_Calc!A484,"Poner a mano")))))))</f>
        <v/>
      </c>
      <c r="BE451" s="448" t="s">
        <v>1726</v>
      </c>
      <c r="BF451" s="635"/>
      <c r="BG451" s="635"/>
      <c r="BH451" s="634"/>
      <c r="BI451" s="635"/>
    </row>
    <row r="452" spans="1:61" ht="16.2" customHeight="1">
      <c r="A452" s="12"/>
      <c r="B452" s="446"/>
      <c r="C452" s="89"/>
      <c r="D452" s="13"/>
      <c r="E452" s="14"/>
      <c r="F452" s="14"/>
      <c r="G452" s="15"/>
      <c r="H452" s="8"/>
      <c r="I452" s="8"/>
      <c r="J452" s="89"/>
      <c r="K452" s="8"/>
      <c r="L452" s="8"/>
      <c r="M452" s="8" t="str">
        <f>IF(L452="","",
IF(AX452="PT",VLOOKUP(L452,Foundation_Calc!$V$4:$X$37,VLOOKUP(AX452,Foundation_Calc!$I$10:$J$13,2,FALSE),0),
IF(AX452="K",VLOOKUP(L452,Foundation_Calc!$V$41:$X$74,VLOOKUP(AX452,Foundation_Calc!$I$10:$J$13,2,FALSE),0),"")))</f>
        <v/>
      </c>
      <c r="N452" s="8"/>
      <c r="O452" s="8"/>
      <c r="P452" s="8"/>
      <c r="Q452" s="14"/>
      <c r="R452" s="15"/>
      <c r="S452" s="15"/>
      <c r="T452" s="14"/>
      <c r="U452" s="14"/>
      <c r="V452" s="14"/>
      <c r="W452" s="18"/>
      <c r="X452" s="18"/>
      <c r="Y452" s="18"/>
      <c r="Z452" s="18"/>
      <c r="AA452" s="18"/>
      <c r="AB452" s="18"/>
      <c r="AC452" s="8" t="str">
        <f t="shared" si="62"/>
        <v/>
      </c>
      <c r="AD452" s="8"/>
      <c r="AE452" s="8"/>
      <c r="AF452" s="14"/>
      <c r="AG452" s="13"/>
      <c r="AH452" s="14"/>
      <c r="AI452" s="14"/>
      <c r="AJ452" s="8"/>
      <c r="AK452" s="8"/>
      <c r="AL452" s="8"/>
      <c r="AM452" s="8"/>
      <c r="AN452" s="631"/>
      <c r="AO452" s="18"/>
      <c r="AP452" s="18"/>
      <c r="AQ452" s="18"/>
      <c r="AR452" s="18"/>
      <c r="AS452" s="18"/>
      <c r="AU452" s="448"/>
      <c r="AV452" s="448"/>
      <c r="AW452" s="8" t="str">
        <f>IF(C452&gt;0,VLOOKUP(C452,Foundation_Calc!$A$2:$C$986,3,1),
IF(J452&gt;0,VLOOKUP(J452,Foundation_Calc!$A$2:$C$986,3,1),""))</f>
        <v/>
      </c>
      <c r="AX452" s="8" t="str">
        <f>IF(C452&gt;0,VLOOKUP(C452,Foundation_Calc!$E$2:$G$986,3,1),
IF(J452&gt;0,VLOOKUP(J452,Foundation_Calc!$E$2:$G$986,3,1),""))</f>
        <v/>
      </c>
      <c r="AY452" s="631" t="str">
        <f>IF(L452="","",
IF(AX452="PT",VLOOKUP(L452,Foundation_Calc!$K$4:$R$37,VLOOKUP(AW452,Foundation_Calc!$I$2:$J$8,2,FALSE),0),
IF(AX452="K",VLOOKUP(L452,Foundation_Calc!$K$41:$R$74,VLOOKUP(AW452,Foundation_Calc!$I$2:$J$8,2,FALSE),0),"")))</f>
        <v/>
      </c>
      <c r="AZ452" s="631" t="str">
        <f>IF(K452="","",
IF(AX452="PT",VLOOKUP(K452,Foundation_Calc!$K$4:$R$37,VLOOKUP(AW452,Foundation_Calc!$I$2:$J$8,2,FALSE),0),
IF(AX452="K",VLOOKUP(K452,Foundation_Calc!$K$41:$R$74,VLOOKUP(AW452,Foundation_Calc!$I$2:$J$8,2,FALSE),0),"")))</f>
        <v/>
      </c>
      <c r="BA452" s="632" t="str">
        <f t="shared" si="63"/>
        <v/>
      </c>
      <c r="BB452" s="632" t="str">
        <f t="shared" si="64"/>
        <v/>
      </c>
      <c r="BC452" s="632" t="str">
        <f t="shared" si="65"/>
        <v/>
      </c>
      <c r="BD452" s="633" t="str">
        <f>IF(AND(L452="",H452=""),"",
IF(H452="",Pole_Calc!A480,
IF(H452="MP",Pole_Calc!A481,
IF(H452="AnMP",Pole_Calc!A482,
IF(H452="A",Pole_Calc!A483,
IF(H452="S/A",Pole_Calc!A484,
IF(H452="A/S",Pole_Calc!A485,"Poner a mano")))))))</f>
        <v/>
      </c>
      <c r="BE452" s="448" t="s">
        <v>1726</v>
      </c>
      <c r="BF452" s="634"/>
      <c r="BG452" s="634"/>
      <c r="BH452" s="634"/>
      <c r="BI452" s="634"/>
    </row>
    <row r="453" spans="1:61" ht="16.2" customHeight="1">
      <c r="A453" s="12"/>
      <c r="B453" s="446"/>
      <c r="C453" s="89"/>
      <c r="D453" s="13"/>
      <c r="E453" s="14"/>
      <c r="F453" s="14"/>
      <c r="G453" s="15"/>
      <c r="H453" s="8"/>
      <c r="I453" s="8"/>
      <c r="J453" s="89"/>
      <c r="K453" s="8"/>
      <c r="L453" s="8"/>
      <c r="M453" s="8" t="str">
        <f>IF(L453="","",
IF(AX453="PT",VLOOKUP(L453,Foundation_Calc!$V$4:$X$37,VLOOKUP(AX453,Foundation_Calc!$I$10:$J$13,2,FALSE),0),
IF(AX453="K",VLOOKUP(L453,Foundation_Calc!$V$41:$X$74,VLOOKUP(AX453,Foundation_Calc!$I$10:$J$13,2,FALSE),0),"")))</f>
        <v/>
      </c>
      <c r="N453" s="8"/>
      <c r="O453" s="8"/>
      <c r="P453" s="8"/>
      <c r="Q453" s="14"/>
      <c r="R453" s="15"/>
      <c r="S453" s="15"/>
      <c r="T453" s="14"/>
      <c r="U453" s="14"/>
      <c r="V453" s="14"/>
      <c r="W453" s="18"/>
      <c r="X453" s="18"/>
      <c r="Y453" s="18"/>
      <c r="Z453" s="18"/>
      <c r="AA453" s="18"/>
      <c r="AB453" s="18"/>
      <c r="AC453" s="8" t="str">
        <f t="shared" si="62"/>
        <v/>
      </c>
      <c r="AD453" s="8"/>
      <c r="AE453" s="8"/>
      <c r="AF453" s="14"/>
      <c r="AG453" s="13"/>
      <c r="AH453" s="14"/>
      <c r="AI453" s="14"/>
      <c r="AJ453" s="8"/>
      <c r="AK453" s="8"/>
      <c r="AL453" s="8"/>
      <c r="AM453" s="8"/>
      <c r="AN453" s="631"/>
      <c r="AO453" s="18"/>
      <c r="AP453" s="18"/>
      <c r="AQ453" s="18"/>
      <c r="AR453" s="18"/>
      <c r="AS453" s="18"/>
      <c r="AU453" s="448"/>
      <c r="AV453" s="448"/>
      <c r="AW453" s="8" t="str">
        <f>IF(C453&gt;0,VLOOKUP(C453,Foundation_Calc!$A$2:$C$986,3,1),
IF(J453&gt;0,VLOOKUP(J453,Foundation_Calc!$A$2:$C$986,3,1),""))</f>
        <v/>
      </c>
      <c r="AX453" s="8" t="str">
        <f>IF(C453&gt;0,VLOOKUP(C453,Foundation_Calc!$E$2:$G$986,3,1),
IF(J453&gt;0,VLOOKUP(J453,Foundation_Calc!$E$2:$G$986,3,1),""))</f>
        <v/>
      </c>
      <c r="AY453" s="631" t="str">
        <f>IF(L453="","",
IF(AX453="PT",VLOOKUP(L453,Foundation_Calc!$K$4:$R$37,VLOOKUP(AW453,Foundation_Calc!$I$2:$J$8,2,FALSE),0),
IF(AX453="K",VLOOKUP(L453,Foundation_Calc!$K$41:$R$74,VLOOKUP(AW453,Foundation_Calc!$I$2:$J$8,2,FALSE),0),"")))</f>
        <v/>
      </c>
      <c r="AZ453" s="631" t="str">
        <f>IF(K453="","",
IF(AX453="PT",VLOOKUP(K453,Foundation_Calc!$K$4:$R$37,VLOOKUP(AW453,Foundation_Calc!$I$2:$J$8,2,FALSE),0),
IF(AX453="K",VLOOKUP(K453,Foundation_Calc!$K$41:$R$74,VLOOKUP(AW453,Foundation_Calc!$I$2:$J$8,2,FALSE),0),"")))</f>
        <v/>
      </c>
      <c r="BA453" s="632" t="str">
        <f t="shared" si="63"/>
        <v/>
      </c>
      <c r="BB453" s="632" t="str">
        <f t="shared" si="64"/>
        <v/>
      </c>
      <c r="BC453" s="632" t="str">
        <f t="shared" si="65"/>
        <v/>
      </c>
      <c r="BD453" s="633" t="str">
        <f>IF(AND(L453="",H453=""),"",
IF(H453="",Pole_Calc!A481,
IF(H453="MP",Pole_Calc!A482,
IF(H453="AnMP",Pole_Calc!A483,
IF(H453="A",Pole_Calc!A484,
IF(H453="S/A",Pole_Calc!A485,
IF(H453="A/S",Pole_Calc!A486,"Poner a mano")))))))</f>
        <v/>
      </c>
      <c r="BE453" s="448" t="s">
        <v>1726</v>
      </c>
      <c r="BF453" s="635"/>
      <c r="BG453" s="635"/>
      <c r="BH453" s="634"/>
      <c r="BI453" s="635"/>
    </row>
    <row r="454" spans="1:61" ht="16.2" customHeight="1">
      <c r="A454" s="12"/>
      <c r="B454" s="446"/>
      <c r="C454" s="89"/>
      <c r="D454" s="13"/>
      <c r="E454" s="14"/>
      <c r="F454" s="14"/>
      <c r="G454" s="15"/>
      <c r="H454" s="8"/>
      <c r="I454" s="8"/>
      <c r="J454" s="89"/>
      <c r="K454" s="8"/>
      <c r="L454" s="8"/>
      <c r="M454" s="8" t="str">
        <f>IF(L454="","",
IF(AX454="PT",VLOOKUP(L454,Foundation_Calc!$V$4:$X$37,VLOOKUP(AX454,Foundation_Calc!$I$10:$J$13,2,FALSE),0),
IF(AX454="K",VLOOKUP(L454,Foundation_Calc!$V$41:$X$74,VLOOKUP(AX454,Foundation_Calc!$I$10:$J$13,2,FALSE),0),"")))</f>
        <v/>
      </c>
      <c r="N454" s="8"/>
      <c r="O454" s="8"/>
      <c r="P454" s="8"/>
      <c r="Q454" s="14"/>
      <c r="R454" s="15"/>
      <c r="S454" s="15"/>
      <c r="T454" s="14"/>
      <c r="U454" s="14"/>
      <c r="V454" s="14"/>
      <c r="W454" s="18"/>
      <c r="X454" s="18"/>
      <c r="Y454" s="18"/>
      <c r="Z454" s="18"/>
      <c r="AA454" s="18"/>
      <c r="AB454" s="18"/>
      <c r="AC454" s="8" t="str">
        <f t="shared" ref="AC454:AC517" si="66">IF(OR(AT454&gt;8,AT454&lt;-8),"PH",
IF(OR(AT454&gt;5,AT454&lt;-5),"PHQ",
IF(OR(AT454&gt;1,AT454&lt;-1),
"PHC","")))</f>
        <v/>
      </c>
      <c r="AD454" s="8"/>
      <c r="AE454" s="8"/>
      <c r="AF454" s="14"/>
      <c r="AG454" s="13"/>
      <c r="AH454" s="14"/>
      <c r="AI454" s="14"/>
      <c r="AJ454" s="8"/>
      <c r="AK454" s="8"/>
      <c r="AL454" s="8"/>
      <c r="AM454" s="8"/>
      <c r="AN454" s="631"/>
      <c r="AO454" s="18"/>
      <c r="AP454" s="18"/>
      <c r="AQ454" s="18"/>
      <c r="AR454" s="18"/>
      <c r="AS454" s="18"/>
      <c r="AU454" s="448"/>
      <c r="AV454" s="448"/>
      <c r="AW454" s="8" t="str">
        <f>IF(C454&gt;0,VLOOKUP(C454,Foundation_Calc!$A$2:$C$986,3,1),
IF(J454&gt;0,VLOOKUP(J454,Foundation_Calc!$A$2:$C$986,3,1),""))</f>
        <v/>
      </c>
      <c r="AX454" s="8" t="str">
        <f>IF(C454&gt;0,VLOOKUP(C454,Foundation_Calc!$E$2:$G$986,3,1),
IF(J454&gt;0,VLOOKUP(J454,Foundation_Calc!$E$2:$G$986,3,1),""))</f>
        <v/>
      </c>
      <c r="AY454" s="631" t="str">
        <f>IF(L454="","",
IF(AX454="PT",VLOOKUP(L454,Foundation_Calc!$K$4:$R$37,VLOOKUP(AW454,Foundation_Calc!$I$2:$J$8,2,FALSE),0),
IF(AX454="K",VLOOKUP(L454,Foundation_Calc!$K$41:$R$74,VLOOKUP(AW454,Foundation_Calc!$I$2:$J$8,2,FALSE),0),"")))</f>
        <v/>
      </c>
      <c r="AZ454" s="631" t="str">
        <f>IF(K454="","",
IF(AX454="PT",VLOOKUP(K454,Foundation_Calc!$K$4:$R$37,VLOOKUP(AW454,Foundation_Calc!$I$2:$J$8,2,FALSE),0),
IF(AX454="K",VLOOKUP(K454,Foundation_Calc!$K$41:$R$74,VLOOKUP(AW454,Foundation_Calc!$I$2:$J$8,2,FALSE),0),"")))</f>
        <v/>
      </c>
      <c r="BA454" s="632" t="str">
        <f t="shared" ref="BA454:BA517" si="67">IF(AY454="","",IF(AY454&gt;0,"ü",""))</f>
        <v/>
      </c>
      <c r="BB454" s="632" t="str">
        <f t="shared" ref="BB454:BB517" si="68">IF(AZ454="","",IF(AZ454&gt;0,"ü",""))</f>
        <v/>
      </c>
      <c r="BC454" s="632" t="str">
        <f t="shared" ref="BC454:BC517" si="69">IF(M454="","",IF(M454="Unique Solution","ü",""))</f>
        <v/>
      </c>
      <c r="BD454" s="633" t="str">
        <f>IF(AND(L454="",H454=""),"",
IF(H454="",Pole_Calc!A482,
IF(H454="MP",Pole_Calc!A483,
IF(H454="AnMP",Pole_Calc!A484,
IF(H454="A",Pole_Calc!A485,
IF(H454="S/A",Pole_Calc!A486,
IF(H454="A/S",Pole_Calc!A487,"Poner a mano")))))))</f>
        <v/>
      </c>
      <c r="BE454" s="448" t="s">
        <v>1726</v>
      </c>
      <c r="BF454" s="634"/>
      <c r="BG454" s="634"/>
      <c r="BH454" s="634"/>
      <c r="BI454" s="634"/>
    </row>
    <row r="455" spans="1:61" ht="16.2" customHeight="1">
      <c r="A455" s="12"/>
      <c r="B455" s="446"/>
      <c r="C455" s="89"/>
      <c r="D455" s="13"/>
      <c r="E455" s="14"/>
      <c r="F455" s="14"/>
      <c r="G455" s="15"/>
      <c r="H455" s="8"/>
      <c r="I455" s="8"/>
      <c r="J455" s="89"/>
      <c r="K455" s="8"/>
      <c r="L455" s="8"/>
      <c r="M455" s="8" t="str">
        <f>IF(L455="","",
IF(AX455="PT",VLOOKUP(L455,Foundation_Calc!$V$4:$X$37,VLOOKUP(AX455,Foundation_Calc!$I$10:$J$13,2,FALSE),0),
IF(AX455="K",VLOOKUP(L455,Foundation_Calc!$V$41:$X$74,VLOOKUP(AX455,Foundation_Calc!$I$10:$J$13,2,FALSE),0),"")))</f>
        <v/>
      </c>
      <c r="N455" s="8"/>
      <c r="O455" s="8"/>
      <c r="P455" s="8"/>
      <c r="Q455" s="14"/>
      <c r="R455" s="15"/>
      <c r="S455" s="15"/>
      <c r="T455" s="14"/>
      <c r="U455" s="14"/>
      <c r="V455" s="14"/>
      <c r="W455" s="18"/>
      <c r="X455" s="18"/>
      <c r="Y455" s="18"/>
      <c r="Z455" s="18"/>
      <c r="AA455" s="18"/>
      <c r="AB455" s="18"/>
      <c r="AC455" s="8" t="str">
        <f t="shared" si="66"/>
        <v/>
      </c>
      <c r="AD455" s="8"/>
      <c r="AE455" s="8"/>
      <c r="AF455" s="14"/>
      <c r="AG455" s="13"/>
      <c r="AH455" s="14"/>
      <c r="AI455" s="14"/>
      <c r="AJ455" s="8"/>
      <c r="AK455" s="8"/>
      <c r="AL455" s="8"/>
      <c r="AM455" s="8"/>
      <c r="AN455" s="631"/>
      <c r="AO455" s="18"/>
      <c r="AP455" s="18"/>
      <c r="AQ455" s="18"/>
      <c r="AR455" s="18"/>
      <c r="AS455" s="18"/>
      <c r="AU455" s="448"/>
      <c r="AV455" s="448"/>
      <c r="AW455" s="8" t="str">
        <f>IF(C455&gt;0,VLOOKUP(C455,Foundation_Calc!$A$2:$C$986,3,1),
IF(J455&gt;0,VLOOKUP(J455,Foundation_Calc!$A$2:$C$986,3,1),""))</f>
        <v/>
      </c>
      <c r="AX455" s="8" t="str">
        <f>IF(C455&gt;0,VLOOKUP(C455,Foundation_Calc!$E$2:$G$986,3,1),
IF(J455&gt;0,VLOOKUP(J455,Foundation_Calc!$E$2:$G$986,3,1),""))</f>
        <v/>
      </c>
      <c r="AY455" s="631" t="str">
        <f>IF(L455="","",
IF(AX455="PT",VLOOKUP(L455,Foundation_Calc!$K$4:$R$37,VLOOKUP(AW455,Foundation_Calc!$I$2:$J$8,2,FALSE),0),
IF(AX455="K",VLOOKUP(L455,Foundation_Calc!$K$41:$R$74,VLOOKUP(AW455,Foundation_Calc!$I$2:$J$8,2,FALSE),0),"")))</f>
        <v/>
      </c>
      <c r="AZ455" s="631" t="str">
        <f>IF(K455="","",
IF(AX455="PT",VLOOKUP(K455,Foundation_Calc!$K$4:$R$37,VLOOKUP(AW455,Foundation_Calc!$I$2:$J$8,2,FALSE),0),
IF(AX455="K",VLOOKUP(K455,Foundation_Calc!$K$41:$R$74,VLOOKUP(AW455,Foundation_Calc!$I$2:$J$8,2,FALSE),0),"")))</f>
        <v/>
      </c>
      <c r="BA455" s="632" t="str">
        <f t="shared" si="67"/>
        <v/>
      </c>
      <c r="BB455" s="632" t="str">
        <f t="shared" si="68"/>
        <v/>
      </c>
      <c r="BC455" s="632" t="str">
        <f t="shared" si="69"/>
        <v/>
      </c>
      <c r="BD455" s="633" t="str">
        <f>IF(AND(L455="",H455=""),"",
IF(H455="",Pole_Calc!A483,
IF(H455="MP",Pole_Calc!A484,
IF(H455="AnMP",Pole_Calc!A485,
IF(H455="A",Pole_Calc!A486,
IF(H455="S/A",Pole_Calc!A487,
IF(H455="A/S",Pole_Calc!A488,"Poner a mano")))))))</f>
        <v/>
      </c>
      <c r="BE455" s="448" t="s">
        <v>1726</v>
      </c>
      <c r="BF455" s="635"/>
      <c r="BG455" s="635"/>
      <c r="BH455" s="634"/>
      <c r="BI455" s="635"/>
    </row>
    <row r="456" spans="1:61" ht="16.2" customHeight="1">
      <c r="A456" s="12"/>
      <c r="B456" s="446"/>
      <c r="C456" s="89"/>
      <c r="D456" s="13"/>
      <c r="E456" s="14"/>
      <c r="F456" s="14"/>
      <c r="G456" s="15"/>
      <c r="H456" s="8"/>
      <c r="I456" s="8"/>
      <c r="J456" s="89"/>
      <c r="K456" s="8"/>
      <c r="L456" s="8"/>
      <c r="M456" s="8" t="str">
        <f>IF(L456="","",
IF(AX456="PT",VLOOKUP(L456,Foundation_Calc!$V$4:$X$37,VLOOKUP(AX456,Foundation_Calc!$I$10:$J$13,2,FALSE),0),
IF(AX456="K",VLOOKUP(L456,Foundation_Calc!$V$41:$X$74,VLOOKUP(AX456,Foundation_Calc!$I$10:$J$13,2,FALSE),0),"")))</f>
        <v/>
      </c>
      <c r="N456" s="8"/>
      <c r="O456" s="8"/>
      <c r="P456" s="8"/>
      <c r="Q456" s="14"/>
      <c r="R456" s="15"/>
      <c r="S456" s="15"/>
      <c r="T456" s="14"/>
      <c r="U456" s="14"/>
      <c r="V456" s="14"/>
      <c r="W456" s="18"/>
      <c r="X456" s="18"/>
      <c r="Y456" s="18"/>
      <c r="Z456" s="18"/>
      <c r="AA456" s="18"/>
      <c r="AB456" s="18"/>
      <c r="AC456" s="8" t="str">
        <f t="shared" si="66"/>
        <v/>
      </c>
      <c r="AD456" s="8"/>
      <c r="AE456" s="8"/>
      <c r="AF456" s="14"/>
      <c r="AG456" s="13"/>
      <c r="AH456" s="14"/>
      <c r="AI456" s="14"/>
      <c r="AJ456" s="8"/>
      <c r="AK456" s="8"/>
      <c r="AL456" s="8"/>
      <c r="AM456" s="8"/>
      <c r="AN456" s="631"/>
      <c r="AO456" s="18"/>
      <c r="AP456" s="18"/>
      <c r="AQ456" s="18"/>
      <c r="AR456" s="18"/>
      <c r="AS456" s="18"/>
      <c r="AU456" s="448"/>
      <c r="AV456" s="448"/>
      <c r="AW456" s="8" t="str">
        <f>IF(C456&gt;0,VLOOKUP(C456,Foundation_Calc!$A$2:$C$986,3,1),
IF(J456&gt;0,VLOOKUP(J456,Foundation_Calc!$A$2:$C$986,3,1),""))</f>
        <v/>
      </c>
      <c r="AX456" s="8" t="str">
        <f>IF(C456&gt;0,VLOOKUP(C456,Foundation_Calc!$E$2:$G$986,3,1),
IF(J456&gt;0,VLOOKUP(J456,Foundation_Calc!$E$2:$G$986,3,1),""))</f>
        <v/>
      </c>
      <c r="AY456" s="631" t="str">
        <f>IF(L456="","",
IF(AX456="PT",VLOOKUP(L456,Foundation_Calc!$K$4:$R$37,VLOOKUP(AW456,Foundation_Calc!$I$2:$J$8,2,FALSE),0),
IF(AX456="K",VLOOKUP(L456,Foundation_Calc!$K$41:$R$74,VLOOKUP(AW456,Foundation_Calc!$I$2:$J$8,2,FALSE),0),"")))</f>
        <v/>
      </c>
      <c r="AZ456" s="631" t="str">
        <f>IF(K456="","",
IF(AX456="PT",VLOOKUP(K456,Foundation_Calc!$K$4:$R$37,VLOOKUP(AW456,Foundation_Calc!$I$2:$J$8,2,FALSE),0),
IF(AX456="K",VLOOKUP(K456,Foundation_Calc!$K$41:$R$74,VLOOKUP(AW456,Foundation_Calc!$I$2:$J$8,2,FALSE),0),"")))</f>
        <v/>
      </c>
      <c r="BA456" s="632" t="str">
        <f t="shared" si="67"/>
        <v/>
      </c>
      <c r="BB456" s="632" t="str">
        <f t="shared" si="68"/>
        <v/>
      </c>
      <c r="BC456" s="632" t="str">
        <f t="shared" si="69"/>
        <v/>
      </c>
      <c r="BD456" s="633" t="str">
        <f>IF(AND(L456="",H456=""),"",
IF(H456="",Pole_Calc!A484,
IF(H456="MP",Pole_Calc!A485,
IF(H456="AnMP",Pole_Calc!A486,
IF(H456="A",Pole_Calc!A487,
IF(H456="S/A",Pole_Calc!A488,
IF(H456="A/S",Pole_Calc!A489,"Poner a mano")))))))</f>
        <v/>
      </c>
      <c r="BE456" s="448" t="s">
        <v>1726</v>
      </c>
      <c r="BF456" s="634"/>
      <c r="BG456" s="634"/>
      <c r="BH456" s="634"/>
      <c r="BI456" s="634"/>
    </row>
    <row r="457" spans="1:61" ht="16.2" customHeight="1">
      <c r="A457" s="12"/>
      <c r="B457" s="446"/>
      <c r="C457" s="89"/>
      <c r="D457" s="13"/>
      <c r="E457" s="14"/>
      <c r="F457" s="14"/>
      <c r="G457" s="15"/>
      <c r="H457" s="8"/>
      <c r="I457" s="8"/>
      <c r="J457" s="89"/>
      <c r="K457" s="8"/>
      <c r="L457" s="8"/>
      <c r="M457" s="8" t="str">
        <f>IF(L457="","",
IF(AX457="PT",VLOOKUP(L457,Foundation_Calc!$V$4:$X$37,VLOOKUP(AX457,Foundation_Calc!$I$10:$J$13,2,FALSE),0),
IF(AX457="K",VLOOKUP(L457,Foundation_Calc!$V$41:$X$74,VLOOKUP(AX457,Foundation_Calc!$I$10:$J$13,2,FALSE),0),"")))</f>
        <v/>
      </c>
      <c r="N457" s="8"/>
      <c r="O457" s="8"/>
      <c r="P457" s="8"/>
      <c r="Q457" s="14"/>
      <c r="R457" s="15"/>
      <c r="S457" s="15"/>
      <c r="T457" s="14"/>
      <c r="U457" s="14"/>
      <c r="V457" s="14"/>
      <c r="W457" s="18"/>
      <c r="X457" s="18"/>
      <c r="Y457" s="18"/>
      <c r="Z457" s="18"/>
      <c r="AA457" s="18"/>
      <c r="AB457" s="18"/>
      <c r="AC457" s="8" t="str">
        <f t="shared" si="66"/>
        <v/>
      </c>
      <c r="AD457" s="8"/>
      <c r="AE457" s="8"/>
      <c r="AF457" s="14"/>
      <c r="AG457" s="13"/>
      <c r="AH457" s="14"/>
      <c r="AI457" s="14"/>
      <c r="AJ457" s="8"/>
      <c r="AK457" s="8"/>
      <c r="AL457" s="8"/>
      <c r="AM457" s="8"/>
      <c r="AN457" s="631"/>
      <c r="AO457" s="18"/>
      <c r="AP457" s="18"/>
      <c r="AQ457" s="18"/>
      <c r="AR457" s="18"/>
      <c r="AS457" s="18"/>
      <c r="AU457" s="448"/>
      <c r="AV457" s="448"/>
      <c r="AW457" s="8" t="str">
        <f>IF(C457&gt;0,VLOOKUP(C457,Foundation_Calc!$A$2:$C$986,3,1),
IF(J457&gt;0,VLOOKUP(J457,Foundation_Calc!$A$2:$C$986,3,1),""))</f>
        <v/>
      </c>
      <c r="AX457" s="8" t="str">
        <f>IF(C457&gt;0,VLOOKUP(C457,Foundation_Calc!$E$2:$G$986,3,1),
IF(J457&gt;0,VLOOKUP(J457,Foundation_Calc!$E$2:$G$986,3,1),""))</f>
        <v/>
      </c>
      <c r="AY457" s="631" t="str">
        <f>IF(L457="","",
IF(AX457="PT",VLOOKUP(L457,Foundation_Calc!$K$4:$R$37,VLOOKUP(AW457,Foundation_Calc!$I$2:$J$8,2,FALSE),0),
IF(AX457="K",VLOOKUP(L457,Foundation_Calc!$K$41:$R$74,VLOOKUP(AW457,Foundation_Calc!$I$2:$J$8,2,FALSE),0),"")))</f>
        <v/>
      </c>
      <c r="AZ457" s="631" t="str">
        <f>IF(K457="","",
IF(AX457="PT",VLOOKUP(K457,Foundation_Calc!$K$4:$R$37,VLOOKUP(AW457,Foundation_Calc!$I$2:$J$8,2,FALSE),0),
IF(AX457="K",VLOOKUP(K457,Foundation_Calc!$K$41:$R$74,VLOOKUP(AW457,Foundation_Calc!$I$2:$J$8,2,FALSE),0),"")))</f>
        <v/>
      </c>
      <c r="BA457" s="632" t="str">
        <f t="shared" si="67"/>
        <v/>
      </c>
      <c r="BB457" s="632" t="str">
        <f t="shared" si="68"/>
        <v/>
      </c>
      <c r="BC457" s="632" t="str">
        <f t="shared" si="69"/>
        <v/>
      </c>
      <c r="BD457" s="633" t="str">
        <f>IF(AND(L457="",H457=""),"",
IF(H457="",Pole_Calc!A485,
IF(H457="MP",Pole_Calc!A486,
IF(H457="AnMP",Pole_Calc!A487,
IF(H457="A",Pole_Calc!A488,
IF(H457="S/A",Pole_Calc!A489,
IF(H457="A/S",Pole_Calc!A490,"Poner a mano")))))))</f>
        <v/>
      </c>
      <c r="BE457" s="448" t="s">
        <v>1726</v>
      </c>
      <c r="BF457" s="635"/>
      <c r="BG457" s="635"/>
      <c r="BH457" s="634"/>
      <c r="BI457" s="635"/>
    </row>
    <row r="458" spans="1:61" ht="16.2" customHeight="1">
      <c r="A458" s="12"/>
      <c r="B458" s="446"/>
      <c r="C458" s="89"/>
      <c r="D458" s="13"/>
      <c r="E458" s="14"/>
      <c r="F458" s="14"/>
      <c r="G458" s="15"/>
      <c r="H458" s="8"/>
      <c r="I458" s="8"/>
      <c r="J458" s="89"/>
      <c r="K458" s="8"/>
      <c r="L458" s="8"/>
      <c r="M458" s="8" t="str">
        <f>IF(L458="","",
IF(AX458="PT",VLOOKUP(L458,Foundation_Calc!$V$4:$X$37,VLOOKUP(AX458,Foundation_Calc!$I$10:$J$13,2,FALSE),0),
IF(AX458="K",VLOOKUP(L458,Foundation_Calc!$V$41:$X$74,VLOOKUP(AX458,Foundation_Calc!$I$10:$J$13,2,FALSE),0),"")))</f>
        <v/>
      </c>
      <c r="N458" s="8"/>
      <c r="O458" s="8"/>
      <c r="P458" s="8"/>
      <c r="Q458" s="14"/>
      <c r="R458" s="15"/>
      <c r="S458" s="15"/>
      <c r="T458" s="14"/>
      <c r="U458" s="14"/>
      <c r="V458" s="14"/>
      <c r="W458" s="18"/>
      <c r="X458" s="18"/>
      <c r="Y458" s="18"/>
      <c r="Z458" s="18"/>
      <c r="AA458" s="18"/>
      <c r="AB458" s="18"/>
      <c r="AC458" s="8" t="str">
        <f t="shared" si="66"/>
        <v/>
      </c>
      <c r="AD458" s="8"/>
      <c r="AE458" s="8"/>
      <c r="AF458" s="14"/>
      <c r="AG458" s="13"/>
      <c r="AH458" s="14"/>
      <c r="AI458" s="14"/>
      <c r="AJ458" s="8"/>
      <c r="AK458" s="8"/>
      <c r="AL458" s="8"/>
      <c r="AM458" s="8"/>
      <c r="AN458" s="631"/>
      <c r="AO458" s="18"/>
      <c r="AP458" s="18"/>
      <c r="AQ458" s="18"/>
      <c r="AR458" s="18"/>
      <c r="AS458" s="18"/>
      <c r="AU458" s="448"/>
      <c r="AV458" s="448"/>
      <c r="AW458" s="8" t="str">
        <f>IF(C458&gt;0,VLOOKUP(C458,Foundation_Calc!$A$2:$C$986,3,1),
IF(J458&gt;0,VLOOKUP(J458,Foundation_Calc!$A$2:$C$986,3,1),""))</f>
        <v/>
      </c>
      <c r="AX458" s="8" t="str">
        <f>IF(C458&gt;0,VLOOKUP(C458,Foundation_Calc!$E$2:$G$986,3,1),
IF(J458&gt;0,VLOOKUP(J458,Foundation_Calc!$E$2:$G$986,3,1),""))</f>
        <v/>
      </c>
      <c r="AY458" s="631" t="str">
        <f>IF(L458="","",
IF(AX458="PT",VLOOKUP(L458,Foundation_Calc!$K$4:$R$37,VLOOKUP(AW458,Foundation_Calc!$I$2:$J$8,2,FALSE),0),
IF(AX458="K",VLOOKUP(L458,Foundation_Calc!$K$41:$R$74,VLOOKUP(AW458,Foundation_Calc!$I$2:$J$8,2,FALSE),0),"")))</f>
        <v/>
      </c>
      <c r="AZ458" s="631" t="str">
        <f>IF(K458="","",
IF(AX458="PT",VLOOKUP(K458,Foundation_Calc!$K$4:$R$37,VLOOKUP(AW458,Foundation_Calc!$I$2:$J$8,2,FALSE),0),
IF(AX458="K",VLOOKUP(K458,Foundation_Calc!$K$41:$R$74,VLOOKUP(AW458,Foundation_Calc!$I$2:$J$8,2,FALSE),0),"")))</f>
        <v/>
      </c>
      <c r="BA458" s="632" t="str">
        <f t="shared" si="67"/>
        <v/>
      </c>
      <c r="BB458" s="632" t="str">
        <f t="shared" si="68"/>
        <v/>
      </c>
      <c r="BC458" s="632" t="str">
        <f t="shared" si="69"/>
        <v/>
      </c>
      <c r="BD458" s="633" t="str">
        <f>IF(AND(L458="",H458=""),"",
IF(H458="",Pole_Calc!A486,
IF(H458="MP",Pole_Calc!A487,
IF(H458="AnMP",Pole_Calc!A488,
IF(H458="A",Pole_Calc!A489,
IF(H458="S/A",Pole_Calc!A490,
IF(H458="A/S",Pole_Calc!A491,"Poner a mano")))))))</f>
        <v/>
      </c>
      <c r="BE458" s="448" t="s">
        <v>1726</v>
      </c>
      <c r="BF458" s="634"/>
      <c r="BG458" s="634"/>
      <c r="BH458" s="634"/>
      <c r="BI458" s="634"/>
    </row>
    <row r="459" spans="1:61" ht="16.2" customHeight="1">
      <c r="A459" s="12"/>
      <c r="B459" s="446"/>
      <c r="C459" s="89"/>
      <c r="D459" s="13"/>
      <c r="E459" s="14"/>
      <c r="F459" s="14"/>
      <c r="G459" s="15"/>
      <c r="H459" s="8"/>
      <c r="I459" s="8"/>
      <c r="J459" s="89"/>
      <c r="K459" s="8"/>
      <c r="L459" s="8"/>
      <c r="M459" s="8" t="str">
        <f>IF(L459="","",
IF(AX459="PT",VLOOKUP(L459,Foundation_Calc!$V$4:$X$37,VLOOKUP(AX459,Foundation_Calc!$I$10:$J$13,2,FALSE),0),
IF(AX459="K",VLOOKUP(L459,Foundation_Calc!$V$41:$X$74,VLOOKUP(AX459,Foundation_Calc!$I$10:$J$13,2,FALSE),0),"")))</f>
        <v/>
      </c>
      <c r="N459" s="8"/>
      <c r="O459" s="8"/>
      <c r="P459" s="8"/>
      <c r="Q459" s="14"/>
      <c r="R459" s="15"/>
      <c r="S459" s="15"/>
      <c r="T459" s="14"/>
      <c r="U459" s="14"/>
      <c r="V459" s="14"/>
      <c r="W459" s="18"/>
      <c r="X459" s="18"/>
      <c r="Y459" s="18"/>
      <c r="Z459" s="18"/>
      <c r="AA459" s="18"/>
      <c r="AB459" s="18"/>
      <c r="AC459" s="8" t="str">
        <f t="shared" si="66"/>
        <v/>
      </c>
      <c r="AD459" s="8"/>
      <c r="AE459" s="8"/>
      <c r="AF459" s="14"/>
      <c r="AG459" s="13"/>
      <c r="AH459" s="14"/>
      <c r="AI459" s="14"/>
      <c r="AJ459" s="8"/>
      <c r="AK459" s="8"/>
      <c r="AL459" s="8"/>
      <c r="AM459" s="8"/>
      <c r="AN459" s="631"/>
      <c r="AO459" s="18"/>
      <c r="AP459" s="18"/>
      <c r="AQ459" s="18"/>
      <c r="AR459" s="18"/>
      <c r="AS459" s="18"/>
      <c r="AU459" s="448"/>
      <c r="AV459" s="448"/>
      <c r="AW459" s="8" t="str">
        <f>IF(C459&gt;0,VLOOKUP(C459,Foundation_Calc!$A$2:$C$986,3,1),
IF(J459&gt;0,VLOOKUP(J459,Foundation_Calc!$A$2:$C$986,3,1),""))</f>
        <v/>
      </c>
      <c r="AX459" s="8" t="str">
        <f>IF(C459&gt;0,VLOOKUP(C459,Foundation_Calc!$E$2:$G$986,3,1),
IF(J459&gt;0,VLOOKUP(J459,Foundation_Calc!$E$2:$G$986,3,1),""))</f>
        <v/>
      </c>
      <c r="AY459" s="631" t="str">
        <f>IF(L459="","",
IF(AX459="PT",VLOOKUP(L459,Foundation_Calc!$K$4:$R$37,VLOOKUP(AW459,Foundation_Calc!$I$2:$J$8,2,FALSE),0),
IF(AX459="K",VLOOKUP(L459,Foundation_Calc!$K$41:$R$74,VLOOKUP(AW459,Foundation_Calc!$I$2:$J$8,2,FALSE),0),"")))</f>
        <v/>
      </c>
      <c r="AZ459" s="631" t="str">
        <f>IF(K459="","",
IF(AX459="PT",VLOOKUP(K459,Foundation_Calc!$K$4:$R$37,VLOOKUP(AW459,Foundation_Calc!$I$2:$J$8,2,FALSE),0),
IF(AX459="K",VLOOKUP(K459,Foundation_Calc!$K$41:$R$74,VLOOKUP(AW459,Foundation_Calc!$I$2:$J$8,2,FALSE),0),"")))</f>
        <v/>
      </c>
      <c r="BA459" s="632" t="str">
        <f t="shared" si="67"/>
        <v/>
      </c>
      <c r="BB459" s="632" t="str">
        <f t="shared" si="68"/>
        <v/>
      </c>
      <c r="BC459" s="632" t="str">
        <f t="shared" si="69"/>
        <v/>
      </c>
      <c r="BD459" s="633" t="str">
        <f>IF(AND(L459="",H459=""),"",
IF(H459="",Pole_Calc!A487,
IF(H459="MP",Pole_Calc!A488,
IF(H459="AnMP",Pole_Calc!A489,
IF(H459="A",Pole_Calc!A490,
IF(H459="S/A",Pole_Calc!A491,
IF(H459="A/S",Pole_Calc!A492,"Poner a mano")))))))</f>
        <v/>
      </c>
      <c r="BE459" s="448" t="s">
        <v>1726</v>
      </c>
      <c r="BF459" s="635"/>
      <c r="BG459" s="635"/>
      <c r="BH459" s="634"/>
      <c r="BI459" s="635"/>
    </row>
    <row r="460" spans="1:61" ht="16.2" customHeight="1">
      <c r="A460" s="12"/>
      <c r="B460" s="446"/>
      <c r="C460" s="89"/>
      <c r="D460" s="13"/>
      <c r="E460" s="14"/>
      <c r="F460" s="14"/>
      <c r="G460" s="15"/>
      <c r="H460" s="8"/>
      <c r="I460" s="8"/>
      <c r="J460" s="89"/>
      <c r="K460" s="8"/>
      <c r="L460" s="8"/>
      <c r="M460" s="8" t="str">
        <f>IF(L460="","",
IF(AX460="PT",VLOOKUP(L460,Foundation_Calc!$V$4:$X$37,VLOOKUP(AX460,Foundation_Calc!$I$10:$J$13,2,FALSE),0),
IF(AX460="K",VLOOKUP(L460,Foundation_Calc!$V$41:$X$74,VLOOKUP(AX460,Foundation_Calc!$I$10:$J$13,2,FALSE),0),"")))</f>
        <v/>
      </c>
      <c r="N460" s="8"/>
      <c r="O460" s="8"/>
      <c r="P460" s="8"/>
      <c r="Q460" s="14"/>
      <c r="R460" s="15"/>
      <c r="S460" s="15"/>
      <c r="T460" s="14"/>
      <c r="U460" s="14"/>
      <c r="V460" s="14"/>
      <c r="W460" s="18"/>
      <c r="X460" s="18"/>
      <c r="Y460" s="18"/>
      <c r="Z460" s="18"/>
      <c r="AA460" s="18"/>
      <c r="AB460" s="18"/>
      <c r="AC460" s="8" t="str">
        <f t="shared" si="66"/>
        <v/>
      </c>
      <c r="AD460" s="8"/>
      <c r="AE460" s="8"/>
      <c r="AF460" s="14"/>
      <c r="AG460" s="13"/>
      <c r="AH460" s="14"/>
      <c r="AI460" s="14"/>
      <c r="AJ460" s="8"/>
      <c r="AK460" s="8"/>
      <c r="AL460" s="8"/>
      <c r="AM460" s="8"/>
      <c r="AN460" s="631"/>
      <c r="AO460" s="18"/>
      <c r="AP460" s="18"/>
      <c r="AQ460" s="18"/>
      <c r="AR460" s="18"/>
      <c r="AS460" s="18"/>
      <c r="AU460" s="448"/>
      <c r="AV460" s="448"/>
      <c r="AW460" s="8" t="str">
        <f>IF(C460&gt;0,VLOOKUP(C460,Foundation_Calc!$A$2:$C$986,3,1),
IF(J460&gt;0,VLOOKUP(J460,Foundation_Calc!$A$2:$C$986,3,1),""))</f>
        <v/>
      </c>
      <c r="AX460" s="8" t="str">
        <f>IF(C460&gt;0,VLOOKUP(C460,Foundation_Calc!$E$2:$G$986,3,1),
IF(J460&gt;0,VLOOKUP(J460,Foundation_Calc!$E$2:$G$986,3,1),""))</f>
        <v/>
      </c>
      <c r="AY460" s="631" t="str">
        <f>IF(L460="","",
IF(AX460="PT",VLOOKUP(L460,Foundation_Calc!$K$4:$R$37,VLOOKUP(AW460,Foundation_Calc!$I$2:$J$8,2,FALSE),0),
IF(AX460="K",VLOOKUP(L460,Foundation_Calc!$K$41:$R$74,VLOOKUP(AW460,Foundation_Calc!$I$2:$J$8,2,FALSE),0),"")))</f>
        <v/>
      </c>
      <c r="AZ460" s="631" t="str">
        <f>IF(K460="","",
IF(AX460="PT",VLOOKUP(K460,Foundation_Calc!$K$4:$R$37,VLOOKUP(AW460,Foundation_Calc!$I$2:$J$8,2,FALSE),0),
IF(AX460="K",VLOOKUP(K460,Foundation_Calc!$K$41:$R$74,VLOOKUP(AW460,Foundation_Calc!$I$2:$J$8,2,FALSE),0),"")))</f>
        <v/>
      </c>
      <c r="BA460" s="632" t="str">
        <f t="shared" si="67"/>
        <v/>
      </c>
      <c r="BB460" s="632" t="str">
        <f t="shared" si="68"/>
        <v/>
      </c>
      <c r="BC460" s="632" t="str">
        <f t="shared" si="69"/>
        <v/>
      </c>
      <c r="BD460" s="633" t="str">
        <f>IF(AND(L460="",H460=""),"",
IF(H460="",Pole_Calc!A488,
IF(H460="MP",Pole_Calc!A489,
IF(H460="AnMP",Pole_Calc!A490,
IF(H460="A",Pole_Calc!A491,
IF(H460="S/A",Pole_Calc!A492,
IF(H460="A/S",Pole_Calc!A493,"Poner a mano")))))))</f>
        <v/>
      </c>
      <c r="BE460" s="448" t="s">
        <v>1726</v>
      </c>
      <c r="BF460" s="634"/>
      <c r="BG460" s="634"/>
      <c r="BH460" s="634"/>
      <c r="BI460" s="634"/>
    </row>
    <row r="461" spans="1:61" ht="16.2" customHeight="1">
      <c r="A461" s="12"/>
      <c r="B461" s="446"/>
      <c r="C461" s="89"/>
      <c r="D461" s="13"/>
      <c r="E461" s="14"/>
      <c r="F461" s="14"/>
      <c r="G461" s="15"/>
      <c r="H461" s="8"/>
      <c r="I461" s="8"/>
      <c r="J461" s="89"/>
      <c r="K461" s="8"/>
      <c r="L461" s="8"/>
      <c r="M461" s="8" t="str">
        <f>IF(L461="","",
IF(AX461="PT",VLOOKUP(L461,Foundation_Calc!$V$4:$X$37,VLOOKUP(AX461,Foundation_Calc!$I$10:$J$13,2,FALSE),0),
IF(AX461="K",VLOOKUP(L461,Foundation_Calc!$V$41:$X$74,VLOOKUP(AX461,Foundation_Calc!$I$10:$J$13,2,FALSE),0),"")))</f>
        <v/>
      </c>
      <c r="N461" s="8"/>
      <c r="O461" s="8"/>
      <c r="P461" s="8"/>
      <c r="Q461" s="14"/>
      <c r="R461" s="15"/>
      <c r="S461" s="15"/>
      <c r="T461" s="14"/>
      <c r="U461" s="14"/>
      <c r="V461" s="14"/>
      <c r="W461" s="18"/>
      <c r="X461" s="18"/>
      <c r="Y461" s="18"/>
      <c r="Z461" s="18"/>
      <c r="AA461" s="18"/>
      <c r="AB461" s="18"/>
      <c r="AC461" s="8" t="str">
        <f t="shared" si="66"/>
        <v/>
      </c>
      <c r="AD461" s="8"/>
      <c r="AE461" s="8"/>
      <c r="AF461" s="14"/>
      <c r="AG461" s="13"/>
      <c r="AH461" s="14"/>
      <c r="AI461" s="14"/>
      <c r="AJ461" s="8"/>
      <c r="AK461" s="8"/>
      <c r="AL461" s="8"/>
      <c r="AM461" s="8"/>
      <c r="AN461" s="631"/>
      <c r="AO461" s="18"/>
      <c r="AP461" s="18"/>
      <c r="AQ461" s="18"/>
      <c r="AR461" s="18"/>
      <c r="AS461" s="18"/>
      <c r="AU461" s="448"/>
      <c r="AV461" s="448"/>
      <c r="AW461" s="8" t="str">
        <f>IF(C461&gt;0,VLOOKUP(C461,Foundation_Calc!$A$2:$C$986,3,1),
IF(J461&gt;0,VLOOKUP(J461,Foundation_Calc!$A$2:$C$986,3,1),""))</f>
        <v/>
      </c>
      <c r="AX461" s="8" t="str">
        <f>IF(C461&gt;0,VLOOKUP(C461,Foundation_Calc!$E$2:$G$986,3,1),
IF(J461&gt;0,VLOOKUP(J461,Foundation_Calc!$E$2:$G$986,3,1),""))</f>
        <v/>
      </c>
      <c r="AY461" s="631" t="str">
        <f>IF(L461="","",
IF(AX461="PT",VLOOKUP(L461,Foundation_Calc!$K$4:$R$37,VLOOKUP(AW461,Foundation_Calc!$I$2:$J$8,2,FALSE),0),
IF(AX461="K",VLOOKUP(L461,Foundation_Calc!$K$41:$R$74,VLOOKUP(AW461,Foundation_Calc!$I$2:$J$8,2,FALSE),0),"")))</f>
        <v/>
      </c>
      <c r="AZ461" s="631" t="str">
        <f>IF(K461="","",
IF(AX461="PT",VLOOKUP(K461,Foundation_Calc!$K$4:$R$37,VLOOKUP(AW461,Foundation_Calc!$I$2:$J$8,2,FALSE),0),
IF(AX461="K",VLOOKUP(K461,Foundation_Calc!$K$41:$R$74,VLOOKUP(AW461,Foundation_Calc!$I$2:$J$8,2,FALSE),0),"")))</f>
        <v/>
      </c>
      <c r="BA461" s="632" t="str">
        <f t="shared" si="67"/>
        <v/>
      </c>
      <c r="BB461" s="632" t="str">
        <f t="shared" si="68"/>
        <v/>
      </c>
      <c r="BC461" s="632" t="str">
        <f t="shared" si="69"/>
        <v/>
      </c>
      <c r="BD461" s="633" t="str">
        <f>IF(AND(L461="",H461=""),"",
IF(H461="",Pole_Calc!A489,
IF(H461="MP",Pole_Calc!A490,
IF(H461="AnMP",Pole_Calc!A491,
IF(H461="A",Pole_Calc!A492,
IF(H461="S/A",Pole_Calc!A493,
IF(H461="A/S",Pole_Calc!A494,"Poner a mano")))))))</f>
        <v/>
      </c>
      <c r="BE461" s="448" t="s">
        <v>1726</v>
      </c>
      <c r="BF461" s="635"/>
      <c r="BG461" s="635"/>
      <c r="BH461" s="634"/>
      <c r="BI461" s="635"/>
    </row>
    <row r="462" spans="1:61" ht="16.2" customHeight="1">
      <c r="A462" s="12"/>
      <c r="B462" s="446"/>
      <c r="C462" s="89"/>
      <c r="D462" s="13"/>
      <c r="E462" s="14"/>
      <c r="F462" s="14"/>
      <c r="G462" s="15"/>
      <c r="H462" s="8"/>
      <c r="I462" s="8"/>
      <c r="J462" s="89"/>
      <c r="K462" s="8"/>
      <c r="L462" s="8"/>
      <c r="M462" s="8" t="str">
        <f>IF(L462="","",
IF(AX462="PT",VLOOKUP(L462,Foundation_Calc!$V$4:$X$37,VLOOKUP(AX462,Foundation_Calc!$I$10:$J$13,2,FALSE),0),
IF(AX462="K",VLOOKUP(L462,Foundation_Calc!$V$41:$X$74,VLOOKUP(AX462,Foundation_Calc!$I$10:$J$13,2,FALSE),0),"")))</f>
        <v/>
      </c>
      <c r="N462" s="8"/>
      <c r="O462" s="8"/>
      <c r="P462" s="8"/>
      <c r="Q462" s="14"/>
      <c r="R462" s="15"/>
      <c r="S462" s="15"/>
      <c r="T462" s="14"/>
      <c r="U462" s="14"/>
      <c r="V462" s="14"/>
      <c r="W462" s="18"/>
      <c r="X462" s="18"/>
      <c r="Y462" s="18"/>
      <c r="Z462" s="18"/>
      <c r="AA462" s="18"/>
      <c r="AB462" s="18"/>
      <c r="AC462" s="8" t="str">
        <f t="shared" si="66"/>
        <v/>
      </c>
      <c r="AD462" s="8"/>
      <c r="AE462" s="8"/>
      <c r="AF462" s="14"/>
      <c r="AG462" s="13"/>
      <c r="AH462" s="14"/>
      <c r="AI462" s="14"/>
      <c r="AJ462" s="8"/>
      <c r="AK462" s="8"/>
      <c r="AL462" s="8"/>
      <c r="AM462" s="8"/>
      <c r="AN462" s="631"/>
      <c r="AO462" s="18"/>
      <c r="AP462" s="18"/>
      <c r="AQ462" s="18"/>
      <c r="AR462" s="18"/>
      <c r="AS462" s="18"/>
      <c r="AU462" s="448"/>
      <c r="AV462" s="448"/>
      <c r="AW462" s="8" t="str">
        <f>IF(C462&gt;0,VLOOKUP(C462,Foundation_Calc!$A$2:$C$986,3,1),
IF(J462&gt;0,VLOOKUP(J462,Foundation_Calc!$A$2:$C$986,3,1),""))</f>
        <v/>
      </c>
      <c r="AX462" s="8" t="str">
        <f>IF(C462&gt;0,VLOOKUP(C462,Foundation_Calc!$E$2:$G$986,3,1),
IF(J462&gt;0,VLOOKUP(J462,Foundation_Calc!$E$2:$G$986,3,1),""))</f>
        <v/>
      </c>
      <c r="AY462" s="631" t="str">
        <f>IF(L462="","",
IF(AX462="PT",VLOOKUP(L462,Foundation_Calc!$K$4:$R$37,VLOOKUP(AW462,Foundation_Calc!$I$2:$J$8,2,FALSE),0),
IF(AX462="K",VLOOKUP(L462,Foundation_Calc!$K$41:$R$74,VLOOKUP(AW462,Foundation_Calc!$I$2:$J$8,2,FALSE),0),"")))</f>
        <v/>
      </c>
      <c r="AZ462" s="631" t="str">
        <f>IF(K462="","",
IF(AX462="PT",VLOOKUP(K462,Foundation_Calc!$K$4:$R$37,VLOOKUP(AW462,Foundation_Calc!$I$2:$J$8,2,FALSE),0),
IF(AX462="K",VLOOKUP(K462,Foundation_Calc!$K$41:$R$74,VLOOKUP(AW462,Foundation_Calc!$I$2:$J$8,2,FALSE),0),"")))</f>
        <v/>
      </c>
      <c r="BA462" s="632" t="str">
        <f t="shared" si="67"/>
        <v/>
      </c>
      <c r="BB462" s="632" t="str">
        <f t="shared" si="68"/>
        <v/>
      </c>
      <c r="BC462" s="632" t="str">
        <f t="shared" si="69"/>
        <v/>
      </c>
      <c r="BD462" s="633" t="str">
        <f>IF(AND(L462="",H462=""),"",
IF(H462="",Pole_Calc!A490,
IF(H462="MP",Pole_Calc!A491,
IF(H462="AnMP",Pole_Calc!A492,
IF(H462="A",Pole_Calc!A493,
IF(H462="S/A",Pole_Calc!A494,
IF(H462="A/S",Pole_Calc!A495,"Poner a mano")))))))</f>
        <v/>
      </c>
      <c r="BE462" s="448" t="s">
        <v>1726</v>
      </c>
      <c r="BF462" s="634"/>
      <c r="BG462" s="634"/>
      <c r="BH462" s="634"/>
      <c r="BI462" s="634"/>
    </row>
    <row r="463" spans="1:61" ht="16.2" customHeight="1">
      <c r="A463" s="12"/>
      <c r="B463" s="446"/>
      <c r="C463" s="89"/>
      <c r="D463" s="13"/>
      <c r="E463" s="14"/>
      <c r="F463" s="14"/>
      <c r="G463" s="15"/>
      <c r="H463" s="8"/>
      <c r="I463" s="8"/>
      <c r="J463" s="89"/>
      <c r="K463" s="8"/>
      <c r="L463" s="8"/>
      <c r="M463" s="8" t="str">
        <f>IF(L463="","",
IF(AX463="PT",VLOOKUP(L463,Foundation_Calc!$V$4:$X$37,VLOOKUP(AX463,Foundation_Calc!$I$10:$J$13,2,FALSE),0),
IF(AX463="K",VLOOKUP(L463,Foundation_Calc!$V$41:$X$74,VLOOKUP(AX463,Foundation_Calc!$I$10:$J$13,2,FALSE),0),"")))</f>
        <v/>
      </c>
      <c r="N463" s="8"/>
      <c r="O463" s="8"/>
      <c r="P463" s="8"/>
      <c r="Q463" s="14"/>
      <c r="R463" s="15"/>
      <c r="S463" s="15"/>
      <c r="T463" s="14"/>
      <c r="U463" s="14"/>
      <c r="V463" s="14"/>
      <c r="W463" s="18"/>
      <c r="X463" s="18"/>
      <c r="Y463" s="18"/>
      <c r="Z463" s="18"/>
      <c r="AA463" s="18"/>
      <c r="AB463" s="18"/>
      <c r="AC463" s="8" t="str">
        <f t="shared" si="66"/>
        <v/>
      </c>
      <c r="AD463" s="8"/>
      <c r="AE463" s="8"/>
      <c r="AF463" s="14"/>
      <c r="AG463" s="13"/>
      <c r="AH463" s="14"/>
      <c r="AI463" s="14"/>
      <c r="AJ463" s="8"/>
      <c r="AK463" s="8"/>
      <c r="AL463" s="8"/>
      <c r="AM463" s="8"/>
      <c r="AN463" s="631"/>
      <c r="AO463" s="18"/>
      <c r="AP463" s="18"/>
      <c r="AQ463" s="18"/>
      <c r="AR463" s="18"/>
      <c r="AS463" s="18"/>
      <c r="AU463" s="448"/>
      <c r="AV463" s="448"/>
      <c r="AW463" s="8" t="str">
        <f>IF(C463&gt;0,VLOOKUP(C463,Foundation_Calc!$A$2:$C$986,3,1),
IF(J463&gt;0,VLOOKUP(J463,Foundation_Calc!$A$2:$C$986,3,1),""))</f>
        <v/>
      </c>
      <c r="AX463" s="8" t="str">
        <f>IF(C463&gt;0,VLOOKUP(C463,Foundation_Calc!$E$2:$G$986,3,1),
IF(J463&gt;0,VLOOKUP(J463,Foundation_Calc!$E$2:$G$986,3,1),""))</f>
        <v/>
      </c>
      <c r="AY463" s="631" t="str">
        <f>IF(L463="","",
IF(AX463="PT",VLOOKUP(L463,Foundation_Calc!$K$4:$R$37,VLOOKUP(AW463,Foundation_Calc!$I$2:$J$8,2,FALSE),0),
IF(AX463="K",VLOOKUP(L463,Foundation_Calc!$K$41:$R$74,VLOOKUP(AW463,Foundation_Calc!$I$2:$J$8,2,FALSE),0),"")))</f>
        <v/>
      </c>
      <c r="AZ463" s="631" t="str">
        <f>IF(K463="","",
IF(AX463="PT",VLOOKUP(K463,Foundation_Calc!$K$4:$R$37,VLOOKUP(AW463,Foundation_Calc!$I$2:$J$8,2,FALSE),0),
IF(AX463="K",VLOOKUP(K463,Foundation_Calc!$K$41:$R$74,VLOOKUP(AW463,Foundation_Calc!$I$2:$J$8,2,FALSE),0),"")))</f>
        <v/>
      </c>
      <c r="BA463" s="632" t="str">
        <f t="shared" si="67"/>
        <v/>
      </c>
      <c r="BB463" s="632" t="str">
        <f t="shared" si="68"/>
        <v/>
      </c>
      <c r="BC463" s="632" t="str">
        <f t="shared" si="69"/>
        <v/>
      </c>
      <c r="BD463" s="633" t="str">
        <f>IF(AND(L463="",H463=""),"",
IF(H463="",Pole_Calc!A491,
IF(H463="MP",Pole_Calc!A492,
IF(H463="AnMP",Pole_Calc!A493,
IF(H463="A",Pole_Calc!A494,
IF(H463="S/A",Pole_Calc!A495,
IF(H463="A/S",Pole_Calc!A496,"Poner a mano")))))))</f>
        <v/>
      </c>
      <c r="BE463" s="448" t="s">
        <v>1726</v>
      </c>
      <c r="BF463" s="635"/>
      <c r="BG463" s="635"/>
      <c r="BH463" s="634"/>
      <c r="BI463" s="635"/>
    </row>
    <row r="464" spans="1:61" ht="16.2" customHeight="1">
      <c r="A464" s="12"/>
      <c r="B464" s="446"/>
      <c r="C464" s="89"/>
      <c r="D464" s="13"/>
      <c r="E464" s="14"/>
      <c r="F464" s="14"/>
      <c r="G464" s="15"/>
      <c r="H464" s="8"/>
      <c r="I464" s="8"/>
      <c r="J464" s="89"/>
      <c r="K464" s="8"/>
      <c r="L464" s="8"/>
      <c r="M464" s="8" t="str">
        <f>IF(L464="","",
IF(AX464="PT",VLOOKUP(L464,Foundation_Calc!$V$4:$X$37,VLOOKUP(AX464,Foundation_Calc!$I$10:$J$13,2,FALSE),0),
IF(AX464="K",VLOOKUP(L464,Foundation_Calc!$V$41:$X$74,VLOOKUP(AX464,Foundation_Calc!$I$10:$J$13,2,FALSE),0),"")))</f>
        <v/>
      </c>
      <c r="N464" s="8"/>
      <c r="O464" s="8"/>
      <c r="P464" s="8"/>
      <c r="Q464" s="14"/>
      <c r="R464" s="15"/>
      <c r="S464" s="15"/>
      <c r="T464" s="14"/>
      <c r="U464" s="14"/>
      <c r="V464" s="14"/>
      <c r="W464" s="18"/>
      <c r="X464" s="18"/>
      <c r="Y464" s="18"/>
      <c r="Z464" s="18"/>
      <c r="AA464" s="18"/>
      <c r="AB464" s="18"/>
      <c r="AC464" s="8" t="str">
        <f t="shared" si="66"/>
        <v/>
      </c>
      <c r="AD464" s="8"/>
      <c r="AE464" s="8"/>
      <c r="AF464" s="14"/>
      <c r="AG464" s="13"/>
      <c r="AH464" s="14"/>
      <c r="AI464" s="14"/>
      <c r="AJ464" s="8"/>
      <c r="AK464" s="8"/>
      <c r="AL464" s="8"/>
      <c r="AM464" s="8"/>
      <c r="AN464" s="631"/>
      <c r="AO464" s="18"/>
      <c r="AP464" s="18"/>
      <c r="AQ464" s="18"/>
      <c r="AR464" s="18"/>
      <c r="AS464" s="18"/>
      <c r="AU464" s="448"/>
      <c r="AV464" s="448"/>
      <c r="AW464" s="8" t="str">
        <f>IF(C464&gt;0,VLOOKUP(C464,Foundation_Calc!$A$2:$C$986,3,1),
IF(J464&gt;0,VLOOKUP(J464,Foundation_Calc!$A$2:$C$986,3,1),""))</f>
        <v/>
      </c>
      <c r="AX464" s="8" t="str">
        <f>IF(C464&gt;0,VLOOKUP(C464,Foundation_Calc!$E$2:$G$986,3,1),
IF(J464&gt;0,VLOOKUP(J464,Foundation_Calc!$E$2:$G$986,3,1),""))</f>
        <v/>
      </c>
      <c r="AY464" s="631" t="str">
        <f>IF(L464="","",
IF(AX464="PT",VLOOKUP(L464,Foundation_Calc!$K$4:$R$37,VLOOKUP(AW464,Foundation_Calc!$I$2:$J$8,2,FALSE),0),
IF(AX464="K",VLOOKUP(L464,Foundation_Calc!$K$41:$R$74,VLOOKUP(AW464,Foundation_Calc!$I$2:$J$8,2,FALSE),0),"")))</f>
        <v/>
      </c>
      <c r="AZ464" s="631" t="str">
        <f>IF(K464="","",
IF(AX464="PT",VLOOKUP(K464,Foundation_Calc!$K$4:$R$37,VLOOKUP(AW464,Foundation_Calc!$I$2:$J$8,2,FALSE),0),
IF(AX464="K",VLOOKUP(K464,Foundation_Calc!$K$41:$R$74,VLOOKUP(AW464,Foundation_Calc!$I$2:$J$8,2,FALSE),0),"")))</f>
        <v/>
      </c>
      <c r="BA464" s="632" t="str">
        <f t="shared" si="67"/>
        <v/>
      </c>
      <c r="BB464" s="632" t="str">
        <f t="shared" si="68"/>
        <v/>
      </c>
      <c r="BC464" s="632" t="str">
        <f t="shared" si="69"/>
        <v/>
      </c>
      <c r="BD464" s="633" t="str">
        <f>IF(AND(L464="",H464=""),"",
IF(H464="",Pole_Calc!A492,
IF(H464="MP",Pole_Calc!A493,
IF(H464="AnMP",Pole_Calc!A494,
IF(H464="A",Pole_Calc!A495,
IF(H464="S/A",Pole_Calc!A496,
IF(H464="A/S",Pole_Calc!A497,"Poner a mano")))))))</f>
        <v/>
      </c>
      <c r="BE464" s="448" t="s">
        <v>1726</v>
      </c>
      <c r="BF464" s="634"/>
      <c r="BG464" s="634"/>
      <c r="BH464" s="634"/>
      <c r="BI464" s="634"/>
    </row>
    <row r="465" spans="1:61" ht="16.2" customHeight="1">
      <c r="A465" s="12"/>
      <c r="B465" s="446"/>
      <c r="C465" s="89"/>
      <c r="D465" s="13"/>
      <c r="E465" s="14"/>
      <c r="F465" s="14"/>
      <c r="G465" s="15"/>
      <c r="H465" s="8"/>
      <c r="I465" s="8"/>
      <c r="J465" s="89"/>
      <c r="K465" s="8"/>
      <c r="L465" s="8"/>
      <c r="M465" s="8" t="str">
        <f>IF(L465="","",
IF(AX465="PT",VLOOKUP(L465,Foundation_Calc!$V$4:$X$37,VLOOKUP(AX465,Foundation_Calc!$I$10:$J$13,2,FALSE),0),
IF(AX465="K",VLOOKUP(L465,Foundation_Calc!$V$41:$X$74,VLOOKUP(AX465,Foundation_Calc!$I$10:$J$13,2,FALSE),0),"")))</f>
        <v/>
      </c>
      <c r="N465" s="8"/>
      <c r="O465" s="8"/>
      <c r="P465" s="8"/>
      <c r="Q465" s="14"/>
      <c r="R465" s="15"/>
      <c r="S465" s="15"/>
      <c r="T465" s="14"/>
      <c r="U465" s="14"/>
      <c r="V465" s="14"/>
      <c r="W465" s="18"/>
      <c r="X465" s="18"/>
      <c r="Y465" s="18"/>
      <c r="Z465" s="18"/>
      <c r="AA465" s="18"/>
      <c r="AB465" s="18"/>
      <c r="AC465" s="8" t="str">
        <f t="shared" si="66"/>
        <v/>
      </c>
      <c r="AD465" s="8"/>
      <c r="AE465" s="8"/>
      <c r="AF465" s="14"/>
      <c r="AG465" s="13"/>
      <c r="AH465" s="14"/>
      <c r="AI465" s="14"/>
      <c r="AJ465" s="8"/>
      <c r="AK465" s="8"/>
      <c r="AL465" s="8"/>
      <c r="AM465" s="8"/>
      <c r="AN465" s="631"/>
      <c r="AO465" s="18"/>
      <c r="AP465" s="18"/>
      <c r="AQ465" s="18"/>
      <c r="AR465" s="18"/>
      <c r="AS465" s="18"/>
      <c r="AU465" s="448"/>
      <c r="AV465" s="448"/>
      <c r="AW465" s="8" t="str">
        <f>IF(C465&gt;0,VLOOKUP(C465,Foundation_Calc!$A$2:$C$986,3,1),
IF(J465&gt;0,VLOOKUP(J465,Foundation_Calc!$A$2:$C$986,3,1),""))</f>
        <v/>
      </c>
      <c r="AX465" s="8" t="str">
        <f>IF(C465&gt;0,VLOOKUP(C465,Foundation_Calc!$E$2:$G$986,3,1),
IF(J465&gt;0,VLOOKUP(J465,Foundation_Calc!$E$2:$G$986,3,1),""))</f>
        <v/>
      </c>
      <c r="AY465" s="631" t="str">
        <f>IF(L465="","",
IF(AX465="PT",VLOOKUP(L465,Foundation_Calc!$K$4:$R$37,VLOOKUP(AW465,Foundation_Calc!$I$2:$J$8,2,FALSE),0),
IF(AX465="K",VLOOKUP(L465,Foundation_Calc!$K$41:$R$74,VLOOKUP(AW465,Foundation_Calc!$I$2:$J$8,2,FALSE),0),"")))</f>
        <v/>
      </c>
      <c r="AZ465" s="631" t="str">
        <f>IF(K465="","",
IF(AX465="PT",VLOOKUP(K465,Foundation_Calc!$K$4:$R$37,VLOOKUP(AW465,Foundation_Calc!$I$2:$J$8,2,FALSE),0),
IF(AX465="K",VLOOKUP(K465,Foundation_Calc!$K$41:$R$74,VLOOKUP(AW465,Foundation_Calc!$I$2:$J$8,2,FALSE),0),"")))</f>
        <v/>
      </c>
      <c r="BA465" s="632" t="str">
        <f t="shared" si="67"/>
        <v/>
      </c>
      <c r="BB465" s="632" t="str">
        <f t="shared" si="68"/>
        <v/>
      </c>
      <c r="BC465" s="632" t="str">
        <f t="shared" si="69"/>
        <v/>
      </c>
      <c r="BD465" s="633" t="str">
        <f>IF(AND(L465="",H465=""),"",
IF(H465="",Pole_Calc!A493,
IF(H465="MP",Pole_Calc!A494,
IF(H465="AnMP",Pole_Calc!A495,
IF(H465="A",Pole_Calc!A496,
IF(H465="S/A",Pole_Calc!A497,
IF(H465="A/S",Pole_Calc!A498,"Poner a mano")))))))</f>
        <v/>
      </c>
      <c r="BE465" s="448" t="s">
        <v>1726</v>
      </c>
      <c r="BF465" s="635"/>
      <c r="BG465" s="635"/>
      <c r="BH465" s="634"/>
      <c r="BI465" s="635"/>
    </row>
    <row r="466" spans="1:61" ht="16.2" customHeight="1">
      <c r="A466" s="12"/>
      <c r="B466" s="446"/>
      <c r="C466" s="89"/>
      <c r="D466" s="13"/>
      <c r="E466" s="14"/>
      <c r="F466" s="14"/>
      <c r="G466" s="15"/>
      <c r="H466" s="8"/>
      <c r="I466" s="8"/>
      <c r="J466" s="89"/>
      <c r="K466" s="8"/>
      <c r="L466" s="8"/>
      <c r="M466" s="8" t="str">
        <f>IF(L466="","",
IF(AX466="PT",VLOOKUP(L466,Foundation_Calc!$V$4:$X$37,VLOOKUP(AX466,Foundation_Calc!$I$10:$J$13,2,FALSE),0),
IF(AX466="K",VLOOKUP(L466,Foundation_Calc!$V$41:$X$74,VLOOKUP(AX466,Foundation_Calc!$I$10:$J$13,2,FALSE),0),"")))</f>
        <v/>
      </c>
      <c r="N466" s="8"/>
      <c r="O466" s="8"/>
      <c r="P466" s="8"/>
      <c r="Q466" s="14"/>
      <c r="R466" s="15"/>
      <c r="S466" s="15"/>
      <c r="T466" s="14"/>
      <c r="U466" s="14"/>
      <c r="V466" s="14"/>
      <c r="W466" s="18"/>
      <c r="X466" s="18"/>
      <c r="Y466" s="18"/>
      <c r="Z466" s="18"/>
      <c r="AA466" s="18"/>
      <c r="AB466" s="18"/>
      <c r="AC466" s="8" t="str">
        <f t="shared" si="66"/>
        <v/>
      </c>
      <c r="AD466" s="8"/>
      <c r="AE466" s="8"/>
      <c r="AF466" s="14"/>
      <c r="AG466" s="13"/>
      <c r="AH466" s="14"/>
      <c r="AI466" s="14"/>
      <c r="AJ466" s="8"/>
      <c r="AK466" s="8"/>
      <c r="AL466" s="8"/>
      <c r="AM466" s="8"/>
      <c r="AN466" s="631"/>
      <c r="AO466" s="18"/>
      <c r="AP466" s="18"/>
      <c r="AQ466" s="18"/>
      <c r="AR466" s="18"/>
      <c r="AS466" s="18"/>
      <c r="AU466" s="448"/>
      <c r="AV466" s="448"/>
      <c r="AW466" s="8" t="str">
        <f>IF(C466&gt;0,VLOOKUP(C466,Foundation_Calc!$A$2:$C$986,3,1),
IF(J466&gt;0,VLOOKUP(J466,Foundation_Calc!$A$2:$C$986,3,1),""))</f>
        <v/>
      </c>
      <c r="AX466" s="8" t="str">
        <f>IF(C466&gt;0,VLOOKUP(C466,Foundation_Calc!$E$2:$G$986,3,1),
IF(J466&gt;0,VLOOKUP(J466,Foundation_Calc!$E$2:$G$986,3,1),""))</f>
        <v/>
      </c>
      <c r="AY466" s="631" t="str">
        <f>IF(L466="","",
IF(AX466="PT",VLOOKUP(L466,Foundation_Calc!$K$4:$R$37,VLOOKUP(AW466,Foundation_Calc!$I$2:$J$8,2,FALSE),0),
IF(AX466="K",VLOOKUP(L466,Foundation_Calc!$K$41:$R$74,VLOOKUP(AW466,Foundation_Calc!$I$2:$J$8,2,FALSE),0),"")))</f>
        <v/>
      </c>
      <c r="AZ466" s="631" t="str">
        <f>IF(K466="","",
IF(AX466="PT",VLOOKUP(K466,Foundation_Calc!$K$4:$R$37,VLOOKUP(AW466,Foundation_Calc!$I$2:$J$8,2,FALSE),0),
IF(AX466="K",VLOOKUP(K466,Foundation_Calc!$K$41:$R$74,VLOOKUP(AW466,Foundation_Calc!$I$2:$J$8,2,FALSE),0),"")))</f>
        <v/>
      </c>
      <c r="BA466" s="632" t="str">
        <f t="shared" si="67"/>
        <v/>
      </c>
      <c r="BB466" s="632" t="str">
        <f t="shared" si="68"/>
        <v/>
      </c>
      <c r="BC466" s="632" t="str">
        <f t="shared" si="69"/>
        <v/>
      </c>
      <c r="BD466" s="633" t="str">
        <f>IF(AND(L466="",H466=""),"",
IF(H466="",Pole_Calc!A494,
IF(H466="MP",Pole_Calc!A495,
IF(H466="AnMP",Pole_Calc!A496,
IF(H466="A",Pole_Calc!A497,
IF(H466="S/A",Pole_Calc!A498,
IF(H466="A/S",Pole_Calc!A499,"Poner a mano")))))))</f>
        <v/>
      </c>
      <c r="BE466" s="448" t="s">
        <v>1726</v>
      </c>
      <c r="BF466" s="634"/>
      <c r="BG466" s="634"/>
      <c r="BH466" s="634"/>
      <c r="BI466" s="634"/>
    </row>
    <row r="467" spans="1:61" ht="16.2" customHeight="1">
      <c r="A467" s="12"/>
      <c r="B467" s="446"/>
      <c r="C467" s="89"/>
      <c r="D467" s="13"/>
      <c r="E467" s="14"/>
      <c r="F467" s="14"/>
      <c r="G467" s="15"/>
      <c r="H467" s="8"/>
      <c r="I467" s="8"/>
      <c r="J467" s="89"/>
      <c r="K467" s="8"/>
      <c r="L467" s="8"/>
      <c r="M467" s="8" t="str">
        <f>IF(L467="","",
IF(AX467="PT",VLOOKUP(L467,Foundation_Calc!$V$4:$X$37,VLOOKUP(AX467,Foundation_Calc!$I$10:$J$13,2,FALSE),0),
IF(AX467="K",VLOOKUP(L467,Foundation_Calc!$V$41:$X$74,VLOOKUP(AX467,Foundation_Calc!$I$10:$J$13,2,FALSE),0),"")))</f>
        <v/>
      </c>
      <c r="N467" s="8"/>
      <c r="O467" s="8"/>
      <c r="P467" s="8"/>
      <c r="Q467" s="14"/>
      <c r="R467" s="15"/>
      <c r="S467" s="15"/>
      <c r="T467" s="14"/>
      <c r="U467" s="14"/>
      <c r="V467" s="14"/>
      <c r="W467" s="18"/>
      <c r="X467" s="18"/>
      <c r="Y467" s="18"/>
      <c r="Z467" s="18"/>
      <c r="AA467" s="18"/>
      <c r="AB467" s="18"/>
      <c r="AC467" s="8" t="str">
        <f t="shared" si="66"/>
        <v/>
      </c>
      <c r="AD467" s="8"/>
      <c r="AE467" s="8"/>
      <c r="AF467" s="14"/>
      <c r="AG467" s="13"/>
      <c r="AH467" s="14"/>
      <c r="AI467" s="14"/>
      <c r="AJ467" s="8"/>
      <c r="AK467" s="8"/>
      <c r="AL467" s="8"/>
      <c r="AM467" s="8"/>
      <c r="AN467" s="631"/>
      <c r="AO467" s="18"/>
      <c r="AP467" s="18"/>
      <c r="AQ467" s="18"/>
      <c r="AR467" s="18"/>
      <c r="AS467" s="18"/>
      <c r="AU467" s="448"/>
      <c r="AV467" s="448"/>
      <c r="AW467" s="8" t="str">
        <f>IF(C467&gt;0,VLOOKUP(C467,Foundation_Calc!$A$2:$C$986,3,1),
IF(J467&gt;0,VLOOKUP(J467,Foundation_Calc!$A$2:$C$986,3,1),""))</f>
        <v/>
      </c>
      <c r="AX467" s="8" t="str">
        <f>IF(C467&gt;0,VLOOKUP(C467,Foundation_Calc!$E$2:$G$986,3,1),
IF(J467&gt;0,VLOOKUP(J467,Foundation_Calc!$E$2:$G$986,3,1),""))</f>
        <v/>
      </c>
      <c r="AY467" s="631" t="str">
        <f>IF(L467="","",
IF(AX467="PT",VLOOKUP(L467,Foundation_Calc!$K$4:$R$37,VLOOKUP(AW467,Foundation_Calc!$I$2:$J$8,2,FALSE),0),
IF(AX467="K",VLOOKUP(L467,Foundation_Calc!$K$41:$R$74,VLOOKUP(AW467,Foundation_Calc!$I$2:$J$8,2,FALSE),0),"")))</f>
        <v/>
      </c>
      <c r="AZ467" s="631" t="str">
        <f>IF(K467="","",
IF(AX467="PT",VLOOKUP(K467,Foundation_Calc!$K$4:$R$37,VLOOKUP(AW467,Foundation_Calc!$I$2:$J$8,2,FALSE),0),
IF(AX467="K",VLOOKUP(K467,Foundation_Calc!$K$41:$R$74,VLOOKUP(AW467,Foundation_Calc!$I$2:$J$8,2,FALSE),0),"")))</f>
        <v/>
      </c>
      <c r="BA467" s="632" t="str">
        <f t="shared" si="67"/>
        <v/>
      </c>
      <c r="BB467" s="632" t="str">
        <f t="shared" si="68"/>
        <v/>
      </c>
      <c r="BC467" s="632" t="str">
        <f t="shared" si="69"/>
        <v/>
      </c>
      <c r="BD467" s="633" t="str">
        <f>IF(AND(L467="",H467=""),"",
IF(H467="",Pole_Calc!A495,
IF(H467="MP",Pole_Calc!A496,
IF(H467="AnMP",Pole_Calc!A497,
IF(H467="A",Pole_Calc!A498,
IF(H467="S/A",Pole_Calc!A499,
IF(H467="A/S",Pole_Calc!A500,"Poner a mano")))))))</f>
        <v/>
      </c>
      <c r="BE467" s="448" t="s">
        <v>1726</v>
      </c>
      <c r="BF467" s="635"/>
      <c r="BG467" s="635"/>
      <c r="BH467" s="634"/>
      <c r="BI467" s="635"/>
    </row>
    <row r="468" spans="1:61" ht="16.2" customHeight="1">
      <c r="A468" s="12"/>
      <c r="B468" s="446"/>
      <c r="C468" s="89"/>
      <c r="D468" s="13"/>
      <c r="E468" s="14"/>
      <c r="F468" s="14"/>
      <c r="G468" s="15"/>
      <c r="H468" s="8"/>
      <c r="I468" s="8"/>
      <c r="J468" s="89"/>
      <c r="K468" s="8"/>
      <c r="L468" s="8"/>
      <c r="M468" s="8" t="str">
        <f>IF(L468="","",
IF(AX468="PT",VLOOKUP(L468,Foundation_Calc!$V$4:$X$37,VLOOKUP(AX468,Foundation_Calc!$I$10:$J$13,2,FALSE),0),
IF(AX468="K",VLOOKUP(L468,Foundation_Calc!$V$41:$X$74,VLOOKUP(AX468,Foundation_Calc!$I$10:$J$13,2,FALSE),0),"")))</f>
        <v/>
      </c>
      <c r="N468" s="8"/>
      <c r="O468" s="8"/>
      <c r="P468" s="8"/>
      <c r="Q468" s="14"/>
      <c r="R468" s="15"/>
      <c r="S468" s="15"/>
      <c r="T468" s="14"/>
      <c r="U468" s="14"/>
      <c r="V468" s="14"/>
      <c r="W468" s="18"/>
      <c r="X468" s="18"/>
      <c r="Y468" s="18"/>
      <c r="Z468" s="18"/>
      <c r="AA468" s="18"/>
      <c r="AB468" s="18"/>
      <c r="AC468" s="8" t="str">
        <f t="shared" si="66"/>
        <v/>
      </c>
      <c r="AD468" s="8"/>
      <c r="AE468" s="8"/>
      <c r="AF468" s="14"/>
      <c r="AG468" s="13"/>
      <c r="AH468" s="14"/>
      <c r="AI468" s="14"/>
      <c r="AJ468" s="8"/>
      <c r="AK468" s="8"/>
      <c r="AL468" s="8"/>
      <c r="AM468" s="8"/>
      <c r="AN468" s="631"/>
      <c r="AO468" s="18"/>
      <c r="AP468" s="18"/>
      <c r="AQ468" s="18"/>
      <c r="AR468" s="18"/>
      <c r="AS468" s="18"/>
      <c r="AU468" s="448"/>
      <c r="AV468" s="448"/>
      <c r="AW468" s="8" t="str">
        <f>IF(C468&gt;0,VLOOKUP(C468,Foundation_Calc!$A$2:$C$986,3,1),
IF(J468&gt;0,VLOOKUP(J468,Foundation_Calc!$A$2:$C$986,3,1),""))</f>
        <v/>
      </c>
      <c r="AX468" s="8" t="str">
        <f>IF(C468&gt;0,VLOOKUP(C468,Foundation_Calc!$E$2:$G$986,3,1),
IF(J468&gt;0,VLOOKUP(J468,Foundation_Calc!$E$2:$G$986,3,1),""))</f>
        <v/>
      </c>
      <c r="AY468" s="631" t="str">
        <f>IF(L468="","",
IF(AX468="PT",VLOOKUP(L468,Foundation_Calc!$K$4:$R$37,VLOOKUP(AW468,Foundation_Calc!$I$2:$J$8,2,FALSE),0),
IF(AX468="K",VLOOKUP(L468,Foundation_Calc!$K$41:$R$74,VLOOKUP(AW468,Foundation_Calc!$I$2:$J$8,2,FALSE),0),"")))</f>
        <v/>
      </c>
      <c r="AZ468" s="631" t="str">
        <f>IF(K468="","",
IF(AX468="PT",VLOOKUP(K468,Foundation_Calc!$K$4:$R$37,VLOOKUP(AW468,Foundation_Calc!$I$2:$J$8,2,FALSE),0),
IF(AX468="K",VLOOKUP(K468,Foundation_Calc!$K$41:$R$74,VLOOKUP(AW468,Foundation_Calc!$I$2:$J$8,2,FALSE),0),"")))</f>
        <v/>
      </c>
      <c r="BA468" s="632" t="str">
        <f t="shared" si="67"/>
        <v/>
      </c>
      <c r="BB468" s="632" t="str">
        <f t="shared" si="68"/>
        <v/>
      </c>
      <c r="BC468" s="632" t="str">
        <f t="shared" si="69"/>
        <v/>
      </c>
      <c r="BD468" s="633" t="str">
        <f>IF(AND(L468="",H468=""),"",
IF(H468="",Pole_Calc!A496,
IF(H468="MP",Pole_Calc!A497,
IF(H468="AnMP",Pole_Calc!A498,
IF(H468="A",Pole_Calc!A499,
IF(H468="S/A",Pole_Calc!A500,
IF(H468="A/S",Pole_Calc!A501,"Poner a mano")))))))</f>
        <v/>
      </c>
      <c r="BE468" s="448" t="s">
        <v>1726</v>
      </c>
      <c r="BF468" s="634"/>
      <c r="BG468" s="634"/>
      <c r="BH468" s="634"/>
      <c r="BI468" s="634"/>
    </row>
    <row r="469" spans="1:61" ht="16.2" customHeight="1">
      <c r="A469" s="12"/>
      <c r="B469" s="446"/>
      <c r="C469" s="89"/>
      <c r="D469" s="13"/>
      <c r="E469" s="14"/>
      <c r="F469" s="14"/>
      <c r="G469" s="15"/>
      <c r="H469" s="8"/>
      <c r="I469" s="8"/>
      <c r="J469" s="89"/>
      <c r="K469" s="8"/>
      <c r="L469" s="8"/>
      <c r="M469" s="8" t="str">
        <f>IF(L469="","",
IF(AX469="PT",VLOOKUP(L469,Foundation_Calc!$V$4:$X$37,VLOOKUP(AX469,Foundation_Calc!$I$10:$J$13,2,FALSE),0),
IF(AX469="K",VLOOKUP(L469,Foundation_Calc!$V$41:$X$74,VLOOKUP(AX469,Foundation_Calc!$I$10:$J$13,2,FALSE),0),"")))</f>
        <v/>
      </c>
      <c r="N469" s="8"/>
      <c r="O469" s="8"/>
      <c r="P469" s="8"/>
      <c r="Q469" s="14"/>
      <c r="R469" s="15"/>
      <c r="S469" s="15"/>
      <c r="T469" s="14"/>
      <c r="U469" s="14"/>
      <c r="V469" s="14"/>
      <c r="W469" s="18"/>
      <c r="X469" s="18"/>
      <c r="Y469" s="18"/>
      <c r="Z469" s="18"/>
      <c r="AA469" s="18"/>
      <c r="AB469" s="18"/>
      <c r="AC469" s="8" t="str">
        <f t="shared" si="66"/>
        <v/>
      </c>
      <c r="AD469" s="8"/>
      <c r="AE469" s="8"/>
      <c r="AF469" s="14"/>
      <c r="AG469" s="13"/>
      <c r="AH469" s="14"/>
      <c r="AI469" s="14"/>
      <c r="AJ469" s="8"/>
      <c r="AK469" s="8"/>
      <c r="AL469" s="8"/>
      <c r="AM469" s="8"/>
      <c r="AN469" s="631"/>
      <c r="AO469" s="18"/>
      <c r="AP469" s="18"/>
      <c r="AQ469" s="18"/>
      <c r="AR469" s="18"/>
      <c r="AS469" s="18"/>
      <c r="AU469" s="448"/>
      <c r="AV469" s="448"/>
      <c r="AW469" s="8" t="str">
        <f>IF(C469&gt;0,VLOOKUP(C469,Foundation_Calc!$A$2:$C$986,3,1),
IF(J469&gt;0,VLOOKUP(J469,Foundation_Calc!$A$2:$C$986,3,1),""))</f>
        <v/>
      </c>
      <c r="AX469" s="8" t="str">
        <f>IF(C469&gt;0,VLOOKUP(C469,Foundation_Calc!$E$2:$G$986,3,1),
IF(J469&gt;0,VLOOKUP(J469,Foundation_Calc!$E$2:$G$986,3,1),""))</f>
        <v/>
      </c>
      <c r="AY469" s="631" t="str">
        <f>IF(L469="","",
IF(AX469="PT",VLOOKUP(L469,Foundation_Calc!$K$4:$R$37,VLOOKUP(AW469,Foundation_Calc!$I$2:$J$8,2,FALSE),0),
IF(AX469="K",VLOOKUP(L469,Foundation_Calc!$K$41:$R$74,VLOOKUP(AW469,Foundation_Calc!$I$2:$J$8,2,FALSE),0),"")))</f>
        <v/>
      </c>
      <c r="AZ469" s="631" t="str">
        <f>IF(K469="","",
IF(AX469="PT",VLOOKUP(K469,Foundation_Calc!$K$4:$R$37,VLOOKUP(AW469,Foundation_Calc!$I$2:$J$8,2,FALSE),0),
IF(AX469="K",VLOOKUP(K469,Foundation_Calc!$K$41:$R$74,VLOOKUP(AW469,Foundation_Calc!$I$2:$J$8,2,FALSE),0),"")))</f>
        <v/>
      </c>
      <c r="BA469" s="632" t="str">
        <f t="shared" si="67"/>
        <v/>
      </c>
      <c r="BB469" s="632" t="str">
        <f t="shared" si="68"/>
        <v/>
      </c>
      <c r="BC469" s="632" t="str">
        <f t="shared" si="69"/>
        <v/>
      </c>
      <c r="BD469" s="633" t="str">
        <f>IF(AND(L469="",H469=""),"",
IF(H469="",Pole_Calc!A497,
IF(H469="MP",Pole_Calc!A498,
IF(H469="AnMP",Pole_Calc!A499,
IF(H469="A",Pole_Calc!A500,
IF(H469="S/A",Pole_Calc!A501,
IF(H469="A/S",Pole_Calc!A502,"Poner a mano")))))))</f>
        <v/>
      </c>
      <c r="BE469" s="448" t="s">
        <v>1726</v>
      </c>
      <c r="BF469" s="635"/>
      <c r="BG469" s="635"/>
      <c r="BH469" s="634"/>
      <c r="BI469" s="635"/>
    </row>
    <row r="470" spans="1:61" ht="16.2" customHeight="1">
      <c r="A470" s="12"/>
      <c r="B470" s="446"/>
      <c r="C470" s="89"/>
      <c r="D470" s="13"/>
      <c r="E470" s="14"/>
      <c r="F470" s="14"/>
      <c r="G470" s="15"/>
      <c r="H470" s="8"/>
      <c r="I470" s="8"/>
      <c r="J470" s="89"/>
      <c r="K470" s="8"/>
      <c r="L470" s="8"/>
      <c r="M470" s="8" t="str">
        <f>IF(L470="","",
IF(AX470="PT",VLOOKUP(L470,Foundation_Calc!$V$4:$X$37,VLOOKUP(AX470,Foundation_Calc!$I$10:$J$13,2,FALSE),0),
IF(AX470="K",VLOOKUP(L470,Foundation_Calc!$V$41:$X$74,VLOOKUP(AX470,Foundation_Calc!$I$10:$J$13,2,FALSE),0),"")))</f>
        <v/>
      </c>
      <c r="N470" s="8"/>
      <c r="O470" s="8"/>
      <c r="P470" s="8"/>
      <c r="Q470" s="14"/>
      <c r="R470" s="15"/>
      <c r="S470" s="15"/>
      <c r="T470" s="14"/>
      <c r="U470" s="14"/>
      <c r="V470" s="14"/>
      <c r="W470" s="18"/>
      <c r="X470" s="18"/>
      <c r="Y470" s="18"/>
      <c r="Z470" s="18"/>
      <c r="AA470" s="18"/>
      <c r="AB470" s="18"/>
      <c r="AC470" s="8" t="str">
        <f t="shared" si="66"/>
        <v/>
      </c>
      <c r="AD470" s="8"/>
      <c r="AE470" s="8"/>
      <c r="AF470" s="14"/>
      <c r="AG470" s="13"/>
      <c r="AH470" s="14"/>
      <c r="AI470" s="14"/>
      <c r="AJ470" s="8"/>
      <c r="AK470" s="8"/>
      <c r="AL470" s="8"/>
      <c r="AM470" s="8"/>
      <c r="AN470" s="631"/>
      <c r="AO470" s="18"/>
      <c r="AP470" s="18"/>
      <c r="AQ470" s="18"/>
      <c r="AR470" s="18"/>
      <c r="AS470" s="18"/>
      <c r="AU470" s="448"/>
      <c r="AV470" s="448"/>
      <c r="AW470" s="8" t="str">
        <f>IF(C470&gt;0,VLOOKUP(C470,Foundation_Calc!$A$2:$C$986,3,1),
IF(J470&gt;0,VLOOKUP(J470,Foundation_Calc!$A$2:$C$986,3,1),""))</f>
        <v/>
      </c>
      <c r="AX470" s="8" t="str">
        <f>IF(C470&gt;0,VLOOKUP(C470,Foundation_Calc!$E$2:$G$986,3,1),
IF(J470&gt;0,VLOOKUP(J470,Foundation_Calc!$E$2:$G$986,3,1),""))</f>
        <v/>
      </c>
      <c r="AY470" s="631" t="str">
        <f>IF(L470="","",
IF(AX470="PT",VLOOKUP(L470,Foundation_Calc!$K$4:$R$37,VLOOKUP(AW470,Foundation_Calc!$I$2:$J$8,2,FALSE),0),
IF(AX470="K",VLOOKUP(L470,Foundation_Calc!$K$41:$R$74,VLOOKUP(AW470,Foundation_Calc!$I$2:$J$8,2,FALSE),0),"")))</f>
        <v/>
      </c>
      <c r="AZ470" s="631" t="str">
        <f>IF(K470="","",
IF(AX470="PT",VLOOKUP(K470,Foundation_Calc!$K$4:$R$37,VLOOKUP(AW470,Foundation_Calc!$I$2:$J$8,2,FALSE),0),
IF(AX470="K",VLOOKUP(K470,Foundation_Calc!$K$41:$R$74,VLOOKUP(AW470,Foundation_Calc!$I$2:$J$8,2,FALSE),0),"")))</f>
        <v/>
      </c>
      <c r="BA470" s="632" t="str">
        <f t="shared" si="67"/>
        <v/>
      </c>
      <c r="BB470" s="632" t="str">
        <f t="shared" si="68"/>
        <v/>
      </c>
      <c r="BC470" s="632" t="str">
        <f t="shared" si="69"/>
        <v/>
      </c>
      <c r="BD470" s="633" t="str">
        <f>IF(AND(L470="",H470=""),"",
IF(H470="",Pole_Calc!A498,
IF(H470="MP",Pole_Calc!A499,
IF(H470="AnMP",Pole_Calc!A500,
IF(H470="A",Pole_Calc!A501,
IF(H470="S/A",Pole_Calc!A502,
IF(H470="A/S",Pole_Calc!A503,"Poner a mano")))))))</f>
        <v/>
      </c>
      <c r="BE470" s="448" t="s">
        <v>1726</v>
      </c>
      <c r="BF470" s="634"/>
      <c r="BG470" s="634"/>
      <c r="BH470" s="634"/>
      <c r="BI470" s="634"/>
    </row>
    <row r="471" spans="1:61" ht="16.2" customHeight="1">
      <c r="A471" s="12"/>
      <c r="B471" s="446"/>
      <c r="C471" s="89"/>
      <c r="D471" s="13"/>
      <c r="E471" s="14"/>
      <c r="F471" s="14"/>
      <c r="G471" s="15"/>
      <c r="H471" s="8"/>
      <c r="I471" s="8"/>
      <c r="J471" s="89"/>
      <c r="K471" s="8"/>
      <c r="L471" s="8"/>
      <c r="M471" s="8" t="str">
        <f>IF(L471="","",
IF(AX471="PT",VLOOKUP(L471,Foundation_Calc!$V$4:$X$37,VLOOKUP(AX471,Foundation_Calc!$I$10:$J$13,2,FALSE),0),
IF(AX471="K",VLOOKUP(L471,Foundation_Calc!$V$41:$X$74,VLOOKUP(AX471,Foundation_Calc!$I$10:$J$13,2,FALSE),0),"")))</f>
        <v/>
      </c>
      <c r="N471" s="8"/>
      <c r="O471" s="8"/>
      <c r="P471" s="8"/>
      <c r="Q471" s="14"/>
      <c r="R471" s="15"/>
      <c r="S471" s="15"/>
      <c r="T471" s="14"/>
      <c r="U471" s="14"/>
      <c r="V471" s="14"/>
      <c r="W471" s="18"/>
      <c r="X471" s="18"/>
      <c r="Y471" s="18"/>
      <c r="Z471" s="18"/>
      <c r="AA471" s="18"/>
      <c r="AB471" s="18"/>
      <c r="AC471" s="8" t="str">
        <f t="shared" si="66"/>
        <v/>
      </c>
      <c r="AD471" s="8"/>
      <c r="AE471" s="8"/>
      <c r="AF471" s="14"/>
      <c r="AG471" s="13"/>
      <c r="AH471" s="14"/>
      <c r="AI471" s="14"/>
      <c r="AJ471" s="8"/>
      <c r="AK471" s="8"/>
      <c r="AL471" s="8"/>
      <c r="AM471" s="8"/>
      <c r="AN471" s="631"/>
      <c r="AO471" s="18"/>
      <c r="AP471" s="18"/>
      <c r="AQ471" s="18"/>
      <c r="AR471" s="18"/>
      <c r="AS471" s="18"/>
      <c r="AU471" s="448"/>
      <c r="AV471" s="448"/>
      <c r="AW471" s="8" t="str">
        <f>IF(C471&gt;0,VLOOKUP(C471,Foundation_Calc!$A$2:$C$986,3,1),
IF(J471&gt;0,VLOOKUP(J471,Foundation_Calc!$A$2:$C$986,3,1),""))</f>
        <v/>
      </c>
      <c r="AX471" s="8" t="str">
        <f>IF(C471&gt;0,VLOOKUP(C471,Foundation_Calc!$E$2:$G$986,3,1),
IF(J471&gt;0,VLOOKUP(J471,Foundation_Calc!$E$2:$G$986,3,1),""))</f>
        <v/>
      </c>
      <c r="AY471" s="631" t="str">
        <f>IF(L471="","",
IF(AX471="PT",VLOOKUP(L471,Foundation_Calc!$K$4:$R$37,VLOOKUP(AW471,Foundation_Calc!$I$2:$J$8,2,FALSE),0),
IF(AX471="K",VLOOKUP(L471,Foundation_Calc!$K$41:$R$74,VLOOKUP(AW471,Foundation_Calc!$I$2:$J$8,2,FALSE),0),"")))</f>
        <v/>
      </c>
      <c r="AZ471" s="631" t="str">
        <f>IF(K471="","",
IF(AX471="PT",VLOOKUP(K471,Foundation_Calc!$K$4:$R$37,VLOOKUP(AW471,Foundation_Calc!$I$2:$J$8,2,FALSE),0),
IF(AX471="K",VLOOKUP(K471,Foundation_Calc!$K$41:$R$74,VLOOKUP(AW471,Foundation_Calc!$I$2:$J$8,2,FALSE),0),"")))</f>
        <v/>
      </c>
      <c r="BA471" s="632" t="str">
        <f t="shared" si="67"/>
        <v/>
      </c>
      <c r="BB471" s="632" t="str">
        <f t="shared" si="68"/>
        <v/>
      </c>
      <c r="BC471" s="632" t="str">
        <f t="shared" si="69"/>
        <v/>
      </c>
      <c r="BD471" s="633" t="str">
        <f>IF(AND(L471="",H471=""),"",
IF(H471="",Pole_Calc!A499,
IF(H471="MP",Pole_Calc!A500,
IF(H471="AnMP",Pole_Calc!A501,
IF(H471="A",Pole_Calc!A502,
IF(H471="S/A",Pole_Calc!A503,
IF(H471="A/S",Pole_Calc!A504,"Poner a mano")))))))</f>
        <v/>
      </c>
      <c r="BE471" s="448" t="s">
        <v>1726</v>
      </c>
      <c r="BF471" s="635"/>
      <c r="BG471" s="635"/>
      <c r="BH471" s="634"/>
      <c r="BI471" s="635"/>
    </row>
    <row r="472" spans="1:61" ht="16.2" customHeight="1">
      <c r="A472" s="12"/>
      <c r="B472" s="446"/>
      <c r="C472" s="89"/>
      <c r="D472" s="13"/>
      <c r="E472" s="14"/>
      <c r="F472" s="14"/>
      <c r="G472" s="15"/>
      <c r="H472" s="8"/>
      <c r="I472" s="8"/>
      <c r="J472" s="89"/>
      <c r="K472" s="8"/>
      <c r="L472" s="8"/>
      <c r="M472" s="8" t="str">
        <f>IF(L472="","",
IF(AX472="PT",VLOOKUP(L472,Foundation_Calc!$V$4:$X$37,VLOOKUP(AX472,Foundation_Calc!$I$10:$J$13,2,FALSE),0),
IF(AX472="K",VLOOKUP(L472,Foundation_Calc!$V$41:$X$74,VLOOKUP(AX472,Foundation_Calc!$I$10:$J$13,2,FALSE),0),"")))</f>
        <v/>
      </c>
      <c r="N472" s="8"/>
      <c r="O472" s="8"/>
      <c r="P472" s="8"/>
      <c r="Q472" s="14"/>
      <c r="R472" s="15"/>
      <c r="S472" s="15"/>
      <c r="T472" s="14"/>
      <c r="U472" s="14"/>
      <c r="V472" s="14"/>
      <c r="W472" s="18"/>
      <c r="X472" s="18"/>
      <c r="Y472" s="18"/>
      <c r="Z472" s="18"/>
      <c r="AA472" s="18"/>
      <c r="AB472" s="18"/>
      <c r="AC472" s="8" t="str">
        <f t="shared" si="66"/>
        <v/>
      </c>
      <c r="AD472" s="8"/>
      <c r="AE472" s="8"/>
      <c r="AF472" s="14"/>
      <c r="AG472" s="13"/>
      <c r="AH472" s="14"/>
      <c r="AI472" s="14"/>
      <c r="AJ472" s="8"/>
      <c r="AK472" s="8"/>
      <c r="AL472" s="8"/>
      <c r="AM472" s="8"/>
      <c r="AN472" s="631"/>
      <c r="AO472" s="18"/>
      <c r="AP472" s="18"/>
      <c r="AQ472" s="18"/>
      <c r="AR472" s="18"/>
      <c r="AS472" s="18"/>
      <c r="AU472" s="448"/>
      <c r="AV472" s="448"/>
      <c r="AW472" s="8" t="str">
        <f>IF(C472&gt;0,VLOOKUP(C472,Foundation_Calc!$A$2:$C$986,3,1),
IF(J472&gt;0,VLOOKUP(J472,Foundation_Calc!$A$2:$C$986,3,1),""))</f>
        <v/>
      </c>
      <c r="AX472" s="8" t="str">
        <f>IF(C472&gt;0,VLOOKUP(C472,Foundation_Calc!$E$2:$G$986,3,1),
IF(J472&gt;0,VLOOKUP(J472,Foundation_Calc!$E$2:$G$986,3,1),""))</f>
        <v/>
      </c>
      <c r="AY472" s="631" t="str">
        <f>IF(L472="","",
IF(AX472="PT",VLOOKUP(L472,Foundation_Calc!$K$4:$R$37,VLOOKUP(AW472,Foundation_Calc!$I$2:$J$8,2,FALSE),0),
IF(AX472="K",VLOOKUP(L472,Foundation_Calc!$K$41:$R$74,VLOOKUP(AW472,Foundation_Calc!$I$2:$J$8,2,FALSE),0),"")))</f>
        <v/>
      </c>
      <c r="AZ472" s="631" t="str">
        <f>IF(K472="","",
IF(AX472="PT",VLOOKUP(K472,Foundation_Calc!$K$4:$R$37,VLOOKUP(AW472,Foundation_Calc!$I$2:$J$8,2,FALSE),0),
IF(AX472="K",VLOOKUP(K472,Foundation_Calc!$K$41:$R$74,VLOOKUP(AW472,Foundation_Calc!$I$2:$J$8,2,FALSE),0),"")))</f>
        <v/>
      </c>
      <c r="BA472" s="632" t="str">
        <f t="shared" si="67"/>
        <v/>
      </c>
      <c r="BB472" s="632" t="str">
        <f t="shared" si="68"/>
        <v/>
      </c>
      <c r="BC472" s="632" t="str">
        <f t="shared" si="69"/>
        <v/>
      </c>
      <c r="BD472" s="633" t="str">
        <f>IF(AND(L472="",H472=""),"",
IF(H472="",Pole_Calc!A500,
IF(H472="MP",Pole_Calc!A501,
IF(H472="AnMP",Pole_Calc!A502,
IF(H472="A",Pole_Calc!A503,
IF(H472="S/A",Pole_Calc!A504,
IF(H472="A/S",Pole_Calc!A505,"Poner a mano")))))))</f>
        <v/>
      </c>
      <c r="BE472" s="448" t="s">
        <v>1726</v>
      </c>
      <c r="BF472" s="634"/>
      <c r="BG472" s="634"/>
      <c r="BH472" s="634"/>
      <c r="BI472" s="634"/>
    </row>
    <row r="473" spans="1:61" ht="16.2" customHeight="1">
      <c r="A473" s="12"/>
      <c r="B473" s="446"/>
      <c r="C473" s="89"/>
      <c r="D473" s="13"/>
      <c r="E473" s="14"/>
      <c r="F473" s="14"/>
      <c r="G473" s="15"/>
      <c r="H473" s="8"/>
      <c r="I473" s="8"/>
      <c r="J473" s="89"/>
      <c r="K473" s="8"/>
      <c r="L473" s="8"/>
      <c r="M473" s="8" t="str">
        <f>IF(L473="","",
IF(AX473="PT",VLOOKUP(L473,Foundation_Calc!$V$4:$X$37,VLOOKUP(AX473,Foundation_Calc!$I$10:$J$13,2,FALSE),0),
IF(AX473="K",VLOOKUP(L473,Foundation_Calc!$V$41:$X$74,VLOOKUP(AX473,Foundation_Calc!$I$10:$J$13,2,FALSE),0),"")))</f>
        <v/>
      </c>
      <c r="N473" s="8"/>
      <c r="O473" s="8"/>
      <c r="P473" s="8"/>
      <c r="Q473" s="14"/>
      <c r="R473" s="15"/>
      <c r="S473" s="15"/>
      <c r="T473" s="14"/>
      <c r="U473" s="14"/>
      <c r="V473" s="14"/>
      <c r="W473" s="18"/>
      <c r="X473" s="18"/>
      <c r="Y473" s="18"/>
      <c r="Z473" s="18"/>
      <c r="AA473" s="18"/>
      <c r="AB473" s="18"/>
      <c r="AC473" s="8" t="str">
        <f t="shared" si="66"/>
        <v/>
      </c>
      <c r="AD473" s="8"/>
      <c r="AE473" s="8"/>
      <c r="AF473" s="14"/>
      <c r="AG473" s="13"/>
      <c r="AH473" s="14"/>
      <c r="AI473" s="14"/>
      <c r="AJ473" s="8"/>
      <c r="AK473" s="8"/>
      <c r="AL473" s="8"/>
      <c r="AM473" s="8"/>
      <c r="AN473" s="631"/>
      <c r="AO473" s="18"/>
      <c r="AP473" s="18"/>
      <c r="AQ473" s="18"/>
      <c r="AR473" s="18"/>
      <c r="AS473" s="18"/>
      <c r="AU473" s="448"/>
      <c r="AV473" s="448"/>
      <c r="AW473" s="8" t="str">
        <f>IF(C473&gt;0,VLOOKUP(C473,Foundation_Calc!$A$2:$C$986,3,1),
IF(J473&gt;0,VLOOKUP(J473,Foundation_Calc!$A$2:$C$986,3,1),""))</f>
        <v/>
      </c>
      <c r="AX473" s="8" t="str">
        <f>IF(C473&gt;0,VLOOKUP(C473,Foundation_Calc!$E$2:$G$986,3,1),
IF(J473&gt;0,VLOOKUP(J473,Foundation_Calc!$E$2:$G$986,3,1),""))</f>
        <v/>
      </c>
      <c r="AY473" s="631" t="str">
        <f>IF(L473="","",
IF(AX473="PT",VLOOKUP(L473,Foundation_Calc!$K$4:$R$37,VLOOKUP(AW473,Foundation_Calc!$I$2:$J$8,2,FALSE),0),
IF(AX473="K",VLOOKUP(L473,Foundation_Calc!$K$41:$R$74,VLOOKUP(AW473,Foundation_Calc!$I$2:$J$8,2,FALSE),0),"")))</f>
        <v/>
      </c>
      <c r="AZ473" s="631" t="str">
        <f>IF(K473="","",
IF(AX473="PT",VLOOKUP(K473,Foundation_Calc!$K$4:$R$37,VLOOKUP(AW473,Foundation_Calc!$I$2:$J$8,2,FALSE),0),
IF(AX473="K",VLOOKUP(K473,Foundation_Calc!$K$41:$R$74,VLOOKUP(AW473,Foundation_Calc!$I$2:$J$8,2,FALSE),0),"")))</f>
        <v/>
      </c>
      <c r="BA473" s="632" t="str">
        <f t="shared" si="67"/>
        <v/>
      </c>
      <c r="BB473" s="632" t="str">
        <f t="shared" si="68"/>
        <v/>
      </c>
      <c r="BC473" s="632" t="str">
        <f t="shared" si="69"/>
        <v/>
      </c>
      <c r="BD473" s="633" t="str">
        <f>IF(AND(L473="",H473=""),"",
IF(H473="",Pole_Calc!A501,
IF(H473="MP",Pole_Calc!A502,
IF(H473="AnMP",Pole_Calc!A503,
IF(H473="A",Pole_Calc!A504,
IF(H473="S/A",Pole_Calc!A505,
IF(H473="A/S",Pole_Calc!A506,"Poner a mano")))))))</f>
        <v/>
      </c>
      <c r="BE473" s="448" t="s">
        <v>1726</v>
      </c>
      <c r="BF473" s="635"/>
      <c r="BG473" s="635"/>
      <c r="BH473" s="634"/>
      <c r="BI473" s="635"/>
    </row>
    <row r="474" spans="1:61" ht="16.2" customHeight="1">
      <c r="A474" s="12"/>
      <c r="B474" s="446"/>
      <c r="C474" s="89"/>
      <c r="D474" s="13"/>
      <c r="E474" s="14"/>
      <c r="F474" s="14"/>
      <c r="G474" s="15"/>
      <c r="H474" s="8"/>
      <c r="I474" s="8"/>
      <c r="J474" s="89"/>
      <c r="K474" s="8"/>
      <c r="L474" s="8"/>
      <c r="M474" s="8" t="str">
        <f>IF(L474="","",
IF(AX474="PT",VLOOKUP(L474,Foundation_Calc!$V$4:$X$37,VLOOKUP(AX474,Foundation_Calc!$I$10:$J$13,2,FALSE),0),
IF(AX474="K",VLOOKUP(L474,Foundation_Calc!$V$41:$X$74,VLOOKUP(AX474,Foundation_Calc!$I$10:$J$13,2,FALSE),0),"")))</f>
        <v/>
      </c>
      <c r="N474" s="8"/>
      <c r="O474" s="8"/>
      <c r="P474" s="8"/>
      <c r="Q474" s="14"/>
      <c r="R474" s="15"/>
      <c r="S474" s="15"/>
      <c r="T474" s="14"/>
      <c r="U474" s="14"/>
      <c r="V474" s="14"/>
      <c r="W474" s="18"/>
      <c r="X474" s="18"/>
      <c r="Y474" s="18"/>
      <c r="Z474" s="18"/>
      <c r="AA474" s="18"/>
      <c r="AB474" s="18"/>
      <c r="AC474" s="8" t="str">
        <f t="shared" si="66"/>
        <v/>
      </c>
      <c r="AD474" s="8"/>
      <c r="AE474" s="8"/>
      <c r="AF474" s="14"/>
      <c r="AG474" s="13"/>
      <c r="AH474" s="14"/>
      <c r="AI474" s="14"/>
      <c r="AJ474" s="8"/>
      <c r="AK474" s="8"/>
      <c r="AL474" s="8"/>
      <c r="AM474" s="8"/>
      <c r="AN474" s="631"/>
      <c r="AO474" s="18"/>
      <c r="AP474" s="18"/>
      <c r="AQ474" s="18"/>
      <c r="AR474" s="18"/>
      <c r="AS474" s="18"/>
      <c r="AU474" s="448"/>
      <c r="AV474" s="448"/>
      <c r="AW474" s="8" t="str">
        <f>IF(C474&gt;0,VLOOKUP(C474,Foundation_Calc!$A$2:$C$986,3,1),
IF(J474&gt;0,VLOOKUP(J474,Foundation_Calc!$A$2:$C$986,3,1),""))</f>
        <v/>
      </c>
      <c r="AX474" s="8" t="str">
        <f>IF(C474&gt;0,VLOOKUP(C474,Foundation_Calc!$E$2:$G$986,3,1),
IF(J474&gt;0,VLOOKUP(J474,Foundation_Calc!$E$2:$G$986,3,1),""))</f>
        <v/>
      </c>
      <c r="AY474" s="631" t="str">
        <f>IF(L474="","",
IF(AX474="PT",VLOOKUP(L474,Foundation_Calc!$K$4:$R$37,VLOOKUP(AW474,Foundation_Calc!$I$2:$J$8,2,FALSE),0),
IF(AX474="K",VLOOKUP(L474,Foundation_Calc!$K$41:$R$74,VLOOKUP(AW474,Foundation_Calc!$I$2:$J$8,2,FALSE),0),"")))</f>
        <v/>
      </c>
      <c r="AZ474" s="631" t="str">
        <f>IF(K474="","",
IF(AX474="PT",VLOOKUP(K474,Foundation_Calc!$K$4:$R$37,VLOOKUP(AW474,Foundation_Calc!$I$2:$J$8,2,FALSE),0),
IF(AX474="K",VLOOKUP(K474,Foundation_Calc!$K$41:$R$74,VLOOKUP(AW474,Foundation_Calc!$I$2:$J$8,2,FALSE),0),"")))</f>
        <v/>
      </c>
      <c r="BA474" s="632" t="str">
        <f t="shared" si="67"/>
        <v/>
      </c>
      <c r="BB474" s="632" t="str">
        <f t="shared" si="68"/>
        <v/>
      </c>
      <c r="BC474" s="632" t="str">
        <f t="shared" si="69"/>
        <v/>
      </c>
      <c r="BD474" s="633" t="str">
        <f>IF(AND(L474="",H474=""),"",
IF(H474="",Pole_Calc!A502,
IF(H474="MP",Pole_Calc!A503,
IF(H474="AnMP",Pole_Calc!A504,
IF(H474="A",Pole_Calc!A505,
IF(H474="S/A",Pole_Calc!A506,
IF(H474="A/S",Pole_Calc!A507,"Poner a mano")))))))</f>
        <v/>
      </c>
      <c r="BE474" s="448" t="s">
        <v>1726</v>
      </c>
      <c r="BF474" s="634"/>
      <c r="BG474" s="634"/>
      <c r="BH474" s="634"/>
      <c r="BI474" s="634"/>
    </row>
    <row r="475" spans="1:61" ht="16.2" customHeight="1">
      <c r="A475" s="12"/>
      <c r="B475" s="446"/>
      <c r="C475" s="89"/>
      <c r="D475" s="13"/>
      <c r="E475" s="14"/>
      <c r="F475" s="14"/>
      <c r="G475" s="15"/>
      <c r="H475" s="8"/>
      <c r="I475" s="8"/>
      <c r="J475" s="89"/>
      <c r="K475" s="8"/>
      <c r="L475" s="8"/>
      <c r="M475" s="8" t="str">
        <f>IF(L475="","",
IF(AX475="PT",VLOOKUP(L475,Foundation_Calc!$V$4:$X$37,VLOOKUP(AX475,Foundation_Calc!$I$10:$J$13,2,FALSE),0),
IF(AX475="K",VLOOKUP(L475,Foundation_Calc!$V$41:$X$74,VLOOKUP(AX475,Foundation_Calc!$I$10:$J$13,2,FALSE),0),"")))</f>
        <v/>
      </c>
      <c r="N475" s="8"/>
      <c r="O475" s="8"/>
      <c r="P475" s="8"/>
      <c r="Q475" s="14"/>
      <c r="R475" s="15"/>
      <c r="S475" s="15"/>
      <c r="T475" s="14"/>
      <c r="U475" s="14"/>
      <c r="V475" s="14"/>
      <c r="W475" s="18"/>
      <c r="X475" s="18"/>
      <c r="Y475" s="18"/>
      <c r="Z475" s="18"/>
      <c r="AA475" s="18"/>
      <c r="AB475" s="18"/>
      <c r="AC475" s="8" t="str">
        <f t="shared" si="66"/>
        <v/>
      </c>
      <c r="AD475" s="8"/>
      <c r="AE475" s="8"/>
      <c r="AF475" s="14"/>
      <c r="AG475" s="13"/>
      <c r="AH475" s="14"/>
      <c r="AI475" s="14"/>
      <c r="AJ475" s="8"/>
      <c r="AK475" s="8"/>
      <c r="AL475" s="8"/>
      <c r="AM475" s="8"/>
      <c r="AN475" s="631"/>
      <c r="AO475" s="18"/>
      <c r="AP475" s="18"/>
      <c r="AQ475" s="18"/>
      <c r="AR475" s="18"/>
      <c r="AS475" s="18"/>
      <c r="AU475" s="448"/>
      <c r="AV475" s="448"/>
      <c r="AW475" s="8" t="str">
        <f>IF(C475&gt;0,VLOOKUP(C475,Foundation_Calc!$A$2:$C$986,3,1),
IF(J475&gt;0,VLOOKUP(J475,Foundation_Calc!$A$2:$C$986,3,1),""))</f>
        <v/>
      </c>
      <c r="AX475" s="8" t="str">
        <f>IF(C475&gt;0,VLOOKUP(C475,Foundation_Calc!$E$2:$G$986,3,1),
IF(J475&gt;0,VLOOKUP(J475,Foundation_Calc!$E$2:$G$986,3,1),""))</f>
        <v/>
      </c>
      <c r="AY475" s="631" t="str">
        <f>IF(L475="","",
IF(AX475="PT",VLOOKUP(L475,Foundation_Calc!$K$4:$R$37,VLOOKUP(AW475,Foundation_Calc!$I$2:$J$8,2,FALSE),0),
IF(AX475="K",VLOOKUP(L475,Foundation_Calc!$K$41:$R$74,VLOOKUP(AW475,Foundation_Calc!$I$2:$J$8,2,FALSE),0),"")))</f>
        <v/>
      </c>
      <c r="AZ475" s="631" t="str">
        <f>IF(K475="","",
IF(AX475="PT",VLOOKUP(K475,Foundation_Calc!$K$4:$R$37,VLOOKUP(AW475,Foundation_Calc!$I$2:$J$8,2,FALSE),0),
IF(AX475="K",VLOOKUP(K475,Foundation_Calc!$K$41:$R$74,VLOOKUP(AW475,Foundation_Calc!$I$2:$J$8,2,FALSE),0),"")))</f>
        <v/>
      </c>
      <c r="BA475" s="632" t="str">
        <f t="shared" si="67"/>
        <v/>
      </c>
      <c r="BB475" s="632" t="str">
        <f t="shared" si="68"/>
        <v/>
      </c>
      <c r="BC475" s="632" t="str">
        <f t="shared" si="69"/>
        <v/>
      </c>
      <c r="BD475" s="633" t="str">
        <f>IF(AND(L475="",H475=""),"",
IF(H475="",Pole_Calc!A503,
IF(H475="MP",Pole_Calc!A504,
IF(H475="AnMP",Pole_Calc!A505,
IF(H475="A",Pole_Calc!A506,
IF(H475="S/A",Pole_Calc!A507,
IF(H475="A/S",Pole_Calc!A508,"Poner a mano")))))))</f>
        <v/>
      </c>
      <c r="BE475" s="448" t="s">
        <v>1726</v>
      </c>
      <c r="BF475" s="635"/>
      <c r="BG475" s="635"/>
      <c r="BH475" s="634"/>
      <c r="BI475" s="635"/>
    </row>
    <row r="476" spans="1:61" ht="16.2" customHeight="1">
      <c r="A476" s="12"/>
      <c r="B476" s="446"/>
      <c r="C476" s="89"/>
      <c r="D476" s="13"/>
      <c r="E476" s="14"/>
      <c r="F476" s="14"/>
      <c r="G476" s="15"/>
      <c r="H476" s="8"/>
      <c r="I476" s="8"/>
      <c r="J476" s="89"/>
      <c r="K476" s="8"/>
      <c r="L476" s="8"/>
      <c r="M476" s="8" t="str">
        <f>IF(L476="","",
IF(AX476="PT",VLOOKUP(L476,Foundation_Calc!$V$4:$X$37,VLOOKUP(AX476,Foundation_Calc!$I$10:$J$13,2,FALSE),0),
IF(AX476="K",VLOOKUP(L476,Foundation_Calc!$V$41:$X$74,VLOOKUP(AX476,Foundation_Calc!$I$10:$J$13,2,FALSE),0),"")))</f>
        <v/>
      </c>
      <c r="N476" s="8"/>
      <c r="O476" s="8"/>
      <c r="P476" s="8"/>
      <c r="Q476" s="14"/>
      <c r="R476" s="15"/>
      <c r="S476" s="15"/>
      <c r="T476" s="14"/>
      <c r="U476" s="14"/>
      <c r="V476" s="14"/>
      <c r="W476" s="18"/>
      <c r="X476" s="18"/>
      <c r="Y476" s="18"/>
      <c r="Z476" s="18"/>
      <c r="AA476" s="18"/>
      <c r="AB476" s="18"/>
      <c r="AC476" s="8" t="str">
        <f t="shared" si="66"/>
        <v/>
      </c>
      <c r="AD476" s="8"/>
      <c r="AE476" s="8"/>
      <c r="AF476" s="14"/>
      <c r="AG476" s="13"/>
      <c r="AH476" s="14"/>
      <c r="AI476" s="14"/>
      <c r="AJ476" s="8"/>
      <c r="AK476" s="8"/>
      <c r="AL476" s="8"/>
      <c r="AM476" s="8"/>
      <c r="AN476" s="631"/>
      <c r="AO476" s="18"/>
      <c r="AP476" s="18"/>
      <c r="AQ476" s="18"/>
      <c r="AR476" s="18"/>
      <c r="AS476" s="18"/>
      <c r="AU476" s="448"/>
      <c r="AV476" s="448"/>
      <c r="AW476" s="8" t="str">
        <f>IF(C476&gt;0,VLOOKUP(C476,Foundation_Calc!$A$2:$C$986,3,1),
IF(J476&gt;0,VLOOKUP(J476,Foundation_Calc!$A$2:$C$986,3,1),""))</f>
        <v/>
      </c>
      <c r="AX476" s="8" t="str">
        <f>IF(C476&gt;0,VLOOKUP(C476,Foundation_Calc!$E$2:$G$986,3,1),
IF(J476&gt;0,VLOOKUP(J476,Foundation_Calc!$E$2:$G$986,3,1),""))</f>
        <v/>
      </c>
      <c r="AY476" s="631" t="str">
        <f>IF(L476="","",
IF(AX476="PT",VLOOKUP(L476,Foundation_Calc!$K$4:$R$37,VLOOKUP(AW476,Foundation_Calc!$I$2:$J$8,2,FALSE),0),
IF(AX476="K",VLOOKUP(L476,Foundation_Calc!$K$41:$R$74,VLOOKUP(AW476,Foundation_Calc!$I$2:$J$8,2,FALSE),0),"")))</f>
        <v/>
      </c>
      <c r="AZ476" s="631" t="str">
        <f>IF(K476="","",
IF(AX476="PT",VLOOKUP(K476,Foundation_Calc!$K$4:$R$37,VLOOKUP(AW476,Foundation_Calc!$I$2:$J$8,2,FALSE),0),
IF(AX476="K",VLOOKUP(K476,Foundation_Calc!$K$41:$R$74,VLOOKUP(AW476,Foundation_Calc!$I$2:$J$8,2,FALSE),0),"")))</f>
        <v/>
      </c>
      <c r="BA476" s="632" t="str">
        <f t="shared" si="67"/>
        <v/>
      </c>
      <c r="BB476" s="632" t="str">
        <f t="shared" si="68"/>
        <v/>
      </c>
      <c r="BC476" s="632" t="str">
        <f t="shared" si="69"/>
        <v/>
      </c>
      <c r="BD476" s="633" t="str">
        <f>IF(AND(L476="",H476=""),"",
IF(H476="",Pole_Calc!A504,
IF(H476="MP",Pole_Calc!A505,
IF(H476="AnMP",Pole_Calc!A506,
IF(H476="A",Pole_Calc!A507,
IF(H476="S/A",Pole_Calc!A508,
IF(H476="A/S",Pole_Calc!A509,"Poner a mano")))))))</f>
        <v/>
      </c>
      <c r="BE476" s="448" t="s">
        <v>1726</v>
      </c>
      <c r="BF476" s="634"/>
      <c r="BG476" s="634"/>
      <c r="BH476" s="634"/>
      <c r="BI476" s="634"/>
    </row>
    <row r="477" spans="1:61" ht="16.2" customHeight="1">
      <c r="A477" s="12"/>
      <c r="B477" s="446"/>
      <c r="C477" s="89"/>
      <c r="D477" s="13"/>
      <c r="E477" s="14"/>
      <c r="F477" s="14"/>
      <c r="G477" s="15"/>
      <c r="H477" s="8"/>
      <c r="I477" s="8"/>
      <c r="J477" s="89"/>
      <c r="K477" s="8"/>
      <c r="L477" s="8"/>
      <c r="M477" s="8" t="str">
        <f>IF(L477="","",
IF(AX477="PT",VLOOKUP(L477,Foundation_Calc!$V$4:$X$37,VLOOKUP(AX477,Foundation_Calc!$I$10:$J$13,2,FALSE),0),
IF(AX477="K",VLOOKUP(L477,Foundation_Calc!$V$41:$X$74,VLOOKUP(AX477,Foundation_Calc!$I$10:$J$13,2,FALSE),0),"")))</f>
        <v/>
      </c>
      <c r="N477" s="8"/>
      <c r="O477" s="8"/>
      <c r="P477" s="8"/>
      <c r="Q477" s="14"/>
      <c r="R477" s="15"/>
      <c r="S477" s="15"/>
      <c r="T477" s="14"/>
      <c r="U477" s="14"/>
      <c r="V477" s="14"/>
      <c r="W477" s="18"/>
      <c r="X477" s="18"/>
      <c r="Y477" s="18"/>
      <c r="Z477" s="18"/>
      <c r="AA477" s="18"/>
      <c r="AB477" s="18"/>
      <c r="AC477" s="8" t="str">
        <f t="shared" si="66"/>
        <v/>
      </c>
      <c r="AD477" s="8"/>
      <c r="AE477" s="8"/>
      <c r="AF477" s="14"/>
      <c r="AG477" s="13"/>
      <c r="AH477" s="14"/>
      <c r="AI477" s="14"/>
      <c r="AJ477" s="8"/>
      <c r="AK477" s="8"/>
      <c r="AL477" s="8"/>
      <c r="AM477" s="8"/>
      <c r="AN477" s="631"/>
      <c r="AO477" s="18"/>
      <c r="AP477" s="18"/>
      <c r="AQ477" s="18"/>
      <c r="AR477" s="18"/>
      <c r="AS477" s="18"/>
      <c r="AU477" s="448"/>
      <c r="AV477" s="448"/>
      <c r="AW477" s="8" t="str">
        <f>IF(C477&gt;0,VLOOKUP(C477,Foundation_Calc!$A$2:$C$986,3,1),
IF(J477&gt;0,VLOOKUP(J477,Foundation_Calc!$A$2:$C$986,3,1),""))</f>
        <v/>
      </c>
      <c r="AX477" s="8" t="str">
        <f>IF(C477&gt;0,VLOOKUP(C477,Foundation_Calc!$E$2:$G$986,3,1),
IF(J477&gt;0,VLOOKUP(J477,Foundation_Calc!$E$2:$G$986,3,1),""))</f>
        <v/>
      </c>
      <c r="AY477" s="631" t="str">
        <f>IF(L477="","",
IF(AX477="PT",VLOOKUP(L477,Foundation_Calc!$K$4:$R$37,VLOOKUP(AW477,Foundation_Calc!$I$2:$J$8,2,FALSE),0),
IF(AX477="K",VLOOKUP(L477,Foundation_Calc!$K$41:$R$74,VLOOKUP(AW477,Foundation_Calc!$I$2:$J$8,2,FALSE),0),"")))</f>
        <v/>
      </c>
      <c r="AZ477" s="631" t="str">
        <f>IF(K477="","",
IF(AX477="PT",VLOOKUP(K477,Foundation_Calc!$K$4:$R$37,VLOOKUP(AW477,Foundation_Calc!$I$2:$J$8,2,FALSE),0),
IF(AX477="K",VLOOKUP(K477,Foundation_Calc!$K$41:$R$74,VLOOKUP(AW477,Foundation_Calc!$I$2:$J$8,2,FALSE),0),"")))</f>
        <v/>
      </c>
      <c r="BA477" s="632" t="str">
        <f t="shared" si="67"/>
        <v/>
      </c>
      <c r="BB477" s="632" t="str">
        <f t="shared" si="68"/>
        <v/>
      </c>
      <c r="BC477" s="632" t="str">
        <f t="shared" si="69"/>
        <v/>
      </c>
      <c r="BD477" s="633" t="str">
        <f>IF(AND(L477="",H477=""),"",
IF(H477="",Pole_Calc!A505,
IF(H477="MP",Pole_Calc!A506,
IF(H477="AnMP",Pole_Calc!A507,
IF(H477="A",Pole_Calc!A508,
IF(H477="S/A",Pole_Calc!A509,
IF(H477="A/S",Pole_Calc!A510,"Poner a mano")))))))</f>
        <v/>
      </c>
      <c r="BE477" s="448" t="s">
        <v>1726</v>
      </c>
      <c r="BF477" s="635"/>
      <c r="BG477" s="635"/>
      <c r="BH477" s="634"/>
      <c r="BI477" s="635"/>
    </row>
    <row r="478" spans="1:61" ht="16.2" customHeight="1">
      <c r="A478" s="12"/>
      <c r="B478" s="446"/>
      <c r="C478" s="89"/>
      <c r="D478" s="13"/>
      <c r="E478" s="14"/>
      <c r="F478" s="14"/>
      <c r="G478" s="15"/>
      <c r="H478" s="8"/>
      <c r="I478" s="8"/>
      <c r="J478" s="89"/>
      <c r="K478" s="8"/>
      <c r="L478" s="8"/>
      <c r="M478" s="8" t="str">
        <f>IF(L478="","",
IF(AX478="PT",VLOOKUP(L478,Foundation_Calc!$V$4:$X$37,VLOOKUP(AX478,Foundation_Calc!$I$10:$J$13,2,FALSE),0),
IF(AX478="K",VLOOKUP(L478,Foundation_Calc!$V$41:$X$74,VLOOKUP(AX478,Foundation_Calc!$I$10:$J$13,2,FALSE),0),"")))</f>
        <v/>
      </c>
      <c r="N478" s="8"/>
      <c r="O478" s="8"/>
      <c r="P478" s="8"/>
      <c r="Q478" s="14"/>
      <c r="R478" s="15"/>
      <c r="S478" s="15"/>
      <c r="T478" s="14"/>
      <c r="U478" s="14"/>
      <c r="V478" s="14"/>
      <c r="W478" s="18"/>
      <c r="X478" s="18"/>
      <c r="Y478" s="18"/>
      <c r="Z478" s="18"/>
      <c r="AA478" s="18"/>
      <c r="AB478" s="18"/>
      <c r="AC478" s="8" t="str">
        <f t="shared" si="66"/>
        <v/>
      </c>
      <c r="AD478" s="8"/>
      <c r="AE478" s="8"/>
      <c r="AF478" s="14"/>
      <c r="AG478" s="13"/>
      <c r="AH478" s="14"/>
      <c r="AI478" s="14"/>
      <c r="AJ478" s="8"/>
      <c r="AK478" s="8"/>
      <c r="AL478" s="8"/>
      <c r="AM478" s="8"/>
      <c r="AN478" s="631"/>
      <c r="AO478" s="18"/>
      <c r="AP478" s="18"/>
      <c r="AQ478" s="18"/>
      <c r="AR478" s="18"/>
      <c r="AS478" s="18"/>
      <c r="AU478" s="448"/>
      <c r="AV478" s="448"/>
      <c r="AW478" s="8" t="str">
        <f>IF(C478&gt;0,VLOOKUP(C478,Foundation_Calc!$A$2:$C$986,3,1),
IF(J478&gt;0,VLOOKUP(J478,Foundation_Calc!$A$2:$C$986,3,1),""))</f>
        <v/>
      </c>
      <c r="AX478" s="8" t="str">
        <f>IF(C478&gt;0,VLOOKUP(C478,Foundation_Calc!$E$2:$G$986,3,1),
IF(J478&gt;0,VLOOKUP(J478,Foundation_Calc!$E$2:$G$986,3,1),""))</f>
        <v/>
      </c>
      <c r="AY478" s="631" t="str">
        <f>IF(L478="","",
IF(AX478="PT",VLOOKUP(L478,Foundation_Calc!$K$4:$R$37,VLOOKUP(AW478,Foundation_Calc!$I$2:$J$8,2,FALSE),0),
IF(AX478="K",VLOOKUP(L478,Foundation_Calc!$K$41:$R$74,VLOOKUP(AW478,Foundation_Calc!$I$2:$J$8,2,FALSE),0),"")))</f>
        <v/>
      </c>
      <c r="AZ478" s="631" t="str">
        <f>IF(K478="","",
IF(AX478="PT",VLOOKUP(K478,Foundation_Calc!$K$4:$R$37,VLOOKUP(AW478,Foundation_Calc!$I$2:$J$8,2,FALSE),0),
IF(AX478="K",VLOOKUP(K478,Foundation_Calc!$K$41:$R$74,VLOOKUP(AW478,Foundation_Calc!$I$2:$J$8,2,FALSE),0),"")))</f>
        <v/>
      </c>
      <c r="BA478" s="632" t="str">
        <f t="shared" si="67"/>
        <v/>
      </c>
      <c r="BB478" s="632" t="str">
        <f t="shared" si="68"/>
        <v/>
      </c>
      <c r="BC478" s="632" t="str">
        <f t="shared" si="69"/>
        <v/>
      </c>
      <c r="BD478" s="633" t="str">
        <f>IF(AND(L478="",H478=""),"",
IF(H478="",Pole_Calc!A506,
IF(H478="MP",Pole_Calc!A507,
IF(H478="AnMP",Pole_Calc!A508,
IF(H478="A",Pole_Calc!A509,
IF(H478="S/A",Pole_Calc!A510,
IF(H478="A/S",Pole_Calc!A511,"Poner a mano")))))))</f>
        <v/>
      </c>
      <c r="BE478" s="448" t="s">
        <v>1726</v>
      </c>
      <c r="BF478" s="634"/>
      <c r="BG478" s="634"/>
      <c r="BH478" s="634"/>
      <c r="BI478" s="634"/>
    </row>
    <row r="479" spans="1:61" ht="16.2" customHeight="1">
      <c r="A479" s="12"/>
      <c r="B479" s="446"/>
      <c r="C479" s="89"/>
      <c r="D479" s="13"/>
      <c r="E479" s="14"/>
      <c r="F479" s="14"/>
      <c r="G479" s="15"/>
      <c r="H479" s="8"/>
      <c r="I479" s="8"/>
      <c r="J479" s="89"/>
      <c r="K479" s="8"/>
      <c r="L479" s="8"/>
      <c r="M479" s="8" t="str">
        <f>IF(L479="","",
IF(AX479="PT",VLOOKUP(L479,Foundation_Calc!$V$4:$X$37,VLOOKUP(AX479,Foundation_Calc!$I$10:$J$13,2,FALSE),0),
IF(AX479="K",VLOOKUP(L479,Foundation_Calc!$V$41:$X$74,VLOOKUP(AX479,Foundation_Calc!$I$10:$J$13,2,FALSE),0),"")))</f>
        <v/>
      </c>
      <c r="N479" s="8"/>
      <c r="O479" s="8"/>
      <c r="P479" s="8"/>
      <c r="Q479" s="14"/>
      <c r="R479" s="15"/>
      <c r="S479" s="15"/>
      <c r="T479" s="14"/>
      <c r="U479" s="14"/>
      <c r="V479" s="14"/>
      <c r="W479" s="18"/>
      <c r="X479" s="18"/>
      <c r="Y479" s="18"/>
      <c r="Z479" s="18"/>
      <c r="AA479" s="18"/>
      <c r="AB479" s="18"/>
      <c r="AC479" s="8" t="str">
        <f t="shared" si="66"/>
        <v/>
      </c>
      <c r="AD479" s="8"/>
      <c r="AE479" s="8"/>
      <c r="AF479" s="14"/>
      <c r="AG479" s="13"/>
      <c r="AH479" s="14"/>
      <c r="AI479" s="14"/>
      <c r="AJ479" s="8"/>
      <c r="AK479" s="8"/>
      <c r="AL479" s="8"/>
      <c r="AM479" s="8"/>
      <c r="AN479" s="631"/>
      <c r="AO479" s="18"/>
      <c r="AP479" s="18"/>
      <c r="AQ479" s="18"/>
      <c r="AR479" s="18"/>
      <c r="AS479" s="18"/>
      <c r="AU479" s="448"/>
      <c r="AV479" s="448"/>
      <c r="AW479" s="8" t="str">
        <f>IF(C479&gt;0,VLOOKUP(C479,Foundation_Calc!$A$2:$C$986,3,1),
IF(J479&gt;0,VLOOKUP(J479,Foundation_Calc!$A$2:$C$986,3,1),""))</f>
        <v/>
      </c>
      <c r="AX479" s="8" t="str">
        <f>IF(C479&gt;0,VLOOKUP(C479,Foundation_Calc!$E$2:$G$986,3,1),
IF(J479&gt;0,VLOOKUP(J479,Foundation_Calc!$E$2:$G$986,3,1),""))</f>
        <v/>
      </c>
      <c r="AY479" s="631" t="str">
        <f>IF(L479="","",
IF(AX479="PT",VLOOKUP(L479,Foundation_Calc!$K$4:$R$37,VLOOKUP(AW479,Foundation_Calc!$I$2:$J$8,2,FALSE),0),
IF(AX479="K",VLOOKUP(L479,Foundation_Calc!$K$41:$R$74,VLOOKUP(AW479,Foundation_Calc!$I$2:$J$8,2,FALSE),0),"")))</f>
        <v/>
      </c>
      <c r="AZ479" s="631" t="str">
        <f>IF(K479="","",
IF(AX479="PT",VLOOKUP(K479,Foundation_Calc!$K$4:$R$37,VLOOKUP(AW479,Foundation_Calc!$I$2:$J$8,2,FALSE),0),
IF(AX479="K",VLOOKUP(K479,Foundation_Calc!$K$41:$R$74,VLOOKUP(AW479,Foundation_Calc!$I$2:$J$8,2,FALSE),0),"")))</f>
        <v/>
      </c>
      <c r="BA479" s="632" t="str">
        <f t="shared" si="67"/>
        <v/>
      </c>
      <c r="BB479" s="632" t="str">
        <f t="shared" si="68"/>
        <v/>
      </c>
      <c r="BC479" s="632" t="str">
        <f t="shared" si="69"/>
        <v/>
      </c>
      <c r="BD479" s="633" t="str">
        <f>IF(AND(L479="",H479=""),"",
IF(H479="",Pole_Calc!A507,
IF(H479="MP",Pole_Calc!A508,
IF(H479="AnMP",Pole_Calc!A509,
IF(H479="A",Pole_Calc!A510,
IF(H479="S/A",Pole_Calc!A511,
IF(H479="A/S",Pole_Calc!A512,"Poner a mano")))))))</f>
        <v/>
      </c>
      <c r="BE479" s="448" t="s">
        <v>1726</v>
      </c>
      <c r="BF479" s="635"/>
      <c r="BG479" s="635"/>
      <c r="BH479" s="634"/>
      <c r="BI479" s="635"/>
    </row>
    <row r="480" spans="1:61" ht="16.2" customHeight="1">
      <c r="A480" s="12"/>
      <c r="B480" s="446"/>
      <c r="C480" s="89"/>
      <c r="D480" s="13"/>
      <c r="E480" s="14"/>
      <c r="F480" s="14"/>
      <c r="G480" s="15"/>
      <c r="H480" s="8"/>
      <c r="I480" s="8"/>
      <c r="J480" s="89"/>
      <c r="K480" s="8"/>
      <c r="L480" s="8"/>
      <c r="M480" s="8" t="str">
        <f>IF(L480="","",
IF(AX480="PT",VLOOKUP(L480,Foundation_Calc!$V$4:$X$37,VLOOKUP(AX480,Foundation_Calc!$I$10:$J$13,2,FALSE),0),
IF(AX480="K",VLOOKUP(L480,Foundation_Calc!$V$41:$X$74,VLOOKUP(AX480,Foundation_Calc!$I$10:$J$13,2,FALSE),0),"")))</f>
        <v/>
      </c>
      <c r="N480" s="8"/>
      <c r="O480" s="8"/>
      <c r="P480" s="8"/>
      <c r="Q480" s="14"/>
      <c r="R480" s="15"/>
      <c r="S480" s="15"/>
      <c r="T480" s="14"/>
      <c r="U480" s="14"/>
      <c r="V480" s="14"/>
      <c r="W480" s="18"/>
      <c r="X480" s="18"/>
      <c r="Y480" s="18"/>
      <c r="Z480" s="18"/>
      <c r="AA480" s="18"/>
      <c r="AB480" s="18"/>
      <c r="AC480" s="8" t="str">
        <f t="shared" si="66"/>
        <v/>
      </c>
      <c r="AD480" s="8"/>
      <c r="AE480" s="8"/>
      <c r="AF480" s="14"/>
      <c r="AG480" s="13"/>
      <c r="AH480" s="14"/>
      <c r="AI480" s="14"/>
      <c r="AJ480" s="8"/>
      <c r="AK480" s="8"/>
      <c r="AL480" s="8"/>
      <c r="AM480" s="8"/>
      <c r="AN480" s="631"/>
      <c r="AO480" s="18"/>
      <c r="AP480" s="18"/>
      <c r="AQ480" s="18"/>
      <c r="AR480" s="18"/>
      <c r="AS480" s="18"/>
      <c r="AU480" s="448"/>
      <c r="AV480" s="448"/>
      <c r="AW480" s="8" t="str">
        <f>IF(C480&gt;0,VLOOKUP(C480,Foundation_Calc!$A$2:$C$986,3,1),
IF(J480&gt;0,VLOOKUP(J480,Foundation_Calc!$A$2:$C$986,3,1),""))</f>
        <v/>
      </c>
      <c r="AX480" s="8" t="str">
        <f>IF(C480&gt;0,VLOOKUP(C480,Foundation_Calc!$E$2:$G$986,3,1),
IF(J480&gt;0,VLOOKUP(J480,Foundation_Calc!$E$2:$G$986,3,1),""))</f>
        <v/>
      </c>
      <c r="AY480" s="631" t="str">
        <f>IF(L480="","",
IF(AX480="PT",VLOOKUP(L480,Foundation_Calc!$K$4:$R$37,VLOOKUP(AW480,Foundation_Calc!$I$2:$J$8,2,FALSE),0),
IF(AX480="K",VLOOKUP(L480,Foundation_Calc!$K$41:$R$74,VLOOKUP(AW480,Foundation_Calc!$I$2:$J$8,2,FALSE),0),"")))</f>
        <v/>
      </c>
      <c r="AZ480" s="631" t="str">
        <f>IF(K480="","",
IF(AX480="PT",VLOOKUP(K480,Foundation_Calc!$K$4:$R$37,VLOOKUP(AW480,Foundation_Calc!$I$2:$J$8,2,FALSE),0),
IF(AX480="K",VLOOKUP(K480,Foundation_Calc!$K$41:$R$74,VLOOKUP(AW480,Foundation_Calc!$I$2:$J$8,2,FALSE),0),"")))</f>
        <v/>
      </c>
      <c r="BA480" s="632" t="str">
        <f t="shared" si="67"/>
        <v/>
      </c>
      <c r="BB480" s="632" t="str">
        <f t="shared" si="68"/>
        <v/>
      </c>
      <c r="BC480" s="632" t="str">
        <f t="shared" si="69"/>
        <v/>
      </c>
      <c r="BD480" s="633" t="str">
        <f>IF(AND(L480="",H480=""),"",
IF(H480="",Pole_Calc!A508,
IF(H480="MP",Pole_Calc!A509,
IF(H480="AnMP",Pole_Calc!A510,
IF(H480="A",Pole_Calc!A511,
IF(H480="S/A",Pole_Calc!A512,
IF(H480="A/S",Pole_Calc!A513,"Poner a mano")))))))</f>
        <v/>
      </c>
      <c r="BE480" s="448" t="s">
        <v>1726</v>
      </c>
      <c r="BF480" s="634"/>
      <c r="BG480" s="634"/>
      <c r="BH480" s="634"/>
      <c r="BI480" s="634"/>
    </row>
    <row r="481" spans="1:61" ht="16.2" customHeight="1">
      <c r="A481" s="12"/>
      <c r="B481" s="446"/>
      <c r="C481" s="89"/>
      <c r="D481" s="13"/>
      <c r="E481" s="14"/>
      <c r="F481" s="14"/>
      <c r="G481" s="15"/>
      <c r="H481" s="8"/>
      <c r="I481" s="8"/>
      <c r="J481" s="89"/>
      <c r="K481" s="8"/>
      <c r="L481" s="8"/>
      <c r="M481" s="8" t="str">
        <f>IF(L481="","",
IF(AX481="PT",VLOOKUP(L481,Foundation_Calc!$V$4:$X$37,VLOOKUP(AX481,Foundation_Calc!$I$10:$J$13,2,FALSE),0),
IF(AX481="K",VLOOKUP(L481,Foundation_Calc!$V$41:$X$74,VLOOKUP(AX481,Foundation_Calc!$I$10:$J$13,2,FALSE),0),"")))</f>
        <v/>
      </c>
      <c r="N481" s="8"/>
      <c r="O481" s="8"/>
      <c r="P481" s="8"/>
      <c r="Q481" s="14"/>
      <c r="R481" s="15"/>
      <c r="S481" s="15"/>
      <c r="T481" s="14"/>
      <c r="U481" s="14"/>
      <c r="V481" s="14"/>
      <c r="W481" s="18"/>
      <c r="X481" s="18"/>
      <c r="Y481" s="18"/>
      <c r="Z481" s="18"/>
      <c r="AA481" s="18"/>
      <c r="AB481" s="18"/>
      <c r="AC481" s="8" t="str">
        <f t="shared" si="66"/>
        <v/>
      </c>
      <c r="AD481" s="8"/>
      <c r="AE481" s="8"/>
      <c r="AF481" s="14"/>
      <c r="AG481" s="13"/>
      <c r="AH481" s="14"/>
      <c r="AI481" s="14"/>
      <c r="AJ481" s="8"/>
      <c r="AK481" s="8"/>
      <c r="AL481" s="8"/>
      <c r="AM481" s="8"/>
      <c r="AN481" s="631"/>
      <c r="AO481" s="18"/>
      <c r="AP481" s="18"/>
      <c r="AQ481" s="18"/>
      <c r="AR481" s="18"/>
      <c r="AS481" s="18"/>
      <c r="AU481" s="448"/>
      <c r="AV481" s="448"/>
      <c r="AW481" s="8" t="str">
        <f>IF(C481&gt;0,VLOOKUP(C481,Foundation_Calc!$A$2:$C$986,3,1),
IF(J481&gt;0,VLOOKUP(J481,Foundation_Calc!$A$2:$C$986,3,1),""))</f>
        <v/>
      </c>
      <c r="AX481" s="8" t="str">
        <f>IF(C481&gt;0,VLOOKUP(C481,Foundation_Calc!$E$2:$G$986,3,1),
IF(J481&gt;0,VLOOKUP(J481,Foundation_Calc!$E$2:$G$986,3,1),""))</f>
        <v/>
      </c>
      <c r="AY481" s="631" t="str">
        <f>IF(L481="","",
IF(AX481="PT",VLOOKUP(L481,Foundation_Calc!$K$4:$R$37,VLOOKUP(AW481,Foundation_Calc!$I$2:$J$8,2,FALSE),0),
IF(AX481="K",VLOOKUP(L481,Foundation_Calc!$K$41:$R$74,VLOOKUP(AW481,Foundation_Calc!$I$2:$J$8,2,FALSE),0),"")))</f>
        <v/>
      </c>
      <c r="AZ481" s="631" t="str">
        <f>IF(K481="","",
IF(AX481="PT",VLOOKUP(K481,Foundation_Calc!$K$4:$R$37,VLOOKUP(AW481,Foundation_Calc!$I$2:$J$8,2,FALSE),0),
IF(AX481="K",VLOOKUP(K481,Foundation_Calc!$K$41:$R$74,VLOOKUP(AW481,Foundation_Calc!$I$2:$J$8,2,FALSE),0),"")))</f>
        <v/>
      </c>
      <c r="BA481" s="632" t="str">
        <f t="shared" si="67"/>
        <v/>
      </c>
      <c r="BB481" s="632" t="str">
        <f t="shared" si="68"/>
        <v/>
      </c>
      <c r="BC481" s="632" t="str">
        <f t="shared" si="69"/>
        <v/>
      </c>
      <c r="BD481" s="633" t="str">
        <f>IF(AND(L481="",H481=""),"",
IF(H481="",Pole_Calc!A509,
IF(H481="MP",Pole_Calc!A510,
IF(H481="AnMP",Pole_Calc!A511,
IF(H481="A",Pole_Calc!A512,
IF(H481="S/A",Pole_Calc!A513,
IF(H481="A/S",Pole_Calc!A514,"Poner a mano")))))))</f>
        <v/>
      </c>
      <c r="BE481" s="448" t="s">
        <v>1726</v>
      </c>
      <c r="BF481" s="635"/>
      <c r="BG481" s="635"/>
      <c r="BH481" s="634"/>
      <c r="BI481" s="635"/>
    </row>
    <row r="482" spans="1:61" ht="16.2" customHeight="1">
      <c r="A482" s="12"/>
      <c r="B482" s="446"/>
      <c r="C482" s="89"/>
      <c r="D482" s="13"/>
      <c r="E482" s="14"/>
      <c r="F482" s="14"/>
      <c r="G482" s="15"/>
      <c r="H482" s="8"/>
      <c r="I482" s="8"/>
      <c r="J482" s="89"/>
      <c r="K482" s="8"/>
      <c r="L482" s="8"/>
      <c r="M482" s="8" t="str">
        <f>IF(L482="","",
IF(AX482="PT",VLOOKUP(L482,Foundation_Calc!$V$4:$X$37,VLOOKUP(AX482,Foundation_Calc!$I$10:$J$13,2,FALSE),0),
IF(AX482="K",VLOOKUP(L482,Foundation_Calc!$V$41:$X$74,VLOOKUP(AX482,Foundation_Calc!$I$10:$J$13,2,FALSE),0),"")))</f>
        <v/>
      </c>
      <c r="N482" s="8"/>
      <c r="O482" s="8"/>
      <c r="P482" s="8"/>
      <c r="Q482" s="14"/>
      <c r="R482" s="15"/>
      <c r="S482" s="15"/>
      <c r="T482" s="14"/>
      <c r="U482" s="14"/>
      <c r="V482" s="14"/>
      <c r="W482" s="18"/>
      <c r="X482" s="18"/>
      <c r="Y482" s="18"/>
      <c r="Z482" s="18"/>
      <c r="AA482" s="18"/>
      <c r="AB482" s="18"/>
      <c r="AC482" s="8" t="str">
        <f t="shared" si="66"/>
        <v/>
      </c>
      <c r="AD482" s="8"/>
      <c r="AE482" s="8"/>
      <c r="AF482" s="14"/>
      <c r="AG482" s="13"/>
      <c r="AH482" s="14"/>
      <c r="AI482" s="14"/>
      <c r="AJ482" s="8"/>
      <c r="AK482" s="8"/>
      <c r="AL482" s="8"/>
      <c r="AM482" s="8"/>
      <c r="AN482" s="631"/>
      <c r="AO482" s="18"/>
      <c r="AP482" s="18"/>
      <c r="AQ482" s="18"/>
      <c r="AR482" s="18"/>
      <c r="AS482" s="18"/>
      <c r="AU482" s="448"/>
      <c r="AV482" s="448"/>
      <c r="AW482" s="8" t="str">
        <f>IF(C482&gt;0,VLOOKUP(C482,Foundation_Calc!$A$2:$C$986,3,1),
IF(J482&gt;0,VLOOKUP(J482,Foundation_Calc!$A$2:$C$986,3,1),""))</f>
        <v/>
      </c>
      <c r="AX482" s="8" t="str">
        <f>IF(C482&gt;0,VLOOKUP(C482,Foundation_Calc!$E$2:$G$986,3,1),
IF(J482&gt;0,VLOOKUP(J482,Foundation_Calc!$E$2:$G$986,3,1),""))</f>
        <v/>
      </c>
      <c r="AY482" s="631" t="str">
        <f>IF(L482="","",
IF(AX482="PT",VLOOKUP(L482,Foundation_Calc!$K$4:$R$37,VLOOKUP(AW482,Foundation_Calc!$I$2:$J$8,2,FALSE),0),
IF(AX482="K",VLOOKUP(L482,Foundation_Calc!$K$41:$R$74,VLOOKUP(AW482,Foundation_Calc!$I$2:$J$8,2,FALSE),0),"")))</f>
        <v/>
      </c>
      <c r="AZ482" s="631" t="str">
        <f>IF(K482="","",
IF(AX482="PT",VLOOKUP(K482,Foundation_Calc!$K$4:$R$37,VLOOKUP(AW482,Foundation_Calc!$I$2:$J$8,2,FALSE),0),
IF(AX482="K",VLOOKUP(K482,Foundation_Calc!$K$41:$R$74,VLOOKUP(AW482,Foundation_Calc!$I$2:$J$8,2,FALSE),0),"")))</f>
        <v/>
      </c>
      <c r="BA482" s="632" t="str">
        <f t="shared" si="67"/>
        <v/>
      </c>
      <c r="BB482" s="632" t="str">
        <f t="shared" si="68"/>
        <v/>
      </c>
      <c r="BC482" s="632" t="str">
        <f t="shared" si="69"/>
        <v/>
      </c>
      <c r="BD482" s="633" t="str">
        <f>IF(AND(L482="",H482=""),"",
IF(H482="",Pole_Calc!A510,
IF(H482="MP",Pole_Calc!A511,
IF(H482="AnMP",Pole_Calc!A512,
IF(H482="A",Pole_Calc!A513,
IF(H482="S/A",Pole_Calc!A514,
IF(H482="A/S",Pole_Calc!A515,"Poner a mano")))))))</f>
        <v/>
      </c>
      <c r="BE482" s="448" t="s">
        <v>1726</v>
      </c>
      <c r="BF482" s="634"/>
      <c r="BG482" s="634"/>
      <c r="BH482" s="634"/>
      <c r="BI482" s="634"/>
    </row>
    <row r="483" spans="1:61" ht="16.2" customHeight="1">
      <c r="A483" s="12"/>
      <c r="B483" s="446"/>
      <c r="C483" s="89"/>
      <c r="D483" s="13"/>
      <c r="E483" s="14"/>
      <c r="F483" s="14"/>
      <c r="G483" s="15"/>
      <c r="H483" s="8"/>
      <c r="I483" s="8"/>
      <c r="J483" s="89"/>
      <c r="K483" s="8"/>
      <c r="L483" s="8"/>
      <c r="M483" s="8" t="str">
        <f>IF(L483="","",
IF(AX483="PT",VLOOKUP(L483,Foundation_Calc!$V$4:$X$37,VLOOKUP(AX483,Foundation_Calc!$I$10:$J$13,2,FALSE),0),
IF(AX483="K",VLOOKUP(L483,Foundation_Calc!$V$41:$X$74,VLOOKUP(AX483,Foundation_Calc!$I$10:$J$13,2,FALSE),0),"")))</f>
        <v/>
      </c>
      <c r="N483" s="8"/>
      <c r="O483" s="8"/>
      <c r="P483" s="8"/>
      <c r="Q483" s="14"/>
      <c r="R483" s="15"/>
      <c r="S483" s="15"/>
      <c r="T483" s="14"/>
      <c r="U483" s="14"/>
      <c r="V483" s="14"/>
      <c r="W483" s="18"/>
      <c r="X483" s="18"/>
      <c r="Y483" s="18"/>
      <c r="Z483" s="18"/>
      <c r="AA483" s="18"/>
      <c r="AB483" s="18"/>
      <c r="AC483" s="8" t="str">
        <f t="shared" si="66"/>
        <v/>
      </c>
      <c r="AD483" s="8"/>
      <c r="AE483" s="8"/>
      <c r="AF483" s="14"/>
      <c r="AG483" s="13"/>
      <c r="AH483" s="14"/>
      <c r="AI483" s="14"/>
      <c r="AJ483" s="8"/>
      <c r="AK483" s="8"/>
      <c r="AL483" s="8"/>
      <c r="AM483" s="8"/>
      <c r="AN483" s="631"/>
      <c r="AO483" s="18"/>
      <c r="AP483" s="18"/>
      <c r="AQ483" s="18"/>
      <c r="AR483" s="18"/>
      <c r="AS483" s="18"/>
      <c r="AU483" s="448"/>
      <c r="AV483" s="448"/>
      <c r="AW483" s="8" t="str">
        <f>IF(C483&gt;0,VLOOKUP(C483,Foundation_Calc!$A$2:$C$986,3,1),
IF(J483&gt;0,VLOOKUP(J483,Foundation_Calc!$A$2:$C$986,3,1),""))</f>
        <v/>
      </c>
      <c r="AX483" s="8" t="str">
        <f>IF(C483&gt;0,VLOOKUP(C483,Foundation_Calc!$E$2:$G$986,3,1),
IF(J483&gt;0,VLOOKUP(J483,Foundation_Calc!$E$2:$G$986,3,1),""))</f>
        <v/>
      </c>
      <c r="AY483" s="631" t="str">
        <f>IF(L483="","",
IF(AX483="PT",VLOOKUP(L483,Foundation_Calc!$K$4:$R$37,VLOOKUP(AW483,Foundation_Calc!$I$2:$J$8,2,FALSE),0),
IF(AX483="K",VLOOKUP(L483,Foundation_Calc!$K$41:$R$74,VLOOKUP(AW483,Foundation_Calc!$I$2:$J$8,2,FALSE),0),"")))</f>
        <v/>
      </c>
      <c r="AZ483" s="631" t="str">
        <f>IF(K483="","",
IF(AX483="PT",VLOOKUP(K483,Foundation_Calc!$K$4:$R$37,VLOOKUP(AW483,Foundation_Calc!$I$2:$J$8,2,FALSE),0),
IF(AX483="K",VLOOKUP(K483,Foundation_Calc!$K$41:$R$74,VLOOKUP(AW483,Foundation_Calc!$I$2:$J$8,2,FALSE),0),"")))</f>
        <v/>
      </c>
      <c r="BA483" s="632" t="str">
        <f t="shared" si="67"/>
        <v/>
      </c>
      <c r="BB483" s="632" t="str">
        <f t="shared" si="68"/>
        <v/>
      </c>
      <c r="BC483" s="632" t="str">
        <f t="shared" si="69"/>
        <v/>
      </c>
      <c r="BD483" s="633" t="str">
        <f>IF(AND(L483="",H483=""),"",
IF(H483="",Pole_Calc!A511,
IF(H483="MP",Pole_Calc!A512,
IF(H483="AnMP",Pole_Calc!A513,
IF(H483="A",Pole_Calc!A514,
IF(H483="S/A",Pole_Calc!A515,
IF(H483="A/S",Pole_Calc!A516,"Poner a mano")))))))</f>
        <v/>
      </c>
      <c r="BE483" s="448" t="s">
        <v>1726</v>
      </c>
      <c r="BF483" s="635"/>
      <c r="BG483" s="635"/>
      <c r="BH483" s="634"/>
      <c r="BI483" s="635"/>
    </row>
    <row r="484" spans="1:61" ht="16.2" customHeight="1">
      <c r="A484" s="12"/>
      <c r="B484" s="446"/>
      <c r="C484" s="89"/>
      <c r="D484" s="13"/>
      <c r="E484" s="14"/>
      <c r="F484" s="14"/>
      <c r="G484" s="15"/>
      <c r="H484" s="8"/>
      <c r="I484" s="8"/>
      <c r="J484" s="89"/>
      <c r="K484" s="8"/>
      <c r="L484" s="8"/>
      <c r="M484" s="8" t="str">
        <f>IF(L484="","",
IF(AX484="PT",VLOOKUP(L484,Foundation_Calc!$V$4:$X$37,VLOOKUP(AX484,Foundation_Calc!$I$10:$J$13,2,FALSE),0),
IF(AX484="K",VLOOKUP(L484,Foundation_Calc!$V$41:$X$74,VLOOKUP(AX484,Foundation_Calc!$I$10:$J$13,2,FALSE),0),"")))</f>
        <v/>
      </c>
      <c r="N484" s="8"/>
      <c r="O484" s="8"/>
      <c r="P484" s="8"/>
      <c r="Q484" s="14"/>
      <c r="R484" s="15"/>
      <c r="S484" s="15"/>
      <c r="T484" s="14"/>
      <c r="U484" s="14"/>
      <c r="V484" s="14"/>
      <c r="W484" s="18"/>
      <c r="X484" s="18"/>
      <c r="Y484" s="18"/>
      <c r="Z484" s="18"/>
      <c r="AA484" s="18"/>
      <c r="AB484" s="18"/>
      <c r="AC484" s="8" t="str">
        <f t="shared" si="66"/>
        <v/>
      </c>
      <c r="AD484" s="8"/>
      <c r="AE484" s="8"/>
      <c r="AF484" s="14"/>
      <c r="AG484" s="13"/>
      <c r="AH484" s="14"/>
      <c r="AI484" s="14"/>
      <c r="AJ484" s="8"/>
      <c r="AK484" s="8"/>
      <c r="AL484" s="8"/>
      <c r="AM484" s="8"/>
      <c r="AN484" s="631"/>
      <c r="AO484" s="18"/>
      <c r="AP484" s="18"/>
      <c r="AQ484" s="18"/>
      <c r="AR484" s="18"/>
      <c r="AS484" s="18"/>
      <c r="AU484" s="448"/>
      <c r="AV484" s="448"/>
      <c r="AW484" s="8" t="str">
        <f>IF(C484&gt;0,VLOOKUP(C484,Foundation_Calc!$A$2:$C$986,3,1),
IF(J484&gt;0,VLOOKUP(J484,Foundation_Calc!$A$2:$C$986,3,1),""))</f>
        <v/>
      </c>
      <c r="AX484" s="8" t="str">
        <f>IF(C484&gt;0,VLOOKUP(C484,Foundation_Calc!$E$2:$G$986,3,1),
IF(J484&gt;0,VLOOKUP(J484,Foundation_Calc!$E$2:$G$986,3,1),""))</f>
        <v/>
      </c>
      <c r="AY484" s="631" t="str">
        <f>IF(L484="","",
IF(AX484="PT",VLOOKUP(L484,Foundation_Calc!$K$4:$R$37,VLOOKUP(AW484,Foundation_Calc!$I$2:$J$8,2,FALSE),0),
IF(AX484="K",VLOOKUP(L484,Foundation_Calc!$K$41:$R$74,VLOOKUP(AW484,Foundation_Calc!$I$2:$J$8,2,FALSE),0),"")))</f>
        <v/>
      </c>
      <c r="AZ484" s="631" t="str">
        <f>IF(K484="","",
IF(AX484="PT",VLOOKUP(K484,Foundation_Calc!$K$4:$R$37,VLOOKUP(AW484,Foundation_Calc!$I$2:$J$8,2,FALSE),0),
IF(AX484="K",VLOOKUP(K484,Foundation_Calc!$K$41:$R$74,VLOOKUP(AW484,Foundation_Calc!$I$2:$J$8,2,FALSE),0),"")))</f>
        <v/>
      </c>
      <c r="BA484" s="632" t="str">
        <f t="shared" si="67"/>
        <v/>
      </c>
      <c r="BB484" s="632" t="str">
        <f t="shared" si="68"/>
        <v/>
      </c>
      <c r="BC484" s="632" t="str">
        <f t="shared" si="69"/>
        <v/>
      </c>
      <c r="BD484" s="633" t="str">
        <f>IF(AND(L484="",H484=""),"",
IF(H484="",Pole_Calc!A512,
IF(H484="MP",Pole_Calc!A513,
IF(H484="AnMP",Pole_Calc!A514,
IF(H484="A",Pole_Calc!A515,
IF(H484="S/A",Pole_Calc!A516,
IF(H484="A/S",Pole_Calc!A517,"Poner a mano")))))))</f>
        <v/>
      </c>
      <c r="BE484" s="448" t="s">
        <v>1726</v>
      </c>
      <c r="BF484" s="634"/>
      <c r="BG484" s="634"/>
      <c r="BH484" s="634"/>
      <c r="BI484" s="634"/>
    </row>
    <row r="485" spans="1:61" ht="16.2" customHeight="1">
      <c r="A485" s="12"/>
      <c r="B485" s="446"/>
      <c r="C485" s="89"/>
      <c r="D485" s="13"/>
      <c r="E485" s="14"/>
      <c r="F485" s="14"/>
      <c r="G485" s="15"/>
      <c r="H485" s="8"/>
      <c r="I485" s="8"/>
      <c r="J485" s="89"/>
      <c r="K485" s="8"/>
      <c r="L485" s="8"/>
      <c r="M485" s="8" t="str">
        <f>IF(L485="","",
IF(AX485="PT",VLOOKUP(L485,Foundation_Calc!$V$4:$X$37,VLOOKUP(AX485,Foundation_Calc!$I$10:$J$13,2,FALSE),0),
IF(AX485="K",VLOOKUP(L485,Foundation_Calc!$V$41:$X$74,VLOOKUP(AX485,Foundation_Calc!$I$10:$J$13,2,FALSE),0),"")))</f>
        <v/>
      </c>
      <c r="N485" s="8"/>
      <c r="O485" s="8"/>
      <c r="P485" s="8"/>
      <c r="Q485" s="14"/>
      <c r="R485" s="15"/>
      <c r="S485" s="15"/>
      <c r="T485" s="14"/>
      <c r="U485" s="14"/>
      <c r="V485" s="14"/>
      <c r="W485" s="18"/>
      <c r="X485" s="18"/>
      <c r="Y485" s="18"/>
      <c r="Z485" s="18"/>
      <c r="AA485" s="18"/>
      <c r="AB485" s="18"/>
      <c r="AC485" s="8" t="str">
        <f t="shared" si="66"/>
        <v/>
      </c>
      <c r="AD485" s="8"/>
      <c r="AE485" s="8"/>
      <c r="AF485" s="14"/>
      <c r="AG485" s="13"/>
      <c r="AH485" s="14"/>
      <c r="AI485" s="14"/>
      <c r="AJ485" s="8"/>
      <c r="AK485" s="8"/>
      <c r="AL485" s="8"/>
      <c r="AM485" s="8"/>
      <c r="AN485" s="631"/>
      <c r="AO485" s="18"/>
      <c r="AP485" s="18"/>
      <c r="AQ485" s="18"/>
      <c r="AR485" s="18"/>
      <c r="AS485" s="18"/>
      <c r="AU485" s="448"/>
      <c r="AV485" s="448"/>
      <c r="AW485" s="8" t="str">
        <f>IF(C485&gt;0,VLOOKUP(C485,Foundation_Calc!$A$2:$C$986,3,1),
IF(J485&gt;0,VLOOKUP(J485,Foundation_Calc!$A$2:$C$986,3,1),""))</f>
        <v/>
      </c>
      <c r="AX485" s="8" t="str">
        <f>IF(C485&gt;0,VLOOKUP(C485,Foundation_Calc!$E$2:$G$986,3,1),
IF(J485&gt;0,VLOOKUP(J485,Foundation_Calc!$E$2:$G$986,3,1),""))</f>
        <v/>
      </c>
      <c r="AY485" s="631" t="str">
        <f>IF(L485="","",
IF(AX485="PT",VLOOKUP(L485,Foundation_Calc!$K$4:$R$37,VLOOKUP(AW485,Foundation_Calc!$I$2:$J$8,2,FALSE),0),
IF(AX485="K",VLOOKUP(L485,Foundation_Calc!$K$41:$R$74,VLOOKUP(AW485,Foundation_Calc!$I$2:$J$8,2,FALSE),0),"")))</f>
        <v/>
      </c>
      <c r="AZ485" s="631" t="str">
        <f>IF(K485="","",
IF(AX485="PT",VLOOKUP(K485,Foundation_Calc!$K$4:$R$37,VLOOKUP(AW485,Foundation_Calc!$I$2:$J$8,2,FALSE),0),
IF(AX485="K",VLOOKUP(K485,Foundation_Calc!$K$41:$R$74,VLOOKUP(AW485,Foundation_Calc!$I$2:$J$8,2,FALSE),0),"")))</f>
        <v/>
      </c>
      <c r="BA485" s="632" t="str">
        <f t="shared" si="67"/>
        <v/>
      </c>
      <c r="BB485" s="632" t="str">
        <f t="shared" si="68"/>
        <v/>
      </c>
      <c r="BC485" s="632" t="str">
        <f t="shared" si="69"/>
        <v/>
      </c>
      <c r="BD485" s="633" t="str">
        <f>IF(AND(L485="",H485=""),"",
IF(H485="",Pole_Calc!A513,
IF(H485="MP",Pole_Calc!A514,
IF(H485="AnMP",Pole_Calc!A515,
IF(H485="A",Pole_Calc!A516,
IF(H485="S/A",Pole_Calc!A517,
IF(H485="A/S",Pole_Calc!A518,"Poner a mano")))))))</f>
        <v/>
      </c>
      <c r="BE485" s="448" t="s">
        <v>1726</v>
      </c>
      <c r="BF485" s="635"/>
      <c r="BG485" s="635"/>
      <c r="BH485" s="634"/>
      <c r="BI485" s="635"/>
    </row>
    <row r="486" spans="1:61" ht="16.2" customHeight="1">
      <c r="A486" s="12"/>
      <c r="B486" s="446"/>
      <c r="C486" s="89"/>
      <c r="D486" s="13"/>
      <c r="E486" s="14"/>
      <c r="F486" s="14"/>
      <c r="G486" s="15"/>
      <c r="H486" s="8"/>
      <c r="I486" s="8"/>
      <c r="J486" s="89"/>
      <c r="K486" s="8"/>
      <c r="L486" s="8"/>
      <c r="M486" s="8" t="str">
        <f>IF(L486="","",
IF(AX486="PT",VLOOKUP(L486,Foundation_Calc!$V$4:$X$37,VLOOKUP(AX486,Foundation_Calc!$I$10:$J$13,2,FALSE),0),
IF(AX486="K",VLOOKUP(L486,Foundation_Calc!$V$41:$X$74,VLOOKUP(AX486,Foundation_Calc!$I$10:$J$13,2,FALSE),0),"")))</f>
        <v/>
      </c>
      <c r="N486" s="8"/>
      <c r="O486" s="8"/>
      <c r="P486" s="8"/>
      <c r="Q486" s="14"/>
      <c r="R486" s="15"/>
      <c r="S486" s="15"/>
      <c r="T486" s="14"/>
      <c r="U486" s="14"/>
      <c r="V486" s="14"/>
      <c r="W486" s="18"/>
      <c r="X486" s="18"/>
      <c r="Y486" s="18"/>
      <c r="Z486" s="18"/>
      <c r="AA486" s="18"/>
      <c r="AB486" s="18"/>
      <c r="AC486" s="8" t="str">
        <f t="shared" si="66"/>
        <v/>
      </c>
      <c r="AD486" s="8"/>
      <c r="AE486" s="8"/>
      <c r="AF486" s="14"/>
      <c r="AG486" s="13"/>
      <c r="AH486" s="14"/>
      <c r="AI486" s="14"/>
      <c r="AJ486" s="8"/>
      <c r="AK486" s="8"/>
      <c r="AL486" s="8"/>
      <c r="AM486" s="8"/>
      <c r="AN486" s="631"/>
      <c r="AO486" s="18"/>
      <c r="AP486" s="18"/>
      <c r="AQ486" s="18"/>
      <c r="AR486" s="18"/>
      <c r="AS486" s="18"/>
      <c r="AU486" s="448"/>
      <c r="AV486" s="448"/>
      <c r="AW486" s="8" t="str">
        <f>IF(C486&gt;0,VLOOKUP(C486,Foundation_Calc!$A$2:$C$986,3,1),
IF(J486&gt;0,VLOOKUP(J486,Foundation_Calc!$A$2:$C$986,3,1),""))</f>
        <v/>
      </c>
      <c r="AX486" s="8" t="str">
        <f>IF(C486&gt;0,VLOOKUP(C486,Foundation_Calc!$E$2:$G$986,3,1),
IF(J486&gt;0,VLOOKUP(J486,Foundation_Calc!$E$2:$G$986,3,1),""))</f>
        <v/>
      </c>
      <c r="AY486" s="631" t="str">
        <f>IF(L486="","",
IF(AX486="PT",VLOOKUP(L486,Foundation_Calc!$K$4:$R$37,VLOOKUP(AW486,Foundation_Calc!$I$2:$J$8,2,FALSE),0),
IF(AX486="K",VLOOKUP(L486,Foundation_Calc!$K$41:$R$74,VLOOKUP(AW486,Foundation_Calc!$I$2:$J$8,2,FALSE),0),"")))</f>
        <v/>
      </c>
      <c r="AZ486" s="631" t="str">
        <f>IF(K486="","",
IF(AX486="PT",VLOOKUP(K486,Foundation_Calc!$K$4:$R$37,VLOOKUP(AW486,Foundation_Calc!$I$2:$J$8,2,FALSE),0),
IF(AX486="K",VLOOKUP(K486,Foundation_Calc!$K$41:$R$74,VLOOKUP(AW486,Foundation_Calc!$I$2:$J$8,2,FALSE),0),"")))</f>
        <v/>
      </c>
      <c r="BA486" s="632" t="str">
        <f t="shared" si="67"/>
        <v/>
      </c>
      <c r="BB486" s="632" t="str">
        <f t="shared" si="68"/>
        <v/>
      </c>
      <c r="BC486" s="632" t="str">
        <f t="shared" si="69"/>
        <v/>
      </c>
      <c r="BD486" s="633" t="str">
        <f>IF(AND(L486="",H486=""),"",
IF(H486="",Pole_Calc!A514,
IF(H486="MP",Pole_Calc!A515,
IF(H486="AnMP",Pole_Calc!A516,
IF(H486="A",Pole_Calc!A517,
IF(H486="S/A",Pole_Calc!A518,
IF(H486="A/S",Pole_Calc!A519,"Poner a mano")))))))</f>
        <v/>
      </c>
      <c r="BE486" s="448" t="s">
        <v>1726</v>
      </c>
      <c r="BF486" s="634"/>
      <c r="BG486" s="634"/>
      <c r="BH486" s="634"/>
      <c r="BI486" s="634"/>
    </row>
    <row r="487" spans="1:61" ht="16.2" customHeight="1">
      <c r="A487" s="12"/>
      <c r="B487" s="446"/>
      <c r="C487" s="89"/>
      <c r="D487" s="13"/>
      <c r="E487" s="14"/>
      <c r="F487" s="14"/>
      <c r="G487" s="15"/>
      <c r="H487" s="8"/>
      <c r="I487" s="8"/>
      <c r="J487" s="89"/>
      <c r="K487" s="8"/>
      <c r="L487" s="8"/>
      <c r="M487" s="8" t="str">
        <f>IF(L487="","",
IF(AX487="PT",VLOOKUP(L487,Foundation_Calc!$V$4:$X$37,VLOOKUP(AX487,Foundation_Calc!$I$10:$J$13,2,FALSE),0),
IF(AX487="K",VLOOKUP(L487,Foundation_Calc!$V$41:$X$74,VLOOKUP(AX487,Foundation_Calc!$I$10:$J$13,2,FALSE),0),"")))</f>
        <v/>
      </c>
      <c r="N487" s="8"/>
      <c r="O487" s="8"/>
      <c r="P487" s="8"/>
      <c r="Q487" s="14"/>
      <c r="R487" s="15"/>
      <c r="S487" s="15"/>
      <c r="T487" s="14"/>
      <c r="U487" s="14"/>
      <c r="V487" s="14"/>
      <c r="W487" s="18"/>
      <c r="X487" s="18"/>
      <c r="Y487" s="18"/>
      <c r="Z487" s="18"/>
      <c r="AA487" s="18"/>
      <c r="AB487" s="18"/>
      <c r="AC487" s="8" t="str">
        <f t="shared" si="66"/>
        <v/>
      </c>
      <c r="AD487" s="8"/>
      <c r="AE487" s="8"/>
      <c r="AF487" s="14"/>
      <c r="AG487" s="13"/>
      <c r="AH487" s="14"/>
      <c r="AI487" s="14"/>
      <c r="AJ487" s="8"/>
      <c r="AK487" s="8"/>
      <c r="AL487" s="8"/>
      <c r="AM487" s="8"/>
      <c r="AN487" s="631"/>
      <c r="AO487" s="18"/>
      <c r="AP487" s="18"/>
      <c r="AQ487" s="18"/>
      <c r="AR487" s="18"/>
      <c r="AS487" s="18"/>
      <c r="AU487" s="448"/>
      <c r="AV487" s="448"/>
      <c r="AW487" s="8" t="str">
        <f>IF(C487&gt;0,VLOOKUP(C487,Foundation_Calc!$A$2:$C$986,3,1),
IF(J487&gt;0,VLOOKUP(J487,Foundation_Calc!$A$2:$C$986,3,1),""))</f>
        <v/>
      </c>
      <c r="AX487" s="8" t="str">
        <f>IF(C487&gt;0,VLOOKUP(C487,Foundation_Calc!$E$2:$G$986,3,1),
IF(J487&gt;0,VLOOKUP(J487,Foundation_Calc!$E$2:$G$986,3,1),""))</f>
        <v/>
      </c>
      <c r="AY487" s="631" t="str">
        <f>IF(L487="","",
IF(AX487="PT",VLOOKUP(L487,Foundation_Calc!$K$4:$R$37,VLOOKUP(AW487,Foundation_Calc!$I$2:$J$8,2,FALSE),0),
IF(AX487="K",VLOOKUP(L487,Foundation_Calc!$K$41:$R$74,VLOOKUP(AW487,Foundation_Calc!$I$2:$J$8,2,FALSE),0),"")))</f>
        <v/>
      </c>
      <c r="AZ487" s="631" t="str">
        <f>IF(K487="","",
IF(AX487="PT",VLOOKUP(K487,Foundation_Calc!$K$4:$R$37,VLOOKUP(AW487,Foundation_Calc!$I$2:$J$8,2,FALSE),0),
IF(AX487="K",VLOOKUP(K487,Foundation_Calc!$K$41:$R$74,VLOOKUP(AW487,Foundation_Calc!$I$2:$J$8,2,FALSE),0),"")))</f>
        <v/>
      </c>
      <c r="BA487" s="632" t="str">
        <f t="shared" si="67"/>
        <v/>
      </c>
      <c r="BB487" s="632" t="str">
        <f t="shared" si="68"/>
        <v/>
      </c>
      <c r="BC487" s="632" t="str">
        <f t="shared" si="69"/>
        <v/>
      </c>
      <c r="BD487" s="633" t="str">
        <f>IF(AND(L487="",H487=""),"",
IF(H487="",Pole_Calc!A515,
IF(H487="MP",Pole_Calc!A516,
IF(H487="AnMP",Pole_Calc!A517,
IF(H487="A",Pole_Calc!A518,
IF(H487="S/A",Pole_Calc!A519,
IF(H487="A/S",Pole_Calc!A520,"Poner a mano")))))))</f>
        <v/>
      </c>
      <c r="BE487" s="448" t="s">
        <v>1726</v>
      </c>
      <c r="BF487" s="635"/>
      <c r="BG487" s="635"/>
      <c r="BH487" s="634"/>
      <c r="BI487" s="635"/>
    </row>
    <row r="488" spans="1:61" ht="16.2" customHeight="1">
      <c r="A488" s="12"/>
      <c r="B488" s="446"/>
      <c r="C488" s="89"/>
      <c r="D488" s="13"/>
      <c r="E488" s="14"/>
      <c r="F488" s="14"/>
      <c r="G488" s="15"/>
      <c r="H488" s="8"/>
      <c r="I488" s="8"/>
      <c r="J488" s="89"/>
      <c r="K488" s="8"/>
      <c r="L488" s="8"/>
      <c r="M488" s="8" t="str">
        <f>IF(L488="","",
IF(AX488="PT",VLOOKUP(L488,Foundation_Calc!$V$4:$X$37,VLOOKUP(AX488,Foundation_Calc!$I$10:$J$13,2,FALSE),0),
IF(AX488="K",VLOOKUP(L488,Foundation_Calc!$V$41:$X$74,VLOOKUP(AX488,Foundation_Calc!$I$10:$J$13,2,FALSE),0),"")))</f>
        <v/>
      </c>
      <c r="N488" s="8"/>
      <c r="O488" s="8"/>
      <c r="P488" s="8"/>
      <c r="Q488" s="14"/>
      <c r="R488" s="15"/>
      <c r="S488" s="15"/>
      <c r="T488" s="14"/>
      <c r="U488" s="14"/>
      <c r="V488" s="14"/>
      <c r="W488" s="18"/>
      <c r="X488" s="18"/>
      <c r="Y488" s="18"/>
      <c r="Z488" s="18"/>
      <c r="AA488" s="18"/>
      <c r="AB488" s="18"/>
      <c r="AC488" s="8" t="str">
        <f t="shared" si="66"/>
        <v/>
      </c>
      <c r="AD488" s="8"/>
      <c r="AE488" s="8"/>
      <c r="AF488" s="14"/>
      <c r="AG488" s="13"/>
      <c r="AH488" s="14"/>
      <c r="AI488" s="14"/>
      <c r="AJ488" s="8"/>
      <c r="AK488" s="8"/>
      <c r="AL488" s="8"/>
      <c r="AM488" s="8"/>
      <c r="AN488" s="631"/>
      <c r="AO488" s="18"/>
      <c r="AP488" s="18"/>
      <c r="AQ488" s="18"/>
      <c r="AR488" s="18"/>
      <c r="AS488" s="18"/>
      <c r="AU488" s="448"/>
      <c r="AV488" s="448"/>
      <c r="AW488" s="8" t="str">
        <f>IF(C488&gt;0,VLOOKUP(C488,Foundation_Calc!$A$2:$C$986,3,1),
IF(J488&gt;0,VLOOKUP(J488,Foundation_Calc!$A$2:$C$986,3,1),""))</f>
        <v/>
      </c>
      <c r="AX488" s="8" t="str">
        <f>IF(C488&gt;0,VLOOKUP(C488,Foundation_Calc!$E$2:$G$986,3,1),
IF(J488&gt;0,VLOOKUP(J488,Foundation_Calc!$E$2:$G$986,3,1),""))</f>
        <v/>
      </c>
      <c r="AY488" s="631" t="str">
        <f>IF(L488="","",
IF(AX488="PT",VLOOKUP(L488,Foundation_Calc!$K$4:$R$37,VLOOKUP(AW488,Foundation_Calc!$I$2:$J$8,2,FALSE),0),
IF(AX488="K",VLOOKUP(L488,Foundation_Calc!$K$41:$R$74,VLOOKUP(AW488,Foundation_Calc!$I$2:$J$8,2,FALSE),0),"")))</f>
        <v/>
      </c>
      <c r="AZ488" s="631" t="str">
        <f>IF(K488="","",
IF(AX488="PT",VLOOKUP(K488,Foundation_Calc!$K$4:$R$37,VLOOKUP(AW488,Foundation_Calc!$I$2:$J$8,2,FALSE),0),
IF(AX488="K",VLOOKUP(K488,Foundation_Calc!$K$41:$R$74,VLOOKUP(AW488,Foundation_Calc!$I$2:$J$8,2,FALSE),0),"")))</f>
        <v/>
      </c>
      <c r="BA488" s="632" t="str">
        <f t="shared" si="67"/>
        <v/>
      </c>
      <c r="BB488" s="632" t="str">
        <f t="shared" si="68"/>
        <v/>
      </c>
      <c r="BC488" s="632" t="str">
        <f t="shared" si="69"/>
        <v/>
      </c>
      <c r="BD488" s="633" t="str">
        <f>IF(AND(L488="",H488=""),"",
IF(H488="",Pole_Calc!A516,
IF(H488="MP",Pole_Calc!A517,
IF(H488="AnMP",Pole_Calc!A518,
IF(H488="A",Pole_Calc!A519,
IF(H488="S/A",Pole_Calc!A520,
IF(H488="A/S",Pole_Calc!A521,"Poner a mano")))))))</f>
        <v/>
      </c>
      <c r="BE488" s="448" t="s">
        <v>1726</v>
      </c>
      <c r="BF488" s="634"/>
      <c r="BG488" s="634"/>
      <c r="BH488" s="634"/>
      <c r="BI488" s="634"/>
    </row>
    <row r="489" spans="1:61" ht="16.2" customHeight="1">
      <c r="A489" s="12"/>
      <c r="B489" s="446"/>
      <c r="C489" s="89"/>
      <c r="D489" s="13"/>
      <c r="E489" s="14"/>
      <c r="F489" s="14"/>
      <c r="G489" s="15"/>
      <c r="H489" s="8"/>
      <c r="I489" s="8"/>
      <c r="J489" s="89"/>
      <c r="K489" s="8"/>
      <c r="L489" s="8"/>
      <c r="M489" s="8" t="str">
        <f>IF(L489="","",
IF(AX489="PT",VLOOKUP(L489,Foundation_Calc!$V$4:$X$37,VLOOKUP(AX489,Foundation_Calc!$I$10:$J$13,2,FALSE),0),
IF(AX489="K",VLOOKUP(L489,Foundation_Calc!$V$41:$X$74,VLOOKUP(AX489,Foundation_Calc!$I$10:$J$13,2,FALSE),0),"")))</f>
        <v/>
      </c>
      <c r="N489" s="8"/>
      <c r="O489" s="8"/>
      <c r="P489" s="8"/>
      <c r="Q489" s="14"/>
      <c r="R489" s="15"/>
      <c r="S489" s="15"/>
      <c r="T489" s="14"/>
      <c r="U489" s="14"/>
      <c r="V489" s="14"/>
      <c r="W489" s="18"/>
      <c r="X489" s="18"/>
      <c r="Y489" s="18"/>
      <c r="Z489" s="18"/>
      <c r="AA489" s="18"/>
      <c r="AB489" s="18"/>
      <c r="AC489" s="8" t="str">
        <f t="shared" si="66"/>
        <v/>
      </c>
      <c r="AD489" s="8"/>
      <c r="AE489" s="8"/>
      <c r="AF489" s="14"/>
      <c r="AG489" s="13"/>
      <c r="AH489" s="14"/>
      <c r="AI489" s="14"/>
      <c r="AJ489" s="8"/>
      <c r="AK489" s="8"/>
      <c r="AL489" s="8"/>
      <c r="AM489" s="8"/>
      <c r="AN489" s="631"/>
      <c r="AO489" s="18"/>
      <c r="AP489" s="18"/>
      <c r="AQ489" s="18"/>
      <c r="AR489" s="18"/>
      <c r="AS489" s="18"/>
      <c r="AU489" s="448"/>
      <c r="AV489" s="448"/>
      <c r="AW489" s="8" t="str">
        <f>IF(C489&gt;0,VLOOKUP(C489,Foundation_Calc!$A$2:$C$986,3,1),
IF(J489&gt;0,VLOOKUP(J489,Foundation_Calc!$A$2:$C$986,3,1),""))</f>
        <v/>
      </c>
      <c r="AX489" s="8" t="str">
        <f>IF(C489&gt;0,VLOOKUP(C489,Foundation_Calc!$E$2:$G$986,3,1),
IF(J489&gt;0,VLOOKUP(J489,Foundation_Calc!$E$2:$G$986,3,1),""))</f>
        <v/>
      </c>
      <c r="AY489" s="631" t="str">
        <f>IF(L489="","",
IF(AX489="PT",VLOOKUP(L489,Foundation_Calc!$K$4:$R$37,VLOOKUP(AW489,Foundation_Calc!$I$2:$J$8,2,FALSE),0),
IF(AX489="K",VLOOKUP(L489,Foundation_Calc!$K$41:$R$74,VLOOKUP(AW489,Foundation_Calc!$I$2:$J$8,2,FALSE),0),"")))</f>
        <v/>
      </c>
      <c r="AZ489" s="631" t="str">
        <f>IF(K489="","",
IF(AX489="PT",VLOOKUP(K489,Foundation_Calc!$K$4:$R$37,VLOOKUP(AW489,Foundation_Calc!$I$2:$J$8,2,FALSE),0),
IF(AX489="K",VLOOKUP(K489,Foundation_Calc!$K$41:$R$74,VLOOKUP(AW489,Foundation_Calc!$I$2:$J$8,2,FALSE),0),"")))</f>
        <v/>
      </c>
      <c r="BA489" s="632" t="str">
        <f t="shared" si="67"/>
        <v/>
      </c>
      <c r="BB489" s="632" t="str">
        <f t="shared" si="68"/>
        <v/>
      </c>
      <c r="BC489" s="632" t="str">
        <f t="shared" si="69"/>
        <v/>
      </c>
      <c r="BD489" s="633" t="str">
        <f>IF(AND(L489="",H489=""),"",
IF(H489="",Pole_Calc!A517,
IF(H489="MP",Pole_Calc!A518,
IF(H489="AnMP",Pole_Calc!A519,
IF(H489="A",Pole_Calc!A520,
IF(H489="S/A",Pole_Calc!A521,
IF(H489="A/S",Pole_Calc!A522,"Poner a mano")))))))</f>
        <v/>
      </c>
      <c r="BE489" s="448" t="s">
        <v>1726</v>
      </c>
      <c r="BF489" s="635"/>
      <c r="BG489" s="635"/>
      <c r="BH489" s="634"/>
      <c r="BI489" s="635"/>
    </row>
    <row r="490" spans="1:61" ht="16.2" customHeight="1">
      <c r="A490" s="12"/>
      <c r="B490" s="446"/>
      <c r="C490" s="89"/>
      <c r="D490" s="13"/>
      <c r="E490" s="14"/>
      <c r="F490" s="14"/>
      <c r="G490" s="15"/>
      <c r="H490" s="8"/>
      <c r="I490" s="8"/>
      <c r="J490" s="89"/>
      <c r="K490" s="8"/>
      <c r="L490" s="8"/>
      <c r="M490" s="8" t="str">
        <f>IF(L490="","",
IF(AX490="PT",VLOOKUP(L490,Foundation_Calc!$V$4:$X$37,VLOOKUP(AX490,Foundation_Calc!$I$10:$J$13,2,FALSE),0),
IF(AX490="K",VLOOKUP(L490,Foundation_Calc!$V$41:$X$74,VLOOKUP(AX490,Foundation_Calc!$I$10:$J$13,2,FALSE),0),"")))</f>
        <v/>
      </c>
      <c r="N490" s="8"/>
      <c r="O490" s="8"/>
      <c r="P490" s="8"/>
      <c r="Q490" s="14"/>
      <c r="R490" s="15"/>
      <c r="S490" s="15"/>
      <c r="T490" s="14"/>
      <c r="U490" s="14"/>
      <c r="V490" s="14"/>
      <c r="W490" s="18"/>
      <c r="X490" s="18"/>
      <c r="Y490" s="18"/>
      <c r="Z490" s="18"/>
      <c r="AA490" s="18"/>
      <c r="AB490" s="18"/>
      <c r="AC490" s="8" t="str">
        <f t="shared" si="66"/>
        <v/>
      </c>
      <c r="AD490" s="8"/>
      <c r="AE490" s="8"/>
      <c r="AF490" s="14"/>
      <c r="AG490" s="13"/>
      <c r="AH490" s="14"/>
      <c r="AI490" s="14"/>
      <c r="AJ490" s="8"/>
      <c r="AK490" s="8"/>
      <c r="AL490" s="8"/>
      <c r="AM490" s="8"/>
      <c r="AN490" s="631"/>
      <c r="AO490" s="18"/>
      <c r="AP490" s="18"/>
      <c r="AQ490" s="18"/>
      <c r="AR490" s="18"/>
      <c r="AS490" s="18"/>
      <c r="AU490" s="448"/>
      <c r="AV490" s="448"/>
      <c r="AW490" s="8" t="str">
        <f>IF(C490&gt;0,VLOOKUP(C490,Foundation_Calc!$A$2:$C$986,3,1),
IF(J490&gt;0,VLOOKUP(J490,Foundation_Calc!$A$2:$C$986,3,1),""))</f>
        <v/>
      </c>
      <c r="AX490" s="8" t="str">
        <f>IF(C490&gt;0,VLOOKUP(C490,Foundation_Calc!$E$2:$G$986,3,1),
IF(J490&gt;0,VLOOKUP(J490,Foundation_Calc!$E$2:$G$986,3,1),""))</f>
        <v/>
      </c>
      <c r="AY490" s="631" t="str">
        <f>IF(L490="","",
IF(AX490="PT",VLOOKUP(L490,Foundation_Calc!$K$4:$R$37,VLOOKUP(AW490,Foundation_Calc!$I$2:$J$8,2,FALSE),0),
IF(AX490="K",VLOOKUP(L490,Foundation_Calc!$K$41:$R$74,VLOOKUP(AW490,Foundation_Calc!$I$2:$J$8,2,FALSE),0),"")))</f>
        <v/>
      </c>
      <c r="AZ490" s="631" t="str">
        <f>IF(K490="","",
IF(AX490="PT",VLOOKUP(K490,Foundation_Calc!$K$4:$R$37,VLOOKUP(AW490,Foundation_Calc!$I$2:$J$8,2,FALSE),0),
IF(AX490="K",VLOOKUP(K490,Foundation_Calc!$K$41:$R$74,VLOOKUP(AW490,Foundation_Calc!$I$2:$J$8,2,FALSE),0),"")))</f>
        <v/>
      </c>
      <c r="BA490" s="632" t="str">
        <f t="shared" si="67"/>
        <v/>
      </c>
      <c r="BB490" s="632" t="str">
        <f t="shared" si="68"/>
        <v/>
      </c>
      <c r="BC490" s="632" t="str">
        <f t="shared" si="69"/>
        <v/>
      </c>
      <c r="BD490" s="633" t="str">
        <f>IF(AND(L490="",H490=""),"",
IF(H490="",Pole_Calc!A518,
IF(H490="MP",Pole_Calc!A519,
IF(H490="AnMP",Pole_Calc!A520,
IF(H490="A",Pole_Calc!A521,
IF(H490="S/A",Pole_Calc!A522,
IF(H490="A/S",Pole_Calc!A523,"Poner a mano")))))))</f>
        <v/>
      </c>
      <c r="BE490" s="448" t="s">
        <v>1726</v>
      </c>
      <c r="BF490" s="634"/>
      <c r="BG490" s="634"/>
      <c r="BH490" s="634"/>
      <c r="BI490" s="634"/>
    </row>
    <row r="491" spans="1:61" ht="16.2" customHeight="1">
      <c r="A491" s="12"/>
      <c r="B491" s="446"/>
      <c r="C491" s="89"/>
      <c r="D491" s="13"/>
      <c r="E491" s="14"/>
      <c r="F491" s="14"/>
      <c r="G491" s="15"/>
      <c r="H491" s="8"/>
      <c r="I491" s="8"/>
      <c r="J491" s="89"/>
      <c r="K491" s="8"/>
      <c r="L491" s="8"/>
      <c r="M491" s="8" t="str">
        <f>IF(L491="","",
IF(AX491="PT",VLOOKUP(L491,Foundation_Calc!$V$4:$X$37,VLOOKUP(AX491,Foundation_Calc!$I$10:$J$13,2,FALSE),0),
IF(AX491="K",VLOOKUP(L491,Foundation_Calc!$V$41:$X$74,VLOOKUP(AX491,Foundation_Calc!$I$10:$J$13,2,FALSE),0),"")))</f>
        <v/>
      </c>
      <c r="N491" s="8"/>
      <c r="O491" s="8"/>
      <c r="P491" s="8"/>
      <c r="Q491" s="14"/>
      <c r="R491" s="15"/>
      <c r="S491" s="15"/>
      <c r="T491" s="14"/>
      <c r="U491" s="14"/>
      <c r="V491" s="14"/>
      <c r="W491" s="18"/>
      <c r="X491" s="18"/>
      <c r="Y491" s="18"/>
      <c r="Z491" s="18"/>
      <c r="AA491" s="18"/>
      <c r="AB491" s="18"/>
      <c r="AC491" s="8" t="str">
        <f t="shared" si="66"/>
        <v/>
      </c>
      <c r="AD491" s="8"/>
      <c r="AE491" s="8"/>
      <c r="AF491" s="14"/>
      <c r="AG491" s="13"/>
      <c r="AH491" s="14"/>
      <c r="AI491" s="14"/>
      <c r="AJ491" s="8"/>
      <c r="AK491" s="8"/>
      <c r="AL491" s="8"/>
      <c r="AM491" s="8"/>
      <c r="AN491" s="631"/>
      <c r="AO491" s="18"/>
      <c r="AP491" s="18"/>
      <c r="AQ491" s="18"/>
      <c r="AR491" s="18"/>
      <c r="AS491" s="18"/>
      <c r="AU491" s="448"/>
      <c r="AV491" s="448"/>
      <c r="AW491" s="8" t="str">
        <f>IF(C491&gt;0,VLOOKUP(C491,Foundation_Calc!$A$2:$C$986,3,1),
IF(J491&gt;0,VLOOKUP(J491,Foundation_Calc!$A$2:$C$986,3,1),""))</f>
        <v/>
      </c>
      <c r="AX491" s="8" t="str">
        <f>IF(C491&gt;0,VLOOKUP(C491,Foundation_Calc!$E$2:$G$986,3,1),
IF(J491&gt;0,VLOOKUP(J491,Foundation_Calc!$E$2:$G$986,3,1),""))</f>
        <v/>
      </c>
      <c r="AY491" s="631" t="str">
        <f>IF(L491="","",
IF(AX491="PT",VLOOKUP(L491,Foundation_Calc!$K$4:$R$37,VLOOKUP(AW491,Foundation_Calc!$I$2:$J$8,2,FALSE),0),
IF(AX491="K",VLOOKUP(L491,Foundation_Calc!$K$41:$R$74,VLOOKUP(AW491,Foundation_Calc!$I$2:$J$8,2,FALSE),0),"")))</f>
        <v/>
      </c>
      <c r="AZ491" s="631" t="str">
        <f>IF(K491="","",
IF(AX491="PT",VLOOKUP(K491,Foundation_Calc!$K$4:$R$37,VLOOKUP(AW491,Foundation_Calc!$I$2:$J$8,2,FALSE),0),
IF(AX491="K",VLOOKUP(K491,Foundation_Calc!$K$41:$R$74,VLOOKUP(AW491,Foundation_Calc!$I$2:$J$8,2,FALSE),0),"")))</f>
        <v/>
      </c>
      <c r="BA491" s="632" t="str">
        <f t="shared" si="67"/>
        <v/>
      </c>
      <c r="BB491" s="632" t="str">
        <f t="shared" si="68"/>
        <v/>
      </c>
      <c r="BC491" s="632" t="str">
        <f t="shared" si="69"/>
        <v/>
      </c>
      <c r="BD491" s="633" t="str">
        <f>IF(AND(L491="",H491=""),"",
IF(H491="",Pole_Calc!A519,
IF(H491="MP",Pole_Calc!A520,
IF(H491="AnMP",Pole_Calc!A521,
IF(H491="A",Pole_Calc!A522,
IF(H491="S/A",Pole_Calc!A523,
IF(H491="A/S",Pole_Calc!A524,"Poner a mano")))))))</f>
        <v/>
      </c>
      <c r="BE491" s="448" t="s">
        <v>1726</v>
      </c>
      <c r="BF491" s="635"/>
      <c r="BG491" s="635"/>
      <c r="BH491" s="634"/>
      <c r="BI491" s="635"/>
    </row>
    <row r="492" spans="1:61" ht="16.2" customHeight="1">
      <c r="A492" s="12"/>
      <c r="B492" s="446"/>
      <c r="C492" s="89"/>
      <c r="D492" s="13"/>
      <c r="E492" s="14"/>
      <c r="F492" s="14"/>
      <c r="G492" s="15"/>
      <c r="H492" s="8"/>
      <c r="I492" s="8"/>
      <c r="J492" s="89"/>
      <c r="K492" s="8"/>
      <c r="L492" s="8"/>
      <c r="M492" s="8" t="str">
        <f>IF(L492="","",
IF(AX492="PT",VLOOKUP(L492,Foundation_Calc!$V$4:$X$37,VLOOKUP(AX492,Foundation_Calc!$I$10:$J$13,2,FALSE),0),
IF(AX492="K",VLOOKUP(L492,Foundation_Calc!$V$41:$X$74,VLOOKUP(AX492,Foundation_Calc!$I$10:$J$13,2,FALSE),0),"")))</f>
        <v/>
      </c>
      <c r="N492" s="8"/>
      <c r="O492" s="8"/>
      <c r="P492" s="8"/>
      <c r="Q492" s="14"/>
      <c r="R492" s="15"/>
      <c r="S492" s="15"/>
      <c r="T492" s="14"/>
      <c r="U492" s="14"/>
      <c r="V492" s="14"/>
      <c r="W492" s="18"/>
      <c r="X492" s="18"/>
      <c r="Y492" s="18"/>
      <c r="Z492" s="18"/>
      <c r="AA492" s="18"/>
      <c r="AB492" s="18"/>
      <c r="AC492" s="8" t="str">
        <f t="shared" si="66"/>
        <v/>
      </c>
      <c r="AD492" s="8"/>
      <c r="AE492" s="8"/>
      <c r="AF492" s="14"/>
      <c r="AG492" s="13"/>
      <c r="AH492" s="14"/>
      <c r="AI492" s="14"/>
      <c r="AJ492" s="8"/>
      <c r="AK492" s="8"/>
      <c r="AL492" s="8"/>
      <c r="AM492" s="8"/>
      <c r="AN492" s="631"/>
      <c r="AO492" s="18"/>
      <c r="AP492" s="18"/>
      <c r="AQ492" s="18"/>
      <c r="AR492" s="18"/>
      <c r="AS492" s="18"/>
      <c r="AU492" s="448"/>
      <c r="AV492" s="448"/>
      <c r="AW492" s="8" t="str">
        <f>IF(C492&gt;0,VLOOKUP(C492,Foundation_Calc!$A$2:$C$986,3,1),
IF(J492&gt;0,VLOOKUP(J492,Foundation_Calc!$A$2:$C$986,3,1),""))</f>
        <v/>
      </c>
      <c r="AX492" s="8" t="str">
        <f>IF(C492&gt;0,VLOOKUP(C492,Foundation_Calc!$E$2:$G$986,3,1),
IF(J492&gt;0,VLOOKUP(J492,Foundation_Calc!$E$2:$G$986,3,1),""))</f>
        <v/>
      </c>
      <c r="AY492" s="631" t="str">
        <f>IF(L492="","",
IF(AX492="PT",VLOOKUP(L492,Foundation_Calc!$K$4:$R$37,VLOOKUP(AW492,Foundation_Calc!$I$2:$J$8,2,FALSE),0),
IF(AX492="K",VLOOKUP(L492,Foundation_Calc!$K$41:$R$74,VLOOKUP(AW492,Foundation_Calc!$I$2:$J$8,2,FALSE),0),"")))</f>
        <v/>
      </c>
      <c r="AZ492" s="631" t="str">
        <f>IF(K492="","",
IF(AX492="PT",VLOOKUP(K492,Foundation_Calc!$K$4:$R$37,VLOOKUP(AW492,Foundation_Calc!$I$2:$J$8,2,FALSE),0),
IF(AX492="K",VLOOKUP(K492,Foundation_Calc!$K$41:$R$74,VLOOKUP(AW492,Foundation_Calc!$I$2:$J$8,2,FALSE),0),"")))</f>
        <v/>
      </c>
      <c r="BA492" s="632" t="str">
        <f t="shared" si="67"/>
        <v/>
      </c>
      <c r="BB492" s="632" t="str">
        <f t="shared" si="68"/>
        <v/>
      </c>
      <c r="BC492" s="632" t="str">
        <f t="shared" si="69"/>
        <v/>
      </c>
      <c r="BD492" s="633" t="str">
        <f>IF(AND(L492="",H492=""),"",
IF(H492="",Pole_Calc!A520,
IF(H492="MP",Pole_Calc!A521,
IF(H492="AnMP",Pole_Calc!A522,
IF(H492="A",Pole_Calc!A523,
IF(H492="S/A",Pole_Calc!A524,
IF(H492="A/S",Pole_Calc!A525,"Poner a mano")))))))</f>
        <v/>
      </c>
      <c r="BE492" s="448" t="s">
        <v>1726</v>
      </c>
      <c r="BF492" s="634"/>
      <c r="BG492" s="634"/>
      <c r="BH492" s="634"/>
      <c r="BI492" s="634"/>
    </row>
    <row r="493" spans="1:61" ht="16.2" customHeight="1">
      <c r="A493" s="12"/>
      <c r="B493" s="446"/>
      <c r="C493" s="89"/>
      <c r="D493" s="13"/>
      <c r="E493" s="14"/>
      <c r="F493" s="14"/>
      <c r="G493" s="15"/>
      <c r="H493" s="8"/>
      <c r="I493" s="8"/>
      <c r="J493" s="89"/>
      <c r="K493" s="8"/>
      <c r="L493" s="8"/>
      <c r="M493" s="8" t="str">
        <f>IF(L493="","",
IF(AX493="PT",VLOOKUP(L493,Foundation_Calc!$V$4:$X$37,VLOOKUP(AX493,Foundation_Calc!$I$10:$J$13,2,FALSE),0),
IF(AX493="K",VLOOKUP(L493,Foundation_Calc!$V$41:$X$74,VLOOKUP(AX493,Foundation_Calc!$I$10:$J$13,2,FALSE),0),"")))</f>
        <v/>
      </c>
      <c r="N493" s="8"/>
      <c r="O493" s="8"/>
      <c r="P493" s="8"/>
      <c r="Q493" s="14"/>
      <c r="R493" s="15"/>
      <c r="S493" s="15"/>
      <c r="T493" s="14"/>
      <c r="U493" s="14"/>
      <c r="V493" s="14"/>
      <c r="W493" s="18"/>
      <c r="X493" s="18"/>
      <c r="Y493" s="18"/>
      <c r="Z493" s="18"/>
      <c r="AA493" s="18"/>
      <c r="AB493" s="18"/>
      <c r="AC493" s="8" t="str">
        <f t="shared" si="66"/>
        <v/>
      </c>
      <c r="AD493" s="8"/>
      <c r="AE493" s="8"/>
      <c r="AF493" s="14"/>
      <c r="AG493" s="13"/>
      <c r="AH493" s="14"/>
      <c r="AI493" s="14"/>
      <c r="AJ493" s="8"/>
      <c r="AK493" s="8"/>
      <c r="AL493" s="8"/>
      <c r="AM493" s="8"/>
      <c r="AN493" s="631"/>
      <c r="AO493" s="18"/>
      <c r="AP493" s="18"/>
      <c r="AQ493" s="18"/>
      <c r="AR493" s="18"/>
      <c r="AS493" s="18"/>
      <c r="AU493" s="448"/>
      <c r="AV493" s="448"/>
      <c r="AW493" s="8" t="str">
        <f>IF(C493&gt;0,VLOOKUP(C493,Foundation_Calc!$A$2:$C$986,3,1),
IF(J493&gt;0,VLOOKUP(J493,Foundation_Calc!$A$2:$C$986,3,1),""))</f>
        <v/>
      </c>
      <c r="AX493" s="8" t="str">
        <f>IF(C493&gt;0,VLOOKUP(C493,Foundation_Calc!$E$2:$G$986,3,1),
IF(J493&gt;0,VLOOKUP(J493,Foundation_Calc!$E$2:$G$986,3,1),""))</f>
        <v/>
      </c>
      <c r="AY493" s="631" t="str">
        <f>IF(L493="","",
IF(AX493="PT",VLOOKUP(L493,Foundation_Calc!$K$4:$R$37,VLOOKUP(AW493,Foundation_Calc!$I$2:$J$8,2,FALSE),0),
IF(AX493="K",VLOOKUP(L493,Foundation_Calc!$K$41:$R$74,VLOOKUP(AW493,Foundation_Calc!$I$2:$J$8,2,FALSE),0),"")))</f>
        <v/>
      </c>
      <c r="AZ493" s="631" t="str">
        <f>IF(K493="","",
IF(AX493="PT",VLOOKUP(K493,Foundation_Calc!$K$4:$R$37,VLOOKUP(AW493,Foundation_Calc!$I$2:$J$8,2,FALSE),0),
IF(AX493="K",VLOOKUP(K493,Foundation_Calc!$K$41:$R$74,VLOOKUP(AW493,Foundation_Calc!$I$2:$J$8,2,FALSE),0),"")))</f>
        <v/>
      </c>
      <c r="BA493" s="632" t="str">
        <f t="shared" si="67"/>
        <v/>
      </c>
      <c r="BB493" s="632" t="str">
        <f t="shared" si="68"/>
        <v/>
      </c>
      <c r="BC493" s="632" t="str">
        <f t="shared" si="69"/>
        <v/>
      </c>
      <c r="BD493" s="633" t="str">
        <f>IF(AND(L493="",H493=""),"",
IF(H493="",Pole_Calc!A521,
IF(H493="MP",Pole_Calc!A522,
IF(H493="AnMP",Pole_Calc!A523,
IF(H493="A",Pole_Calc!A524,
IF(H493="S/A",Pole_Calc!A525,
IF(H493="A/S",Pole_Calc!A526,"Poner a mano")))))))</f>
        <v/>
      </c>
      <c r="BE493" s="448" t="s">
        <v>1726</v>
      </c>
      <c r="BF493" s="635"/>
      <c r="BG493" s="635"/>
      <c r="BH493" s="634"/>
      <c r="BI493" s="635"/>
    </row>
    <row r="494" spans="1:61" ht="16.2" customHeight="1">
      <c r="A494" s="12"/>
      <c r="B494" s="446"/>
      <c r="C494" s="89"/>
      <c r="D494" s="13"/>
      <c r="E494" s="14"/>
      <c r="F494" s="14"/>
      <c r="G494" s="15"/>
      <c r="H494" s="8"/>
      <c r="I494" s="8"/>
      <c r="J494" s="89"/>
      <c r="K494" s="8"/>
      <c r="L494" s="8"/>
      <c r="M494" s="8" t="str">
        <f>IF(L494="","",
IF(AX494="PT",VLOOKUP(L494,Foundation_Calc!$V$4:$X$37,VLOOKUP(AX494,Foundation_Calc!$I$10:$J$13,2,FALSE),0),
IF(AX494="K",VLOOKUP(L494,Foundation_Calc!$V$41:$X$74,VLOOKUP(AX494,Foundation_Calc!$I$10:$J$13,2,FALSE),0),"")))</f>
        <v/>
      </c>
      <c r="N494" s="8"/>
      <c r="O494" s="8"/>
      <c r="P494" s="8"/>
      <c r="Q494" s="14"/>
      <c r="R494" s="15"/>
      <c r="S494" s="15"/>
      <c r="T494" s="14"/>
      <c r="U494" s="14"/>
      <c r="V494" s="14"/>
      <c r="W494" s="18"/>
      <c r="X494" s="18"/>
      <c r="Y494" s="18"/>
      <c r="Z494" s="18"/>
      <c r="AA494" s="18"/>
      <c r="AB494" s="18"/>
      <c r="AC494" s="8" t="str">
        <f t="shared" si="66"/>
        <v/>
      </c>
      <c r="AD494" s="8"/>
      <c r="AE494" s="8"/>
      <c r="AF494" s="14"/>
      <c r="AG494" s="13"/>
      <c r="AH494" s="14"/>
      <c r="AI494" s="14"/>
      <c r="AJ494" s="8"/>
      <c r="AK494" s="8"/>
      <c r="AL494" s="8"/>
      <c r="AM494" s="8"/>
      <c r="AN494" s="631"/>
      <c r="AO494" s="18"/>
      <c r="AP494" s="18"/>
      <c r="AQ494" s="18"/>
      <c r="AR494" s="18"/>
      <c r="AS494" s="18"/>
      <c r="AU494" s="448"/>
      <c r="AV494" s="448"/>
      <c r="AW494" s="8" t="str">
        <f>IF(C494&gt;0,VLOOKUP(C494,Foundation_Calc!$A$2:$C$986,3,1),
IF(J494&gt;0,VLOOKUP(J494,Foundation_Calc!$A$2:$C$986,3,1),""))</f>
        <v/>
      </c>
      <c r="AX494" s="8" t="str">
        <f>IF(C494&gt;0,VLOOKUP(C494,Foundation_Calc!$E$2:$G$986,3,1),
IF(J494&gt;0,VLOOKUP(J494,Foundation_Calc!$E$2:$G$986,3,1),""))</f>
        <v/>
      </c>
      <c r="AY494" s="631" t="str">
        <f>IF(L494="","",
IF(AX494="PT",VLOOKUP(L494,Foundation_Calc!$K$4:$R$37,VLOOKUP(AW494,Foundation_Calc!$I$2:$J$8,2,FALSE),0),
IF(AX494="K",VLOOKUP(L494,Foundation_Calc!$K$41:$R$74,VLOOKUP(AW494,Foundation_Calc!$I$2:$J$8,2,FALSE),0),"")))</f>
        <v/>
      </c>
      <c r="AZ494" s="631" t="str">
        <f>IF(K494="","",
IF(AX494="PT",VLOOKUP(K494,Foundation_Calc!$K$4:$R$37,VLOOKUP(AW494,Foundation_Calc!$I$2:$J$8,2,FALSE),0),
IF(AX494="K",VLOOKUP(K494,Foundation_Calc!$K$41:$R$74,VLOOKUP(AW494,Foundation_Calc!$I$2:$J$8,2,FALSE),0),"")))</f>
        <v/>
      </c>
      <c r="BA494" s="632" t="str">
        <f t="shared" si="67"/>
        <v/>
      </c>
      <c r="BB494" s="632" t="str">
        <f t="shared" si="68"/>
        <v/>
      </c>
      <c r="BC494" s="632" t="str">
        <f t="shared" si="69"/>
        <v/>
      </c>
      <c r="BD494" s="633" t="str">
        <f>IF(AND(L494="",H494=""),"",
IF(H494="",Pole_Calc!A522,
IF(H494="MP",Pole_Calc!A523,
IF(H494="AnMP",Pole_Calc!A524,
IF(H494="A",Pole_Calc!A525,
IF(H494="S/A",Pole_Calc!A526,
IF(H494="A/S",Pole_Calc!A527,"Poner a mano")))))))</f>
        <v/>
      </c>
      <c r="BE494" s="448" t="s">
        <v>1726</v>
      </c>
      <c r="BF494" s="634"/>
      <c r="BG494" s="634"/>
      <c r="BH494" s="634"/>
      <c r="BI494" s="634"/>
    </row>
    <row r="495" spans="1:61" ht="16.2" customHeight="1">
      <c r="A495" s="12"/>
      <c r="B495" s="446"/>
      <c r="C495" s="89"/>
      <c r="D495" s="13"/>
      <c r="E495" s="14"/>
      <c r="F495" s="14"/>
      <c r="G495" s="15"/>
      <c r="H495" s="8"/>
      <c r="I495" s="8"/>
      <c r="J495" s="89"/>
      <c r="K495" s="8"/>
      <c r="L495" s="8"/>
      <c r="M495" s="8" t="str">
        <f>IF(L495="","",
IF(AX495="PT",VLOOKUP(L495,Foundation_Calc!$V$4:$X$37,VLOOKUP(AX495,Foundation_Calc!$I$10:$J$13,2,FALSE),0),
IF(AX495="K",VLOOKUP(L495,Foundation_Calc!$V$41:$X$74,VLOOKUP(AX495,Foundation_Calc!$I$10:$J$13,2,FALSE),0),"")))</f>
        <v/>
      </c>
      <c r="N495" s="8"/>
      <c r="O495" s="8"/>
      <c r="P495" s="8"/>
      <c r="Q495" s="14"/>
      <c r="R495" s="15"/>
      <c r="S495" s="15"/>
      <c r="T495" s="14"/>
      <c r="U495" s="14"/>
      <c r="V495" s="14"/>
      <c r="W495" s="18"/>
      <c r="X495" s="18"/>
      <c r="Y495" s="18"/>
      <c r="Z495" s="18"/>
      <c r="AA495" s="18"/>
      <c r="AB495" s="18"/>
      <c r="AC495" s="8" t="str">
        <f t="shared" si="66"/>
        <v/>
      </c>
      <c r="AD495" s="8"/>
      <c r="AE495" s="8"/>
      <c r="AF495" s="14"/>
      <c r="AG495" s="13"/>
      <c r="AH495" s="14"/>
      <c r="AI495" s="14"/>
      <c r="AJ495" s="8"/>
      <c r="AK495" s="8"/>
      <c r="AL495" s="8"/>
      <c r="AM495" s="8"/>
      <c r="AN495" s="631"/>
      <c r="AO495" s="18"/>
      <c r="AP495" s="18"/>
      <c r="AQ495" s="18"/>
      <c r="AR495" s="18"/>
      <c r="AS495" s="18"/>
      <c r="AU495" s="448"/>
      <c r="AV495" s="448"/>
      <c r="AW495" s="8" t="str">
        <f>IF(C495&gt;0,VLOOKUP(C495,Foundation_Calc!$A$2:$C$986,3,1),
IF(J495&gt;0,VLOOKUP(J495,Foundation_Calc!$A$2:$C$986,3,1),""))</f>
        <v/>
      </c>
      <c r="AX495" s="8" t="str">
        <f>IF(C495&gt;0,VLOOKUP(C495,Foundation_Calc!$E$2:$G$986,3,1),
IF(J495&gt;0,VLOOKUP(J495,Foundation_Calc!$E$2:$G$986,3,1),""))</f>
        <v/>
      </c>
      <c r="AY495" s="631" t="str">
        <f>IF(L495="","",
IF(AX495="PT",VLOOKUP(L495,Foundation_Calc!$K$4:$R$37,VLOOKUP(AW495,Foundation_Calc!$I$2:$J$8,2,FALSE),0),
IF(AX495="K",VLOOKUP(L495,Foundation_Calc!$K$41:$R$74,VLOOKUP(AW495,Foundation_Calc!$I$2:$J$8,2,FALSE),0),"")))</f>
        <v/>
      </c>
      <c r="AZ495" s="631" t="str">
        <f>IF(K495="","",
IF(AX495="PT",VLOOKUP(K495,Foundation_Calc!$K$4:$R$37,VLOOKUP(AW495,Foundation_Calc!$I$2:$J$8,2,FALSE),0),
IF(AX495="K",VLOOKUP(K495,Foundation_Calc!$K$41:$R$74,VLOOKUP(AW495,Foundation_Calc!$I$2:$J$8,2,FALSE),0),"")))</f>
        <v/>
      </c>
      <c r="BA495" s="632" t="str">
        <f t="shared" si="67"/>
        <v/>
      </c>
      <c r="BB495" s="632" t="str">
        <f t="shared" si="68"/>
        <v/>
      </c>
      <c r="BC495" s="632" t="str">
        <f t="shared" si="69"/>
        <v/>
      </c>
      <c r="BD495" s="633" t="str">
        <f>IF(AND(L495="",H495=""),"",
IF(H495="",Pole_Calc!A523,
IF(H495="MP",Pole_Calc!A524,
IF(H495="AnMP",Pole_Calc!A525,
IF(H495="A",Pole_Calc!A526,
IF(H495="S/A",Pole_Calc!A527,
IF(H495="A/S",Pole_Calc!A528,"Poner a mano")))))))</f>
        <v/>
      </c>
      <c r="BE495" s="448" t="s">
        <v>1726</v>
      </c>
      <c r="BF495" s="635"/>
      <c r="BG495" s="635"/>
      <c r="BH495" s="634"/>
      <c r="BI495" s="635"/>
    </row>
    <row r="496" spans="1:61" ht="16.2" customHeight="1">
      <c r="A496" s="12"/>
      <c r="B496" s="446"/>
      <c r="C496" s="89"/>
      <c r="D496" s="13"/>
      <c r="E496" s="14"/>
      <c r="F496" s="14"/>
      <c r="G496" s="15"/>
      <c r="H496" s="8"/>
      <c r="I496" s="8"/>
      <c r="J496" s="89"/>
      <c r="K496" s="8"/>
      <c r="L496" s="8"/>
      <c r="M496" s="8" t="str">
        <f>IF(L496="","",
IF(AX496="PT",VLOOKUP(L496,Foundation_Calc!$V$4:$X$37,VLOOKUP(AX496,Foundation_Calc!$I$10:$J$13,2,FALSE),0),
IF(AX496="K",VLOOKUP(L496,Foundation_Calc!$V$41:$X$74,VLOOKUP(AX496,Foundation_Calc!$I$10:$J$13,2,FALSE),0),"")))</f>
        <v/>
      </c>
      <c r="N496" s="8"/>
      <c r="O496" s="8"/>
      <c r="P496" s="8"/>
      <c r="Q496" s="14"/>
      <c r="R496" s="15"/>
      <c r="S496" s="15"/>
      <c r="T496" s="14"/>
      <c r="U496" s="14"/>
      <c r="V496" s="14"/>
      <c r="W496" s="18"/>
      <c r="X496" s="18"/>
      <c r="Y496" s="18"/>
      <c r="Z496" s="18"/>
      <c r="AA496" s="18"/>
      <c r="AB496" s="18"/>
      <c r="AC496" s="8" t="str">
        <f t="shared" si="66"/>
        <v/>
      </c>
      <c r="AD496" s="8"/>
      <c r="AE496" s="8"/>
      <c r="AF496" s="14"/>
      <c r="AG496" s="13"/>
      <c r="AH496" s="14"/>
      <c r="AI496" s="14"/>
      <c r="AJ496" s="8"/>
      <c r="AK496" s="8"/>
      <c r="AL496" s="8"/>
      <c r="AM496" s="8"/>
      <c r="AN496" s="631"/>
      <c r="AO496" s="18"/>
      <c r="AP496" s="18"/>
      <c r="AQ496" s="18"/>
      <c r="AR496" s="18"/>
      <c r="AS496" s="18"/>
      <c r="AU496" s="448"/>
      <c r="AV496" s="448"/>
      <c r="AW496" s="8" t="str">
        <f>IF(C496&gt;0,VLOOKUP(C496,Foundation_Calc!$A$2:$C$986,3,1),
IF(J496&gt;0,VLOOKUP(J496,Foundation_Calc!$A$2:$C$986,3,1),""))</f>
        <v/>
      </c>
      <c r="AX496" s="8" t="str">
        <f>IF(C496&gt;0,VLOOKUP(C496,Foundation_Calc!$E$2:$G$986,3,1),
IF(J496&gt;0,VLOOKUP(J496,Foundation_Calc!$E$2:$G$986,3,1),""))</f>
        <v/>
      </c>
      <c r="AY496" s="631" t="str">
        <f>IF(L496="","",
IF(AX496="PT",VLOOKUP(L496,Foundation_Calc!$K$4:$R$37,VLOOKUP(AW496,Foundation_Calc!$I$2:$J$8,2,FALSE),0),
IF(AX496="K",VLOOKUP(L496,Foundation_Calc!$K$41:$R$74,VLOOKUP(AW496,Foundation_Calc!$I$2:$J$8,2,FALSE),0),"")))</f>
        <v/>
      </c>
      <c r="AZ496" s="631" t="str">
        <f>IF(K496="","",
IF(AX496="PT",VLOOKUP(K496,Foundation_Calc!$K$4:$R$37,VLOOKUP(AW496,Foundation_Calc!$I$2:$J$8,2,FALSE),0),
IF(AX496="K",VLOOKUP(K496,Foundation_Calc!$K$41:$R$74,VLOOKUP(AW496,Foundation_Calc!$I$2:$J$8,2,FALSE),0),"")))</f>
        <v/>
      </c>
      <c r="BA496" s="632" t="str">
        <f t="shared" si="67"/>
        <v/>
      </c>
      <c r="BB496" s="632" t="str">
        <f t="shared" si="68"/>
        <v/>
      </c>
      <c r="BC496" s="632" t="str">
        <f t="shared" si="69"/>
        <v/>
      </c>
      <c r="BD496" s="633" t="str">
        <f>IF(AND(L496="",H496=""),"",
IF(H496="",Pole_Calc!A524,
IF(H496="MP",Pole_Calc!A525,
IF(H496="AnMP",Pole_Calc!A526,
IF(H496="A",Pole_Calc!A527,
IF(H496="S/A",Pole_Calc!A528,
IF(H496="A/S",Pole_Calc!A529,"Poner a mano")))))))</f>
        <v/>
      </c>
      <c r="BE496" s="448" t="s">
        <v>1726</v>
      </c>
      <c r="BF496" s="634"/>
      <c r="BG496" s="634"/>
      <c r="BH496" s="634"/>
      <c r="BI496" s="634"/>
    </row>
    <row r="497" spans="1:61" ht="16.2" customHeight="1">
      <c r="A497" s="12"/>
      <c r="B497" s="446"/>
      <c r="C497" s="89"/>
      <c r="D497" s="13"/>
      <c r="E497" s="14"/>
      <c r="F497" s="14"/>
      <c r="G497" s="15"/>
      <c r="H497" s="8"/>
      <c r="I497" s="8"/>
      <c r="J497" s="89"/>
      <c r="K497" s="8"/>
      <c r="L497" s="8"/>
      <c r="M497" s="8" t="str">
        <f>IF(L497="","",
IF(AX497="PT",VLOOKUP(L497,Foundation_Calc!$V$4:$X$37,VLOOKUP(AX497,Foundation_Calc!$I$10:$J$13,2,FALSE),0),
IF(AX497="K",VLOOKUP(L497,Foundation_Calc!$V$41:$X$74,VLOOKUP(AX497,Foundation_Calc!$I$10:$J$13,2,FALSE),0),"")))</f>
        <v/>
      </c>
      <c r="N497" s="8"/>
      <c r="O497" s="8"/>
      <c r="P497" s="8"/>
      <c r="Q497" s="14"/>
      <c r="R497" s="15"/>
      <c r="S497" s="15"/>
      <c r="T497" s="14"/>
      <c r="U497" s="14"/>
      <c r="V497" s="14"/>
      <c r="W497" s="18"/>
      <c r="X497" s="18"/>
      <c r="Y497" s="18"/>
      <c r="Z497" s="18"/>
      <c r="AA497" s="18"/>
      <c r="AB497" s="18"/>
      <c r="AC497" s="8" t="str">
        <f t="shared" si="66"/>
        <v/>
      </c>
      <c r="AD497" s="8"/>
      <c r="AE497" s="8"/>
      <c r="AF497" s="14"/>
      <c r="AG497" s="13"/>
      <c r="AH497" s="14"/>
      <c r="AI497" s="14"/>
      <c r="AJ497" s="8"/>
      <c r="AK497" s="8"/>
      <c r="AL497" s="8"/>
      <c r="AM497" s="8"/>
      <c r="AN497" s="631"/>
      <c r="AO497" s="18"/>
      <c r="AP497" s="18"/>
      <c r="AQ497" s="18"/>
      <c r="AR497" s="18"/>
      <c r="AS497" s="18"/>
      <c r="AU497" s="448"/>
      <c r="AV497" s="448"/>
      <c r="AW497" s="8" t="str">
        <f>IF(C497&gt;0,VLOOKUP(C497,Foundation_Calc!$A$2:$C$986,3,1),
IF(J497&gt;0,VLOOKUP(J497,Foundation_Calc!$A$2:$C$986,3,1),""))</f>
        <v/>
      </c>
      <c r="AX497" s="8" t="str">
        <f>IF(C497&gt;0,VLOOKUP(C497,Foundation_Calc!$E$2:$G$986,3,1),
IF(J497&gt;0,VLOOKUP(J497,Foundation_Calc!$E$2:$G$986,3,1),""))</f>
        <v/>
      </c>
      <c r="AY497" s="631" t="str">
        <f>IF(L497="","",
IF(AX497="PT",VLOOKUP(L497,Foundation_Calc!$K$4:$R$37,VLOOKUP(AW497,Foundation_Calc!$I$2:$J$8,2,FALSE),0),
IF(AX497="K",VLOOKUP(L497,Foundation_Calc!$K$41:$R$74,VLOOKUP(AW497,Foundation_Calc!$I$2:$J$8,2,FALSE),0),"")))</f>
        <v/>
      </c>
      <c r="AZ497" s="631" t="str">
        <f>IF(K497="","",
IF(AX497="PT",VLOOKUP(K497,Foundation_Calc!$K$4:$R$37,VLOOKUP(AW497,Foundation_Calc!$I$2:$J$8,2,FALSE),0),
IF(AX497="K",VLOOKUP(K497,Foundation_Calc!$K$41:$R$74,VLOOKUP(AW497,Foundation_Calc!$I$2:$J$8,2,FALSE),0),"")))</f>
        <v/>
      </c>
      <c r="BA497" s="632" t="str">
        <f t="shared" si="67"/>
        <v/>
      </c>
      <c r="BB497" s="632" t="str">
        <f t="shared" si="68"/>
        <v/>
      </c>
      <c r="BC497" s="632" t="str">
        <f t="shared" si="69"/>
        <v/>
      </c>
      <c r="BD497" s="633" t="str">
        <f>IF(AND(L497="",H497=""),"",
IF(H497="",Pole_Calc!A525,
IF(H497="MP",Pole_Calc!A526,
IF(H497="AnMP",Pole_Calc!A527,
IF(H497="A",Pole_Calc!A528,
IF(H497="S/A",Pole_Calc!A529,
IF(H497="A/S",Pole_Calc!A530,"Poner a mano")))))))</f>
        <v/>
      </c>
      <c r="BE497" s="448" t="s">
        <v>1726</v>
      </c>
      <c r="BF497" s="635"/>
      <c r="BG497" s="635"/>
      <c r="BH497" s="634"/>
      <c r="BI497" s="635"/>
    </row>
    <row r="498" spans="1:61" ht="16.2" customHeight="1">
      <c r="A498" s="12"/>
      <c r="B498" s="446"/>
      <c r="C498" s="89"/>
      <c r="D498" s="13"/>
      <c r="E498" s="14"/>
      <c r="F498" s="14"/>
      <c r="G498" s="15"/>
      <c r="H498" s="8"/>
      <c r="I498" s="8"/>
      <c r="J498" s="89"/>
      <c r="K498" s="8"/>
      <c r="L498" s="8"/>
      <c r="M498" s="8" t="str">
        <f>IF(L498="","",
IF(AX498="PT",VLOOKUP(L498,Foundation_Calc!$V$4:$X$37,VLOOKUP(AX498,Foundation_Calc!$I$10:$J$13,2,FALSE),0),
IF(AX498="K",VLOOKUP(L498,Foundation_Calc!$V$41:$X$74,VLOOKUP(AX498,Foundation_Calc!$I$10:$J$13,2,FALSE),0),"")))</f>
        <v/>
      </c>
      <c r="N498" s="8"/>
      <c r="O498" s="8"/>
      <c r="P498" s="8"/>
      <c r="Q498" s="14"/>
      <c r="R498" s="15"/>
      <c r="S498" s="15"/>
      <c r="T498" s="14"/>
      <c r="U498" s="14"/>
      <c r="V498" s="14"/>
      <c r="W498" s="18"/>
      <c r="X498" s="18"/>
      <c r="Y498" s="18"/>
      <c r="Z498" s="18"/>
      <c r="AA498" s="18"/>
      <c r="AB498" s="18"/>
      <c r="AC498" s="8" t="str">
        <f t="shared" si="66"/>
        <v/>
      </c>
      <c r="AD498" s="8"/>
      <c r="AE498" s="8"/>
      <c r="AF498" s="14"/>
      <c r="AG498" s="13"/>
      <c r="AH498" s="14"/>
      <c r="AI498" s="14"/>
      <c r="AJ498" s="8"/>
      <c r="AK498" s="8"/>
      <c r="AL498" s="8"/>
      <c r="AM498" s="8"/>
      <c r="AN498" s="631"/>
      <c r="AO498" s="18"/>
      <c r="AP498" s="18"/>
      <c r="AQ498" s="18"/>
      <c r="AR498" s="18"/>
      <c r="AS498" s="18"/>
      <c r="AU498" s="448"/>
      <c r="AV498" s="448"/>
      <c r="AW498" s="8" t="str">
        <f>IF(C498&gt;0,VLOOKUP(C498,Foundation_Calc!$A$2:$C$986,3,1),
IF(J498&gt;0,VLOOKUP(J498,Foundation_Calc!$A$2:$C$986,3,1),""))</f>
        <v/>
      </c>
      <c r="AX498" s="8" t="str">
        <f>IF(C498&gt;0,VLOOKUP(C498,Foundation_Calc!$E$2:$G$986,3,1),
IF(J498&gt;0,VLOOKUP(J498,Foundation_Calc!$E$2:$G$986,3,1),""))</f>
        <v/>
      </c>
      <c r="AY498" s="631" t="str">
        <f>IF(L498="","",
IF(AX498="PT",VLOOKUP(L498,Foundation_Calc!$K$4:$R$37,VLOOKUP(AW498,Foundation_Calc!$I$2:$J$8,2,FALSE),0),
IF(AX498="K",VLOOKUP(L498,Foundation_Calc!$K$41:$R$74,VLOOKUP(AW498,Foundation_Calc!$I$2:$J$8,2,FALSE),0),"")))</f>
        <v/>
      </c>
      <c r="AZ498" s="631" t="str">
        <f>IF(K498="","",
IF(AX498="PT",VLOOKUP(K498,Foundation_Calc!$K$4:$R$37,VLOOKUP(AW498,Foundation_Calc!$I$2:$J$8,2,FALSE),0),
IF(AX498="K",VLOOKUP(K498,Foundation_Calc!$K$41:$R$74,VLOOKUP(AW498,Foundation_Calc!$I$2:$J$8,2,FALSE),0),"")))</f>
        <v/>
      </c>
      <c r="BA498" s="632" t="str">
        <f t="shared" si="67"/>
        <v/>
      </c>
      <c r="BB498" s="632" t="str">
        <f t="shared" si="68"/>
        <v/>
      </c>
      <c r="BC498" s="632" t="str">
        <f t="shared" si="69"/>
        <v/>
      </c>
      <c r="BD498" s="633" t="str">
        <f>IF(AND(L498="",H498=""),"",
IF(H498="",Pole_Calc!A526,
IF(H498="MP",Pole_Calc!A527,
IF(H498="AnMP",Pole_Calc!A528,
IF(H498="A",Pole_Calc!A529,
IF(H498="S/A",Pole_Calc!A530,
IF(H498="A/S",Pole_Calc!A531,"Poner a mano")))))))</f>
        <v/>
      </c>
      <c r="BE498" s="448" t="s">
        <v>1726</v>
      </c>
      <c r="BF498" s="634"/>
      <c r="BG498" s="634"/>
      <c r="BH498" s="634"/>
      <c r="BI498" s="634"/>
    </row>
    <row r="499" spans="1:61" ht="16.2" customHeight="1">
      <c r="A499" s="12"/>
      <c r="B499" s="446"/>
      <c r="C499" s="89"/>
      <c r="D499" s="13"/>
      <c r="E499" s="14"/>
      <c r="F499" s="14"/>
      <c r="G499" s="15"/>
      <c r="H499" s="8"/>
      <c r="I499" s="8"/>
      <c r="J499" s="89"/>
      <c r="K499" s="8"/>
      <c r="L499" s="8"/>
      <c r="M499" s="8" t="str">
        <f>IF(L499="","",
IF(AX499="PT",VLOOKUP(L499,Foundation_Calc!$V$4:$X$37,VLOOKUP(AX499,Foundation_Calc!$I$10:$J$13,2,FALSE),0),
IF(AX499="K",VLOOKUP(L499,Foundation_Calc!$V$41:$X$74,VLOOKUP(AX499,Foundation_Calc!$I$10:$J$13,2,FALSE),0),"")))</f>
        <v/>
      </c>
      <c r="N499" s="8"/>
      <c r="O499" s="8"/>
      <c r="P499" s="8"/>
      <c r="Q499" s="14"/>
      <c r="R499" s="15"/>
      <c r="S499" s="15"/>
      <c r="T499" s="14"/>
      <c r="U499" s="14"/>
      <c r="V499" s="14"/>
      <c r="W499" s="18"/>
      <c r="X499" s="18"/>
      <c r="Y499" s="18"/>
      <c r="Z499" s="18"/>
      <c r="AA499" s="18"/>
      <c r="AB499" s="18"/>
      <c r="AC499" s="8" t="str">
        <f t="shared" si="66"/>
        <v/>
      </c>
      <c r="AD499" s="8"/>
      <c r="AE499" s="8"/>
      <c r="AF499" s="14"/>
      <c r="AG499" s="13"/>
      <c r="AH499" s="14"/>
      <c r="AI499" s="14"/>
      <c r="AJ499" s="8"/>
      <c r="AK499" s="8"/>
      <c r="AL499" s="8"/>
      <c r="AM499" s="8"/>
      <c r="AN499" s="631"/>
      <c r="AO499" s="18"/>
      <c r="AP499" s="18"/>
      <c r="AQ499" s="18"/>
      <c r="AR499" s="18"/>
      <c r="AS499" s="18"/>
      <c r="AU499" s="448"/>
      <c r="AV499" s="448"/>
      <c r="AW499" s="8" t="str">
        <f>IF(C499&gt;0,VLOOKUP(C499,Foundation_Calc!$A$2:$C$986,3,1),
IF(J499&gt;0,VLOOKUP(J499,Foundation_Calc!$A$2:$C$986,3,1),""))</f>
        <v/>
      </c>
      <c r="AX499" s="8" t="str">
        <f>IF(C499&gt;0,VLOOKUP(C499,Foundation_Calc!$E$2:$G$986,3,1),
IF(J499&gt;0,VLOOKUP(J499,Foundation_Calc!$E$2:$G$986,3,1),""))</f>
        <v/>
      </c>
      <c r="AY499" s="631" t="str">
        <f>IF(L499="","",
IF(AX499="PT",VLOOKUP(L499,Foundation_Calc!$K$4:$R$37,VLOOKUP(AW499,Foundation_Calc!$I$2:$J$8,2,FALSE),0),
IF(AX499="K",VLOOKUP(L499,Foundation_Calc!$K$41:$R$74,VLOOKUP(AW499,Foundation_Calc!$I$2:$J$8,2,FALSE),0),"")))</f>
        <v/>
      </c>
      <c r="AZ499" s="631" t="str">
        <f>IF(K499="","",
IF(AX499="PT",VLOOKUP(K499,Foundation_Calc!$K$4:$R$37,VLOOKUP(AW499,Foundation_Calc!$I$2:$J$8,2,FALSE),0),
IF(AX499="K",VLOOKUP(K499,Foundation_Calc!$K$41:$R$74,VLOOKUP(AW499,Foundation_Calc!$I$2:$J$8,2,FALSE),0),"")))</f>
        <v/>
      </c>
      <c r="BA499" s="632" t="str">
        <f t="shared" si="67"/>
        <v/>
      </c>
      <c r="BB499" s="632" t="str">
        <f t="shared" si="68"/>
        <v/>
      </c>
      <c r="BC499" s="632" t="str">
        <f t="shared" si="69"/>
        <v/>
      </c>
      <c r="BD499" s="633" t="str">
        <f>IF(AND(L499="",H499=""),"",
IF(H499="",Pole_Calc!A527,
IF(H499="MP",Pole_Calc!A528,
IF(H499="AnMP",Pole_Calc!A529,
IF(H499="A",Pole_Calc!A530,
IF(H499="S/A",Pole_Calc!A531,
IF(H499="A/S",Pole_Calc!A532,"Poner a mano")))))))</f>
        <v/>
      </c>
      <c r="BE499" s="448" t="s">
        <v>1726</v>
      </c>
      <c r="BF499" s="635"/>
      <c r="BG499" s="635"/>
      <c r="BH499" s="634"/>
      <c r="BI499" s="635"/>
    </row>
    <row r="500" spans="1:61" ht="16.2" customHeight="1">
      <c r="A500" s="12"/>
      <c r="B500" s="446"/>
      <c r="C500" s="89"/>
      <c r="D500" s="13"/>
      <c r="E500" s="14"/>
      <c r="F500" s="14"/>
      <c r="G500" s="15"/>
      <c r="H500" s="8"/>
      <c r="I500" s="8"/>
      <c r="J500" s="89"/>
      <c r="K500" s="8"/>
      <c r="L500" s="8"/>
      <c r="M500" s="8" t="str">
        <f>IF(L500="","",
IF(AX500="PT",VLOOKUP(L500,Foundation_Calc!$V$4:$X$37,VLOOKUP(AX500,Foundation_Calc!$I$10:$J$13,2,FALSE),0),
IF(AX500="K",VLOOKUP(L500,Foundation_Calc!$V$41:$X$74,VLOOKUP(AX500,Foundation_Calc!$I$10:$J$13,2,FALSE),0),"")))</f>
        <v/>
      </c>
      <c r="N500" s="8"/>
      <c r="O500" s="8"/>
      <c r="P500" s="8"/>
      <c r="Q500" s="14"/>
      <c r="R500" s="15"/>
      <c r="S500" s="15"/>
      <c r="T500" s="14"/>
      <c r="U500" s="14"/>
      <c r="V500" s="14"/>
      <c r="W500" s="18"/>
      <c r="X500" s="18"/>
      <c r="Y500" s="18"/>
      <c r="Z500" s="18"/>
      <c r="AA500" s="18"/>
      <c r="AB500" s="18"/>
      <c r="AC500" s="8" t="str">
        <f t="shared" si="66"/>
        <v/>
      </c>
      <c r="AD500" s="8"/>
      <c r="AE500" s="8"/>
      <c r="AF500" s="14"/>
      <c r="AG500" s="13"/>
      <c r="AH500" s="14"/>
      <c r="AI500" s="14"/>
      <c r="AJ500" s="8"/>
      <c r="AK500" s="8"/>
      <c r="AL500" s="8"/>
      <c r="AM500" s="8"/>
      <c r="AN500" s="631"/>
      <c r="AO500" s="18"/>
      <c r="AP500" s="18"/>
      <c r="AQ500" s="18"/>
      <c r="AR500" s="18"/>
      <c r="AS500" s="18"/>
      <c r="AU500" s="448"/>
      <c r="AV500" s="448"/>
      <c r="AW500" s="8" t="str">
        <f>IF(C500&gt;0,VLOOKUP(C500,Foundation_Calc!$A$2:$C$986,3,1),
IF(J500&gt;0,VLOOKUP(J500,Foundation_Calc!$A$2:$C$986,3,1),""))</f>
        <v/>
      </c>
      <c r="AX500" s="8" t="str">
        <f>IF(C500&gt;0,VLOOKUP(C500,Foundation_Calc!$E$2:$G$986,3,1),
IF(J500&gt;0,VLOOKUP(J500,Foundation_Calc!$E$2:$G$986,3,1),""))</f>
        <v/>
      </c>
      <c r="AY500" s="631" t="str">
        <f>IF(L500="","",
IF(AX500="PT",VLOOKUP(L500,Foundation_Calc!$K$4:$R$37,VLOOKUP(AW500,Foundation_Calc!$I$2:$J$8,2,FALSE),0),
IF(AX500="K",VLOOKUP(L500,Foundation_Calc!$K$41:$R$74,VLOOKUP(AW500,Foundation_Calc!$I$2:$J$8,2,FALSE),0),"")))</f>
        <v/>
      </c>
      <c r="AZ500" s="631" t="str">
        <f>IF(K500="","",
IF(AX500="PT",VLOOKUP(K500,Foundation_Calc!$K$4:$R$37,VLOOKUP(AW500,Foundation_Calc!$I$2:$J$8,2,FALSE),0),
IF(AX500="K",VLOOKUP(K500,Foundation_Calc!$K$41:$R$74,VLOOKUP(AW500,Foundation_Calc!$I$2:$J$8,2,FALSE),0),"")))</f>
        <v/>
      </c>
      <c r="BA500" s="632" t="str">
        <f t="shared" si="67"/>
        <v/>
      </c>
      <c r="BB500" s="632" t="str">
        <f t="shared" si="68"/>
        <v/>
      </c>
      <c r="BC500" s="632" t="str">
        <f t="shared" si="69"/>
        <v/>
      </c>
      <c r="BD500" s="633" t="str">
        <f>IF(AND(L500="",H500=""),"",
IF(H500="",Pole_Calc!A528,
IF(H500="MP",Pole_Calc!A529,
IF(H500="AnMP",Pole_Calc!A530,
IF(H500="A",Pole_Calc!A531,
IF(H500="S/A",Pole_Calc!A532,
IF(H500="A/S",Pole_Calc!A533,"Poner a mano")))))))</f>
        <v/>
      </c>
      <c r="BE500" s="448" t="s">
        <v>1726</v>
      </c>
      <c r="BF500" s="634"/>
      <c r="BG500" s="634"/>
      <c r="BH500" s="634"/>
      <c r="BI500" s="634"/>
    </row>
    <row r="501" spans="1:61" ht="16.2" customHeight="1">
      <c r="A501" s="12"/>
      <c r="B501" s="446"/>
      <c r="C501" s="89"/>
      <c r="D501" s="13"/>
      <c r="E501" s="14"/>
      <c r="F501" s="14"/>
      <c r="G501" s="15"/>
      <c r="H501" s="8"/>
      <c r="I501" s="8"/>
      <c r="J501" s="89"/>
      <c r="K501" s="8"/>
      <c r="L501" s="8"/>
      <c r="M501" s="8" t="str">
        <f>IF(L501="","",
IF(AX501="PT",VLOOKUP(L501,Foundation_Calc!$V$4:$X$37,VLOOKUP(AX501,Foundation_Calc!$I$10:$J$13,2,FALSE),0),
IF(AX501="K",VLOOKUP(L501,Foundation_Calc!$V$41:$X$74,VLOOKUP(AX501,Foundation_Calc!$I$10:$J$13,2,FALSE),0),"")))</f>
        <v/>
      </c>
      <c r="N501" s="8"/>
      <c r="O501" s="8"/>
      <c r="P501" s="8"/>
      <c r="Q501" s="14"/>
      <c r="R501" s="15"/>
      <c r="S501" s="15"/>
      <c r="T501" s="14"/>
      <c r="U501" s="14"/>
      <c r="V501" s="14"/>
      <c r="W501" s="18"/>
      <c r="X501" s="18"/>
      <c r="Y501" s="18"/>
      <c r="Z501" s="18"/>
      <c r="AA501" s="18"/>
      <c r="AB501" s="18"/>
      <c r="AC501" s="8" t="str">
        <f t="shared" si="66"/>
        <v/>
      </c>
      <c r="AD501" s="8"/>
      <c r="AE501" s="8"/>
      <c r="AF501" s="14"/>
      <c r="AG501" s="13"/>
      <c r="AH501" s="14"/>
      <c r="AI501" s="14"/>
      <c r="AJ501" s="8"/>
      <c r="AK501" s="8"/>
      <c r="AL501" s="8"/>
      <c r="AM501" s="8"/>
      <c r="AN501" s="631"/>
      <c r="AO501" s="18"/>
      <c r="AP501" s="18"/>
      <c r="AQ501" s="18"/>
      <c r="AR501" s="18"/>
      <c r="AS501" s="18"/>
      <c r="AU501" s="448"/>
      <c r="AV501" s="448"/>
      <c r="AW501" s="8" t="str">
        <f>IF(C501&gt;0,VLOOKUP(C501,Foundation_Calc!$A$2:$C$986,3,1),
IF(J501&gt;0,VLOOKUP(J501,Foundation_Calc!$A$2:$C$986,3,1),""))</f>
        <v/>
      </c>
      <c r="AX501" s="8" t="str">
        <f>IF(C501&gt;0,VLOOKUP(C501,Foundation_Calc!$E$2:$G$986,3,1),
IF(J501&gt;0,VLOOKUP(J501,Foundation_Calc!$E$2:$G$986,3,1),""))</f>
        <v/>
      </c>
      <c r="AY501" s="631" t="str">
        <f>IF(L501="","",
IF(AX501="PT",VLOOKUP(L501,Foundation_Calc!$K$4:$R$37,VLOOKUP(AW501,Foundation_Calc!$I$2:$J$8,2,FALSE),0),
IF(AX501="K",VLOOKUP(L501,Foundation_Calc!$K$41:$R$74,VLOOKUP(AW501,Foundation_Calc!$I$2:$J$8,2,FALSE),0),"")))</f>
        <v/>
      </c>
      <c r="AZ501" s="631" t="str">
        <f>IF(K501="","",
IF(AX501="PT",VLOOKUP(K501,Foundation_Calc!$K$4:$R$37,VLOOKUP(AW501,Foundation_Calc!$I$2:$J$8,2,FALSE),0),
IF(AX501="K",VLOOKUP(K501,Foundation_Calc!$K$41:$R$74,VLOOKUP(AW501,Foundation_Calc!$I$2:$J$8,2,FALSE),0),"")))</f>
        <v/>
      </c>
      <c r="BA501" s="632" t="str">
        <f t="shared" si="67"/>
        <v/>
      </c>
      <c r="BB501" s="632" t="str">
        <f t="shared" si="68"/>
        <v/>
      </c>
      <c r="BC501" s="632" t="str">
        <f t="shared" si="69"/>
        <v/>
      </c>
      <c r="BD501" s="633" t="str">
        <f>IF(AND(L501="",H501=""),"",
IF(H501="",Pole_Calc!A529,
IF(H501="MP",Pole_Calc!A530,
IF(H501="AnMP",Pole_Calc!A531,
IF(H501="A",Pole_Calc!A532,
IF(H501="S/A",Pole_Calc!A533,
IF(H501="A/S",Pole_Calc!A534,"Poner a mano")))))))</f>
        <v/>
      </c>
      <c r="BE501" s="448" t="s">
        <v>1726</v>
      </c>
      <c r="BF501" s="635"/>
      <c r="BG501" s="635"/>
      <c r="BH501" s="634"/>
      <c r="BI501" s="635"/>
    </row>
    <row r="502" spans="1:61" ht="16.2" customHeight="1">
      <c r="A502" s="12"/>
      <c r="B502" s="446"/>
      <c r="C502" s="89"/>
      <c r="D502" s="13"/>
      <c r="E502" s="14"/>
      <c r="F502" s="14"/>
      <c r="G502" s="15"/>
      <c r="H502" s="8"/>
      <c r="I502" s="8"/>
      <c r="J502" s="89"/>
      <c r="K502" s="8"/>
      <c r="L502" s="8"/>
      <c r="M502" s="8" t="str">
        <f>IF(L502="","",
IF(AX502="PT",VLOOKUP(L502,Foundation_Calc!$V$4:$X$37,VLOOKUP(AX502,Foundation_Calc!$I$10:$J$13,2,FALSE),0),
IF(AX502="K",VLOOKUP(L502,Foundation_Calc!$V$41:$X$74,VLOOKUP(AX502,Foundation_Calc!$I$10:$J$13,2,FALSE),0),"")))</f>
        <v/>
      </c>
      <c r="N502" s="8"/>
      <c r="O502" s="8"/>
      <c r="P502" s="8"/>
      <c r="Q502" s="14"/>
      <c r="R502" s="15"/>
      <c r="S502" s="15"/>
      <c r="T502" s="14"/>
      <c r="U502" s="14"/>
      <c r="V502" s="14"/>
      <c r="W502" s="18"/>
      <c r="X502" s="18"/>
      <c r="Y502" s="18"/>
      <c r="Z502" s="18"/>
      <c r="AA502" s="18"/>
      <c r="AB502" s="18"/>
      <c r="AC502" s="8" t="str">
        <f t="shared" si="66"/>
        <v/>
      </c>
      <c r="AD502" s="8"/>
      <c r="AE502" s="8"/>
      <c r="AF502" s="14"/>
      <c r="AG502" s="13"/>
      <c r="AH502" s="14"/>
      <c r="AI502" s="14"/>
      <c r="AJ502" s="8"/>
      <c r="AK502" s="8"/>
      <c r="AL502" s="8"/>
      <c r="AM502" s="8"/>
      <c r="AN502" s="631"/>
      <c r="AO502" s="18"/>
      <c r="AP502" s="18"/>
      <c r="AQ502" s="18"/>
      <c r="AR502" s="18"/>
      <c r="AS502" s="18"/>
      <c r="AU502" s="448"/>
      <c r="AV502" s="448"/>
      <c r="AW502" s="8" t="str">
        <f>IF(C502&gt;0,VLOOKUP(C502,Foundation_Calc!$A$2:$C$986,3,1),
IF(J502&gt;0,VLOOKUP(J502,Foundation_Calc!$A$2:$C$986,3,1),""))</f>
        <v/>
      </c>
      <c r="AX502" s="8" t="str">
        <f>IF(C502&gt;0,VLOOKUP(C502,Foundation_Calc!$E$2:$G$986,3,1),
IF(J502&gt;0,VLOOKUP(J502,Foundation_Calc!$E$2:$G$986,3,1),""))</f>
        <v/>
      </c>
      <c r="AY502" s="631" t="str">
        <f>IF(L502="","",
IF(AX502="PT",VLOOKUP(L502,Foundation_Calc!$K$4:$R$37,VLOOKUP(AW502,Foundation_Calc!$I$2:$J$8,2,FALSE),0),
IF(AX502="K",VLOOKUP(L502,Foundation_Calc!$K$41:$R$74,VLOOKUP(AW502,Foundation_Calc!$I$2:$J$8,2,FALSE),0),"")))</f>
        <v/>
      </c>
      <c r="AZ502" s="631" t="str">
        <f>IF(K502="","",
IF(AX502="PT",VLOOKUP(K502,Foundation_Calc!$K$4:$R$37,VLOOKUP(AW502,Foundation_Calc!$I$2:$J$8,2,FALSE),0),
IF(AX502="K",VLOOKUP(K502,Foundation_Calc!$K$41:$R$74,VLOOKUP(AW502,Foundation_Calc!$I$2:$J$8,2,FALSE),0),"")))</f>
        <v/>
      </c>
      <c r="BA502" s="632" t="str">
        <f t="shared" si="67"/>
        <v/>
      </c>
      <c r="BB502" s="632" t="str">
        <f t="shared" si="68"/>
        <v/>
      </c>
      <c r="BC502" s="632" t="str">
        <f t="shared" si="69"/>
        <v/>
      </c>
      <c r="BD502" s="633" t="str">
        <f>IF(AND(L502="",H502=""),"",
IF(H502="",Pole_Calc!A530,
IF(H502="MP",Pole_Calc!A531,
IF(H502="AnMP",Pole_Calc!A532,
IF(H502="A",Pole_Calc!A533,
IF(H502="S/A",Pole_Calc!A534,
IF(H502="A/S",Pole_Calc!A535,"Poner a mano")))))))</f>
        <v/>
      </c>
      <c r="BE502" s="448" t="s">
        <v>1726</v>
      </c>
      <c r="BF502" s="634"/>
      <c r="BG502" s="634"/>
      <c r="BH502" s="634"/>
      <c r="BI502" s="634"/>
    </row>
    <row r="503" spans="1:61" ht="16.2" customHeight="1">
      <c r="A503" s="12"/>
      <c r="B503" s="446"/>
      <c r="C503" s="89"/>
      <c r="D503" s="13"/>
      <c r="E503" s="14"/>
      <c r="F503" s="14"/>
      <c r="G503" s="15"/>
      <c r="H503" s="8"/>
      <c r="I503" s="8"/>
      <c r="J503" s="89"/>
      <c r="K503" s="8"/>
      <c r="L503" s="8"/>
      <c r="M503" s="8" t="str">
        <f>IF(L503="","",
IF(AX503="PT",VLOOKUP(L503,Foundation_Calc!$V$4:$X$37,VLOOKUP(AX503,Foundation_Calc!$I$10:$J$13,2,FALSE),0),
IF(AX503="K",VLOOKUP(L503,Foundation_Calc!$V$41:$X$74,VLOOKUP(AX503,Foundation_Calc!$I$10:$J$13,2,FALSE),0),"")))</f>
        <v/>
      </c>
      <c r="N503" s="8"/>
      <c r="O503" s="8"/>
      <c r="P503" s="8"/>
      <c r="Q503" s="14"/>
      <c r="R503" s="15"/>
      <c r="S503" s="15"/>
      <c r="T503" s="14"/>
      <c r="U503" s="14"/>
      <c r="V503" s="14"/>
      <c r="W503" s="18"/>
      <c r="X503" s="18"/>
      <c r="Y503" s="18"/>
      <c r="Z503" s="18"/>
      <c r="AA503" s="18"/>
      <c r="AB503" s="18"/>
      <c r="AC503" s="8" t="str">
        <f t="shared" si="66"/>
        <v/>
      </c>
      <c r="AD503" s="8"/>
      <c r="AE503" s="8"/>
      <c r="AF503" s="14"/>
      <c r="AG503" s="13"/>
      <c r="AH503" s="14"/>
      <c r="AI503" s="14"/>
      <c r="AJ503" s="8"/>
      <c r="AK503" s="8"/>
      <c r="AL503" s="8"/>
      <c r="AM503" s="8"/>
      <c r="AN503" s="631"/>
      <c r="AO503" s="18"/>
      <c r="AP503" s="18"/>
      <c r="AQ503" s="18"/>
      <c r="AR503" s="18"/>
      <c r="AS503" s="18"/>
      <c r="AU503" s="448"/>
      <c r="AV503" s="448"/>
      <c r="AW503" s="8" t="str">
        <f>IF(C503&gt;0,VLOOKUP(C503,Foundation_Calc!$A$2:$C$986,3,1),
IF(J503&gt;0,VLOOKUP(J503,Foundation_Calc!$A$2:$C$986,3,1),""))</f>
        <v/>
      </c>
      <c r="AX503" s="8" t="str">
        <f>IF(C503&gt;0,VLOOKUP(C503,Foundation_Calc!$E$2:$G$986,3,1),
IF(J503&gt;0,VLOOKUP(J503,Foundation_Calc!$E$2:$G$986,3,1),""))</f>
        <v/>
      </c>
      <c r="AY503" s="631" t="str">
        <f>IF(L503="","",
IF(AX503="PT",VLOOKUP(L503,Foundation_Calc!$K$4:$R$37,VLOOKUP(AW503,Foundation_Calc!$I$2:$J$8,2,FALSE),0),
IF(AX503="K",VLOOKUP(L503,Foundation_Calc!$K$41:$R$74,VLOOKUP(AW503,Foundation_Calc!$I$2:$J$8,2,FALSE),0),"")))</f>
        <v/>
      </c>
      <c r="AZ503" s="631" t="str">
        <f>IF(K503="","",
IF(AX503="PT",VLOOKUP(K503,Foundation_Calc!$K$4:$R$37,VLOOKUP(AW503,Foundation_Calc!$I$2:$J$8,2,FALSE),0),
IF(AX503="K",VLOOKUP(K503,Foundation_Calc!$K$41:$R$74,VLOOKUP(AW503,Foundation_Calc!$I$2:$J$8,2,FALSE),0),"")))</f>
        <v/>
      </c>
      <c r="BA503" s="632" t="str">
        <f t="shared" si="67"/>
        <v/>
      </c>
      <c r="BB503" s="632" t="str">
        <f t="shared" si="68"/>
        <v/>
      </c>
      <c r="BC503" s="632" t="str">
        <f t="shared" si="69"/>
        <v/>
      </c>
      <c r="BD503" s="633" t="str">
        <f>IF(AND(L503="",H503=""),"",
IF(H503="",Pole_Calc!A531,
IF(H503="MP",Pole_Calc!A532,
IF(H503="AnMP",Pole_Calc!A533,
IF(H503="A",Pole_Calc!A534,
IF(H503="S/A",Pole_Calc!A535,
IF(H503="A/S",Pole_Calc!A536,"Poner a mano")))))))</f>
        <v/>
      </c>
      <c r="BE503" s="448" t="s">
        <v>1726</v>
      </c>
      <c r="BF503" s="635"/>
      <c r="BG503" s="635"/>
      <c r="BH503" s="634"/>
      <c r="BI503" s="635"/>
    </row>
    <row r="504" spans="1:61" ht="16.2" customHeight="1">
      <c r="A504" s="12"/>
      <c r="B504" s="446"/>
      <c r="C504" s="89"/>
      <c r="D504" s="13"/>
      <c r="E504" s="14"/>
      <c r="F504" s="14"/>
      <c r="G504" s="15"/>
      <c r="H504" s="8"/>
      <c r="I504" s="8"/>
      <c r="J504" s="89"/>
      <c r="K504" s="8"/>
      <c r="L504" s="8"/>
      <c r="M504" s="8" t="str">
        <f>IF(L504="","",
IF(AX504="PT",VLOOKUP(L504,Foundation_Calc!$V$4:$X$37,VLOOKUP(AX504,Foundation_Calc!$I$10:$J$13,2,FALSE),0),
IF(AX504="K",VLOOKUP(L504,Foundation_Calc!$V$41:$X$74,VLOOKUP(AX504,Foundation_Calc!$I$10:$J$13,2,FALSE),0),"")))</f>
        <v/>
      </c>
      <c r="N504" s="8"/>
      <c r="O504" s="8"/>
      <c r="P504" s="8"/>
      <c r="Q504" s="14"/>
      <c r="R504" s="15"/>
      <c r="S504" s="15"/>
      <c r="T504" s="14"/>
      <c r="U504" s="14"/>
      <c r="V504" s="14"/>
      <c r="W504" s="18"/>
      <c r="X504" s="18"/>
      <c r="Y504" s="18"/>
      <c r="Z504" s="18"/>
      <c r="AA504" s="18"/>
      <c r="AB504" s="18"/>
      <c r="AC504" s="8" t="str">
        <f t="shared" si="66"/>
        <v/>
      </c>
      <c r="AD504" s="8"/>
      <c r="AE504" s="8"/>
      <c r="AF504" s="14"/>
      <c r="AG504" s="13"/>
      <c r="AH504" s="14"/>
      <c r="AI504" s="14"/>
      <c r="AJ504" s="8"/>
      <c r="AK504" s="8"/>
      <c r="AL504" s="8"/>
      <c r="AM504" s="8"/>
      <c r="AN504" s="631"/>
      <c r="AO504" s="18"/>
      <c r="AP504" s="18"/>
      <c r="AQ504" s="18"/>
      <c r="AR504" s="18"/>
      <c r="AS504" s="18"/>
      <c r="AU504" s="448"/>
      <c r="AV504" s="448"/>
      <c r="AW504" s="8" t="str">
        <f>IF(C504&gt;0,VLOOKUP(C504,Foundation_Calc!$A$2:$C$986,3,1),
IF(J504&gt;0,VLOOKUP(J504,Foundation_Calc!$A$2:$C$986,3,1),""))</f>
        <v/>
      </c>
      <c r="AX504" s="8" t="str">
        <f>IF(C504&gt;0,VLOOKUP(C504,Foundation_Calc!$E$2:$G$986,3,1),
IF(J504&gt;0,VLOOKUP(J504,Foundation_Calc!$E$2:$G$986,3,1),""))</f>
        <v/>
      </c>
      <c r="AY504" s="631" t="str">
        <f>IF(L504="","",
IF(AX504="PT",VLOOKUP(L504,Foundation_Calc!$K$4:$R$37,VLOOKUP(AW504,Foundation_Calc!$I$2:$J$8,2,FALSE),0),
IF(AX504="K",VLOOKUP(L504,Foundation_Calc!$K$41:$R$74,VLOOKUP(AW504,Foundation_Calc!$I$2:$J$8,2,FALSE),0),"")))</f>
        <v/>
      </c>
      <c r="AZ504" s="631" t="str">
        <f>IF(K504="","",
IF(AX504="PT",VLOOKUP(K504,Foundation_Calc!$K$4:$R$37,VLOOKUP(AW504,Foundation_Calc!$I$2:$J$8,2,FALSE),0),
IF(AX504="K",VLOOKUP(K504,Foundation_Calc!$K$41:$R$74,VLOOKUP(AW504,Foundation_Calc!$I$2:$J$8,2,FALSE),0),"")))</f>
        <v/>
      </c>
      <c r="BA504" s="632" t="str">
        <f t="shared" si="67"/>
        <v/>
      </c>
      <c r="BB504" s="632" t="str">
        <f t="shared" si="68"/>
        <v/>
      </c>
      <c r="BC504" s="632" t="str">
        <f t="shared" si="69"/>
        <v/>
      </c>
      <c r="BD504" s="633" t="str">
        <f>IF(AND(L504="",H504=""),"",
IF(H504="",Pole_Calc!A532,
IF(H504="MP",Pole_Calc!A533,
IF(H504="AnMP",Pole_Calc!A534,
IF(H504="A",Pole_Calc!A535,
IF(H504="S/A",Pole_Calc!A536,
IF(H504="A/S",Pole_Calc!A537,"Poner a mano")))))))</f>
        <v/>
      </c>
      <c r="BE504" s="448" t="s">
        <v>1726</v>
      </c>
      <c r="BF504" s="634"/>
      <c r="BG504" s="634"/>
      <c r="BH504" s="634"/>
      <c r="BI504" s="634"/>
    </row>
    <row r="505" spans="1:61" ht="16.2" customHeight="1">
      <c r="A505" s="12"/>
      <c r="B505" s="446"/>
      <c r="C505" s="89"/>
      <c r="D505" s="13"/>
      <c r="E505" s="14"/>
      <c r="F505" s="14"/>
      <c r="G505" s="15"/>
      <c r="H505" s="8"/>
      <c r="I505" s="8"/>
      <c r="J505" s="89"/>
      <c r="K505" s="8"/>
      <c r="L505" s="8"/>
      <c r="M505" s="8" t="str">
        <f>IF(L505="","",
IF(AX505="PT",VLOOKUP(L505,Foundation_Calc!$V$4:$X$37,VLOOKUP(AX505,Foundation_Calc!$I$10:$J$13,2,FALSE),0),
IF(AX505="K",VLOOKUP(L505,Foundation_Calc!$V$41:$X$74,VLOOKUP(AX505,Foundation_Calc!$I$10:$J$13,2,FALSE),0),"")))</f>
        <v/>
      </c>
      <c r="N505" s="8"/>
      <c r="O505" s="8"/>
      <c r="P505" s="8"/>
      <c r="Q505" s="14"/>
      <c r="R505" s="15"/>
      <c r="S505" s="15"/>
      <c r="T505" s="14"/>
      <c r="U505" s="14"/>
      <c r="V505" s="14"/>
      <c r="W505" s="18"/>
      <c r="X505" s="18"/>
      <c r="Y505" s="18"/>
      <c r="Z505" s="18"/>
      <c r="AA505" s="18"/>
      <c r="AB505" s="18"/>
      <c r="AC505" s="8" t="str">
        <f t="shared" si="66"/>
        <v/>
      </c>
      <c r="AD505" s="8"/>
      <c r="AE505" s="8"/>
      <c r="AF505" s="14"/>
      <c r="AG505" s="13"/>
      <c r="AH505" s="14"/>
      <c r="AI505" s="14"/>
      <c r="AJ505" s="8"/>
      <c r="AK505" s="8"/>
      <c r="AL505" s="8"/>
      <c r="AM505" s="8"/>
      <c r="AN505" s="631"/>
      <c r="AO505" s="18"/>
      <c r="AP505" s="18"/>
      <c r="AQ505" s="18"/>
      <c r="AR505" s="18"/>
      <c r="AS505" s="18"/>
      <c r="AU505" s="448"/>
      <c r="AV505" s="448"/>
      <c r="AW505" s="8" t="str">
        <f>IF(C505&gt;0,VLOOKUP(C505,Foundation_Calc!$A$2:$C$986,3,1),
IF(J505&gt;0,VLOOKUP(J505,Foundation_Calc!$A$2:$C$986,3,1),""))</f>
        <v/>
      </c>
      <c r="AX505" s="8" t="str">
        <f>IF(C505&gt;0,VLOOKUP(C505,Foundation_Calc!$E$2:$G$986,3,1),
IF(J505&gt;0,VLOOKUP(J505,Foundation_Calc!$E$2:$G$986,3,1),""))</f>
        <v/>
      </c>
      <c r="AY505" s="631" t="str">
        <f>IF(L505="","",
IF(AX505="PT",VLOOKUP(L505,Foundation_Calc!$K$4:$R$37,VLOOKUP(AW505,Foundation_Calc!$I$2:$J$8,2,FALSE),0),
IF(AX505="K",VLOOKUP(L505,Foundation_Calc!$K$41:$R$74,VLOOKUP(AW505,Foundation_Calc!$I$2:$J$8,2,FALSE),0),"")))</f>
        <v/>
      </c>
      <c r="AZ505" s="631" t="str">
        <f>IF(K505="","",
IF(AX505="PT",VLOOKUP(K505,Foundation_Calc!$K$4:$R$37,VLOOKUP(AW505,Foundation_Calc!$I$2:$J$8,2,FALSE),0),
IF(AX505="K",VLOOKUP(K505,Foundation_Calc!$K$41:$R$74,VLOOKUP(AW505,Foundation_Calc!$I$2:$J$8,2,FALSE),0),"")))</f>
        <v/>
      </c>
      <c r="BA505" s="632" t="str">
        <f t="shared" si="67"/>
        <v/>
      </c>
      <c r="BB505" s="632" t="str">
        <f t="shared" si="68"/>
        <v/>
      </c>
      <c r="BC505" s="632" t="str">
        <f t="shared" si="69"/>
        <v/>
      </c>
      <c r="BD505" s="633" t="str">
        <f>IF(AND(L505="",H505=""),"",
IF(H505="",Pole_Calc!A533,
IF(H505="MP",Pole_Calc!A534,
IF(H505="AnMP",Pole_Calc!A535,
IF(H505="A",Pole_Calc!A536,
IF(H505="S/A",Pole_Calc!A537,
IF(H505="A/S",Pole_Calc!A538,"Poner a mano")))))))</f>
        <v/>
      </c>
      <c r="BE505" s="448" t="s">
        <v>1726</v>
      </c>
      <c r="BF505" s="635"/>
      <c r="BG505" s="635"/>
      <c r="BH505" s="634"/>
      <c r="BI505" s="635"/>
    </row>
    <row r="506" spans="1:61" ht="16.2" customHeight="1">
      <c r="A506" s="12"/>
      <c r="B506" s="446"/>
      <c r="C506" s="89"/>
      <c r="D506" s="13"/>
      <c r="E506" s="14"/>
      <c r="F506" s="14"/>
      <c r="G506" s="15"/>
      <c r="H506" s="8"/>
      <c r="I506" s="8"/>
      <c r="J506" s="89"/>
      <c r="K506" s="8"/>
      <c r="L506" s="8"/>
      <c r="M506" s="8" t="str">
        <f>IF(L506="","",
IF(AX506="PT",VLOOKUP(L506,Foundation_Calc!$V$4:$X$37,VLOOKUP(AX506,Foundation_Calc!$I$10:$J$13,2,FALSE),0),
IF(AX506="K",VLOOKUP(L506,Foundation_Calc!$V$41:$X$74,VLOOKUP(AX506,Foundation_Calc!$I$10:$J$13,2,FALSE),0),"")))</f>
        <v/>
      </c>
      <c r="N506" s="8"/>
      <c r="O506" s="8"/>
      <c r="P506" s="8"/>
      <c r="Q506" s="14"/>
      <c r="R506" s="15"/>
      <c r="S506" s="15"/>
      <c r="T506" s="14"/>
      <c r="U506" s="14"/>
      <c r="V506" s="14"/>
      <c r="W506" s="18"/>
      <c r="X506" s="18"/>
      <c r="Y506" s="18"/>
      <c r="Z506" s="18"/>
      <c r="AA506" s="18"/>
      <c r="AB506" s="18"/>
      <c r="AC506" s="8" t="str">
        <f t="shared" si="66"/>
        <v/>
      </c>
      <c r="AD506" s="8"/>
      <c r="AE506" s="8"/>
      <c r="AF506" s="14"/>
      <c r="AG506" s="13"/>
      <c r="AH506" s="14"/>
      <c r="AI506" s="14"/>
      <c r="AJ506" s="8"/>
      <c r="AK506" s="8"/>
      <c r="AL506" s="8"/>
      <c r="AM506" s="8"/>
      <c r="AN506" s="631"/>
      <c r="AO506" s="18"/>
      <c r="AP506" s="18"/>
      <c r="AQ506" s="18"/>
      <c r="AR506" s="18"/>
      <c r="AS506" s="18"/>
      <c r="AU506" s="448"/>
      <c r="AV506" s="448"/>
      <c r="AW506" s="8" t="str">
        <f>IF(C506&gt;0,VLOOKUP(C506,Foundation_Calc!$A$2:$C$986,3,1),
IF(J506&gt;0,VLOOKUP(J506,Foundation_Calc!$A$2:$C$986,3,1),""))</f>
        <v/>
      </c>
      <c r="AX506" s="8" t="str">
        <f>IF(C506&gt;0,VLOOKUP(C506,Foundation_Calc!$E$2:$G$986,3,1),
IF(J506&gt;0,VLOOKUP(J506,Foundation_Calc!$E$2:$G$986,3,1),""))</f>
        <v/>
      </c>
      <c r="AY506" s="631" t="str">
        <f>IF(L506="","",
IF(AX506="PT",VLOOKUP(L506,Foundation_Calc!$K$4:$R$37,VLOOKUP(AW506,Foundation_Calc!$I$2:$J$8,2,FALSE),0),
IF(AX506="K",VLOOKUP(L506,Foundation_Calc!$K$41:$R$74,VLOOKUP(AW506,Foundation_Calc!$I$2:$J$8,2,FALSE),0),"")))</f>
        <v/>
      </c>
      <c r="AZ506" s="631" t="str">
        <f>IF(K506="","",
IF(AX506="PT",VLOOKUP(K506,Foundation_Calc!$K$4:$R$37,VLOOKUP(AW506,Foundation_Calc!$I$2:$J$8,2,FALSE),0),
IF(AX506="K",VLOOKUP(K506,Foundation_Calc!$K$41:$R$74,VLOOKUP(AW506,Foundation_Calc!$I$2:$J$8,2,FALSE),0),"")))</f>
        <v/>
      </c>
      <c r="BA506" s="632" t="str">
        <f t="shared" si="67"/>
        <v/>
      </c>
      <c r="BB506" s="632" t="str">
        <f t="shared" si="68"/>
        <v/>
      </c>
      <c r="BC506" s="632" t="str">
        <f t="shared" si="69"/>
        <v/>
      </c>
      <c r="BD506" s="633" t="str">
        <f>IF(AND(L506="",H506=""),"",
IF(H506="",Pole_Calc!A534,
IF(H506="MP",Pole_Calc!A535,
IF(H506="AnMP",Pole_Calc!A536,
IF(H506="A",Pole_Calc!A537,
IF(H506="S/A",Pole_Calc!A538,
IF(H506="A/S",Pole_Calc!A539,"Poner a mano")))))))</f>
        <v/>
      </c>
      <c r="BE506" s="448" t="s">
        <v>1726</v>
      </c>
      <c r="BF506" s="634"/>
      <c r="BG506" s="634"/>
      <c r="BH506" s="634"/>
      <c r="BI506" s="634"/>
    </row>
    <row r="507" spans="1:61" ht="16.2" customHeight="1">
      <c r="A507" s="12"/>
      <c r="B507" s="446"/>
      <c r="C507" s="89"/>
      <c r="D507" s="13"/>
      <c r="E507" s="14"/>
      <c r="F507" s="14"/>
      <c r="G507" s="15"/>
      <c r="H507" s="8"/>
      <c r="I507" s="8"/>
      <c r="J507" s="89"/>
      <c r="K507" s="8"/>
      <c r="L507" s="8"/>
      <c r="M507" s="8" t="str">
        <f>IF(L507="","",
IF(AX507="PT",VLOOKUP(L507,Foundation_Calc!$V$4:$X$37,VLOOKUP(AX507,Foundation_Calc!$I$10:$J$13,2,FALSE),0),
IF(AX507="K",VLOOKUP(L507,Foundation_Calc!$V$41:$X$74,VLOOKUP(AX507,Foundation_Calc!$I$10:$J$13,2,FALSE),0),"")))</f>
        <v/>
      </c>
      <c r="N507" s="8"/>
      <c r="O507" s="8"/>
      <c r="P507" s="8"/>
      <c r="Q507" s="14"/>
      <c r="R507" s="15"/>
      <c r="S507" s="15"/>
      <c r="T507" s="14"/>
      <c r="U507" s="14"/>
      <c r="V507" s="14"/>
      <c r="W507" s="18"/>
      <c r="X507" s="18"/>
      <c r="Y507" s="18"/>
      <c r="Z507" s="18"/>
      <c r="AA507" s="18"/>
      <c r="AB507" s="18"/>
      <c r="AC507" s="8" t="str">
        <f t="shared" si="66"/>
        <v/>
      </c>
      <c r="AD507" s="8"/>
      <c r="AE507" s="8"/>
      <c r="AF507" s="14"/>
      <c r="AG507" s="13"/>
      <c r="AH507" s="14"/>
      <c r="AI507" s="14"/>
      <c r="AJ507" s="8"/>
      <c r="AK507" s="8"/>
      <c r="AL507" s="8"/>
      <c r="AM507" s="8"/>
      <c r="AN507" s="631"/>
      <c r="AO507" s="18"/>
      <c r="AP507" s="18"/>
      <c r="AQ507" s="18"/>
      <c r="AR507" s="18"/>
      <c r="AS507" s="18"/>
      <c r="AU507" s="448"/>
      <c r="AV507" s="448"/>
      <c r="AW507" s="8" t="str">
        <f>IF(C507&gt;0,VLOOKUP(C507,Foundation_Calc!$A$2:$C$986,3,1),
IF(J507&gt;0,VLOOKUP(J507,Foundation_Calc!$A$2:$C$986,3,1),""))</f>
        <v/>
      </c>
      <c r="AX507" s="8" t="str">
        <f>IF(C507&gt;0,VLOOKUP(C507,Foundation_Calc!$E$2:$G$986,3,1),
IF(J507&gt;0,VLOOKUP(J507,Foundation_Calc!$E$2:$G$986,3,1),""))</f>
        <v/>
      </c>
      <c r="AY507" s="631" t="str">
        <f>IF(L507="","",
IF(AX507="PT",VLOOKUP(L507,Foundation_Calc!$K$4:$R$37,VLOOKUP(AW507,Foundation_Calc!$I$2:$J$8,2,FALSE),0),
IF(AX507="K",VLOOKUP(L507,Foundation_Calc!$K$41:$R$74,VLOOKUP(AW507,Foundation_Calc!$I$2:$J$8,2,FALSE),0),"")))</f>
        <v/>
      </c>
      <c r="AZ507" s="631" t="str">
        <f>IF(K507="","",
IF(AX507="PT",VLOOKUP(K507,Foundation_Calc!$K$4:$R$37,VLOOKUP(AW507,Foundation_Calc!$I$2:$J$8,2,FALSE),0),
IF(AX507="K",VLOOKUP(K507,Foundation_Calc!$K$41:$R$74,VLOOKUP(AW507,Foundation_Calc!$I$2:$J$8,2,FALSE),0),"")))</f>
        <v/>
      </c>
      <c r="BA507" s="632" t="str">
        <f t="shared" si="67"/>
        <v/>
      </c>
      <c r="BB507" s="632" t="str">
        <f t="shared" si="68"/>
        <v/>
      </c>
      <c r="BC507" s="632" t="str">
        <f t="shared" si="69"/>
        <v/>
      </c>
      <c r="BD507" s="633" t="str">
        <f>IF(AND(L507="",H507=""),"",
IF(H507="",Pole_Calc!A535,
IF(H507="MP",Pole_Calc!A536,
IF(H507="AnMP",Pole_Calc!A537,
IF(H507="A",Pole_Calc!A538,
IF(H507="S/A",Pole_Calc!A539,
IF(H507="A/S",Pole_Calc!A540,"Poner a mano")))))))</f>
        <v/>
      </c>
      <c r="BE507" s="448" t="s">
        <v>1726</v>
      </c>
      <c r="BF507" s="635"/>
      <c r="BG507" s="635"/>
      <c r="BH507" s="634"/>
      <c r="BI507" s="635"/>
    </row>
    <row r="508" spans="1:61" ht="16.2" customHeight="1">
      <c r="A508" s="12"/>
      <c r="B508" s="446"/>
      <c r="C508" s="89"/>
      <c r="D508" s="13"/>
      <c r="E508" s="14"/>
      <c r="F508" s="14"/>
      <c r="G508" s="15"/>
      <c r="H508" s="8"/>
      <c r="I508" s="8"/>
      <c r="J508" s="89"/>
      <c r="K508" s="8"/>
      <c r="L508" s="8"/>
      <c r="M508" s="8" t="str">
        <f>IF(L508="","",
IF(AX508="PT",VLOOKUP(L508,Foundation_Calc!$V$4:$X$37,VLOOKUP(AX508,Foundation_Calc!$I$10:$J$13,2,FALSE),0),
IF(AX508="K",VLOOKUP(L508,Foundation_Calc!$V$41:$X$74,VLOOKUP(AX508,Foundation_Calc!$I$10:$J$13,2,FALSE),0),"")))</f>
        <v/>
      </c>
      <c r="N508" s="8"/>
      <c r="O508" s="8"/>
      <c r="P508" s="8"/>
      <c r="Q508" s="14"/>
      <c r="R508" s="15"/>
      <c r="S508" s="15"/>
      <c r="T508" s="14"/>
      <c r="U508" s="14"/>
      <c r="V508" s="14"/>
      <c r="W508" s="18"/>
      <c r="X508" s="18"/>
      <c r="Y508" s="18"/>
      <c r="Z508" s="18"/>
      <c r="AA508" s="18"/>
      <c r="AB508" s="18"/>
      <c r="AC508" s="8" t="str">
        <f t="shared" si="66"/>
        <v/>
      </c>
      <c r="AD508" s="8"/>
      <c r="AE508" s="8"/>
      <c r="AF508" s="14"/>
      <c r="AG508" s="13"/>
      <c r="AH508" s="14"/>
      <c r="AI508" s="14"/>
      <c r="AJ508" s="8"/>
      <c r="AK508" s="8"/>
      <c r="AL508" s="8"/>
      <c r="AM508" s="8"/>
      <c r="AN508" s="631"/>
      <c r="AO508" s="18"/>
      <c r="AP508" s="18"/>
      <c r="AQ508" s="18"/>
      <c r="AR508" s="18"/>
      <c r="AS508" s="18"/>
      <c r="AU508" s="448"/>
      <c r="AV508" s="448"/>
      <c r="AW508" s="8" t="str">
        <f>IF(C508&gt;0,VLOOKUP(C508,Foundation_Calc!$A$2:$C$986,3,1),
IF(J508&gt;0,VLOOKUP(J508,Foundation_Calc!$A$2:$C$986,3,1),""))</f>
        <v/>
      </c>
      <c r="AX508" s="8" t="str">
        <f>IF(C508&gt;0,VLOOKUP(C508,Foundation_Calc!$E$2:$G$986,3,1),
IF(J508&gt;0,VLOOKUP(J508,Foundation_Calc!$E$2:$G$986,3,1),""))</f>
        <v/>
      </c>
      <c r="AY508" s="631" t="str">
        <f>IF(L508="","",
IF(AX508="PT",VLOOKUP(L508,Foundation_Calc!$K$4:$R$37,VLOOKUP(AW508,Foundation_Calc!$I$2:$J$8,2,FALSE),0),
IF(AX508="K",VLOOKUP(L508,Foundation_Calc!$K$41:$R$74,VLOOKUP(AW508,Foundation_Calc!$I$2:$J$8,2,FALSE),0),"")))</f>
        <v/>
      </c>
      <c r="AZ508" s="631" t="str">
        <f>IF(K508="","",
IF(AX508="PT",VLOOKUP(K508,Foundation_Calc!$K$4:$R$37,VLOOKUP(AW508,Foundation_Calc!$I$2:$J$8,2,FALSE),0),
IF(AX508="K",VLOOKUP(K508,Foundation_Calc!$K$41:$R$74,VLOOKUP(AW508,Foundation_Calc!$I$2:$J$8,2,FALSE),0),"")))</f>
        <v/>
      </c>
      <c r="BA508" s="632" t="str">
        <f t="shared" si="67"/>
        <v/>
      </c>
      <c r="BB508" s="632" t="str">
        <f t="shared" si="68"/>
        <v/>
      </c>
      <c r="BC508" s="632" t="str">
        <f t="shared" si="69"/>
        <v/>
      </c>
      <c r="BD508" s="633" t="str">
        <f>IF(AND(L508="",H508=""),"",
IF(H508="",Pole_Calc!A536,
IF(H508="MP",Pole_Calc!A537,
IF(H508="AnMP",Pole_Calc!A538,
IF(H508="A",Pole_Calc!A539,
IF(H508="S/A",Pole_Calc!A540,
IF(H508="A/S",Pole_Calc!A541,"Poner a mano")))))))</f>
        <v/>
      </c>
      <c r="BE508" s="448" t="s">
        <v>1726</v>
      </c>
      <c r="BF508" s="634"/>
      <c r="BG508" s="634"/>
      <c r="BH508" s="634"/>
      <c r="BI508" s="634"/>
    </row>
    <row r="509" spans="1:61" ht="16.2" customHeight="1">
      <c r="A509" s="12"/>
      <c r="B509" s="446"/>
      <c r="C509" s="89"/>
      <c r="D509" s="13"/>
      <c r="E509" s="14"/>
      <c r="F509" s="14"/>
      <c r="G509" s="15"/>
      <c r="H509" s="8"/>
      <c r="I509" s="8"/>
      <c r="J509" s="89"/>
      <c r="K509" s="8"/>
      <c r="L509" s="8"/>
      <c r="M509" s="8" t="str">
        <f>IF(L509="","",
IF(AX509="PT",VLOOKUP(L509,Foundation_Calc!$V$4:$X$37,VLOOKUP(AX509,Foundation_Calc!$I$10:$J$13,2,FALSE),0),
IF(AX509="K",VLOOKUP(L509,Foundation_Calc!$V$41:$X$74,VLOOKUP(AX509,Foundation_Calc!$I$10:$J$13,2,FALSE),0),"")))</f>
        <v/>
      </c>
      <c r="N509" s="8"/>
      <c r="O509" s="8"/>
      <c r="P509" s="8"/>
      <c r="Q509" s="14"/>
      <c r="R509" s="15"/>
      <c r="S509" s="15"/>
      <c r="T509" s="14"/>
      <c r="U509" s="14"/>
      <c r="V509" s="14"/>
      <c r="W509" s="18"/>
      <c r="X509" s="18"/>
      <c r="Y509" s="18"/>
      <c r="Z509" s="18"/>
      <c r="AA509" s="18"/>
      <c r="AB509" s="18"/>
      <c r="AC509" s="8" t="str">
        <f t="shared" si="66"/>
        <v/>
      </c>
      <c r="AD509" s="8"/>
      <c r="AE509" s="8"/>
      <c r="AF509" s="14"/>
      <c r="AG509" s="13"/>
      <c r="AH509" s="14"/>
      <c r="AI509" s="14"/>
      <c r="AJ509" s="8"/>
      <c r="AK509" s="8"/>
      <c r="AL509" s="8"/>
      <c r="AM509" s="8"/>
      <c r="AN509" s="631"/>
      <c r="AO509" s="18"/>
      <c r="AP509" s="18"/>
      <c r="AQ509" s="18"/>
      <c r="AR509" s="18"/>
      <c r="AS509" s="18"/>
      <c r="AU509" s="448"/>
      <c r="AV509" s="448"/>
      <c r="AW509" s="8" t="str">
        <f>IF(C509&gt;0,VLOOKUP(C509,Foundation_Calc!$A$2:$C$986,3,1),
IF(J509&gt;0,VLOOKUP(J509,Foundation_Calc!$A$2:$C$986,3,1),""))</f>
        <v/>
      </c>
      <c r="AX509" s="8" t="str">
        <f>IF(C509&gt;0,VLOOKUP(C509,Foundation_Calc!$E$2:$G$986,3,1),
IF(J509&gt;0,VLOOKUP(J509,Foundation_Calc!$E$2:$G$986,3,1),""))</f>
        <v/>
      </c>
      <c r="AY509" s="631" t="str">
        <f>IF(L509="","",
IF(AX509="PT",VLOOKUP(L509,Foundation_Calc!$K$4:$R$37,VLOOKUP(AW509,Foundation_Calc!$I$2:$J$8,2,FALSE),0),
IF(AX509="K",VLOOKUP(L509,Foundation_Calc!$K$41:$R$74,VLOOKUP(AW509,Foundation_Calc!$I$2:$J$8,2,FALSE),0),"")))</f>
        <v/>
      </c>
      <c r="AZ509" s="631" t="str">
        <f>IF(K509="","",
IF(AX509="PT",VLOOKUP(K509,Foundation_Calc!$K$4:$R$37,VLOOKUP(AW509,Foundation_Calc!$I$2:$J$8,2,FALSE),0),
IF(AX509="K",VLOOKUP(K509,Foundation_Calc!$K$41:$R$74,VLOOKUP(AW509,Foundation_Calc!$I$2:$J$8,2,FALSE),0),"")))</f>
        <v/>
      </c>
      <c r="BA509" s="632" t="str">
        <f t="shared" si="67"/>
        <v/>
      </c>
      <c r="BB509" s="632" t="str">
        <f t="shared" si="68"/>
        <v/>
      </c>
      <c r="BC509" s="632" t="str">
        <f t="shared" si="69"/>
        <v/>
      </c>
      <c r="BD509" s="633" t="str">
        <f>IF(AND(L509="",H509=""),"",
IF(H509="",Pole_Calc!A537,
IF(H509="MP",Pole_Calc!A538,
IF(H509="AnMP",Pole_Calc!A539,
IF(H509="A",Pole_Calc!A540,
IF(H509="S/A",Pole_Calc!A541,
IF(H509="A/S",Pole_Calc!A542,"Poner a mano")))))))</f>
        <v/>
      </c>
      <c r="BE509" s="448" t="s">
        <v>1726</v>
      </c>
      <c r="BF509" s="635"/>
      <c r="BG509" s="635"/>
      <c r="BH509" s="634"/>
      <c r="BI509" s="635"/>
    </row>
    <row r="510" spans="1:61" ht="16.2" customHeight="1">
      <c r="A510" s="12"/>
      <c r="B510" s="446"/>
      <c r="C510" s="89"/>
      <c r="D510" s="13"/>
      <c r="E510" s="14"/>
      <c r="F510" s="14"/>
      <c r="G510" s="15"/>
      <c r="H510" s="8"/>
      <c r="I510" s="8"/>
      <c r="J510" s="89"/>
      <c r="K510" s="8"/>
      <c r="L510" s="8"/>
      <c r="M510" s="8" t="str">
        <f>IF(L510="","",
IF(AX510="PT",VLOOKUP(L510,Foundation_Calc!$V$4:$X$37,VLOOKUP(AX510,Foundation_Calc!$I$10:$J$13,2,FALSE),0),
IF(AX510="K",VLOOKUP(L510,Foundation_Calc!$V$41:$X$74,VLOOKUP(AX510,Foundation_Calc!$I$10:$J$13,2,FALSE),0),"")))</f>
        <v/>
      </c>
      <c r="N510" s="8"/>
      <c r="O510" s="8"/>
      <c r="P510" s="8"/>
      <c r="Q510" s="14"/>
      <c r="R510" s="15"/>
      <c r="S510" s="15"/>
      <c r="T510" s="14"/>
      <c r="U510" s="14"/>
      <c r="V510" s="14"/>
      <c r="W510" s="18"/>
      <c r="X510" s="18"/>
      <c r="Y510" s="18"/>
      <c r="Z510" s="18"/>
      <c r="AA510" s="18"/>
      <c r="AB510" s="18"/>
      <c r="AC510" s="8" t="str">
        <f t="shared" si="66"/>
        <v/>
      </c>
      <c r="AD510" s="8"/>
      <c r="AE510" s="8"/>
      <c r="AF510" s="14"/>
      <c r="AG510" s="13"/>
      <c r="AH510" s="14"/>
      <c r="AI510" s="14"/>
      <c r="AJ510" s="8"/>
      <c r="AK510" s="8"/>
      <c r="AL510" s="8"/>
      <c r="AM510" s="8"/>
      <c r="AN510" s="631"/>
      <c r="AO510" s="18"/>
      <c r="AP510" s="18"/>
      <c r="AQ510" s="18"/>
      <c r="AR510" s="18"/>
      <c r="AS510" s="18"/>
      <c r="AU510" s="448"/>
      <c r="AV510" s="448"/>
      <c r="AW510" s="8" t="str">
        <f>IF(C510&gt;0,VLOOKUP(C510,Foundation_Calc!$A$2:$C$986,3,1),
IF(J510&gt;0,VLOOKUP(J510,Foundation_Calc!$A$2:$C$986,3,1),""))</f>
        <v/>
      </c>
      <c r="AX510" s="8" t="str">
        <f>IF(C510&gt;0,VLOOKUP(C510,Foundation_Calc!$E$2:$G$986,3,1),
IF(J510&gt;0,VLOOKUP(J510,Foundation_Calc!$E$2:$G$986,3,1),""))</f>
        <v/>
      </c>
      <c r="AY510" s="631" t="str">
        <f>IF(L510="","",
IF(AX510="PT",VLOOKUP(L510,Foundation_Calc!$K$4:$R$37,VLOOKUP(AW510,Foundation_Calc!$I$2:$J$8,2,FALSE),0),
IF(AX510="K",VLOOKUP(L510,Foundation_Calc!$K$41:$R$74,VLOOKUP(AW510,Foundation_Calc!$I$2:$J$8,2,FALSE),0),"")))</f>
        <v/>
      </c>
      <c r="AZ510" s="631" t="str">
        <f>IF(K510="","",
IF(AX510="PT",VLOOKUP(K510,Foundation_Calc!$K$4:$R$37,VLOOKUP(AW510,Foundation_Calc!$I$2:$J$8,2,FALSE),0),
IF(AX510="K",VLOOKUP(K510,Foundation_Calc!$K$41:$R$74,VLOOKUP(AW510,Foundation_Calc!$I$2:$J$8,2,FALSE),0),"")))</f>
        <v/>
      </c>
      <c r="BA510" s="632" t="str">
        <f t="shared" si="67"/>
        <v/>
      </c>
      <c r="BB510" s="632" t="str">
        <f t="shared" si="68"/>
        <v/>
      </c>
      <c r="BC510" s="632" t="str">
        <f t="shared" si="69"/>
        <v/>
      </c>
      <c r="BD510" s="633" t="str">
        <f>IF(AND(L510="",H510=""),"",
IF(H510="",Pole_Calc!A538,
IF(H510="MP",Pole_Calc!A539,
IF(H510="AnMP",Pole_Calc!A540,
IF(H510="A",Pole_Calc!A541,
IF(H510="S/A",Pole_Calc!A542,
IF(H510="A/S",Pole_Calc!A543,"Poner a mano")))))))</f>
        <v/>
      </c>
      <c r="BE510" s="448" t="s">
        <v>1726</v>
      </c>
      <c r="BF510" s="634"/>
      <c r="BG510" s="634"/>
      <c r="BH510" s="634"/>
      <c r="BI510" s="634"/>
    </row>
    <row r="511" spans="1:61" ht="16.2" customHeight="1">
      <c r="A511" s="12"/>
      <c r="B511" s="446"/>
      <c r="C511" s="89"/>
      <c r="D511" s="13"/>
      <c r="E511" s="14"/>
      <c r="F511" s="14"/>
      <c r="G511" s="15"/>
      <c r="H511" s="8"/>
      <c r="I511" s="8"/>
      <c r="J511" s="89"/>
      <c r="K511" s="8"/>
      <c r="L511" s="8"/>
      <c r="M511" s="8" t="str">
        <f>IF(L511="","",
IF(AX511="PT",VLOOKUP(L511,Foundation_Calc!$V$4:$X$37,VLOOKUP(AX511,Foundation_Calc!$I$10:$J$13,2,FALSE),0),
IF(AX511="K",VLOOKUP(L511,Foundation_Calc!$V$41:$X$74,VLOOKUP(AX511,Foundation_Calc!$I$10:$J$13,2,FALSE),0),"")))</f>
        <v/>
      </c>
      <c r="N511" s="8"/>
      <c r="O511" s="8"/>
      <c r="P511" s="8"/>
      <c r="Q511" s="14"/>
      <c r="R511" s="15"/>
      <c r="S511" s="15"/>
      <c r="T511" s="14"/>
      <c r="U511" s="14"/>
      <c r="V511" s="14"/>
      <c r="W511" s="18"/>
      <c r="X511" s="18"/>
      <c r="Y511" s="18"/>
      <c r="Z511" s="18"/>
      <c r="AA511" s="18"/>
      <c r="AB511" s="18"/>
      <c r="AC511" s="8" t="str">
        <f t="shared" si="66"/>
        <v/>
      </c>
      <c r="AD511" s="8"/>
      <c r="AE511" s="8"/>
      <c r="AF511" s="14"/>
      <c r="AG511" s="13"/>
      <c r="AH511" s="14"/>
      <c r="AI511" s="14"/>
      <c r="AJ511" s="8"/>
      <c r="AK511" s="8"/>
      <c r="AL511" s="8"/>
      <c r="AM511" s="8"/>
      <c r="AN511" s="631"/>
      <c r="AO511" s="18"/>
      <c r="AP511" s="18"/>
      <c r="AQ511" s="18"/>
      <c r="AR511" s="18"/>
      <c r="AS511" s="18"/>
      <c r="AU511" s="448"/>
      <c r="AV511" s="448"/>
      <c r="AW511" s="8" t="str">
        <f>IF(C511&gt;0,VLOOKUP(C511,Foundation_Calc!$A$2:$C$986,3,1),
IF(J511&gt;0,VLOOKUP(J511,Foundation_Calc!$A$2:$C$986,3,1),""))</f>
        <v/>
      </c>
      <c r="AX511" s="8" t="str">
        <f>IF(C511&gt;0,VLOOKUP(C511,Foundation_Calc!$E$2:$G$986,3,1),
IF(J511&gt;0,VLOOKUP(J511,Foundation_Calc!$E$2:$G$986,3,1),""))</f>
        <v/>
      </c>
      <c r="AY511" s="631" t="str">
        <f>IF(L511="","",
IF(AX511="PT",VLOOKUP(L511,Foundation_Calc!$K$4:$R$37,VLOOKUP(AW511,Foundation_Calc!$I$2:$J$8,2,FALSE),0),
IF(AX511="K",VLOOKUP(L511,Foundation_Calc!$K$41:$R$74,VLOOKUP(AW511,Foundation_Calc!$I$2:$J$8,2,FALSE),0),"")))</f>
        <v/>
      </c>
      <c r="AZ511" s="631" t="str">
        <f>IF(K511="","",
IF(AX511="PT",VLOOKUP(K511,Foundation_Calc!$K$4:$R$37,VLOOKUP(AW511,Foundation_Calc!$I$2:$J$8,2,FALSE),0),
IF(AX511="K",VLOOKUP(K511,Foundation_Calc!$K$41:$R$74,VLOOKUP(AW511,Foundation_Calc!$I$2:$J$8,2,FALSE),0),"")))</f>
        <v/>
      </c>
      <c r="BA511" s="632" t="str">
        <f t="shared" si="67"/>
        <v/>
      </c>
      <c r="BB511" s="632" t="str">
        <f t="shared" si="68"/>
        <v/>
      </c>
      <c r="BC511" s="632" t="str">
        <f t="shared" si="69"/>
        <v/>
      </c>
      <c r="BD511" s="633" t="str">
        <f>IF(AND(L511="",H511=""),"",
IF(H511="",Pole_Calc!A539,
IF(H511="MP",Pole_Calc!A540,
IF(H511="AnMP",Pole_Calc!A541,
IF(H511="A",Pole_Calc!A542,
IF(H511="S/A",Pole_Calc!A543,
IF(H511="A/S",Pole_Calc!A544,"Poner a mano")))))))</f>
        <v/>
      </c>
      <c r="BE511" s="448" t="s">
        <v>1726</v>
      </c>
      <c r="BF511" s="635"/>
      <c r="BG511" s="635"/>
      <c r="BH511" s="634"/>
      <c r="BI511" s="635"/>
    </row>
    <row r="512" spans="1:61" ht="16.2" customHeight="1">
      <c r="A512" s="12"/>
      <c r="B512" s="446"/>
      <c r="C512" s="89"/>
      <c r="D512" s="13"/>
      <c r="E512" s="14"/>
      <c r="F512" s="14"/>
      <c r="G512" s="15"/>
      <c r="H512" s="8"/>
      <c r="I512" s="8"/>
      <c r="J512" s="89"/>
      <c r="K512" s="8"/>
      <c r="L512" s="8"/>
      <c r="M512" s="8" t="str">
        <f>IF(L512="","",
IF(AX512="PT",VLOOKUP(L512,Foundation_Calc!$V$4:$X$37,VLOOKUP(AX512,Foundation_Calc!$I$10:$J$13,2,FALSE),0),
IF(AX512="K",VLOOKUP(L512,Foundation_Calc!$V$41:$X$74,VLOOKUP(AX512,Foundation_Calc!$I$10:$J$13,2,FALSE),0),"")))</f>
        <v/>
      </c>
      <c r="N512" s="8"/>
      <c r="O512" s="8"/>
      <c r="P512" s="8"/>
      <c r="Q512" s="14"/>
      <c r="R512" s="15"/>
      <c r="S512" s="15"/>
      <c r="T512" s="14"/>
      <c r="U512" s="14"/>
      <c r="V512" s="14"/>
      <c r="W512" s="18"/>
      <c r="X512" s="18"/>
      <c r="Y512" s="18"/>
      <c r="Z512" s="18"/>
      <c r="AA512" s="18"/>
      <c r="AB512" s="18"/>
      <c r="AC512" s="8" t="str">
        <f t="shared" si="66"/>
        <v/>
      </c>
      <c r="AD512" s="8"/>
      <c r="AE512" s="8"/>
      <c r="AF512" s="14"/>
      <c r="AG512" s="13"/>
      <c r="AH512" s="14"/>
      <c r="AI512" s="14"/>
      <c r="AJ512" s="8"/>
      <c r="AK512" s="8"/>
      <c r="AL512" s="8"/>
      <c r="AM512" s="8"/>
      <c r="AN512" s="631"/>
      <c r="AO512" s="18"/>
      <c r="AP512" s="18"/>
      <c r="AQ512" s="18"/>
      <c r="AR512" s="18"/>
      <c r="AS512" s="18"/>
      <c r="AU512" s="448"/>
      <c r="AV512" s="448"/>
      <c r="AW512" s="8" t="str">
        <f>IF(C512&gt;0,VLOOKUP(C512,Foundation_Calc!$A$2:$C$986,3,1),
IF(J512&gt;0,VLOOKUP(J512,Foundation_Calc!$A$2:$C$986,3,1),""))</f>
        <v/>
      </c>
      <c r="AX512" s="8" t="str">
        <f>IF(C512&gt;0,VLOOKUP(C512,Foundation_Calc!$E$2:$G$986,3,1),
IF(J512&gt;0,VLOOKUP(J512,Foundation_Calc!$E$2:$G$986,3,1),""))</f>
        <v/>
      </c>
      <c r="AY512" s="631" t="str">
        <f>IF(L512="","",
IF(AX512="PT",VLOOKUP(L512,Foundation_Calc!$K$4:$R$37,VLOOKUP(AW512,Foundation_Calc!$I$2:$J$8,2,FALSE),0),
IF(AX512="K",VLOOKUP(L512,Foundation_Calc!$K$41:$R$74,VLOOKUP(AW512,Foundation_Calc!$I$2:$J$8,2,FALSE),0),"")))</f>
        <v/>
      </c>
      <c r="AZ512" s="631" t="str">
        <f>IF(K512="","",
IF(AX512="PT",VLOOKUP(K512,Foundation_Calc!$K$4:$R$37,VLOOKUP(AW512,Foundation_Calc!$I$2:$J$8,2,FALSE),0),
IF(AX512="K",VLOOKUP(K512,Foundation_Calc!$K$41:$R$74,VLOOKUP(AW512,Foundation_Calc!$I$2:$J$8,2,FALSE),0),"")))</f>
        <v/>
      </c>
      <c r="BA512" s="632" t="str">
        <f t="shared" si="67"/>
        <v/>
      </c>
      <c r="BB512" s="632" t="str">
        <f t="shared" si="68"/>
        <v/>
      </c>
      <c r="BC512" s="632" t="str">
        <f t="shared" si="69"/>
        <v/>
      </c>
      <c r="BD512" s="633" t="str">
        <f>IF(AND(L512="",H512=""),"",
IF(H512="",Pole_Calc!A540,
IF(H512="MP",Pole_Calc!A541,
IF(H512="AnMP",Pole_Calc!A542,
IF(H512="A",Pole_Calc!A543,
IF(H512="S/A",Pole_Calc!A544,
IF(H512="A/S",Pole_Calc!A545,"Poner a mano")))))))</f>
        <v/>
      </c>
      <c r="BE512" s="448" t="s">
        <v>1726</v>
      </c>
      <c r="BF512" s="634"/>
      <c r="BG512" s="634"/>
      <c r="BH512" s="634"/>
      <c r="BI512" s="634"/>
    </row>
    <row r="513" spans="1:61" ht="16.2" customHeight="1">
      <c r="A513" s="12"/>
      <c r="B513" s="446"/>
      <c r="C513" s="89"/>
      <c r="D513" s="13"/>
      <c r="E513" s="14"/>
      <c r="F513" s="14"/>
      <c r="G513" s="15"/>
      <c r="H513" s="8"/>
      <c r="I513" s="8"/>
      <c r="J513" s="89"/>
      <c r="K513" s="8"/>
      <c r="L513" s="8"/>
      <c r="M513" s="8" t="str">
        <f>IF(L513="","",
IF(AX513="PT",VLOOKUP(L513,Foundation_Calc!$V$4:$X$37,VLOOKUP(AX513,Foundation_Calc!$I$10:$J$13,2,FALSE),0),
IF(AX513="K",VLOOKUP(L513,Foundation_Calc!$V$41:$X$74,VLOOKUP(AX513,Foundation_Calc!$I$10:$J$13,2,FALSE),0),"")))</f>
        <v/>
      </c>
      <c r="N513" s="8"/>
      <c r="O513" s="8"/>
      <c r="P513" s="8"/>
      <c r="Q513" s="14"/>
      <c r="R513" s="15"/>
      <c r="S513" s="15"/>
      <c r="T513" s="14"/>
      <c r="U513" s="14"/>
      <c r="V513" s="14"/>
      <c r="W513" s="18"/>
      <c r="X513" s="18"/>
      <c r="Y513" s="18"/>
      <c r="Z513" s="18"/>
      <c r="AA513" s="18"/>
      <c r="AB513" s="18"/>
      <c r="AC513" s="8" t="str">
        <f t="shared" si="66"/>
        <v/>
      </c>
      <c r="AD513" s="8"/>
      <c r="AE513" s="8"/>
      <c r="AF513" s="14"/>
      <c r="AG513" s="13"/>
      <c r="AH513" s="14"/>
      <c r="AI513" s="14"/>
      <c r="AJ513" s="8"/>
      <c r="AK513" s="8"/>
      <c r="AL513" s="8"/>
      <c r="AM513" s="8"/>
      <c r="AN513" s="631"/>
      <c r="AO513" s="18"/>
      <c r="AP513" s="18"/>
      <c r="AQ513" s="18"/>
      <c r="AR513" s="18"/>
      <c r="AS513" s="18"/>
      <c r="AU513" s="448"/>
      <c r="AV513" s="448"/>
      <c r="AW513" s="8" t="str">
        <f>IF(C513&gt;0,VLOOKUP(C513,Foundation_Calc!$A$2:$C$986,3,1),
IF(J513&gt;0,VLOOKUP(J513,Foundation_Calc!$A$2:$C$986,3,1),""))</f>
        <v/>
      </c>
      <c r="AX513" s="8" t="str">
        <f>IF(C513&gt;0,VLOOKUP(C513,Foundation_Calc!$E$2:$G$986,3,1),
IF(J513&gt;0,VLOOKUP(J513,Foundation_Calc!$E$2:$G$986,3,1),""))</f>
        <v/>
      </c>
      <c r="AY513" s="631" t="str">
        <f>IF(L513="","",
IF(AX513="PT",VLOOKUP(L513,Foundation_Calc!$K$4:$R$37,VLOOKUP(AW513,Foundation_Calc!$I$2:$J$8,2,FALSE),0),
IF(AX513="K",VLOOKUP(L513,Foundation_Calc!$K$41:$R$74,VLOOKUP(AW513,Foundation_Calc!$I$2:$J$8,2,FALSE),0),"")))</f>
        <v/>
      </c>
      <c r="AZ513" s="631" t="str">
        <f>IF(K513="","",
IF(AX513="PT",VLOOKUP(K513,Foundation_Calc!$K$4:$R$37,VLOOKUP(AW513,Foundation_Calc!$I$2:$J$8,2,FALSE),0),
IF(AX513="K",VLOOKUP(K513,Foundation_Calc!$K$41:$R$74,VLOOKUP(AW513,Foundation_Calc!$I$2:$J$8,2,FALSE),0),"")))</f>
        <v/>
      </c>
      <c r="BA513" s="632" t="str">
        <f t="shared" si="67"/>
        <v/>
      </c>
      <c r="BB513" s="632" t="str">
        <f t="shared" si="68"/>
        <v/>
      </c>
      <c r="BC513" s="632" t="str">
        <f t="shared" si="69"/>
        <v/>
      </c>
      <c r="BD513" s="633" t="str">
        <f>IF(AND(L513="",H513=""),"",
IF(H513="",Pole_Calc!A541,
IF(H513="MP",Pole_Calc!A542,
IF(H513="AnMP",Pole_Calc!A543,
IF(H513="A",Pole_Calc!A544,
IF(H513="S/A",Pole_Calc!A545,
IF(H513="A/S",Pole_Calc!A546,"Poner a mano")))))))</f>
        <v/>
      </c>
      <c r="BE513" s="448" t="s">
        <v>1726</v>
      </c>
      <c r="BF513" s="635"/>
      <c r="BG513" s="635"/>
      <c r="BH513" s="634"/>
      <c r="BI513" s="635"/>
    </row>
    <row r="514" spans="1:61" ht="16.2" customHeight="1">
      <c r="A514" s="12"/>
      <c r="B514" s="446"/>
      <c r="C514" s="89"/>
      <c r="D514" s="13"/>
      <c r="E514" s="14"/>
      <c r="F514" s="14"/>
      <c r="G514" s="15"/>
      <c r="H514" s="8"/>
      <c r="I514" s="8"/>
      <c r="J514" s="89"/>
      <c r="K514" s="8"/>
      <c r="L514" s="8"/>
      <c r="M514" s="8" t="str">
        <f>IF(L514="","",
IF(AX514="PT",VLOOKUP(L514,Foundation_Calc!$V$4:$X$37,VLOOKUP(AX514,Foundation_Calc!$I$10:$J$13,2,FALSE),0),
IF(AX514="K",VLOOKUP(L514,Foundation_Calc!$V$41:$X$74,VLOOKUP(AX514,Foundation_Calc!$I$10:$J$13,2,FALSE),0),"")))</f>
        <v/>
      </c>
      <c r="N514" s="8"/>
      <c r="O514" s="8"/>
      <c r="P514" s="8"/>
      <c r="Q514" s="14"/>
      <c r="R514" s="15"/>
      <c r="S514" s="15"/>
      <c r="T514" s="14"/>
      <c r="U514" s="14"/>
      <c r="V514" s="14"/>
      <c r="W514" s="18"/>
      <c r="X514" s="18"/>
      <c r="Y514" s="18"/>
      <c r="Z514" s="18"/>
      <c r="AA514" s="18"/>
      <c r="AB514" s="18"/>
      <c r="AC514" s="8" t="str">
        <f t="shared" si="66"/>
        <v/>
      </c>
      <c r="AD514" s="8"/>
      <c r="AE514" s="8"/>
      <c r="AF514" s="14"/>
      <c r="AG514" s="13"/>
      <c r="AH514" s="14"/>
      <c r="AI514" s="14"/>
      <c r="AJ514" s="8"/>
      <c r="AK514" s="8"/>
      <c r="AL514" s="8"/>
      <c r="AM514" s="8"/>
      <c r="AN514" s="631"/>
      <c r="AO514" s="18"/>
      <c r="AP514" s="18"/>
      <c r="AQ514" s="18"/>
      <c r="AR514" s="18"/>
      <c r="AS514" s="18"/>
      <c r="AU514" s="448"/>
      <c r="AV514" s="448"/>
      <c r="AW514" s="8" t="str">
        <f>IF(C514&gt;0,VLOOKUP(C514,Foundation_Calc!$A$2:$C$986,3,1),
IF(J514&gt;0,VLOOKUP(J514,Foundation_Calc!$A$2:$C$986,3,1),""))</f>
        <v/>
      </c>
      <c r="AX514" s="8" t="str">
        <f>IF(C514&gt;0,VLOOKUP(C514,Foundation_Calc!$E$2:$G$986,3,1),
IF(J514&gt;0,VLOOKUP(J514,Foundation_Calc!$E$2:$G$986,3,1),""))</f>
        <v/>
      </c>
      <c r="AY514" s="631" t="str">
        <f>IF(L514="","",
IF(AX514="PT",VLOOKUP(L514,Foundation_Calc!$K$4:$R$37,VLOOKUP(AW514,Foundation_Calc!$I$2:$J$8,2,FALSE),0),
IF(AX514="K",VLOOKUP(L514,Foundation_Calc!$K$41:$R$74,VLOOKUP(AW514,Foundation_Calc!$I$2:$J$8,2,FALSE),0),"")))</f>
        <v/>
      </c>
      <c r="AZ514" s="631" t="str">
        <f>IF(K514="","",
IF(AX514="PT",VLOOKUP(K514,Foundation_Calc!$K$4:$R$37,VLOOKUP(AW514,Foundation_Calc!$I$2:$J$8,2,FALSE),0),
IF(AX514="K",VLOOKUP(K514,Foundation_Calc!$K$41:$R$74,VLOOKUP(AW514,Foundation_Calc!$I$2:$J$8,2,FALSE),0),"")))</f>
        <v/>
      </c>
      <c r="BA514" s="632" t="str">
        <f t="shared" si="67"/>
        <v/>
      </c>
      <c r="BB514" s="632" t="str">
        <f t="shared" si="68"/>
        <v/>
      </c>
      <c r="BC514" s="632" t="str">
        <f t="shared" si="69"/>
        <v/>
      </c>
      <c r="BD514" s="633" t="str">
        <f>IF(AND(L514="",H514=""),"",
IF(H514="",Pole_Calc!A542,
IF(H514="MP",Pole_Calc!A543,
IF(H514="AnMP",Pole_Calc!A544,
IF(H514="A",Pole_Calc!A545,
IF(H514="S/A",Pole_Calc!A546,
IF(H514="A/S",Pole_Calc!A547,"Poner a mano")))))))</f>
        <v/>
      </c>
      <c r="BE514" s="448" t="s">
        <v>1726</v>
      </c>
      <c r="BF514" s="634"/>
      <c r="BG514" s="634"/>
      <c r="BH514" s="634"/>
      <c r="BI514" s="634"/>
    </row>
    <row r="515" spans="1:61" ht="16.2" customHeight="1">
      <c r="A515" s="12"/>
      <c r="B515" s="446"/>
      <c r="C515" s="89"/>
      <c r="D515" s="13"/>
      <c r="E515" s="14"/>
      <c r="F515" s="14"/>
      <c r="G515" s="15"/>
      <c r="H515" s="8"/>
      <c r="I515" s="8"/>
      <c r="J515" s="89"/>
      <c r="K515" s="8"/>
      <c r="L515" s="8"/>
      <c r="M515" s="8" t="str">
        <f>IF(L515="","",
IF(AX515="PT",VLOOKUP(L515,Foundation_Calc!$V$4:$X$37,VLOOKUP(AX515,Foundation_Calc!$I$10:$J$13,2,FALSE),0),
IF(AX515="K",VLOOKUP(L515,Foundation_Calc!$V$41:$X$74,VLOOKUP(AX515,Foundation_Calc!$I$10:$J$13,2,FALSE),0),"")))</f>
        <v/>
      </c>
      <c r="N515" s="8"/>
      <c r="O515" s="8"/>
      <c r="P515" s="8"/>
      <c r="Q515" s="14"/>
      <c r="R515" s="15"/>
      <c r="S515" s="15"/>
      <c r="T515" s="14"/>
      <c r="U515" s="14"/>
      <c r="V515" s="14"/>
      <c r="W515" s="18"/>
      <c r="X515" s="18"/>
      <c r="Y515" s="18"/>
      <c r="Z515" s="18"/>
      <c r="AA515" s="18"/>
      <c r="AB515" s="18"/>
      <c r="AC515" s="8" t="str">
        <f t="shared" si="66"/>
        <v/>
      </c>
      <c r="AD515" s="8"/>
      <c r="AE515" s="8"/>
      <c r="AF515" s="14"/>
      <c r="AG515" s="13"/>
      <c r="AH515" s="14"/>
      <c r="AI515" s="14"/>
      <c r="AJ515" s="8"/>
      <c r="AK515" s="8"/>
      <c r="AL515" s="8"/>
      <c r="AM515" s="8"/>
      <c r="AN515" s="631"/>
      <c r="AO515" s="18"/>
      <c r="AP515" s="18"/>
      <c r="AQ515" s="18"/>
      <c r="AR515" s="18"/>
      <c r="AS515" s="18"/>
      <c r="AU515" s="448"/>
      <c r="AV515" s="448"/>
      <c r="AW515" s="8" t="str">
        <f>IF(C515&gt;0,VLOOKUP(C515,Foundation_Calc!$A$2:$C$986,3,1),
IF(J515&gt;0,VLOOKUP(J515,Foundation_Calc!$A$2:$C$986,3,1),""))</f>
        <v/>
      </c>
      <c r="AX515" s="8" t="str">
        <f>IF(C515&gt;0,VLOOKUP(C515,Foundation_Calc!$E$2:$G$986,3,1),
IF(J515&gt;0,VLOOKUP(J515,Foundation_Calc!$E$2:$G$986,3,1),""))</f>
        <v/>
      </c>
      <c r="AY515" s="631" t="str">
        <f>IF(L515="","",
IF(AX515="PT",VLOOKUP(L515,Foundation_Calc!$K$4:$R$37,VLOOKUP(AW515,Foundation_Calc!$I$2:$J$8,2,FALSE),0),
IF(AX515="K",VLOOKUP(L515,Foundation_Calc!$K$41:$R$74,VLOOKUP(AW515,Foundation_Calc!$I$2:$J$8,2,FALSE),0),"")))</f>
        <v/>
      </c>
      <c r="AZ515" s="631" t="str">
        <f>IF(K515="","",
IF(AX515="PT",VLOOKUP(K515,Foundation_Calc!$K$4:$R$37,VLOOKUP(AW515,Foundation_Calc!$I$2:$J$8,2,FALSE),0),
IF(AX515="K",VLOOKUP(K515,Foundation_Calc!$K$41:$R$74,VLOOKUP(AW515,Foundation_Calc!$I$2:$J$8,2,FALSE),0),"")))</f>
        <v/>
      </c>
      <c r="BA515" s="632" t="str">
        <f t="shared" si="67"/>
        <v/>
      </c>
      <c r="BB515" s="632" t="str">
        <f t="shared" si="68"/>
        <v/>
      </c>
      <c r="BC515" s="632" t="str">
        <f t="shared" si="69"/>
        <v/>
      </c>
      <c r="BD515" s="633" t="str">
        <f>IF(AND(L515="",H515=""),"",
IF(H515="",Pole_Calc!A543,
IF(H515="MP",Pole_Calc!A544,
IF(H515="AnMP",Pole_Calc!A545,
IF(H515="A",Pole_Calc!A546,
IF(H515="S/A",Pole_Calc!A547,
IF(H515="A/S",Pole_Calc!A548,"Poner a mano")))))))</f>
        <v/>
      </c>
      <c r="BE515" s="448" t="s">
        <v>1726</v>
      </c>
      <c r="BF515" s="635"/>
      <c r="BG515" s="635"/>
      <c r="BH515" s="634"/>
      <c r="BI515" s="635"/>
    </row>
    <row r="516" spans="1:61" ht="16.2" customHeight="1">
      <c r="A516" s="12"/>
      <c r="B516" s="446"/>
      <c r="C516" s="89"/>
      <c r="D516" s="13"/>
      <c r="E516" s="14"/>
      <c r="F516" s="14"/>
      <c r="G516" s="15"/>
      <c r="H516" s="8"/>
      <c r="I516" s="8"/>
      <c r="J516" s="89"/>
      <c r="K516" s="8"/>
      <c r="L516" s="8"/>
      <c r="M516" s="8" t="str">
        <f>IF(L516="","",
IF(AX516="PT",VLOOKUP(L516,Foundation_Calc!$V$4:$X$37,VLOOKUP(AX516,Foundation_Calc!$I$10:$J$13,2,FALSE),0),
IF(AX516="K",VLOOKUP(L516,Foundation_Calc!$V$41:$X$74,VLOOKUP(AX516,Foundation_Calc!$I$10:$J$13,2,FALSE),0),"")))</f>
        <v/>
      </c>
      <c r="N516" s="8"/>
      <c r="O516" s="8"/>
      <c r="P516" s="8"/>
      <c r="Q516" s="14"/>
      <c r="R516" s="15"/>
      <c r="S516" s="15"/>
      <c r="T516" s="14"/>
      <c r="U516" s="14"/>
      <c r="V516" s="14"/>
      <c r="W516" s="18"/>
      <c r="X516" s="18"/>
      <c r="Y516" s="18"/>
      <c r="Z516" s="18"/>
      <c r="AA516" s="18"/>
      <c r="AB516" s="18"/>
      <c r="AC516" s="8" t="str">
        <f t="shared" si="66"/>
        <v/>
      </c>
      <c r="AD516" s="8"/>
      <c r="AE516" s="8"/>
      <c r="AF516" s="14"/>
      <c r="AG516" s="13"/>
      <c r="AH516" s="14"/>
      <c r="AI516" s="14"/>
      <c r="AJ516" s="8"/>
      <c r="AK516" s="8"/>
      <c r="AL516" s="8"/>
      <c r="AM516" s="8"/>
      <c r="AN516" s="631"/>
      <c r="AO516" s="18"/>
      <c r="AP516" s="18"/>
      <c r="AQ516" s="18"/>
      <c r="AR516" s="18"/>
      <c r="AS516" s="18"/>
      <c r="AU516" s="448"/>
      <c r="AV516" s="448"/>
      <c r="AW516" s="8" t="str">
        <f>IF(C516&gt;0,VLOOKUP(C516,Foundation_Calc!$A$2:$C$986,3,1),
IF(J516&gt;0,VLOOKUP(J516,Foundation_Calc!$A$2:$C$986,3,1),""))</f>
        <v/>
      </c>
      <c r="AX516" s="8" t="str">
        <f>IF(C516&gt;0,VLOOKUP(C516,Foundation_Calc!$E$2:$G$986,3,1),
IF(J516&gt;0,VLOOKUP(J516,Foundation_Calc!$E$2:$G$986,3,1),""))</f>
        <v/>
      </c>
      <c r="AY516" s="631" t="str">
        <f>IF(L516="","",
IF(AX516="PT",VLOOKUP(L516,Foundation_Calc!$K$4:$R$37,VLOOKUP(AW516,Foundation_Calc!$I$2:$J$8,2,FALSE),0),
IF(AX516="K",VLOOKUP(L516,Foundation_Calc!$K$41:$R$74,VLOOKUP(AW516,Foundation_Calc!$I$2:$J$8,2,FALSE),0),"")))</f>
        <v/>
      </c>
      <c r="AZ516" s="631" t="str">
        <f>IF(K516="","",
IF(AX516="PT",VLOOKUP(K516,Foundation_Calc!$K$4:$R$37,VLOOKUP(AW516,Foundation_Calc!$I$2:$J$8,2,FALSE),0),
IF(AX516="K",VLOOKUP(K516,Foundation_Calc!$K$41:$R$74,VLOOKUP(AW516,Foundation_Calc!$I$2:$J$8,2,FALSE),0),"")))</f>
        <v/>
      </c>
      <c r="BA516" s="632" t="str">
        <f t="shared" si="67"/>
        <v/>
      </c>
      <c r="BB516" s="632" t="str">
        <f t="shared" si="68"/>
        <v/>
      </c>
      <c r="BC516" s="632" t="str">
        <f t="shared" si="69"/>
        <v/>
      </c>
      <c r="BD516" s="633" t="str">
        <f>IF(AND(L516="",H516=""),"",
IF(H516="",Pole_Calc!A544,
IF(H516="MP",Pole_Calc!A545,
IF(H516="AnMP",Pole_Calc!A546,
IF(H516="A",Pole_Calc!A547,
IF(H516="S/A",Pole_Calc!A548,
IF(H516="A/S",Pole_Calc!A549,"Poner a mano")))))))</f>
        <v/>
      </c>
      <c r="BE516" s="448" t="s">
        <v>1726</v>
      </c>
      <c r="BF516" s="634"/>
      <c r="BG516" s="634"/>
      <c r="BH516" s="634"/>
      <c r="BI516" s="634"/>
    </row>
    <row r="517" spans="1:61" ht="16.2" customHeight="1">
      <c r="A517" s="12"/>
      <c r="B517" s="446"/>
      <c r="C517" s="89"/>
      <c r="D517" s="13"/>
      <c r="E517" s="14"/>
      <c r="F517" s="14"/>
      <c r="G517" s="15"/>
      <c r="H517" s="8"/>
      <c r="I517" s="8"/>
      <c r="J517" s="89"/>
      <c r="K517" s="8"/>
      <c r="L517" s="8"/>
      <c r="M517" s="8" t="str">
        <f>IF(L517="","",
IF(AX517="PT",VLOOKUP(L517,Foundation_Calc!$V$4:$X$37,VLOOKUP(AX517,Foundation_Calc!$I$10:$J$13,2,FALSE),0),
IF(AX517="K",VLOOKUP(L517,Foundation_Calc!$V$41:$X$74,VLOOKUP(AX517,Foundation_Calc!$I$10:$J$13,2,FALSE),0),"")))</f>
        <v/>
      </c>
      <c r="N517" s="8"/>
      <c r="O517" s="8"/>
      <c r="P517" s="8"/>
      <c r="Q517" s="14"/>
      <c r="R517" s="15"/>
      <c r="S517" s="15"/>
      <c r="T517" s="14"/>
      <c r="U517" s="14"/>
      <c r="V517" s="14"/>
      <c r="W517" s="18"/>
      <c r="X517" s="18"/>
      <c r="Y517" s="18"/>
      <c r="Z517" s="18"/>
      <c r="AA517" s="18"/>
      <c r="AB517" s="18"/>
      <c r="AC517" s="8" t="str">
        <f t="shared" si="66"/>
        <v/>
      </c>
      <c r="AD517" s="8"/>
      <c r="AE517" s="8"/>
      <c r="AF517" s="14"/>
      <c r="AG517" s="13"/>
      <c r="AH517" s="14"/>
      <c r="AI517" s="14"/>
      <c r="AJ517" s="8"/>
      <c r="AK517" s="8"/>
      <c r="AL517" s="8"/>
      <c r="AM517" s="8"/>
      <c r="AN517" s="631"/>
      <c r="AO517" s="18"/>
      <c r="AP517" s="18"/>
      <c r="AQ517" s="18"/>
      <c r="AR517" s="18"/>
      <c r="AS517" s="18"/>
      <c r="AU517" s="448"/>
      <c r="AV517" s="448"/>
      <c r="AW517" s="8" t="str">
        <f>IF(C517&gt;0,VLOOKUP(C517,Foundation_Calc!$A$2:$C$986,3,1),
IF(J517&gt;0,VLOOKUP(J517,Foundation_Calc!$A$2:$C$986,3,1),""))</f>
        <v/>
      </c>
      <c r="AX517" s="8" t="str">
        <f>IF(C517&gt;0,VLOOKUP(C517,Foundation_Calc!$E$2:$G$986,3,1),
IF(J517&gt;0,VLOOKUP(J517,Foundation_Calc!$E$2:$G$986,3,1),""))</f>
        <v/>
      </c>
      <c r="AY517" s="631" t="str">
        <f>IF(L517="","",
IF(AX517="PT",VLOOKUP(L517,Foundation_Calc!$K$4:$R$37,VLOOKUP(AW517,Foundation_Calc!$I$2:$J$8,2,FALSE),0),
IF(AX517="K",VLOOKUP(L517,Foundation_Calc!$K$41:$R$74,VLOOKUP(AW517,Foundation_Calc!$I$2:$J$8,2,FALSE),0),"")))</f>
        <v/>
      </c>
      <c r="AZ517" s="631" t="str">
        <f>IF(K517="","",
IF(AX517="PT",VLOOKUP(K517,Foundation_Calc!$K$4:$R$37,VLOOKUP(AW517,Foundation_Calc!$I$2:$J$8,2,FALSE),0),
IF(AX517="K",VLOOKUP(K517,Foundation_Calc!$K$41:$R$74,VLOOKUP(AW517,Foundation_Calc!$I$2:$J$8,2,FALSE),0),"")))</f>
        <v/>
      </c>
      <c r="BA517" s="632" t="str">
        <f t="shared" si="67"/>
        <v/>
      </c>
      <c r="BB517" s="632" t="str">
        <f t="shared" si="68"/>
        <v/>
      </c>
      <c r="BC517" s="632" t="str">
        <f t="shared" si="69"/>
        <v/>
      </c>
      <c r="BD517" s="633" t="str">
        <f>IF(AND(L517="",H517=""),"",
IF(H517="",Pole_Calc!A545,
IF(H517="MP",Pole_Calc!A546,
IF(H517="AnMP",Pole_Calc!A547,
IF(H517="A",Pole_Calc!A548,
IF(H517="S/A",Pole_Calc!A549,
IF(H517="A/S",Pole_Calc!A550,"Poner a mano")))))))</f>
        <v/>
      </c>
      <c r="BE517" s="448" t="s">
        <v>1726</v>
      </c>
      <c r="BF517" s="635"/>
      <c r="BG517" s="635"/>
      <c r="BH517" s="634"/>
      <c r="BI517" s="635"/>
    </row>
    <row r="518" spans="1:61" ht="16.2" customHeight="1">
      <c r="A518" s="12"/>
      <c r="B518" s="446"/>
      <c r="C518" s="89"/>
      <c r="D518" s="13"/>
      <c r="E518" s="14"/>
      <c r="F518" s="14"/>
      <c r="G518" s="15"/>
      <c r="H518" s="8"/>
      <c r="I518" s="8"/>
      <c r="J518" s="89"/>
      <c r="K518" s="8"/>
      <c r="L518" s="8"/>
      <c r="M518" s="8" t="str">
        <f>IF(L518="","",
IF(AX518="PT",VLOOKUP(L518,Foundation_Calc!$V$4:$X$37,VLOOKUP(AX518,Foundation_Calc!$I$10:$J$13,2,FALSE),0),
IF(AX518="K",VLOOKUP(L518,Foundation_Calc!$V$41:$X$74,VLOOKUP(AX518,Foundation_Calc!$I$10:$J$13,2,FALSE),0),"")))</f>
        <v/>
      </c>
      <c r="N518" s="8"/>
      <c r="O518" s="8"/>
      <c r="P518" s="8"/>
      <c r="Q518" s="14"/>
      <c r="R518" s="15"/>
      <c r="S518" s="15"/>
      <c r="T518" s="14"/>
      <c r="U518" s="14"/>
      <c r="V518" s="14"/>
      <c r="W518" s="18"/>
      <c r="X518" s="18"/>
      <c r="Y518" s="18"/>
      <c r="Z518" s="18"/>
      <c r="AA518" s="18"/>
      <c r="AB518" s="18"/>
      <c r="AC518" s="8" t="str">
        <f t="shared" ref="AC518:AC581" si="70">IF(OR(AT518&gt;8,AT518&lt;-8),"PH",
IF(OR(AT518&gt;5,AT518&lt;-5),"PHQ",
IF(OR(AT518&gt;1,AT518&lt;-1),
"PHC","")))</f>
        <v/>
      </c>
      <c r="AD518" s="8"/>
      <c r="AE518" s="8"/>
      <c r="AF518" s="14"/>
      <c r="AG518" s="13"/>
      <c r="AH518" s="14"/>
      <c r="AI518" s="14"/>
      <c r="AJ518" s="8"/>
      <c r="AK518" s="8"/>
      <c r="AL518" s="8"/>
      <c r="AM518" s="8"/>
      <c r="AN518" s="631"/>
      <c r="AO518" s="18"/>
      <c r="AP518" s="18"/>
      <c r="AQ518" s="18"/>
      <c r="AR518" s="18"/>
      <c r="AS518" s="18"/>
      <c r="AU518" s="448"/>
      <c r="AV518" s="448"/>
      <c r="AW518" s="8" t="str">
        <f>IF(C518&gt;0,VLOOKUP(C518,Foundation_Calc!$A$2:$C$986,3,1),
IF(J518&gt;0,VLOOKUP(J518,Foundation_Calc!$A$2:$C$986,3,1),""))</f>
        <v/>
      </c>
      <c r="AX518" s="8" t="str">
        <f>IF(C518&gt;0,VLOOKUP(C518,Foundation_Calc!$E$2:$G$986,3,1),
IF(J518&gt;0,VLOOKUP(J518,Foundation_Calc!$E$2:$G$986,3,1),""))</f>
        <v/>
      </c>
      <c r="AY518" s="631" t="str">
        <f>IF(L518="","",
IF(AX518="PT",VLOOKUP(L518,Foundation_Calc!$K$4:$R$37,VLOOKUP(AW518,Foundation_Calc!$I$2:$J$8,2,FALSE),0),
IF(AX518="K",VLOOKUP(L518,Foundation_Calc!$K$41:$R$74,VLOOKUP(AW518,Foundation_Calc!$I$2:$J$8,2,FALSE),0),"")))</f>
        <v/>
      </c>
      <c r="AZ518" s="631" t="str">
        <f>IF(K518="","",
IF(AX518="PT",VLOOKUP(K518,Foundation_Calc!$K$4:$R$37,VLOOKUP(AW518,Foundation_Calc!$I$2:$J$8,2,FALSE),0),
IF(AX518="K",VLOOKUP(K518,Foundation_Calc!$K$41:$R$74,VLOOKUP(AW518,Foundation_Calc!$I$2:$J$8,2,FALSE),0),"")))</f>
        <v/>
      </c>
      <c r="BA518" s="632" t="str">
        <f t="shared" ref="BA518:BA581" si="71">IF(AY518="","",IF(AY518&gt;0,"ü",""))</f>
        <v/>
      </c>
      <c r="BB518" s="632" t="str">
        <f t="shared" ref="BB518:BB581" si="72">IF(AZ518="","",IF(AZ518&gt;0,"ü",""))</f>
        <v/>
      </c>
      <c r="BC518" s="632" t="str">
        <f t="shared" ref="BC518:BC581" si="73">IF(M518="","",IF(M518="Unique Solution","ü",""))</f>
        <v/>
      </c>
      <c r="BD518" s="633" t="str">
        <f>IF(AND(L518="",H518=""),"",
IF(H518="",Pole_Calc!A546,
IF(H518="MP",Pole_Calc!A547,
IF(H518="AnMP",Pole_Calc!A548,
IF(H518="A",Pole_Calc!A549,
IF(H518="S/A",Pole_Calc!A550,
IF(H518="A/S",Pole_Calc!A551,"Poner a mano")))))))</f>
        <v/>
      </c>
      <c r="BE518" s="448" t="s">
        <v>1726</v>
      </c>
      <c r="BF518" s="634"/>
      <c r="BG518" s="634"/>
      <c r="BH518" s="634"/>
      <c r="BI518" s="634"/>
    </row>
    <row r="519" spans="1:61" ht="16.2" customHeight="1">
      <c r="A519" s="12"/>
      <c r="B519" s="446"/>
      <c r="C519" s="89"/>
      <c r="D519" s="13"/>
      <c r="E519" s="14"/>
      <c r="F519" s="14"/>
      <c r="G519" s="15"/>
      <c r="H519" s="8"/>
      <c r="I519" s="8"/>
      <c r="J519" s="89"/>
      <c r="K519" s="8"/>
      <c r="L519" s="8"/>
      <c r="M519" s="8" t="str">
        <f>IF(L519="","",
IF(AX519="PT",VLOOKUP(L519,Foundation_Calc!$V$4:$X$37,VLOOKUP(AX519,Foundation_Calc!$I$10:$J$13,2,FALSE),0),
IF(AX519="K",VLOOKUP(L519,Foundation_Calc!$V$41:$X$74,VLOOKUP(AX519,Foundation_Calc!$I$10:$J$13,2,FALSE),0),"")))</f>
        <v/>
      </c>
      <c r="N519" s="8"/>
      <c r="O519" s="8"/>
      <c r="P519" s="8"/>
      <c r="Q519" s="14"/>
      <c r="R519" s="15"/>
      <c r="S519" s="15"/>
      <c r="T519" s="14"/>
      <c r="U519" s="14"/>
      <c r="V519" s="14"/>
      <c r="W519" s="18"/>
      <c r="X519" s="18"/>
      <c r="Y519" s="18"/>
      <c r="Z519" s="18"/>
      <c r="AA519" s="18"/>
      <c r="AB519" s="18"/>
      <c r="AC519" s="8" t="str">
        <f t="shared" si="70"/>
        <v/>
      </c>
      <c r="AD519" s="8"/>
      <c r="AE519" s="8"/>
      <c r="AF519" s="14"/>
      <c r="AG519" s="13"/>
      <c r="AH519" s="14"/>
      <c r="AI519" s="14"/>
      <c r="AJ519" s="8"/>
      <c r="AK519" s="8"/>
      <c r="AL519" s="8"/>
      <c r="AM519" s="8"/>
      <c r="AN519" s="631"/>
      <c r="AO519" s="18"/>
      <c r="AP519" s="18"/>
      <c r="AQ519" s="18"/>
      <c r="AR519" s="18"/>
      <c r="AS519" s="18"/>
      <c r="AU519" s="448"/>
      <c r="AV519" s="448"/>
      <c r="AW519" s="8" t="str">
        <f>IF(C519&gt;0,VLOOKUP(C519,Foundation_Calc!$A$2:$C$986,3,1),
IF(J519&gt;0,VLOOKUP(J519,Foundation_Calc!$A$2:$C$986,3,1),""))</f>
        <v/>
      </c>
      <c r="AX519" s="8" t="str">
        <f>IF(C519&gt;0,VLOOKUP(C519,Foundation_Calc!$E$2:$G$986,3,1),
IF(J519&gt;0,VLOOKUP(J519,Foundation_Calc!$E$2:$G$986,3,1),""))</f>
        <v/>
      </c>
      <c r="AY519" s="631" t="str">
        <f>IF(L519="","",
IF(AX519="PT",VLOOKUP(L519,Foundation_Calc!$K$4:$R$37,VLOOKUP(AW519,Foundation_Calc!$I$2:$J$8,2,FALSE),0),
IF(AX519="K",VLOOKUP(L519,Foundation_Calc!$K$41:$R$74,VLOOKUP(AW519,Foundation_Calc!$I$2:$J$8,2,FALSE),0),"")))</f>
        <v/>
      </c>
      <c r="AZ519" s="631" t="str">
        <f>IF(K519="","",
IF(AX519="PT",VLOOKUP(K519,Foundation_Calc!$K$4:$R$37,VLOOKUP(AW519,Foundation_Calc!$I$2:$J$8,2,FALSE),0),
IF(AX519="K",VLOOKUP(K519,Foundation_Calc!$K$41:$R$74,VLOOKUP(AW519,Foundation_Calc!$I$2:$J$8,2,FALSE),0),"")))</f>
        <v/>
      </c>
      <c r="BA519" s="632" t="str">
        <f t="shared" si="71"/>
        <v/>
      </c>
      <c r="BB519" s="632" t="str">
        <f t="shared" si="72"/>
        <v/>
      </c>
      <c r="BC519" s="632" t="str">
        <f t="shared" si="73"/>
        <v/>
      </c>
      <c r="BD519" s="633" t="str">
        <f>IF(AND(L519="",H519=""),"",
IF(H519="",Pole_Calc!A547,
IF(H519="MP",Pole_Calc!A548,
IF(H519="AnMP",Pole_Calc!A549,
IF(H519="A",Pole_Calc!A550,
IF(H519="S/A",Pole_Calc!A551,
IF(H519="A/S",Pole_Calc!A552,"Poner a mano")))))))</f>
        <v/>
      </c>
      <c r="BE519" s="448" t="s">
        <v>1726</v>
      </c>
      <c r="BF519" s="635"/>
      <c r="BG519" s="635"/>
      <c r="BH519" s="634"/>
      <c r="BI519" s="635"/>
    </row>
    <row r="520" spans="1:61" ht="16.2" customHeight="1">
      <c r="A520" s="12"/>
      <c r="B520" s="446"/>
      <c r="C520" s="89"/>
      <c r="D520" s="13"/>
      <c r="E520" s="14"/>
      <c r="F520" s="14"/>
      <c r="G520" s="15"/>
      <c r="H520" s="8"/>
      <c r="I520" s="8"/>
      <c r="J520" s="89"/>
      <c r="K520" s="8"/>
      <c r="L520" s="8"/>
      <c r="M520" s="8" t="str">
        <f>IF(L520="","",
IF(AX520="PT",VLOOKUP(L520,Foundation_Calc!$V$4:$X$37,VLOOKUP(AX520,Foundation_Calc!$I$10:$J$13,2,FALSE),0),
IF(AX520="K",VLOOKUP(L520,Foundation_Calc!$V$41:$X$74,VLOOKUP(AX520,Foundation_Calc!$I$10:$J$13,2,FALSE),0),"")))</f>
        <v/>
      </c>
      <c r="N520" s="8"/>
      <c r="O520" s="8"/>
      <c r="P520" s="8"/>
      <c r="Q520" s="14"/>
      <c r="R520" s="15"/>
      <c r="S520" s="15"/>
      <c r="T520" s="14"/>
      <c r="U520" s="14"/>
      <c r="V520" s="14"/>
      <c r="W520" s="18"/>
      <c r="X520" s="18"/>
      <c r="Y520" s="18"/>
      <c r="Z520" s="18"/>
      <c r="AA520" s="18"/>
      <c r="AB520" s="18"/>
      <c r="AC520" s="8" t="str">
        <f t="shared" si="70"/>
        <v/>
      </c>
      <c r="AD520" s="8"/>
      <c r="AE520" s="8"/>
      <c r="AF520" s="14"/>
      <c r="AG520" s="13"/>
      <c r="AH520" s="14"/>
      <c r="AI520" s="14"/>
      <c r="AJ520" s="8"/>
      <c r="AK520" s="8"/>
      <c r="AL520" s="8"/>
      <c r="AM520" s="8"/>
      <c r="AN520" s="631"/>
      <c r="AO520" s="18"/>
      <c r="AP520" s="18"/>
      <c r="AQ520" s="18"/>
      <c r="AR520" s="18"/>
      <c r="AS520" s="18"/>
      <c r="AU520" s="448"/>
      <c r="AV520" s="448"/>
      <c r="AW520" s="8" t="str">
        <f>IF(C520&gt;0,VLOOKUP(C520,Foundation_Calc!$A$2:$C$986,3,1),
IF(J520&gt;0,VLOOKUP(J520,Foundation_Calc!$A$2:$C$986,3,1),""))</f>
        <v/>
      </c>
      <c r="AX520" s="8" t="str">
        <f>IF(C520&gt;0,VLOOKUP(C520,Foundation_Calc!$E$2:$G$986,3,1),
IF(J520&gt;0,VLOOKUP(J520,Foundation_Calc!$E$2:$G$986,3,1),""))</f>
        <v/>
      </c>
      <c r="AY520" s="631" t="str">
        <f>IF(L520="","",
IF(AX520="PT",VLOOKUP(L520,Foundation_Calc!$K$4:$R$37,VLOOKUP(AW520,Foundation_Calc!$I$2:$J$8,2,FALSE),0),
IF(AX520="K",VLOOKUP(L520,Foundation_Calc!$K$41:$R$74,VLOOKUP(AW520,Foundation_Calc!$I$2:$J$8,2,FALSE),0),"")))</f>
        <v/>
      </c>
      <c r="AZ520" s="631" t="str">
        <f>IF(K520="","",
IF(AX520="PT",VLOOKUP(K520,Foundation_Calc!$K$4:$R$37,VLOOKUP(AW520,Foundation_Calc!$I$2:$J$8,2,FALSE),0),
IF(AX520="K",VLOOKUP(K520,Foundation_Calc!$K$41:$R$74,VLOOKUP(AW520,Foundation_Calc!$I$2:$J$8,2,FALSE),0),"")))</f>
        <v/>
      </c>
      <c r="BA520" s="632" t="str">
        <f t="shared" si="71"/>
        <v/>
      </c>
      <c r="BB520" s="632" t="str">
        <f t="shared" si="72"/>
        <v/>
      </c>
      <c r="BC520" s="632" t="str">
        <f t="shared" si="73"/>
        <v/>
      </c>
      <c r="BD520" s="633" t="str">
        <f>IF(AND(L520="",H520=""),"",
IF(H520="",Pole_Calc!A548,
IF(H520="MP",Pole_Calc!A549,
IF(H520="AnMP",Pole_Calc!A550,
IF(H520="A",Pole_Calc!A551,
IF(H520="S/A",Pole_Calc!A552,
IF(H520="A/S",Pole_Calc!A553,"Poner a mano")))))))</f>
        <v/>
      </c>
      <c r="BE520" s="448" t="s">
        <v>1726</v>
      </c>
      <c r="BF520" s="634"/>
      <c r="BG520" s="634"/>
      <c r="BH520" s="634"/>
      <c r="BI520" s="634"/>
    </row>
    <row r="521" spans="1:61" ht="16.2" customHeight="1">
      <c r="A521" s="12"/>
      <c r="B521" s="446"/>
      <c r="C521" s="89"/>
      <c r="D521" s="13"/>
      <c r="E521" s="14"/>
      <c r="F521" s="14"/>
      <c r="G521" s="15"/>
      <c r="H521" s="8"/>
      <c r="I521" s="8"/>
      <c r="J521" s="89"/>
      <c r="K521" s="8"/>
      <c r="L521" s="8"/>
      <c r="M521" s="8" t="str">
        <f>IF(L521="","",
IF(AX521="PT",VLOOKUP(L521,Foundation_Calc!$V$4:$X$37,VLOOKUP(AX521,Foundation_Calc!$I$10:$J$13,2,FALSE),0),
IF(AX521="K",VLOOKUP(L521,Foundation_Calc!$V$41:$X$74,VLOOKUP(AX521,Foundation_Calc!$I$10:$J$13,2,FALSE),0),"")))</f>
        <v/>
      </c>
      <c r="N521" s="8"/>
      <c r="O521" s="8"/>
      <c r="P521" s="8"/>
      <c r="Q521" s="14"/>
      <c r="R521" s="15"/>
      <c r="S521" s="15"/>
      <c r="T521" s="14"/>
      <c r="U521" s="14"/>
      <c r="V521" s="14"/>
      <c r="W521" s="18"/>
      <c r="X521" s="18"/>
      <c r="Y521" s="18"/>
      <c r="Z521" s="18"/>
      <c r="AA521" s="18"/>
      <c r="AB521" s="18"/>
      <c r="AC521" s="8" t="str">
        <f t="shared" si="70"/>
        <v/>
      </c>
      <c r="AD521" s="8"/>
      <c r="AE521" s="8"/>
      <c r="AF521" s="14"/>
      <c r="AG521" s="13"/>
      <c r="AH521" s="14"/>
      <c r="AI521" s="14"/>
      <c r="AJ521" s="8"/>
      <c r="AK521" s="8"/>
      <c r="AL521" s="8"/>
      <c r="AM521" s="8"/>
      <c r="AN521" s="631"/>
      <c r="AO521" s="18"/>
      <c r="AP521" s="18"/>
      <c r="AQ521" s="18"/>
      <c r="AR521" s="18"/>
      <c r="AS521" s="18"/>
      <c r="AU521" s="448"/>
      <c r="AV521" s="448"/>
      <c r="AW521" s="8" t="str">
        <f>IF(C521&gt;0,VLOOKUP(C521,Foundation_Calc!$A$2:$C$986,3,1),
IF(J521&gt;0,VLOOKUP(J521,Foundation_Calc!$A$2:$C$986,3,1),""))</f>
        <v/>
      </c>
      <c r="AX521" s="8" t="str">
        <f>IF(C521&gt;0,VLOOKUP(C521,Foundation_Calc!$E$2:$G$986,3,1),
IF(J521&gt;0,VLOOKUP(J521,Foundation_Calc!$E$2:$G$986,3,1),""))</f>
        <v/>
      </c>
      <c r="AY521" s="631" t="str">
        <f>IF(L521="","",
IF(AX521="PT",VLOOKUP(L521,Foundation_Calc!$K$4:$R$37,VLOOKUP(AW521,Foundation_Calc!$I$2:$J$8,2,FALSE),0),
IF(AX521="K",VLOOKUP(L521,Foundation_Calc!$K$41:$R$74,VLOOKUP(AW521,Foundation_Calc!$I$2:$J$8,2,FALSE),0),"")))</f>
        <v/>
      </c>
      <c r="AZ521" s="631" t="str">
        <f>IF(K521="","",
IF(AX521="PT",VLOOKUP(K521,Foundation_Calc!$K$4:$R$37,VLOOKUP(AW521,Foundation_Calc!$I$2:$J$8,2,FALSE),0),
IF(AX521="K",VLOOKUP(K521,Foundation_Calc!$K$41:$R$74,VLOOKUP(AW521,Foundation_Calc!$I$2:$J$8,2,FALSE),0),"")))</f>
        <v/>
      </c>
      <c r="BA521" s="632" t="str">
        <f t="shared" si="71"/>
        <v/>
      </c>
      <c r="BB521" s="632" t="str">
        <f t="shared" si="72"/>
        <v/>
      </c>
      <c r="BC521" s="632" t="str">
        <f t="shared" si="73"/>
        <v/>
      </c>
      <c r="BD521" s="633" t="str">
        <f>IF(AND(L521="",H521=""),"",
IF(H521="",Pole_Calc!A549,
IF(H521="MP",Pole_Calc!A550,
IF(H521="AnMP",Pole_Calc!A551,
IF(H521="A",Pole_Calc!A552,
IF(H521="S/A",Pole_Calc!A553,
IF(H521="A/S",Pole_Calc!A554,"Poner a mano")))))))</f>
        <v/>
      </c>
      <c r="BE521" s="448" t="s">
        <v>1726</v>
      </c>
      <c r="BF521" s="635"/>
      <c r="BG521" s="635"/>
      <c r="BH521" s="634"/>
      <c r="BI521" s="635"/>
    </row>
    <row r="522" spans="1:61" ht="16.2" customHeight="1">
      <c r="A522" s="12"/>
      <c r="B522" s="446"/>
      <c r="C522" s="89"/>
      <c r="D522" s="13"/>
      <c r="E522" s="14"/>
      <c r="F522" s="14"/>
      <c r="G522" s="15"/>
      <c r="H522" s="8"/>
      <c r="I522" s="8"/>
      <c r="J522" s="89"/>
      <c r="K522" s="8"/>
      <c r="L522" s="8"/>
      <c r="M522" s="8" t="str">
        <f>IF(L522="","",
IF(AX522="PT",VLOOKUP(L522,Foundation_Calc!$V$4:$X$37,VLOOKUP(AX522,Foundation_Calc!$I$10:$J$13,2,FALSE),0),
IF(AX522="K",VLOOKUP(L522,Foundation_Calc!$V$41:$X$74,VLOOKUP(AX522,Foundation_Calc!$I$10:$J$13,2,FALSE),0),"")))</f>
        <v/>
      </c>
      <c r="N522" s="8"/>
      <c r="O522" s="8"/>
      <c r="P522" s="8"/>
      <c r="Q522" s="14"/>
      <c r="R522" s="15"/>
      <c r="S522" s="15"/>
      <c r="T522" s="14"/>
      <c r="U522" s="14"/>
      <c r="V522" s="14"/>
      <c r="W522" s="18"/>
      <c r="X522" s="18"/>
      <c r="Y522" s="18"/>
      <c r="Z522" s="18"/>
      <c r="AA522" s="18"/>
      <c r="AB522" s="18"/>
      <c r="AC522" s="8" t="str">
        <f t="shared" si="70"/>
        <v/>
      </c>
      <c r="AD522" s="8"/>
      <c r="AE522" s="8"/>
      <c r="AF522" s="14"/>
      <c r="AG522" s="13"/>
      <c r="AH522" s="14"/>
      <c r="AI522" s="14"/>
      <c r="AJ522" s="8"/>
      <c r="AK522" s="8"/>
      <c r="AL522" s="8"/>
      <c r="AM522" s="8"/>
      <c r="AN522" s="631"/>
      <c r="AO522" s="18"/>
      <c r="AP522" s="18"/>
      <c r="AQ522" s="18"/>
      <c r="AR522" s="18"/>
      <c r="AS522" s="18"/>
      <c r="AU522" s="448"/>
      <c r="AV522" s="448"/>
      <c r="AW522" s="8" t="str">
        <f>IF(C522&gt;0,VLOOKUP(C522,Foundation_Calc!$A$2:$C$986,3,1),
IF(J522&gt;0,VLOOKUP(J522,Foundation_Calc!$A$2:$C$986,3,1),""))</f>
        <v/>
      </c>
      <c r="AX522" s="8" t="str">
        <f>IF(C522&gt;0,VLOOKUP(C522,Foundation_Calc!$E$2:$G$986,3,1),
IF(J522&gt;0,VLOOKUP(J522,Foundation_Calc!$E$2:$G$986,3,1),""))</f>
        <v/>
      </c>
      <c r="AY522" s="631" t="str">
        <f>IF(L522="","",
IF(AX522="PT",VLOOKUP(L522,Foundation_Calc!$K$4:$R$37,VLOOKUP(AW522,Foundation_Calc!$I$2:$J$8,2,FALSE),0),
IF(AX522="K",VLOOKUP(L522,Foundation_Calc!$K$41:$R$74,VLOOKUP(AW522,Foundation_Calc!$I$2:$J$8,2,FALSE),0),"")))</f>
        <v/>
      </c>
      <c r="AZ522" s="631" t="str">
        <f>IF(K522="","",
IF(AX522="PT",VLOOKUP(K522,Foundation_Calc!$K$4:$R$37,VLOOKUP(AW522,Foundation_Calc!$I$2:$J$8,2,FALSE),0),
IF(AX522="K",VLOOKUP(K522,Foundation_Calc!$K$41:$R$74,VLOOKUP(AW522,Foundation_Calc!$I$2:$J$8,2,FALSE),0),"")))</f>
        <v/>
      </c>
      <c r="BA522" s="632" t="str">
        <f t="shared" si="71"/>
        <v/>
      </c>
      <c r="BB522" s="632" t="str">
        <f t="shared" si="72"/>
        <v/>
      </c>
      <c r="BC522" s="632" t="str">
        <f t="shared" si="73"/>
        <v/>
      </c>
      <c r="BD522" s="633" t="str">
        <f>IF(AND(L522="",H522=""),"",
IF(H522="",Pole_Calc!A550,
IF(H522="MP",Pole_Calc!A551,
IF(H522="AnMP",Pole_Calc!A552,
IF(H522="A",Pole_Calc!A553,
IF(H522="S/A",Pole_Calc!A554,
IF(H522="A/S",Pole_Calc!A555,"Poner a mano")))))))</f>
        <v/>
      </c>
      <c r="BE522" s="448" t="s">
        <v>1726</v>
      </c>
      <c r="BF522" s="634"/>
      <c r="BG522" s="634"/>
      <c r="BH522" s="634"/>
      <c r="BI522" s="634"/>
    </row>
    <row r="523" spans="1:61" ht="16.2" customHeight="1">
      <c r="A523" s="12"/>
      <c r="B523" s="446"/>
      <c r="C523" s="89"/>
      <c r="D523" s="13"/>
      <c r="E523" s="14"/>
      <c r="F523" s="14"/>
      <c r="G523" s="15"/>
      <c r="H523" s="8"/>
      <c r="I523" s="8"/>
      <c r="J523" s="89"/>
      <c r="K523" s="8"/>
      <c r="L523" s="8"/>
      <c r="M523" s="8" t="str">
        <f>IF(L523="","",
IF(AX523="PT",VLOOKUP(L523,Foundation_Calc!$V$4:$X$37,VLOOKUP(AX523,Foundation_Calc!$I$10:$J$13,2,FALSE),0),
IF(AX523="K",VLOOKUP(L523,Foundation_Calc!$V$41:$X$74,VLOOKUP(AX523,Foundation_Calc!$I$10:$J$13,2,FALSE),0),"")))</f>
        <v/>
      </c>
      <c r="N523" s="8"/>
      <c r="O523" s="8"/>
      <c r="P523" s="8"/>
      <c r="Q523" s="14"/>
      <c r="R523" s="15"/>
      <c r="S523" s="15"/>
      <c r="T523" s="14"/>
      <c r="U523" s="14"/>
      <c r="V523" s="14"/>
      <c r="W523" s="18"/>
      <c r="X523" s="18"/>
      <c r="Y523" s="18"/>
      <c r="Z523" s="18"/>
      <c r="AA523" s="18"/>
      <c r="AB523" s="18"/>
      <c r="AC523" s="8" t="str">
        <f t="shared" si="70"/>
        <v/>
      </c>
      <c r="AD523" s="8"/>
      <c r="AE523" s="8"/>
      <c r="AF523" s="14"/>
      <c r="AG523" s="13"/>
      <c r="AH523" s="14"/>
      <c r="AI523" s="14"/>
      <c r="AJ523" s="8"/>
      <c r="AK523" s="8"/>
      <c r="AL523" s="8"/>
      <c r="AM523" s="8"/>
      <c r="AN523" s="631"/>
      <c r="AO523" s="18"/>
      <c r="AP523" s="18"/>
      <c r="AQ523" s="18"/>
      <c r="AR523" s="18"/>
      <c r="AS523" s="18"/>
      <c r="AU523" s="448"/>
      <c r="AV523" s="448"/>
      <c r="AW523" s="8" t="str">
        <f>IF(C523&gt;0,VLOOKUP(C523,Foundation_Calc!$A$2:$C$986,3,1),
IF(J523&gt;0,VLOOKUP(J523,Foundation_Calc!$A$2:$C$986,3,1),""))</f>
        <v/>
      </c>
      <c r="AX523" s="8" t="str">
        <f>IF(C523&gt;0,VLOOKUP(C523,Foundation_Calc!$E$2:$G$986,3,1),
IF(J523&gt;0,VLOOKUP(J523,Foundation_Calc!$E$2:$G$986,3,1),""))</f>
        <v/>
      </c>
      <c r="AY523" s="631" t="str">
        <f>IF(L523="","",
IF(AX523="PT",VLOOKUP(L523,Foundation_Calc!$K$4:$R$37,VLOOKUP(AW523,Foundation_Calc!$I$2:$J$8,2,FALSE),0),
IF(AX523="K",VLOOKUP(L523,Foundation_Calc!$K$41:$R$74,VLOOKUP(AW523,Foundation_Calc!$I$2:$J$8,2,FALSE),0),"")))</f>
        <v/>
      </c>
      <c r="AZ523" s="631" t="str">
        <f>IF(K523="","",
IF(AX523="PT",VLOOKUP(K523,Foundation_Calc!$K$4:$R$37,VLOOKUP(AW523,Foundation_Calc!$I$2:$J$8,2,FALSE),0),
IF(AX523="K",VLOOKUP(K523,Foundation_Calc!$K$41:$R$74,VLOOKUP(AW523,Foundation_Calc!$I$2:$J$8,2,FALSE),0),"")))</f>
        <v/>
      </c>
      <c r="BA523" s="632" t="str">
        <f t="shared" si="71"/>
        <v/>
      </c>
      <c r="BB523" s="632" t="str">
        <f t="shared" si="72"/>
        <v/>
      </c>
      <c r="BC523" s="632" t="str">
        <f t="shared" si="73"/>
        <v/>
      </c>
      <c r="BD523" s="633" t="str">
        <f>IF(AND(L523="",H523=""),"",
IF(H523="",Pole_Calc!A551,
IF(H523="MP",Pole_Calc!A552,
IF(H523="AnMP",Pole_Calc!A553,
IF(H523="A",Pole_Calc!A554,
IF(H523="S/A",Pole_Calc!A555,
IF(H523="A/S",Pole_Calc!A556,"Poner a mano")))))))</f>
        <v/>
      </c>
      <c r="BE523" s="448" t="s">
        <v>1726</v>
      </c>
      <c r="BF523" s="635"/>
      <c r="BG523" s="635"/>
      <c r="BH523" s="634"/>
      <c r="BI523" s="635"/>
    </row>
    <row r="524" spans="1:61" ht="16.2" customHeight="1">
      <c r="A524" s="12"/>
      <c r="B524" s="446"/>
      <c r="C524" s="89"/>
      <c r="D524" s="13"/>
      <c r="E524" s="14"/>
      <c r="F524" s="14"/>
      <c r="G524" s="15"/>
      <c r="H524" s="8"/>
      <c r="I524" s="8"/>
      <c r="J524" s="89"/>
      <c r="K524" s="8"/>
      <c r="L524" s="8"/>
      <c r="M524" s="8" t="str">
        <f>IF(L524="","",
IF(AX524="PT",VLOOKUP(L524,Foundation_Calc!$V$4:$X$37,VLOOKUP(AX524,Foundation_Calc!$I$10:$J$13,2,FALSE),0),
IF(AX524="K",VLOOKUP(L524,Foundation_Calc!$V$41:$X$74,VLOOKUP(AX524,Foundation_Calc!$I$10:$J$13,2,FALSE),0),"")))</f>
        <v/>
      </c>
      <c r="N524" s="8"/>
      <c r="O524" s="8"/>
      <c r="P524" s="8"/>
      <c r="Q524" s="14"/>
      <c r="R524" s="15"/>
      <c r="S524" s="15"/>
      <c r="T524" s="14"/>
      <c r="U524" s="14"/>
      <c r="V524" s="14"/>
      <c r="W524" s="18"/>
      <c r="X524" s="18"/>
      <c r="Y524" s="18"/>
      <c r="Z524" s="18"/>
      <c r="AA524" s="18"/>
      <c r="AB524" s="18"/>
      <c r="AC524" s="8" t="str">
        <f t="shared" si="70"/>
        <v/>
      </c>
      <c r="AD524" s="8"/>
      <c r="AE524" s="8"/>
      <c r="AF524" s="14"/>
      <c r="AG524" s="13"/>
      <c r="AH524" s="14"/>
      <c r="AI524" s="14"/>
      <c r="AJ524" s="8"/>
      <c r="AK524" s="8"/>
      <c r="AL524" s="8"/>
      <c r="AM524" s="8"/>
      <c r="AN524" s="631"/>
      <c r="AO524" s="18"/>
      <c r="AP524" s="18"/>
      <c r="AQ524" s="18"/>
      <c r="AR524" s="18"/>
      <c r="AS524" s="18"/>
      <c r="AU524" s="448"/>
      <c r="AV524" s="448"/>
      <c r="AW524" s="8" t="str">
        <f>IF(C524&gt;0,VLOOKUP(C524,Foundation_Calc!$A$2:$C$986,3,1),
IF(J524&gt;0,VLOOKUP(J524,Foundation_Calc!$A$2:$C$986,3,1),""))</f>
        <v/>
      </c>
      <c r="AX524" s="8" t="str">
        <f>IF(C524&gt;0,VLOOKUP(C524,Foundation_Calc!$E$2:$G$986,3,1),
IF(J524&gt;0,VLOOKUP(J524,Foundation_Calc!$E$2:$G$986,3,1),""))</f>
        <v/>
      </c>
      <c r="AY524" s="631" t="str">
        <f>IF(L524="","",
IF(AX524="PT",VLOOKUP(L524,Foundation_Calc!$K$4:$R$37,VLOOKUP(AW524,Foundation_Calc!$I$2:$J$8,2,FALSE),0),
IF(AX524="K",VLOOKUP(L524,Foundation_Calc!$K$41:$R$74,VLOOKUP(AW524,Foundation_Calc!$I$2:$J$8,2,FALSE),0),"")))</f>
        <v/>
      </c>
      <c r="AZ524" s="631" t="str">
        <f>IF(K524="","",
IF(AX524="PT",VLOOKUP(K524,Foundation_Calc!$K$4:$R$37,VLOOKUP(AW524,Foundation_Calc!$I$2:$J$8,2,FALSE),0),
IF(AX524="K",VLOOKUP(K524,Foundation_Calc!$K$41:$R$74,VLOOKUP(AW524,Foundation_Calc!$I$2:$J$8,2,FALSE),0),"")))</f>
        <v/>
      </c>
      <c r="BA524" s="632" t="str">
        <f t="shared" si="71"/>
        <v/>
      </c>
      <c r="BB524" s="632" t="str">
        <f t="shared" si="72"/>
        <v/>
      </c>
      <c r="BC524" s="632" t="str">
        <f t="shared" si="73"/>
        <v/>
      </c>
      <c r="BD524" s="633" t="str">
        <f>IF(AND(L524="",H524=""),"",
IF(H524="",Pole_Calc!A552,
IF(H524="MP",Pole_Calc!A553,
IF(H524="AnMP",Pole_Calc!A554,
IF(H524="A",Pole_Calc!A555,
IF(H524="S/A",Pole_Calc!A556,
IF(H524="A/S",Pole_Calc!A557,"Poner a mano")))))))</f>
        <v/>
      </c>
      <c r="BE524" s="448" t="s">
        <v>1726</v>
      </c>
      <c r="BF524" s="634"/>
      <c r="BG524" s="634"/>
      <c r="BH524" s="634"/>
      <c r="BI524" s="634"/>
    </row>
    <row r="525" spans="1:61" ht="16.2" customHeight="1">
      <c r="A525" s="12"/>
      <c r="B525" s="446"/>
      <c r="C525" s="89"/>
      <c r="D525" s="13"/>
      <c r="E525" s="14"/>
      <c r="F525" s="14"/>
      <c r="G525" s="15"/>
      <c r="H525" s="8"/>
      <c r="I525" s="8"/>
      <c r="J525" s="89"/>
      <c r="K525" s="8"/>
      <c r="L525" s="8"/>
      <c r="M525" s="8" t="str">
        <f>IF(L525="","",
IF(AX525="PT",VLOOKUP(L525,Foundation_Calc!$V$4:$X$37,VLOOKUP(AX525,Foundation_Calc!$I$10:$J$13,2,FALSE),0),
IF(AX525="K",VLOOKUP(L525,Foundation_Calc!$V$41:$X$74,VLOOKUP(AX525,Foundation_Calc!$I$10:$J$13,2,FALSE),0),"")))</f>
        <v/>
      </c>
      <c r="N525" s="8"/>
      <c r="O525" s="8"/>
      <c r="P525" s="8"/>
      <c r="Q525" s="14"/>
      <c r="R525" s="15"/>
      <c r="S525" s="15"/>
      <c r="T525" s="14"/>
      <c r="U525" s="14"/>
      <c r="V525" s="14"/>
      <c r="W525" s="18"/>
      <c r="X525" s="18"/>
      <c r="Y525" s="18"/>
      <c r="Z525" s="18"/>
      <c r="AA525" s="18"/>
      <c r="AB525" s="18"/>
      <c r="AC525" s="8" t="str">
        <f t="shared" si="70"/>
        <v/>
      </c>
      <c r="AD525" s="8"/>
      <c r="AE525" s="8"/>
      <c r="AF525" s="14"/>
      <c r="AG525" s="13"/>
      <c r="AH525" s="14"/>
      <c r="AI525" s="14"/>
      <c r="AJ525" s="8"/>
      <c r="AK525" s="8"/>
      <c r="AL525" s="8"/>
      <c r="AM525" s="8"/>
      <c r="AN525" s="631"/>
      <c r="AO525" s="18"/>
      <c r="AP525" s="18"/>
      <c r="AQ525" s="18"/>
      <c r="AR525" s="18"/>
      <c r="AS525" s="18"/>
      <c r="AU525" s="448"/>
      <c r="AV525" s="448"/>
      <c r="AW525" s="8" t="str">
        <f>IF(C525&gt;0,VLOOKUP(C525,Foundation_Calc!$A$2:$C$986,3,1),
IF(J525&gt;0,VLOOKUP(J525,Foundation_Calc!$A$2:$C$986,3,1),""))</f>
        <v/>
      </c>
      <c r="AX525" s="8" t="str">
        <f>IF(C525&gt;0,VLOOKUP(C525,Foundation_Calc!$E$2:$G$986,3,1),
IF(J525&gt;0,VLOOKUP(J525,Foundation_Calc!$E$2:$G$986,3,1),""))</f>
        <v/>
      </c>
      <c r="AY525" s="631" t="str">
        <f>IF(L525="","",
IF(AX525="PT",VLOOKUP(L525,Foundation_Calc!$K$4:$R$37,VLOOKUP(AW525,Foundation_Calc!$I$2:$J$8,2,FALSE),0),
IF(AX525="K",VLOOKUP(L525,Foundation_Calc!$K$41:$R$74,VLOOKUP(AW525,Foundation_Calc!$I$2:$J$8,2,FALSE),0),"")))</f>
        <v/>
      </c>
      <c r="AZ525" s="631" t="str">
        <f>IF(K525="","",
IF(AX525="PT",VLOOKUP(K525,Foundation_Calc!$K$4:$R$37,VLOOKUP(AW525,Foundation_Calc!$I$2:$J$8,2,FALSE),0),
IF(AX525="K",VLOOKUP(K525,Foundation_Calc!$K$41:$R$74,VLOOKUP(AW525,Foundation_Calc!$I$2:$J$8,2,FALSE),0),"")))</f>
        <v/>
      </c>
      <c r="BA525" s="632" t="str">
        <f t="shared" si="71"/>
        <v/>
      </c>
      <c r="BB525" s="632" t="str">
        <f t="shared" si="72"/>
        <v/>
      </c>
      <c r="BC525" s="632" t="str">
        <f t="shared" si="73"/>
        <v/>
      </c>
      <c r="BD525" s="633" t="str">
        <f>IF(AND(L525="",H525=""),"",
IF(H525="",Pole_Calc!A553,
IF(H525="MP",Pole_Calc!A554,
IF(H525="AnMP",Pole_Calc!A555,
IF(H525="A",Pole_Calc!A556,
IF(H525="S/A",Pole_Calc!A557,
IF(H525="A/S",Pole_Calc!A558,"Poner a mano")))))))</f>
        <v/>
      </c>
      <c r="BE525" s="448" t="s">
        <v>1726</v>
      </c>
      <c r="BF525" s="635"/>
      <c r="BG525" s="635"/>
      <c r="BH525" s="634"/>
      <c r="BI525" s="635"/>
    </row>
    <row r="526" spans="1:61" ht="16.2" customHeight="1">
      <c r="A526" s="12"/>
      <c r="B526" s="446"/>
      <c r="C526" s="89"/>
      <c r="D526" s="13"/>
      <c r="E526" s="14"/>
      <c r="F526" s="14"/>
      <c r="G526" s="15"/>
      <c r="H526" s="8"/>
      <c r="I526" s="8"/>
      <c r="J526" s="89"/>
      <c r="K526" s="8"/>
      <c r="L526" s="8"/>
      <c r="M526" s="8" t="str">
        <f>IF(L526="","",
IF(AX526="PT",VLOOKUP(L526,Foundation_Calc!$V$4:$X$37,VLOOKUP(AX526,Foundation_Calc!$I$10:$J$13,2,FALSE),0),
IF(AX526="K",VLOOKUP(L526,Foundation_Calc!$V$41:$X$74,VLOOKUP(AX526,Foundation_Calc!$I$10:$J$13,2,FALSE),0),"")))</f>
        <v/>
      </c>
      <c r="N526" s="8"/>
      <c r="O526" s="8"/>
      <c r="P526" s="8"/>
      <c r="Q526" s="14"/>
      <c r="R526" s="15"/>
      <c r="S526" s="15"/>
      <c r="T526" s="14"/>
      <c r="U526" s="14"/>
      <c r="V526" s="14"/>
      <c r="W526" s="18"/>
      <c r="X526" s="18"/>
      <c r="Y526" s="18"/>
      <c r="Z526" s="18"/>
      <c r="AA526" s="18"/>
      <c r="AB526" s="18"/>
      <c r="AC526" s="8" t="str">
        <f t="shared" si="70"/>
        <v/>
      </c>
      <c r="AD526" s="8"/>
      <c r="AE526" s="8"/>
      <c r="AF526" s="14"/>
      <c r="AG526" s="13"/>
      <c r="AH526" s="14"/>
      <c r="AI526" s="14"/>
      <c r="AJ526" s="8"/>
      <c r="AK526" s="8"/>
      <c r="AL526" s="8"/>
      <c r="AM526" s="8"/>
      <c r="AN526" s="631"/>
      <c r="AO526" s="18"/>
      <c r="AP526" s="18"/>
      <c r="AQ526" s="18"/>
      <c r="AR526" s="18"/>
      <c r="AS526" s="18"/>
      <c r="AU526" s="448"/>
      <c r="AV526" s="448"/>
      <c r="AW526" s="8" t="str">
        <f>IF(C526&gt;0,VLOOKUP(C526,Foundation_Calc!$A$2:$C$986,3,1),
IF(J526&gt;0,VLOOKUP(J526,Foundation_Calc!$A$2:$C$986,3,1),""))</f>
        <v/>
      </c>
      <c r="AX526" s="8" t="str">
        <f>IF(C526&gt;0,VLOOKUP(C526,Foundation_Calc!$E$2:$G$986,3,1),
IF(J526&gt;0,VLOOKUP(J526,Foundation_Calc!$E$2:$G$986,3,1),""))</f>
        <v/>
      </c>
      <c r="AY526" s="631" t="str">
        <f>IF(L526="","",
IF(AX526="PT",VLOOKUP(L526,Foundation_Calc!$K$4:$R$37,VLOOKUP(AW526,Foundation_Calc!$I$2:$J$8,2,FALSE),0),
IF(AX526="K",VLOOKUP(L526,Foundation_Calc!$K$41:$R$74,VLOOKUP(AW526,Foundation_Calc!$I$2:$J$8,2,FALSE),0),"")))</f>
        <v/>
      </c>
      <c r="AZ526" s="631" t="str">
        <f>IF(K526="","",
IF(AX526="PT",VLOOKUP(K526,Foundation_Calc!$K$4:$R$37,VLOOKUP(AW526,Foundation_Calc!$I$2:$J$8,2,FALSE),0),
IF(AX526="K",VLOOKUP(K526,Foundation_Calc!$K$41:$R$74,VLOOKUP(AW526,Foundation_Calc!$I$2:$J$8,2,FALSE),0),"")))</f>
        <v/>
      </c>
      <c r="BA526" s="632" t="str">
        <f t="shared" si="71"/>
        <v/>
      </c>
      <c r="BB526" s="632" t="str">
        <f t="shared" si="72"/>
        <v/>
      </c>
      <c r="BC526" s="632" t="str">
        <f t="shared" si="73"/>
        <v/>
      </c>
      <c r="BD526" s="633" t="str">
        <f>IF(AND(L526="",H526=""),"",
IF(H526="",Pole_Calc!A554,
IF(H526="MP",Pole_Calc!A555,
IF(H526="AnMP",Pole_Calc!A556,
IF(H526="A",Pole_Calc!A557,
IF(H526="S/A",Pole_Calc!A558,
IF(H526="A/S",Pole_Calc!A559,"Poner a mano")))))))</f>
        <v/>
      </c>
      <c r="BE526" s="448" t="s">
        <v>1726</v>
      </c>
      <c r="BF526" s="634"/>
      <c r="BG526" s="634"/>
      <c r="BH526" s="634"/>
      <c r="BI526" s="634"/>
    </row>
    <row r="527" spans="1:61" ht="16.2" customHeight="1">
      <c r="A527" s="12"/>
      <c r="B527" s="446"/>
      <c r="C527" s="89"/>
      <c r="D527" s="13"/>
      <c r="E527" s="14"/>
      <c r="F527" s="14"/>
      <c r="G527" s="15"/>
      <c r="H527" s="8"/>
      <c r="I527" s="8"/>
      <c r="J527" s="89"/>
      <c r="K527" s="8"/>
      <c r="L527" s="8"/>
      <c r="M527" s="8" t="str">
        <f>IF(L527="","",
IF(AX527="PT",VLOOKUP(L527,Foundation_Calc!$V$4:$X$37,VLOOKUP(AX527,Foundation_Calc!$I$10:$J$13,2,FALSE),0),
IF(AX527="K",VLOOKUP(L527,Foundation_Calc!$V$41:$X$74,VLOOKUP(AX527,Foundation_Calc!$I$10:$J$13,2,FALSE),0),"")))</f>
        <v/>
      </c>
      <c r="N527" s="8"/>
      <c r="O527" s="8"/>
      <c r="P527" s="8"/>
      <c r="Q527" s="14"/>
      <c r="R527" s="15"/>
      <c r="S527" s="15"/>
      <c r="T527" s="14"/>
      <c r="U527" s="14"/>
      <c r="V527" s="14"/>
      <c r="W527" s="18"/>
      <c r="X527" s="18"/>
      <c r="Y527" s="18"/>
      <c r="Z527" s="18"/>
      <c r="AA527" s="18"/>
      <c r="AB527" s="18"/>
      <c r="AC527" s="8" t="str">
        <f t="shared" si="70"/>
        <v/>
      </c>
      <c r="AD527" s="8"/>
      <c r="AE527" s="8"/>
      <c r="AF527" s="14"/>
      <c r="AG527" s="13"/>
      <c r="AH527" s="14"/>
      <c r="AI527" s="14"/>
      <c r="AJ527" s="8"/>
      <c r="AK527" s="8"/>
      <c r="AL527" s="8"/>
      <c r="AM527" s="8"/>
      <c r="AN527" s="631"/>
      <c r="AO527" s="18"/>
      <c r="AP527" s="18"/>
      <c r="AQ527" s="18"/>
      <c r="AR527" s="18"/>
      <c r="AS527" s="18"/>
      <c r="AU527" s="448"/>
      <c r="AV527" s="448"/>
      <c r="AW527" s="8" t="str">
        <f>IF(C527&gt;0,VLOOKUP(C527,Foundation_Calc!$A$2:$C$986,3,1),
IF(J527&gt;0,VLOOKUP(J527,Foundation_Calc!$A$2:$C$986,3,1),""))</f>
        <v/>
      </c>
      <c r="AX527" s="8" t="str">
        <f>IF(C527&gt;0,VLOOKUP(C527,Foundation_Calc!$E$2:$G$986,3,1),
IF(J527&gt;0,VLOOKUP(J527,Foundation_Calc!$E$2:$G$986,3,1),""))</f>
        <v/>
      </c>
      <c r="AY527" s="631" t="str">
        <f>IF(L527="","",
IF(AX527="PT",VLOOKUP(L527,Foundation_Calc!$K$4:$R$37,VLOOKUP(AW527,Foundation_Calc!$I$2:$J$8,2,FALSE),0),
IF(AX527="K",VLOOKUP(L527,Foundation_Calc!$K$41:$R$74,VLOOKUP(AW527,Foundation_Calc!$I$2:$J$8,2,FALSE),0),"")))</f>
        <v/>
      </c>
      <c r="AZ527" s="631" t="str">
        <f>IF(K527="","",
IF(AX527="PT",VLOOKUP(K527,Foundation_Calc!$K$4:$R$37,VLOOKUP(AW527,Foundation_Calc!$I$2:$J$8,2,FALSE),0),
IF(AX527="K",VLOOKUP(K527,Foundation_Calc!$K$41:$R$74,VLOOKUP(AW527,Foundation_Calc!$I$2:$J$8,2,FALSE),0),"")))</f>
        <v/>
      </c>
      <c r="BA527" s="632" t="str">
        <f t="shared" si="71"/>
        <v/>
      </c>
      <c r="BB527" s="632" t="str">
        <f t="shared" si="72"/>
        <v/>
      </c>
      <c r="BC527" s="632" t="str">
        <f t="shared" si="73"/>
        <v/>
      </c>
      <c r="BD527" s="633" t="str">
        <f>IF(AND(L527="",H527=""),"",
IF(H527="",Pole_Calc!A555,
IF(H527="MP",Pole_Calc!A556,
IF(H527="AnMP",Pole_Calc!A557,
IF(H527="A",Pole_Calc!A558,
IF(H527="S/A",Pole_Calc!A559,
IF(H527="A/S",Pole_Calc!A560,"Poner a mano")))))))</f>
        <v/>
      </c>
      <c r="BE527" s="448" t="s">
        <v>1726</v>
      </c>
      <c r="BF527" s="635"/>
      <c r="BG527" s="635"/>
      <c r="BH527" s="634"/>
      <c r="BI527" s="635"/>
    </row>
    <row r="528" spans="1:61" ht="16.2" customHeight="1">
      <c r="A528" s="12"/>
      <c r="B528" s="446"/>
      <c r="C528" s="89"/>
      <c r="D528" s="13"/>
      <c r="E528" s="14"/>
      <c r="F528" s="14"/>
      <c r="G528" s="15"/>
      <c r="H528" s="8"/>
      <c r="I528" s="8"/>
      <c r="J528" s="89"/>
      <c r="K528" s="8"/>
      <c r="L528" s="8"/>
      <c r="M528" s="8" t="str">
        <f>IF(L528="","",
IF(AX528="PT",VLOOKUP(L528,Foundation_Calc!$V$4:$X$37,VLOOKUP(AX528,Foundation_Calc!$I$10:$J$13,2,FALSE),0),
IF(AX528="K",VLOOKUP(L528,Foundation_Calc!$V$41:$X$74,VLOOKUP(AX528,Foundation_Calc!$I$10:$J$13,2,FALSE),0),"")))</f>
        <v/>
      </c>
      <c r="N528" s="8"/>
      <c r="O528" s="8"/>
      <c r="P528" s="8"/>
      <c r="Q528" s="14"/>
      <c r="R528" s="15"/>
      <c r="S528" s="15"/>
      <c r="T528" s="14"/>
      <c r="U528" s="14"/>
      <c r="V528" s="14"/>
      <c r="W528" s="18"/>
      <c r="X528" s="18"/>
      <c r="Y528" s="18"/>
      <c r="Z528" s="18"/>
      <c r="AA528" s="18"/>
      <c r="AB528" s="18"/>
      <c r="AC528" s="8" t="str">
        <f t="shared" si="70"/>
        <v/>
      </c>
      <c r="AD528" s="8"/>
      <c r="AE528" s="8"/>
      <c r="AF528" s="14"/>
      <c r="AG528" s="13"/>
      <c r="AH528" s="14"/>
      <c r="AI528" s="14"/>
      <c r="AJ528" s="8"/>
      <c r="AK528" s="8"/>
      <c r="AL528" s="8"/>
      <c r="AM528" s="8"/>
      <c r="AN528" s="631"/>
      <c r="AO528" s="18"/>
      <c r="AP528" s="18"/>
      <c r="AQ528" s="18"/>
      <c r="AR528" s="18"/>
      <c r="AS528" s="18"/>
      <c r="AU528" s="448"/>
      <c r="AV528" s="448"/>
      <c r="AW528" s="8" t="str">
        <f>IF(C528&gt;0,VLOOKUP(C528,Foundation_Calc!$A$2:$C$986,3,1),
IF(J528&gt;0,VLOOKUP(J528,Foundation_Calc!$A$2:$C$986,3,1),""))</f>
        <v/>
      </c>
      <c r="AX528" s="8" t="str">
        <f>IF(C528&gt;0,VLOOKUP(C528,Foundation_Calc!$E$2:$G$986,3,1),
IF(J528&gt;0,VLOOKUP(J528,Foundation_Calc!$E$2:$G$986,3,1),""))</f>
        <v/>
      </c>
      <c r="AY528" s="631" t="str">
        <f>IF(L528="","",
IF(AX528="PT",VLOOKUP(L528,Foundation_Calc!$K$4:$R$37,VLOOKUP(AW528,Foundation_Calc!$I$2:$J$8,2,FALSE),0),
IF(AX528="K",VLOOKUP(L528,Foundation_Calc!$K$41:$R$74,VLOOKUP(AW528,Foundation_Calc!$I$2:$J$8,2,FALSE),0),"")))</f>
        <v/>
      </c>
      <c r="AZ528" s="631" t="str">
        <f>IF(K528="","",
IF(AX528="PT",VLOOKUP(K528,Foundation_Calc!$K$4:$R$37,VLOOKUP(AW528,Foundation_Calc!$I$2:$J$8,2,FALSE),0),
IF(AX528="K",VLOOKUP(K528,Foundation_Calc!$K$41:$R$74,VLOOKUP(AW528,Foundation_Calc!$I$2:$J$8,2,FALSE),0),"")))</f>
        <v/>
      </c>
      <c r="BA528" s="632" t="str">
        <f t="shared" si="71"/>
        <v/>
      </c>
      <c r="BB528" s="632" t="str">
        <f t="shared" si="72"/>
        <v/>
      </c>
      <c r="BC528" s="632" t="str">
        <f t="shared" si="73"/>
        <v/>
      </c>
      <c r="BD528" s="633" t="str">
        <f>IF(AND(L528="",H528=""),"",
IF(H528="",Pole_Calc!A556,
IF(H528="MP",Pole_Calc!A557,
IF(H528="AnMP",Pole_Calc!A558,
IF(H528="A",Pole_Calc!A559,
IF(H528="S/A",Pole_Calc!A560,
IF(H528="A/S",Pole_Calc!A561,"Poner a mano")))))))</f>
        <v/>
      </c>
      <c r="BE528" s="448" t="s">
        <v>1726</v>
      </c>
      <c r="BF528" s="634"/>
      <c r="BG528" s="634"/>
      <c r="BH528" s="634"/>
      <c r="BI528" s="634"/>
    </row>
    <row r="529" spans="1:61" ht="16.2" customHeight="1">
      <c r="A529" s="12"/>
      <c r="B529" s="446"/>
      <c r="C529" s="89"/>
      <c r="D529" s="13"/>
      <c r="E529" s="14"/>
      <c r="F529" s="14"/>
      <c r="G529" s="15"/>
      <c r="H529" s="8"/>
      <c r="I529" s="8"/>
      <c r="J529" s="89"/>
      <c r="K529" s="8"/>
      <c r="L529" s="8"/>
      <c r="M529" s="8" t="str">
        <f>IF(L529="","",
IF(AX529="PT",VLOOKUP(L529,Foundation_Calc!$V$4:$X$37,VLOOKUP(AX529,Foundation_Calc!$I$10:$J$13,2,FALSE),0),
IF(AX529="K",VLOOKUP(L529,Foundation_Calc!$V$41:$X$74,VLOOKUP(AX529,Foundation_Calc!$I$10:$J$13,2,FALSE),0),"")))</f>
        <v/>
      </c>
      <c r="N529" s="8"/>
      <c r="O529" s="8"/>
      <c r="P529" s="8"/>
      <c r="Q529" s="14"/>
      <c r="R529" s="15"/>
      <c r="S529" s="15"/>
      <c r="T529" s="14"/>
      <c r="U529" s="14"/>
      <c r="V529" s="14"/>
      <c r="W529" s="18"/>
      <c r="X529" s="18"/>
      <c r="Y529" s="18"/>
      <c r="Z529" s="18"/>
      <c r="AA529" s="18"/>
      <c r="AB529" s="18"/>
      <c r="AC529" s="8" t="str">
        <f t="shared" si="70"/>
        <v/>
      </c>
      <c r="AD529" s="8"/>
      <c r="AE529" s="8"/>
      <c r="AF529" s="14"/>
      <c r="AG529" s="13"/>
      <c r="AH529" s="14"/>
      <c r="AI529" s="14"/>
      <c r="AJ529" s="8"/>
      <c r="AK529" s="8"/>
      <c r="AL529" s="8"/>
      <c r="AM529" s="8"/>
      <c r="AN529" s="631"/>
      <c r="AO529" s="18"/>
      <c r="AP529" s="18"/>
      <c r="AQ529" s="18"/>
      <c r="AR529" s="18"/>
      <c r="AS529" s="18"/>
      <c r="AU529" s="448"/>
      <c r="AV529" s="448"/>
      <c r="AW529" s="8" t="str">
        <f>IF(C529&gt;0,VLOOKUP(C529,Foundation_Calc!$A$2:$C$986,3,1),
IF(J529&gt;0,VLOOKUP(J529,Foundation_Calc!$A$2:$C$986,3,1),""))</f>
        <v/>
      </c>
      <c r="AX529" s="8" t="str">
        <f>IF(C529&gt;0,VLOOKUP(C529,Foundation_Calc!$E$2:$G$986,3,1),
IF(J529&gt;0,VLOOKUP(J529,Foundation_Calc!$E$2:$G$986,3,1),""))</f>
        <v/>
      </c>
      <c r="AY529" s="631" t="str">
        <f>IF(L529="","",
IF(AX529="PT",VLOOKUP(L529,Foundation_Calc!$K$4:$R$37,VLOOKUP(AW529,Foundation_Calc!$I$2:$J$8,2,FALSE),0),
IF(AX529="K",VLOOKUP(L529,Foundation_Calc!$K$41:$R$74,VLOOKUP(AW529,Foundation_Calc!$I$2:$J$8,2,FALSE),0),"")))</f>
        <v/>
      </c>
      <c r="AZ529" s="631" t="str">
        <f>IF(K529="","",
IF(AX529="PT",VLOOKUP(K529,Foundation_Calc!$K$4:$R$37,VLOOKUP(AW529,Foundation_Calc!$I$2:$J$8,2,FALSE),0),
IF(AX529="K",VLOOKUP(K529,Foundation_Calc!$K$41:$R$74,VLOOKUP(AW529,Foundation_Calc!$I$2:$J$8,2,FALSE),0),"")))</f>
        <v/>
      </c>
      <c r="BA529" s="632" t="str">
        <f t="shared" si="71"/>
        <v/>
      </c>
      <c r="BB529" s="632" t="str">
        <f t="shared" si="72"/>
        <v/>
      </c>
      <c r="BC529" s="632" t="str">
        <f t="shared" si="73"/>
        <v/>
      </c>
      <c r="BD529" s="633" t="str">
        <f>IF(AND(L529="",H529=""),"",
IF(H529="",Pole_Calc!A557,
IF(H529="MP",Pole_Calc!A558,
IF(H529="AnMP",Pole_Calc!A559,
IF(H529="A",Pole_Calc!A560,
IF(H529="S/A",Pole_Calc!A561,
IF(H529="A/S",Pole_Calc!A562,"Poner a mano")))))))</f>
        <v/>
      </c>
      <c r="BE529" s="448" t="s">
        <v>1726</v>
      </c>
      <c r="BF529" s="635"/>
      <c r="BG529" s="635"/>
      <c r="BH529" s="634"/>
      <c r="BI529" s="635"/>
    </row>
    <row r="530" spans="1:61" ht="16.2" customHeight="1">
      <c r="A530" s="12"/>
      <c r="B530" s="446"/>
      <c r="C530" s="89"/>
      <c r="D530" s="13"/>
      <c r="E530" s="14"/>
      <c r="F530" s="14"/>
      <c r="G530" s="15"/>
      <c r="H530" s="8"/>
      <c r="I530" s="8"/>
      <c r="J530" s="89"/>
      <c r="K530" s="8"/>
      <c r="L530" s="8"/>
      <c r="M530" s="8" t="str">
        <f>IF(L530="","",
IF(AX530="PT",VLOOKUP(L530,Foundation_Calc!$V$4:$X$37,VLOOKUP(AX530,Foundation_Calc!$I$10:$J$13,2,FALSE),0),
IF(AX530="K",VLOOKUP(L530,Foundation_Calc!$V$41:$X$74,VLOOKUP(AX530,Foundation_Calc!$I$10:$J$13,2,FALSE),0),"")))</f>
        <v/>
      </c>
      <c r="N530" s="8"/>
      <c r="O530" s="8"/>
      <c r="P530" s="8"/>
      <c r="Q530" s="14"/>
      <c r="R530" s="15"/>
      <c r="S530" s="15"/>
      <c r="T530" s="14"/>
      <c r="U530" s="14"/>
      <c r="V530" s="14"/>
      <c r="W530" s="18"/>
      <c r="X530" s="18"/>
      <c r="Y530" s="18"/>
      <c r="Z530" s="18"/>
      <c r="AA530" s="18"/>
      <c r="AB530" s="18"/>
      <c r="AC530" s="8" t="str">
        <f t="shared" si="70"/>
        <v/>
      </c>
      <c r="AD530" s="8"/>
      <c r="AE530" s="8"/>
      <c r="AF530" s="14"/>
      <c r="AG530" s="13"/>
      <c r="AH530" s="14"/>
      <c r="AI530" s="14"/>
      <c r="AJ530" s="8"/>
      <c r="AK530" s="8"/>
      <c r="AL530" s="8"/>
      <c r="AM530" s="8"/>
      <c r="AN530" s="631"/>
      <c r="AO530" s="18"/>
      <c r="AP530" s="18"/>
      <c r="AQ530" s="18"/>
      <c r="AR530" s="18"/>
      <c r="AS530" s="18"/>
      <c r="AU530" s="448"/>
      <c r="AV530" s="448"/>
      <c r="AW530" s="8" t="str">
        <f>IF(C530&gt;0,VLOOKUP(C530,Foundation_Calc!$A$2:$C$986,3,1),
IF(J530&gt;0,VLOOKUP(J530,Foundation_Calc!$A$2:$C$986,3,1),""))</f>
        <v/>
      </c>
      <c r="AX530" s="8" t="str">
        <f>IF(C530&gt;0,VLOOKUP(C530,Foundation_Calc!$E$2:$G$986,3,1),
IF(J530&gt;0,VLOOKUP(J530,Foundation_Calc!$E$2:$G$986,3,1),""))</f>
        <v/>
      </c>
      <c r="AY530" s="631" t="str">
        <f>IF(L530="","",
IF(AX530="PT",VLOOKUP(L530,Foundation_Calc!$K$4:$R$37,VLOOKUP(AW530,Foundation_Calc!$I$2:$J$8,2,FALSE),0),
IF(AX530="K",VLOOKUP(L530,Foundation_Calc!$K$41:$R$74,VLOOKUP(AW530,Foundation_Calc!$I$2:$J$8,2,FALSE),0),"")))</f>
        <v/>
      </c>
      <c r="AZ530" s="631" t="str">
        <f>IF(K530="","",
IF(AX530="PT",VLOOKUP(K530,Foundation_Calc!$K$4:$R$37,VLOOKUP(AW530,Foundation_Calc!$I$2:$J$8,2,FALSE),0),
IF(AX530="K",VLOOKUP(K530,Foundation_Calc!$K$41:$R$74,VLOOKUP(AW530,Foundation_Calc!$I$2:$J$8,2,FALSE),0),"")))</f>
        <v/>
      </c>
      <c r="BA530" s="632" t="str">
        <f t="shared" si="71"/>
        <v/>
      </c>
      <c r="BB530" s="632" t="str">
        <f t="shared" si="72"/>
        <v/>
      </c>
      <c r="BC530" s="632" t="str">
        <f t="shared" si="73"/>
        <v/>
      </c>
      <c r="BD530" s="633" t="str">
        <f>IF(AND(L530="",H530=""),"",
IF(H530="",Pole_Calc!A558,
IF(H530="MP",Pole_Calc!A559,
IF(H530="AnMP",Pole_Calc!A560,
IF(H530="A",Pole_Calc!A561,
IF(H530="S/A",Pole_Calc!A562,
IF(H530="A/S",Pole_Calc!A563,"Poner a mano")))))))</f>
        <v/>
      </c>
      <c r="BE530" s="448" t="s">
        <v>1726</v>
      </c>
      <c r="BF530" s="634"/>
      <c r="BG530" s="634"/>
      <c r="BH530" s="634"/>
      <c r="BI530" s="634"/>
    </row>
    <row r="531" spans="1:61" ht="16.2" customHeight="1">
      <c r="A531" s="12"/>
      <c r="B531" s="446"/>
      <c r="C531" s="89"/>
      <c r="D531" s="13"/>
      <c r="E531" s="14"/>
      <c r="F531" s="14"/>
      <c r="G531" s="15"/>
      <c r="H531" s="8"/>
      <c r="I531" s="8"/>
      <c r="J531" s="89"/>
      <c r="K531" s="8"/>
      <c r="L531" s="8"/>
      <c r="M531" s="8" t="str">
        <f>IF(L531="","",
IF(AX531="PT",VLOOKUP(L531,Foundation_Calc!$V$4:$X$37,VLOOKUP(AX531,Foundation_Calc!$I$10:$J$13,2,FALSE),0),
IF(AX531="K",VLOOKUP(L531,Foundation_Calc!$V$41:$X$74,VLOOKUP(AX531,Foundation_Calc!$I$10:$J$13,2,FALSE),0),"")))</f>
        <v/>
      </c>
      <c r="N531" s="8"/>
      <c r="O531" s="8"/>
      <c r="P531" s="8"/>
      <c r="Q531" s="14"/>
      <c r="R531" s="15"/>
      <c r="S531" s="15"/>
      <c r="T531" s="14"/>
      <c r="U531" s="14"/>
      <c r="V531" s="14"/>
      <c r="W531" s="18"/>
      <c r="X531" s="18"/>
      <c r="Y531" s="18"/>
      <c r="Z531" s="18"/>
      <c r="AA531" s="18"/>
      <c r="AB531" s="18"/>
      <c r="AC531" s="8" t="str">
        <f t="shared" si="70"/>
        <v/>
      </c>
      <c r="AD531" s="8"/>
      <c r="AE531" s="8"/>
      <c r="AF531" s="14"/>
      <c r="AG531" s="13"/>
      <c r="AH531" s="14"/>
      <c r="AI531" s="14"/>
      <c r="AJ531" s="8"/>
      <c r="AK531" s="8"/>
      <c r="AL531" s="8"/>
      <c r="AM531" s="8"/>
      <c r="AN531" s="631"/>
      <c r="AO531" s="18"/>
      <c r="AP531" s="18"/>
      <c r="AQ531" s="18"/>
      <c r="AR531" s="18"/>
      <c r="AS531" s="18"/>
      <c r="AU531" s="448"/>
      <c r="AV531" s="448"/>
      <c r="AW531" s="8" t="str">
        <f>IF(C531&gt;0,VLOOKUP(C531,Foundation_Calc!$A$2:$C$986,3,1),
IF(J531&gt;0,VLOOKUP(J531,Foundation_Calc!$A$2:$C$986,3,1),""))</f>
        <v/>
      </c>
      <c r="AX531" s="8" t="str">
        <f>IF(C531&gt;0,VLOOKUP(C531,Foundation_Calc!$E$2:$G$986,3,1),
IF(J531&gt;0,VLOOKUP(J531,Foundation_Calc!$E$2:$G$986,3,1),""))</f>
        <v/>
      </c>
      <c r="AY531" s="631" t="str">
        <f>IF(L531="","",
IF(AX531="PT",VLOOKUP(L531,Foundation_Calc!$K$4:$R$37,VLOOKUP(AW531,Foundation_Calc!$I$2:$J$8,2,FALSE),0),
IF(AX531="K",VLOOKUP(L531,Foundation_Calc!$K$41:$R$74,VLOOKUP(AW531,Foundation_Calc!$I$2:$J$8,2,FALSE),0),"")))</f>
        <v/>
      </c>
      <c r="AZ531" s="631" t="str">
        <f>IF(K531="","",
IF(AX531="PT",VLOOKUP(K531,Foundation_Calc!$K$4:$R$37,VLOOKUP(AW531,Foundation_Calc!$I$2:$J$8,2,FALSE),0),
IF(AX531="K",VLOOKUP(K531,Foundation_Calc!$K$41:$R$74,VLOOKUP(AW531,Foundation_Calc!$I$2:$J$8,2,FALSE),0),"")))</f>
        <v/>
      </c>
      <c r="BA531" s="632" t="str">
        <f t="shared" si="71"/>
        <v/>
      </c>
      <c r="BB531" s="632" t="str">
        <f t="shared" si="72"/>
        <v/>
      </c>
      <c r="BC531" s="632" t="str">
        <f t="shared" si="73"/>
        <v/>
      </c>
      <c r="BD531" s="633" t="str">
        <f>IF(AND(L531="",H531=""),"",
IF(H531="",Pole_Calc!A559,
IF(H531="MP",Pole_Calc!A560,
IF(H531="AnMP",Pole_Calc!A561,
IF(H531="A",Pole_Calc!A562,
IF(H531="S/A",Pole_Calc!A563,
IF(H531="A/S",Pole_Calc!A564,"Poner a mano")))))))</f>
        <v/>
      </c>
      <c r="BE531" s="448" t="s">
        <v>1726</v>
      </c>
      <c r="BF531" s="635"/>
      <c r="BG531" s="635"/>
      <c r="BH531" s="634"/>
      <c r="BI531" s="635"/>
    </row>
    <row r="532" spans="1:61" ht="16.2" customHeight="1">
      <c r="A532" s="12"/>
      <c r="B532" s="446"/>
      <c r="C532" s="89"/>
      <c r="D532" s="13"/>
      <c r="E532" s="14"/>
      <c r="F532" s="14"/>
      <c r="G532" s="15"/>
      <c r="H532" s="8"/>
      <c r="I532" s="8"/>
      <c r="J532" s="89"/>
      <c r="K532" s="8"/>
      <c r="L532" s="8"/>
      <c r="M532" s="8" t="str">
        <f>IF(L532="","",
IF(AX532="PT",VLOOKUP(L532,Foundation_Calc!$V$4:$X$37,VLOOKUP(AX532,Foundation_Calc!$I$10:$J$13,2,FALSE),0),
IF(AX532="K",VLOOKUP(L532,Foundation_Calc!$V$41:$X$74,VLOOKUP(AX532,Foundation_Calc!$I$10:$J$13,2,FALSE),0),"")))</f>
        <v/>
      </c>
      <c r="N532" s="8"/>
      <c r="O532" s="8"/>
      <c r="P532" s="8"/>
      <c r="Q532" s="14"/>
      <c r="R532" s="15"/>
      <c r="S532" s="15"/>
      <c r="T532" s="14"/>
      <c r="U532" s="14"/>
      <c r="V532" s="14"/>
      <c r="W532" s="18"/>
      <c r="X532" s="18"/>
      <c r="Y532" s="18"/>
      <c r="Z532" s="18"/>
      <c r="AA532" s="18"/>
      <c r="AB532" s="18"/>
      <c r="AC532" s="8" t="str">
        <f t="shared" si="70"/>
        <v/>
      </c>
      <c r="AD532" s="8"/>
      <c r="AE532" s="8"/>
      <c r="AF532" s="14"/>
      <c r="AG532" s="13"/>
      <c r="AH532" s="14"/>
      <c r="AI532" s="14"/>
      <c r="AJ532" s="8"/>
      <c r="AK532" s="8"/>
      <c r="AL532" s="8"/>
      <c r="AM532" s="8"/>
      <c r="AN532" s="631"/>
      <c r="AO532" s="18"/>
      <c r="AP532" s="18"/>
      <c r="AQ532" s="18"/>
      <c r="AR532" s="18"/>
      <c r="AS532" s="18"/>
      <c r="AU532" s="448"/>
      <c r="AV532" s="448"/>
      <c r="AW532" s="8" t="str">
        <f>IF(C532&gt;0,VLOOKUP(C532,Foundation_Calc!$A$2:$C$986,3,1),
IF(J532&gt;0,VLOOKUP(J532,Foundation_Calc!$A$2:$C$986,3,1),""))</f>
        <v/>
      </c>
      <c r="AX532" s="8" t="str">
        <f>IF(C532&gt;0,VLOOKUP(C532,Foundation_Calc!$E$2:$G$986,3,1),
IF(J532&gt;0,VLOOKUP(J532,Foundation_Calc!$E$2:$G$986,3,1),""))</f>
        <v/>
      </c>
      <c r="AY532" s="631" t="str">
        <f>IF(L532="","",
IF(AX532="PT",VLOOKUP(L532,Foundation_Calc!$K$4:$R$37,VLOOKUP(AW532,Foundation_Calc!$I$2:$J$8,2,FALSE),0),
IF(AX532="K",VLOOKUP(L532,Foundation_Calc!$K$41:$R$74,VLOOKUP(AW532,Foundation_Calc!$I$2:$J$8,2,FALSE),0),"")))</f>
        <v/>
      </c>
      <c r="AZ532" s="631" t="str">
        <f>IF(K532="","",
IF(AX532="PT",VLOOKUP(K532,Foundation_Calc!$K$4:$R$37,VLOOKUP(AW532,Foundation_Calc!$I$2:$J$8,2,FALSE),0),
IF(AX532="K",VLOOKUP(K532,Foundation_Calc!$K$41:$R$74,VLOOKUP(AW532,Foundation_Calc!$I$2:$J$8,2,FALSE),0),"")))</f>
        <v/>
      </c>
      <c r="BA532" s="632" t="str">
        <f t="shared" si="71"/>
        <v/>
      </c>
      <c r="BB532" s="632" t="str">
        <f t="shared" si="72"/>
        <v/>
      </c>
      <c r="BC532" s="632" t="str">
        <f t="shared" si="73"/>
        <v/>
      </c>
      <c r="BD532" s="633" t="str">
        <f>IF(AND(L532="",H532=""),"",
IF(H532="",Pole_Calc!A560,
IF(H532="MP",Pole_Calc!A561,
IF(H532="AnMP",Pole_Calc!A562,
IF(H532="A",Pole_Calc!A563,
IF(H532="S/A",Pole_Calc!A564,
IF(H532="A/S",Pole_Calc!A565,"Poner a mano")))))))</f>
        <v/>
      </c>
      <c r="BE532" s="448" t="s">
        <v>1726</v>
      </c>
      <c r="BF532" s="634"/>
      <c r="BG532" s="634"/>
      <c r="BH532" s="634"/>
      <c r="BI532" s="634"/>
    </row>
    <row r="533" spans="1:61" ht="16.2" customHeight="1">
      <c r="A533" s="12"/>
      <c r="B533" s="446"/>
      <c r="C533" s="89"/>
      <c r="D533" s="13"/>
      <c r="E533" s="14"/>
      <c r="F533" s="14"/>
      <c r="G533" s="15"/>
      <c r="H533" s="8"/>
      <c r="I533" s="8"/>
      <c r="J533" s="89"/>
      <c r="K533" s="8"/>
      <c r="L533" s="8"/>
      <c r="M533" s="8" t="str">
        <f>IF(L533="","",
IF(AX533="PT",VLOOKUP(L533,Foundation_Calc!$V$4:$X$37,VLOOKUP(AX533,Foundation_Calc!$I$10:$J$13,2,FALSE),0),
IF(AX533="K",VLOOKUP(L533,Foundation_Calc!$V$41:$X$74,VLOOKUP(AX533,Foundation_Calc!$I$10:$J$13,2,FALSE),0),"")))</f>
        <v/>
      </c>
      <c r="N533" s="8"/>
      <c r="O533" s="8"/>
      <c r="P533" s="8"/>
      <c r="Q533" s="14"/>
      <c r="R533" s="15"/>
      <c r="S533" s="15"/>
      <c r="T533" s="14"/>
      <c r="U533" s="14"/>
      <c r="V533" s="14"/>
      <c r="W533" s="18"/>
      <c r="X533" s="18"/>
      <c r="Y533" s="18"/>
      <c r="Z533" s="18"/>
      <c r="AA533" s="18"/>
      <c r="AB533" s="18"/>
      <c r="AC533" s="8" t="str">
        <f t="shared" si="70"/>
        <v/>
      </c>
      <c r="AD533" s="8"/>
      <c r="AE533" s="8"/>
      <c r="AF533" s="14"/>
      <c r="AG533" s="13"/>
      <c r="AH533" s="14"/>
      <c r="AI533" s="14"/>
      <c r="AJ533" s="8"/>
      <c r="AK533" s="8"/>
      <c r="AL533" s="8"/>
      <c r="AM533" s="8"/>
      <c r="AN533" s="631"/>
      <c r="AO533" s="18"/>
      <c r="AP533" s="18"/>
      <c r="AQ533" s="18"/>
      <c r="AR533" s="18"/>
      <c r="AS533" s="18"/>
      <c r="AU533" s="448"/>
      <c r="AV533" s="448"/>
      <c r="AW533" s="8" t="str">
        <f>IF(C533&gt;0,VLOOKUP(C533,Foundation_Calc!$A$2:$C$986,3,1),
IF(J533&gt;0,VLOOKUP(J533,Foundation_Calc!$A$2:$C$986,3,1),""))</f>
        <v/>
      </c>
      <c r="AX533" s="8" t="str">
        <f>IF(C533&gt;0,VLOOKUP(C533,Foundation_Calc!$E$2:$G$986,3,1),
IF(J533&gt;0,VLOOKUP(J533,Foundation_Calc!$E$2:$G$986,3,1),""))</f>
        <v/>
      </c>
      <c r="AY533" s="631" t="str">
        <f>IF(L533="","",
IF(AX533="PT",VLOOKUP(L533,Foundation_Calc!$K$4:$R$37,VLOOKUP(AW533,Foundation_Calc!$I$2:$J$8,2,FALSE),0),
IF(AX533="K",VLOOKUP(L533,Foundation_Calc!$K$41:$R$74,VLOOKUP(AW533,Foundation_Calc!$I$2:$J$8,2,FALSE),0),"")))</f>
        <v/>
      </c>
      <c r="AZ533" s="631" t="str">
        <f>IF(K533="","",
IF(AX533="PT",VLOOKUP(K533,Foundation_Calc!$K$4:$R$37,VLOOKUP(AW533,Foundation_Calc!$I$2:$J$8,2,FALSE),0),
IF(AX533="K",VLOOKUP(K533,Foundation_Calc!$K$41:$R$74,VLOOKUP(AW533,Foundation_Calc!$I$2:$J$8,2,FALSE),0),"")))</f>
        <v/>
      </c>
      <c r="BA533" s="632" t="str">
        <f t="shared" si="71"/>
        <v/>
      </c>
      <c r="BB533" s="632" t="str">
        <f t="shared" si="72"/>
        <v/>
      </c>
      <c r="BC533" s="632" t="str">
        <f t="shared" si="73"/>
        <v/>
      </c>
      <c r="BD533" s="633" t="str">
        <f>IF(AND(L533="",H533=""),"",
IF(H533="",Pole_Calc!A561,
IF(H533="MP",Pole_Calc!A562,
IF(H533="AnMP",Pole_Calc!A563,
IF(H533="A",Pole_Calc!A564,
IF(H533="S/A",Pole_Calc!A565,
IF(H533="A/S",Pole_Calc!A566,"Poner a mano")))))))</f>
        <v/>
      </c>
      <c r="BE533" s="448" t="s">
        <v>1726</v>
      </c>
      <c r="BF533" s="635"/>
      <c r="BG533" s="635"/>
      <c r="BH533" s="634"/>
      <c r="BI533" s="635"/>
    </row>
    <row r="534" spans="1:61" ht="16.2" customHeight="1">
      <c r="A534" s="12"/>
      <c r="B534" s="446"/>
      <c r="C534" s="89"/>
      <c r="D534" s="13"/>
      <c r="E534" s="14"/>
      <c r="F534" s="14"/>
      <c r="G534" s="15"/>
      <c r="H534" s="8"/>
      <c r="I534" s="8"/>
      <c r="J534" s="89"/>
      <c r="K534" s="8"/>
      <c r="L534" s="8"/>
      <c r="M534" s="8" t="str">
        <f>IF(L534="","",
IF(AX534="PT",VLOOKUP(L534,Foundation_Calc!$V$4:$X$37,VLOOKUP(AX534,Foundation_Calc!$I$10:$J$13,2,FALSE),0),
IF(AX534="K",VLOOKUP(L534,Foundation_Calc!$V$41:$X$74,VLOOKUP(AX534,Foundation_Calc!$I$10:$J$13,2,FALSE),0),"")))</f>
        <v/>
      </c>
      <c r="N534" s="8"/>
      <c r="O534" s="8"/>
      <c r="P534" s="8"/>
      <c r="Q534" s="14"/>
      <c r="R534" s="15"/>
      <c r="S534" s="15"/>
      <c r="T534" s="14"/>
      <c r="U534" s="14"/>
      <c r="V534" s="14"/>
      <c r="W534" s="18"/>
      <c r="X534" s="18"/>
      <c r="Y534" s="18"/>
      <c r="Z534" s="18"/>
      <c r="AA534" s="18"/>
      <c r="AB534" s="18"/>
      <c r="AC534" s="8" t="str">
        <f t="shared" si="70"/>
        <v/>
      </c>
      <c r="AD534" s="8"/>
      <c r="AE534" s="8"/>
      <c r="AF534" s="14"/>
      <c r="AG534" s="13"/>
      <c r="AH534" s="14"/>
      <c r="AI534" s="14"/>
      <c r="AJ534" s="8"/>
      <c r="AK534" s="8"/>
      <c r="AL534" s="8"/>
      <c r="AM534" s="8"/>
      <c r="AN534" s="631"/>
      <c r="AO534" s="18"/>
      <c r="AP534" s="18"/>
      <c r="AQ534" s="18"/>
      <c r="AR534" s="18"/>
      <c r="AS534" s="18"/>
      <c r="AU534" s="448"/>
      <c r="AV534" s="448"/>
      <c r="AW534" s="8" t="str">
        <f>IF(C534&gt;0,VLOOKUP(C534,Foundation_Calc!$A$2:$C$986,3,1),
IF(J534&gt;0,VLOOKUP(J534,Foundation_Calc!$A$2:$C$986,3,1),""))</f>
        <v/>
      </c>
      <c r="AX534" s="8" t="str">
        <f>IF(C534&gt;0,VLOOKUP(C534,Foundation_Calc!$E$2:$G$986,3,1),
IF(J534&gt;0,VLOOKUP(J534,Foundation_Calc!$E$2:$G$986,3,1),""))</f>
        <v/>
      </c>
      <c r="AY534" s="631" t="str">
        <f>IF(L534="","",
IF(AX534="PT",VLOOKUP(L534,Foundation_Calc!$K$4:$R$37,VLOOKUP(AW534,Foundation_Calc!$I$2:$J$8,2,FALSE),0),
IF(AX534="K",VLOOKUP(L534,Foundation_Calc!$K$41:$R$74,VLOOKUP(AW534,Foundation_Calc!$I$2:$J$8,2,FALSE),0),"")))</f>
        <v/>
      </c>
      <c r="AZ534" s="631" t="str">
        <f>IF(K534="","",
IF(AX534="PT",VLOOKUP(K534,Foundation_Calc!$K$4:$R$37,VLOOKUP(AW534,Foundation_Calc!$I$2:$J$8,2,FALSE),0),
IF(AX534="K",VLOOKUP(K534,Foundation_Calc!$K$41:$R$74,VLOOKUP(AW534,Foundation_Calc!$I$2:$J$8,2,FALSE),0),"")))</f>
        <v/>
      </c>
      <c r="BA534" s="632" t="str">
        <f t="shared" si="71"/>
        <v/>
      </c>
      <c r="BB534" s="632" t="str">
        <f t="shared" si="72"/>
        <v/>
      </c>
      <c r="BC534" s="632" t="str">
        <f t="shared" si="73"/>
        <v/>
      </c>
      <c r="BD534" s="633" t="str">
        <f>IF(AND(L534="",H534=""),"",
IF(H534="",Pole_Calc!A562,
IF(H534="MP",Pole_Calc!A563,
IF(H534="AnMP",Pole_Calc!A564,
IF(H534="A",Pole_Calc!A565,
IF(H534="S/A",Pole_Calc!A566,
IF(H534="A/S",Pole_Calc!A567,"Poner a mano")))))))</f>
        <v/>
      </c>
      <c r="BE534" s="448" t="s">
        <v>1726</v>
      </c>
      <c r="BF534" s="634"/>
      <c r="BG534" s="634"/>
      <c r="BH534" s="634"/>
      <c r="BI534" s="634"/>
    </row>
    <row r="535" spans="1:61" ht="16.2" customHeight="1">
      <c r="A535" s="12"/>
      <c r="B535" s="446"/>
      <c r="C535" s="89"/>
      <c r="D535" s="13"/>
      <c r="E535" s="14"/>
      <c r="F535" s="14"/>
      <c r="G535" s="15"/>
      <c r="H535" s="8"/>
      <c r="I535" s="8"/>
      <c r="J535" s="89"/>
      <c r="K535" s="8"/>
      <c r="L535" s="8"/>
      <c r="M535" s="8" t="str">
        <f>IF(L535="","",
IF(AX535="PT",VLOOKUP(L535,Foundation_Calc!$V$4:$X$37,VLOOKUP(AX535,Foundation_Calc!$I$10:$J$13,2,FALSE),0),
IF(AX535="K",VLOOKUP(L535,Foundation_Calc!$V$41:$X$74,VLOOKUP(AX535,Foundation_Calc!$I$10:$J$13,2,FALSE),0),"")))</f>
        <v/>
      </c>
      <c r="N535" s="8"/>
      <c r="O535" s="8"/>
      <c r="P535" s="8"/>
      <c r="Q535" s="14"/>
      <c r="R535" s="15"/>
      <c r="S535" s="15"/>
      <c r="T535" s="14"/>
      <c r="U535" s="14"/>
      <c r="V535" s="14"/>
      <c r="W535" s="18"/>
      <c r="X535" s="18"/>
      <c r="Y535" s="18"/>
      <c r="Z535" s="18"/>
      <c r="AA535" s="18"/>
      <c r="AB535" s="18"/>
      <c r="AC535" s="8" t="str">
        <f t="shared" si="70"/>
        <v/>
      </c>
      <c r="AD535" s="8"/>
      <c r="AE535" s="8"/>
      <c r="AF535" s="14"/>
      <c r="AG535" s="13"/>
      <c r="AH535" s="14"/>
      <c r="AI535" s="14"/>
      <c r="AJ535" s="8"/>
      <c r="AK535" s="8"/>
      <c r="AL535" s="8"/>
      <c r="AM535" s="8"/>
      <c r="AN535" s="631"/>
      <c r="AO535" s="18"/>
      <c r="AP535" s="18"/>
      <c r="AQ535" s="18"/>
      <c r="AR535" s="18"/>
      <c r="AS535" s="18"/>
      <c r="AU535" s="448"/>
      <c r="AV535" s="448"/>
      <c r="AW535" s="8" t="str">
        <f>IF(C535&gt;0,VLOOKUP(C535,Foundation_Calc!$A$2:$C$986,3,1),
IF(J535&gt;0,VLOOKUP(J535,Foundation_Calc!$A$2:$C$986,3,1),""))</f>
        <v/>
      </c>
      <c r="AX535" s="8" t="str">
        <f>IF(C535&gt;0,VLOOKUP(C535,Foundation_Calc!$E$2:$G$986,3,1),
IF(J535&gt;0,VLOOKUP(J535,Foundation_Calc!$E$2:$G$986,3,1),""))</f>
        <v/>
      </c>
      <c r="AY535" s="631" t="str">
        <f>IF(L535="","",
IF(AX535="PT",VLOOKUP(L535,Foundation_Calc!$K$4:$R$37,VLOOKUP(AW535,Foundation_Calc!$I$2:$J$8,2,FALSE),0),
IF(AX535="K",VLOOKUP(L535,Foundation_Calc!$K$41:$R$74,VLOOKUP(AW535,Foundation_Calc!$I$2:$J$8,2,FALSE),0),"")))</f>
        <v/>
      </c>
      <c r="AZ535" s="631" t="str">
        <f>IF(K535="","",
IF(AX535="PT",VLOOKUP(K535,Foundation_Calc!$K$4:$R$37,VLOOKUP(AW535,Foundation_Calc!$I$2:$J$8,2,FALSE),0),
IF(AX535="K",VLOOKUP(K535,Foundation_Calc!$K$41:$R$74,VLOOKUP(AW535,Foundation_Calc!$I$2:$J$8,2,FALSE),0),"")))</f>
        <v/>
      </c>
      <c r="BA535" s="632" t="str">
        <f t="shared" si="71"/>
        <v/>
      </c>
      <c r="BB535" s="632" t="str">
        <f t="shared" si="72"/>
        <v/>
      </c>
      <c r="BC535" s="632" t="str">
        <f t="shared" si="73"/>
        <v/>
      </c>
      <c r="BD535" s="633" t="str">
        <f>IF(AND(L535="",H535=""),"",
IF(H535="",Pole_Calc!A563,
IF(H535="MP",Pole_Calc!A564,
IF(H535="AnMP",Pole_Calc!A565,
IF(H535="A",Pole_Calc!A566,
IF(H535="S/A",Pole_Calc!A567,
IF(H535="A/S",Pole_Calc!A568,"Poner a mano")))))))</f>
        <v/>
      </c>
      <c r="BE535" s="448" t="s">
        <v>1726</v>
      </c>
      <c r="BF535" s="635"/>
      <c r="BG535" s="635"/>
      <c r="BH535" s="634"/>
      <c r="BI535" s="635"/>
    </row>
    <row r="536" spans="1:61" ht="16.2" customHeight="1">
      <c r="A536" s="12"/>
      <c r="B536" s="446"/>
      <c r="C536" s="89"/>
      <c r="D536" s="13"/>
      <c r="E536" s="14"/>
      <c r="F536" s="14"/>
      <c r="G536" s="15"/>
      <c r="H536" s="8"/>
      <c r="I536" s="8"/>
      <c r="J536" s="89"/>
      <c r="K536" s="8"/>
      <c r="L536" s="8"/>
      <c r="M536" s="8" t="str">
        <f>IF(L536="","",
IF(AX536="PT",VLOOKUP(L536,Foundation_Calc!$V$4:$X$37,VLOOKUP(AX536,Foundation_Calc!$I$10:$J$13,2,FALSE),0),
IF(AX536="K",VLOOKUP(L536,Foundation_Calc!$V$41:$X$74,VLOOKUP(AX536,Foundation_Calc!$I$10:$J$13,2,FALSE),0),"")))</f>
        <v/>
      </c>
      <c r="N536" s="8"/>
      <c r="O536" s="8"/>
      <c r="P536" s="8"/>
      <c r="Q536" s="14"/>
      <c r="R536" s="15"/>
      <c r="S536" s="15"/>
      <c r="T536" s="14"/>
      <c r="U536" s="14"/>
      <c r="V536" s="14"/>
      <c r="W536" s="18"/>
      <c r="X536" s="18"/>
      <c r="Y536" s="18"/>
      <c r="Z536" s="18"/>
      <c r="AA536" s="18"/>
      <c r="AB536" s="18"/>
      <c r="AC536" s="8" t="str">
        <f t="shared" si="70"/>
        <v/>
      </c>
      <c r="AD536" s="8"/>
      <c r="AE536" s="8"/>
      <c r="AF536" s="14"/>
      <c r="AG536" s="13"/>
      <c r="AH536" s="14"/>
      <c r="AI536" s="14"/>
      <c r="AJ536" s="8"/>
      <c r="AK536" s="8"/>
      <c r="AL536" s="8"/>
      <c r="AM536" s="8"/>
      <c r="AN536" s="631"/>
      <c r="AO536" s="18"/>
      <c r="AP536" s="18"/>
      <c r="AQ536" s="18"/>
      <c r="AR536" s="18"/>
      <c r="AS536" s="18"/>
      <c r="AU536" s="448"/>
      <c r="AV536" s="448"/>
      <c r="AW536" s="8" t="str">
        <f>IF(C536&gt;0,VLOOKUP(C536,Foundation_Calc!$A$2:$C$986,3,1),
IF(J536&gt;0,VLOOKUP(J536,Foundation_Calc!$A$2:$C$986,3,1),""))</f>
        <v/>
      </c>
      <c r="AX536" s="8" t="str">
        <f>IF(C536&gt;0,VLOOKUP(C536,Foundation_Calc!$E$2:$G$986,3,1),
IF(J536&gt;0,VLOOKUP(J536,Foundation_Calc!$E$2:$G$986,3,1),""))</f>
        <v/>
      </c>
      <c r="AY536" s="631" t="str">
        <f>IF(L536="","",
IF(AX536="PT",VLOOKUP(L536,Foundation_Calc!$K$4:$R$37,VLOOKUP(AW536,Foundation_Calc!$I$2:$J$8,2,FALSE),0),
IF(AX536="K",VLOOKUP(L536,Foundation_Calc!$K$41:$R$74,VLOOKUP(AW536,Foundation_Calc!$I$2:$J$8,2,FALSE),0),"")))</f>
        <v/>
      </c>
      <c r="AZ536" s="631" t="str">
        <f>IF(K536="","",
IF(AX536="PT",VLOOKUP(K536,Foundation_Calc!$K$4:$R$37,VLOOKUP(AW536,Foundation_Calc!$I$2:$J$8,2,FALSE),0),
IF(AX536="K",VLOOKUP(K536,Foundation_Calc!$K$41:$R$74,VLOOKUP(AW536,Foundation_Calc!$I$2:$J$8,2,FALSE),0),"")))</f>
        <v/>
      </c>
      <c r="BA536" s="632" t="str">
        <f t="shared" si="71"/>
        <v/>
      </c>
      <c r="BB536" s="632" t="str">
        <f t="shared" si="72"/>
        <v/>
      </c>
      <c r="BC536" s="632" t="str">
        <f t="shared" si="73"/>
        <v/>
      </c>
      <c r="BD536" s="633" t="str">
        <f>IF(AND(L536="",H536=""),"",
IF(H536="",Pole_Calc!A564,
IF(H536="MP",Pole_Calc!A565,
IF(H536="AnMP",Pole_Calc!A566,
IF(H536="A",Pole_Calc!A567,
IF(H536="S/A",Pole_Calc!A568,
IF(H536="A/S",Pole_Calc!A569,"Poner a mano")))))))</f>
        <v/>
      </c>
      <c r="BE536" s="448" t="s">
        <v>1726</v>
      </c>
      <c r="BF536" s="634"/>
      <c r="BG536" s="634"/>
      <c r="BH536" s="634"/>
      <c r="BI536" s="634"/>
    </row>
    <row r="537" spans="1:61" ht="16.2" customHeight="1">
      <c r="A537" s="12"/>
      <c r="B537" s="446"/>
      <c r="C537" s="89"/>
      <c r="D537" s="13"/>
      <c r="E537" s="14"/>
      <c r="F537" s="14"/>
      <c r="G537" s="15"/>
      <c r="H537" s="8"/>
      <c r="I537" s="8"/>
      <c r="J537" s="89"/>
      <c r="K537" s="8"/>
      <c r="L537" s="8"/>
      <c r="M537" s="8" t="str">
        <f>IF(L537="","",
IF(AX537="PT",VLOOKUP(L537,Foundation_Calc!$V$4:$X$37,VLOOKUP(AX537,Foundation_Calc!$I$10:$J$13,2,FALSE),0),
IF(AX537="K",VLOOKUP(L537,Foundation_Calc!$V$41:$X$74,VLOOKUP(AX537,Foundation_Calc!$I$10:$J$13,2,FALSE),0),"")))</f>
        <v/>
      </c>
      <c r="N537" s="8"/>
      <c r="O537" s="8"/>
      <c r="P537" s="8"/>
      <c r="Q537" s="14"/>
      <c r="R537" s="15"/>
      <c r="S537" s="15"/>
      <c r="T537" s="14"/>
      <c r="U537" s="14"/>
      <c r="V537" s="14"/>
      <c r="W537" s="18"/>
      <c r="X537" s="18"/>
      <c r="Y537" s="18"/>
      <c r="Z537" s="18"/>
      <c r="AA537" s="18"/>
      <c r="AB537" s="18"/>
      <c r="AC537" s="8" t="str">
        <f t="shared" si="70"/>
        <v/>
      </c>
      <c r="AD537" s="8"/>
      <c r="AE537" s="8"/>
      <c r="AF537" s="14"/>
      <c r="AG537" s="13"/>
      <c r="AH537" s="14"/>
      <c r="AI537" s="14"/>
      <c r="AJ537" s="8"/>
      <c r="AK537" s="8"/>
      <c r="AL537" s="8"/>
      <c r="AM537" s="8"/>
      <c r="AN537" s="631"/>
      <c r="AO537" s="18"/>
      <c r="AP537" s="18"/>
      <c r="AQ537" s="18"/>
      <c r="AR537" s="18"/>
      <c r="AS537" s="18"/>
      <c r="AU537" s="448"/>
      <c r="AV537" s="448"/>
      <c r="AW537" s="8" t="str">
        <f>IF(C537&gt;0,VLOOKUP(C537,Foundation_Calc!$A$2:$C$986,3,1),
IF(J537&gt;0,VLOOKUP(J537,Foundation_Calc!$A$2:$C$986,3,1),""))</f>
        <v/>
      </c>
      <c r="AX537" s="8" t="str">
        <f>IF(C537&gt;0,VLOOKUP(C537,Foundation_Calc!$E$2:$G$986,3,1),
IF(J537&gt;0,VLOOKUP(J537,Foundation_Calc!$E$2:$G$986,3,1),""))</f>
        <v/>
      </c>
      <c r="AY537" s="631" t="str">
        <f>IF(L537="","",
IF(AX537="PT",VLOOKUP(L537,Foundation_Calc!$K$4:$R$37,VLOOKUP(AW537,Foundation_Calc!$I$2:$J$8,2,FALSE),0),
IF(AX537="K",VLOOKUP(L537,Foundation_Calc!$K$41:$R$74,VLOOKUP(AW537,Foundation_Calc!$I$2:$J$8,2,FALSE),0),"")))</f>
        <v/>
      </c>
      <c r="AZ537" s="631" t="str">
        <f>IF(K537="","",
IF(AX537="PT",VLOOKUP(K537,Foundation_Calc!$K$4:$R$37,VLOOKUP(AW537,Foundation_Calc!$I$2:$J$8,2,FALSE),0),
IF(AX537="K",VLOOKUP(K537,Foundation_Calc!$K$41:$R$74,VLOOKUP(AW537,Foundation_Calc!$I$2:$J$8,2,FALSE),0),"")))</f>
        <v/>
      </c>
      <c r="BA537" s="632" t="str">
        <f t="shared" si="71"/>
        <v/>
      </c>
      <c r="BB537" s="632" t="str">
        <f t="shared" si="72"/>
        <v/>
      </c>
      <c r="BC537" s="632" t="str">
        <f t="shared" si="73"/>
        <v/>
      </c>
      <c r="BD537" s="633" t="str">
        <f>IF(AND(L537="",H537=""),"",
IF(H537="",Pole_Calc!A565,
IF(H537="MP",Pole_Calc!A566,
IF(H537="AnMP",Pole_Calc!A567,
IF(H537="A",Pole_Calc!A568,
IF(H537="S/A",Pole_Calc!A569,
IF(H537="A/S",Pole_Calc!A570,"Poner a mano")))))))</f>
        <v/>
      </c>
      <c r="BE537" s="448" t="s">
        <v>1726</v>
      </c>
      <c r="BF537" s="635"/>
      <c r="BG537" s="635"/>
      <c r="BH537" s="634"/>
      <c r="BI537" s="635"/>
    </row>
    <row r="538" spans="1:61" ht="16.2" customHeight="1">
      <c r="A538" s="12"/>
      <c r="B538" s="446"/>
      <c r="C538" s="89"/>
      <c r="D538" s="13"/>
      <c r="E538" s="14"/>
      <c r="F538" s="14"/>
      <c r="G538" s="15"/>
      <c r="H538" s="8"/>
      <c r="I538" s="8"/>
      <c r="J538" s="89"/>
      <c r="K538" s="8"/>
      <c r="L538" s="8"/>
      <c r="M538" s="8" t="str">
        <f>IF(L538="","",
IF(AX538="PT",VLOOKUP(L538,Foundation_Calc!$V$4:$X$37,VLOOKUP(AX538,Foundation_Calc!$I$10:$J$13,2,FALSE),0),
IF(AX538="K",VLOOKUP(L538,Foundation_Calc!$V$41:$X$74,VLOOKUP(AX538,Foundation_Calc!$I$10:$J$13,2,FALSE),0),"")))</f>
        <v/>
      </c>
      <c r="N538" s="8"/>
      <c r="O538" s="8"/>
      <c r="P538" s="8"/>
      <c r="Q538" s="14"/>
      <c r="R538" s="15"/>
      <c r="S538" s="15"/>
      <c r="T538" s="14"/>
      <c r="U538" s="14"/>
      <c r="V538" s="14"/>
      <c r="W538" s="18"/>
      <c r="X538" s="18"/>
      <c r="Y538" s="18"/>
      <c r="Z538" s="18"/>
      <c r="AA538" s="18"/>
      <c r="AB538" s="18"/>
      <c r="AC538" s="8" t="str">
        <f t="shared" si="70"/>
        <v/>
      </c>
      <c r="AD538" s="8"/>
      <c r="AE538" s="8"/>
      <c r="AF538" s="14"/>
      <c r="AG538" s="13"/>
      <c r="AH538" s="14"/>
      <c r="AI538" s="14"/>
      <c r="AJ538" s="8"/>
      <c r="AK538" s="8"/>
      <c r="AL538" s="8"/>
      <c r="AM538" s="8"/>
      <c r="AN538" s="631"/>
      <c r="AO538" s="18"/>
      <c r="AP538" s="18"/>
      <c r="AQ538" s="18"/>
      <c r="AR538" s="18"/>
      <c r="AS538" s="18"/>
      <c r="AU538" s="448"/>
      <c r="AV538" s="448"/>
      <c r="AW538" s="8" t="str">
        <f>IF(C538&gt;0,VLOOKUP(C538,Foundation_Calc!$A$2:$C$986,3,1),
IF(J538&gt;0,VLOOKUP(J538,Foundation_Calc!$A$2:$C$986,3,1),""))</f>
        <v/>
      </c>
      <c r="AX538" s="8" t="str">
        <f>IF(C538&gt;0,VLOOKUP(C538,Foundation_Calc!$E$2:$G$986,3,1),
IF(J538&gt;0,VLOOKUP(J538,Foundation_Calc!$E$2:$G$986,3,1),""))</f>
        <v/>
      </c>
      <c r="AY538" s="631" t="str">
        <f>IF(L538="","",
IF(AX538="PT",VLOOKUP(L538,Foundation_Calc!$K$4:$R$37,VLOOKUP(AW538,Foundation_Calc!$I$2:$J$8,2,FALSE),0),
IF(AX538="K",VLOOKUP(L538,Foundation_Calc!$K$41:$R$74,VLOOKUP(AW538,Foundation_Calc!$I$2:$J$8,2,FALSE),0),"")))</f>
        <v/>
      </c>
      <c r="AZ538" s="631" t="str">
        <f>IF(K538="","",
IF(AX538="PT",VLOOKUP(K538,Foundation_Calc!$K$4:$R$37,VLOOKUP(AW538,Foundation_Calc!$I$2:$J$8,2,FALSE),0),
IF(AX538="K",VLOOKUP(K538,Foundation_Calc!$K$41:$R$74,VLOOKUP(AW538,Foundation_Calc!$I$2:$J$8,2,FALSE),0),"")))</f>
        <v/>
      </c>
      <c r="BA538" s="632" t="str">
        <f t="shared" si="71"/>
        <v/>
      </c>
      <c r="BB538" s="632" t="str">
        <f t="shared" si="72"/>
        <v/>
      </c>
      <c r="BC538" s="632" t="str">
        <f t="shared" si="73"/>
        <v/>
      </c>
      <c r="BD538" s="633" t="str">
        <f>IF(AND(L538="",H538=""),"",
IF(H538="",Pole_Calc!A566,
IF(H538="MP",Pole_Calc!A567,
IF(H538="AnMP",Pole_Calc!A568,
IF(H538="A",Pole_Calc!A569,
IF(H538="S/A",Pole_Calc!A570,
IF(H538="A/S",Pole_Calc!A571,"Poner a mano")))))))</f>
        <v/>
      </c>
      <c r="BE538" s="448" t="s">
        <v>1726</v>
      </c>
      <c r="BF538" s="634"/>
      <c r="BG538" s="634"/>
      <c r="BH538" s="634"/>
      <c r="BI538" s="634"/>
    </row>
    <row r="539" spans="1:61" ht="16.2" customHeight="1">
      <c r="A539" s="12"/>
      <c r="B539" s="446"/>
      <c r="C539" s="89"/>
      <c r="D539" s="13"/>
      <c r="E539" s="14"/>
      <c r="F539" s="14"/>
      <c r="G539" s="15"/>
      <c r="H539" s="8"/>
      <c r="I539" s="8"/>
      <c r="J539" s="89"/>
      <c r="K539" s="8"/>
      <c r="L539" s="8"/>
      <c r="M539" s="8" t="str">
        <f>IF(L539="","",
IF(AX539="PT",VLOOKUP(L539,Foundation_Calc!$V$4:$X$37,VLOOKUP(AX539,Foundation_Calc!$I$10:$J$13,2,FALSE),0),
IF(AX539="K",VLOOKUP(L539,Foundation_Calc!$V$41:$X$74,VLOOKUP(AX539,Foundation_Calc!$I$10:$J$13,2,FALSE),0),"")))</f>
        <v/>
      </c>
      <c r="N539" s="8"/>
      <c r="O539" s="8"/>
      <c r="P539" s="8"/>
      <c r="Q539" s="14"/>
      <c r="R539" s="15"/>
      <c r="S539" s="15"/>
      <c r="T539" s="14"/>
      <c r="U539" s="14"/>
      <c r="V539" s="14"/>
      <c r="W539" s="18"/>
      <c r="X539" s="18"/>
      <c r="Y539" s="18"/>
      <c r="Z539" s="18"/>
      <c r="AA539" s="18"/>
      <c r="AB539" s="18"/>
      <c r="AC539" s="8" t="str">
        <f t="shared" si="70"/>
        <v/>
      </c>
      <c r="AD539" s="8"/>
      <c r="AE539" s="8"/>
      <c r="AF539" s="14"/>
      <c r="AG539" s="13"/>
      <c r="AH539" s="14"/>
      <c r="AI539" s="14"/>
      <c r="AJ539" s="8"/>
      <c r="AK539" s="8"/>
      <c r="AL539" s="8"/>
      <c r="AM539" s="8"/>
      <c r="AN539" s="631"/>
      <c r="AO539" s="18"/>
      <c r="AP539" s="18"/>
      <c r="AQ539" s="18"/>
      <c r="AR539" s="18"/>
      <c r="AS539" s="18"/>
      <c r="AU539" s="448"/>
      <c r="AV539" s="448"/>
      <c r="AW539" s="8" t="str">
        <f>IF(C539&gt;0,VLOOKUP(C539,Foundation_Calc!$A$2:$C$986,3,1),
IF(J539&gt;0,VLOOKUP(J539,Foundation_Calc!$A$2:$C$986,3,1),""))</f>
        <v/>
      </c>
      <c r="AX539" s="8" t="str">
        <f>IF(C539&gt;0,VLOOKUP(C539,Foundation_Calc!$E$2:$G$986,3,1),
IF(J539&gt;0,VLOOKUP(J539,Foundation_Calc!$E$2:$G$986,3,1),""))</f>
        <v/>
      </c>
      <c r="AY539" s="631" t="str">
        <f>IF(L539="","",
IF(AX539="PT",VLOOKUP(L539,Foundation_Calc!$K$4:$R$37,VLOOKUP(AW539,Foundation_Calc!$I$2:$J$8,2,FALSE),0),
IF(AX539="K",VLOOKUP(L539,Foundation_Calc!$K$41:$R$74,VLOOKUP(AW539,Foundation_Calc!$I$2:$J$8,2,FALSE),0),"")))</f>
        <v/>
      </c>
      <c r="AZ539" s="631" t="str">
        <f>IF(K539="","",
IF(AX539="PT",VLOOKUP(K539,Foundation_Calc!$K$4:$R$37,VLOOKUP(AW539,Foundation_Calc!$I$2:$J$8,2,FALSE),0),
IF(AX539="K",VLOOKUP(K539,Foundation_Calc!$K$41:$R$74,VLOOKUP(AW539,Foundation_Calc!$I$2:$J$8,2,FALSE),0),"")))</f>
        <v/>
      </c>
      <c r="BA539" s="632" t="str">
        <f t="shared" si="71"/>
        <v/>
      </c>
      <c r="BB539" s="632" t="str">
        <f t="shared" si="72"/>
        <v/>
      </c>
      <c r="BC539" s="632" t="str">
        <f t="shared" si="73"/>
        <v/>
      </c>
      <c r="BD539" s="633" t="str">
        <f>IF(AND(L539="",H539=""),"",
IF(H539="",Pole_Calc!A567,
IF(H539="MP",Pole_Calc!A568,
IF(H539="AnMP",Pole_Calc!A569,
IF(H539="A",Pole_Calc!A570,
IF(H539="S/A",Pole_Calc!A571,
IF(H539="A/S",Pole_Calc!A572,"Poner a mano")))))))</f>
        <v/>
      </c>
      <c r="BE539" s="448" t="s">
        <v>1726</v>
      </c>
      <c r="BF539" s="635"/>
      <c r="BG539" s="635"/>
      <c r="BH539" s="634"/>
      <c r="BI539" s="635"/>
    </row>
    <row r="540" spans="1:61" ht="16.2" customHeight="1">
      <c r="A540" s="12"/>
      <c r="B540" s="446"/>
      <c r="C540" s="89"/>
      <c r="D540" s="13"/>
      <c r="E540" s="14"/>
      <c r="F540" s="14"/>
      <c r="G540" s="15"/>
      <c r="H540" s="8"/>
      <c r="I540" s="8"/>
      <c r="J540" s="89"/>
      <c r="K540" s="8"/>
      <c r="L540" s="8"/>
      <c r="M540" s="8" t="str">
        <f>IF(L540="","",
IF(AX540="PT",VLOOKUP(L540,Foundation_Calc!$V$4:$X$37,VLOOKUP(AX540,Foundation_Calc!$I$10:$J$13,2,FALSE),0),
IF(AX540="K",VLOOKUP(L540,Foundation_Calc!$V$41:$X$74,VLOOKUP(AX540,Foundation_Calc!$I$10:$J$13,2,FALSE),0),"")))</f>
        <v/>
      </c>
      <c r="N540" s="8"/>
      <c r="O540" s="8"/>
      <c r="P540" s="8"/>
      <c r="Q540" s="14"/>
      <c r="R540" s="15"/>
      <c r="S540" s="15"/>
      <c r="T540" s="14"/>
      <c r="U540" s="14"/>
      <c r="V540" s="14"/>
      <c r="W540" s="18"/>
      <c r="X540" s="18"/>
      <c r="Y540" s="18"/>
      <c r="Z540" s="18"/>
      <c r="AA540" s="18"/>
      <c r="AB540" s="18"/>
      <c r="AC540" s="8" t="str">
        <f t="shared" si="70"/>
        <v/>
      </c>
      <c r="AD540" s="8"/>
      <c r="AE540" s="8"/>
      <c r="AF540" s="14"/>
      <c r="AG540" s="13"/>
      <c r="AH540" s="14"/>
      <c r="AI540" s="14"/>
      <c r="AJ540" s="8"/>
      <c r="AK540" s="8"/>
      <c r="AL540" s="8"/>
      <c r="AM540" s="8"/>
      <c r="AN540" s="631"/>
      <c r="AO540" s="18"/>
      <c r="AP540" s="18"/>
      <c r="AQ540" s="18"/>
      <c r="AR540" s="18"/>
      <c r="AS540" s="18"/>
      <c r="AU540" s="448"/>
      <c r="AV540" s="448"/>
      <c r="AW540" s="8" t="str">
        <f>IF(C540&gt;0,VLOOKUP(C540,Foundation_Calc!$A$2:$C$986,3,1),
IF(J540&gt;0,VLOOKUP(J540,Foundation_Calc!$A$2:$C$986,3,1),""))</f>
        <v/>
      </c>
      <c r="AX540" s="8" t="str">
        <f>IF(C540&gt;0,VLOOKUP(C540,Foundation_Calc!$E$2:$G$986,3,1),
IF(J540&gt;0,VLOOKUP(J540,Foundation_Calc!$E$2:$G$986,3,1),""))</f>
        <v/>
      </c>
      <c r="AY540" s="631" t="str">
        <f>IF(L540="","",
IF(AX540="PT",VLOOKUP(L540,Foundation_Calc!$K$4:$R$37,VLOOKUP(AW540,Foundation_Calc!$I$2:$J$8,2,FALSE),0),
IF(AX540="K",VLOOKUP(L540,Foundation_Calc!$K$41:$R$74,VLOOKUP(AW540,Foundation_Calc!$I$2:$J$8,2,FALSE),0),"")))</f>
        <v/>
      </c>
      <c r="AZ540" s="631" t="str">
        <f>IF(K540="","",
IF(AX540="PT",VLOOKUP(K540,Foundation_Calc!$K$4:$R$37,VLOOKUP(AW540,Foundation_Calc!$I$2:$J$8,2,FALSE),0),
IF(AX540="K",VLOOKUP(K540,Foundation_Calc!$K$41:$R$74,VLOOKUP(AW540,Foundation_Calc!$I$2:$J$8,2,FALSE),0),"")))</f>
        <v/>
      </c>
      <c r="BA540" s="632" t="str">
        <f t="shared" si="71"/>
        <v/>
      </c>
      <c r="BB540" s="632" t="str">
        <f t="shared" si="72"/>
        <v/>
      </c>
      <c r="BC540" s="632" t="str">
        <f t="shared" si="73"/>
        <v/>
      </c>
      <c r="BD540" s="633" t="str">
        <f>IF(AND(L540="",H540=""),"",
IF(H540="",Pole_Calc!A568,
IF(H540="MP",Pole_Calc!A569,
IF(H540="AnMP",Pole_Calc!A570,
IF(H540="A",Pole_Calc!A571,
IF(H540="S/A",Pole_Calc!A572,
IF(H540="A/S",Pole_Calc!A573,"Poner a mano")))))))</f>
        <v/>
      </c>
      <c r="BE540" s="448" t="s">
        <v>1726</v>
      </c>
      <c r="BF540" s="634"/>
      <c r="BG540" s="634"/>
      <c r="BH540" s="634"/>
      <c r="BI540" s="634"/>
    </row>
    <row r="541" spans="1:61" ht="16.2" customHeight="1">
      <c r="A541" s="12"/>
      <c r="B541" s="446"/>
      <c r="C541" s="89"/>
      <c r="D541" s="13"/>
      <c r="E541" s="14"/>
      <c r="F541" s="14"/>
      <c r="G541" s="15"/>
      <c r="H541" s="8"/>
      <c r="I541" s="8"/>
      <c r="J541" s="89"/>
      <c r="K541" s="8"/>
      <c r="L541" s="8"/>
      <c r="M541" s="8" t="str">
        <f>IF(L541="","",
IF(AX541="PT",VLOOKUP(L541,Foundation_Calc!$V$4:$X$37,VLOOKUP(AX541,Foundation_Calc!$I$10:$J$13,2,FALSE),0),
IF(AX541="K",VLOOKUP(L541,Foundation_Calc!$V$41:$X$74,VLOOKUP(AX541,Foundation_Calc!$I$10:$J$13,2,FALSE),0),"")))</f>
        <v/>
      </c>
      <c r="N541" s="8"/>
      <c r="O541" s="8"/>
      <c r="P541" s="8"/>
      <c r="Q541" s="14"/>
      <c r="R541" s="15"/>
      <c r="S541" s="15"/>
      <c r="T541" s="14"/>
      <c r="U541" s="14"/>
      <c r="V541" s="14"/>
      <c r="W541" s="18"/>
      <c r="X541" s="18"/>
      <c r="Y541" s="18"/>
      <c r="Z541" s="18"/>
      <c r="AA541" s="18"/>
      <c r="AB541" s="18"/>
      <c r="AC541" s="8" t="str">
        <f t="shared" si="70"/>
        <v/>
      </c>
      <c r="AD541" s="8"/>
      <c r="AE541" s="8"/>
      <c r="AF541" s="14"/>
      <c r="AG541" s="13"/>
      <c r="AH541" s="14"/>
      <c r="AI541" s="14"/>
      <c r="AJ541" s="8"/>
      <c r="AK541" s="8"/>
      <c r="AL541" s="8"/>
      <c r="AM541" s="8"/>
      <c r="AN541" s="631"/>
      <c r="AO541" s="18"/>
      <c r="AP541" s="18"/>
      <c r="AQ541" s="18"/>
      <c r="AR541" s="18"/>
      <c r="AS541" s="18"/>
      <c r="AU541" s="448"/>
      <c r="AV541" s="448"/>
      <c r="AW541" s="8" t="str">
        <f>IF(C541&gt;0,VLOOKUP(C541,Foundation_Calc!$A$2:$C$986,3,1),
IF(J541&gt;0,VLOOKUP(J541,Foundation_Calc!$A$2:$C$986,3,1),""))</f>
        <v/>
      </c>
      <c r="AX541" s="8" t="str">
        <f>IF(C541&gt;0,VLOOKUP(C541,Foundation_Calc!$E$2:$G$986,3,1),
IF(J541&gt;0,VLOOKUP(J541,Foundation_Calc!$E$2:$G$986,3,1),""))</f>
        <v/>
      </c>
      <c r="AY541" s="631" t="str">
        <f>IF(L541="","",
IF(AX541="PT",VLOOKUP(L541,Foundation_Calc!$K$4:$R$37,VLOOKUP(AW541,Foundation_Calc!$I$2:$J$8,2,FALSE),0),
IF(AX541="K",VLOOKUP(L541,Foundation_Calc!$K$41:$R$74,VLOOKUP(AW541,Foundation_Calc!$I$2:$J$8,2,FALSE),0),"")))</f>
        <v/>
      </c>
      <c r="AZ541" s="631" t="str">
        <f>IF(K541="","",
IF(AX541="PT",VLOOKUP(K541,Foundation_Calc!$K$4:$R$37,VLOOKUP(AW541,Foundation_Calc!$I$2:$J$8,2,FALSE),0),
IF(AX541="K",VLOOKUP(K541,Foundation_Calc!$K$41:$R$74,VLOOKUP(AW541,Foundation_Calc!$I$2:$J$8,2,FALSE),0),"")))</f>
        <v/>
      </c>
      <c r="BA541" s="632" t="str">
        <f t="shared" si="71"/>
        <v/>
      </c>
      <c r="BB541" s="632" t="str">
        <f t="shared" si="72"/>
        <v/>
      </c>
      <c r="BC541" s="632" t="str">
        <f t="shared" si="73"/>
        <v/>
      </c>
      <c r="BD541" s="633" t="str">
        <f>IF(AND(L541="",H541=""),"",
IF(H541="",Pole_Calc!A569,
IF(H541="MP",Pole_Calc!A570,
IF(H541="AnMP",Pole_Calc!A571,
IF(H541="A",Pole_Calc!A572,
IF(H541="S/A",Pole_Calc!A573,
IF(H541="A/S",Pole_Calc!A574,"Poner a mano")))))))</f>
        <v/>
      </c>
      <c r="BE541" s="448" t="s">
        <v>1726</v>
      </c>
      <c r="BF541" s="635"/>
      <c r="BG541" s="635"/>
      <c r="BH541" s="634"/>
      <c r="BI541" s="635"/>
    </row>
    <row r="542" spans="1:61" ht="16.2" customHeight="1">
      <c r="A542" s="12"/>
      <c r="B542" s="446"/>
      <c r="C542" s="89"/>
      <c r="D542" s="13"/>
      <c r="E542" s="14"/>
      <c r="F542" s="14"/>
      <c r="G542" s="15"/>
      <c r="H542" s="8"/>
      <c r="I542" s="8"/>
      <c r="J542" s="89"/>
      <c r="K542" s="8"/>
      <c r="L542" s="8"/>
      <c r="M542" s="8" t="str">
        <f>IF(L542="","",
IF(AX542="PT",VLOOKUP(L542,Foundation_Calc!$V$4:$X$37,VLOOKUP(AX542,Foundation_Calc!$I$10:$J$13,2,FALSE),0),
IF(AX542="K",VLOOKUP(L542,Foundation_Calc!$V$41:$X$74,VLOOKUP(AX542,Foundation_Calc!$I$10:$J$13,2,FALSE),0),"")))</f>
        <v/>
      </c>
      <c r="N542" s="8"/>
      <c r="O542" s="8"/>
      <c r="P542" s="8"/>
      <c r="Q542" s="14"/>
      <c r="R542" s="15"/>
      <c r="S542" s="15"/>
      <c r="T542" s="14"/>
      <c r="U542" s="14"/>
      <c r="V542" s="14"/>
      <c r="W542" s="18"/>
      <c r="X542" s="18"/>
      <c r="Y542" s="18"/>
      <c r="Z542" s="18"/>
      <c r="AA542" s="18"/>
      <c r="AB542" s="18"/>
      <c r="AC542" s="8" t="str">
        <f t="shared" si="70"/>
        <v/>
      </c>
      <c r="AD542" s="8"/>
      <c r="AE542" s="8"/>
      <c r="AF542" s="14"/>
      <c r="AG542" s="13"/>
      <c r="AH542" s="14"/>
      <c r="AI542" s="14"/>
      <c r="AJ542" s="8"/>
      <c r="AK542" s="8"/>
      <c r="AL542" s="8"/>
      <c r="AM542" s="8"/>
      <c r="AN542" s="631"/>
      <c r="AO542" s="18"/>
      <c r="AP542" s="18"/>
      <c r="AQ542" s="18"/>
      <c r="AR542" s="18"/>
      <c r="AS542" s="18"/>
      <c r="AU542" s="448"/>
      <c r="AV542" s="448"/>
      <c r="AW542" s="8" t="str">
        <f>IF(C542&gt;0,VLOOKUP(C542,Foundation_Calc!$A$2:$C$986,3,1),
IF(J542&gt;0,VLOOKUP(J542,Foundation_Calc!$A$2:$C$986,3,1),""))</f>
        <v/>
      </c>
      <c r="AX542" s="8" t="str">
        <f>IF(C542&gt;0,VLOOKUP(C542,Foundation_Calc!$E$2:$G$986,3,1),
IF(J542&gt;0,VLOOKUP(J542,Foundation_Calc!$E$2:$G$986,3,1),""))</f>
        <v/>
      </c>
      <c r="AY542" s="631" t="str">
        <f>IF(L542="","",
IF(AX542="PT",VLOOKUP(L542,Foundation_Calc!$K$4:$R$37,VLOOKUP(AW542,Foundation_Calc!$I$2:$J$8,2,FALSE),0),
IF(AX542="K",VLOOKUP(L542,Foundation_Calc!$K$41:$R$74,VLOOKUP(AW542,Foundation_Calc!$I$2:$J$8,2,FALSE),0),"")))</f>
        <v/>
      </c>
      <c r="AZ542" s="631" t="str">
        <f>IF(K542="","",
IF(AX542="PT",VLOOKUP(K542,Foundation_Calc!$K$4:$R$37,VLOOKUP(AW542,Foundation_Calc!$I$2:$J$8,2,FALSE),0),
IF(AX542="K",VLOOKUP(K542,Foundation_Calc!$K$41:$R$74,VLOOKUP(AW542,Foundation_Calc!$I$2:$J$8,2,FALSE),0),"")))</f>
        <v/>
      </c>
      <c r="BA542" s="632" t="str">
        <f t="shared" si="71"/>
        <v/>
      </c>
      <c r="BB542" s="632" t="str">
        <f t="shared" si="72"/>
        <v/>
      </c>
      <c r="BC542" s="632" t="str">
        <f t="shared" si="73"/>
        <v/>
      </c>
      <c r="BD542" s="633" t="str">
        <f>IF(AND(L542="",H542=""),"",
IF(H542="",Pole_Calc!A570,
IF(H542="MP",Pole_Calc!A571,
IF(H542="AnMP",Pole_Calc!A572,
IF(H542="A",Pole_Calc!A573,
IF(H542="S/A",Pole_Calc!A574,
IF(H542="A/S",Pole_Calc!A575,"Poner a mano")))))))</f>
        <v/>
      </c>
      <c r="BE542" s="448" t="s">
        <v>1726</v>
      </c>
      <c r="BF542" s="634"/>
      <c r="BG542" s="634"/>
      <c r="BH542" s="634"/>
      <c r="BI542" s="634"/>
    </row>
    <row r="543" spans="1:61" ht="16.2" customHeight="1">
      <c r="A543" s="12"/>
      <c r="B543" s="446"/>
      <c r="C543" s="89"/>
      <c r="D543" s="13"/>
      <c r="E543" s="14"/>
      <c r="F543" s="14"/>
      <c r="G543" s="15"/>
      <c r="H543" s="8"/>
      <c r="I543" s="8"/>
      <c r="J543" s="89"/>
      <c r="K543" s="8"/>
      <c r="L543" s="8"/>
      <c r="M543" s="8" t="str">
        <f>IF(L543="","",
IF(AX543="PT",VLOOKUP(L543,Foundation_Calc!$V$4:$X$37,VLOOKUP(AX543,Foundation_Calc!$I$10:$J$13,2,FALSE),0),
IF(AX543="K",VLOOKUP(L543,Foundation_Calc!$V$41:$X$74,VLOOKUP(AX543,Foundation_Calc!$I$10:$J$13,2,FALSE),0),"")))</f>
        <v/>
      </c>
      <c r="N543" s="8"/>
      <c r="O543" s="8"/>
      <c r="P543" s="8"/>
      <c r="Q543" s="14"/>
      <c r="R543" s="15"/>
      <c r="S543" s="15"/>
      <c r="T543" s="14"/>
      <c r="U543" s="14"/>
      <c r="V543" s="14"/>
      <c r="W543" s="18"/>
      <c r="X543" s="18"/>
      <c r="Y543" s="18"/>
      <c r="Z543" s="18"/>
      <c r="AA543" s="18"/>
      <c r="AB543" s="18"/>
      <c r="AC543" s="8" t="str">
        <f t="shared" si="70"/>
        <v/>
      </c>
      <c r="AD543" s="8"/>
      <c r="AE543" s="8"/>
      <c r="AF543" s="14"/>
      <c r="AG543" s="13"/>
      <c r="AH543" s="14"/>
      <c r="AI543" s="14"/>
      <c r="AJ543" s="8"/>
      <c r="AK543" s="8"/>
      <c r="AL543" s="8"/>
      <c r="AM543" s="8"/>
      <c r="AN543" s="631"/>
      <c r="AO543" s="18"/>
      <c r="AP543" s="18"/>
      <c r="AQ543" s="18"/>
      <c r="AR543" s="18"/>
      <c r="AS543" s="18"/>
      <c r="AU543" s="448"/>
      <c r="AV543" s="448"/>
      <c r="AW543" s="8" t="str">
        <f>IF(C543&gt;0,VLOOKUP(C543,Foundation_Calc!$A$2:$C$986,3,1),
IF(J543&gt;0,VLOOKUP(J543,Foundation_Calc!$A$2:$C$986,3,1),""))</f>
        <v/>
      </c>
      <c r="AX543" s="8" t="str">
        <f>IF(C543&gt;0,VLOOKUP(C543,Foundation_Calc!$E$2:$G$986,3,1),
IF(J543&gt;0,VLOOKUP(J543,Foundation_Calc!$E$2:$G$986,3,1),""))</f>
        <v/>
      </c>
      <c r="AY543" s="631" t="str">
        <f>IF(L543="","",
IF(AX543="PT",VLOOKUP(L543,Foundation_Calc!$K$4:$R$37,VLOOKUP(AW543,Foundation_Calc!$I$2:$J$8,2,FALSE),0),
IF(AX543="K",VLOOKUP(L543,Foundation_Calc!$K$41:$R$74,VLOOKUP(AW543,Foundation_Calc!$I$2:$J$8,2,FALSE),0),"")))</f>
        <v/>
      </c>
      <c r="AZ543" s="631" t="str">
        <f>IF(K543="","",
IF(AX543="PT",VLOOKUP(K543,Foundation_Calc!$K$4:$R$37,VLOOKUP(AW543,Foundation_Calc!$I$2:$J$8,2,FALSE),0),
IF(AX543="K",VLOOKUP(K543,Foundation_Calc!$K$41:$R$74,VLOOKUP(AW543,Foundation_Calc!$I$2:$J$8,2,FALSE),0),"")))</f>
        <v/>
      </c>
      <c r="BA543" s="632" t="str">
        <f t="shared" si="71"/>
        <v/>
      </c>
      <c r="BB543" s="632" t="str">
        <f t="shared" si="72"/>
        <v/>
      </c>
      <c r="BC543" s="632" t="str">
        <f t="shared" si="73"/>
        <v/>
      </c>
      <c r="BD543" s="633" t="str">
        <f>IF(AND(L543="",H543=""),"",
IF(H543="",Pole_Calc!A571,
IF(H543="MP",Pole_Calc!A572,
IF(H543="AnMP",Pole_Calc!A573,
IF(H543="A",Pole_Calc!A574,
IF(H543="S/A",Pole_Calc!A575,
IF(H543="A/S",Pole_Calc!A576,"Poner a mano")))))))</f>
        <v/>
      </c>
      <c r="BE543" s="448" t="s">
        <v>1726</v>
      </c>
      <c r="BF543" s="635"/>
      <c r="BG543" s="635"/>
      <c r="BH543" s="634"/>
      <c r="BI543" s="635"/>
    </row>
    <row r="544" spans="1:61" ht="16.2" customHeight="1">
      <c r="A544" s="12"/>
      <c r="B544" s="446"/>
      <c r="C544" s="89"/>
      <c r="D544" s="13"/>
      <c r="E544" s="14"/>
      <c r="F544" s="14"/>
      <c r="G544" s="15"/>
      <c r="H544" s="8"/>
      <c r="I544" s="8"/>
      <c r="J544" s="89"/>
      <c r="K544" s="8"/>
      <c r="L544" s="8"/>
      <c r="M544" s="8" t="str">
        <f>IF(L544="","",
IF(AX544="PT",VLOOKUP(L544,Foundation_Calc!$V$4:$X$37,VLOOKUP(AX544,Foundation_Calc!$I$10:$J$13,2,FALSE),0),
IF(AX544="K",VLOOKUP(L544,Foundation_Calc!$V$41:$X$74,VLOOKUP(AX544,Foundation_Calc!$I$10:$J$13,2,FALSE),0),"")))</f>
        <v/>
      </c>
      <c r="N544" s="8"/>
      <c r="O544" s="8"/>
      <c r="P544" s="8"/>
      <c r="Q544" s="14"/>
      <c r="R544" s="15"/>
      <c r="S544" s="15"/>
      <c r="T544" s="14"/>
      <c r="U544" s="14"/>
      <c r="V544" s="14"/>
      <c r="W544" s="18"/>
      <c r="X544" s="18"/>
      <c r="Y544" s="18"/>
      <c r="Z544" s="18"/>
      <c r="AA544" s="18"/>
      <c r="AB544" s="18"/>
      <c r="AC544" s="8" t="str">
        <f t="shared" si="70"/>
        <v/>
      </c>
      <c r="AD544" s="8"/>
      <c r="AE544" s="8"/>
      <c r="AF544" s="14"/>
      <c r="AG544" s="13"/>
      <c r="AH544" s="14"/>
      <c r="AI544" s="14"/>
      <c r="AJ544" s="8"/>
      <c r="AK544" s="8"/>
      <c r="AL544" s="8"/>
      <c r="AM544" s="8"/>
      <c r="AN544" s="631"/>
      <c r="AO544" s="18"/>
      <c r="AP544" s="18"/>
      <c r="AQ544" s="18"/>
      <c r="AR544" s="18"/>
      <c r="AS544" s="18"/>
      <c r="AU544" s="448"/>
      <c r="AV544" s="448"/>
      <c r="AW544" s="8" t="str">
        <f>IF(C544&gt;0,VLOOKUP(C544,Foundation_Calc!$A$2:$C$986,3,1),
IF(J544&gt;0,VLOOKUP(J544,Foundation_Calc!$A$2:$C$986,3,1),""))</f>
        <v/>
      </c>
      <c r="AX544" s="8" t="str">
        <f>IF(C544&gt;0,VLOOKUP(C544,Foundation_Calc!$E$2:$G$986,3,1),
IF(J544&gt;0,VLOOKUP(J544,Foundation_Calc!$E$2:$G$986,3,1),""))</f>
        <v/>
      </c>
      <c r="AY544" s="631" t="str">
        <f>IF(L544="","",
IF(AX544="PT",VLOOKUP(L544,Foundation_Calc!$K$4:$R$37,VLOOKUP(AW544,Foundation_Calc!$I$2:$J$8,2,FALSE),0),
IF(AX544="K",VLOOKUP(L544,Foundation_Calc!$K$41:$R$74,VLOOKUP(AW544,Foundation_Calc!$I$2:$J$8,2,FALSE),0),"")))</f>
        <v/>
      </c>
      <c r="AZ544" s="631" t="str">
        <f>IF(K544="","",
IF(AX544="PT",VLOOKUP(K544,Foundation_Calc!$K$4:$R$37,VLOOKUP(AW544,Foundation_Calc!$I$2:$J$8,2,FALSE),0),
IF(AX544="K",VLOOKUP(K544,Foundation_Calc!$K$41:$R$74,VLOOKUP(AW544,Foundation_Calc!$I$2:$J$8,2,FALSE),0),"")))</f>
        <v/>
      </c>
      <c r="BA544" s="632" t="str">
        <f t="shared" si="71"/>
        <v/>
      </c>
      <c r="BB544" s="632" t="str">
        <f t="shared" si="72"/>
        <v/>
      </c>
      <c r="BC544" s="632" t="str">
        <f t="shared" si="73"/>
        <v/>
      </c>
      <c r="BD544" s="633" t="str">
        <f>IF(AND(L544="",H544=""),"",
IF(H544="",Pole_Calc!A572,
IF(H544="MP",Pole_Calc!A573,
IF(H544="AnMP",Pole_Calc!A574,
IF(H544="A",Pole_Calc!A575,
IF(H544="S/A",Pole_Calc!A576,
IF(H544="A/S",Pole_Calc!A577,"Poner a mano")))))))</f>
        <v/>
      </c>
      <c r="BE544" s="448" t="s">
        <v>1726</v>
      </c>
      <c r="BF544" s="634"/>
      <c r="BG544" s="634"/>
      <c r="BH544" s="634"/>
      <c r="BI544" s="634"/>
    </row>
    <row r="545" spans="1:61" ht="16.2" customHeight="1">
      <c r="A545" s="12"/>
      <c r="B545" s="446"/>
      <c r="C545" s="89"/>
      <c r="D545" s="13"/>
      <c r="E545" s="14"/>
      <c r="F545" s="14"/>
      <c r="G545" s="15"/>
      <c r="H545" s="8"/>
      <c r="I545" s="8"/>
      <c r="J545" s="89"/>
      <c r="K545" s="8"/>
      <c r="L545" s="8"/>
      <c r="M545" s="8" t="str">
        <f>IF(L545="","",
IF(AX545="PT",VLOOKUP(L545,Foundation_Calc!$V$4:$X$37,VLOOKUP(AX545,Foundation_Calc!$I$10:$J$13,2,FALSE),0),
IF(AX545="K",VLOOKUP(L545,Foundation_Calc!$V$41:$X$74,VLOOKUP(AX545,Foundation_Calc!$I$10:$J$13,2,FALSE),0),"")))</f>
        <v/>
      </c>
      <c r="N545" s="8"/>
      <c r="O545" s="8"/>
      <c r="P545" s="8"/>
      <c r="Q545" s="14"/>
      <c r="R545" s="15"/>
      <c r="S545" s="15"/>
      <c r="T545" s="14"/>
      <c r="U545" s="14"/>
      <c r="V545" s="14"/>
      <c r="W545" s="18"/>
      <c r="X545" s="18"/>
      <c r="Y545" s="18"/>
      <c r="Z545" s="18"/>
      <c r="AA545" s="18"/>
      <c r="AB545" s="18"/>
      <c r="AC545" s="8" t="str">
        <f t="shared" si="70"/>
        <v/>
      </c>
      <c r="AD545" s="8"/>
      <c r="AE545" s="8"/>
      <c r="AF545" s="14"/>
      <c r="AG545" s="13"/>
      <c r="AH545" s="14"/>
      <c r="AI545" s="14"/>
      <c r="AJ545" s="8"/>
      <c r="AK545" s="8"/>
      <c r="AL545" s="8"/>
      <c r="AM545" s="8"/>
      <c r="AN545" s="631"/>
      <c r="AO545" s="18"/>
      <c r="AP545" s="18"/>
      <c r="AQ545" s="18"/>
      <c r="AR545" s="18"/>
      <c r="AS545" s="18"/>
      <c r="AU545" s="448"/>
      <c r="AV545" s="448"/>
      <c r="AW545" s="8" t="str">
        <f>IF(C545&gt;0,VLOOKUP(C545,Foundation_Calc!$A$2:$C$986,3,1),
IF(J545&gt;0,VLOOKUP(J545,Foundation_Calc!$A$2:$C$986,3,1),""))</f>
        <v/>
      </c>
      <c r="AX545" s="8" t="str">
        <f>IF(C545&gt;0,VLOOKUP(C545,Foundation_Calc!$E$2:$G$986,3,1),
IF(J545&gt;0,VLOOKUP(J545,Foundation_Calc!$E$2:$G$986,3,1),""))</f>
        <v/>
      </c>
      <c r="AY545" s="631" t="str">
        <f>IF(L545="","",
IF(AX545="PT",VLOOKUP(L545,Foundation_Calc!$K$4:$R$37,VLOOKUP(AW545,Foundation_Calc!$I$2:$J$8,2,FALSE),0),
IF(AX545="K",VLOOKUP(L545,Foundation_Calc!$K$41:$R$74,VLOOKUP(AW545,Foundation_Calc!$I$2:$J$8,2,FALSE),0),"")))</f>
        <v/>
      </c>
      <c r="AZ545" s="631" t="str">
        <f>IF(K545="","",
IF(AX545="PT",VLOOKUP(K545,Foundation_Calc!$K$4:$R$37,VLOOKUP(AW545,Foundation_Calc!$I$2:$J$8,2,FALSE),0),
IF(AX545="K",VLOOKUP(K545,Foundation_Calc!$K$41:$R$74,VLOOKUP(AW545,Foundation_Calc!$I$2:$J$8,2,FALSE),0),"")))</f>
        <v/>
      </c>
      <c r="BA545" s="632" t="str">
        <f t="shared" si="71"/>
        <v/>
      </c>
      <c r="BB545" s="632" t="str">
        <f t="shared" si="72"/>
        <v/>
      </c>
      <c r="BC545" s="632" t="str">
        <f t="shared" si="73"/>
        <v/>
      </c>
      <c r="BD545" s="633" t="str">
        <f>IF(AND(L545="",H545=""),"",
IF(H545="",Pole_Calc!A573,
IF(H545="MP",Pole_Calc!A574,
IF(H545="AnMP",Pole_Calc!A575,
IF(H545="A",Pole_Calc!A576,
IF(H545="S/A",Pole_Calc!A577,
IF(H545="A/S",Pole_Calc!A578,"Poner a mano")))))))</f>
        <v/>
      </c>
      <c r="BE545" s="448" t="s">
        <v>1726</v>
      </c>
      <c r="BF545" s="635"/>
      <c r="BG545" s="635"/>
      <c r="BH545" s="634"/>
      <c r="BI545" s="635"/>
    </row>
    <row r="546" spans="1:61" ht="16.2" customHeight="1">
      <c r="A546" s="12"/>
      <c r="B546" s="446"/>
      <c r="C546" s="89"/>
      <c r="D546" s="13"/>
      <c r="E546" s="14"/>
      <c r="F546" s="14"/>
      <c r="G546" s="15"/>
      <c r="H546" s="8"/>
      <c r="I546" s="8"/>
      <c r="J546" s="89"/>
      <c r="K546" s="8"/>
      <c r="L546" s="8"/>
      <c r="M546" s="8" t="str">
        <f>IF(L546="","",
IF(AX546="PT",VLOOKUP(L546,Foundation_Calc!$V$4:$X$37,VLOOKUP(AX546,Foundation_Calc!$I$10:$J$13,2,FALSE),0),
IF(AX546="K",VLOOKUP(L546,Foundation_Calc!$V$41:$X$74,VLOOKUP(AX546,Foundation_Calc!$I$10:$J$13,2,FALSE),0),"")))</f>
        <v/>
      </c>
      <c r="N546" s="8"/>
      <c r="O546" s="8"/>
      <c r="P546" s="8"/>
      <c r="Q546" s="14"/>
      <c r="R546" s="15"/>
      <c r="S546" s="15"/>
      <c r="T546" s="14"/>
      <c r="U546" s="14"/>
      <c r="V546" s="14"/>
      <c r="W546" s="18"/>
      <c r="X546" s="18"/>
      <c r="Y546" s="18"/>
      <c r="Z546" s="18"/>
      <c r="AA546" s="18"/>
      <c r="AB546" s="18"/>
      <c r="AC546" s="8" t="str">
        <f t="shared" si="70"/>
        <v/>
      </c>
      <c r="AD546" s="8"/>
      <c r="AE546" s="8"/>
      <c r="AF546" s="14"/>
      <c r="AG546" s="13"/>
      <c r="AH546" s="14"/>
      <c r="AI546" s="14"/>
      <c r="AJ546" s="8"/>
      <c r="AK546" s="8"/>
      <c r="AL546" s="8"/>
      <c r="AM546" s="8"/>
      <c r="AN546" s="631"/>
      <c r="AO546" s="18"/>
      <c r="AP546" s="18"/>
      <c r="AQ546" s="18"/>
      <c r="AR546" s="18"/>
      <c r="AS546" s="18"/>
      <c r="AU546" s="448"/>
      <c r="AV546" s="448"/>
      <c r="AW546" s="8" t="str">
        <f>IF(C546&gt;0,VLOOKUP(C546,Foundation_Calc!$A$2:$C$986,3,1),
IF(J546&gt;0,VLOOKUP(J546,Foundation_Calc!$A$2:$C$986,3,1),""))</f>
        <v/>
      </c>
      <c r="AX546" s="8" t="str">
        <f>IF(C546&gt;0,VLOOKUP(C546,Foundation_Calc!$E$2:$G$986,3,1),
IF(J546&gt;0,VLOOKUP(J546,Foundation_Calc!$E$2:$G$986,3,1),""))</f>
        <v/>
      </c>
      <c r="AY546" s="631" t="str">
        <f>IF(L546="","",
IF(AX546="PT",VLOOKUP(L546,Foundation_Calc!$K$4:$R$37,VLOOKUP(AW546,Foundation_Calc!$I$2:$J$8,2,FALSE),0),
IF(AX546="K",VLOOKUP(L546,Foundation_Calc!$K$41:$R$74,VLOOKUP(AW546,Foundation_Calc!$I$2:$J$8,2,FALSE),0),"")))</f>
        <v/>
      </c>
      <c r="AZ546" s="631" t="str">
        <f>IF(K546="","",
IF(AX546="PT",VLOOKUP(K546,Foundation_Calc!$K$4:$R$37,VLOOKUP(AW546,Foundation_Calc!$I$2:$J$8,2,FALSE),0),
IF(AX546="K",VLOOKUP(K546,Foundation_Calc!$K$41:$R$74,VLOOKUP(AW546,Foundation_Calc!$I$2:$J$8,2,FALSE),0),"")))</f>
        <v/>
      </c>
      <c r="BA546" s="632" t="str">
        <f t="shared" si="71"/>
        <v/>
      </c>
      <c r="BB546" s="632" t="str">
        <f t="shared" si="72"/>
        <v/>
      </c>
      <c r="BC546" s="632" t="str">
        <f t="shared" si="73"/>
        <v/>
      </c>
      <c r="BD546" s="633" t="str">
        <f>IF(AND(L546="",H546=""),"",
IF(H546="",Pole_Calc!A574,
IF(H546="MP",Pole_Calc!A575,
IF(H546="AnMP",Pole_Calc!A576,
IF(H546="A",Pole_Calc!A577,
IF(H546="S/A",Pole_Calc!A578,
IF(H546="A/S",Pole_Calc!A579,"Poner a mano")))))))</f>
        <v/>
      </c>
      <c r="BE546" s="448" t="s">
        <v>1726</v>
      </c>
      <c r="BF546" s="634"/>
      <c r="BG546" s="634"/>
      <c r="BH546" s="634"/>
      <c r="BI546" s="634"/>
    </row>
    <row r="547" spans="1:61" ht="16.2" customHeight="1">
      <c r="A547" s="12"/>
      <c r="B547" s="446"/>
      <c r="C547" s="89"/>
      <c r="D547" s="13"/>
      <c r="E547" s="14"/>
      <c r="F547" s="14"/>
      <c r="G547" s="15"/>
      <c r="H547" s="8"/>
      <c r="I547" s="8"/>
      <c r="J547" s="89"/>
      <c r="K547" s="8"/>
      <c r="L547" s="8"/>
      <c r="M547" s="8" t="str">
        <f>IF(L547="","",
IF(AX547="PT",VLOOKUP(L547,Foundation_Calc!$V$4:$X$37,VLOOKUP(AX547,Foundation_Calc!$I$10:$J$13,2,FALSE),0),
IF(AX547="K",VLOOKUP(L547,Foundation_Calc!$V$41:$X$74,VLOOKUP(AX547,Foundation_Calc!$I$10:$J$13,2,FALSE),0),"")))</f>
        <v/>
      </c>
      <c r="N547" s="8"/>
      <c r="O547" s="8"/>
      <c r="P547" s="8"/>
      <c r="Q547" s="14"/>
      <c r="R547" s="15"/>
      <c r="S547" s="15"/>
      <c r="T547" s="14"/>
      <c r="U547" s="14"/>
      <c r="V547" s="14"/>
      <c r="W547" s="18"/>
      <c r="X547" s="18"/>
      <c r="Y547" s="18"/>
      <c r="Z547" s="18"/>
      <c r="AA547" s="18"/>
      <c r="AB547" s="18"/>
      <c r="AC547" s="8" t="str">
        <f t="shared" si="70"/>
        <v/>
      </c>
      <c r="AD547" s="8"/>
      <c r="AE547" s="8"/>
      <c r="AF547" s="14"/>
      <c r="AG547" s="13"/>
      <c r="AH547" s="14"/>
      <c r="AI547" s="14"/>
      <c r="AJ547" s="8"/>
      <c r="AK547" s="8"/>
      <c r="AL547" s="8"/>
      <c r="AM547" s="8"/>
      <c r="AN547" s="631"/>
      <c r="AO547" s="18"/>
      <c r="AP547" s="18"/>
      <c r="AQ547" s="18"/>
      <c r="AR547" s="18"/>
      <c r="AS547" s="18"/>
      <c r="AU547" s="448"/>
      <c r="AV547" s="448"/>
      <c r="AW547" s="8" t="str">
        <f>IF(C547&gt;0,VLOOKUP(C547,Foundation_Calc!$A$2:$C$986,3,1),
IF(J547&gt;0,VLOOKUP(J547,Foundation_Calc!$A$2:$C$986,3,1),""))</f>
        <v/>
      </c>
      <c r="AX547" s="8" t="str">
        <f>IF(C547&gt;0,VLOOKUP(C547,Foundation_Calc!$E$2:$G$986,3,1),
IF(J547&gt;0,VLOOKUP(J547,Foundation_Calc!$E$2:$G$986,3,1),""))</f>
        <v/>
      </c>
      <c r="AY547" s="631" t="str">
        <f>IF(L547="","",
IF(AX547="PT",VLOOKUP(L547,Foundation_Calc!$K$4:$R$37,VLOOKUP(AW547,Foundation_Calc!$I$2:$J$8,2,FALSE),0),
IF(AX547="K",VLOOKUP(L547,Foundation_Calc!$K$41:$R$74,VLOOKUP(AW547,Foundation_Calc!$I$2:$J$8,2,FALSE),0),"")))</f>
        <v/>
      </c>
      <c r="AZ547" s="631" t="str">
        <f>IF(K547="","",
IF(AX547="PT",VLOOKUP(K547,Foundation_Calc!$K$4:$R$37,VLOOKUP(AW547,Foundation_Calc!$I$2:$J$8,2,FALSE),0),
IF(AX547="K",VLOOKUP(K547,Foundation_Calc!$K$41:$R$74,VLOOKUP(AW547,Foundation_Calc!$I$2:$J$8,2,FALSE),0),"")))</f>
        <v/>
      </c>
      <c r="BA547" s="632" t="str">
        <f t="shared" si="71"/>
        <v/>
      </c>
      <c r="BB547" s="632" t="str">
        <f t="shared" si="72"/>
        <v/>
      </c>
      <c r="BC547" s="632" t="str">
        <f t="shared" si="73"/>
        <v/>
      </c>
      <c r="BD547" s="633" t="str">
        <f>IF(AND(L547="",H547=""),"",
IF(H547="",Pole_Calc!A575,
IF(H547="MP",Pole_Calc!A576,
IF(H547="AnMP",Pole_Calc!A577,
IF(H547="A",Pole_Calc!A578,
IF(H547="S/A",Pole_Calc!A579,
IF(H547="A/S",Pole_Calc!A580,"Poner a mano")))))))</f>
        <v/>
      </c>
      <c r="BE547" s="448" t="s">
        <v>1726</v>
      </c>
      <c r="BF547" s="635"/>
      <c r="BG547" s="635"/>
      <c r="BH547" s="634"/>
      <c r="BI547" s="635"/>
    </row>
    <row r="548" spans="1:61" ht="16.2" customHeight="1">
      <c r="A548" s="12"/>
      <c r="B548" s="446"/>
      <c r="C548" s="89"/>
      <c r="D548" s="13"/>
      <c r="E548" s="14"/>
      <c r="F548" s="14"/>
      <c r="G548" s="15"/>
      <c r="H548" s="8"/>
      <c r="I548" s="8"/>
      <c r="J548" s="89"/>
      <c r="K548" s="8"/>
      <c r="L548" s="8"/>
      <c r="M548" s="8" t="str">
        <f>IF(L548="","",
IF(AX548="PT",VLOOKUP(L548,Foundation_Calc!$V$4:$X$37,VLOOKUP(AX548,Foundation_Calc!$I$10:$J$13,2,FALSE),0),
IF(AX548="K",VLOOKUP(L548,Foundation_Calc!$V$41:$X$74,VLOOKUP(AX548,Foundation_Calc!$I$10:$J$13,2,FALSE),0),"")))</f>
        <v/>
      </c>
      <c r="N548" s="8"/>
      <c r="O548" s="8"/>
      <c r="P548" s="8"/>
      <c r="Q548" s="14"/>
      <c r="R548" s="15"/>
      <c r="S548" s="15"/>
      <c r="T548" s="14"/>
      <c r="U548" s="14"/>
      <c r="V548" s="14"/>
      <c r="W548" s="18"/>
      <c r="X548" s="18"/>
      <c r="Y548" s="18"/>
      <c r="Z548" s="18"/>
      <c r="AA548" s="18"/>
      <c r="AB548" s="18"/>
      <c r="AC548" s="8" t="str">
        <f t="shared" si="70"/>
        <v/>
      </c>
      <c r="AD548" s="8"/>
      <c r="AE548" s="8"/>
      <c r="AF548" s="14"/>
      <c r="AG548" s="13"/>
      <c r="AH548" s="14"/>
      <c r="AI548" s="14"/>
      <c r="AJ548" s="8"/>
      <c r="AK548" s="8"/>
      <c r="AL548" s="8"/>
      <c r="AM548" s="8"/>
      <c r="AN548" s="631"/>
      <c r="AO548" s="18"/>
      <c r="AP548" s="18"/>
      <c r="AQ548" s="18"/>
      <c r="AR548" s="18"/>
      <c r="AS548" s="18"/>
      <c r="AU548" s="448"/>
      <c r="AV548" s="448"/>
      <c r="AW548" s="8" t="str">
        <f>IF(C548&gt;0,VLOOKUP(C548,Foundation_Calc!$A$2:$C$986,3,1),
IF(J548&gt;0,VLOOKUP(J548,Foundation_Calc!$A$2:$C$986,3,1),""))</f>
        <v/>
      </c>
      <c r="AX548" s="8" t="str">
        <f>IF(C548&gt;0,VLOOKUP(C548,Foundation_Calc!$E$2:$G$986,3,1),
IF(J548&gt;0,VLOOKUP(J548,Foundation_Calc!$E$2:$G$986,3,1),""))</f>
        <v/>
      </c>
      <c r="AY548" s="631" t="str">
        <f>IF(L548="","",
IF(AX548="PT",VLOOKUP(L548,Foundation_Calc!$K$4:$R$37,VLOOKUP(AW548,Foundation_Calc!$I$2:$J$8,2,FALSE),0),
IF(AX548="K",VLOOKUP(L548,Foundation_Calc!$K$41:$R$74,VLOOKUP(AW548,Foundation_Calc!$I$2:$J$8,2,FALSE),0),"")))</f>
        <v/>
      </c>
      <c r="AZ548" s="631" t="str">
        <f>IF(K548="","",
IF(AX548="PT",VLOOKUP(K548,Foundation_Calc!$K$4:$R$37,VLOOKUP(AW548,Foundation_Calc!$I$2:$J$8,2,FALSE),0),
IF(AX548="K",VLOOKUP(K548,Foundation_Calc!$K$41:$R$74,VLOOKUP(AW548,Foundation_Calc!$I$2:$J$8,2,FALSE),0),"")))</f>
        <v/>
      </c>
      <c r="BA548" s="632" t="str">
        <f t="shared" si="71"/>
        <v/>
      </c>
      <c r="BB548" s="632" t="str">
        <f t="shared" si="72"/>
        <v/>
      </c>
      <c r="BC548" s="632" t="str">
        <f t="shared" si="73"/>
        <v/>
      </c>
      <c r="BD548" s="633" t="str">
        <f>IF(AND(L548="",H548=""),"",
IF(H548="",Pole_Calc!A576,
IF(H548="MP",Pole_Calc!A577,
IF(H548="AnMP",Pole_Calc!A578,
IF(H548="A",Pole_Calc!A579,
IF(H548="S/A",Pole_Calc!A580,
IF(H548="A/S",Pole_Calc!A581,"Poner a mano")))))))</f>
        <v/>
      </c>
      <c r="BE548" s="448" t="s">
        <v>1726</v>
      </c>
      <c r="BF548" s="634"/>
      <c r="BG548" s="634"/>
      <c r="BH548" s="634"/>
      <c r="BI548" s="634"/>
    </row>
    <row r="549" spans="1:61" ht="16.2" customHeight="1">
      <c r="A549" s="12"/>
      <c r="B549" s="446"/>
      <c r="C549" s="89"/>
      <c r="D549" s="13"/>
      <c r="E549" s="14"/>
      <c r="F549" s="14"/>
      <c r="G549" s="15"/>
      <c r="H549" s="8"/>
      <c r="I549" s="8"/>
      <c r="J549" s="89"/>
      <c r="K549" s="8"/>
      <c r="L549" s="8"/>
      <c r="M549" s="8" t="str">
        <f>IF(L549="","",
IF(AX549="PT",VLOOKUP(L549,Foundation_Calc!$V$4:$X$37,VLOOKUP(AX549,Foundation_Calc!$I$10:$J$13,2,FALSE),0),
IF(AX549="K",VLOOKUP(L549,Foundation_Calc!$V$41:$X$74,VLOOKUP(AX549,Foundation_Calc!$I$10:$J$13,2,FALSE),0),"")))</f>
        <v/>
      </c>
      <c r="N549" s="8"/>
      <c r="O549" s="8"/>
      <c r="P549" s="8"/>
      <c r="Q549" s="14"/>
      <c r="R549" s="15"/>
      <c r="S549" s="15"/>
      <c r="T549" s="14"/>
      <c r="U549" s="14"/>
      <c r="V549" s="14"/>
      <c r="W549" s="18"/>
      <c r="X549" s="18"/>
      <c r="Y549" s="18"/>
      <c r="Z549" s="18"/>
      <c r="AA549" s="18"/>
      <c r="AB549" s="18"/>
      <c r="AC549" s="8" t="str">
        <f t="shared" si="70"/>
        <v/>
      </c>
      <c r="AD549" s="8"/>
      <c r="AE549" s="8"/>
      <c r="AF549" s="14"/>
      <c r="AG549" s="13"/>
      <c r="AH549" s="14"/>
      <c r="AI549" s="14"/>
      <c r="AJ549" s="8"/>
      <c r="AK549" s="8"/>
      <c r="AL549" s="8"/>
      <c r="AM549" s="8"/>
      <c r="AN549" s="631"/>
      <c r="AO549" s="18"/>
      <c r="AP549" s="18"/>
      <c r="AQ549" s="18"/>
      <c r="AR549" s="18"/>
      <c r="AS549" s="18"/>
      <c r="AU549" s="448"/>
      <c r="AV549" s="448"/>
      <c r="AW549" s="8" t="str">
        <f>IF(C549&gt;0,VLOOKUP(C549,Foundation_Calc!$A$2:$C$986,3,1),
IF(J549&gt;0,VLOOKUP(J549,Foundation_Calc!$A$2:$C$986,3,1),""))</f>
        <v/>
      </c>
      <c r="AX549" s="8" t="str">
        <f>IF(C549&gt;0,VLOOKUP(C549,Foundation_Calc!$E$2:$G$986,3,1),
IF(J549&gt;0,VLOOKUP(J549,Foundation_Calc!$E$2:$G$986,3,1),""))</f>
        <v/>
      </c>
      <c r="AY549" s="631" t="str">
        <f>IF(L549="","",
IF(AX549="PT",VLOOKUP(L549,Foundation_Calc!$K$4:$R$37,VLOOKUP(AW549,Foundation_Calc!$I$2:$J$8,2,FALSE),0),
IF(AX549="K",VLOOKUP(L549,Foundation_Calc!$K$41:$R$74,VLOOKUP(AW549,Foundation_Calc!$I$2:$J$8,2,FALSE),0),"")))</f>
        <v/>
      </c>
      <c r="AZ549" s="631" t="str">
        <f>IF(K549="","",
IF(AX549="PT",VLOOKUP(K549,Foundation_Calc!$K$4:$R$37,VLOOKUP(AW549,Foundation_Calc!$I$2:$J$8,2,FALSE),0),
IF(AX549="K",VLOOKUP(K549,Foundation_Calc!$K$41:$R$74,VLOOKUP(AW549,Foundation_Calc!$I$2:$J$8,2,FALSE),0),"")))</f>
        <v/>
      </c>
      <c r="BA549" s="632" t="str">
        <f t="shared" si="71"/>
        <v/>
      </c>
      <c r="BB549" s="632" t="str">
        <f t="shared" si="72"/>
        <v/>
      </c>
      <c r="BC549" s="632" t="str">
        <f t="shared" si="73"/>
        <v/>
      </c>
      <c r="BD549" s="633" t="str">
        <f>IF(AND(L549="",H549=""),"",
IF(H549="",Pole_Calc!A577,
IF(H549="MP",Pole_Calc!A578,
IF(H549="AnMP",Pole_Calc!A579,
IF(H549="A",Pole_Calc!A580,
IF(H549="S/A",Pole_Calc!A581,
IF(H549="A/S",Pole_Calc!A582,"Poner a mano")))))))</f>
        <v/>
      </c>
      <c r="BE549" s="448" t="s">
        <v>1726</v>
      </c>
      <c r="BF549" s="635"/>
      <c r="BG549" s="635"/>
      <c r="BH549" s="634"/>
      <c r="BI549" s="635"/>
    </row>
    <row r="550" spans="1:61" ht="16.2" customHeight="1">
      <c r="A550" s="12"/>
      <c r="B550" s="446"/>
      <c r="C550" s="89"/>
      <c r="D550" s="13"/>
      <c r="E550" s="14"/>
      <c r="F550" s="14"/>
      <c r="G550" s="15"/>
      <c r="H550" s="8"/>
      <c r="I550" s="8"/>
      <c r="J550" s="89"/>
      <c r="K550" s="8"/>
      <c r="L550" s="8"/>
      <c r="M550" s="8" t="str">
        <f>IF(L550="","",
IF(AX550="PT",VLOOKUP(L550,Foundation_Calc!$V$4:$X$37,VLOOKUP(AX550,Foundation_Calc!$I$10:$J$13,2,FALSE),0),
IF(AX550="K",VLOOKUP(L550,Foundation_Calc!$V$41:$X$74,VLOOKUP(AX550,Foundation_Calc!$I$10:$J$13,2,FALSE),0),"")))</f>
        <v/>
      </c>
      <c r="N550" s="8"/>
      <c r="O550" s="8"/>
      <c r="P550" s="8"/>
      <c r="Q550" s="14"/>
      <c r="R550" s="15"/>
      <c r="S550" s="15"/>
      <c r="T550" s="14"/>
      <c r="U550" s="14"/>
      <c r="V550" s="14"/>
      <c r="W550" s="18"/>
      <c r="X550" s="18"/>
      <c r="Y550" s="18"/>
      <c r="Z550" s="18"/>
      <c r="AA550" s="18"/>
      <c r="AB550" s="18"/>
      <c r="AC550" s="8" t="str">
        <f t="shared" si="70"/>
        <v/>
      </c>
      <c r="AD550" s="8"/>
      <c r="AE550" s="8"/>
      <c r="AF550" s="14"/>
      <c r="AG550" s="13"/>
      <c r="AH550" s="14"/>
      <c r="AI550" s="14"/>
      <c r="AJ550" s="8"/>
      <c r="AK550" s="8"/>
      <c r="AL550" s="8"/>
      <c r="AM550" s="8"/>
      <c r="AN550" s="631"/>
      <c r="AO550" s="18"/>
      <c r="AP550" s="18"/>
      <c r="AQ550" s="18"/>
      <c r="AR550" s="18"/>
      <c r="AS550" s="18"/>
      <c r="AU550" s="448"/>
      <c r="AV550" s="448"/>
      <c r="AW550" s="8" t="str">
        <f>IF(C550&gt;0,VLOOKUP(C550,Foundation_Calc!$A$2:$C$986,3,1),
IF(J550&gt;0,VLOOKUP(J550,Foundation_Calc!$A$2:$C$986,3,1),""))</f>
        <v/>
      </c>
      <c r="AX550" s="8" t="str">
        <f>IF(C550&gt;0,VLOOKUP(C550,Foundation_Calc!$E$2:$G$986,3,1),
IF(J550&gt;0,VLOOKUP(J550,Foundation_Calc!$E$2:$G$986,3,1),""))</f>
        <v/>
      </c>
      <c r="AY550" s="631" t="str">
        <f>IF(L550="","",
IF(AX550="PT",VLOOKUP(L550,Foundation_Calc!$K$4:$R$37,VLOOKUP(AW550,Foundation_Calc!$I$2:$J$8,2,FALSE),0),
IF(AX550="K",VLOOKUP(L550,Foundation_Calc!$K$41:$R$74,VLOOKUP(AW550,Foundation_Calc!$I$2:$J$8,2,FALSE),0),"")))</f>
        <v/>
      </c>
      <c r="AZ550" s="631" t="str">
        <f>IF(K550="","",
IF(AX550="PT",VLOOKUP(K550,Foundation_Calc!$K$4:$R$37,VLOOKUP(AW550,Foundation_Calc!$I$2:$J$8,2,FALSE),0),
IF(AX550="K",VLOOKUP(K550,Foundation_Calc!$K$41:$R$74,VLOOKUP(AW550,Foundation_Calc!$I$2:$J$8,2,FALSE),0),"")))</f>
        <v/>
      </c>
      <c r="BA550" s="632" t="str">
        <f t="shared" si="71"/>
        <v/>
      </c>
      <c r="BB550" s="632" t="str">
        <f t="shared" si="72"/>
        <v/>
      </c>
      <c r="BC550" s="632" t="str">
        <f t="shared" si="73"/>
        <v/>
      </c>
      <c r="BD550" s="633" t="str">
        <f>IF(AND(L550="",H550=""),"",
IF(H550="",Pole_Calc!A578,
IF(H550="MP",Pole_Calc!A579,
IF(H550="AnMP",Pole_Calc!A580,
IF(H550="A",Pole_Calc!A581,
IF(H550="S/A",Pole_Calc!A582,
IF(H550="A/S",Pole_Calc!A583,"Poner a mano")))))))</f>
        <v/>
      </c>
      <c r="BE550" s="448" t="s">
        <v>1726</v>
      </c>
      <c r="BF550" s="634"/>
      <c r="BG550" s="634"/>
      <c r="BH550" s="634"/>
      <c r="BI550" s="634"/>
    </row>
    <row r="551" spans="1:61" ht="16.2" customHeight="1">
      <c r="A551" s="12"/>
      <c r="B551" s="446"/>
      <c r="C551" s="89"/>
      <c r="D551" s="13"/>
      <c r="E551" s="14"/>
      <c r="F551" s="14"/>
      <c r="G551" s="15"/>
      <c r="H551" s="8"/>
      <c r="I551" s="8"/>
      <c r="J551" s="89"/>
      <c r="K551" s="8"/>
      <c r="L551" s="8"/>
      <c r="M551" s="8" t="str">
        <f>IF(L551="","",
IF(AX551="PT",VLOOKUP(L551,Foundation_Calc!$V$4:$X$37,VLOOKUP(AX551,Foundation_Calc!$I$10:$J$13,2,FALSE),0),
IF(AX551="K",VLOOKUP(L551,Foundation_Calc!$V$41:$X$74,VLOOKUP(AX551,Foundation_Calc!$I$10:$J$13,2,FALSE),0),"")))</f>
        <v/>
      </c>
      <c r="N551" s="8"/>
      <c r="O551" s="8"/>
      <c r="P551" s="8"/>
      <c r="Q551" s="14"/>
      <c r="R551" s="15"/>
      <c r="S551" s="15"/>
      <c r="T551" s="14"/>
      <c r="U551" s="14"/>
      <c r="V551" s="14"/>
      <c r="W551" s="18"/>
      <c r="X551" s="18"/>
      <c r="Y551" s="18"/>
      <c r="Z551" s="18"/>
      <c r="AA551" s="18"/>
      <c r="AB551" s="18"/>
      <c r="AC551" s="8" t="str">
        <f t="shared" si="70"/>
        <v/>
      </c>
      <c r="AD551" s="8"/>
      <c r="AE551" s="8"/>
      <c r="AF551" s="14"/>
      <c r="AG551" s="13"/>
      <c r="AH551" s="14"/>
      <c r="AI551" s="14"/>
      <c r="AJ551" s="8"/>
      <c r="AK551" s="8"/>
      <c r="AL551" s="8"/>
      <c r="AM551" s="8"/>
      <c r="AN551" s="631"/>
      <c r="AO551" s="18"/>
      <c r="AP551" s="18"/>
      <c r="AQ551" s="18"/>
      <c r="AR551" s="18"/>
      <c r="AS551" s="18"/>
      <c r="AU551" s="448"/>
      <c r="AV551" s="448"/>
      <c r="AW551" s="8" t="str">
        <f>IF(C551&gt;0,VLOOKUP(C551,Foundation_Calc!$A$2:$C$986,3,1),
IF(J551&gt;0,VLOOKUP(J551,Foundation_Calc!$A$2:$C$986,3,1),""))</f>
        <v/>
      </c>
      <c r="AX551" s="8" t="str">
        <f>IF(C551&gt;0,VLOOKUP(C551,Foundation_Calc!$E$2:$G$986,3,1),
IF(J551&gt;0,VLOOKUP(J551,Foundation_Calc!$E$2:$G$986,3,1),""))</f>
        <v/>
      </c>
      <c r="AY551" s="631" t="str">
        <f>IF(L551="","",
IF(AX551="PT",VLOOKUP(L551,Foundation_Calc!$K$4:$R$37,VLOOKUP(AW551,Foundation_Calc!$I$2:$J$8,2,FALSE),0),
IF(AX551="K",VLOOKUP(L551,Foundation_Calc!$K$41:$R$74,VLOOKUP(AW551,Foundation_Calc!$I$2:$J$8,2,FALSE),0),"")))</f>
        <v/>
      </c>
      <c r="AZ551" s="631" t="str">
        <f>IF(K551="","",
IF(AX551="PT",VLOOKUP(K551,Foundation_Calc!$K$4:$R$37,VLOOKUP(AW551,Foundation_Calc!$I$2:$J$8,2,FALSE),0),
IF(AX551="K",VLOOKUP(K551,Foundation_Calc!$K$41:$R$74,VLOOKUP(AW551,Foundation_Calc!$I$2:$J$8,2,FALSE),0),"")))</f>
        <v/>
      </c>
      <c r="BA551" s="632" t="str">
        <f t="shared" si="71"/>
        <v/>
      </c>
      <c r="BB551" s="632" t="str">
        <f t="shared" si="72"/>
        <v/>
      </c>
      <c r="BC551" s="632" t="str">
        <f t="shared" si="73"/>
        <v/>
      </c>
      <c r="BD551" s="633" t="str">
        <f>IF(AND(L551="",H551=""),"",
IF(H551="",Pole_Calc!A579,
IF(H551="MP",Pole_Calc!A580,
IF(H551="AnMP",Pole_Calc!A581,
IF(H551="A",Pole_Calc!A582,
IF(H551="S/A",Pole_Calc!A583,
IF(H551="A/S",Pole_Calc!A584,"Poner a mano")))))))</f>
        <v/>
      </c>
      <c r="BE551" s="448" t="s">
        <v>1726</v>
      </c>
      <c r="BF551" s="635"/>
      <c r="BG551" s="635"/>
      <c r="BH551" s="634"/>
      <c r="BI551" s="635"/>
    </row>
    <row r="552" spans="1:61" ht="16.2" customHeight="1">
      <c r="A552" s="12"/>
      <c r="B552" s="446"/>
      <c r="C552" s="89"/>
      <c r="D552" s="13"/>
      <c r="E552" s="14"/>
      <c r="F552" s="14"/>
      <c r="G552" s="15"/>
      <c r="H552" s="8"/>
      <c r="I552" s="8"/>
      <c r="J552" s="89"/>
      <c r="K552" s="8"/>
      <c r="L552" s="8"/>
      <c r="M552" s="8" t="str">
        <f>IF(L552="","",
IF(AX552="PT",VLOOKUP(L552,Foundation_Calc!$V$4:$X$37,VLOOKUP(AX552,Foundation_Calc!$I$10:$J$13,2,FALSE),0),
IF(AX552="K",VLOOKUP(L552,Foundation_Calc!$V$41:$X$74,VLOOKUP(AX552,Foundation_Calc!$I$10:$J$13,2,FALSE),0),"")))</f>
        <v/>
      </c>
      <c r="N552" s="8"/>
      <c r="O552" s="8"/>
      <c r="P552" s="8"/>
      <c r="Q552" s="14"/>
      <c r="R552" s="15"/>
      <c r="S552" s="15"/>
      <c r="T552" s="14"/>
      <c r="U552" s="14"/>
      <c r="V552" s="14"/>
      <c r="W552" s="18"/>
      <c r="X552" s="18"/>
      <c r="Y552" s="18"/>
      <c r="Z552" s="18"/>
      <c r="AA552" s="18"/>
      <c r="AB552" s="18"/>
      <c r="AC552" s="8" t="str">
        <f t="shared" si="70"/>
        <v/>
      </c>
      <c r="AD552" s="8"/>
      <c r="AE552" s="8"/>
      <c r="AF552" s="14"/>
      <c r="AG552" s="13"/>
      <c r="AH552" s="14"/>
      <c r="AI552" s="14"/>
      <c r="AJ552" s="8"/>
      <c r="AK552" s="8"/>
      <c r="AL552" s="8"/>
      <c r="AM552" s="8"/>
      <c r="AN552" s="631"/>
      <c r="AO552" s="18"/>
      <c r="AP552" s="18"/>
      <c r="AQ552" s="18"/>
      <c r="AR552" s="18"/>
      <c r="AS552" s="18"/>
      <c r="AU552" s="448"/>
      <c r="AV552" s="448"/>
      <c r="AW552" s="8" t="str">
        <f>IF(C552&gt;0,VLOOKUP(C552,Foundation_Calc!$A$2:$C$986,3,1),
IF(J552&gt;0,VLOOKUP(J552,Foundation_Calc!$A$2:$C$986,3,1),""))</f>
        <v/>
      </c>
      <c r="AX552" s="8" t="str">
        <f>IF(C552&gt;0,VLOOKUP(C552,Foundation_Calc!$E$2:$G$986,3,1),
IF(J552&gt;0,VLOOKUP(J552,Foundation_Calc!$E$2:$G$986,3,1),""))</f>
        <v/>
      </c>
      <c r="AY552" s="631" t="str">
        <f>IF(L552="","",
IF(AX552="PT",VLOOKUP(L552,Foundation_Calc!$K$4:$R$37,VLOOKUP(AW552,Foundation_Calc!$I$2:$J$8,2,FALSE),0),
IF(AX552="K",VLOOKUP(L552,Foundation_Calc!$K$41:$R$74,VLOOKUP(AW552,Foundation_Calc!$I$2:$J$8,2,FALSE),0),"")))</f>
        <v/>
      </c>
      <c r="AZ552" s="631" t="str">
        <f>IF(K552="","",
IF(AX552="PT",VLOOKUP(K552,Foundation_Calc!$K$4:$R$37,VLOOKUP(AW552,Foundation_Calc!$I$2:$J$8,2,FALSE),0),
IF(AX552="K",VLOOKUP(K552,Foundation_Calc!$K$41:$R$74,VLOOKUP(AW552,Foundation_Calc!$I$2:$J$8,2,FALSE),0),"")))</f>
        <v/>
      </c>
      <c r="BA552" s="632" t="str">
        <f t="shared" si="71"/>
        <v/>
      </c>
      <c r="BB552" s="632" t="str">
        <f t="shared" si="72"/>
        <v/>
      </c>
      <c r="BC552" s="632" t="str">
        <f t="shared" si="73"/>
        <v/>
      </c>
      <c r="BD552" s="633" t="str">
        <f>IF(AND(L552="",H552=""),"",
IF(H552="",Pole_Calc!A580,
IF(H552="MP",Pole_Calc!A581,
IF(H552="AnMP",Pole_Calc!A582,
IF(H552="A",Pole_Calc!A583,
IF(H552="S/A",Pole_Calc!A584,
IF(H552="A/S",Pole_Calc!A585,"Poner a mano")))))))</f>
        <v/>
      </c>
      <c r="BE552" s="448" t="s">
        <v>1726</v>
      </c>
      <c r="BF552" s="634"/>
      <c r="BG552" s="634"/>
      <c r="BH552" s="634"/>
      <c r="BI552" s="634"/>
    </row>
    <row r="553" spans="1:61" ht="16.2" customHeight="1">
      <c r="A553" s="12"/>
      <c r="B553" s="446"/>
      <c r="C553" s="89"/>
      <c r="D553" s="13"/>
      <c r="E553" s="14"/>
      <c r="F553" s="14"/>
      <c r="G553" s="15"/>
      <c r="H553" s="8"/>
      <c r="I553" s="8"/>
      <c r="J553" s="89"/>
      <c r="K553" s="8"/>
      <c r="L553" s="8"/>
      <c r="M553" s="8" t="str">
        <f>IF(L553="","",
IF(AX553="PT",VLOOKUP(L553,Foundation_Calc!$V$4:$X$37,VLOOKUP(AX553,Foundation_Calc!$I$10:$J$13,2,FALSE),0),
IF(AX553="K",VLOOKUP(L553,Foundation_Calc!$V$41:$X$74,VLOOKUP(AX553,Foundation_Calc!$I$10:$J$13,2,FALSE),0),"")))</f>
        <v/>
      </c>
      <c r="N553" s="8"/>
      <c r="O553" s="8"/>
      <c r="P553" s="8"/>
      <c r="Q553" s="14"/>
      <c r="R553" s="15"/>
      <c r="S553" s="15"/>
      <c r="T553" s="14"/>
      <c r="U553" s="14"/>
      <c r="V553" s="14"/>
      <c r="W553" s="18"/>
      <c r="X553" s="18"/>
      <c r="Y553" s="18"/>
      <c r="Z553" s="18"/>
      <c r="AA553" s="18"/>
      <c r="AB553" s="18"/>
      <c r="AC553" s="8" t="str">
        <f t="shared" si="70"/>
        <v/>
      </c>
      <c r="AD553" s="8"/>
      <c r="AE553" s="8"/>
      <c r="AF553" s="14"/>
      <c r="AG553" s="13"/>
      <c r="AH553" s="14"/>
      <c r="AI553" s="14"/>
      <c r="AJ553" s="8"/>
      <c r="AK553" s="8"/>
      <c r="AL553" s="8"/>
      <c r="AM553" s="8"/>
      <c r="AN553" s="631"/>
      <c r="AO553" s="18"/>
      <c r="AP553" s="18"/>
      <c r="AQ553" s="18"/>
      <c r="AR553" s="18"/>
      <c r="AS553" s="18"/>
      <c r="AU553" s="448"/>
      <c r="AV553" s="448"/>
      <c r="AW553" s="8" t="str">
        <f>IF(C553&gt;0,VLOOKUP(C553,Foundation_Calc!$A$2:$C$986,3,1),
IF(J553&gt;0,VLOOKUP(J553,Foundation_Calc!$A$2:$C$986,3,1),""))</f>
        <v/>
      </c>
      <c r="AX553" s="8" t="str">
        <f>IF(C553&gt;0,VLOOKUP(C553,Foundation_Calc!$E$2:$G$986,3,1),
IF(J553&gt;0,VLOOKUP(J553,Foundation_Calc!$E$2:$G$986,3,1),""))</f>
        <v/>
      </c>
      <c r="AY553" s="631" t="str">
        <f>IF(L553="","",
IF(AX553="PT",VLOOKUP(L553,Foundation_Calc!$K$4:$R$37,VLOOKUP(AW553,Foundation_Calc!$I$2:$J$8,2,FALSE),0),
IF(AX553="K",VLOOKUP(L553,Foundation_Calc!$K$41:$R$74,VLOOKUP(AW553,Foundation_Calc!$I$2:$J$8,2,FALSE),0),"")))</f>
        <v/>
      </c>
      <c r="AZ553" s="631" t="str">
        <f>IF(K553="","",
IF(AX553="PT",VLOOKUP(K553,Foundation_Calc!$K$4:$R$37,VLOOKUP(AW553,Foundation_Calc!$I$2:$J$8,2,FALSE),0),
IF(AX553="K",VLOOKUP(K553,Foundation_Calc!$K$41:$R$74,VLOOKUP(AW553,Foundation_Calc!$I$2:$J$8,2,FALSE),0),"")))</f>
        <v/>
      </c>
      <c r="BA553" s="632" t="str">
        <f t="shared" si="71"/>
        <v/>
      </c>
      <c r="BB553" s="632" t="str">
        <f t="shared" si="72"/>
        <v/>
      </c>
      <c r="BC553" s="632" t="str">
        <f t="shared" si="73"/>
        <v/>
      </c>
      <c r="BD553" s="633" t="str">
        <f>IF(AND(L553="",H553=""),"",
IF(H553="",Pole_Calc!A581,
IF(H553="MP",Pole_Calc!A582,
IF(H553="AnMP",Pole_Calc!A583,
IF(H553="A",Pole_Calc!A584,
IF(H553="S/A",Pole_Calc!A585,
IF(H553="A/S",Pole_Calc!A586,"Poner a mano")))))))</f>
        <v/>
      </c>
      <c r="BE553" s="448" t="s">
        <v>1726</v>
      </c>
      <c r="BF553" s="635"/>
      <c r="BG553" s="635"/>
      <c r="BH553" s="634"/>
      <c r="BI553" s="635"/>
    </row>
    <row r="554" spans="1:61" ht="16.2" customHeight="1">
      <c r="A554" s="12"/>
      <c r="B554" s="446"/>
      <c r="C554" s="89"/>
      <c r="D554" s="13"/>
      <c r="E554" s="14"/>
      <c r="F554" s="14"/>
      <c r="G554" s="15"/>
      <c r="H554" s="8"/>
      <c r="I554" s="8"/>
      <c r="J554" s="89"/>
      <c r="K554" s="8"/>
      <c r="L554" s="8"/>
      <c r="M554" s="8" t="str">
        <f>IF(L554="","",
IF(AX554="PT",VLOOKUP(L554,Foundation_Calc!$V$4:$X$37,VLOOKUP(AX554,Foundation_Calc!$I$10:$J$13,2,FALSE),0),
IF(AX554="K",VLOOKUP(L554,Foundation_Calc!$V$41:$X$74,VLOOKUP(AX554,Foundation_Calc!$I$10:$J$13,2,FALSE),0),"")))</f>
        <v/>
      </c>
      <c r="N554" s="8"/>
      <c r="O554" s="8"/>
      <c r="P554" s="8"/>
      <c r="Q554" s="14"/>
      <c r="R554" s="15"/>
      <c r="S554" s="15"/>
      <c r="T554" s="14"/>
      <c r="U554" s="14"/>
      <c r="V554" s="14"/>
      <c r="W554" s="18"/>
      <c r="X554" s="18"/>
      <c r="Y554" s="18"/>
      <c r="Z554" s="18"/>
      <c r="AA554" s="18"/>
      <c r="AB554" s="18"/>
      <c r="AC554" s="8" t="str">
        <f t="shared" si="70"/>
        <v/>
      </c>
      <c r="AD554" s="8"/>
      <c r="AE554" s="8"/>
      <c r="AF554" s="14"/>
      <c r="AG554" s="13"/>
      <c r="AH554" s="14"/>
      <c r="AI554" s="14"/>
      <c r="AJ554" s="8"/>
      <c r="AK554" s="8"/>
      <c r="AL554" s="8"/>
      <c r="AM554" s="8"/>
      <c r="AN554" s="631"/>
      <c r="AO554" s="18"/>
      <c r="AP554" s="18"/>
      <c r="AQ554" s="18"/>
      <c r="AR554" s="18"/>
      <c r="AS554" s="18"/>
      <c r="AU554" s="448"/>
      <c r="AV554" s="448"/>
      <c r="AW554" s="8" t="str">
        <f>IF(C554&gt;0,VLOOKUP(C554,Foundation_Calc!$A$2:$C$986,3,1),
IF(J554&gt;0,VLOOKUP(J554,Foundation_Calc!$A$2:$C$986,3,1),""))</f>
        <v/>
      </c>
      <c r="AX554" s="8" t="str">
        <f>IF(C554&gt;0,VLOOKUP(C554,Foundation_Calc!$E$2:$G$986,3,1),
IF(J554&gt;0,VLOOKUP(J554,Foundation_Calc!$E$2:$G$986,3,1),""))</f>
        <v/>
      </c>
      <c r="AY554" s="631" t="str">
        <f>IF(L554="","",
IF(AX554="PT",VLOOKUP(L554,Foundation_Calc!$K$4:$R$37,VLOOKUP(AW554,Foundation_Calc!$I$2:$J$8,2,FALSE),0),
IF(AX554="K",VLOOKUP(L554,Foundation_Calc!$K$41:$R$74,VLOOKUP(AW554,Foundation_Calc!$I$2:$J$8,2,FALSE),0),"")))</f>
        <v/>
      </c>
      <c r="AZ554" s="631" t="str">
        <f>IF(K554="","",
IF(AX554="PT",VLOOKUP(K554,Foundation_Calc!$K$4:$R$37,VLOOKUP(AW554,Foundation_Calc!$I$2:$J$8,2,FALSE),0),
IF(AX554="K",VLOOKUP(K554,Foundation_Calc!$K$41:$R$74,VLOOKUP(AW554,Foundation_Calc!$I$2:$J$8,2,FALSE),0),"")))</f>
        <v/>
      </c>
      <c r="BA554" s="632" t="str">
        <f t="shared" si="71"/>
        <v/>
      </c>
      <c r="BB554" s="632" t="str">
        <f t="shared" si="72"/>
        <v/>
      </c>
      <c r="BC554" s="632" t="str">
        <f t="shared" si="73"/>
        <v/>
      </c>
      <c r="BD554" s="633" t="str">
        <f>IF(AND(L554="",H554=""),"",
IF(H554="",Pole_Calc!A582,
IF(H554="MP",Pole_Calc!A583,
IF(H554="AnMP",Pole_Calc!A584,
IF(H554="A",Pole_Calc!A585,
IF(H554="S/A",Pole_Calc!A586,
IF(H554="A/S",Pole_Calc!A587,"Poner a mano")))))))</f>
        <v/>
      </c>
      <c r="BE554" s="448" t="s">
        <v>1726</v>
      </c>
      <c r="BF554" s="634"/>
      <c r="BG554" s="634"/>
      <c r="BH554" s="634"/>
      <c r="BI554" s="634"/>
    </row>
    <row r="555" spans="1:61" ht="16.2" customHeight="1">
      <c r="A555" s="12"/>
      <c r="B555" s="446"/>
      <c r="C555" s="89"/>
      <c r="D555" s="13"/>
      <c r="E555" s="14"/>
      <c r="F555" s="14"/>
      <c r="G555" s="15"/>
      <c r="H555" s="8"/>
      <c r="I555" s="8"/>
      <c r="J555" s="89"/>
      <c r="K555" s="8"/>
      <c r="L555" s="8"/>
      <c r="M555" s="8" t="str">
        <f>IF(L555="","",
IF(AX555="PT",VLOOKUP(L555,Foundation_Calc!$V$4:$X$37,VLOOKUP(AX555,Foundation_Calc!$I$10:$J$13,2,FALSE),0),
IF(AX555="K",VLOOKUP(L555,Foundation_Calc!$V$41:$X$74,VLOOKUP(AX555,Foundation_Calc!$I$10:$J$13,2,FALSE),0),"")))</f>
        <v/>
      </c>
      <c r="N555" s="8"/>
      <c r="O555" s="8"/>
      <c r="P555" s="8"/>
      <c r="Q555" s="14"/>
      <c r="R555" s="15"/>
      <c r="S555" s="15"/>
      <c r="T555" s="14"/>
      <c r="U555" s="14"/>
      <c r="V555" s="14"/>
      <c r="W555" s="18"/>
      <c r="X555" s="18"/>
      <c r="Y555" s="18"/>
      <c r="Z555" s="18"/>
      <c r="AA555" s="18"/>
      <c r="AB555" s="18"/>
      <c r="AC555" s="8" t="str">
        <f t="shared" si="70"/>
        <v/>
      </c>
      <c r="AD555" s="8"/>
      <c r="AE555" s="8"/>
      <c r="AF555" s="14"/>
      <c r="AG555" s="13"/>
      <c r="AH555" s="14"/>
      <c r="AI555" s="14"/>
      <c r="AJ555" s="8"/>
      <c r="AK555" s="8"/>
      <c r="AL555" s="8"/>
      <c r="AM555" s="8"/>
      <c r="AN555" s="631"/>
      <c r="AO555" s="18"/>
      <c r="AP555" s="18"/>
      <c r="AQ555" s="18"/>
      <c r="AR555" s="18"/>
      <c r="AS555" s="18"/>
      <c r="AU555" s="448"/>
      <c r="AV555" s="448"/>
      <c r="AW555" s="8" t="str">
        <f>IF(C555&gt;0,VLOOKUP(C555,Foundation_Calc!$A$2:$C$986,3,1),
IF(J555&gt;0,VLOOKUP(J555,Foundation_Calc!$A$2:$C$986,3,1),""))</f>
        <v/>
      </c>
      <c r="AX555" s="8" t="str">
        <f>IF(C555&gt;0,VLOOKUP(C555,Foundation_Calc!$E$2:$G$986,3,1),
IF(J555&gt;0,VLOOKUP(J555,Foundation_Calc!$E$2:$G$986,3,1),""))</f>
        <v/>
      </c>
      <c r="AY555" s="631" t="str">
        <f>IF(L555="","",
IF(AX555="PT",VLOOKUP(L555,Foundation_Calc!$K$4:$R$37,VLOOKUP(AW555,Foundation_Calc!$I$2:$J$8,2,FALSE),0),
IF(AX555="K",VLOOKUP(L555,Foundation_Calc!$K$41:$R$74,VLOOKUP(AW555,Foundation_Calc!$I$2:$J$8,2,FALSE),0),"")))</f>
        <v/>
      </c>
      <c r="AZ555" s="631" t="str">
        <f>IF(K555="","",
IF(AX555="PT",VLOOKUP(K555,Foundation_Calc!$K$4:$R$37,VLOOKUP(AW555,Foundation_Calc!$I$2:$J$8,2,FALSE),0),
IF(AX555="K",VLOOKUP(K555,Foundation_Calc!$K$41:$R$74,VLOOKUP(AW555,Foundation_Calc!$I$2:$J$8,2,FALSE),0),"")))</f>
        <v/>
      </c>
      <c r="BA555" s="632" t="str">
        <f t="shared" si="71"/>
        <v/>
      </c>
      <c r="BB555" s="632" t="str">
        <f t="shared" si="72"/>
        <v/>
      </c>
      <c r="BC555" s="632" t="str">
        <f t="shared" si="73"/>
        <v/>
      </c>
      <c r="BD555" s="633" t="str">
        <f>IF(AND(L555="",H555=""),"",
IF(H555="",Pole_Calc!A583,
IF(H555="MP",Pole_Calc!A584,
IF(H555="AnMP",Pole_Calc!A585,
IF(H555="A",Pole_Calc!A586,
IF(H555="S/A",Pole_Calc!A587,
IF(H555="A/S",Pole_Calc!A588,"Poner a mano")))))))</f>
        <v/>
      </c>
      <c r="BE555" s="448" t="s">
        <v>1726</v>
      </c>
      <c r="BF555" s="635"/>
      <c r="BG555" s="635"/>
      <c r="BH555" s="634"/>
      <c r="BI555" s="635"/>
    </row>
    <row r="556" spans="1:61" ht="16.2" customHeight="1">
      <c r="A556" s="12"/>
      <c r="B556" s="446"/>
      <c r="C556" s="89"/>
      <c r="D556" s="13"/>
      <c r="E556" s="14"/>
      <c r="F556" s="14"/>
      <c r="G556" s="15"/>
      <c r="H556" s="8"/>
      <c r="I556" s="8"/>
      <c r="J556" s="89"/>
      <c r="K556" s="8"/>
      <c r="L556" s="8"/>
      <c r="M556" s="8" t="str">
        <f>IF(L556="","",
IF(AX556="PT",VLOOKUP(L556,Foundation_Calc!$V$4:$X$37,VLOOKUP(AX556,Foundation_Calc!$I$10:$J$13,2,FALSE),0),
IF(AX556="K",VLOOKUP(L556,Foundation_Calc!$V$41:$X$74,VLOOKUP(AX556,Foundation_Calc!$I$10:$J$13,2,FALSE),0),"")))</f>
        <v/>
      </c>
      <c r="N556" s="8"/>
      <c r="O556" s="8"/>
      <c r="P556" s="8"/>
      <c r="Q556" s="14"/>
      <c r="R556" s="15"/>
      <c r="S556" s="15"/>
      <c r="T556" s="14"/>
      <c r="U556" s="14"/>
      <c r="V556" s="14"/>
      <c r="W556" s="18"/>
      <c r="X556" s="18"/>
      <c r="Y556" s="18"/>
      <c r="Z556" s="18"/>
      <c r="AA556" s="18"/>
      <c r="AB556" s="18"/>
      <c r="AC556" s="8" t="str">
        <f t="shared" si="70"/>
        <v/>
      </c>
      <c r="AD556" s="8"/>
      <c r="AE556" s="8"/>
      <c r="AF556" s="14"/>
      <c r="AG556" s="13"/>
      <c r="AH556" s="14"/>
      <c r="AI556" s="14"/>
      <c r="AJ556" s="8"/>
      <c r="AK556" s="8"/>
      <c r="AL556" s="8"/>
      <c r="AM556" s="8"/>
      <c r="AN556" s="631"/>
      <c r="AO556" s="18"/>
      <c r="AP556" s="18"/>
      <c r="AQ556" s="18"/>
      <c r="AR556" s="18"/>
      <c r="AS556" s="18"/>
      <c r="AU556" s="448"/>
      <c r="AV556" s="448"/>
      <c r="AW556" s="8" t="str">
        <f>IF(C556&gt;0,VLOOKUP(C556,Foundation_Calc!$A$2:$C$986,3,1),
IF(J556&gt;0,VLOOKUP(J556,Foundation_Calc!$A$2:$C$986,3,1),""))</f>
        <v/>
      </c>
      <c r="AX556" s="8" t="str">
        <f>IF(C556&gt;0,VLOOKUP(C556,Foundation_Calc!$E$2:$G$986,3,1),
IF(J556&gt;0,VLOOKUP(J556,Foundation_Calc!$E$2:$G$986,3,1),""))</f>
        <v/>
      </c>
      <c r="AY556" s="631" t="str">
        <f>IF(L556="","",
IF(AX556="PT",VLOOKUP(L556,Foundation_Calc!$K$4:$R$37,VLOOKUP(AW556,Foundation_Calc!$I$2:$J$8,2,FALSE),0),
IF(AX556="K",VLOOKUP(L556,Foundation_Calc!$K$41:$R$74,VLOOKUP(AW556,Foundation_Calc!$I$2:$J$8,2,FALSE),0),"")))</f>
        <v/>
      </c>
      <c r="AZ556" s="631" t="str">
        <f>IF(K556="","",
IF(AX556="PT",VLOOKUP(K556,Foundation_Calc!$K$4:$R$37,VLOOKUP(AW556,Foundation_Calc!$I$2:$J$8,2,FALSE),0),
IF(AX556="K",VLOOKUP(K556,Foundation_Calc!$K$41:$R$74,VLOOKUP(AW556,Foundation_Calc!$I$2:$J$8,2,FALSE),0),"")))</f>
        <v/>
      </c>
      <c r="BA556" s="632" t="str">
        <f t="shared" si="71"/>
        <v/>
      </c>
      <c r="BB556" s="632" t="str">
        <f t="shared" si="72"/>
        <v/>
      </c>
      <c r="BC556" s="632" t="str">
        <f t="shared" si="73"/>
        <v/>
      </c>
      <c r="BD556" s="633" t="str">
        <f>IF(AND(L556="",H556=""),"",
IF(H556="",Pole_Calc!A584,
IF(H556="MP",Pole_Calc!A585,
IF(H556="AnMP",Pole_Calc!A586,
IF(H556="A",Pole_Calc!A587,
IF(H556="S/A",Pole_Calc!A588,
IF(H556="A/S",Pole_Calc!A589,"Poner a mano")))))))</f>
        <v/>
      </c>
      <c r="BE556" s="448" t="s">
        <v>1726</v>
      </c>
      <c r="BF556" s="634"/>
      <c r="BG556" s="634"/>
      <c r="BH556" s="634"/>
      <c r="BI556" s="634"/>
    </row>
    <row r="557" spans="1:61" ht="16.2" customHeight="1">
      <c r="A557" s="12"/>
      <c r="B557" s="446"/>
      <c r="C557" s="89"/>
      <c r="D557" s="13"/>
      <c r="E557" s="14"/>
      <c r="F557" s="14"/>
      <c r="G557" s="15"/>
      <c r="H557" s="8"/>
      <c r="I557" s="8"/>
      <c r="J557" s="89"/>
      <c r="K557" s="8"/>
      <c r="L557" s="8"/>
      <c r="M557" s="8" t="str">
        <f>IF(L557="","",
IF(AX557="PT",VLOOKUP(L557,Foundation_Calc!$V$4:$X$37,VLOOKUP(AX557,Foundation_Calc!$I$10:$J$13,2,FALSE),0),
IF(AX557="K",VLOOKUP(L557,Foundation_Calc!$V$41:$X$74,VLOOKUP(AX557,Foundation_Calc!$I$10:$J$13,2,FALSE),0),"")))</f>
        <v/>
      </c>
      <c r="N557" s="8"/>
      <c r="O557" s="8"/>
      <c r="P557" s="8"/>
      <c r="Q557" s="14"/>
      <c r="R557" s="15"/>
      <c r="S557" s="15"/>
      <c r="T557" s="14"/>
      <c r="U557" s="14"/>
      <c r="V557" s="14"/>
      <c r="W557" s="18"/>
      <c r="X557" s="18"/>
      <c r="Y557" s="18"/>
      <c r="Z557" s="18"/>
      <c r="AA557" s="18"/>
      <c r="AB557" s="18"/>
      <c r="AC557" s="8" t="str">
        <f t="shared" si="70"/>
        <v/>
      </c>
      <c r="AD557" s="8"/>
      <c r="AE557" s="8"/>
      <c r="AF557" s="14"/>
      <c r="AG557" s="13"/>
      <c r="AH557" s="14"/>
      <c r="AI557" s="14"/>
      <c r="AJ557" s="8"/>
      <c r="AK557" s="8"/>
      <c r="AL557" s="8"/>
      <c r="AM557" s="8"/>
      <c r="AN557" s="631"/>
      <c r="AO557" s="18"/>
      <c r="AP557" s="18"/>
      <c r="AQ557" s="18"/>
      <c r="AR557" s="18"/>
      <c r="AS557" s="18"/>
      <c r="AU557" s="448"/>
      <c r="AV557" s="448"/>
      <c r="AW557" s="8" t="str">
        <f>IF(C557&gt;0,VLOOKUP(C557,Foundation_Calc!$A$2:$C$986,3,1),
IF(J557&gt;0,VLOOKUP(J557,Foundation_Calc!$A$2:$C$986,3,1),""))</f>
        <v/>
      </c>
      <c r="AX557" s="8" t="str">
        <f>IF(C557&gt;0,VLOOKUP(C557,Foundation_Calc!$E$2:$G$986,3,1),
IF(J557&gt;0,VLOOKUP(J557,Foundation_Calc!$E$2:$G$986,3,1),""))</f>
        <v/>
      </c>
      <c r="AY557" s="631" t="str">
        <f>IF(L557="","",
IF(AX557="PT",VLOOKUP(L557,Foundation_Calc!$K$4:$R$37,VLOOKUP(AW557,Foundation_Calc!$I$2:$J$8,2,FALSE),0),
IF(AX557="K",VLOOKUP(L557,Foundation_Calc!$K$41:$R$74,VLOOKUP(AW557,Foundation_Calc!$I$2:$J$8,2,FALSE),0),"")))</f>
        <v/>
      </c>
      <c r="AZ557" s="631" t="str">
        <f>IF(K557="","",
IF(AX557="PT",VLOOKUP(K557,Foundation_Calc!$K$4:$R$37,VLOOKUP(AW557,Foundation_Calc!$I$2:$J$8,2,FALSE),0),
IF(AX557="K",VLOOKUP(K557,Foundation_Calc!$K$41:$R$74,VLOOKUP(AW557,Foundation_Calc!$I$2:$J$8,2,FALSE),0),"")))</f>
        <v/>
      </c>
      <c r="BA557" s="632" t="str">
        <f t="shared" si="71"/>
        <v/>
      </c>
      <c r="BB557" s="632" t="str">
        <f t="shared" si="72"/>
        <v/>
      </c>
      <c r="BC557" s="632" t="str">
        <f t="shared" si="73"/>
        <v/>
      </c>
      <c r="BD557" s="633" t="str">
        <f>IF(AND(L557="",H557=""),"",
IF(H557="",Pole_Calc!A585,
IF(H557="MP",Pole_Calc!A586,
IF(H557="AnMP",Pole_Calc!A587,
IF(H557="A",Pole_Calc!A588,
IF(H557="S/A",Pole_Calc!A589,
IF(H557="A/S",Pole_Calc!A590,"Poner a mano")))))))</f>
        <v/>
      </c>
      <c r="BE557" s="448" t="s">
        <v>1726</v>
      </c>
      <c r="BF557" s="635"/>
      <c r="BG557" s="635"/>
      <c r="BH557" s="634"/>
      <c r="BI557" s="635"/>
    </row>
    <row r="558" spans="1:61" ht="16.2" customHeight="1">
      <c r="A558" s="12"/>
      <c r="B558" s="446"/>
      <c r="C558" s="89"/>
      <c r="D558" s="13"/>
      <c r="E558" s="14"/>
      <c r="F558" s="14"/>
      <c r="G558" s="15"/>
      <c r="H558" s="8"/>
      <c r="I558" s="8"/>
      <c r="J558" s="89"/>
      <c r="K558" s="8"/>
      <c r="L558" s="8"/>
      <c r="M558" s="8" t="str">
        <f>IF(L558="","",
IF(AX558="PT",VLOOKUP(L558,Foundation_Calc!$V$4:$X$37,VLOOKUP(AX558,Foundation_Calc!$I$10:$J$13,2,FALSE),0),
IF(AX558="K",VLOOKUP(L558,Foundation_Calc!$V$41:$X$74,VLOOKUP(AX558,Foundation_Calc!$I$10:$J$13,2,FALSE),0),"")))</f>
        <v/>
      </c>
      <c r="N558" s="8"/>
      <c r="O558" s="8"/>
      <c r="P558" s="8"/>
      <c r="Q558" s="14"/>
      <c r="R558" s="15"/>
      <c r="S558" s="15"/>
      <c r="T558" s="14"/>
      <c r="U558" s="14"/>
      <c r="V558" s="14"/>
      <c r="W558" s="18"/>
      <c r="X558" s="18"/>
      <c r="Y558" s="18"/>
      <c r="Z558" s="18"/>
      <c r="AA558" s="18"/>
      <c r="AB558" s="18"/>
      <c r="AC558" s="8" t="str">
        <f t="shared" si="70"/>
        <v/>
      </c>
      <c r="AD558" s="8"/>
      <c r="AE558" s="8"/>
      <c r="AF558" s="14"/>
      <c r="AG558" s="13"/>
      <c r="AH558" s="14"/>
      <c r="AI558" s="14"/>
      <c r="AJ558" s="8"/>
      <c r="AK558" s="8"/>
      <c r="AL558" s="8"/>
      <c r="AM558" s="8"/>
      <c r="AN558" s="631"/>
      <c r="AO558" s="18"/>
      <c r="AP558" s="18"/>
      <c r="AQ558" s="18"/>
      <c r="AR558" s="18"/>
      <c r="AS558" s="18"/>
      <c r="AU558" s="448"/>
      <c r="AV558" s="448"/>
      <c r="AW558" s="8" t="str">
        <f>IF(C558&gt;0,VLOOKUP(C558,Foundation_Calc!$A$2:$C$986,3,1),
IF(J558&gt;0,VLOOKUP(J558,Foundation_Calc!$A$2:$C$986,3,1),""))</f>
        <v/>
      </c>
      <c r="AX558" s="8" t="str">
        <f>IF(C558&gt;0,VLOOKUP(C558,Foundation_Calc!$E$2:$G$986,3,1),
IF(J558&gt;0,VLOOKUP(J558,Foundation_Calc!$E$2:$G$986,3,1),""))</f>
        <v/>
      </c>
      <c r="AY558" s="631" t="str">
        <f>IF(L558="","",
IF(AX558="PT",VLOOKUP(L558,Foundation_Calc!$K$4:$R$37,VLOOKUP(AW558,Foundation_Calc!$I$2:$J$8,2,FALSE),0),
IF(AX558="K",VLOOKUP(L558,Foundation_Calc!$K$41:$R$74,VLOOKUP(AW558,Foundation_Calc!$I$2:$J$8,2,FALSE),0),"")))</f>
        <v/>
      </c>
      <c r="AZ558" s="631" t="str">
        <f>IF(K558="","",
IF(AX558="PT",VLOOKUP(K558,Foundation_Calc!$K$4:$R$37,VLOOKUP(AW558,Foundation_Calc!$I$2:$J$8,2,FALSE),0),
IF(AX558="K",VLOOKUP(K558,Foundation_Calc!$K$41:$R$74,VLOOKUP(AW558,Foundation_Calc!$I$2:$J$8,2,FALSE),0),"")))</f>
        <v/>
      </c>
      <c r="BA558" s="632" t="str">
        <f t="shared" si="71"/>
        <v/>
      </c>
      <c r="BB558" s="632" t="str">
        <f t="shared" si="72"/>
        <v/>
      </c>
      <c r="BC558" s="632" t="str">
        <f t="shared" si="73"/>
        <v/>
      </c>
      <c r="BD558" s="633" t="str">
        <f>IF(AND(L558="",H558=""),"",
IF(H558="",Pole_Calc!A586,
IF(H558="MP",Pole_Calc!A587,
IF(H558="AnMP",Pole_Calc!A588,
IF(H558="A",Pole_Calc!A589,
IF(H558="S/A",Pole_Calc!A590,
IF(H558="A/S",Pole_Calc!A591,"Poner a mano")))))))</f>
        <v/>
      </c>
      <c r="BE558" s="448" t="s">
        <v>1726</v>
      </c>
      <c r="BF558" s="634"/>
      <c r="BG558" s="634"/>
      <c r="BH558" s="634"/>
      <c r="BI558" s="634"/>
    </row>
    <row r="559" spans="1:61" ht="16.2" customHeight="1">
      <c r="A559" s="12"/>
      <c r="B559" s="446"/>
      <c r="C559" s="89"/>
      <c r="D559" s="13"/>
      <c r="E559" s="14"/>
      <c r="F559" s="14"/>
      <c r="G559" s="15"/>
      <c r="H559" s="8"/>
      <c r="I559" s="8"/>
      <c r="J559" s="89"/>
      <c r="K559" s="8"/>
      <c r="L559" s="8"/>
      <c r="M559" s="8" t="str">
        <f>IF(L559="","",
IF(AX559="PT",VLOOKUP(L559,Foundation_Calc!$V$4:$X$37,VLOOKUP(AX559,Foundation_Calc!$I$10:$J$13,2,FALSE),0),
IF(AX559="K",VLOOKUP(L559,Foundation_Calc!$V$41:$X$74,VLOOKUP(AX559,Foundation_Calc!$I$10:$J$13,2,FALSE),0),"")))</f>
        <v/>
      </c>
      <c r="N559" s="8"/>
      <c r="O559" s="8"/>
      <c r="P559" s="8"/>
      <c r="Q559" s="14"/>
      <c r="R559" s="15"/>
      <c r="S559" s="15"/>
      <c r="T559" s="14"/>
      <c r="U559" s="14"/>
      <c r="V559" s="14"/>
      <c r="W559" s="18"/>
      <c r="X559" s="18"/>
      <c r="Y559" s="18"/>
      <c r="Z559" s="18"/>
      <c r="AA559" s="18"/>
      <c r="AB559" s="18"/>
      <c r="AC559" s="8" t="str">
        <f t="shared" si="70"/>
        <v/>
      </c>
      <c r="AD559" s="8"/>
      <c r="AE559" s="8"/>
      <c r="AF559" s="14"/>
      <c r="AG559" s="13"/>
      <c r="AH559" s="14"/>
      <c r="AI559" s="14"/>
      <c r="AJ559" s="8"/>
      <c r="AK559" s="8"/>
      <c r="AL559" s="8"/>
      <c r="AM559" s="8"/>
      <c r="AN559" s="631"/>
      <c r="AO559" s="18"/>
      <c r="AP559" s="18"/>
      <c r="AQ559" s="18"/>
      <c r="AR559" s="18"/>
      <c r="AS559" s="18"/>
      <c r="AU559" s="448"/>
      <c r="AV559" s="448"/>
      <c r="AW559" s="8" t="str">
        <f>IF(C559&gt;0,VLOOKUP(C559,Foundation_Calc!$A$2:$C$986,3,1),
IF(J559&gt;0,VLOOKUP(J559,Foundation_Calc!$A$2:$C$986,3,1),""))</f>
        <v/>
      </c>
      <c r="AX559" s="8" t="str">
        <f>IF(C559&gt;0,VLOOKUP(C559,Foundation_Calc!$E$2:$G$986,3,1),
IF(J559&gt;0,VLOOKUP(J559,Foundation_Calc!$E$2:$G$986,3,1),""))</f>
        <v/>
      </c>
      <c r="AY559" s="631" t="str">
        <f>IF(L559="","",
IF(AX559="PT",VLOOKUP(L559,Foundation_Calc!$K$4:$R$37,VLOOKUP(AW559,Foundation_Calc!$I$2:$J$8,2,FALSE),0),
IF(AX559="K",VLOOKUP(L559,Foundation_Calc!$K$41:$R$74,VLOOKUP(AW559,Foundation_Calc!$I$2:$J$8,2,FALSE),0),"")))</f>
        <v/>
      </c>
      <c r="AZ559" s="631" t="str">
        <f>IF(K559="","",
IF(AX559="PT",VLOOKUP(K559,Foundation_Calc!$K$4:$R$37,VLOOKUP(AW559,Foundation_Calc!$I$2:$J$8,2,FALSE),0),
IF(AX559="K",VLOOKUP(K559,Foundation_Calc!$K$41:$R$74,VLOOKUP(AW559,Foundation_Calc!$I$2:$J$8,2,FALSE),0),"")))</f>
        <v/>
      </c>
      <c r="BA559" s="632" t="str">
        <f t="shared" si="71"/>
        <v/>
      </c>
      <c r="BB559" s="632" t="str">
        <f t="shared" si="72"/>
        <v/>
      </c>
      <c r="BC559" s="632" t="str">
        <f t="shared" si="73"/>
        <v/>
      </c>
      <c r="BD559" s="633" t="str">
        <f>IF(AND(L559="",H559=""),"",
IF(H559="",Pole_Calc!A587,
IF(H559="MP",Pole_Calc!A588,
IF(H559="AnMP",Pole_Calc!A589,
IF(H559="A",Pole_Calc!A590,
IF(H559="S/A",Pole_Calc!A591,
IF(H559="A/S",Pole_Calc!A592,"Poner a mano")))))))</f>
        <v/>
      </c>
      <c r="BE559" s="448" t="s">
        <v>1726</v>
      </c>
      <c r="BF559" s="635"/>
      <c r="BG559" s="635"/>
      <c r="BH559" s="634"/>
      <c r="BI559" s="635"/>
    </row>
    <row r="560" spans="1:61" ht="16.2" customHeight="1">
      <c r="A560" s="12"/>
      <c r="B560" s="446"/>
      <c r="C560" s="89"/>
      <c r="D560" s="13"/>
      <c r="E560" s="14"/>
      <c r="F560" s="14"/>
      <c r="G560" s="15"/>
      <c r="H560" s="8"/>
      <c r="I560" s="8"/>
      <c r="J560" s="89"/>
      <c r="K560" s="8"/>
      <c r="L560" s="8"/>
      <c r="M560" s="8" t="str">
        <f>IF(L560="","",
IF(AX560="PT",VLOOKUP(L560,Foundation_Calc!$V$4:$X$37,VLOOKUP(AX560,Foundation_Calc!$I$10:$J$13,2,FALSE),0),
IF(AX560="K",VLOOKUP(L560,Foundation_Calc!$V$41:$X$74,VLOOKUP(AX560,Foundation_Calc!$I$10:$J$13,2,FALSE),0),"")))</f>
        <v/>
      </c>
      <c r="N560" s="8"/>
      <c r="O560" s="8"/>
      <c r="P560" s="8"/>
      <c r="Q560" s="14"/>
      <c r="R560" s="15"/>
      <c r="S560" s="15"/>
      <c r="T560" s="14"/>
      <c r="U560" s="14"/>
      <c r="V560" s="14"/>
      <c r="W560" s="18"/>
      <c r="X560" s="18"/>
      <c r="Y560" s="18"/>
      <c r="Z560" s="18"/>
      <c r="AA560" s="18"/>
      <c r="AB560" s="18"/>
      <c r="AC560" s="8" t="str">
        <f t="shared" si="70"/>
        <v/>
      </c>
      <c r="AD560" s="8"/>
      <c r="AE560" s="8"/>
      <c r="AF560" s="14"/>
      <c r="AG560" s="13"/>
      <c r="AH560" s="14"/>
      <c r="AI560" s="14"/>
      <c r="AJ560" s="8"/>
      <c r="AK560" s="8"/>
      <c r="AL560" s="8"/>
      <c r="AM560" s="8"/>
      <c r="AN560" s="631"/>
      <c r="AO560" s="18"/>
      <c r="AP560" s="18"/>
      <c r="AQ560" s="18"/>
      <c r="AR560" s="18"/>
      <c r="AS560" s="18"/>
      <c r="AU560" s="448"/>
      <c r="AV560" s="448"/>
      <c r="AW560" s="8" t="str">
        <f>IF(C560&gt;0,VLOOKUP(C560,Foundation_Calc!$A$2:$C$986,3,1),
IF(J560&gt;0,VLOOKUP(J560,Foundation_Calc!$A$2:$C$986,3,1),""))</f>
        <v/>
      </c>
      <c r="AX560" s="8" t="str">
        <f>IF(C560&gt;0,VLOOKUP(C560,Foundation_Calc!$E$2:$G$986,3,1),
IF(J560&gt;0,VLOOKUP(J560,Foundation_Calc!$E$2:$G$986,3,1),""))</f>
        <v/>
      </c>
      <c r="AY560" s="631" t="str">
        <f>IF(L560="","",
IF(AX560="PT",VLOOKUP(L560,Foundation_Calc!$K$4:$R$37,VLOOKUP(AW560,Foundation_Calc!$I$2:$J$8,2,FALSE),0),
IF(AX560="K",VLOOKUP(L560,Foundation_Calc!$K$41:$R$74,VLOOKUP(AW560,Foundation_Calc!$I$2:$J$8,2,FALSE),0),"")))</f>
        <v/>
      </c>
      <c r="AZ560" s="631" t="str">
        <f>IF(K560="","",
IF(AX560="PT",VLOOKUP(K560,Foundation_Calc!$K$4:$R$37,VLOOKUP(AW560,Foundation_Calc!$I$2:$J$8,2,FALSE),0),
IF(AX560="K",VLOOKUP(K560,Foundation_Calc!$K$41:$R$74,VLOOKUP(AW560,Foundation_Calc!$I$2:$J$8,2,FALSE),0),"")))</f>
        <v/>
      </c>
      <c r="BA560" s="632" t="str">
        <f t="shared" si="71"/>
        <v/>
      </c>
      <c r="BB560" s="632" t="str">
        <f t="shared" si="72"/>
        <v/>
      </c>
      <c r="BC560" s="632" t="str">
        <f t="shared" si="73"/>
        <v/>
      </c>
      <c r="BD560" s="633" t="str">
        <f>IF(AND(L560="",H560=""),"",
IF(H560="",Pole_Calc!A588,
IF(H560="MP",Pole_Calc!A589,
IF(H560="AnMP",Pole_Calc!A590,
IF(H560="A",Pole_Calc!A591,
IF(H560="S/A",Pole_Calc!A592,
IF(H560="A/S",Pole_Calc!A593,"Poner a mano")))))))</f>
        <v/>
      </c>
      <c r="BE560" s="448" t="s">
        <v>1726</v>
      </c>
      <c r="BF560" s="634"/>
      <c r="BG560" s="634"/>
      <c r="BH560" s="634"/>
      <c r="BI560" s="634"/>
    </row>
    <row r="561" spans="1:61" ht="16.2" customHeight="1">
      <c r="A561" s="12"/>
      <c r="B561" s="446"/>
      <c r="C561" s="89"/>
      <c r="D561" s="13"/>
      <c r="E561" s="14"/>
      <c r="F561" s="14"/>
      <c r="G561" s="15"/>
      <c r="H561" s="8"/>
      <c r="I561" s="8"/>
      <c r="J561" s="89"/>
      <c r="K561" s="8"/>
      <c r="L561" s="8"/>
      <c r="M561" s="8" t="str">
        <f>IF(L561="","",
IF(AX561="PT",VLOOKUP(L561,Foundation_Calc!$V$4:$X$37,VLOOKUP(AX561,Foundation_Calc!$I$10:$J$13,2,FALSE),0),
IF(AX561="K",VLOOKUP(L561,Foundation_Calc!$V$41:$X$74,VLOOKUP(AX561,Foundation_Calc!$I$10:$J$13,2,FALSE),0),"")))</f>
        <v/>
      </c>
      <c r="N561" s="8"/>
      <c r="O561" s="8"/>
      <c r="P561" s="8"/>
      <c r="Q561" s="14"/>
      <c r="R561" s="15"/>
      <c r="S561" s="15"/>
      <c r="T561" s="14"/>
      <c r="U561" s="14"/>
      <c r="V561" s="14"/>
      <c r="W561" s="18"/>
      <c r="X561" s="18"/>
      <c r="Y561" s="18"/>
      <c r="Z561" s="18"/>
      <c r="AA561" s="18"/>
      <c r="AB561" s="18"/>
      <c r="AC561" s="8" t="str">
        <f t="shared" si="70"/>
        <v/>
      </c>
      <c r="AD561" s="8"/>
      <c r="AE561" s="8"/>
      <c r="AF561" s="14"/>
      <c r="AG561" s="13"/>
      <c r="AH561" s="14"/>
      <c r="AI561" s="14"/>
      <c r="AJ561" s="8"/>
      <c r="AK561" s="8"/>
      <c r="AL561" s="8"/>
      <c r="AM561" s="8"/>
      <c r="AN561" s="631"/>
      <c r="AO561" s="18"/>
      <c r="AP561" s="18"/>
      <c r="AQ561" s="18"/>
      <c r="AR561" s="18"/>
      <c r="AS561" s="18"/>
      <c r="AU561" s="448"/>
      <c r="AV561" s="448"/>
      <c r="AW561" s="8" t="str">
        <f>IF(C561&gt;0,VLOOKUP(C561,Foundation_Calc!$A$2:$C$986,3,1),
IF(J561&gt;0,VLOOKUP(J561,Foundation_Calc!$A$2:$C$986,3,1),""))</f>
        <v/>
      </c>
      <c r="AX561" s="8" t="str">
        <f>IF(C561&gt;0,VLOOKUP(C561,Foundation_Calc!$E$2:$G$986,3,1),
IF(J561&gt;0,VLOOKUP(J561,Foundation_Calc!$E$2:$G$986,3,1),""))</f>
        <v/>
      </c>
      <c r="AY561" s="631" t="str">
        <f>IF(L561="","",
IF(AX561="PT",VLOOKUP(L561,Foundation_Calc!$K$4:$R$37,VLOOKUP(AW561,Foundation_Calc!$I$2:$J$8,2,FALSE),0),
IF(AX561="K",VLOOKUP(L561,Foundation_Calc!$K$41:$R$74,VLOOKUP(AW561,Foundation_Calc!$I$2:$J$8,2,FALSE),0),"")))</f>
        <v/>
      </c>
      <c r="AZ561" s="631" t="str">
        <f>IF(K561="","",
IF(AX561="PT",VLOOKUP(K561,Foundation_Calc!$K$4:$R$37,VLOOKUP(AW561,Foundation_Calc!$I$2:$J$8,2,FALSE),0),
IF(AX561="K",VLOOKUP(K561,Foundation_Calc!$K$41:$R$74,VLOOKUP(AW561,Foundation_Calc!$I$2:$J$8,2,FALSE),0),"")))</f>
        <v/>
      </c>
      <c r="BA561" s="632" t="str">
        <f t="shared" si="71"/>
        <v/>
      </c>
      <c r="BB561" s="632" t="str">
        <f t="shared" si="72"/>
        <v/>
      </c>
      <c r="BC561" s="632" t="str">
        <f t="shared" si="73"/>
        <v/>
      </c>
      <c r="BD561" s="633" t="str">
        <f>IF(AND(L561="",H561=""),"",
IF(H561="",Pole_Calc!A589,
IF(H561="MP",Pole_Calc!A590,
IF(H561="AnMP",Pole_Calc!A591,
IF(H561="A",Pole_Calc!A592,
IF(H561="S/A",Pole_Calc!A593,
IF(H561="A/S",Pole_Calc!A594,"Poner a mano")))))))</f>
        <v/>
      </c>
      <c r="BE561" s="448" t="s">
        <v>1726</v>
      </c>
      <c r="BF561" s="635"/>
      <c r="BG561" s="635"/>
      <c r="BH561" s="634"/>
      <c r="BI561" s="635"/>
    </row>
    <row r="562" spans="1:61" ht="16.2" customHeight="1">
      <c r="A562" s="12"/>
      <c r="B562" s="446"/>
      <c r="C562" s="89"/>
      <c r="D562" s="13"/>
      <c r="E562" s="14"/>
      <c r="F562" s="14"/>
      <c r="G562" s="15"/>
      <c r="H562" s="8"/>
      <c r="I562" s="8"/>
      <c r="J562" s="89"/>
      <c r="K562" s="8"/>
      <c r="L562" s="8"/>
      <c r="M562" s="8" t="str">
        <f>IF(L562="","",
IF(AX562="PT",VLOOKUP(L562,Foundation_Calc!$V$4:$X$37,VLOOKUP(AX562,Foundation_Calc!$I$10:$J$13,2,FALSE),0),
IF(AX562="K",VLOOKUP(L562,Foundation_Calc!$V$41:$X$74,VLOOKUP(AX562,Foundation_Calc!$I$10:$J$13,2,FALSE),0),"")))</f>
        <v/>
      </c>
      <c r="N562" s="8"/>
      <c r="O562" s="8"/>
      <c r="P562" s="8"/>
      <c r="Q562" s="14"/>
      <c r="R562" s="15"/>
      <c r="S562" s="15"/>
      <c r="T562" s="14"/>
      <c r="U562" s="14"/>
      <c r="V562" s="14"/>
      <c r="W562" s="18"/>
      <c r="X562" s="18"/>
      <c r="Y562" s="18"/>
      <c r="Z562" s="18"/>
      <c r="AA562" s="18"/>
      <c r="AB562" s="18"/>
      <c r="AC562" s="8" t="str">
        <f t="shared" si="70"/>
        <v/>
      </c>
      <c r="AD562" s="8"/>
      <c r="AE562" s="8"/>
      <c r="AF562" s="14"/>
      <c r="AG562" s="13"/>
      <c r="AH562" s="14"/>
      <c r="AI562" s="14"/>
      <c r="AJ562" s="8"/>
      <c r="AK562" s="8"/>
      <c r="AL562" s="8"/>
      <c r="AM562" s="8"/>
      <c r="AN562" s="631"/>
      <c r="AO562" s="18"/>
      <c r="AP562" s="18"/>
      <c r="AQ562" s="18"/>
      <c r="AR562" s="18"/>
      <c r="AS562" s="18"/>
      <c r="AU562" s="448"/>
      <c r="AV562" s="448"/>
      <c r="AW562" s="8" t="str">
        <f>IF(C562&gt;0,VLOOKUP(C562,Foundation_Calc!$A$2:$C$986,3,1),
IF(J562&gt;0,VLOOKUP(J562,Foundation_Calc!$A$2:$C$986,3,1),""))</f>
        <v/>
      </c>
      <c r="AX562" s="8" t="str">
        <f>IF(C562&gt;0,VLOOKUP(C562,Foundation_Calc!$E$2:$G$986,3,1),
IF(J562&gt;0,VLOOKUP(J562,Foundation_Calc!$E$2:$G$986,3,1),""))</f>
        <v/>
      </c>
      <c r="AY562" s="631" t="str">
        <f>IF(L562="","",
IF(AX562="PT",VLOOKUP(L562,Foundation_Calc!$K$4:$R$37,VLOOKUP(AW562,Foundation_Calc!$I$2:$J$8,2,FALSE),0),
IF(AX562="K",VLOOKUP(L562,Foundation_Calc!$K$41:$R$74,VLOOKUP(AW562,Foundation_Calc!$I$2:$J$8,2,FALSE),0),"")))</f>
        <v/>
      </c>
      <c r="AZ562" s="631" t="str">
        <f>IF(K562="","",
IF(AX562="PT",VLOOKUP(K562,Foundation_Calc!$K$4:$R$37,VLOOKUP(AW562,Foundation_Calc!$I$2:$J$8,2,FALSE),0),
IF(AX562="K",VLOOKUP(K562,Foundation_Calc!$K$41:$R$74,VLOOKUP(AW562,Foundation_Calc!$I$2:$J$8,2,FALSE),0),"")))</f>
        <v/>
      </c>
      <c r="BA562" s="632" t="str">
        <f t="shared" si="71"/>
        <v/>
      </c>
      <c r="BB562" s="632" t="str">
        <f t="shared" si="72"/>
        <v/>
      </c>
      <c r="BC562" s="632" t="str">
        <f t="shared" si="73"/>
        <v/>
      </c>
      <c r="BD562" s="633" t="str">
        <f>IF(AND(L562="",H562=""),"",
IF(H562="",Pole_Calc!A590,
IF(H562="MP",Pole_Calc!A591,
IF(H562="AnMP",Pole_Calc!A592,
IF(H562="A",Pole_Calc!A593,
IF(H562="S/A",Pole_Calc!A594,
IF(H562="A/S",Pole_Calc!A595,"Poner a mano")))))))</f>
        <v/>
      </c>
      <c r="BE562" s="448" t="s">
        <v>1726</v>
      </c>
      <c r="BF562" s="634"/>
      <c r="BG562" s="634"/>
      <c r="BH562" s="634"/>
      <c r="BI562" s="634"/>
    </row>
    <row r="563" spans="1:61" ht="16.2" customHeight="1">
      <c r="A563" s="12"/>
      <c r="B563" s="446"/>
      <c r="C563" s="89"/>
      <c r="D563" s="13"/>
      <c r="E563" s="14"/>
      <c r="F563" s="14"/>
      <c r="G563" s="15"/>
      <c r="H563" s="8"/>
      <c r="I563" s="8"/>
      <c r="J563" s="89"/>
      <c r="K563" s="8"/>
      <c r="L563" s="8"/>
      <c r="M563" s="8" t="str">
        <f>IF(L563="","",
IF(AX563="PT",VLOOKUP(L563,Foundation_Calc!$V$4:$X$37,VLOOKUP(AX563,Foundation_Calc!$I$10:$J$13,2,FALSE),0),
IF(AX563="K",VLOOKUP(L563,Foundation_Calc!$V$41:$X$74,VLOOKUP(AX563,Foundation_Calc!$I$10:$J$13,2,FALSE),0),"")))</f>
        <v/>
      </c>
      <c r="N563" s="8"/>
      <c r="O563" s="8"/>
      <c r="P563" s="8"/>
      <c r="Q563" s="14"/>
      <c r="R563" s="15"/>
      <c r="S563" s="15"/>
      <c r="T563" s="14"/>
      <c r="U563" s="14"/>
      <c r="V563" s="14"/>
      <c r="W563" s="18"/>
      <c r="X563" s="18"/>
      <c r="Y563" s="18"/>
      <c r="Z563" s="18"/>
      <c r="AA563" s="18"/>
      <c r="AB563" s="18"/>
      <c r="AC563" s="8" t="str">
        <f t="shared" si="70"/>
        <v/>
      </c>
      <c r="AD563" s="8"/>
      <c r="AE563" s="8"/>
      <c r="AF563" s="14"/>
      <c r="AG563" s="13"/>
      <c r="AH563" s="14"/>
      <c r="AI563" s="14"/>
      <c r="AJ563" s="8"/>
      <c r="AK563" s="8"/>
      <c r="AL563" s="8"/>
      <c r="AM563" s="8"/>
      <c r="AN563" s="631"/>
      <c r="AO563" s="18"/>
      <c r="AP563" s="18"/>
      <c r="AQ563" s="18"/>
      <c r="AR563" s="18"/>
      <c r="AS563" s="18"/>
      <c r="AU563" s="448"/>
      <c r="AV563" s="448"/>
      <c r="AW563" s="8" t="str">
        <f>IF(C563&gt;0,VLOOKUP(C563,Foundation_Calc!$A$2:$C$986,3,1),
IF(J563&gt;0,VLOOKUP(J563,Foundation_Calc!$A$2:$C$986,3,1),""))</f>
        <v/>
      </c>
      <c r="AX563" s="8" t="str">
        <f>IF(C563&gt;0,VLOOKUP(C563,Foundation_Calc!$E$2:$G$986,3,1),
IF(J563&gt;0,VLOOKUP(J563,Foundation_Calc!$E$2:$G$986,3,1),""))</f>
        <v/>
      </c>
      <c r="AY563" s="631" t="str">
        <f>IF(L563="","",
IF(AX563="PT",VLOOKUP(L563,Foundation_Calc!$K$4:$R$37,VLOOKUP(AW563,Foundation_Calc!$I$2:$J$8,2,FALSE),0),
IF(AX563="K",VLOOKUP(L563,Foundation_Calc!$K$41:$R$74,VLOOKUP(AW563,Foundation_Calc!$I$2:$J$8,2,FALSE),0),"")))</f>
        <v/>
      </c>
      <c r="AZ563" s="631" t="str">
        <f>IF(K563="","",
IF(AX563="PT",VLOOKUP(K563,Foundation_Calc!$K$4:$R$37,VLOOKUP(AW563,Foundation_Calc!$I$2:$J$8,2,FALSE),0),
IF(AX563="K",VLOOKUP(K563,Foundation_Calc!$K$41:$R$74,VLOOKUP(AW563,Foundation_Calc!$I$2:$J$8,2,FALSE),0),"")))</f>
        <v/>
      </c>
      <c r="BA563" s="632" t="str">
        <f t="shared" si="71"/>
        <v/>
      </c>
      <c r="BB563" s="632" t="str">
        <f t="shared" si="72"/>
        <v/>
      </c>
      <c r="BC563" s="632" t="str">
        <f t="shared" si="73"/>
        <v/>
      </c>
      <c r="BD563" s="633" t="str">
        <f>IF(AND(L563="",H563=""),"",
IF(H563="",Pole_Calc!A591,
IF(H563="MP",Pole_Calc!A592,
IF(H563="AnMP",Pole_Calc!A593,
IF(H563="A",Pole_Calc!A594,
IF(H563="S/A",Pole_Calc!A595,
IF(H563="A/S",Pole_Calc!A596,"Poner a mano")))))))</f>
        <v/>
      </c>
      <c r="BE563" s="448" t="s">
        <v>1726</v>
      </c>
      <c r="BF563" s="635"/>
      <c r="BG563" s="635"/>
      <c r="BH563" s="634"/>
      <c r="BI563" s="635"/>
    </row>
    <row r="564" spans="1:61" ht="16.2" customHeight="1">
      <c r="A564" s="12"/>
      <c r="B564" s="446"/>
      <c r="C564" s="89"/>
      <c r="D564" s="13"/>
      <c r="E564" s="14"/>
      <c r="F564" s="14"/>
      <c r="G564" s="15"/>
      <c r="H564" s="8"/>
      <c r="I564" s="8"/>
      <c r="J564" s="89"/>
      <c r="K564" s="8"/>
      <c r="L564" s="8"/>
      <c r="M564" s="8" t="str">
        <f>IF(L564="","",
IF(AX564="PT",VLOOKUP(L564,Foundation_Calc!$V$4:$X$37,VLOOKUP(AX564,Foundation_Calc!$I$10:$J$13,2,FALSE),0),
IF(AX564="K",VLOOKUP(L564,Foundation_Calc!$V$41:$X$74,VLOOKUP(AX564,Foundation_Calc!$I$10:$J$13,2,FALSE),0),"")))</f>
        <v/>
      </c>
      <c r="N564" s="8"/>
      <c r="O564" s="8"/>
      <c r="P564" s="8"/>
      <c r="Q564" s="14"/>
      <c r="R564" s="15"/>
      <c r="S564" s="15"/>
      <c r="T564" s="14"/>
      <c r="U564" s="14"/>
      <c r="V564" s="14"/>
      <c r="W564" s="18"/>
      <c r="X564" s="18"/>
      <c r="Y564" s="18"/>
      <c r="Z564" s="18"/>
      <c r="AA564" s="18"/>
      <c r="AB564" s="18"/>
      <c r="AC564" s="8" t="str">
        <f t="shared" si="70"/>
        <v/>
      </c>
      <c r="AD564" s="8"/>
      <c r="AE564" s="8"/>
      <c r="AF564" s="14"/>
      <c r="AG564" s="13"/>
      <c r="AH564" s="14"/>
      <c r="AI564" s="14"/>
      <c r="AJ564" s="8"/>
      <c r="AK564" s="8"/>
      <c r="AL564" s="8"/>
      <c r="AM564" s="8"/>
      <c r="AN564" s="631"/>
      <c r="AO564" s="18"/>
      <c r="AP564" s="18"/>
      <c r="AQ564" s="18"/>
      <c r="AR564" s="18"/>
      <c r="AS564" s="18"/>
      <c r="AU564" s="448"/>
      <c r="AV564" s="448"/>
      <c r="AW564" s="8" t="str">
        <f>IF(C564&gt;0,VLOOKUP(C564,Foundation_Calc!$A$2:$C$986,3,1),
IF(J564&gt;0,VLOOKUP(J564,Foundation_Calc!$A$2:$C$986,3,1),""))</f>
        <v/>
      </c>
      <c r="AX564" s="8" t="str">
        <f>IF(C564&gt;0,VLOOKUP(C564,Foundation_Calc!$E$2:$G$986,3,1),
IF(J564&gt;0,VLOOKUP(J564,Foundation_Calc!$E$2:$G$986,3,1),""))</f>
        <v/>
      </c>
      <c r="AY564" s="631" t="str">
        <f>IF(L564="","",
IF(AX564="PT",VLOOKUP(L564,Foundation_Calc!$K$4:$R$37,VLOOKUP(AW564,Foundation_Calc!$I$2:$J$8,2,FALSE),0),
IF(AX564="K",VLOOKUP(L564,Foundation_Calc!$K$41:$R$74,VLOOKUP(AW564,Foundation_Calc!$I$2:$J$8,2,FALSE),0),"")))</f>
        <v/>
      </c>
      <c r="AZ564" s="631" t="str">
        <f>IF(K564="","",
IF(AX564="PT",VLOOKUP(K564,Foundation_Calc!$K$4:$R$37,VLOOKUP(AW564,Foundation_Calc!$I$2:$J$8,2,FALSE),0),
IF(AX564="K",VLOOKUP(K564,Foundation_Calc!$K$41:$R$74,VLOOKUP(AW564,Foundation_Calc!$I$2:$J$8,2,FALSE),0),"")))</f>
        <v/>
      </c>
      <c r="BA564" s="632" t="str">
        <f t="shared" si="71"/>
        <v/>
      </c>
      <c r="BB564" s="632" t="str">
        <f t="shared" si="72"/>
        <v/>
      </c>
      <c r="BC564" s="632" t="str">
        <f t="shared" si="73"/>
        <v/>
      </c>
      <c r="BD564" s="633" t="str">
        <f>IF(AND(L564="",H564=""),"",
IF(H564="",Pole_Calc!A592,
IF(H564="MP",Pole_Calc!A593,
IF(H564="AnMP",Pole_Calc!A594,
IF(H564="A",Pole_Calc!A595,
IF(H564="S/A",Pole_Calc!A596,
IF(H564="A/S",Pole_Calc!A597,"Poner a mano")))))))</f>
        <v/>
      </c>
      <c r="BE564" s="448" t="s">
        <v>1726</v>
      </c>
      <c r="BF564" s="634"/>
      <c r="BG564" s="634"/>
      <c r="BH564" s="634"/>
      <c r="BI564" s="634"/>
    </row>
    <row r="565" spans="1:61" ht="16.2" customHeight="1">
      <c r="A565" s="12"/>
      <c r="B565" s="446"/>
      <c r="C565" s="89"/>
      <c r="D565" s="13"/>
      <c r="E565" s="14"/>
      <c r="F565" s="14"/>
      <c r="G565" s="15"/>
      <c r="H565" s="8"/>
      <c r="I565" s="8"/>
      <c r="J565" s="89"/>
      <c r="K565" s="8"/>
      <c r="L565" s="8"/>
      <c r="M565" s="8" t="str">
        <f>IF(L565="","",
IF(AX565="PT",VLOOKUP(L565,Foundation_Calc!$V$4:$X$37,VLOOKUP(AX565,Foundation_Calc!$I$10:$J$13,2,FALSE),0),
IF(AX565="K",VLOOKUP(L565,Foundation_Calc!$V$41:$X$74,VLOOKUP(AX565,Foundation_Calc!$I$10:$J$13,2,FALSE),0),"")))</f>
        <v/>
      </c>
      <c r="N565" s="8"/>
      <c r="O565" s="8"/>
      <c r="P565" s="8"/>
      <c r="Q565" s="14"/>
      <c r="R565" s="15"/>
      <c r="S565" s="15"/>
      <c r="T565" s="14"/>
      <c r="U565" s="14"/>
      <c r="V565" s="14"/>
      <c r="W565" s="18"/>
      <c r="X565" s="18"/>
      <c r="Y565" s="18"/>
      <c r="Z565" s="18"/>
      <c r="AA565" s="18"/>
      <c r="AB565" s="18"/>
      <c r="AC565" s="8" t="str">
        <f t="shared" si="70"/>
        <v/>
      </c>
      <c r="AD565" s="8"/>
      <c r="AE565" s="8"/>
      <c r="AF565" s="14"/>
      <c r="AG565" s="13"/>
      <c r="AH565" s="14"/>
      <c r="AI565" s="14"/>
      <c r="AJ565" s="8"/>
      <c r="AK565" s="8"/>
      <c r="AL565" s="8"/>
      <c r="AM565" s="8"/>
      <c r="AN565" s="631"/>
      <c r="AO565" s="18"/>
      <c r="AP565" s="18"/>
      <c r="AQ565" s="18"/>
      <c r="AR565" s="18"/>
      <c r="AS565" s="18"/>
      <c r="AU565" s="448"/>
      <c r="AV565" s="448"/>
      <c r="AW565" s="8" t="str">
        <f>IF(C565&gt;0,VLOOKUP(C565,Foundation_Calc!$A$2:$C$986,3,1),
IF(J565&gt;0,VLOOKUP(J565,Foundation_Calc!$A$2:$C$986,3,1),""))</f>
        <v/>
      </c>
      <c r="AX565" s="8" t="str">
        <f>IF(C565&gt;0,VLOOKUP(C565,Foundation_Calc!$E$2:$G$986,3,1),
IF(J565&gt;0,VLOOKUP(J565,Foundation_Calc!$E$2:$G$986,3,1),""))</f>
        <v/>
      </c>
      <c r="AY565" s="631" t="str">
        <f>IF(L565="","",
IF(AX565="PT",VLOOKUP(L565,Foundation_Calc!$K$4:$R$37,VLOOKUP(AW565,Foundation_Calc!$I$2:$J$8,2,FALSE),0),
IF(AX565="K",VLOOKUP(L565,Foundation_Calc!$K$41:$R$74,VLOOKUP(AW565,Foundation_Calc!$I$2:$J$8,2,FALSE),0),"")))</f>
        <v/>
      </c>
      <c r="AZ565" s="631" t="str">
        <f>IF(K565="","",
IF(AX565="PT",VLOOKUP(K565,Foundation_Calc!$K$4:$R$37,VLOOKUP(AW565,Foundation_Calc!$I$2:$J$8,2,FALSE),0),
IF(AX565="K",VLOOKUP(K565,Foundation_Calc!$K$41:$R$74,VLOOKUP(AW565,Foundation_Calc!$I$2:$J$8,2,FALSE),0),"")))</f>
        <v/>
      </c>
      <c r="BA565" s="632" t="str">
        <f t="shared" si="71"/>
        <v/>
      </c>
      <c r="BB565" s="632" t="str">
        <f t="shared" si="72"/>
        <v/>
      </c>
      <c r="BC565" s="632" t="str">
        <f t="shared" si="73"/>
        <v/>
      </c>
      <c r="BD565" s="633" t="str">
        <f>IF(AND(L565="",H565=""),"",
IF(H565="",Pole_Calc!A593,
IF(H565="MP",Pole_Calc!A594,
IF(H565="AnMP",Pole_Calc!A595,
IF(H565="A",Pole_Calc!A596,
IF(H565="S/A",Pole_Calc!A597,
IF(H565="A/S",Pole_Calc!A598,"Poner a mano")))))))</f>
        <v/>
      </c>
      <c r="BE565" s="448" t="s">
        <v>1726</v>
      </c>
      <c r="BF565" s="635"/>
      <c r="BG565" s="635"/>
      <c r="BH565" s="634"/>
      <c r="BI565" s="635"/>
    </row>
    <row r="566" spans="1:61" ht="16.2" customHeight="1">
      <c r="A566" s="12"/>
      <c r="B566" s="446"/>
      <c r="C566" s="89"/>
      <c r="D566" s="13"/>
      <c r="E566" s="14"/>
      <c r="F566" s="14"/>
      <c r="G566" s="15"/>
      <c r="H566" s="8"/>
      <c r="I566" s="8"/>
      <c r="J566" s="89"/>
      <c r="K566" s="8"/>
      <c r="L566" s="8"/>
      <c r="M566" s="8" t="str">
        <f>IF(L566="","",
IF(AX566="PT",VLOOKUP(L566,Foundation_Calc!$V$4:$X$37,VLOOKUP(AX566,Foundation_Calc!$I$10:$J$13,2,FALSE),0),
IF(AX566="K",VLOOKUP(L566,Foundation_Calc!$V$41:$X$74,VLOOKUP(AX566,Foundation_Calc!$I$10:$J$13,2,FALSE),0),"")))</f>
        <v/>
      </c>
      <c r="N566" s="8"/>
      <c r="O566" s="8"/>
      <c r="P566" s="8"/>
      <c r="Q566" s="14"/>
      <c r="R566" s="15"/>
      <c r="S566" s="15"/>
      <c r="T566" s="14"/>
      <c r="U566" s="14"/>
      <c r="V566" s="14"/>
      <c r="W566" s="18"/>
      <c r="X566" s="18"/>
      <c r="Y566" s="18"/>
      <c r="Z566" s="18"/>
      <c r="AA566" s="18"/>
      <c r="AB566" s="18"/>
      <c r="AC566" s="8" t="str">
        <f t="shared" si="70"/>
        <v/>
      </c>
      <c r="AD566" s="8"/>
      <c r="AE566" s="8"/>
      <c r="AF566" s="14"/>
      <c r="AG566" s="13"/>
      <c r="AH566" s="14"/>
      <c r="AI566" s="14"/>
      <c r="AJ566" s="8"/>
      <c r="AK566" s="8"/>
      <c r="AL566" s="8"/>
      <c r="AM566" s="8"/>
      <c r="AN566" s="631"/>
      <c r="AO566" s="18"/>
      <c r="AP566" s="18"/>
      <c r="AQ566" s="18"/>
      <c r="AR566" s="18"/>
      <c r="AS566" s="18"/>
      <c r="AU566" s="448"/>
      <c r="AV566" s="448"/>
      <c r="AW566" s="8" t="str">
        <f>IF(C566&gt;0,VLOOKUP(C566,Foundation_Calc!$A$2:$C$986,3,1),
IF(J566&gt;0,VLOOKUP(J566,Foundation_Calc!$A$2:$C$986,3,1),""))</f>
        <v/>
      </c>
      <c r="AX566" s="8" t="str">
        <f>IF(C566&gt;0,VLOOKUP(C566,Foundation_Calc!$E$2:$G$986,3,1),
IF(J566&gt;0,VLOOKUP(J566,Foundation_Calc!$E$2:$G$986,3,1),""))</f>
        <v/>
      </c>
      <c r="AY566" s="631" t="str">
        <f>IF(L566="","",
IF(AX566="PT",VLOOKUP(L566,Foundation_Calc!$K$4:$R$37,VLOOKUP(AW566,Foundation_Calc!$I$2:$J$8,2,FALSE),0),
IF(AX566="K",VLOOKUP(L566,Foundation_Calc!$K$41:$R$74,VLOOKUP(AW566,Foundation_Calc!$I$2:$J$8,2,FALSE),0),"")))</f>
        <v/>
      </c>
      <c r="AZ566" s="631" t="str">
        <f>IF(K566="","",
IF(AX566="PT",VLOOKUP(K566,Foundation_Calc!$K$4:$R$37,VLOOKUP(AW566,Foundation_Calc!$I$2:$J$8,2,FALSE),0),
IF(AX566="K",VLOOKUP(K566,Foundation_Calc!$K$41:$R$74,VLOOKUP(AW566,Foundation_Calc!$I$2:$J$8,2,FALSE),0),"")))</f>
        <v/>
      </c>
      <c r="BA566" s="632" t="str">
        <f t="shared" si="71"/>
        <v/>
      </c>
      <c r="BB566" s="632" t="str">
        <f t="shared" si="72"/>
        <v/>
      </c>
      <c r="BC566" s="632" t="str">
        <f t="shared" si="73"/>
        <v/>
      </c>
      <c r="BD566" s="633" t="str">
        <f>IF(AND(L566="",H566=""),"",
IF(H566="",Pole_Calc!A594,
IF(H566="MP",Pole_Calc!A595,
IF(H566="AnMP",Pole_Calc!A596,
IF(H566="A",Pole_Calc!A597,
IF(H566="S/A",Pole_Calc!A598,
IF(H566="A/S",Pole_Calc!A599,"Poner a mano")))))))</f>
        <v/>
      </c>
      <c r="BE566" s="448" t="s">
        <v>1726</v>
      </c>
      <c r="BF566" s="634"/>
      <c r="BG566" s="634"/>
      <c r="BH566" s="634"/>
      <c r="BI566" s="634"/>
    </row>
    <row r="567" spans="1:61" ht="16.2" customHeight="1">
      <c r="A567" s="12"/>
      <c r="B567" s="446"/>
      <c r="C567" s="89"/>
      <c r="D567" s="13"/>
      <c r="E567" s="14"/>
      <c r="F567" s="14"/>
      <c r="G567" s="15"/>
      <c r="H567" s="8"/>
      <c r="I567" s="8"/>
      <c r="J567" s="89"/>
      <c r="K567" s="8"/>
      <c r="L567" s="8"/>
      <c r="M567" s="8" t="str">
        <f>IF(L567="","",
IF(AX567="PT",VLOOKUP(L567,Foundation_Calc!$V$4:$X$37,VLOOKUP(AX567,Foundation_Calc!$I$10:$J$13,2,FALSE),0),
IF(AX567="K",VLOOKUP(L567,Foundation_Calc!$V$41:$X$74,VLOOKUP(AX567,Foundation_Calc!$I$10:$J$13,2,FALSE),0),"")))</f>
        <v/>
      </c>
      <c r="N567" s="8"/>
      <c r="O567" s="8"/>
      <c r="P567" s="8"/>
      <c r="Q567" s="14"/>
      <c r="R567" s="15"/>
      <c r="S567" s="15"/>
      <c r="T567" s="14"/>
      <c r="U567" s="14"/>
      <c r="V567" s="14"/>
      <c r="W567" s="18"/>
      <c r="X567" s="18"/>
      <c r="Y567" s="18"/>
      <c r="Z567" s="18"/>
      <c r="AA567" s="18"/>
      <c r="AB567" s="18"/>
      <c r="AC567" s="8" t="str">
        <f t="shared" si="70"/>
        <v/>
      </c>
      <c r="AD567" s="8"/>
      <c r="AE567" s="8"/>
      <c r="AF567" s="14"/>
      <c r="AG567" s="13"/>
      <c r="AH567" s="14"/>
      <c r="AI567" s="14"/>
      <c r="AJ567" s="8"/>
      <c r="AK567" s="8"/>
      <c r="AL567" s="8"/>
      <c r="AM567" s="8"/>
      <c r="AN567" s="631"/>
      <c r="AO567" s="18"/>
      <c r="AP567" s="18"/>
      <c r="AQ567" s="18"/>
      <c r="AR567" s="18"/>
      <c r="AS567" s="18"/>
      <c r="AU567" s="448"/>
      <c r="AV567" s="448"/>
      <c r="AW567" s="8" t="str">
        <f>IF(C567&gt;0,VLOOKUP(C567,Foundation_Calc!$A$2:$C$986,3,1),
IF(J567&gt;0,VLOOKUP(J567,Foundation_Calc!$A$2:$C$986,3,1),""))</f>
        <v/>
      </c>
      <c r="AX567" s="8" t="str">
        <f>IF(C567&gt;0,VLOOKUP(C567,Foundation_Calc!$E$2:$G$986,3,1),
IF(J567&gt;0,VLOOKUP(J567,Foundation_Calc!$E$2:$G$986,3,1),""))</f>
        <v/>
      </c>
      <c r="AY567" s="631" t="str">
        <f>IF(L567="","",
IF(AX567="PT",VLOOKUP(L567,Foundation_Calc!$K$4:$R$37,VLOOKUP(AW567,Foundation_Calc!$I$2:$J$8,2,FALSE),0),
IF(AX567="K",VLOOKUP(L567,Foundation_Calc!$K$41:$R$74,VLOOKUP(AW567,Foundation_Calc!$I$2:$J$8,2,FALSE),0),"")))</f>
        <v/>
      </c>
      <c r="AZ567" s="631" t="str">
        <f>IF(K567="","",
IF(AX567="PT",VLOOKUP(K567,Foundation_Calc!$K$4:$R$37,VLOOKUP(AW567,Foundation_Calc!$I$2:$J$8,2,FALSE),0),
IF(AX567="K",VLOOKUP(K567,Foundation_Calc!$K$41:$R$74,VLOOKUP(AW567,Foundation_Calc!$I$2:$J$8,2,FALSE),0),"")))</f>
        <v/>
      </c>
      <c r="BA567" s="632" t="str">
        <f t="shared" si="71"/>
        <v/>
      </c>
      <c r="BB567" s="632" t="str">
        <f t="shared" si="72"/>
        <v/>
      </c>
      <c r="BC567" s="632" t="str">
        <f t="shared" si="73"/>
        <v/>
      </c>
      <c r="BD567" s="633" t="str">
        <f>IF(AND(L567="",H567=""),"",
IF(H567="",Pole_Calc!A595,
IF(H567="MP",Pole_Calc!A596,
IF(H567="AnMP",Pole_Calc!A597,
IF(H567="A",Pole_Calc!A598,
IF(H567="S/A",Pole_Calc!A599,
IF(H567="A/S",Pole_Calc!A600,"Poner a mano")))))))</f>
        <v/>
      </c>
      <c r="BE567" s="448" t="s">
        <v>1726</v>
      </c>
      <c r="BF567" s="635"/>
      <c r="BG567" s="635"/>
      <c r="BH567" s="634"/>
      <c r="BI567" s="635"/>
    </row>
    <row r="568" spans="1:61" ht="16.2" customHeight="1">
      <c r="A568" s="12"/>
      <c r="B568" s="446"/>
      <c r="C568" s="89"/>
      <c r="D568" s="13"/>
      <c r="E568" s="14"/>
      <c r="F568" s="14"/>
      <c r="G568" s="15"/>
      <c r="H568" s="8"/>
      <c r="I568" s="8"/>
      <c r="J568" s="89"/>
      <c r="K568" s="8"/>
      <c r="L568" s="8"/>
      <c r="M568" s="8" t="str">
        <f>IF(L568="","",
IF(AX568="PT",VLOOKUP(L568,Foundation_Calc!$V$4:$X$37,VLOOKUP(AX568,Foundation_Calc!$I$10:$J$13,2,FALSE),0),
IF(AX568="K",VLOOKUP(L568,Foundation_Calc!$V$41:$X$74,VLOOKUP(AX568,Foundation_Calc!$I$10:$J$13,2,FALSE),0),"")))</f>
        <v/>
      </c>
      <c r="N568" s="8"/>
      <c r="O568" s="8"/>
      <c r="P568" s="8"/>
      <c r="Q568" s="14"/>
      <c r="R568" s="15"/>
      <c r="S568" s="15"/>
      <c r="T568" s="14"/>
      <c r="U568" s="14"/>
      <c r="V568" s="14"/>
      <c r="W568" s="18"/>
      <c r="X568" s="18"/>
      <c r="Y568" s="18"/>
      <c r="Z568" s="18"/>
      <c r="AA568" s="18"/>
      <c r="AB568" s="18"/>
      <c r="AC568" s="8" t="str">
        <f t="shared" si="70"/>
        <v/>
      </c>
      <c r="AD568" s="8"/>
      <c r="AE568" s="8"/>
      <c r="AF568" s="14"/>
      <c r="AG568" s="13"/>
      <c r="AH568" s="14"/>
      <c r="AI568" s="14"/>
      <c r="AJ568" s="8"/>
      <c r="AK568" s="8"/>
      <c r="AL568" s="8"/>
      <c r="AM568" s="8"/>
      <c r="AN568" s="631"/>
      <c r="AO568" s="18"/>
      <c r="AP568" s="18"/>
      <c r="AQ568" s="18"/>
      <c r="AR568" s="18"/>
      <c r="AS568" s="18"/>
      <c r="AU568" s="448"/>
      <c r="AV568" s="448"/>
      <c r="AW568" s="8" t="str">
        <f>IF(C568&gt;0,VLOOKUP(C568,Foundation_Calc!$A$2:$C$986,3,1),
IF(J568&gt;0,VLOOKUP(J568,Foundation_Calc!$A$2:$C$986,3,1),""))</f>
        <v/>
      </c>
      <c r="AX568" s="8" t="str">
        <f>IF(C568&gt;0,VLOOKUP(C568,Foundation_Calc!$E$2:$G$986,3,1),
IF(J568&gt;0,VLOOKUP(J568,Foundation_Calc!$E$2:$G$986,3,1),""))</f>
        <v/>
      </c>
      <c r="AY568" s="631" t="str">
        <f>IF(L568="","",
IF(AX568="PT",VLOOKUP(L568,Foundation_Calc!$K$4:$R$37,VLOOKUP(AW568,Foundation_Calc!$I$2:$J$8,2,FALSE),0),
IF(AX568="K",VLOOKUP(L568,Foundation_Calc!$K$41:$R$74,VLOOKUP(AW568,Foundation_Calc!$I$2:$J$8,2,FALSE),0),"")))</f>
        <v/>
      </c>
      <c r="AZ568" s="631" t="str">
        <f>IF(K568="","",
IF(AX568="PT",VLOOKUP(K568,Foundation_Calc!$K$4:$R$37,VLOOKUP(AW568,Foundation_Calc!$I$2:$J$8,2,FALSE),0),
IF(AX568="K",VLOOKUP(K568,Foundation_Calc!$K$41:$R$74,VLOOKUP(AW568,Foundation_Calc!$I$2:$J$8,2,FALSE),0),"")))</f>
        <v/>
      </c>
      <c r="BA568" s="632" t="str">
        <f t="shared" si="71"/>
        <v/>
      </c>
      <c r="BB568" s="632" t="str">
        <f t="shared" si="72"/>
        <v/>
      </c>
      <c r="BC568" s="632" t="str">
        <f t="shared" si="73"/>
        <v/>
      </c>
      <c r="BD568" s="633" t="str">
        <f>IF(AND(L568="",H568=""),"",
IF(H568="",Pole_Calc!A596,
IF(H568="MP",Pole_Calc!A597,
IF(H568="AnMP",Pole_Calc!A598,
IF(H568="A",Pole_Calc!A599,
IF(H568="S/A",Pole_Calc!A600,
IF(H568="A/S",Pole_Calc!A601,"Poner a mano")))))))</f>
        <v/>
      </c>
      <c r="BE568" s="448" t="s">
        <v>1726</v>
      </c>
      <c r="BF568" s="634"/>
      <c r="BG568" s="634"/>
      <c r="BH568" s="634"/>
      <c r="BI568" s="634"/>
    </row>
    <row r="569" spans="1:61" ht="16.2" customHeight="1">
      <c r="A569" s="12"/>
      <c r="B569" s="446"/>
      <c r="C569" s="89"/>
      <c r="D569" s="13"/>
      <c r="E569" s="14"/>
      <c r="F569" s="14"/>
      <c r="G569" s="15"/>
      <c r="H569" s="8"/>
      <c r="I569" s="8"/>
      <c r="J569" s="89"/>
      <c r="K569" s="8"/>
      <c r="L569" s="8"/>
      <c r="M569" s="8" t="str">
        <f>IF(L569="","",
IF(AX569="PT",VLOOKUP(L569,Foundation_Calc!$V$4:$X$37,VLOOKUP(AX569,Foundation_Calc!$I$10:$J$13,2,FALSE),0),
IF(AX569="K",VLOOKUP(L569,Foundation_Calc!$V$41:$X$74,VLOOKUP(AX569,Foundation_Calc!$I$10:$J$13,2,FALSE),0),"")))</f>
        <v/>
      </c>
      <c r="N569" s="8"/>
      <c r="O569" s="8"/>
      <c r="P569" s="8"/>
      <c r="Q569" s="14"/>
      <c r="R569" s="15"/>
      <c r="S569" s="15"/>
      <c r="T569" s="14"/>
      <c r="U569" s="14"/>
      <c r="V569" s="14"/>
      <c r="W569" s="18"/>
      <c r="X569" s="18"/>
      <c r="Y569" s="18"/>
      <c r="Z569" s="18"/>
      <c r="AA569" s="18"/>
      <c r="AB569" s="18"/>
      <c r="AC569" s="8" t="str">
        <f t="shared" si="70"/>
        <v/>
      </c>
      <c r="AD569" s="8"/>
      <c r="AE569" s="8"/>
      <c r="AF569" s="14"/>
      <c r="AG569" s="13"/>
      <c r="AH569" s="14"/>
      <c r="AI569" s="14"/>
      <c r="AJ569" s="8"/>
      <c r="AK569" s="8"/>
      <c r="AL569" s="8"/>
      <c r="AM569" s="8"/>
      <c r="AN569" s="631"/>
      <c r="AO569" s="18"/>
      <c r="AP569" s="18"/>
      <c r="AQ569" s="18"/>
      <c r="AR569" s="18"/>
      <c r="AS569" s="18"/>
      <c r="AU569" s="448"/>
      <c r="AV569" s="448"/>
      <c r="AW569" s="8" t="str">
        <f>IF(C569&gt;0,VLOOKUP(C569,Foundation_Calc!$A$2:$C$986,3,1),
IF(J569&gt;0,VLOOKUP(J569,Foundation_Calc!$A$2:$C$986,3,1),""))</f>
        <v/>
      </c>
      <c r="AX569" s="8" t="str">
        <f>IF(C569&gt;0,VLOOKUP(C569,Foundation_Calc!$E$2:$G$986,3,1),
IF(J569&gt;0,VLOOKUP(J569,Foundation_Calc!$E$2:$G$986,3,1),""))</f>
        <v/>
      </c>
      <c r="AY569" s="631" t="str">
        <f>IF(L569="","",
IF(AX569="PT",VLOOKUP(L569,Foundation_Calc!$K$4:$R$37,VLOOKUP(AW569,Foundation_Calc!$I$2:$J$8,2,FALSE),0),
IF(AX569="K",VLOOKUP(L569,Foundation_Calc!$K$41:$R$74,VLOOKUP(AW569,Foundation_Calc!$I$2:$J$8,2,FALSE),0),"")))</f>
        <v/>
      </c>
      <c r="AZ569" s="631" t="str">
        <f>IF(K569="","",
IF(AX569="PT",VLOOKUP(K569,Foundation_Calc!$K$4:$R$37,VLOOKUP(AW569,Foundation_Calc!$I$2:$J$8,2,FALSE),0),
IF(AX569="K",VLOOKUP(K569,Foundation_Calc!$K$41:$R$74,VLOOKUP(AW569,Foundation_Calc!$I$2:$J$8,2,FALSE),0),"")))</f>
        <v/>
      </c>
      <c r="BA569" s="632" t="str">
        <f t="shared" si="71"/>
        <v/>
      </c>
      <c r="BB569" s="632" t="str">
        <f t="shared" si="72"/>
        <v/>
      </c>
      <c r="BC569" s="632" t="str">
        <f t="shared" si="73"/>
        <v/>
      </c>
      <c r="BD569" s="633" t="str">
        <f>IF(AND(L569="",H569=""),"",
IF(H569="",Pole_Calc!A597,
IF(H569="MP",Pole_Calc!A598,
IF(H569="AnMP",Pole_Calc!A599,
IF(H569="A",Pole_Calc!A600,
IF(H569="S/A",Pole_Calc!A601,
IF(H569="A/S",Pole_Calc!A602,"Poner a mano")))))))</f>
        <v/>
      </c>
      <c r="BE569" s="448" t="s">
        <v>1726</v>
      </c>
      <c r="BF569" s="635"/>
      <c r="BG569" s="635"/>
      <c r="BH569" s="634"/>
      <c r="BI569" s="635"/>
    </row>
    <row r="570" spans="1:61" ht="16.2" customHeight="1">
      <c r="A570" s="12"/>
      <c r="B570" s="446"/>
      <c r="C570" s="89"/>
      <c r="D570" s="13"/>
      <c r="E570" s="14"/>
      <c r="F570" s="14"/>
      <c r="G570" s="15"/>
      <c r="H570" s="8"/>
      <c r="I570" s="8"/>
      <c r="J570" s="89"/>
      <c r="K570" s="8"/>
      <c r="L570" s="8"/>
      <c r="M570" s="8" t="str">
        <f>IF(L570="","",
IF(AX570="PT",VLOOKUP(L570,Foundation_Calc!$V$4:$X$37,VLOOKUP(AX570,Foundation_Calc!$I$10:$J$13,2,FALSE),0),
IF(AX570="K",VLOOKUP(L570,Foundation_Calc!$V$41:$X$74,VLOOKUP(AX570,Foundation_Calc!$I$10:$J$13,2,FALSE),0),"")))</f>
        <v/>
      </c>
      <c r="N570" s="8"/>
      <c r="O570" s="8"/>
      <c r="P570" s="8"/>
      <c r="Q570" s="14"/>
      <c r="R570" s="15"/>
      <c r="S570" s="15"/>
      <c r="T570" s="14"/>
      <c r="U570" s="14"/>
      <c r="V570" s="14"/>
      <c r="W570" s="18"/>
      <c r="X570" s="18"/>
      <c r="Y570" s="18"/>
      <c r="Z570" s="18"/>
      <c r="AA570" s="18"/>
      <c r="AB570" s="18"/>
      <c r="AC570" s="8" t="str">
        <f t="shared" si="70"/>
        <v/>
      </c>
      <c r="AD570" s="8"/>
      <c r="AE570" s="8"/>
      <c r="AF570" s="14"/>
      <c r="AG570" s="13"/>
      <c r="AH570" s="14"/>
      <c r="AI570" s="14"/>
      <c r="AJ570" s="8"/>
      <c r="AK570" s="8"/>
      <c r="AL570" s="8"/>
      <c r="AM570" s="8"/>
      <c r="AN570" s="631"/>
      <c r="AO570" s="18"/>
      <c r="AP570" s="18"/>
      <c r="AQ570" s="18"/>
      <c r="AR570" s="18"/>
      <c r="AS570" s="18"/>
      <c r="AU570" s="448"/>
      <c r="AV570" s="448"/>
      <c r="AW570" s="8" t="str">
        <f>IF(C570&gt;0,VLOOKUP(C570,Foundation_Calc!$A$2:$C$986,3,1),
IF(J570&gt;0,VLOOKUP(J570,Foundation_Calc!$A$2:$C$986,3,1),""))</f>
        <v/>
      </c>
      <c r="AX570" s="8" t="str">
        <f>IF(C570&gt;0,VLOOKUP(C570,Foundation_Calc!$E$2:$G$986,3,1),
IF(J570&gt;0,VLOOKUP(J570,Foundation_Calc!$E$2:$G$986,3,1),""))</f>
        <v/>
      </c>
      <c r="AY570" s="631" t="str">
        <f>IF(L570="","",
IF(AX570="PT",VLOOKUP(L570,Foundation_Calc!$K$4:$R$37,VLOOKUP(AW570,Foundation_Calc!$I$2:$J$8,2,FALSE),0),
IF(AX570="K",VLOOKUP(L570,Foundation_Calc!$K$41:$R$74,VLOOKUP(AW570,Foundation_Calc!$I$2:$J$8,2,FALSE),0),"")))</f>
        <v/>
      </c>
      <c r="AZ570" s="631" t="str">
        <f>IF(K570="","",
IF(AX570="PT",VLOOKUP(K570,Foundation_Calc!$K$4:$R$37,VLOOKUP(AW570,Foundation_Calc!$I$2:$J$8,2,FALSE),0),
IF(AX570="K",VLOOKUP(K570,Foundation_Calc!$K$41:$R$74,VLOOKUP(AW570,Foundation_Calc!$I$2:$J$8,2,FALSE),0),"")))</f>
        <v/>
      </c>
      <c r="BA570" s="632" t="str">
        <f t="shared" si="71"/>
        <v/>
      </c>
      <c r="BB570" s="632" t="str">
        <f t="shared" si="72"/>
        <v/>
      </c>
      <c r="BC570" s="632" t="str">
        <f t="shared" si="73"/>
        <v/>
      </c>
      <c r="BD570" s="633" t="str">
        <f>IF(AND(L570="",H570=""),"",
IF(H570="",Pole_Calc!A598,
IF(H570="MP",Pole_Calc!A599,
IF(H570="AnMP",Pole_Calc!A600,
IF(H570="A",Pole_Calc!A601,
IF(H570="S/A",Pole_Calc!A602,
IF(H570="A/S",Pole_Calc!A603,"Poner a mano")))))))</f>
        <v/>
      </c>
      <c r="BE570" s="448" t="s">
        <v>1726</v>
      </c>
      <c r="BF570" s="634"/>
      <c r="BG570" s="634"/>
      <c r="BH570" s="634"/>
      <c r="BI570" s="634"/>
    </row>
    <row r="571" spans="1:61" ht="16.2" customHeight="1">
      <c r="A571" s="12"/>
      <c r="B571" s="446"/>
      <c r="C571" s="89"/>
      <c r="D571" s="13"/>
      <c r="E571" s="14"/>
      <c r="F571" s="14"/>
      <c r="G571" s="15"/>
      <c r="H571" s="8"/>
      <c r="I571" s="8"/>
      <c r="J571" s="89"/>
      <c r="K571" s="8"/>
      <c r="L571" s="8"/>
      <c r="M571" s="8" t="str">
        <f>IF(L571="","",
IF(AX571="PT",VLOOKUP(L571,Foundation_Calc!$V$4:$X$37,VLOOKUP(AX571,Foundation_Calc!$I$10:$J$13,2,FALSE),0),
IF(AX571="K",VLOOKUP(L571,Foundation_Calc!$V$41:$X$74,VLOOKUP(AX571,Foundation_Calc!$I$10:$J$13,2,FALSE),0),"")))</f>
        <v/>
      </c>
      <c r="N571" s="8"/>
      <c r="O571" s="8"/>
      <c r="P571" s="8"/>
      <c r="Q571" s="14"/>
      <c r="R571" s="15"/>
      <c r="S571" s="15"/>
      <c r="T571" s="14"/>
      <c r="U571" s="14"/>
      <c r="V571" s="14"/>
      <c r="W571" s="18"/>
      <c r="X571" s="18"/>
      <c r="Y571" s="18"/>
      <c r="Z571" s="18"/>
      <c r="AA571" s="18"/>
      <c r="AB571" s="18"/>
      <c r="AC571" s="8" t="str">
        <f t="shared" si="70"/>
        <v/>
      </c>
      <c r="AD571" s="8"/>
      <c r="AE571" s="8"/>
      <c r="AF571" s="14"/>
      <c r="AG571" s="13"/>
      <c r="AH571" s="14"/>
      <c r="AI571" s="14"/>
      <c r="AJ571" s="8"/>
      <c r="AK571" s="8"/>
      <c r="AL571" s="8"/>
      <c r="AM571" s="8"/>
      <c r="AN571" s="631"/>
      <c r="AO571" s="18"/>
      <c r="AP571" s="18"/>
      <c r="AQ571" s="18"/>
      <c r="AR571" s="18"/>
      <c r="AS571" s="18"/>
      <c r="AU571" s="448"/>
      <c r="AV571" s="448"/>
      <c r="AW571" s="8" t="str">
        <f>IF(C571&gt;0,VLOOKUP(C571,Foundation_Calc!$A$2:$C$986,3,1),
IF(J571&gt;0,VLOOKUP(J571,Foundation_Calc!$A$2:$C$986,3,1),""))</f>
        <v/>
      </c>
      <c r="AX571" s="8" t="str">
        <f>IF(C571&gt;0,VLOOKUP(C571,Foundation_Calc!$E$2:$G$986,3,1),
IF(J571&gt;0,VLOOKUP(J571,Foundation_Calc!$E$2:$G$986,3,1),""))</f>
        <v/>
      </c>
      <c r="AY571" s="631" t="str">
        <f>IF(L571="","",
IF(AX571="PT",VLOOKUP(L571,Foundation_Calc!$K$4:$R$37,VLOOKUP(AW571,Foundation_Calc!$I$2:$J$8,2,FALSE),0),
IF(AX571="K",VLOOKUP(L571,Foundation_Calc!$K$41:$R$74,VLOOKUP(AW571,Foundation_Calc!$I$2:$J$8,2,FALSE),0),"")))</f>
        <v/>
      </c>
      <c r="AZ571" s="631" t="str">
        <f>IF(K571="","",
IF(AX571="PT",VLOOKUP(K571,Foundation_Calc!$K$4:$R$37,VLOOKUP(AW571,Foundation_Calc!$I$2:$J$8,2,FALSE),0),
IF(AX571="K",VLOOKUP(K571,Foundation_Calc!$K$41:$R$74,VLOOKUP(AW571,Foundation_Calc!$I$2:$J$8,2,FALSE),0),"")))</f>
        <v/>
      </c>
      <c r="BA571" s="632" t="str">
        <f t="shared" si="71"/>
        <v/>
      </c>
      <c r="BB571" s="632" t="str">
        <f t="shared" si="72"/>
        <v/>
      </c>
      <c r="BC571" s="632" t="str">
        <f t="shared" si="73"/>
        <v/>
      </c>
      <c r="BD571" s="633" t="str">
        <f>IF(AND(L571="",H571=""),"",
IF(H571="",Pole_Calc!A599,
IF(H571="MP",Pole_Calc!A600,
IF(H571="AnMP",Pole_Calc!A601,
IF(H571="A",Pole_Calc!A602,
IF(H571="S/A",Pole_Calc!A603,
IF(H571="A/S",Pole_Calc!A604,"Poner a mano")))))))</f>
        <v/>
      </c>
      <c r="BE571" s="448" t="s">
        <v>1726</v>
      </c>
      <c r="BF571" s="635"/>
      <c r="BG571" s="635"/>
      <c r="BH571" s="634"/>
      <c r="BI571" s="635"/>
    </row>
    <row r="572" spans="1:61" ht="16.2" customHeight="1">
      <c r="A572" s="12"/>
      <c r="B572" s="446"/>
      <c r="C572" s="89"/>
      <c r="D572" s="13"/>
      <c r="E572" s="14"/>
      <c r="F572" s="14"/>
      <c r="G572" s="15"/>
      <c r="H572" s="8"/>
      <c r="I572" s="8"/>
      <c r="J572" s="89"/>
      <c r="K572" s="8"/>
      <c r="L572" s="8"/>
      <c r="M572" s="8" t="str">
        <f>IF(L572="","",
IF(AX572="PT",VLOOKUP(L572,Foundation_Calc!$V$4:$X$37,VLOOKUP(AX572,Foundation_Calc!$I$10:$J$13,2,FALSE),0),
IF(AX572="K",VLOOKUP(L572,Foundation_Calc!$V$41:$X$74,VLOOKUP(AX572,Foundation_Calc!$I$10:$J$13,2,FALSE),0),"")))</f>
        <v/>
      </c>
      <c r="N572" s="8"/>
      <c r="O572" s="8"/>
      <c r="P572" s="8"/>
      <c r="Q572" s="14"/>
      <c r="R572" s="15"/>
      <c r="S572" s="15"/>
      <c r="T572" s="14"/>
      <c r="U572" s="14"/>
      <c r="V572" s="14"/>
      <c r="W572" s="18"/>
      <c r="X572" s="18"/>
      <c r="Y572" s="18"/>
      <c r="Z572" s="18"/>
      <c r="AA572" s="18"/>
      <c r="AB572" s="18"/>
      <c r="AC572" s="8" t="str">
        <f t="shared" si="70"/>
        <v/>
      </c>
      <c r="AD572" s="8"/>
      <c r="AE572" s="8"/>
      <c r="AF572" s="14"/>
      <c r="AG572" s="13"/>
      <c r="AH572" s="14"/>
      <c r="AI572" s="14"/>
      <c r="AJ572" s="8"/>
      <c r="AK572" s="8"/>
      <c r="AL572" s="8"/>
      <c r="AM572" s="8"/>
      <c r="AN572" s="631"/>
      <c r="AO572" s="18"/>
      <c r="AP572" s="18"/>
      <c r="AQ572" s="18"/>
      <c r="AR572" s="18"/>
      <c r="AS572" s="18"/>
      <c r="AU572" s="448"/>
      <c r="AV572" s="448"/>
      <c r="AW572" s="8" t="str">
        <f>IF(C572&gt;0,VLOOKUP(C572,Foundation_Calc!$A$2:$C$986,3,1),
IF(J572&gt;0,VLOOKUP(J572,Foundation_Calc!$A$2:$C$986,3,1),""))</f>
        <v/>
      </c>
      <c r="AX572" s="8" t="str">
        <f>IF(C572&gt;0,VLOOKUP(C572,Foundation_Calc!$E$2:$G$986,3,1),
IF(J572&gt;0,VLOOKUP(J572,Foundation_Calc!$E$2:$G$986,3,1),""))</f>
        <v/>
      </c>
      <c r="AY572" s="631" t="str">
        <f>IF(L572="","",
IF(AX572="PT",VLOOKUP(L572,Foundation_Calc!$K$4:$R$37,VLOOKUP(AW572,Foundation_Calc!$I$2:$J$8,2,FALSE),0),
IF(AX572="K",VLOOKUP(L572,Foundation_Calc!$K$41:$R$74,VLOOKUP(AW572,Foundation_Calc!$I$2:$J$8,2,FALSE),0),"")))</f>
        <v/>
      </c>
      <c r="AZ572" s="631" t="str">
        <f>IF(K572="","",
IF(AX572="PT",VLOOKUP(K572,Foundation_Calc!$K$4:$R$37,VLOOKUP(AW572,Foundation_Calc!$I$2:$J$8,2,FALSE),0),
IF(AX572="K",VLOOKUP(K572,Foundation_Calc!$K$41:$R$74,VLOOKUP(AW572,Foundation_Calc!$I$2:$J$8,2,FALSE),0),"")))</f>
        <v/>
      </c>
      <c r="BA572" s="632" t="str">
        <f t="shared" si="71"/>
        <v/>
      </c>
      <c r="BB572" s="632" t="str">
        <f t="shared" si="72"/>
        <v/>
      </c>
      <c r="BC572" s="632" t="str">
        <f t="shared" si="73"/>
        <v/>
      </c>
      <c r="BD572" s="633" t="str">
        <f>IF(AND(L572="",H572=""),"",
IF(H572="",Pole_Calc!A600,
IF(H572="MP",Pole_Calc!A601,
IF(H572="AnMP",Pole_Calc!A602,
IF(H572="A",Pole_Calc!A603,
IF(H572="S/A",Pole_Calc!A604,
IF(H572="A/S",Pole_Calc!A605,"Poner a mano")))))))</f>
        <v/>
      </c>
      <c r="BE572" s="448" t="s">
        <v>1726</v>
      </c>
      <c r="BF572" s="634"/>
      <c r="BG572" s="634"/>
      <c r="BH572" s="634"/>
      <c r="BI572" s="634"/>
    </row>
    <row r="573" spans="1:61" ht="16.2" customHeight="1">
      <c r="A573" s="12"/>
      <c r="B573" s="446"/>
      <c r="C573" s="89"/>
      <c r="D573" s="13"/>
      <c r="E573" s="14"/>
      <c r="F573" s="14"/>
      <c r="G573" s="15"/>
      <c r="H573" s="8"/>
      <c r="I573" s="8"/>
      <c r="J573" s="89"/>
      <c r="K573" s="8"/>
      <c r="L573" s="8"/>
      <c r="M573" s="8" t="str">
        <f>IF(L573="","",
IF(AX573="PT",VLOOKUP(L573,Foundation_Calc!$V$4:$X$37,VLOOKUP(AX573,Foundation_Calc!$I$10:$J$13,2,FALSE),0),
IF(AX573="K",VLOOKUP(L573,Foundation_Calc!$V$41:$X$74,VLOOKUP(AX573,Foundation_Calc!$I$10:$J$13,2,FALSE),0),"")))</f>
        <v/>
      </c>
      <c r="N573" s="8"/>
      <c r="O573" s="8"/>
      <c r="P573" s="8"/>
      <c r="Q573" s="14"/>
      <c r="R573" s="15"/>
      <c r="S573" s="15"/>
      <c r="T573" s="14"/>
      <c r="U573" s="14"/>
      <c r="V573" s="14"/>
      <c r="W573" s="18"/>
      <c r="X573" s="18"/>
      <c r="Y573" s="18"/>
      <c r="Z573" s="18"/>
      <c r="AA573" s="18"/>
      <c r="AB573" s="18"/>
      <c r="AC573" s="8" t="str">
        <f t="shared" si="70"/>
        <v/>
      </c>
      <c r="AD573" s="8"/>
      <c r="AE573" s="8"/>
      <c r="AF573" s="14"/>
      <c r="AG573" s="13"/>
      <c r="AH573" s="14"/>
      <c r="AI573" s="14"/>
      <c r="AJ573" s="8"/>
      <c r="AK573" s="8"/>
      <c r="AL573" s="8"/>
      <c r="AM573" s="8"/>
      <c r="AN573" s="631"/>
      <c r="AO573" s="18"/>
      <c r="AP573" s="18"/>
      <c r="AQ573" s="18"/>
      <c r="AR573" s="18"/>
      <c r="AS573" s="18"/>
      <c r="AU573" s="448"/>
      <c r="AV573" s="448"/>
      <c r="AW573" s="8" t="str">
        <f>IF(C573&gt;0,VLOOKUP(C573,Foundation_Calc!$A$2:$C$986,3,1),
IF(J573&gt;0,VLOOKUP(J573,Foundation_Calc!$A$2:$C$986,3,1),""))</f>
        <v/>
      </c>
      <c r="AX573" s="8" t="str">
        <f>IF(C573&gt;0,VLOOKUP(C573,Foundation_Calc!$E$2:$G$986,3,1),
IF(J573&gt;0,VLOOKUP(J573,Foundation_Calc!$E$2:$G$986,3,1),""))</f>
        <v/>
      </c>
      <c r="AY573" s="631" t="str">
        <f>IF(L573="","",
IF(AX573="PT",VLOOKUP(L573,Foundation_Calc!$K$4:$R$37,VLOOKUP(AW573,Foundation_Calc!$I$2:$J$8,2,FALSE),0),
IF(AX573="K",VLOOKUP(L573,Foundation_Calc!$K$41:$R$74,VLOOKUP(AW573,Foundation_Calc!$I$2:$J$8,2,FALSE),0),"")))</f>
        <v/>
      </c>
      <c r="AZ573" s="631" t="str">
        <f>IF(K573="","",
IF(AX573="PT",VLOOKUP(K573,Foundation_Calc!$K$4:$R$37,VLOOKUP(AW573,Foundation_Calc!$I$2:$J$8,2,FALSE),0),
IF(AX573="K",VLOOKUP(K573,Foundation_Calc!$K$41:$R$74,VLOOKUP(AW573,Foundation_Calc!$I$2:$J$8,2,FALSE),0),"")))</f>
        <v/>
      </c>
      <c r="BA573" s="632" t="str">
        <f t="shared" si="71"/>
        <v/>
      </c>
      <c r="BB573" s="632" t="str">
        <f t="shared" si="72"/>
        <v/>
      </c>
      <c r="BC573" s="632" t="str">
        <f t="shared" si="73"/>
        <v/>
      </c>
      <c r="BD573" s="633" t="str">
        <f>IF(AND(L573="",H573=""),"",
IF(H573="",Pole_Calc!A601,
IF(H573="MP",Pole_Calc!A602,
IF(H573="AnMP",Pole_Calc!A603,
IF(H573="A",Pole_Calc!A604,
IF(H573="S/A",Pole_Calc!A605,
IF(H573="A/S",Pole_Calc!A606,"Poner a mano")))))))</f>
        <v/>
      </c>
      <c r="BE573" s="448" t="s">
        <v>1726</v>
      </c>
      <c r="BF573" s="635"/>
      <c r="BG573" s="635"/>
      <c r="BH573" s="634"/>
      <c r="BI573" s="635"/>
    </row>
    <row r="574" spans="1:61" ht="16.2" customHeight="1">
      <c r="A574" s="12"/>
      <c r="B574" s="446"/>
      <c r="C574" s="89"/>
      <c r="D574" s="13"/>
      <c r="E574" s="14"/>
      <c r="F574" s="14"/>
      <c r="G574" s="15"/>
      <c r="H574" s="8"/>
      <c r="I574" s="8"/>
      <c r="J574" s="89"/>
      <c r="K574" s="8"/>
      <c r="L574" s="8"/>
      <c r="M574" s="8" t="str">
        <f>IF(L574="","",
IF(AX574="PT",VLOOKUP(L574,Foundation_Calc!$V$4:$X$37,VLOOKUP(AX574,Foundation_Calc!$I$10:$J$13,2,FALSE),0),
IF(AX574="K",VLOOKUP(L574,Foundation_Calc!$V$41:$X$74,VLOOKUP(AX574,Foundation_Calc!$I$10:$J$13,2,FALSE),0),"")))</f>
        <v/>
      </c>
      <c r="N574" s="8"/>
      <c r="O574" s="8"/>
      <c r="P574" s="8"/>
      <c r="Q574" s="14"/>
      <c r="R574" s="15"/>
      <c r="S574" s="15"/>
      <c r="T574" s="14"/>
      <c r="U574" s="14"/>
      <c r="V574" s="14"/>
      <c r="W574" s="18"/>
      <c r="X574" s="18"/>
      <c r="Y574" s="18"/>
      <c r="Z574" s="18"/>
      <c r="AA574" s="18"/>
      <c r="AB574" s="18"/>
      <c r="AC574" s="8" t="str">
        <f t="shared" si="70"/>
        <v/>
      </c>
      <c r="AD574" s="8"/>
      <c r="AE574" s="8"/>
      <c r="AF574" s="14"/>
      <c r="AG574" s="13"/>
      <c r="AH574" s="14"/>
      <c r="AI574" s="14"/>
      <c r="AJ574" s="8"/>
      <c r="AK574" s="8"/>
      <c r="AL574" s="8"/>
      <c r="AM574" s="8"/>
      <c r="AN574" s="631"/>
      <c r="AO574" s="18"/>
      <c r="AP574" s="18"/>
      <c r="AQ574" s="18"/>
      <c r="AR574" s="18"/>
      <c r="AS574" s="18"/>
      <c r="AU574" s="448"/>
      <c r="AV574" s="448"/>
      <c r="AW574" s="8" t="str">
        <f>IF(C574&gt;0,VLOOKUP(C574,Foundation_Calc!$A$2:$C$986,3,1),
IF(J574&gt;0,VLOOKUP(J574,Foundation_Calc!$A$2:$C$986,3,1),""))</f>
        <v/>
      </c>
      <c r="AX574" s="8" t="str">
        <f>IF(C574&gt;0,VLOOKUP(C574,Foundation_Calc!$E$2:$G$986,3,1),
IF(J574&gt;0,VLOOKUP(J574,Foundation_Calc!$E$2:$G$986,3,1),""))</f>
        <v/>
      </c>
      <c r="AY574" s="631" t="str">
        <f>IF(L574="","",
IF(AX574="PT",VLOOKUP(L574,Foundation_Calc!$K$4:$R$37,VLOOKUP(AW574,Foundation_Calc!$I$2:$J$8,2,FALSE),0),
IF(AX574="K",VLOOKUP(L574,Foundation_Calc!$K$41:$R$74,VLOOKUP(AW574,Foundation_Calc!$I$2:$J$8,2,FALSE),0),"")))</f>
        <v/>
      </c>
      <c r="AZ574" s="631" t="str">
        <f>IF(K574="","",
IF(AX574="PT",VLOOKUP(K574,Foundation_Calc!$K$4:$R$37,VLOOKUP(AW574,Foundation_Calc!$I$2:$J$8,2,FALSE),0),
IF(AX574="K",VLOOKUP(K574,Foundation_Calc!$K$41:$R$74,VLOOKUP(AW574,Foundation_Calc!$I$2:$J$8,2,FALSE),0),"")))</f>
        <v/>
      </c>
      <c r="BA574" s="632" t="str">
        <f t="shared" si="71"/>
        <v/>
      </c>
      <c r="BB574" s="632" t="str">
        <f t="shared" si="72"/>
        <v/>
      </c>
      <c r="BC574" s="632" t="str">
        <f t="shared" si="73"/>
        <v/>
      </c>
      <c r="BD574" s="633" t="str">
        <f>IF(AND(L574="",H574=""),"",
IF(H574="",Pole_Calc!A602,
IF(H574="MP",Pole_Calc!A603,
IF(H574="AnMP",Pole_Calc!A604,
IF(H574="A",Pole_Calc!A605,
IF(H574="S/A",Pole_Calc!A606,
IF(H574="A/S",Pole_Calc!A607,"Poner a mano")))))))</f>
        <v/>
      </c>
      <c r="BE574" s="448" t="s">
        <v>1726</v>
      </c>
      <c r="BF574" s="634"/>
      <c r="BG574" s="634"/>
      <c r="BH574" s="634"/>
      <c r="BI574" s="634"/>
    </row>
    <row r="575" spans="1:61" ht="16.2" customHeight="1">
      <c r="A575" s="12"/>
      <c r="B575" s="446"/>
      <c r="C575" s="89"/>
      <c r="D575" s="13"/>
      <c r="E575" s="14"/>
      <c r="F575" s="14"/>
      <c r="G575" s="15"/>
      <c r="H575" s="8"/>
      <c r="I575" s="8"/>
      <c r="J575" s="89"/>
      <c r="K575" s="8"/>
      <c r="L575" s="8"/>
      <c r="M575" s="8" t="str">
        <f>IF(L575="","",
IF(AX575="PT",VLOOKUP(L575,Foundation_Calc!$V$4:$X$37,VLOOKUP(AX575,Foundation_Calc!$I$10:$J$13,2,FALSE),0),
IF(AX575="K",VLOOKUP(L575,Foundation_Calc!$V$41:$X$74,VLOOKUP(AX575,Foundation_Calc!$I$10:$J$13,2,FALSE),0),"")))</f>
        <v/>
      </c>
      <c r="N575" s="8"/>
      <c r="O575" s="8"/>
      <c r="P575" s="8"/>
      <c r="Q575" s="14"/>
      <c r="R575" s="15"/>
      <c r="S575" s="15"/>
      <c r="T575" s="14"/>
      <c r="U575" s="14"/>
      <c r="V575" s="14"/>
      <c r="W575" s="18"/>
      <c r="X575" s="18"/>
      <c r="Y575" s="18"/>
      <c r="Z575" s="18"/>
      <c r="AA575" s="18"/>
      <c r="AB575" s="18"/>
      <c r="AC575" s="8" t="str">
        <f t="shared" si="70"/>
        <v/>
      </c>
      <c r="AD575" s="8"/>
      <c r="AE575" s="8"/>
      <c r="AF575" s="14"/>
      <c r="AG575" s="13"/>
      <c r="AH575" s="14"/>
      <c r="AI575" s="14"/>
      <c r="AJ575" s="8"/>
      <c r="AK575" s="8"/>
      <c r="AL575" s="8"/>
      <c r="AM575" s="8"/>
      <c r="AN575" s="631"/>
      <c r="AO575" s="18"/>
      <c r="AP575" s="18"/>
      <c r="AQ575" s="18"/>
      <c r="AR575" s="18"/>
      <c r="AS575" s="18"/>
      <c r="AU575" s="448"/>
      <c r="AV575" s="448"/>
      <c r="AW575" s="8" t="str">
        <f>IF(C575&gt;0,VLOOKUP(C575,Foundation_Calc!$A$2:$C$986,3,1),
IF(J575&gt;0,VLOOKUP(J575,Foundation_Calc!$A$2:$C$986,3,1),""))</f>
        <v/>
      </c>
      <c r="AX575" s="8" t="str">
        <f>IF(C575&gt;0,VLOOKUP(C575,Foundation_Calc!$E$2:$G$986,3,1),
IF(J575&gt;0,VLOOKUP(J575,Foundation_Calc!$E$2:$G$986,3,1),""))</f>
        <v/>
      </c>
      <c r="AY575" s="631" t="str">
        <f>IF(L575="","",
IF(AX575="PT",VLOOKUP(L575,Foundation_Calc!$K$4:$R$37,VLOOKUP(AW575,Foundation_Calc!$I$2:$J$8,2,FALSE),0),
IF(AX575="K",VLOOKUP(L575,Foundation_Calc!$K$41:$R$74,VLOOKUP(AW575,Foundation_Calc!$I$2:$J$8,2,FALSE),0),"")))</f>
        <v/>
      </c>
      <c r="AZ575" s="631" t="str">
        <f>IF(K575="","",
IF(AX575="PT",VLOOKUP(K575,Foundation_Calc!$K$4:$R$37,VLOOKUP(AW575,Foundation_Calc!$I$2:$J$8,2,FALSE),0),
IF(AX575="K",VLOOKUP(K575,Foundation_Calc!$K$41:$R$74,VLOOKUP(AW575,Foundation_Calc!$I$2:$J$8,2,FALSE),0),"")))</f>
        <v/>
      </c>
      <c r="BA575" s="632" t="str">
        <f t="shared" si="71"/>
        <v/>
      </c>
      <c r="BB575" s="632" t="str">
        <f t="shared" si="72"/>
        <v/>
      </c>
      <c r="BC575" s="632" t="str">
        <f t="shared" si="73"/>
        <v/>
      </c>
      <c r="BD575" s="633" t="str">
        <f>IF(AND(L575="",H575=""),"",
IF(H575="",Pole_Calc!A603,
IF(H575="MP",Pole_Calc!A604,
IF(H575="AnMP",Pole_Calc!A605,
IF(H575="A",Pole_Calc!A606,
IF(H575="S/A",Pole_Calc!A607,
IF(H575="A/S",Pole_Calc!A608,"Poner a mano")))))))</f>
        <v/>
      </c>
      <c r="BE575" s="448" t="s">
        <v>1726</v>
      </c>
      <c r="BF575" s="635"/>
      <c r="BG575" s="635"/>
      <c r="BH575" s="634"/>
      <c r="BI575" s="635"/>
    </row>
    <row r="576" spans="1:61" ht="16.2" customHeight="1">
      <c r="A576" s="12"/>
      <c r="B576" s="446"/>
      <c r="C576" s="89"/>
      <c r="D576" s="13"/>
      <c r="E576" s="14"/>
      <c r="F576" s="14"/>
      <c r="G576" s="15"/>
      <c r="H576" s="8"/>
      <c r="I576" s="8"/>
      <c r="J576" s="89"/>
      <c r="K576" s="8"/>
      <c r="L576" s="8"/>
      <c r="M576" s="8" t="str">
        <f>IF(L576="","",
IF(AX576="PT",VLOOKUP(L576,Foundation_Calc!$V$4:$X$37,VLOOKUP(AX576,Foundation_Calc!$I$10:$J$13,2,FALSE),0),
IF(AX576="K",VLOOKUP(L576,Foundation_Calc!$V$41:$X$74,VLOOKUP(AX576,Foundation_Calc!$I$10:$J$13,2,FALSE),0),"")))</f>
        <v/>
      </c>
      <c r="N576" s="8"/>
      <c r="O576" s="8"/>
      <c r="P576" s="8"/>
      <c r="Q576" s="14"/>
      <c r="R576" s="15"/>
      <c r="S576" s="15"/>
      <c r="T576" s="14"/>
      <c r="U576" s="14"/>
      <c r="V576" s="14"/>
      <c r="W576" s="18"/>
      <c r="X576" s="18"/>
      <c r="Y576" s="18"/>
      <c r="Z576" s="18"/>
      <c r="AA576" s="18"/>
      <c r="AB576" s="18"/>
      <c r="AC576" s="8" t="str">
        <f t="shared" si="70"/>
        <v/>
      </c>
      <c r="AD576" s="8"/>
      <c r="AE576" s="8"/>
      <c r="AF576" s="14"/>
      <c r="AG576" s="13"/>
      <c r="AH576" s="14"/>
      <c r="AI576" s="14"/>
      <c r="AJ576" s="8"/>
      <c r="AK576" s="8"/>
      <c r="AL576" s="8"/>
      <c r="AM576" s="8"/>
      <c r="AN576" s="631"/>
      <c r="AO576" s="18"/>
      <c r="AP576" s="18"/>
      <c r="AQ576" s="18"/>
      <c r="AR576" s="18"/>
      <c r="AS576" s="18"/>
      <c r="AU576" s="448"/>
      <c r="AV576" s="448"/>
      <c r="AW576" s="8" t="str">
        <f>IF(C576&gt;0,VLOOKUP(C576,Foundation_Calc!$A$2:$C$986,3,1),
IF(J576&gt;0,VLOOKUP(J576,Foundation_Calc!$A$2:$C$986,3,1),""))</f>
        <v/>
      </c>
      <c r="AX576" s="8" t="str">
        <f>IF(C576&gt;0,VLOOKUP(C576,Foundation_Calc!$E$2:$G$986,3,1),
IF(J576&gt;0,VLOOKUP(J576,Foundation_Calc!$E$2:$G$986,3,1),""))</f>
        <v/>
      </c>
      <c r="AY576" s="631" t="str">
        <f>IF(L576="","",
IF(AX576="PT",VLOOKUP(L576,Foundation_Calc!$K$4:$R$37,VLOOKUP(AW576,Foundation_Calc!$I$2:$J$8,2,FALSE),0),
IF(AX576="K",VLOOKUP(L576,Foundation_Calc!$K$41:$R$74,VLOOKUP(AW576,Foundation_Calc!$I$2:$J$8,2,FALSE),0),"")))</f>
        <v/>
      </c>
      <c r="AZ576" s="631" t="str">
        <f>IF(K576="","",
IF(AX576="PT",VLOOKUP(K576,Foundation_Calc!$K$4:$R$37,VLOOKUP(AW576,Foundation_Calc!$I$2:$J$8,2,FALSE),0),
IF(AX576="K",VLOOKUP(K576,Foundation_Calc!$K$41:$R$74,VLOOKUP(AW576,Foundation_Calc!$I$2:$J$8,2,FALSE),0),"")))</f>
        <v/>
      </c>
      <c r="BA576" s="632" t="str">
        <f t="shared" si="71"/>
        <v/>
      </c>
      <c r="BB576" s="632" t="str">
        <f t="shared" si="72"/>
        <v/>
      </c>
      <c r="BC576" s="632" t="str">
        <f t="shared" si="73"/>
        <v/>
      </c>
      <c r="BD576" s="633" t="str">
        <f>IF(AND(L576="",H576=""),"",
IF(H576="",Pole_Calc!A604,
IF(H576="MP",Pole_Calc!A605,
IF(H576="AnMP",Pole_Calc!A606,
IF(H576="A",Pole_Calc!A607,
IF(H576="S/A",Pole_Calc!A608,
IF(H576="A/S",Pole_Calc!A609,"Poner a mano")))))))</f>
        <v/>
      </c>
      <c r="BE576" s="448" t="s">
        <v>1726</v>
      </c>
      <c r="BF576" s="634"/>
      <c r="BG576" s="634"/>
      <c r="BH576" s="634"/>
      <c r="BI576" s="634"/>
    </row>
    <row r="577" spans="1:61" ht="16.2" customHeight="1">
      <c r="A577" s="12"/>
      <c r="B577" s="446"/>
      <c r="C577" s="89"/>
      <c r="D577" s="13"/>
      <c r="E577" s="14"/>
      <c r="F577" s="14"/>
      <c r="G577" s="15"/>
      <c r="H577" s="8"/>
      <c r="I577" s="8"/>
      <c r="J577" s="89"/>
      <c r="K577" s="8"/>
      <c r="L577" s="8"/>
      <c r="M577" s="8" t="str">
        <f>IF(L577="","",
IF(AX577="PT",VLOOKUP(L577,Foundation_Calc!$V$4:$X$37,VLOOKUP(AX577,Foundation_Calc!$I$10:$J$13,2,FALSE),0),
IF(AX577="K",VLOOKUP(L577,Foundation_Calc!$V$41:$X$74,VLOOKUP(AX577,Foundation_Calc!$I$10:$J$13,2,FALSE),0),"")))</f>
        <v/>
      </c>
      <c r="N577" s="8"/>
      <c r="O577" s="8"/>
      <c r="P577" s="8"/>
      <c r="Q577" s="14"/>
      <c r="R577" s="15"/>
      <c r="S577" s="15"/>
      <c r="T577" s="14"/>
      <c r="U577" s="14"/>
      <c r="V577" s="14"/>
      <c r="W577" s="18"/>
      <c r="X577" s="18"/>
      <c r="Y577" s="18"/>
      <c r="Z577" s="18"/>
      <c r="AA577" s="18"/>
      <c r="AB577" s="18"/>
      <c r="AC577" s="8" t="str">
        <f t="shared" si="70"/>
        <v/>
      </c>
      <c r="AD577" s="8"/>
      <c r="AE577" s="8"/>
      <c r="AF577" s="14"/>
      <c r="AG577" s="13"/>
      <c r="AH577" s="14"/>
      <c r="AI577" s="14"/>
      <c r="AJ577" s="8"/>
      <c r="AK577" s="8"/>
      <c r="AL577" s="8"/>
      <c r="AM577" s="8"/>
      <c r="AN577" s="631"/>
      <c r="AO577" s="18"/>
      <c r="AP577" s="18"/>
      <c r="AQ577" s="18"/>
      <c r="AR577" s="18"/>
      <c r="AS577" s="18"/>
      <c r="AU577" s="448"/>
      <c r="AV577" s="448"/>
      <c r="AW577" s="8" t="str">
        <f>IF(C577&gt;0,VLOOKUP(C577,Foundation_Calc!$A$2:$C$986,3,1),
IF(J577&gt;0,VLOOKUP(J577,Foundation_Calc!$A$2:$C$986,3,1),""))</f>
        <v/>
      </c>
      <c r="AX577" s="8" t="str">
        <f>IF(C577&gt;0,VLOOKUP(C577,Foundation_Calc!$E$2:$G$986,3,1),
IF(J577&gt;0,VLOOKUP(J577,Foundation_Calc!$E$2:$G$986,3,1),""))</f>
        <v/>
      </c>
      <c r="AY577" s="631" t="str">
        <f>IF(L577="","",
IF(AX577="PT",VLOOKUP(L577,Foundation_Calc!$K$4:$R$37,VLOOKUP(AW577,Foundation_Calc!$I$2:$J$8,2,FALSE),0),
IF(AX577="K",VLOOKUP(L577,Foundation_Calc!$K$41:$R$74,VLOOKUP(AW577,Foundation_Calc!$I$2:$J$8,2,FALSE),0),"")))</f>
        <v/>
      </c>
      <c r="AZ577" s="631" t="str">
        <f>IF(K577="","",
IF(AX577="PT",VLOOKUP(K577,Foundation_Calc!$K$4:$R$37,VLOOKUP(AW577,Foundation_Calc!$I$2:$J$8,2,FALSE),0),
IF(AX577="K",VLOOKUP(K577,Foundation_Calc!$K$41:$R$74,VLOOKUP(AW577,Foundation_Calc!$I$2:$J$8,2,FALSE),0),"")))</f>
        <v/>
      </c>
      <c r="BA577" s="632" t="str">
        <f t="shared" si="71"/>
        <v/>
      </c>
      <c r="BB577" s="632" t="str">
        <f t="shared" si="72"/>
        <v/>
      </c>
      <c r="BC577" s="632" t="str">
        <f t="shared" si="73"/>
        <v/>
      </c>
      <c r="BD577" s="633" t="str">
        <f>IF(AND(L577="",H577=""),"",
IF(H577="",Pole_Calc!A605,
IF(H577="MP",Pole_Calc!A606,
IF(H577="AnMP",Pole_Calc!A607,
IF(H577="A",Pole_Calc!A608,
IF(H577="S/A",Pole_Calc!A609,
IF(H577="A/S",Pole_Calc!A610,"Poner a mano")))))))</f>
        <v/>
      </c>
      <c r="BE577" s="448" t="s">
        <v>1726</v>
      </c>
      <c r="BF577" s="635"/>
      <c r="BG577" s="635"/>
      <c r="BH577" s="634"/>
      <c r="BI577" s="635"/>
    </row>
    <row r="578" spans="1:61" ht="16.2" customHeight="1">
      <c r="A578" s="12"/>
      <c r="B578" s="446"/>
      <c r="C578" s="89"/>
      <c r="D578" s="13"/>
      <c r="E578" s="14"/>
      <c r="F578" s="14"/>
      <c r="G578" s="15"/>
      <c r="H578" s="8"/>
      <c r="I578" s="8"/>
      <c r="J578" s="89"/>
      <c r="K578" s="8"/>
      <c r="L578" s="8"/>
      <c r="M578" s="8" t="str">
        <f>IF(L578="","",
IF(AX578="PT",VLOOKUP(L578,Foundation_Calc!$V$4:$X$37,VLOOKUP(AX578,Foundation_Calc!$I$10:$J$13,2,FALSE),0),
IF(AX578="K",VLOOKUP(L578,Foundation_Calc!$V$41:$X$74,VLOOKUP(AX578,Foundation_Calc!$I$10:$J$13,2,FALSE),0),"")))</f>
        <v/>
      </c>
      <c r="N578" s="8"/>
      <c r="O578" s="8"/>
      <c r="P578" s="8"/>
      <c r="Q578" s="14"/>
      <c r="R578" s="15"/>
      <c r="S578" s="15"/>
      <c r="T578" s="14"/>
      <c r="U578" s="14"/>
      <c r="V578" s="14"/>
      <c r="W578" s="18"/>
      <c r="X578" s="18"/>
      <c r="Y578" s="18"/>
      <c r="Z578" s="18"/>
      <c r="AA578" s="18"/>
      <c r="AB578" s="18"/>
      <c r="AC578" s="8" t="str">
        <f t="shared" si="70"/>
        <v/>
      </c>
      <c r="AD578" s="8"/>
      <c r="AE578" s="8"/>
      <c r="AF578" s="14"/>
      <c r="AG578" s="13"/>
      <c r="AH578" s="14"/>
      <c r="AI578" s="14"/>
      <c r="AJ578" s="8"/>
      <c r="AK578" s="8"/>
      <c r="AL578" s="8"/>
      <c r="AM578" s="8"/>
      <c r="AN578" s="631"/>
      <c r="AO578" s="18"/>
      <c r="AP578" s="18"/>
      <c r="AQ578" s="18"/>
      <c r="AR578" s="18"/>
      <c r="AS578" s="18"/>
      <c r="AU578" s="448"/>
      <c r="AV578" s="448"/>
      <c r="AW578" s="8" t="str">
        <f>IF(C578&gt;0,VLOOKUP(C578,Foundation_Calc!$A$2:$C$986,3,1),
IF(J578&gt;0,VLOOKUP(J578,Foundation_Calc!$A$2:$C$986,3,1),""))</f>
        <v/>
      </c>
      <c r="AX578" s="8" t="str">
        <f>IF(C578&gt;0,VLOOKUP(C578,Foundation_Calc!$E$2:$G$986,3,1),
IF(J578&gt;0,VLOOKUP(J578,Foundation_Calc!$E$2:$G$986,3,1),""))</f>
        <v/>
      </c>
      <c r="AY578" s="631" t="str">
        <f>IF(L578="","",
IF(AX578="PT",VLOOKUP(L578,Foundation_Calc!$K$4:$R$37,VLOOKUP(AW578,Foundation_Calc!$I$2:$J$8,2,FALSE),0),
IF(AX578="K",VLOOKUP(L578,Foundation_Calc!$K$41:$R$74,VLOOKUP(AW578,Foundation_Calc!$I$2:$J$8,2,FALSE),0),"")))</f>
        <v/>
      </c>
      <c r="AZ578" s="631" t="str">
        <f>IF(K578="","",
IF(AX578="PT",VLOOKUP(K578,Foundation_Calc!$K$4:$R$37,VLOOKUP(AW578,Foundation_Calc!$I$2:$J$8,2,FALSE),0),
IF(AX578="K",VLOOKUP(K578,Foundation_Calc!$K$41:$R$74,VLOOKUP(AW578,Foundation_Calc!$I$2:$J$8,2,FALSE),0),"")))</f>
        <v/>
      </c>
      <c r="BA578" s="632" t="str">
        <f t="shared" si="71"/>
        <v/>
      </c>
      <c r="BB578" s="632" t="str">
        <f t="shared" si="72"/>
        <v/>
      </c>
      <c r="BC578" s="632" t="str">
        <f t="shared" si="73"/>
        <v/>
      </c>
      <c r="BD578" s="633" t="str">
        <f>IF(AND(L578="",H578=""),"",
IF(H578="",Pole_Calc!A606,
IF(H578="MP",Pole_Calc!A607,
IF(H578="AnMP",Pole_Calc!A608,
IF(H578="A",Pole_Calc!A609,
IF(H578="S/A",Pole_Calc!A610,
IF(H578="A/S",Pole_Calc!A611,"Poner a mano")))))))</f>
        <v/>
      </c>
      <c r="BE578" s="448" t="s">
        <v>1726</v>
      </c>
      <c r="BF578" s="634"/>
      <c r="BG578" s="634"/>
      <c r="BH578" s="634"/>
      <c r="BI578" s="634"/>
    </row>
    <row r="579" spans="1:61" ht="16.2" customHeight="1">
      <c r="A579" s="12"/>
      <c r="B579" s="446"/>
      <c r="C579" s="89"/>
      <c r="D579" s="13"/>
      <c r="E579" s="14"/>
      <c r="F579" s="14"/>
      <c r="G579" s="15"/>
      <c r="H579" s="8"/>
      <c r="I579" s="8"/>
      <c r="J579" s="89"/>
      <c r="K579" s="8"/>
      <c r="L579" s="8"/>
      <c r="M579" s="8" t="str">
        <f>IF(L579="","",
IF(AX579="PT",VLOOKUP(L579,Foundation_Calc!$V$4:$X$37,VLOOKUP(AX579,Foundation_Calc!$I$10:$J$13,2,FALSE),0),
IF(AX579="K",VLOOKUP(L579,Foundation_Calc!$V$41:$X$74,VLOOKUP(AX579,Foundation_Calc!$I$10:$J$13,2,FALSE),0),"")))</f>
        <v/>
      </c>
      <c r="N579" s="8"/>
      <c r="O579" s="8"/>
      <c r="P579" s="8"/>
      <c r="Q579" s="14"/>
      <c r="R579" s="15"/>
      <c r="S579" s="15"/>
      <c r="T579" s="14"/>
      <c r="U579" s="14"/>
      <c r="V579" s="14"/>
      <c r="W579" s="18"/>
      <c r="X579" s="18"/>
      <c r="Y579" s="18"/>
      <c r="Z579" s="18"/>
      <c r="AA579" s="18"/>
      <c r="AB579" s="18"/>
      <c r="AC579" s="8" t="str">
        <f t="shared" si="70"/>
        <v/>
      </c>
      <c r="AD579" s="8"/>
      <c r="AE579" s="8"/>
      <c r="AF579" s="14"/>
      <c r="AG579" s="13"/>
      <c r="AH579" s="14"/>
      <c r="AI579" s="14"/>
      <c r="AJ579" s="8"/>
      <c r="AK579" s="8"/>
      <c r="AL579" s="8"/>
      <c r="AM579" s="8"/>
      <c r="AN579" s="631"/>
      <c r="AO579" s="18"/>
      <c r="AP579" s="18"/>
      <c r="AQ579" s="18"/>
      <c r="AR579" s="18"/>
      <c r="AS579" s="18"/>
      <c r="AU579" s="448"/>
      <c r="AV579" s="448"/>
      <c r="AW579" s="8" t="str">
        <f>IF(C579&gt;0,VLOOKUP(C579,Foundation_Calc!$A$2:$C$986,3,1),
IF(J579&gt;0,VLOOKUP(J579,Foundation_Calc!$A$2:$C$986,3,1),""))</f>
        <v/>
      </c>
      <c r="AX579" s="8" t="str">
        <f>IF(C579&gt;0,VLOOKUP(C579,Foundation_Calc!$E$2:$G$986,3,1),
IF(J579&gt;0,VLOOKUP(J579,Foundation_Calc!$E$2:$G$986,3,1),""))</f>
        <v/>
      </c>
      <c r="AY579" s="631" t="str">
        <f>IF(L579="","",
IF(AX579="PT",VLOOKUP(L579,Foundation_Calc!$K$4:$R$37,VLOOKUP(AW579,Foundation_Calc!$I$2:$J$8,2,FALSE),0),
IF(AX579="K",VLOOKUP(L579,Foundation_Calc!$K$41:$R$74,VLOOKUP(AW579,Foundation_Calc!$I$2:$J$8,2,FALSE),0),"")))</f>
        <v/>
      </c>
      <c r="AZ579" s="631" t="str">
        <f>IF(K579="","",
IF(AX579="PT",VLOOKUP(K579,Foundation_Calc!$K$4:$R$37,VLOOKUP(AW579,Foundation_Calc!$I$2:$J$8,2,FALSE),0),
IF(AX579="K",VLOOKUP(K579,Foundation_Calc!$K$41:$R$74,VLOOKUP(AW579,Foundation_Calc!$I$2:$J$8,2,FALSE),0),"")))</f>
        <v/>
      </c>
      <c r="BA579" s="632" t="str">
        <f t="shared" si="71"/>
        <v/>
      </c>
      <c r="BB579" s="632" t="str">
        <f t="shared" si="72"/>
        <v/>
      </c>
      <c r="BC579" s="632" t="str">
        <f t="shared" si="73"/>
        <v/>
      </c>
      <c r="BD579" s="633" t="str">
        <f>IF(AND(L579="",H579=""),"",
IF(H579="",Pole_Calc!A607,
IF(H579="MP",Pole_Calc!A608,
IF(H579="AnMP",Pole_Calc!A609,
IF(H579="A",Pole_Calc!A610,
IF(H579="S/A",Pole_Calc!A611,
IF(H579="A/S",Pole_Calc!A612,"Poner a mano")))))))</f>
        <v/>
      </c>
      <c r="BE579" s="448" t="s">
        <v>1726</v>
      </c>
      <c r="BF579" s="635"/>
      <c r="BG579" s="635"/>
      <c r="BH579" s="634"/>
      <c r="BI579" s="635"/>
    </row>
    <row r="580" spans="1:61" ht="16.2" customHeight="1">
      <c r="A580" s="12"/>
      <c r="B580" s="446"/>
      <c r="C580" s="89"/>
      <c r="D580" s="13"/>
      <c r="E580" s="14"/>
      <c r="F580" s="14"/>
      <c r="G580" s="15"/>
      <c r="H580" s="8"/>
      <c r="I580" s="8"/>
      <c r="J580" s="89"/>
      <c r="K580" s="8"/>
      <c r="L580" s="8"/>
      <c r="M580" s="8" t="str">
        <f>IF(L580="","",
IF(AX580="PT",VLOOKUP(L580,Foundation_Calc!$V$4:$X$37,VLOOKUP(AX580,Foundation_Calc!$I$10:$J$13,2,FALSE),0),
IF(AX580="K",VLOOKUP(L580,Foundation_Calc!$V$41:$X$74,VLOOKUP(AX580,Foundation_Calc!$I$10:$J$13,2,FALSE),0),"")))</f>
        <v/>
      </c>
      <c r="N580" s="8"/>
      <c r="O580" s="8"/>
      <c r="P580" s="8"/>
      <c r="Q580" s="14"/>
      <c r="R580" s="15"/>
      <c r="S580" s="15"/>
      <c r="T580" s="14"/>
      <c r="U580" s="14"/>
      <c r="V580" s="14"/>
      <c r="W580" s="18"/>
      <c r="X580" s="18"/>
      <c r="Y580" s="18"/>
      <c r="Z580" s="18"/>
      <c r="AA580" s="18"/>
      <c r="AB580" s="18"/>
      <c r="AC580" s="8" t="str">
        <f t="shared" si="70"/>
        <v/>
      </c>
      <c r="AD580" s="8"/>
      <c r="AE580" s="8"/>
      <c r="AF580" s="14"/>
      <c r="AG580" s="13"/>
      <c r="AH580" s="14"/>
      <c r="AI580" s="14"/>
      <c r="AJ580" s="8"/>
      <c r="AK580" s="8"/>
      <c r="AL580" s="8"/>
      <c r="AM580" s="8"/>
      <c r="AN580" s="631"/>
      <c r="AO580" s="18"/>
      <c r="AP580" s="18"/>
      <c r="AQ580" s="18"/>
      <c r="AR580" s="18"/>
      <c r="AS580" s="18"/>
      <c r="AU580" s="448"/>
      <c r="AV580" s="448"/>
      <c r="AW580" s="8" t="str">
        <f>IF(C580&gt;0,VLOOKUP(C580,Foundation_Calc!$A$2:$C$986,3,1),
IF(J580&gt;0,VLOOKUP(J580,Foundation_Calc!$A$2:$C$986,3,1),""))</f>
        <v/>
      </c>
      <c r="AX580" s="8" t="str">
        <f>IF(C580&gt;0,VLOOKUP(C580,Foundation_Calc!$E$2:$G$986,3,1),
IF(J580&gt;0,VLOOKUP(J580,Foundation_Calc!$E$2:$G$986,3,1),""))</f>
        <v/>
      </c>
      <c r="AY580" s="631" t="str">
        <f>IF(L580="","",
IF(AX580="PT",VLOOKUP(L580,Foundation_Calc!$K$4:$R$37,VLOOKUP(AW580,Foundation_Calc!$I$2:$J$8,2,FALSE),0),
IF(AX580="K",VLOOKUP(L580,Foundation_Calc!$K$41:$R$74,VLOOKUP(AW580,Foundation_Calc!$I$2:$J$8,2,FALSE),0),"")))</f>
        <v/>
      </c>
      <c r="AZ580" s="631" t="str">
        <f>IF(K580="","",
IF(AX580="PT",VLOOKUP(K580,Foundation_Calc!$K$4:$R$37,VLOOKUP(AW580,Foundation_Calc!$I$2:$J$8,2,FALSE),0),
IF(AX580="K",VLOOKUP(K580,Foundation_Calc!$K$41:$R$74,VLOOKUP(AW580,Foundation_Calc!$I$2:$J$8,2,FALSE),0),"")))</f>
        <v/>
      </c>
      <c r="BA580" s="632" t="str">
        <f t="shared" si="71"/>
        <v/>
      </c>
      <c r="BB580" s="632" t="str">
        <f t="shared" si="72"/>
        <v/>
      </c>
      <c r="BC580" s="632" t="str">
        <f t="shared" si="73"/>
        <v/>
      </c>
      <c r="BD580" s="633" t="str">
        <f>IF(AND(L580="",H580=""),"",
IF(H580="",Pole_Calc!A608,
IF(H580="MP",Pole_Calc!A609,
IF(H580="AnMP",Pole_Calc!A610,
IF(H580="A",Pole_Calc!A611,
IF(H580="S/A",Pole_Calc!A612,
IF(H580="A/S",Pole_Calc!A613,"Poner a mano")))))))</f>
        <v/>
      </c>
      <c r="BE580" s="448" t="s">
        <v>1726</v>
      </c>
      <c r="BF580" s="634"/>
      <c r="BG580" s="634"/>
      <c r="BH580" s="634"/>
      <c r="BI580" s="634"/>
    </row>
    <row r="581" spans="1:61" ht="16.2" customHeight="1">
      <c r="A581" s="12"/>
      <c r="B581" s="446"/>
      <c r="C581" s="89"/>
      <c r="D581" s="13"/>
      <c r="E581" s="14"/>
      <c r="F581" s="14"/>
      <c r="G581" s="15"/>
      <c r="H581" s="8"/>
      <c r="I581" s="8"/>
      <c r="J581" s="89"/>
      <c r="K581" s="8"/>
      <c r="L581" s="8"/>
      <c r="M581" s="8" t="str">
        <f>IF(L581="","",
IF(AX581="PT",VLOOKUP(L581,Foundation_Calc!$V$4:$X$37,VLOOKUP(AX581,Foundation_Calc!$I$10:$J$13,2,FALSE),0),
IF(AX581="K",VLOOKUP(L581,Foundation_Calc!$V$41:$X$74,VLOOKUP(AX581,Foundation_Calc!$I$10:$J$13,2,FALSE),0),"")))</f>
        <v/>
      </c>
      <c r="N581" s="8"/>
      <c r="O581" s="8"/>
      <c r="P581" s="8"/>
      <c r="Q581" s="14"/>
      <c r="R581" s="15"/>
      <c r="S581" s="15"/>
      <c r="T581" s="14"/>
      <c r="U581" s="14"/>
      <c r="V581" s="14"/>
      <c r="W581" s="18"/>
      <c r="X581" s="18"/>
      <c r="Y581" s="18"/>
      <c r="Z581" s="18"/>
      <c r="AA581" s="18"/>
      <c r="AB581" s="18"/>
      <c r="AC581" s="8" t="str">
        <f t="shared" si="70"/>
        <v/>
      </c>
      <c r="AD581" s="8"/>
      <c r="AE581" s="8"/>
      <c r="AF581" s="14"/>
      <c r="AG581" s="13"/>
      <c r="AH581" s="14"/>
      <c r="AI581" s="14"/>
      <c r="AJ581" s="8"/>
      <c r="AK581" s="8"/>
      <c r="AL581" s="8"/>
      <c r="AM581" s="8"/>
      <c r="AN581" s="631"/>
      <c r="AO581" s="18"/>
      <c r="AP581" s="18"/>
      <c r="AQ581" s="18"/>
      <c r="AR581" s="18"/>
      <c r="AS581" s="18"/>
      <c r="AU581" s="448"/>
      <c r="AV581" s="448"/>
      <c r="AW581" s="8" t="str">
        <f>IF(C581&gt;0,VLOOKUP(C581,Foundation_Calc!$A$2:$C$986,3,1),
IF(J581&gt;0,VLOOKUP(J581,Foundation_Calc!$A$2:$C$986,3,1),""))</f>
        <v/>
      </c>
      <c r="AX581" s="8" t="str">
        <f>IF(C581&gt;0,VLOOKUP(C581,Foundation_Calc!$E$2:$G$986,3,1),
IF(J581&gt;0,VLOOKUP(J581,Foundation_Calc!$E$2:$G$986,3,1),""))</f>
        <v/>
      </c>
      <c r="AY581" s="631" t="str">
        <f>IF(L581="","",
IF(AX581="PT",VLOOKUP(L581,Foundation_Calc!$K$4:$R$37,VLOOKUP(AW581,Foundation_Calc!$I$2:$J$8,2,FALSE),0),
IF(AX581="K",VLOOKUP(L581,Foundation_Calc!$K$41:$R$74,VLOOKUP(AW581,Foundation_Calc!$I$2:$J$8,2,FALSE),0),"")))</f>
        <v/>
      </c>
      <c r="AZ581" s="631" t="str">
        <f>IF(K581="","",
IF(AX581="PT",VLOOKUP(K581,Foundation_Calc!$K$4:$R$37,VLOOKUP(AW581,Foundation_Calc!$I$2:$J$8,2,FALSE),0),
IF(AX581="K",VLOOKUP(K581,Foundation_Calc!$K$41:$R$74,VLOOKUP(AW581,Foundation_Calc!$I$2:$J$8,2,FALSE),0),"")))</f>
        <v/>
      </c>
      <c r="BA581" s="632" t="str">
        <f t="shared" si="71"/>
        <v/>
      </c>
      <c r="BB581" s="632" t="str">
        <f t="shared" si="72"/>
        <v/>
      </c>
      <c r="BC581" s="632" t="str">
        <f t="shared" si="73"/>
        <v/>
      </c>
      <c r="BD581" s="633" t="str">
        <f>IF(AND(L581="",H581=""),"",
IF(H581="",Pole_Calc!A609,
IF(H581="MP",Pole_Calc!A610,
IF(H581="AnMP",Pole_Calc!A611,
IF(H581="A",Pole_Calc!A612,
IF(H581="S/A",Pole_Calc!A613,
IF(H581="A/S",Pole_Calc!A614,"Poner a mano")))))))</f>
        <v/>
      </c>
      <c r="BE581" s="448" t="s">
        <v>1726</v>
      </c>
      <c r="BF581" s="635"/>
      <c r="BG581" s="635"/>
      <c r="BH581" s="634"/>
      <c r="BI581" s="635"/>
    </row>
    <row r="582" spans="1:61" ht="16.2" customHeight="1">
      <c r="A582" s="12"/>
      <c r="B582" s="446"/>
      <c r="C582" s="89"/>
      <c r="D582" s="13"/>
      <c r="E582" s="14"/>
      <c r="F582" s="14"/>
      <c r="G582" s="15"/>
      <c r="H582" s="8"/>
      <c r="I582" s="8"/>
      <c r="J582" s="89"/>
      <c r="K582" s="8"/>
      <c r="L582" s="8"/>
      <c r="M582" s="8" t="str">
        <f>IF(L582="","",
IF(AX582="PT",VLOOKUP(L582,Foundation_Calc!$V$4:$X$37,VLOOKUP(AX582,Foundation_Calc!$I$10:$J$13,2,FALSE),0),
IF(AX582="K",VLOOKUP(L582,Foundation_Calc!$V$41:$X$74,VLOOKUP(AX582,Foundation_Calc!$I$10:$J$13,2,FALSE),0),"")))</f>
        <v/>
      </c>
      <c r="N582" s="8"/>
      <c r="O582" s="8"/>
      <c r="P582" s="8"/>
      <c r="Q582" s="14"/>
      <c r="R582" s="15"/>
      <c r="S582" s="15"/>
      <c r="T582" s="14"/>
      <c r="U582" s="14"/>
      <c r="V582" s="14"/>
      <c r="W582" s="18"/>
      <c r="X582" s="18"/>
      <c r="Y582" s="18"/>
      <c r="Z582" s="18"/>
      <c r="AA582" s="18"/>
      <c r="AB582" s="18"/>
      <c r="AC582" s="8" t="str">
        <f t="shared" ref="AC582:AC645" si="74">IF(OR(AT582&gt;8,AT582&lt;-8),"PH",
IF(OR(AT582&gt;5,AT582&lt;-5),"PHQ",
IF(OR(AT582&gt;1,AT582&lt;-1),
"PHC","")))</f>
        <v/>
      </c>
      <c r="AD582" s="8"/>
      <c r="AE582" s="8"/>
      <c r="AF582" s="14"/>
      <c r="AG582" s="13"/>
      <c r="AH582" s="14"/>
      <c r="AI582" s="14"/>
      <c r="AJ582" s="8"/>
      <c r="AK582" s="8"/>
      <c r="AL582" s="8"/>
      <c r="AM582" s="8"/>
      <c r="AN582" s="631"/>
      <c r="AO582" s="18"/>
      <c r="AP582" s="18"/>
      <c r="AQ582" s="18"/>
      <c r="AR582" s="18"/>
      <c r="AS582" s="18"/>
      <c r="AU582" s="448"/>
      <c r="AV582" s="448"/>
      <c r="AW582" s="8" t="str">
        <f>IF(C582&gt;0,VLOOKUP(C582,Foundation_Calc!$A$2:$C$986,3,1),
IF(J582&gt;0,VLOOKUP(J582,Foundation_Calc!$A$2:$C$986,3,1),""))</f>
        <v/>
      </c>
      <c r="AX582" s="8" t="str">
        <f>IF(C582&gt;0,VLOOKUP(C582,Foundation_Calc!$E$2:$G$986,3,1),
IF(J582&gt;0,VLOOKUP(J582,Foundation_Calc!$E$2:$G$986,3,1),""))</f>
        <v/>
      </c>
      <c r="AY582" s="631" t="str">
        <f>IF(L582="","",
IF(AX582="PT",VLOOKUP(L582,Foundation_Calc!$K$4:$R$37,VLOOKUP(AW582,Foundation_Calc!$I$2:$J$8,2,FALSE),0),
IF(AX582="K",VLOOKUP(L582,Foundation_Calc!$K$41:$R$74,VLOOKUP(AW582,Foundation_Calc!$I$2:$J$8,2,FALSE),0),"")))</f>
        <v/>
      </c>
      <c r="AZ582" s="631" t="str">
        <f>IF(K582="","",
IF(AX582="PT",VLOOKUP(K582,Foundation_Calc!$K$4:$R$37,VLOOKUP(AW582,Foundation_Calc!$I$2:$J$8,2,FALSE),0),
IF(AX582="K",VLOOKUP(K582,Foundation_Calc!$K$41:$R$74,VLOOKUP(AW582,Foundation_Calc!$I$2:$J$8,2,FALSE),0),"")))</f>
        <v/>
      </c>
      <c r="BA582" s="632" t="str">
        <f t="shared" ref="BA582:BA645" si="75">IF(AY582="","",IF(AY582&gt;0,"ü",""))</f>
        <v/>
      </c>
      <c r="BB582" s="632" t="str">
        <f t="shared" ref="BB582:BB645" si="76">IF(AZ582="","",IF(AZ582&gt;0,"ü",""))</f>
        <v/>
      </c>
      <c r="BC582" s="632" t="str">
        <f t="shared" ref="BC582:BC645" si="77">IF(M582="","",IF(M582="Unique Solution","ü",""))</f>
        <v/>
      </c>
      <c r="BD582" s="633" t="str">
        <f>IF(AND(L582="",H582=""),"",
IF(H582="",Pole_Calc!A610,
IF(H582="MP",Pole_Calc!A611,
IF(H582="AnMP",Pole_Calc!A612,
IF(H582="A",Pole_Calc!A613,
IF(H582="S/A",Pole_Calc!A614,
IF(H582="A/S",Pole_Calc!A615,"Poner a mano")))))))</f>
        <v/>
      </c>
      <c r="BE582" s="448" t="s">
        <v>1726</v>
      </c>
      <c r="BF582" s="634"/>
      <c r="BG582" s="634"/>
      <c r="BH582" s="634"/>
      <c r="BI582" s="634"/>
    </row>
    <row r="583" spans="1:61" ht="16.2" customHeight="1">
      <c r="A583" s="12"/>
      <c r="B583" s="446"/>
      <c r="C583" s="89"/>
      <c r="D583" s="13"/>
      <c r="E583" s="14"/>
      <c r="F583" s="14"/>
      <c r="G583" s="15"/>
      <c r="H583" s="8"/>
      <c r="I583" s="8"/>
      <c r="J583" s="89"/>
      <c r="K583" s="8"/>
      <c r="L583" s="8"/>
      <c r="M583" s="8" t="str">
        <f>IF(L583="","",
IF(AX583="PT",VLOOKUP(L583,Foundation_Calc!$V$4:$X$37,VLOOKUP(AX583,Foundation_Calc!$I$10:$J$13,2,FALSE),0),
IF(AX583="K",VLOOKUP(L583,Foundation_Calc!$V$41:$X$74,VLOOKUP(AX583,Foundation_Calc!$I$10:$J$13,2,FALSE),0),"")))</f>
        <v/>
      </c>
      <c r="N583" s="8"/>
      <c r="O583" s="8"/>
      <c r="P583" s="8"/>
      <c r="Q583" s="14"/>
      <c r="R583" s="15"/>
      <c r="S583" s="15"/>
      <c r="T583" s="14"/>
      <c r="U583" s="14"/>
      <c r="V583" s="14"/>
      <c r="W583" s="18"/>
      <c r="X583" s="18"/>
      <c r="Y583" s="18"/>
      <c r="Z583" s="18"/>
      <c r="AA583" s="18"/>
      <c r="AB583" s="18"/>
      <c r="AC583" s="8" t="str">
        <f t="shared" si="74"/>
        <v/>
      </c>
      <c r="AD583" s="8"/>
      <c r="AE583" s="8"/>
      <c r="AF583" s="14"/>
      <c r="AG583" s="13"/>
      <c r="AH583" s="14"/>
      <c r="AI583" s="14"/>
      <c r="AJ583" s="8"/>
      <c r="AK583" s="8"/>
      <c r="AL583" s="8"/>
      <c r="AM583" s="8"/>
      <c r="AN583" s="631"/>
      <c r="AO583" s="18"/>
      <c r="AP583" s="18"/>
      <c r="AQ583" s="18"/>
      <c r="AR583" s="18"/>
      <c r="AS583" s="18"/>
      <c r="AU583" s="448"/>
      <c r="AV583" s="448"/>
      <c r="AW583" s="8" t="str">
        <f>IF(C583&gt;0,VLOOKUP(C583,Foundation_Calc!$A$2:$C$986,3,1),
IF(J583&gt;0,VLOOKUP(J583,Foundation_Calc!$A$2:$C$986,3,1),""))</f>
        <v/>
      </c>
      <c r="AX583" s="8" t="str">
        <f>IF(C583&gt;0,VLOOKUP(C583,Foundation_Calc!$E$2:$G$986,3,1),
IF(J583&gt;0,VLOOKUP(J583,Foundation_Calc!$E$2:$G$986,3,1),""))</f>
        <v/>
      </c>
      <c r="AY583" s="631" t="str">
        <f>IF(L583="","",
IF(AX583="PT",VLOOKUP(L583,Foundation_Calc!$K$4:$R$37,VLOOKUP(AW583,Foundation_Calc!$I$2:$J$8,2,FALSE),0),
IF(AX583="K",VLOOKUP(L583,Foundation_Calc!$K$41:$R$74,VLOOKUP(AW583,Foundation_Calc!$I$2:$J$8,2,FALSE),0),"")))</f>
        <v/>
      </c>
      <c r="AZ583" s="631" t="str">
        <f>IF(K583="","",
IF(AX583="PT",VLOOKUP(K583,Foundation_Calc!$K$4:$R$37,VLOOKUP(AW583,Foundation_Calc!$I$2:$J$8,2,FALSE),0),
IF(AX583="K",VLOOKUP(K583,Foundation_Calc!$K$41:$R$74,VLOOKUP(AW583,Foundation_Calc!$I$2:$J$8,2,FALSE),0),"")))</f>
        <v/>
      </c>
      <c r="BA583" s="632" t="str">
        <f t="shared" si="75"/>
        <v/>
      </c>
      <c r="BB583" s="632" t="str">
        <f t="shared" si="76"/>
        <v/>
      </c>
      <c r="BC583" s="632" t="str">
        <f t="shared" si="77"/>
        <v/>
      </c>
      <c r="BD583" s="633" t="str">
        <f>IF(AND(L583="",H583=""),"",
IF(H583="",Pole_Calc!A611,
IF(H583="MP",Pole_Calc!A612,
IF(H583="AnMP",Pole_Calc!A613,
IF(H583="A",Pole_Calc!A614,
IF(H583="S/A",Pole_Calc!A615,
IF(H583="A/S",Pole_Calc!A616,"Poner a mano")))))))</f>
        <v/>
      </c>
      <c r="BE583" s="448" t="s">
        <v>1726</v>
      </c>
      <c r="BF583" s="635"/>
      <c r="BG583" s="635"/>
      <c r="BH583" s="634"/>
      <c r="BI583" s="635"/>
    </row>
    <row r="584" spans="1:61" ht="16.2" customHeight="1">
      <c r="A584" s="12"/>
      <c r="B584" s="446"/>
      <c r="C584" s="89"/>
      <c r="D584" s="13"/>
      <c r="E584" s="14"/>
      <c r="F584" s="14"/>
      <c r="G584" s="15"/>
      <c r="H584" s="8"/>
      <c r="I584" s="8"/>
      <c r="J584" s="89"/>
      <c r="K584" s="8"/>
      <c r="L584" s="8"/>
      <c r="M584" s="8" t="str">
        <f>IF(L584="","",
IF(AX584="PT",VLOOKUP(L584,Foundation_Calc!$V$4:$X$37,VLOOKUP(AX584,Foundation_Calc!$I$10:$J$13,2,FALSE),0),
IF(AX584="K",VLOOKUP(L584,Foundation_Calc!$V$41:$X$74,VLOOKUP(AX584,Foundation_Calc!$I$10:$J$13,2,FALSE),0),"")))</f>
        <v/>
      </c>
      <c r="N584" s="8"/>
      <c r="O584" s="8"/>
      <c r="P584" s="8"/>
      <c r="Q584" s="14"/>
      <c r="R584" s="15"/>
      <c r="S584" s="15"/>
      <c r="T584" s="14"/>
      <c r="U584" s="14"/>
      <c r="V584" s="14"/>
      <c r="W584" s="18"/>
      <c r="X584" s="18"/>
      <c r="Y584" s="18"/>
      <c r="Z584" s="18"/>
      <c r="AA584" s="18"/>
      <c r="AB584" s="18"/>
      <c r="AC584" s="8" t="str">
        <f t="shared" si="74"/>
        <v/>
      </c>
      <c r="AD584" s="8"/>
      <c r="AE584" s="8"/>
      <c r="AF584" s="14"/>
      <c r="AG584" s="13"/>
      <c r="AH584" s="14"/>
      <c r="AI584" s="14"/>
      <c r="AJ584" s="8"/>
      <c r="AK584" s="8"/>
      <c r="AL584" s="8"/>
      <c r="AM584" s="8"/>
      <c r="AN584" s="631"/>
      <c r="AO584" s="18"/>
      <c r="AP584" s="18"/>
      <c r="AQ584" s="18"/>
      <c r="AR584" s="18"/>
      <c r="AS584" s="18"/>
      <c r="AU584" s="448"/>
      <c r="AV584" s="448"/>
      <c r="AW584" s="8" t="str">
        <f>IF(C584&gt;0,VLOOKUP(C584,Foundation_Calc!$A$2:$C$986,3,1),
IF(J584&gt;0,VLOOKUP(J584,Foundation_Calc!$A$2:$C$986,3,1),""))</f>
        <v/>
      </c>
      <c r="AX584" s="8" t="str">
        <f>IF(C584&gt;0,VLOOKUP(C584,Foundation_Calc!$E$2:$G$986,3,1),
IF(J584&gt;0,VLOOKUP(J584,Foundation_Calc!$E$2:$G$986,3,1),""))</f>
        <v/>
      </c>
      <c r="AY584" s="631" t="str">
        <f>IF(L584="","",
IF(AX584="PT",VLOOKUP(L584,Foundation_Calc!$K$4:$R$37,VLOOKUP(AW584,Foundation_Calc!$I$2:$J$8,2,FALSE),0),
IF(AX584="K",VLOOKUP(L584,Foundation_Calc!$K$41:$R$74,VLOOKUP(AW584,Foundation_Calc!$I$2:$J$8,2,FALSE),0),"")))</f>
        <v/>
      </c>
      <c r="AZ584" s="631" t="str">
        <f>IF(K584="","",
IF(AX584="PT",VLOOKUP(K584,Foundation_Calc!$K$4:$R$37,VLOOKUP(AW584,Foundation_Calc!$I$2:$J$8,2,FALSE),0),
IF(AX584="K",VLOOKUP(K584,Foundation_Calc!$K$41:$R$74,VLOOKUP(AW584,Foundation_Calc!$I$2:$J$8,2,FALSE),0),"")))</f>
        <v/>
      </c>
      <c r="BA584" s="632" t="str">
        <f t="shared" si="75"/>
        <v/>
      </c>
      <c r="BB584" s="632" t="str">
        <f t="shared" si="76"/>
        <v/>
      </c>
      <c r="BC584" s="632" t="str">
        <f t="shared" si="77"/>
        <v/>
      </c>
      <c r="BD584" s="633" t="str">
        <f>IF(AND(L584="",H584=""),"",
IF(H584="",Pole_Calc!A612,
IF(H584="MP",Pole_Calc!A613,
IF(H584="AnMP",Pole_Calc!A614,
IF(H584="A",Pole_Calc!A615,
IF(H584="S/A",Pole_Calc!A616,
IF(H584="A/S",Pole_Calc!A617,"Poner a mano")))))))</f>
        <v/>
      </c>
      <c r="BE584" s="448" t="s">
        <v>1726</v>
      </c>
      <c r="BF584" s="634"/>
      <c r="BG584" s="634"/>
      <c r="BH584" s="634"/>
      <c r="BI584" s="634"/>
    </row>
    <row r="585" spans="1:61" ht="16.2" customHeight="1">
      <c r="A585" s="12"/>
      <c r="B585" s="446"/>
      <c r="C585" s="89"/>
      <c r="D585" s="13"/>
      <c r="E585" s="14"/>
      <c r="F585" s="14"/>
      <c r="G585" s="15"/>
      <c r="H585" s="8"/>
      <c r="I585" s="8"/>
      <c r="J585" s="89"/>
      <c r="K585" s="8"/>
      <c r="L585" s="8"/>
      <c r="M585" s="8" t="str">
        <f>IF(L585="","",
IF(AX585="PT",VLOOKUP(L585,Foundation_Calc!$V$4:$X$37,VLOOKUP(AX585,Foundation_Calc!$I$10:$J$13,2,FALSE),0),
IF(AX585="K",VLOOKUP(L585,Foundation_Calc!$V$41:$X$74,VLOOKUP(AX585,Foundation_Calc!$I$10:$J$13,2,FALSE),0),"")))</f>
        <v/>
      </c>
      <c r="N585" s="8"/>
      <c r="O585" s="8"/>
      <c r="P585" s="8"/>
      <c r="Q585" s="14"/>
      <c r="R585" s="15"/>
      <c r="S585" s="15"/>
      <c r="T585" s="14"/>
      <c r="U585" s="14"/>
      <c r="V585" s="14"/>
      <c r="W585" s="18"/>
      <c r="X585" s="18"/>
      <c r="Y585" s="18"/>
      <c r="Z585" s="18"/>
      <c r="AA585" s="18"/>
      <c r="AB585" s="18"/>
      <c r="AC585" s="8" t="str">
        <f t="shared" si="74"/>
        <v/>
      </c>
      <c r="AD585" s="8"/>
      <c r="AE585" s="8"/>
      <c r="AF585" s="14"/>
      <c r="AG585" s="13"/>
      <c r="AH585" s="14"/>
      <c r="AI585" s="14"/>
      <c r="AJ585" s="8"/>
      <c r="AK585" s="8"/>
      <c r="AL585" s="8"/>
      <c r="AM585" s="8"/>
      <c r="AN585" s="631"/>
      <c r="AO585" s="18"/>
      <c r="AP585" s="18"/>
      <c r="AQ585" s="18"/>
      <c r="AR585" s="18"/>
      <c r="AS585" s="18"/>
      <c r="AU585" s="448"/>
      <c r="AV585" s="448"/>
      <c r="AW585" s="8" t="str">
        <f>IF(C585&gt;0,VLOOKUP(C585,Foundation_Calc!$A$2:$C$986,3,1),
IF(J585&gt;0,VLOOKUP(J585,Foundation_Calc!$A$2:$C$986,3,1),""))</f>
        <v/>
      </c>
      <c r="AX585" s="8" t="str">
        <f>IF(C585&gt;0,VLOOKUP(C585,Foundation_Calc!$E$2:$G$986,3,1),
IF(J585&gt;0,VLOOKUP(J585,Foundation_Calc!$E$2:$G$986,3,1),""))</f>
        <v/>
      </c>
      <c r="AY585" s="631" t="str">
        <f>IF(L585="","",
IF(AX585="PT",VLOOKUP(L585,Foundation_Calc!$K$4:$R$37,VLOOKUP(AW585,Foundation_Calc!$I$2:$J$8,2,FALSE),0),
IF(AX585="K",VLOOKUP(L585,Foundation_Calc!$K$41:$R$74,VLOOKUP(AW585,Foundation_Calc!$I$2:$J$8,2,FALSE),0),"")))</f>
        <v/>
      </c>
      <c r="AZ585" s="631" t="str">
        <f>IF(K585="","",
IF(AX585="PT",VLOOKUP(K585,Foundation_Calc!$K$4:$R$37,VLOOKUP(AW585,Foundation_Calc!$I$2:$J$8,2,FALSE),0),
IF(AX585="K",VLOOKUP(K585,Foundation_Calc!$K$41:$R$74,VLOOKUP(AW585,Foundation_Calc!$I$2:$J$8,2,FALSE),0),"")))</f>
        <v/>
      </c>
      <c r="BA585" s="632" t="str">
        <f t="shared" si="75"/>
        <v/>
      </c>
      <c r="BB585" s="632" t="str">
        <f t="shared" si="76"/>
        <v/>
      </c>
      <c r="BC585" s="632" t="str">
        <f t="shared" si="77"/>
        <v/>
      </c>
      <c r="BD585" s="633" t="str">
        <f>IF(AND(L585="",H585=""),"",
IF(H585="",Pole_Calc!A613,
IF(H585="MP",Pole_Calc!A614,
IF(H585="AnMP",Pole_Calc!A615,
IF(H585="A",Pole_Calc!A616,
IF(H585="S/A",Pole_Calc!A617,
IF(H585="A/S",Pole_Calc!A618,"Poner a mano")))))))</f>
        <v/>
      </c>
      <c r="BE585" s="448" t="s">
        <v>1726</v>
      </c>
      <c r="BF585" s="635"/>
      <c r="BG585" s="635"/>
      <c r="BH585" s="634"/>
      <c r="BI585" s="635"/>
    </row>
    <row r="586" spans="1:61" ht="16.2" customHeight="1">
      <c r="A586" s="12"/>
      <c r="B586" s="446"/>
      <c r="C586" s="89"/>
      <c r="D586" s="13"/>
      <c r="E586" s="14"/>
      <c r="F586" s="14"/>
      <c r="G586" s="15"/>
      <c r="H586" s="8"/>
      <c r="I586" s="8"/>
      <c r="J586" s="89"/>
      <c r="K586" s="8"/>
      <c r="L586" s="8"/>
      <c r="M586" s="8" t="str">
        <f>IF(L586="","",
IF(AX586="PT",VLOOKUP(L586,Foundation_Calc!$V$4:$X$37,VLOOKUP(AX586,Foundation_Calc!$I$10:$J$13,2,FALSE),0),
IF(AX586="K",VLOOKUP(L586,Foundation_Calc!$V$41:$X$74,VLOOKUP(AX586,Foundation_Calc!$I$10:$J$13,2,FALSE),0),"")))</f>
        <v/>
      </c>
      <c r="N586" s="8"/>
      <c r="O586" s="8"/>
      <c r="P586" s="8"/>
      <c r="Q586" s="14"/>
      <c r="R586" s="15"/>
      <c r="S586" s="15"/>
      <c r="T586" s="14"/>
      <c r="U586" s="14"/>
      <c r="V586" s="14"/>
      <c r="W586" s="18"/>
      <c r="X586" s="18"/>
      <c r="Y586" s="18"/>
      <c r="Z586" s="18"/>
      <c r="AA586" s="18"/>
      <c r="AB586" s="18"/>
      <c r="AC586" s="8" t="str">
        <f t="shared" si="74"/>
        <v/>
      </c>
      <c r="AD586" s="8"/>
      <c r="AE586" s="8"/>
      <c r="AF586" s="14"/>
      <c r="AG586" s="13"/>
      <c r="AH586" s="14"/>
      <c r="AI586" s="14"/>
      <c r="AJ586" s="8"/>
      <c r="AK586" s="8"/>
      <c r="AL586" s="8"/>
      <c r="AM586" s="8"/>
      <c r="AN586" s="631"/>
      <c r="AO586" s="18"/>
      <c r="AP586" s="18"/>
      <c r="AQ586" s="18"/>
      <c r="AR586" s="18"/>
      <c r="AS586" s="18"/>
      <c r="AU586" s="448"/>
      <c r="AV586" s="448"/>
      <c r="AW586" s="8" t="str">
        <f>IF(C586&gt;0,VLOOKUP(C586,Foundation_Calc!$A$2:$C$986,3,1),
IF(J586&gt;0,VLOOKUP(J586,Foundation_Calc!$A$2:$C$986,3,1),""))</f>
        <v/>
      </c>
      <c r="AX586" s="8" t="str">
        <f>IF(C586&gt;0,VLOOKUP(C586,Foundation_Calc!$E$2:$G$986,3,1),
IF(J586&gt;0,VLOOKUP(J586,Foundation_Calc!$E$2:$G$986,3,1),""))</f>
        <v/>
      </c>
      <c r="AY586" s="631" t="str">
        <f>IF(L586="","",
IF(AX586="PT",VLOOKUP(L586,Foundation_Calc!$K$4:$R$37,VLOOKUP(AW586,Foundation_Calc!$I$2:$J$8,2,FALSE),0),
IF(AX586="K",VLOOKUP(L586,Foundation_Calc!$K$41:$R$74,VLOOKUP(AW586,Foundation_Calc!$I$2:$J$8,2,FALSE),0),"")))</f>
        <v/>
      </c>
      <c r="AZ586" s="631" t="str">
        <f>IF(K586="","",
IF(AX586="PT",VLOOKUP(K586,Foundation_Calc!$K$4:$R$37,VLOOKUP(AW586,Foundation_Calc!$I$2:$J$8,2,FALSE),0),
IF(AX586="K",VLOOKUP(K586,Foundation_Calc!$K$41:$R$74,VLOOKUP(AW586,Foundation_Calc!$I$2:$J$8,2,FALSE),0),"")))</f>
        <v/>
      </c>
      <c r="BA586" s="632" t="str">
        <f t="shared" si="75"/>
        <v/>
      </c>
      <c r="BB586" s="632" t="str">
        <f t="shared" si="76"/>
        <v/>
      </c>
      <c r="BC586" s="632" t="str">
        <f t="shared" si="77"/>
        <v/>
      </c>
      <c r="BD586" s="633" t="str">
        <f>IF(AND(L586="",H586=""),"",
IF(H586="",Pole_Calc!A614,
IF(H586="MP",Pole_Calc!A615,
IF(H586="AnMP",Pole_Calc!A616,
IF(H586="A",Pole_Calc!A617,
IF(H586="S/A",Pole_Calc!A618,
IF(H586="A/S",Pole_Calc!A619,"Poner a mano")))))))</f>
        <v/>
      </c>
      <c r="BE586" s="448" t="s">
        <v>1726</v>
      </c>
      <c r="BF586" s="634"/>
      <c r="BG586" s="634"/>
      <c r="BH586" s="634"/>
      <c r="BI586" s="634"/>
    </row>
    <row r="587" spans="1:61" ht="16.2" customHeight="1">
      <c r="A587" s="12"/>
      <c r="B587" s="446"/>
      <c r="C587" s="89"/>
      <c r="D587" s="13"/>
      <c r="E587" s="14"/>
      <c r="F587" s="14"/>
      <c r="G587" s="15"/>
      <c r="H587" s="8"/>
      <c r="I587" s="8"/>
      <c r="J587" s="89"/>
      <c r="K587" s="8"/>
      <c r="L587" s="8"/>
      <c r="M587" s="8" t="str">
        <f>IF(L587="","",
IF(AX587="PT",VLOOKUP(L587,Foundation_Calc!$V$4:$X$37,VLOOKUP(AX587,Foundation_Calc!$I$10:$J$13,2,FALSE),0),
IF(AX587="K",VLOOKUP(L587,Foundation_Calc!$V$41:$X$74,VLOOKUP(AX587,Foundation_Calc!$I$10:$J$13,2,FALSE),0),"")))</f>
        <v/>
      </c>
      <c r="N587" s="8"/>
      <c r="O587" s="8"/>
      <c r="P587" s="8"/>
      <c r="Q587" s="14"/>
      <c r="R587" s="15"/>
      <c r="S587" s="15"/>
      <c r="T587" s="14"/>
      <c r="U587" s="14"/>
      <c r="V587" s="14"/>
      <c r="W587" s="18"/>
      <c r="X587" s="18"/>
      <c r="Y587" s="18"/>
      <c r="Z587" s="18"/>
      <c r="AA587" s="18"/>
      <c r="AB587" s="18"/>
      <c r="AC587" s="8" t="str">
        <f t="shared" si="74"/>
        <v/>
      </c>
      <c r="AD587" s="8"/>
      <c r="AE587" s="8"/>
      <c r="AF587" s="14"/>
      <c r="AG587" s="13"/>
      <c r="AH587" s="14"/>
      <c r="AI587" s="14"/>
      <c r="AJ587" s="8"/>
      <c r="AK587" s="8"/>
      <c r="AL587" s="8"/>
      <c r="AM587" s="8"/>
      <c r="AN587" s="631"/>
      <c r="AO587" s="18"/>
      <c r="AP587" s="18"/>
      <c r="AQ587" s="18"/>
      <c r="AR587" s="18"/>
      <c r="AS587" s="18"/>
      <c r="AU587" s="448"/>
      <c r="AV587" s="448"/>
      <c r="AW587" s="8" t="str">
        <f>IF(C587&gt;0,VLOOKUP(C587,Foundation_Calc!$A$2:$C$986,3,1),
IF(J587&gt;0,VLOOKUP(J587,Foundation_Calc!$A$2:$C$986,3,1),""))</f>
        <v/>
      </c>
      <c r="AX587" s="8" t="str">
        <f>IF(C587&gt;0,VLOOKUP(C587,Foundation_Calc!$E$2:$G$986,3,1),
IF(J587&gt;0,VLOOKUP(J587,Foundation_Calc!$E$2:$G$986,3,1),""))</f>
        <v/>
      </c>
      <c r="AY587" s="631" t="str">
        <f>IF(L587="","",
IF(AX587="PT",VLOOKUP(L587,Foundation_Calc!$K$4:$R$37,VLOOKUP(AW587,Foundation_Calc!$I$2:$J$8,2,FALSE),0),
IF(AX587="K",VLOOKUP(L587,Foundation_Calc!$K$41:$R$74,VLOOKUP(AW587,Foundation_Calc!$I$2:$J$8,2,FALSE),0),"")))</f>
        <v/>
      </c>
      <c r="AZ587" s="631" t="str">
        <f>IF(K587="","",
IF(AX587="PT",VLOOKUP(K587,Foundation_Calc!$K$4:$R$37,VLOOKUP(AW587,Foundation_Calc!$I$2:$J$8,2,FALSE),0),
IF(AX587="K",VLOOKUP(K587,Foundation_Calc!$K$41:$R$74,VLOOKUP(AW587,Foundation_Calc!$I$2:$J$8,2,FALSE),0),"")))</f>
        <v/>
      </c>
      <c r="BA587" s="632" t="str">
        <f t="shared" si="75"/>
        <v/>
      </c>
      <c r="BB587" s="632" t="str">
        <f t="shared" si="76"/>
        <v/>
      </c>
      <c r="BC587" s="632" t="str">
        <f t="shared" si="77"/>
        <v/>
      </c>
      <c r="BD587" s="633" t="str">
        <f>IF(AND(L587="",H587=""),"",
IF(H587="",Pole_Calc!A615,
IF(H587="MP",Pole_Calc!A616,
IF(H587="AnMP",Pole_Calc!A617,
IF(H587="A",Pole_Calc!A618,
IF(H587="S/A",Pole_Calc!A619,
IF(H587="A/S",Pole_Calc!A620,"Poner a mano")))))))</f>
        <v/>
      </c>
      <c r="BE587" s="448" t="s">
        <v>1726</v>
      </c>
      <c r="BF587" s="635"/>
      <c r="BG587" s="635"/>
      <c r="BH587" s="634"/>
      <c r="BI587" s="635"/>
    </row>
    <row r="588" spans="1:61" ht="16.2" customHeight="1">
      <c r="A588" s="12"/>
      <c r="B588" s="446"/>
      <c r="C588" s="89"/>
      <c r="D588" s="13"/>
      <c r="E588" s="14"/>
      <c r="F588" s="14"/>
      <c r="G588" s="15"/>
      <c r="H588" s="8"/>
      <c r="I588" s="8"/>
      <c r="J588" s="89"/>
      <c r="K588" s="8"/>
      <c r="L588" s="8"/>
      <c r="M588" s="8" t="str">
        <f>IF(L588="","",
IF(AX588="PT",VLOOKUP(L588,Foundation_Calc!$V$4:$X$37,VLOOKUP(AX588,Foundation_Calc!$I$10:$J$13,2,FALSE),0),
IF(AX588="K",VLOOKUP(L588,Foundation_Calc!$V$41:$X$74,VLOOKUP(AX588,Foundation_Calc!$I$10:$J$13,2,FALSE),0),"")))</f>
        <v/>
      </c>
      <c r="N588" s="8"/>
      <c r="O588" s="8"/>
      <c r="P588" s="8"/>
      <c r="Q588" s="14"/>
      <c r="R588" s="15"/>
      <c r="S588" s="15"/>
      <c r="T588" s="14"/>
      <c r="U588" s="14"/>
      <c r="V588" s="14"/>
      <c r="W588" s="18"/>
      <c r="X588" s="18"/>
      <c r="Y588" s="18"/>
      <c r="Z588" s="18"/>
      <c r="AA588" s="18"/>
      <c r="AB588" s="18"/>
      <c r="AC588" s="8" t="str">
        <f t="shared" si="74"/>
        <v/>
      </c>
      <c r="AD588" s="8"/>
      <c r="AE588" s="8"/>
      <c r="AF588" s="14"/>
      <c r="AG588" s="13"/>
      <c r="AH588" s="14"/>
      <c r="AI588" s="14"/>
      <c r="AJ588" s="8"/>
      <c r="AK588" s="8"/>
      <c r="AL588" s="8"/>
      <c r="AM588" s="8"/>
      <c r="AN588" s="631"/>
      <c r="AO588" s="18"/>
      <c r="AP588" s="18"/>
      <c r="AQ588" s="18"/>
      <c r="AR588" s="18"/>
      <c r="AS588" s="18"/>
      <c r="AU588" s="448"/>
      <c r="AV588" s="448"/>
      <c r="AW588" s="8" t="str">
        <f>IF(C588&gt;0,VLOOKUP(C588,Foundation_Calc!$A$2:$C$986,3,1),
IF(J588&gt;0,VLOOKUP(J588,Foundation_Calc!$A$2:$C$986,3,1),""))</f>
        <v/>
      </c>
      <c r="AX588" s="8" t="str">
        <f>IF(C588&gt;0,VLOOKUP(C588,Foundation_Calc!$E$2:$G$986,3,1),
IF(J588&gt;0,VLOOKUP(J588,Foundation_Calc!$E$2:$G$986,3,1),""))</f>
        <v/>
      </c>
      <c r="AY588" s="631" t="str">
        <f>IF(L588="","",
IF(AX588="PT",VLOOKUP(L588,Foundation_Calc!$K$4:$R$37,VLOOKUP(AW588,Foundation_Calc!$I$2:$J$8,2,FALSE),0),
IF(AX588="K",VLOOKUP(L588,Foundation_Calc!$K$41:$R$74,VLOOKUP(AW588,Foundation_Calc!$I$2:$J$8,2,FALSE),0),"")))</f>
        <v/>
      </c>
      <c r="AZ588" s="631" t="str">
        <f>IF(K588="","",
IF(AX588="PT",VLOOKUP(K588,Foundation_Calc!$K$4:$R$37,VLOOKUP(AW588,Foundation_Calc!$I$2:$J$8,2,FALSE),0),
IF(AX588="K",VLOOKUP(K588,Foundation_Calc!$K$41:$R$74,VLOOKUP(AW588,Foundation_Calc!$I$2:$J$8,2,FALSE),0),"")))</f>
        <v/>
      </c>
      <c r="BA588" s="632" t="str">
        <f t="shared" si="75"/>
        <v/>
      </c>
      <c r="BB588" s="632" t="str">
        <f t="shared" si="76"/>
        <v/>
      </c>
      <c r="BC588" s="632" t="str">
        <f t="shared" si="77"/>
        <v/>
      </c>
      <c r="BD588" s="633" t="str">
        <f>IF(AND(L588="",H588=""),"",
IF(H588="",Pole_Calc!A616,
IF(H588="MP",Pole_Calc!A617,
IF(H588="AnMP",Pole_Calc!A618,
IF(H588="A",Pole_Calc!A619,
IF(H588="S/A",Pole_Calc!A620,
IF(H588="A/S",Pole_Calc!A621,"Poner a mano")))))))</f>
        <v/>
      </c>
      <c r="BE588" s="448" t="s">
        <v>1726</v>
      </c>
      <c r="BF588" s="634"/>
      <c r="BG588" s="634"/>
      <c r="BH588" s="634"/>
      <c r="BI588" s="634"/>
    </row>
    <row r="589" spans="1:61" ht="16.2" customHeight="1">
      <c r="A589" s="12"/>
      <c r="B589" s="446"/>
      <c r="C589" s="89"/>
      <c r="D589" s="13"/>
      <c r="E589" s="14"/>
      <c r="F589" s="14"/>
      <c r="G589" s="15"/>
      <c r="H589" s="8"/>
      <c r="I589" s="8"/>
      <c r="J589" s="89"/>
      <c r="K589" s="8"/>
      <c r="L589" s="8"/>
      <c r="M589" s="8" t="str">
        <f>IF(L589="","",
IF(AX589="PT",VLOOKUP(L589,Foundation_Calc!$V$4:$X$37,VLOOKUP(AX589,Foundation_Calc!$I$10:$J$13,2,FALSE),0),
IF(AX589="K",VLOOKUP(L589,Foundation_Calc!$V$41:$X$74,VLOOKUP(AX589,Foundation_Calc!$I$10:$J$13,2,FALSE),0),"")))</f>
        <v/>
      </c>
      <c r="N589" s="8"/>
      <c r="O589" s="8"/>
      <c r="P589" s="8"/>
      <c r="Q589" s="14"/>
      <c r="R589" s="15"/>
      <c r="S589" s="15"/>
      <c r="T589" s="14"/>
      <c r="U589" s="14"/>
      <c r="V589" s="14"/>
      <c r="W589" s="18"/>
      <c r="X589" s="18"/>
      <c r="Y589" s="18"/>
      <c r="Z589" s="18"/>
      <c r="AA589" s="18"/>
      <c r="AB589" s="18"/>
      <c r="AC589" s="8" t="str">
        <f t="shared" si="74"/>
        <v/>
      </c>
      <c r="AD589" s="8"/>
      <c r="AE589" s="8"/>
      <c r="AF589" s="14"/>
      <c r="AG589" s="13"/>
      <c r="AH589" s="14"/>
      <c r="AI589" s="14"/>
      <c r="AJ589" s="8"/>
      <c r="AK589" s="8"/>
      <c r="AL589" s="8"/>
      <c r="AM589" s="8"/>
      <c r="AN589" s="631"/>
      <c r="AO589" s="18"/>
      <c r="AP589" s="18"/>
      <c r="AQ589" s="18"/>
      <c r="AR589" s="18"/>
      <c r="AS589" s="18"/>
      <c r="AU589" s="448"/>
      <c r="AV589" s="448"/>
      <c r="AW589" s="8" t="str">
        <f>IF(C589&gt;0,VLOOKUP(C589,Foundation_Calc!$A$2:$C$986,3,1),
IF(J589&gt;0,VLOOKUP(J589,Foundation_Calc!$A$2:$C$986,3,1),""))</f>
        <v/>
      </c>
      <c r="AX589" s="8" t="str">
        <f>IF(C589&gt;0,VLOOKUP(C589,Foundation_Calc!$E$2:$G$986,3,1),
IF(J589&gt;0,VLOOKUP(J589,Foundation_Calc!$E$2:$G$986,3,1),""))</f>
        <v/>
      </c>
      <c r="AY589" s="631" t="str">
        <f>IF(L589="","",
IF(AX589="PT",VLOOKUP(L589,Foundation_Calc!$K$4:$R$37,VLOOKUP(AW589,Foundation_Calc!$I$2:$J$8,2,FALSE),0),
IF(AX589="K",VLOOKUP(L589,Foundation_Calc!$K$41:$R$74,VLOOKUP(AW589,Foundation_Calc!$I$2:$J$8,2,FALSE),0),"")))</f>
        <v/>
      </c>
      <c r="AZ589" s="631" t="str">
        <f>IF(K589="","",
IF(AX589="PT",VLOOKUP(K589,Foundation_Calc!$K$4:$R$37,VLOOKUP(AW589,Foundation_Calc!$I$2:$J$8,2,FALSE),0),
IF(AX589="K",VLOOKUP(K589,Foundation_Calc!$K$41:$R$74,VLOOKUP(AW589,Foundation_Calc!$I$2:$J$8,2,FALSE),0),"")))</f>
        <v/>
      </c>
      <c r="BA589" s="632" t="str">
        <f t="shared" si="75"/>
        <v/>
      </c>
      <c r="BB589" s="632" t="str">
        <f t="shared" si="76"/>
        <v/>
      </c>
      <c r="BC589" s="632" t="str">
        <f t="shared" si="77"/>
        <v/>
      </c>
      <c r="BD589" s="633" t="str">
        <f>IF(AND(L589="",H589=""),"",
IF(H589="",Pole_Calc!A617,
IF(H589="MP",Pole_Calc!A618,
IF(H589="AnMP",Pole_Calc!A619,
IF(H589="A",Pole_Calc!A620,
IF(H589="S/A",Pole_Calc!A621,
IF(H589="A/S",Pole_Calc!A622,"Poner a mano")))))))</f>
        <v/>
      </c>
      <c r="BE589" s="448" t="s">
        <v>1726</v>
      </c>
      <c r="BF589" s="635"/>
      <c r="BG589" s="635"/>
      <c r="BH589" s="634"/>
      <c r="BI589" s="635"/>
    </row>
    <row r="590" spans="1:61" ht="16.2" customHeight="1">
      <c r="A590" s="12"/>
      <c r="B590" s="446"/>
      <c r="C590" s="89"/>
      <c r="D590" s="13"/>
      <c r="E590" s="14"/>
      <c r="F590" s="14"/>
      <c r="G590" s="15"/>
      <c r="H590" s="8"/>
      <c r="I590" s="8"/>
      <c r="J590" s="89"/>
      <c r="K590" s="8"/>
      <c r="L590" s="8"/>
      <c r="M590" s="8" t="str">
        <f>IF(L590="","",
IF(AX590="PT",VLOOKUP(L590,Foundation_Calc!$V$4:$X$37,VLOOKUP(AX590,Foundation_Calc!$I$10:$J$13,2,FALSE),0),
IF(AX590="K",VLOOKUP(L590,Foundation_Calc!$V$41:$X$74,VLOOKUP(AX590,Foundation_Calc!$I$10:$J$13,2,FALSE),0),"")))</f>
        <v/>
      </c>
      <c r="N590" s="8"/>
      <c r="O590" s="8"/>
      <c r="P590" s="8"/>
      <c r="Q590" s="14"/>
      <c r="R590" s="15"/>
      <c r="S590" s="15"/>
      <c r="T590" s="14"/>
      <c r="U590" s="14"/>
      <c r="V590" s="14"/>
      <c r="W590" s="18"/>
      <c r="X590" s="18"/>
      <c r="Y590" s="18"/>
      <c r="Z590" s="18"/>
      <c r="AA590" s="18"/>
      <c r="AB590" s="18"/>
      <c r="AC590" s="8" t="str">
        <f t="shared" si="74"/>
        <v/>
      </c>
      <c r="AD590" s="8"/>
      <c r="AE590" s="8"/>
      <c r="AF590" s="14"/>
      <c r="AG590" s="13"/>
      <c r="AH590" s="14"/>
      <c r="AI590" s="14"/>
      <c r="AJ590" s="8"/>
      <c r="AK590" s="8"/>
      <c r="AL590" s="8"/>
      <c r="AM590" s="8"/>
      <c r="AN590" s="631"/>
      <c r="AO590" s="18"/>
      <c r="AP590" s="18"/>
      <c r="AQ590" s="18"/>
      <c r="AR590" s="18"/>
      <c r="AS590" s="18"/>
      <c r="AU590" s="448"/>
      <c r="AV590" s="448"/>
      <c r="AW590" s="8" t="str">
        <f>IF(C590&gt;0,VLOOKUP(C590,Foundation_Calc!$A$2:$C$986,3,1),
IF(J590&gt;0,VLOOKUP(J590,Foundation_Calc!$A$2:$C$986,3,1),""))</f>
        <v/>
      </c>
      <c r="AX590" s="8" t="str">
        <f>IF(C590&gt;0,VLOOKUP(C590,Foundation_Calc!$E$2:$G$986,3,1),
IF(J590&gt;0,VLOOKUP(J590,Foundation_Calc!$E$2:$G$986,3,1),""))</f>
        <v/>
      </c>
      <c r="AY590" s="631" t="str">
        <f>IF(L590="","",
IF(AX590="PT",VLOOKUP(L590,Foundation_Calc!$K$4:$R$37,VLOOKUP(AW590,Foundation_Calc!$I$2:$J$8,2,FALSE),0),
IF(AX590="K",VLOOKUP(L590,Foundation_Calc!$K$41:$R$74,VLOOKUP(AW590,Foundation_Calc!$I$2:$J$8,2,FALSE),0),"")))</f>
        <v/>
      </c>
      <c r="AZ590" s="631" t="str">
        <f>IF(K590="","",
IF(AX590="PT",VLOOKUP(K590,Foundation_Calc!$K$4:$R$37,VLOOKUP(AW590,Foundation_Calc!$I$2:$J$8,2,FALSE),0),
IF(AX590="K",VLOOKUP(K590,Foundation_Calc!$K$41:$R$74,VLOOKUP(AW590,Foundation_Calc!$I$2:$J$8,2,FALSE),0),"")))</f>
        <v/>
      </c>
      <c r="BA590" s="632" t="str">
        <f t="shared" si="75"/>
        <v/>
      </c>
      <c r="BB590" s="632" t="str">
        <f t="shared" si="76"/>
        <v/>
      </c>
      <c r="BC590" s="632" t="str">
        <f t="shared" si="77"/>
        <v/>
      </c>
      <c r="BD590" s="633" t="str">
        <f>IF(AND(L590="",H590=""),"",
IF(H590="",Pole_Calc!A618,
IF(H590="MP",Pole_Calc!A619,
IF(H590="AnMP",Pole_Calc!A620,
IF(H590="A",Pole_Calc!A621,
IF(H590="S/A",Pole_Calc!A622,
IF(H590="A/S",Pole_Calc!A623,"Poner a mano")))))))</f>
        <v/>
      </c>
      <c r="BE590" s="448" t="s">
        <v>1726</v>
      </c>
      <c r="BF590" s="634"/>
      <c r="BG590" s="634"/>
      <c r="BH590" s="634"/>
      <c r="BI590" s="634"/>
    </row>
    <row r="591" spans="1:61" ht="16.2" customHeight="1">
      <c r="A591" s="12"/>
      <c r="B591" s="446"/>
      <c r="C591" s="89"/>
      <c r="D591" s="13"/>
      <c r="E591" s="14"/>
      <c r="F591" s="14"/>
      <c r="G591" s="15"/>
      <c r="H591" s="8"/>
      <c r="I591" s="8"/>
      <c r="J591" s="89"/>
      <c r="K591" s="8"/>
      <c r="L591" s="8"/>
      <c r="M591" s="8" t="str">
        <f>IF(L591="","",
IF(AX591="PT",VLOOKUP(L591,Foundation_Calc!$V$4:$X$37,VLOOKUP(AX591,Foundation_Calc!$I$10:$J$13,2,FALSE),0),
IF(AX591="K",VLOOKUP(L591,Foundation_Calc!$V$41:$X$74,VLOOKUP(AX591,Foundation_Calc!$I$10:$J$13,2,FALSE),0),"")))</f>
        <v/>
      </c>
      <c r="N591" s="8"/>
      <c r="O591" s="8"/>
      <c r="P591" s="8"/>
      <c r="Q591" s="14"/>
      <c r="R591" s="15"/>
      <c r="S591" s="15"/>
      <c r="T591" s="14"/>
      <c r="U591" s="14"/>
      <c r="V591" s="14"/>
      <c r="W591" s="18"/>
      <c r="X591" s="18"/>
      <c r="Y591" s="18"/>
      <c r="Z591" s="18"/>
      <c r="AA591" s="18"/>
      <c r="AB591" s="18"/>
      <c r="AC591" s="8" t="str">
        <f t="shared" si="74"/>
        <v/>
      </c>
      <c r="AD591" s="8"/>
      <c r="AE591" s="8"/>
      <c r="AF591" s="14"/>
      <c r="AG591" s="13"/>
      <c r="AH591" s="14"/>
      <c r="AI591" s="14"/>
      <c r="AJ591" s="8"/>
      <c r="AK591" s="8"/>
      <c r="AL591" s="8"/>
      <c r="AM591" s="8"/>
      <c r="AN591" s="631"/>
      <c r="AO591" s="18"/>
      <c r="AP591" s="18"/>
      <c r="AQ591" s="18"/>
      <c r="AR591" s="18"/>
      <c r="AS591" s="18"/>
      <c r="AU591" s="448"/>
      <c r="AV591" s="448"/>
      <c r="AW591" s="8" t="str">
        <f>IF(C591&gt;0,VLOOKUP(C591,Foundation_Calc!$A$2:$C$986,3,1),
IF(J591&gt;0,VLOOKUP(J591,Foundation_Calc!$A$2:$C$986,3,1),""))</f>
        <v/>
      </c>
      <c r="AX591" s="8" t="str">
        <f>IF(C591&gt;0,VLOOKUP(C591,Foundation_Calc!$E$2:$G$986,3,1),
IF(J591&gt;0,VLOOKUP(J591,Foundation_Calc!$E$2:$G$986,3,1),""))</f>
        <v/>
      </c>
      <c r="AY591" s="631" t="str">
        <f>IF(L591="","",
IF(AX591="PT",VLOOKUP(L591,Foundation_Calc!$K$4:$R$37,VLOOKUP(AW591,Foundation_Calc!$I$2:$J$8,2,FALSE),0),
IF(AX591="K",VLOOKUP(L591,Foundation_Calc!$K$41:$R$74,VLOOKUP(AW591,Foundation_Calc!$I$2:$J$8,2,FALSE),0),"")))</f>
        <v/>
      </c>
      <c r="AZ591" s="631" t="str">
        <f>IF(K591="","",
IF(AX591="PT",VLOOKUP(K591,Foundation_Calc!$K$4:$R$37,VLOOKUP(AW591,Foundation_Calc!$I$2:$J$8,2,FALSE),0),
IF(AX591="K",VLOOKUP(K591,Foundation_Calc!$K$41:$R$74,VLOOKUP(AW591,Foundation_Calc!$I$2:$J$8,2,FALSE),0),"")))</f>
        <v/>
      </c>
      <c r="BA591" s="632" t="str">
        <f t="shared" si="75"/>
        <v/>
      </c>
      <c r="BB591" s="632" t="str">
        <f t="shared" si="76"/>
        <v/>
      </c>
      <c r="BC591" s="632" t="str">
        <f t="shared" si="77"/>
        <v/>
      </c>
      <c r="BD591" s="633" t="str">
        <f>IF(AND(L591="",H591=""),"",
IF(H591="",Pole_Calc!A619,
IF(H591="MP",Pole_Calc!A620,
IF(H591="AnMP",Pole_Calc!A621,
IF(H591="A",Pole_Calc!A622,
IF(H591="S/A",Pole_Calc!A623,
IF(H591="A/S",Pole_Calc!A624,"Poner a mano")))))))</f>
        <v/>
      </c>
      <c r="BE591" s="448" t="s">
        <v>1726</v>
      </c>
      <c r="BF591" s="635"/>
      <c r="BG591" s="635"/>
      <c r="BH591" s="634"/>
      <c r="BI591" s="635"/>
    </row>
    <row r="592" spans="1:61" ht="16.2" customHeight="1">
      <c r="A592" s="12"/>
      <c r="B592" s="446"/>
      <c r="C592" s="89"/>
      <c r="D592" s="13"/>
      <c r="E592" s="14"/>
      <c r="F592" s="14"/>
      <c r="G592" s="15"/>
      <c r="H592" s="8"/>
      <c r="I592" s="8"/>
      <c r="J592" s="89"/>
      <c r="K592" s="8"/>
      <c r="L592" s="8"/>
      <c r="M592" s="8" t="str">
        <f>IF(L592="","",
IF(AX592="PT",VLOOKUP(L592,Foundation_Calc!$V$4:$X$37,VLOOKUP(AX592,Foundation_Calc!$I$10:$J$13,2,FALSE),0),
IF(AX592="K",VLOOKUP(L592,Foundation_Calc!$V$41:$X$74,VLOOKUP(AX592,Foundation_Calc!$I$10:$J$13,2,FALSE),0),"")))</f>
        <v/>
      </c>
      <c r="N592" s="8"/>
      <c r="O592" s="8"/>
      <c r="P592" s="8"/>
      <c r="Q592" s="14"/>
      <c r="R592" s="15"/>
      <c r="S592" s="15"/>
      <c r="T592" s="14"/>
      <c r="U592" s="14"/>
      <c r="V592" s="14"/>
      <c r="W592" s="18"/>
      <c r="X592" s="18"/>
      <c r="Y592" s="18"/>
      <c r="Z592" s="18"/>
      <c r="AA592" s="18"/>
      <c r="AB592" s="18"/>
      <c r="AC592" s="8" t="str">
        <f t="shared" si="74"/>
        <v/>
      </c>
      <c r="AD592" s="8"/>
      <c r="AE592" s="8"/>
      <c r="AF592" s="14"/>
      <c r="AG592" s="13"/>
      <c r="AH592" s="14"/>
      <c r="AI592" s="14"/>
      <c r="AJ592" s="8"/>
      <c r="AK592" s="8"/>
      <c r="AL592" s="8"/>
      <c r="AM592" s="8"/>
      <c r="AN592" s="631"/>
      <c r="AO592" s="18"/>
      <c r="AP592" s="18"/>
      <c r="AQ592" s="18"/>
      <c r="AR592" s="18"/>
      <c r="AS592" s="18"/>
      <c r="AU592" s="448"/>
      <c r="AV592" s="448"/>
      <c r="AW592" s="8" t="str">
        <f>IF(C592&gt;0,VLOOKUP(C592,Foundation_Calc!$A$2:$C$986,3,1),
IF(J592&gt;0,VLOOKUP(J592,Foundation_Calc!$A$2:$C$986,3,1),""))</f>
        <v/>
      </c>
      <c r="AX592" s="8" t="str">
        <f>IF(C592&gt;0,VLOOKUP(C592,Foundation_Calc!$E$2:$G$986,3,1),
IF(J592&gt;0,VLOOKUP(J592,Foundation_Calc!$E$2:$G$986,3,1),""))</f>
        <v/>
      </c>
      <c r="AY592" s="631" t="str">
        <f>IF(L592="","",
IF(AX592="PT",VLOOKUP(L592,Foundation_Calc!$K$4:$R$37,VLOOKUP(AW592,Foundation_Calc!$I$2:$J$8,2,FALSE),0),
IF(AX592="K",VLOOKUP(L592,Foundation_Calc!$K$41:$R$74,VLOOKUP(AW592,Foundation_Calc!$I$2:$J$8,2,FALSE),0),"")))</f>
        <v/>
      </c>
      <c r="AZ592" s="631" t="str">
        <f>IF(K592="","",
IF(AX592="PT",VLOOKUP(K592,Foundation_Calc!$K$4:$R$37,VLOOKUP(AW592,Foundation_Calc!$I$2:$J$8,2,FALSE),0),
IF(AX592="K",VLOOKUP(K592,Foundation_Calc!$K$41:$R$74,VLOOKUP(AW592,Foundation_Calc!$I$2:$J$8,2,FALSE),0),"")))</f>
        <v/>
      </c>
      <c r="BA592" s="632" t="str">
        <f t="shared" si="75"/>
        <v/>
      </c>
      <c r="BB592" s="632" t="str">
        <f t="shared" si="76"/>
        <v/>
      </c>
      <c r="BC592" s="632" t="str">
        <f t="shared" si="77"/>
        <v/>
      </c>
      <c r="BD592" s="633" t="str">
        <f>IF(AND(L592="",H592=""),"",
IF(H592="",Pole_Calc!A620,
IF(H592="MP",Pole_Calc!A621,
IF(H592="AnMP",Pole_Calc!A622,
IF(H592="A",Pole_Calc!A623,
IF(H592="S/A",Pole_Calc!A624,
IF(H592="A/S",Pole_Calc!A625,"Poner a mano")))))))</f>
        <v/>
      </c>
      <c r="BE592" s="448" t="s">
        <v>1726</v>
      </c>
      <c r="BF592" s="634"/>
      <c r="BG592" s="634"/>
      <c r="BH592" s="634"/>
      <c r="BI592" s="634"/>
    </row>
    <row r="593" spans="1:61" ht="16.2" customHeight="1">
      <c r="A593" s="12"/>
      <c r="B593" s="446"/>
      <c r="C593" s="89"/>
      <c r="D593" s="13"/>
      <c r="E593" s="14"/>
      <c r="F593" s="14"/>
      <c r="G593" s="15"/>
      <c r="H593" s="8"/>
      <c r="I593" s="8"/>
      <c r="J593" s="89"/>
      <c r="K593" s="8"/>
      <c r="L593" s="8"/>
      <c r="M593" s="8" t="str">
        <f>IF(L593="","",
IF(AX593="PT",VLOOKUP(L593,Foundation_Calc!$V$4:$X$37,VLOOKUP(AX593,Foundation_Calc!$I$10:$J$13,2,FALSE),0),
IF(AX593="K",VLOOKUP(L593,Foundation_Calc!$V$41:$X$74,VLOOKUP(AX593,Foundation_Calc!$I$10:$J$13,2,FALSE),0),"")))</f>
        <v/>
      </c>
      <c r="N593" s="8"/>
      <c r="O593" s="8"/>
      <c r="P593" s="8"/>
      <c r="Q593" s="14"/>
      <c r="R593" s="15"/>
      <c r="S593" s="15"/>
      <c r="T593" s="14"/>
      <c r="U593" s="14"/>
      <c r="V593" s="14"/>
      <c r="W593" s="18"/>
      <c r="X593" s="18"/>
      <c r="Y593" s="18"/>
      <c r="Z593" s="18"/>
      <c r="AA593" s="18"/>
      <c r="AB593" s="18"/>
      <c r="AC593" s="8" t="str">
        <f t="shared" si="74"/>
        <v/>
      </c>
      <c r="AD593" s="8"/>
      <c r="AE593" s="8"/>
      <c r="AF593" s="14"/>
      <c r="AG593" s="13"/>
      <c r="AH593" s="14"/>
      <c r="AI593" s="14"/>
      <c r="AJ593" s="8"/>
      <c r="AK593" s="8"/>
      <c r="AL593" s="8"/>
      <c r="AM593" s="8"/>
      <c r="AN593" s="631"/>
      <c r="AO593" s="18"/>
      <c r="AP593" s="18"/>
      <c r="AQ593" s="18"/>
      <c r="AR593" s="18"/>
      <c r="AS593" s="18"/>
      <c r="AU593" s="448"/>
      <c r="AV593" s="448"/>
      <c r="AW593" s="8" t="str">
        <f>IF(C593&gt;0,VLOOKUP(C593,Foundation_Calc!$A$2:$C$986,3,1),
IF(J593&gt;0,VLOOKUP(J593,Foundation_Calc!$A$2:$C$986,3,1),""))</f>
        <v/>
      </c>
      <c r="AX593" s="8" t="str">
        <f>IF(C593&gt;0,VLOOKUP(C593,Foundation_Calc!$E$2:$G$986,3,1),
IF(J593&gt;0,VLOOKUP(J593,Foundation_Calc!$E$2:$G$986,3,1),""))</f>
        <v/>
      </c>
      <c r="AY593" s="631" t="str">
        <f>IF(L593="","",
IF(AX593="PT",VLOOKUP(L593,Foundation_Calc!$K$4:$R$37,VLOOKUP(AW593,Foundation_Calc!$I$2:$J$8,2,FALSE),0),
IF(AX593="K",VLOOKUP(L593,Foundation_Calc!$K$41:$R$74,VLOOKUP(AW593,Foundation_Calc!$I$2:$J$8,2,FALSE),0),"")))</f>
        <v/>
      </c>
      <c r="AZ593" s="631" t="str">
        <f>IF(K593="","",
IF(AX593="PT",VLOOKUP(K593,Foundation_Calc!$K$4:$R$37,VLOOKUP(AW593,Foundation_Calc!$I$2:$J$8,2,FALSE),0),
IF(AX593="K",VLOOKUP(K593,Foundation_Calc!$K$41:$R$74,VLOOKUP(AW593,Foundation_Calc!$I$2:$J$8,2,FALSE),0),"")))</f>
        <v/>
      </c>
      <c r="BA593" s="632" t="str">
        <f t="shared" si="75"/>
        <v/>
      </c>
      <c r="BB593" s="632" t="str">
        <f t="shared" si="76"/>
        <v/>
      </c>
      <c r="BC593" s="632" t="str">
        <f t="shared" si="77"/>
        <v/>
      </c>
      <c r="BD593" s="633" t="str">
        <f>IF(AND(L593="",H593=""),"",
IF(H593="",Pole_Calc!A621,
IF(H593="MP",Pole_Calc!A622,
IF(H593="AnMP",Pole_Calc!A623,
IF(H593="A",Pole_Calc!A624,
IF(H593="S/A",Pole_Calc!A625,
IF(H593="A/S",Pole_Calc!A626,"Poner a mano")))))))</f>
        <v/>
      </c>
      <c r="BE593" s="448" t="s">
        <v>1726</v>
      </c>
      <c r="BF593" s="635"/>
      <c r="BG593" s="635"/>
      <c r="BH593" s="634"/>
      <c r="BI593" s="635"/>
    </row>
    <row r="594" spans="1:61" ht="16.2" customHeight="1">
      <c r="A594" s="12"/>
      <c r="B594" s="446"/>
      <c r="C594" s="89"/>
      <c r="D594" s="13"/>
      <c r="E594" s="14"/>
      <c r="F594" s="14"/>
      <c r="G594" s="15"/>
      <c r="H594" s="8"/>
      <c r="I594" s="8"/>
      <c r="J594" s="89"/>
      <c r="K594" s="8"/>
      <c r="L594" s="8"/>
      <c r="M594" s="8" t="str">
        <f>IF(L594="","",
IF(AX594="PT",VLOOKUP(L594,Foundation_Calc!$V$4:$X$37,VLOOKUP(AX594,Foundation_Calc!$I$10:$J$13,2,FALSE),0),
IF(AX594="K",VLOOKUP(L594,Foundation_Calc!$V$41:$X$74,VLOOKUP(AX594,Foundation_Calc!$I$10:$J$13,2,FALSE),0),"")))</f>
        <v/>
      </c>
      <c r="N594" s="8"/>
      <c r="O594" s="8"/>
      <c r="P594" s="8"/>
      <c r="Q594" s="14"/>
      <c r="R594" s="15"/>
      <c r="S594" s="15"/>
      <c r="T594" s="14"/>
      <c r="U594" s="14"/>
      <c r="V594" s="14"/>
      <c r="W594" s="18"/>
      <c r="X594" s="18"/>
      <c r="Y594" s="18"/>
      <c r="Z594" s="18"/>
      <c r="AA594" s="18"/>
      <c r="AB594" s="18"/>
      <c r="AC594" s="8" t="str">
        <f t="shared" si="74"/>
        <v/>
      </c>
      <c r="AD594" s="8"/>
      <c r="AE594" s="8"/>
      <c r="AF594" s="14"/>
      <c r="AG594" s="13"/>
      <c r="AH594" s="14"/>
      <c r="AI594" s="14"/>
      <c r="AJ594" s="8"/>
      <c r="AK594" s="8"/>
      <c r="AL594" s="8"/>
      <c r="AM594" s="8"/>
      <c r="AN594" s="631"/>
      <c r="AO594" s="18"/>
      <c r="AP594" s="18"/>
      <c r="AQ594" s="18"/>
      <c r="AR594" s="18"/>
      <c r="AS594" s="18"/>
      <c r="AU594" s="448"/>
      <c r="AV594" s="448"/>
      <c r="AW594" s="8" t="str">
        <f>IF(C594&gt;0,VLOOKUP(C594,Foundation_Calc!$A$2:$C$986,3,1),
IF(J594&gt;0,VLOOKUP(J594,Foundation_Calc!$A$2:$C$986,3,1),""))</f>
        <v/>
      </c>
      <c r="AX594" s="8" t="str">
        <f>IF(C594&gt;0,VLOOKUP(C594,Foundation_Calc!$E$2:$G$986,3,1),
IF(J594&gt;0,VLOOKUP(J594,Foundation_Calc!$E$2:$G$986,3,1),""))</f>
        <v/>
      </c>
      <c r="AY594" s="631" t="str">
        <f>IF(L594="","",
IF(AX594="PT",VLOOKUP(L594,Foundation_Calc!$K$4:$R$37,VLOOKUP(AW594,Foundation_Calc!$I$2:$J$8,2,FALSE),0),
IF(AX594="K",VLOOKUP(L594,Foundation_Calc!$K$41:$R$74,VLOOKUP(AW594,Foundation_Calc!$I$2:$J$8,2,FALSE),0),"")))</f>
        <v/>
      </c>
      <c r="AZ594" s="631" t="str">
        <f>IF(K594="","",
IF(AX594="PT",VLOOKUP(K594,Foundation_Calc!$K$4:$R$37,VLOOKUP(AW594,Foundation_Calc!$I$2:$J$8,2,FALSE),0),
IF(AX594="K",VLOOKUP(K594,Foundation_Calc!$K$41:$R$74,VLOOKUP(AW594,Foundation_Calc!$I$2:$J$8,2,FALSE),0),"")))</f>
        <v/>
      </c>
      <c r="BA594" s="632" t="str">
        <f t="shared" si="75"/>
        <v/>
      </c>
      <c r="BB594" s="632" t="str">
        <f t="shared" si="76"/>
        <v/>
      </c>
      <c r="BC594" s="632" t="str">
        <f t="shared" si="77"/>
        <v/>
      </c>
      <c r="BD594" s="633" t="str">
        <f>IF(AND(L594="",H594=""),"",
IF(H594="",Pole_Calc!A622,
IF(H594="MP",Pole_Calc!A623,
IF(H594="AnMP",Pole_Calc!A624,
IF(H594="A",Pole_Calc!A625,
IF(H594="S/A",Pole_Calc!A626,
IF(H594="A/S",Pole_Calc!A627,"Poner a mano")))))))</f>
        <v/>
      </c>
      <c r="BE594" s="448" t="s">
        <v>1726</v>
      </c>
      <c r="BF594" s="634"/>
      <c r="BG594" s="634"/>
      <c r="BH594" s="634"/>
      <c r="BI594" s="634"/>
    </row>
    <row r="595" spans="1:61" ht="16.2" customHeight="1">
      <c r="A595" s="12"/>
      <c r="B595" s="446"/>
      <c r="C595" s="89"/>
      <c r="D595" s="13"/>
      <c r="E595" s="14"/>
      <c r="F595" s="14"/>
      <c r="G595" s="15"/>
      <c r="H595" s="8"/>
      <c r="I595" s="8"/>
      <c r="J595" s="89"/>
      <c r="K595" s="8"/>
      <c r="L595" s="8"/>
      <c r="M595" s="8" t="str">
        <f>IF(L595="","",
IF(AX595="PT",VLOOKUP(L595,Foundation_Calc!$V$4:$X$37,VLOOKUP(AX595,Foundation_Calc!$I$10:$J$13,2,FALSE),0),
IF(AX595="K",VLOOKUP(L595,Foundation_Calc!$V$41:$X$74,VLOOKUP(AX595,Foundation_Calc!$I$10:$J$13,2,FALSE),0),"")))</f>
        <v/>
      </c>
      <c r="N595" s="8"/>
      <c r="O595" s="8"/>
      <c r="P595" s="8"/>
      <c r="Q595" s="14"/>
      <c r="R595" s="15"/>
      <c r="S595" s="15"/>
      <c r="T595" s="14"/>
      <c r="U595" s="14"/>
      <c r="V595" s="14"/>
      <c r="W595" s="18"/>
      <c r="X595" s="18"/>
      <c r="Y595" s="18"/>
      <c r="Z595" s="18"/>
      <c r="AA595" s="18"/>
      <c r="AB595" s="18"/>
      <c r="AC595" s="8" t="str">
        <f t="shared" si="74"/>
        <v/>
      </c>
      <c r="AD595" s="8"/>
      <c r="AE595" s="8"/>
      <c r="AF595" s="14"/>
      <c r="AG595" s="13"/>
      <c r="AH595" s="14"/>
      <c r="AI595" s="14"/>
      <c r="AJ595" s="8"/>
      <c r="AK595" s="8"/>
      <c r="AL595" s="8"/>
      <c r="AM595" s="8"/>
      <c r="AN595" s="631"/>
      <c r="AO595" s="18"/>
      <c r="AP595" s="18"/>
      <c r="AQ595" s="18"/>
      <c r="AR595" s="18"/>
      <c r="AS595" s="18"/>
      <c r="AU595" s="448"/>
      <c r="AV595" s="448"/>
      <c r="AW595" s="8" t="str">
        <f>IF(C595&gt;0,VLOOKUP(C595,Foundation_Calc!$A$2:$C$986,3,1),
IF(J595&gt;0,VLOOKUP(J595,Foundation_Calc!$A$2:$C$986,3,1),""))</f>
        <v/>
      </c>
      <c r="AX595" s="8" t="str">
        <f>IF(C595&gt;0,VLOOKUP(C595,Foundation_Calc!$E$2:$G$986,3,1),
IF(J595&gt;0,VLOOKUP(J595,Foundation_Calc!$E$2:$G$986,3,1),""))</f>
        <v/>
      </c>
      <c r="AY595" s="631" t="str">
        <f>IF(L595="","",
IF(AX595="PT",VLOOKUP(L595,Foundation_Calc!$K$4:$R$37,VLOOKUP(AW595,Foundation_Calc!$I$2:$J$8,2,FALSE),0),
IF(AX595="K",VLOOKUP(L595,Foundation_Calc!$K$41:$R$74,VLOOKUP(AW595,Foundation_Calc!$I$2:$J$8,2,FALSE),0),"")))</f>
        <v/>
      </c>
      <c r="AZ595" s="631" t="str">
        <f>IF(K595="","",
IF(AX595="PT",VLOOKUP(K595,Foundation_Calc!$K$4:$R$37,VLOOKUP(AW595,Foundation_Calc!$I$2:$J$8,2,FALSE),0),
IF(AX595="K",VLOOKUP(K595,Foundation_Calc!$K$41:$R$74,VLOOKUP(AW595,Foundation_Calc!$I$2:$J$8,2,FALSE),0),"")))</f>
        <v/>
      </c>
      <c r="BA595" s="632" t="str">
        <f t="shared" si="75"/>
        <v/>
      </c>
      <c r="BB595" s="632" t="str">
        <f t="shared" si="76"/>
        <v/>
      </c>
      <c r="BC595" s="632" t="str">
        <f t="shared" si="77"/>
        <v/>
      </c>
      <c r="BD595" s="633" t="str">
        <f>IF(AND(L595="",H595=""),"",
IF(H595="",Pole_Calc!A623,
IF(H595="MP",Pole_Calc!A624,
IF(H595="AnMP",Pole_Calc!A625,
IF(H595="A",Pole_Calc!A626,
IF(H595="S/A",Pole_Calc!A627,
IF(H595="A/S",Pole_Calc!A628,"Poner a mano")))))))</f>
        <v/>
      </c>
      <c r="BE595" s="448" t="s">
        <v>1726</v>
      </c>
      <c r="BF595" s="635"/>
      <c r="BG595" s="635"/>
      <c r="BH595" s="634"/>
      <c r="BI595" s="635"/>
    </row>
    <row r="596" spans="1:61" ht="16.2" customHeight="1">
      <c r="A596" s="12"/>
      <c r="B596" s="446"/>
      <c r="C596" s="89"/>
      <c r="D596" s="13"/>
      <c r="E596" s="14"/>
      <c r="F596" s="14"/>
      <c r="G596" s="15"/>
      <c r="H596" s="8"/>
      <c r="I596" s="8"/>
      <c r="J596" s="89"/>
      <c r="K596" s="8"/>
      <c r="L596" s="8"/>
      <c r="M596" s="8" t="str">
        <f>IF(L596="","",
IF(AX596="PT",VLOOKUP(L596,Foundation_Calc!$V$4:$X$37,VLOOKUP(AX596,Foundation_Calc!$I$10:$J$13,2,FALSE),0),
IF(AX596="K",VLOOKUP(L596,Foundation_Calc!$V$41:$X$74,VLOOKUP(AX596,Foundation_Calc!$I$10:$J$13,2,FALSE),0),"")))</f>
        <v/>
      </c>
      <c r="N596" s="8"/>
      <c r="O596" s="8"/>
      <c r="P596" s="8"/>
      <c r="Q596" s="14"/>
      <c r="R596" s="15"/>
      <c r="S596" s="15"/>
      <c r="T596" s="14"/>
      <c r="U596" s="14"/>
      <c r="V596" s="14"/>
      <c r="W596" s="18"/>
      <c r="X596" s="18"/>
      <c r="Y596" s="18"/>
      <c r="Z596" s="18"/>
      <c r="AA596" s="18"/>
      <c r="AB596" s="18"/>
      <c r="AC596" s="8" t="str">
        <f t="shared" si="74"/>
        <v/>
      </c>
      <c r="AD596" s="8"/>
      <c r="AE596" s="8"/>
      <c r="AF596" s="14"/>
      <c r="AG596" s="13"/>
      <c r="AH596" s="14"/>
      <c r="AI596" s="14"/>
      <c r="AJ596" s="8"/>
      <c r="AK596" s="8"/>
      <c r="AL596" s="8"/>
      <c r="AM596" s="8"/>
      <c r="AN596" s="631"/>
      <c r="AO596" s="18"/>
      <c r="AP596" s="18"/>
      <c r="AQ596" s="18"/>
      <c r="AR596" s="18"/>
      <c r="AS596" s="18"/>
      <c r="AU596" s="448"/>
      <c r="AV596" s="448"/>
      <c r="AW596" s="8" t="str">
        <f>IF(C596&gt;0,VLOOKUP(C596,Foundation_Calc!$A$2:$C$986,3,1),
IF(J596&gt;0,VLOOKUP(J596,Foundation_Calc!$A$2:$C$986,3,1),""))</f>
        <v/>
      </c>
      <c r="AX596" s="8" t="str">
        <f>IF(C596&gt;0,VLOOKUP(C596,Foundation_Calc!$E$2:$G$986,3,1),
IF(J596&gt;0,VLOOKUP(J596,Foundation_Calc!$E$2:$G$986,3,1),""))</f>
        <v/>
      </c>
      <c r="AY596" s="631" t="str">
        <f>IF(L596="","",
IF(AX596="PT",VLOOKUP(L596,Foundation_Calc!$K$4:$R$37,VLOOKUP(AW596,Foundation_Calc!$I$2:$J$8,2,FALSE),0),
IF(AX596="K",VLOOKUP(L596,Foundation_Calc!$K$41:$R$74,VLOOKUP(AW596,Foundation_Calc!$I$2:$J$8,2,FALSE),0),"")))</f>
        <v/>
      </c>
      <c r="AZ596" s="631" t="str">
        <f>IF(K596="","",
IF(AX596="PT",VLOOKUP(K596,Foundation_Calc!$K$4:$R$37,VLOOKUP(AW596,Foundation_Calc!$I$2:$J$8,2,FALSE),0),
IF(AX596="K",VLOOKUP(K596,Foundation_Calc!$K$41:$R$74,VLOOKUP(AW596,Foundation_Calc!$I$2:$J$8,2,FALSE),0),"")))</f>
        <v/>
      </c>
      <c r="BA596" s="632" t="str">
        <f t="shared" si="75"/>
        <v/>
      </c>
      <c r="BB596" s="632" t="str">
        <f t="shared" si="76"/>
        <v/>
      </c>
      <c r="BC596" s="632" t="str">
        <f t="shared" si="77"/>
        <v/>
      </c>
      <c r="BD596" s="633" t="str">
        <f>IF(AND(L596="",H596=""),"",
IF(H596="",Pole_Calc!A624,
IF(H596="MP",Pole_Calc!A625,
IF(H596="AnMP",Pole_Calc!A626,
IF(H596="A",Pole_Calc!A627,
IF(H596="S/A",Pole_Calc!A628,
IF(H596="A/S",Pole_Calc!A629,"Poner a mano")))))))</f>
        <v/>
      </c>
      <c r="BE596" s="448" t="s">
        <v>1726</v>
      </c>
      <c r="BF596" s="634"/>
      <c r="BG596" s="634"/>
      <c r="BH596" s="634"/>
      <c r="BI596" s="634"/>
    </row>
    <row r="597" spans="1:61" ht="16.2" customHeight="1">
      <c r="A597" s="12"/>
      <c r="B597" s="446"/>
      <c r="C597" s="89"/>
      <c r="D597" s="13"/>
      <c r="E597" s="14"/>
      <c r="F597" s="14"/>
      <c r="G597" s="15"/>
      <c r="H597" s="8"/>
      <c r="I597" s="8"/>
      <c r="J597" s="89"/>
      <c r="K597" s="8"/>
      <c r="L597" s="8"/>
      <c r="M597" s="8" t="str">
        <f>IF(L597="","",
IF(AX597="PT",VLOOKUP(L597,Foundation_Calc!$V$4:$X$37,VLOOKUP(AX597,Foundation_Calc!$I$10:$J$13,2,FALSE),0),
IF(AX597="K",VLOOKUP(L597,Foundation_Calc!$V$41:$X$74,VLOOKUP(AX597,Foundation_Calc!$I$10:$J$13,2,FALSE),0),"")))</f>
        <v/>
      </c>
      <c r="N597" s="8"/>
      <c r="O597" s="8"/>
      <c r="P597" s="8"/>
      <c r="Q597" s="14"/>
      <c r="R597" s="15"/>
      <c r="S597" s="15"/>
      <c r="T597" s="14"/>
      <c r="U597" s="14"/>
      <c r="V597" s="14"/>
      <c r="W597" s="18"/>
      <c r="X597" s="18"/>
      <c r="Y597" s="18"/>
      <c r="Z597" s="18"/>
      <c r="AA597" s="18"/>
      <c r="AB597" s="18"/>
      <c r="AC597" s="8" t="str">
        <f t="shared" si="74"/>
        <v/>
      </c>
      <c r="AD597" s="8"/>
      <c r="AE597" s="8"/>
      <c r="AF597" s="14"/>
      <c r="AG597" s="13"/>
      <c r="AH597" s="14"/>
      <c r="AI597" s="14"/>
      <c r="AJ597" s="8"/>
      <c r="AK597" s="8"/>
      <c r="AL597" s="8"/>
      <c r="AM597" s="8"/>
      <c r="AN597" s="631"/>
      <c r="AO597" s="18"/>
      <c r="AP597" s="18"/>
      <c r="AQ597" s="18"/>
      <c r="AR597" s="18"/>
      <c r="AS597" s="18"/>
      <c r="AU597" s="448"/>
      <c r="AV597" s="448"/>
      <c r="AW597" s="8" t="str">
        <f>IF(C597&gt;0,VLOOKUP(C597,Foundation_Calc!$A$2:$C$986,3,1),
IF(J597&gt;0,VLOOKUP(J597,Foundation_Calc!$A$2:$C$986,3,1),""))</f>
        <v/>
      </c>
      <c r="AX597" s="8" t="str">
        <f>IF(C597&gt;0,VLOOKUP(C597,Foundation_Calc!$E$2:$G$986,3,1),
IF(J597&gt;0,VLOOKUP(J597,Foundation_Calc!$E$2:$G$986,3,1),""))</f>
        <v/>
      </c>
      <c r="AY597" s="631" t="str">
        <f>IF(L597="","",
IF(AX597="PT",VLOOKUP(L597,Foundation_Calc!$K$4:$R$37,VLOOKUP(AW597,Foundation_Calc!$I$2:$J$8,2,FALSE),0),
IF(AX597="K",VLOOKUP(L597,Foundation_Calc!$K$41:$R$74,VLOOKUP(AW597,Foundation_Calc!$I$2:$J$8,2,FALSE),0),"")))</f>
        <v/>
      </c>
      <c r="AZ597" s="631" t="str">
        <f>IF(K597="","",
IF(AX597="PT",VLOOKUP(K597,Foundation_Calc!$K$4:$R$37,VLOOKUP(AW597,Foundation_Calc!$I$2:$J$8,2,FALSE),0),
IF(AX597="K",VLOOKUP(K597,Foundation_Calc!$K$41:$R$74,VLOOKUP(AW597,Foundation_Calc!$I$2:$J$8,2,FALSE),0),"")))</f>
        <v/>
      </c>
      <c r="BA597" s="632" t="str">
        <f t="shared" si="75"/>
        <v/>
      </c>
      <c r="BB597" s="632" t="str">
        <f t="shared" si="76"/>
        <v/>
      </c>
      <c r="BC597" s="632" t="str">
        <f t="shared" si="77"/>
        <v/>
      </c>
      <c r="BD597" s="633" t="str">
        <f>IF(AND(L597="",H597=""),"",
IF(H597="",Pole_Calc!A625,
IF(H597="MP",Pole_Calc!A626,
IF(H597="AnMP",Pole_Calc!A627,
IF(H597="A",Pole_Calc!A628,
IF(H597="S/A",Pole_Calc!A629,
IF(H597="A/S",Pole_Calc!A630,"Poner a mano")))))))</f>
        <v/>
      </c>
      <c r="BE597" s="448" t="s">
        <v>1726</v>
      </c>
      <c r="BF597" s="635"/>
      <c r="BG597" s="635"/>
      <c r="BH597" s="634"/>
      <c r="BI597" s="635"/>
    </row>
    <row r="598" spans="1:61" ht="16.2" customHeight="1">
      <c r="A598" s="12"/>
      <c r="B598" s="446"/>
      <c r="C598" s="89"/>
      <c r="D598" s="13"/>
      <c r="E598" s="14"/>
      <c r="F598" s="14"/>
      <c r="G598" s="15"/>
      <c r="H598" s="8"/>
      <c r="I598" s="8"/>
      <c r="J598" s="89"/>
      <c r="K598" s="8"/>
      <c r="L598" s="8"/>
      <c r="M598" s="8" t="str">
        <f>IF(L598="","",
IF(AX598="PT",VLOOKUP(L598,Foundation_Calc!$V$4:$X$37,VLOOKUP(AX598,Foundation_Calc!$I$10:$J$13,2,FALSE),0),
IF(AX598="K",VLOOKUP(L598,Foundation_Calc!$V$41:$X$74,VLOOKUP(AX598,Foundation_Calc!$I$10:$J$13,2,FALSE),0),"")))</f>
        <v/>
      </c>
      <c r="N598" s="8"/>
      <c r="O598" s="8"/>
      <c r="P598" s="8"/>
      <c r="Q598" s="14"/>
      <c r="R598" s="15"/>
      <c r="S598" s="15"/>
      <c r="T598" s="14"/>
      <c r="U598" s="14"/>
      <c r="V598" s="14"/>
      <c r="W598" s="18"/>
      <c r="X598" s="18"/>
      <c r="Y598" s="18"/>
      <c r="Z598" s="18"/>
      <c r="AA598" s="18"/>
      <c r="AB598" s="18"/>
      <c r="AC598" s="8" t="str">
        <f t="shared" si="74"/>
        <v/>
      </c>
      <c r="AD598" s="8"/>
      <c r="AE598" s="8"/>
      <c r="AF598" s="14"/>
      <c r="AG598" s="13"/>
      <c r="AH598" s="14"/>
      <c r="AI598" s="14"/>
      <c r="AJ598" s="8"/>
      <c r="AK598" s="8"/>
      <c r="AL598" s="8"/>
      <c r="AM598" s="8"/>
      <c r="AN598" s="631"/>
      <c r="AO598" s="18"/>
      <c r="AP598" s="18"/>
      <c r="AQ598" s="18"/>
      <c r="AR598" s="18"/>
      <c r="AS598" s="18"/>
      <c r="AU598" s="448"/>
      <c r="AV598" s="448"/>
      <c r="AW598" s="8" t="str">
        <f>IF(C598&gt;0,VLOOKUP(C598,Foundation_Calc!$A$2:$C$986,3,1),
IF(J598&gt;0,VLOOKUP(J598,Foundation_Calc!$A$2:$C$986,3,1),""))</f>
        <v/>
      </c>
      <c r="AX598" s="8" t="str">
        <f>IF(C598&gt;0,VLOOKUP(C598,Foundation_Calc!$E$2:$G$986,3,1),
IF(J598&gt;0,VLOOKUP(J598,Foundation_Calc!$E$2:$G$986,3,1),""))</f>
        <v/>
      </c>
      <c r="AY598" s="631" t="str">
        <f>IF(L598="","",
IF(AX598="PT",VLOOKUP(L598,Foundation_Calc!$K$4:$R$37,VLOOKUP(AW598,Foundation_Calc!$I$2:$J$8,2,FALSE),0),
IF(AX598="K",VLOOKUP(L598,Foundation_Calc!$K$41:$R$74,VLOOKUP(AW598,Foundation_Calc!$I$2:$J$8,2,FALSE),0),"")))</f>
        <v/>
      </c>
      <c r="AZ598" s="631" t="str">
        <f>IF(K598="","",
IF(AX598="PT",VLOOKUP(K598,Foundation_Calc!$K$4:$R$37,VLOOKUP(AW598,Foundation_Calc!$I$2:$J$8,2,FALSE),0),
IF(AX598="K",VLOOKUP(K598,Foundation_Calc!$K$41:$R$74,VLOOKUP(AW598,Foundation_Calc!$I$2:$J$8,2,FALSE),0),"")))</f>
        <v/>
      </c>
      <c r="BA598" s="632" t="str">
        <f t="shared" si="75"/>
        <v/>
      </c>
      <c r="BB598" s="632" t="str">
        <f t="shared" si="76"/>
        <v/>
      </c>
      <c r="BC598" s="632" t="str">
        <f t="shared" si="77"/>
        <v/>
      </c>
      <c r="BD598" s="633" t="str">
        <f>IF(AND(L598="",H598=""),"",
IF(H598="",Pole_Calc!A626,
IF(H598="MP",Pole_Calc!A627,
IF(H598="AnMP",Pole_Calc!A628,
IF(H598="A",Pole_Calc!A629,
IF(H598="S/A",Pole_Calc!A630,
IF(H598="A/S",Pole_Calc!A631,"Poner a mano")))))))</f>
        <v/>
      </c>
      <c r="BE598" s="448" t="s">
        <v>1726</v>
      </c>
      <c r="BF598" s="634"/>
      <c r="BG598" s="634"/>
      <c r="BH598" s="634"/>
      <c r="BI598" s="634"/>
    </row>
    <row r="599" spans="1:61" ht="16.2" customHeight="1">
      <c r="A599" s="12"/>
      <c r="B599" s="446"/>
      <c r="C599" s="89"/>
      <c r="D599" s="13"/>
      <c r="E599" s="14"/>
      <c r="F599" s="14"/>
      <c r="G599" s="15"/>
      <c r="H599" s="8"/>
      <c r="I599" s="8"/>
      <c r="J599" s="89"/>
      <c r="K599" s="8"/>
      <c r="L599" s="8"/>
      <c r="M599" s="8" t="str">
        <f>IF(L599="","",
IF(AX599="PT",VLOOKUP(L599,Foundation_Calc!$V$4:$X$37,VLOOKUP(AX599,Foundation_Calc!$I$10:$J$13,2,FALSE),0),
IF(AX599="K",VLOOKUP(L599,Foundation_Calc!$V$41:$X$74,VLOOKUP(AX599,Foundation_Calc!$I$10:$J$13,2,FALSE),0),"")))</f>
        <v/>
      </c>
      <c r="N599" s="8"/>
      <c r="O599" s="8"/>
      <c r="P599" s="8"/>
      <c r="Q599" s="14"/>
      <c r="R599" s="15"/>
      <c r="S599" s="15"/>
      <c r="T599" s="14"/>
      <c r="U599" s="14"/>
      <c r="V599" s="14"/>
      <c r="W599" s="18"/>
      <c r="X599" s="18"/>
      <c r="Y599" s="18"/>
      <c r="Z599" s="18"/>
      <c r="AA599" s="18"/>
      <c r="AB599" s="18"/>
      <c r="AC599" s="8" t="str">
        <f t="shared" si="74"/>
        <v/>
      </c>
      <c r="AD599" s="8"/>
      <c r="AE599" s="8"/>
      <c r="AF599" s="14"/>
      <c r="AG599" s="13"/>
      <c r="AH599" s="14"/>
      <c r="AI599" s="14"/>
      <c r="AJ599" s="8"/>
      <c r="AK599" s="8"/>
      <c r="AL599" s="8"/>
      <c r="AM599" s="8"/>
      <c r="AN599" s="631"/>
      <c r="AO599" s="18"/>
      <c r="AP599" s="18"/>
      <c r="AQ599" s="18"/>
      <c r="AR599" s="18"/>
      <c r="AS599" s="18"/>
      <c r="AU599" s="448"/>
      <c r="AV599" s="448"/>
      <c r="AW599" s="8" t="str">
        <f>IF(C599&gt;0,VLOOKUP(C599,Foundation_Calc!$A$2:$C$986,3,1),
IF(J599&gt;0,VLOOKUP(J599,Foundation_Calc!$A$2:$C$986,3,1),""))</f>
        <v/>
      </c>
      <c r="AX599" s="8" t="str">
        <f>IF(C599&gt;0,VLOOKUP(C599,Foundation_Calc!$E$2:$G$986,3,1),
IF(J599&gt;0,VLOOKUP(J599,Foundation_Calc!$E$2:$G$986,3,1),""))</f>
        <v/>
      </c>
      <c r="AY599" s="631" t="str">
        <f>IF(L599="","",
IF(AX599="PT",VLOOKUP(L599,Foundation_Calc!$K$4:$R$37,VLOOKUP(AW599,Foundation_Calc!$I$2:$J$8,2,FALSE),0),
IF(AX599="K",VLOOKUP(L599,Foundation_Calc!$K$41:$R$74,VLOOKUP(AW599,Foundation_Calc!$I$2:$J$8,2,FALSE),0),"")))</f>
        <v/>
      </c>
      <c r="AZ599" s="631" t="str">
        <f>IF(K599="","",
IF(AX599="PT",VLOOKUP(K599,Foundation_Calc!$K$4:$R$37,VLOOKUP(AW599,Foundation_Calc!$I$2:$J$8,2,FALSE),0),
IF(AX599="K",VLOOKUP(K599,Foundation_Calc!$K$41:$R$74,VLOOKUP(AW599,Foundation_Calc!$I$2:$J$8,2,FALSE),0),"")))</f>
        <v/>
      </c>
      <c r="BA599" s="632" t="str">
        <f t="shared" si="75"/>
        <v/>
      </c>
      <c r="BB599" s="632" t="str">
        <f t="shared" si="76"/>
        <v/>
      </c>
      <c r="BC599" s="632" t="str">
        <f t="shared" si="77"/>
        <v/>
      </c>
      <c r="BD599" s="633" t="str">
        <f>IF(AND(L599="",H599=""),"",
IF(H599="",Pole_Calc!A627,
IF(H599="MP",Pole_Calc!A628,
IF(H599="AnMP",Pole_Calc!A629,
IF(H599="A",Pole_Calc!A630,
IF(H599="S/A",Pole_Calc!A631,
IF(H599="A/S",Pole_Calc!A632,"Poner a mano")))))))</f>
        <v/>
      </c>
      <c r="BE599" s="448" t="s">
        <v>1726</v>
      </c>
      <c r="BF599" s="635"/>
      <c r="BG599" s="635"/>
      <c r="BH599" s="634"/>
      <c r="BI599" s="635"/>
    </row>
    <row r="600" spans="1:61" ht="16.2" customHeight="1">
      <c r="A600" s="12"/>
      <c r="B600" s="446"/>
      <c r="C600" s="89"/>
      <c r="D600" s="13"/>
      <c r="E600" s="14"/>
      <c r="F600" s="14"/>
      <c r="G600" s="15"/>
      <c r="H600" s="8"/>
      <c r="I600" s="8"/>
      <c r="J600" s="89"/>
      <c r="K600" s="8"/>
      <c r="L600" s="8"/>
      <c r="M600" s="8" t="str">
        <f>IF(L600="","",
IF(AX600="PT",VLOOKUP(L600,Foundation_Calc!$V$4:$X$37,VLOOKUP(AX600,Foundation_Calc!$I$10:$J$13,2,FALSE),0),
IF(AX600="K",VLOOKUP(L600,Foundation_Calc!$V$41:$X$74,VLOOKUP(AX600,Foundation_Calc!$I$10:$J$13,2,FALSE),0),"")))</f>
        <v/>
      </c>
      <c r="N600" s="8"/>
      <c r="O600" s="8"/>
      <c r="P600" s="8"/>
      <c r="Q600" s="14"/>
      <c r="R600" s="15"/>
      <c r="S600" s="15"/>
      <c r="T600" s="14"/>
      <c r="U600" s="14"/>
      <c r="V600" s="14"/>
      <c r="W600" s="18"/>
      <c r="X600" s="18"/>
      <c r="Y600" s="18"/>
      <c r="Z600" s="18"/>
      <c r="AA600" s="18"/>
      <c r="AB600" s="18"/>
      <c r="AC600" s="8" t="str">
        <f t="shared" si="74"/>
        <v/>
      </c>
      <c r="AD600" s="8"/>
      <c r="AE600" s="8"/>
      <c r="AF600" s="14"/>
      <c r="AG600" s="13"/>
      <c r="AH600" s="14"/>
      <c r="AI600" s="14"/>
      <c r="AJ600" s="8"/>
      <c r="AK600" s="8"/>
      <c r="AL600" s="8"/>
      <c r="AM600" s="8"/>
      <c r="AN600" s="631"/>
      <c r="AO600" s="18"/>
      <c r="AP600" s="18"/>
      <c r="AQ600" s="18"/>
      <c r="AR600" s="18"/>
      <c r="AS600" s="18"/>
      <c r="AU600" s="448"/>
      <c r="AV600" s="448"/>
      <c r="AW600" s="8" t="str">
        <f>IF(C600&gt;0,VLOOKUP(C600,Foundation_Calc!$A$2:$C$986,3,1),
IF(J600&gt;0,VLOOKUP(J600,Foundation_Calc!$A$2:$C$986,3,1),""))</f>
        <v/>
      </c>
      <c r="AX600" s="8" t="str">
        <f>IF(C600&gt;0,VLOOKUP(C600,Foundation_Calc!$E$2:$G$986,3,1),
IF(J600&gt;0,VLOOKUP(J600,Foundation_Calc!$E$2:$G$986,3,1),""))</f>
        <v/>
      </c>
      <c r="AY600" s="631" t="str">
        <f>IF(L600="","",
IF(AX600="PT",VLOOKUP(L600,Foundation_Calc!$K$4:$R$37,VLOOKUP(AW600,Foundation_Calc!$I$2:$J$8,2,FALSE),0),
IF(AX600="K",VLOOKUP(L600,Foundation_Calc!$K$41:$R$74,VLOOKUP(AW600,Foundation_Calc!$I$2:$J$8,2,FALSE),0),"")))</f>
        <v/>
      </c>
      <c r="AZ600" s="631" t="str">
        <f>IF(K600="","",
IF(AX600="PT",VLOOKUP(K600,Foundation_Calc!$K$4:$R$37,VLOOKUP(AW600,Foundation_Calc!$I$2:$J$8,2,FALSE),0),
IF(AX600="K",VLOOKUP(K600,Foundation_Calc!$K$41:$R$74,VLOOKUP(AW600,Foundation_Calc!$I$2:$J$8,2,FALSE),0),"")))</f>
        <v/>
      </c>
      <c r="BA600" s="632" t="str">
        <f t="shared" si="75"/>
        <v/>
      </c>
      <c r="BB600" s="632" t="str">
        <f t="shared" si="76"/>
        <v/>
      </c>
      <c r="BC600" s="632" t="str">
        <f t="shared" si="77"/>
        <v/>
      </c>
      <c r="BD600" s="633" t="str">
        <f>IF(AND(L600="",H600=""),"",
IF(H600="",Pole_Calc!A628,
IF(H600="MP",Pole_Calc!A629,
IF(H600="AnMP",Pole_Calc!A630,
IF(H600="A",Pole_Calc!A631,
IF(H600="S/A",Pole_Calc!A632,
IF(H600="A/S",Pole_Calc!A633,"Poner a mano")))))))</f>
        <v/>
      </c>
      <c r="BE600" s="448" t="s">
        <v>1726</v>
      </c>
      <c r="BF600" s="634"/>
      <c r="BG600" s="634"/>
      <c r="BH600" s="634"/>
      <c r="BI600" s="634"/>
    </row>
    <row r="601" spans="1:61" ht="16.2" customHeight="1">
      <c r="A601" s="12"/>
      <c r="B601" s="446"/>
      <c r="C601" s="89"/>
      <c r="D601" s="13"/>
      <c r="E601" s="14"/>
      <c r="F601" s="14"/>
      <c r="G601" s="15"/>
      <c r="H601" s="8"/>
      <c r="I601" s="8"/>
      <c r="J601" s="89"/>
      <c r="K601" s="8"/>
      <c r="L601" s="8"/>
      <c r="M601" s="8" t="str">
        <f>IF(L601="","",
IF(AX601="PT",VLOOKUP(L601,Foundation_Calc!$V$4:$X$37,VLOOKUP(AX601,Foundation_Calc!$I$10:$J$13,2,FALSE),0),
IF(AX601="K",VLOOKUP(L601,Foundation_Calc!$V$41:$X$74,VLOOKUP(AX601,Foundation_Calc!$I$10:$J$13,2,FALSE),0),"")))</f>
        <v/>
      </c>
      <c r="N601" s="8"/>
      <c r="O601" s="8"/>
      <c r="P601" s="8"/>
      <c r="Q601" s="14"/>
      <c r="R601" s="15"/>
      <c r="S601" s="15"/>
      <c r="T601" s="14"/>
      <c r="U601" s="14"/>
      <c r="V601" s="14"/>
      <c r="W601" s="18"/>
      <c r="X601" s="18"/>
      <c r="Y601" s="18"/>
      <c r="Z601" s="18"/>
      <c r="AA601" s="18"/>
      <c r="AB601" s="18"/>
      <c r="AC601" s="8" t="str">
        <f t="shared" si="74"/>
        <v/>
      </c>
      <c r="AD601" s="8"/>
      <c r="AE601" s="8"/>
      <c r="AF601" s="14"/>
      <c r="AG601" s="13"/>
      <c r="AH601" s="14"/>
      <c r="AI601" s="14"/>
      <c r="AJ601" s="8"/>
      <c r="AK601" s="8"/>
      <c r="AL601" s="8"/>
      <c r="AM601" s="8"/>
      <c r="AN601" s="631"/>
      <c r="AO601" s="18"/>
      <c r="AP601" s="18"/>
      <c r="AQ601" s="18"/>
      <c r="AR601" s="18"/>
      <c r="AS601" s="18"/>
      <c r="AU601" s="448"/>
      <c r="AV601" s="448"/>
      <c r="AW601" s="8" t="str">
        <f>IF(C601&gt;0,VLOOKUP(C601,Foundation_Calc!$A$2:$C$986,3,1),
IF(J601&gt;0,VLOOKUP(J601,Foundation_Calc!$A$2:$C$986,3,1),""))</f>
        <v/>
      </c>
      <c r="AX601" s="8" t="str">
        <f>IF(C601&gt;0,VLOOKUP(C601,Foundation_Calc!$E$2:$G$986,3,1),
IF(J601&gt;0,VLOOKUP(J601,Foundation_Calc!$E$2:$G$986,3,1),""))</f>
        <v/>
      </c>
      <c r="AY601" s="631" t="str">
        <f>IF(L601="","",
IF(AX601="PT",VLOOKUP(L601,Foundation_Calc!$K$4:$R$37,VLOOKUP(AW601,Foundation_Calc!$I$2:$J$8,2,FALSE),0),
IF(AX601="K",VLOOKUP(L601,Foundation_Calc!$K$41:$R$74,VLOOKUP(AW601,Foundation_Calc!$I$2:$J$8,2,FALSE),0),"")))</f>
        <v/>
      </c>
      <c r="AZ601" s="631" t="str">
        <f>IF(K601="","",
IF(AX601="PT",VLOOKUP(K601,Foundation_Calc!$K$4:$R$37,VLOOKUP(AW601,Foundation_Calc!$I$2:$J$8,2,FALSE),0),
IF(AX601="K",VLOOKUP(K601,Foundation_Calc!$K$41:$R$74,VLOOKUP(AW601,Foundation_Calc!$I$2:$J$8,2,FALSE),0),"")))</f>
        <v/>
      </c>
      <c r="BA601" s="632" t="str">
        <f t="shared" si="75"/>
        <v/>
      </c>
      <c r="BB601" s="632" t="str">
        <f t="shared" si="76"/>
        <v/>
      </c>
      <c r="BC601" s="632" t="str">
        <f t="shared" si="77"/>
        <v/>
      </c>
      <c r="BD601" s="633" t="str">
        <f>IF(AND(L601="",H601=""),"",
IF(H601="",Pole_Calc!A629,
IF(H601="MP",Pole_Calc!A630,
IF(H601="AnMP",Pole_Calc!A631,
IF(H601="A",Pole_Calc!A632,
IF(H601="S/A",Pole_Calc!A633,
IF(H601="A/S",Pole_Calc!A634,"Poner a mano")))))))</f>
        <v/>
      </c>
      <c r="BE601" s="448" t="s">
        <v>1726</v>
      </c>
      <c r="BF601" s="635"/>
      <c r="BG601" s="635"/>
      <c r="BH601" s="634"/>
      <c r="BI601" s="635"/>
    </row>
    <row r="602" spans="1:61" ht="16.2" customHeight="1">
      <c r="A602" s="12"/>
      <c r="B602" s="446"/>
      <c r="C602" s="89"/>
      <c r="D602" s="13"/>
      <c r="E602" s="14"/>
      <c r="F602" s="14"/>
      <c r="G602" s="15"/>
      <c r="H602" s="8"/>
      <c r="I602" s="8"/>
      <c r="J602" s="89"/>
      <c r="K602" s="8"/>
      <c r="L602" s="8"/>
      <c r="M602" s="8" t="str">
        <f>IF(L602="","",
IF(AX602="PT",VLOOKUP(L602,Foundation_Calc!$V$4:$X$37,VLOOKUP(AX602,Foundation_Calc!$I$10:$J$13,2,FALSE),0),
IF(AX602="K",VLOOKUP(L602,Foundation_Calc!$V$41:$X$74,VLOOKUP(AX602,Foundation_Calc!$I$10:$J$13,2,FALSE),0),"")))</f>
        <v/>
      </c>
      <c r="N602" s="8"/>
      <c r="O602" s="8"/>
      <c r="P602" s="8"/>
      <c r="Q602" s="14"/>
      <c r="R602" s="15"/>
      <c r="S602" s="15"/>
      <c r="T602" s="14"/>
      <c r="U602" s="14"/>
      <c r="V602" s="14"/>
      <c r="W602" s="18"/>
      <c r="X602" s="18"/>
      <c r="Y602" s="18"/>
      <c r="Z602" s="18"/>
      <c r="AA602" s="18"/>
      <c r="AB602" s="18"/>
      <c r="AC602" s="8" t="str">
        <f t="shared" si="74"/>
        <v/>
      </c>
      <c r="AD602" s="8"/>
      <c r="AE602" s="8"/>
      <c r="AF602" s="14"/>
      <c r="AG602" s="13"/>
      <c r="AH602" s="14"/>
      <c r="AI602" s="14"/>
      <c r="AJ602" s="8"/>
      <c r="AK602" s="8"/>
      <c r="AL602" s="8"/>
      <c r="AM602" s="8"/>
      <c r="AN602" s="631"/>
      <c r="AO602" s="18"/>
      <c r="AP602" s="18"/>
      <c r="AQ602" s="18"/>
      <c r="AR602" s="18"/>
      <c r="AS602" s="18"/>
      <c r="AU602" s="448"/>
      <c r="AV602" s="448"/>
      <c r="AW602" s="8" t="str">
        <f>IF(C602&gt;0,VLOOKUP(C602,Foundation_Calc!$A$2:$C$986,3,1),
IF(J602&gt;0,VLOOKUP(J602,Foundation_Calc!$A$2:$C$986,3,1),""))</f>
        <v/>
      </c>
      <c r="AX602" s="8" t="str">
        <f>IF(C602&gt;0,VLOOKUP(C602,Foundation_Calc!$E$2:$G$986,3,1),
IF(J602&gt;0,VLOOKUP(J602,Foundation_Calc!$E$2:$G$986,3,1),""))</f>
        <v/>
      </c>
      <c r="AY602" s="631" t="str">
        <f>IF(L602="","",
IF(AX602="PT",VLOOKUP(L602,Foundation_Calc!$K$4:$R$37,VLOOKUP(AW602,Foundation_Calc!$I$2:$J$8,2,FALSE),0),
IF(AX602="K",VLOOKUP(L602,Foundation_Calc!$K$41:$R$74,VLOOKUP(AW602,Foundation_Calc!$I$2:$J$8,2,FALSE),0),"")))</f>
        <v/>
      </c>
      <c r="AZ602" s="631" t="str">
        <f>IF(K602="","",
IF(AX602="PT",VLOOKUP(K602,Foundation_Calc!$K$4:$R$37,VLOOKUP(AW602,Foundation_Calc!$I$2:$J$8,2,FALSE),0),
IF(AX602="K",VLOOKUP(K602,Foundation_Calc!$K$41:$R$74,VLOOKUP(AW602,Foundation_Calc!$I$2:$J$8,2,FALSE),0),"")))</f>
        <v/>
      </c>
      <c r="BA602" s="632" t="str">
        <f t="shared" si="75"/>
        <v/>
      </c>
      <c r="BB602" s="632" t="str">
        <f t="shared" si="76"/>
        <v/>
      </c>
      <c r="BC602" s="632" t="str">
        <f t="shared" si="77"/>
        <v/>
      </c>
      <c r="BD602" s="633" t="str">
        <f>IF(AND(L602="",H602=""),"",
IF(H602="",Pole_Calc!A630,
IF(H602="MP",Pole_Calc!A631,
IF(H602="AnMP",Pole_Calc!A632,
IF(H602="A",Pole_Calc!A633,
IF(H602="S/A",Pole_Calc!A634,
IF(H602="A/S",Pole_Calc!A635,"Poner a mano")))))))</f>
        <v/>
      </c>
      <c r="BE602" s="448" t="s">
        <v>1726</v>
      </c>
      <c r="BF602" s="634"/>
      <c r="BG602" s="634"/>
      <c r="BH602" s="634"/>
      <c r="BI602" s="634"/>
    </row>
    <row r="603" spans="1:61" ht="16.2" customHeight="1">
      <c r="A603" s="12"/>
      <c r="B603" s="446"/>
      <c r="C603" s="89"/>
      <c r="D603" s="13"/>
      <c r="E603" s="14"/>
      <c r="F603" s="14"/>
      <c r="G603" s="15"/>
      <c r="H603" s="8"/>
      <c r="I603" s="8"/>
      <c r="J603" s="89"/>
      <c r="K603" s="8"/>
      <c r="L603" s="8"/>
      <c r="M603" s="8" t="str">
        <f>IF(L603="","",
IF(AX603="PT",VLOOKUP(L603,Foundation_Calc!$V$4:$X$37,VLOOKUP(AX603,Foundation_Calc!$I$10:$J$13,2,FALSE),0),
IF(AX603="K",VLOOKUP(L603,Foundation_Calc!$V$41:$X$74,VLOOKUP(AX603,Foundation_Calc!$I$10:$J$13,2,FALSE),0),"")))</f>
        <v/>
      </c>
      <c r="N603" s="8"/>
      <c r="O603" s="8"/>
      <c r="P603" s="8"/>
      <c r="Q603" s="14"/>
      <c r="R603" s="15"/>
      <c r="S603" s="15"/>
      <c r="T603" s="14"/>
      <c r="U603" s="14"/>
      <c r="V603" s="14"/>
      <c r="W603" s="18"/>
      <c r="X603" s="18"/>
      <c r="Y603" s="18"/>
      <c r="Z603" s="18"/>
      <c r="AA603" s="18"/>
      <c r="AB603" s="18"/>
      <c r="AC603" s="8" t="str">
        <f t="shared" si="74"/>
        <v/>
      </c>
      <c r="AD603" s="8"/>
      <c r="AE603" s="8"/>
      <c r="AF603" s="14"/>
      <c r="AG603" s="13"/>
      <c r="AH603" s="14"/>
      <c r="AI603" s="14"/>
      <c r="AJ603" s="8"/>
      <c r="AK603" s="8"/>
      <c r="AL603" s="8"/>
      <c r="AM603" s="8"/>
      <c r="AN603" s="631"/>
      <c r="AO603" s="18"/>
      <c r="AP603" s="18"/>
      <c r="AQ603" s="18"/>
      <c r="AR603" s="18"/>
      <c r="AS603" s="18"/>
      <c r="AU603" s="448"/>
      <c r="AV603" s="448"/>
      <c r="AW603" s="8" t="str">
        <f>IF(C603&gt;0,VLOOKUP(C603,Foundation_Calc!$A$2:$C$986,3,1),
IF(J603&gt;0,VLOOKUP(J603,Foundation_Calc!$A$2:$C$986,3,1),""))</f>
        <v/>
      </c>
      <c r="AX603" s="8" t="str">
        <f>IF(C603&gt;0,VLOOKUP(C603,Foundation_Calc!$E$2:$G$986,3,1),
IF(J603&gt;0,VLOOKUP(J603,Foundation_Calc!$E$2:$G$986,3,1),""))</f>
        <v/>
      </c>
      <c r="AY603" s="631" t="str">
        <f>IF(L603="","",
IF(AX603="PT",VLOOKUP(L603,Foundation_Calc!$K$4:$R$37,VLOOKUP(AW603,Foundation_Calc!$I$2:$J$8,2,FALSE),0),
IF(AX603="K",VLOOKUP(L603,Foundation_Calc!$K$41:$R$74,VLOOKUP(AW603,Foundation_Calc!$I$2:$J$8,2,FALSE),0),"")))</f>
        <v/>
      </c>
      <c r="AZ603" s="631" t="str">
        <f>IF(K603="","",
IF(AX603="PT",VLOOKUP(K603,Foundation_Calc!$K$4:$R$37,VLOOKUP(AW603,Foundation_Calc!$I$2:$J$8,2,FALSE),0),
IF(AX603="K",VLOOKUP(K603,Foundation_Calc!$K$41:$R$74,VLOOKUP(AW603,Foundation_Calc!$I$2:$J$8,2,FALSE),0),"")))</f>
        <v/>
      </c>
      <c r="BA603" s="632" t="str">
        <f t="shared" si="75"/>
        <v/>
      </c>
      <c r="BB603" s="632" t="str">
        <f t="shared" si="76"/>
        <v/>
      </c>
      <c r="BC603" s="632" t="str">
        <f t="shared" si="77"/>
        <v/>
      </c>
      <c r="BD603" s="633" t="str">
        <f>IF(AND(L603="",H603=""),"",
IF(H603="",Pole_Calc!A631,
IF(H603="MP",Pole_Calc!A632,
IF(H603="AnMP",Pole_Calc!A633,
IF(H603="A",Pole_Calc!A634,
IF(H603="S/A",Pole_Calc!A635,
IF(H603="A/S",Pole_Calc!A636,"Poner a mano")))))))</f>
        <v/>
      </c>
      <c r="BE603" s="448" t="s">
        <v>1726</v>
      </c>
      <c r="BF603" s="635"/>
      <c r="BG603" s="635"/>
      <c r="BH603" s="634"/>
      <c r="BI603" s="635"/>
    </row>
    <row r="604" spans="1:61" ht="16.2" customHeight="1">
      <c r="A604" s="12"/>
      <c r="B604" s="446"/>
      <c r="C604" s="89"/>
      <c r="D604" s="13"/>
      <c r="E604" s="14"/>
      <c r="F604" s="14"/>
      <c r="G604" s="15"/>
      <c r="H604" s="8"/>
      <c r="I604" s="8"/>
      <c r="J604" s="89"/>
      <c r="K604" s="8"/>
      <c r="L604" s="8"/>
      <c r="M604" s="8" t="str">
        <f>IF(L604="","",
IF(AX604="PT",VLOOKUP(L604,Foundation_Calc!$V$4:$X$37,VLOOKUP(AX604,Foundation_Calc!$I$10:$J$13,2,FALSE),0),
IF(AX604="K",VLOOKUP(L604,Foundation_Calc!$V$41:$X$74,VLOOKUP(AX604,Foundation_Calc!$I$10:$J$13,2,FALSE),0),"")))</f>
        <v/>
      </c>
      <c r="N604" s="8"/>
      <c r="O604" s="8"/>
      <c r="P604" s="8"/>
      <c r="Q604" s="14"/>
      <c r="R604" s="15"/>
      <c r="S604" s="15"/>
      <c r="T604" s="14"/>
      <c r="U604" s="14"/>
      <c r="V604" s="14"/>
      <c r="W604" s="18"/>
      <c r="X604" s="18"/>
      <c r="Y604" s="18"/>
      <c r="Z604" s="18"/>
      <c r="AA604" s="18"/>
      <c r="AB604" s="18"/>
      <c r="AC604" s="8" t="str">
        <f t="shared" si="74"/>
        <v/>
      </c>
      <c r="AD604" s="8"/>
      <c r="AE604" s="8"/>
      <c r="AF604" s="14"/>
      <c r="AG604" s="13"/>
      <c r="AH604" s="14"/>
      <c r="AI604" s="14"/>
      <c r="AJ604" s="8"/>
      <c r="AK604" s="8"/>
      <c r="AL604" s="8"/>
      <c r="AM604" s="8"/>
      <c r="AN604" s="631"/>
      <c r="AO604" s="18"/>
      <c r="AP604" s="18"/>
      <c r="AQ604" s="18"/>
      <c r="AR604" s="18"/>
      <c r="AS604" s="18"/>
      <c r="AU604" s="448"/>
      <c r="AV604" s="448"/>
      <c r="AW604" s="8" t="str">
        <f>IF(C604&gt;0,VLOOKUP(C604,Foundation_Calc!$A$2:$C$986,3,1),
IF(J604&gt;0,VLOOKUP(J604,Foundation_Calc!$A$2:$C$986,3,1),""))</f>
        <v/>
      </c>
      <c r="AX604" s="8" t="str">
        <f>IF(C604&gt;0,VLOOKUP(C604,Foundation_Calc!$E$2:$G$986,3,1),
IF(J604&gt;0,VLOOKUP(J604,Foundation_Calc!$E$2:$G$986,3,1),""))</f>
        <v/>
      </c>
      <c r="AY604" s="631" t="str">
        <f>IF(L604="","",
IF(AX604="PT",VLOOKUP(L604,Foundation_Calc!$K$4:$R$37,VLOOKUP(AW604,Foundation_Calc!$I$2:$J$8,2,FALSE),0),
IF(AX604="K",VLOOKUP(L604,Foundation_Calc!$K$41:$R$74,VLOOKUP(AW604,Foundation_Calc!$I$2:$J$8,2,FALSE),0),"")))</f>
        <v/>
      </c>
      <c r="AZ604" s="631" t="str">
        <f>IF(K604="","",
IF(AX604="PT",VLOOKUP(K604,Foundation_Calc!$K$4:$R$37,VLOOKUP(AW604,Foundation_Calc!$I$2:$J$8,2,FALSE),0),
IF(AX604="K",VLOOKUP(K604,Foundation_Calc!$K$41:$R$74,VLOOKUP(AW604,Foundation_Calc!$I$2:$J$8,2,FALSE),0),"")))</f>
        <v/>
      </c>
      <c r="BA604" s="632" t="str">
        <f t="shared" si="75"/>
        <v/>
      </c>
      <c r="BB604" s="632" t="str">
        <f t="shared" si="76"/>
        <v/>
      </c>
      <c r="BC604" s="632" t="str">
        <f t="shared" si="77"/>
        <v/>
      </c>
      <c r="BD604" s="633" t="str">
        <f>IF(AND(L604="",H604=""),"",
IF(H604="",Pole_Calc!A632,
IF(H604="MP",Pole_Calc!A633,
IF(H604="AnMP",Pole_Calc!A634,
IF(H604="A",Pole_Calc!A635,
IF(H604="S/A",Pole_Calc!A636,
IF(H604="A/S",Pole_Calc!A637,"Poner a mano")))))))</f>
        <v/>
      </c>
      <c r="BE604" s="448" t="s">
        <v>1726</v>
      </c>
      <c r="BF604" s="634"/>
      <c r="BG604" s="634"/>
      <c r="BH604" s="634"/>
      <c r="BI604" s="634"/>
    </row>
    <row r="605" spans="1:61" ht="16.2" customHeight="1">
      <c r="A605" s="12"/>
      <c r="B605" s="446"/>
      <c r="C605" s="89"/>
      <c r="D605" s="13"/>
      <c r="E605" s="14"/>
      <c r="F605" s="14"/>
      <c r="G605" s="15"/>
      <c r="H605" s="8"/>
      <c r="I605" s="8"/>
      <c r="J605" s="89"/>
      <c r="K605" s="8"/>
      <c r="L605" s="8"/>
      <c r="M605" s="8" t="str">
        <f>IF(L605="","",
IF(AX605="PT",VLOOKUP(L605,Foundation_Calc!$V$4:$X$37,VLOOKUP(AX605,Foundation_Calc!$I$10:$J$13,2,FALSE),0),
IF(AX605="K",VLOOKUP(L605,Foundation_Calc!$V$41:$X$74,VLOOKUP(AX605,Foundation_Calc!$I$10:$J$13,2,FALSE),0),"")))</f>
        <v/>
      </c>
      <c r="N605" s="8"/>
      <c r="O605" s="8"/>
      <c r="P605" s="8"/>
      <c r="Q605" s="14"/>
      <c r="R605" s="15"/>
      <c r="S605" s="15"/>
      <c r="T605" s="14"/>
      <c r="U605" s="14"/>
      <c r="V605" s="14"/>
      <c r="W605" s="18"/>
      <c r="X605" s="18"/>
      <c r="Y605" s="18"/>
      <c r="Z605" s="18"/>
      <c r="AA605" s="18"/>
      <c r="AB605" s="18"/>
      <c r="AC605" s="8" t="str">
        <f t="shared" si="74"/>
        <v/>
      </c>
      <c r="AD605" s="8"/>
      <c r="AE605" s="8"/>
      <c r="AF605" s="14"/>
      <c r="AG605" s="13"/>
      <c r="AH605" s="14"/>
      <c r="AI605" s="14"/>
      <c r="AJ605" s="8"/>
      <c r="AK605" s="8"/>
      <c r="AL605" s="8"/>
      <c r="AM605" s="8"/>
      <c r="AN605" s="631"/>
      <c r="AO605" s="18"/>
      <c r="AP605" s="18"/>
      <c r="AQ605" s="18"/>
      <c r="AR605" s="18"/>
      <c r="AS605" s="18"/>
      <c r="AU605" s="448"/>
      <c r="AV605" s="448"/>
      <c r="AW605" s="8" t="str">
        <f>IF(C605&gt;0,VLOOKUP(C605,Foundation_Calc!$A$2:$C$986,3,1),
IF(J605&gt;0,VLOOKUP(J605,Foundation_Calc!$A$2:$C$986,3,1),""))</f>
        <v/>
      </c>
      <c r="AX605" s="8" t="str">
        <f>IF(C605&gt;0,VLOOKUP(C605,Foundation_Calc!$E$2:$G$986,3,1),
IF(J605&gt;0,VLOOKUP(J605,Foundation_Calc!$E$2:$G$986,3,1),""))</f>
        <v/>
      </c>
      <c r="AY605" s="631" t="str">
        <f>IF(L605="","",
IF(AX605="PT",VLOOKUP(L605,Foundation_Calc!$K$4:$R$37,VLOOKUP(AW605,Foundation_Calc!$I$2:$J$8,2,FALSE),0),
IF(AX605="K",VLOOKUP(L605,Foundation_Calc!$K$41:$R$74,VLOOKUP(AW605,Foundation_Calc!$I$2:$J$8,2,FALSE),0),"")))</f>
        <v/>
      </c>
      <c r="AZ605" s="631" t="str">
        <f>IF(K605="","",
IF(AX605="PT",VLOOKUP(K605,Foundation_Calc!$K$4:$R$37,VLOOKUP(AW605,Foundation_Calc!$I$2:$J$8,2,FALSE),0),
IF(AX605="K",VLOOKUP(K605,Foundation_Calc!$K$41:$R$74,VLOOKUP(AW605,Foundation_Calc!$I$2:$J$8,2,FALSE),0),"")))</f>
        <v/>
      </c>
      <c r="BA605" s="632" t="str">
        <f t="shared" si="75"/>
        <v/>
      </c>
      <c r="BB605" s="632" t="str">
        <f t="shared" si="76"/>
        <v/>
      </c>
      <c r="BC605" s="632" t="str">
        <f t="shared" si="77"/>
        <v/>
      </c>
      <c r="BD605" s="633" t="str">
        <f>IF(AND(L605="",H605=""),"",
IF(H605="",Pole_Calc!A633,
IF(H605="MP",Pole_Calc!A634,
IF(H605="AnMP",Pole_Calc!A635,
IF(H605="A",Pole_Calc!A636,
IF(H605="S/A",Pole_Calc!A637,
IF(H605="A/S",Pole_Calc!A638,"Poner a mano")))))))</f>
        <v/>
      </c>
      <c r="BE605" s="448" t="s">
        <v>1726</v>
      </c>
      <c r="BF605" s="635"/>
      <c r="BG605" s="635"/>
      <c r="BH605" s="634"/>
      <c r="BI605" s="635"/>
    </row>
    <row r="606" spans="1:61" ht="16.2" customHeight="1">
      <c r="A606" s="12"/>
      <c r="B606" s="446"/>
      <c r="C606" s="89"/>
      <c r="D606" s="13"/>
      <c r="E606" s="14"/>
      <c r="F606" s="14"/>
      <c r="G606" s="15"/>
      <c r="H606" s="8"/>
      <c r="I606" s="8"/>
      <c r="J606" s="89"/>
      <c r="K606" s="8"/>
      <c r="L606" s="8"/>
      <c r="M606" s="8" t="str">
        <f>IF(L606="","",
IF(AX606="PT",VLOOKUP(L606,Foundation_Calc!$V$4:$X$37,VLOOKUP(AX606,Foundation_Calc!$I$10:$J$13,2,FALSE),0),
IF(AX606="K",VLOOKUP(L606,Foundation_Calc!$V$41:$X$74,VLOOKUP(AX606,Foundation_Calc!$I$10:$J$13,2,FALSE),0),"")))</f>
        <v/>
      </c>
      <c r="N606" s="8"/>
      <c r="O606" s="8"/>
      <c r="P606" s="8"/>
      <c r="Q606" s="14"/>
      <c r="R606" s="15"/>
      <c r="S606" s="15"/>
      <c r="T606" s="14"/>
      <c r="U606" s="14"/>
      <c r="V606" s="14"/>
      <c r="W606" s="18"/>
      <c r="X606" s="18"/>
      <c r="Y606" s="18"/>
      <c r="Z606" s="18"/>
      <c r="AA606" s="18"/>
      <c r="AB606" s="18"/>
      <c r="AC606" s="8" t="str">
        <f t="shared" si="74"/>
        <v/>
      </c>
      <c r="AD606" s="8"/>
      <c r="AE606" s="8"/>
      <c r="AF606" s="14"/>
      <c r="AG606" s="13"/>
      <c r="AH606" s="14"/>
      <c r="AI606" s="14"/>
      <c r="AJ606" s="8"/>
      <c r="AK606" s="8"/>
      <c r="AL606" s="8"/>
      <c r="AM606" s="8"/>
      <c r="AN606" s="631"/>
      <c r="AO606" s="18"/>
      <c r="AP606" s="18"/>
      <c r="AQ606" s="18"/>
      <c r="AR606" s="18"/>
      <c r="AS606" s="18"/>
      <c r="AU606" s="448"/>
      <c r="AV606" s="448"/>
      <c r="AW606" s="8" t="str">
        <f>IF(C606&gt;0,VLOOKUP(C606,Foundation_Calc!$A$2:$C$986,3,1),
IF(J606&gt;0,VLOOKUP(J606,Foundation_Calc!$A$2:$C$986,3,1),""))</f>
        <v/>
      </c>
      <c r="AX606" s="8" t="str">
        <f>IF(C606&gt;0,VLOOKUP(C606,Foundation_Calc!$E$2:$G$986,3,1),
IF(J606&gt;0,VLOOKUP(J606,Foundation_Calc!$E$2:$G$986,3,1),""))</f>
        <v/>
      </c>
      <c r="AY606" s="631" t="str">
        <f>IF(L606="","",
IF(AX606="PT",VLOOKUP(L606,Foundation_Calc!$K$4:$R$37,VLOOKUP(AW606,Foundation_Calc!$I$2:$J$8,2,FALSE),0),
IF(AX606="K",VLOOKUP(L606,Foundation_Calc!$K$41:$R$74,VLOOKUP(AW606,Foundation_Calc!$I$2:$J$8,2,FALSE),0),"")))</f>
        <v/>
      </c>
      <c r="AZ606" s="631" t="str">
        <f>IF(K606="","",
IF(AX606="PT",VLOOKUP(K606,Foundation_Calc!$K$4:$R$37,VLOOKUP(AW606,Foundation_Calc!$I$2:$J$8,2,FALSE),0),
IF(AX606="K",VLOOKUP(K606,Foundation_Calc!$K$41:$R$74,VLOOKUP(AW606,Foundation_Calc!$I$2:$J$8,2,FALSE),0),"")))</f>
        <v/>
      </c>
      <c r="BA606" s="632" t="str">
        <f t="shared" si="75"/>
        <v/>
      </c>
      <c r="BB606" s="632" t="str">
        <f t="shared" si="76"/>
        <v/>
      </c>
      <c r="BC606" s="632" t="str">
        <f t="shared" si="77"/>
        <v/>
      </c>
      <c r="BD606" s="633" t="str">
        <f>IF(AND(L606="",H606=""),"",
IF(H606="",Pole_Calc!A634,
IF(H606="MP",Pole_Calc!A635,
IF(H606="AnMP",Pole_Calc!A636,
IF(H606="A",Pole_Calc!A637,
IF(H606="S/A",Pole_Calc!A638,
IF(H606="A/S",Pole_Calc!A639,"Poner a mano")))))))</f>
        <v/>
      </c>
      <c r="BE606" s="448" t="s">
        <v>1726</v>
      </c>
      <c r="BF606" s="634"/>
      <c r="BG606" s="634"/>
      <c r="BH606" s="634"/>
      <c r="BI606" s="634"/>
    </row>
    <row r="607" spans="1:61" ht="16.2" customHeight="1">
      <c r="A607" s="12"/>
      <c r="B607" s="446"/>
      <c r="C607" s="89"/>
      <c r="D607" s="13"/>
      <c r="E607" s="14"/>
      <c r="F607" s="14"/>
      <c r="G607" s="15"/>
      <c r="H607" s="8"/>
      <c r="I607" s="8"/>
      <c r="J607" s="89"/>
      <c r="K607" s="8"/>
      <c r="L607" s="8"/>
      <c r="M607" s="8" t="str">
        <f>IF(L607="","",
IF(AX607="PT",VLOOKUP(L607,Foundation_Calc!$V$4:$X$37,VLOOKUP(AX607,Foundation_Calc!$I$10:$J$13,2,FALSE),0),
IF(AX607="K",VLOOKUP(L607,Foundation_Calc!$V$41:$X$74,VLOOKUP(AX607,Foundation_Calc!$I$10:$J$13,2,FALSE),0),"")))</f>
        <v/>
      </c>
      <c r="N607" s="8"/>
      <c r="O607" s="8"/>
      <c r="P607" s="8"/>
      <c r="Q607" s="14"/>
      <c r="R607" s="15"/>
      <c r="S607" s="15"/>
      <c r="T607" s="14"/>
      <c r="U607" s="14"/>
      <c r="V607" s="14"/>
      <c r="W607" s="18"/>
      <c r="X607" s="18"/>
      <c r="Y607" s="18"/>
      <c r="Z607" s="18"/>
      <c r="AA607" s="18"/>
      <c r="AB607" s="18"/>
      <c r="AC607" s="8" t="str">
        <f t="shared" si="74"/>
        <v/>
      </c>
      <c r="AD607" s="8"/>
      <c r="AE607" s="8"/>
      <c r="AF607" s="14"/>
      <c r="AG607" s="13"/>
      <c r="AH607" s="14"/>
      <c r="AI607" s="14"/>
      <c r="AJ607" s="8"/>
      <c r="AK607" s="8"/>
      <c r="AL607" s="8"/>
      <c r="AM607" s="8"/>
      <c r="AN607" s="631"/>
      <c r="AO607" s="18"/>
      <c r="AP607" s="18"/>
      <c r="AQ607" s="18"/>
      <c r="AR607" s="18"/>
      <c r="AS607" s="18"/>
      <c r="AU607" s="448"/>
      <c r="AV607" s="448"/>
      <c r="AW607" s="8" t="str">
        <f>IF(C607&gt;0,VLOOKUP(C607,Foundation_Calc!$A$2:$C$986,3,1),
IF(J607&gt;0,VLOOKUP(J607,Foundation_Calc!$A$2:$C$986,3,1),""))</f>
        <v/>
      </c>
      <c r="AX607" s="8" t="str">
        <f>IF(C607&gt;0,VLOOKUP(C607,Foundation_Calc!$E$2:$G$986,3,1),
IF(J607&gt;0,VLOOKUP(J607,Foundation_Calc!$E$2:$G$986,3,1),""))</f>
        <v/>
      </c>
      <c r="AY607" s="631" t="str">
        <f>IF(L607="","",
IF(AX607="PT",VLOOKUP(L607,Foundation_Calc!$K$4:$R$37,VLOOKUP(AW607,Foundation_Calc!$I$2:$J$8,2,FALSE),0),
IF(AX607="K",VLOOKUP(L607,Foundation_Calc!$K$41:$R$74,VLOOKUP(AW607,Foundation_Calc!$I$2:$J$8,2,FALSE),0),"")))</f>
        <v/>
      </c>
      <c r="AZ607" s="631" t="str">
        <f>IF(K607="","",
IF(AX607="PT",VLOOKUP(K607,Foundation_Calc!$K$4:$R$37,VLOOKUP(AW607,Foundation_Calc!$I$2:$J$8,2,FALSE),0),
IF(AX607="K",VLOOKUP(K607,Foundation_Calc!$K$41:$R$74,VLOOKUP(AW607,Foundation_Calc!$I$2:$J$8,2,FALSE),0),"")))</f>
        <v/>
      </c>
      <c r="BA607" s="632" t="str">
        <f t="shared" si="75"/>
        <v/>
      </c>
      <c r="BB607" s="632" t="str">
        <f t="shared" si="76"/>
        <v/>
      </c>
      <c r="BC607" s="632" t="str">
        <f t="shared" si="77"/>
        <v/>
      </c>
      <c r="BD607" s="633" t="str">
        <f>IF(AND(L607="",H607=""),"",
IF(H607="",Pole_Calc!A635,
IF(H607="MP",Pole_Calc!A636,
IF(H607="AnMP",Pole_Calc!A637,
IF(H607="A",Pole_Calc!A638,
IF(H607="S/A",Pole_Calc!A639,
IF(H607="A/S",Pole_Calc!A640,"Poner a mano")))))))</f>
        <v/>
      </c>
      <c r="BE607" s="448" t="s">
        <v>1726</v>
      </c>
      <c r="BF607" s="635"/>
      <c r="BG607" s="635"/>
      <c r="BH607" s="634"/>
      <c r="BI607" s="635"/>
    </row>
    <row r="608" spans="1:61" ht="16.2" customHeight="1">
      <c r="A608" s="12"/>
      <c r="B608" s="446"/>
      <c r="C608" s="89"/>
      <c r="D608" s="13"/>
      <c r="E608" s="14"/>
      <c r="F608" s="14"/>
      <c r="G608" s="15"/>
      <c r="H608" s="8"/>
      <c r="I608" s="8"/>
      <c r="J608" s="89"/>
      <c r="K608" s="8"/>
      <c r="L608" s="8"/>
      <c r="M608" s="8" t="str">
        <f>IF(L608="","",
IF(AX608="PT",VLOOKUP(L608,Foundation_Calc!$V$4:$X$37,VLOOKUP(AX608,Foundation_Calc!$I$10:$J$13,2,FALSE),0),
IF(AX608="K",VLOOKUP(L608,Foundation_Calc!$V$41:$X$74,VLOOKUP(AX608,Foundation_Calc!$I$10:$J$13,2,FALSE),0),"")))</f>
        <v/>
      </c>
      <c r="N608" s="8"/>
      <c r="O608" s="8"/>
      <c r="P608" s="8"/>
      <c r="Q608" s="14"/>
      <c r="R608" s="15"/>
      <c r="S608" s="15"/>
      <c r="T608" s="14"/>
      <c r="U608" s="14"/>
      <c r="V608" s="14"/>
      <c r="W608" s="18"/>
      <c r="X608" s="18"/>
      <c r="Y608" s="18"/>
      <c r="Z608" s="18"/>
      <c r="AA608" s="18"/>
      <c r="AB608" s="18"/>
      <c r="AC608" s="8" t="str">
        <f t="shared" si="74"/>
        <v/>
      </c>
      <c r="AD608" s="8"/>
      <c r="AE608" s="8"/>
      <c r="AF608" s="14"/>
      <c r="AG608" s="13"/>
      <c r="AH608" s="14"/>
      <c r="AI608" s="14"/>
      <c r="AJ608" s="8"/>
      <c r="AK608" s="8"/>
      <c r="AL608" s="8"/>
      <c r="AM608" s="8"/>
      <c r="AN608" s="631"/>
      <c r="AO608" s="18"/>
      <c r="AP608" s="18"/>
      <c r="AQ608" s="18"/>
      <c r="AR608" s="18"/>
      <c r="AS608" s="18"/>
      <c r="AU608" s="448"/>
      <c r="AV608" s="448"/>
      <c r="AW608" s="8" t="str">
        <f>IF(C608&gt;0,VLOOKUP(C608,Foundation_Calc!$A$2:$C$986,3,1),
IF(J608&gt;0,VLOOKUP(J608,Foundation_Calc!$A$2:$C$986,3,1),""))</f>
        <v/>
      </c>
      <c r="AX608" s="8" t="str">
        <f>IF(C608&gt;0,VLOOKUP(C608,Foundation_Calc!$E$2:$G$986,3,1),
IF(J608&gt;0,VLOOKUP(J608,Foundation_Calc!$E$2:$G$986,3,1),""))</f>
        <v/>
      </c>
      <c r="AY608" s="631" t="str">
        <f>IF(L608="","",
IF(AX608="PT",VLOOKUP(L608,Foundation_Calc!$K$4:$R$37,VLOOKUP(AW608,Foundation_Calc!$I$2:$J$8,2,FALSE),0),
IF(AX608="K",VLOOKUP(L608,Foundation_Calc!$K$41:$R$74,VLOOKUP(AW608,Foundation_Calc!$I$2:$J$8,2,FALSE),0),"")))</f>
        <v/>
      </c>
      <c r="AZ608" s="631" t="str">
        <f>IF(K608="","",
IF(AX608="PT",VLOOKUP(K608,Foundation_Calc!$K$4:$R$37,VLOOKUP(AW608,Foundation_Calc!$I$2:$J$8,2,FALSE),0),
IF(AX608="K",VLOOKUP(K608,Foundation_Calc!$K$41:$R$74,VLOOKUP(AW608,Foundation_Calc!$I$2:$J$8,2,FALSE),0),"")))</f>
        <v/>
      </c>
      <c r="BA608" s="632" t="str">
        <f t="shared" si="75"/>
        <v/>
      </c>
      <c r="BB608" s="632" t="str">
        <f t="shared" si="76"/>
        <v/>
      </c>
      <c r="BC608" s="632" t="str">
        <f t="shared" si="77"/>
        <v/>
      </c>
      <c r="BD608" s="633" t="str">
        <f>IF(AND(L608="",H608=""),"",
IF(H608="",Pole_Calc!A636,
IF(H608="MP",Pole_Calc!A637,
IF(H608="AnMP",Pole_Calc!A638,
IF(H608="A",Pole_Calc!A639,
IF(H608="S/A",Pole_Calc!A640,
IF(H608="A/S",Pole_Calc!A641,"Poner a mano")))))))</f>
        <v/>
      </c>
      <c r="BE608" s="448" t="s">
        <v>1726</v>
      </c>
      <c r="BF608" s="634"/>
      <c r="BG608" s="634"/>
      <c r="BH608" s="634"/>
      <c r="BI608" s="634"/>
    </row>
    <row r="609" spans="1:61" ht="16.2" customHeight="1">
      <c r="A609" s="12"/>
      <c r="B609" s="446"/>
      <c r="C609" s="89"/>
      <c r="D609" s="13"/>
      <c r="E609" s="14"/>
      <c r="F609" s="14"/>
      <c r="G609" s="15"/>
      <c r="H609" s="8"/>
      <c r="I609" s="8"/>
      <c r="J609" s="89"/>
      <c r="K609" s="8"/>
      <c r="L609" s="8"/>
      <c r="M609" s="8" t="str">
        <f>IF(L609="","",
IF(AX609="PT",VLOOKUP(L609,Foundation_Calc!$V$4:$X$37,VLOOKUP(AX609,Foundation_Calc!$I$10:$J$13,2,FALSE),0),
IF(AX609="K",VLOOKUP(L609,Foundation_Calc!$V$41:$X$74,VLOOKUP(AX609,Foundation_Calc!$I$10:$J$13,2,FALSE),0),"")))</f>
        <v/>
      </c>
      <c r="N609" s="8"/>
      <c r="O609" s="8"/>
      <c r="P609" s="8"/>
      <c r="Q609" s="14"/>
      <c r="R609" s="15"/>
      <c r="S609" s="15"/>
      <c r="T609" s="14"/>
      <c r="U609" s="14"/>
      <c r="V609" s="14"/>
      <c r="W609" s="18"/>
      <c r="X609" s="18"/>
      <c r="Y609" s="18"/>
      <c r="Z609" s="18"/>
      <c r="AA609" s="18"/>
      <c r="AB609" s="18"/>
      <c r="AC609" s="8" t="str">
        <f t="shared" si="74"/>
        <v/>
      </c>
      <c r="AD609" s="8"/>
      <c r="AE609" s="8"/>
      <c r="AF609" s="14"/>
      <c r="AG609" s="13"/>
      <c r="AH609" s="14"/>
      <c r="AI609" s="14"/>
      <c r="AJ609" s="8"/>
      <c r="AK609" s="8"/>
      <c r="AL609" s="8"/>
      <c r="AM609" s="8"/>
      <c r="AN609" s="631"/>
      <c r="AO609" s="18"/>
      <c r="AP609" s="18"/>
      <c r="AQ609" s="18"/>
      <c r="AR609" s="18"/>
      <c r="AS609" s="18"/>
      <c r="AU609" s="448"/>
      <c r="AV609" s="448"/>
      <c r="AW609" s="8" t="str">
        <f>IF(C609&gt;0,VLOOKUP(C609,Foundation_Calc!$A$2:$C$986,3,1),
IF(J609&gt;0,VLOOKUP(J609,Foundation_Calc!$A$2:$C$986,3,1),""))</f>
        <v/>
      </c>
      <c r="AX609" s="8" t="str">
        <f>IF(C609&gt;0,VLOOKUP(C609,Foundation_Calc!$E$2:$G$986,3,1),
IF(J609&gt;0,VLOOKUP(J609,Foundation_Calc!$E$2:$G$986,3,1),""))</f>
        <v/>
      </c>
      <c r="AY609" s="631" t="str">
        <f>IF(L609="","",
IF(AX609="PT",VLOOKUP(L609,Foundation_Calc!$K$4:$R$37,VLOOKUP(AW609,Foundation_Calc!$I$2:$J$8,2,FALSE),0),
IF(AX609="K",VLOOKUP(L609,Foundation_Calc!$K$41:$R$74,VLOOKUP(AW609,Foundation_Calc!$I$2:$J$8,2,FALSE),0),"")))</f>
        <v/>
      </c>
      <c r="AZ609" s="631" t="str">
        <f>IF(K609="","",
IF(AX609="PT",VLOOKUP(K609,Foundation_Calc!$K$4:$R$37,VLOOKUP(AW609,Foundation_Calc!$I$2:$J$8,2,FALSE),0),
IF(AX609="K",VLOOKUP(K609,Foundation_Calc!$K$41:$R$74,VLOOKUP(AW609,Foundation_Calc!$I$2:$J$8,2,FALSE),0),"")))</f>
        <v/>
      </c>
      <c r="BA609" s="632" t="str">
        <f t="shared" si="75"/>
        <v/>
      </c>
      <c r="BB609" s="632" t="str">
        <f t="shared" si="76"/>
        <v/>
      </c>
      <c r="BC609" s="632" t="str">
        <f t="shared" si="77"/>
        <v/>
      </c>
      <c r="BD609" s="633" t="str">
        <f>IF(AND(L609="",H609=""),"",
IF(H609="",Pole_Calc!A637,
IF(H609="MP",Pole_Calc!A638,
IF(H609="AnMP",Pole_Calc!A639,
IF(H609="A",Pole_Calc!A640,
IF(H609="S/A",Pole_Calc!A641,
IF(H609="A/S",Pole_Calc!A642,"Poner a mano")))))))</f>
        <v/>
      </c>
      <c r="BE609" s="448" t="s">
        <v>1726</v>
      </c>
      <c r="BF609" s="635"/>
      <c r="BG609" s="635"/>
      <c r="BH609" s="634"/>
      <c r="BI609" s="635"/>
    </row>
    <row r="610" spans="1:61" ht="16.2" customHeight="1">
      <c r="A610" s="12"/>
      <c r="B610" s="446"/>
      <c r="C610" s="89"/>
      <c r="D610" s="13"/>
      <c r="E610" s="14"/>
      <c r="F610" s="14"/>
      <c r="G610" s="15"/>
      <c r="H610" s="8"/>
      <c r="I610" s="8"/>
      <c r="J610" s="89"/>
      <c r="K610" s="8"/>
      <c r="L610" s="8"/>
      <c r="M610" s="8" t="str">
        <f>IF(L610="","",
IF(AX610="PT",VLOOKUP(L610,Foundation_Calc!$V$4:$X$37,VLOOKUP(AX610,Foundation_Calc!$I$10:$J$13,2,FALSE),0),
IF(AX610="K",VLOOKUP(L610,Foundation_Calc!$V$41:$X$74,VLOOKUP(AX610,Foundation_Calc!$I$10:$J$13,2,FALSE),0),"")))</f>
        <v/>
      </c>
      <c r="N610" s="8"/>
      <c r="O610" s="8"/>
      <c r="P610" s="8"/>
      <c r="Q610" s="14"/>
      <c r="R610" s="15"/>
      <c r="S610" s="15"/>
      <c r="T610" s="14"/>
      <c r="U610" s="14"/>
      <c r="V610" s="14"/>
      <c r="W610" s="18"/>
      <c r="X610" s="18"/>
      <c r="Y610" s="18"/>
      <c r="Z610" s="18"/>
      <c r="AA610" s="18"/>
      <c r="AB610" s="18"/>
      <c r="AC610" s="8" t="str">
        <f t="shared" si="74"/>
        <v/>
      </c>
      <c r="AD610" s="8"/>
      <c r="AE610" s="8"/>
      <c r="AF610" s="14"/>
      <c r="AG610" s="13"/>
      <c r="AH610" s="14"/>
      <c r="AI610" s="14"/>
      <c r="AJ610" s="8"/>
      <c r="AK610" s="8"/>
      <c r="AL610" s="8"/>
      <c r="AM610" s="8"/>
      <c r="AN610" s="631"/>
      <c r="AO610" s="18"/>
      <c r="AP610" s="18"/>
      <c r="AQ610" s="18"/>
      <c r="AR610" s="18"/>
      <c r="AS610" s="18"/>
      <c r="AU610" s="448"/>
      <c r="AV610" s="448"/>
      <c r="AW610" s="8" t="str">
        <f>IF(C610&gt;0,VLOOKUP(C610,Foundation_Calc!$A$2:$C$986,3,1),
IF(J610&gt;0,VLOOKUP(J610,Foundation_Calc!$A$2:$C$986,3,1),""))</f>
        <v/>
      </c>
      <c r="AX610" s="8" t="str">
        <f>IF(C610&gt;0,VLOOKUP(C610,Foundation_Calc!$E$2:$G$986,3,1),
IF(J610&gt;0,VLOOKUP(J610,Foundation_Calc!$E$2:$G$986,3,1),""))</f>
        <v/>
      </c>
      <c r="AY610" s="631" t="str">
        <f>IF(L610="","",
IF(AX610="PT",VLOOKUP(L610,Foundation_Calc!$K$4:$R$37,VLOOKUP(AW610,Foundation_Calc!$I$2:$J$8,2,FALSE),0),
IF(AX610="K",VLOOKUP(L610,Foundation_Calc!$K$41:$R$74,VLOOKUP(AW610,Foundation_Calc!$I$2:$J$8,2,FALSE),0),"")))</f>
        <v/>
      </c>
      <c r="AZ610" s="631" t="str">
        <f>IF(K610="","",
IF(AX610="PT",VLOOKUP(K610,Foundation_Calc!$K$4:$R$37,VLOOKUP(AW610,Foundation_Calc!$I$2:$J$8,2,FALSE),0),
IF(AX610="K",VLOOKUP(K610,Foundation_Calc!$K$41:$R$74,VLOOKUP(AW610,Foundation_Calc!$I$2:$J$8,2,FALSE),0),"")))</f>
        <v/>
      </c>
      <c r="BA610" s="632" t="str">
        <f t="shared" si="75"/>
        <v/>
      </c>
      <c r="BB610" s="632" t="str">
        <f t="shared" si="76"/>
        <v/>
      </c>
      <c r="BC610" s="632" t="str">
        <f t="shared" si="77"/>
        <v/>
      </c>
      <c r="BD610" s="633" t="str">
        <f>IF(AND(L610="",H610=""),"",
IF(H610="",Pole_Calc!A638,
IF(H610="MP",Pole_Calc!A639,
IF(H610="AnMP",Pole_Calc!A640,
IF(H610="A",Pole_Calc!A641,
IF(H610="S/A",Pole_Calc!A642,
IF(H610="A/S",Pole_Calc!A643,"Poner a mano")))))))</f>
        <v/>
      </c>
      <c r="BE610" s="448" t="s">
        <v>1726</v>
      </c>
      <c r="BF610" s="634"/>
      <c r="BG610" s="634"/>
      <c r="BH610" s="634"/>
      <c r="BI610" s="634"/>
    </row>
    <row r="611" spans="1:61" ht="16.2" customHeight="1">
      <c r="A611" s="12"/>
      <c r="B611" s="446"/>
      <c r="C611" s="89"/>
      <c r="D611" s="13"/>
      <c r="E611" s="14"/>
      <c r="F611" s="14"/>
      <c r="G611" s="15"/>
      <c r="H611" s="8"/>
      <c r="I611" s="8"/>
      <c r="J611" s="89"/>
      <c r="K611" s="8"/>
      <c r="L611" s="8"/>
      <c r="M611" s="8" t="str">
        <f>IF(L611="","",
IF(AX611="PT",VLOOKUP(L611,Foundation_Calc!$V$4:$X$37,VLOOKUP(AX611,Foundation_Calc!$I$10:$J$13,2,FALSE),0),
IF(AX611="K",VLOOKUP(L611,Foundation_Calc!$V$41:$X$74,VLOOKUP(AX611,Foundation_Calc!$I$10:$J$13,2,FALSE),0),"")))</f>
        <v/>
      </c>
      <c r="N611" s="8"/>
      <c r="O611" s="8"/>
      <c r="P611" s="8"/>
      <c r="Q611" s="14"/>
      <c r="R611" s="15"/>
      <c r="S611" s="15"/>
      <c r="T611" s="14"/>
      <c r="U611" s="14"/>
      <c r="V611" s="14"/>
      <c r="W611" s="18"/>
      <c r="X611" s="18"/>
      <c r="Y611" s="18"/>
      <c r="Z611" s="18"/>
      <c r="AA611" s="18"/>
      <c r="AB611" s="18"/>
      <c r="AC611" s="8" t="str">
        <f t="shared" si="74"/>
        <v/>
      </c>
      <c r="AD611" s="8"/>
      <c r="AE611" s="8"/>
      <c r="AF611" s="14"/>
      <c r="AG611" s="13"/>
      <c r="AH611" s="14"/>
      <c r="AI611" s="14"/>
      <c r="AJ611" s="8"/>
      <c r="AK611" s="8"/>
      <c r="AL611" s="8"/>
      <c r="AM611" s="8"/>
      <c r="AN611" s="631"/>
      <c r="AO611" s="18"/>
      <c r="AP611" s="18"/>
      <c r="AQ611" s="18"/>
      <c r="AR611" s="18"/>
      <c r="AS611" s="18"/>
      <c r="AU611" s="448"/>
      <c r="AV611" s="448"/>
      <c r="AW611" s="8" t="str">
        <f>IF(C611&gt;0,VLOOKUP(C611,Foundation_Calc!$A$2:$C$986,3,1),
IF(J611&gt;0,VLOOKUP(J611,Foundation_Calc!$A$2:$C$986,3,1),""))</f>
        <v/>
      </c>
      <c r="AX611" s="8" t="str">
        <f>IF(C611&gt;0,VLOOKUP(C611,Foundation_Calc!$E$2:$G$986,3,1),
IF(J611&gt;0,VLOOKUP(J611,Foundation_Calc!$E$2:$G$986,3,1),""))</f>
        <v/>
      </c>
      <c r="AY611" s="631" t="str">
        <f>IF(L611="","",
IF(AX611="PT",VLOOKUP(L611,Foundation_Calc!$K$4:$R$37,VLOOKUP(AW611,Foundation_Calc!$I$2:$J$8,2,FALSE),0),
IF(AX611="K",VLOOKUP(L611,Foundation_Calc!$K$41:$R$74,VLOOKUP(AW611,Foundation_Calc!$I$2:$J$8,2,FALSE),0),"")))</f>
        <v/>
      </c>
      <c r="AZ611" s="631" t="str">
        <f>IF(K611="","",
IF(AX611="PT",VLOOKUP(K611,Foundation_Calc!$K$4:$R$37,VLOOKUP(AW611,Foundation_Calc!$I$2:$J$8,2,FALSE),0),
IF(AX611="K",VLOOKUP(K611,Foundation_Calc!$K$41:$R$74,VLOOKUP(AW611,Foundation_Calc!$I$2:$J$8,2,FALSE),0),"")))</f>
        <v/>
      </c>
      <c r="BA611" s="632" t="str">
        <f t="shared" si="75"/>
        <v/>
      </c>
      <c r="BB611" s="632" t="str">
        <f t="shared" si="76"/>
        <v/>
      </c>
      <c r="BC611" s="632" t="str">
        <f t="shared" si="77"/>
        <v/>
      </c>
      <c r="BD611" s="633" t="str">
        <f>IF(AND(L611="",H611=""),"",
IF(H611="",Pole_Calc!A639,
IF(H611="MP",Pole_Calc!A640,
IF(H611="AnMP",Pole_Calc!A641,
IF(H611="A",Pole_Calc!A642,
IF(H611="S/A",Pole_Calc!A643,
IF(H611="A/S",Pole_Calc!A644,"Poner a mano")))))))</f>
        <v/>
      </c>
      <c r="BE611" s="448" t="s">
        <v>1726</v>
      </c>
      <c r="BF611" s="635"/>
      <c r="BG611" s="635"/>
      <c r="BH611" s="634"/>
      <c r="BI611" s="635"/>
    </row>
    <row r="612" spans="1:61" ht="16.2" customHeight="1">
      <c r="A612" s="12"/>
      <c r="B612" s="446"/>
      <c r="C612" s="89"/>
      <c r="D612" s="13"/>
      <c r="E612" s="14"/>
      <c r="F612" s="14"/>
      <c r="G612" s="15"/>
      <c r="H612" s="8"/>
      <c r="I612" s="8"/>
      <c r="J612" s="89"/>
      <c r="K612" s="8"/>
      <c r="L612" s="8"/>
      <c r="M612" s="8" t="str">
        <f>IF(L612="","",
IF(AX612="PT",VLOOKUP(L612,Foundation_Calc!$V$4:$X$37,VLOOKUP(AX612,Foundation_Calc!$I$10:$J$13,2,FALSE),0),
IF(AX612="K",VLOOKUP(L612,Foundation_Calc!$V$41:$X$74,VLOOKUP(AX612,Foundation_Calc!$I$10:$J$13,2,FALSE),0),"")))</f>
        <v/>
      </c>
      <c r="N612" s="8"/>
      <c r="O612" s="8"/>
      <c r="P612" s="8"/>
      <c r="Q612" s="14"/>
      <c r="R612" s="15"/>
      <c r="S612" s="15"/>
      <c r="T612" s="14"/>
      <c r="U612" s="14"/>
      <c r="V612" s="14"/>
      <c r="W612" s="18"/>
      <c r="X612" s="18"/>
      <c r="Y612" s="18"/>
      <c r="Z612" s="18"/>
      <c r="AA612" s="18"/>
      <c r="AB612" s="18"/>
      <c r="AC612" s="8" t="str">
        <f t="shared" si="74"/>
        <v/>
      </c>
      <c r="AD612" s="8"/>
      <c r="AE612" s="8"/>
      <c r="AF612" s="14"/>
      <c r="AG612" s="13"/>
      <c r="AH612" s="14"/>
      <c r="AI612" s="14"/>
      <c r="AJ612" s="8"/>
      <c r="AK612" s="8"/>
      <c r="AL612" s="8"/>
      <c r="AM612" s="8"/>
      <c r="AN612" s="631"/>
      <c r="AO612" s="18"/>
      <c r="AP612" s="18"/>
      <c r="AQ612" s="18"/>
      <c r="AR612" s="18"/>
      <c r="AS612" s="18"/>
      <c r="AU612" s="448"/>
      <c r="AV612" s="448"/>
      <c r="AW612" s="8" t="str">
        <f>IF(C612&gt;0,VLOOKUP(C612,Foundation_Calc!$A$2:$C$986,3,1),
IF(J612&gt;0,VLOOKUP(J612,Foundation_Calc!$A$2:$C$986,3,1),""))</f>
        <v/>
      </c>
      <c r="AX612" s="8" t="str">
        <f>IF(C612&gt;0,VLOOKUP(C612,Foundation_Calc!$E$2:$G$986,3,1),
IF(J612&gt;0,VLOOKUP(J612,Foundation_Calc!$E$2:$G$986,3,1),""))</f>
        <v/>
      </c>
      <c r="AY612" s="631" t="str">
        <f>IF(L612="","",
IF(AX612="PT",VLOOKUP(L612,Foundation_Calc!$K$4:$R$37,VLOOKUP(AW612,Foundation_Calc!$I$2:$J$8,2,FALSE),0),
IF(AX612="K",VLOOKUP(L612,Foundation_Calc!$K$41:$R$74,VLOOKUP(AW612,Foundation_Calc!$I$2:$J$8,2,FALSE),0),"")))</f>
        <v/>
      </c>
      <c r="AZ612" s="631" t="str">
        <f>IF(K612="","",
IF(AX612="PT",VLOOKUP(K612,Foundation_Calc!$K$4:$R$37,VLOOKUP(AW612,Foundation_Calc!$I$2:$J$8,2,FALSE),0),
IF(AX612="K",VLOOKUP(K612,Foundation_Calc!$K$41:$R$74,VLOOKUP(AW612,Foundation_Calc!$I$2:$J$8,2,FALSE),0),"")))</f>
        <v/>
      </c>
      <c r="BA612" s="632" t="str">
        <f t="shared" si="75"/>
        <v/>
      </c>
      <c r="BB612" s="632" t="str">
        <f t="shared" si="76"/>
        <v/>
      </c>
      <c r="BC612" s="632" t="str">
        <f t="shared" si="77"/>
        <v/>
      </c>
      <c r="BD612" s="633" t="str">
        <f>IF(AND(L612="",H612=""),"",
IF(H612="",Pole_Calc!A640,
IF(H612="MP",Pole_Calc!A641,
IF(H612="AnMP",Pole_Calc!A642,
IF(H612="A",Pole_Calc!A643,
IF(H612="S/A",Pole_Calc!A644,
IF(H612="A/S",Pole_Calc!A645,"Poner a mano")))))))</f>
        <v/>
      </c>
      <c r="BE612" s="448" t="s">
        <v>1726</v>
      </c>
      <c r="BF612" s="634"/>
      <c r="BG612" s="634"/>
      <c r="BH612" s="634"/>
      <c r="BI612" s="634"/>
    </row>
    <row r="613" spans="1:61" ht="16.2" customHeight="1">
      <c r="A613" s="12"/>
      <c r="B613" s="446"/>
      <c r="C613" s="89"/>
      <c r="D613" s="13"/>
      <c r="E613" s="14"/>
      <c r="F613" s="14"/>
      <c r="G613" s="15"/>
      <c r="H613" s="8"/>
      <c r="I613" s="8"/>
      <c r="J613" s="89"/>
      <c r="K613" s="8"/>
      <c r="L613" s="8"/>
      <c r="M613" s="8" t="str">
        <f>IF(L613="","",
IF(AX613="PT",VLOOKUP(L613,Foundation_Calc!$V$4:$X$37,VLOOKUP(AX613,Foundation_Calc!$I$10:$J$13,2,FALSE),0),
IF(AX613="K",VLOOKUP(L613,Foundation_Calc!$V$41:$X$74,VLOOKUP(AX613,Foundation_Calc!$I$10:$J$13,2,FALSE),0),"")))</f>
        <v/>
      </c>
      <c r="N613" s="8"/>
      <c r="O613" s="8"/>
      <c r="P613" s="8"/>
      <c r="Q613" s="14"/>
      <c r="R613" s="15"/>
      <c r="S613" s="15"/>
      <c r="T613" s="14"/>
      <c r="U613" s="14"/>
      <c r="V613" s="14"/>
      <c r="W613" s="18"/>
      <c r="X613" s="18"/>
      <c r="Y613" s="18"/>
      <c r="Z613" s="18"/>
      <c r="AA613" s="18"/>
      <c r="AB613" s="18"/>
      <c r="AC613" s="8" t="str">
        <f t="shared" si="74"/>
        <v/>
      </c>
      <c r="AD613" s="8"/>
      <c r="AE613" s="8"/>
      <c r="AF613" s="14"/>
      <c r="AG613" s="13"/>
      <c r="AH613" s="14"/>
      <c r="AI613" s="14"/>
      <c r="AJ613" s="8"/>
      <c r="AK613" s="8"/>
      <c r="AL613" s="8"/>
      <c r="AM613" s="8"/>
      <c r="AN613" s="631"/>
      <c r="AO613" s="18"/>
      <c r="AP613" s="18"/>
      <c r="AQ613" s="18"/>
      <c r="AR613" s="18"/>
      <c r="AS613" s="18"/>
      <c r="AU613" s="448"/>
      <c r="AV613" s="448"/>
      <c r="AW613" s="8" t="str">
        <f>IF(C613&gt;0,VLOOKUP(C613,Foundation_Calc!$A$2:$C$986,3,1),
IF(J613&gt;0,VLOOKUP(J613,Foundation_Calc!$A$2:$C$986,3,1),""))</f>
        <v/>
      </c>
      <c r="AX613" s="8" t="str">
        <f>IF(C613&gt;0,VLOOKUP(C613,Foundation_Calc!$E$2:$G$986,3,1),
IF(J613&gt;0,VLOOKUP(J613,Foundation_Calc!$E$2:$G$986,3,1),""))</f>
        <v/>
      </c>
      <c r="AY613" s="631" t="str">
        <f>IF(L613="","",
IF(AX613="PT",VLOOKUP(L613,Foundation_Calc!$K$4:$R$37,VLOOKUP(AW613,Foundation_Calc!$I$2:$J$8,2,FALSE),0),
IF(AX613="K",VLOOKUP(L613,Foundation_Calc!$K$41:$R$74,VLOOKUP(AW613,Foundation_Calc!$I$2:$J$8,2,FALSE),0),"")))</f>
        <v/>
      </c>
      <c r="AZ613" s="631" t="str">
        <f>IF(K613="","",
IF(AX613="PT",VLOOKUP(K613,Foundation_Calc!$K$4:$R$37,VLOOKUP(AW613,Foundation_Calc!$I$2:$J$8,2,FALSE),0),
IF(AX613="K",VLOOKUP(K613,Foundation_Calc!$K$41:$R$74,VLOOKUP(AW613,Foundation_Calc!$I$2:$J$8,2,FALSE),0),"")))</f>
        <v/>
      </c>
      <c r="BA613" s="632" t="str">
        <f t="shared" si="75"/>
        <v/>
      </c>
      <c r="BB613" s="632" t="str">
        <f t="shared" si="76"/>
        <v/>
      </c>
      <c r="BC613" s="632" t="str">
        <f t="shared" si="77"/>
        <v/>
      </c>
      <c r="BD613" s="633" t="str">
        <f>IF(AND(L613="",H613=""),"",
IF(H613="",Pole_Calc!A641,
IF(H613="MP",Pole_Calc!A642,
IF(H613="AnMP",Pole_Calc!A643,
IF(H613="A",Pole_Calc!A644,
IF(H613="S/A",Pole_Calc!A645,
IF(H613="A/S",Pole_Calc!A646,"Poner a mano")))))))</f>
        <v/>
      </c>
      <c r="BE613" s="448" t="s">
        <v>1726</v>
      </c>
      <c r="BF613" s="635"/>
      <c r="BG613" s="635"/>
      <c r="BH613" s="634"/>
      <c r="BI613" s="635"/>
    </row>
    <row r="614" spans="1:61" ht="16.2" customHeight="1">
      <c r="A614" s="12"/>
      <c r="B614" s="446"/>
      <c r="C614" s="89"/>
      <c r="D614" s="13"/>
      <c r="E614" s="14"/>
      <c r="F614" s="14"/>
      <c r="G614" s="15"/>
      <c r="H614" s="8"/>
      <c r="I614" s="8"/>
      <c r="J614" s="89"/>
      <c r="K614" s="8"/>
      <c r="L614" s="8"/>
      <c r="M614" s="8" t="str">
        <f>IF(L614="","",
IF(AX614="PT",VLOOKUP(L614,Foundation_Calc!$V$4:$X$37,VLOOKUP(AX614,Foundation_Calc!$I$10:$J$13,2,FALSE),0),
IF(AX614="K",VLOOKUP(L614,Foundation_Calc!$V$41:$X$74,VLOOKUP(AX614,Foundation_Calc!$I$10:$J$13,2,FALSE),0),"")))</f>
        <v/>
      </c>
      <c r="N614" s="8"/>
      <c r="O614" s="8"/>
      <c r="P614" s="8"/>
      <c r="Q614" s="14"/>
      <c r="R614" s="15"/>
      <c r="S614" s="15"/>
      <c r="T614" s="14"/>
      <c r="U614" s="14"/>
      <c r="V614" s="14"/>
      <c r="W614" s="18"/>
      <c r="X614" s="18"/>
      <c r="Y614" s="18"/>
      <c r="Z614" s="18"/>
      <c r="AA614" s="18"/>
      <c r="AB614" s="18"/>
      <c r="AC614" s="8" t="str">
        <f t="shared" si="74"/>
        <v/>
      </c>
      <c r="AD614" s="8"/>
      <c r="AE614" s="8"/>
      <c r="AF614" s="14"/>
      <c r="AG614" s="13"/>
      <c r="AH614" s="14"/>
      <c r="AI614" s="14"/>
      <c r="AJ614" s="8"/>
      <c r="AK614" s="8"/>
      <c r="AL614" s="8"/>
      <c r="AM614" s="8"/>
      <c r="AN614" s="631"/>
      <c r="AO614" s="18"/>
      <c r="AP614" s="18"/>
      <c r="AQ614" s="18"/>
      <c r="AR614" s="18"/>
      <c r="AS614" s="18"/>
      <c r="AU614" s="448"/>
      <c r="AV614" s="448"/>
      <c r="AW614" s="8" t="str">
        <f>IF(C614&gt;0,VLOOKUP(C614,Foundation_Calc!$A$2:$C$986,3,1),
IF(J614&gt;0,VLOOKUP(J614,Foundation_Calc!$A$2:$C$986,3,1),""))</f>
        <v/>
      </c>
      <c r="AX614" s="8" t="str">
        <f>IF(C614&gt;0,VLOOKUP(C614,Foundation_Calc!$E$2:$G$986,3,1),
IF(J614&gt;0,VLOOKUP(J614,Foundation_Calc!$E$2:$G$986,3,1),""))</f>
        <v/>
      </c>
      <c r="AY614" s="631" t="str">
        <f>IF(L614="","",
IF(AX614="PT",VLOOKUP(L614,Foundation_Calc!$K$4:$R$37,VLOOKUP(AW614,Foundation_Calc!$I$2:$J$8,2,FALSE),0),
IF(AX614="K",VLOOKUP(L614,Foundation_Calc!$K$41:$R$74,VLOOKUP(AW614,Foundation_Calc!$I$2:$J$8,2,FALSE),0),"")))</f>
        <v/>
      </c>
      <c r="AZ614" s="631" t="str">
        <f>IF(K614="","",
IF(AX614="PT",VLOOKUP(K614,Foundation_Calc!$K$4:$R$37,VLOOKUP(AW614,Foundation_Calc!$I$2:$J$8,2,FALSE),0),
IF(AX614="K",VLOOKUP(K614,Foundation_Calc!$K$41:$R$74,VLOOKUP(AW614,Foundation_Calc!$I$2:$J$8,2,FALSE),0),"")))</f>
        <v/>
      </c>
      <c r="BA614" s="632" t="str">
        <f t="shared" si="75"/>
        <v/>
      </c>
      <c r="BB614" s="632" t="str">
        <f t="shared" si="76"/>
        <v/>
      </c>
      <c r="BC614" s="632" t="str">
        <f t="shared" si="77"/>
        <v/>
      </c>
      <c r="BD614" s="633" t="str">
        <f>IF(AND(L614="",H614=""),"",
IF(H614="",Pole_Calc!A642,
IF(H614="MP",Pole_Calc!A643,
IF(H614="AnMP",Pole_Calc!A644,
IF(H614="A",Pole_Calc!A645,
IF(H614="S/A",Pole_Calc!A646,
IF(H614="A/S",Pole_Calc!A647,"Poner a mano")))))))</f>
        <v/>
      </c>
      <c r="BE614" s="448" t="s">
        <v>1726</v>
      </c>
      <c r="BF614" s="634"/>
      <c r="BG614" s="634"/>
      <c r="BH614" s="634"/>
      <c r="BI614" s="634"/>
    </row>
    <row r="615" spans="1:61" ht="16.2" customHeight="1">
      <c r="A615" s="12"/>
      <c r="B615" s="446"/>
      <c r="C615" s="89"/>
      <c r="D615" s="13"/>
      <c r="E615" s="14"/>
      <c r="F615" s="14"/>
      <c r="G615" s="15"/>
      <c r="H615" s="8"/>
      <c r="I615" s="8"/>
      <c r="J615" s="89"/>
      <c r="K615" s="8"/>
      <c r="L615" s="8"/>
      <c r="M615" s="8" t="str">
        <f>IF(L615="","",
IF(AX615="PT",VLOOKUP(L615,Foundation_Calc!$V$4:$X$37,VLOOKUP(AX615,Foundation_Calc!$I$10:$J$13,2,FALSE),0),
IF(AX615="K",VLOOKUP(L615,Foundation_Calc!$V$41:$X$74,VLOOKUP(AX615,Foundation_Calc!$I$10:$J$13,2,FALSE),0),"")))</f>
        <v/>
      </c>
      <c r="N615" s="8"/>
      <c r="O615" s="8"/>
      <c r="P615" s="8"/>
      <c r="Q615" s="14"/>
      <c r="R615" s="15"/>
      <c r="S615" s="15"/>
      <c r="T615" s="14"/>
      <c r="U615" s="14"/>
      <c r="V615" s="14"/>
      <c r="W615" s="18"/>
      <c r="X615" s="18"/>
      <c r="Y615" s="18"/>
      <c r="Z615" s="18"/>
      <c r="AA615" s="18"/>
      <c r="AB615" s="18"/>
      <c r="AC615" s="8" t="str">
        <f t="shared" si="74"/>
        <v/>
      </c>
      <c r="AD615" s="8"/>
      <c r="AE615" s="8"/>
      <c r="AF615" s="14"/>
      <c r="AG615" s="13"/>
      <c r="AH615" s="14"/>
      <c r="AI615" s="14"/>
      <c r="AJ615" s="8"/>
      <c r="AK615" s="8"/>
      <c r="AL615" s="8"/>
      <c r="AM615" s="8"/>
      <c r="AN615" s="631"/>
      <c r="AO615" s="18"/>
      <c r="AP615" s="18"/>
      <c r="AQ615" s="18"/>
      <c r="AR615" s="18"/>
      <c r="AS615" s="18"/>
      <c r="AU615" s="448"/>
      <c r="AV615" s="448"/>
      <c r="AW615" s="8" t="str">
        <f>IF(C615&gt;0,VLOOKUP(C615,Foundation_Calc!$A$2:$C$986,3,1),
IF(J615&gt;0,VLOOKUP(J615,Foundation_Calc!$A$2:$C$986,3,1),""))</f>
        <v/>
      </c>
      <c r="AX615" s="8" t="str">
        <f>IF(C615&gt;0,VLOOKUP(C615,Foundation_Calc!$E$2:$G$986,3,1),
IF(J615&gt;0,VLOOKUP(J615,Foundation_Calc!$E$2:$G$986,3,1),""))</f>
        <v/>
      </c>
      <c r="AY615" s="631" t="str">
        <f>IF(L615="","",
IF(AX615="PT",VLOOKUP(L615,Foundation_Calc!$K$4:$R$37,VLOOKUP(AW615,Foundation_Calc!$I$2:$J$8,2,FALSE),0),
IF(AX615="K",VLOOKUP(L615,Foundation_Calc!$K$41:$R$74,VLOOKUP(AW615,Foundation_Calc!$I$2:$J$8,2,FALSE),0),"")))</f>
        <v/>
      </c>
      <c r="AZ615" s="631" t="str">
        <f>IF(K615="","",
IF(AX615="PT",VLOOKUP(K615,Foundation_Calc!$K$4:$R$37,VLOOKUP(AW615,Foundation_Calc!$I$2:$J$8,2,FALSE),0),
IF(AX615="K",VLOOKUP(K615,Foundation_Calc!$K$41:$R$74,VLOOKUP(AW615,Foundation_Calc!$I$2:$J$8,2,FALSE),0),"")))</f>
        <v/>
      </c>
      <c r="BA615" s="632" t="str">
        <f t="shared" si="75"/>
        <v/>
      </c>
      <c r="BB615" s="632" t="str">
        <f t="shared" si="76"/>
        <v/>
      </c>
      <c r="BC615" s="632" t="str">
        <f t="shared" si="77"/>
        <v/>
      </c>
      <c r="BD615" s="633" t="str">
        <f>IF(AND(L615="",H615=""),"",
IF(H615="",Pole_Calc!A643,
IF(H615="MP",Pole_Calc!A644,
IF(H615="AnMP",Pole_Calc!A645,
IF(H615="A",Pole_Calc!A646,
IF(H615="S/A",Pole_Calc!A647,
IF(H615="A/S",Pole_Calc!A648,"Poner a mano")))))))</f>
        <v/>
      </c>
      <c r="BE615" s="448" t="s">
        <v>1726</v>
      </c>
      <c r="BF615" s="635"/>
      <c r="BG615" s="635"/>
      <c r="BH615" s="634"/>
      <c r="BI615" s="635"/>
    </row>
    <row r="616" spans="1:61" ht="16.2" customHeight="1">
      <c r="A616" s="12"/>
      <c r="B616" s="446"/>
      <c r="C616" s="89"/>
      <c r="D616" s="13"/>
      <c r="E616" s="14"/>
      <c r="F616" s="14"/>
      <c r="G616" s="15"/>
      <c r="H616" s="8"/>
      <c r="I616" s="8"/>
      <c r="J616" s="89"/>
      <c r="K616" s="8"/>
      <c r="L616" s="8"/>
      <c r="M616" s="8" t="str">
        <f>IF(L616="","",
IF(AX616="PT",VLOOKUP(L616,Foundation_Calc!$V$4:$X$37,VLOOKUP(AX616,Foundation_Calc!$I$10:$J$13,2,FALSE),0),
IF(AX616="K",VLOOKUP(L616,Foundation_Calc!$V$41:$X$74,VLOOKUP(AX616,Foundation_Calc!$I$10:$J$13,2,FALSE),0),"")))</f>
        <v/>
      </c>
      <c r="N616" s="8"/>
      <c r="O616" s="8"/>
      <c r="P616" s="8"/>
      <c r="Q616" s="14"/>
      <c r="R616" s="15"/>
      <c r="S616" s="15"/>
      <c r="T616" s="14"/>
      <c r="U616" s="14"/>
      <c r="V616" s="14"/>
      <c r="W616" s="18"/>
      <c r="X616" s="18"/>
      <c r="Y616" s="18"/>
      <c r="Z616" s="18"/>
      <c r="AA616" s="18"/>
      <c r="AB616" s="18"/>
      <c r="AC616" s="8" t="str">
        <f t="shared" si="74"/>
        <v/>
      </c>
      <c r="AD616" s="8"/>
      <c r="AE616" s="8"/>
      <c r="AF616" s="14"/>
      <c r="AG616" s="13"/>
      <c r="AH616" s="14"/>
      <c r="AI616" s="14"/>
      <c r="AJ616" s="8"/>
      <c r="AK616" s="8"/>
      <c r="AL616" s="8"/>
      <c r="AM616" s="8"/>
      <c r="AN616" s="631"/>
      <c r="AO616" s="18"/>
      <c r="AP616" s="18"/>
      <c r="AQ616" s="18"/>
      <c r="AR616" s="18"/>
      <c r="AS616" s="18"/>
      <c r="AU616" s="448"/>
      <c r="AV616" s="448"/>
      <c r="AW616" s="8" t="str">
        <f>IF(C616&gt;0,VLOOKUP(C616,Foundation_Calc!$A$2:$C$986,3,1),
IF(J616&gt;0,VLOOKUP(J616,Foundation_Calc!$A$2:$C$986,3,1),""))</f>
        <v/>
      </c>
      <c r="AX616" s="8" t="str">
        <f>IF(C616&gt;0,VLOOKUP(C616,Foundation_Calc!$E$2:$G$986,3,1),
IF(J616&gt;0,VLOOKUP(J616,Foundation_Calc!$E$2:$G$986,3,1),""))</f>
        <v/>
      </c>
      <c r="AY616" s="631" t="str">
        <f>IF(L616="","",
IF(AX616="PT",VLOOKUP(L616,Foundation_Calc!$K$4:$R$37,VLOOKUP(AW616,Foundation_Calc!$I$2:$J$8,2,FALSE),0),
IF(AX616="K",VLOOKUP(L616,Foundation_Calc!$K$41:$R$74,VLOOKUP(AW616,Foundation_Calc!$I$2:$J$8,2,FALSE),0),"")))</f>
        <v/>
      </c>
      <c r="AZ616" s="631" t="str">
        <f>IF(K616="","",
IF(AX616="PT",VLOOKUP(K616,Foundation_Calc!$K$4:$R$37,VLOOKUP(AW616,Foundation_Calc!$I$2:$J$8,2,FALSE),0),
IF(AX616="K",VLOOKUP(K616,Foundation_Calc!$K$41:$R$74,VLOOKUP(AW616,Foundation_Calc!$I$2:$J$8,2,FALSE),0),"")))</f>
        <v/>
      </c>
      <c r="BA616" s="632" t="str">
        <f t="shared" si="75"/>
        <v/>
      </c>
      <c r="BB616" s="632" t="str">
        <f t="shared" si="76"/>
        <v/>
      </c>
      <c r="BC616" s="632" t="str">
        <f t="shared" si="77"/>
        <v/>
      </c>
      <c r="BD616" s="633" t="str">
        <f>IF(AND(L616="",H616=""),"",
IF(H616="",Pole_Calc!A644,
IF(H616="MP",Pole_Calc!A645,
IF(H616="AnMP",Pole_Calc!A646,
IF(H616="A",Pole_Calc!A647,
IF(H616="S/A",Pole_Calc!A648,
IF(H616="A/S",Pole_Calc!A649,"Poner a mano")))))))</f>
        <v/>
      </c>
      <c r="BE616" s="448" t="s">
        <v>1726</v>
      </c>
      <c r="BF616" s="634"/>
      <c r="BG616" s="634"/>
      <c r="BH616" s="634"/>
      <c r="BI616" s="634"/>
    </row>
    <row r="617" spans="1:61" ht="16.2" customHeight="1">
      <c r="A617" s="12"/>
      <c r="B617" s="446"/>
      <c r="C617" s="89"/>
      <c r="D617" s="13"/>
      <c r="E617" s="14"/>
      <c r="F617" s="14"/>
      <c r="G617" s="15"/>
      <c r="H617" s="8"/>
      <c r="I617" s="8"/>
      <c r="J617" s="89"/>
      <c r="K617" s="8"/>
      <c r="L617" s="8"/>
      <c r="M617" s="8" t="str">
        <f>IF(L617="","",
IF(AX617="PT",VLOOKUP(L617,Foundation_Calc!$V$4:$X$37,VLOOKUP(AX617,Foundation_Calc!$I$10:$J$13,2,FALSE),0),
IF(AX617="K",VLOOKUP(L617,Foundation_Calc!$V$41:$X$74,VLOOKUP(AX617,Foundation_Calc!$I$10:$J$13,2,FALSE),0),"")))</f>
        <v/>
      </c>
      <c r="N617" s="8"/>
      <c r="O617" s="8"/>
      <c r="P617" s="8"/>
      <c r="Q617" s="14"/>
      <c r="R617" s="15"/>
      <c r="S617" s="15"/>
      <c r="T617" s="14"/>
      <c r="U617" s="14"/>
      <c r="V617" s="14"/>
      <c r="W617" s="18"/>
      <c r="X617" s="18"/>
      <c r="Y617" s="18"/>
      <c r="Z617" s="18"/>
      <c r="AA617" s="18"/>
      <c r="AB617" s="18"/>
      <c r="AC617" s="8" t="str">
        <f t="shared" si="74"/>
        <v/>
      </c>
      <c r="AD617" s="8"/>
      <c r="AE617" s="8"/>
      <c r="AF617" s="14"/>
      <c r="AG617" s="13"/>
      <c r="AH617" s="14"/>
      <c r="AI617" s="14"/>
      <c r="AJ617" s="8"/>
      <c r="AK617" s="8"/>
      <c r="AL617" s="8"/>
      <c r="AM617" s="8"/>
      <c r="AN617" s="631"/>
      <c r="AO617" s="18"/>
      <c r="AP617" s="18"/>
      <c r="AQ617" s="18"/>
      <c r="AR617" s="18"/>
      <c r="AS617" s="18"/>
      <c r="AU617" s="448"/>
      <c r="AV617" s="448"/>
      <c r="AW617" s="8" t="str">
        <f>IF(C617&gt;0,VLOOKUP(C617,Foundation_Calc!$A$2:$C$986,3,1),
IF(J617&gt;0,VLOOKUP(J617,Foundation_Calc!$A$2:$C$986,3,1),""))</f>
        <v/>
      </c>
      <c r="AX617" s="8" t="str">
        <f>IF(C617&gt;0,VLOOKUP(C617,Foundation_Calc!$E$2:$G$986,3,1),
IF(J617&gt;0,VLOOKUP(J617,Foundation_Calc!$E$2:$G$986,3,1),""))</f>
        <v/>
      </c>
      <c r="AY617" s="631" t="str">
        <f>IF(L617="","",
IF(AX617="PT",VLOOKUP(L617,Foundation_Calc!$K$4:$R$37,VLOOKUP(AW617,Foundation_Calc!$I$2:$J$8,2,FALSE),0),
IF(AX617="K",VLOOKUP(L617,Foundation_Calc!$K$41:$R$74,VLOOKUP(AW617,Foundation_Calc!$I$2:$J$8,2,FALSE),0),"")))</f>
        <v/>
      </c>
      <c r="AZ617" s="631" t="str">
        <f>IF(K617="","",
IF(AX617="PT",VLOOKUP(K617,Foundation_Calc!$K$4:$R$37,VLOOKUP(AW617,Foundation_Calc!$I$2:$J$8,2,FALSE),0),
IF(AX617="K",VLOOKUP(K617,Foundation_Calc!$K$41:$R$74,VLOOKUP(AW617,Foundation_Calc!$I$2:$J$8,2,FALSE),0),"")))</f>
        <v/>
      </c>
      <c r="BA617" s="632" t="str">
        <f t="shared" si="75"/>
        <v/>
      </c>
      <c r="BB617" s="632" t="str">
        <f t="shared" si="76"/>
        <v/>
      </c>
      <c r="BC617" s="632" t="str">
        <f t="shared" si="77"/>
        <v/>
      </c>
      <c r="BD617" s="633" t="str">
        <f>IF(AND(L617="",H617=""),"",
IF(H617="",Pole_Calc!A645,
IF(H617="MP",Pole_Calc!A646,
IF(H617="AnMP",Pole_Calc!A647,
IF(H617="A",Pole_Calc!A648,
IF(H617="S/A",Pole_Calc!A649,
IF(H617="A/S",Pole_Calc!A650,"Poner a mano")))))))</f>
        <v/>
      </c>
      <c r="BE617" s="448" t="s">
        <v>1726</v>
      </c>
      <c r="BF617" s="635"/>
      <c r="BG617" s="635"/>
      <c r="BH617" s="634"/>
      <c r="BI617" s="635"/>
    </row>
    <row r="618" spans="1:61" ht="16.2" customHeight="1">
      <c r="A618" s="12"/>
      <c r="B618" s="446"/>
      <c r="C618" s="89"/>
      <c r="D618" s="13"/>
      <c r="E618" s="14"/>
      <c r="F618" s="14"/>
      <c r="G618" s="15"/>
      <c r="H618" s="8"/>
      <c r="I618" s="8"/>
      <c r="J618" s="89"/>
      <c r="K618" s="8"/>
      <c r="L618" s="8"/>
      <c r="M618" s="8" t="str">
        <f>IF(L618="","",
IF(AX618="PT",VLOOKUP(L618,Foundation_Calc!$V$4:$X$37,VLOOKUP(AX618,Foundation_Calc!$I$10:$J$13,2,FALSE),0),
IF(AX618="K",VLOOKUP(L618,Foundation_Calc!$V$41:$X$74,VLOOKUP(AX618,Foundation_Calc!$I$10:$J$13,2,FALSE),0),"")))</f>
        <v/>
      </c>
      <c r="N618" s="8"/>
      <c r="O618" s="8"/>
      <c r="P618" s="8"/>
      <c r="Q618" s="14"/>
      <c r="R618" s="15"/>
      <c r="S618" s="15"/>
      <c r="T618" s="14"/>
      <c r="U618" s="14"/>
      <c r="V618" s="14"/>
      <c r="W618" s="18"/>
      <c r="X618" s="18"/>
      <c r="Y618" s="18"/>
      <c r="Z618" s="18"/>
      <c r="AA618" s="18"/>
      <c r="AB618" s="18"/>
      <c r="AC618" s="8" t="str">
        <f t="shared" si="74"/>
        <v/>
      </c>
      <c r="AD618" s="8"/>
      <c r="AE618" s="8"/>
      <c r="AF618" s="14"/>
      <c r="AG618" s="13"/>
      <c r="AH618" s="14"/>
      <c r="AI618" s="14"/>
      <c r="AJ618" s="8"/>
      <c r="AK618" s="8"/>
      <c r="AL618" s="8"/>
      <c r="AM618" s="8"/>
      <c r="AN618" s="631"/>
      <c r="AO618" s="18"/>
      <c r="AP618" s="18"/>
      <c r="AQ618" s="18"/>
      <c r="AR618" s="18"/>
      <c r="AS618" s="18"/>
      <c r="AU618" s="448"/>
      <c r="AV618" s="448"/>
      <c r="AW618" s="8" t="str">
        <f>IF(C618&gt;0,VLOOKUP(C618,Foundation_Calc!$A$2:$C$986,3,1),
IF(J618&gt;0,VLOOKUP(J618,Foundation_Calc!$A$2:$C$986,3,1),""))</f>
        <v/>
      </c>
      <c r="AX618" s="8" t="str">
        <f>IF(C618&gt;0,VLOOKUP(C618,Foundation_Calc!$E$2:$G$986,3,1),
IF(J618&gt;0,VLOOKUP(J618,Foundation_Calc!$E$2:$G$986,3,1),""))</f>
        <v/>
      </c>
      <c r="AY618" s="631" t="str">
        <f>IF(L618="","",
IF(AX618="PT",VLOOKUP(L618,Foundation_Calc!$K$4:$R$37,VLOOKUP(AW618,Foundation_Calc!$I$2:$J$8,2,FALSE),0),
IF(AX618="K",VLOOKUP(L618,Foundation_Calc!$K$41:$R$74,VLOOKUP(AW618,Foundation_Calc!$I$2:$J$8,2,FALSE),0),"")))</f>
        <v/>
      </c>
      <c r="AZ618" s="631" t="str">
        <f>IF(K618="","",
IF(AX618="PT",VLOOKUP(K618,Foundation_Calc!$K$4:$R$37,VLOOKUP(AW618,Foundation_Calc!$I$2:$J$8,2,FALSE),0),
IF(AX618="K",VLOOKUP(K618,Foundation_Calc!$K$41:$R$74,VLOOKUP(AW618,Foundation_Calc!$I$2:$J$8,2,FALSE),0),"")))</f>
        <v/>
      </c>
      <c r="BA618" s="632" t="str">
        <f t="shared" si="75"/>
        <v/>
      </c>
      <c r="BB618" s="632" t="str">
        <f t="shared" si="76"/>
        <v/>
      </c>
      <c r="BC618" s="632" t="str">
        <f t="shared" si="77"/>
        <v/>
      </c>
      <c r="BD618" s="633" t="str">
        <f>IF(AND(L618="",H618=""),"",
IF(H618="",Pole_Calc!A646,
IF(H618="MP",Pole_Calc!A647,
IF(H618="AnMP",Pole_Calc!A648,
IF(H618="A",Pole_Calc!A649,
IF(H618="S/A",Pole_Calc!A650,
IF(H618="A/S",Pole_Calc!A651,"Poner a mano")))))))</f>
        <v/>
      </c>
      <c r="BE618" s="448" t="s">
        <v>1726</v>
      </c>
      <c r="BF618" s="634"/>
      <c r="BG618" s="634"/>
      <c r="BH618" s="634"/>
      <c r="BI618" s="634"/>
    </row>
    <row r="619" spans="1:61" ht="16.2" customHeight="1">
      <c r="A619" s="12"/>
      <c r="B619" s="446"/>
      <c r="C619" s="89"/>
      <c r="D619" s="13"/>
      <c r="E619" s="14"/>
      <c r="F619" s="14"/>
      <c r="G619" s="15"/>
      <c r="H619" s="8"/>
      <c r="I619" s="8"/>
      <c r="J619" s="89"/>
      <c r="K619" s="8"/>
      <c r="L619" s="8"/>
      <c r="M619" s="8" t="str">
        <f>IF(L619="","",
IF(AX619="PT",VLOOKUP(L619,Foundation_Calc!$V$4:$X$37,VLOOKUP(AX619,Foundation_Calc!$I$10:$J$13,2,FALSE),0),
IF(AX619="K",VLOOKUP(L619,Foundation_Calc!$V$41:$X$74,VLOOKUP(AX619,Foundation_Calc!$I$10:$J$13,2,FALSE),0),"")))</f>
        <v/>
      </c>
      <c r="N619" s="8"/>
      <c r="O619" s="8"/>
      <c r="P619" s="8"/>
      <c r="Q619" s="14"/>
      <c r="R619" s="15"/>
      <c r="S619" s="15"/>
      <c r="T619" s="14"/>
      <c r="U619" s="14"/>
      <c r="V619" s="14"/>
      <c r="W619" s="18"/>
      <c r="X619" s="18"/>
      <c r="Y619" s="18"/>
      <c r="Z619" s="18"/>
      <c r="AA619" s="18"/>
      <c r="AB619" s="18"/>
      <c r="AC619" s="8" t="str">
        <f t="shared" si="74"/>
        <v/>
      </c>
      <c r="AD619" s="8"/>
      <c r="AE619" s="8"/>
      <c r="AF619" s="14"/>
      <c r="AG619" s="13"/>
      <c r="AH619" s="14"/>
      <c r="AI619" s="14"/>
      <c r="AJ619" s="8"/>
      <c r="AK619" s="8"/>
      <c r="AL619" s="8"/>
      <c r="AM619" s="8"/>
      <c r="AN619" s="631"/>
      <c r="AO619" s="18"/>
      <c r="AP619" s="18"/>
      <c r="AQ619" s="18"/>
      <c r="AR619" s="18"/>
      <c r="AS619" s="18"/>
      <c r="AU619" s="448"/>
      <c r="AV619" s="448"/>
      <c r="AW619" s="8" t="str">
        <f>IF(C619&gt;0,VLOOKUP(C619,Foundation_Calc!$A$2:$C$986,3,1),
IF(J619&gt;0,VLOOKUP(J619,Foundation_Calc!$A$2:$C$986,3,1),""))</f>
        <v/>
      </c>
      <c r="AX619" s="8" t="str">
        <f>IF(C619&gt;0,VLOOKUP(C619,Foundation_Calc!$E$2:$G$986,3,1),
IF(J619&gt;0,VLOOKUP(J619,Foundation_Calc!$E$2:$G$986,3,1),""))</f>
        <v/>
      </c>
      <c r="AY619" s="631" t="str">
        <f>IF(L619="","",
IF(AX619="PT",VLOOKUP(L619,Foundation_Calc!$K$4:$R$37,VLOOKUP(AW619,Foundation_Calc!$I$2:$J$8,2,FALSE),0),
IF(AX619="K",VLOOKUP(L619,Foundation_Calc!$K$41:$R$74,VLOOKUP(AW619,Foundation_Calc!$I$2:$J$8,2,FALSE),0),"")))</f>
        <v/>
      </c>
      <c r="AZ619" s="631" t="str">
        <f>IF(K619="","",
IF(AX619="PT",VLOOKUP(K619,Foundation_Calc!$K$4:$R$37,VLOOKUP(AW619,Foundation_Calc!$I$2:$J$8,2,FALSE),0),
IF(AX619="K",VLOOKUP(K619,Foundation_Calc!$K$41:$R$74,VLOOKUP(AW619,Foundation_Calc!$I$2:$J$8,2,FALSE),0),"")))</f>
        <v/>
      </c>
      <c r="BA619" s="632" t="str">
        <f t="shared" si="75"/>
        <v/>
      </c>
      <c r="BB619" s="632" t="str">
        <f t="shared" si="76"/>
        <v/>
      </c>
      <c r="BC619" s="632" t="str">
        <f t="shared" si="77"/>
        <v/>
      </c>
      <c r="BD619" s="633" t="str">
        <f>IF(AND(L619="",H619=""),"",
IF(H619="",Pole_Calc!A647,
IF(H619="MP",Pole_Calc!A648,
IF(H619="AnMP",Pole_Calc!A649,
IF(H619="A",Pole_Calc!A650,
IF(H619="S/A",Pole_Calc!A651,
IF(H619="A/S",Pole_Calc!A652,"Poner a mano")))))))</f>
        <v/>
      </c>
      <c r="BE619" s="448" t="s">
        <v>1726</v>
      </c>
      <c r="BF619" s="635"/>
      <c r="BG619" s="635"/>
      <c r="BH619" s="634"/>
      <c r="BI619" s="635"/>
    </row>
    <row r="620" spans="1:61" ht="16.2" customHeight="1">
      <c r="A620" s="12"/>
      <c r="B620" s="446"/>
      <c r="C620" s="89"/>
      <c r="D620" s="13"/>
      <c r="E620" s="14"/>
      <c r="F620" s="14"/>
      <c r="G620" s="15"/>
      <c r="H620" s="8"/>
      <c r="I620" s="8"/>
      <c r="J620" s="89"/>
      <c r="K620" s="8"/>
      <c r="L620" s="8"/>
      <c r="M620" s="8" t="str">
        <f>IF(L620="","",
IF(AX620="PT",VLOOKUP(L620,Foundation_Calc!$V$4:$X$37,VLOOKUP(AX620,Foundation_Calc!$I$10:$J$13,2,FALSE),0),
IF(AX620="K",VLOOKUP(L620,Foundation_Calc!$V$41:$X$74,VLOOKUP(AX620,Foundation_Calc!$I$10:$J$13,2,FALSE),0),"")))</f>
        <v/>
      </c>
      <c r="N620" s="8"/>
      <c r="O620" s="8"/>
      <c r="P620" s="8"/>
      <c r="Q620" s="14"/>
      <c r="R620" s="15"/>
      <c r="S620" s="15"/>
      <c r="T620" s="14"/>
      <c r="U620" s="14"/>
      <c r="V620" s="14"/>
      <c r="W620" s="18"/>
      <c r="X620" s="18"/>
      <c r="Y620" s="18"/>
      <c r="Z620" s="18"/>
      <c r="AA620" s="18"/>
      <c r="AB620" s="18"/>
      <c r="AC620" s="8" t="str">
        <f t="shared" si="74"/>
        <v/>
      </c>
      <c r="AD620" s="8"/>
      <c r="AE620" s="8"/>
      <c r="AF620" s="14"/>
      <c r="AG620" s="13"/>
      <c r="AH620" s="14"/>
      <c r="AI620" s="14"/>
      <c r="AJ620" s="8"/>
      <c r="AK620" s="8"/>
      <c r="AL620" s="8"/>
      <c r="AM620" s="8"/>
      <c r="AN620" s="631"/>
      <c r="AO620" s="18"/>
      <c r="AP620" s="18"/>
      <c r="AQ620" s="18"/>
      <c r="AR620" s="18"/>
      <c r="AS620" s="18"/>
      <c r="AU620" s="448"/>
      <c r="AV620" s="448"/>
      <c r="AW620" s="8" t="str">
        <f>IF(C620&gt;0,VLOOKUP(C620,Foundation_Calc!$A$2:$C$986,3,1),
IF(J620&gt;0,VLOOKUP(J620,Foundation_Calc!$A$2:$C$986,3,1),""))</f>
        <v/>
      </c>
      <c r="AX620" s="8" t="str">
        <f>IF(C620&gt;0,VLOOKUP(C620,Foundation_Calc!$E$2:$G$986,3,1),
IF(J620&gt;0,VLOOKUP(J620,Foundation_Calc!$E$2:$G$986,3,1),""))</f>
        <v/>
      </c>
      <c r="AY620" s="631" t="str">
        <f>IF(L620="","",
IF(AX620="PT",VLOOKUP(L620,Foundation_Calc!$K$4:$R$37,VLOOKUP(AW620,Foundation_Calc!$I$2:$J$8,2,FALSE),0),
IF(AX620="K",VLOOKUP(L620,Foundation_Calc!$K$41:$R$74,VLOOKUP(AW620,Foundation_Calc!$I$2:$J$8,2,FALSE),0),"")))</f>
        <v/>
      </c>
      <c r="AZ620" s="631" t="str">
        <f>IF(K620="","",
IF(AX620="PT",VLOOKUP(K620,Foundation_Calc!$K$4:$R$37,VLOOKUP(AW620,Foundation_Calc!$I$2:$J$8,2,FALSE),0),
IF(AX620="K",VLOOKUP(K620,Foundation_Calc!$K$41:$R$74,VLOOKUP(AW620,Foundation_Calc!$I$2:$J$8,2,FALSE),0),"")))</f>
        <v/>
      </c>
      <c r="BA620" s="632" t="str">
        <f t="shared" si="75"/>
        <v/>
      </c>
      <c r="BB620" s="632" t="str">
        <f t="shared" si="76"/>
        <v/>
      </c>
      <c r="BC620" s="632" t="str">
        <f t="shared" si="77"/>
        <v/>
      </c>
      <c r="BD620" s="633" t="str">
        <f>IF(AND(L620="",H620=""),"",
IF(H620="",Pole_Calc!A648,
IF(H620="MP",Pole_Calc!A649,
IF(H620="AnMP",Pole_Calc!A650,
IF(H620="A",Pole_Calc!A651,
IF(H620="S/A",Pole_Calc!A652,
IF(H620="A/S",Pole_Calc!A653,"Poner a mano")))))))</f>
        <v/>
      </c>
      <c r="BE620" s="448" t="s">
        <v>1726</v>
      </c>
      <c r="BF620" s="634"/>
      <c r="BG620" s="634"/>
      <c r="BH620" s="634"/>
      <c r="BI620" s="634"/>
    </row>
    <row r="621" spans="1:61" ht="16.2" customHeight="1">
      <c r="A621" s="12"/>
      <c r="B621" s="446"/>
      <c r="C621" s="89"/>
      <c r="D621" s="13"/>
      <c r="E621" s="14"/>
      <c r="F621" s="14"/>
      <c r="G621" s="15"/>
      <c r="H621" s="8"/>
      <c r="I621" s="8"/>
      <c r="J621" s="89"/>
      <c r="K621" s="8"/>
      <c r="L621" s="8"/>
      <c r="M621" s="8" t="str">
        <f>IF(L621="","",
IF(AX621="PT",VLOOKUP(L621,Foundation_Calc!$V$4:$X$37,VLOOKUP(AX621,Foundation_Calc!$I$10:$J$13,2,FALSE),0),
IF(AX621="K",VLOOKUP(L621,Foundation_Calc!$V$41:$X$74,VLOOKUP(AX621,Foundation_Calc!$I$10:$J$13,2,FALSE),0),"")))</f>
        <v/>
      </c>
      <c r="N621" s="8"/>
      <c r="O621" s="8"/>
      <c r="P621" s="8"/>
      <c r="Q621" s="14"/>
      <c r="R621" s="15"/>
      <c r="S621" s="15"/>
      <c r="T621" s="14"/>
      <c r="U621" s="14"/>
      <c r="V621" s="14"/>
      <c r="W621" s="18"/>
      <c r="X621" s="18"/>
      <c r="Y621" s="18"/>
      <c r="Z621" s="18"/>
      <c r="AA621" s="18"/>
      <c r="AB621" s="18"/>
      <c r="AC621" s="8" t="str">
        <f t="shared" si="74"/>
        <v/>
      </c>
      <c r="AD621" s="8"/>
      <c r="AE621" s="8"/>
      <c r="AF621" s="14"/>
      <c r="AG621" s="13"/>
      <c r="AH621" s="14"/>
      <c r="AI621" s="14"/>
      <c r="AJ621" s="8"/>
      <c r="AK621" s="8"/>
      <c r="AL621" s="8"/>
      <c r="AM621" s="8"/>
      <c r="AN621" s="631"/>
      <c r="AO621" s="18"/>
      <c r="AP621" s="18"/>
      <c r="AQ621" s="18"/>
      <c r="AR621" s="18"/>
      <c r="AS621" s="18"/>
      <c r="AU621" s="448"/>
      <c r="AV621" s="448"/>
      <c r="AW621" s="8" t="str">
        <f>IF(C621&gt;0,VLOOKUP(C621,Foundation_Calc!$A$2:$C$986,3,1),
IF(J621&gt;0,VLOOKUP(J621,Foundation_Calc!$A$2:$C$986,3,1),""))</f>
        <v/>
      </c>
      <c r="AX621" s="8" t="str">
        <f>IF(C621&gt;0,VLOOKUP(C621,Foundation_Calc!$E$2:$G$986,3,1),
IF(J621&gt;0,VLOOKUP(J621,Foundation_Calc!$E$2:$G$986,3,1),""))</f>
        <v/>
      </c>
      <c r="AY621" s="631" t="str">
        <f>IF(L621="","",
IF(AX621="PT",VLOOKUP(L621,Foundation_Calc!$K$4:$R$37,VLOOKUP(AW621,Foundation_Calc!$I$2:$J$8,2,FALSE),0),
IF(AX621="K",VLOOKUP(L621,Foundation_Calc!$K$41:$R$74,VLOOKUP(AW621,Foundation_Calc!$I$2:$J$8,2,FALSE),0),"")))</f>
        <v/>
      </c>
      <c r="AZ621" s="631" t="str">
        <f>IF(K621="","",
IF(AX621="PT",VLOOKUP(K621,Foundation_Calc!$K$4:$R$37,VLOOKUP(AW621,Foundation_Calc!$I$2:$J$8,2,FALSE),0),
IF(AX621="K",VLOOKUP(K621,Foundation_Calc!$K$41:$R$74,VLOOKUP(AW621,Foundation_Calc!$I$2:$J$8,2,FALSE),0),"")))</f>
        <v/>
      </c>
      <c r="BA621" s="632" t="str">
        <f t="shared" si="75"/>
        <v/>
      </c>
      <c r="BB621" s="632" t="str">
        <f t="shared" si="76"/>
        <v/>
      </c>
      <c r="BC621" s="632" t="str">
        <f t="shared" si="77"/>
        <v/>
      </c>
      <c r="BD621" s="633" t="str">
        <f>IF(AND(L621="",H621=""),"",
IF(H621="",Pole_Calc!A649,
IF(H621="MP",Pole_Calc!A650,
IF(H621="AnMP",Pole_Calc!A651,
IF(H621="A",Pole_Calc!A652,
IF(H621="S/A",Pole_Calc!A653,
IF(H621="A/S",Pole_Calc!A654,"Poner a mano")))))))</f>
        <v/>
      </c>
      <c r="BE621" s="448" t="s">
        <v>1726</v>
      </c>
      <c r="BF621" s="635"/>
      <c r="BG621" s="635"/>
      <c r="BH621" s="634"/>
      <c r="BI621" s="635"/>
    </row>
    <row r="622" spans="1:61" ht="16.2" customHeight="1">
      <c r="A622" s="12"/>
      <c r="B622" s="446"/>
      <c r="C622" s="89"/>
      <c r="D622" s="13"/>
      <c r="E622" s="14"/>
      <c r="F622" s="14"/>
      <c r="G622" s="15"/>
      <c r="H622" s="8"/>
      <c r="I622" s="8"/>
      <c r="J622" s="89"/>
      <c r="K622" s="8"/>
      <c r="L622" s="8"/>
      <c r="M622" s="8" t="str">
        <f>IF(L622="","",
IF(AX622="PT",VLOOKUP(L622,Foundation_Calc!$V$4:$X$37,VLOOKUP(AX622,Foundation_Calc!$I$10:$J$13,2,FALSE),0),
IF(AX622="K",VLOOKUP(L622,Foundation_Calc!$V$41:$X$74,VLOOKUP(AX622,Foundation_Calc!$I$10:$J$13,2,FALSE),0),"")))</f>
        <v/>
      </c>
      <c r="N622" s="8"/>
      <c r="O622" s="8"/>
      <c r="P622" s="8"/>
      <c r="Q622" s="14"/>
      <c r="R622" s="15"/>
      <c r="S622" s="15"/>
      <c r="T622" s="14"/>
      <c r="U622" s="14"/>
      <c r="V622" s="14"/>
      <c r="W622" s="18"/>
      <c r="X622" s="18"/>
      <c r="Y622" s="18"/>
      <c r="Z622" s="18"/>
      <c r="AA622" s="18"/>
      <c r="AB622" s="18"/>
      <c r="AC622" s="8" t="str">
        <f t="shared" si="74"/>
        <v/>
      </c>
      <c r="AD622" s="8"/>
      <c r="AE622" s="8"/>
      <c r="AF622" s="14"/>
      <c r="AG622" s="13"/>
      <c r="AH622" s="14"/>
      <c r="AI622" s="14"/>
      <c r="AJ622" s="8"/>
      <c r="AK622" s="8"/>
      <c r="AL622" s="8"/>
      <c r="AM622" s="8"/>
      <c r="AN622" s="631"/>
      <c r="AO622" s="18"/>
      <c r="AP622" s="18"/>
      <c r="AQ622" s="18"/>
      <c r="AR622" s="18"/>
      <c r="AS622" s="18"/>
      <c r="AU622" s="448"/>
      <c r="AV622" s="448"/>
      <c r="AW622" s="8" t="str">
        <f>IF(C622&gt;0,VLOOKUP(C622,Foundation_Calc!$A$2:$C$986,3,1),
IF(J622&gt;0,VLOOKUP(J622,Foundation_Calc!$A$2:$C$986,3,1),""))</f>
        <v/>
      </c>
      <c r="AX622" s="8" t="str">
        <f>IF(C622&gt;0,VLOOKUP(C622,Foundation_Calc!$E$2:$G$986,3,1),
IF(J622&gt;0,VLOOKUP(J622,Foundation_Calc!$E$2:$G$986,3,1),""))</f>
        <v/>
      </c>
      <c r="AY622" s="631" t="str">
        <f>IF(L622="","",
IF(AX622="PT",VLOOKUP(L622,Foundation_Calc!$K$4:$R$37,VLOOKUP(AW622,Foundation_Calc!$I$2:$J$8,2,FALSE),0),
IF(AX622="K",VLOOKUP(L622,Foundation_Calc!$K$41:$R$74,VLOOKUP(AW622,Foundation_Calc!$I$2:$J$8,2,FALSE),0),"")))</f>
        <v/>
      </c>
      <c r="AZ622" s="631" t="str">
        <f>IF(K622="","",
IF(AX622="PT",VLOOKUP(K622,Foundation_Calc!$K$4:$R$37,VLOOKUP(AW622,Foundation_Calc!$I$2:$J$8,2,FALSE),0),
IF(AX622="K",VLOOKUP(K622,Foundation_Calc!$K$41:$R$74,VLOOKUP(AW622,Foundation_Calc!$I$2:$J$8,2,FALSE),0),"")))</f>
        <v/>
      </c>
      <c r="BA622" s="632" t="str">
        <f t="shared" si="75"/>
        <v/>
      </c>
      <c r="BB622" s="632" t="str">
        <f t="shared" si="76"/>
        <v/>
      </c>
      <c r="BC622" s="632" t="str">
        <f t="shared" si="77"/>
        <v/>
      </c>
      <c r="BD622" s="633" t="str">
        <f>IF(AND(L622="",H622=""),"",
IF(H622="",Pole_Calc!A650,
IF(H622="MP",Pole_Calc!A651,
IF(H622="AnMP",Pole_Calc!A652,
IF(H622="A",Pole_Calc!A653,
IF(H622="S/A",Pole_Calc!A654,
IF(H622="A/S",Pole_Calc!A655,"Poner a mano")))))))</f>
        <v/>
      </c>
      <c r="BE622" s="448" t="s">
        <v>1726</v>
      </c>
      <c r="BF622" s="634"/>
      <c r="BG622" s="634"/>
      <c r="BH622" s="634"/>
      <c r="BI622" s="634"/>
    </row>
    <row r="623" spans="1:61" ht="16.2" customHeight="1">
      <c r="A623" s="12"/>
      <c r="B623" s="446"/>
      <c r="C623" s="89"/>
      <c r="D623" s="13"/>
      <c r="E623" s="14"/>
      <c r="F623" s="14"/>
      <c r="G623" s="15"/>
      <c r="H623" s="8"/>
      <c r="I623" s="8"/>
      <c r="J623" s="89"/>
      <c r="K623" s="8"/>
      <c r="L623" s="8"/>
      <c r="M623" s="8" t="str">
        <f>IF(L623="","",
IF(AX623="PT",VLOOKUP(L623,Foundation_Calc!$V$4:$X$37,VLOOKUP(AX623,Foundation_Calc!$I$10:$J$13,2,FALSE),0),
IF(AX623="K",VLOOKUP(L623,Foundation_Calc!$V$41:$X$74,VLOOKUP(AX623,Foundation_Calc!$I$10:$J$13,2,FALSE),0),"")))</f>
        <v/>
      </c>
      <c r="N623" s="8"/>
      <c r="O623" s="8"/>
      <c r="P623" s="8"/>
      <c r="Q623" s="14"/>
      <c r="R623" s="15"/>
      <c r="S623" s="15"/>
      <c r="T623" s="14"/>
      <c r="U623" s="14"/>
      <c r="V623" s="14"/>
      <c r="W623" s="18"/>
      <c r="X623" s="18"/>
      <c r="Y623" s="18"/>
      <c r="Z623" s="18"/>
      <c r="AA623" s="18"/>
      <c r="AB623" s="18"/>
      <c r="AC623" s="8" t="str">
        <f t="shared" si="74"/>
        <v/>
      </c>
      <c r="AD623" s="8"/>
      <c r="AE623" s="8"/>
      <c r="AF623" s="14"/>
      <c r="AG623" s="13"/>
      <c r="AH623" s="14"/>
      <c r="AI623" s="14"/>
      <c r="AJ623" s="8"/>
      <c r="AK623" s="8"/>
      <c r="AL623" s="8"/>
      <c r="AM623" s="8"/>
      <c r="AN623" s="631"/>
      <c r="AO623" s="18"/>
      <c r="AP623" s="18"/>
      <c r="AQ623" s="18"/>
      <c r="AR623" s="18"/>
      <c r="AS623" s="18"/>
      <c r="AU623" s="448"/>
      <c r="AV623" s="448"/>
      <c r="AW623" s="8" t="str">
        <f>IF(C623&gt;0,VLOOKUP(C623,Foundation_Calc!$A$2:$C$986,3,1),
IF(J623&gt;0,VLOOKUP(J623,Foundation_Calc!$A$2:$C$986,3,1),""))</f>
        <v/>
      </c>
      <c r="AX623" s="8" t="str">
        <f>IF(C623&gt;0,VLOOKUP(C623,Foundation_Calc!$E$2:$G$986,3,1),
IF(J623&gt;0,VLOOKUP(J623,Foundation_Calc!$E$2:$G$986,3,1),""))</f>
        <v/>
      </c>
      <c r="AY623" s="631" t="str">
        <f>IF(L623="","",
IF(AX623="PT",VLOOKUP(L623,Foundation_Calc!$K$4:$R$37,VLOOKUP(AW623,Foundation_Calc!$I$2:$J$8,2,FALSE),0),
IF(AX623="K",VLOOKUP(L623,Foundation_Calc!$K$41:$R$74,VLOOKUP(AW623,Foundation_Calc!$I$2:$J$8,2,FALSE),0),"")))</f>
        <v/>
      </c>
      <c r="AZ623" s="631" t="str">
        <f>IF(K623="","",
IF(AX623="PT",VLOOKUP(K623,Foundation_Calc!$K$4:$R$37,VLOOKUP(AW623,Foundation_Calc!$I$2:$J$8,2,FALSE),0),
IF(AX623="K",VLOOKUP(K623,Foundation_Calc!$K$41:$R$74,VLOOKUP(AW623,Foundation_Calc!$I$2:$J$8,2,FALSE),0),"")))</f>
        <v/>
      </c>
      <c r="BA623" s="632" t="str">
        <f t="shared" si="75"/>
        <v/>
      </c>
      <c r="BB623" s="632" t="str">
        <f t="shared" si="76"/>
        <v/>
      </c>
      <c r="BC623" s="632" t="str">
        <f t="shared" si="77"/>
        <v/>
      </c>
      <c r="BD623" s="633" t="str">
        <f>IF(AND(L623="",H623=""),"",
IF(H623="",Pole_Calc!A651,
IF(H623="MP",Pole_Calc!A652,
IF(H623="AnMP",Pole_Calc!A653,
IF(H623="A",Pole_Calc!A654,
IF(H623="S/A",Pole_Calc!A655,
IF(H623="A/S",Pole_Calc!A656,"Poner a mano")))))))</f>
        <v/>
      </c>
      <c r="BE623" s="448" t="s">
        <v>1726</v>
      </c>
      <c r="BF623" s="635"/>
      <c r="BG623" s="635"/>
      <c r="BH623" s="634"/>
      <c r="BI623" s="635"/>
    </row>
    <row r="624" spans="1:61" ht="16.2" customHeight="1">
      <c r="A624" s="12"/>
      <c r="B624" s="446"/>
      <c r="C624" s="89"/>
      <c r="D624" s="13"/>
      <c r="E624" s="14"/>
      <c r="F624" s="14"/>
      <c r="G624" s="15"/>
      <c r="H624" s="8"/>
      <c r="I624" s="8"/>
      <c r="J624" s="89"/>
      <c r="K624" s="8"/>
      <c r="L624" s="8"/>
      <c r="M624" s="8" t="str">
        <f>IF(L624="","",
IF(AX624="PT",VLOOKUP(L624,Foundation_Calc!$V$4:$X$37,VLOOKUP(AX624,Foundation_Calc!$I$10:$J$13,2,FALSE),0),
IF(AX624="K",VLOOKUP(L624,Foundation_Calc!$V$41:$X$74,VLOOKUP(AX624,Foundation_Calc!$I$10:$J$13,2,FALSE),0),"")))</f>
        <v/>
      </c>
      <c r="N624" s="8"/>
      <c r="O624" s="8"/>
      <c r="P624" s="8"/>
      <c r="Q624" s="14"/>
      <c r="R624" s="15"/>
      <c r="S624" s="15"/>
      <c r="T624" s="14"/>
      <c r="U624" s="14"/>
      <c r="V624" s="14"/>
      <c r="W624" s="18"/>
      <c r="X624" s="18"/>
      <c r="Y624" s="18"/>
      <c r="Z624" s="18"/>
      <c r="AA624" s="18"/>
      <c r="AB624" s="18"/>
      <c r="AC624" s="8" t="str">
        <f t="shared" si="74"/>
        <v/>
      </c>
      <c r="AD624" s="8"/>
      <c r="AE624" s="8"/>
      <c r="AF624" s="14"/>
      <c r="AG624" s="13"/>
      <c r="AH624" s="14"/>
      <c r="AI624" s="14"/>
      <c r="AJ624" s="8"/>
      <c r="AK624" s="8"/>
      <c r="AL624" s="8"/>
      <c r="AM624" s="8"/>
      <c r="AN624" s="631"/>
      <c r="AO624" s="18"/>
      <c r="AP624" s="18"/>
      <c r="AQ624" s="18"/>
      <c r="AR624" s="18"/>
      <c r="AS624" s="18"/>
      <c r="AU624" s="448"/>
      <c r="AV624" s="448"/>
      <c r="AW624" s="8" t="str">
        <f>IF(C624&gt;0,VLOOKUP(C624,Foundation_Calc!$A$2:$C$986,3,1),
IF(J624&gt;0,VLOOKUP(J624,Foundation_Calc!$A$2:$C$986,3,1),""))</f>
        <v/>
      </c>
      <c r="AX624" s="8" t="str">
        <f>IF(C624&gt;0,VLOOKUP(C624,Foundation_Calc!$E$2:$G$986,3,1),
IF(J624&gt;0,VLOOKUP(J624,Foundation_Calc!$E$2:$G$986,3,1),""))</f>
        <v/>
      </c>
      <c r="AY624" s="631" t="str">
        <f>IF(L624="","",
IF(AX624="PT",VLOOKUP(L624,Foundation_Calc!$K$4:$R$37,VLOOKUP(AW624,Foundation_Calc!$I$2:$J$8,2,FALSE),0),
IF(AX624="K",VLOOKUP(L624,Foundation_Calc!$K$41:$R$74,VLOOKUP(AW624,Foundation_Calc!$I$2:$J$8,2,FALSE),0),"")))</f>
        <v/>
      </c>
      <c r="AZ624" s="631" t="str">
        <f>IF(K624="","",
IF(AX624="PT",VLOOKUP(K624,Foundation_Calc!$K$4:$R$37,VLOOKUP(AW624,Foundation_Calc!$I$2:$J$8,2,FALSE),0),
IF(AX624="K",VLOOKUP(K624,Foundation_Calc!$K$41:$R$74,VLOOKUP(AW624,Foundation_Calc!$I$2:$J$8,2,FALSE),0),"")))</f>
        <v/>
      </c>
      <c r="BA624" s="632" t="str">
        <f t="shared" si="75"/>
        <v/>
      </c>
      <c r="BB624" s="632" t="str">
        <f t="shared" si="76"/>
        <v/>
      </c>
      <c r="BC624" s="632" t="str">
        <f t="shared" si="77"/>
        <v/>
      </c>
      <c r="BD624" s="633" t="str">
        <f>IF(AND(L624="",H624=""),"",
IF(H624="",Pole_Calc!A652,
IF(H624="MP",Pole_Calc!A653,
IF(H624="AnMP",Pole_Calc!A654,
IF(H624="A",Pole_Calc!A655,
IF(H624="S/A",Pole_Calc!A656,
IF(H624="A/S",Pole_Calc!A657,"Poner a mano")))))))</f>
        <v/>
      </c>
      <c r="BE624" s="448" t="s">
        <v>1726</v>
      </c>
      <c r="BF624" s="634"/>
      <c r="BG624" s="634"/>
      <c r="BH624" s="634"/>
      <c r="BI624" s="634"/>
    </row>
    <row r="625" spans="1:61" ht="16.2" customHeight="1">
      <c r="A625" s="12"/>
      <c r="B625" s="446"/>
      <c r="C625" s="89"/>
      <c r="D625" s="13"/>
      <c r="E625" s="14"/>
      <c r="F625" s="14"/>
      <c r="G625" s="15"/>
      <c r="H625" s="8"/>
      <c r="I625" s="8"/>
      <c r="J625" s="89"/>
      <c r="K625" s="8"/>
      <c r="L625" s="8"/>
      <c r="M625" s="8" t="str">
        <f>IF(L625="","",
IF(AX625="PT",VLOOKUP(L625,Foundation_Calc!$V$4:$X$37,VLOOKUP(AX625,Foundation_Calc!$I$10:$J$13,2,FALSE),0),
IF(AX625="K",VLOOKUP(L625,Foundation_Calc!$V$41:$X$74,VLOOKUP(AX625,Foundation_Calc!$I$10:$J$13,2,FALSE),0),"")))</f>
        <v/>
      </c>
      <c r="N625" s="8"/>
      <c r="O625" s="8"/>
      <c r="P625" s="8"/>
      <c r="Q625" s="14"/>
      <c r="R625" s="15"/>
      <c r="S625" s="15"/>
      <c r="T625" s="14"/>
      <c r="U625" s="14"/>
      <c r="V625" s="14"/>
      <c r="W625" s="18"/>
      <c r="X625" s="18"/>
      <c r="Y625" s="18"/>
      <c r="Z625" s="18"/>
      <c r="AA625" s="18"/>
      <c r="AB625" s="18"/>
      <c r="AC625" s="8" t="str">
        <f t="shared" si="74"/>
        <v/>
      </c>
      <c r="AD625" s="8"/>
      <c r="AE625" s="8"/>
      <c r="AF625" s="14"/>
      <c r="AG625" s="13"/>
      <c r="AH625" s="14"/>
      <c r="AI625" s="14"/>
      <c r="AJ625" s="8"/>
      <c r="AK625" s="8"/>
      <c r="AL625" s="8"/>
      <c r="AM625" s="8"/>
      <c r="AN625" s="631"/>
      <c r="AO625" s="18"/>
      <c r="AP625" s="18"/>
      <c r="AQ625" s="18"/>
      <c r="AR625" s="18"/>
      <c r="AS625" s="18"/>
      <c r="AU625" s="448"/>
      <c r="AV625" s="448"/>
      <c r="AW625" s="8" t="str">
        <f>IF(C625&gt;0,VLOOKUP(C625,Foundation_Calc!$A$2:$C$986,3,1),
IF(J625&gt;0,VLOOKUP(J625,Foundation_Calc!$A$2:$C$986,3,1),""))</f>
        <v/>
      </c>
      <c r="AX625" s="8" t="str">
        <f>IF(C625&gt;0,VLOOKUP(C625,Foundation_Calc!$E$2:$G$986,3,1),
IF(J625&gt;0,VLOOKUP(J625,Foundation_Calc!$E$2:$G$986,3,1),""))</f>
        <v/>
      </c>
      <c r="AY625" s="631" t="str">
        <f>IF(L625="","",
IF(AX625="PT",VLOOKUP(L625,Foundation_Calc!$K$4:$R$37,VLOOKUP(AW625,Foundation_Calc!$I$2:$J$8,2,FALSE),0),
IF(AX625="K",VLOOKUP(L625,Foundation_Calc!$K$41:$R$74,VLOOKUP(AW625,Foundation_Calc!$I$2:$J$8,2,FALSE),0),"")))</f>
        <v/>
      </c>
      <c r="AZ625" s="631" t="str">
        <f>IF(K625="","",
IF(AX625="PT",VLOOKUP(K625,Foundation_Calc!$K$4:$R$37,VLOOKUP(AW625,Foundation_Calc!$I$2:$J$8,2,FALSE),0),
IF(AX625="K",VLOOKUP(K625,Foundation_Calc!$K$41:$R$74,VLOOKUP(AW625,Foundation_Calc!$I$2:$J$8,2,FALSE),0),"")))</f>
        <v/>
      </c>
      <c r="BA625" s="632" t="str">
        <f t="shared" si="75"/>
        <v/>
      </c>
      <c r="BB625" s="632" t="str">
        <f t="shared" si="76"/>
        <v/>
      </c>
      <c r="BC625" s="632" t="str">
        <f t="shared" si="77"/>
        <v/>
      </c>
      <c r="BD625" s="633" t="str">
        <f>IF(AND(L625="",H625=""),"",
IF(H625="",Pole_Calc!A653,
IF(H625="MP",Pole_Calc!A654,
IF(H625="AnMP",Pole_Calc!A655,
IF(H625="A",Pole_Calc!A656,
IF(H625="S/A",Pole_Calc!A657,
IF(H625="A/S",Pole_Calc!A658,"Poner a mano")))))))</f>
        <v/>
      </c>
      <c r="BE625" s="448" t="s">
        <v>1726</v>
      </c>
      <c r="BF625" s="635"/>
      <c r="BG625" s="635"/>
      <c r="BH625" s="634"/>
      <c r="BI625" s="635"/>
    </row>
    <row r="626" spans="1:61" ht="16.2" customHeight="1">
      <c r="A626" s="12"/>
      <c r="B626" s="446"/>
      <c r="C626" s="89"/>
      <c r="D626" s="13"/>
      <c r="E626" s="14"/>
      <c r="F626" s="14"/>
      <c r="G626" s="15"/>
      <c r="H626" s="8"/>
      <c r="I626" s="8"/>
      <c r="J626" s="89"/>
      <c r="K626" s="8"/>
      <c r="L626" s="8"/>
      <c r="M626" s="8" t="str">
        <f>IF(L626="","",
IF(AX626="PT",VLOOKUP(L626,Foundation_Calc!$V$4:$X$37,VLOOKUP(AX626,Foundation_Calc!$I$10:$J$13,2,FALSE),0),
IF(AX626="K",VLOOKUP(L626,Foundation_Calc!$V$41:$X$74,VLOOKUP(AX626,Foundation_Calc!$I$10:$J$13,2,FALSE),0),"")))</f>
        <v/>
      </c>
      <c r="N626" s="8"/>
      <c r="O626" s="8"/>
      <c r="P626" s="8"/>
      <c r="Q626" s="14"/>
      <c r="R626" s="15"/>
      <c r="S626" s="15"/>
      <c r="T626" s="14"/>
      <c r="U626" s="14"/>
      <c r="V626" s="14"/>
      <c r="W626" s="18"/>
      <c r="X626" s="18"/>
      <c r="Y626" s="18"/>
      <c r="Z626" s="18"/>
      <c r="AA626" s="18"/>
      <c r="AB626" s="18"/>
      <c r="AC626" s="8" t="str">
        <f t="shared" si="74"/>
        <v/>
      </c>
      <c r="AD626" s="8"/>
      <c r="AE626" s="8"/>
      <c r="AF626" s="14"/>
      <c r="AG626" s="13"/>
      <c r="AH626" s="14"/>
      <c r="AI626" s="14"/>
      <c r="AJ626" s="8"/>
      <c r="AK626" s="8"/>
      <c r="AL626" s="8"/>
      <c r="AM626" s="8"/>
      <c r="AN626" s="631"/>
      <c r="AO626" s="18"/>
      <c r="AP626" s="18"/>
      <c r="AQ626" s="18"/>
      <c r="AR626" s="18"/>
      <c r="AS626" s="18"/>
      <c r="AU626" s="448"/>
      <c r="AV626" s="448"/>
      <c r="AW626" s="8" t="str">
        <f>IF(C626&gt;0,VLOOKUP(C626,Foundation_Calc!$A$2:$C$986,3,1),
IF(J626&gt;0,VLOOKUP(J626,Foundation_Calc!$A$2:$C$986,3,1),""))</f>
        <v/>
      </c>
      <c r="AX626" s="8" t="str">
        <f>IF(C626&gt;0,VLOOKUP(C626,Foundation_Calc!$E$2:$G$986,3,1),
IF(J626&gt;0,VLOOKUP(J626,Foundation_Calc!$E$2:$G$986,3,1),""))</f>
        <v/>
      </c>
      <c r="AY626" s="631" t="str">
        <f>IF(L626="","",
IF(AX626="PT",VLOOKUP(L626,Foundation_Calc!$K$4:$R$37,VLOOKUP(AW626,Foundation_Calc!$I$2:$J$8,2,FALSE),0),
IF(AX626="K",VLOOKUP(L626,Foundation_Calc!$K$41:$R$74,VLOOKUP(AW626,Foundation_Calc!$I$2:$J$8,2,FALSE),0),"")))</f>
        <v/>
      </c>
      <c r="AZ626" s="631" t="str">
        <f>IF(K626="","",
IF(AX626="PT",VLOOKUP(K626,Foundation_Calc!$K$4:$R$37,VLOOKUP(AW626,Foundation_Calc!$I$2:$J$8,2,FALSE),0),
IF(AX626="K",VLOOKUP(K626,Foundation_Calc!$K$41:$R$74,VLOOKUP(AW626,Foundation_Calc!$I$2:$J$8,2,FALSE),0),"")))</f>
        <v/>
      </c>
      <c r="BA626" s="632" t="str">
        <f t="shared" si="75"/>
        <v/>
      </c>
      <c r="BB626" s="632" t="str">
        <f t="shared" si="76"/>
        <v/>
      </c>
      <c r="BC626" s="632" t="str">
        <f t="shared" si="77"/>
        <v/>
      </c>
      <c r="BD626" s="633" t="str">
        <f>IF(AND(L626="",H626=""),"",
IF(H626="",Pole_Calc!A654,
IF(H626="MP",Pole_Calc!A655,
IF(H626="AnMP",Pole_Calc!A656,
IF(H626="A",Pole_Calc!A657,
IF(H626="S/A",Pole_Calc!A658,
IF(H626="A/S",Pole_Calc!A659,"Poner a mano")))))))</f>
        <v/>
      </c>
      <c r="BE626" s="448" t="s">
        <v>1726</v>
      </c>
      <c r="BF626" s="634"/>
      <c r="BG626" s="634"/>
      <c r="BH626" s="634"/>
      <c r="BI626" s="634"/>
    </row>
    <row r="627" spans="1:61" ht="16.2" customHeight="1">
      <c r="A627" s="12"/>
      <c r="B627" s="446"/>
      <c r="C627" s="89"/>
      <c r="D627" s="13"/>
      <c r="E627" s="14"/>
      <c r="F627" s="14"/>
      <c r="G627" s="15"/>
      <c r="H627" s="8"/>
      <c r="I627" s="8"/>
      <c r="J627" s="89"/>
      <c r="K627" s="8"/>
      <c r="L627" s="8"/>
      <c r="M627" s="8" t="str">
        <f>IF(L627="","",
IF(AX627="PT",VLOOKUP(L627,Foundation_Calc!$V$4:$X$37,VLOOKUP(AX627,Foundation_Calc!$I$10:$J$13,2,FALSE),0),
IF(AX627="K",VLOOKUP(L627,Foundation_Calc!$V$41:$X$74,VLOOKUP(AX627,Foundation_Calc!$I$10:$J$13,2,FALSE),0),"")))</f>
        <v/>
      </c>
      <c r="N627" s="8"/>
      <c r="O627" s="8"/>
      <c r="P627" s="8"/>
      <c r="Q627" s="14"/>
      <c r="R627" s="15"/>
      <c r="S627" s="15"/>
      <c r="T627" s="14"/>
      <c r="U627" s="14"/>
      <c r="V627" s="14"/>
      <c r="W627" s="18"/>
      <c r="X627" s="18"/>
      <c r="Y627" s="18"/>
      <c r="Z627" s="18"/>
      <c r="AA627" s="18"/>
      <c r="AB627" s="18"/>
      <c r="AC627" s="8" t="str">
        <f t="shared" si="74"/>
        <v/>
      </c>
      <c r="AD627" s="8"/>
      <c r="AE627" s="8"/>
      <c r="AF627" s="14"/>
      <c r="AG627" s="13"/>
      <c r="AH627" s="14"/>
      <c r="AI627" s="14"/>
      <c r="AJ627" s="8"/>
      <c r="AK627" s="8"/>
      <c r="AL627" s="8"/>
      <c r="AM627" s="8"/>
      <c r="AN627" s="631"/>
      <c r="AO627" s="18"/>
      <c r="AP627" s="18"/>
      <c r="AQ627" s="18"/>
      <c r="AR627" s="18"/>
      <c r="AS627" s="18"/>
      <c r="AU627" s="448"/>
      <c r="AV627" s="448"/>
      <c r="AW627" s="8" t="str">
        <f>IF(C627&gt;0,VLOOKUP(C627,Foundation_Calc!$A$2:$C$986,3,1),
IF(J627&gt;0,VLOOKUP(J627,Foundation_Calc!$A$2:$C$986,3,1),""))</f>
        <v/>
      </c>
      <c r="AX627" s="8" t="str">
        <f>IF(C627&gt;0,VLOOKUP(C627,Foundation_Calc!$E$2:$G$986,3,1),
IF(J627&gt;0,VLOOKUP(J627,Foundation_Calc!$E$2:$G$986,3,1),""))</f>
        <v/>
      </c>
      <c r="AY627" s="631" t="str">
        <f>IF(L627="","",
IF(AX627="PT",VLOOKUP(L627,Foundation_Calc!$K$4:$R$37,VLOOKUP(AW627,Foundation_Calc!$I$2:$J$8,2,FALSE),0),
IF(AX627="K",VLOOKUP(L627,Foundation_Calc!$K$41:$R$74,VLOOKUP(AW627,Foundation_Calc!$I$2:$J$8,2,FALSE),0),"")))</f>
        <v/>
      </c>
      <c r="AZ627" s="631" t="str">
        <f>IF(K627="","",
IF(AX627="PT",VLOOKUP(K627,Foundation_Calc!$K$4:$R$37,VLOOKUP(AW627,Foundation_Calc!$I$2:$J$8,2,FALSE),0),
IF(AX627="K",VLOOKUP(K627,Foundation_Calc!$K$41:$R$74,VLOOKUP(AW627,Foundation_Calc!$I$2:$J$8,2,FALSE),0),"")))</f>
        <v/>
      </c>
      <c r="BA627" s="632" t="str">
        <f t="shared" si="75"/>
        <v/>
      </c>
      <c r="BB627" s="632" t="str">
        <f t="shared" si="76"/>
        <v/>
      </c>
      <c r="BC627" s="632" t="str">
        <f t="shared" si="77"/>
        <v/>
      </c>
      <c r="BD627" s="633" t="str">
        <f>IF(AND(L627="",H627=""),"",
IF(H627="",Pole_Calc!A655,
IF(H627="MP",Pole_Calc!A656,
IF(H627="AnMP",Pole_Calc!A657,
IF(H627="A",Pole_Calc!A658,
IF(H627="S/A",Pole_Calc!A659,
IF(H627="A/S",Pole_Calc!A660,"Poner a mano")))))))</f>
        <v/>
      </c>
      <c r="BE627" s="448" t="s">
        <v>1726</v>
      </c>
      <c r="BF627" s="635"/>
      <c r="BG627" s="635"/>
      <c r="BH627" s="634"/>
      <c r="BI627" s="635"/>
    </row>
    <row r="628" spans="1:61" ht="16.2" customHeight="1">
      <c r="A628" s="12"/>
      <c r="B628" s="446"/>
      <c r="C628" s="89"/>
      <c r="D628" s="13"/>
      <c r="E628" s="14"/>
      <c r="F628" s="14"/>
      <c r="G628" s="15"/>
      <c r="H628" s="8"/>
      <c r="I628" s="8"/>
      <c r="J628" s="89"/>
      <c r="K628" s="8"/>
      <c r="L628" s="8"/>
      <c r="M628" s="8" t="str">
        <f>IF(L628="","",
IF(AX628="PT",VLOOKUP(L628,Foundation_Calc!$V$4:$X$37,VLOOKUP(AX628,Foundation_Calc!$I$10:$J$13,2,FALSE),0),
IF(AX628="K",VLOOKUP(L628,Foundation_Calc!$V$41:$X$74,VLOOKUP(AX628,Foundation_Calc!$I$10:$J$13,2,FALSE),0),"")))</f>
        <v/>
      </c>
      <c r="N628" s="8"/>
      <c r="O628" s="8"/>
      <c r="P628" s="8"/>
      <c r="Q628" s="14"/>
      <c r="R628" s="15"/>
      <c r="S628" s="15"/>
      <c r="T628" s="14"/>
      <c r="U628" s="14"/>
      <c r="V628" s="14"/>
      <c r="W628" s="18"/>
      <c r="X628" s="18"/>
      <c r="Y628" s="18"/>
      <c r="Z628" s="18"/>
      <c r="AA628" s="18"/>
      <c r="AB628" s="18"/>
      <c r="AC628" s="8" t="str">
        <f t="shared" si="74"/>
        <v/>
      </c>
      <c r="AD628" s="8"/>
      <c r="AE628" s="8"/>
      <c r="AF628" s="14"/>
      <c r="AG628" s="13"/>
      <c r="AH628" s="14"/>
      <c r="AI628" s="14"/>
      <c r="AJ628" s="8"/>
      <c r="AK628" s="8"/>
      <c r="AL628" s="8"/>
      <c r="AM628" s="8"/>
      <c r="AN628" s="631"/>
      <c r="AO628" s="18"/>
      <c r="AP628" s="18"/>
      <c r="AQ628" s="18"/>
      <c r="AR628" s="18"/>
      <c r="AS628" s="18"/>
      <c r="AU628" s="448"/>
      <c r="AV628" s="448"/>
      <c r="AW628" s="8" t="str">
        <f>IF(C628&gt;0,VLOOKUP(C628,Foundation_Calc!$A$2:$C$986,3,1),
IF(J628&gt;0,VLOOKUP(J628,Foundation_Calc!$A$2:$C$986,3,1),""))</f>
        <v/>
      </c>
      <c r="AX628" s="8" t="str">
        <f>IF(C628&gt;0,VLOOKUP(C628,Foundation_Calc!$E$2:$G$986,3,1),
IF(J628&gt;0,VLOOKUP(J628,Foundation_Calc!$E$2:$G$986,3,1),""))</f>
        <v/>
      </c>
      <c r="AY628" s="631" t="str">
        <f>IF(L628="","",
IF(AX628="PT",VLOOKUP(L628,Foundation_Calc!$K$4:$R$37,VLOOKUP(AW628,Foundation_Calc!$I$2:$J$8,2,FALSE),0),
IF(AX628="K",VLOOKUP(L628,Foundation_Calc!$K$41:$R$74,VLOOKUP(AW628,Foundation_Calc!$I$2:$J$8,2,FALSE),0),"")))</f>
        <v/>
      </c>
      <c r="AZ628" s="631" t="str">
        <f>IF(K628="","",
IF(AX628="PT",VLOOKUP(K628,Foundation_Calc!$K$4:$R$37,VLOOKUP(AW628,Foundation_Calc!$I$2:$J$8,2,FALSE),0),
IF(AX628="K",VLOOKUP(K628,Foundation_Calc!$K$41:$R$74,VLOOKUP(AW628,Foundation_Calc!$I$2:$J$8,2,FALSE),0),"")))</f>
        <v/>
      </c>
      <c r="BA628" s="632" t="str">
        <f t="shared" si="75"/>
        <v/>
      </c>
      <c r="BB628" s="632" t="str">
        <f t="shared" si="76"/>
        <v/>
      </c>
      <c r="BC628" s="632" t="str">
        <f t="shared" si="77"/>
        <v/>
      </c>
      <c r="BD628" s="633" t="str">
        <f>IF(AND(L628="",H628=""),"",
IF(H628="",Pole_Calc!A656,
IF(H628="MP",Pole_Calc!A657,
IF(H628="AnMP",Pole_Calc!A658,
IF(H628="A",Pole_Calc!A659,
IF(H628="S/A",Pole_Calc!A660,
IF(H628="A/S",Pole_Calc!A661,"Poner a mano")))))))</f>
        <v/>
      </c>
      <c r="BE628" s="448" t="s">
        <v>1726</v>
      </c>
      <c r="BF628" s="634"/>
      <c r="BG628" s="634"/>
      <c r="BH628" s="634"/>
      <c r="BI628" s="634"/>
    </row>
    <row r="629" spans="1:61" ht="16.2" customHeight="1">
      <c r="A629" s="12"/>
      <c r="B629" s="446"/>
      <c r="C629" s="89"/>
      <c r="D629" s="13"/>
      <c r="E629" s="14"/>
      <c r="F629" s="14"/>
      <c r="G629" s="15"/>
      <c r="H629" s="8"/>
      <c r="I629" s="8"/>
      <c r="J629" s="89"/>
      <c r="K629" s="8"/>
      <c r="L629" s="8"/>
      <c r="M629" s="8" t="str">
        <f>IF(L629="","",
IF(AX629="PT",VLOOKUP(L629,Foundation_Calc!$V$4:$X$37,VLOOKUP(AX629,Foundation_Calc!$I$10:$J$13,2,FALSE),0),
IF(AX629="K",VLOOKUP(L629,Foundation_Calc!$V$41:$X$74,VLOOKUP(AX629,Foundation_Calc!$I$10:$J$13,2,FALSE),0),"")))</f>
        <v/>
      </c>
      <c r="N629" s="8"/>
      <c r="O629" s="8"/>
      <c r="P629" s="8"/>
      <c r="Q629" s="14"/>
      <c r="R629" s="15"/>
      <c r="S629" s="15"/>
      <c r="T629" s="14"/>
      <c r="U629" s="14"/>
      <c r="V629" s="14"/>
      <c r="W629" s="18"/>
      <c r="X629" s="18"/>
      <c r="Y629" s="18"/>
      <c r="Z629" s="18"/>
      <c r="AA629" s="18"/>
      <c r="AB629" s="18"/>
      <c r="AC629" s="8" t="str">
        <f t="shared" si="74"/>
        <v/>
      </c>
      <c r="AD629" s="8"/>
      <c r="AE629" s="8"/>
      <c r="AF629" s="14"/>
      <c r="AG629" s="13"/>
      <c r="AH629" s="14"/>
      <c r="AI629" s="14"/>
      <c r="AJ629" s="8"/>
      <c r="AK629" s="8"/>
      <c r="AL629" s="8"/>
      <c r="AM629" s="8"/>
      <c r="AN629" s="631"/>
      <c r="AO629" s="18"/>
      <c r="AP629" s="18"/>
      <c r="AQ629" s="18"/>
      <c r="AR629" s="18"/>
      <c r="AS629" s="18"/>
      <c r="AU629" s="448"/>
      <c r="AV629" s="448"/>
      <c r="AW629" s="8" t="str">
        <f>IF(C629&gt;0,VLOOKUP(C629,Foundation_Calc!$A$2:$C$986,3,1),
IF(J629&gt;0,VLOOKUP(J629,Foundation_Calc!$A$2:$C$986,3,1),""))</f>
        <v/>
      </c>
      <c r="AX629" s="8" t="str">
        <f>IF(C629&gt;0,VLOOKUP(C629,Foundation_Calc!$E$2:$G$986,3,1),
IF(J629&gt;0,VLOOKUP(J629,Foundation_Calc!$E$2:$G$986,3,1),""))</f>
        <v/>
      </c>
      <c r="AY629" s="631" t="str">
        <f>IF(L629="","",
IF(AX629="PT",VLOOKUP(L629,Foundation_Calc!$K$4:$R$37,VLOOKUP(AW629,Foundation_Calc!$I$2:$J$8,2,FALSE),0),
IF(AX629="K",VLOOKUP(L629,Foundation_Calc!$K$41:$R$74,VLOOKUP(AW629,Foundation_Calc!$I$2:$J$8,2,FALSE),0),"")))</f>
        <v/>
      </c>
      <c r="AZ629" s="631" t="str">
        <f>IF(K629="","",
IF(AX629="PT",VLOOKUP(K629,Foundation_Calc!$K$4:$R$37,VLOOKUP(AW629,Foundation_Calc!$I$2:$J$8,2,FALSE),0),
IF(AX629="K",VLOOKUP(K629,Foundation_Calc!$K$41:$R$74,VLOOKUP(AW629,Foundation_Calc!$I$2:$J$8,2,FALSE),0),"")))</f>
        <v/>
      </c>
      <c r="BA629" s="632" t="str">
        <f t="shared" si="75"/>
        <v/>
      </c>
      <c r="BB629" s="632" t="str">
        <f t="shared" si="76"/>
        <v/>
      </c>
      <c r="BC629" s="632" t="str">
        <f t="shared" si="77"/>
        <v/>
      </c>
      <c r="BD629" s="633" t="str">
        <f>IF(AND(L629="",H629=""),"",
IF(H629="",Pole_Calc!A657,
IF(H629="MP",Pole_Calc!A658,
IF(H629="AnMP",Pole_Calc!A659,
IF(H629="A",Pole_Calc!A660,
IF(H629="S/A",Pole_Calc!A661,
IF(H629="A/S",Pole_Calc!A662,"Poner a mano")))))))</f>
        <v/>
      </c>
      <c r="BE629" s="448" t="s">
        <v>1726</v>
      </c>
      <c r="BF629" s="635"/>
      <c r="BG629" s="635"/>
      <c r="BH629" s="634"/>
      <c r="BI629" s="635"/>
    </row>
    <row r="630" spans="1:61" ht="16.2" customHeight="1">
      <c r="A630" s="12"/>
      <c r="B630" s="446"/>
      <c r="C630" s="89"/>
      <c r="D630" s="13"/>
      <c r="E630" s="14"/>
      <c r="F630" s="14"/>
      <c r="G630" s="15"/>
      <c r="H630" s="8"/>
      <c r="I630" s="8"/>
      <c r="J630" s="89"/>
      <c r="K630" s="8"/>
      <c r="L630" s="8"/>
      <c r="M630" s="8" t="str">
        <f>IF(L630="","",
IF(AX630="PT",VLOOKUP(L630,Foundation_Calc!$V$4:$X$37,VLOOKUP(AX630,Foundation_Calc!$I$10:$J$13,2,FALSE),0),
IF(AX630="K",VLOOKUP(L630,Foundation_Calc!$V$41:$X$74,VLOOKUP(AX630,Foundation_Calc!$I$10:$J$13,2,FALSE),0),"")))</f>
        <v/>
      </c>
      <c r="N630" s="8"/>
      <c r="O630" s="8"/>
      <c r="P630" s="8"/>
      <c r="Q630" s="14"/>
      <c r="R630" s="15"/>
      <c r="S630" s="15"/>
      <c r="T630" s="14"/>
      <c r="U630" s="14"/>
      <c r="V630" s="14"/>
      <c r="W630" s="18"/>
      <c r="X630" s="18"/>
      <c r="Y630" s="18"/>
      <c r="Z630" s="18"/>
      <c r="AA630" s="18"/>
      <c r="AB630" s="18"/>
      <c r="AC630" s="8" t="str">
        <f t="shared" si="74"/>
        <v/>
      </c>
      <c r="AD630" s="8"/>
      <c r="AE630" s="8"/>
      <c r="AF630" s="14"/>
      <c r="AG630" s="13"/>
      <c r="AH630" s="14"/>
      <c r="AI630" s="14"/>
      <c r="AJ630" s="8"/>
      <c r="AK630" s="8"/>
      <c r="AL630" s="8"/>
      <c r="AM630" s="8"/>
      <c r="AN630" s="631"/>
      <c r="AO630" s="18"/>
      <c r="AP630" s="18"/>
      <c r="AQ630" s="18"/>
      <c r="AR630" s="18"/>
      <c r="AS630" s="18"/>
      <c r="AU630" s="448"/>
      <c r="AV630" s="448"/>
      <c r="AW630" s="8" t="str">
        <f>IF(C630&gt;0,VLOOKUP(C630,Foundation_Calc!$A$2:$C$986,3,1),
IF(J630&gt;0,VLOOKUP(J630,Foundation_Calc!$A$2:$C$986,3,1),""))</f>
        <v/>
      </c>
      <c r="AX630" s="8" t="str">
        <f>IF(C630&gt;0,VLOOKUP(C630,Foundation_Calc!$E$2:$G$986,3,1),
IF(J630&gt;0,VLOOKUP(J630,Foundation_Calc!$E$2:$G$986,3,1),""))</f>
        <v/>
      </c>
      <c r="AY630" s="631" t="str">
        <f>IF(L630="","",
IF(AX630="PT",VLOOKUP(L630,Foundation_Calc!$K$4:$R$37,VLOOKUP(AW630,Foundation_Calc!$I$2:$J$8,2,FALSE),0),
IF(AX630="K",VLOOKUP(L630,Foundation_Calc!$K$41:$R$74,VLOOKUP(AW630,Foundation_Calc!$I$2:$J$8,2,FALSE),0),"")))</f>
        <v/>
      </c>
      <c r="AZ630" s="631" t="str">
        <f>IF(K630="","",
IF(AX630="PT",VLOOKUP(K630,Foundation_Calc!$K$4:$R$37,VLOOKUP(AW630,Foundation_Calc!$I$2:$J$8,2,FALSE),0),
IF(AX630="K",VLOOKUP(K630,Foundation_Calc!$K$41:$R$74,VLOOKUP(AW630,Foundation_Calc!$I$2:$J$8,2,FALSE),0),"")))</f>
        <v/>
      </c>
      <c r="BA630" s="632" t="str">
        <f t="shared" si="75"/>
        <v/>
      </c>
      <c r="BB630" s="632" t="str">
        <f t="shared" si="76"/>
        <v/>
      </c>
      <c r="BC630" s="632" t="str">
        <f t="shared" si="77"/>
        <v/>
      </c>
      <c r="BD630" s="633" t="str">
        <f>IF(AND(L630="",H630=""),"",
IF(H630="",Pole_Calc!A658,
IF(H630="MP",Pole_Calc!A659,
IF(H630="AnMP",Pole_Calc!A660,
IF(H630="A",Pole_Calc!A661,
IF(H630="S/A",Pole_Calc!A662,
IF(H630="A/S",Pole_Calc!A663,"Poner a mano")))))))</f>
        <v/>
      </c>
      <c r="BE630" s="448" t="s">
        <v>1726</v>
      </c>
      <c r="BF630" s="634"/>
      <c r="BG630" s="634"/>
      <c r="BH630" s="634"/>
      <c r="BI630" s="634"/>
    </row>
    <row r="631" spans="1:61" ht="16.2" customHeight="1">
      <c r="A631" s="12"/>
      <c r="B631" s="446"/>
      <c r="C631" s="89"/>
      <c r="D631" s="13"/>
      <c r="E631" s="14"/>
      <c r="F631" s="14"/>
      <c r="G631" s="15"/>
      <c r="H631" s="8"/>
      <c r="I631" s="8"/>
      <c r="J631" s="89"/>
      <c r="K631" s="8"/>
      <c r="L631" s="8"/>
      <c r="M631" s="8" t="str">
        <f>IF(L631="","",
IF(AX631="PT",VLOOKUP(L631,Foundation_Calc!$V$4:$X$37,VLOOKUP(AX631,Foundation_Calc!$I$10:$J$13,2,FALSE),0),
IF(AX631="K",VLOOKUP(L631,Foundation_Calc!$V$41:$X$74,VLOOKUP(AX631,Foundation_Calc!$I$10:$J$13,2,FALSE),0),"")))</f>
        <v/>
      </c>
      <c r="N631" s="8"/>
      <c r="O631" s="8"/>
      <c r="P631" s="8"/>
      <c r="Q631" s="14"/>
      <c r="R631" s="15"/>
      <c r="S631" s="15"/>
      <c r="T631" s="14"/>
      <c r="U631" s="14"/>
      <c r="V631" s="14"/>
      <c r="W631" s="18"/>
      <c r="X631" s="18"/>
      <c r="Y631" s="18"/>
      <c r="Z631" s="18"/>
      <c r="AA631" s="18"/>
      <c r="AB631" s="18"/>
      <c r="AC631" s="8" t="str">
        <f t="shared" si="74"/>
        <v/>
      </c>
      <c r="AD631" s="8"/>
      <c r="AE631" s="8"/>
      <c r="AF631" s="14"/>
      <c r="AG631" s="13"/>
      <c r="AH631" s="14"/>
      <c r="AI631" s="14"/>
      <c r="AJ631" s="8"/>
      <c r="AK631" s="8"/>
      <c r="AL631" s="8"/>
      <c r="AM631" s="8"/>
      <c r="AN631" s="631"/>
      <c r="AO631" s="18"/>
      <c r="AP631" s="18"/>
      <c r="AQ631" s="18"/>
      <c r="AR631" s="18"/>
      <c r="AS631" s="18"/>
      <c r="AU631" s="448"/>
      <c r="AV631" s="448"/>
      <c r="AW631" s="8" t="str">
        <f>IF(C631&gt;0,VLOOKUP(C631,Foundation_Calc!$A$2:$C$986,3,1),
IF(J631&gt;0,VLOOKUP(J631,Foundation_Calc!$A$2:$C$986,3,1),""))</f>
        <v/>
      </c>
      <c r="AX631" s="8" t="str">
        <f>IF(C631&gt;0,VLOOKUP(C631,Foundation_Calc!$E$2:$G$986,3,1),
IF(J631&gt;0,VLOOKUP(J631,Foundation_Calc!$E$2:$G$986,3,1),""))</f>
        <v/>
      </c>
      <c r="AY631" s="631" t="str">
        <f>IF(L631="","",
IF(AX631="PT",VLOOKUP(L631,Foundation_Calc!$K$4:$R$37,VLOOKUP(AW631,Foundation_Calc!$I$2:$J$8,2,FALSE),0),
IF(AX631="K",VLOOKUP(L631,Foundation_Calc!$K$41:$R$74,VLOOKUP(AW631,Foundation_Calc!$I$2:$J$8,2,FALSE),0),"")))</f>
        <v/>
      </c>
      <c r="AZ631" s="631" t="str">
        <f>IF(K631="","",
IF(AX631="PT",VLOOKUP(K631,Foundation_Calc!$K$4:$R$37,VLOOKUP(AW631,Foundation_Calc!$I$2:$J$8,2,FALSE),0),
IF(AX631="K",VLOOKUP(K631,Foundation_Calc!$K$41:$R$74,VLOOKUP(AW631,Foundation_Calc!$I$2:$J$8,2,FALSE),0),"")))</f>
        <v/>
      </c>
      <c r="BA631" s="632" t="str">
        <f t="shared" si="75"/>
        <v/>
      </c>
      <c r="BB631" s="632" t="str">
        <f t="shared" si="76"/>
        <v/>
      </c>
      <c r="BC631" s="632" t="str">
        <f t="shared" si="77"/>
        <v/>
      </c>
      <c r="BD631" s="633" t="str">
        <f>IF(AND(L631="",H631=""),"",
IF(H631="",Pole_Calc!A659,
IF(H631="MP",Pole_Calc!A660,
IF(H631="AnMP",Pole_Calc!A661,
IF(H631="A",Pole_Calc!A662,
IF(H631="S/A",Pole_Calc!A663,
IF(H631="A/S",Pole_Calc!A664,"Poner a mano")))))))</f>
        <v/>
      </c>
      <c r="BE631" s="448" t="s">
        <v>1726</v>
      </c>
      <c r="BF631" s="635"/>
      <c r="BG631" s="635"/>
      <c r="BH631" s="634"/>
      <c r="BI631" s="635"/>
    </row>
    <row r="632" spans="1:61" ht="16.2" customHeight="1">
      <c r="A632" s="12"/>
      <c r="B632" s="446"/>
      <c r="C632" s="89"/>
      <c r="D632" s="13"/>
      <c r="E632" s="14"/>
      <c r="F632" s="14"/>
      <c r="G632" s="15"/>
      <c r="H632" s="8"/>
      <c r="I632" s="8"/>
      <c r="J632" s="89"/>
      <c r="K632" s="8"/>
      <c r="L632" s="8"/>
      <c r="M632" s="8" t="str">
        <f>IF(L632="","",
IF(AX632="PT",VLOOKUP(L632,Foundation_Calc!$V$4:$X$37,VLOOKUP(AX632,Foundation_Calc!$I$10:$J$13,2,FALSE),0),
IF(AX632="K",VLOOKUP(L632,Foundation_Calc!$V$41:$X$74,VLOOKUP(AX632,Foundation_Calc!$I$10:$J$13,2,FALSE),0),"")))</f>
        <v/>
      </c>
      <c r="N632" s="8"/>
      <c r="O632" s="8"/>
      <c r="P632" s="8"/>
      <c r="Q632" s="14"/>
      <c r="R632" s="15"/>
      <c r="S632" s="15"/>
      <c r="T632" s="14"/>
      <c r="U632" s="14"/>
      <c r="V632" s="14"/>
      <c r="W632" s="18"/>
      <c r="X632" s="18"/>
      <c r="Y632" s="18"/>
      <c r="Z632" s="18"/>
      <c r="AA632" s="18"/>
      <c r="AB632" s="18"/>
      <c r="AC632" s="8" t="str">
        <f t="shared" si="74"/>
        <v/>
      </c>
      <c r="AD632" s="8"/>
      <c r="AE632" s="8"/>
      <c r="AF632" s="14"/>
      <c r="AG632" s="13"/>
      <c r="AH632" s="14"/>
      <c r="AI632" s="14"/>
      <c r="AJ632" s="8"/>
      <c r="AK632" s="8"/>
      <c r="AL632" s="8"/>
      <c r="AM632" s="8"/>
      <c r="AN632" s="631"/>
      <c r="AO632" s="18"/>
      <c r="AP632" s="18"/>
      <c r="AQ632" s="18"/>
      <c r="AR632" s="18"/>
      <c r="AS632" s="18"/>
      <c r="AU632" s="448"/>
      <c r="AV632" s="448"/>
      <c r="AW632" s="8" t="str">
        <f>IF(C632&gt;0,VLOOKUP(C632,Foundation_Calc!$A$2:$C$986,3,1),
IF(J632&gt;0,VLOOKUP(J632,Foundation_Calc!$A$2:$C$986,3,1),""))</f>
        <v/>
      </c>
      <c r="AX632" s="8" t="str">
        <f>IF(C632&gt;0,VLOOKUP(C632,Foundation_Calc!$E$2:$G$986,3,1),
IF(J632&gt;0,VLOOKUP(J632,Foundation_Calc!$E$2:$G$986,3,1),""))</f>
        <v/>
      </c>
      <c r="AY632" s="631" t="str">
        <f>IF(L632="","",
IF(AX632="PT",VLOOKUP(L632,Foundation_Calc!$K$4:$R$37,VLOOKUP(AW632,Foundation_Calc!$I$2:$J$8,2,FALSE),0),
IF(AX632="K",VLOOKUP(L632,Foundation_Calc!$K$41:$R$74,VLOOKUP(AW632,Foundation_Calc!$I$2:$J$8,2,FALSE),0),"")))</f>
        <v/>
      </c>
      <c r="AZ632" s="631" t="str">
        <f>IF(K632="","",
IF(AX632="PT",VLOOKUP(K632,Foundation_Calc!$K$4:$R$37,VLOOKUP(AW632,Foundation_Calc!$I$2:$J$8,2,FALSE),0),
IF(AX632="K",VLOOKUP(K632,Foundation_Calc!$K$41:$R$74,VLOOKUP(AW632,Foundation_Calc!$I$2:$J$8,2,FALSE),0),"")))</f>
        <v/>
      </c>
      <c r="BA632" s="632" t="str">
        <f t="shared" si="75"/>
        <v/>
      </c>
      <c r="BB632" s="632" t="str">
        <f t="shared" si="76"/>
        <v/>
      </c>
      <c r="BC632" s="632" t="str">
        <f t="shared" si="77"/>
        <v/>
      </c>
      <c r="BD632" s="633" t="str">
        <f>IF(AND(L632="",H632=""),"",
IF(H632="",Pole_Calc!A660,
IF(H632="MP",Pole_Calc!A661,
IF(H632="AnMP",Pole_Calc!A662,
IF(H632="A",Pole_Calc!A663,
IF(H632="S/A",Pole_Calc!A664,
IF(H632="A/S",Pole_Calc!A665,"Poner a mano")))))))</f>
        <v/>
      </c>
      <c r="BE632" s="448" t="s">
        <v>1726</v>
      </c>
      <c r="BF632" s="634"/>
      <c r="BG632" s="634"/>
      <c r="BH632" s="634"/>
      <c r="BI632" s="634"/>
    </row>
    <row r="633" spans="1:61" ht="16.2" customHeight="1">
      <c r="A633" s="12"/>
      <c r="B633" s="446"/>
      <c r="C633" s="89"/>
      <c r="D633" s="13"/>
      <c r="E633" s="14"/>
      <c r="F633" s="14"/>
      <c r="G633" s="15"/>
      <c r="H633" s="8"/>
      <c r="I633" s="8"/>
      <c r="J633" s="89"/>
      <c r="K633" s="8"/>
      <c r="L633" s="8"/>
      <c r="M633" s="8" t="str">
        <f>IF(L633="","",
IF(AX633="PT",VLOOKUP(L633,Foundation_Calc!$V$4:$X$37,VLOOKUP(AX633,Foundation_Calc!$I$10:$J$13,2,FALSE),0),
IF(AX633="K",VLOOKUP(L633,Foundation_Calc!$V$41:$X$74,VLOOKUP(AX633,Foundation_Calc!$I$10:$J$13,2,FALSE),0),"")))</f>
        <v/>
      </c>
      <c r="N633" s="8"/>
      <c r="O633" s="8"/>
      <c r="P633" s="8"/>
      <c r="Q633" s="14"/>
      <c r="R633" s="15"/>
      <c r="S633" s="15"/>
      <c r="T633" s="14"/>
      <c r="U633" s="14"/>
      <c r="V633" s="14"/>
      <c r="W633" s="18"/>
      <c r="X633" s="18"/>
      <c r="Y633" s="18"/>
      <c r="Z633" s="18"/>
      <c r="AA633" s="18"/>
      <c r="AB633" s="18"/>
      <c r="AC633" s="8" t="str">
        <f t="shared" si="74"/>
        <v/>
      </c>
      <c r="AD633" s="8"/>
      <c r="AE633" s="8"/>
      <c r="AF633" s="14"/>
      <c r="AG633" s="13"/>
      <c r="AH633" s="14"/>
      <c r="AI633" s="14"/>
      <c r="AJ633" s="8"/>
      <c r="AK633" s="8"/>
      <c r="AL633" s="8"/>
      <c r="AM633" s="8"/>
      <c r="AN633" s="631"/>
      <c r="AO633" s="18"/>
      <c r="AP633" s="18"/>
      <c r="AQ633" s="18"/>
      <c r="AR633" s="18"/>
      <c r="AS633" s="18"/>
      <c r="AU633" s="448"/>
      <c r="AV633" s="448"/>
      <c r="AW633" s="8" t="str">
        <f>IF(C633&gt;0,VLOOKUP(C633,Foundation_Calc!$A$2:$C$986,3,1),
IF(J633&gt;0,VLOOKUP(J633,Foundation_Calc!$A$2:$C$986,3,1),""))</f>
        <v/>
      </c>
      <c r="AX633" s="8" t="str">
        <f>IF(C633&gt;0,VLOOKUP(C633,Foundation_Calc!$E$2:$G$986,3,1),
IF(J633&gt;0,VLOOKUP(J633,Foundation_Calc!$E$2:$G$986,3,1),""))</f>
        <v/>
      </c>
      <c r="AY633" s="631" t="str">
        <f>IF(L633="","",
IF(AX633="PT",VLOOKUP(L633,Foundation_Calc!$K$4:$R$37,VLOOKUP(AW633,Foundation_Calc!$I$2:$J$8,2,FALSE),0),
IF(AX633="K",VLOOKUP(L633,Foundation_Calc!$K$41:$R$74,VLOOKUP(AW633,Foundation_Calc!$I$2:$J$8,2,FALSE),0),"")))</f>
        <v/>
      </c>
      <c r="AZ633" s="631" t="str">
        <f>IF(K633="","",
IF(AX633="PT",VLOOKUP(K633,Foundation_Calc!$K$4:$R$37,VLOOKUP(AW633,Foundation_Calc!$I$2:$J$8,2,FALSE),0),
IF(AX633="K",VLOOKUP(K633,Foundation_Calc!$K$41:$R$74,VLOOKUP(AW633,Foundation_Calc!$I$2:$J$8,2,FALSE),0),"")))</f>
        <v/>
      </c>
      <c r="BA633" s="632" t="str">
        <f t="shared" si="75"/>
        <v/>
      </c>
      <c r="BB633" s="632" t="str">
        <f t="shared" si="76"/>
        <v/>
      </c>
      <c r="BC633" s="632" t="str">
        <f t="shared" si="77"/>
        <v/>
      </c>
      <c r="BD633" s="633" t="str">
        <f>IF(AND(L633="",H633=""),"",
IF(H633="",Pole_Calc!A661,
IF(H633="MP",Pole_Calc!A662,
IF(H633="AnMP",Pole_Calc!A663,
IF(H633="A",Pole_Calc!A664,
IF(H633="S/A",Pole_Calc!A665,
IF(H633="A/S",Pole_Calc!A666,"Poner a mano")))))))</f>
        <v/>
      </c>
      <c r="BE633" s="448" t="s">
        <v>1726</v>
      </c>
      <c r="BF633" s="635"/>
      <c r="BG633" s="635"/>
      <c r="BH633" s="634"/>
      <c r="BI633" s="635"/>
    </row>
    <row r="634" spans="1:61" ht="16.2" customHeight="1">
      <c r="A634" s="12"/>
      <c r="B634" s="446"/>
      <c r="C634" s="89"/>
      <c r="D634" s="13"/>
      <c r="E634" s="14"/>
      <c r="F634" s="14"/>
      <c r="G634" s="15"/>
      <c r="H634" s="8"/>
      <c r="I634" s="8"/>
      <c r="J634" s="89"/>
      <c r="K634" s="8"/>
      <c r="L634" s="8"/>
      <c r="M634" s="8" t="str">
        <f>IF(L634="","",
IF(AX634="PT",VLOOKUP(L634,Foundation_Calc!$V$4:$X$37,VLOOKUP(AX634,Foundation_Calc!$I$10:$J$13,2,FALSE),0),
IF(AX634="K",VLOOKUP(L634,Foundation_Calc!$V$41:$X$74,VLOOKUP(AX634,Foundation_Calc!$I$10:$J$13,2,FALSE),0),"")))</f>
        <v/>
      </c>
      <c r="N634" s="8"/>
      <c r="O634" s="8"/>
      <c r="P634" s="8"/>
      <c r="Q634" s="14"/>
      <c r="R634" s="15"/>
      <c r="S634" s="15"/>
      <c r="T634" s="14"/>
      <c r="U634" s="14"/>
      <c r="V634" s="14"/>
      <c r="W634" s="18"/>
      <c r="X634" s="18"/>
      <c r="Y634" s="18"/>
      <c r="Z634" s="18"/>
      <c r="AA634" s="18"/>
      <c r="AB634" s="18"/>
      <c r="AC634" s="8" t="str">
        <f t="shared" si="74"/>
        <v/>
      </c>
      <c r="AD634" s="8"/>
      <c r="AE634" s="8"/>
      <c r="AF634" s="14"/>
      <c r="AG634" s="13"/>
      <c r="AH634" s="14"/>
      <c r="AI634" s="14"/>
      <c r="AJ634" s="8"/>
      <c r="AK634" s="8"/>
      <c r="AL634" s="8"/>
      <c r="AM634" s="8"/>
      <c r="AN634" s="631"/>
      <c r="AO634" s="18"/>
      <c r="AP634" s="18"/>
      <c r="AQ634" s="18"/>
      <c r="AR634" s="18"/>
      <c r="AS634" s="18"/>
      <c r="AU634" s="448"/>
      <c r="AV634" s="448"/>
      <c r="AW634" s="8" t="str">
        <f>IF(C634&gt;0,VLOOKUP(C634,Foundation_Calc!$A$2:$C$986,3,1),
IF(J634&gt;0,VLOOKUP(J634,Foundation_Calc!$A$2:$C$986,3,1),""))</f>
        <v/>
      </c>
      <c r="AX634" s="8" t="str">
        <f>IF(C634&gt;0,VLOOKUP(C634,Foundation_Calc!$E$2:$G$986,3,1),
IF(J634&gt;0,VLOOKUP(J634,Foundation_Calc!$E$2:$G$986,3,1),""))</f>
        <v/>
      </c>
      <c r="AY634" s="631" t="str">
        <f>IF(L634="","",
IF(AX634="PT",VLOOKUP(L634,Foundation_Calc!$K$4:$R$37,VLOOKUP(AW634,Foundation_Calc!$I$2:$J$8,2,FALSE),0),
IF(AX634="K",VLOOKUP(L634,Foundation_Calc!$K$41:$R$74,VLOOKUP(AW634,Foundation_Calc!$I$2:$J$8,2,FALSE),0),"")))</f>
        <v/>
      </c>
      <c r="AZ634" s="631" t="str">
        <f>IF(K634="","",
IF(AX634="PT",VLOOKUP(K634,Foundation_Calc!$K$4:$R$37,VLOOKUP(AW634,Foundation_Calc!$I$2:$J$8,2,FALSE),0),
IF(AX634="K",VLOOKUP(K634,Foundation_Calc!$K$41:$R$74,VLOOKUP(AW634,Foundation_Calc!$I$2:$J$8,2,FALSE),0),"")))</f>
        <v/>
      </c>
      <c r="BA634" s="632" t="str">
        <f t="shared" si="75"/>
        <v/>
      </c>
      <c r="BB634" s="632" t="str">
        <f t="shared" si="76"/>
        <v/>
      </c>
      <c r="BC634" s="632" t="str">
        <f t="shared" si="77"/>
        <v/>
      </c>
      <c r="BD634" s="633" t="str">
        <f>IF(AND(L634="",H634=""),"",
IF(H634="",Pole_Calc!A662,
IF(H634="MP",Pole_Calc!A663,
IF(H634="AnMP",Pole_Calc!A664,
IF(H634="A",Pole_Calc!A665,
IF(H634="S/A",Pole_Calc!A666,
IF(H634="A/S",Pole_Calc!A667,"Poner a mano")))))))</f>
        <v/>
      </c>
      <c r="BE634" s="448" t="s">
        <v>1726</v>
      </c>
      <c r="BF634" s="634"/>
      <c r="BG634" s="634"/>
      <c r="BH634" s="634"/>
      <c r="BI634" s="634"/>
    </row>
    <row r="635" spans="1:61" ht="16.2" customHeight="1">
      <c r="A635" s="12"/>
      <c r="B635" s="446"/>
      <c r="C635" s="89"/>
      <c r="D635" s="13"/>
      <c r="E635" s="14"/>
      <c r="F635" s="14"/>
      <c r="G635" s="15"/>
      <c r="H635" s="8"/>
      <c r="I635" s="8"/>
      <c r="J635" s="89"/>
      <c r="K635" s="8"/>
      <c r="L635" s="8"/>
      <c r="M635" s="8" t="str">
        <f>IF(L635="","",
IF(AX635="PT",VLOOKUP(L635,Foundation_Calc!$V$4:$X$37,VLOOKUP(AX635,Foundation_Calc!$I$10:$J$13,2,FALSE),0),
IF(AX635="K",VLOOKUP(L635,Foundation_Calc!$V$41:$X$74,VLOOKUP(AX635,Foundation_Calc!$I$10:$J$13,2,FALSE),0),"")))</f>
        <v/>
      </c>
      <c r="N635" s="8"/>
      <c r="O635" s="8"/>
      <c r="P635" s="8"/>
      <c r="Q635" s="14"/>
      <c r="R635" s="15"/>
      <c r="S635" s="15"/>
      <c r="T635" s="14"/>
      <c r="U635" s="14"/>
      <c r="V635" s="14"/>
      <c r="W635" s="18"/>
      <c r="X635" s="18"/>
      <c r="Y635" s="18"/>
      <c r="Z635" s="18"/>
      <c r="AA635" s="18"/>
      <c r="AB635" s="18"/>
      <c r="AC635" s="8" t="str">
        <f t="shared" si="74"/>
        <v/>
      </c>
      <c r="AD635" s="8"/>
      <c r="AE635" s="8"/>
      <c r="AF635" s="14"/>
      <c r="AG635" s="13"/>
      <c r="AH635" s="14"/>
      <c r="AI635" s="14"/>
      <c r="AJ635" s="8"/>
      <c r="AK635" s="8"/>
      <c r="AL635" s="8"/>
      <c r="AM635" s="8"/>
      <c r="AN635" s="631"/>
      <c r="AO635" s="18"/>
      <c r="AP635" s="18"/>
      <c r="AQ635" s="18"/>
      <c r="AR635" s="18"/>
      <c r="AS635" s="18"/>
      <c r="AU635" s="448"/>
      <c r="AV635" s="448"/>
      <c r="AW635" s="8" t="str">
        <f>IF(C635&gt;0,VLOOKUP(C635,Foundation_Calc!$A$2:$C$986,3,1),
IF(J635&gt;0,VLOOKUP(J635,Foundation_Calc!$A$2:$C$986,3,1),""))</f>
        <v/>
      </c>
      <c r="AX635" s="8" t="str">
        <f>IF(C635&gt;0,VLOOKUP(C635,Foundation_Calc!$E$2:$G$986,3,1),
IF(J635&gt;0,VLOOKUP(J635,Foundation_Calc!$E$2:$G$986,3,1),""))</f>
        <v/>
      </c>
      <c r="AY635" s="631" t="str">
        <f>IF(L635="","",
IF(AX635="PT",VLOOKUP(L635,Foundation_Calc!$K$4:$R$37,VLOOKUP(AW635,Foundation_Calc!$I$2:$J$8,2,FALSE),0),
IF(AX635="K",VLOOKUP(L635,Foundation_Calc!$K$41:$R$74,VLOOKUP(AW635,Foundation_Calc!$I$2:$J$8,2,FALSE),0),"")))</f>
        <v/>
      </c>
      <c r="AZ635" s="631" t="str">
        <f>IF(K635="","",
IF(AX635="PT",VLOOKUP(K635,Foundation_Calc!$K$4:$R$37,VLOOKUP(AW635,Foundation_Calc!$I$2:$J$8,2,FALSE),0),
IF(AX635="K",VLOOKUP(K635,Foundation_Calc!$K$41:$R$74,VLOOKUP(AW635,Foundation_Calc!$I$2:$J$8,2,FALSE),0),"")))</f>
        <v/>
      </c>
      <c r="BA635" s="632" t="str">
        <f t="shared" si="75"/>
        <v/>
      </c>
      <c r="BB635" s="632" t="str">
        <f t="shared" si="76"/>
        <v/>
      </c>
      <c r="BC635" s="632" t="str">
        <f t="shared" si="77"/>
        <v/>
      </c>
      <c r="BD635" s="633" t="str">
        <f>IF(AND(L635="",H635=""),"",
IF(H635="",Pole_Calc!A663,
IF(H635="MP",Pole_Calc!A664,
IF(H635="AnMP",Pole_Calc!A665,
IF(H635="A",Pole_Calc!A666,
IF(H635="S/A",Pole_Calc!A667,
IF(H635="A/S",Pole_Calc!A668,"Poner a mano")))))))</f>
        <v/>
      </c>
      <c r="BE635" s="448" t="s">
        <v>1726</v>
      </c>
      <c r="BF635" s="635"/>
      <c r="BG635" s="635"/>
      <c r="BH635" s="634"/>
      <c r="BI635" s="635"/>
    </row>
    <row r="636" spans="1:61" ht="16.2" customHeight="1">
      <c r="A636" s="12"/>
      <c r="B636" s="446"/>
      <c r="C636" s="89"/>
      <c r="D636" s="13"/>
      <c r="E636" s="14"/>
      <c r="F636" s="14"/>
      <c r="G636" s="15"/>
      <c r="H636" s="8"/>
      <c r="I636" s="8"/>
      <c r="J636" s="89"/>
      <c r="K636" s="8"/>
      <c r="L636" s="8"/>
      <c r="M636" s="8" t="str">
        <f>IF(L636="","",
IF(AX636="PT",VLOOKUP(L636,Foundation_Calc!$V$4:$X$37,VLOOKUP(AX636,Foundation_Calc!$I$10:$J$13,2,FALSE),0),
IF(AX636="K",VLOOKUP(L636,Foundation_Calc!$V$41:$X$74,VLOOKUP(AX636,Foundation_Calc!$I$10:$J$13,2,FALSE),0),"")))</f>
        <v/>
      </c>
      <c r="N636" s="8"/>
      <c r="O636" s="8"/>
      <c r="P636" s="8"/>
      <c r="Q636" s="14"/>
      <c r="R636" s="15"/>
      <c r="S636" s="15"/>
      <c r="T636" s="14"/>
      <c r="U636" s="14"/>
      <c r="V636" s="14"/>
      <c r="W636" s="18"/>
      <c r="X636" s="18"/>
      <c r="Y636" s="18"/>
      <c r="Z636" s="18"/>
      <c r="AA636" s="18"/>
      <c r="AB636" s="18"/>
      <c r="AC636" s="8" t="str">
        <f t="shared" si="74"/>
        <v/>
      </c>
      <c r="AD636" s="8"/>
      <c r="AE636" s="8"/>
      <c r="AF636" s="14"/>
      <c r="AG636" s="13"/>
      <c r="AH636" s="14"/>
      <c r="AI636" s="14"/>
      <c r="AJ636" s="8"/>
      <c r="AK636" s="8"/>
      <c r="AL636" s="8"/>
      <c r="AM636" s="8"/>
      <c r="AN636" s="631"/>
      <c r="AO636" s="18"/>
      <c r="AP636" s="18"/>
      <c r="AQ636" s="18"/>
      <c r="AR636" s="18"/>
      <c r="AS636" s="18"/>
      <c r="AU636" s="448"/>
      <c r="AV636" s="448"/>
      <c r="AW636" s="8" t="str">
        <f>IF(C636&gt;0,VLOOKUP(C636,Foundation_Calc!$A$2:$C$986,3,1),
IF(J636&gt;0,VLOOKUP(J636,Foundation_Calc!$A$2:$C$986,3,1),""))</f>
        <v/>
      </c>
      <c r="AX636" s="8" t="str">
        <f>IF(C636&gt;0,VLOOKUP(C636,Foundation_Calc!$E$2:$G$986,3,1),
IF(J636&gt;0,VLOOKUP(J636,Foundation_Calc!$E$2:$G$986,3,1),""))</f>
        <v/>
      </c>
      <c r="AY636" s="631" t="str">
        <f>IF(L636="","",
IF(AX636="PT",VLOOKUP(L636,Foundation_Calc!$K$4:$R$37,VLOOKUP(AW636,Foundation_Calc!$I$2:$J$8,2,FALSE),0),
IF(AX636="K",VLOOKUP(L636,Foundation_Calc!$K$41:$R$74,VLOOKUP(AW636,Foundation_Calc!$I$2:$J$8,2,FALSE),0),"")))</f>
        <v/>
      </c>
      <c r="AZ636" s="631" t="str">
        <f>IF(K636="","",
IF(AX636="PT",VLOOKUP(K636,Foundation_Calc!$K$4:$R$37,VLOOKUP(AW636,Foundation_Calc!$I$2:$J$8,2,FALSE),0),
IF(AX636="K",VLOOKUP(K636,Foundation_Calc!$K$41:$R$74,VLOOKUP(AW636,Foundation_Calc!$I$2:$J$8,2,FALSE),0),"")))</f>
        <v/>
      </c>
      <c r="BA636" s="632" t="str">
        <f t="shared" si="75"/>
        <v/>
      </c>
      <c r="BB636" s="632" t="str">
        <f t="shared" si="76"/>
        <v/>
      </c>
      <c r="BC636" s="632" t="str">
        <f t="shared" si="77"/>
        <v/>
      </c>
      <c r="BD636" s="633" t="str">
        <f>IF(AND(L636="",H636=""),"",
IF(H636="",Pole_Calc!A664,
IF(H636="MP",Pole_Calc!A665,
IF(H636="AnMP",Pole_Calc!A666,
IF(H636="A",Pole_Calc!A667,
IF(H636="S/A",Pole_Calc!A668,
IF(H636="A/S",Pole_Calc!A669,"Poner a mano")))))))</f>
        <v/>
      </c>
      <c r="BE636" s="448" t="s">
        <v>1726</v>
      </c>
      <c r="BF636" s="634"/>
      <c r="BG636" s="634"/>
      <c r="BH636" s="634"/>
      <c r="BI636" s="634"/>
    </row>
    <row r="637" spans="1:61" ht="16.2" customHeight="1">
      <c r="A637" s="12"/>
      <c r="B637" s="446"/>
      <c r="C637" s="89"/>
      <c r="D637" s="13"/>
      <c r="E637" s="14"/>
      <c r="F637" s="14"/>
      <c r="G637" s="15"/>
      <c r="H637" s="8"/>
      <c r="I637" s="8"/>
      <c r="J637" s="89"/>
      <c r="K637" s="8"/>
      <c r="L637" s="8"/>
      <c r="M637" s="8" t="str">
        <f>IF(L637="","",
IF(AX637="PT",VLOOKUP(L637,Foundation_Calc!$V$4:$X$37,VLOOKUP(AX637,Foundation_Calc!$I$10:$J$13,2,FALSE),0),
IF(AX637="K",VLOOKUP(L637,Foundation_Calc!$V$41:$X$74,VLOOKUP(AX637,Foundation_Calc!$I$10:$J$13,2,FALSE),0),"")))</f>
        <v/>
      </c>
      <c r="N637" s="8"/>
      <c r="O637" s="8"/>
      <c r="P637" s="8"/>
      <c r="Q637" s="14"/>
      <c r="R637" s="15"/>
      <c r="S637" s="15"/>
      <c r="T637" s="14"/>
      <c r="U637" s="14"/>
      <c r="V637" s="14"/>
      <c r="W637" s="18"/>
      <c r="X637" s="18"/>
      <c r="Y637" s="18"/>
      <c r="Z637" s="18"/>
      <c r="AA637" s="18"/>
      <c r="AB637" s="18"/>
      <c r="AC637" s="8" t="str">
        <f t="shared" si="74"/>
        <v/>
      </c>
      <c r="AD637" s="8"/>
      <c r="AE637" s="8"/>
      <c r="AF637" s="14"/>
      <c r="AG637" s="13"/>
      <c r="AH637" s="14"/>
      <c r="AI637" s="14"/>
      <c r="AJ637" s="8"/>
      <c r="AK637" s="8"/>
      <c r="AL637" s="8"/>
      <c r="AM637" s="8"/>
      <c r="AN637" s="631"/>
      <c r="AO637" s="18"/>
      <c r="AP637" s="18"/>
      <c r="AQ637" s="18"/>
      <c r="AR637" s="18"/>
      <c r="AS637" s="18"/>
      <c r="AU637" s="448"/>
      <c r="AV637" s="448"/>
      <c r="AW637" s="8" t="str">
        <f>IF(C637&gt;0,VLOOKUP(C637,Foundation_Calc!$A$2:$C$986,3,1),
IF(J637&gt;0,VLOOKUP(J637,Foundation_Calc!$A$2:$C$986,3,1),""))</f>
        <v/>
      </c>
      <c r="AX637" s="8" t="str">
        <f>IF(C637&gt;0,VLOOKUP(C637,Foundation_Calc!$E$2:$G$986,3,1),
IF(J637&gt;0,VLOOKUP(J637,Foundation_Calc!$E$2:$G$986,3,1),""))</f>
        <v/>
      </c>
      <c r="AY637" s="631" t="str">
        <f>IF(L637="","",
IF(AX637="PT",VLOOKUP(L637,Foundation_Calc!$K$4:$R$37,VLOOKUP(AW637,Foundation_Calc!$I$2:$J$8,2,FALSE),0),
IF(AX637="K",VLOOKUP(L637,Foundation_Calc!$K$41:$R$74,VLOOKUP(AW637,Foundation_Calc!$I$2:$J$8,2,FALSE),0),"")))</f>
        <v/>
      </c>
      <c r="AZ637" s="631" t="str">
        <f>IF(K637="","",
IF(AX637="PT",VLOOKUP(K637,Foundation_Calc!$K$4:$R$37,VLOOKUP(AW637,Foundation_Calc!$I$2:$J$8,2,FALSE),0),
IF(AX637="K",VLOOKUP(K637,Foundation_Calc!$K$41:$R$74,VLOOKUP(AW637,Foundation_Calc!$I$2:$J$8,2,FALSE),0),"")))</f>
        <v/>
      </c>
      <c r="BA637" s="632" t="str">
        <f t="shared" si="75"/>
        <v/>
      </c>
      <c r="BB637" s="632" t="str">
        <f t="shared" si="76"/>
        <v/>
      </c>
      <c r="BC637" s="632" t="str">
        <f t="shared" si="77"/>
        <v/>
      </c>
      <c r="BD637" s="633" t="str">
        <f>IF(AND(L637="",H637=""),"",
IF(H637="",Pole_Calc!A665,
IF(H637="MP",Pole_Calc!A666,
IF(H637="AnMP",Pole_Calc!A667,
IF(H637="A",Pole_Calc!A668,
IF(H637="S/A",Pole_Calc!A669,
IF(H637="A/S",Pole_Calc!A670,"Poner a mano")))))))</f>
        <v/>
      </c>
      <c r="BE637" s="448" t="s">
        <v>1726</v>
      </c>
      <c r="BF637" s="635"/>
      <c r="BG637" s="635"/>
      <c r="BH637" s="634"/>
      <c r="BI637" s="635"/>
    </row>
    <row r="638" spans="1:61" ht="16.2" customHeight="1">
      <c r="A638" s="12"/>
      <c r="B638" s="446"/>
      <c r="C638" s="89"/>
      <c r="D638" s="13"/>
      <c r="E638" s="14"/>
      <c r="F638" s="14"/>
      <c r="G638" s="15"/>
      <c r="H638" s="8"/>
      <c r="I638" s="8"/>
      <c r="J638" s="89"/>
      <c r="K638" s="8"/>
      <c r="L638" s="8"/>
      <c r="M638" s="8" t="str">
        <f>IF(L638="","",
IF(AX638="PT",VLOOKUP(L638,Foundation_Calc!$V$4:$X$37,VLOOKUP(AX638,Foundation_Calc!$I$10:$J$13,2,FALSE),0),
IF(AX638="K",VLOOKUP(L638,Foundation_Calc!$V$41:$X$74,VLOOKUP(AX638,Foundation_Calc!$I$10:$J$13,2,FALSE),0),"")))</f>
        <v/>
      </c>
      <c r="N638" s="8"/>
      <c r="O638" s="8"/>
      <c r="P638" s="8"/>
      <c r="Q638" s="14"/>
      <c r="R638" s="15"/>
      <c r="S638" s="15"/>
      <c r="T638" s="14"/>
      <c r="U638" s="14"/>
      <c r="V638" s="14"/>
      <c r="W638" s="18"/>
      <c r="X638" s="18"/>
      <c r="Y638" s="18"/>
      <c r="Z638" s="18"/>
      <c r="AA638" s="18"/>
      <c r="AB638" s="18"/>
      <c r="AC638" s="8" t="str">
        <f t="shared" si="74"/>
        <v/>
      </c>
      <c r="AD638" s="8"/>
      <c r="AE638" s="8"/>
      <c r="AF638" s="14"/>
      <c r="AG638" s="13"/>
      <c r="AH638" s="14"/>
      <c r="AI638" s="14"/>
      <c r="AJ638" s="8"/>
      <c r="AK638" s="8"/>
      <c r="AL638" s="8"/>
      <c r="AM638" s="8"/>
      <c r="AN638" s="631"/>
      <c r="AO638" s="18"/>
      <c r="AP638" s="18"/>
      <c r="AQ638" s="18"/>
      <c r="AR638" s="18"/>
      <c r="AS638" s="18"/>
      <c r="AU638" s="448"/>
      <c r="AV638" s="448"/>
      <c r="AW638" s="8" t="str">
        <f>IF(C638&gt;0,VLOOKUP(C638,Foundation_Calc!$A$2:$C$986,3,1),
IF(J638&gt;0,VLOOKUP(J638,Foundation_Calc!$A$2:$C$986,3,1),""))</f>
        <v/>
      </c>
      <c r="AX638" s="8" t="str">
        <f>IF(C638&gt;0,VLOOKUP(C638,Foundation_Calc!$E$2:$G$986,3,1),
IF(J638&gt;0,VLOOKUP(J638,Foundation_Calc!$E$2:$G$986,3,1),""))</f>
        <v/>
      </c>
      <c r="AY638" s="631" t="str">
        <f>IF(L638="","",
IF(AX638="PT",VLOOKUP(L638,Foundation_Calc!$K$4:$R$37,VLOOKUP(AW638,Foundation_Calc!$I$2:$J$8,2,FALSE),0),
IF(AX638="K",VLOOKUP(L638,Foundation_Calc!$K$41:$R$74,VLOOKUP(AW638,Foundation_Calc!$I$2:$J$8,2,FALSE),0),"")))</f>
        <v/>
      </c>
      <c r="AZ638" s="631" t="str">
        <f>IF(K638="","",
IF(AX638="PT",VLOOKUP(K638,Foundation_Calc!$K$4:$R$37,VLOOKUP(AW638,Foundation_Calc!$I$2:$J$8,2,FALSE),0),
IF(AX638="K",VLOOKUP(K638,Foundation_Calc!$K$41:$R$74,VLOOKUP(AW638,Foundation_Calc!$I$2:$J$8,2,FALSE),0),"")))</f>
        <v/>
      </c>
      <c r="BA638" s="632" t="str">
        <f t="shared" si="75"/>
        <v/>
      </c>
      <c r="BB638" s="632" t="str">
        <f t="shared" si="76"/>
        <v/>
      </c>
      <c r="BC638" s="632" t="str">
        <f t="shared" si="77"/>
        <v/>
      </c>
      <c r="BD638" s="633" t="str">
        <f>IF(AND(L638="",H638=""),"",
IF(H638="",Pole_Calc!A666,
IF(H638="MP",Pole_Calc!A667,
IF(H638="AnMP",Pole_Calc!A668,
IF(H638="A",Pole_Calc!A669,
IF(H638="S/A",Pole_Calc!A670,
IF(H638="A/S",Pole_Calc!A671,"Poner a mano")))))))</f>
        <v/>
      </c>
      <c r="BE638" s="448" t="s">
        <v>1726</v>
      </c>
      <c r="BF638" s="634"/>
      <c r="BG638" s="634"/>
      <c r="BH638" s="634"/>
      <c r="BI638" s="634"/>
    </row>
    <row r="639" spans="1:61" ht="16.2" customHeight="1">
      <c r="A639" s="12"/>
      <c r="B639" s="446"/>
      <c r="C639" s="89"/>
      <c r="D639" s="13"/>
      <c r="E639" s="14"/>
      <c r="F639" s="14"/>
      <c r="G639" s="15"/>
      <c r="H639" s="8"/>
      <c r="I639" s="8"/>
      <c r="J639" s="89"/>
      <c r="K639" s="8"/>
      <c r="L639" s="8"/>
      <c r="M639" s="8" t="str">
        <f>IF(L639="","",
IF(AX639="PT",VLOOKUP(L639,Foundation_Calc!$V$4:$X$37,VLOOKUP(AX639,Foundation_Calc!$I$10:$J$13,2,FALSE),0),
IF(AX639="K",VLOOKUP(L639,Foundation_Calc!$V$41:$X$74,VLOOKUP(AX639,Foundation_Calc!$I$10:$J$13,2,FALSE),0),"")))</f>
        <v/>
      </c>
      <c r="N639" s="8"/>
      <c r="O639" s="8"/>
      <c r="P639" s="8"/>
      <c r="Q639" s="14"/>
      <c r="R639" s="15"/>
      <c r="S639" s="15"/>
      <c r="T639" s="14"/>
      <c r="U639" s="14"/>
      <c r="V639" s="14"/>
      <c r="W639" s="18"/>
      <c r="X639" s="18"/>
      <c r="Y639" s="18"/>
      <c r="Z639" s="18"/>
      <c r="AA639" s="18"/>
      <c r="AB639" s="18"/>
      <c r="AC639" s="8" t="str">
        <f t="shared" si="74"/>
        <v/>
      </c>
      <c r="AD639" s="8"/>
      <c r="AE639" s="8"/>
      <c r="AF639" s="14"/>
      <c r="AG639" s="13"/>
      <c r="AH639" s="14"/>
      <c r="AI639" s="14"/>
      <c r="AJ639" s="8"/>
      <c r="AK639" s="8"/>
      <c r="AL639" s="8"/>
      <c r="AM639" s="8"/>
      <c r="AN639" s="631"/>
      <c r="AO639" s="18"/>
      <c r="AP639" s="18"/>
      <c r="AQ639" s="18"/>
      <c r="AR639" s="18"/>
      <c r="AS639" s="18"/>
      <c r="AU639" s="448"/>
      <c r="AV639" s="448"/>
      <c r="AW639" s="8" t="str">
        <f>IF(C639&gt;0,VLOOKUP(C639,Foundation_Calc!$A$2:$C$986,3,1),
IF(J639&gt;0,VLOOKUP(J639,Foundation_Calc!$A$2:$C$986,3,1),""))</f>
        <v/>
      </c>
      <c r="AX639" s="8" t="str">
        <f>IF(C639&gt;0,VLOOKUP(C639,Foundation_Calc!$E$2:$G$986,3,1),
IF(J639&gt;0,VLOOKUP(J639,Foundation_Calc!$E$2:$G$986,3,1),""))</f>
        <v/>
      </c>
      <c r="AY639" s="631" t="str">
        <f>IF(L639="","",
IF(AX639="PT",VLOOKUP(L639,Foundation_Calc!$K$4:$R$37,VLOOKUP(AW639,Foundation_Calc!$I$2:$J$8,2,FALSE),0),
IF(AX639="K",VLOOKUP(L639,Foundation_Calc!$K$41:$R$74,VLOOKUP(AW639,Foundation_Calc!$I$2:$J$8,2,FALSE),0),"")))</f>
        <v/>
      </c>
      <c r="AZ639" s="631" t="str">
        <f>IF(K639="","",
IF(AX639="PT",VLOOKUP(K639,Foundation_Calc!$K$4:$R$37,VLOOKUP(AW639,Foundation_Calc!$I$2:$J$8,2,FALSE),0),
IF(AX639="K",VLOOKUP(K639,Foundation_Calc!$K$41:$R$74,VLOOKUP(AW639,Foundation_Calc!$I$2:$J$8,2,FALSE),0),"")))</f>
        <v/>
      </c>
      <c r="BA639" s="632" t="str">
        <f t="shared" si="75"/>
        <v/>
      </c>
      <c r="BB639" s="632" t="str">
        <f t="shared" si="76"/>
        <v/>
      </c>
      <c r="BC639" s="632" t="str">
        <f t="shared" si="77"/>
        <v/>
      </c>
      <c r="BD639" s="633" t="str">
        <f>IF(AND(L639="",H639=""),"",
IF(H639="",Pole_Calc!A667,
IF(H639="MP",Pole_Calc!A668,
IF(H639="AnMP",Pole_Calc!A669,
IF(H639="A",Pole_Calc!A670,
IF(H639="S/A",Pole_Calc!A671,
IF(H639="A/S",Pole_Calc!A672,"Poner a mano")))))))</f>
        <v/>
      </c>
      <c r="BE639" s="448" t="s">
        <v>1726</v>
      </c>
      <c r="BF639" s="635"/>
      <c r="BG639" s="635"/>
      <c r="BH639" s="634"/>
      <c r="BI639" s="635"/>
    </row>
    <row r="640" spans="1:61" ht="16.2" customHeight="1">
      <c r="A640" s="12"/>
      <c r="B640" s="446"/>
      <c r="C640" s="89"/>
      <c r="D640" s="13"/>
      <c r="E640" s="14"/>
      <c r="F640" s="14"/>
      <c r="G640" s="15"/>
      <c r="H640" s="8"/>
      <c r="I640" s="8"/>
      <c r="J640" s="89"/>
      <c r="K640" s="8"/>
      <c r="L640" s="8"/>
      <c r="M640" s="8" t="str">
        <f>IF(L640="","",
IF(AX640="PT",VLOOKUP(L640,Foundation_Calc!$V$4:$X$37,VLOOKUP(AX640,Foundation_Calc!$I$10:$J$13,2,FALSE),0),
IF(AX640="K",VLOOKUP(L640,Foundation_Calc!$V$41:$X$74,VLOOKUP(AX640,Foundation_Calc!$I$10:$J$13,2,FALSE),0),"")))</f>
        <v/>
      </c>
      <c r="N640" s="8"/>
      <c r="O640" s="8"/>
      <c r="P640" s="8"/>
      <c r="Q640" s="14"/>
      <c r="R640" s="15"/>
      <c r="S640" s="15"/>
      <c r="T640" s="14"/>
      <c r="U640" s="14"/>
      <c r="V640" s="14"/>
      <c r="W640" s="18"/>
      <c r="X640" s="18"/>
      <c r="Y640" s="18"/>
      <c r="Z640" s="18"/>
      <c r="AA640" s="18"/>
      <c r="AB640" s="18"/>
      <c r="AC640" s="8" t="str">
        <f t="shared" si="74"/>
        <v/>
      </c>
      <c r="AD640" s="8"/>
      <c r="AE640" s="8"/>
      <c r="AF640" s="14"/>
      <c r="AG640" s="13"/>
      <c r="AH640" s="14"/>
      <c r="AI640" s="14"/>
      <c r="AJ640" s="8"/>
      <c r="AK640" s="8"/>
      <c r="AL640" s="8"/>
      <c r="AM640" s="8"/>
      <c r="AN640" s="631"/>
      <c r="AO640" s="18"/>
      <c r="AP640" s="18"/>
      <c r="AQ640" s="18"/>
      <c r="AR640" s="18"/>
      <c r="AS640" s="18"/>
      <c r="AU640" s="448"/>
      <c r="AV640" s="448"/>
      <c r="AW640" s="8" t="str">
        <f>IF(C640&gt;0,VLOOKUP(C640,Foundation_Calc!$A$2:$C$986,3,1),
IF(J640&gt;0,VLOOKUP(J640,Foundation_Calc!$A$2:$C$986,3,1),""))</f>
        <v/>
      </c>
      <c r="AX640" s="8" t="str">
        <f>IF(C640&gt;0,VLOOKUP(C640,Foundation_Calc!$E$2:$G$986,3,1),
IF(J640&gt;0,VLOOKUP(J640,Foundation_Calc!$E$2:$G$986,3,1),""))</f>
        <v/>
      </c>
      <c r="AY640" s="631" t="str">
        <f>IF(L640="","",
IF(AX640="PT",VLOOKUP(L640,Foundation_Calc!$K$4:$R$37,VLOOKUP(AW640,Foundation_Calc!$I$2:$J$8,2,FALSE),0),
IF(AX640="K",VLOOKUP(L640,Foundation_Calc!$K$41:$R$74,VLOOKUP(AW640,Foundation_Calc!$I$2:$J$8,2,FALSE),0),"")))</f>
        <v/>
      </c>
      <c r="AZ640" s="631" t="str">
        <f>IF(K640="","",
IF(AX640="PT",VLOOKUP(K640,Foundation_Calc!$K$4:$R$37,VLOOKUP(AW640,Foundation_Calc!$I$2:$J$8,2,FALSE),0),
IF(AX640="K",VLOOKUP(K640,Foundation_Calc!$K$41:$R$74,VLOOKUP(AW640,Foundation_Calc!$I$2:$J$8,2,FALSE),0),"")))</f>
        <v/>
      </c>
      <c r="BA640" s="632" t="str">
        <f t="shared" si="75"/>
        <v/>
      </c>
      <c r="BB640" s="632" t="str">
        <f t="shared" si="76"/>
        <v/>
      </c>
      <c r="BC640" s="632" t="str">
        <f t="shared" si="77"/>
        <v/>
      </c>
      <c r="BD640" s="633" t="str">
        <f>IF(AND(L640="",H640=""),"",
IF(H640="",Pole_Calc!A668,
IF(H640="MP",Pole_Calc!A669,
IF(H640="AnMP",Pole_Calc!A670,
IF(H640="A",Pole_Calc!A671,
IF(H640="S/A",Pole_Calc!A672,
IF(H640="A/S",Pole_Calc!A673,"Poner a mano")))))))</f>
        <v/>
      </c>
      <c r="BE640" s="448" t="s">
        <v>1726</v>
      </c>
      <c r="BF640" s="634"/>
      <c r="BG640" s="634"/>
      <c r="BH640" s="634"/>
      <c r="BI640" s="634"/>
    </row>
    <row r="641" spans="1:61" ht="16.2" customHeight="1">
      <c r="A641" s="12"/>
      <c r="B641" s="446"/>
      <c r="C641" s="89"/>
      <c r="D641" s="13"/>
      <c r="E641" s="14"/>
      <c r="F641" s="14"/>
      <c r="G641" s="15"/>
      <c r="H641" s="8"/>
      <c r="I641" s="8"/>
      <c r="J641" s="89"/>
      <c r="K641" s="8"/>
      <c r="L641" s="8"/>
      <c r="M641" s="8" t="str">
        <f>IF(L641="","",
IF(AX641="PT",VLOOKUP(L641,Foundation_Calc!$V$4:$X$37,VLOOKUP(AX641,Foundation_Calc!$I$10:$J$13,2,FALSE),0),
IF(AX641="K",VLOOKUP(L641,Foundation_Calc!$V$41:$X$74,VLOOKUP(AX641,Foundation_Calc!$I$10:$J$13,2,FALSE),0),"")))</f>
        <v/>
      </c>
      <c r="N641" s="8"/>
      <c r="O641" s="8"/>
      <c r="P641" s="8"/>
      <c r="Q641" s="14"/>
      <c r="R641" s="15"/>
      <c r="S641" s="15"/>
      <c r="T641" s="14"/>
      <c r="U641" s="14"/>
      <c r="V641" s="14"/>
      <c r="W641" s="18"/>
      <c r="X641" s="18"/>
      <c r="Y641" s="18"/>
      <c r="Z641" s="18"/>
      <c r="AA641" s="18"/>
      <c r="AB641" s="18"/>
      <c r="AC641" s="8" t="str">
        <f t="shared" si="74"/>
        <v/>
      </c>
      <c r="AD641" s="8"/>
      <c r="AE641" s="8"/>
      <c r="AF641" s="14"/>
      <c r="AG641" s="13"/>
      <c r="AH641" s="14"/>
      <c r="AI641" s="14"/>
      <c r="AJ641" s="8"/>
      <c r="AK641" s="8"/>
      <c r="AL641" s="8"/>
      <c r="AM641" s="8"/>
      <c r="AN641" s="631"/>
      <c r="AO641" s="18"/>
      <c r="AP641" s="18"/>
      <c r="AQ641" s="18"/>
      <c r="AR641" s="18"/>
      <c r="AS641" s="18"/>
      <c r="AU641" s="448"/>
      <c r="AV641" s="448"/>
      <c r="AW641" s="8" t="str">
        <f>IF(C641&gt;0,VLOOKUP(C641,Foundation_Calc!$A$2:$C$986,3,1),
IF(J641&gt;0,VLOOKUP(J641,Foundation_Calc!$A$2:$C$986,3,1),""))</f>
        <v/>
      </c>
      <c r="AX641" s="8" t="str">
        <f>IF(C641&gt;0,VLOOKUP(C641,Foundation_Calc!$E$2:$G$986,3,1),
IF(J641&gt;0,VLOOKUP(J641,Foundation_Calc!$E$2:$G$986,3,1),""))</f>
        <v/>
      </c>
      <c r="AY641" s="631" t="str">
        <f>IF(L641="","",
IF(AX641="PT",VLOOKUP(L641,Foundation_Calc!$K$4:$R$37,VLOOKUP(AW641,Foundation_Calc!$I$2:$J$8,2,FALSE),0),
IF(AX641="K",VLOOKUP(L641,Foundation_Calc!$K$41:$R$74,VLOOKUP(AW641,Foundation_Calc!$I$2:$J$8,2,FALSE),0),"")))</f>
        <v/>
      </c>
      <c r="AZ641" s="631" t="str">
        <f>IF(K641="","",
IF(AX641="PT",VLOOKUP(K641,Foundation_Calc!$K$4:$R$37,VLOOKUP(AW641,Foundation_Calc!$I$2:$J$8,2,FALSE),0),
IF(AX641="K",VLOOKUP(K641,Foundation_Calc!$K$41:$R$74,VLOOKUP(AW641,Foundation_Calc!$I$2:$J$8,2,FALSE),0),"")))</f>
        <v/>
      </c>
      <c r="BA641" s="632" t="str">
        <f t="shared" si="75"/>
        <v/>
      </c>
      <c r="BB641" s="632" t="str">
        <f t="shared" si="76"/>
        <v/>
      </c>
      <c r="BC641" s="632" t="str">
        <f t="shared" si="77"/>
        <v/>
      </c>
      <c r="BD641" s="633" t="str">
        <f>IF(AND(L641="",H641=""),"",
IF(H641="",Pole_Calc!A669,
IF(H641="MP",Pole_Calc!A670,
IF(H641="AnMP",Pole_Calc!A671,
IF(H641="A",Pole_Calc!A672,
IF(H641="S/A",Pole_Calc!A673,
IF(H641="A/S",Pole_Calc!A674,"Poner a mano")))))))</f>
        <v/>
      </c>
      <c r="BE641" s="448" t="s">
        <v>1726</v>
      </c>
      <c r="BF641" s="635"/>
      <c r="BG641" s="635"/>
      <c r="BH641" s="634"/>
      <c r="BI641" s="635"/>
    </row>
    <row r="642" spans="1:61" ht="16.2" customHeight="1">
      <c r="A642" s="12"/>
      <c r="B642" s="446"/>
      <c r="C642" s="89"/>
      <c r="D642" s="13"/>
      <c r="E642" s="14"/>
      <c r="F642" s="14"/>
      <c r="G642" s="15"/>
      <c r="H642" s="8"/>
      <c r="I642" s="8"/>
      <c r="J642" s="89"/>
      <c r="K642" s="8"/>
      <c r="L642" s="8"/>
      <c r="M642" s="8" t="str">
        <f>IF(L642="","",
IF(AX642="PT",VLOOKUP(L642,Foundation_Calc!$V$4:$X$37,VLOOKUP(AX642,Foundation_Calc!$I$10:$J$13,2,FALSE),0),
IF(AX642="K",VLOOKUP(L642,Foundation_Calc!$V$41:$X$74,VLOOKUP(AX642,Foundation_Calc!$I$10:$J$13,2,FALSE),0),"")))</f>
        <v/>
      </c>
      <c r="N642" s="8"/>
      <c r="O642" s="8"/>
      <c r="P642" s="8"/>
      <c r="Q642" s="14"/>
      <c r="R642" s="15"/>
      <c r="S642" s="15"/>
      <c r="T642" s="14"/>
      <c r="U642" s="14"/>
      <c r="V642" s="14"/>
      <c r="W642" s="18"/>
      <c r="X642" s="18"/>
      <c r="Y642" s="18"/>
      <c r="Z642" s="18"/>
      <c r="AA642" s="18"/>
      <c r="AB642" s="18"/>
      <c r="AC642" s="8" t="str">
        <f t="shared" si="74"/>
        <v/>
      </c>
      <c r="AD642" s="8"/>
      <c r="AE642" s="8"/>
      <c r="AF642" s="14"/>
      <c r="AG642" s="13"/>
      <c r="AH642" s="14"/>
      <c r="AI642" s="14"/>
      <c r="AJ642" s="8"/>
      <c r="AK642" s="8"/>
      <c r="AL642" s="8"/>
      <c r="AM642" s="8"/>
      <c r="AN642" s="631"/>
      <c r="AO642" s="18"/>
      <c r="AP642" s="18"/>
      <c r="AQ642" s="18"/>
      <c r="AR642" s="18"/>
      <c r="AS642" s="18"/>
      <c r="AU642" s="448"/>
      <c r="AV642" s="448"/>
      <c r="AW642" s="8" t="str">
        <f>IF(C642&gt;0,VLOOKUP(C642,Foundation_Calc!$A$2:$C$986,3,1),
IF(J642&gt;0,VLOOKUP(J642,Foundation_Calc!$A$2:$C$986,3,1),""))</f>
        <v/>
      </c>
      <c r="AX642" s="8" t="str">
        <f>IF(C642&gt;0,VLOOKUP(C642,Foundation_Calc!$E$2:$G$986,3,1),
IF(J642&gt;0,VLOOKUP(J642,Foundation_Calc!$E$2:$G$986,3,1),""))</f>
        <v/>
      </c>
      <c r="AY642" s="631" t="str">
        <f>IF(L642="","",
IF(AX642="PT",VLOOKUP(L642,Foundation_Calc!$K$4:$R$37,VLOOKUP(AW642,Foundation_Calc!$I$2:$J$8,2,FALSE),0),
IF(AX642="K",VLOOKUP(L642,Foundation_Calc!$K$41:$R$74,VLOOKUP(AW642,Foundation_Calc!$I$2:$J$8,2,FALSE),0),"")))</f>
        <v/>
      </c>
      <c r="AZ642" s="631" t="str">
        <f>IF(K642="","",
IF(AX642="PT",VLOOKUP(K642,Foundation_Calc!$K$4:$R$37,VLOOKUP(AW642,Foundation_Calc!$I$2:$J$8,2,FALSE),0),
IF(AX642="K",VLOOKUP(K642,Foundation_Calc!$K$41:$R$74,VLOOKUP(AW642,Foundation_Calc!$I$2:$J$8,2,FALSE),0),"")))</f>
        <v/>
      </c>
      <c r="BA642" s="632" t="str">
        <f t="shared" si="75"/>
        <v/>
      </c>
      <c r="BB642" s="632" t="str">
        <f t="shared" si="76"/>
        <v/>
      </c>
      <c r="BC642" s="632" t="str">
        <f t="shared" si="77"/>
        <v/>
      </c>
      <c r="BD642" s="633" t="str">
        <f>IF(AND(L642="",H642=""),"",
IF(H642="",Pole_Calc!A670,
IF(H642="MP",Pole_Calc!A671,
IF(H642="AnMP",Pole_Calc!A672,
IF(H642="A",Pole_Calc!A673,
IF(H642="S/A",Pole_Calc!A674,
IF(H642="A/S",Pole_Calc!A675,"Poner a mano")))))))</f>
        <v/>
      </c>
      <c r="BE642" s="448" t="s">
        <v>1726</v>
      </c>
      <c r="BF642" s="634"/>
      <c r="BG642" s="634"/>
      <c r="BH642" s="634"/>
      <c r="BI642" s="634"/>
    </row>
    <row r="643" spans="1:61" ht="16.2" customHeight="1">
      <c r="A643" s="12"/>
      <c r="B643" s="446"/>
      <c r="C643" s="89"/>
      <c r="D643" s="13"/>
      <c r="E643" s="14"/>
      <c r="F643" s="14"/>
      <c r="G643" s="15"/>
      <c r="H643" s="8"/>
      <c r="I643" s="8"/>
      <c r="J643" s="89"/>
      <c r="K643" s="8"/>
      <c r="L643" s="8"/>
      <c r="M643" s="8" t="str">
        <f>IF(L643="","",
IF(AX643="PT",VLOOKUP(L643,Foundation_Calc!$V$4:$X$37,VLOOKUP(AX643,Foundation_Calc!$I$10:$J$13,2,FALSE),0),
IF(AX643="K",VLOOKUP(L643,Foundation_Calc!$V$41:$X$74,VLOOKUP(AX643,Foundation_Calc!$I$10:$J$13,2,FALSE),0),"")))</f>
        <v/>
      </c>
      <c r="N643" s="8"/>
      <c r="O643" s="8"/>
      <c r="P643" s="8"/>
      <c r="Q643" s="14"/>
      <c r="R643" s="15"/>
      <c r="S643" s="15"/>
      <c r="T643" s="14"/>
      <c r="U643" s="14"/>
      <c r="V643" s="14"/>
      <c r="W643" s="18"/>
      <c r="X643" s="18"/>
      <c r="Y643" s="18"/>
      <c r="Z643" s="18"/>
      <c r="AA643" s="18"/>
      <c r="AB643" s="18"/>
      <c r="AC643" s="8" t="str">
        <f t="shared" si="74"/>
        <v/>
      </c>
      <c r="AD643" s="8"/>
      <c r="AE643" s="8"/>
      <c r="AF643" s="14"/>
      <c r="AG643" s="13"/>
      <c r="AH643" s="14"/>
      <c r="AI643" s="14"/>
      <c r="AJ643" s="8"/>
      <c r="AK643" s="8"/>
      <c r="AL643" s="8"/>
      <c r="AM643" s="8"/>
      <c r="AN643" s="631"/>
      <c r="AO643" s="18"/>
      <c r="AP643" s="18"/>
      <c r="AQ643" s="18"/>
      <c r="AR643" s="18"/>
      <c r="AS643" s="18"/>
      <c r="AU643" s="448"/>
      <c r="AV643" s="448"/>
      <c r="AW643" s="8" t="str">
        <f>IF(C643&gt;0,VLOOKUP(C643,Foundation_Calc!$A$2:$C$986,3,1),
IF(J643&gt;0,VLOOKUP(J643,Foundation_Calc!$A$2:$C$986,3,1),""))</f>
        <v/>
      </c>
      <c r="AX643" s="8" t="str">
        <f>IF(C643&gt;0,VLOOKUP(C643,Foundation_Calc!$E$2:$G$986,3,1),
IF(J643&gt;0,VLOOKUP(J643,Foundation_Calc!$E$2:$G$986,3,1),""))</f>
        <v/>
      </c>
      <c r="AY643" s="631" t="str">
        <f>IF(L643="","",
IF(AX643="PT",VLOOKUP(L643,Foundation_Calc!$K$4:$R$37,VLOOKUP(AW643,Foundation_Calc!$I$2:$J$8,2,FALSE),0),
IF(AX643="K",VLOOKUP(L643,Foundation_Calc!$K$41:$R$74,VLOOKUP(AW643,Foundation_Calc!$I$2:$J$8,2,FALSE),0),"")))</f>
        <v/>
      </c>
      <c r="AZ643" s="631" t="str">
        <f>IF(K643="","",
IF(AX643="PT",VLOOKUP(K643,Foundation_Calc!$K$4:$R$37,VLOOKUP(AW643,Foundation_Calc!$I$2:$J$8,2,FALSE),0),
IF(AX643="K",VLOOKUP(K643,Foundation_Calc!$K$41:$R$74,VLOOKUP(AW643,Foundation_Calc!$I$2:$J$8,2,FALSE),0),"")))</f>
        <v/>
      </c>
      <c r="BA643" s="632" t="str">
        <f t="shared" si="75"/>
        <v/>
      </c>
      <c r="BB643" s="632" t="str">
        <f t="shared" si="76"/>
        <v/>
      </c>
      <c r="BC643" s="632" t="str">
        <f t="shared" si="77"/>
        <v/>
      </c>
      <c r="BD643" s="633" t="str">
        <f>IF(AND(L643="",H643=""),"",
IF(H643="",Pole_Calc!A671,
IF(H643="MP",Pole_Calc!A672,
IF(H643="AnMP",Pole_Calc!A673,
IF(H643="A",Pole_Calc!A674,
IF(H643="S/A",Pole_Calc!A675,
IF(H643="A/S",Pole_Calc!A676,"Poner a mano")))))))</f>
        <v/>
      </c>
      <c r="BE643" s="448" t="s">
        <v>1726</v>
      </c>
      <c r="BF643" s="635"/>
      <c r="BG643" s="635"/>
      <c r="BH643" s="634"/>
      <c r="BI643" s="635"/>
    </row>
    <row r="644" spans="1:61" ht="16.2" customHeight="1">
      <c r="A644" s="12"/>
      <c r="B644" s="446"/>
      <c r="C644" s="89"/>
      <c r="D644" s="13"/>
      <c r="E644" s="14"/>
      <c r="F644" s="14"/>
      <c r="G644" s="15"/>
      <c r="H644" s="8"/>
      <c r="I644" s="8"/>
      <c r="J644" s="89"/>
      <c r="K644" s="8"/>
      <c r="L644" s="8"/>
      <c r="M644" s="8" t="str">
        <f>IF(L644="","",
IF(AX644="PT",VLOOKUP(L644,Foundation_Calc!$V$4:$X$37,VLOOKUP(AX644,Foundation_Calc!$I$10:$J$13,2,FALSE),0),
IF(AX644="K",VLOOKUP(L644,Foundation_Calc!$V$41:$X$74,VLOOKUP(AX644,Foundation_Calc!$I$10:$J$13,2,FALSE),0),"")))</f>
        <v/>
      </c>
      <c r="N644" s="8"/>
      <c r="O644" s="8"/>
      <c r="P644" s="8"/>
      <c r="Q644" s="14"/>
      <c r="R644" s="15"/>
      <c r="S644" s="15"/>
      <c r="T644" s="14"/>
      <c r="U644" s="14"/>
      <c r="V644" s="14"/>
      <c r="W644" s="18"/>
      <c r="X644" s="18"/>
      <c r="Y644" s="18"/>
      <c r="Z644" s="18"/>
      <c r="AA644" s="18"/>
      <c r="AB644" s="18"/>
      <c r="AC644" s="8" t="str">
        <f t="shared" si="74"/>
        <v/>
      </c>
      <c r="AD644" s="8"/>
      <c r="AE644" s="8"/>
      <c r="AF644" s="14"/>
      <c r="AG644" s="13"/>
      <c r="AH644" s="14"/>
      <c r="AI644" s="14"/>
      <c r="AJ644" s="8"/>
      <c r="AK644" s="8"/>
      <c r="AL644" s="8"/>
      <c r="AM644" s="8"/>
      <c r="AN644" s="631"/>
      <c r="AO644" s="18"/>
      <c r="AP644" s="18"/>
      <c r="AQ644" s="18"/>
      <c r="AR644" s="18"/>
      <c r="AS644" s="18"/>
      <c r="AU644" s="448"/>
      <c r="AV644" s="448"/>
      <c r="AW644" s="8" t="str">
        <f>IF(C644&gt;0,VLOOKUP(C644,Foundation_Calc!$A$2:$C$986,3,1),
IF(J644&gt;0,VLOOKUP(J644,Foundation_Calc!$A$2:$C$986,3,1),""))</f>
        <v/>
      </c>
      <c r="AX644" s="8" t="str">
        <f>IF(C644&gt;0,VLOOKUP(C644,Foundation_Calc!$E$2:$G$986,3,1),
IF(J644&gt;0,VLOOKUP(J644,Foundation_Calc!$E$2:$G$986,3,1),""))</f>
        <v/>
      </c>
      <c r="AY644" s="631" t="str">
        <f>IF(L644="","",
IF(AX644="PT",VLOOKUP(L644,Foundation_Calc!$K$4:$R$37,VLOOKUP(AW644,Foundation_Calc!$I$2:$J$8,2,FALSE),0),
IF(AX644="K",VLOOKUP(L644,Foundation_Calc!$K$41:$R$74,VLOOKUP(AW644,Foundation_Calc!$I$2:$J$8,2,FALSE),0),"")))</f>
        <v/>
      </c>
      <c r="AZ644" s="631" t="str">
        <f>IF(K644="","",
IF(AX644="PT",VLOOKUP(K644,Foundation_Calc!$K$4:$R$37,VLOOKUP(AW644,Foundation_Calc!$I$2:$J$8,2,FALSE),0),
IF(AX644="K",VLOOKUP(K644,Foundation_Calc!$K$41:$R$74,VLOOKUP(AW644,Foundation_Calc!$I$2:$J$8,2,FALSE),0),"")))</f>
        <v/>
      </c>
      <c r="BA644" s="632" t="str">
        <f t="shared" si="75"/>
        <v/>
      </c>
      <c r="BB644" s="632" t="str">
        <f t="shared" si="76"/>
        <v/>
      </c>
      <c r="BC644" s="632" t="str">
        <f t="shared" si="77"/>
        <v/>
      </c>
      <c r="BD644" s="633" t="str">
        <f>IF(AND(L644="",H644=""),"",
IF(H644="",Pole_Calc!A672,
IF(H644="MP",Pole_Calc!A673,
IF(H644="AnMP",Pole_Calc!A674,
IF(H644="A",Pole_Calc!A675,
IF(H644="S/A",Pole_Calc!A676,
IF(H644="A/S",Pole_Calc!A677,"Poner a mano")))))))</f>
        <v/>
      </c>
      <c r="BE644" s="448" t="s">
        <v>1726</v>
      </c>
      <c r="BF644" s="634"/>
      <c r="BG644" s="634"/>
      <c r="BH644" s="634"/>
      <c r="BI644" s="634"/>
    </row>
    <row r="645" spans="1:61" ht="16.2" customHeight="1">
      <c r="A645" s="12"/>
      <c r="B645" s="446"/>
      <c r="C645" s="89"/>
      <c r="D645" s="13"/>
      <c r="E645" s="14"/>
      <c r="F645" s="14"/>
      <c r="G645" s="15"/>
      <c r="H645" s="8"/>
      <c r="I645" s="8"/>
      <c r="J645" s="89"/>
      <c r="K645" s="8"/>
      <c r="L645" s="8"/>
      <c r="M645" s="8" t="str">
        <f>IF(L645="","",
IF(AX645="PT",VLOOKUP(L645,Foundation_Calc!$V$4:$X$37,VLOOKUP(AX645,Foundation_Calc!$I$10:$J$13,2,FALSE),0),
IF(AX645="K",VLOOKUP(L645,Foundation_Calc!$V$41:$X$74,VLOOKUP(AX645,Foundation_Calc!$I$10:$J$13,2,FALSE),0),"")))</f>
        <v/>
      </c>
      <c r="N645" s="8"/>
      <c r="O645" s="8"/>
      <c r="P645" s="8"/>
      <c r="Q645" s="14"/>
      <c r="R645" s="15"/>
      <c r="S645" s="15"/>
      <c r="T645" s="14"/>
      <c r="U645" s="14"/>
      <c r="V645" s="14"/>
      <c r="W645" s="18"/>
      <c r="X645" s="18"/>
      <c r="Y645" s="18"/>
      <c r="Z645" s="18"/>
      <c r="AA645" s="18"/>
      <c r="AB645" s="18"/>
      <c r="AC645" s="8" t="str">
        <f t="shared" si="74"/>
        <v/>
      </c>
      <c r="AD645" s="8"/>
      <c r="AE645" s="8"/>
      <c r="AF645" s="14"/>
      <c r="AG645" s="13"/>
      <c r="AH645" s="14"/>
      <c r="AI645" s="14"/>
      <c r="AJ645" s="8"/>
      <c r="AK645" s="8"/>
      <c r="AL645" s="8"/>
      <c r="AM645" s="8"/>
      <c r="AN645" s="631"/>
      <c r="AO645" s="18"/>
      <c r="AP645" s="18"/>
      <c r="AQ645" s="18"/>
      <c r="AR645" s="18"/>
      <c r="AS645" s="18"/>
      <c r="AU645" s="448"/>
      <c r="AV645" s="448"/>
      <c r="AW645" s="8" t="str">
        <f>IF(C645&gt;0,VLOOKUP(C645,Foundation_Calc!$A$2:$C$986,3,1),
IF(J645&gt;0,VLOOKUP(J645,Foundation_Calc!$A$2:$C$986,3,1),""))</f>
        <v/>
      </c>
      <c r="AX645" s="8" t="str">
        <f>IF(C645&gt;0,VLOOKUP(C645,Foundation_Calc!$E$2:$G$986,3,1),
IF(J645&gt;0,VLOOKUP(J645,Foundation_Calc!$E$2:$G$986,3,1),""))</f>
        <v/>
      </c>
      <c r="AY645" s="631" t="str">
        <f>IF(L645="","",
IF(AX645="PT",VLOOKUP(L645,Foundation_Calc!$K$4:$R$37,VLOOKUP(AW645,Foundation_Calc!$I$2:$J$8,2,FALSE),0),
IF(AX645="K",VLOOKUP(L645,Foundation_Calc!$K$41:$R$74,VLOOKUP(AW645,Foundation_Calc!$I$2:$J$8,2,FALSE),0),"")))</f>
        <v/>
      </c>
      <c r="AZ645" s="631" t="str">
        <f>IF(K645="","",
IF(AX645="PT",VLOOKUP(K645,Foundation_Calc!$K$4:$R$37,VLOOKUP(AW645,Foundation_Calc!$I$2:$J$8,2,FALSE),0),
IF(AX645="K",VLOOKUP(K645,Foundation_Calc!$K$41:$R$74,VLOOKUP(AW645,Foundation_Calc!$I$2:$J$8,2,FALSE),0),"")))</f>
        <v/>
      </c>
      <c r="BA645" s="632" t="str">
        <f t="shared" si="75"/>
        <v/>
      </c>
      <c r="BB645" s="632" t="str">
        <f t="shared" si="76"/>
        <v/>
      </c>
      <c r="BC645" s="632" t="str">
        <f t="shared" si="77"/>
        <v/>
      </c>
      <c r="BD645" s="633" t="str">
        <f>IF(AND(L645="",H645=""),"",
IF(H645="",Pole_Calc!A673,
IF(H645="MP",Pole_Calc!A674,
IF(H645="AnMP",Pole_Calc!A675,
IF(H645="A",Pole_Calc!A676,
IF(H645="S/A",Pole_Calc!A677,
IF(H645="A/S",Pole_Calc!A678,"Poner a mano")))))))</f>
        <v/>
      </c>
      <c r="BE645" s="448" t="s">
        <v>1726</v>
      </c>
      <c r="BF645" s="635"/>
      <c r="BG645" s="635"/>
      <c r="BH645" s="634"/>
      <c r="BI645" s="635"/>
    </row>
    <row r="646" spans="1:61" ht="16.2" customHeight="1">
      <c r="A646" s="12"/>
      <c r="B646" s="446"/>
      <c r="C646" s="89"/>
      <c r="D646" s="13"/>
      <c r="E646" s="14"/>
      <c r="F646" s="14"/>
      <c r="G646" s="15"/>
      <c r="H646" s="8"/>
      <c r="I646" s="8"/>
      <c r="J646" s="89"/>
      <c r="K646" s="8"/>
      <c r="L646" s="8"/>
      <c r="M646" s="8" t="str">
        <f>IF(L646="","",
IF(AX646="PT",VLOOKUP(L646,Foundation_Calc!$V$4:$X$37,VLOOKUP(AX646,Foundation_Calc!$I$10:$J$13,2,FALSE),0),
IF(AX646="K",VLOOKUP(L646,Foundation_Calc!$V$41:$X$74,VLOOKUP(AX646,Foundation_Calc!$I$10:$J$13,2,FALSE),0),"")))</f>
        <v/>
      </c>
      <c r="N646" s="8"/>
      <c r="O646" s="8"/>
      <c r="P646" s="8"/>
      <c r="Q646" s="14"/>
      <c r="R646" s="15"/>
      <c r="S646" s="15"/>
      <c r="T646" s="14"/>
      <c r="U646" s="14"/>
      <c r="V646" s="14"/>
      <c r="W646" s="18"/>
      <c r="X646" s="18"/>
      <c r="Y646" s="18"/>
      <c r="Z646" s="18"/>
      <c r="AA646" s="18"/>
      <c r="AB646" s="18"/>
      <c r="AC646" s="8" t="str">
        <f t="shared" ref="AC646:AC709" si="78">IF(OR(AT646&gt;8,AT646&lt;-8),"PH",
IF(OR(AT646&gt;5,AT646&lt;-5),"PHQ",
IF(OR(AT646&gt;1,AT646&lt;-1),
"PHC","")))</f>
        <v/>
      </c>
      <c r="AD646" s="8"/>
      <c r="AE646" s="8"/>
      <c r="AF646" s="14"/>
      <c r="AG646" s="13"/>
      <c r="AH646" s="14"/>
      <c r="AI646" s="14"/>
      <c r="AJ646" s="8"/>
      <c r="AK646" s="8"/>
      <c r="AL646" s="8"/>
      <c r="AM646" s="8"/>
      <c r="AN646" s="631"/>
      <c r="AO646" s="18"/>
      <c r="AP646" s="18"/>
      <c r="AQ646" s="18"/>
      <c r="AR646" s="18"/>
      <c r="AS646" s="18"/>
      <c r="AU646" s="448"/>
      <c r="AV646" s="448"/>
      <c r="AW646" s="8" t="str">
        <f>IF(C646&gt;0,VLOOKUP(C646,Foundation_Calc!$A$2:$C$986,3,1),
IF(J646&gt;0,VLOOKUP(J646,Foundation_Calc!$A$2:$C$986,3,1),""))</f>
        <v/>
      </c>
      <c r="AX646" s="8" t="str">
        <f>IF(C646&gt;0,VLOOKUP(C646,Foundation_Calc!$E$2:$G$986,3,1),
IF(J646&gt;0,VLOOKUP(J646,Foundation_Calc!$E$2:$G$986,3,1),""))</f>
        <v/>
      </c>
      <c r="AY646" s="631" t="str">
        <f>IF(L646="","",
IF(AX646="PT",VLOOKUP(L646,Foundation_Calc!$K$4:$R$37,VLOOKUP(AW646,Foundation_Calc!$I$2:$J$8,2,FALSE),0),
IF(AX646="K",VLOOKUP(L646,Foundation_Calc!$K$41:$R$74,VLOOKUP(AW646,Foundation_Calc!$I$2:$J$8,2,FALSE),0),"")))</f>
        <v/>
      </c>
      <c r="AZ646" s="631" t="str">
        <f>IF(K646="","",
IF(AX646="PT",VLOOKUP(K646,Foundation_Calc!$K$4:$R$37,VLOOKUP(AW646,Foundation_Calc!$I$2:$J$8,2,FALSE),0),
IF(AX646="K",VLOOKUP(K646,Foundation_Calc!$K$41:$R$74,VLOOKUP(AW646,Foundation_Calc!$I$2:$J$8,2,FALSE),0),"")))</f>
        <v/>
      </c>
      <c r="BA646" s="632" t="str">
        <f t="shared" ref="BA646:BA709" si="79">IF(AY646="","",IF(AY646&gt;0,"ü",""))</f>
        <v/>
      </c>
      <c r="BB646" s="632" t="str">
        <f t="shared" ref="BB646:BB709" si="80">IF(AZ646="","",IF(AZ646&gt;0,"ü",""))</f>
        <v/>
      </c>
      <c r="BC646" s="632" t="str">
        <f t="shared" ref="BC646:BC709" si="81">IF(M646="","",IF(M646="Unique Solution","ü",""))</f>
        <v/>
      </c>
      <c r="BD646" s="633" t="str">
        <f>IF(AND(L646="",H646=""),"",
IF(H646="",Pole_Calc!A674,
IF(H646="MP",Pole_Calc!A675,
IF(H646="AnMP",Pole_Calc!A676,
IF(H646="A",Pole_Calc!A677,
IF(H646="S/A",Pole_Calc!A678,
IF(H646="A/S",Pole_Calc!A679,"Poner a mano")))))))</f>
        <v/>
      </c>
      <c r="BE646" s="448" t="s">
        <v>1726</v>
      </c>
      <c r="BF646" s="634"/>
      <c r="BG646" s="634"/>
      <c r="BH646" s="634"/>
      <c r="BI646" s="634"/>
    </row>
    <row r="647" spans="1:61" ht="16.2" customHeight="1">
      <c r="A647" s="12"/>
      <c r="B647" s="446"/>
      <c r="C647" s="89"/>
      <c r="D647" s="13"/>
      <c r="E647" s="14"/>
      <c r="F647" s="14"/>
      <c r="G647" s="15"/>
      <c r="H647" s="8"/>
      <c r="I647" s="8"/>
      <c r="J647" s="89"/>
      <c r="K647" s="8"/>
      <c r="L647" s="8"/>
      <c r="M647" s="8" t="str">
        <f>IF(L647="","",
IF(AX647="PT",VLOOKUP(L647,Foundation_Calc!$V$4:$X$37,VLOOKUP(AX647,Foundation_Calc!$I$10:$J$13,2,FALSE),0),
IF(AX647="K",VLOOKUP(L647,Foundation_Calc!$V$41:$X$74,VLOOKUP(AX647,Foundation_Calc!$I$10:$J$13,2,FALSE),0),"")))</f>
        <v/>
      </c>
      <c r="N647" s="8"/>
      <c r="O647" s="8"/>
      <c r="P647" s="8"/>
      <c r="Q647" s="14"/>
      <c r="R647" s="15"/>
      <c r="S647" s="15"/>
      <c r="T647" s="14"/>
      <c r="U647" s="14"/>
      <c r="V647" s="14"/>
      <c r="W647" s="18"/>
      <c r="X647" s="18"/>
      <c r="Y647" s="18"/>
      <c r="Z647" s="18"/>
      <c r="AA647" s="18"/>
      <c r="AB647" s="18"/>
      <c r="AC647" s="8" t="str">
        <f t="shared" si="78"/>
        <v/>
      </c>
      <c r="AD647" s="8"/>
      <c r="AE647" s="8"/>
      <c r="AF647" s="14"/>
      <c r="AG647" s="13"/>
      <c r="AH647" s="14"/>
      <c r="AI647" s="14"/>
      <c r="AJ647" s="8"/>
      <c r="AK647" s="8"/>
      <c r="AL647" s="8"/>
      <c r="AM647" s="8"/>
      <c r="AN647" s="631"/>
      <c r="AO647" s="18"/>
      <c r="AP647" s="18"/>
      <c r="AQ647" s="18"/>
      <c r="AR647" s="18"/>
      <c r="AS647" s="18"/>
      <c r="AU647" s="448"/>
      <c r="AV647" s="448"/>
      <c r="AW647" s="8" t="str">
        <f>IF(C647&gt;0,VLOOKUP(C647,Foundation_Calc!$A$2:$C$986,3,1),
IF(J647&gt;0,VLOOKUP(J647,Foundation_Calc!$A$2:$C$986,3,1),""))</f>
        <v/>
      </c>
      <c r="AX647" s="8" t="str">
        <f>IF(C647&gt;0,VLOOKUP(C647,Foundation_Calc!$E$2:$G$986,3,1),
IF(J647&gt;0,VLOOKUP(J647,Foundation_Calc!$E$2:$G$986,3,1),""))</f>
        <v/>
      </c>
      <c r="AY647" s="631" t="str">
        <f>IF(L647="","",
IF(AX647="PT",VLOOKUP(L647,Foundation_Calc!$K$4:$R$37,VLOOKUP(AW647,Foundation_Calc!$I$2:$J$8,2,FALSE),0),
IF(AX647="K",VLOOKUP(L647,Foundation_Calc!$K$41:$R$74,VLOOKUP(AW647,Foundation_Calc!$I$2:$J$8,2,FALSE),0),"")))</f>
        <v/>
      </c>
      <c r="AZ647" s="631" t="str">
        <f>IF(K647="","",
IF(AX647="PT",VLOOKUP(K647,Foundation_Calc!$K$4:$R$37,VLOOKUP(AW647,Foundation_Calc!$I$2:$J$8,2,FALSE),0),
IF(AX647="K",VLOOKUP(K647,Foundation_Calc!$K$41:$R$74,VLOOKUP(AW647,Foundation_Calc!$I$2:$J$8,2,FALSE),0),"")))</f>
        <v/>
      </c>
      <c r="BA647" s="632" t="str">
        <f t="shared" si="79"/>
        <v/>
      </c>
      <c r="BB647" s="632" t="str">
        <f t="shared" si="80"/>
        <v/>
      </c>
      <c r="BC647" s="632" t="str">
        <f t="shared" si="81"/>
        <v/>
      </c>
      <c r="BD647" s="633" t="str">
        <f>IF(AND(L647="",H647=""),"",
IF(H647="",Pole_Calc!A675,
IF(H647="MP",Pole_Calc!A676,
IF(H647="AnMP",Pole_Calc!A677,
IF(H647="A",Pole_Calc!A678,
IF(H647="S/A",Pole_Calc!A679,
IF(H647="A/S",Pole_Calc!A680,"Poner a mano")))))))</f>
        <v/>
      </c>
      <c r="BE647" s="448" t="s">
        <v>1726</v>
      </c>
      <c r="BF647" s="635"/>
      <c r="BG647" s="635"/>
      <c r="BH647" s="634"/>
      <c r="BI647" s="635"/>
    </row>
    <row r="648" spans="1:61" ht="16.2" customHeight="1">
      <c r="A648" s="12"/>
      <c r="B648" s="446"/>
      <c r="C648" s="89"/>
      <c r="D648" s="13"/>
      <c r="E648" s="14"/>
      <c r="F648" s="14"/>
      <c r="G648" s="15"/>
      <c r="H648" s="8"/>
      <c r="I648" s="8"/>
      <c r="J648" s="89"/>
      <c r="K648" s="8"/>
      <c r="L648" s="8"/>
      <c r="M648" s="8" t="str">
        <f>IF(L648="","",
IF(AX648="PT",VLOOKUP(L648,Foundation_Calc!$V$4:$X$37,VLOOKUP(AX648,Foundation_Calc!$I$10:$J$13,2,FALSE),0),
IF(AX648="K",VLOOKUP(L648,Foundation_Calc!$V$41:$X$74,VLOOKUP(AX648,Foundation_Calc!$I$10:$J$13,2,FALSE),0),"")))</f>
        <v/>
      </c>
      <c r="N648" s="8"/>
      <c r="O648" s="8"/>
      <c r="P648" s="8"/>
      <c r="Q648" s="14"/>
      <c r="R648" s="15"/>
      <c r="S648" s="15"/>
      <c r="T648" s="14"/>
      <c r="U648" s="14"/>
      <c r="V648" s="14"/>
      <c r="W648" s="18"/>
      <c r="X648" s="18"/>
      <c r="Y648" s="18"/>
      <c r="Z648" s="18"/>
      <c r="AA648" s="18"/>
      <c r="AB648" s="18"/>
      <c r="AC648" s="8" t="str">
        <f t="shared" si="78"/>
        <v/>
      </c>
      <c r="AD648" s="8"/>
      <c r="AE648" s="8"/>
      <c r="AF648" s="14"/>
      <c r="AG648" s="13"/>
      <c r="AH648" s="14"/>
      <c r="AI648" s="14"/>
      <c r="AJ648" s="8"/>
      <c r="AK648" s="8"/>
      <c r="AL648" s="8"/>
      <c r="AM648" s="8"/>
      <c r="AN648" s="631"/>
      <c r="AO648" s="18"/>
      <c r="AP648" s="18"/>
      <c r="AQ648" s="18"/>
      <c r="AR648" s="18"/>
      <c r="AS648" s="18"/>
      <c r="AU648" s="448"/>
      <c r="AV648" s="448"/>
      <c r="AW648" s="8" t="str">
        <f>IF(C648&gt;0,VLOOKUP(C648,Foundation_Calc!$A$2:$C$986,3,1),
IF(J648&gt;0,VLOOKUP(J648,Foundation_Calc!$A$2:$C$986,3,1),""))</f>
        <v/>
      </c>
      <c r="AX648" s="8" t="str">
        <f>IF(C648&gt;0,VLOOKUP(C648,Foundation_Calc!$E$2:$G$986,3,1),
IF(J648&gt;0,VLOOKUP(J648,Foundation_Calc!$E$2:$G$986,3,1),""))</f>
        <v/>
      </c>
      <c r="AY648" s="631" t="str">
        <f>IF(L648="","",
IF(AX648="PT",VLOOKUP(L648,Foundation_Calc!$K$4:$R$37,VLOOKUP(AW648,Foundation_Calc!$I$2:$J$8,2,FALSE),0),
IF(AX648="K",VLOOKUP(L648,Foundation_Calc!$K$41:$R$74,VLOOKUP(AW648,Foundation_Calc!$I$2:$J$8,2,FALSE),0),"")))</f>
        <v/>
      </c>
      <c r="AZ648" s="631" t="str">
        <f>IF(K648="","",
IF(AX648="PT",VLOOKUP(K648,Foundation_Calc!$K$4:$R$37,VLOOKUP(AW648,Foundation_Calc!$I$2:$J$8,2,FALSE),0),
IF(AX648="K",VLOOKUP(K648,Foundation_Calc!$K$41:$R$74,VLOOKUP(AW648,Foundation_Calc!$I$2:$J$8,2,FALSE),0),"")))</f>
        <v/>
      </c>
      <c r="BA648" s="632" t="str">
        <f t="shared" si="79"/>
        <v/>
      </c>
      <c r="BB648" s="632" t="str">
        <f t="shared" si="80"/>
        <v/>
      </c>
      <c r="BC648" s="632" t="str">
        <f t="shared" si="81"/>
        <v/>
      </c>
      <c r="BD648" s="633" t="str">
        <f>IF(AND(L648="",H648=""),"",
IF(H648="",Pole_Calc!A676,
IF(H648="MP",Pole_Calc!A677,
IF(H648="AnMP",Pole_Calc!A678,
IF(H648="A",Pole_Calc!A679,
IF(H648="S/A",Pole_Calc!A680,
IF(H648="A/S",Pole_Calc!A681,"Poner a mano")))))))</f>
        <v/>
      </c>
      <c r="BE648" s="448" t="s">
        <v>1726</v>
      </c>
      <c r="BF648" s="634"/>
      <c r="BG648" s="634"/>
      <c r="BH648" s="634"/>
      <c r="BI648" s="634"/>
    </row>
    <row r="649" spans="1:61" ht="16.2" customHeight="1">
      <c r="A649" s="12"/>
      <c r="B649" s="446"/>
      <c r="C649" s="89"/>
      <c r="D649" s="13"/>
      <c r="E649" s="14"/>
      <c r="F649" s="14"/>
      <c r="G649" s="15"/>
      <c r="H649" s="8"/>
      <c r="I649" s="8"/>
      <c r="J649" s="89"/>
      <c r="K649" s="8"/>
      <c r="L649" s="8"/>
      <c r="M649" s="8" t="str">
        <f>IF(L649="","",
IF(AX649="PT",VLOOKUP(L649,Foundation_Calc!$V$4:$X$37,VLOOKUP(AX649,Foundation_Calc!$I$10:$J$13,2,FALSE),0),
IF(AX649="K",VLOOKUP(L649,Foundation_Calc!$V$41:$X$74,VLOOKUP(AX649,Foundation_Calc!$I$10:$J$13,2,FALSE),0),"")))</f>
        <v/>
      </c>
      <c r="N649" s="8"/>
      <c r="O649" s="8"/>
      <c r="P649" s="8"/>
      <c r="Q649" s="14"/>
      <c r="R649" s="15"/>
      <c r="S649" s="15"/>
      <c r="T649" s="14"/>
      <c r="U649" s="14"/>
      <c r="V649" s="14"/>
      <c r="W649" s="18"/>
      <c r="X649" s="18"/>
      <c r="Y649" s="18"/>
      <c r="Z649" s="18"/>
      <c r="AA649" s="18"/>
      <c r="AB649" s="18"/>
      <c r="AC649" s="8" t="str">
        <f t="shared" si="78"/>
        <v/>
      </c>
      <c r="AD649" s="8"/>
      <c r="AE649" s="8"/>
      <c r="AF649" s="14"/>
      <c r="AG649" s="13"/>
      <c r="AH649" s="14"/>
      <c r="AI649" s="14"/>
      <c r="AJ649" s="8"/>
      <c r="AK649" s="8"/>
      <c r="AL649" s="8"/>
      <c r="AM649" s="8"/>
      <c r="AN649" s="631"/>
      <c r="AO649" s="18"/>
      <c r="AP649" s="18"/>
      <c r="AQ649" s="18"/>
      <c r="AR649" s="18"/>
      <c r="AS649" s="18"/>
      <c r="AU649" s="448"/>
      <c r="AV649" s="448"/>
      <c r="AW649" s="8" t="str">
        <f>IF(C649&gt;0,VLOOKUP(C649,Foundation_Calc!$A$2:$C$986,3,1),
IF(J649&gt;0,VLOOKUP(J649,Foundation_Calc!$A$2:$C$986,3,1),""))</f>
        <v/>
      </c>
      <c r="AX649" s="8" t="str">
        <f>IF(C649&gt;0,VLOOKUP(C649,Foundation_Calc!$E$2:$G$986,3,1),
IF(J649&gt;0,VLOOKUP(J649,Foundation_Calc!$E$2:$G$986,3,1),""))</f>
        <v/>
      </c>
      <c r="AY649" s="631" t="str">
        <f>IF(L649="","",
IF(AX649="PT",VLOOKUP(L649,Foundation_Calc!$K$4:$R$37,VLOOKUP(AW649,Foundation_Calc!$I$2:$J$8,2,FALSE),0),
IF(AX649="K",VLOOKUP(L649,Foundation_Calc!$K$41:$R$74,VLOOKUP(AW649,Foundation_Calc!$I$2:$J$8,2,FALSE),0),"")))</f>
        <v/>
      </c>
      <c r="AZ649" s="631" t="str">
        <f>IF(K649="","",
IF(AX649="PT",VLOOKUP(K649,Foundation_Calc!$K$4:$R$37,VLOOKUP(AW649,Foundation_Calc!$I$2:$J$8,2,FALSE),0),
IF(AX649="K",VLOOKUP(K649,Foundation_Calc!$K$41:$R$74,VLOOKUP(AW649,Foundation_Calc!$I$2:$J$8,2,FALSE),0),"")))</f>
        <v/>
      </c>
      <c r="BA649" s="632" t="str">
        <f t="shared" si="79"/>
        <v/>
      </c>
      <c r="BB649" s="632" t="str">
        <f t="shared" si="80"/>
        <v/>
      </c>
      <c r="BC649" s="632" t="str">
        <f t="shared" si="81"/>
        <v/>
      </c>
      <c r="BD649" s="633" t="str">
        <f>IF(AND(L649="",H649=""),"",
IF(H649="",Pole_Calc!A677,
IF(H649="MP",Pole_Calc!A678,
IF(H649="AnMP",Pole_Calc!A679,
IF(H649="A",Pole_Calc!A680,
IF(H649="S/A",Pole_Calc!A681,
IF(H649="A/S",Pole_Calc!A682,"Poner a mano")))))))</f>
        <v/>
      </c>
      <c r="BE649" s="448" t="s">
        <v>1726</v>
      </c>
      <c r="BF649" s="635"/>
      <c r="BG649" s="635"/>
      <c r="BH649" s="634"/>
      <c r="BI649" s="635"/>
    </row>
    <row r="650" spans="1:61" ht="16.2" customHeight="1">
      <c r="A650" s="12"/>
      <c r="B650" s="446"/>
      <c r="C650" s="89"/>
      <c r="D650" s="13"/>
      <c r="E650" s="14"/>
      <c r="F650" s="14"/>
      <c r="G650" s="15"/>
      <c r="H650" s="8"/>
      <c r="I650" s="8"/>
      <c r="J650" s="89"/>
      <c r="K650" s="8"/>
      <c r="L650" s="8"/>
      <c r="M650" s="8" t="str">
        <f>IF(L650="","",
IF(AX650="PT",VLOOKUP(L650,Foundation_Calc!$V$4:$X$37,VLOOKUP(AX650,Foundation_Calc!$I$10:$J$13,2,FALSE),0),
IF(AX650="K",VLOOKUP(L650,Foundation_Calc!$V$41:$X$74,VLOOKUP(AX650,Foundation_Calc!$I$10:$J$13,2,FALSE),0),"")))</f>
        <v/>
      </c>
      <c r="N650" s="8"/>
      <c r="O650" s="8"/>
      <c r="P650" s="8"/>
      <c r="Q650" s="14"/>
      <c r="R650" s="15"/>
      <c r="S650" s="15"/>
      <c r="T650" s="14"/>
      <c r="U650" s="14"/>
      <c r="V650" s="14"/>
      <c r="W650" s="18"/>
      <c r="X650" s="18"/>
      <c r="Y650" s="18"/>
      <c r="Z650" s="18"/>
      <c r="AA650" s="18"/>
      <c r="AB650" s="18"/>
      <c r="AC650" s="8" t="str">
        <f t="shared" si="78"/>
        <v/>
      </c>
      <c r="AD650" s="8"/>
      <c r="AE650" s="8"/>
      <c r="AF650" s="14"/>
      <c r="AG650" s="13"/>
      <c r="AH650" s="14"/>
      <c r="AI650" s="14"/>
      <c r="AJ650" s="8"/>
      <c r="AK650" s="8"/>
      <c r="AL650" s="8"/>
      <c r="AM650" s="8"/>
      <c r="AN650" s="631"/>
      <c r="AO650" s="18"/>
      <c r="AP650" s="18"/>
      <c r="AQ650" s="18"/>
      <c r="AR650" s="18"/>
      <c r="AS650" s="18"/>
      <c r="AU650" s="448"/>
      <c r="AV650" s="448"/>
      <c r="AW650" s="8" t="str">
        <f>IF(C650&gt;0,VLOOKUP(C650,Foundation_Calc!$A$2:$C$986,3,1),
IF(J650&gt;0,VLOOKUP(J650,Foundation_Calc!$A$2:$C$986,3,1),""))</f>
        <v/>
      </c>
      <c r="AX650" s="8" t="str">
        <f>IF(C650&gt;0,VLOOKUP(C650,Foundation_Calc!$E$2:$G$986,3,1),
IF(J650&gt;0,VLOOKUP(J650,Foundation_Calc!$E$2:$G$986,3,1),""))</f>
        <v/>
      </c>
      <c r="AY650" s="631" t="str">
        <f>IF(L650="","",
IF(AX650="PT",VLOOKUP(L650,Foundation_Calc!$K$4:$R$37,VLOOKUP(AW650,Foundation_Calc!$I$2:$J$8,2,FALSE),0),
IF(AX650="K",VLOOKUP(L650,Foundation_Calc!$K$41:$R$74,VLOOKUP(AW650,Foundation_Calc!$I$2:$J$8,2,FALSE),0),"")))</f>
        <v/>
      </c>
      <c r="AZ650" s="631" t="str">
        <f>IF(K650="","",
IF(AX650="PT",VLOOKUP(K650,Foundation_Calc!$K$4:$R$37,VLOOKUP(AW650,Foundation_Calc!$I$2:$J$8,2,FALSE),0),
IF(AX650="K",VLOOKUP(K650,Foundation_Calc!$K$41:$R$74,VLOOKUP(AW650,Foundation_Calc!$I$2:$J$8,2,FALSE),0),"")))</f>
        <v/>
      </c>
      <c r="BA650" s="632" t="str">
        <f t="shared" si="79"/>
        <v/>
      </c>
      <c r="BB650" s="632" t="str">
        <f t="shared" si="80"/>
        <v/>
      </c>
      <c r="BC650" s="632" t="str">
        <f t="shared" si="81"/>
        <v/>
      </c>
      <c r="BD650" s="633" t="str">
        <f>IF(AND(L650="",H650=""),"",
IF(H650="",Pole_Calc!A678,
IF(H650="MP",Pole_Calc!A679,
IF(H650="AnMP",Pole_Calc!A680,
IF(H650="A",Pole_Calc!A681,
IF(H650="S/A",Pole_Calc!A682,
IF(H650="A/S",Pole_Calc!A683,"Poner a mano")))))))</f>
        <v/>
      </c>
      <c r="BE650" s="448" t="s">
        <v>1726</v>
      </c>
      <c r="BF650" s="634"/>
      <c r="BG650" s="634"/>
      <c r="BH650" s="634"/>
      <c r="BI650" s="634"/>
    </row>
    <row r="651" spans="1:61" ht="16.2" customHeight="1">
      <c r="A651" s="12"/>
      <c r="B651" s="446"/>
      <c r="C651" s="89"/>
      <c r="D651" s="13"/>
      <c r="E651" s="14"/>
      <c r="F651" s="14"/>
      <c r="G651" s="15"/>
      <c r="H651" s="8"/>
      <c r="I651" s="8"/>
      <c r="J651" s="89"/>
      <c r="K651" s="8"/>
      <c r="L651" s="8"/>
      <c r="M651" s="8" t="str">
        <f>IF(L651="","",
IF(AX651="PT",VLOOKUP(L651,Foundation_Calc!$V$4:$X$37,VLOOKUP(AX651,Foundation_Calc!$I$10:$J$13,2,FALSE),0),
IF(AX651="K",VLOOKUP(L651,Foundation_Calc!$V$41:$X$74,VLOOKUP(AX651,Foundation_Calc!$I$10:$J$13,2,FALSE),0),"")))</f>
        <v/>
      </c>
      <c r="N651" s="8"/>
      <c r="O651" s="8"/>
      <c r="P651" s="8"/>
      <c r="Q651" s="14"/>
      <c r="R651" s="15"/>
      <c r="S651" s="15"/>
      <c r="T651" s="14"/>
      <c r="U651" s="14"/>
      <c r="V651" s="14"/>
      <c r="W651" s="18"/>
      <c r="X651" s="18"/>
      <c r="Y651" s="18"/>
      <c r="Z651" s="18"/>
      <c r="AA651" s="18"/>
      <c r="AB651" s="18"/>
      <c r="AC651" s="8" t="str">
        <f t="shared" si="78"/>
        <v/>
      </c>
      <c r="AD651" s="8"/>
      <c r="AE651" s="8"/>
      <c r="AF651" s="14"/>
      <c r="AG651" s="13"/>
      <c r="AH651" s="14"/>
      <c r="AI651" s="14"/>
      <c r="AJ651" s="8"/>
      <c r="AK651" s="8"/>
      <c r="AL651" s="8"/>
      <c r="AM651" s="8"/>
      <c r="AN651" s="631"/>
      <c r="AO651" s="18"/>
      <c r="AP651" s="18"/>
      <c r="AQ651" s="18"/>
      <c r="AR651" s="18"/>
      <c r="AS651" s="18"/>
      <c r="AU651" s="448"/>
      <c r="AV651" s="448"/>
      <c r="AW651" s="8" t="str">
        <f>IF(C651&gt;0,VLOOKUP(C651,Foundation_Calc!$A$2:$C$986,3,1),
IF(J651&gt;0,VLOOKUP(J651,Foundation_Calc!$A$2:$C$986,3,1),""))</f>
        <v/>
      </c>
      <c r="AX651" s="8" t="str">
        <f>IF(C651&gt;0,VLOOKUP(C651,Foundation_Calc!$E$2:$G$986,3,1),
IF(J651&gt;0,VLOOKUP(J651,Foundation_Calc!$E$2:$G$986,3,1),""))</f>
        <v/>
      </c>
      <c r="AY651" s="631" t="str">
        <f>IF(L651="","",
IF(AX651="PT",VLOOKUP(L651,Foundation_Calc!$K$4:$R$37,VLOOKUP(AW651,Foundation_Calc!$I$2:$J$8,2,FALSE),0),
IF(AX651="K",VLOOKUP(L651,Foundation_Calc!$K$41:$R$74,VLOOKUP(AW651,Foundation_Calc!$I$2:$J$8,2,FALSE),0),"")))</f>
        <v/>
      </c>
      <c r="AZ651" s="631" t="str">
        <f>IF(K651="","",
IF(AX651="PT",VLOOKUP(K651,Foundation_Calc!$K$4:$R$37,VLOOKUP(AW651,Foundation_Calc!$I$2:$J$8,2,FALSE),0),
IF(AX651="K",VLOOKUP(K651,Foundation_Calc!$K$41:$R$74,VLOOKUP(AW651,Foundation_Calc!$I$2:$J$8,2,FALSE),0),"")))</f>
        <v/>
      </c>
      <c r="BA651" s="632" t="str">
        <f t="shared" si="79"/>
        <v/>
      </c>
      <c r="BB651" s="632" t="str">
        <f t="shared" si="80"/>
        <v/>
      </c>
      <c r="BC651" s="632" t="str">
        <f t="shared" si="81"/>
        <v/>
      </c>
      <c r="BD651" s="633" t="str">
        <f>IF(AND(L651="",H651=""),"",
IF(H651="",Pole_Calc!A679,
IF(H651="MP",Pole_Calc!A680,
IF(H651="AnMP",Pole_Calc!A681,
IF(H651="A",Pole_Calc!A682,
IF(H651="S/A",Pole_Calc!A683,
IF(H651="A/S",Pole_Calc!A684,"Poner a mano")))))))</f>
        <v/>
      </c>
      <c r="BE651" s="448" t="s">
        <v>1726</v>
      </c>
      <c r="BF651" s="635"/>
      <c r="BG651" s="635"/>
      <c r="BH651" s="634"/>
      <c r="BI651" s="635"/>
    </row>
    <row r="652" spans="1:61" ht="16.2" customHeight="1">
      <c r="A652" s="12"/>
      <c r="B652" s="446"/>
      <c r="C652" s="89"/>
      <c r="D652" s="13"/>
      <c r="E652" s="14"/>
      <c r="F652" s="14"/>
      <c r="G652" s="15"/>
      <c r="H652" s="8"/>
      <c r="I652" s="8"/>
      <c r="J652" s="89"/>
      <c r="K652" s="8"/>
      <c r="L652" s="8"/>
      <c r="M652" s="8" t="str">
        <f>IF(L652="","",
IF(AX652="PT",VLOOKUP(L652,Foundation_Calc!$V$4:$X$37,VLOOKUP(AX652,Foundation_Calc!$I$10:$J$13,2,FALSE),0),
IF(AX652="K",VLOOKUP(L652,Foundation_Calc!$V$41:$X$74,VLOOKUP(AX652,Foundation_Calc!$I$10:$J$13,2,FALSE),0),"")))</f>
        <v/>
      </c>
      <c r="N652" s="8"/>
      <c r="O652" s="8"/>
      <c r="P652" s="8"/>
      <c r="Q652" s="14"/>
      <c r="R652" s="15"/>
      <c r="S652" s="15"/>
      <c r="T652" s="14"/>
      <c r="U652" s="14"/>
      <c r="V652" s="14"/>
      <c r="W652" s="18"/>
      <c r="X652" s="18"/>
      <c r="Y652" s="18"/>
      <c r="Z652" s="18"/>
      <c r="AA652" s="18"/>
      <c r="AB652" s="18"/>
      <c r="AC652" s="8" t="str">
        <f t="shared" si="78"/>
        <v/>
      </c>
      <c r="AD652" s="8"/>
      <c r="AE652" s="8"/>
      <c r="AF652" s="14"/>
      <c r="AG652" s="13"/>
      <c r="AH652" s="14"/>
      <c r="AI652" s="14"/>
      <c r="AJ652" s="8"/>
      <c r="AK652" s="8"/>
      <c r="AL652" s="8"/>
      <c r="AM652" s="8"/>
      <c r="AN652" s="631"/>
      <c r="AO652" s="18"/>
      <c r="AP652" s="18"/>
      <c r="AQ652" s="18"/>
      <c r="AR652" s="18"/>
      <c r="AS652" s="18"/>
      <c r="AU652" s="448"/>
      <c r="AV652" s="448"/>
      <c r="AW652" s="8" t="str">
        <f>IF(C652&gt;0,VLOOKUP(C652,Foundation_Calc!$A$2:$C$986,3,1),
IF(J652&gt;0,VLOOKUP(J652,Foundation_Calc!$A$2:$C$986,3,1),""))</f>
        <v/>
      </c>
      <c r="AX652" s="8" t="str">
        <f>IF(C652&gt;0,VLOOKUP(C652,Foundation_Calc!$E$2:$G$986,3,1),
IF(J652&gt;0,VLOOKUP(J652,Foundation_Calc!$E$2:$G$986,3,1),""))</f>
        <v/>
      </c>
      <c r="AY652" s="631" t="str">
        <f>IF(L652="","",
IF(AX652="PT",VLOOKUP(L652,Foundation_Calc!$K$4:$R$37,VLOOKUP(AW652,Foundation_Calc!$I$2:$J$8,2,FALSE),0),
IF(AX652="K",VLOOKUP(L652,Foundation_Calc!$K$41:$R$74,VLOOKUP(AW652,Foundation_Calc!$I$2:$J$8,2,FALSE),0),"")))</f>
        <v/>
      </c>
      <c r="AZ652" s="631" t="str">
        <f>IF(K652="","",
IF(AX652="PT",VLOOKUP(K652,Foundation_Calc!$K$4:$R$37,VLOOKUP(AW652,Foundation_Calc!$I$2:$J$8,2,FALSE),0),
IF(AX652="K",VLOOKUP(K652,Foundation_Calc!$K$41:$R$74,VLOOKUP(AW652,Foundation_Calc!$I$2:$J$8,2,FALSE),0),"")))</f>
        <v/>
      </c>
      <c r="BA652" s="632" t="str">
        <f t="shared" si="79"/>
        <v/>
      </c>
      <c r="BB652" s="632" t="str">
        <f t="shared" si="80"/>
        <v/>
      </c>
      <c r="BC652" s="632" t="str">
        <f t="shared" si="81"/>
        <v/>
      </c>
      <c r="BD652" s="633" t="str">
        <f>IF(AND(L652="",H652=""),"",
IF(H652="",Pole_Calc!A680,
IF(H652="MP",Pole_Calc!A681,
IF(H652="AnMP",Pole_Calc!A682,
IF(H652="A",Pole_Calc!A683,
IF(H652="S/A",Pole_Calc!A684,
IF(H652="A/S",Pole_Calc!A685,"Poner a mano")))))))</f>
        <v/>
      </c>
      <c r="BE652" s="448" t="s">
        <v>1726</v>
      </c>
      <c r="BF652" s="634"/>
      <c r="BG652" s="634"/>
      <c r="BH652" s="634"/>
      <c r="BI652" s="634"/>
    </row>
    <row r="653" spans="1:61" ht="16.2" customHeight="1">
      <c r="A653" s="12"/>
      <c r="B653" s="446"/>
      <c r="C653" s="89"/>
      <c r="D653" s="13"/>
      <c r="E653" s="14"/>
      <c r="F653" s="14"/>
      <c r="G653" s="15"/>
      <c r="H653" s="8"/>
      <c r="I653" s="8"/>
      <c r="J653" s="89"/>
      <c r="K653" s="8"/>
      <c r="L653" s="8"/>
      <c r="M653" s="8" t="str">
        <f>IF(L653="","",
IF(AX653="PT",VLOOKUP(L653,Foundation_Calc!$V$4:$X$37,VLOOKUP(AX653,Foundation_Calc!$I$10:$J$13,2,FALSE),0),
IF(AX653="K",VLOOKUP(L653,Foundation_Calc!$V$41:$X$74,VLOOKUP(AX653,Foundation_Calc!$I$10:$J$13,2,FALSE),0),"")))</f>
        <v/>
      </c>
      <c r="N653" s="8"/>
      <c r="O653" s="8"/>
      <c r="P653" s="8"/>
      <c r="Q653" s="14"/>
      <c r="R653" s="15"/>
      <c r="S653" s="15"/>
      <c r="T653" s="14"/>
      <c r="U653" s="14"/>
      <c r="V653" s="14"/>
      <c r="W653" s="18"/>
      <c r="X653" s="18"/>
      <c r="Y653" s="18"/>
      <c r="Z653" s="18"/>
      <c r="AA653" s="18"/>
      <c r="AB653" s="18"/>
      <c r="AC653" s="8" t="str">
        <f t="shared" si="78"/>
        <v/>
      </c>
      <c r="AD653" s="8"/>
      <c r="AE653" s="8"/>
      <c r="AF653" s="14"/>
      <c r="AG653" s="13"/>
      <c r="AH653" s="14"/>
      <c r="AI653" s="14"/>
      <c r="AJ653" s="8"/>
      <c r="AK653" s="8"/>
      <c r="AL653" s="8"/>
      <c r="AM653" s="8"/>
      <c r="AN653" s="631"/>
      <c r="AO653" s="18"/>
      <c r="AP653" s="18"/>
      <c r="AQ653" s="18"/>
      <c r="AR653" s="18"/>
      <c r="AS653" s="18"/>
      <c r="AU653" s="448"/>
      <c r="AV653" s="448"/>
      <c r="AW653" s="8" t="str">
        <f>IF(C653&gt;0,VLOOKUP(C653,Foundation_Calc!$A$2:$C$986,3,1),
IF(J653&gt;0,VLOOKUP(J653,Foundation_Calc!$A$2:$C$986,3,1),""))</f>
        <v/>
      </c>
      <c r="AX653" s="8" t="str">
        <f>IF(C653&gt;0,VLOOKUP(C653,Foundation_Calc!$E$2:$G$986,3,1),
IF(J653&gt;0,VLOOKUP(J653,Foundation_Calc!$E$2:$G$986,3,1),""))</f>
        <v/>
      </c>
      <c r="AY653" s="631" t="str">
        <f>IF(L653="","",
IF(AX653="PT",VLOOKUP(L653,Foundation_Calc!$K$4:$R$37,VLOOKUP(AW653,Foundation_Calc!$I$2:$J$8,2,FALSE),0),
IF(AX653="K",VLOOKUP(L653,Foundation_Calc!$K$41:$R$74,VLOOKUP(AW653,Foundation_Calc!$I$2:$J$8,2,FALSE),0),"")))</f>
        <v/>
      </c>
      <c r="AZ653" s="631" t="str">
        <f>IF(K653="","",
IF(AX653="PT",VLOOKUP(K653,Foundation_Calc!$K$4:$R$37,VLOOKUP(AW653,Foundation_Calc!$I$2:$J$8,2,FALSE),0),
IF(AX653="K",VLOOKUP(K653,Foundation_Calc!$K$41:$R$74,VLOOKUP(AW653,Foundation_Calc!$I$2:$J$8,2,FALSE),0),"")))</f>
        <v/>
      </c>
      <c r="BA653" s="632" t="str">
        <f t="shared" si="79"/>
        <v/>
      </c>
      <c r="BB653" s="632" t="str">
        <f t="shared" si="80"/>
        <v/>
      </c>
      <c r="BC653" s="632" t="str">
        <f t="shared" si="81"/>
        <v/>
      </c>
      <c r="BD653" s="633" t="str">
        <f>IF(AND(L653="",H653=""),"",
IF(H653="",Pole_Calc!A681,
IF(H653="MP",Pole_Calc!A682,
IF(H653="AnMP",Pole_Calc!A683,
IF(H653="A",Pole_Calc!A684,
IF(H653="S/A",Pole_Calc!A685,
IF(H653="A/S",Pole_Calc!A686,"Poner a mano")))))))</f>
        <v/>
      </c>
      <c r="BE653" s="448" t="s">
        <v>1726</v>
      </c>
      <c r="BF653" s="635"/>
      <c r="BG653" s="635"/>
      <c r="BH653" s="634"/>
      <c r="BI653" s="635"/>
    </row>
    <row r="654" spans="1:61" ht="16.2" customHeight="1">
      <c r="A654" s="12"/>
      <c r="B654" s="446"/>
      <c r="C654" s="89"/>
      <c r="D654" s="13"/>
      <c r="E654" s="14"/>
      <c r="F654" s="14"/>
      <c r="G654" s="15"/>
      <c r="H654" s="8"/>
      <c r="I654" s="8"/>
      <c r="J654" s="89"/>
      <c r="K654" s="8"/>
      <c r="L654" s="8"/>
      <c r="M654" s="8" t="str">
        <f>IF(L654="","",
IF(AX654="PT",VLOOKUP(L654,Foundation_Calc!$V$4:$X$37,VLOOKUP(AX654,Foundation_Calc!$I$10:$J$13,2,FALSE),0),
IF(AX654="K",VLOOKUP(L654,Foundation_Calc!$V$41:$X$74,VLOOKUP(AX654,Foundation_Calc!$I$10:$J$13,2,FALSE),0),"")))</f>
        <v/>
      </c>
      <c r="N654" s="8"/>
      <c r="O654" s="8"/>
      <c r="P654" s="8"/>
      <c r="Q654" s="14"/>
      <c r="R654" s="15"/>
      <c r="S654" s="15"/>
      <c r="T654" s="14"/>
      <c r="U654" s="14"/>
      <c r="V654" s="14"/>
      <c r="W654" s="18"/>
      <c r="X654" s="18"/>
      <c r="Y654" s="18"/>
      <c r="Z654" s="18"/>
      <c r="AA654" s="18"/>
      <c r="AB654" s="18"/>
      <c r="AC654" s="8" t="str">
        <f t="shared" si="78"/>
        <v/>
      </c>
      <c r="AD654" s="8"/>
      <c r="AE654" s="8"/>
      <c r="AF654" s="14"/>
      <c r="AG654" s="13"/>
      <c r="AH654" s="14"/>
      <c r="AI654" s="14"/>
      <c r="AJ654" s="8"/>
      <c r="AK654" s="8"/>
      <c r="AL654" s="8"/>
      <c r="AM654" s="8"/>
      <c r="AN654" s="631"/>
      <c r="AO654" s="18"/>
      <c r="AP654" s="18"/>
      <c r="AQ654" s="18"/>
      <c r="AR654" s="18"/>
      <c r="AS654" s="18"/>
      <c r="AU654" s="448"/>
      <c r="AV654" s="448"/>
      <c r="AW654" s="8" t="str">
        <f>IF(C654&gt;0,VLOOKUP(C654,Foundation_Calc!$A$2:$C$986,3,1),
IF(J654&gt;0,VLOOKUP(J654,Foundation_Calc!$A$2:$C$986,3,1),""))</f>
        <v/>
      </c>
      <c r="AX654" s="8" t="str">
        <f>IF(C654&gt;0,VLOOKUP(C654,Foundation_Calc!$E$2:$G$986,3,1),
IF(J654&gt;0,VLOOKUP(J654,Foundation_Calc!$E$2:$G$986,3,1),""))</f>
        <v/>
      </c>
      <c r="AY654" s="631" t="str">
        <f>IF(L654="","",
IF(AX654="PT",VLOOKUP(L654,Foundation_Calc!$K$4:$R$37,VLOOKUP(AW654,Foundation_Calc!$I$2:$J$8,2,FALSE),0),
IF(AX654="K",VLOOKUP(L654,Foundation_Calc!$K$41:$R$74,VLOOKUP(AW654,Foundation_Calc!$I$2:$J$8,2,FALSE),0),"")))</f>
        <v/>
      </c>
      <c r="AZ654" s="631" t="str">
        <f>IF(K654="","",
IF(AX654="PT",VLOOKUP(K654,Foundation_Calc!$K$4:$R$37,VLOOKUP(AW654,Foundation_Calc!$I$2:$J$8,2,FALSE),0),
IF(AX654="K",VLOOKUP(K654,Foundation_Calc!$K$41:$R$74,VLOOKUP(AW654,Foundation_Calc!$I$2:$J$8,2,FALSE),0),"")))</f>
        <v/>
      </c>
      <c r="BA654" s="632" t="str">
        <f t="shared" si="79"/>
        <v/>
      </c>
      <c r="BB654" s="632" t="str">
        <f t="shared" si="80"/>
        <v/>
      </c>
      <c r="BC654" s="632" t="str">
        <f t="shared" si="81"/>
        <v/>
      </c>
      <c r="BD654" s="633" t="str">
        <f>IF(AND(L654="",H654=""),"",
IF(H654="",Pole_Calc!A682,
IF(H654="MP",Pole_Calc!A683,
IF(H654="AnMP",Pole_Calc!A684,
IF(H654="A",Pole_Calc!A685,
IF(H654="S/A",Pole_Calc!A686,
IF(H654="A/S",Pole_Calc!A687,"Poner a mano")))))))</f>
        <v/>
      </c>
      <c r="BE654" s="448" t="s">
        <v>1726</v>
      </c>
      <c r="BF654" s="634"/>
      <c r="BG654" s="634"/>
      <c r="BH654" s="634"/>
      <c r="BI654" s="634"/>
    </row>
    <row r="655" spans="1:61" ht="16.2" customHeight="1">
      <c r="A655" s="12"/>
      <c r="B655" s="446"/>
      <c r="C655" s="89"/>
      <c r="D655" s="13"/>
      <c r="E655" s="14"/>
      <c r="F655" s="14"/>
      <c r="G655" s="15"/>
      <c r="H655" s="8"/>
      <c r="I655" s="8"/>
      <c r="J655" s="89"/>
      <c r="K655" s="8"/>
      <c r="L655" s="8"/>
      <c r="M655" s="8" t="str">
        <f>IF(L655="","",
IF(AX655="PT",VLOOKUP(L655,Foundation_Calc!$V$4:$X$37,VLOOKUP(AX655,Foundation_Calc!$I$10:$J$13,2,FALSE),0),
IF(AX655="K",VLOOKUP(L655,Foundation_Calc!$V$41:$X$74,VLOOKUP(AX655,Foundation_Calc!$I$10:$J$13,2,FALSE),0),"")))</f>
        <v/>
      </c>
      <c r="N655" s="8"/>
      <c r="O655" s="8"/>
      <c r="P655" s="8"/>
      <c r="Q655" s="14"/>
      <c r="R655" s="15"/>
      <c r="S655" s="15"/>
      <c r="T655" s="14"/>
      <c r="U655" s="14"/>
      <c r="V655" s="14"/>
      <c r="W655" s="18"/>
      <c r="X655" s="18"/>
      <c r="Y655" s="18"/>
      <c r="Z655" s="18"/>
      <c r="AA655" s="18"/>
      <c r="AB655" s="18"/>
      <c r="AC655" s="8" t="str">
        <f t="shared" si="78"/>
        <v/>
      </c>
      <c r="AD655" s="8"/>
      <c r="AE655" s="8"/>
      <c r="AF655" s="14"/>
      <c r="AG655" s="13"/>
      <c r="AH655" s="14"/>
      <c r="AI655" s="14"/>
      <c r="AJ655" s="8"/>
      <c r="AK655" s="8"/>
      <c r="AL655" s="8"/>
      <c r="AM655" s="8"/>
      <c r="AN655" s="631"/>
      <c r="AO655" s="18"/>
      <c r="AP655" s="18"/>
      <c r="AQ655" s="18"/>
      <c r="AR655" s="18"/>
      <c r="AS655" s="18"/>
      <c r="AU655" s="448"/>
      <c r="AV655" s="448"/>
      <c r="AW655" s="8" t="str">
        <f>IF(C655&gt;0,VLOOKUP(C655,Foundation_Calc!$A$2:$C$986,3,1),
IF(J655&gt;0,VLOOKUP(J655,Foundation_Calc!$A$2:$C$986,3,1),""))</f>
        <v/>
      </c>
      <c r="AX655" s="8" t="str">
        <f>IF(C655&gt;0,VLOOKUP(C655,Foundation_Calc!$E$2:$G$986,3,1),
IF(J655&gt;0,VLOOKUP(J655,Foundation_Calc!$E$2:$G$986,3,1),""))</f>
        <v/>
      </c>
      <c r="AY655" s="631" t="str">
        <f>IF(L655="","",
IF(AX655="PT",VLOOKUP(L655,Foundation_Calc!$K$4:$R$37,VLOOKUP(AW655,Foundation_Calc!$I$2:$J$8,2,FALSE),0),
IF(AX655="K",VLOOKUP(L655,Foundation_Calc!$K$41:$R$74,VLOOKUP(AW655,Foundation_Calc!$I$2:$J$8,2,FALSE),0),"")))</f>
        <v/>
      </c>
      <c r="AZ655" s="631" t="str">
        <f>IF(K655="","",
IF(AX655="PT",VLOOKUP(K655,Foundation_Calc!$K$4:$R$37,VLOOKUP(AW655,Foundation_Calc!$I$2:$J$8,2,FALSE),0),
IF(AX655="K",VLOOKUP(K655,Foundation_Calc!$K$41:$R$74,VLOOKUP(AW655,Foundation_Calc!$I$2:$J$8,2,FALSE),0),"")))</f>
        <v/>
      </c>
      <c r="BA655" s="632" t="str">
        <f t="shared" si="79"/>
        <v/>
      </c>
      <c r="BB655" s="632" t="str">
        <f t="shared" si="80"/>
        <v/>
      </c>
      <c r="BC655" s="632" t="str">
        <f t="shared" si="81"/>
        <v/>
      </c>
      <c r="BD655" s="633" t="str">
        <f>IF(AND(L655="",H655=""),"",
IF(H655="",Pole_Calc!A683,
IF(H655="MP",Pole_Calc!A684,
IF(H655="AnMP",Pole_Calc!A685,
IF(H655="A",Pole_Calc!A686,
IF(H655="S/A",Pole_Calc!A687,
IF(H655="A/S",Pole_Calc!A688,"Poner a mano")))))))</f>
        <v/>
      </c>
      <c r="BE655" s="448" t="s">
        <v>1726</v>
      </c>
      <c r="BF655" s="635"/>
      <c r="BG655" s="635"/>
      <c r="BH655" s="634"/>
      <c r="BI655" s="635"/>
    </row>
    <row r="656" spans="1:61" ht="16.2" customHeight="1">
      <c r="A656" s="12"/>
      <c r="B656" s="446"/>
      <c r="C656" s="89"/>
      <c r="D656" s="13"/>
      <c r="E656" s="14"/>
      <c r="F656" s="14"/>
      <c r="G656" s="15"/>
      <c r="H656" s="8"/>
      <c r="I656" s="8"/>
      <c r="J656" s="89"/>
      <c r="K656" s="8"/>
      <c r="L656" s="8"/>
      <c r="M656" s="8" t="str">
        <f>IF(L656="","",
IF(AX656="PT",VLOOKUP(L656,Foundation_Calc!$V$4:$X$37,VLOOKUP(AX656,Foundation_Calc!$I$10:$J$13,2,FALSE),0),
IF(AX656="K",VLOOKUP(L656,Foundation_Calc!$V$41:$X$74,VLOOKUP(AX656,Foundation_Calc!$I$10:$J$13,2,FALSE),0),"")))</f>
        <v/>
      </c>
      <c r="N656" s="8"/>
      <c r="O656" s="8"/>
      <c r="P656" s="8"/>
      <c r="Q656" s="14"/>
      <c r="R656" s="15"/>
      <c r="S656" s="15"/>
      <c r="T656" s="14"/>
      <c r="U656" s="14"/>
      <c r="V656" s="14"/>
      <c r="W656" s="18"/>
      <c r="X656" s="18"/>
      <c r="Y656" s="18"/>
      <c r="Z656" s="18"/>
      <c r="AA656" s="18"/>
      <c r="AB656" s="18"/>
      <c r="AC656" s="8" t="str">
        <f t="shared" si="78"/>
        <v/>
      </c>
      <c r="AD656" s="8"/>
      <c r="AE656" s="8"/>
      <c r="AF656" s="14"/>
      <c r="AG656" s="13"/>
      <c r="AH656" s="14"/>
      <c r="AI656" s="14"/>
      <c r="AJ656" s="8"/>
      <c r="AK656" s="8"/>
      <c r="AL656" s="8"/>
      <c r="AM656" s="8"/>
      <c r="AN656" s="631"/>
      <c r="AO656" s="18"/>
      <c r="AP656" s="18"/>
      <c r="AQ656" s="18"/>
      <c r="AR656" s="18"/>
      <c r="AS656" s="18"/>
      <c r="AU656" s="448"/>
      <c r="AV656" s="448"/>
      <c r="AW656" s="8" t="str">
        <f>IF(C656&gt;0,VLOOKUP(C656,Foundation_Calc!$A$2:$C$986,3,1),
IF(J656&gt;0,VLOOKUP(J656,Foundation_Calc!$A$2:$C$986,3,1),""))</f>
        <v/>
      </c>
      <c r="AX656" s="8" t="str">
        <f>IF(C656&gt;0,VLOOKUP(C656,Foundation_Calc!$E$2:$G$986,3,1),
IF(J656&gt;0,VLOOKUP(J656,Foundation_Calc!$E$2:$G$986,3,1),""))</f>
        <v/>
      </c>
      <c r="AY656" s="631" t="str">
        <f>IF(L656="","",
IF(AX656="PT",VLOOKUP(L656,Foundation_Calc!$K$4:$R$37,VLOOKUP(AW656,Foundation_Calc!$I$2:$J$8,2,FALSE),0),
IF(AX656="K",VLOOKUP(L656,Foundation_Calc!$K$41:$R$74,VLOOKUP(AW656,Foundation_Calc!$I$2:$J$8,2,FALSE),0),"")))</f>
        <v/>
      </c>
      <c r="AZ656" s="631" t="str">
        <f>IF(K656="","",
IF(AX656="PT",VLOOKUP(K656,Foundation_Calc!$K$4:$R$37,VLOOKUP(AW656,Foundation_Calc!$I$2:$J$8,2,FALSE),0),
IF(AX656="K",VLOOKUP(K656,Foundation_Calc!$K$41:$R$74,VLOOKUP(AW656,Foundation_Calc!$I$2:$J$8,2,FALSE),0),"")))</f>
        <v/>
      </c>
      <c r="BA656" s="632" t="str">
        <f t="shared" si="79"/>
        <v/>
      </c>
      <c r="BB656" s="632" t="str">
        <f t="shared" si="80"/>
        <v/>
      </c>
      <c r="BC656" s="632" t="str">
        <f t="shared" si="81"/>
        <v/>
      </c>
      <c r="BD656" s="633" t="str">
        <f>IF(AND(L656="",H656=""),"",
IF(H656="",Pole_Calc!A684,
IF(H656="MP",Pole_Calc!A685,
IF(H656="AnMP",Pole_Calc!A686,
IF(H656="A",Pole_Calc!A687,
IF(H656="S/A",Pole_Calc!A688,
IF(H656="A/S",Pole_Calc!A689,"Poner a mano")))))))</f>
        <v/>
      </c>
      <c r="BE656" s="448" t="s">
        <v>1726</v>
      </c>
      <c r="BF656" s="634"/>
      <c r="BG656" s="634"/>
      <c r="BH656" s="634"/>
      <c r="BI656" s="634"/>
    </row>
    <row r="657" spans="1:61" ht="16.2" customHeight="1">
      <c r="A657" s="12"/>
      <c r="B657" s="446"/>
      <c r="C657" s="89"/>
      <c r="D657" s="13"/>
      <c r="E657" s="14"/>
      <c r="F657" s="14"/>
      <c r="G657" s="15"/>
      <c r="H657" s="8"/>
      <c r="I657" s="8"/>
      <c r="J657" s="89"/>
      <c r="K657" s="8"/>
      <c r="L657" s="8"/>
      <c r="M657" s="8" t="str">
        <f>IF(L657="","",
IF(AX657="PT",VLOOKUP(L657,Foundation_Calc!$V$4:$X$37,VLOOKUP(AX657,Foundation_Calc!$I$10:$J$13,2,FALSE),0),
IF(AX657="K",VLOOKUP(L657,Foundation_Calc!$V$41:$X$74,VLOOKUP(AX657,Foundation_Calc!$I$10:$J$13,2,FALSE),0),"")))</f>
        <v/>
      </c>
      <c r="N657" s="8"/>
      <c r="O657" s="8"/>
      <c r="P657" s="8"/>
      <c r="Q657" s="14"/>
      <c r="R657" s="15"/>
      <c r="S657" s="15"/>
      <c r="T657" s="14"/>
      <c r="U657" s="14"/>
      <c r="V657" s="14"/>
      <c r="W657" s="18"/>
      <c r="X657" s="18"/>
      <c r="Y657" s="18"/>
      <c r="Z657" s="18"/>
      <c r="AA657" s="18"/>
      <c r="AB657" s="18"/>
      <c r="AC657" s="8" t="str">
        <f t="shared" si="78"/>
        <v/>
      </c>
      <c r="AD657" s="8"/>
      <c r="AE657" s="8"/>
      <c r="AF657" s="14"/>
      <c r="AG657" s="13"/>
      <c r="AH657" s="14"/>
      <c r="AI657" s="14"/>
      <c r="AJ657" s="8"/>
      <c r="AK657" s="8"/>
      <c r="AL657" s="8"/>
      <c r="AM657" s="8"/>
      <c r="AN657" s="631"/>
      <c r="AO657" s="18"/>
      <c r="AP657" s="18"/>
      <c r="AQ657" s="18"/>
      <c r="AR657" s="18"/>
      <c r="AS657" s="18"/>
      <c r="AU657" s="448"/>
      <c r="AV657" s="448"/>
      <c r="AW657" s="8" t="str">
        <f>IF(C657&gt;0,VLOOKUP(C657,Foundation_Calc!$A$2:$C$986,3,1),
IF(J657&gt;0,VLOOKUP(J657,Foundation_Calc!$A$2:$C$986,3,1),""))</f>
        <v/>
      </c>
      <c r="AX657" s="8" t="str">
        <f>IF(C657&gt;0,VLOOKUP(C657,Foundation_Calc!$E$2:$G$986,3,1),
IF(J657&gt;0,VLOOKUP(J657,Foundation_Calc!$E$2:$G$986,3,1),""))</f>
        <v/>
      </c>
      <c r="AY657" s="631" t="str">
        <f>IF(L657="","",
IF(AX657="PT",VLOOKUP(L657,Foundation_Calc!$K$4:$R$37,VLOOKUP(AW657,Foundation_Calc!$I$2:$J$8,2,FALSE),0),
IF(AX657="K",VLOOKUP(L657,Foundation_Calc!$K$41:$R$74,VLOOKUP(AW657,Foundation_Calc!$I$2:$J$8,2,FALSE),0),"")))</f>
        <v/>
      </c>
      <c r="AZ657" s="631" t="str">
        <f>IF(K657="","",
IF(AX657="PT",VLOOKUP(K657,Foundation_Calc!$K$4:$R$37,VLOOKUP(AW657,Foundation_Calc!$I$2:$J$8,2,FALSE),0),
IF(AX657="K",VLOOKUP(K657,Foundation_Calc!$K$41:$R$74,VLOOKUP(AW657,Foundation_Calc!$I$2:$J$8,2,FALSE),0),"")))</f>
        <v/>
      </c>
      <c r="BA657" s="632" t="str">
        <f t="shared" si="79"/>
        <v/>
      </c>
      <c r="BB657" s="632" t="str">
        <f t="shared" si="80"/>
        <v/>
      </c>
      <c r="BC657" s="632" t="str">
        <f t="shared" si="81"/>
        <v/>
      </c>
      <c r="BD657" s="633" t="str">
        <f>IF(AND(L657="",H657=""),"",
IF(H657="",Pole_Calc!A685,
IF(H657="MP",Pole_Calc!A686,
IF(H657="AnMP",Pole_Calc!A687,
IF(H657="A",Pole_Calc!A688,
IF(H657="S/A",Pole_Calc!A689,
IF(H657="A/S",Pole_Calc!A690,"Poner a mano")))))))</f>
        <v/>
      </c>
      <c r="BE657" s="448" t="s">
        <v>1726</v>
      </c>
      <c r="BF657" s="635"/>
      <c r="BG657" s="635"/>
      <c r="BH657" s="634"/>
      <c r="BI657" s="635"/>
    </row>
    <row r="658" spans="1:61" ht="16.2" customHeight="1">
      <c r="A658" s="12"/>
      <c r="B658" s="446"/>
      <c r="C658" s="89"/>
      <c r="D658" s="13"/>
      <c r="E658" s="14"/>
      <c r="F658" s="14"/>
      <c r="G658" s="15"/>
      <c r="H658" s="8"/>
      <c r="I658" s="8"/>
      <c r="J658" s="89"/>
      <c r="K658" s="8"/>
      <c r="L658" s="8"/>
      <c r="M658" s="8" t="str">
        <f>IF(L658="","",
IF(AX658="PT",VLOOKUP(L658,Foundation_Calc!$V$4:$X$37,VLOOKUP(AX658,Foundation_Calc!$I$10:$J$13,2,FALSE),0),
IF(AX658="K",VLOOKUP(L658,Foundation_Calc!$V$41:$X$74,VLOOKUP(AX658,Foundation_Calc!$I$10:$J$13,2,FALSE),0),"")))</f>
        <v/>
      </c>
      <c r="N658" s="8"/>
      <c r="O658" s="8"/>
      <c r="P658" s="8"/>
      <c r="Q658" s="14"/>
      <c r="R658" s="15"/>
      <c r="S658" s="15"/>
      <c r="T658" s="14"/>
      <c r="U658" s="14"/>
      <c r="V658" s="14"/>
      <c r="W658" s="18"/>
      <c r="X658" s="18"/>
      <c r="Y658" s="18"/>
      <c r="Z658" s="18"/>
      <c r="AA658" s="18"/>
      <c r="AB658" s="18"/>
      <c r="AC658" s="8" t="str">
        <f t="shared" si="78"/>
        <v/>
      </c>
      <c r="AD658" s="8"/>
      <c r="AE658" s="8"/>
      <c r="AF658" s="14"/>
      <c r="AG658" s="13"/>
      <c r="AH658" s="14"/>
      <c r="AI658" s="14"/>
      <c r="AJ658" s="8"/>
      <c r="AK658" s="8"/>
      <c r="AL658" s="8"/>
      <c r="AM658" s="8"/>
      <c r="AN658" s="631"/>
      <c r="AO658" s="18"/>
      <c r="AP658" s="18"/>
      <c r="AQ658" s="18"/>
      <c r="AR658" s="18"/>
      <c r="AS658" s="18"/>
      <c r="AU658" s="448"/>
      <c r="AV658" s="448"/>
      <c r="AW658" s="8" t="str">
        <f>IF(C658&gt;0,VLOOKUP(C658,Foundation_Calc!$A$2:$C$986,3,1),
IF(J658&gt;0,VLOOKUP(J658,Foundation_Calc!$A$2:$C$986,3,1),""))</f>
        <v/>
      </c>
      <c r="AX658" s="8" t="str">
        <f>IF(C658&gt;0,VLOOKUP(C658,Foundation_Calc!$E$2:$G$986,3,1),
IF(J658&gt;0,VLOOKUP(J658,Foundation_Calc!$E$2:$G$986,3,1),""))</f>
        <v/>
      </c>
      <c r="AY658" s="631" t="str">
        <f>IF(L658="","",
IF(AX658="PT",VLOOKUP(L658,Foundation_Calc!$K$4:$R$37,VLOOKUP(AW658,Foundation_Calc!$I$2:$J$8,2,FALSE),0),
IF(AX658="K",VLOOKUP(L658,Foundation_Calc!$K$41:$R$74,VLOOKUP(AW658,Foundation_Calc!$I$2:$J$8,2,FALSE),0),"")))</f>
        <v/>
      </c>
      <c r="AZ658" s="631" t="str">
        <f>IF(K658="","",
IF(AX658="PT",VLOOKUP(K658,Foundation_Calc!$K$4:$R$37,VLOOKUP(AW658,Foundation_Calc!$I$2:$J$8,2,FALSE),0),
IF(AX658="K",VLOOKUP(K658,Foundation_Calc!$K$41:$R$74,VLOOKUP(AW658,Foundation_Calc!$I$2:$J$8,2,FALSE),0),"")))</f>
        <v/>
      </c>
      <c r="BA658" s="632" t="str">
        <f t="shared" si="79"/>
        <v/>
      </c>
      <c r="BB658" s="632" t="str">
        <f t="shared" si="80"/>
        <v/>
      </c>
      <c r="BC658" s="632" t="str">
        <f t="shared" si="81"/>
        <v/>
      </c>
      <c r="BD658" s="633" t="str">
        <f>IF(AND(L658="",H658=""),"",
IF(H658="",Pole_Calc!A686,
IF(H658="MP",Pole_Calc!A687,
IF(H658="AnMP",Pole_Calc!A688,
IF(H658="A",Pole_Calc!A689,
IF(H658="S/A",Pole_Calc!A690,
IF(H658="A/S",Pole_Calc!A691,"Poner a mano")))))))</f>
        <v/>
      </c>
      <c r="BE658" s="448" t="s">
        <v>1726</v>
      </c>
      <c r="BF658" s="634"/>
      <c r="BG658" s="634"/>
      <c r="BH658" s="634"/>
      <c r="BI658" s="634"/>
    </row>
    <row r="659" spans="1:61" ht="16.2" customHeight="1">
      <c r="A659" s="12"/>
      <c r="B659" s="446"/>
      <c r="C659" s="89"/>
      <c r="D659" s="13"/>
      <c r="E659" s="14"/>
      <c r="F659" s="14"/>
      <c r="G659" s="15"/>
      <c r="H659" s="8"/>
      <c r="I659" s="8"/>
      <c r="J659" s="89"/>
      <c r="K659" s="8"/>
      <c r="L659" s="8"/>
      <c r="M659" s="8" t="str">
        <f>IF(L659="","",
IF(AX659="PT",VLOOKUP(L659,Foundation_Calc!$V$4:$X$37,VLOOKUP(AX659,Foundation_Calc!$I$10:$J$13,2,FALSE),0),
IF(AX659="K",VLOOKUP(L659,Foundation_Calc!$V$41:$X$74,VLOOKUP(AX659,Foundation_Calc!$I$10:$J$13,2,FALSE),0),"")))</f>
        <v/>
      </c>
      <c r="N659" s="8"/>
      <c r="O659" s="8"/>
      <c r="P659" s="8"/>
      <c r="Q659" s="14"/>
      <c r="R659" s="15"/>
      <c r="S659" s="15"/>
      <c r="T659" s="14"/>
      <c r="U659" s="14"/>
      <c r="V659" s="14"/>
      <c r="W659" s="18"/>
      <c r="X659" s="18"/>
      <c r="Y659" s="18"/>
      <c r="Z659" s="18"/>
      <c r="AA659" s="18"/>
      <c r="AB659" s="18"/>
      <c r="AC659" s="8" t="str">
        <f t="shared" si="78"/>
        <v/>
      </c>
      <c r="AD659" s="8"/>
      <c r="AE659" s="8"/>
      <c r="AF659" s="14"/>
      <c r="AG659" s="13"/>
      <c r="AH659" s="14"/>
      <c r="AI659" s="14"/>
      <c r="AJ659" s="8"/>
      <c r="AK659" s="8"/>
      <c r="AL659" s="8"/>
      <c r="AM659" s="8"/>
      <c r="AN659" s="631"/>
      <c r="AO659" s="18"/>
      <c r="AP659" s="18"/>
      <c r="AQ659" s="18"/>
      <c r="AR659" s="18"/>
      <c r="AS659" s="18"/>
      <c r="AU659" s="448"/>
      <c r="AV659" s="448"/>
      <c r="AW659" s="8" t="str">
        <f>IF(C659&gt;0,VLOOKUP(C659,Foundation_Calc!$A$2:$C$986,3,1),
IF(J659&gt;0,VLOOKUP(J659,Foundation_Calc!$A$2:$C$986,3,1),""))</f>
        <v/>
      </c>
      <c r="AX659" s="8" t="str">
        <f>IF(C659&gt;0,VLOOKUP(C659,Foundation_Calc!$E$2:$G$986,3,1),
IF(J659&gt;0,VLOOKUP(J659,Foundation_Calc!$E$2:$G$986,3,1),""))</f>
        <v/>
      </c>
      <c r="AY659" s="631" t="str">
        <f>IF(L659="","",
IF(AX659="PT",VLOOKUP(L659,Foundation_Calc!$K$4:$R$37,VLOOKUP(AW659,Foundation_Calc!$I$2:$J$8,2,FALSE),0),
IF(AX659="K",VLOOKUP(L659,Foundation_Calc!$K$41:$R$74,VLOOKUP(AW659,Foundation_Calc!$I$2:$J$8,2,FALSE),0),"")))</f>
        <v/>
      </c>
      <c r="AZ659" s="631" t="str">
        <f>IF(K659="","",
IF(AX659="PT",VLOOKUP(K659,Foundation_Calc!$K$4:$R$37,VLOOKUP(AW659,Foundation_Calc!$I$2:$J$8,2,FALSE),0),
IF(AX659="K",VLOOKUP(K659,Foundation_Calc!$K$41:$R$74,VLOOKUP(AW659,Foundation_Calc!$I$2:$J$8,2,FALSE),0),"")))</f>
        <v/>
      </c>
      <c r="BA659" s="632" t="str">
        <f t="shared" si="79"/>
        <v/>
      </c>
      <c r="BB659" s="632" t="str">
        <f t="shared" si="80"/>
        <v/>
      </c>
      <c r="BC659" s="632" t="str">
        <f t="shared" si="81"/>
        <v/>
      </c>
      <c r="BD659" s="633" t="str">
        <f>IF(AND(L659="",H659=""),"",
IF(H659="",Pole_Calc!A687,
IF(H659="MP",Pole_Calc!A688,
IF(H659="AnMP",Pole_Calc!A689,
IF(H659="A",Pole_Calc!A690,
IF(H659="S/A",Pole_Calc!A691,
IF(H659="A/S",Pole_Calc!A692,"Poner a mano")))))))</f>
        <v/>
      </c>
      <c r="BE659" s="448" t="s">
        <v>1726</v>
      </c>
      <c r="BF659" s="635"/>
      <c r="BG659" s="635"/>
      <c r="BH659" s="634"/>
      <c r="BI659" s="635"/>
    </row>
    <row r="660" spans="1:61" ht="16.2" customHeight="1">
      <c r="A660" s="12"/>
      <c r="B660" s="446"/>
      <c r="C660" s="89"/>
      <c r="D660" s="13"/>
      <c r="E660" s="14"/>
      <c r="F660" s="14"/>
      <c r="G660" s="15"/>
      <c r="H660" s="8"/>
      <c r="I660" s="8"/>
      <c r="J660" s="89"/>
      <c r="K660" s="8"/>
      <c r="L660" s="8"/>
      <c r="M660" s="8" t="str">
        <f>IF(L660="","",
IF(AX660="PT",VLOOKUP(L660,Foundation_Calc!$V$4:$X$37,VLOOKUP(AX660,Foundation_Calc!$I$10:$J$13,2,FALSE),0),
IF(AX660="K",VLOOKUP(L660,Foundation_Calc!$V$41:$X$74,VLOOKUP(AX660,Foundation_Calc!$I$10:$J$13,2,FALSE),0),"")))</f>
        <v/>
      </c>
      <c r="N660" s="8"/>
      <c r="O660" s="8"/>
      <c r="P660" s="8"/>
      <c r="Q660" s="14"/>
      <c r="R660" s="15"/>
      <c r="S660" s="15"/>
      <c r="T660" s="14"/>
      <c r="U660" s="14"/>
      <c r="V660" s="14"/>
      <c r="W660" s="18"/>
      <c r="X660" s="18"/>
      <c r="Y660" s="18"/>
      <c r="Z660" s="18"/>
      <c r="AA660" s="18"/>
      <c r="AB660" s="18"/>
      <c r="AC660" s="8" t="str">
        <f t="shared" si="78"/>
        <v/>
      </c>
      <c r="AD660" s="8"/>
      <c r="AE660" s="8"/>
      <c r="AF660" s="14"/>
      <c r="AG660" s="13"/>
      <c r="AH660" s="14"/>
      <c r="AI660" s="14"/>
      <c r="AJ660" s="8"/>
      <c r="AK660" s="8"/>
      <c r="AL660" s="8"/>
      <c r="AM660" s="8"/>
      <c r="AN660" s="631"/>
      <c r="AO660" s="18"/>
      <c r="AP660" s="18"/>
      <c r="AQ660" s="18"/>
      <c r="AR660" s="18"/>
      <c r="AS660" s="18"/>
      <c r="AU660" s="448"/>
      <c r="AV660" s="448"/>
      <c r="AW660" s="8" t="str">
        <f>IF(C660&gt;0,VLOOKUP(C660,Foundation_Calc!$A$2:$C$986,3,1),
IF(J660&gt;0,VLOOKUP(J660,Foundation_Calc!$A$2:$C$986,3,1),""))</f>
        <v/>
      </c>
      <c r="AX660" s="8" t="str">
        <f>IF(C660&gt;0,VLOOKUP(C660,Foundation_Calc!$E$2:$G$986,3,1),
IF(J660&gt;0,VLOOKUP(J660,Foundation_Calc!$E$2:$G$986,3,1),""))</f>
        <v/>
      </c>
      <c r="AY660" s="631" t="str">
        <f>IF(L660="","",
IF(AX660="PT",VLOOKUP(L660,Foundation_Calc!$K$4:$R$37,VLOOKUP(AW660,Foundation_Calc!$I$2:$J$8,2,FALSE),0),
IF(AX660="K",VLOOKUP(L660,Foundation_Calc!$K$41:$R$74,VLOOKUP(AW660,Foundation_Calc!$I$2:$J$8,2,FALSE),0),"")))</f>
        <v/>
      </c>
      <c r="AZ660" s="631" t="str">
        <f>IF(K660="","",
IF(AX660="PT",VLOOKUP(K660,Foundation_Calc!$K$4:$R$37,VLOOKUP(AW660,Foundation_Calc!$I$2:$J$8,2,FALSE),0),
IF(AX660="K",VLOOKUP(K660,Foundation_Calc!$K$41:$R$74,VLOOKUP(AW660,Foundation_Calc!$I$2:$J$8,2,FALSE),0),"")))</f>
        <v/>
      </c>
      <c r="BA660" s="632" t="str">
        <f t="shared" si="79"/>
        <v/>
      </c>
      <c r="BB660" s="632" t="str">
        <f t="shared" si="80"/>
        <v/>
      </c>
      <c r="BC660" s="632" t="str">
        <f t="shared" si="81"/>
        <v/>
      </c>
      <c r="BD660" s="633" t="str">
        <f>IF(AND(L660="",H660=""),"",
IF(H660="",Pole_Calc!A688,
IF(H660="MP",Pole_Calc!A689,
IF(H660="AnMP",Pole_Calc!A690,
IF(H660="A",Pole_Calc!A691,
IF(H660="S/A",Pole_Calc!A692,
IF(H660="A/S",Pole_Calc!A693,"Poner a mano")))))))</f>
        <v/>
      </c>
      <c r="BE660" s="448" t="s">
        <v>1726</v>
      </c>
      <c r="BF660" s="634"/>
      <c r="BG660" s="634"/>
      <c r="BH660" s="634"/>
      <c r="BI660" s="634"/>
    </row>
    <row r="661" spans="1:61" ht="16.2" customHeight="1">
      <c r="A661" s="12"/>
      <c r="B661" s="446"/>
      <c r="C661" s="89"/>
      <c r="D661" s="13"/>
      <c r="E661" s="14"/>
      <c r="F661" s="14"/>
      <c r="G661" s="15"/>
      <c r="H661" s="8"/>
      <c r="I661" s="8"/>
      <c r="J661" s="89"/>
      <c r="K661" s="8"/>
      <c r="L661" s="8"/>
      <c r="M661" s="8" t="str">
        <f>IF(L661="","",
IF(AX661="PT",VLOOKUP(L661,Foundation_Calc!$V$4:$X$37,VLOOKUP(AX661,Foundation_Calc!$I$10:$J$13,2,FALSE),0),
IF(AX661="K",VLOOKUP(L661,Foundation_Calc!$V$41:$X$74,VLOOKUP(AX661,Foundation_Calc!$I$10:$J$13,2,FALSE),0),"")))</f>
        <v/>
      </c>
      <c r="N661" s="8"/>
      <c r="O661" s="8"/>
      <c r="P661" s="8"/>
      <c r="Q661" s="14"/>
      <c r="R661" s="15"/>
      <c r="S661" s="15"/>
      <c r="T661" s="14"/>
      <c r="U661" s="14"/>
      <c r="V661" s="14"/>
      <c r="W661" s="18"/>
      <c r="X661" s="18"/>
      <c r="Y661" s="18"/>
      <c r="Z661" s="18"/>
      <c r="AA661" s="18"/>
      <c r="AB661" s="18"/>
      <c r="AC661" s="8" t="str">
        <f t="shared" si="78"/>
        <v/>
      </c>
      <c r="AD661" s="8"/>
      <c r="AE661" s="8"/>
      <c r="AF661" s="14"/>
      <c r="AG661" s="13"/>
      <c r="AH661" s="14"/>
      <c r="AI661" s="14"/>
      <c r="AJ661" s="8"/>
      <c r="AK661" s="8"/>
      <c r="AL661" s="8"/>
      <c r="AM661" s="8"/>
      <c r="AN661" s="631"/>
      <c r="AO661" s="18"/>
      <c r="AP661" s="18"/>
      <c r="AQ661" s="18"/>
      <c r="AR661" s="18"/>
      <c r="AS661" s="18"/>
      <c r="AU661" s="448"/>
      <c r="AV661" s="448"/>
      <c r="AW661" s="8" t="str">
        <f>IF(C661&gt;0,VLOOKUP(C661,Foundation_Calc!$A$2:$C$986,3,1),
IF(J661&gt;0,VLOOKUP(J661,Foundation_Calc!$A$2:$C$986,3,1),""))</f>
        <v/>
      </c>
      <c r="AX661" s="8" t="str">
        <f>IF(C661&gt;0,VLOOKUP(C661,Foundation_Calc!$E$2:$G$986,3,1),
IF(J661&gt;0,VLOOKUP(J661,Foundation_Calc!$E$2:$G$986,3,1),""))</f>
        <v/>
      </c>
      <c r="AY661" s="631" t="str">
        <f>IF(L661="","",
IF(AX661="PT",VLOOKUP(L661,Foundation_Calc!$K$4:$R$37,VLOOKUP(AW661,Foundation_Calc!$I$2:$J$8,2,FALSE),0),
IF(AX661="K",VLOOKUP(L661,Foundation_Calc!$K$41:$R$74,VLOOKUP(AW661,Foundation_Calc!$I$2:$J$8,2,FALSE),0),"")))</f>
        <v/>
      </c>
      <c r="AZ661" s="631" t="str">
        <f>IF(K661="","",
IF(AX661="PT",VLOOKUP(K661,Foundation_Calc!$K$4:$R$37,VLOOKUP(AW661,Foundation_Calc!$I$2:$J$8,2,FALSE),0),
IF(AX661="K",VLOOKUP(K661,Foundation_Calc!$K$41:$R$74,VLOOKUP(AW661,Foundation_Calc!$I$2:$J$8,2,FALSE),0),"")))</f>
        <v/>
      </c>
      <c r="BA661" s="632" t="str">
        <f t="shared" si="79"/>
        <v/>
      </c>
      <c r="BB661" s="632" t="str">
        <f t="shared" si="80"/>
        <v/>
      </c>
      <c r="BC661" s="632" t="str">
        <f t="shared" si="81"/>
        <v/>
      </c>
      <c r="BD661" s="633" t="str">
        <f>IF(AND(L661="",H661=""),"",
IF(H661="",Pole_Calc!A689,
IF(H661="MP",Pole_Calc!A690,
IF(H661="AnMP",Pole_Calc!A691,
IF(H661="A",Pole_Calc!A692,
IF(H661="S/A",Pole_Calc!A693,
IF(H661="A/S",Pole_Calc!A694,"Poner a mano")))))))</f>
        <v/>
      </c>
      <c r="BE661" s="448" t="s">
        <v>1726</v>
      </c>
      <c r="BF661" s="635"/>
      <c r="BG661" s="635"/>
      <c r="BH661" s="634"/>
      <c r="BI661" s="635"/>
    </row>
    <row r="662" spans="1:61" ht="16.2" customHeight="1">
      <c r="A662" s="12"/>
      <c r="B662" s="446"/>
      <c r="C662" s="89"/>
      <c r="D662" s="13"/>
      <c r="E662" s="14"/>
      <c r="F662" s="14"/>
      <c r="G662" s="15"/>
      <c r="H662" s="8"/>
      <c r="I662" s="8"/>
      <c r="J662" s="89"/>
      <c r="K662" s="8"/>
      <c r="L662" s="8"/>
      <c r="M662" s="8" t="str">
        <f>IF(L662="","",
IF(AX662="PT",VLOOKUP(L662,Foundation_Calc!$V$4:$X$37,VLOOKUP(AX662,Foundation_Calc!$I$10:$J$13,2,FALSE),0),
IF(AX662="K",VLOOKUP(L662,Foundation_Calc!$V$41:$X$74,VLOOKUP(AX662,Foundation_Calc!$I$10:$J$13,2,FALSE),0),"")))</f>
        <v/>
      </c>
      <c r="N662" s="8"/>
      <c r="O662" s="8"/>
      <c r="P662" s="8"/>
      <c r="Q662" s="14"/>
      <c r="R662" s="15"/>
      <c r="S662" s="15"/>
      <c r="T662" s="14"/>
      <c r="U662" s="14"/>
      <c r="V662" s="14"/>
      <c r="W662" s="18"/>
      <c r="X662" s="18"/>
      <c r="Y662" s="18"/>
      <c r="Z662" s="18"/>
      <c r="AA662" s="18"/>
      <c r="AB662" s="18"/>
      <c r="AC662" s="8" t="str">
        <f t="shared" si="78"/>
        <v/>
      </c>
      <c r="AD662" s="8"/>
      <c r="AE662" s="8"/>
      <c r="AF662" s="14"/>
      <c r="AG662" s="13"/>
      <c r="AH662" s="14"/>
      <c r="AI662" s="14"/>
      <c r="AJ662" s="8"/>
      <c r="AK662" s="8"/>
      <c r="AL662" s="8"/>
      <c r="AM662" s="8"/>
      <c r="AN662" s="631"/>
      <c r="AO662" s="18"/>
      <c r="AP662" s="18"/>
      <c r="AQ662" s="18"/>
      <c r="AR662" s="18"/>
      <c r="AS662" s="18"/>
      <c r="AU662" s="448"/>
      <c r="AV662" s="448"/>
      <c r="AW662" s="8" t="str">
        <f>IF(C662&gt;0,VLOOKUP(C662,Foundation_Calc!$A$2:$C$986,3,1),
IF(J662&gt;0,VLOOKUP(J662,Foundation_Calc!$A$2:$C$986,3,1),""))</f>
        <v/>
      </c>
      <c r="AX662" s="8" t="str">
        <f>IF(C662&gt;0,VLOOKUP(C662,Foundation_Calc!$E$2:$G$986,3,1),
IF(J662&gt;0,VLOOKUP(J662,Foundation_Calc!$E$2:$G$986,3,1),""))</f>
        <v/>
      </c>
      <c r="AY662" s="631" t="str">
        <f>IF(L662="","",
IF(AX662="PT",VLOOKUP(L662,Foundation_Calc!$K$4:$R$37,VLOOKUP(AW662,Foundation_Calc!$I$2:$J$8,2,FALSE),0),
IF(AX662="K",VLOOKUP(L662,Foundation_Calc!$K$41:$R$74,VLOOKUP(AW662,Foundation_Calc!$I$2:$J$8,2,FALSE),0),"")))</f>
        <v/>
      </c>
      <c r="AZ662" s="631" t="str">
        <f>IF(K662="","",
IF(AX662="PT",VLOOKUP(K662,Foundation_Calc!$K$4:$R$37,VLOOKUP(AW662,Foundation_Calc!$I$2:$J$8,2,FALSE),0),
IF(AX662="K",VLOOKUP(K662,Foundation_Calc!$K$41:$R$74,VLOOKUP(AW662,Foundation_Calc!$I$2:$J$8,2,FALSE),0),"")))</f>
        <v/>
      </c>
      <c r="BA662" s="632" t="str">
        <f t="shared" si="79"/>
        <v/>
      </c>
      <c r="BB662" s="632" t="str">
        <f t="shared" si="80"/>
        <v/>
      </c>
      <c r="BC662" s="632" t="str">
        <f t="shared" si="81"/>
        <v/>
      </c>
      <c r="BD662" s="633" t="str">
        <f>IF(AND(L662="",H662=""),"",
IF(H662="",Pole_Calc!A690,
IF(H662="MP",Pole_Calc!A691,
IF(H662="AnMP",Pole_Calc!A692,
IF(H662="A",Pole_Calc!A693,
IF(H662="S/A",Pole_Calc!A694,
IF(H662="A/S",Pole_Calc!A695,"Poner a mano")))))))</f>
        <v/>
      </c>
      <c r="BE662" s="448" t="s">
        <v>1726</v>
      </c>
      <c r="BF662" s="634"/>
      <c r="BG662" s="634"/>
      <c r="BH662" s="634"/>
      <c r="BI662" s="634"/>
    </row>
    <row r="663" spans="1:61" ht="16.2" customHeight="1">
      <c r="A663" s="12"/>
      <c r="B663" s="446"/>
      <c r="C663" s="89"/>
      <c r="D663" s="13"/>
      <c r="E663" s="14"/>
      <c r="F663" s="14"/>
      <c r="G663" s="15"/>
      <c r="H663" s="8"/>
      <c r="I663" s="8"/>
      <c r="J663" s="89"/>
      <c r="K663" s="8"/>
      <c r="L663" s="8"/>
      <c r="M663" s="8" t="str">
        <f>IF(L663="","",
IF(AX663="PT",VLOOKUP(L663,Foundation_Calc!$V$4:$X$37,VLOOKUP(AX663,Foundation_Calc!$I$10:$J$13,2,FALSE),0),
IF(AX663="K",VLOOKUP(L663,Foundation_Calc!$V$41:$X$74,VLOOKUP(AX663,Foundation_Calc!$I$10:$J$13,2,FALSE),0),"")))</f>
        <v/>
      </c>
      <c r="N663" s="8"/>
      <c r="O663" s="8"/>
      <c r="P663" s="8"/>
      <c r="Q663" s="14"/>
      <c r="R663" s="15"/>
      <c r="S663" s="15"/>
      <c r="T663" s="14"/>
      <c r="U663" s="14"/>
      <c r="V663" s="14"/>
      <c r="W663" s="18"/>
      <c r="X663" s="18"/>
      <c r="Y663" s="18"/>
      <c r="Z663" s="18"/>
      <c r="AA663" s="18"/>
      <c r="AB663" s="18"/>
      <c r="AC663" s="8" t="str">
        <f t="shared" si="78"/>
        <v/>
      </c>
      <c r="AD663" s="8"/>
      <c r="AE663" s="8"/>
      <c r="AF663" s="14"/>
      <c r="AG663" s="13"/>
      <c r="AH663" s="14"/>
      <c r="AI663" s="14"/>
      <c r="AJ663" s="8"/>
      <c r="AK663" s="8"/>
      <c r="AL663" s="8"/>
      <c r="AM663" s="8"/>
      <c r="AN663" s="631"/>
      <c r="AO663" s="18"/>
      <c r="AP663" s="18"/>
      <c r="AQ663" s="18"/>
      <c r="AR663" s="18"/>
      <c r="AS663" s="18"/>
      <c r="AU663" s="448"/>
      <c r="AV663" s="448"/>
      <c r="AW663" s="8" t="str">
        <f>IF(C663&gt;0,VLOOKUP(C663,Foundation_Calc!$A$2:$C$986,3,1),
IF(J663&gt;0,VLOOKUP(J663,Foundation_Calc!$A$2:$C$986,3,1),""))</f>
        <v/>
      </c>
      <c r="AX663" s="8" t="str">
        <f>IF(C663&gt;0,VLOOKUP(C663,Foundation_Calc!$E$2:$G$986,3,1),
IF(J663&gt;0,VLOOKUP(J663,Foundation_Calc!$E$2:$G$986,3,1),""))</f>
        <v/>
      </c>
      <c r="AY663" s="631" t="str">
        <f>IF(L663="","",
IF(AX663="PT",VLOOKUP(L663,Foundation_Calc!$K$4:$R$37,VLOOKUP(AW663,Foundation_Calc!$I$2:$J$8,2,FALSE),0),
IF(AX663="K",VLOOKUP(L663,Foundation_Calc!$K$41:$R$74,VLOOKUP(AW663,Foundation_Calc!$I$2:$J$8,2,FALSE),0),"")))</f>
        <v/>
      </c>
      <c r="AZ663" s="631" t="str">
        <f>IF(K663="","",
IF(AX663="PT",VLOOKUP(K663,Foundation_Calc!$K$4:$R$37,VLOOKUP(AW663,Foundation_Calc!$I$2:$J$8,2,FALSE),0),
IF(AX663="K",VLOOKUP(K663,Foundation_Calc!$K$41:$R$74,VLOOKUP(AW663,Foundation_Calc!$I$2:$J$8,2,FALSE),0),"")))</f>
        <v/>
      </c>
      <c r="BA663" s="632" t="str">
        <f t="shared" si="79"/>
        <v/>
      </c>
      <c r="BB663" s="632" t="str">
        <f t="shared" si="80"/>
        <v/>
      </c>
      <c r="BC663" s="632" t="str">
        <f t="shared" si="81"/>
        <v/>
      </c>
      <c r="BD663" s="633" t="str">
        <f>IF(AND(L663="",H663=""),"",
IF(H663="",Pole_Calc!A691,
IF(H663="MP",Pole_Calc!A692,
IF(H663="AnMP",Pole_Calc!A693,
IF(H663="A",Pole_Calc!A694,
IF(H663="S/A",Pole_Calc!A695,
IF(H663="A/S",Pole_Calc!A696,"Poner a mano")))))))</f>
        <v/>
      </c>
      <c r="BE663" s="448" t="s">
        <v>1726</v>
      </c>
      <c r="BF663" s="635"/>
      <c r="BG663" s="635"/>
      <c r="BH663" s="634"/>
      <c r="BI663" s="635"/>
    </row>
    <row r="664" spans="1:61" ht="16.2" customHeight="1">
      <c r="A664" s="12"/>
      <c r="B664" s="446"/>
      <c r="C664" s="89"/>
      <c r="D664" s="13"/>
      <c r="E664" s="14"/>
      <c r="F664" s="14"/>
      <c r="G664" s="15"/>
      <c r="H664" s="8"/>
      <c r="I664" s="8"/>
      <c r="J664" s="89"/>
      <c r="K664" s="8"/>
      <c r="L664" s="8"/>
      <c r="M664" s="8" t="str">
        <f>IF(L664="","",
IF(AX664="PT",VLOOKUP(L664,Foundation_Calc!$V$4:$X$37,VLOOKUP(AX664,Foundation_Calc!$I$10:$J$13,2,FALSE),0),
IF(AX664="K",VLOOKUP(L664,Foundation_Calc!$V$41:$X$74,VLOOKUP(AX664,Foundation_Calc!$I$10:$J$13,2,FALSE),0),"")))</f>
        <v/>
      </c>
      <c r="N664" s="8"/>
      <c r="O664" s="8"/>
      <c r="P664" s="8"/>
      <c r="Q664" s="14"/>
      <c r="R664" s="15"/>
      <c r="S664" s="15"/>
      <c r="T664" s="14"/>
      <c r="U664" s="14"/>
      <c r="V664" s="14"/>
      <c r="W664" s="18"/>
      <c r="X664" s="18"/>
      <c r="Y664" s="18"/>
      <c r="Z664" s="18"/>
      <c r="AA664" s="18"/>
      <c r="AB664" s="18"/>
      <c r="AC664" s="8" t="str">
        <f t="shared" si="78"/>
        <v/>
      </c>
      <c r="AD664" s="8"/>
      <c r="AE664" s="8"/>
      <c r="AF664" s="14"/>
      <c r="AG664" s="13"/>
      <c r="AH664" s="14"/>
      <c r="AI664" s="14"/>
      <c r="AJ664" s="8"/>
      <c r="AK664" s="8"/>
      <c r="AL664" s="8"/>
      <c r="AM664" s="8"/>
      <c r="AN664" s="631"/>
      <c r="AO664" s="18"/>
      <c r="AP664" s="18"/>
      <c r="AQ664" s="18"/>
      <c r="AR664" s="18"/>
      <c r="AS664" s="18"/>
      <c r="AU664" s="448"/>
      <c r="AV664" s="448"/>
      <c r="AW664" s="8" t="str">
        <f>IF(C664&gt;0,VLOOKUP(C664,Foundation_Calc!$A$2:$C$986,3,1),
IF(J664&gt;0,VLOOKUP(J664,Foundation_Calc!$A$2:$C$986,3,1),""))</f>
        <v/>
      </c>
      <c r="AX664" s="8" t="str">
        <f>IF(C664&gt;0,VLOOKUP(C664,Foundation_Calc!$E$2:$G$986,3,1),
IF(J664&gt;0,VLOOKUP(J664,Foundation_Calc!$E$2:$G$986,3,1),""))</f>
        <v/>
      </c>
      <c r="AY664" s="631" t="str">
        <f>IF(L664="","",
IF(AX664="PT",VLOOKUP(L664,Foundation_Calc!$K$4:$R$37,VLOOKUP(AW664,Foundation_Calc!$I$2:$J$8,2,FALSE),0),
IF(AX664="K",VLOOKUP(L664,Foundation_Calc!$K$41:$R$74,VLOOKUP(AW664,Foundation_Calc!$I$2:$J$8,2,FALSE),0),"")))</f>
        <v/>
      </c>
      <c r="AZ664" s="631" t="str">
        <f>IF(K664="","",
IF(AX664="PT",VLOOKUP(K664,Foundation_Calc!$K$4:$R$37,VLOOKUP(AW664,Foundation_Calc!$I$2:$J$8,2,FALSE),0),
IF(AX664="K",VLOOKUP(K664,Foundation_Calc!$K$41:$R$74,VLOOKUP(AW664,Foundation_Calc!$I$2:$J$8,2,FALSE),0),"")))</f>
        <v/>
      </c>
      <c r="BA664" s="632" t="str">
        <f t="shared" si="79"/>
        <v/>
      </c>
      <c r="BB664" s="632" t="str">
        <f t="shared" si="80"/>
        <v/>
      </c>
      <c r="BC664" s="632" t="str">
        <f t="shared" si="81"/>
        <v/>
      </c>
      <c r="BD664" s="633" t="str">
        <f>IF(AND(L664="",H664=""),"",
IF(H664="",Pole_Calc!A692,
IF(H664="MP",Pole_Calc!A693,
IF(H664="AnMP",Pole_Calc!A694,
IF(H664="A",Pole_Calc!A695,
IF(H664="S/A",Pole_Calc!A696,
IF(H664="A/S",Pole_Calc!A697,"Poner a mano")))))))</f>
        <v/>
      </c>
      <c r="BE664" s="448" t="s">
        <v>1726</v>
      </c>
      <c r="BF664" s="634"/>
      <c r="BG664" s="634"/>
      <c r="BH664" s="634"/>
      <c r="BI664" s="634"/>
    </row>
    <row r="665" spans="1:61" ht="16.2" customHeight="1">
      <c r="A665" s="12"/>
      <c r="B665" s="446"/>
      <c r="C665" s="89"/>
      <c r="D665" s="13"/>
      <c r="E665" s="14"/>
      <c r="F665" s="14"/>
      <c r="G665" s="15"/>
      <c r="H665" s="8"/>
      <c r="I665" s="8"/>
      <c r="J665" s="89"/>
      <c r="K665" s="8"/>
      <c r="L665" s="8"/>
      <c r="M665" s="8" t="str">
        <f>IF(L665="","",
IF(AX665="PT",VLOOKUP(L665,Foundation_Calc!$V$4:$X$37,VLOOKUP(AX665,Foundation_Calc!$I$10:$J$13,2,FALSE),0),
IF(AX665="K",VLOOKUP(L665,Foundation_Calc!$V$41:$X$74,VLOOKUP(AX665,Foundation_Calc!$I$10:$J$13,2,FALSE),0),"")))</f>
        <v/>
      </c>
      <c r="N665" s="8"/>
      <c r="O665" s="8"/>
      <c r="P665" s="8"/>
      <c r="Q665" s="14"/>
      <c r="R665" s="15"/>
      <c r="S665" s="15"/>
      <c r="T665" s="14"/>
      <c r="U665" s="14"/>
      <c r="V665" s="14"/>
      <c r="W665" s="18"/>
      <c r="X665" s="18"/>
      <c r="Y665" s="18"/>
      <c r="Z665" s="18"/>
      <c r="AA665" s="18"/>
      <c r="AB665" s="18"/>
      <c r="AC665" s="8" t="str">
        <f t="shared" si="78"/>
        <v/>
      </c>
      <c r="AD665" s="8"/>
      <c r="AE665" s="8"/>
      <c r="AF665" s="14"/>
      <c r="AG665" s="13"/>
      <c r="AH665" s="14"/>
      <c r="AI665" s="14"/>
      <c r="AJ665" s="8"/>
      <c r="AK665" s="8"/>
      <c r="AL665" s="8"/>
      <c r="AM665" s="8"/>
      <c r="AN665" s="631"/>
      <c r="AO665" s="18"/>
      <c r="AP665" s="18"/>
      <c r="AQ665" s="18"/>
      <c r="AR665" s="18"/>
      <c r="AS665" s="18"/>
      <c r="AU665" s="448"/>
      <c r="AV665" s="448"/>
      <c r="AW665" s="8" t="str">
        <f>IF(C665&gt;0,VLOOKUP(C665,Foundation_Calc!$A$2:$C$986,3,1),
IF(J665&gt;0,VLOOKUP(J665,Foundation_Calc!$A$2:$C$986,3,1),""))</f>
        <v/>
      </c>
      <c r="AX665" s="8" t="str">
        <f>IF(C665&gt;0,VLOOKUP(C665,Foundation_Calc!$E$2:$G$986,3,1),
IF(J665&gt;0,VLOOKUP(J665,Foundation_Calc!$E$2:$G$986,3,1),""))</f>
        <v/>
      </c>
      <c r="AY665" s="631" t="str">
        <f>IF(L665="","",
IF(AX665="PT",VLOOKUP(L665,Foundation_Calc!$K$4:$R$37,VLOOKUP(AW665,Foundation_Calc!$I$2:$J$8,2,FALSE),0),
IF(AX665="K",VLOOKUP(L665,Foundation_Calc!$K$41:$R$74,VLOOKUP(AW665,Foundation_Calc!$I$2:$J$8,2,FALSE),0),"")))</f>
        <v/>
      </c>
      <c r="AZ665" s="631" t="str">
        <f>IF(K665="","",
IF(AX665="PT",VLOOKUP(K665,Foundation_Calc!$K$4:$R$37,VLOOKUP(AW665,Foundation_Calc!$I$2:$J$8,2,FALSE),0),
IF(AX665="K",VLOOKUP(K665,Foundation_Calc!$K$41:$R$74,VLOOKUP(AW665,Foundation_Calc!$I$2:$J$8,2,FALSE),0),"")))</f>
        <v/>
      </c>
      <c r="BA665" s="632" t="str">
        <f t="shared" si="79"/>
        <v/>
      </c>
      <c r="BB665" s="632" t="str">
        <f t="shared" si="80"/>
        <v/>
      </c>
      <c r="BC665" s="632" t="str">
        <f t="shared" si="81"/>
        <v/>
      </c>
      <c r="BD665" s="633" t="str">
        <f>IF(AND(L665="",H665=""),"",
IF(H665="",Pole_Calc!A693,
IF(H665="MP",Pole_Calc!A694,
IF(H665="AnMP",Pole_Calc!A695,
IF(H665="A",Pole_Calc!A696,
IF(H665="S/A",Pole_Calc!A697,
IF(H665="A/S",Pole_Calc!A698,"Poner a mano")))))))</f>
        <v/>
      </c>
      <c r="BE665" s="448" t="s">
        <v>1726</v>
      </c>
      <c r="BF665" s="635"/>
      <c r="BG665" s="635"/>
      <c r="BH665" s="634"/>
      <c r="BI665" s="635"/>
    </row>
    <row r="666" spans="1:61" ht="16.2" customHeight="1">
      <c r="A666" s="12"/>
      <c r="B666" s="446"/>
      <c r="C666" s="89"/>
      <c r="D666" s="13"/>
      <c r="E666" s="14"/>
      <c r="F666" s="14"/>
      <c r="G666" s="15"/>
      <c r="H666" s="8"/>
      <c r="I666" s="8"/>
      <c r="J666" s="89"/>
      <c r="K666" s="8"/>
      <c r="L666" s="8"/>
      <c r="M666" s="8" t="str">
        <f>IF(L666="","",
IF(AX666="PT",VLOOKUP(L666,Foundation_Calc!$V$4:$X$37,VLOOKUP(AX666,Foundation_Calc!$I$10:$J$13,2,FALSE),0),
IF(AX666="K",VLOOKUP(L666,Foundation_Calc!$V$41:$X$74,VLOOKUP(AX666,Foundation_Calc!$I$10:$J$13,2,FALSE),0),"")))</f>
        <v/>
      </c>
      <c r="N666" s="8"/>
      <c r="O666" s="8"/>
      <c r="P666" s="8"/>
      <c r="Q666" s="14"/>
      <c r="R666" s="15"/>
      <c r="S666" s="15"/>
      <c r="T666" s="14"/>
      <c r="U666" s="14"/>
      <c r="V666" s="14"/>
      <c r="W666" s="18"/>
      <c r="X666" s="18"/>
      <c r="Y666" s="18"/>
      <c r="Z666" s="18"/>
      <c r="AA666" s="18"/>
      <c r="AB666" s="18"/>
      <c r="AC666" s="8" t="str">
        <f t="shared" si="78"/>
        <v/>
      </c>
      <c r="AD666" s="8"/>
      <c r="AE666" s="8"/>
      <c r="AF666" s="14"/>
      <c r="AG666" s="13"/>
      <c r="AH666" s="14"/>
      <c r="AI666" s="14"/>
      <c r="AJ666" s="8"/>
      <c r="AK666" s="8"/>
      <c r="AL666" s="8"/>
      <c r="AM666" s="8"/>
      <c r="AN666" s="631"/>
      <c r="AO666" s="18"/>
      <c r="AP666" s="18"/>
      <c r="AQ666" s="18"/>
      <c r="AR666" s="18"/>
      <c r="AS666" s="18"/>
      <c r="AU666" s="448"/>
      <c r="AV666" s="448"/>
      <c r="AW666" s="8" t="str">
        <f>IF(C666&gt;0,VLOOKUP(C666,Foundation_Calc!$A$2:$C$986,3,1),
IF(J666&gt;0,VLOOKUP(J666,Foundation_Calc!$A$2:$C$986,3,1),""))</f>
        <v/>
      </c>
      <c r="AX666" s="8" t="str">
        <f>IF(C666&gt;0,VLOOKUP(C666,Foundation_Calc!$E$2:$G$986,3,1),
IF(J666&gt;0,VLOOKUP(J666,Foundation_Calc!$E$2:$G$986,3,1),""))</f>
        <v/>
      </c>
      <c r="AY666" s="631" t="str">
        <f>IF(L666="","",
IF(AX666="PT",VLOOKUP(L666,Foundation_Calc!$K$4:$R$37,VLOOKUP(AW666,Foundation_Calc!$I$2:$J$8,2,FALSE),0),
IF(AX666="K",VLOOKUP(L666,Foundation_Calc!$K$41:$R$74,VLOOKUP(AW666,Foundation_Calc!$I$2:$J$8,2,FALSE),0),"")))</f>
        <v/>
      </c>
      <c r="AZ666" s="631" t="str">
        <f>IF(K666="","",
IF(AX666="PT",VLOOKUP(K666,Foundation_Calc!$K$4:$R$37,VLOOKUP(AW666,Foundation_Calc!$I$2:$J$8,2,FALSE),0),
IF(AX666="K",VLOOKUP(K666,Foundation_Calc!$K$41:$R$74,VLOOKUP(AW666,Foundation_Calc!$I$2:$J$8,2,FALSE),0),"")))</f>
        <v/>
      </c>
      <c r="BA666" s="632" t="str">
        <f t="shared" si="79"/>
        <v/>
      </c>
      <c r="BB666" s="632" t="str">
        <f t="shared" si="80"/>
        <v/>
      </c>
      <c r="BC666" s="632" t="str">
        <f t="shared" si="81"/>
        <v/>
      </c>
      <c r="BD666" s="633" t="str">
        <f>IF(AND(L666="",H666=""),"",
IF(H666="",Pole_Calc!A694,
IF(H666="MP",Pole_Calc!A695,
IF(H666="AnMP",Pole_Calc!A696,
IF(H666="A",Pole_Calc!A697,
IF(H666="S/A",Pole_Calc!A698,
IF(H666="A/S",Pole_Calc!A699,"Poner a mano")))))))</f>
        <v/>
      </c>
      <c r="BE666" s="448" t="s">
        <v>1726</v>
      </c>
      <c r="BF666" s="634"/>
      <c r="BG666" s="634"/>
      <c r="BH666" s="634"/>
      <c r="BI666" s="634"/>
    </row>
    <row r="667" spans="1:61" ht="16.2" customHeight="1">
      <c r="A667" s="12"/>
      <c r="B667" s="446"/>
      <c r="C667" s="89"/>
      <c r="D667" s="13"/>
      <c r="E667" s="14"/>
      <c r="F667" s="14"/>
      <c r="G667" s="15"/>
      <c r="H667" s="8"/>
      <c r="I667" s="8"/>
      <c r="J667" s="89"/>
      <c r="K667" s="8"/>
      <c r="L667" s="8"/>
      <c r="M667" s="8" t="str">
        <f>IF(L667="","",
IF(AX667="PT",VLOOKUP(L667,Foundation_Calc!$V$4:$X$37,VLOOKUP(AX667,Foundation_Calc!$I$10:$J$13,2,FALSE),0),
IF(AX667="K",VLOOKUP(L667,Foundation_Calc!$V$41:$X$74,VLOOKUP(AX667,Foundation_Calc!$I$10:$J$13,2,FALSE),0),"")))</f>
        <v/>
      </c>
      <c r="N667" s="8"/>
      <c r="O667" s="8"/>
      <c r="P667" s="8"/>
      <c r="Q667" s="14"/>
      <c r="R667" s="15"/>
      <c r="S667" s="15"/>
      <c r="T667" s="14"/>
      <c r="U667" s="14"/>
      <c r="V667" s="14"/>
      <c r="W667" s="18"/>
      <c r="X667" s="18"/>
      <c r="Y667" s="18"/>
      <c r="Z667" s="18"/>
      <c r="AA667" s="18"/>
      <c r="AB667" s="18"/>
      <c r="AC667" s="8" t="str">
        <f t="shared" si="78"/>
        <v/>
      </c>
      <c r="AD667" s="8"/>
      <c r="AE667" s="8"/>
      <c r="AF667" s="14"/>
      <c r="AG667" s="13"/>
      <c r="AH667" s="14"/>
      <c r="AI667" s="14"/>
      <c r="AJ667" s="8"/>
      <c r="AK667" s="8"/>
      <c r="AL667" s="8"/>
      <c r="AM667" s="8"/>
      <c r="AN667" s="631"/>
      <c r="AO667" s="18"/>
      <c r="AP667" s="18"/>
      <c r="AQ667" s="18"/>
      <c r="AR667" s="18"/>
      <c r="AS667" s="18"/>
      <c r="AU667" s="448"/>
      <c r="AV667" s="448"/>
      <c r="AW667" s="8" t="str">
        <f>IF(C667&gt;0,VLOOKUP(C667,Foundation_Calc!$A$2:$C$986,3,1),
IF(J667&gt;0,VLOOKUP(J667,Foundation_Calc!$A$2:$C$986,3,1),""))</f>
        <v/>
      </c>
      <c r="AX667" s="8" t="str">
        <f>IF(C667&gt;0,VLOOKUP(C667,Foundation_Calc!$E$2:$G$986,3,1),
IF(J667&gt;0,VLOOKUP(J667,Foundation_Calc!$E$2:$G$986,3,1),""))</f>
        <v/>
      </c>
      <c r="AY667" s="631" t="str">
        <f>IF(L667="","",
IF(AX667="PT",VLOOKUP(L667,Foundation_Calc!$K$4:$R$37,VLOOKUP(AW667,Foundation_Calc!$I$2:$J$8,2,FALSE),0),
IF(AX667="K",VLOOKUP(L667,Foundation_Calc!$K$41:$R$74,VLOOKUP(AW667,Foundation_Calc!$I$2:$J$8,2,FALSE),0),"")))</f>
        <v/>
      </c>
      <c r="AZ667" s="631" t="str">
        <f>IF(K667="","",
IF(AX667="PT",VLOOKUP(K667,Foundation_Calc!$K$4:$R$37,VLOOKUP(AW667,Foundation_Calc!$I$2:$J$8,2,FALSE),0),
IF(AX667="K",VLOOKUP(K667,Foundation_Calc!$K$41:$R$74,VLOOKUP(AW667,Foundation_Calc!$I$2:$J$8,2,FALSE),0),"")))</f>
        <v/>
      </c>
      <c r="BA667" s="632" t="str">
        <f t="shared" si="79"/>
        <v/>
      </c>
      <c r="BB667" s="632" t="str">
        <f t="shared" si="80"/>
        <v/>
      </c>
      <c r="BC667" s="632" t="str">
        <f t="shared" si="81"/>
        <v/>
      </c>
      <c r="BD667" s="633" t="str">
        <f>IF(AND(L667="",H667=""),"",
IF(H667="",Pole_Calc!A695,
IF(H667="MP",Pole_Calc!A696,
IF(H667="AnMP",Pole_Calc!A697,
IF(H667="A",Pole_Calc!A698,
IF(H667="S/A",Pole_Calc!A699,
IF(H667="A/S",Pole_Calc!A700,"Poner a mano")))))))</f>
        <v/>
      </c>
      <c r="BE667" s="448" t="s">
        <v>1726</v>
      </c>
      <c r="BF667" s="635"/>
      <c r="BG667" s="635"/>
      <c r="BH667" s="634"/>
      <c r="BI667" s="635"/>
    </row>
    <row r="668" spans="1:61" ht="16.2" customHeight="1">
      <c r="A668" s="12"/>
      <c r="B668" s="446"/>
      <c r="C668" s="89"/>
      <c r="D668" s="13"/>
      <c r="E668" s="14"/>
      <c r="F668" s="14"/>
      <c r="G668" s="15"/>
      <c r="H668" s="8"/>
      <c r="I668" s="8"/>
      <c r="J668" s="89"/>
      <c r="K668" s="8"/>
      <c r="L668" s="8"/>
      <c r="M668" s="8" t="str">
        <f>IF(L668="","",
IF(AX668="PT",VLOOKUP(L668,Foundation_Calc!$V$4:$X$37,VLOOKUP(AX668,Foundation_Calc!$I$10:$J$13,2,FALSE),0),
IF(AX668="K",VLOOKUP(L668,Foundation_Calc!$V$41:$X$74,VLOOKUP(AX668,Foundation_Calc!$I$10:$J$13,2,FALSE),0),"")))</f>
        <v/>
      </c>
      <c r="N668" s="8"/>
      <c r="O668" s="8"/>
      <c r="P668" s="8"/>
      <c r="Q668" s="14"/>
      <c r="R668" s="15"/>
      <c r="S668" s="15"/>
      <c r="T668" s="14"/>
      <c r="U668" s="14"/>
      <c r="V668" s="14"/>
      <c r="W668" s="18"/>
      <c r="X668" s="18"/>
      <c r="Y668" s="18"/>
      <c r="Z668" s="18"/>
      <c r="AA668" s="18"/>
      <c r="AB668" s="18"/>
      <c r="AC668" s="8" t="str">
        <f t="shared" si="78"/>
        <v/>
      </c>
      <c r="AD668" s="8"/>
      <c r="AE668" s="8"/>
      <c r="AF668" s="14"/>
      <c r="AG668" s="13"/>
      <c r="AH668" s="14"/>
      <c r="AI668" s="14"/>
      <c r="AJ668" s="8"/>
      <c r="AK668" s="8"/>
      <c r="AL668" s="8"/>
      <c r="AM668" s="8"/>
      <c r="AN668" s="631"/>
      <c r="AO668" s="18"/>
      <c r="AP668" s="18"/>
      <c r="AQ668" s="18"/>
      <c r="AR668" s="18"/>
      <c r="AS668" s="18"/>
      <c r="AU668" s="448"/>
      <c r="AV668" s="448"/>
      <c r="AW668" s="8" t="str">
        <f>IF(C668&gt;0,VLOOKUP(C668,Foundation_Calc!$A$2:$C$986,3,1),
IF(J668&gt;0,VLOOKUP(J668,Foundation_Calc!$A$2:$C$986,3,1),""))</f>
        <v/>
      </c>
      <c r="AX668" s="8" t="str">
        <f>IF(C668&gt;0,VLOOKUP(C668,Foundation_Calc!$E$2:$G$986,3,1),
IF(J668&gt;0,VLOOKUP(J668,Foundation_Calc!$E$2:$G$986,3,1),""))</f>
        <v/>
      </c>
      <c r="AY668" s="631" t="str">
        <f>IF(L668="","",
IF(AX668="PT",VLOOKUP(L668,Foundation_Calc!$K$4:$R$37,VLOOKUP(AW668,Foundation_Calc!$I$2:$J$8,2,FALSE),0),
IF(AX668="K",VLOOKUP(L668,Foundation_Calc!$K$41:$R$74,VLOOKUP(AW668,Foundation_Calc!$I$2:$J$8,2,FALSE),0),"")))</f>
        <v/>
      </c>
      <c r="AZ668" s="631" t="str">
        <f>IF(K668="","",
IF(AX668="PT",VLOOKUP(K668,Foundation_Calc!$K$4:$R$37,VLOOKUP(AW668,Foundation_Calc!$I$2:$J$8,2,FALSE),0),
IF(AX668="K",VLOOKUP(K668,Foundation_Calc!$K$41:$R$74,VLOOKUP(AW668,Foundation_Calc!$I$2:$J$8,2,FALSE),0),"")))</f>
        <v/>
      </c>
      <c r="BA668" s="632" t="str">
        <f t="shared" si="79"/>
        <v/>
      </c>
      <c r="BB668" s="632" t="str">
        <f t="shared" si="80"/>
        <v/>
      </c>
      <c r="BC668" s="632" t="str">
        <f t="shared" si="81"/>
        <v/>
      </c>
      <c r="BD668" s="633" t="str">
        <f>IF(AND(L668="",H668=""),"",
IF(H668="",Pole_Calc!A696,
IF(H668="MP",Pole_Calc!A697,
IF(H668="AnMP",Pole_Calc!A698,
IF(H668="A",Pole_Calc!A699,
IF(H668="S/A",Pole_Calc!A700,
IF(H668="A/S",Pole_Calc!A701,"Poner a mano")))))))</f>
        <v/>
      </c>
      <c r="BE668" s="448" t="s">
        <v>1726</v>
      </c>
      <c r="BF668" s="634"/>
      <c r="BG668" s="634"/>
      <c r="BH668" s="634"/>
      <c r="BI668" s="634"/>
    </row>
    <row r="669" spans="1:61" ht="16.2" customHeight="1">
      <c r="A669" s="12"/>
      <c r="B669" s="446"/>
      <c r="C669" s="89"/>
      <c r="D669" s="13"/>
      <c r="E669" s="14"/>
      <c r="F669" s="14"/>
      <c r="G669" s="15"/>
      <c r="H669" s="8"/>
      <c r="I669" s="8"/>
      <c r="J669" s="89"/>
      <c r="K669" s="8"/>
      <c r="L669" s="8"/>
      <c r="M669" s="8" t="str">
        <f>IF(L669="","",
IF(AX669="PT",VLOOKUP(L669,Foundation_Calc!$V$4:$X$37,VLOOKUP(AX669,Foundation_Calc!$I$10:$J$13,2,FALSE),0),
IF(AX669="K",VLOOKUP(L669,Foundation_Calc!$V$41:$X$74,VLOOKUP(AX669,Foundation_Calc!$I$10:$J$13,2,FALSE),0),"")))</f>
        <v/>
      </c>
      <c r="N669" s="8"/>
      <c r="O669" s="8"/>
      <c r="P669" s="8"/>
      <c r="Q669" s="14"/>
      <c r="R669" s="15"/>
      <c r="S669" s="15"/>
      <c r="T669" s="14"/>
      <c r="U669" s="14"/>
      <c r="V669" s="14"/>
      <c r="W669" s="18"/>
      <c r="X669" s="18"/>
      <c r="Y669" s="18"/>
      <c r="Z669" s="18"/>
      <c r="AA669" s="18"/>
      <c r="AB669" s="18"/>
      <c r="AC669" s="8" t="str">
        <f t="shared" si="78"/>
        <v/>
      </c>
      <c r="AD669" s="8"/>
      <c r="AE669" s="8"/>
      <c r="AF669" s="14"/>
      <c r="AG669" s="13"/>
      <c r="AH669" s="14"/>
      <c r="AI669" s="14"/>
      <c r="AJ669" s="8"/>
      <c r="AK669" s="8"/>
      <c r="AL669" s="8"/>
      <c r="AM669" s="8"/>
      <c r="AN669" s="631"/>
      <c r="AO669" s="18"/>
      <c r="AP669" s="18"/>
      <c r="AQ669" s="18"/>
      <c r="AR669" s="18"/>
      <c r="AS669" s="18"/>
      <c r="AU669" s="448"/>
      <c r="AV669" s="448"/>
      <c r="AW669" s="8" t="str">
        <f>IF(C669&gt;0,VLOOKUP(C669,Foundation_Calc!$A$2:$C$986,3,1),
IF(J669&gt;0,VLOOKUP(J669,Foundation_Calc!$A$2:$C$986,3,1),""))</f>
        <v/>
      </c>
      <c r="AX669" s="8" t="str">
        <f>IF(C669&gt;0,VLOOKUP(C669,Foundation_Calc!$E$2:$G$986,3,1),
IF(J669&gt;0,VLOOKUP(J669,Foundation_Calc!$E$2:$G$986,3,1),""))</f>
        <v/>
      </c>
      <c r="AY669" s="631" t="str">
        <f>IF(L669="","",
IF(AX669="PT",VLOOKUP(L669,Foundation_Calc!$K$4:$R$37,VLOOKUP(AW669,Foundation_Calc!$I$2:$J$8,2,FALSE),0),
IF(AX669="K",VLOOKUP(L669,Foundation_Calc!$K$41:$R$74,VLOOKUP(AW669,Foundation_Calc!$I$2:$J$8,2,FALSE),0),"")))</f>
        <v/>
      </c>
      <c r="AZ669" s="631" t="str">
        <f>IF(K669="","",
IF(AX669="PT",VLOOKUP(K669,Foundation_Calc!$K$4:$R$37,VLOOKUP(AW669,Foundation_Calc!$I$2:$J$8,2,FALSE),0),
IF(AX669="K",VLOOKUP(K669,Foundation_Calc!$K$41:$R$74,VLOOKUP(AW669,Foundation_Calc!$I$2:$J$8,2,FALSE),0),"")))</f>
        <v/>
      </c>
      <c r="BA669" s="632" t="str">
        <f t="shared" si="79"/>
        <v/>
      </c>
      <c r="BB669" s="632" t="str">
        <f t="shared" si="80"/>
        <v/>
      </c>
      <c r="BC669" s="632" t="str">
        <f t="shared" si="81"/>
        <v/>
      </c>
      <c r="BD669" s="633" t="str">
        <f>IF(AND(L669="",H669=""),"",
IF(H669="",Pole_Calc!A697,
IF(H669="MP",Pole_Calc!A698,
IF(H669="AnMP",Pole_Calc!A699,
IF(H669="A",Pole_Calc!A700,
IF(H669="S/A",Pole_Calc!A701,
IF(H669="A/S",Pole_Calc!A702,"Poner a mano")))))))</f>
        <v/>
      </c>
      <c r="BE669" s="448" t="s">
        <v>1726</v>
      </c>
      <c r="BF669" s="635"/>
      <c r="BG669" s="635"/>
      <c r="BH669" s="634"/>
      <c r="BI669" s="635"/>
    </row>
    <row r="670" spans="1:61" ht="16.2" customHeight="1">
      <c r="A670" s="12"/>
      <c r="B670" s="446"/>
      <c r="C670" s="89"/>
      <c r="D670" s="13"/>
      <c r="E670" s="14"/>
      <c r="F670" s="14"/>
      <c r="G670" s="15"/>
      <c r="H670" s="8"/>
      <c r="I670" s="8"/>
      <c r="J670" s="89"/>
      <c r="K670" s="8"/>
      <c r="L670" s="8"/>
      <c r="M670" s="8" t="str">
        <f>IF(L670="","",
IF(AX670="PT",VLOOKUP(L670,Foundation_Calc!$V$4:$X$37,VLOOKUP(AX670,Foundation_Calc!$I$10:$J$13,2,FALSE),0),
IF(AX670="K",VLOOKUP(L670,Foundation_Calc!$V$41:$X$74,VLOOKUP(AX670,Foundation_Calc!$I$10:$J$13,2,FALSE),0),"")))</f>
        <v/>
      </c>
      <c r="N670" s="8"/>
      <c r="O670" s="8"/>
      <c r="P670" s="8"/>
      <c r="Q670" s="14"/>
      <c r="R670" s="15"/>
      <c r="S670" s="15"/>
      <c r="T670" s="14"/>
      <c r="U670" s="14"/>
      <c r="V670" s="14"/>
      <c r="W670" s="18"/>
      <c r="X670" s="18"/>
      <c r="Y670" s="18"/>
      <c r="Z670" s="18"/>
      <c r="AA670" s="18"/>
      <c r="AB670" s="18"/>
      <c r="AC670" s="8" t="str">
        <f t="shared" si="78"/>
        <v/>
      </c>
      <c r="AD670" s="8"/>
      <c r="AE670" s="8"/>
      <c r="AF670" s="14"/>
      <c r="AG670" s="13"/>
      <c r="AH670" s="14"/>
      <c r="AI670" s="14"/>
      <c r="AJ670" s="8"/>
      <c r="AK670" s="8"/>
      <c r="AL670" s="8"/>
      <c r="AM670" s="8"/>
      <c r="AN670" s="631"/>
      <c r="AO670" s="18"/>
      <c r="AP670" s="18"/>
      <c r="AQ670" s="18"/>
      <c r="AR670" s="18"/>
      <c r="AS670" s="18"/>
      <c r="AU670" s="448"/>
      <c r="AV670" s="448"/>
      <c r="AW670" s="8" t="str">
        <f>IF(C670&gt;0,VLOOKUP(C670,Foundation_Calc!$A$2:$C$986,3,1),
IF(J670&gt;0,VLOOKUP(J670,Foundation_Calc!$A$2:$C$986,3,1),""))</f>
        <v/>
      </c>
      <c r="AX670" s="8" t="str">
        <f>IF(C670&gt;0,VLOOKUP(C670,Foundation_Calc!$E$2:$G$986,3,1),
IF(J670&gt;0,VLOOKUP(J670,Foundation_Calc!$E$2:$G$986,3,1),""))</f>
        <v/>
      </c>
      <c r="AY670" s="631" t="str">
        <f>IF(L670="","",
IF(AX670="PT",VLOOKUP(L670,Foundation_Calc!$K$4:$R$37,VLOOKUP(AW670,Foundation_Calc!$I$2:$J$8,2,FALSE),0),
IF(AX670="K",VLOOKUP(L670,Foundation_Calc!$K$41:$R$74,VLOOKUP(AW670,Foundation_Calc!$I$2:$J$8,2,FALSE),0),"")))</f>
        <v/>
      </c>
      <c r="AZ670" s="631" t="str">
        <f>IF(K670="","",
IF(AX670="PT",VLOOKUP(K670,Foundation_Calc!$K$4:$R$37,VLOOKUP(AW670,Foundation_Calc!$I$2:$J$8,2,FALSE),0),
IF(AX670="K",VLOOKUP(K670,Foundation_Calc!$K$41:$R$74,VLOOKUP(AW670,Foundation_Calc!$I$2:$J$8,2,FALSE),0),"")))</f>
        <v/>
      </c>
      <c r="BA670" s="632" t="str">
        <f t="shared" si="79"/>
        <v/>
      </c>
      <c r="BB670" s="632" t="str">
        <f t="shared" si="80"/>
        <v/>
      </c>
      <c r="BC670" s="632" t="str">
        <f t="shared" si="81"/>
        <v/>
      </c>
      <c r="BD670" s="633" t="str">
        <f>IF(AND(L670="",H670=""),"",
IF(H670="",Pole_Calc!A698,
IF(H670="MP",Pole_Calc!A699,
IF(H670="AnMP",Pole_Calc!A700,
IF(H670="A",Pole_Calc!A701,
IF(H670="S/A",Pole_Calc!A702,
IF(H670="A/S",Pole_Calc!A703,"Poner a mano")))))))</f>
        <v/>
      </c>
      <c r="BE670" s="448" t="s">
        <v>1726</v>
      </c>
      <c r="BF670" s="634"/>
      <c r="BG670" s="634"/>
      <c r="BH670" s="634"/>
      <c r="BI670" s="634"/>
    </row>
    <row r="671" spans="1:61" ht="16.2" customHeight="1">
      <c r="A671" s="12"/>
      <c r="B671" s="446"/>
      <c r="C671" s="89"/>
      <c r="D671" s="13"/>
      <c r="E671" s="14"/>
      <c r="F671" s="14"/>
      <c r="G671" s="15"/>
      <c r="H671" s="8"/>
      <c r="I671" s="8"/>
      <c r="J671" s="89"/>
      <c r="K671" s="8"/>
      <c r="L671" s="8"/>
      <c r="M671" s="8" t="str">
        <f>IF(L671="","",
IF(AX671="PT",VLOOKUP(L671,Foundation_Calc!$V$4:$X$37,VLOOKUP(AX671,Foundation_Calc!$I$10:$J$13,2,FALSE),0),
IF(AX671="K",VLOOKUP(L671,Foundation_Calc!$V$41:$X$74,VLOOKUP(AX671,Foundation_Calc!$I$10:$J$13,2,FALSE),0),"")))</f>
        <v/>
      </c>
      <c r="N671" s="8"/>
      <c r="O671" s="8"/>
      <c r="P671" s="8"/>
      <c r="Q671" s="14"/>
      <c r="R671" s="15"/>
      <c r="S671" s="15"/>
      <c r="T671" s="14"/>
      <c r="U671" s="14"/>
      <c r="V671" s="14"/>
      <c r="W671" s="18"/>
      <c r="X671" s="18"/>
      <c r="Y671" s="18"/>
      <c r="Z671" s="18"/>
      <c r="AA671" s="18"/>
      <c r="AB671" s="18"/>
      <c r="AC671" s="8" t="str">
        <f t="shared" si="78"/>
        <v/>
      </c>
      <c r="AD671" s="8"/>
      <c r="AE671" s="8"/>
      <c r="AF671" s="14"/>
      <c r="AG671" s="13"/>
      <c r="AH671" s="14"/>
      <c r="AI671" s="14"/>
      <c r="AJ671" s="8"/>
      <c r="AK671" s="8"/>
      <c r="AL671" s="8"/>
      <c r="AM671" s="8"/>
      <c r="AN671" s="631"/>
      <c r="AO671" s="18"/>
      <c r="AP671" s="18"/>
      <c r="AQ671" s="18"/>
      <c r="AR671" s="18"/>
      <c r="AS671" s="18"/>
      <c r="AU671" s="448"/>
      <c r="AV671" s="448"/>
      <c r="AW671" s="8" t="str">
        <f>IF(C671&gt;0,VLOOKUP(C671,Foundation_Calc!$A$2:$C$986,3,1),
IF(J671&gt;0,VLOOKUP(J671,Foundation_Calc!$A$2:$C$986,3,1),""))</f>
        <v/>
      </c>
      <c r="AX671" s="8" t="str">
        <f>IF(C671&gt;0,VLOOKUP(C671,Foundation_Calc!$E$2:$G$986,3,1),
IF(J671&gt;0,VLOOKUP(J671,Foundation_Calc!$E$2:$G$986,3,1),""))</f>
        <v/>
      </c>
      <c r="AY671" s="631" t="str">
        <f>IF(L671="","",
IF(AX671="PT",VLOOKUP(L671,Foundation_Calc!$K$4:$R$37,VLOOKUP(AW671,Foundation_Calc!$I$2:$J$8,2,FALSE),0),
IF(AX671="K",VLOOKUP(L671,Foundation_Calc!$K$41:$R$74,VLOOKUP(AW671,Foundation_Calc!$I$2:$J$8,2,FALSE),0),"")))</f>
        <v/>
      </c>
      <c r="AZ671" s="631" t="str">
        <f>IF(K671="","",
IF(AX671="PT",VLOOKUP(K671,Foundation_Calc!$K$4:$R$37,VLOOKUP(AW671,Foundation_Calc!$I$2:$J$8,2,FALSE),0),
IF(AX671="K",VLOOKUP(K671,Foundation_Calc!$K$41:$R$74,VLOOKUP(AW671,Foundation_Calc!$I$2:$J$8,2,FALSE),0),"")))</f>
        <v/>
      </c>
      <c r="BA671" s="632" t="str">
        <f t="shared" si="79"/>
        <v/>
      </c>
      <c r="BB671" s="632" t="str">
        <f t="shared" si="80"/>
        <v/>
      </c>
      <c r="BC671" s="632" t="str">
        <f t="shared" si="81"/>
        <v/>
      </c>
      <c r="BD671" s="633" t="str">
        <f>IF(AND(L671="",H671=""),"",
IF(H671="",Pole_Calc!A699,
IF(H671="MP",Pole_Calc!A700,
IF(H671="AnMP",Pole_Calc!A701,
IF(H671="A",Pole_Calc!A702,
IF(H671="S/A",Pole_Calc!A703,
IF(H671="A/S",Pole_Calc!A704,"Poner a mano")))))))</f>
        <v/>
      </c>
      <c r="BE671" s="448" t="s">
        <v>1726</v>
      </c>
      <c r="BF671" s="635"/>
      <c r="BG671" s="635"/>
      <c r="BH671" s="634"/>
      <c r="BI671" s="635"/>
    </row>
    <row r="672" spans="1:61" ht="16.2" customHeight="1">
      <c r="A672" s="12"/>
      <c r="B672" s="446"/>
      <c r="C672" s="89"/>
      <c r="D672" s="13"/>
      <c r="E672" s="14"/>
      <c r="F672" s="14"/>
      <c r="G672" s="15"/>
      <c r="H672" s="8"/>
      <c r="I672" s="8"/>
      <c r="J672" s="89"/>
      <c r="K672" s="8"/>
      <c r="L672" s="8"/>
      <c r="M672" s="8" t="str">
        <f>IF(L672="","",
IF(AX672="PT",VLOOKUP(L672,Foundation_Calc!$V$4:$X$37,VLOOKUP(AX672,Foundation_Calc!$I$10:$J$13,2,FALSE),0),
IF(AX672="K",VLOOKUP(L672,Foundation_Calc!$V$41:$X$74,VLOOKUP(AX672,Foundation_Calc!$I$10:$J$13,2,FALSE),0),"")))</f>
        <v/>
      </c>
      <c r="N672" s="8"/>
      <c r="O672" s="8"/>
      <c r="P672" s="8"/>
      <c r="Q672" s="14"/>
      <c r="R672" s="15"/>
      <c r="S672" s="15"/>
      <c r="T672" s="14"/>
      <c r="U672" s="14"/>
      <c r="V672" s="14"/>
      <c r="W672" s="18"/>
      <c r="X672" s="18"/>
      <c r="Y672" s="18"/>
      <c r="Z672" s="18"/>
      <c r="AA672" s="18"/>
      <c r="AB672" s="18"/>
      <c r="AC672" s="8" t="str">
        <f t="shared" si="78"/>
        <v/>
      </c>
      <c r="AD672" s="8"/>
      <c r="AE672" s="8"/>
      <c r="AF672" s="14"/>
      <c r="AG672" s="13"/>
      <c r="AH672" s="14"/>
      <c r="AI672" s="14"/>
      <c r="AJ672" s="8"/>
      <c r="AK672" s="8"/>
      <c r="AL672" s="8"/>
      <c r="AM672" s="8"/>
      <c r="AN672" s="631"/>
      <c r="AO672" s="18"/>
      <c r="AP672" s="18"/>
      <c r="AQ672" s="18"/>
      <c r="AR672" s="18"/>
      <c r="AS672" s="18"/>
      <c r="AU672" s="448"/>
      <c r="AV672" s="448"/>
      <c r="AW672" s="8" t="str">
        <f>IF(C672&gt;0,VLOOKUP(C672,Foundation_Calc!$A$2:$C$986,3,1),
IF(J672&gt;0,VLOOKUP(J672,Foundation_Calc!$A$2:$C$986,3,1),""))</f>
        <v/>
      </c>
      <c r="AX672" s="8" t="str">
        <f>IF(C672&gt;0,VLOOKUP(C672,Foundation_Calc!$E$2:$G$986,3,1),
IF(J672&gt;0,VLOOKUP(J672,Foundation_Calc!$E$2:$G$986,3,1),""))</f>
        <v/>
      </c>
      <c r="AY672" s="631" t="str">
        <f>IF(L672="","",
IF(AX672="PT",VLOOKUP(L672,Foundation_Calc!$K$4:$R$37,VLOOKUP(AW672,Foundation_Calc!$I$2:$J$8,2,FALSE),0),
IF(AX672="K",VLOOKUP(L672,Foundation_Calc!$K$41:$R$74,VLOOKUP(AW672,Foundation_Calc!$I$2:$J$8,2,FALSE),0),"")))</f>
        <v/>
      </c>
      <c r="AZ672" s="631" t="str">
        <f>IF(K672="","",
IF(AX672="PT",VLOOKUP(K672,Foundation_Calc!$K$4:$R$37,VLOOKUP(AW672,Foundation_Calc!$I$2:$J$8,2,FALSE),0),
IF(AX672="K",VLOOKUP(K672,Foundation_Calc!$K$41:$R$74,VLOOKUP(AW672,Foundation_Calc!$I$2:$J$8,2,FALSE),0),"")))</f>
        <v/>
      </c>
      <c r="BA672" s="632" t="str">
        <f t="shared" si="79"/>
        <v/>
      </c>
      <c r="BB672" s="632" t="str">
        <f t="shared" si="80"/>
        <v/>
      </c>
      <c r="BC672" s="632" t="str">
        <f t="shared" si="81"/>
        <v/>
      </c>
      <c r="BD672" s="633" t="str">
        <f>IF(AND(L672="",H672=""),"",
IF(H672="",Pole_Calc!A700,
IF(H672="MP",Pole_Calc!A701,
IF(H672="AnMP",Pole_Calc!A702,
IF(H672="A",Pole_Calc!A703,
IF(H672="S/A",Pole_Calc!A704,
IF(H672="A/S",Pole_Calc!A705,"Poner a mano")))))))</f>
        <v/>
      </c>
      <c r="BE672" s="448" t="s">
        <v>1726</v>
      </c>
      <c r="BF672" s="634"/>
      <c r="BG672" s="634"/>
      <c r="BH672" s="634"/>
      <c r="BI672" s="634"/>
    </row>
    <row r="673" spans="1:61" ht="16.2" customHeight="1">
      <c r="A673" s="12"/>
      <c r="B673" s="446"/>
      <c r="C673" s="89"/>
      <c r="D673" s="13"/>
      <c r="E673" s="14"/>
      <c r="F673" s="14"/>
      <c r="G673" s="15"/>
      <c r="H673" s="8"/>
      <c r="I673" s="8"/>
      <c r="J673" s="89"/>
      <c r="K673" s="8"/>
      <c r="L673" s="8"/>
      <c r="M673" s="8" t="str">
        <f>IF(L673="","",
IF(AX673="PT",VLOOKUP(L673,Foundation_Calc!$V$4:$X$37,VLOOKUP(AX673,Foundation_Calc!$I$10:$J$13,2,FALSE),0),
IF(AX673="K",VLOOKUP(L673,Foundation_Calc!$V$41:$X$74,VLOOKUP(AX673,Foundation_Calc!$I$10:$J$13,2,FALSE),0),"")))</f>
        <v/>
      </c>
      <c r="N673" s="8"/>
      <c r="O673" s="8"/>
      <c r="P673" s="8"/>
      <c r="Q673" s="14"/>
      <c r="R673" s="15"/>
      <c r="S673" s="15"/>
      <c r="T673" s="14"/>
      <c r="U673" s="14"/>
      <c r="V673" s="14"/>
      <c r="W673" s="18"/>
      <c r="X673" s="18"/>
      <c r="Y673" s="18"/>
      <c r="Z673" s="18"/>
      <c r="AA673" s="18"/>
      <c r="AB673" s="18"/>
      <c r="AC673" s="8" t="str">
        <f t="shared" si="78"/>
        <v/>
      </c>
      <c r="AD673" s="8"/>
      <c r="AE673" s="8"/>
      <c r="AF673" s="14"/>
      <c r="AG673" s="13"/>
      <c r="AH673" s="14"/>
      <c r="AI673" s="14"/>
      <c r="AJ673" s="8"/>
      <c r="AK673" s="8"/>
      <c r="AL673" s="8"/>
      <c r="AM673" s="8"/>
      <c r="AN673" s="631"/>
      <c r="AO673" s="18"/>
      <c r="AP673" s="18"/>
      <c r="AQ673" s="18"/>
      <c r="AR673" s="18"/>
      <c r="AS673" s="18"/>
      <c r="AU673" s="448"/>
      <c r="AV673" s="448"/>
      <c r="AW673" s="8" t="str">
        <f>IF(C673&gt;0,VLOOKUP(C673,Foundation_Calc!$A$2:$C$986,3,1),
IF(J673&gt;0,VLOOKUP(J673,Foundation_Calc!$A$2:$C$986,3,1),""))</f>
        <v/>
      </c>
      <c r="AX673" s="8" t="str">
        <f>IF(C673&gt;0,VLOOKUP(C673,Foundation_Calc!$E$2:$G$986,3,1),
IF(J673&gt;0,VLOOKUP(J673,Foundation_Calc!$E$2:$G$986,3,1),""))</f>
        <v/>
      </c>
      <c r="AY673" s="631" t="str">
        <f>IF(L673="","",
IF(AX673="PT",VLOOKUP(L673,Foundation_Calc!$K$4:$R$37,VLOOKUP(AW673,Foundation_Calc!$I$2:$J$8,2,FALSE),0),
IF(AX673="K",VLOOKUP(L673,Foundation_Calc!$K$41:$R$74,VLOOKUP(AW673,Foundation_Calc!$I$2:$J$8,2,FALSE),0),"")))</f>
        <v/>
      </c>
      <c r="AZ673" s="631" t="str">
        <f>IF(K673="","",
IF(AX673="PT",VLOOKUP(K673,Foundation_Calc!$K$4:$R$37,VLOOKUP(AW673,Foundation_Calc!$I$2:$J$8,2,FALSE),0),
IF(AX673="K",VLOOKUP(K673,Foundation_Calc!$K$41:$R$74,VLOOKUP(AW673,Foundation_Calc!$I$2:$J$8,2,FALSE),0),"")))</f>
        <v/>
      </c>
      <c r="BA673" s="632" t="str">
        <f t="shared" si="79"/>
        <v/>
      </c>
      <c r="BB673" s="632" t="str">
        <f t="shared" si="80"/>
        <v/>
      </c>
      <c r="BC673" s="632" t="str">
        <f t="shared" si="81"/>
        <v/>
      </c>
      <c r="BD673" s="633" t="str">
        <f>IF(AND(L673="",H673=""),"",
IF(H673="",Pole_Calc!A701,
IF(H673="MP",Pole_Calc!A702,
IF(H673="AnMP",Pole_Calc!A703,
IF(H673="A",Pole_Calc!A704,
IF(H673="S/A",Pole_Calc!A705,
IF(H673="A/S",Pole_Calc!A706,"Poner a mano")))))))</f>
        <v/>
      </c>
      <c r="BE673" s="448" t="s">
        <v>1726</v>
      </c>
      <c r="BF673" s="635"/>
      <c r="BG673" s="635"/>
      <c r="BH673" s="634"/>
      <c r="BI673" s="635"/>
    </row>
    <row r="674" spans="1:61" ht="16.2" customHeight="1">
      <c r="A674" s="12"/>
      <c r="B674" s="446"/>
      <c r="C674" s="89"/>
      <c r="D674" s="13"/>
      <c r="E674" s="14"/>
      <c r="F674" s="14"/>
      <c r="G674" s="15"/>
      <c r="H674" s="8"/>
      <c r="I674" s="8"/>
      <c r="J674" s="89"/>
      <c r="K674" s="8"/>
      <c r="L674" s="8"/>
      <c r="M674" s="8" t="str">
        <f>IF(L674="","",
IF(AX674="PT",VLOOKUP(L674,Foundation_Calc!$V$4:$X$37,VLOOKUP(AX674,Foundation_Calc!$I$10:$J$13,2,FALSE),0),
IF(AX674="K",VLOOKUP(L674,Foundation_Calc!$V$41:$X$74,VLOOKUP(AX674,Foundation_Calc!$I$10:$J$13,2,FALSE),0),"")))</f>
        <v/>
      </c>
      <c r="N674" s="8"/>
      <c r="O674" s="8"/>
      <c r="P674" s="8"/>
      <c r="Q674" s="14"/>
      <c r="R674" s="15"/>
      <c r="S674" s="15"/>
      <c r="T674" s="14"/>
      <c r="U674" s="14"/>
      <c r="V674" s="14"/>
      <c r="W674" s="18"/>
      <c r="X674" s="18"/>
      <c r="Y674" s="18"/>
      <c r="Z674" s="18"/>
      <c r="AA674" s="18"/>
      <c r="AB674" s="18"/>
      <c r="AC674" s="8" t="str">
        <f t="shared" si="78"/>
        <v/>
      </c>
      <c r="AD674" s="8"/>
      <c r="AE674" s="8"/>
      <c r="AF674" s="14"/>
      <c r="AG674" s="13"/>
      <c r="AH674" s="14"/>
      <c r="AI674" s="14"/>
      <c r="AJ674" s="8"/>
      <c r="AK674" s="8"/>
      <c r="AL674" s="8"/>
      <c r="AM674" s="8"/>
      <c r="AN674" s="631"/>
      <c r="AO674" s="18"/>
      <c r="AP674" s="18"/>
      <c r="AQ674" s="18"/>
      <c r="AR674" s="18"/>
      <c r="AS674" s="18"/>
      <c r="AU674" s="448"/>
      <c r="AV674" s="448"/>
      <c r="AW674" s="8" t="str">
        <f>IF(C674&gt;0,VLOOKUP(C674,Foundation_Calc!$A$2:$C$986,3,1),
IF(J674&gt;0,VLOOKUP(J674,Foundation_Calc!$A$2:$C$986,3,1),""))</f>
        <v/>
      </c>
      <c r="AX674" s="8" t="str">
        <f>IF(C674&gt;0,VLOOKUP(C674,Foundation_Calc!$E$2:$G$986,3,1),
IF(J674&gt;0,VLOOKUP(J674,Foundation_Calc!$E$2:$G$986,3,1),""))</f>
        <v/>
      </c>
      <c r="AY674" s="631" t="str">
        <f>IF(L674="","",
IF(AX674="PT",VLOOKUP(L674,Foundation_Calc!$K$4:$R$37,VLOOKUP(AW674,Foundation_Calc!$I$2:$J$8,2,FALSE),0),
IF(AX674="K",VLOOKUP(L674,Foundation_Calc!$K$41:$R$74,VLOOKUP(AW674,Foundation_Calc!$I$2:$J$8,2,FALSE),0),"")))</f>
        <v/>
      </c>
      <c r="AZ674" s="631" t="str">
        <f>IF(K674="","",
IF(AX674="PT",VLOOKUP(K674,Foundation_Calc!$K$4:$R$37,VLOOKUP(AW674,Foundation_Calc!$I$2:$J$8,2,FALSE),0),
IF(AX674="K",VLOOKUP(K674,Foundation_Calc!$K$41:$R$74,VLOOKUP(AW674,Foundation_Calc!$I$2:$J$8,2,FALSE),0),"")))</f>
        <v/>
      </c>
      <c r="BA674" s="632" t="str">
        <f t="shared" si="79"/>
        <v/>
      </c>
      <c r="BB674" s="632" t="str">
        <f t="shared" si="80"/>
        <v/>
      </c>
      <c r="BC674" s="632" t="str">
        <f t="shared" si="81"/>
        <v/>
      </c>
      <c r="BD674" s="633" t="str">
        <f>IF(AND(L674="",H674=""),"",
IF(H674="",Pole_Calc!A702,
IF(H674="MP",Pole_Calc!A703,
IF(H674="AnMP",Pole_Calc!A704,
IF(H674="A",Pole_Calc!A705,
IF(H674="S/A",Pole_Calc!A706,
IF(H674="A/S",Pole_Calc!A707,"Poner a mano")))))))</f>
        <v/>
      </c>
      <c r="BE674" s="448" t="s">
        <v>1726</v>
      </c>
      <c r="BF674" s="634"/>
      <c r="BG674" s="634"/>
      <c r="BH674" s="634"/>
      <c r="BI674" s="634"/>
    </row>
    <row r="675" spans="1:61" ht="16.2" customHeight="1">
      <c r="A675" s="12"/>
      <c r="B675" s="446"/>
      <c r="C675" s="89"/>
      <c r="D675" s="13"/>
      <c r="E675" s="14"/>
      <c r="F675" s="14"/>
      <c r="G675" s="15"/>
      <c r="H675" s="8"/>
      <c r="I675" s="8"/>
      <c r="J675" s="89"/>
      <c r="K675" s="8"/>
      <c r="L675" s="8"/>
      <c r="M675" s="8" t="str">
        <f>IF(L675="","",
IF(AX675="PT",VLOOKUP(L675,Foundation_Calc!$V$4:$X$37,VLOOKUP(AX675,Foundation_Calc!$I$10:$J$13,2,FALSE),0),
IF(AX675="K",VLOOKUP(L675,Foundation_Calc!$V$41:$X$74,VLOOKUP(AX675,Foundation_Calc!$I$10:$J$13,2,FALSE),0),"")))</f>
        <v/>
      </c>
      <c r="N675" s="8"/>
      <c r="O675" s="8"/>
      <c r="P675" s="8"/>
      <c r="Q675" s="14"/>
      <c r="R675" s="15"/>
      <c r="S675" s="15"/>
      <c r="T675" s="14"/>
      <c r="U675" s="14"/>
      <c r="V675" s="14"/>
      <c r="W675" s="18"/>
      <c r="X675" s="18"/>
      <c r="Y675" s="18"/>
      <c r="Z675" s="18"/>
      <c r="AA675" s="18"/>
      <c r="AB675" s="18"/>
      <c r="AC675" s="8" t="str">
        <f t="shared" si="78"/>
        <v/>
      </c>
      <c r="AD675" s="8"/>
      <c r="AE675" s="8"/>
      <c r="AF675" s="14"/>
      <c r="AG675" s="13"/>
      <c r="AH675" s="14"/>
      <c r="AI675" s="14"/>
      <c r="AJ675" s="8"/>
      <c r="AK675" s="8"/>
      <c r="AL675" s="8"/>
      <c r="AM675" s="8"/>
      <c r="AN675" s="631"/>
      <c r="AO675" s="18"/>
      <c r="AP675" s="18"/>
      <c r="AQ675" s="18"/>
      <c r="AR675" s="18"/>
      <c r="AS675" s="18"/>
      <c r="AU675" s="448"/>
      <c r="AV675" s="448"/>
      <c r="AW675" s="8" t="str">
        <f>IF(C675&gt;0,VLOOKUP(C675,Foundation_Calc!$A$2:$C$986,3,1),
IF(J675&gt;0,VLOOKUP(J675,Foundation_Calc!$A$2:$C$986,3,1),""))</f>
        <v/>
      </c>
      <c r="AX675" s="8" t="str">
        <f>IF(C675&gt;0,VLOOKUP(C675,Foundation_Calc!$E$2:$G$986,3,1),
IF(J675&gt;0,VLOOKUP(J675,Foundation_Calc!$E$2:$G$986,3,1),""))</f>
        <v/>
      </c>
      <c r="AY675" s="631" t="str">
        <f>IF(L675="","",
IF(AX675="PT",VLOOKUP(L675,Foundation_Calc!$K$4:$R$37,VLOOKUP(AW675,Foundation_Calc!$I$2:$J$8,2,FALSE),0),
IF(AX675="K",VLOOKUP(L675,Foundation_Calc!$K$41:$R$74,VLOOKUP(AW675,Foundation_Calc!$I$2:$J$8,2,FALSE),0),"")))</f>
        <v/>
      </c>
      <c r="AZ675" s="631" t="str">
        <f>IF(K675="","",
IF(AX675="PT",VLOOKUP(K675,Foundation_Calc!$K$4:$R$37,VLOOKUP(AW675,Foundation_Calc!$I$2:$J$8,2,FALSE),0),
IF(AX675="K",VLOOKUP(K675,Foundation_Calc!$K$41:$R$74,VLOOKUP(AW675,Foundation_Calc!$I$2:$J$8,2,FALSE),0),"")))</f>
        <v/>
      </c>
      <c r="BA675" s="632" t="str">
        <f t="shared" si="79"/>
        <v/>
      </c>
      <c r="BB675" s="632" t="str">
        <f t="shared" si="80"/>
        <v/>
      </c>
      <c r="BC675" s="632" t="str">
        <f t="shared" si="81"/>
        <v/>
      </c>
      <c r="BD675" s="633" t="str">
        <f>IF(AND(L675="",H675=""),"",
IF(H675="",Pole_Calc!A703,
IF(H675="MP",Pole_Calc!A704,
IF(H675="AnMP",Pole_Calc!A705,
IF(H675="A",Pole_Calc!A706,
IF(H675="S/A",Pole_Calc!A707,
IF(H675="A/S",Pole_Calc!A708,"Poner a mano")))))))</f>
        <v/>
      </c>
      <c r="BE675" s="448" t="s">
        <v>1726</v>
      </c>
      <c r="BF675" s="635"/>
      <c r="BG675" s="635"/>
      <c r="BH675" s="634"/>
      <c r="BI675" s="635"/>
    </row>
    <row r="676" spans="1:61" ht="16.2" customHeight="1">
      <c r="A676" s="12"/>
      <c r="B676" s="446"/>
      <c r="C676" s="89"/>
      <c r="D676" s="13"/>
      <c r="E676" s="14"/>
      <c r="F676" s="14"/>
      <c r="G676" s="15"/>
      <c r="H676" s="8"/>
      <c r="I676" s="8"/>
      <c r="J676" s="89"/>
      <c r="K676" s="8"/>
      <c r="L676" s="8"/>
      <c r="M676" s="8" t="str">
        <f>IF(L676="","",
IF(AX676="PT",VLOOKUP(L676,Foundation_Calc!$V$4:$X$37,VLOOKUP(AX676,Foundation_Calc!$I$10:$J$13,2,FALSE),0),
IF(AX676="K",VLOOKUP(L676,Foundation_Calc!$V$41:$X$74,VLOOKUP(AX676,Foundation_Calc!$I$10:$J$13,2,FALSE),0),"")))</f>
        <v/>
      </c>
      <c r="N676" s="8"/>
      <c r="O676" s="8"/>
      <c r="P676" s="8"/>
      <c r="Q676" s="14"/>
      <c r="R676" s="15"/>
      <c r="S676" s="15"/>
      <c r="T676" s="14"/>
      <c r="U676" s="14"/>
      <c r="V676" s="14"/>
      <c r="W676" s="18"/>
      <c r="X676" s="18"/>
      <c r="Y676" s="18"/>
      <c r="Z676" s="18"/>
      <c r="AA676" s="18"/>
      <c r="AB676" s="18"/>
      <c r="AC676" s="8" t="str">
        <f t="shared" si="78"/>
        <v/>
      </c>
      <c r="AD676" s="8"/>
      <c r="AE676" s="8"/>
      <c r="AF676" s="14"/>
      <c r="AG676" s="13"/>
      <c r="AH676" s="14"/>
      <c r="AI676" s="14"/>
      <c r="AJ676" s="8"/>
      <c r="AK676" s="8"/>
      <c r="AL676" s="8"/>
      <c r="AM676" s="8"/>
      <c r="AN676" s="631"/>
      <c r="AO676" s="18"/>
      <c r="AP676" s="18"/>
      <c r="AQ676" s="18"/>
      <c r="AR676" s="18"/>
      <c r="AS676" s="18"/>
      <c r="AU676" s="448"/>
      <c r="AV676" s="448"/>
      <c r="AW676" s="8" t="str">
        <f>IF(C676&gt;0,VLOOKUP(C676,Foundation_Calc!$A$2:$C$986,3,1),
IF(J676&gt;0,VLOOKUP(J676,Foundation_Calc!$A$2:$C$986,3,1),""))</f>
        <v/>
      </c>
      <c r="AX676" s="8" t="str">
        <f>IF(C676&gt;0,VLOOKUP(C676,Foundation_Calc!$E$2:$G$986,3,1),
IF(J676&gt;0,VLOOKUP(J676,Foundation_Calc!$E$2:$G$986,3,1),""))</f>
        <v/>
      </c>
      <c r="AY676" s="631" t="str">
        <f>IF(L676="","",
IF(AX676="PT",VLOOKUP(L676,Foundation_Calc!$K$4:$R$37,VLOOKUP(AW676,Foundation_Calc!$I$2:$J$8,2,FALSE),0),
IF(AX676="K",VLOOKUP(L676,Foundation_Calc!$K$41:$R$74,VLOOKUP(AW676,Foundation_Calc!$I$2:$J$8,2,FALSE),0),"")))</f>
        <v/>
      </c>
      <c r="AZ676" s="631" t="str">
        <f>IF(K676="","",
IF(AX676="PT",VLOOKUP(K676,Foundation_Calc!$K$4:$R$37,VLOOKUP(AW676,Foundation_Calc!$I$2:$J$8,2,FALSE),0),
IF(AX676="K",VLOOKUP(K676,Foundation_Calc!$K$41:$R$74,VLOOKUP(AW676,Foundation_Calc!$I$2:$J$8,2,FALSE),0),"")))</f>
        <v/>
      </c>
      <c r="BA676" s="632" t="str">
        <f t="shared" si="79"/>
        <v/>
      </c>
      <c r="BB676" s="632" t="str">
        <f t="shared" si="80"/>
        <v/>
      </c>
      <c r="BC676" s="632" t="str">
        <f t="shared" si="81"/>
        <v/>
      </c>
      <c r="BD676" s="633" t="str">
        <f>IF(AND(L676="",H676=""),"",
IF(H676="",Pole_Calc!A704,
IF(H676="MP",Pole_Calc!A705,
IF(H676="AnMP",Pole_Calc!A706,
IF(H676="A",Pole_Calc!A707,
IF(H676="S/A",Pole_Calc!A708,
IF(H676="A/S",Pole_Calc!A709,"Poner a mano")))))))</f>
        <v/>
      </c>
      <c r="BE676" s="448" t="s">
        <v>1726</v>
      </c>
      <c r="BF676" s="634"/>
      <c r="BG676" s="634"/>
      <c r="BH676" s="634"/>
      <c r="BI676" s="634"/>
    </row>
    <row r="677" spans="1:61" ht="16.2" customHeight="1">
      <c r="A677" s="12"/>
      <c r="B677" s="446"/>
      <c r="C677" s="89"/>
      <c r="D677" s="13"/>
      <c r="E677" s="14"/>
      <c r="F677" s="14"/>
      <c r="G677" s="15"/>
      <c r="H677" s="8"/>
      <c r="I677" s="8"/>
      <c r="J677" s="89"/>
      <c r="K677" s="8"/>
      <c r="L677" s="8"/>
      <c r="M677" s="8" t="str">
        <f>IF(L677="","",
IF(AX677="PT",VLOOKUP(L677,Foundation_Calc!$V$4:$X$37,VLOOKUP(AX677,Foundation_Calc!$I$10:$J$13,2,FALSE),0),
IF(AX677="K",VLOOKUP(L677,Foundation_Calc!$V$41:$X$74,VLOOKUP(AX677,Foundation_Calc!$I$10:$J$13,2,FALSE),0),"")))</f>
        <v/>
      </c>
      <c r="N677" s="8"/>
      <c r="O677" s="8"/>
      <c r="P677" s="8"/>
      <c r="Q677" s="14"/>
      <c r="R677" s="15"/>
      <c r="S677" s="15"/>
      <c r="T677" s="14"/>
      <c r="U677" s="14"/>
      <c r="V677" s="14"/>
      <c r="W677" s="18"/>
      <c r="X677" s="18"/>
      <c r="Y677" s="18"/>
      <c r="Z677" s="18"/>
      <c r="AA677" s="18"/>
      <c r="AB677" s="18"/>
      <c r="AC677" s="8" t="str">
        <f t="shared" si="78"/>
        <v/>
      </c>
      <c r="AD677" s="8"/>
      <c r="AE677" s="8"/>
      <c r="AF677" s="14"/>
      <c r="AG677" s="13"/>
      <c r="AH677" s="14"/>
      <c r="AI677" s="14"/>
      <c r="AJ677" s="8"/>
      <c r="AK677" s="8"/>
      <c r="AL677" s="8"/>
      <c r="AM677" s="8"/>
      <c r="AN677" s="631"/>
      <c r="AO677" s="18"/>
      <c r="AP677" s="18"/>
      <c r="AQ677" s="18"/>
      <c r="AR677" s="18"/>
      <c r="AS677" s="18"/>
      <c r="AU677" s="448"/>
      <c r="AV677" s="448"/>
      <c r="AW677" s="8" t="str">
        <f>IF(C677&gt;0,VLOOKUP(C677,Foundation_Calc!$A$2:$C$986,3,1),
IF(J677&gt;0,VLOOKUP(J677,Foundation_Calc!$A$2:$C$986,3,1),""))</f>
        <v/>
      </c>
      <c r="AX677" s="8" t="str">
        <f>IF(C677&gt;0,VLOOKUP(C677,Foundation_Calc!$E$2:$G$986,3,1),
IF(J677&gt;0,VLOOKUP(J677,Foundation_Calc!$E$2:$G$986,3,1),""))</f>
        <v/>
      </c>
      <c r="AY677" s="631" t="str">
        <f>IF(L677="","",
IF(AX677="PT",VLOOKUP(L677,Foundation_Calc!$K$4:$R$37,VLOOKUP(AW677,Foundation_Calc!$I$2:$J$8,2,FALSE),0),
IF(AX677="K",VLOOKUP(L677,Foundation_Calc!$K$41:$R$74,VLOOKUP(AW677,Foundation_Calc!$I$2:$J$8,2,FALSE),0),"")))</f>
        <v/>
      </c>
      <c r="AZ677" s="631" t="str">
        <f>IF(K677="","",
IF(AX677="PT",VLOOKUP(K677,Foundation_Calc!$K$4:$R$37,VLOOKUP(AW677,Foundation_Calc!$I$2:$J$8,2,FALSE),0),
IF(AX677="K",VLOOKUP(K677,Foundation_Calc!$K$41:$R$74,VLOOKUP(AW677,Foundation_Calc!$I$2:$J$8,2,FALSE),0),"")))</f>
        <v/>
      </c>
      <c r="BA677" s="632" t="str">
        <f t="shared" si="79"/>
        <v/>
      </c>
      <c r="BB677" s="632" t="str">
        <f t="shared" si="80"/>
        <v/>
      </c>
      <c r="BC677" s="632" t="str">
        <f t="shared" si="81"/>
        <v/>
      </c>
      <c r="BD677" s="633" t="str">
        <f>IF(AND(L677="",H677=""),"",
IF(H677="",Pole_Calc!A705,
IF(H677="MP",Pole_Calc!A706,
IF(H677="AnMP",Pole_Calc!A707,
IF(H677="A",Pole_Calc!A708,
IF(H677="S/A",Pole_Calc!A709,
IF(H677="A/S",Pole_Calc!A710,"Poner a mano")))))))</f>
        <v/>
      </c>
      <c r="BE677" s="448" t="s">
        <v>1726</v>
      </c>
      <c r="BF677" s="635"/>
      <c r="BG677" s="635"/>
      <c r="BH677" s="634"/>
      <c r="BI677" s="635"/>
    </row>
    <row r="678" spans="1:61" ht="16.2" customHeight="1">
      <c r="A678" s="12"/>
      <c r="B678" s="446"/>
      <c r="C678" s="89"/>
      <c r="D678" s="13"/>
      <c r="E678" s="14"/>
      <c r="F678" s="14"/>
      <c r="G678" s="15"/>
      <c r="H678" s="8"/>
      <c r="I678" s="8"/>
      <c r="J678" s="89"/>
      <c r="K678" s="8"/>
      <c r="L678" s="8"/>
      <c r="M678" s="8" t="str">
        <f>IF(L678="","",
IF(AX678="PT",VLOOKUP(L678,Foundation_Calc!$V$4:$X$37,VLOOKUP(AX678,Foundation_Calc!$I$10:$J$13,2,FALSE),0),
IF(AX678="K",VLOOKUP(L678,Foundation_Calc!$V$41:$X$74,VLOOKUP(AX678,Foundation_Calc!$I$10:$J$13,2,FALSE),0),"")))</f>
        <v/>
      </c>
      <c r="N678" s="8"/>
      <c r="O678" s="8"/>
      <c r="P678" s="8"/>
      <c r="Q678" s="14"/>
      <c r="R678" s="15"/>
      <c r="S678" s="15"/>
      <c r="T678" s="14"/>
      <c r="U678" s="14"/>
      <c r="V678" s="14"/>
      <c r="W678" s="18"/>
      <c r="X678" s="18"/>
      <c r="Y678" s="18"/>
      <c r="Z678" s="18"/>
      <c r="AA678" s="18"/>
      <c r="AB678" s="18"/>
      <c r="AC678" s="8" t="str">
        <f t="shared" si="78"/>
        <v/>
      </c>
      <c r="AD678" s="8"/>
      <c r="AE678" s="8"/>
      <c r="AF678" s="14"/>
      <c r="AG678" s="13"/>
      <c r="AH678" s="14"/>
      <c r="AI678" s="14"/>
      <c r="AJ678" s="8"/>
      <c r="AK678" s="8"/>
      <c r="AL678" s="8"/>
      <c r="AM678" s="8"/>
      <c r="AN678" s="631"/>
      <c r="AO678" s="18"/>
      <c r="AP678" s="18"/>
      <c r="AQ678" s="18"/>
      <c r="AR678" s="18"/>
      <c r="AS678" s="18"/>
      <c r="AU678" s="448"/>
      <c r="AV678" s="448"/>
      <c r="AW678" s="8" t="str">
        <f>IF(C678&gt;0,VLOOKUP(C678,Foundation_Calc!$A$2:$C$986,3,1),
IF(J678&gt;0,VLOOKUP(J678,Foundation_Calc!$A$2:$C$986,3,1),""))</f>
        <v/>
      </c>
      <c r="AX678" s="8" t="str">
        <f>IF(C678&gt;0,VLOOKUP(C678,Foundation_Calc!$E$2:$G$986,3,1),
IF(J678&gt;0,VLOOKUP(J678,Foundation_Calc!$E$2:$G$986,3,1),""))</f>
        <v/>
      </c>
      <c r="AY678" s="631" t="str">
        <f>IF(L678="","",
IF(AX678="PT",VLOOKUP(L678,Foundation_Calc!$K$4:$R$37,VLOOKUP(AW678,Foundation_Calc!$I$2:$J$8,2,FALSE),0),
IF(AX678="K",VLOOKUP(L678,Foundation_Calc!$K$41:$R$74,VLOOKUP(AW678,Foundation_Calc!$I$2:$J$8,2,FALSE),0),"")))</f>
        <v/>
      </c>
      <c r="AZ678" s="631" t="str">
        <f>IF(K678="","",
IF(AX678="PT",VLOOKUP(K678,Foundation_Calc!$K$4:$R$37,VLOOKUP(AW678,Foundation_Calc!$I$2:$J$8,2,FALSE),0),
IF(AX678="K",VLOOKUP(K678,Foundation_Calc!$K$41:$R$74,VLOOKUP(AW678,Foundation_Calc!$I$2:$J$8,2,FALSE),0),"")))</f>
        <v/>
      </c>
      <c r="BA678" s="632" t="str">
        <f t="shared" si="79"/>
        <v/>
      </c>
      <c r="BB678" s="632" t="str">
        <f t="shared" si="80"/>
        <v/>
      </c>
      <c r="BC678" s="632" t="str">
        <f t="shared" si="81"/>
        <v/>
      </c>
      <c r="BD678" s="633" t="str">
        <f>IF(AND(L678="",H678=""),"",
IF(H678="",Pole_Calc!A706,
IF(H678="MP",Pole_Calc!A707,
IF(H678="AnMP",Pole_Calc!A708,
IF(H678="A",Pole_Calc!A709,
IF(H678="S/A",Pole_Calc!A710,
IF(H678="A/S",Pole_Calc!A711,"Poner a mano")))))))</f>
        <v/>
      </c>
      <c r="BE678" s="448" t="s">
        <v>1726</v>
      </c>
      <c r="BF678" s="634"/>
      <c r="BG678" s="634"/>
      <c r="BH678" s="634"/>
      <c r="BI678" s="634"/>
    </row>
    <row r="679" spans="1:61" ht="16.2" customHeight="1">
      <c r="A679" s="12"/>
      <c r="B679" s="446"/>
      <c r="C679" s="89"/>
      <c r="D679" s="13"/>
      <c r="E679" s="14"/>
      <c r="F679" s="14"/>
      <c r="G679" s="15"/>
      <c r="H679" s="8"/>
      <c r="I679" s="8"/>
      <c r="J679" s="89"/>
      <c r="K679" s="8"/>
      <c r="L679" s="8"/>
      <c r="M679" s="8" t="str">
        <f>IF(L679="","",
IF(AX679="PT",VLOOKUP(L679,Foundation_Calc!$V$4:$X$37,VLOOKUP(AX679,Foundation_Calc!$I$10:$J$13,2,FALSE),0),
IF(AX679="K",VLOOKUP(L679,Foundation_Calc!$V$41:$X$74,VLOOKUP(AX679,Foundation_Calc!$I$10:$J$13,2,FALSE),0),"")))</f>
        <v/>
      </c>
      <c r="N679" s="8"/>
      <c r="O679" s="8"/>
      <c r="P679" s="8"/>
      <c r="Q679" s="14"/>
      <c r="R679" s="15"/>
      <c r="S679" s="15"/>
      <c r="T679" s="14"/>
      <c r="U679" s="14"/>
      <c r="V679" s="14"/>
      <c r="W679" s="18"/>
      <c r="X679" s="18"/>
      <c r="Y679" s="18"/>
      <c r="Z679" s="18"/>
      <c r="AA679" s="18"/>
      <c r="AB679" s="18"/>
      <c r="AC679" s="8" t="str">
        <f t="shared" si="78"/>
        <v/>
      </c>
      <c r="AD679" s="8"/>
      <c r="AE679" s="8"/>
      <c r="AF679" s="14"/>
      <c r="AG679" s="13"/>
      <c r="AH679" s="14"/>
      <c r="AI679" s="14"/>
      <c r="AJ679" s="8"/>
      <c r="AK679" s="8"/>
      <c r="AL679" s="8"/>
      <c r="AM679" s="8"/>
      <c r="AN679" s="631"/>
      <c r="AO679" s="18"/>
      <c r="AP679" s="18"/>
      <c r="AQ679" s="18"/>
      <c r="AR679" s="18"/>
      <c r="AS679" s="18"/>
      <c r="AU679" s="448"/>
      <c r="AV679" s="448"/>
      <c r="AW679" s="8" t="str">
        <f>IF(C679&gt;0,VLOOKUP(C679,Foundation_Calc!$A$2:$C$986,3,1),
IF(J679&gt;0,VLOOKUP(J679,Foundation_Calc!$A$2:$C$986,3,1),""))</f>
        <v/>
      </c>
      <c r="AX679" s="8" t="str">
        <f>IF(C679&gt;0,VLOOKUP(C679,Foundation_Calc!$E$2:$G$986,3,1),
IF(J679&gt;0,VLOOKUP(J679,Foundation_Calc!$E$2:$G$986,3,1),""))</f>
        <v/>
      </c>
      <c r="AY679" s="631" t="str">
        <f>IF(L679="","",
IF(AX679="PT",VLOOKUP(L679,Foundation_Calc!$K$4:$R$37,VLOOKUP(AW679,Foundation_Calc!$I$2:$J$8,2,FALSE),0),
IF(AX679="K",VLOOKUP(L679,Foundation_Calc!$K$41:$R$74,VLOOKUP(AW679,Foundation_Calc!$I$2:$J$8,2,FALSE),0),"")))</f>
        <v/>
      </c>
      <c r="AZ679" s="631" t="str">
        <f>IF(K679="","",
IF(AX679="PT",VLOOKUP(K679,Foundation_Calc!$K$4:$R$37,VLOOKUP(AW679,Foundation_Calc!$I$2:$J$8,2,FALSE),0),
IF(AX679="K",VLOOKUP(K679,Foundation_Calc!$K$41:$R$74,VLOOKUP(AW679,Foundation_Calc!$I$2:$J$8,2,FALSE),0),"")))</f>
        <v/>
      </c>
      <c r="BA679" s="632" t="str">
        <f t="shared" si="79"/>
        <v/>
      </c>
      <c r="BB679" s="632" t="str">
        <f t="shared" si="80"/>
        <v/>
      </c>
      <c r="BC679" s="632" t="str">
        <f t="shared" si="81"/>
        <v/>
      </c>
      <c r="BD679" s="633" t="str">
        <f>IF(AND(L679="",H679=""),"",
IF(H679="",Pole_Calc!A707,
IF(H679="MP",Pole_Calc!A708,
IF(H679="AnMP",Pole_Calc!A709,
IF(H679="A",Pole_Calc!A710,
IF(H679="S/A",Pole_Calc!A711,
IF(H679="A/S",Pole_Calc!A712,"Poner a mano")))))))</f>
        <v/>
      </c>
      <c r="BE679" s="448" t="s">
        <v>1726</v>
      </c>
      <c r="BF679" s="635"/>
      <c r="BG679" s="635"/>
      <c r="BH679" s="634"/>
      <c r="BI679" s="635"/>
    </row>
    <row r="680" spans="1:61" ht="16.2" customHeight="1">
      <c r="A680" s="12"/>
      <c r="B680" s="446"/>
      <c r="C680" s="89"/>
      <c r="D680" s="13"/>
      <c r="E680" s="14"/>
      <c r="F680" s="14"/>
      <c r="G680" s="15"/>
      <c r="H680" s="8"/>
      <c r="I680" s="8"/>
      <c r="J680" s="89"/>
      <c r="K680" s="8"/>
      <c r="L680" s="8"/>
      <c r="M680" s="8" t="str">
        <f>IF(L680="","",
IF(AX680="PT",VLOOKUP(L680,Foundation_Calc!$V$4:$X$37,VLOOKUP(AX680,Foundation_Calc!$I$10:$J$13,2,FALSE),0),
IF(AX680="K",VLOOKUP(L680,Foundation_Calc!$V$41:$X$74,VLOOKUP(AX680,Foundation_Calc!$I$10:$J$13,2,FALSE),0),"")))</f>
        <v/>
      </c>
      <c r="N680" s="8"/>
      <c r="O680" s="8"/>
      <c r="P680" s="8"/>
      <c r="Q680" s="14"/>
      <c r="R680" s="15"/>
      <c r="S680" s="15"/>
      <c r="T680" s="14"/>
      <c r="U680" s="14"/>
      <c r="V680" s="14"/>
      <c r="W680" s="18"/>
      <c r="X680" s="18"/>
      <c r="Y680" s="18"/>
      <c r="Z680" s="18"/>
      <c r="AA680" s="18"/>
      <c r="AB680" s="18"/>
      <c r="AC680" s="8" t="str">
        <f t="shared" si="78"/>
        <v/>
      </c>
      <c r="AD680" s="8"/>
      <c r="AE680" s="8"/>
      <c r="AF680" s="14"/>
      <c r="AG680" s="13"/>
      <c r="AH680" s="14"/>
      <c r="AI680" s="14"/>
      <c r="AJ680" s="8"/>
      <c r="AK680" s="8"/>
      <c r="AL680" s="8"/>
      <c r="AM680" s="8"/>
      <c r="AN680" s="631"/>
      <c r="AO680" s="18"/>
      <c r="AP680" s="18"/>
      <c r="AQ680" s="18"/>
      <c r="AR680" s="18"/>
      <c r="AS680" s="18"/>
      <c r="AU680" s="448"/>
      <c r="AV680" s="448"/>
      <c r="AW680" s="8" t="str">
        <f>IF(C680&gt;0,VLOOKUP(C680,Foundation_Calc!$A$2:$C$986,3,1),
IF(J680&gt;0,VLOOKUP(J680,Foundation_Calc!$A$2:$C$986,3,1),""))</f>
        <v/>
      </c>
      <c r="AX680" s="8" t="str">
        <f>IF(C680&gt;0,VLOOKUP(C680,Foundation_Calc!$E$2:$G$986,3,1),
IF(J680&gt;0,VLOOKUP(J680,Foundation_Calc!$E$2:$G$986,3,1),""))</f>
        <v/>
      </c>
      <c r="AY680" s="631" t="str">
        <f>IF(L680="","",
IF(AX680="PT",VLOOKUP(L680,Foundation_Calc!$K$4:$R$37,VLOOKUP(AW680,Foundation_Calc!$I$2:$J$8,2,FALSE),0),
IF(AX680="K",VLOOKUP(L680,Foundation_Calc!$K$41:$R$74,VLOOKUP(AW680,Foundation_Calc!$I$2:$J$8,2,FALSE),0),"")))</f>
        <v/>
      </c>
      <c r="AZ680" s="631" t="str">
        <f>IF(K680="","",
IF(AX680="PT",VLOOKUP(K680,Foundation_Calc!$K$4:$R$37,VLOOKUP(AW680,Foundation_Calc!$I$2:$J$8,2,FALSE),0),
IF(AX680="K",VLOOKUP(K680,Foundation_Calc!$K$41:$R$74,VLOOKUP(AW680,Foundation_Calc!$I$2:$J$8,2,FALSE),0),"")))</f>
        <v/>
      </c>
      <c r="BA680" s="632" t="str">
        <f t="shared" si="79"/>
        <v/>
      </c>
      <c r="BB680" s="632" t="str">
        <f t="shared" si="80"/>
        <v/>
      </c>
      <c r="BC680" s="632" t="str">
        <f t="shared" si="81"/>
        <v/>
      </c>
      <c r="BD680" s="633" t="str">
        <f>IF(AND(L680="",H680=""),"",
IF(H680="",Pole_Calc!A708,
IF(H680="MP",Pole_Calc!A709,
IF(H680="AnMP",Pole_Calc!A710,
IF(H680="A",Pole_Calc!A711,
IF(H680="S/A",Pole_Calc!A712,
IF(H680="A/S",Pole_Calc!A713,"Poner a mano")))))))</f>
        <v/>
      </c>
      <c r="BE680" s="448" t="s">
        <v>1726</v>
      </c>
      <c r="BF680" s="634"/>
      <c r="BG680" s="634"/>
      <c r="BH680" s="634"/>
      <c r="BI680" s="634"/>
    </row>
    <row r="681" spans="1:61" ht="16.2" customHeight="1">
      <c r="A681" s="12"/>
      <c r="B681" s="446"/>
      <c r="C681" s="89"/>
      <c r="D681" s="13"/>
      <c r="E681" s="14"/>
      <c r="F681" s="14"/>
      <c r="G681" s="15"/>
      <c r="H681" s="8"/>
      <c r="I681" s="8"/>
      <c r="J681" s="89"/>
      <c r="K681" s="8"/>
      <c r="L681" s="8"/>
      <c r="M681" s="8" t="str">
        <f>IF(L681="","",
IF(AX681="PT",VLOOKUP(L681,Foundation_Calc!$V$4:$X$37,VLOOKUP(AX681,Foundation_Calc!$I$10:$J$13,2,FALSE),0),
IF(AX681="K",VLOOKUP(L681,Foundation_Calc!$V$41:$X$74,VLOOKUP(AX681,Foundation_Calc!$I$10:$J$13,2,FALSE),0),"")))</f>
        <v/>
      </c>
      <c r="N681" s="8"/>
      <c r="O681" s="8"/>
      <c r="P681" s="8"/>
      <c r="Q681" s="14"/>
      <c r="R681" s="15"/>
      <c r="S681" s="15"/>
      <c r="T681" s="14"/>
      <c r="U681" s="14"/>
      <c r="V681" s="14"/>
      <c r="W681" s="18"/>
      <c r="X681" s="18"/>
      <c r="Y681" s="18"/>
      <c r="Z681" s="18"/>
      <c r="AA681" s="18"/>
      <c r="AB681" s="18"/>
      <c r="AC681" s="8" t="str">
        <f t="shared" si="78"/>
        <v/>
      </c>
      <c r="AD681" s="8"/>
      <c r="AE681" s="8"/>
      <c r="AF681" s="14"/>
      <c r="AG681" s="13"/>
      <c r="AH681" s="14"/>
      <c r="AI681" s="14"/>
      <c r="AJ681" s="8"/>
      <c r="AK681" s="8"/>
      <c r="AL681" s="8"/>
      <c r="AM681" s="8"/>
      <c r="AN681" s="631"/>
      <c r="AO681" s="18"/>
      <c r="AP681" s="18"/>
      <c r="AQ681" s="18"/>
      <c r="AR681" s="18"/>
      <c r="AS681" s="18"/>
      <c r="AU681" s="448"/>
      <c r="AV681" s="448"/>
      <c r="AW681" s="8" t="str">
        <f>IF(C681&gt;0,VLOOKUP(C681,Foundation_Calc!$A$2:$C$986,3,1),
IF(J681&gt;0,VLOOKUP(J681,Foundation_Calc!$A$2:$C$986,3,1),""))</f>
        <v/>
      </c>
      <c r="AX681" s="8" t="str">
        <f>IF(C681&gt;0,VLOOKUP(C681,Foundation_Calc!$E$2:$G$986,3,1),
IF(J681&gt;0,VLOOKUP(J681,Foundation_Calc!$E$2:$G$986,3,1),""))</f>
        <v/>
      </c>
      <c r="AY681" s="631" t="str">
        <f>IF(L681="","",
IF(AX681="PT",VLOOKUP(L681,Foundation_Calc!$K$4:$R$37,VLOOKUP(AW681,Foundation_Calc!$I$2:$J$8,2,FALSE),0),
IF(AX681="K",VLOOKUP(L681,Foundation_Calc!$K$41:$R$74,VLOOKUP(AW681,Foundation_Calc!$I$2:$J$8,2,FALSE),0),"")))</f>
        <v/>
      </c>
      <c r="AZ681" s="631" t="str">
        <f>IF(K681="","",
IF(AX681="PT",VLOOKUP(K681,Foundation_Calc!$K$4:$R$37,VLOOKUP(AW681,Foundation_Calc!$I$2:$J$8,2,FALSE),0),
IF(AX681="K",VLOOKUP(K681,Foundation_Calc!$K$41:$R$74,VLOOKUP(AW681,Foundation_Calc!$I$2:$J$8,2,FALSE),0),"")))</f>
        <v/>
      </c>
      <c r="BA681" s="632" t="str">
        <f t="shared" si="79"/>
        <v/>
      </c>
      <c r="BB681" s="632" t="str">
        <f t="shared" si="80"/>
        <v/>
      </c>
      <c r="BC681" s="632" t="str">
        <f t="shared" si="81"/>
        <v/>
      </c>
      <c r="BD681" s="633" t="str">
        <f>IF(AND(L681="",H681=""),"",
IF(H681="",Pole_Calc!A709,
IF(H681="MP",Pole_Calc!A710,
IF(H681="AnMP",Pole_Calc!A711,
IF(H681="A",Pole_Calc!A712,
IF(H681="S/A",Pole_Calc!A713,
IF(H681="A/S",Pole_Calc!A714,"Poner a mano")))))))</f>
        <v/>
      </c>
      <c r="BE681" s="448" t="s">
        <v>1726</v>
      </c>
      <c r="BF681" s="635"/>
      <c r="BG681" s="635"/>
      <c r="BH681" s="634"/>
      <c r="BI681" s="635"/>
    </row>
    <row r="682" spans="1:61" ht="16.2" customHeight="1">
      <c r="A682" s="12"/>
      <c r="B682" s="446"/>
      <c r="C682" s="89"/>
      <c r="D682" s="13"/>
      <c r="E682" s="14"/>
      <c r="F682" s="14"/>
      <c r="G682" s="15"/>
      <c r="H682" s="8"/>
      <c r="I682" s="8"/>
      <c r="J682" s="89"/>
      <c r="K682" s="8"/>
      <c r="L682" s="8"/>
      <c r="M682" s="8" t="str">
        <f>IF(L682="","",
IF(AX682="PT",VLOOKUP(L682,Foundation_Calc!$V$4:$X$37,VLOOKUP(AX682,Foundation_Calc!$I$10:$J$13,2,FALSE),0),
IF(AX682="K",VLOOKUP(L682,Foundation_Calc!$V$41:$X$74,VLOOKUP(AX682,Foundation_Calc!$I$10:$J$13,2,FALSE),0),"")))</f>
        <v/>
      </c>
      <c r="N682" s="8"/>
      <c r="O682" s="8"/>
      <c r="P682" s="8"/>
      <c r="Q682" s="14"/>
      <c r="R682" s="15"/>
      <c r="S682" s="15"/>
      <c r="T682" s="14"/>
      <c r="U682" s="14"/>
      <c r="V682" s="14"/>
      <c r="W682" s="18"/>
      <c r="X682" s="18"/>
      <c r="Y682" s="18"/>
      <c r="Z682" s="18"/>
      <c r="AA682" s="18"/>
      <c r="AB682" s="18"/>
      <c r="AC682" s="8" t="str">
        <f t="shared" si="78"/>
        <v/>
      </c>
      <c r="AD682" s="8"/>
      <c r="AE682" s="8"/>
      <c r="AF682" s="14"/>
      <c r="AG682" s="13"/>
      <c r="AH682" s="14"/>
      <c r="AI682" s="14"/>
      <c r="AJ682" s="8"/>
      <c r="AK682" s="8"/>
      <c r="AL682" s="8"/>
      <c r="AM682" s="8"/>
      <c r="AN682" s="631"/>
      <c r="AO682" s="18"/>
      <c r="AP682" s="18"/>
      <c r="AQ682" s="18"/>
      <c r="AR682" s="18"/>
      <c r="AS682" s="18"/>
      <c r="AU682" s="448"/>
      <c r="AV682" s="448"/>
      <c r="AW682" s="8" t="str">
        <f>IF(C682&gt;0,VLOOKUP(C682,Foundation_Calc!$A$2:$C$986,3,1),
IF(J682&gt;0,VLOOKUP(J682,Foundation_Calc!$A$2:$C$986,3,1),""))</f>
        <v/>
      </c>
      <c r="AX682" s="8" t="str">
        <f>IF(C682&gt;0,VLOOKUP(C682,Foundation_Calc!$E$2:$G$986,3,1),
IF(J682&gt;0,VLOOKUP(J682,Foundation_Calc!$E$2:$G$986,3,1),""))</f>
        <v/>
      </c>
      <c r="AY682" s="631" t="str">
        <f>IF(L682="","",
IF(AX682="PT",VLOOKUP(L682,Foundation_Calc!$K$4:$R$37,VLOOKUP(AW682,Foundation_Calc!$I$2:$J$8,2,FALSE),0),
IF(AX682="K",VLOOKUP(L682,Foundation_Calc!$K$41:$R$74,VLOOKUP(AW682,Foundation_Calc!$I$2:$J$8,2,FALSE),0),"")))</f>
        <v/>
      </c>
      <c r="AZ682" s="631" t="str">
        <f>IF(K682="","",
IF(AX682="PT",VLOOKUP(K682,Foundation_Calc!$K$4:$R$37,VLOOKUP(AW682,Foundation_Calc!$I$2:$J$8,2,FALSE),0),
IF(AX682="K",VLOOKUP(K682,Foundation_Calc!$K$41:$R$74,VLOOKUP(AW682,Foundation_Calc!$I$2:$J$8,2,FALSE),0),"")))</f>
        <v/>
      </c>
      <c r="BA682" s="632" t="str">
        <f t="shared" si="79"/>
        <v/>
      </c>
      <c r="BB682" s="632" t="str">
        <f t="shared" si="80"/>
        <v/>
      </c>
      <c r="BC682" s="632" t="str">
        <f t="shared" si="81"/>
        <v/>
      </c>
      <c r="BD682" s="633" t="str">
        <f>IF(AND(L682="",H682=""),"",
IF(H682="",Pole_Calc!A710,
IF(H682="MP",Pole_Calc!A711,
IF(H682="AnMP",Pole_Calc!A712,
IF(H682="A",Pole_Calc!A713,
IF(H682="S/A",Pole_Calc!A714,
IF(H682="A/S",Pole_Calc!A715,"Poner a mano")))))))</f>
        <v/>
      </c>
      <c r="BE682" s="448" t="s">
        <v>1726</v>
      </c>
      <c r="BF682" s="634"/>
      <c r="BG682" s="634"/>
      <c r="BH682" s="634"/>
      <c r="BI682" s="634"/>
    </row>
    <row r="683" spans="1:61" ht="16.2" customHeight="1">
      <c r="A683" s="12"/>
      <c r="B683" s="446"/>
      <c r="C683" s="89"/>
      <c r="D683" s="13"/>
      <c r="E683" s="14"/>
      <c r="F683" s="14"/>
      <c r="G683" s="15"/>
      <c r="H683" s="8"/>
      <c r="I683" s="8"/>
      <c r="J683" s="89"/>
      <c r="K683" s="8"/>
      <c r="L683" s="8"/>
      <c r="M683" s="8" t="str">
        <f>IF(L683="","",
IF(AX683="PT",VLOOKUP(L683,Foundation_Calc!$V$4:$X$37,VLOOKUP(AX683,Foundation_Calc!$I$10:$J$13,2,FALSE),0),
IF(AX683="K",VLOOKUP(L683,Foundation_Calc!$V$41:$X$74,VLOOKUP(AX683,Foundation_Calc!$I$10:$J$13,2,FALSE),0),"")))</f>
        <v/>
      </c>
      <c r="N683" s="8"/>
      <c r="O683" s="8"/>
      <c r="P683" s="8"/>
      <c r="Q683" s="14"/>
      <c r="R683" s="15"/>
      <c r="S683" s="15"/>
      <c r="T683" s="14"/>
      <c r="U683" s="14"/>
      <c r="V683" s="14"/>
      <c r="W683" s="18"/>
      <c r="X683" s="18"/>
      <c r="Y683" s="18"/>
      <c r="Z683" s="18"/>
      <c r="AA683" s="18"/>
      <c r="AB683" s="18"/>
      <c r="AC683" s="8" t="str">
        <f t="shared" si="78"/>
        <v/>
      </c>
      <c r="AD683" s="8"/>
      <c r="AE683" s="8"/>
      <c r="AF683" s="14"/>
      <c r="AG683" s="13"/>
      <c r="AH683" s="14"/>
      <c r="AI683" s="14"/>
      <c r="AJ683" s="8"/>
      <c r="AK683" s="8"/>
      <c r="AL683" s="8"/>
      <c r="AM683" s="8"/>
      <c r="AN683" s="631"/>
      <c r="AO683" s="18"/>
      <c r="AP683" s="18"/>
      <c r="AQ683" s="18"/>
      <c r="AR683" s="18"/>
      <c r="AS683" s="18"/>
      <c r="AU683" s="448"/>
      <c r="AV683" s="448"/>
      <c r="AW683" s="8" t="str">
        <f>IF(C683&gt;0,VLOOKUP(C683,Foundation_Calc!$A$2:$C$986,3,1),
IF(J683&gt;0,VLOOKUP(J683,Foundation_Calc!$A$2:$C$986,3,1),""))</f>
        <v/>
      </c>
      <c r="AX683" s="8" t="str">
        <f>IF(C683&gt;0,VLOOKUP(C683,Foundation_Calc!$E$2:$G$986,3,1),
IF(J683&gt;0,VLOOKUP(J683,Foundation_Calc!$E$2:$G$986,3,1),""))</f>
        <v/>
      </c>
      <c r="AY683" s="631" t="str">
        <f>IF(L683="","",
IF(AX683="PT",VLOOKUP(L683,Foundation_Calc!$K$4:$R$37,VLOOKUP(AW683,Foundation_Calc!$I$2:$J$8,2,FALSE),0),
IF(AX683="K",VLOOKUP(L683,Foundation_Calc!$K$41:$R$74,VLOOKUP(AW683,Foundation_Calc!$I$2:$J$8,2,FALSE),0),"")))</f>
        <v/>
      </c>
      <c r="AZ683" s="631" t="str">
        <f>IF(K683="","",
IF(AX683="PT",VLOOKUP(K683,Foundation_Calc!$K$4:$R$37,VLOOKUP(AW683,Foundation_Calc!$I$2:$J$8,2,FALSE),0),
IF(AX683="K",VLOOKUP(K683,Foundation_Calc!$K$41:$R$74,VLOOKUP(AW683,Foundation_Calc!$I$2:$J$8,2,FALSE),0),"")))</f>
        <v/>
      </c>
      <c r="BA683" s="632" t="str">
        <f t="shared" si="79"/>
        <v/>
      </c>
      <c r="BB683" s="632" t="str">
        <f t="shared" si="80"/>
        <v/>
      </c>
      <c r="BC683" s="632" t="str">
        <f t="shared" si="81"/>
        <v/>
      </c>
      <c r="BD683" s="633" t="str">
        <f>IF(AND(L683="",H683=""),"",
IF(H683="",Pole_Calc!A711,
IF(H683="MP",Pole_Calc!A712,
IF(H683="AnMP",Pole_Calc!A713,
IF(H683="A",Pole_Calc!A714,
IF(H683="S/A",Pole_Calc!A715,
IF(H683="A/S",Pole_Calc!A716,"Poner a mano")))))))</f>
        <v/>
      </c>
      <c r="BE683" s="448" t="s">
        <v>1726</v>
      </c>
      <c r="BF683" s="635"/>
      <c r="BG683" s="635"/>
      <c r="BH683" s="634"/>
      <c r="BI683" s="635"/>
    </row>
    <row r="684" spans="1:61" ht="16.2" customHeight="1">
      <c r="A684" s="12"/>
      <c r="B684" s="446"/>
      <c r="C684" s="89"/>
      <c r="D684" s="13"/>
      <c r="E684" s="14"/>
      <c r="F684" s="14"/>
      <c r="G684" s="15"/>
      <c r="H684" s="8"/>
      <c r="I684" s="8"/>
      <c r="J684" s="89"/>
      <c r="K684" s="8"/>
      <c r="L684" s="8"/>
      <c r="M684" s="8" t="str">
        <f>IF(L684="","",
IF(AX684="PT",VLOOKUP(L684,Foundation_Calc!$V$4:$X$37,VLOOKUP(AX684,Foundation_Calc!$I$10:$J$13,2,FALSE),0),
IF(AX684="K",VLOOKUP(L684,Foundation_Calc!$V$41:$X$74,VLOOKUP(AX684,Foundation_Calc!$I$10:$J$13,2,FALSE),0),"")))</f>
        <v/>
      </c>
      <c r="N684" s="8"/>
      <c r="O684" s="8"/>
      <c r="P684" s="8"/>
      <c r="Q684" s="14"/>
      <c r="R684" s="15"/>
      <c r="S684" s="15"/>
      <c r="T684" s="14"/>
      <c r="U684" s="14"/>
      <c r="V684" s="14"/>
      <c r="W684" s="18"/>
      <c r="X684" s="18"/>
      <c r="Y684" s="18"/>
      <c r="Z684" s="18"/>
      <c r="AA684" s="18"/>
      <c r="AB684" s="18"/>
      <c r="AC684" s="8" t="str">
        <f t="shared" si="78"/>
        <v/>
      </c>
      <c r="AD684" s="8"/>
      <c r="AE684" s="8"/>
      <c r="AF684" s="14"/>
      <c r="AG684" s="13"/>
      <c r="AH684" s="14"/>
      <c r="AI684" s="14"/>
      <c r="AJ684" s="8"/>
      <c r="AK684" s="8"/>
      <c r="AL684" s="8"/>
      <c r="AM684" s="8"/>
      <c r="AN684" s="631"/>
      <c r="AO684" s="18"/>
      <c r="AP684" s="18"/>
      <c r="AQ684" s="18"/>
      <c r="AR684" s="18"/>
      <c r="AS684" s="18"/>
      <c r="AU684" s="448"/>
      <c r="AV684" s="448"/>
      <c r="AW684" s="8" t="str">
        <f>IF(C684&gt;0,VLOOKUP(C684,Foundation_Calc!$A$2:$C$986,3,1),
IF(J684&gt;0,VLOOKUP(J684,Foundation_Calc!$A$2:$C$986,3,1),""))</f>
        <v/>
      </c>
      <c r="AX684" s="8" t="str">
        <f>IF(C684&gt;0,VLOOKUP(C684,Foundation_Calc!$E$2:$G$986,3,1),
IF(J684&gt;0,VLOOKUP(J684,Foundation_Calc!$E$2:$G$986,3,1),""))</f>
        <v/>
      </c>
      <c r="AY684" s="631" t="str">
        <f>IF(L684="","",
IF(AX684="PT",VLOOKUP(L684,Foundation_Calc!$K$4:$R$37,VLOOKUP(AW684,Foundation_Calc!$I$2:$J$8,2,FALSE),0),
IF(AX684="K",VLOOKUP(L684,Foundation_Calc!$K$41:$R$74,VLOOKUP(AW684,Foundation_Calc!$I$2:$J$8,2,FALSE),0),"")))</f>
        <v/>
      </c>
      <c r="AZ684" s="631" t="str">
        <f>IF(K684="","",
IF(AX684="PT",VLOOKUP(K684,Foundation_Calc!$K$4:$R$37,VLOOKUP(AW684,Foundation_Calc!$I$2:$J$8,2,FALSE),0),
IF(AX684="K",VLOOKUP(K684,Foundation_Calc!$K$41:$R$74,VLOOKUP(AW684,Foundation_Calc!$I$2:$J$8,2,FALSE),0),"")))</f>
        <v/>
      </c>
      <c r="BA684" s="632" t="str">
        <f t="shared" si="79"/>
        <v/>
      </c>
      <c r="BB684" s="632" t="str">
        <f t="shared" si="80"/>
        <v/>
      </c>
      <c r="BC684" s="632" t="str">
        <f t="shared" si="81"/>
        <v/>
      </c>
      <c r="BD684" s="633" t="str">
        <f>IF(AND(L684="",H684=""),"",
IF(H684="",Pole_Calc!A712,
IF(H684="MP",Pole_Calc!A713,
IF(H684="AnMP",Pole_Calc!A714,
IF(H684="A",Pole_Calc!A715,
IF(H684="S/A",Pole_Calc!A716,
IF(H684="A/S",Pole_Calc!A717,"Poner a mano")))))))</f>
        <v/>
      </c>
      <c r="BE684" s="448" t="s">
        <v>1726</v>
      </c>
      <c r="BF684" s="634"/>
      <c r="BG684" s="634"/>
      <c r="BH684" s="634"/>
      <c r="BI684" s="634"/>
    </row>
    <row r="685" spans="1:61" ht="16.2" customHeight="1">
      <c r="A685" s="12"/>
      <c r="B685" s="446"/>
      <c r="C685" s="89"/>
      <c r="D685" s="13"/>
      <c r="E685" s="14"/>
      <c r="F685" s="14"/>
      <c r="G685" s="15"/>
      <c r="H685" s="8"/>
      <c r="I685" s="8"/>
      <c r="J685" s="89"/>
      <c r="K685" s="8"/>
      <c r="L685" s="8"/>
      <c r="M685" s="8" t="str">
        <f>IF(L685="","",
IF(AX685="PT",VLOOKUP(L685,Foundation_Calc!$V$4:$X$37,VLOOKUP(AX685,Foundation_Calc!$I$10:$J$13,2,FALSE),0),
IF(AX685="K",VLOOKUP(L685,Foundation_Calc!$V$41:$X$74,VLOOKUP(AX685,Foundation_Calc!$I$10:$J$13,2,FALSE),0),"")))</f>
        <v/>
      </c>
      <c r="N685" s="8"/>
      <c r="O685" s="8"/>
      <c r="P685" s="8"/>
      <c r="Q685" s="14"/>
      <c r="R685" s="15"/>
      <c r="S685" s="15"/>
      <c r="T685" s="14"/>
      <c r="U685" s="14"/>
      <c r="V685" s="14"/>
      <c r="W685" s="18"/>
      <c r="X685" s="18"/>
      <c r="Y685" s="18"/>
      <c r="Z685" s="18"/>
      <c r="AA685" s="18"/>
      <c r="AB685" s="18"/>
      <c r="AC685" s="8" t="str">
        <f t="shared" si="78"/>
        <v/>
      </c>
      <c r="AD685" s="8"/>
      <c r="AE685" s="8"/>
      <c r="AF685" s="14"/>
      <c r="AG685" s="13"/>
      <c r="AH685" s="14"/>
      <c r="AI685" s="14"/>
      <c r="AJ685" s="8"/>
      <c r="AK685" s="8"/>
      <c r="AL685" s="8"/>
      <c r="AM685" s="8"/>
      <c r="AN685" s="631"/>
      <c r="AO685" s="18"/>
      <c r="AP685" s="18"/>
      <c r="AQ685" s="18"/>
      <c r="AR685" s="18"/>
      <c r="AS685" s="18"/>
      <c r="AU685" s="448"/>
      <c r="AV685" s="448"/>
      <c r="AW685" s="8" t="str">
        <f>IF(C685&gt;0,VLOOKUP(C685,Foundation_Calc!$A$2:$C$986,3,1),
IF(J685&gt;0,VLOOKUP(J685,Foundation_Calc!$A$2:$C$986,3,1),""))</f>
        <v/>
      </c>
      <c r="AX685" s="8" t="str">
        <f>IF(C685&gt;0,VLOOKUP(C685,Foundation_Calc!$E$2:$G$986,3,1),
IF(J685&gt;0,VLOOKUP(J685,Foundation_Calc!$E$2:$G$986,3,1),""))</f>
        <v/>
      </c>
      <c r="AY685" s="631" t="str">
        <f>IF(L685="","",
IF(AX685="PT",VLOOKUP(L685,Foundation_Calc!$K$4:$R$37,VLOOKUP(AW685,Foundation_Calc!$I$2:$J$8,2,FALSE),0),
IF(AX685="K",VLOOKUP(L685,Foundation_Calc!$K$41:$R$74,VLOOKUP(AW685,Foundation_Calc!$I$2:$J$8,2,FALSE),0),"")))</f>
        <v/>
      </c>
      <c r="AZ685" s="631" t="str">
        <f>IF(K685="","",
IF(AX685="PT",VLOOKUP(K685,Foundation_Calc!$K$4:$R$37,VLOOKUP(AW685,Foundation_Calc!$I$2:$J$8,2,FALSE),0),
IF(AX685="K",VLOOKUP(K685,Foundation_Calc!$K$41:$R$74,VLOOKUP(AW685,Foundation_Calc!$I$2:$J$8,2,FALSE),0),"")))</f>
        <v/>
      </c>
      <c r="BA685" s="632" t="str">
        <f t="shared" si="79"/>
        <v/>
      </c>
      <c r="BB685" s="632" t="str">
        <f t="shared" si="80"/>
        <v/>
      </c>
      <c r="BC685" s="632" t="str">
        <f t="shared" si="81"/>
        <v/>
      </c>
      <c r="BD685" s="633" t="str">
        <f>IF(AND(L685="",H685=""),"",
IF(H685="",Pole_Calc!A713,
IF(H685="MP",Pole_Calc!A714,
IF(H685="AnMP",Pole_Calc!A715,
IF(H685="A",Pole_Calc!A716,
IF(H685="S/A",Pole_Calc!A717,
IF(H685="A/S",Pole_Calc!A718,"Poner a mano")))))))</f>
        <v/>
      </c>
      <c r="BE685" s="448" t="s">
        <v>1726</v>
      </c>
      <c r="BF685" s="635"/>
      <c r="BG685" s="635"/>
      <c r="BH685" s="634"/>
      <c r="BI685" s="635"/>
    </row>
    <row r="686" spans="1:61" ht="16.2" customHeight="1">
      <c r="A686" s="12"/>
      <c r="B686" s="446"/>
      <c r="C686" s="89"/>
      <c r="D686" s="13"/>
      <c r="E686" s="14"/>
      <c r="F686" s="14"/>
      <c r="G686" s="15"/>
      <c r="H686" s="8"/>
      <c r="I686" s="8"/>
      <c r="J686" s="89"/>
      <c r="K686" s="8"/>
      <c r="L686" s="8"/>
      <c r="M686" s="8" t="str">
        <f>IF(L686="","",
IF(AX686="PT",VLOOKUP(L686,Foundation_Calc!$V$4:$X$37,VLOOKUP(AX686,Foundation_Calc!$I$10:$J$13,2,FALSE),0),
IF(AX686="K",VLOOKUP(L686,Foundation_Calc!$V$41:$X$74,VLOOKUP(AX686,Foundation_Calc!$I$10:$J$13,2,FALSE),0),"")))</f>
        <v/>
      </c>
      <c r="N686" s="8"/>
      <c r="O686" s="8"/>
      <c r="P686" s="8"/>
      <c r="Q686" s="14"/>
      <c r="R686" s="15"/>
      <c r="S686" s="15"/>
      <c r="T686" s="14"/>
      <c r="U686" s="14"/>
      <c r="V686" s="14"/>
      <c r="W686" s="18"/>
      <c r="X686" s="18"/>
      <c r="Y686" s="18"/>
      <c r="Z686" s="18"/>
      <c r="AA686" s="18"/>
      <c r="AB686" s="18"/>
      <c r="AC686" s="8" t="str">
        <f t="shared" si="78"/>
        <v/>
      </c>
      <c r="AD686" s="8"/>
      <c r="AE686" s="8"/>
      <c r="AF686" s="14"/>
      <c r="AG686" s="13"/>
      <c r="AH686" s="14"/>
      <c r="AI686" s="14"/>
      <c r="AJ686" s="8"/>
      <c r="AK686" s="8"/>
      <c r="AL686" s="8"/>
      <c r="AM686" s="8"/>
      <c r="AN686" s="631"/>
      <c r="AO686" s="18"/>
      <c r="AP686" s="18"/>
      <c r="AQ686" s="18"/>
      <c r="AR686" s="18"/>
      <c r="AS686" s="18"/>
      <c r="AU686" s="448"/>
      <c r="AV686" s="448"/>
      <c r="AW686" s="8" t="str">
        <f>IF(C686&gt;0,VLOOKUP(C686,Foundation_Calc!$A$2:$C$986,3,1),
IF(J686&gt;0,VLOOKUP(J686,Foundation_Calc!$A$2:$C$986,3,1),""))</f>
        <v/>
      </c>
      <c r="AX686" s="8" t="str">
        <f>IF(C686&gt;0,VLOOKUP(C686,Foundation_Calc!$E$2:$G$986,3,1),
IF(J686&gt;0,VLOOKUP(J686,Foundation_Calc!$E$2:$G$986,3,1),""))</f>
        <v/>
      </c>
      <c r="AY686" s="631" t="str">
        <f>IF(L686="","",
IF(AX686="PT",VLOOKUP(L686,Foundation_Calc!$K$4:$R$37,VLOOKUP(AW686,Foundation_Calc!$I$2:$J$8,2,FALSE),0),
IF(AX686="K",VLOOKUP(L686,Foundation_Calc!$K$41:$R$74,VLOOKUP(AW686,Foundation_Calc!$I$2:$J$8,2,FALSE),0),"")))</f>
        <v/>
      </c>
      <c r="AZ686" s="631" t="str">
        <f>IF(K686="","",
IF(AX686="PT",VLOOKUP(K686,Foundation_Calc!$K$4:$R$37,VLOOKUP(AW686,Foundation_Calc!$I$2:$J$8,2,FALSE),0),
IF(AX686="K",VLOOKUP(K686,Foundation_Calc!$K$41:$R$74,VLOOKUP(AW686,Foundation_Calc!$I$2:$J$8,2,FALSE),0),"")))</f>
        <v/>
      </c>
      <c r="BA686" s="632" t="str">
        <f t="shared" si="79"/>
        <v/>
      </c>
      <c r="BB686" s="632" t="str">
        <f t="shared" si="80"/>
        <v/>
      </c>
      <c r="BC686" s="632" t="str">
        <f t="shared" si="81"/>
        <v/>
      </c>
      <c r="BD686" s="633" t="str">
        <f>IF(AND(L686="",H686=""),"",
IF(H686="",Pole_Calc!A714,
IF(H686="MP",Pole_Calc!A715,
IF(H686="AnMP",Pole_Calc!A716,
IF(H686="A",Pole_Calc!A717,
IF(H686="S/A",Pole_Calc!A718,
IF(H686="A/S",Pole_Calc!A719,"Poner a mano")))))))</f>
        <v/>
      </c>
      <c r="BE686" s="448" t="s">
        <v>1726</v>
      </c>
      <c r="BF686" s="634"/>
      <c r="BG686" s="634"/>
      <c r="BH686" s="634"/>
      <c r="BI686" s="634"/>
    </row>
    <row r="687" spans="1:61" ht="16.2" customHeight="1">
      <c r="A687" s="12"/>
      <c r="B687" s="446"/>
      <c r="C687" s="89"/>
      <c r="D687" s="13"/>
      <c r="E687" s="14"/>
      <c r="F687" s="14"/>
      <c r="G687" s="15"/>
      <c r="H687" s="8"/>
      <c r="I687" s="8"/>
      <c r="J687" s="89"/>
      <c r="K687" s="8"/>
      <c r="L687" s="8"/>
      <c r="M687" s="8" t="str">
        <f>IF(L687="","",
IF(AX687="PT",VLOOKUP(L687,Foundation_Calc!$V$4:$X$37,VLOOKUP(AX687,Foundation_Calc!$I$10:$J$13,2,FALSE),0),
IF(AX687="K",VLOOKUP(L687,Foundation_Calc!$V$41:$X$74,VLOOKUP(AX687,Foundation_Calc!$I$10:$J$13,2,FALSE),0),"")))</f>
        <v/>
      </c>
      <c r="N687" s="8"/>
      <c r="O687" s="8"/>
      <c r="P687" s="8"/>
      <c r="Q687" s="14"/>
      <c r="R687" s="15"/>
      <c r="S687" s="15"/>
      <c r="T687" s="14"/>
      <c r="U687" s="14"/>
      <c r="V687" s="14"/>
      <c r="W687" s="18"/>
      <c r="X687" s="18"/>
      <c r="Y687" s="18"/>
      <c r="Z687" s="18"/>
      <c r="AA687" s="18"/>
      <c r="AB687" s="18"/>
      <c r="AC687" s="8" t="str">
        <f t="shared" si="78"/>
        <v/>
      </c>
      <c r="AD687" s="8"/>
      <c r="AE687" s="8"/>
      <c r="AF687" s="14"/>
      <c r="AG687" s="13"/>
      <c r="AH687" s="14"/>
      <c r="AI687" s="14"/>
      <c r="AJ687" s="8"/>
      <c r="AK687" s="8"/>
      <c r="AL687" s="8"/>
      <c r="AM687" s="8"/>
      <c r="AN687" s="631"/>
      <c r="AO687" s="18"/>
      <c r="AP687" s="18"/>
      <c r="AQ687" s="18"/>
      <c r="AR687" s="18"/>
      <c r="AS687" s="18"/>
      <c r="AU687" s="448"/>
      <c r="AV687" s="448"/>
      <c r="AW687" s="8" t="str">
        <f>IF(C687&gt;0,VLOOKUP(C687,Foundation_Calc!$A$2:$C$986,3,1),
IF(J687&gt;0,VLOOKUP(J687,Foundation_Calc!$A$2:$C$986,3,1),""))</f>
        <v/>
      </c>
      <c r="AX687" s="8" t="str">
        <f>IF(C687&gt;0,VLOOKUP(C687,Foundation_Calc!$E$2:$G$986,3,1),
IF(J687&gt;0,VLOOKUP(J687,Foundation_Calc!$E$2:$G$986,3,1),""))</f>
        <v/>
      </c>
      <c r="AY687" s="631" t="str">
        <f>IF(L687="","",
IF(AX687="PT",VLOOKUP(L687,Foundation_Calc!$K$4:$R$37,VLOOKUP(AW687,Foundation_Calc!$I$2:$J$8,2,FALSE),0),
IF(AX687="K",VLOOKUP(L687,Foundation_Calc!$K$41:$R$74,VLOOKUP(AW687,Foundation_Calc!$I$2:$J$8,2,FALSE),0),"")))</f>
        <v/>
      </c>
      <c r="AZ687" s="631" t="str">
        <f>IF(K687="","",
IF(AX687="PT",VLOOKUP(K687,Foundation_Calc!$K$4:$R$37,VLOOKUP(AW687,Foundation_Calc!$I$2:$J$8,2,FALSE),0),
IF(AX687="K",VLOOKUP(K687,Foundation_Calc!$K$41:$R$74,VLOOKUP(AW687,Foundation_Calc!$I$2:$J$8,2,FALSE),0),"")))</f>
        <v/>
      </c>
      <c r="BA687" s="632" t="str">
        <f t="shared" si="79"/>
        <v/>
      </c>
      <c r="BB687" s="632" t="str">
        <f t="shared" si="80"/>
        <v/>
      </c>
      <c r="BC687" s="632" t="str">
        <f t="shared" si="81"/>
        <v/>
      </c>
      <c r="BD687" s="633" t="str">
        <f>IF(AND(L687="",H687=""),"",
IF(H687="",Pole_Calc!A715,
IF(H687="MP",Pole_Calc!A716,
IF(H687="AnMP",Pole_Calc!A717,
IF(H687="A",Pole_Calc!A718,
IF(H687="S/A",Pole_Calc!A719,
IF(H687="A/S",Pole_Calc!A720,"Poner a mano")))))))</f>
        <v/>
      </c>
      <c r="BE687" s="448" t="s">
        <v>1726</v>
      </c>
      <c r="BF687" s="635"/>
      <c r="BG687" s="635"/>
      <c r="BH687" s="634"/>
      <c r="BI687" s="635"/>
    </row>
    <row r="688" spans="1:61" ht="16.2" customHeight="1">
      <c r="A688" s="12"/>
      <c r="B688" s="446"/>
      <c r="C688" s="89"/>
      <c r="D688" s="13"/>
      <c r="E688" s="14"/>
      <c r="F688" s="14"/>
      <c r="G688" s="15"/>
      <c r="H688" s="8"/>
      <c r="I688" s="8"/>
      <c r="J688" s="89"/>
      <c r="K688" s="8"/>
      <c r="L688" s="8"/>
      <c r="M688" s="8" t="str">
        <f>IF(L688="","",
IF(AX688="PT",VLOOKUP(L688,Foundation_Calc!$V$4:$X$37,VLOOKUP(AX688,Foundation_Calc!$I$10:$J$13,2,FALSE),0),
IF(AX688="K",VLOOKUP(L688,Foundation_Calc!$V$41:$X$74,VLOOKUP(AX688,Foundation_Calc!$I$10:$J$13,2,FALSE),0),"")))</f>
        <v/>
      </c>
      <c r="N688" s="8"/>
      <c r="O688" s="8"/>
      <c r="P688" s="8"/>
      <c r="Q688" s="14"/>
      <c r="R688" s="15"/>
      <c r="S688" s="15"/>
      <c r="T688" s="14"/>
      <c r="U688" s="14"/>
      <c r="V688" s="14"/>
      <c r="W688" s="18"/>
      <c r="X688" s="18"/>
      <c r="Y688" s="18"/>
      <c r="Z688" s="18"/>
      <c r="AA688" s="18"/>
      <c r="AB688" s="18"/>
      <c r="AC688" s="8" t="str">
        <f t="shared" si="78"/>
        <v/>
      </c>
      <c r="AD688" s="8"/>
      <c r="AE688" s="8"/>
      <c r="AF688" s="14"/>
      <c r="AG688" s="13"/>
      <c r="AH688" s="14"/>
      <c r="AI688" s="14"/>
      <c r="AJ688" s="8"/>
      <c r="AK688" s="8"/>
      <c r="AL688" s="8"/>
      <c r="AM688" s="8"/>
      <c r="AN688" s="631"/>
      <c r="AO688" s="18"/>
      <c r="AP688" s="18"/>
      <c r="AQ688" s="18"/>
      <c r="AR688" s="18"/>
      <c r="AS688" s="18"/>
      <c r="AU688" s="448"/>
      <c r="AV688" s="448"/>
      <c r="AW688" s="8" t="str">
        <f>IF(C688&gt;0,VLOOKUP(C688,Foundation_Calc!$A$2:$C$986,3,1),
IF(J688&gt;0,VLOOKUP(J688,Foundation_Calc!$A$2:$C$986,3,1),""))</f>
        <v/>
      </c>
      <c r="AX688" s="8" t="str">
        <f>IF(C688&gt;0,VLOOKUP(C688,Foundation_Calc!$E$2:$G$986,3,1),
IF(J688&gt;0,VLOOKUP(J688,Foundation_Calc!$E$2:$G$986,3,1),""))</f>
        <v/>
      </c>
      <c r="AY688" s="631" t="str">
        <f>IF(L688="","",
IF(AX688="PT",VLOOKUP(L688,Foundation_Calc!$K$4:$R$37,VLOOKUP(AW688,Foundation_Calc!$I$2:$J$8,2,FALSE),0),
IF(AX688="K",VLOOKUP(L688,Foundation_Calc!$K$41:$R$74,VLOOKUP(AW688,Foundation_Calc!$I$2:$J$8,2,FALSE),0),"")))</f>
        <v/>
      </c>
      <c r="AZ688" s="631" t="str">
        <f>IF(K688="","",
IF(AX688="PT",VLOOKUP(K688,Foundation_Calc!$K$4:$R$37,VLOOKUP(AW688,Foundation_Calc!$I$2:$J$8,2,FALSE),0),
IF(AX688="K",VLOOKUP(K688,Foundation_Calc!$K$41:$R$74,VLOOKUP(AW688,Foundation_Calc!$I$2:$J$8,2,FALSE),0),"")))</f>
        <v/>
      </c>
      <c r="BA688" s="632" t="str">
        <f t="shared" si="79"/>
        <v/>
      </c>
      <c r="BB688" s="632" t="str">
        <f t="shared" si="80"/>
        <v/>
      </c>
      <c r="BC688" s="632" t="str">
        <f t="shared" si="81"/>
        <v/>
      </c>
      <c r="BD688" s="633" t="str">
        <f>IF(AND(L688="",H688=""),"",
IF(H688="",Pole_Calc!A716,
IF(H688="MP",Pole_Calc!A717,
IF(H688="AnMP",Pole_Calc!A718,
IF(H688="A",Pole_Calc!A719,
IF(H688="S/A",Pole_Calc!A720,
IF(H688="A/S",Pole_Calc!A721,"Poner a mano")))))))</f>
        <v/>
      </c>
      <c r="BE688" s="448" t="s">
        <v>1726</v>
      </c>
      <c r="BF688" s="634"/>
      <c r="BG688" s="634"/>
      <c r="BH688" s="634"/>
      <c r="BI688" s="634"/>
    </row>
    <row r="689" spans="1:61" ht="16.2" customHeight="1">
      <c r="A689" s="12"/>
      <c r="B689" s="446"/>
      <c r="C689" s="89"/>
      <c r="D689" s="13"/>
      <c r="E689" s="14"/>
      <c r="F689" s="14"/>
      <c r="G689" s="15"/>
      <c r="H689" s="8"/>
      <c r="I689" s="8"/>
      <c r="J689" s="89"/>
      <c r="K689" s="8"/>
      <c r="L689" s="8"/>
      <c r="M689" s="8" t="str">
        <f>IF(L689="","",
IF(AX689="PT",VLOOKUP(L689,Foundation_Calc!$V$4:$X$37,VLOOKUP(AX689,Foundation_Calc!$I$10:$J$13,2,FALSE),0),
IF(AX689="K",VLOOKUP(L689,Foundation_Calc!$V$41:$X$74,VLOOKUP(AX689,Foundation_Calc!$I$10:$J$13,2,FALSE),0),"")))</f>
        <v/>
      </c>
      <c r="N689" s="8"/>
      <c r="O689" s="8"/>
      <c r="P689" s="8"/>
      <c r="Q689" s="14"/>
      <c r="R689" s="15"/>
      <c r="S689" s="15"/>
      <c r="T689" s="14"/>
      <c r="U689" s="14"/>
      <c r="V689" s="14"/>
      <c r="W689" s="18"/>
      <c r="X689" s="18"/>
      <c r="Y689" s="18"/>
      <c r="Z689" s="18"/>
      <c r="AA689" s="18"/>
      <c r="AB689" s="18"/>
      <c r="AC689" s="8" t="str">
        <f t="shared" si="78"/>
        <v/>
      </c>
      <c r="AD689" s="8"/>
      <c r="AE689" s="8"/>
      <c r="AF689" s="14"/>
      <c r="AG689" s="13"/>
      <c r="AH689" s="14"/>
      <c r="AI689" s="14"/>
      <c r="AJ689" s="8"/>
      <c r="AK689" s="8"/>
      <c r="AL689" s="8"/>
      <c r="AM689" s="8"/>
      <c r="AN689" s="631"/>
      <c r="AO689" s="18"/>
      <c r="AP689" s="18"/>
      <c r="AQ689" s="18"/>
      <c r="AR689" s="18"/>
      <c r="AS689" s="18"/>
      <c r="AU689" s="448"/>
      <c r="AV689" s="448"/>
      <c r="AW689" s="8" t="str">
        <f>IF(C689&gt;0,VLOOKUP(C689,Foundation_Calc!$A$2:$C$986,3,1),
IF(J689&gt;0,VLOOKUP(J689,Foundation_Calc!$A$2:$C$986,3,1),""))</f>
        <v/>
      </c>
      <c r="AX689" s="8" t="str">
        <f>IF(C689&gt;0,VLOOKUP(C689,Foundation_Calc!$E$2:$G$986,3,1),
IF(J689&gt;0,VLOOKUP(J689,Foundation_Calc!$E$2:$G$986,3,1),""))</f>
        <v/>
      </c>
      <c r="AY689" s="631" t="str">
        <f>IF(L689="","",
IF(AX689="PT",VLOOKUP(L689,Foundation_Calc!$K$4:$R$37,VLOOKUP(AW689,Foundation_Calc!$I$2:$J$8,2,FALSE),0),
IF(AX689="K",VLOOKUP(L689,Foundation_Calc!$K$41:$R$74,VLOOKUP(AW689,Foundation_Calc!$I$2:$J$8,2,FALSE),0),"")))</f>
        <v/>
      </c>
      <c r="AZ689" s="631" t="str">
        <f>IF(K689="","",
IF(AX689="PT",VLOOKUP(K689,Foundation_Calc!$K$4:$R$37,VLOOKUP(AW689,Foundation_Calc!$I$2:$J$8,2,FALSE),0),
IF(AX689="K",VLOOKUP(K689,Foundation_Calc!$K$41:$R$74,VLOOKUP(AW689,Foundation_Calc!$I$2:$J$8,2,FALSE),0),"")))</f>
        <v/>
      </c>
      <c r="BA689" s="632" t="str">
        <f t="shared" si="79"/>
        <v/>
      </c>
      <c r="BB689" s="632" t="str">
        <f t="shared" si="80"/>
        <v/>
      </c>
      <c r="BC689" s="632" t="str">
        <f t="shared" si="81"/>
        <v/>
      </c>
      <c r="BD689" s="633" t="str">
        <f>IF(AND(L689="",H689=""),"",
IF(H689="",Pole_Calc!A717,
IF(H689="MP",Pole_Calc!A718,
IF(H689="AnMP",Pole_Calc!A719,
IF(H689="A",Pole_Calc!A720,
IF(H689="S/A",Pole_Calc!A721,
IF(H689="A/S",Pole_Calc!A722,"Poner a mano")))))))</f>
        <v/>
      </c>
      <c r="BE689" s="448" t="s">
        <v>1726</v>
      </c>
      <c r="BF689" s="635"/>
      <c r="BG689" s="635"/>
      <c r="BH689" s="634"/>
      <c r="BI689" s="635"/>
    </row>
    <row r="690" spans="1:61" ht="16.2" customHeight="1">
      <c r="A690" s="12"/>
      <c r="B690" s="446"/>
      <c r="C690" s="89"/>
      <c r="D690" s="13"/>
      <c r="E690" s="14"/>
      <c r="F690" s="14"/>
      <c r="G690" s="15"/>
      <c r="H690" s="8"/>
      <c r="I690" s="8"/>
      <c r="J690" s="89"/>
      <c r="K690" s="8"/>
      <c r="L690" s="8"/>
      <c r="M690" s="8" t="str">
        <f>IF(L690="","",
IF(AX690="PT",VLOOKUP(L690,Foundation_Calc!$V$4:$X$37,VLOOKUP(AX690,Foundation_Calc!$I$10:$J$13,2,FALSE),0),
IF(AX690="K",VLOOKUP(L690,Foundation_Calc!$V$41:$X$74,VLOOKUP(AX690,Foundation_Calc!$I$10:$J$13,2,FALSE),0),"")))</f>
        <v/>
      </c>
      <c r="N690" s="8"/>
      <c r="O690" s="8"/>
      <c r="P690" s="8"/>
      <c r="Q690" s="14"/>
      <c r="R690" s="15"/>
      <c r="S690" s="15"/>
      <c r="T690" s="14"/>
      <c r="U690" s="14"/>
      <c r="V690" s="14"/>
      <c r="W690" s="18"/>
      <c r="X690" s="18"/>
      <c r="Y690" s="18"/>
      <c r="Z690" s="18"/>
      <c r="AA690" s="18"/>
      <c r="AB690" s="18"/>
      <c r="AC690" s="8" t="str">
        <f t="shared" si="78"/>
        <v/>
      </c>
      <c r="AD690" s="8"/>
      <c r="AE690" s="8"/>
      <c r="AF690" s="14"/>
      <c r="AG690" s="13"/>
      <c r="AH690" s="14"/>
      <c r="AI690" s="14"/>
      <c r="AJ690" s="8"/>
      <c r="AK690" s="8"/>
      <c r="AL690" s="8"/>
      <c r="AM690" s="8"/>
      <c r="AN690" s="631"/>
      <c r="AO690" s="18"/>
      <c r="AP690" s="18"/>
      <c r="AQ690" s="18"/>
      <c r="AR690" s="18"/>
      <c r="AS690" s="18"/>
      <c r="AU690" s="448"/>
      <c r="AV690" s="448"/>
      <c r="AW690" s="8" t="str">
        <f>IF(C690&gt;0,VLOOKUP(C690,Foundation_Calc!$A$2:$C$986,3,1),
IF(J690&gt;0,VLOOKUP(J690,Foundation_Calc!$A$2:$C$986,3,1),""))</f>
        <v/>
      </c>
      <c r="AX690" s="8" t="str">
        <f>IF(C690&gt;0,VLOOKUP(C690,Foundation_Calc!$E$2:$G$986,3,1),
IF(J690&gt;0,VLOOKUP(J690,Foundation_Calc!$E$2:$G$986,3,1),""))</f>
        <v/>
      </c>
      <c r="AY690" s="631" t="str">
        <f>IF(L690="","",
IF(AX690="PT",VLOOKUP(L690,Foundation_Calc!$K$4:$R$37,VLOOKUP(AW690,Foundation_Calc!$I$2:$J$8,2,FALSE),0),
IF(AX690="K",VLOOKUP(L690,Foundation_Calc!$K$41:$R$74,VLOOKUP(AW690,Foundation_Calc!$I$2:$J$8,2,FALSE),0),"")))</f>
        <v/>
      </c>
      <c r="AZ690" s="631" t="str">
        <f>IF(K690="","",
IF(AX690="PT",VLOOKUP(K690,Foundation_Calc!$K$4:$R$37,VLOOKUP(AW690,Foundation_Calc!$I$2:$J$8,2,FALSE),0),
IF(AX690="K",VLOOKUP(K690,Foundation_Calc!$K$41:$R$74,VLOOKUP(AW690,Foundation_Calc!$I$2:$J$8,2,FALSE),0),"")))</f>
        <v/>
      </c>
      <c r="BA690" s="632" t="str">
        <f t="shared" si="79"/>
        <v/>
      </c>
      <c r="BB690" s="632" t="str">
        <f t="shared" si="80"/>
        <v/>
      </c>
      <c r="BC690" s="632" t="str">
        <f t="shared" si="81"/>
        <v/>
      </c>
      <c r="BD690" s="633" t="str">
        <f>IF(AND(L690="",H690=""),"",
IF(H690="",Pole_Calc!A718,
IF(H690="MP",Pole_Calc!A719,
IF(H690="AnMP",Pole_Calc!A720,
IF(H690="A",Pole_Calc!A721,
IF(H690="S/A",Pole_Calc!A722,
IF(H690="A/S",Pole_Calc!A723,"Poner a mano")))))))</f>
        <v/>
      </c>
      <c r="BE690" s="448" t="s">
        <v>1726</v>
      </c>
      <c r="BF690" s="634"/>
      <c r="BG690" s="634"/>
      <c r="BH690" s="634"/>
      <c r="BI690" s="634"/>
    </row>
    <row r="691" spans="1:61" ht="16.2" customHeight="1">
      <c r="A691" s="12"/>
      <c r="B691" s="446"/>
      <c r="C691" s="89"/>
      <c r="D691" s="13"/>
      <c r="E691" s="14"/>
      <c r="F691" s="14"/>
      <c r="G691" s="15"/>
      <c r="H691" s="8"/>
      <c r="I691" s="8"/>
      <c r="J691" s="89"/>
      <c r="K691" s="8"/>
      <c r="L691" s="8"/>
      <c r="M691" s="8" t="str">
        <f>IF(L691="","",
IF(AX691="PT",VLOOKUP(L691,Foundation_Calc!$V$4:$X$37,VLOOKUP(AX691,Foundation_Calc!$I$10:$J$13,2,FALSE),0),
IF(AX691="K",VLOOKUP(L691,Foundation_Calc!$V$41:$X$74,VLOOKUP(AX691,Foundation_Calc!$I$10:$J$13,2,FALSE),0),"")))</f>
        <v/>
      </c>
      <c r="N691" s="8"/>
      <c r="O691" s="8"/>
      <c r="P691" s="8"/>
      <c r="Q691" s="14"/>
      <c r="R691" s="15"/>
      <c r="S691" s="15"/>
      <c r="T691" s="14"/>
      <c r="U691" s="14"/>
      <c r="V691" s="14"/>
      <c r="W691" s="18"/>
      <c r="X691" s="18"/>
      <c r="Y691" s="18"/>
      <c r="Z691" s="18"/>
      <c r="AA691" s="18"/>
      <c r="AB691" s="18"/>
      <c r="AC691" s="8" t="str">
        <f t="shared" si="78"/>
        <v/>
      </c>
      <c r="AD691" s="8"/>
      <c r="AE691" s="8"/>
      <c r="AF691" s="14"/>
      <c r="AG691" s="13"/>
      <c r="AH691" s="14"/>
      <c r="AI691" s="14"/>
      <c r="AJ691" s="8"/>
      <c r="AK691" s="8"/>
      <c r="AL691" s="8"/>
      <c r="AM691" s="8"/>
      <c r="AN691" s="631"/>
      <c r="AO691" s="18"/>
      <c r="AP691" s="18"/>
      <c r="AQ691" s="18"/>
      <c r="AR691" s="18"/>
      <c r="AS691" s="18"/>
      <c r="AU691" s="448"/>
      <c r="AV691" s="448"/>
      <c r="AW691" s="8" t="str">
        <f>IF(C691&gt;0,VLOOKUP(C691,Foundation_Calc!$A$2:$C$986,3,1),
IF(J691&gt;0,VLOOKUP(J691,Foundation_Calc!$A$2:$C$986,3,1),""))</f>
        <v/>
      </c>
      <c r="AX691" s="8" t="str">
        <f>IF(C691&gt;0,VLOOKUP(C691,Foundation_Calc!$E$2:$G$986,3,1),
IF(J691&gt;0,VLOOKUP(J691,Foundation_Calc!$E$2:$G$986,3,1),""))</f>
        <v/>
      </c>
      <c r="AY691" s="631" t="str">
        <f>IF(L691="","",
IF(AX691="PT",VLOOKUP(L691,Foundation_Calc!$K$4:$R$37,VLOOKUP(AW691,Foundation_Calc!$I$2:$J$8,2,FALSE),0),
IF(AX691="K",VLOOKUP(L691,Foundation_Calc!$K$41:$R$74,VLOOKUP(AW691,Foundation_Calc!$I$2:$J$8,2,FALSE),0),"")))</f>
        <v/>
      </c>
      <c r="AZ691" s="631" t="str">
        <f>IF(K691="","",
IF(AX691="PT",VLOOKUP(K691,Foundation_Calc!$K$4:$R$37,VLOOKUP(AW691,Foundation_Calc!$I$2:$J$8,2,FALSE),0),
IF(AX691="K",VLOOKUP(K691,Foundation_Calc!$K$41:$R$74,VLOOKUP(AW691,Foundation_Calc!$I$2:$J$8,2,FALSE),0),"")))</f>
        <v/>
      </c>
      <c r="BA691" s="632" t="str">
        <f t="shared" si="79"/>
        <v/>
      </c>
      <c r="BB691" s="632" t="str">
        <f t="shared" si="80"/>
        <v/>
      </c>
      <c r="BC691" s="632" t="str">
        <f t="shared" si="81"/>
        <v/>
      </c>
      <c r="BD691" s="633" t="str">
        <f>IF(AND(L691="",H691=""),"",
IF(H691="",Pole_Calc!A719,
IF(H691="MP",Pole_Calc!A720,
IF(H691="AnMP",Pole_Calc!A721,
IF(H691="A",Pole_Calc!A722,
IF(H691="S/A",Pole_Calc!A723,
IF(H691="A/S",Pole_Calc!A724,"Poner a mano")))))))</f>
        <v/>
      </c>
      <c r="BE691" s="448" t="s">
        <v>1726</v>
      </c>
      <c r="BF691" s="635"/>
      <c r="BG691" s="635"/>
      <c r="BH691" s="634"/>
      <c r="BI691" s="635"/>
    </row>
    <row r="692" spans="1:61" ht="16.2" customHeight="1">
      <c r="A692" s="12"/>
      <c r="B692" s="446"/>
      <c r="C692" s="89"/>
      <c r="D692" s="13"/>
      <c r="E692" s="14"/>
      <c r="F692" s="14"/>
      <c r="G692" s="15"/>
      <c r="H692" s="8"/>
      <c r="I692" s="8"/>
      <c r="J692" s="89"/>
      <c r="K692" s="8"/>
      <c r="L692" s="8"/>
      <c r="M692" s="8" t="str">
        <f>IF(L692="","",
IF(AX692="PT",VLOOKUP(L692,Foundation_Calc!$V$4:$X$37,VLOOKUP(AX692,Foundation_Calc!$I$10:$J$13,2,FALSE),0),
IF(AX692="K",VLOOKUP(L692,Foundation_Calc!$V$41:$X$74,VLOOKUP(AX692,Foundation_Calc!$I$10:$J$13,2,FALSE),0),"")))</f>
        <v/>
      </c>
      <c r="N692" s="8"/>
      <c r="O692" s="8"/>
      <c r="P692" s="8"/>
      <c r="Q692" s="14"/>
      <c r="R692" s="15"/>
      <c r="S692" s="15"/>
      <c r="T692" s="14"/>
      <c r="U692" s="14"/>
      <c r="V692" s="14"/>
      <c r="W692" s="18"/>
      <c r="X692" s="18"/>
      <c r="Y692" s="18"/>
      <c r="Z692" s="18"/>
      <c r="AA692" s="18"/>
      <c r="AB692" s="18"/>
      <c r="AC692" s="8" t="str">
        <f t="shared" si="78"/>
        <v/>
      </c>
      <c r="AD692" s="8"/>
      <c r="AE692" s="8"/>
      <c r="AF692" s="14"/>
      <c r="AG692" s="13"/>
      <c r="AH692" s="14"/>
      <c r="AI692" s="14"/>
      <c r="AJ692" s="8"/>
      <c r="AK692" s="8"/>
      <c r="AL692" s="8"/>
      <c r="AM692" s="8"/>
      <c r="AN692" s="631"/>
      <c r="AO692" s="18"/>
      <c r="AP692" s="18"/>
      <c r="AQ692" s="18"/>
      <c r="AR692" s="18"/>
      <c r="AS692" s="18"/>
      <c r="AU692" s="448"/>
      <c r="AV692" s="448"/>
      <c r="AW692" s="8" t="str">
        <f>IF(C692&gt;0,VLOOKUP(C692,Foundation_Calc!$A$2:$C$986,3,1),
IF(J692&gt;0,VLOOKUP(J692,Foundation_Calc!$A$2:$C$986,3,1),""))</f>
        <v/>
      </c>
      <c r="AX692" s="8" t="str">
        <f>IF(C692&gt;0,VLOOKUP(C692,Foundation_Calc!$E$2:$G$986,3,1),
IF(J692&gt;0,VLOOKUP(J692,Foundation_Calc!$E$2:$G$986,3,1),""))</f>
        <v/>
      </c>
      <c r="AY692" s="631" t="str">
        <f>IF(L692="","",
IF(AX692="PT",VLOOKUP(L692,Foundation_Calc!$K$4:$R$37,VLOOKUP(AW692,Foundation_Calc!$I$2:$J$8,2,FALSE),0),
IF(AX692="K",VLOOKUP(L692,Foundation_Calc!$K$41:$R$74,VLOOKUP(AW692,Foundation_Calc!$I$2:$J$8,2,FALSE),0),"")))</f>
        <v/>
      </c>
      <c r="AZ692" s="631" t="str">
        <f>IF(K692="","",
IF(AX692="PT",VLOOKUP(K692,Foundation_Calc!$K$4:$R$37,VLOOKUP(AW692,Foundation_Calc!$I$2:$J$8,2,FALSE),0),
IF(AX692="K",VLOOKUP(K692,Foundation_Calc!$K$41:$R$74,VLOOKUP(AW692,Foundation_Calc!$I$2:$J$8,2,FALSE),0),"")))</f>
        <v/>
      </c>
      <c r="BA692" s="632" t="str">
        <f t="shared" si="79"/>
        <v/>
      </c>
      <c r="BB692" s="632" t="str">
        <f t="shared" si="80"/>
        <v/>
      </c>
      <c r="BC692" s="632" t="str">
        <f t="shared" si="81"/>
        <v/>
      </c>
      <c r="BD692" s="633" t="str">
        <f>IF(AND(L692="",H692=""),"",
IF(H692="",Pole_Calc!A720,
IF(H692="MP",Pole_Calc!A721,
IF(H692="AnMP",Pole_Calc!A722,
IF(H692="A",Pole_Calc!A723,
IF(H692="S/A",Pole_Calc!A724,
IF(H692="A/S",Pole_Calc!A725,"Poner a mano")))))))</f>
        <v/>
      </c>
      <c r="BE692" s="448" t="s">
        <v>1726</v>
      </c>
      <c r="BF692" s="634"/>
      <c r="BG692" s="634"/>
      <c r="BH692" s="634"/>
      <c r="BI692" s="634"/>
    </row>
    <row r="693" spans="1:61" ht="16.2" customHeight="1">
      <c r="A693" s="12"/>
      <c r="B693" s="446"/>
      <c r="C693" s="89"/>
      <c r="D693" s="13"/>
      <c r="E693" s="14"/>
      <c r="F693" s="14"/>
      <c r="G693" s="15"/>
      <c r="H693" s="8"/>
      <c r="I693" s="8"/>
      <c r="J693" s="89"/>
      <c r="K693" s="8"/>
      <c r="L693" s="8"/>
      <c r="M693" s="8" t="str">
        <f>IF(L693="","",
IF(AX693="PT",VLOOKUP(L693,Foundation_Calc!$V$4:$X$37,VLOOKUP(AX693,Foundation_Calc!$I$10:$J$13,2,FALSE),0),
IF(AX693="K",VLOOKUP(L693,Foundation_Calc!$V$41:$X$74,VLOOKUP(AX693,Foundation_Calc!$I$10:$J$13,2,FALSE),0),"")))</f>
        <v/>
      </c>
      <c r="N693" s="8"/>
      <c r="O693" s="8"/>
      <c r="P693" s="8"/>
      <c r="Q693" s="14"/>
      <c r="R693" s="15"/>
      <c r="S693" s="15"/>
      <c r="T693" s="14"/>
      <c r="U693" s="14"/>
      <c r="V693" s="14"/>
      <c r="W693" s="18"/>
      <c r="X693" s="18"/>
      <c r="Y693" s="18"/>
      <c r="Z693" s="18"/>
      <c r="AA693" s="18"/>
      <c r="AB693" s="18"/>
      <c r="AC693" s="8" t="str">
        <f t="shared" si="78"/>
        <v/>
      </c>
      <c r="AD693" s="8"/>
      <c r="AE693" s="8"/>
      <c r="AF693" s="14"/>
      <c r="AG693" s="13"/>
      <c r="AH693" s="14"/>
      <c r="AI693" s="14"/>
      <c r="AJ693" s="8"/>
      <c r="AK693" s="8"/>
      <c r="AL693" s="8"/>
      <c r="AM693" s="8"/>
      <c r="AN693" s="631"/>
      <c r="AO693" s="18"/>
      <c r="AP693" s="18"/>
      <c r="AQ693" s="18"/>
      <c r="AR693" s="18"/>
      <c r="AS693" s="18"/>
      <c r="AU693" s="448"/>
      <c r="AV693" s="448"/>
      <c r="AW693" s="8" t="str">
        <f>IF(C693&gt;0,VLOOKUP(C693,Foundation_Calc!$A$2:$C$986,3,1),
IF(J693&gt;0,VLOOKUP(J693,Foundation_Calc!$A$2:$C$986,3,1),""))</f>
        <v/>
      </c>
      <c r="AX693" s="8" t="str">
        <f>IF(C693&gt;0,VLOOKUP(C693,Foundation_Calc!$E$2:$G$986,3,1),
IF(J693&gt;0,VLOOKUP(J693,Foundation_Calc!$E$2:$G$986,3,1),""))</f>
        <v/>
      </c>
      <c r="AY693" s="631" t="str">
        <f>IF(L693="","",
IF(AX693="PT",VLOOKUP(L693,Foundation_Calc!$K$4:$R$37,VLOOKUP(AW693,Foundation_Calc!$I$2:$J$8,2,FALSE),0),
IF(AX693="K",VLOOKUP(L693,Foundation_Calc!$K$41:$R$74,VLOOKUP(AW693,Foundation_Calc!$I$2:$J$8,2,FALSE),0),"")))</f>
        <v/>
      </c>
      <c r="AZ693" s="631" t="str">
        <f>IF(K693="","",
IF(AX693="PT",VLOOKUP(K693,Foundation_Calc!$K$4:$R$37,VLOOKUP(AW693,Foundation_Calc!$I$2:$J$8,2,FALSE),0),
IF(AX693="K",VLOOKUP(K693,Foundation_Calc!$K$41:$R$74,VLOOKUP(AW693,Foundation_Calc!$I$2:$J$8,2,FALSE),0),"")))</f>
        <v/>
      </c>
      <c r="BA693" s="632" t="str">
        <f t="shared" si="79"/>
        <v/>
      </c>
      <c r="BB693" s="632" t="str">
        <f t="shared" si="80"/>
        <v/>
      </c>
      <c r="BC693" s="632" t="str">
        <f t="shared" si="81"/>
        <v/>
      </c>
      <c r="BD693" s="633" t="str">
        <f>IF(AND(L693="",H693=""),"",
IF(H693="",Pole_Calc!A721,
IF(H693="MP",Pole_Calc!A722,
IF(H693="AnMP",Pole_Calc!A723,
IF(H693="A",Pole_Calc!A724,
IF(H693="S/A",Pole_Calc!A725,
IF(H693="A/S",Pole_Calc!A726,"Poner a mano")))))))</f>
        <v/>
      </c>
      <c r="BE693" s="448" t="s">
        <v>1726</v>
      </c>
      <c r="BF693" s="635"/>
      <c r="BG693" s="635"/>
      <c r="BH693" s="634"/>
      <c r="BI693" s="635"/>
    </row>
    <row r="694" spans="1:61" ht="16.2" customHeight="1">
      <c r="A694" s="12"/>
      <c r="B694" s="446"/>
      <c r="C694" s="89"/>
      <c r="D694" s="13"/>
      <c r="E694" s="14"/>
      <c r="F694" s="14"/>
      <c r="G694" s="15"/>
      <c r="H694" s="8"/>
      <c r="I694" s="8"/>
      <c r="J694" s="89"/>
      <c r="K694" s="8"/>
      <c r="L694" s="8"/>
      <c r="M694" s="8" t="str">
        <f>IF(L694="","",
IF(AX694="PT",VLOOKUP(L694,Foundation_Calc!$V$4:$X$37,VLOOKUP(AX694,Foundation_Calc!$I$10:$J$13,2,FALSE),0),
IF(AX694="K",VLOOKUP(L694,Foundation_Calc!$V$41:$X$74,VLOOKUP(AX694,Foundation_Calc!$I$10:$J$13,2,FALSE),0),"")))</f>
        <v/>
      </c>
      <c r="N694" s="8"/>
      <c r="O694" s="8"/>
      <c r="P694" s="8"/>
      <c r="Q694" s="14"/>
      <c r="R694" s="15"/>
      <c r="S694" s="15"/>
      <c r="T694" s="14"/>
      <c r="U694" s="14"/>
      <c r="V694" s="14"/>
      <c r="W694" s="18"/>
      <c r="X694" s="18"/>
      <c r="Y694" s="18"/>
      <c r="Z694" s="18"/>
      <c r="AA694" s="18"/>
      <c r="AB694" s="18"/>
      <c r="AC694" s="8" t="str">
        <f t="shared" si="78"/>
        <v/>
      </c>
      <c r="AD694" s="8"/>
      <c r="AE694" s="8"/>
      <c r="AF694" s="14"/>
      <c r="AG694" s="13"/>
      <c r="AH694" s="14"/>
      <c r="AI694" s="14"/>
      <c r="AJ694" s="8"/>
      <c r="AK694" s="8"/>
      <c r="AL694" s="8"/>
      <c r="AM694" s="8"/>
      <c r="AN694" s="631"/>
      <c r="AO694" s="18"/>
      <c r="AP694" s="18"/>
      <c r="AQ694" s="18"/>
      <c r="AR694" s="18"/>
      <c r="AS694" s="18"/>
      <c r="AU694" s="448"/>
      <c r="AV694" s="448"/>
      <c r="AW694" s="8" t="str">
        <f>IF(C694&gt;0,VLOOKUP(C694,Foundation_Calc!$A$2:$C$986,3,1),
IF(J694&gt;0,VLOOKUP(J694,Foundation_Calc!$A$2:$C$986,3,1),""))</f>
        <v/>
      </c>
      <c r="AX694" s="8" t="str">
        <f>IF(C694&gt;0,VLOOKUP(C694,Foundation_Calc!$E$2:$G$986,3,1),
IF(J694&gt;0,VLOOKUP(J694,Foundation_Calc!$E$2:$G$986,3,1),""))</f>
        <v/>
      </c>
      <c r="AY694" s="631" t="str">
        <f>IF(L694="","",
IF(AX694="PT",VLOOKUP(L694,Foundation_Calc!$K$4:$R$37,VLOOKUP(AW694,Foundation_Calc!$I$2:$J$8,2,FALSE),0),
IF(AX694="K",VLOOKUP(L694,Foundation_Calc!$K$41:$R$74,VLOOKUP(AW694,Foundation_Calc!$I$2:$J$8,2,FALSE),0),"")))</f>
        <v/>
      </c>
      <c r="AZ694" s="631" t="str">
        <f>IF(K694="","",
IF(AX694="PT",VLOOKUP(K694,Foundation_Calc!$K$4:$R$37,VLOOKUP(AW694,Foundation_Calc!$I$2:$J$8,2,FALSE),0),
IF(AX694="K",VLOOKUP(K694,Foundation_Calc!$K$41:$R$74,VLOOKUP(AW694,Foundation_Calc!$I$2:$J$8,2,FALSE),0),"")))</f>
        <v/>
      </c>
      <c r="BA694" s="632" t="str">
        <f t="shared" si="79"/>
        <v/>
      </c>
      <c r="BB694" s="632" t="str">
        <f t="shared" si="80"/>
        <v/>
      </c>
      <c r="BC694" s="632" t="str">
        <f t="shared" si="81"/>
        <v/>
      </c>
      <c r="BD694" s="633" t="str">
        <f>IF(AND(L694="",H694=""),"",
IF(H694="",Pole_Calc!A722,
IF(H694="MP",Pole_Calc!A723,
IF(H694="AnMP",Pole_Calc!A724,
IF(H694="A",Pole_Calc!A725,
IF(H694="S/A",Pole_Calc!A726,
IF(H694="A/S",Pole_Calc!A727,"Poner a mano")))))))</f>
        <v/>
      </c>
      <c r="BE694" s="448" t="s">
        <v>1726</v>
      </c>
      <c r="BF694" s="634"/>
      <c r="BG694" s="634"/>
      <c r="BH694" s="634"/>
      <c r="BI694" s="634"/>
    </row>
    <row r="695" spans="1:61" ht="16.2" customHeight="1">
      <c r="A695" s="12"/>
      <c r="B695" s="446"/>
      <c r="C695" s="89"/>
      <c r="D695" s="13"/>
      <c r="E695" s="14"/>
      <c r="F695" s="14"/>
      <c r="G695" s="15"/>
      <c r="H695" s="8"/>
      <c r="I695" s="8"/>
      <c r="J695" s="89"/>
      <c r="K695" s="8"/>
      <c r="L695" s="8"/>
      <c r="M695" s="8" t="str">
        <f>IF(L695="","",
IF(AX695="PT",VLOOKUP(L695,Foundation_Calc!$V$4:$X$37,VLOOKUP(AX695,Foundation_Calc!$I$10:$J$13,2,FALSE),0),
IF(AX695="K",VLOOKUP(L695,Foundation_Calc!$V$41:$X$74,VLOOKUP(AX695,Foundation_Calc!$I$10:$J$13,2,FALSE),0),"")))</f>
        <v/>
      </c>
      <c r="N695" s="8"/>
      <c r="O695" s="8"/>
      <c r="P695" s="8"/>
      <c r="Q695" s="14"/>
      <c r="R695" s="15"/>
      <c r="S695" s="15"/>
      <c r="T695" s="14"/>
      <c r="U695" s="14"/>
      <c r="V695" s="14"/>
      <c r="W695" s="18"/>
      <c r="X695" s="18"/>
      <c r="Y695" s="18"/>
      <c r="Z695" s="18"/>
      <c r="AA695" s="18"/>
      <c r="AB695" s="18"/>
      <c r="AC695" s="8" t="str">
        <f t="shared" si="78"/>
        <v/>
      </c>
      <c r="AD695" s="8"/>
      <c r="AE695" s="8"/>
      <c r="AF695" s="14"/>
      <c r="AG695" s="13"/>
      <c r="AH695" s="14"/>
      <c r="AI695" s="14"/>
      <c r="AJ695" s="8"/>
      <c r="AK695" s="8"/>
      <c r="AL695" s="8"/>
      <c r="AM695" s="8"/>
      <c r="AN695" s="631"/>
      <c r="AO695" s="18"/>
      <c r="AP695" s="18"/>
      <c r="AQ695" s="18"/>
      <c r="AR695" s="18"/>
      <c r="AS695" s="18"/>
      <c r="AU695" s="448"/>
      <c r="AV695" s="448"/>
      <c r="AW695" s="8" t="str">
        <f>IF(C695&gt;0,VLOOKUP(C695,Foundation_Calc!$A$2:$C$986,3,1),
IF(J695&gt;0,VLOOKUP(J695,Foundation_Calc!$A$2:$C$986,3,1),""))</f>
        <v/>
      </c>
      <c r="AX695" s="8" t="str">
        <f>IF(C695&gt;0,VLOOKUP(C695,Foundation_Calc!$E$2:$G$986,3,1),
IF(J695&gt;0,VLOOKUP(J695,Foundation_Calc!$E$2:$G$986,3,1),""))</f>
        <v/>
      </c>
      <c r="AY695" s="631" t="str">
        <f>IF(L695="","",
IF(AX695="PT",VLOOKUP(L695,Foundation_Calc!$K$4:$R$37,VLOOKUP(AW695,Foundation_Calc!$I$2:$J$8,2,FALSE),0),
IF(AX695="K",VLOOKUP(L695,Foundation_Calc!$K$41:$R$74,VLOOKUP(AW695,Foundation_Calc!$I$2:$J$8,2,FALSE),0),"")))</f>
        <v/>
      </c>
      <c r="AZ695" s="631" t="str">
        <f>IF(K695="","",
IF(AX695="PT",VLOOKUP(K695,Foundation_Calc!$K$4:$R$37,VLOOKUP(AW695,Foundation_Calc!$I$2:$J$8,2,FALSE),0),
IF(AX695="K",VLOOKUP(K695,Foundation_Calc!$K$41:$R$74,VLOOKUP(AW695,Foundation_Calc!$I$2:$J$8,2,FALSE),0),"")))</f>
        <v/>
      </c>
      <c r="BA695" s="632" t="str">
        <f t="shared" si="79"/>
        <v/>
      </c>
      <c r="BB695" s="632" t="str">
        <f t="shared" si="80"/>
        <v/>
      </c>
      <c r="BC695" s="632" t="str">
        <f t="shared" si="81"/>
        <v/>
      </c>
      <c r="BD695" s="633" t="str">
        <f>IF(AND(L695="",H695=""),"",
IF(H695="",Pole_Calc!A723,
IF(H695="MP",Pole_Calc!A724,
IF(H695="AnMP",Pole_Calc!A725,
IF(H695="A",Pole_Calc!A726,
IF(H695="S/A",Pole_Calc!A727,
IF(H695="A/S",Pole_Calc!A728,"Poner a mano")))))))</f>
        <v/>
      </c>
      <c r="BE695" s="448" t="s">
        <v>1726</v>
      </c>
      <c r="BF695" s="635"/>
      <c r="BG695" s="635"/>
      <c r="BH695" s="634"/>
      <c r="BI695" s="635"/>
    </row>
    <row r="696" spans="1:61" ht="16.2" customHeight="1">
      <c r="A696" s="12"/>
      <c r="B696" s="446"/>
      <c r="C696" s="89"/>
      <c r="D696" s="13"/>
      <c r="E696" s="14"/>
      <c r="F696" s="14"/>
      <c r="G696" s="15"/>
      <c r="H696" s="8"/>
      <c r="I696" s="8"/>
      <c r="J696" s="89"/>
      <c r="K696" s="8"/>
      <c r="L696" s="8"/>
      <c r="M696" s="8" t="str">
        <f>IF(L696="","",
IF(AX696="PT",VLOOKUP(L696,Foundation_Calc!$V$4:$X$37,VLOOKUP(AX696,Foundation_Calc!$I$10:$J$13,2,FALSE),0),
IF(AX696="K",VLOOKUP(L696,Foundation_Calc!$V$41:$X$74,VLOOKUP(AX696,Foundation_Calc!$I$10:$J$13,2,FALSE),0),"")))</f>
        <v/>
      </c>
      <c r="N696" s="8"/>
      <c r="O696" s="8"/>
      <c r="P696" s="8"/>
      <c r="Q696" s="14"/>
      <c r="R696" s="15"/>
      <c r="S696" s="15"/>
      <c r="T696" s="14"/>
      <c r="U696" s="14"/>
      <c r="V696" s="14"/>
      <c r="W696" s="18"/>
      <c r="X696" s="18"/>
      <c r="Y696" s="18"/>
      <c r="Z696" s="18"/>
      <c r="AA696" s="18"/>
      <c r="AB696" s="18"/>
      <c r="AC696" s="8" t="str">
        <f t="shared" si="78"/>
        <v/>
      </c>
      <c r="AD696" s="8"/>
      <c r="AE696" s="8"/>
      <c r="AF696" s="14"/>
      <c r="AG696" s="13"/>
      <c r="AH696" s="14"/>
      <c r="AI696" s="14"/>
      <c r="AJ696" s="8"/>
      <c r="AK696" s="8"/>
      <c r="AL696" s="8"/>
      <c r="AM696" s="8"/>
      <c r="AN696" s="631"/>
      <c r="AO696" s="18"/>
      <c r="AP696" s="18"/>
      <c r="AQ696" s="18"/>
      <c r="AR696" s="18"/>
      <c r="AS696" s="18"/>
      <c r="AU696" s="448"/>
      <c r="AV696" s="448"/>
      <c r="AW696" s="8" t="str">
        <f>IF(C696&gt;0,VLOOKUP(C696,Foundation_Calc!$A$2:$C$986,3,1),
IF(J696&gt;0,VLOOKUP(J696,Foundation_Calc!$A$2:$C$986,3,1),""))</f>
        <v/>
      </c>
      <c r="AX696" s="8" t="str">
        <f>IF(C696&gt;0,VLOOKUP(C696,Foundation_Calc!$E$2:$G$986,3,1),
IF(J696&gt;0,VLOOKUP(J696,Foundation_Calc!$E$2:$G$986,3,1),""))</f>
        <v/>
      </c>
      <c r="AY696" s="631" t="str">
        <f>IF(L696="","",
IF(AX696="PT",VLOOKUP(L696,Foundation_Calc!$K$4:$R$37,VLOOKUP(AW696,Foundation_Calc!$I$2:$J$8,2,FALSE),0),
IF(AX696="K",VLOOKUP(L696,Foundation_Calc!$K$41:$R$74,VLOOKUP(AW696,Foundation_Calc!$I$2:$J$8,2,FALSE),0),"")))</f>
        <v/>
      </c>
      <c r="AZ696" s="631" t="str">
        <f>IF(K696="","",
IF(AX696="PT",VLOOKUP(K696,Foundation_Calc!$K$4:$R$37,VLOOKUP(AW696,Foundation_Calc!$I$2:$J$8,2,FALSE),0),
IF(AX696="K",VLOOKUP(K696,Foundation_Calc!$K$41:$R$74,VLOOKUP(AW696,Foundation_Calc!$I$2:$J$8,2,FALSE),0),"")))</f>
        <v/>
      </c>
      <c r="BA696" s="632" t="str">
        <f t="shared" si="79"/>
        <v/>
      </c>
      <c r="BB696" s="632" t="str">
        <f t="shared" si="80"/>
        <v/>
      </c>
      <c r="BC696" s="632" t="str">
        <f t="shared" si="81"/>
        <v/>
      </c>
      <c r="BD696" s="633" t="str">
        <f>IF(AND(L696="",H696=""),"",
IF(H696="",Pole_Calc!A724,
IF(H696="MP",Pole_Calc!A725,
IF(H696="AnMP",Pole_Calc!A726,
IF(H696="A",Pole_Calc!A727,
IF(H696="S/A",Pole_Calc!A728,
IF(H696="A/S",Pole_Calc!A729,"Poner a mano")))))))</f>
        <v/>
      </c>
      <c r="BE696" s="448" t="s">
        <v>1726</v>
      </c>
      <c r="BF696" s="634"/>
      <c r="BG696" s="634"/>
      <c r="BH696" s="634"/>
      <c r="BI696" s="634"/>
    </row>
    <row r="697" spans="1:61" ht="16.2" customHeight="1">
      <c r="A697" s="12"/>
      <c r="B697" s="446"/>
      <c r="C697" s="89"/>
      <c r="D697" s="13"/>
      <c r="E697" s="14"/>
      <c r="F697" s="14"/>
      <c r="G697" s="15"/>
      <c r="H697" s="8"/>
      <c r="I697" s="8"/>
      <c r="J697" s="89"/>
      <c r="K697" s="8"/>
      <c r="L697" s="8"/>
      <c r="M697" s="8" t="str">
        <f>IF(L697="","",
IF(AX697="PT",VLOOKUP(L697,Foundation_Calc!$V$4:$X$37,VLOOKUP(AX697,Foundation_Calc!$I$10:$J$13,2,FALSE),0),
IF(AX697="K",VLOOKUP(L697,Foundation_Calc!$V$41:$X$74,VLOOKUP(AX697,Foundation_Calc!$I$10:$J$13,2,FALSE),0),"")))</f>
        <v/>
      </c>
      <c r="N697" s="8"/>
      <c r="O697" s="8"/>
      <c r="P697" s="8"/>
      <c r="Q697" s="14"/>
      <c r="R697" s="15"/>
      <c r="S697" s="15"/>
      <c r="T697" s="14"/>
      <c r="U697" s="14"/>
      <c r="V697" s="14"/>
      <c r="W697" s="18"/>
      <c r="X697" s="18"/>
      <c r="Y697" s="18"/>
      <c r="Z697" s="18"/>
      <c r="AA697" s="18"/>
      <c r="AB697" s="18"/>
      <c r="AC697" s="8" t="str">
        <f t="shared" si="78"/>
        <v/>
      </c>
      <c r="AD697" s="8"/>
      <c r="AE697" s="8"/>
      <c r="AF697" s="14"/>
      <c r="AG697" s="13"/>
      <c r="AH697" s="14"/>
      <c r="AI697" s="14"/>
      <c r="AJ697" s="8"/>
      <c r="AK697" s="8"/>
      <c r="AL697" s="8"/>
      <c r="AM697" s="8"/>
      <c r="AN697" s="631"/>
      <c r="AO697" s="18"/>
      <c r="AP697" s="18"/>
      <c r="AQ697" s="18"/>
      <c r="AR697" s="18"/>
      <c r="AS697" s="18"/>
      <c r="AU697" s="448"/>
      <c r="AV697" s="448"/>
      <c r="AW697" s="8" t="str">
        <f>IF(C697&gt;0,VLOOKUP(C697,Foundation_Calc!$A$2:$C$986,3,1),
IF(J697&gt;0,VLOOKUP(J697,Foundation_Calc!$A$2:$C$986,3,1),""))</f>
        <v/>
      </c>
      <c r="AX697" s="8" t="str">
        <f>IF(C697&gt;0,VLOOKUP(C697,Foundation_Calc!$E$2:$G$986,3,1),
IF(J697&gt;0,VLOOKUP(J697,Foundation_Calc!$E$2:$G$986,3,1),""))</f>
        <v/>
      </c>
      <c r="AY697" s="631" t="str">
        <f>IF(L697="","",
IF(AX697="PT",VLOOKUP(L697,Foundation_Calc!$K$4:$R$37,VLOOKUP(AW697,Foundation_Calc!$I$2:$J$8,2,FALSE),0),
IF(AX697="K",VLOOKUP(L697,Foundation_Calc!$K$41:$R$74,VLOOKUP(AW697,Foundation_Calc!$I$2:$J$8,2,FALSE),0),"")))</f>
        <v/>
      </c>
      <c r="AZ697" s="631" t="str">
        <f>IF(K697="","",
IF(AX697="PT",VLOOKUP(K697,Foundation_Calc!$K$4:$R$37,VLOOKUP(AW697,Foundation_Calc!$I$2:$J$8,2,FALSE),0),
IF(AX697="K",VLOOKUP(K697,Foundation_Calc!$K$41:$R$74,VLOOKUP(AW697,Foundation_Calc!$I$2:$J$8,2,FALSE),0),"")))</f>
        <v/>
      </c>
      <c r="BA697" s="632" t="str">
        <f t="shared" si="79"/>
        <v/>
      </c>
      <c r="BB697" s="632" t="str">
        <f t="shared" si="80"/>
        <v/>
      </c>
      <c r="BC697" s="632" t="str">
        <f t="shared" si="81"/>
        <v/>
      </c>
      <c r="BD697" s="633" t="str">
        <f>IF(AND(L697="",H697=""),"",
IF(H697="",Pole_Calc!A725,
IF(H697="MP",Pole_Calc!A726,
IF(H697="AnMP",Pole_Calc!A727,
IF(H697="A",Pole_Calc!A728,
IF(H697="S/A",Pole_Calc!A729,
IF(H697="A/S",Pole_Calc!A730,"Poner a mano")))))))</f>
        <v/>
      </c>
      <c r="BE697" s="448" t="s">
        <v>1726</v>
      </c>
      <c r="BF697" s="635"/>
      <c r="BG697" s="635"/>
      <c r="BH697" s="634"/>
      <c r="BI697" s="635"/>
    </row>
    <row r="698" spans="1:61" ht="16.2" customHeight="1">
      <c r="A698" s="12"/>
      <c r="B698" s="446"/>
      <c r="C698" s="89"/>
      <c r="D698" s="13"/>
      <c r="E698" s="14"/>
      <c r="F698" s="14"/>
      <c r="G698" s="15"/>
      <c r="H698" s="8"/>
      <c r="I698" s="8"/>
      <c r="J698" s="89"/>
      <c r="K698" s="8"/>
      <c r="L698" s="8"/>
      <c r="M698" s="8" t="str">
        <f>IF(L698="","",
IF(AX698="PT",VLOOKUP(L698,Foundation_Calc!$V$4:$X$37,VLOOKUP(AX698,Foundation_Calc!$I$10:$J$13,2,FALSE),0),
IF(AX698="K",VLOOKUP(L698,Foundation_Calc!$V$41:$X$74,VLOOKUP(AX698,Foundation_Calc!$I$10:$J$13,2,FALSE),0),"")))</f>
        <v/>
      </c>
      <c r="N698" s="8"/>
      <c r="O698" s="8"/>
      <c r="P698" s="8"/>
      <c r="Q698" s="14"/>
      <c r="R698" s="15"/>
      <c r="S698" s="15"/>
      <c r="T698" s="14"/>
      <c r="U698" s="14"/>
      <c r="V698" s="14"/>
      <c r="W698" s="18"/>
      <c r="X698" s="18"/>
      <c r="Y698" s="18"/>
      <c r="Z698" s="18"/>
      <c r="AA698" s="18"/>
      <c r="AB698" s="18"/>
      <c r="AC698" s="8" t="str">
        <f t="shared" si="78"/>
        <v/>
      </c>
      <c r="AD698" s="8"/>
      <c r="AE698" s="8"/>
      <c r="AF698" s="14"/>
      <c r="AG698" s="13"/>
      <c r="AH698" s="14"/>
      <c r="AI698" s="14"/>
      <c r="AJ698" s="8"/>
      <c r="AK698" s="8"/>
      <c r="AL698" s="8"/>
      <c r="AM698" s="8"/>
      <c r="AN698" s="631"/>
      <c r="AO698" s="18"/>
      <c r="AP698" s="18"/>
      <c r="AQ698" s="18"/>
      <c r="AR698" s="18"/>
      <c r="AS698" s="18"/>
      <c r="AU698" s="448"/>
      <c r="AV698" s="448"/>
      <c r="AW698" s="8" t="str">
        <f>IF(C698&gt;0,VLOOKUP(C698,Foundation_Calc!$A$2:$C$986,3,1),
IF(J698&gt;0,VLOOKUP(J698,Foundation_Calc!$A$2:$C$986,3,1),""))</f>
        <v/>
      </c>
      <c r="AX698" s="8" t="str">
        <f>IF(C698&gt;0,VLOOKUP(C698,Foundation_Calc!$E$2:$G$986,3,1),
IF(J698&gt;0,VLOOKUP(J698,Foundation_Calc!$E$2:$G$986,3,1),""))</f>
        <v/>
      </c>
      <c r="AY698" s="631" t="str">
        <f>IF(L698="","",
IF(AX698="PT",VLOOKUP(L698,Foundation_Calc!$K$4:$R$37,VLOOKUP(AW698,Foundation_Calc!$I$2:$J$8,2,FALSE),0),
IF(AX698="K",VLOOKUP(L698,Foundation_Calc!$K$41:$R$74,VLOOKUP(AW698,Foundation_Calc!$I$2:$J$8,2,FALSE),0),"")))</f>
        <v/>
      </c>
      <c r="AZ698" s="631" t="str">
        <f>IF(K698="","",
IF(AX698="PT",VLOOKUP(K698,Foundation_Calc!$K$4:$R$37,VLOOKUP(AW698,Foundation_Calc!$I$2:$J$8,2,FALSE),0),
IF(AX698="K",VLOOKUP(K698,Foundation_Calc!$K$41:$R$74,VLOOKUP(AW698,Foundation_Calc!$I$2:$J$8,2,FALSE),0),"")))</f>
        <v/>
      </c>
      <c r="BA698" s="632" t="str">
        <f t="shared" si="79"/>
        <v/>
      </c>
      <c r="BB698" s="632" t="str">
        <f t="shared" si="80"/>
        <v/>
      </c>
      <c r="BC698" s="632" t="str">
        <f t="shared" si="81"/>
        <v/>
      </c>
      <c r="BD698" s="633" t="str">
        <f>IF(AND(L698="",H698=""),"",
IF(H698="",Pole_Calc!A726,
IF(H698="MP",Pole_Calc!A727,
IF(H698="AnMP",Pole_Calc!A728,
IF(H698="A",Pole_Calc!A729,
IF(H698="S/A",Pole_Calc!A730,
IF(H698="A/S",Pole_Calc!A731,"Poner a mano")))))))</f>
        <v/>
      </c>
      <c r="BE698" s="448" t="s">
        <v>1726</v>
      </c>
      <c r="BF698" s="634"/>
      <c r="BG698" s="634"/>
      <c r="BH698" s="634"/>
      <c r="BI698" s="634"/>
    </row>
    <row r="699" spans="1:61" ht="16.2" customHeight="1">
      <c r="A699" s="12"/>
      <c r="B699" s="446"/>
      <c r="C699" s="89"/>
      <c r="D699" s="13"/>
      <c r="E699" s="14"/>
      <c r="F699" s="14"/>
      <c r="G699" s="15"/>
      <c r="H699" s="8"/>
      <c r="I699" s="8"/>
      <c r="J699" s="89"/>
      <c r="K699" s="8"/>
      <c r="L699" s="8"/>
      <c r="M699" s="8" t="str">
        <f>IF(L699="","",
IF(AX699="PT",VLOOKUP(L699,Foundation_Calc!$V$4:$X$37,VLOOKUP(AX699,Foundation_Calc!$I$10:$J$13,2,FALSE),0),
IF(AX699="K",VLOOKUP(L699,Foundation_Calc!$V$41:$X$74,VLOOKUP(AX699,Foundation_Calc!$I$10:$J$13,2,FALSE),0),"")))</f>
        <v/>
      </c>
      <c r="N699" s="8"/>
      <c r="O699" s="8"/>
      <c r="P699" s="8"/>
      <c r="Q699" s="14"/>
      <c r="R699" s="15"/>
      <c r="S699" s="15"/>
      <c r="T699" s="14"/>
      <c r="U699" s="14"/>
      <c r="V699" s="14"/>
      <c r="W699" s="18"/>
      <c r="X699" s="18"/>
      <c r="Y699" s="18"/>
      <c r="Z699" s="18"/>
      <c r="AA699" s="18"/>
      <c r="AB699" s="18"/>
      <c r="AC699" s="8" t="str">
        <f t="shared" si="78"/>
        <v/>
      </c>
      <c r="AD699" s="8"/>
      <c r="AE699" s="8"/>
      <c r="AF699" s="14"/>
      <c r="AG699" s="13"/>
      <c r="AH699" s="14"/>
      <c r="AI699" s="14"/>
      <c r="AJ699" s="8"/>
      <c r="AK699" s="8"/>
      <c r="AL699" s="8"/>
      <c r="AM699" s="8"/>
      <c r="AN699" s="631"/>
      <c r="AO699" s="18"/>
      <c r="AP699" s="18"/>
      <c r="AQ699" s="18"/>
      <c r="AR699" s="18"/>
      <c r="AS699" s="18"/>
      <c r="AU699" s="448"/>
      <c r="AV699" s="448"/>
      <c r="AW699" s="8" t="str">
        <f>IF(C699&gt;0,VLOOKUP(C699,Foundation_Calc!$A$2:$C$986,3,1),
IF(J699&gt;0,VLOOKUP(J699,Foundation_Calc!$A$2:$C$986,3,1),""))</f>
        <v/>
      </c>
      <c r="AX699" s="8" t="str">
        <f>IF(C699&gt;0,VLOOKUP(C699,Foundation_Calc!$E$2:$G$986,3,1),
IF(J699&gt;0,VLOOKUP(J699,Foundation_Calc!$E$2:$G$986,3,1),""))</f>
        <v/>
      </c>
      <c r="AY699" s="631" t="str">
        <f>IF(L699="","",
IF(AX699="PT",VLOOKUP(L699,Foundation_Calc!$K$4:$R$37,VLOOKUP(AW699,Foundation_Calc!$I$2:$J$8,2,FALSE),0),
IF(AX699="K",VLOOKUP(L699,Foundation_Calc!$K$41:$R$74,VLOOKUP(AW699,Foundation_Calc!$I$2:$J$8,2,FALSE),0),"")))</f>
        <v/>
      </c>
      <c r="AZ699" s="631" t="str">
        <f>IF(K699="","",
IF(AX699="PT",VLOOKUP(K699,Foundation_Calc!$K$4:$R$37,VLOOKUP(AW699,Foundation_Calc!$I$2:$J$8,2,FALSE),0),
IF(AX699="K",VLOOKUP(K699,Foundation_Calc!$K$41:$R$74,VLOOKUP(AW699,Foundation_Calc!$I$2:$J$8,2,FALSE),0),"")))</f>
        <v/>
      </c>
      <c r="BA699" s="632" t="str">
        <f t="shared" si="79"/>
        <v/>
      </c>
      <c r="BB699" s="632" t="str">
        <f t="shared" si="80"/>
        <v/>
      </c>
      <c r="BC699" s="632" t="str">
        <f t="shared" si="81"/>
        <v/>
      </c>
      <c r="BD699" s="633" t="str">
        <f>IF(AND(L699="",H699=""),"",
IF(H699="",Pole_Calc!A727,
IF(H699="MP",Pole_Calc!A728,
IF(H699="AnMP",Pole_Calc!A729,
IF(H699="A",Pole_Calc!A730,
IF(H699="S/A",Pole_Calc!A731,
IF(H699="A/S",Pole_Calc!A732,"Poner a mano")))))))</f>
        <v/>
      </c>
      <c r="BE699" s="448" t="s">
        <v>1726</v>
      </c>
      <c r="BF699" s="635"/>
      <c r="BG699" s="635"/>
      <c r="BH699" s="634"/>
      <c r="BI699" s="635"/>
    </row>
    <row r="700" spans="1:61" ht="16.2" customHeight="1">
      <c r="A700" s="12"/>
      <c r="B700" s="446"/>
      <c r="C700" s="89"/>
      <c r="D700" s="13"/>
      <c r="E700" s="14"/>
      <c r="F700" s="14"/>
      <c r="G700" s="15"/>
      <c r="H700" s="8"/>
      <c r="I700" s="8"/>
      <c r="J700" s="89"/>
      <c r="K700" s="8"/>
      <c r="L700" s="8"/>
      <c r="M700" s="8" t="str">
        <f>IF(L700="","",
IF(AX700="PT",VLOOKUP(L700,Foundation_Calc!$V$4:$X$37,VLOOKUP(AX700,Foundation_Calc!$I$10:$J$13,2,FALSE),0),
IF(AX700="K",VLOOKUP(L700,Foundation_Calc!$V$41:$X$74,VLOOKUP(AX700,Foundation_Calc!$I$10:$J$13,2,FALSE),0),"")))</f>
        <v/>
      </c>
      <c r="N700" s="8"/>
      <c r="O700" s="8"/>
      <c r="P700" s="8"/>
      <c r="Q700" s="14"/>
      <c r="R700" s="15"/>
      <c r="S700" s="15"/>
      <c r="T700" s="14"/>
      <c r="U700" s="14"/>
      <c r="V700" s="14"/>
      <c r="W700" s="18"/>
      <c r="X700" s="18"/>
      <c r="Y700" s="18"/>
      <c r="Z700" s="18"/>
      <c r="AA700" s="18"/>
      <c r="AB700" s="18"/>
      <c r="AC700" s="8" t="str">
        <f t="shared" si="78"/>
        <v/>
      </c>
      <c r="AD700" s="8"/>
      <c r="AE700" s="8"/>
      <c r="AF700" s="14"/>
      <c r="AG700" s="13"/>
      <c r="AH700" s="14"/>
      <c r="AI700" s="14"/>
      <c r="AJ700" s="8"/>
      <c r="AK700" s="8"/>
      <c r="AL700" s="8"/>
      <c r="AM700" s="8"/>
      <c r="AN700" s="631"/>
      <c r="AO700" s="18"/>
      <c r="AP700" s="18"/>
      <c r="AQ700" s="18"/>
      <c r="AR700" s="18"/>
      <c r="AS700" s="18"/>
      <c r="AU700" s="448"/>
      <c r="AV700" s="448"/>
      <c r="AW700" s="8" t="str">
        <f>IF(C700&gt;0,VLOOKUP(C700,Foundation_Calc!$A$2:$C$986,3,1),
IF(J700&gt;0,VLOOKUP(J700,Foundation_Calc!$A$2:$C$986,3,1),""))</f>
        <v/>
      </c>
      <c r="AX700" s="8" t="str">
        <f>IF(C700&gt;0,VLOOKUP(C700,Foundation_Calc!$E$2:$G$986,3,1),
IF(J700&gt;0,VLOOKUP(J700,Foundation_Calc!$E$2:$G$986,3,1),""))</f>
        <v/>
      </c>
      <c r="AY700" s="631" t="str">
        <f>IF(L700="","",
IF(AX700="PT",VLOOKUP(L700,Foundation_Calc!$K$4:$R$37,VLOOKUP(AW700,Foundation_Calc!$I$2:$J$8,2,FALSE),0),
IF(AX700="K",VLOOKUP(L700,Foundation_Calc!$K$41:$R$74,VLOOKUP(AW700,Foundation_Calc!$I$2:$J$8,2,FALSE),0),"")))</f>
        <v/>
      </c>
      <c r="AZ700" s="631" t="str">
        <f>IF(K700="","",
IF(AX700="PT",VLOOKUP(K700,Foundation_Calc!$K$4:$R$37,VLOOKUP(AW700,Foundation_Calc!$I$2:$J$8,2,FALSE),0),
IF(AX700="K",VLOOKUP(K700,Foundation_Calc!$K$41:$R$74,VLOOKUP(AW700,Foundation_Calc!$I$2:$J$8,2,FALSE),0),"")))</f>
        <v/>
      </c>
      <c r="BA700" s="632" t="str">
        <f t="shared" si="79"/>
        <v/>
      </c>
      <c r="BB700" s="632" t="str">
        <f t="shared" si="80"/>
        <v/>
      </c>
      <c r="BC700" s="632" t="str">
        <f t="shared" si="81"/>
        <v/>
      </c>
      <c r="BD700" s="633" t="str">
        <f>IF(AND(L700="",H700=""),"",
IF(H700="",Pole_Calc!A728,
IF(H700="MP",Pole_Calc!A729,
IF(H700="AnMP",Pole_Calc!A730,
IF(H700="A",Pole_Calc!A731,
IF(H700="S/A",Pole_Calc!A732,
IF(H700="A/S",Pole_Calc!A733,"Poner a mano")))))))</f>
        <v/>
      </c>
      <c r="BE700" s="448" t="s">
        <v>1726</v>
      </c>
      <c r="BF700" s="634"/>
      <c r="BG700" s="634"/>
      <c r="BH700" s="634"/>
      <c r="BI700" s="634"/>
    </row>
    <row r="701" spans="1:61" ht="16.2" customHeight="1">
      <c r="A701" s="12"/>
      <c r="B701" s="446"/>
      <c r="C701" s="89"/>
      <c r="D701" s="13"/>
      <c r="E701" s="14"/>
      <c r="F701" s="14"/>
      <c r="G701" s="15"/>
      <c r="H701" s="8"/>
      <c r="I701" s="8"/>
      <c r="J701" s="89"/>
      <c r="K701" s="8"/>
      <c r="L701" s="8"/>
      <c r="M701" s="8" t="str">
        <f>IF(L701="","",
IF(AX701="PT",VLOOKUP(L701,Foundation_Calc!$V$4:$X$37,VLOOKUP(AX701,Foundation_Calc!$I$10:$J$13,2,FALSE),0),
IF(AX701="K",VLOOKUP(L701,Foundation_Calc!$V$41:$X$74,VLOOKUP(AX701,Foundation_Calc!$I$10:$J$13,2,FALSE),0),"")))</f>
        <v/>
      </c>
      <c r="N701" s="8"/>
      <c r="O701" s="8"/>
      <c r="P701" s="8"/>
      <c r="Q701" s="14"/>
      <c r="R701" s="15"/>
      <c r="S701" s="15"/>
      <c r="T701" s="14"/>
      <c r="U701" s="14"/>
      <c r="V701" s="14"/>
      <c r="W701" s="18"/>
      <c r="X701" s="18"/>
      <c r="Y701" s="18"/>
      <c r="Z701" s="18"/>
      <c r="AA701" s="18"/>
      <c r="AB701" s="18"/>
      <c r="AC701" s="8" t="str">
        <f t="shared" si="78"/>
        <v/>
      </c>
      <c r="AD701" s="8"/>
      <c r="AE701" s="8"/>
      <c r="AF701" s="14"/>
      <c r="AG701" s="13"/>
      <c r="AH701" s="14"/>
      <c r="AI701" s="14"/>
      <c r="AJ701" s="8"/>
      <c r="AK701" s="8"/>
      <c r="AL701" s="8"/>
      <c r="AM701" s="8"/>
      <c r="AN701" s="631"/>
      <c r="AO701" s="18"/>
      <c r="AP701" s="18"/>
      <c r="AQ701" s="18"/>
      <c r="AR701" s="18"/>
      <c r="AS701" s="18"/>
      <c r="AU701" s="448"/>
      <c r="AV701" s="448"/>
      <c r="AW701" s="8" t="str">
        <f>IF(C701&gt;0,VLOOKUP(C701,Foundation_Calc!$A$2:$C$986,3,1),
IF(J701&gt;0,VLOOKUP(J701,Foundation_Calc!$A$2:$C$986,3,1),""))</f>
        <v/>
      </c>
      <c r="AX701" s="8" t="str">
        <f>IF(C701&gt;0,VLOOKUP(C701,Foundation_Calc!$E$2:$G$986,3,1),
IF(J701&gt;0,VLOOKUP(J701,Foundation_Calc!$E$2:$G$986,3,1),""))</f>
        <v/>
      </c>
      <c r="AY701" s="631" t="str">
        <f>IF(L701="","",
IF(AX701="PT",VLOOKUP(L701,Foundation_Calc!$K$4:$R$37,VLOOKUP(AW701,Foundation_Calc!$I$2:$J$8,2,FALSE),0),
IF(AX701="K",VLOOKUP(L701,Foundation_Calc!$K$41:$R$74,VLOOKUP(AW701,Foundation_Calc!$I$2:$J$8,2,FALSE),0),"")))</f>
        <v/>
      </c>
      <c r="AZ701" s="631" t="str">
        <f>IF(K701="","",
IF(AX701="PT",VLOOKUP(K701,Foundation_Calc!$K$4:$R$37,VLOOKUP(AW701,Foundation_Calc!$I$2:$J$8,2,FALSE),0),
IF(AX701="K",VLOOKUP(K701,Foundation_Calc!$K$41:$R$74,VLOOKUP(AW701,Foundation_Calc!$I$2:$J$8,2,FALSE),0),"")))</f>
        <v/>
      </c>
      <c r="BA701" s="632" t="str">
        <f t="shared" si="79"/>
        <v/>
      </c>
      <c r="BB701" s="632" t="str">
        <f t="shared" si="80"/>
        <v/>
      </c>
      <c r="BC701" s="632" t="str">
        <f t="shared" si="81"/>
        <v/>
      </c>
      <c r="BD701" s="633" t="str">
        <f>IF(AND(L701="",H701=""),"",
IF(H701="",Pole_Calc!A729,
IF(H701="MP",Pole_Calc!A730,
IF(H701="AnMP",Pole_Calc!A731,
IF(H701="A",Pole_Calc!A732,
IF(H701="S/A",Pole_Calc!A733,
IF(H701="A/S",Pole_Calc!A734,"Poner a mano")))))))</f>
        <v/>
      </c>
      <c r="BE701" s="448" t="s">
        <v>1726</v>
      </c>
      <c r="BF701" s="635"/>
      <c r="BG701" s="635"/>
      <c r="BH701" s="634"/>
      <c r="BI701" s="635"/>
    </row>
    <row r="702" spans="1:61" ht="16.2" customHeight="1">
      <c r="A702" s="12"/>
      <c r="B702" s="446"/>
      <c r="C702" s="89"/>
      <c r="D702" s="13"/>
      <c r="E702" s="14"/>
      <c r="F702" s="14"/>
      <c r="G702" s="15"/>
      <c r="H702" s="8"/>
      <c r="I702" s="8"/>
      <c r="J702" s="89"/>
      <c r="K702" s="8"/>
      <c r="L702" s="8"/>
      <c r="M702" s="8" t="str">
        <f>IF(L702="","",
IF(AX702="PT",VLOOKUP(L702,Foundation_Calc!$V$4:$X$37,VLOOKUP(AX702,Foundation_Calc!$I$10:$J$13,2,FALSE),0),
IF(AX702="K",VLOOKUP(L702,Foundation_Calc!$V$41:$X$74,VLOOKUP(AX702,Foundation_Calc!$I$10:$J$13,2,FALSE),0),"")))</f>
        <v/>
      </c>
      <c r="N702" s="8"/>
      <c r="O702" s="8"/>
      <c r="P702" s="8"/>
      <c r="Q702" s="14"/>
      <c r="R702" s="15"/>
      <c r="S702" s="15"/>
      <c r="T702" s="14"/>
      <c r="U702" s="14"/>
      <c r="V702" s="14"/>
      <c r="W702" s="18"/>
      <c r="X702" s="18"/>
      <c r="Y702" s="18"/>
      <c r="Z702" s="18"/>
      <c r="AA702" s="18"/>
      <c r="AB702" s="18"/>
      <c r="AC702" s="8" t="str">
        <f t="shared" si="78"/>
        <v/>
      </c>
      <c r="AD702" s="8"/>
      <c r="AE702" s="8"/>
      <c r="AF702" s="14"/>
      <c r="AG702" s="13"/>
      <c r="AH702" s="14"/>
      <c r="AI702" s="14"/>
      <c r="AJ702" s="8"/>
      <c r="AK702" s="8"/>
      <c r="AL702" s="8"/>
      <c r="AM702" s="8"/>
      <c r="AN702" s="631"/>
      <c r="AO702" s="18"/>
      <c r="AP702" s="18"/>
      <c r="AQ702" s="18"/>
      <c r="AR702" s="18"/>
      <c r="AS702" s="18"/>
      <c r="AU702" s="448"/>
      <c r="AV702" s="448"/>
      <c r="AW702" s="8" t="str">
        <f>IF(C702&gt;0,VLOOKUP(C702,Foundation_Calc!$A$2:$C$986,3,1),
IF(J702&gt;0,VLOOKUP(J702,Foundation_Calc!$A$2:$C$986,3,1),""))</f>
        <v/>
      </c>
      <c r="AX702" s="8" t="str">
        <f>IF(C702&gt;0,VLOOKUP(C702,Foundation_Calc!$E$2:$G$986,3,1),
IF(J702&gt;0,VLOOKUP(J702,Foundation_Calc!$E$2:$G$986,3,1),""))</f>
        <v/>
      </c>
      <c r="AY702" s="631" t="str">
        <f>IF(L702="","",
IF(AX702="PT",VLOOKUP(L702,Foundation_Calc!$K$4:$R$37,VLOOKUP(AW702,Foundation_Calc!$I$2:$J$8,2,FALSE),0),
IF(AX702="K",VLOOKUP(L702,Foundation_Calc!$K$41:$R$74,VLOOKUP(AW702,Foundation_Calc!$I$2:$J$8,2,FALSE),0),"")))</f>
        <v/>
      </c>
      <c r="AZ702" s="631" t="str">
        <f>IF(K702="","",
IF(AX702="PT",VLOOKUP(K702,Foundation_Calc!$K$4:$R$37,VLOOKUP(AW702,Foundation_Calc!$I$2:$J$8,2,FALSE),0),
IF(AX702="K",VLOOKUP(K702,Foundation_Calc!$K$41:$R$74,VLOOKUP(AW702,Foundation_Calc!$I$2:$J$8,2,FALSE),0),"")))</f>
        <v/>
      </c>
      <c r="BA702" s="632" t="str">
        <f t="shared" si="79"/>
        <v/>
      </c>
      <c r="BB702" s="632" t="str">
        <f t="shared" si="80"/>
        <v/>
      </c>
      <c r="BC702" s="632" t="str">
        <f t="shared" si="81"/>
        <v/>
      </c>
      <c r="BD702" s="633" t="str">
        <f>IF(AND(L702="",H702=""),"",
IF(H702="",Pole_Calc!A730,
IF(H702="MP",Pole_Calc!A731,
IF(H702="AnMP",Pole_Calc!A732,
IF(H702="A",Pole_Calc!A733,
IF(H702="S/A",Pole_Calc!A734,
IF(H702="A/S",Pole_Calc!A735,"Poner a mano")))))))</f>
        <v/>
      </c>
      <c r="BE702" s="448" t="s">
        <v>1726</v>
      </c>
      <c r="BF702" s="634"/>
      <c r="BG702" s="634"/>
      <c r="BH702" s="634"/>
      <c r="BI702" s="634"/>
    </row>
    <row r="703" spans="1:61" ht="16.2" customHeight="1">
      <c r="A703" s="12"/>
      <c r="B703" s="446"/>
      <c r="C703" s="89"/>
      <c r="D703" s="13"/>
      <c r="E703" s="14"/>
      <c r="F703" s="14"/>
      <c r="G703" s="15"/>
      <c r="H703" s="8"/>
      <c r="I703" s="8"/>
      <c r="J703" s="89"/>
      <c r="K703" s="8"/>
      <c r="L703" s="8"/>
      <c r="M703" s="8" t="str">
        <f>IF(L703="","",
IF(AX703="PT",VLOOKUP(L703,Foundation_Calc!$V$4:$X$37,VLOOKUP(AX703,Foundation_Calc!$I$10:$J$13,2,FALSE),0),
IF(AX703="K",VLOOKUP(L703,Foundation_Calc!$V$41:$X$74,VLOOKUP(AX703,Foundation_Calc!$I$10:$J$13,2,FALSE),0),"")))</f>
        <v/>
      </c>
      <c r="N703" s="8"/>
      <c r="O703" s="8"/>
      <c r="P703" s="8"/>
      <c r="Q703" s="14"/>
      <c r="R703" s="15"/>
      <c r="S703" s="15"/>
      <c r="T703" s="14"/>
      <c r="U703" s="14"/>
      <c r="V703" s="14"/>
      <c r="W703" s="18"/>
      <c r="X703" s="18"/>
      <c r="Y703" s="18"/>
      <c r="Z703" s="18"/>
      <c r="AA703" s="18"/>
      <c r="AB703" s="18"/>
      <c r="AC703" s="8" t="str">
        <f t="shared" si="78"/>
        <v/>
      </c>
      <c r="AD703" s="8"/>
      <c r="AE703" s="8"/>
      <c r="AF703" s="14"/>
      <c r="AG703" s="13"/>
      <c r="AH703" s="14"/>
      <c r="AI703" s="14"/>
      <c r="AJ703" s="8"/>
      <c r="AK703" s="8"/>
      <c r="AL703" s="8"/>
      <c r="AM703" s="8"/>
      <c r="AN703" s="631"/>
      <c r="AO703" s="18"/>
      <c r="AP703" s="18"/>
      <c r="AQ703" s="18"/>
      <c r="AR703" s="18"/>
      <c r="AS703" s="18"/>
      <c r="AU703" s="448"/>
      <c r="AV703" s="448"/>
      <c r="AW703" s="8" t="str">
        <f>IF(C703&gt;0,VLOOKUP(C703,Foundation_Calc!$A$2:$C$986,3,1),
IF(J703&gt;0,VLOOKUP(J703,Foundation_Calc!$A$2:$C$986,3,1),""))</f>
        <v/>
      </c>
      <c r="AX703" s="8" t="str">
        <f>IF(C703&gt;0,VLOOKUP(C703,Foundation_Calc!$E$2:$G$986,3,1),
IF(J703&gt;0,VLOOKUP(J703,Foundation_Calc!$E$2:$G$986,3,1),""))</f>
        <v/>
      </c>
      <c r="AY703" s="631" t="str">
        <f>IF(L703="","",
IF(AX703="PT",VLOOKUP(L703,Foundation_Calc!$K$4:$R$37,VLOOKUP(AW703,Foundation_Calc!$I$2:$J$8,2,FALSE),0),
IF(AX703="K",VLOOKUP(L703,Foundation_Calc!$K$41:$R$74,VLOOKUP(AW703,Foundation_Calc!$I$2:$J$8,2,FALSE),0),"")))</f>
        <v/>
      </c>
      <c r="AZ703" s="631" t="str">
        <f>IF(K703="","",
IF(AX703="PT",VLOOKUP(K703,Foundation_Calc!$K$4:$R$37,VLOOKUP(AW703,Foundation_Calc!$I$2:$J$8,2,FALSE),0),
IF(AX703="K",VLOOKUP(K703,Foundation_Calc!$K$41:$R$74,VLOOKUP(AW703,Foundation_Calc!$I$2:$J$8,2,FALSE),0),"")))</f>
        <v/>
      </c>
      <c r="BA703" s="632" t="str">
        <f t="shared" si="79"/>
        <v/>
      </c>
      <c r="BB703" s="632" t="str">
        <f t="shared" si="80"/>
        <v/>
      </c>
      <c r="BC703" s="632" t="str">
        <f t="shared" si="81"/>
        <v/>
      </c>
      <c r="BD703" s="633" t="str">
        <f>IF(AND(L703="",H703=""),"",
IF(H703="",Pole_Calc!A731,
IF(H703="MP",Pole_Calc!A732,
IF(H703="AnMP",Pole_Calc!A733,
IF(H703="A",Pole_Calc!A734,
IF(H703="S/A",Pole_Calc!A735,
IF(H703="A/S",Pole_Calc!A736,"Poner a mano")))))))</f>
        <v/>
      </c>
      <c r="BE703" s="448" t="s">
        <v>1726</v>
      </c>
      <c r="BF703" s="635"/>
      <c r="BG703" s="635"/>
      <c r="BH703" s="634"/>
      <c r="BI703" s="635"/>
    </row>
    <row r="704" spans="1:61" ht="16.2" customHeight="1">
      <c r="A704" s="12"/>
      <c r="B704" s="446"/>
      <c r="C704" s="89"/>
      <c r="D704" s="13"/>
      <c r="E704" s="14"/>
      <c r="F704" s="14"/>
      <c r="G704" s="15"/>
      <c r="H704" s="8"/>
      <c r="I704" s="8"/>
      <c r="J704" s="89"/>
      <c r="K704" s="8"/>
      <c r="L704" s="8"/>
      <c r="M704" s="8" t="str">
        <f>IF(L704="","",
IF(AX704="PT",VLOOKUP(L704,Foundation_Calc!$V$4:$X$37,VLOOKUP(AX704,Foundation_Calc!$I$10:$J$13,2,FALSE),0),
IF(AX704="K",VLOOKUP(L704,Foundation_Calc!$V$41:$X$74,VLOOKUP(AX704,Foundation_Calc!$I$10:$J$13,2,FALSE),0),"")))</f>
        <v/>
      </c>
      <c r="N704" s="8"/>
      <c r="O704" s="8"/>
      <c r="P704" s="8"/>
      <c r="Q704" s="14"/>
      <c r="R704" s="15"/>
      <c r="S704" s="15"/>
      <c r="T704" s="14"/>
      <c r="U704" s="14"/>
      <c r="V704" s="14"/>
      <c r="W704" s="18"/>
      <c r="X704" s="18"/>
      <c r="Y704" s="18"/>
      <c r="Z704" s="18"/>
      <c r="AA704" s="18"/>
      <c r="AB704" s="18"/>
      <c r="AC704" s="8" t="str">
        <f t="shared" si="78"/>
        <v/>
      </c>
      <c r="AD704" s="8"/>
      <c r="AE704" s="8"/>
      <c r="AF704" s="14"/>
      <c r="AG704" s="13"/>
      <c r="AH704" s="14"/>
      <c r="AI704" s="14"/>
      <c r="AJ704" s="8"/>
      <c r="AK704" s="8"/>
      <c r="AL704" s="8"/>
      <c r="AM704" s="8"/>
      <c r="AN704" s="631"/>
      <c r="AO704" s="18"/>
      <c r="AP704" s="18"/>
      <c r="AQ704" s="18"/>
      <c r="AR704" s="18"/>
      <c r="AS704" s="18"/>
      <c r="AU704" s="448"/>
      <c r="AV704" s="448"/>
      <c r="AW704" s="8" t="str">
        <f>IF(C704&gt;0,VLOOKUP(C704,Foundation_Calc!$A$2:$C$986,3,1),
IF(J704&gt;0,VLOOKUP(J704,Foundation_Calc!$A$2:$C$986,3,1),""))</f>
        <v/>
      </c>
      <c r="AX704" s="8" t="str">
        <f>IF(C704&gt;0,VLOOKUP(C704,Foundation_Calc!$E$2:$G$986,3,1),
IF(J704&gt;0,VLOOKUP(J704,Foundation_Calc!$E$2:$G$986,3,1),""))</f>
        <v/>
      </c>
      <c r="AY704" s="631" t="str">
        <f>IF(L704="","",
IF(AX704="PT",VLOOKUP(L704,Foundation_Calc!$K$4:$R$37,VLOOKUP(AW704,Foundation_Calc!$I$2:$J$8,2,FALSE),0),
IF(AX704="K",VLOOKUP(L704,Foundation_Calc!$K$41:$R$74,VLOOKUP(AW704,Foundation_Calc!$I$2:$J$8,2,FALSE),0),"")))</f>
        <v/>
      </c>
      <c r="AZ704" s="631" t="str">
        <f>IF(K704="","",
IF(AX704="PT",VLOOKUP(K704,Foundation_Calc!$K$4:$R$37,VLOOKUP(AW704,Foundation_Calc!$I$2:$J$8,2,FALSE),0),
IF(AX704="K",VLOOKUP(K704,Foundation_Calc!$K$41:$R$74,VLOOKUP(AW704,Foundation_Calc!$I$2:$J$8,2,FALSE),0),"")))</f>
        <v/>
      </c>
      <c r="BA704" s="632" t="str">
        <f t="shared" si="79"/>
        <v/>
      </c>
      <c r="BB704" s="632" t="str">
        <f t="shared" si="80"/>
        <v/>
      </c>
      <c r="BC704" s="632" t="str">
        <f t="shared" si="81"/>
        <v/>
      </c>
      <c r="BD704" s="633" t="str">
        <f>IF(AND(L704="",H704=""),"",
IF(H704="",Pole_Calc!A732,
IF(H704="MP",Pole_Calc!A733,
IF(H704="AnMP",Pole_Calc!A734,
IF(H704="A",Pole_Calc!A735,
IF(H704="S/A",Pole_Calc!A736,
IF(H704="A/S",Pole_Calc!A737,"Poner a mano")))))))</f>
        <v/>
      </c>
      <c r="BE704" s="448" t="s">
        <v>1726</v>
      </c>
      <c r="BF704" s="634"/>
      <c r="BG704" s="634"/>
      <c r="BH704" s="634"/>
      <c r="BI704" s="634"/>
    </row>
    <row r="705" spans="1:61" ht="16.2" customHeight="1">
      <c r="A705" s="12"/>
      <c r="B705" s="446"/>
      <c r="C705" s="89"/>
      <c r="D705" s="13"/>
      <c r="E705" s="14"/>
      <c r="F705" s="14"/>
      <c r="G705" s="15"/>
      <c r="H705" s="8"/>
      <c r="I705" s="8"/>
      <c r="J705" s="89"/>
      <c r="K705" s="8"/>
      <c r="L705" s="8"/>
      <c r="M705" s="8" t="str">
        <f>IF(L705="","",
IF(AX705="PT",VLOOKUP(L705,Foundation_Calc!$V$4:$X$37,VLOOKUP(AX705,Foundation_Calc!$I$10:$J$13,2,FALSE),0),
IF(AX705="K",VLOOKUP(L705,Foundation_Calc!$V$41:$X$74,VLOOKUP(AX705,Foundation_Calc!$I$10:$J$13,2,FALSE),0),"")))</f>
        <v/>
      </c>
      <c r="N705" s="8"/>
      <c r="O705" s="8"/>
      <c r="P705" s="8"/>
      <c r="Q705" s="14"/>
      <c r="R705" s="15"/>
      <c r="S705" s="15"/>
      <c r="T705" s="14"/>
      <c r="U705" s="14"/>
      <c r="V705" s="14"/>
      <c r="W705" s="18"/>
      <c r="X705" s="18"/>
      <c r="Y705" s="18"/>
      <c r="Z705" s="18"/>
      <c r="AA705" s="18"/>
      <c r="AB705" s="18"/>
      <c r="AC705" s="8" t="str">
        <f t="shared" si="78"/>
        <v/>
      </c>
      <c r="AD705" s="8"/>
      <c r="AE705" s="8"/>
      <c r="AF705" s="14"/>
      <c r="AG705" s="13"/>
      <c r="AH705" s="14"/>
      <c r="AI705" s="14"/>
      <c r="AJ705" s="8"/>
      <c r="AK705" s="8"/>
      <c r="AL705" s="8"/>
      <c r="AM705" s="8"/>
      <c r="AN705" s="631"/>
      <c r="AO705" s="18"/>
      <c r="AP705" s="18"/>
      <c r="AQ705" s="18"/>
      <c r="AR705" s="18"/>
      <c r="AS705" s="18"/>
      <c r="AU705" s="448"/>
      <c r="AV705" s="448"/>
      <c r="AW705" s="8" t="str">
        <f>IF(C705&gt;0,VLOOKUP(C705,Foundation_Calc!$A$2:$C$986,3,1),
IF(J705&gt;0,VLOOKUP(J705,Foundation_Calc!$A$2:$C$986,3,1),""))</f>
        <v/>
      </c>
      <c r="AX705" s="8" t="str">
        <f>IF(C705&gt;0,VLOOKUP(C705,Foundation_Calc!$E$2:$G$986,3,1),
IF(J705&gt;0,VLOOKUP(J705,Foundation_Calc!$E$2:$G$986,3,1),""))</f>
        <v/>
      </c>
      <c r="AY705" s="631" t="str">
        <f>IF(L705="","",
IF(AX705="PT",VLOOKUP(L705,Foundation_Calc!$K$4:$R$37,VLOOKUP(AW705,Foundation_Calc!$I$2:$J$8,2,FALSE),0),
IF(AX705="K",VLOOKUP(L705,Foundation_Calc!$K$41:$R$74,VLOOKUP(AW705,Foundation_Calc!$I$2:$J$8,2,FALSE),0),"")))</f>
        <v/>
      </c>
      <c r="AZ705" s="631" t="str">
        <f>IF(K705="","",
IF(AX705="PT",VLOOKUP(K705,Foundation_Calc!$K$4:$R$37,VLOOKUP(AW705,Foundation_Calc!$I$2:$J$8,2,FALSE),0),
IF(AX705="K",VLOOKUP(K705,Foundation_Calc!$K$41:$R$74,VLOOKUP(AW705,Foundation_Calc!$I$2:$J$8,2,FALSE),0),"")))</f>
        <v/>
      </c>
      <c r="BA705" s="632" t="str">
        <f t="shared" si="79"/>
        <v/>
      </c>
      <c r="BB705" s="632" t="str">
        <f t="shared" si="80"/>
        <v/>
      </c>
      <c r="BC705" s="632" t="str">
        <f t="shared" si="81"/>
        <v/>
      </c>
      <c r="BD705" s="633" t="str">
        <f>IF(AND(L705="",H705=""),"",
IF(H705="",Pole_Calc!A733,
IF(H705="MP",Pole_Calc!A734,
IF(H705="AnMP",Pole_Calc!A735,
IF(H705="A",Pole_Calc!A736,
IF(H705="S/A",Pole_Calc!A737,
IF(H705="A/S",Pole_Calc!A738,"Poner a mano")))))))</f>
        <v/>
      </c>
      <c r="BE705" s="448" t="s">
        <v>1726</v>
      </c>
      <c r="BF705" s="635"/>
      <c r="BG705" s="635"/>
      <c r="BH705" s="634"/>
      <c r="BI705" s="635"/>
    </row>
    <row r="706" spans="1:61" ht="16.2" customHeight="1">
      <c r="A706" s="12"/>
      <c r="B706" s="446"/>
      <c r="C706" s="89"/>
      <c r="D706" s="13"/>
      <c r="E706" s="14"/>
      <c r="F706" s="14"/>
      <c r="G706" s="15"/>
      <c r="H706" s="8"/>
      <c r="I706" s="8"/>
      <c r="J706" s="89"/>
      <c r="K706" s="8"/>
      <c r="L706" s="8"/>
      <c r="M706" s="8" t="str">
        <f>IF(L706="","",
IF(AX706="PT",VLOOKUP(L706,Foundation_Calc!$V$4:$X$37,VLOOKUP(AX706,Foundation_Calc!$I$10:$J$13,2,FALSE),0),
IF(AX706="K",VLOOKUP(L706,Foundation_Calc!$V$41:$X$74,VLOOKUP(AX706,Foundation_Calc!$I$10:$J$13,2,FALSE),0),"")))</f>
        <v/>
      </c>
      <c r="N706" s="8"/>
      <c r="O706" s="8"/>
      <c r="P706" s="8"/>
      <c r="Q706" s="14"/>
      <c r="R706" s="15"/>
      <c r="S706" s="15"/>
      <c r="T706" s="14"/>
      <c r="U706" s="14"/>
      <c r="V706" s="14"/>
      <c r="W706" s="18"/>
      <c r="X706" s="18"/>
      <c r="Y706" s="18"/>
      <c r="Z706" s="18"/>
      <c r="AA706" s="18"/>
      <c r="AB706" s="18"/>
      <c r="AC706" s="8" t="str">
        <f t="shared" si="78"/>
        <v/>
      </c>
      <c r="AD706" s="8"/>
      <c r="AE706" s="8"/>
      <c r="AF706" s="14"/>
      <c r="AG706" s="13"/>
      <c r="AH706" s="14"/>
      <c r="AI706" s="14"/>
      <c r="AJ706" s="8"/>
      <c r="AK706" s="8"/>
      <c r="AL706" s="8"/>
      <c r="AM706" s="8"/>
      <c r="AN706" s="631"/>
      <c r="AO706" s="18"/>
      <c r="AP706" s="18"/>
      <c r="AQ706" s="18"/>
      <c r="AR706" s="18"/>
      <c r="AS706" s="18"/>
      <c r="AU706" s="448"/>
      <c r="AV706" s="448"/>
      <c r="AW706" s="8" t="str">
        <f>IF(C706&gt;0,VLOOKUP(C706,Foundation_Calc!$A$2:$C$986,3,1),
IF(J706&gt;0,VLOOKUP(J706,Foundation_Calc!$A$2:$C$986,3,1),""))</f>
        <v/>
      </c>
      <c r="AX706" s="8" t="str">
        <f>IF(C706&gt;0,VLOOKUP(C706,Foundation_Calc!$E$2:$G$986,3,1),
IF(J706&gt;0,VLOOKUP(J706,Foundation_Calc!$E$2:$G$986,3,1),""))</f>
        <v/>
      </c>
      <c r="AY706" s="631" t="str">
        <f>IF(L706="","",
IF(AX706="PT",VLOOKUP(L706,Foundation_Calc!$K$4:$R$37,VLOOKUP(AW706,Foundation_Calc!$I$2:$J$8,2,FALSE),0),
IF(AX706="K",VLOOKUP(L706,Foundation_Calc!$K$41:$R$74,VLOOKUP(AW706,Foundation_Calc!$I$2:$J$8,2,FALSE),0),"")))</f>
        <v/>
      </c>
      <c r="AZ706" s="631" t="str">
        <f>IF(K706="","",
IF(AX706="PT",VLOOKUP(K706,Foundation_Calc!$K$4:$R$37,VLOOKUP(AW706,Foundation_Calc!$I$2:$J$8,2,FALSE),0),
IF(AX706="K",VLOOKUP(K706,Foundation_Calc!$K$41:$R$74,VLOOKUP(AW706,Foundation_Calc!$I$2:$J$8,2,FALSE),0),"")))</f>
        <v/>
      </c>
      <c r="BA706" s="632" t="str">
        <f t="shared" si="79"/>
        <v/>
      </c>
      <c r="BB706" s="632" t="str">
        <f t="shared" si="80"/>
        <v/>
      </c>
      <c r="BC706" s="632" t="str">
        <f t="shared" si="81"/>
        <v/>
      </c>
      <c r="BD706" s="633" t="str">
        <f>IF(AND(L706="",H706=""),"",
IF(H706="",Pole_Calc!A734,
IF(H706="MP",Pole_Calc!A735,
IF(H706="AnMP",Pole_Calc!A736,
IF(H706="A",Pole_Calc!A737,
IF(H706="S/A",Pole_Calc!A738,
IF(H706="A/S",Pole_Calc!A739,"Poner a mano")))))))</f>
        <v/>
      </c>
      <c r="BE706" s="448" t="s">
        <v>1726</v>
      </c>
      <c r="BF706" s="634"/>
      <c r="BG706" s="634"/>
      <c r="BH706" s="634"/>
      <c r="BI706" s="634"/>
    </row>
    <row r="707" spans="1:61" ht="16.2" customHeight="1">
      <c r="A707" s="12"/>
      <c r="B707" s="446"/>
      <c r="C707" s="89"/>
      <c r="D707" s="13"/>
      <c r="E707" s="14"/>
      <c r="F707" s="14"/>
      <c r="G707" s="15"/>
      <c r="H707" s="8"/>
      <c r="I707" s="8"/>
      <c r="J707" s="89"/>
      <c r="K707" s="8"/>
      <c r="L707" s="8"/>
      <c r="M707" s="8" t="str">
        <f>IF(L707="","",
IF(AX707="PT",VLOOKUP(L707,Foundation_Calc!$V$4:$X$37,VLOOKUP(AX707,Foundation_Calc!$I$10:$J$13,2,FALSE),0),
IF(AX707="K",VLOOKUP(L707,Foundation_Calc!$V$41:$X$74,VLOOKUP(AX707,Foundation_Calc!$I$10:$J$13,2,FALSE),0),"")))</f>
        <v/>
      </c>
      <c r="N707" s="8"/>
      <c r="O707" s="8"/>
      <c r="P707" s="8"/>
      <c r="Q707" s="14"/>
      <c r="R707" s="15"/>
      <c r="S707" s="15"/>
      <c r="T707" s="14"/>
      <c r="U707" s="14"/>
      <c r="V707" s="14"/>
      <c r="W707" s="18"/>
      <c r="X707" s="18"/>
      <c r="Y707" s="18"/>
      <c r="Z707" s="18"/>
      <c r="AA707" s="18"/>
      <c r="AB707" s="18"/>
      <c r="AC707" s="8" t="str">
        <f t="shared" si="78"/>
        <v/>
      </c>
      <c r="AD707" s="8"/>
      <c r="AE707" s="8"/>
      <c r="AF707" s="14"/>
      <c r="AG707" s="13"/>
      <c r="AH707" s="14"/>
      <c r="AI707" s="14"/>
      <c r="AJ707" s="8"/>
      <c r="AK707" s="8"/>
      <c r="AL707" s="8"/>
      <c r="AM707" s="8"/>
      <c r="AN707" s="631"/>
      <c r="AO707" s="18"/>
      <c r="AP707" s="18"/>
      <c r="AQ707" s="18"/>
      <c r="AR707" s="18"/>
      <c r="AS707" s="18"/>
      <c r="AU707" s="448"/>
      <c r="AV707" s="448"/>
      <c r="AW707" s="8" t="str">
        <f>IF(C707&gt;0,VLOOKUP(C707,Foundation_Calc!$A$2:$C$986,3,1),
IF(J707&gt;0,VLOOKUP(J707,Foundation_Calc!$A$2:$C$986,3,1),""))</f>
        <v/>
      </c>
      <c r="AX707" s="8" t="str">
        <f>IF(C707&gt;0,VLOOKUP(C707,Foundation_Calc!$E$2:$G$986,3,1),
IF(J707&gt;0,VLOOKUP(J707,Foundation_Calc!$E$2:$G$986,3,1),""))</f>
        <v/>
      </c>
      <c r="AY707" s="631" t="str">
        <f>IF(L707="","",
IF(AX707="PT",VLOOKUP(L707,Foundation_Calc!$K$4:$R$37,VLOOKUP(AW707,Foundation_Calc!$I$2:$J$8,2,FALSE),0),
IF(AX707="K",VLOOKUP(L707,Foundation_Calc!$K$41:$R$74,VLOOKUP(AW707,Foundation_Calc!$I$2:$J$8,2,FALSE),0),"")))</f>
        <v/>
      </c>
      <c r="AZ707" s="631" t="str">
        <f>IF(K707="","",
IF(AX707="PT",VLOOKUP(K707,Foundation_Calc!$K$4:$R$37,VLOOKUP(AW707,Foundation_Calc!$I$2:$J$8,2,FALSE),0),
IF(AX707="K",VLOOKUP(K707,Foundation_Calc!$K$41:$R$74,VLOOKUP(AW707,Foundation_Calc!$I$2:$J$8,2,FALSE),0),"")))</f>
        <v/>
      </c>
      <c r="BA707" s="632" t="str">
        <f t="shared" si="79"/>
        <v/>
      </c>
      <c r="BB707" s="632" t="str">
        <f t="shared" si="80"/>
        <v/>
      </c>
      <c r="BC707" s="632" t="str">
        <f t="shared" si="81"/>
        <v/>
      </c>
      <c r="BD707" s="633" t="str">
        <f>IF(AND(L707="",H707=""),"",
IF(H707="",Pole_Calc!A735,
IF(H707="MP",Pole_Calc!A736,
IF(H707="AnMP",Pole_Calc!A737,
IF(H707="A",Pole_Calc!A738,
IF(H707="S/A",Pole_Calc!A739,
IF(H707="A/S",Pole_Calc!A740,"Poner a mano")))))))</f>
        <v/>
      </c>
      <c r="BE707" s="448" t="s">
        <v>1726</v>
      </c>
      <c r="BF707" s="635"/>
      <c r="BG707" s="635"/>
      <c r="BH707" s="634"/>
      <c r="BI707" s="635"/>
    </row>
    <row r="708" spans="1:61" ht="16.2" customHeight="1">
      <c r="A708" s="12"/>
      <c r="B708" s="446"/>
      <c r="C708" s="89"/>
      <c r="D708" s="13"/>
      <c r="E708" s="14"/>
      <c r="F708" s="14"/>
      <c r="G708" s="15"/>
      <c r="H708" s="8"/>
      <c r="I708" s="8"/>
      <c r="J708" s="89"/>
      <c r="K708" s="8"/>
      <c r="L708" s="8"/>
      <c r="M708" s="8" t="str">
        <f>IF(L708="","",
IF(AX708="PT",VLOOKUP(L708,Foundation_Calc!$V$4:$X$37,VLOOKUP(AX708,Foundation_Calc!$I$10:$J$13,2,FALSE),0),
IF(AX708="K",VLOOKUP(L708,Foundation_Calc!$V$41:$X$74,VLOOKUP(AX708,Foundation_Calc!$I$10:$J$13,2,FALSE),0),"")))</f>
        <v/>
      </c>
      <c r="N708" s="8"/>
      <c r="O708" s="8"/>
      <c r="P708" s="8"/>
      <c r="Q708" s="14"/>
      <c r="R708" s="15"/>
      <c r="S708" s="15"/>
      <c r="T708" s="14"/>
      <c r="U708" s="14"/>
      <c r="V708" s="14"/>
      <c r="W708" s="18"/>
      <c r="X708" s="18"/>
      <c r="Y708" s="18"/>
      <c r="Z708" s="18"/>
      <c r="AA708" s="18"/>
      <c r="AB708" s="18"/>
      <c r="AC708" s="8" t="str">
        <f t="shared" si="78"/>
        <v/>
      </c>
      <c r="AD708" s="8"/>
      <c r="AE708" s="8"/>
      <c r="AF708" s="14"/>
      <c r="AG708" s="13"/>
      <c r="AH708" s="14"/>
      <c r="AI708" s="14"/>
      <c r="AJ708" s="8"/>
      <c r="AK708" s="8"/>
      <c r="AL708" s="8"/>
      <c r="AM708" s="8"/>
      <c r="AN708" s="631"/>
      <c r="AO708" s="18"/>
      <c r="AP708" s="18"/>
      <c r="AQ708" s="18"/>
      <c r="AR708" s="18"/>
      <c r="AS708" s="18"/>
      <c r="AU708" s="448"/>
      <c r="AV708" s="448"/>
      <c r="AW708" s="8" t="str">
        <f>IF(C708&gt;0,VLOOKUP(C708,Foundation_Calc!$A$2:$C$986,3,1),
IF(J708&gt;0,VLOOKUP(J708,Foundation_Calc!$A$2:$C$986,3,1),""))</f>
        <v/>
      </c>
      <c r="AX708" s="8" t="str">
        <f>IF(C708&gt;0,VLOOKUP(C708,Foundation_Calc!$E$2:$G$986,3,1),
IF(J708&gt;0,VLOOKUP(J708,Foundation_Calc!$E$2:$G$986,3,1),""))</f>
        <v/>
      </c>
      <c r="AY708" s="631" t="str">
        <f>IF(L708="","",
IF(AX708="PT",VLOOKUP(L708,Foundation_Calc!$K$4:$R$37,VLOOKUP(AW708,Foundation_Calc!$I$2:$J$8,2,FALSE),0),
IF(AX708="K",VLOOKUP(L708,Foundation_Calc!$K$41:$R$74,VLOOKUP(AW708,Foundation_Calc!$I$2:$J$8,2,FALSE),0),"")))</f>
        <v/>
      </c>
      <c r="AZ708" s="631" t="str">
        <f>IF(K708="","",
IF(AX708="PT",VLOOKUP(K708,Foundation_Calc!$K$4:$R$37,VLOOKUP(AW708,Foundation_Calc!$I$2:$J$8,2,FALSE),0),
IF(AX708="K",VLOOKUP(K708,Foundation_Calc!$K$41:$R$74,VLOOKUP(AW708,Foundation_Calc!$I$2:$J$8,2,FALSE),0),"")))</f>
        <v/>
      </c>
      <c r="BA708" s="632" t="str">
        <f t="shared" si="79"/>
        <v/>
      </c>
      <c r="BB708" s="632" t="str">
        <f t="shared" si="80"/>
        <v/>
      </c>
      <c r="BC708" s="632" t="str">
        <f t="shared" si="81"/>
        <v/>
      </c>
      <c r="BD708" s="633" t="str">
        <f>IF(AND(L708="",H708=""),"",
IF(H708="",Pole_Calc!A736,
IF(H708="MP",Pole_Calc!A737,
IF(H708="AnMP",Pole_Calc!A738,
IF(H708="A",Pole_Calc!A739,
IF(H708="S/A",Pole_Calc!A740,
IF(H708="A/S",Pole_Calc!A741,"Poner a mano")))))))</f>
        <v/>
      </c>
      <c r="BE708" s="448" t="s">
        <v>1726</v>
      </c>
      <c r="BF708" s="634"/>
      <c r="BG708" s="634"/>
      <c r="BH708" s="634"/>
      <c r="BI708" s="634"/>
    </row>
    <row r="709" spans="1:61" ht="16.2" customHeight="1">
      <c r="A709" s="12"/>
      <c r="B709" s="446"/>
      <c r="C709" s="89"/>
      <c r="D709" s="13"/>
      <c r="E709" s="14"/>
      <c r="F709" s="14"/>
      <c r="G709" s="15"/>
      <c r="H709" s="8"/>
      <c r="I709" s="8"/>
      <c r="J709" s="89"/>
      <c r="K709" s="8"/>
      <c r="L709" s="8"/>
      <c r="M709" s="8" t="str">
        <f>IF(L709="","",
IF(AX709="PT",VLOOKUP(L709,Foundation_Calc!$V$4:$X$37,VLOOKUP(AX709,Foundation_Calc!$I$10:$J$13,2,FALSE),0),
IF(AX709="K",VLOOKUP(L709,Foundation_Calc!$V$41:$X$74,VLOOKUP(AX709,Foundation_Calc!$I$10:$J$13,2,FALSE),0),"")))</f>
        <v/>
      </c>
      <c r="N709" s="8"/>
      <c r="O709" s="8"/>
      <c r="P709" s="8"/>
      <c r="Q709" s="14"/>
      <c r="R709" s="15"/>
      <c r="S709" s="15"/>
      <c r="T709" s="14"/>
      <c r="U709" s="14"/>
      <c r="V709" s="14"/>
      <c r="W709" s="18"/>
      <c r="X709" s="18"/>
      <c r="Y709" s="18"/>
      <c r="Z709" s="18"/>
      <c r="AA709" s="18"/>
      <c r="AB709" s="18"/>
      <c r="AC709" s="8" t="str">
        <f t="shared" si="78"/>
        <v/>
      </c>
      <c r="AD709" s="8"/>
      <c r="AE709" s="8"/>
      <c r="AF709" s="14"/>
      <c r="AG709" s="13"/>
      <c r="AH709" s="14"/>
      <c r="AI709" s="14"/>
      <c r="AJ709" s="8"/>
      <c r="AK709" s="8"/>
      <c r="AL709" s="8"/>
      <c r="AM709" s="8"/>
      <c r="AN709" s="631"/>
      <c r="AO709" s="18"/>
      <c r="AP709" s="18"/>
      <c r="AQ709" s="18"/>
      <c r="AR709" s="18"/>
      <c r="AS709" s="18"/>
      <c r="AU709" s="448"/>
      <c r="AV709" s="448"/>
      <c r="AW709" s="8" t="str">
        <f>IF(C709&gt;0,VLOOKUP(C709,Foundation_Calc!$A$2:$C$986,3,1),
IF(J709&gt;0,VLOOKUP(J709,Foundation_Calc!$A$2:$C$986,3,1),""))</f>
        <v/>
      </c>
      <c r="AX709" s="8" t="str">
        <f>IF(C709&gt;0,VLOOKUP(C709,Foundation_Calc!$E$2:$G$986,3,1),
IF(J709&gt;0,VLOOKUP(J709,Foundation_Calc!$E$2:$G$986,3,1),""))</f>
        <v/>
      </c>
      <c r="AY709" s="631" t="str">
        <f>IF(L709="","",
IF(AX709="PT",VLOOKUP(L709,Foundation_Calc!$K$4:$R$37,VLOOKUP(AW709,Foundation_Calc!$I$2:$J$8,2,FALSE),0),
IF(AX709="K",VLOOKUP(L709,Foundation_Calc!$K$41:$R$74,VLOOKUP(AW709,Foundation_Calc!$I$2:$J$8,2,FALSE),0),"")))</f>
        <v/>
      </c>
      <c r="AZ709" s="631" t="str">
        <f>IF(K709="","",
IF(AX709="PT",VLOOKUP(K709,Foundation_Calc!$K$4:$R$37,VLOOKUP(AW709,Foundation_Calc!$I$2:$J$8,2,FALSE),0),
IF(AX709="K",VLOOKUP(K709,Foundation_Calc!$K$41:$R$74,VLOOKUP(AW709,Foundation_Calc!$I$2:$J$8,2,FALSE),0),"")))</f>
        <v/>
      </c>
      <c r="BA709" s="632" t="str">
        <f t="shared" si="79"/>
        <v/>
      </c>
      <c r="BB709" s="632" t="str">
        <f t="shared" si="80"/>
        <v/>
      </c>
      <c r="BC709" s="632" t="str">
        <f t="shared" si="81"/>
        <v/>
      </c>
      <c r="BD709" s="633" t="str">
        <f>IF(AND(L709="",H709=""),"",
IF(H709="",Pole_Calc!A737,
IF(H709="MP",Pole_Calc!A738,
IF(H709="AnMP",Pole_Calc!A739,
IF(H709="A",Pole_Calc!A740,
IF(H709="S/A",Pole_Calc!A741,
IF(H709="A/S",Pole_Calc!A742,"Poner a mano")))))))</f>
        <v/>
      </c>
      <c r="BE709" s="448" t="s">
        <v>1726</v>
      </c>
      <c r="BF709" s="635"/>
      <c r="BG709" s="635"/>
      <c r="BH709" s="634"/>
      <c r="BI709" s="635"/>
    </row>
    <row r="710" spans="1:61" ht="16.2" customHeight="1">
      <c r="A710" s="12"/>
      <c r="B710" s="446"/>
      <c r="C710" s="89"/>
      <c r="D710" s="13"/>
      <c r="E710" s="14"/>
      <c r="F710" s="14"/>
      <c r="G710" s="15"/>
      <c r="H710" s="8"/>
      <c r="I710" s="8"/>
      <c r="J710" s="89"/>
      <c r="K710" s="8"/>
      <c r="L710" s="8"/>
      <c r="M710" s="8" t="str">
        <f>IF(L710="","",
IF(AX710="PT",VLOOKUP(L710,Foundation_Calc!$V$4:$X$37,VLOOKUP(AX710,Foundation_Calc!$I$10:$J$13,2,FALSE),0),
IF(AX710="K",VLOOKUP(L710,Foundation_Calc!$V$41:$X$74,VLOOKUP(AX710,Foundation_Calc!$I$10:$J$13,2,FALSE),0),"")))</f>
        <v/>
      </c>
      <c r="N710" s="8"/>
      <c r="O710" s="8"/>
      <c r="P710" s="8"/>
      <c r="Q710" s="14"/>
      <c r="R710" s="15"/>
      <c r="S710" s="15"/>
      <c r="T710" s="14"/>
      <c r="U710" s="14"/>
      <c r="V710" s="14"/>
      <c r="W710" s="18"/>
      <c r="X710" s="18"/>
      <c r="Y710" s="18"/>
      <c r="Z710" s="18"/>
      <c r="AA710" s="18"/>
      <c r="AB710" s="18"/>
      <c r="AC710" s="8" t="str">
        <f t="shared" ref="AC710:AC773" si="82">IF(OR(AT710&gt;8,AT710&lt;-8),"PH",
IF(OR(AT710&gt;5,AT710&lt;-5),"PHQ",
IF(OR(AT710&gt;1,AT710&lt;-1),
"PHC","")))</f>
        <v/>
      </c>
      <c r="AD710" s="8"/>
      <c r="AE710" s="8"/>
      <c r="AF710" s="14"/>
      <c r="AG710" s="13"/>
      <c r="AH710" s="14"/>
      <c r="AI710" s="14"/>
      <c r="AJ710" s="8"/>
      <c r="AK710" s="8"/>
      <c r="AL710" s="8"/>
      <c r="AM710" s="8"/>
      <c r="AN710" s="631"/>
      <c r="AO710" s="18"/>
      <c r="AP710" s="18"/>
      <c r="AQ710" s="18"/>
      <c r="AR710" s="18"/>
      <c r="AS710" s="18"/>
      <c r="AU710" s="448"/>
      <c r="AV710" s="448"/>
      <c r="AW710" s="8" t="str">
        <f>IF(C710&gt;0,VLOOKUP(C710,Foundation_Calc!$A$2:$C$986,3,1),
IF(J710&gt;0,VLOOKUP(J710,Foundation_Calc!$A$2:$C$986,3,1),""))</f>
        <v/>
      </c>
      <c r="AX710" s="8" t="str">
        <f>IF(C710&gt;0,VLOOKUP(C710,Foundation_Calc!$E$2:$G$986,3,1),
IF(J710&gt;0,VLOOKUP(J710,Foundation_Calc!$E$2:$G$986,3,1),""))</f>
        <v/>
      </c>
      <c r="AY710" s="631" t="str">
        <f>IF(L710="","",
IF(AX710="PT",VLOOKUP(L710,Foundation_Calc!$K$4:$R$37,VLOOKUP(AW710,Foundation_Calc!$I$2:$J$8,2,FALSE),0),
IF(AX710="K",VLOOKUP(L710,Foundation_Calc!$K$41:$R$74,VLOOKUP(AW710,Foundation_Calc!$I$2:$J$8,2,FALSE),0),"")))</f>
        <v/>
      </c>
      <c r="AZ710" s="631" t="str">
        <f>IF(K710="","",
IF(AX710="PT",VLOOKUP(K710,Foundation_Calc!$K$4:$R$37,VLOOKUP(AW710,Foundation_Calc!$I$2:$J$8,2,FALSE),0),
IF(AX710="K",VLOOKUP(K710,Foundation_Calc!$K$41:$R$74,VLOOKUP(AW710,Foundation_Calc!$I$2:$J$8,2,FALSE),0),"")))</f>
        <v/>
      </c>
      <c r="BA710" s="632" t="str">
        <f t="shared" ref="BA710:BA773" si="83">IF(AY710="","",IF(AY710&gt;0,"ü",""))</f>
        <v/>
      </c>
      <c r="BB710" s="632" t="str">
        <f t="shared" ref="BB710:BB773" si="84">IF(AZ710="","",IF(AZ710&gt;0,"ü",""))</f>
        <v/>
      </c>
      <c r="BC710" s="632" t="str">
        <f t="shared" ref="BC710:BC773" si="85">IF(M710="","",IF(M710="Unique Solution","ü",""))</f>
        <v/>
      </c>
      <c r="BD710" s="633" t="str">
        <f>IF(AND(L710="",H710=""),"",
IF(H710="",Pole_Calc!A738,
IF(H710="MP",Pole_Calc!A739,
IF(H710="AnMP",Pole_Calc!A740,
IF(H710="A",Pole_Calc!A741,
IF(H710="S/A",Pole_Calc!A742,
IF(H710="A/S",Pole_Calc!A743,"Poner a mano")))))))</f>
        <v/>
      </c>
      <c r="BE710" s="448" t="s">
        <v>1726</v>
      </c>
      <c r="BF710" s="634"/>
      <c r="BG710" s="634"/>
      <c r="BH710" s="634"/>
      <c r="BI710" s="634"/>
    </row>
    <row r="711" spans="1:61" ht="16.2" customHeight="1">
      <c r="A711" s="12"/>
      <c r="B711" s="446"/>
      <c r="C711" s="89"/>
      <c r="D711" s="13"/>
      <c r="E711" s="14"/>
      <c r="F711" s="14"/>
      <c r="G711" s="15"/>
      <c r="H711" s="8"/>
      <c r="I711" s="8"/>
      <c r="J711" s="89"/>
      <c r="K711" s="8"/>
      <c r="L711" s="8"/>
      <c r="M711" s="8" t="str">
        <f>IF(L711="","",
IF(AX711="PT",VLOOKUP(L711,Foundation_Calc!$V$4:$X$37,VLOOKUP(AX711,Foundation_Calc!$I$10:$J$13,2,FALSE),0),
IF(AX711="K",VLOOKUP(L711,Foundation_Calc!$V$41:$X$74,VLOOKUP(AX711,Foundation_Calc!$I$10:$J$13,2,FALSE),0),"")))</f>
        <v/>
      </c>
      <c r="N711" s="8"/>
      <c r="O711" s="8"/>
      <c r="P711" s="8"/>
      <c r="Q711" s="14"/>
      <c r="R711" s="15"/>
      <c r="S711" s="15"/>
      <c r="T711" s="14"/>
      <c r="U711" s="14"/>
      <c r="V711" s="14"/>
      <c r="W711" s="18"/>
      <c r="X711" s="18"/>
      <c r="Y711" s="18"/>
      <c r="Z711" s="18"/>
      <c r="AA711" s="18"/>
      <c r="AB711" s="18"/>
      <c r="AC711" s="8" t="str">
        <f t="shared" si="82"/>
        <v/>
      </c>
      <c r="AD711" s="8"/>
      <c r="AE711" s="8"/>
      <c r="AF711" s="14"/>
      <c r="AG711" s="13"/>
      <c r="AH711" s="14"/>
      <c r="AI711" s="14"/>
      <c r="AJ711" s="8"/>
      <c r="AK711" s="8"/>
      <c r="AL711" s="8"/>
      <c r="AM711" s="8"/>
      <c r="AN711" s="631"/>
      <c r="AO711" s="18"/>
      <c r="AP711" s="18"/>
      <c r="AQ711" s="18"/>
      <c r="AR711" s="18"/>
      <c r="AS711" s="18"/>
      <c r="AU711" s="448"/>
      <c r="AV711" s="448"/>
      <c r="AW711" s="8" t="str">
        <f>IF(C711&gt;0,VLOOKUP(C711,Foundation_Calc!$A$2:$C$986,3,1),
IF(J711&gt;0,VLOOKUP(J711,Foundation_Calc!$A$2:$C$986,3,1),""))</f>
        <v/>
      </c>
      <c r="AX711" s="8" t="str">
        <f>IF(C711&gt;0,VLOOKUP(C711,Foundation_Calc!$E$2:$G$986,3,1),
IF(J711&gt;0,VLOOKUP(J711,Foundation_Calc!$E$2:$G$986,3,1),""))</f>
        <v/>
      </c>
      <c r="AY711" s="631" t="str">
        <f>IF(L711="","",
IF(AX711="PT",VLOOKUP(L711,Foundation_Calc!$K$4:$R$37,VLOOKUP(AW711,Foundation_Calc!$I$2:$J$8,2,FALSE),0),
IF(AX711="K",VLOOKUP(L711,Foundation_Calc!$K$41:$R$74,VLOOKUP(AW711,Foundation_Calc!$I$2:$J$8,2,FALSE),0),"")))</f>
        <v/>
      </c>
      <c r="AZ711" s="631" t="str">
        <f>IF(K711="","",
IF(AX711="PT",VLOOKUP(K711,Foundation_Calc!$K$4:$R$37,VLOOKUP(AW711,Foundation_Calc!$I$2:$J$8,2,FALSE),0),
IF(AX711="K",VLOOKUP(K711,Foundation_Calc!$K$41:$R$74,VLOOKUP(AW711,Foundation_Calc!$I$2:$J$8,2,FALSE),0),"")))</f>
        <v/>
      </c>
      <c r="BA711" s="632" t="str">
        <f t="shared" si="83"/>
        <v/>
      </c>
      <c r="BB711" s="632" t="str">
        <f t="shared" si="84"/>
        <v/>
      </c>
      <c r="BC711" s="632" t="str">
        <f t="shared" si="85"/>
        <v/>
      </c>
      <c r="BD711" s="633" t="str">
        <f>IF(AND(L711="",H711=""),"",
IF(H711="",Pole_Calc!A739,
IF(H711="MP",Pole_Calc!A740,
IF(H711="AnMP",Pole_Calc!A741,
IF(H711="A",Pole_Calc!A742,
IF(H711="S/A",Pole_Calc!A743,
IF(H711="A/S",Pole_Calc!A744,"Poner a mano")))))))</f>
        <v/>
      </c>
      <c r="BE711" s="448" t="s">
        <v>1726</v>
      </c>
      <c r="BF711" s="635"/>
      <c r="BG711" s="635"/>
      <c r="BH711" s="634"/>
      <c r="BI711" s="635"/>
    </row>
    <row r="712" spans="1:61" ht="16.2" customHeight="1">
      <c r="A712" s="12"/>
      <c r="B712" s="446"/>
      <c r="C712" s="89"/>
      <c r="D712" s="13"/>
      <c r="E712" s="14"/>
      <c r="F712" s="14"/>
      <c r="G712" s="15"/>
      <c r="H712" s="8"/>
      <c r="I712" s="8"/>
      <c r="J712" s="89"/>
      <c r="K712" s="8"/>
      <c r="L712" s="8"/>
      <c r="M712" s="8" t="str">
        <f>IF(L712="","",
IF(AX712="PT",VLOOKUP(L712,Foundation_Calc!$V$4:$X$37,VLOOKUP(AX712,Foundation_Calc!$I$10:$J$13,2,FALSE),0),
IF(AX712="K",VLOOKUP(L712,Foundation_Calc!$V$41:$X$74,VLOOKUP(AX712,Foundation_Calc!$I$10:$J$13,2,FALSE),0),"")))</f>
        <v/>
      </c>
      <c r="N712" s="8"/>
      <c r="O712" s="8"/>
      <c r="P712" s="8"/>
      <c r="Q712" s="14"/>
      <c r="R712" s="15"/>
      <c r="S712" s="15"/>
      <c r="T712" s="14"/>
      <c r="U712" s="14"/>
      <c r="V712" s="14"/>
      <c r="W712" s="18"/>
      <c r="X712" s="18"/>
      <c r="Y712" s="18"/>
      <c r="Z712" s="18"/>
      <c r="AA712" s="18"/>
      <c r="AB712" s="18"/>
      <c r="AC712" s="8" t="str">
        <f t="shared" si="82"/>
        <v/>
      </c>
      <c r="AD712" s="8"/>
      <c r="AE712" s="8"/>
      <c r="AF712" s="14"/>
      <c r="AG712" s="13"/>
      <c r="AH712" s="14"/>
      <c r="AI712" s="14"/>
      <c r="AJ712" s="8"/>
      <c r="AK712" s="8"/>
      <c r="AL712" s="8"/>
      <c r="AM712" s="8"/>
      <c r="AN712" s="631"/>
      <c r="AO712" s="18"/>
      <c r="AP712" s="18"/>
      <c r="AQ712" s="18"/>
      <c r="AR712" s="18"/>
      <c r="AS712" s="18"/>
      <c r="AU712" s="448"/>
      <c r="AV712" s="448"/>
      <c r="AW712" s="8" t="str">
        <f>IF(C712&gt;0,VLOOKUP(C712,Foundation_Calc!$A$2:$C$986,3,1),
IF(J712&gt;0,VLOOKUP(J712,Foundation_Calc!$A$2:$C$986,3,1),""))</f>
        <v/>
      </c>
      <c r="AX712" s="8" t="str">
        <f>IF(C712&gt;0,VLOOKUP(C712,Foundation_Calc!$E$2:$G$986,3,1),
IF(J712&gt;0,VLOOKUP(J712,Foundation_Calc!$E$2:$G$986,3,1),""))</f>
        <v/>
      </c>
      <c r="AY712" s="631" t="str">
        <f>IF(L712="","",
IF(AX712="PT",VLOOKUP(L712,Foundation_Calc!$K$4:$R$37,VLOOKUP(AW712,Foundation_Calc!$I$2:$J$8,2,FALSE),0),
IF(AX712="K",VLOOKUP(L712,Foundation_Calc!$K$41:$R$74,VLOOKUP(AW712,Foundation_Calc!$I$2:$J$8,2,FALSE),0),"")))</f>
        <v/>
      </c>
      <c r="AZ712" s="631" t="str">
        <f>IF(K712="","",
IF(AX712="PT",VLOOKUP(K712,Foundation_Calc!$K$4:$R$37,VLOOKUP(AW712,Foundation_Calc!$I$2:$J$8,2,FALSE),0),
IF(AX712="K",VLOOKUP(K712,Foundation_Calc!$K$41:$R$74,VLOOKUP(AW712,Foundation_Calc!$I$2:$J$8,2,FALSE),0),"")))</f>
        <v/>
      </c>
      <c r="BA712" s="632" t="str">
        <f t="shared" si="83"/>
        <v/>
      </c>
      <c r="BB712" s="632" t="str">
        <f t="shared" si="84"/>
        <v/>
      </c>
      <c r="BC712" s="632" t="str">
        <f t="shared" si="85"/>
        <v/>
      </c>
      <c r="BD712" s="633" t="str">
        <f>IF(AND(L712="",H712=""),"",
IF(H712="",Pole_Calc!A740,
IF(H712="MP",Pole_Calc!A741,
IF(H712="AnMP",Pole_Calc!A742,
IF(H712="A",Pole_Calc!A743,
IF(H712="S/A",Pole_Calc!A744,
IF(H712="A/S",Pole_Calc!A745,"Poner a mano")))))))</f>
        <v/>
      </c>
      <c r="BE712" s="448" t="s">
        <v>1726</v>
      </c>
      <c r="BF712" s="634"/>
      <c r="BG712" s="634"/>
      <c r="BH712" s="634"/>
      <c r="BI712" s="634"/>
    </row>
    <row r="713" spans="1:61" ht="16.2" customHeight="1">
      <c r="A713" s="12"/>
      <c r="B713" s="446"/>
      <c r="C713" s="89"/>
      <c r="D713" s="13"/>
      <c r="E713" s="14"/>
      <c r="F713" s="14"/>
      <c r="G713" s="15"/>
      <c r="H713" s="8"/>
      <c r="I713" s="8"/>
      <c r="J713" s="89"/>
      <c r="K713" s="8"/>
      <c r="L713" s="8"/>
      <c r="M713" s="8" t="str">
        <f>IF(L713="","",
IF(AX713="PT",VLOOKUP(L713,Foundation_Calc!$V$4:$X$37,VLOOKUP(AX713,Foundation_Calc!$I$10:$J$13,2,FALSE),0),
IF(AX713="K",VLOOKUP(L713,Foundation_Calc!$V$41:$X$74,VLOOKUP(AX713,Foundation_Calc!$I$10:$J$13,2,FALSE),0),"")))</f>
        <v/>
      </c>
      <c r="N713" s="8"/>
      <c r="O713" s="8"/>
      <c r="P713" s="8"/>
      <c r="Q713" s="14"/>
      <c r="R713" s="15"/>
      <c r="S713" s="15"/>
      <c r="T713" s="14"/>
      <c r="U713" s="14"/>
      <c r="V713" s="14"/>
      <c r="W713" s="18"/>
      <c r="X713" s="18"/>
      <c r="Y713" s="18"/>
      <c r="Z713" s="18"/>
      <c r="AA713" s="18"/>
      <c r="AB713" s="18"/>
      <c r="AC713" s="8" t="str">
        <f t="shared" si="82"/>
        <v/>
      </c>
      <c r="AD713" s="8"/>
      <c r="AE713" s="8"/>
      <c r="AF713" s="14"/>
      <c r="AG713" s="13"/>
      <c r="AH713" s="14"/>
      <c r="AI713" s="14"/>
      <c r="AJ713" s="8"/>
      <c r="AK713" s="8"/>
      <c r="AL713" s="8"/>
      <c r="AM713" s="8"/>
      <c r="AN713" s="631"/>
      <c r="AO713" s="18"/>
      <c r="AP713" s="18"/>
      <c r="AQ713" s="18"/>
      <c r="AR713" s="18"/>
      <c r="AS713" s="18"/>
      <c r="AU713" s="448"/>
      <c r="AV713" s="448"/>
      <c r="AW713" s="8" t="str">
        <f>IF(C713&gt;0,VLOOKUP(C713,Foundation_Calc!$A$2:$C$986,3,1),
IF(J713&gt;0,VLOOKUP(J713,Foundation_Calc!$A$2:$C$986,3,1),""))</f>
        <v/>
      </c>
      <c r="AX713" s="8" t="str">
        <f>IF(C713&gt;0,VLOOKUP(C713,Foundation_Calc!$E$2:$G$986,3,1),
IF(J713&gt;0,VLOOKUP(J713,Foundation_Calc!$E$2:$G$986,3,1),""))</f>
        <v/>
      </c>
      <c r="AY713" s="631" t="str">
        <f>IF(L713="","",
IF(AX713="PT",VLOOKUP(L713,Foundation_Calc!$K$4:$R$37,VLOOKUP(AW713,Foundation_Calc!$I$2:$J$8,2,FALSE),0),
IF(AX713="K",VLOOKUP(L713,Foundation_Calc!$K$41:$R$74,VLOOKUP(AW713,Foundation_Calc!$I$2:$J$8,2,FALSE),0),"")))</f>
        <v/>
      </c>
      <c r="AZ713" s="631" t="str">
        <f>IF(K713="","",
IF(AX713="PT",VLOOKUP(K713,Foundation_Calc!$K$4:$R$37,VLOOKUP(AW713,Foundation_Calc!$I$2:$J$8,2,FALSE),0),
IF(AX713="K",VLOOKUP(K713,Foundation_Calc!$K$41:$R$74,VLOOKUP(AW713,Foundation_Calc!$I$2:$J$8,2,FALSE),0),"")))</f>
        <v/>
      </c>
      <c r="BA713" s="632" t="str">
        <f t="shared" si="83"/>
        <v/>
      </c>
      <c r="BB713" s="632" t="str">
        <f t="shared" si="84"/>
        <v/>
      </c>
      <c r="BC713" s="632" t="str">
        <f t="shared" si="85"/>
        <v/>
      </c>
      <c r="BD713" s="633" t="str">
        <f>IF(AND(L713="",H713=""),"",
IF(H713="",Pole_Calc!A741,
IF(H713="MP",Pole_Calc!A742,
IF(H713="AnMP",Pole_Calc!A743,
IF(H713="A",Pole_Calc!A744,
IF(H713="S/A",Pole_Calc!A745,
IF(H713="A/S",Pole_Calc!A746,"Poner a mano")))))))</f>
        <v/>
      </c>
      <c r="BE713" s="448" t="s">
        <v>1726</v>
      </c>
      <c r="BF713" s="635"/>
      <c r="BG713" s="635"/>
      <c r="BH713" s="634"/>
      <c r="BI713" s="635"/>
    </row>
    <row r="714" spans="1:61" ht="16.2" customHeight="1">
      <c r="A714" s="12"/>
      <c r="B714" s="446"/>
      <c r="C714" s="89"/>
      <c r="D714" s="13"/>
      <c r="E714" s="14"/>
      <c r="F714" s="14"/>
      <c r="G714" s="15"/>
      <c r="H714" s="8"/>
      <c r="I714" s="8"/>
      <c r="J714" s="89"/>
      <c r="K714" s="8"/>
      <c r="L714" s="8"/>
      <c r="M714" s="8" t="str">
        <f>IF(L714="","",
IF(AX714="PT",VLOOKUP(L714,Foundation_Calc!$V$4:$X$37,VLOOKUP(AX714,Foundation_Calc!$I$10:$J$13,2,FALSE),0),
IF(AX714="K",VLOOKUP(L714,Foundation_Calc!$V$41:$X$74,VLOOKUP(AX714,Foundation_Calc!$I$10:$J$13,2,FALSE),0),"")))</f>
        <v/>
      </c>
      <c r="N714" s="8"/>
      <c r="O714" s="8"/>
      <c r="P714" s="8"/>
      <c r="Q714" s="14"/>
      <c r="R714" s="15"/>
      <c r="S714" s="15"/>
      <c r="T714" s="14"/>
      <c r="U714" s="14"/>
      <c r="V714" s="14"/>
      <c r="W714" s="18"/>
      <c r="X714" s="18"/>
      <c r="Y714" s="18"/>
      <c r="Z714" s="18"/>
      <c r="AA714" s="18"/>
      <c r="AB714" s="18"/>
      <c r="AC714" s="8" t="str">
        <f t="shared" si="82"/>
        <v/>
      </c>
      <c r="AD714" s="8"/>
      <c r="AE714" s="8"/>
      <c r="AF714" s="14"/>
      <c r="AG714" s="13"/>
      <c r="AH714" s="14"/>
      <c r="AI714" s="14"/>
      <c r="AJ714" s="8"/>
      <c r="AK714" s="8"/>
      <c r="AL714" s="8"/>
      <c r="AM714" s="8"/>
      <c r="AN714" s="631"/>
      <c r="AO714" s="18"/>
      <c r="AP714" s="18"/>
      <c r="AQ714" s="18"/>
      <c r="AR714" s="18"/>
      <c r="AS714" s="18"/>
      <c r="AU714" s="448"/>
      <c r="AV714" s="448"/>
      <c r="AW714" s="8" t="str">
        <f>IF(C714&gt;0,VLOOKUP(C714,Foundation_Calc!$A$2:$C$986,3,1),
IF(J714&gt;0,VLOOKUP(J714,Foundation_Calc!$A$2:$C$986,3,1),""))</f>
        <v/>
      </c>
      <c r="AX714" s="8" t="str">
        <f>IF(C714&gt;0,VLOOKUP(C714,Foundation_Calc!$E$2:$G$986,3,1),
IF(J714&gt;0,VLOOKUP(J714,Foundation_Calc!$E$2:$G$986,3,1),""))</f>
        <v/>
      </c>
      <c r="AY714" s="631" t="str">
        <f>IF(L714="","",
IF(AX714="PT",VLOOKUP(L714,Foundation_Calc!$K$4:$R$37,VLOOKUP(AW714,Foundation_Calc!$I$2:$J$8,2,FALSE),0),
IF(AX714="K",VLOOKUP(L714,Foundation_Calc!$K$41:$R$74,VLOOKUP(AW714,Foundation_Calc!$I$2:$J$8,2,FALSE),0),"")))</f>
        <v/>
      </c>
      <c r="AZ714" s="631" t="str">
        <f>IF(K714="","",
IF(AX714="PT",VLOOKUP(K714,Foundation_Calc!$K$4:$R$37,VLOOKUP(AW714,Foundation_Calc!$I$2:$J$8,2,FALSE),0),
IF(AX714="K",VLOOKUP(K714,Foundation_Calc!$K$41:$R$74,VLOOKUP(AW714,Foundation_Calc!$I$2:$J$8,2,FALSE),0),"")))</f>
        <v/>
      </c>
      <c r="BA714" s="632" t="str">
        <f t="shared" si="83"/>
        <v/>
      </c>
      <c r="BB714" s="632" t="str">
        <f t="shared" si="84"/>
        <v/>
      </c>
      <c r="BC714" s="632" t="str">
        <f t="shared" si="85"/>
        <v/>
      </c>
      <c r="BD714" s="633" t="str">
        <f>IF(AND(L714="",H714=""),"",
IF(H714="",Pole_Calc!A742,
IF(H714="MP",Pole_Calc!A743,
IF(H714="AnMP",Pole_Calc!A744,
IF(H714="A",Pole_Calc!A745,
IF(H714="S/A",Pole_Calc!A746,
IF(H714="A/S",Pole_Calc!A747,"Poner a mano")))))))</f>
        <v/>
      </c>
      <c r="BE714" s="448" t="s">
        <v>1726</v>
      </c>
      <c r="BF714" s="634"/>
      <c r="BG714" s="634"/>
      <c r="BH714" s="634"/>
      <c r="BI714" s="634"/>
    </row>
    <row r="715" spans="1:61" ht="16.2" customHeight="1">
      <c r="A715" s="12"/>
      <c r="B715" s="446"/>
      <c r="C715" s="89"/>
      <c r="D715" s="13"/>
      <c r="E715" s="14"/>
      <c r="F715" s="14"/>
      <c r="G715" s="15"/>
      <c r="H715" s="8"/>
      <c r="I715" s="8"/>
      <c r="J715" s="89"/>
      <c r="K715" s="8"/>
      <c r="L715" s="8"/>
      <c r="M715" s="8" t="str">
        <f>IF(L715="","",
IF(AX715="PT",VLOOKUP(L715,Foundation_Calc!$V$4:$X$37,VLOOKUP(AX715,Foundation_Calc!$I$10:$J$13,2,FALSE),0),
IF(AX715="K",VLOOKUP(L715,Foundation_Calc!$V$41:$X$74,VLOOKUP(AX715,Foundation_Calc!$I$10:$J$13,2,FALSE),0),"")))</f>
        <v/>
      </c>
      <c r="N715" s="8"/>
      <c r="O715" s="8"/>
      <c r="P715" s="8"/>
      <c r="Q715" s="14"/>
      <c r="R715" s="15"/>
      <c r="S715" s="15"/>
      <c r="T715" s="14"/>
      <c r="U715" s="14"/>
      <c r="V715" s="14"/>
      <c r="W715" s="18"/>
      <c r="X715" s="18"/>
      <c r="Y715" s="18"/>
      <c r="Z715" s="18"/>
      <c r="AA715" s="18"/>
      <c r="AB715" s="18"/>
      <c r="AC715" s="8" t="str">
        <f t="shared" si="82"/>
        <v/>
      </c>
      <c r="AD715" s="8"/>
      <c r="AE715" s="8"/>
      <c r="AF715" s="14"/>
      <c r="AG715" s="13"/>
      <c r="AH715" s="14"/>
      <c r="AI715" s="14"/>
      <c r="AJ715" s="8"/>
      <c r="AK715" s="8"/>
      <c r="AL715" s="8"/>
      <c r="AM715" s="8"/>
      <c r="AN715" s="631"/>
      <c r="AO715" s="18"/>
      <c r="AP715" s="18"/>
      <c r="AQ715" s="18"/>
      <c r="AR715" s="18"/>
      <c r="AS715" s="18"/>
      <c r="AU715" s="448"/>
      <c r="AV715" s="448"/>
      <c r="AW715" s="8" t="str">
        <f>IF(C715&gt;0,VLOOKUP(C715,Foundation_Calc!$A$2:$C$986,3,1),
IF(J715&gt;0,VLOOKUP(J715,Foundation_Calc!$A$2:$C$986,3,1),""))</f>
        <v/>
      </c>
      <c r="AX715" s="8" t="str">
        <f>IF(C715&gt;0,VLOOKUP(C715,Foundation_Calc!$E$2:$G$986,3,1),
IF(J715&gt;0,VLOOKUP(J715,Foundation_Calc!$E$2:$G$986,3,1),""))</f>
        <v/>
      </c>
      <c r="AY715" s="631" t="str">
        <f>IF(L715="","",
IF(AX715="PT",VLOOKUP(L715,Foundation_Calc!$K$4:$R$37,VLOOKUP(AW715,Foundation_Calc!$I$2:$J$8,2,FALSE),0),
IF(AX715="K",VLOOKUP(L715,Foundation_Calc!$K$41:$R$74,VLOOKUP(AW715,Foundation_Calc!$I$2:$J$8,2,FALSE),0),"")))</f>
        <v/>
      </c>
      <c r="AZ715" s="631" t="str">
        <f>IF(K715="","",
IF(AX715="PT",VLOOKUP(K715,Foundation_Calc!$K$4:$R$37,VLOOKUP(AW715,Foundation_Calc!$I$2:$J$8,2,FALSE),0),
IF(AX715="K",VLOOKUP(K715,Foundation_Calc!$K$41:$R$74,VLOOKUP(AW715,Foundation_Calc!$I$2:$J$8,2,FALSE),0),"")))</f>
        <v/>
      </c>
      <c r="BA715" s="632" t="str">
        <f t="shared" si="83"/>
        <v/>
      </c>
      <c r="BB715" s="632" t="str">
        <f t="shared" si="84"/>
        <v/>
      </c>
      <c r="BC715" s="632" t="str">
        <f t="shared" si="85"/>
        <v/>
      </c>
      <c r="BD715" s="633" t="str">
        <f>IF(AND(L715="",H715=""),"",
IF(H715="",Pole_Calc!A743,
IF(H715="MP",Pole_Calc!A744,
IF(H715="AnMP",Pole_Calc!A745,
IF(H715="A",Pole_Calc!A746,
IF(H715="S/A",Pole_Calc!A747,
IF(H715="A/S",Pole_Calc!A748,"Poner a mano")))))))</f>
        <v/>
      </c>
      <c r="BE715" s="448" t="s">
        <v>1726</v>
      </c>
      <c r="BF715" s="635"/>
      <c r="BG715" s="635"/>
      <c r="BH715" s="634"/>
      <c r="BI715" s="635"/>
    </row>
    <row r="716" spans="1:61" ht="16.2" customHeight="1">
      <c r="A716" s="12"/>
      <c r="B716" s="446"/>
      <c r="C716" s="89"/>
      <c r="D716" s="13"/>
      <c r="E716" s="14"/>
      <c r="F716" s="14"/>
      <c r="G716" s="15"/>
      <c r="H716" s="8"/>
      <c r="I716" s="8"/>
      <c r="J716" s="89"/>
      <c r="K716" s="8"/>
      <c r="L716" s="8"/>
      <c r="M716" s="8" t="str">
        <f>IF(L716="","",
IF(AX716="PT",VLOOKUP(L716,Foundation_Calc!$V$4:$X$37,VLOOKUP(AX716,Foundation_Calc!$I$10:$J$13,2,FALSE),0),
IF(AX716="K",VLOOKUP(L716,Foundation_Calc!$V$41:$X$74,VLOOKUP(AX716,Foundation_Calc!$I$10:$J$13,2,FALSE),0),"")))</f>
        <v/>
      </c>
      <c r="N716" s="8"/>
      <c r="O716" s="8"/>
      <c r="P716" s="8"/>
      <c r="Q716" s="14"/>
      <c r="R716" s="15"/>
      <c r="S716" s="15"/>
      <c r="T716" s="14"/>
      <c r="U716" s="14"/>
      <c r="V716" s="14"/>
      <c r="W716" s="18"/>
      <c r="X716" s="18"/>
      <c r="Y716" s="18"/>
      <c r="Z716" s="18"/>
      <c r="AA716" s="18"/>
      <c r="AB716" s="18"/>
      <c r="AC716" s="8" t="str">
        <f t="shared" si="82"/>
        <v/>
      </c>
      <c r="AD716" s="8"/>
      <c r="AE716" s="8"/>
      <c r="AF716" s="14"/>
      <c r="AG716" s="13"/>
      <c r="AH716" s="14"/>
      <c r="AI716" s="14"/>
      <c r="AJ716" s="8"/>
      <c r="AK716" s="8"/>
      <c r="AL716" s="8"/>
      <c r="AM716" s="8"/>
      <c r="AN716" s="631"/>
      <c r="AO716" s="18"/>
      <c r="AP716" s="18"/>
      <c r="AQ716" s="18"/>
      <c r="AR716" s="18"/>
      <c r="AS716" s="18"/>
      <c r="AU716" s="448"/>
      <c r="AV716" s="448"/>
      <c r="AW716" s="8" t="str">
        <f>IF(C716&gt;0,VLOOKUP(C716,Foundation_Calc!$A$2:$C$986,3,1),
IF(J716&gt;0,VLOOKUP(J716,Foundation_Calc!$A$2:$C$986,3,1),""))</f>
        <v/>
      </c>
      <c r="AX716" s="8" t="str">
        <f>IF(C716&gt;0,VLOOKUP(C716,Foundation_Calc!$E$2:$G$986,3,1),
IF(J716&gt;0,VLOOKUP(J716,Foundation_Calc!$E$2:$G$986,3,1),""))</f>
        <v/>
      </c>
      <c r="AY716" s="631" t="str">
        <f>IF(L716="","",
IF(AX716="PT",VLOOKUP(L716,Foundation_Calc!$K$4:$R$37,VLOOKUP(AW716,Foundation_Calc!$I$2:$J$8,2,FALSE),0),
IF(AX716="K",VLOOKUP(L716,Foundation_Calc!$K$41:$R$74,VLOOKUP(AW716,Foundation_Calc!$I$2:$J$8,2,FALSE),0),"")))</f>
        <v/>
      </c>
      <c r="AZ716" s="631" t="str">
        <f>IF(K716="","",
IF(AX716="PT",VLOOKUP(K716,Foundation_Calc!$K$4:$R$37,VLOOKUP(AW716,Foundation_Calc!$I$2:$J$8,2,FALSE),0),
IF(AX716="K",VLOOKUP(K716,Foundation_Calc!$K$41:$R$74,VLOOKUP(AW716,Foundation_Calc!$I$2:$J$8,2,FALSE),0),"")))</f>
        <v/>
      </c>
      <c r="BA716" s="632" t="str">
        <f t="shared" si="83"/>
        <v/>
      </c>
      <c r="BB716" s="632" t="str">
        <f t="shared" si="84"/>
        <v/>
      </c>
      <c r="BC716" s="632" t="str">
        <f t="shared" si="85"/>
        <v/>
      </c>
      <c r="BD716" s="633" t="str">
        <f>IF(AND(L716="",H716=""),"",
IF(H716="",Pole_Calc!A744,
IF(H716="MP",Pole_Calc!A745,
IF(H716="AnMP",Pole_Calc!A746,
IF(H716="A",Pole_Calc!A747,
IF(H716="S/A",Pole_Calc!A748,
IF(H716="A/S",Pole_Calc!A749,"Poner a mano")))))))</f>
        <v/>
      </c>
      <c r="BE716" s="448" t="s">
        <v>1726</v>
      </c>
      <c r="BF716" s="634"/>
      <c r="BG716" s="634"/>
      <c r="BH716" s="634"/>
      <c r="BI716" s="634"/>
    </row>
    <row r="717" spans="1:61" ht="16.2" customHeight="1">
      <c r="A717" s="12"/>
      <c r="B717" s="446"/>
      <c r="C717" s="89"/>
      <c r="D717" s="13"/>
      <c r="E717" s="14"/>
      <c r="F717" s="14"/>
      <c r="G717" s="15"/>
      <c r="H717" s="8"/>
      <c r="I717" s="8"/>
      <c r="J717" s="89"/>
      <c r="K717" s="8"/>
      <c r="L717" s="8"/>
      <c r="M717" s="8" t="str">
        <f>IF(L717="","",
IF(AX717="PT",VLOOKUP(L717,Foundation_Calc!$V$4:$X$37,VLOOKUP(AX717,Foundation_Calc!$I$10:$J$13,2,FALSE),0),
IF(AX717="K",VLOOKUP(L717,Foundation_Calc!$V$41:$X$74,VLOOKUP(AX717,Foundation_Calc!$I$10:$J$13,2,FALSE),0),"")))</f>
        <v/>
      </c>
      <c r="N717" s="8"/>
      <c r="O717" s="8"/>
      <c r="P717" s="8"/>
      <c r="Q717" s="14"/>
      <c r="R717" s="15"/>
      <c r="S717" s="15"/>
      <c r="T717" s="14"/>
      <c r="U717" s="14"/>
      <c r="V717" s="14"/>
      <c r="W717" s="18"/>
      <c r="X717" s="18"/>
      <c r="Y717" s="18"/>
      <c r="Z717" s="18"/>
      <c r="AA717" s="18"/>
      <c r="AB717" s="18"/>
      <c r="AC717" s="8" t="str">
        <f t="shared" si="82"/>
        <v/>
      </c>
      <c r="AD717" s="8"/>
      <c r="AE717" s="8"/>
      <c r="AF717" s="14"/>
      <c r="AG717" s="13"/>
      <c r="AH717" s="14"/>
      <c r="AI717" s="14"/>
      <c r="AJ717" s="8"/>
      <c r="AK717" s="8"/>
      <c r="AL717" s="8"/>
      <c r="AM717" s="8"/>
      <c r="AN717" s="631"/>
      <c r="AO717" s="18"/>
      <c r="AP717" s="18"/>
      <c r="AQ717" s="18"/>
      <c r="AR717" s="18"/>
      <c r="AS717" s="18"/>
      <c r="AU717" s="448"/>
      <c r="AV717" s="448"/>
      <c r="AW717" s="8" t="str">
        <f>IF(C717&gt;0,VLOOKUP(C717,Foundation_Calc!$A$2:$C$986,3,1),
IF(J717&gt;0,VLOOKUP(J717,Foundation_Calc!$A$2:$C$986,3,1),""))</f>
        <v/>
      </c>
      <c r="AX717" s="8" t="str">
        <f>IF(C717&gt;0,VLOOKUP(C717,Foundation_Calc!$E$2:$G$986,3,1),
IF(J717&gt;0,VLOOKUP(J717,Foundation_Calc!$E$2:$G$986,3,1),""))</f>
        <v/>
      </c>
      <c r="AY717" s="631" t="str">
        <f>IF(L717="","",
IF(AX717="PT",VLOOKUP(L717,Foundation_Calc!$K$4:$R$37,VLOOKUP(AW717,Foundation_Calc!$I$2:$J$8,2,FALSE),0),
IF(AX717="K",VLOOKUP(L717,Foundation_Calc!$K$41:$R$74,VLOOKUP(AW717,Foundation_Calc!$I$2:$J$8,2,FALSE),0),"")))</f>
        <v/>
      </c>
      <c r="AZ717" s="631" t="str">
        <f>IF(K717="","",
IF(AX717="PT",VLOOKUP(K717,Foundation_Calc!$K$4:$R$37,VLOOKUP(AW717,Foundation_Calc!$I$2:$J$8,2,FALSE),0),
IF(AX717="K",VLOOKUP(K717,Foundation_Calc!$K$41:$R$74,VLOOKUP(AW717,Foundation_Calc!$I$2:$J$8,2,FALSE),0),"")))</f>
        <v/>
      </c>
      <c r="BA717" s="632" t="str">
        <f t="shared" si="83"/>
        <v/>
      </c>
      <c r="BB717" s="632" t="str">
        <f t="shared" si="84"/>
        <v/>
      </c>
      <c r="BC717" s="632" t="str">
        <f t="shared" si="85"/>
        <v/>
      </c>
      <c r="BD717" s="633" t="str">
        <f>IF(AND(L717="",H717=""),"",
IF(H717="",Pole_Calc!A745,
IF(H717="MP",Pole_Calc!A746,
IF(H717="AnMP",Pole_Calc!A747,
IF(H717="A",Pole_Calc!A748,
IF(H717="S/A",Pole_Calc!A749,
IF(H717="A/S",Pole_Calc!A750,"Poner a mano")))))))</f>
        <v/>
      </c>
      <c r="BE717" s="448" t="s">
        <v>1726</v>
      </c>
      <c r="BF717" s="635"/>
      <c r="BG717" s="635"/>
      <c r="BH717" s="634"/>
      <c r="BI717" s="635"/>
    </row>
    <row r="718" spans="1:61" ht="16.2" customHeight="1">
      <c r="A718" s="12"/>
      <c r="B718" s="446"/>
      <c r="C718" s="89"/>
      <c r="D718" s="13"/>
      <c r="E718" s="14"/>
      <c r="F718" s="14"/>
      <c r="G718" s="15"/>
      <c r="H718" s="8"/>
      <c r="I718" s="8"/>
      <c r="J718" s="89"/>
      <c r="K718" s="8"/>
      <c r="L718" s="8"/>
      <c r="M718" s="8" t="str">
        <f>IF(L718="","",
IF(AX718="PT",VLOOKUP(L718,Foundation_Calc!$V$4:$X$37,VLOOKUP(AX718,Foundation_Calc!$I$10:$J$13,2,FALSE),0),
IF(AX718="K",VLOOKUP(L718,Foundation_Calc!$V$41:$X$74,VLOOKUP(AX718,Foundation_Calc!$I$10:$J$13,2,FALSE),0),"")))</f>
        <v/>
      </c>
      <c r="N718" s="8"/>
      <c r="O718" s="8"/>
      <c r="P718" s="8"/>
      <c r="Q718" s="14"/>
      <c r="R718" s="15"/>
      <c r="S718" s="15"/>
      <c r="T718" s="14"/>
      <c r="U718" s="14"/>
      <c r="V718" s="14"/>
      <c r="W718" s="18"/>
      <c r="X718" s="18"/>
      <c r="Y718" s="18"/>
      <c r="Z718" s="18"/>
      <c r="AA718" s="18"/>
      <c r="AB718" s="18"/>
      <c r="AC718" s="8" t="str">
        <f t="shared" si="82"/>
        <v/>
      </c>
      <c r="AD718" s="8"/>
      <c r="AE718" s="8"/>
      <c r="AF718" s="14"/>
      <c r="AG718" s="13"/>
      <c r="AH718" s="14"/>
      <c r="AI718" s="14"/>
      <c r="AJ718" s="8"/>
      <c r="AK718" s="8"/>
      <c r="AL718" s="8"/>
      <c r="AM718" s="8"/>
      <c r="AN718" s="631"/>
      <c r="AO718" s="18"/>
      <c r="AP718" s="18"/>
      <c r="AQ718" s="18"/>
      <c r="AR718" s="18"/>
      <c r="AS718" s="18"/>
      <c r="AU718" s="448"/>
      <c r="AV718" s="448"/>
      <c r="AW718" s="8" t="str">
        <f>IF(C718&gt;0,VLOOKUP(C718,Foundation_Calc!$A$2:$C$986,3,1),
IF(J718&gt;0,VLOOKUP(J718,Foundation_Calc!$A$2:$C$986,3,1),""))</f>
        <v/>
      </c>
      <c r="AX718" s="8" t="str">
        <f>IF(C718&gt;0,VLOOKUP(C718,Foundation_Calc!$E$2:$G$986,3,1),
IF(J718&gt;0,VLOOKUP(J718,Foundation_Calc!$E$2:$G$986,3,1),""))</f>
        <v/>
      </c>
      <c r="AY718" s="631" t="str">
        <f>IF(L718="","",
IF(AX718="PT",VLOOKUP(L718,Foundation_Calc!$K$4:$R$37,VLOOKUP(AW718,Foundation_Calc!$I$2:$J$8,2,FALSE),0),
IF(AX718="K",VLOOKUP(L718,Foundation_Calc!$K$41:$R$74,VLOOKUP(AW718,Foundation_Calc!$I$2:$J$8,2,FALSE),0),"")))</f>
        <v/>
      </c>
      <c r="AZ718" s="631" t="str">
        <f>IF(K718="","",
IF(AX718="PT",VLOOKUP(K718,Foundation_Calc!$K$4:$R$37,VLOOKUP(AW718,Foundation_Calc!$I$2:$J$8,2,FALSE),0),
IF(AX718="K",VLOOKUP(K718,Foundation_Calc!$K$41:$R$74,VLOOKUP(AW718,Foundation_Calc!$I$2:$J$8,2,FALSE),0),"")))</f>
        <v/>
      </c>
      <c r="BA718" s="632" t="str">
        <f t="shared" si="83"/>
        <v/>
      </c>
      <c r="BB718" s="632" t="str">
        <f t="shared" si="84"/>
        <v/>
      </c>
      <c r="BC718" s="632" t="str">
        <f t="shared" si="85"/>
        <v/>
      </c>
      <c r="BD718" s="633" t="str">
        <f>IF(AND(L718="",H718=""),"",
IF(H718="",Pole_Calc!A746,
IF(H718="MP",Pole_Calc!A747,
IF(H718="AnMP",Pole_Calc!A748,
IF(H718="A",Pole_Calc!A749,
IF(H718="S/A",Pole_Calc!A750,
IF(H718="A/S",Pole_Calc!A751,"Poner a mano")))))))</f>
        <v/>
      </c>
      <c r="BE718" s="448" t="s">
        <v>1726</v>
      </c>
      <c r="BF718" s="634"/>
      <c r="BG718" s="634"/>
      <c r="BH718" s="634"/>
      <c r="BI718" s="634"/>
    </row>
    <row r="719" spans="1:61" ht="16.2" customHeight="1">
      <c r="A719" s="12"/>
      <c r="B719" s="446"/>
      <c r="C719" s="89"/>
      <c r="D719" s="13"/>
      <c r="E719" s="14"/>
      <c r="F719" s="14"/>
      <c r="G719" s="15"/>
      <c r="H719" s="8"/>
      <c r="I719" s="8"/>
      <c r="J719" s="89"/>
      <c r="K719" s="8"/>
      <c r="L719" s="8"/>
      <c r="M719" s="8" t="str">
        <f>IF(L719="","",
IF(AX719="PT",VLOOKUP(L719,Foundation_Calc!$V$4:$X$37,VLOOKUP(AX719,Foundation_Calc!$I$10:$J$13,2,FALSE),0),
IF(AX719="K",VLOOKUP(L719,Foundation_Calc!$V$41:$X$74,VLOOKUP(AX719,Foundation_Calc!$I$10:$J$13,2,FALSE),0),"")))</f>
        <v/>
      </c>
      <c r="N719" s="8"/>
      <c r="O719" s="8"/>
      <c r="P719" s="8"/>
      <c r="Q719" s="14"/>
      <c r="R719" s="15"/>
      <c r="S719" s="15"/>
      <c r="T719" s="14"/>
      <c r="U719" s="14"/>
      <c r="V719" s="14"/>
      <c r="W719" s="18"/>
      <c r="X719" s="18"/>
      <c r="Y719" s="18"/>
      <c r="Z719" s="18"/>
      <c r="AA719" s="18"/>
      <c r="AB719" s="18"/>
      <c r="AC719" s="8" t="str">
        <f t="shared" si="82"/>
        <v/>
      </c>
      <c r="AD719" s="8"/>
      <c r="AE719" s="8"/>
      <c r="AF719" s="14"/>
      <c r="AG719" s="13"/>
      <c r="AH719" s="14"/>
      <c r="AI719" s="14"/>
      <c r="AJ719" s="8"/>
      <c r="AK719" s="8"/>
      <c r="AL719" s="8"/>
      <c r="AM719" s="8"/>
      <c r="AN719" s="631"/>
      <c r="AO719" s="18"/>
      <c r="AP719" s="18"/>
      <c r="AQ719" s="18"/>
      <c r="AR719" s="18"/>
      <c r="AS719" s="18"/>
      <c r="AU719" s="448"/>
      <c r="AV719" s="448"/>
      <c r="AW719" s="8" t="str">
        <f>IF(C719&gt;0,VLOOKUP(C719,Foundation_Calc!$A$2:$C$986,3,1),
IF(J719&gt;0,VLOOKUP(J719,Foundation_Calc!$A$2:$C$986,3,1),""))</f>
        <v/>
      </c>
      <c r="AX719" s="8" t="str">
        <f>IF(C719&gt;0,VLOOKUP(C719,Foundation_Calc!$E$2:$G$986,3,1),
IF(J719&gt;0,VLOOKUP(J719,Foundation_Calc!$E$2:$G$986,3,1),""))</f>
        <v/>
      </c>
      <c r="AY719" s="631" t="str">
        <f>IF(L719="","",
IF(AX719="PT",VLOOKUP(L719,Foundation_Calc!$K$4:$R$37,VLOOKUP(AW719,Foundation_Calc!$I$2:$J$8,2,FALSE),0),
IF(AX719="K",VLOOKUP(L719,Foundation_Calc!$K$41:$R$74,VLOOKUP(AW719,Foundation_Calc!$I$2:$J$8,2,FALSE),0),"")))</f>
        <v/>
      </c>
      <c r="AZ719" s="631" t="str">
        <f>IF(K719="","",
IF(AX719="PT",VLOOKUP(K719,Foundation_Calc!$K$4:$R$37,VLOOKUP(AW719,Foundation_Calc!$I$2:$J$8,2,FALSE),0),
IF(AX719="K",VLOOKUP(K719,Foundation_Calc!$K$41:$R$74,VLOOKUP(AW719,Foundation_Calc!$I$2:$J$8,2,FALSE),0),"")))</f>
        <v/>
      </c>
      <c r="BA719" s="632" t="str">
        <f t="shared" si="83"/>
        <v/>
      </c>
      <c r="BB719" s="632" t="str">
        <f t="shared" si="84"/>
        <v/>
      </c>
      <c r="BC719" s="632" t="str">
        <f t="shared" si="85"/>
        <v/>
      </c>
      <c r="BD719" s="633" t="str">
        <f>IF(AND(L719="",H719=""),"",
IF(H719="",Pole_Calc!A747,
IF(H719="MP",Pole_Calc!A748,
IF(H719="AnMP",Pole_Calc!A749,
IF(H719="A",Pole_Calc!A750,
IF(H719="S/A",Pole_Calc!A751,
IF(H719="A/S",Pole_Calc!A752,"Poner a mano")))))))</f>
        <v/>
      </c>
      <c r="BE719" s="448" t="s">
        <v>1726</v>
      </c>
      <c r="BF719" s="635"/>
      <c r="BG719" s="635"/>
      <c r="BH719" s="634"/>
      <c r="BI719" s="635"/>
    </row>
    <row r="720" spans="1:61" ht="16.2" customHeight="1">
      <c r="A720" s="12"/>
      <c r="B720" s="446"/>
      <c r="C720" s="89"/>
      <c r="D720" s="13"/>
      <c r="E720" s="14"/>
      <c r="F720" s="14"/>
      <c r="G720" s="15"/>
      <c r="H720" s="8"/>
      <c r="I720" s="8"/>
      <c r="J720" s="89"/>
      <c r="K720" s="8"/>
      <c r="L720" s="8"/>
      <c r="M720" s="8" t="str">
        <f>IF(L720="","",
IF(AX720="PT",VLOOKUP(L720,Foundation_Calc!$V$4:$X$37,VLOOKUP(AX720,Foundation_Calc!$I$10:$J$13,2,FALSE),0),
IF(AX720="K",VLOOKUP(L720,Foundation_Calc!$V$41:$X$74,VLOOKUP(AX720,Foundation_Calc!$I$10:$J$13,2,FALSE),0),"")))</f>
        <v/>
      </c>
      <c r="N720" s="8"/>
      <c r="O720" s="8"/>
      <c r="P720" s="8"/>
      <c r="Q720" s="14"/>
      <c r="R720" s="15"/>
      <c r="S720" s="15"/>
      <c r="T720" s="14"/>
      <c r="U720" s="14"/>
      <c r="V720" s="14"/>
      <c r="W720" s="18"/>
      <c r="X720" s="18"/>
      <c r="Y720" s="18"/>
      <c r="Z720" s="18"/>
      <c r="AA720" s="18"/>
      <c r="AB720" s="18"/>
      <c r="AC720" s="8" t="str">
        <f t="shared" si="82"/>
        <v/>
      </c>
      <c r="AD720" s="8"/>
      <c r="AE720" s="8"/>
      <c r="AF720" s="14"/>
      <c r="AG720" s="13"/>
      <c r="AH720" s="14"/>
      <c r="AI720" s="14"/>
      <c r="AJ720" s="8"/>
      <c r="AK720" s="8"/>
      <c r="AL720" s="8"/>
      <c r="AM720" s="8"/>
      <c r="AN720" s="631"/>
      <c r="AO720" s="18"/>
      <c r="AP720" s="18"/>
      <c r="AQ720" s="18"/>
      <c r="AR720" s="18"/>
      <c r="AS720" s="18"/>
      <c r="AU720" s="448"/>
      <c r="AV720" s="448"/>
      <c r="AW720" s="8" t="str">
        <f>IF(C720&gt;0,VLOOKUP(C720,Foundation_Calc!$A$2:$C$986,3,1),
IF(J720&gt;0,VLOOKUP(J720,Foundation_Calc!$A$2:$C$986,3,1),""))</f>
        <v/>
      </c>
      <c r="AX720" s="8" t="str">
        <f>IF(C720&gt;0,VLOOKUP(C720,Foundation_Calc!$E$2:$G$986,3,1),
IF(J720&gt;0,VLOOKUP(J720,Foundation_Calc!$E$2:$G$986,3,1),""))</f>
        <v/>
      </c>
      <c r="AY720" s="631" t="str">
        <f>IF(L720="","",
IF(AX720="PT",VLOOKUP(L720,Foundation_Calc!$K$4:$R$37,VLOOKUP(AW720,Foundation_Calc!$I$2:$J$8,2,FALSE),0),
IF(AX720="K",VLOOKUP(L720,Foundation_Calc!$K$41:$R$74,VLOOKUP(AW720,Foundation_Calc!$I$2:$J$8,2,FALSE),0),"")))</f>
        <v/>
      </c>
      <c r="AZ720" s="631" t="str">
        <f>IF(K720="","",
IF(AX720="PT",VLOOKUP(K720,Foundation_Calc!$K$4:$R$37,VLOOKUP(AW720,Foundation_Calc!$I$2:$J$8,2,FALSE),0),
IF(AX720="K",VLOOKUP(K720,Foundation_Calc!$K$41:$R$74,VLOOKUP(AW720,Foundation_Calc!$I$2:$J$8,2,FALSE),0),"")))</f>
        <v/>
      </c>
      <c r="BA720" s="632" t="str">
        <f t="shared" si="83"/>
        <v/>
      </c>
      <c r="BB720" s="632" t="str">
        <f t="shared" si="84"/>
        <v/>
      </c>
      <c r="BC720" s="632" t="str">
        <f t="shared" si="85"/>
        <v/>
      </c>
      <c r="BD720" s="633" t="str">
        <f>IF(AND(L720="",H720=""),"",
IF(H720="",Pole_Calc!A748,
IF(H720="MP",Pole_Calc!A749,
IF(H720="AnMP",Pole_Calc!A750,
IF(H720="A",Pole_Calc!A751,
IF(H720="S/A",Pole_Calc!A752,
IF(H720="A/S",Pole_Calc!A753,"Poner a mano")))))))</f>
        <v/>
      </c>
      <c r="BE720" s="448" t="s">
        <v>1726</v>
      </c>
      <c r="BF720" s="634"/>
      <c r="BG720" s="634"/>
      <c r="BH720" s="634"/>
      <c r="BI720" s="634"/>
    </row>
    <row r="721" spans="1:61" ht="16.2" customHeight="1">
      <c r="A721" s="12"/>
      <c r="B721" s="446"/>
      <c r="C721" s="89"/>
      <c r="D721" s="13"/>
      <c r="E721" s="14"/>
      <c r="F721" s="14"/>
      <c r="G721" s="15"/>
      <c r="H721" s="8"/>
      <c r="I721" s="8"/>
      <c r="J721" s="89"/>
      <c r="K721" s="8"/>
      <c r="L721" s="8"/>
      <c r="M721" s="8" t="str">
        <f>IF(L721="","",
IF(AX721="PT",VLOOKUP(L721,Foundation_Calc!$V$4:$X$37,VLOOKUP(AX721,Foundation_Calc!$I$10:$J$13,2,FALSE),0),
IF(AX721="K",VLOOKUP(L721,Foundation_Calc!$V$41:$X$74,VLOOKUP(AX721,Foundation_Calc!$I$10:$J$13,2,FALSE),0),"")))</f>
        <v/>
      </c>
      <c r="N721" s="8"/>
      <c r="O721" s="8"/>
      <c r="P721" s="8"/>
      <c r="Q721" s="14"/>
      <c r="R721" s="15"/>
      <c r="S721" s="15"/>
      <c r="T721" s="14"/>
      <c r="U721" s="14"/>
      <c r="V721" s="14"/>
      <c r="W721" s="18"/>
      <c r="X721" s="18"/>
      <c r="Y721" s="18"/>
      <c r="Z721" s="18"/>
      <c r="AA721" s="18"/>
      <c r="AB721" s="18"/>
      <c r="AC721" s="8" t="str">
        <f t="shared" si="82"/>
        <v/>
      </c>
      <c r="AD721" s="8"/>
      <c r="AE721" s="8"/>
      <c r="AF721" s="14"/>
      <c r="AG721" s="13"/>
      <c r="AH721" s="14"/>
      <c r="AI721" s="14"/>
      <c r="AJ721" s="8"/>
      <c r="AK721" s="8"/>
      <c r="AL721" s="8"/>
      <c r="AM721" s="8"/>
      <c r="AN721" s="631"/>
      <c r="AO721" s="18"/>
      <c r="AP721" s="18"/>
      <c r="AQ721" s="18"/>
      <c r="AR721" s="18"/>
      <c r="AS721" s="18"/>
      <c r="AU721" s="448"/>
      <c r="AV721" s="448"/>
      <c r="AW721" s="8" t="str">
        <f>IF(C721&gt;0,VLOOKUP(C721,Foundation_Calc!$A$2:$C$986,3,1),
IF(J721&gt;0,VLOOKUP(J721,Foundation_Calc!$A$2:$C$986,3,1),""))</f>
        <v/>
      </c>
      <c r="AX721" s="8" t="str">
        <f>IF(C721&gt;0,VLOOKUP(C721,Foundation_Calc!$E$2:$G$986,3,1),
IF(J721&gt;0,VLOOKUP(J721,Foundation_Calc!$E$2:$G$986,3,1),""))</f>
        <v/>
      </c>
      <c r="AY721" s="631" t="str">
        <f>IF(L721="","",
IF(AX721="PT",VLOOKUP(L721,Foundation_Calc!$K$4:$R$37,VLOOKUP(AW721,Foundation_Calc!$I$2:$J$8,2,FALSE),0),
IF(AX721="K",VLOOKUP(L721,Foundation_Calc!$K$41:$R$74,VLOOKUP(AW721,Foundation_Calc!$I$2:$J$8,2,FALSE),0),"")))</f>
        <v/>
      </c>
      <c r="AZ721" s="631" t="str">
        <f>IF(K721="","",
IF(AX721="PT",VLOOKUP(K721,Foundation_Calc!$K$4:$R$37,VLOOKUP(AW721,Foundation_Calc!$I$2:$J$8,2,FALSE),0),
IF(AX721="K",VLOOKUP(K721,Foundation_Calc!$K$41:$R$74,VLOOKUP(AW721,Foundation_Calc!$I$2:$J$8,2,FALSE),0),"")))</f>
        <v/>
      </c>
      <c r="BA721" s="632" t="str">
        <f t="shared" si="83"/>
        <v/>
      </c>
      <c r="BB721" s="632" t="str">
        <f t="shared" si="84"/>
        <v/>
      </c>
      <c r="BC721" s="632" t="str">
        <f t="shared" si="85"/>
        <v/>
      </c>
      <c r="BD721" s="633" t="str">
        <f>IF(AND(L721="",H721=""),"",
IF(H721="",Pole_Calc!A749,
IF(H721="MP",Pole_Calc!A750,
IF(H721="AnMP",Pole_Calc!A751,
IF(H721="A",Pole_Calc!A752,
IF(H721="S/A",Pole_Calc!A753,
IF(H721="A/S",Pole_Calc!A754,"Poner a mano")))))))</f>
        <v/>
      </c>
      <c r="BE721" s="448" t="s">
        <v>1726</v>
      </c>
      <c r="BF721" s="635"/>
      <c r="BG721" s="635"/>
      <c r="BH721" s="634"/>
      <c r="BI721" s="635"/>
    </row>
    <row r="722" spans="1:61" ht="16.2" customHeight="1">
      <c r="A722" s="12"/>
      <c r="B722" s="446"/>
      <c r="C722" s="89"/>
      <c r="D722" s="13"/>
      <c r="E722" s="14"/>
      <c r="F722" s="14"/>
      <c r="G722" s="15"/>
      <c r="H722" s="8"/>
      <c r="I722" s="8"/>
      <c r="J722" s="89"/>
      <c r="K722" s="8"/>
      <c r="L722" s="8"/>
      <c r="M722" s="8" t="str">
        <f>IF(L722="","",
IF(AX722="PT",VLOOKUP(L722,Foundation_Calc!$V$4:$X$37,VLOOKUP(AX722,Foundation_Calc!$I$10:$J$13,2,FALSE),0),
IF(AX722="K",VLOOKUP(L722,Foundation_Calc!$V$41:$X$74,VLOOKUP(AX722,Foundation_Calc!$I$10:$J$13,2,FALSE),0),"")))</f>
        <v/>
      </c>
      <c r="N722" s="8"/>
      <c r="O722" s="8"/>
      <c r="P722" s="8"/>
      <c r="Q722" s="14"/>
      <c r="R722" s="15"/>
      <c r="S722" s="15"/>
      <c r="T722" s="14"/>
      <c r="U722" s="14"/>
      <c r="V722" s="14"/>
      <c r="W722" s="18"/>
      <c r="X722" s="18"/>
      <c r="Y722" s="18"/>
      <c r="Z722" s="18"/>
      <c r="AA722" s="18"/>
      <c r="AB722" s="18"/>
      <c r="AC722" s="8" t="str">
        <f t="shared" si="82"/>
        <v/>
      </c>
      <c r="AD722" s="8"/>
      <c r="AE722" s="8"/>
      <c r="AF722" s="14"/>
      <c r="AG722" s="13"/>
      <c r="AH722" s="14"/>
      <c r="AI722" s="14"/>
      <c r="AJ722" s="8"/>
      <c r="AK722" s="8"/>
      <c r="AL722" s="8"/>
      <c r="AM722" s="8"/>
      <c r="AN722" s="631"/>
      <c r="AO722" s="18"/>
      <c r="AP722" s="18"/>
      <c r="AQ722" s="18"/>
      <c r="AR722" s="18"/>
      <c r="AS722" s="18"/>
      <c r="AU722" s="448"/>
      <c r="AV722" s="448"/>
      <c r="AW722" s="8" t="str">
        <f>IF(C722&gt;0,VLOOKUP(C722,Foundation_Calc!$A$2:$C$986,3,1),
IF(J722&gt;0,VLOOKUP(J722,Foundation_Calc!$A$2:$C$986,3,1),""))</f>
        <v/>
      </c>
      <c r="AX722" s="8" t="str">
        <f>IF(C722&gt;0,VLOOKUP(C722,Foundation_Calc!$E$2:$G$986,3,1),
IF(J722&gt;0,VLOOKUP(J722,Foundation_Calc!$E$2:$G$986,3,1),""))</f>
        <v/>
      </c>
      <c r="AY722" s="631" t="str">
        <f>IF(L722="","",
IF(AX722="PT",VLOOKUP(L722,Foundation_Calc!$K$4:$R$37,VLOOKUP(AW722,Foundation_Calc!$I$2:$J$8,2,FALSE),0),
IF(AX722="K",VLOOKUP(L722,Foundation_Calc!$K$41:$R$74,VLOOKUP(AW722,Foundation_Calc!$I$2:$J$8,2,FALSE),0),"")))</f>
        <v/>
      </c>
      <c r="AZ722" s="631" t="str">
        <f>IF(K722="","",
IF(AX722="PT",VLOOKUP(K722,Foundation_Calc!$K$4:$R$37,VLOOKUP(AW722,Foundation_Calc!$I$2:$J$8,2,FALSE),0),
IF(AX722="K",VLOOKUP(K722,Foundation_Calc!$K$41:$R$74,VLOOKUP(AW722,Foundation_Calc!$I$2:$J$8,2,FALSE),0),"")))</f>
        <v/>
      </c>
      <c r="BA722" s="632" t="str">
        <f t="shared" si="83"/>
        <v/>
      </c>
      <c r="BB722" s="632" t="str">
        <f t="shared" si="84"/>
        <v/>
      </c>
      <c r="BC722" s="632" t="str">
        <f t="shared" si="85"/>
        <v/>
      </c>
      <c r="BD722" s="633" t="str">
        <f>IF(AND(L722="",H722=""),"",
IF(H722="",Pole_Calc!A750,
IF(H722="MP",Pole_Calc!A751,
IF(H722="AnMP",Pole_Calc!A752,
IF(H722="A",Pole_Calc!A753,
IF(H722="S/A",Pole_Calc!A754,
IF(H722="A/S",Pole_Calc!A755,"Poner a mano")))))))</f>
        <v/>
      </c>
      <c r="BE722" s="448" t="s">
        <v>1726</v>
      </c>
      <c r="BF722" s="634"/>
      <c r="BG722" s="634"/>
      <c r="BH722" s="634"/>
      <c r="BI722" s="634"/>
    </row>
    <row r="723" spans="1:61" ht="16.2" customHeight="1">
      <c r="A723" s="12"/>
      <c r="B723" s="446"/>
      <c r="C723" s="89"/>
      <c r="D723" s="13"/>
      <c r="E723" s="14"/>
      <c r="F723" s="14"/>
      <c r="G723" s="15"/>
      <c r="H723" s="8"/>
      <c r="I723" s="8"/>
      <c r="J723" s="89"/>
      <c r="K723" s="8"/>
      <c r="L723" s="8"/>
      <c r="M723" s="8" t="str">
        <f>IF(L723="","",
IF(AX723="PT",VLOOKUP(L723,Foundation_Calc!$V$4:$X$37,VLOOKUP(AX723,Foundation_Calc!$I$10:$J$13,2,FALSE),0),
IF(AX723="K",VLOOKUP(L723,Foundation_Calc!$V$41:$X$74,VLOOKUP(AX723,Foundation_Calc!$I$10:$J$13,2,FALSE),0),"")))</f>
        <v/>
      </c>
      <c r="N723" s="8"/>
      <c r="O723" s="8"/>
      <c r="P723" s="8"/>
      <c r="Q723" s="14"/>
      <c r="R723" s="15"/>
      <c r="S723" s="15"/>
      <c r="T723" s="14"/>
      <c r="U723" s="14"/>
      <c r="V723" s="14"/>
      <c r="W723" s="18"/>
      <c r="X723" s="18"/>
      <c r="Y723" s="18"/>
      <c r="Z723" s="18"/>
      <c r="AA723" s="18"/>
      <c r="AB723" s="18"/>
      <c r="AC723" s="8" t="str">
        <f t="shared" si="82"/>
        <v/>
      </c>
      <c r="AD723" s="8"/>
      <c r="AE723" s="8"/>
      <c r="AF723" s="14"/>
      <c r="AG723" s="13"/>
      <c r="AH723" s="14"/>
      <c r="AI723" s="14"/>
      <c r="AJ723" s="8"/>
      <c r="AK723" s="8"/>
      <c r="AL723" s="8"/>
      <c r="AM723" s="8"/>
      <c r="AN723" s="631"/>
      <c r="AO723" s="18"/>
      <c r="AP723" s="18"/>
      <c r="AQ723" s="18"/>
      <c r="AR723" s="18"/>
      <c r="AS723" s="18"/>
      <c r="AU723" s="448"/>
      <c r="AV723" s="448"/>
      <c r="AW723" s="8" t="str">
        <f>IF(C723&gt;0,VLOOKUP(C723,Foundation_Calc!$A$2:$C$986,3,1),
IF(J723&gt;0,VLOOKUP(J723,Foundation_Calc!$A$2:$C$986,3,1),""))</f>
        <v/>
      </c>
      <c r="AX723" s="8" t="str">
        <f>IF(C723&gt;0,VLOOKUP(C723,Foundation_Calc!$E$2:$G$986,3,1),
IF(J723&gt;0,VLOOKUP(J723,Foundation_Calc!$E$2:$G$986,3,1),""))</f>
        <v/>
      </c>
      <c r="AY723" s="631" t="str">
        <f>IF(L723="","",
IF(AX723="PT",VLOOKUP(L723,Foundation_Calc!$K$4:$R$37,VLOOKUP(AW723,Foundation_Calc!$I$2:$J$8,2,FALSE),0),
IF(AX723="K",VLOOKUP(L723,Foundation_Calc!$K$41:$R$74,VLOOKUP(AW723,Foundation_Calc!$I$2:$J$8,2,FALSE),0),"")))</f>
        <v/>
      </c>
      <c r="AZ723" s="631" t="str">
        <f>IF(K723="","",
IF(AX723="PT",VLOOKUP(K723,Foundation_Calc!$K$4:$R$37,VLOOKUP(AW723,Foundation_Calc!$I$2:$J$8,2,FALSE),0),
IF(AX723="K",VLOOKUP(K723,Foundation_Calc!$K$41:$R$74,VLOOKUP(AW723,Foundation_Calc!$I$2:$J$8,2,FALSE),0),"")))</f>
        <v/>
      </c>
      <c r="BA723" s="632" t="str">
        <f t="shared" si="83"/>
        <v/>
      </c>
      <c r="BB723" s="632" t="str">
        <f t="shared" si="84"/>
        <v/>
      </c>
      <c r="BC723" s="632" t="str">
        <f t="shared" si="85"/>
        <v/>
      </c>
      <c r="BD723" s="633" t="str">
        <f>IF(AND(L723="",H723=""),"",
IF(H723="",Pole_Calc!A751,
IF(H723="MP",Pole_Calc!A752,
IF(H723="AnMP",Pole_Calc!A753,
IF(H723="A",Pole_Calc!A754,
IF(H723="S/A",Pole_Calc!A755,
IF(H723="A/S",Pole_Calc!A756,"Poner a mano")))))))</f>
        <v/>
      </c>
      <c r="BE723" s="448" t="s">
        <v>1726</v>
      </c>
      <c r="BF723" s="635"/>
      <c r="BG723" s="635"/>
      <c r="BH723" s="634"/>
      <c r="BI723" s="635"/>
    </row>
    <row r="724" spans="1:61" ht="16.2" customHeight="1">
      <c r="A724" s="12"/>
      <c r="B724" s="446"/>
      <c r="C724" s="89"/>
      <c r="D724" s="13"/>
      <c r="E724" s="14"/>
      <c r="F724" s="14"/>
      <c r="G724" s="15"/>
      <c r="H724" s="8"/>
      <c r="I724" s="8"/>
      <c r="J724" s="89"/>
      <c r="K724" s="8"/>
      <c r="L724" s="8"/>
      <c r="M724" s="8" t="str">
        <f>IF(L724="","",
IF(AX724="PT",VLOOKUP(L724,Foundation_Calc!$V$4:$X$37,VLOOKUP(AX724,Foundation_Calc!$I$10:$J$13,2,FALSE),0),
IF(AX724="K",VLOOKUP(L724,Foundation_Calc!$V$41:$X$74,VLOOKUP(AX724,Foundation_Calc!$I$10:$J$13,2,FALSE),0),"")))</f>
        <v/>
      </c>
      <c r="N724" s="8"/>
      <c r="O724" s="8"/>
      <c r="P724" s="8"/>
      <c r="Q724" s="14"/>
      <c r="R724" s="15"/>
      <c r="S724" s="15"/>
      <c r="T724" s="14"/>
      <c r="U724" s="14"/>
      <c r="V724" s="14"/>
      <c r="W724" s="18"/>
      <c r="X724" s="18"/>
      <c r="Y724" s="18"/>
      <c r="Z724" s="18"/>
      <c r="AA724" s="18"/>
      <c r="AB724" s="18"/>
      <c r="AC724" s="8" t="str">
        <f t="shared" si="82"/>
        <v/>
      </c>
      <c r="AD724" s="8"/>
      <c r="AE724" s="8"/>
      <c r="AF724" s="14"/>
      <c r="AG724" s="13"/>
      <c r="AH724" s="14"/>
      <c r="AI724" s="14"/>
      <c r="AJ724" s="8"/>
      <c r="AK724" s="8"/>
      <c r="AL724" s="8"/>
      <c r="AM724" s="8"/>
      <c r="AN724" s="631"/>
      <c r="AO724" s="18"/>
      <c r="AP724" s="18"/>
      <c r="AQ724" s="18"/>
      <c r="AR724" s="18"/>
      <c r="AS724" s="18"/>
      <c r="AU724" s="448"/>
      <c r="AV724" s="448"/>
      <c r="AW724" s="8" t="str">
        <f>IF(C724&gt;0,VLOOKUP(C724,Foundation_Calc!$A$2:$C$986,3,1),
IF(J724&gt;0,VLOOKUP(J724,Foundation_Calc!$A$2:$C$986,3,1),""))</f>
        <v/>
      </c>
      <c r="AX724" s="8" t="str">
        <f>IF(C724&gt;0,VLOOKUP(C724,Foundation_Calc!$E$2:$G$986,3,1),
IF(J724&gt;0,VLOOKUP(J724,Foundation_Calc!$E$2:$G$986,3,1),""))</f>
        <v/>
      </c>
      <c r="AY724" s="631" t="str">
        <f>IF(L724="","",
IF(AX724="PT",VLOOKUP(L724,Foundation_Calc!$K$4:$R$37,VLOOKUP(AW724,Foundation_Calc!$I$2:$J$8,2,FALSE),0),
IF(AX724="K",VLOOKUP(L724,Foundation_Calc!$K$41:$R$74,VLOOKUP(AW724,Foundation_Calc!$I$2:$J$8,2,FALSE),0),"")))</f>
        <v/>
      </c>
      <c r="AZ724" s="631" t="str">
        <f>IF(K724="","",
IF(AX724="PT",VLOOKUP(K724,Foundation_Calc!$K$4:$R$37,VLOOKUP(AW724,Foundation_Calc!$I$2:$J$8,2,FALSE),0),
IF(AX724="K",VLOOKUP(K724,Foundation_Calc!$K$41:$R$74,VLOOKUP(AW724,Foundation_Calc!$I$2:$J$8,2,FALSE),0),"")))</f>
        <v/>
      </c>
      <c r="BA724" s="632" t="str">
        <f t="shared" si="83"/>
        <v/>
      </c>
      <c r="BB724" s="632" t="str">
        <f t="shared" si="84"/>
        <v/>
      </c>
      <c r="BC724" s="632" t="str">
        <f t="shared" si="85"/>
        <v/>
      </c>
      <c r="BD724" s="633" t="str">
        <f>IF(AND(L724="",H724=""),"",
IF(H724="",Pole_Calc!A752,
IF(H724="MP",Pole_Calc!A753,
IF(H724="AnMP",Pole_Calc!A754,
IF(H724="A",Pole_Calc!A755,
IF(H724="S/A",Pole_Calc!A756,
IF(H724="A/S",Pole_Calc!A757,"Poner a mano")))))))</f>
        <v/>
      </c>
      <c r="BE724" s="448" t="s">
        <v>1726</v>
      </c>
      <c r="BF724" s="634"/>
      <c r="BG724" s="634"/>
      <c r="BH724" s="634"/>
      <c r="BI724" s="634"/>
    </row>
    <row r="725" spans="1:61" ht="16.2" customHeight="1">
      <c r="A725" s="12"/>
      <c r="B725" s="446"/>
      <c r="C725" s="89"/>
      <c r="D725" s="13"/>
      <c r="E725" s="14"/>
      <c r="F725" s="14"/>
      <c r="G725" s="15"/>
      <c r="H725" s="8"/>
      <c r="I725" s="8"/>
      <c r="J725" s="89"/>
      <c r="K725" s="8"/>
      <c r="L725" s="8"/>
      <c r="M725" s="8" t="str">
        <f>IF(L725="","",
IF(AX725="PT",VLOOKUP(L725,Foundation_Calc!$V$4:$X$37,VLOOKUP(AX725,Foundation_Calc!$I$10:$J$13,2,FALSE),0),
IF(AX725="K",VLOOKUP(L725,Foundation_Calc!$V$41:$X$74,VLOOKUP(AX725,Foundation_Calc!$I$10:$J$13,2,FALSE),0),"")))</f>
        <v/>
      </c>
      <c r="N725" s="8"/>
      <c r="O725" s="8"/>
      <c r="P725" s="8"/>
      <c r="Q725" s="14"/>
      <c r="R725" s="15"/>
      <c r="S725" s="15"/>
      <c r="T725" s="14"/>
      <c r="U725" s="14"/>
      <c r="V725" s="14"/>
      <c r="W725" s="18"/>
      <c r="X725" s="18"/>
      <c r="Y725" s="18"/>
      <c r="Z725" s="18"/>
      <c r="AA725" s="18"/>
      <c r="AB725" s="18"/>
      <c r="AC725" s="8" t="str">
        <f t="shared" si="82"/>
        <v/>
      </c>
      <c r="AD725" s="8"/>
      <c r="AE725" s="8"/>
      <c r="AF725" s="14"/>
      <c r="AG725" s="13"/>
      <c r="AH725" s="14"/>
      <c r="AI725" s="14"/>
      <c r="AJ725" s="8"/>
      <c r="AK725" s="8"/>
      <c r="AL725" s="8"/>
      <c r="AM725" s="8"/>
      <c r="AN725" s="631"/>
      <c r="AO725" s="18"/>
      <c r="AP725" s="18"/>
      <c r="AQ725" s="18"/>
      <c r="AR725" s="18"/>
      <c r="AS725" s="18"/>
      <c r="AU725" s="448"/>
      <c r="AV725" s="448"/>
      <c r="AW725" s="8" t="str">
        <f>IF(C725&gt;0,VLOOKUP(C725,Foundation_Calc!$A$2:$C$986,3,1),
IF(J725&gt;0,VLOOKUP(J725,Foundation_Calc!$A$2:$C$986,3,1),""))</f>
        <v/>
      </c>
      <c r="AX725" s="8" t="str">
        <f>IF(C725&gt;0,VLOOKUP(C725,Foundation_Calc!$E$2:$G$986,3,1),
IF(J725&gt;0,VLOOKUP(J725,Foundation_Calc!$E$2:$G$986,3,1),""))</f>
        <v/>
      </c>
      <c r="AY725" s="631" t="str">
        <f>IF(L725="","",
IF(AX725="PT",VLOOKUP(L725,Foundation_Calc!$K$4:$R$37,VLOOKUP(AW725,Foundation_Calc!$I$2:$J$8,2,FALSE),0),
IF(AX725="K",VLOOKUP(L725,Foundation_Calc!$K$41:$R$74,VLOOKUP(AW725,Foundation_Calc!$I$2:$J$8,2,FALSE),0),"")))</f>
        <v/>
      </c>
      <c r="AZ725" s="631" t="str">
        <f>IF(K725="","",
IF(AX725="PT",VLOOKUP(K725,Foundation_Calc!$K$4:$R$37,VLOOKUP(AW725,Foundation_Calc!$I$2:$J$8,2,FALSE),0),
IF(AX725="K",VLOOKUP(K725,Foundation_Calc!$K$41:$R$74,VLOOKUP(AW725,Foundation_Calc!$I$2:$J$8,2,FALSE),0),"")))</f>
        <v/>
      </c>
      <c r="BA725" s="632" t="str">
        <f t="shared" si="83"/>
        <v/>
      </c>
      <c r="BB725" s="632" t="str">
        <f t="shared" si="84"/>
        <v/>
      </c>
      <c r="BC725" s="632" t="str">
        <f t="shared" si="85"/>
        <v/>
      </c>
      <c r="BD725" s="633" t="str">
        <f>IF(AND(L725="",H725=""),"",
IF(H725="",Pole_Calc!A753,
IF(H725="MP",Pole_Calc!A754,
IF(H725="AnMP",Pole_Calc!A755,
IF(H725="A",Pole_Calc!A756,
IF(H725="S/A",Pole_Calc!A757,
IF(H725="A/S",Pole_Calc!A758,"Poner a mano")))))))</f>
        <v/>
      </c>
      <c r="BE725" s="448" t="s">
        <v>1726</v>
      </c>
      <c r="BF725" s="635"/>
      <c r="BG725" s="635"/>
      <c r="BH725" s="634"/>
      <c r="BI725" s="635"/>
    </row>
    <row r="726" spans="1:61" ht="16.2" customHeight="1">
      <c r="A726" s="12"/>
      <c r="B726" s="446"/>
      <c r="C726" s="89"/>
      <c r="D726" s="13"/>
      <c r="E726" s="14"/>
      <c r="F726" s="14"/>
      <c r="G726" s="15"/>
      <c r="H726" s="8"/>
      <c r="I726" s="8"/>
      <c r="J726" s="89"/>
      <c r="K726" s="8"/>
      <c r="L726" s="8"/>
      <c r="M726" s="8" t="str">
        <f>IF(L726="","",
IF(AX726="PT",VLOOKUP(L726,Foundation_Calc!$V$4:$X$37,VLOOKUP(AX726,Foundation_Calc!$I$10:$J$13,2,FALSE),0),
IF(AX726="K",VLOOKUP(L726,Foundation_Calc!$V$41:$X$74,VLOOKUP(AX726,Foundation_Calc!$I$10:$J$13,2,FALSE),0),"")))</f>
        <v/>
      </c>
      <c r="N726" s="8"/>
      <c r="O726" s="8"/>
      <c r="P726" s="8"/>
      <c r="Q726" s="14"/>
      <c r="R726" s="15"/>
      <c r="S726" s="15"/>
      <c r="T726" s="14"/>
      <c r="U726" s="14"/>
      <c r="V726" s="14"/>
      <c r="W726" s="18"/>
      <c r="X726" s="18"/>
      <c r="Y726" s="18"/>
      <c r="Z726" s="18"/>
      <c r="AA726" s="18"/>
      <c r="AB726" s="18"/>
      <c r="AC726" s="8" t="str">
        <f t="shared" si="82"/>
        <v/>
      </c>
      <c r="AD726" s="8"/>
      <c r="AE726" s="8"/>
      <c r="AF726" s="14"/>
      <c r="AG726" s="13"/>
      <c r="AH726" s="14"/>
      <c r="AI726" s="14"/>
      <c r="AJ726" s="8"/>
      <c r="AK726" s="8"/>
      <c r="AL726" s="8"/>
      <c r="AM726" s="8"/>
      <c r="AN726" s="631"/>
      <c r="AO726" s="18"/>
      <c r="AP726" s="18"/>
      <c r="AQ726" s="18"/>
      <c r="AR726" s="18"/>
      <c r="AS726" s="18"/>
      <c r="AU726" s="448"/>
      <c r="AV726" s="448"/>
      <c r="AW726" s="8" t="str">
        <f>IF(C726&gt;0,VLOOKUP(C726,Foundation_Calc!$A$2:$C$986,3,1),
IF(J726&gt;0,VLOOKUP(J726,Foundation_Calc!$A$2:$C$986,3,1),""))</f>
        <v/>
      </c>
      <c r="AX726" s="8" t="str">
        <f>IF(C726&gt;0,VLOOKUP(C726,Foundation_Calc!$E$2:$G$986,3,1),
IF(J726&gt;0,VLOOKUP(J726,Foundation_Calc!$E$2:$G$986,3,1),""))</f>
        <v/>
      </c>
      <c r="AY726" s="631" t="str">
        <f>IF(L726="","",
IF(AX726="PT",VLOOKUP(L726,Foundation_Calc!$K$4:$R$37,VLOOKUP(AW726,Foundation_Calc!$I$2:$J$8,2,FALSE),0),
IF(AX726="K",VLOOKUP(L726,Foundation_Calc!$K$41:$R$74,VLOOKUP(AW726,Foundation_Calc!$I$2:$J$8,2,FALSE),0),"")))</f>
        <v/>
      </c>
      <c r="AZ726" s="631" t="str">
        <f>IF(K726="","",
IF(AX726="PT",VLOOKUP(K726,Foundation_Calc!$K$4:$R$37,VLOOKUP(AW726,Foundation_Calc!$I$2:$J$8,2,FALSE),0),
IF(AX726="K",VLOOKUP(K726,Foundation_Calc!$K$41:$R$74,VLOOKUP(AW726,Foundation_Calc!$I$2:$J$8,2,FALSE),0),"")))</f>
        <v/>
      </c>
      <c r="BA726" s="632" t="str">
        <f t="shared" si="83"/>
        <v/>
      </c>
      <c r="BB726" s="632" t="str">
        <f t="shared" si="84"/>
        <v/>
      </c>
      <c r="BC726" s="632" t="str">
        <f t="shared" si="85"/>
        <v/>
      </c>
      <c r="BD726" s="633" t="str">
        <f>IF(AND(L726="",H726=""),"",
IF(H726="",Pole_Calc!A754,
IF(H726="MP",Pole_Calc!A755,
IF(H726="AnMP",Pole_Calc!A756,
IF(H726="A",Pole_Calc!A757,
IF(H726="S/A",Pole_Calc!A758,
IF(H726="A/S",Pole_Calc!A759,"Poner a mano")))))))</f>
        <v/>
      </c>
      <c r="BE726" s="448" t="s">
        <v>1726</v>
      </c>
      <c r="BF726" s="634"/>
      <c r="BG726" s="634"/>
      <c r="BH726" s="634"/>
      <c r="BI726" s="634"/>
    </row>
    <row r="727" spans="1:61" ht="16.2" customHeight="1">
      <c r="A727" s="12"/>
      <c r="B727" s="446"/>
      <c r="C727" s="89"/>
      <c r="D727" s="13"/>
      <c r="E727" s="14"/>
      <c r="F727" s="14"/>
      <c r="G727" s="15"/>
      <c r="H727" s="8"/>
      <c r="I727" s="8"/>
      <c r="J727" s="89"/>
      <c r="K727" s="8"/>
      <c r="L727" s="8"/>
      <c r="M727" s="8" t="str">
        <f>IF(L727="","",
IF(AX727="PT",VLOOKUP(L727,Foundation_Calc!$V$4:$X$37,VLOOKUP(AX727,Foundation_Calc!$I$10:$J$13,2,FALSE),0),
IF(AX727="K",VLOOKUP(L727,Foundation_Calc!$V$41:$X$74,VLOOKUP(AX727,Foundation_Calc!$I$10:$J$13,2,FALSE),0),"")))</f>
        <v/>
      </c>
      <c r="N727" s="8"/>
      <c r="O727" s="8"/>
      <c r="P727" s="8"/>
      <c r="Q727" s="14"/>
      <c r="R727" s="15"/>
      <c r="S727" s="15"/>
      <c r="T727" s="14"/>
      <c r="U727" s="14"/>
      <c r="V727" s="14"/>
      <c r="W727" s="18"/>
      <c r="X727" s="18"/>
      <c r="Y727" s="18"/>
      <c r="Z727" s="18"/>
      <c r="AA727" s="18"/>
      <c r="AB727" s="18"/>
      <c r="AC727" s="8" t="str">
        <f t="shared" si="82"/>
        <v/>
      </c>
      <c r="AD727" s="8"/>
      <c r="AE727" s="8"/>
      <c r="AF727" s="14"/>
      <c r="AG727" s="13"/>
      <c r="AH727" s="14"/>
      <c r="AI727" s="14"/>
      <c r="AJ727" s="8"/>
      <c r="AK727" s="8"/>
      <c r="AL727" s="8"/>
      <c r="AM727" s="8"/>
      <c r="AN727" s="631"/>
      <c r="AO727" s="18"/>
      <c r="AP727" s="18"/>
      <c r="AQ727" s="18"/>
      <c r="AR727" s="18"/>
      <c r="AS727" s="18"/>
      <c r="AU727" s="448"/>
      <c r="AV727" s="448"/>
      <c r="AW727" s="8" t="str">
        <f>IF(C727&gt;0,VLOOKUP(C727,Foundation_Calc!$A$2:$C$986,3,1),
IF(J727&gt;0,VLOOKUP(J727,Foundation_Calc!$A$2:$C$986,3,1),""))</f>
        <v/>
      </c>
      <c r="AX727" s="8" t="str">
        <f>IF(C727&gt;0,VLOOKUP(C727,Foundation_Calc!$E$2:$G$986,3,1),
IF(J727&gt;0,VLOOKUP(J727,Foundation_Calc!$E$2:$G$986,3,1),""))</f>
        <v/>
      </c>
      <c r="AY727" s="631" t="str">
        <f>IF(L727="","",
IF(AX727="PT",VLOOKUP(L727,Foundation_Calc!$K$4:$R$37,VLOOKUP(AW727,Foundation_Calc!$I$2:$J$8,2,FALSE),0),
IF(AX727="K",VLOOKUP(L727,Foundation_Calc!$K$41:$R$74,VLOOKUP(AW727,Foundation_Calc!$I$2:$J$8,2,FALSE),0),"")))</f>
        <v/>
      </c>
      <c r="AZ727" s="631" t="str">
        <f>IF(K727="","",
IF(AX727="PT",VLOOKUP(K727,Foundation_Calc!$K$4:$R$37,VLOOKUP(AW727,Foundation_Calc!$I$2:$J$8,2,FALSE),0),
IF(AX727="K",VLOOKUP(K727,Foundation_Calc!$K$41:$R$74,VLOOKUP(AW727,Foundation_Calc!$I$2:$J$8,2,FALSE),0),"")))</f>
        <v/>
      </c>
      <c r="BA727" s="632" t="str">
        <f t="shared" si="83"/>
        <v/>
      </c>
      <c r="BB727" s="632" t="str">
        <f t="shared" si="84"/>
        <v/>
      </c>
      <c r="BC727" s="632" t="str">
        <f t="shared" si="85"/>
        <v/>
      </c>
      <c r="BD727" s="633" t="str">
        <f>IF(AND(L727="",H727=""),"",
IF(H727="",Pole_Calc!A755,
IF(H727="MP",Pole_Calc!A756,
IF(H727="AnMP",Pole_Calc!A757,
IF(H727="A",Pole_Calc!A758,
IF(H727="S/A",Pole_Calc!A759,
IF(H727="A/S",Pole_Calc!A760,"Poner a mano")))))))</f>
        <v/>
      </c>
      <c r="BE727" s="448" t="s">
        <v>1726</v>
      </c>
      <c r="BF727" s="635"/>
      <c r="BG727" s="635"/>
      <c r="BH727" s="634"/>
      <c r="BI727" s="635"/>
    </row>
    <row r="728" spans="1:61" ht="16.2" customHeight="1">
      <c r="A728" s="12"/>
      <c r="B728" s="446"/>
      <c r="C728" s="89"/>
      <c r="D728" s="13"/>
      <c r="E728" s="14"/>
      <c r="F728" s="14"/>
      <c r="G728" s="15"/>
      <c r="H728" s="8"/>
      <c r="I728" s="8"/>
      <c r="J728" s="89"/>
      <c r="K728" s="8"/>
      <c r="L728" s="8"/>
      <c r="M728" s="8" t="str">
        <f>IF(L728="","",
IF(AX728="PT",VLOOKUP(L728,Foundation_Calc!$V$4:$X$37,VLOOKUP(AX728,Foundation_Calc!$I$10:$J$13,2,FALSE),0),
IF(AX728="K",VLOOKUP(L728,Foundation_Calc!$V$41:$X$74,VLOOKUP(AX728,Foundation_Calc!$I$10:$J$13,2,FALSE),0),"")))</f>
        <v/>
      </c>
      <c r="N728" s="8"/>
      <c r="O728" s="8"/>
      <c r="P728" s="8"/>
      <c r="Q728" s="14"/>
      <c r="R728" s="15"/>
      <c r="S728" s="15"/>
      <c r="T728" s="14"/>
      <c r="U728" s="14"/>
      <c r="V728" s="14"/>
      <c r="W728" s="18"/>
      <c r="X728" s="18"/>
      <c r="Y728" s="18"/>
      <c r="Z728" s="18"/>
      <c r="AA728" s="18"/>
      <c r="AB728" s="18"/>
      <c r="AC728" s="8" t="str">
        <f t="shared" si="82"/>
        <v/>
      </c>
      <c r="AD728" s="8"/>
      <c r="AE728" s="8"/>
      <c r="AF728" s="14"/>
      <c r="AG728" s="13"/>
      <c r="AH728" s="14"/>
      <c r="AI728" s="14"/>
      <c r="AJ728" s="8"/>
      <c r="AK728" s="8"/>
      <c r="AL728" s="8"/>
      <c r="AM728" s="8"/>
      <c r="AN728" s="631"/>
      <c r="AO728" s="18"/>
      <c r="AP728" s="18"/>
      <c r="AQ728" s="18"/>
      <c r="AR728" s="18"/>
      <c r="AS728" s="18"/>
      <c r="AU728" s="448"/>
      <c r="AV728" s="448"/>
      <c r="AW728" s="8" t="str">
        <f>IF(C728&gt;0,VLOOKUP(C728,Foundation_Calc!$A$2:$C$986,3,1),
IF(J728&gt;0,VLOOKUP(J728,Foundation_Calc!$A$2:$C$986,3,1),""))</f>
        <v/>
      </c>
      <c r="AX728" s="8" t="str">
        <f>IF(C728&gt;0,VLOOKUP(C728,Foundation_Calc!$E$2:$G$986,3,1),
IF(J728&gt;0,VLOOKUP(J728,Foundation_Calc!$E$2:$G$986,3,1),""))</f>
        <v/>
      </c>
      <c r="AY728" s="631" t="str">
        <f>IF(L728="","",
IF(AX728="PT",VLOOKUP(L728,Foundation_Calc!$K$4:$R$37,VLOOKUP(AW728,Foundation_Calc!$I$2:$J$8,2,FALSE),0),
IF(AX728="K",VLOOKUP(L728,Foundation_Calc!$K$41:$R$74,VLOOKUP(AW728,Foundation_Calc!$I$2:$J$8,2,FALSE),0),"")))</f>
        <v/>
      </c>
      <c r="AZ728" s="631" t="str">
        <f>IF(K728="","",
IF(AX728="PT",VLOOKUP(K728,Foundation_Calc!$K$4:$R$37,VLOOKUP(AW728,Foundation_Calc!$I$2:$J$8,2,FALSE),0),
IF(AX728="K",VLOOKUP(K728,Foundation_Calc!$K$41:$R$74,VLOOKUP(AW728,Foundation_Calc!$I$2:$J$8,2,FALSE),0),"")))</f>
        <v/>
      </c>
      <c r="BA728" s="632" t="str">
        <f t="shared" si="83"/>
        <v/>
      </c>
      <c r="BB728" s="632" t="str">
        <f t="shared" si="84"/>
        <v/>
      </c>
      <c r="BC728" s="632" t="str">
        <f t="shared" si="85"/>
        <v/>
      </c>
      <c r="BD728" s="633" t="str">
        <f>IF(AND(L728="",H728=""),"",
IF(H728="",Pole_Calc!A756,
IF(H728="MP",Pole_Calc!A757,
IF(H728="AnMP",Pole_Calc!A758,
IF(H728="A",Pole_Calc!A759,
IF(H728="S/A",Pole_Calc!A760,
IF(H728="A/S",Pole_Calc!A761,"Poner a mano")))))))</f>
        <v/>
      </c>
      <c r="BE728" s="448" t="s">
        <v>1726</v>
      </c>
      <c r="BF728" s="634"/>
      <c r="BG728" s="634"/>
      <c r="BH728" s="634"/>
      <c r="BI728" s="634"/>
    </row>
    <row r="729" spans="1:61" ht="16.2" customHeight="1">
      <c r="A729" s="12"/>
      <c r="B729" s="446"/>
      <c r="C729" s="89"/>
      <c r="D729" s="13"/>
      <c r="E729" s="14"/>
      <c r="F729" s="14"/>
      <c r="G729" s="15"/>
      <c r="H729" s="8"/>
      <c r="I729" s="8"/>
      <c r="J729" s="89"/>
      <c r="K729" s="8"/>
      <c r="L729" s="8"/>
      <c r="M729" s="8" t="str">
        <f>IF(L729="","",
IF(AX729="PT",VLOOKUP(L729,Foundation_Calc!$V$4:$X$37,VLOOKUP(AX729,Foundation_Calc!$I$10:$J$13,2,FALSE),0),
IF(AX729="K",VLOOKUP(L729,Foundation_Calc!$V$41:$X$74,VLOOKUP(AX729,Foundation_Calc!$I$10:$J$13,2,FALSE),0),"")))</f>
        <v/>
      </c>
      <c r="N729" s="8"/>
      <c r="O729" s="8"/>
      <c r="P729" s="8"/>
      <c r="Q729" s="14"/>
      <c r="R729" s="15"/>
      <c r="S729" s="15"/>
      <c r="T729" s="14"/>
      <c r="U729" s="14"/>
      <c r="V729" s="14"/>
      <c r="W729" s="18"/>
      <c r="X729" s="18"/>
      <c r="Y729" s="18"/>
      <c r="Z729" s="18"/>
      <c r="AA729" s="18"/>
      <c r="AB729" s="18"/>
      <c r="AC729" s="8" t="str">
        <f t="shared" si="82"/>
        <v/>
      </c>
      <c r="AD729" s="8"/>
      <c r="AE729" s="8"/>
      <c r="AF729" s="14"/>
      <c r="AG729" s="13"/>
      <c r="AH729" s="14"/>
      <c r="AI729" s="14"/>
      <c r="AJ729" s="8"/>
      <c r="AK729" s="8"/>
      <c r="AL729" s="8"/>
      <c r="AM729" s="8"/>
      <c r="AN729" s="631"/>
      <c r="AO729" s="18"/>
      <c r="AP729" s="18"/>
      <c r="AQ729" s="18"/>
      <c r="AR729" s="18"/>
      <c r="AS729" s="18"/>
      <c r="AU729" s="448"/>
      <c r="AV729" s="448"/>
      <c r="AW729" s="8" t="str">
        <f>IF(C729&gt;0,VLOOKUP(C729,Foundation_Calc!$A$2:$C$986,3,1),
IF(J729&gt;0,VLOOKUP(J729,Foundation_Calc!$A$2:$C$986,3,1),""))</f>
        <v/>
      </c>
      <c r="AX729" s="8" t="str">
        <f>IF(C729&gt;0,VLOOKUP(C729,Foundation_Calc!$E$2:$G$986,3,1),
IF(J729&gt;0,VLOOKUP(J729,Foundation_Calc!$E$2:$G$986,3,1),""))</f>
        <v/>
      </c>
      <c r="AY729" s="631" t="str">
        <f>IF(L729="","",
IF(AX729="PT",VLOOKUP(L729,Foundation_Calc!$K$4:$R$37,VLOOKUP(AW729,Foundation_Calc!$I$2:$J$8,2,FALSE),0),
IF(AX729="K",VLOOKUP(L729,Foundation_Calc!$K$41:$R$74,VLOOKUP(AW729,Foundation_Calc!$I$2:$J$8,2,FALSE),0),"")))</f>
        <v/>
      </c>
      <c r="AZ729" s="631" t="str">
        <f>IF(K729="","",
IF(AX729="PT",VLOOKUP(K729,Foundation_Calc!$K$4:$R$37,VLOOKUP(AW729,Foundation_Calc!$I$2:$J$8,2,FALSE),0),
IF(AX729="K",VLOOKUP(K729,Foundation_Calc!$K$41:$R$74,VLOOKUP(AW729,Foundation_Calc!$I$2:$J$8,2,FALSE),0),"")))</f>
        <v/>
      </c>
      <c r="BA729" s="632" t="str">
        <f t="shared" si="83"/>
        <v/>
      </c>
      <c r="BB729" s="632" t="str">
        <f t="shared" si="84"/>
        <v/>
      </c>
      <c r="BC729" s="632" t="str">
        <f t="shared" si="85"/>
        <v/>
      </c>
      <c r="BD729" s="633" t="str">
        <f>IF(AND(L729="",H729=""),"",
IF(H729="",Pole_Calc!A757,
IF(H729="MP",Pole_Calc!A758,
IF(H729="AnMP",Pole_Calc!A759,
IF(H729="A",Pole_Calc!A760,
IF(H729="S/A",Pole_Calc!A761,
IF(H729="A/S",Pole_Calc!A762,"Poner a mano")))))))</f>
        <v/>
      </c>
      <c r="BE729" s="448" t="s">
        <v>1726</v>
      </c>
      <c r="BF729" s="635"/>
      <c r="BG729" s="635"/>
      <c r="BH729" s="634"/>
      <c r="BI729" s="635"/>
    </row>
    <row r="730" spans="1:61" ht="16.2" customHeight="1">
      <c r="A730" s="12"/>
      <c r="B730" s="446"/>
      <c r="C730" s="89"/>
      <c r="D730" s="13"/>
      <c r="E730" s="14"/>
      <c r="F730" s="14"/>
      <c r="G730" s="15"/>
      <c r="H730" s="8"/>
      <c r="I730" s="8"/>
      <c r="J730" s="89"/>
      <c r="K730" s="8"/>
      <c r="L730" s="8"/>
      <c r="M730" s="8" t="str">
        <f>IF(L730="","",
IF(AX730="PT",VLOOKUP(L730,Foundation_Calc!$V$4:$X$37,VLOOKUP(AX730,Foundation_Calc!$I$10:$J$13,2,FALSE),0),
IF(AX730="K",VLOOKUP(L730,Foundation_Calc!$V$41:$X$74,VLOOKUP(AX730,Foundation_Calc!$I$10:$J$13,2,FALSE),0),"")))</f>
        <v/>
      </c>
      <c r="N730" s="8"/>
      <c r="O730" s="8"/>
      <c r="P730" s="8"/>
      <c r="Q730" s="14"/>
      <c r="R730" s="15"/>
      <c r="S730" s="15"/>
      <c r="T730" s="14"/>
      <c r="U730" s="14"/>
      <c r="V730" s="14"/>
      <c r="W730" s="18"/>
      <c r="X730" s="18"/>
      <c r="Y730" s="18"/>
      <c r="Z730" s="18"/>
      <c r="AA730" s="18"/>
      <c r="AB730" s="18"/>
      <c r="AC730" s="8" t="str">
        <f t="shared" si="82"/>
        <v/>
      </c>
      <c r="AD730" s="8"/>
      <c r="AE730" s="8"/>
      <c r="AF730" s="14"/>
      <c r="AG730" s="13"/>
      <c r="AH730" s="14"/>
      <c r="AI730" s="14"/>
      <c r="AJ730" s="8"/>
      <c r="AK730" s="8"/>
      <c r="AL730" s="8"/>
      <c r="AM730" s="8"/>
      <c r="AN730" s="631"/>
      <c r="AO730" s="18"/>
      <c r="AP730" s="18"/>
      <c r="AQ730" s="18"/>
      <c r="AR730" s="18"/>
      <c r="AS730" s="18"/>
      <c r="AU730" s="448"/>
      <c r="AV730" s="448"/>
      <c r="AW730" s="8" t="str">
        <f>IF(C730&gt;0,VLOOKUP(C730,Foundation_Calc!$A$2:$C$986,3,1),
IF(J730&gt;0,VLOOKUP(J730,Foundation_Calc!$A$2:$C$986,3,1),""))</f>
        <v/>
      </c>
      <c r="AX730" s="8" t="str">
        <f>IF(C730&gt;0,VLOOKUP(C730,Foundation_Calc!$E$2:$G$986,3,1),
IF(J730&gt;0,VLOOKUP(J730,Foundation_Calc!$E$2:$G$986,3,1),""))</f>
        <v/>
      </c>
      <c r="AY730" s="631" t="str">
        <f>IF(L730="","",
IF(AX730="PT",VLOOKUP(L730,Foundation_Calc!$K$4:$R$37,VLOOKUP(AW730,Foundation_Calc!$I$2:$J$8,2,FALSE),0),
IF(AX730="K",VLOOKUP(L730,Foundation_Calc!$K$41:$R$74,VLOOKUP(AW730,Foundation_Calc!$I$2:$J$8,2,FALSE),0),"")))</f>
        <v/>
      </c>
      <c r="AZ730" s="631" t="str">
        <f>IF(K730="","",
IF(AX730="PT",VLOOKUP(K730,Foundation_Calc!$K$4:$R$37,VLOOKUP(AW730,Foundation_Calc!$I$2:$J$8,2,FALSE),0),
IF(AX730="K",VLOOKUP(K730,Foundation_Calc!$K$41:$R$74,VLOOKUP(AW730,Foundation_Calc!$I$2:$J$8,2,FALSE),0),"")))</f>
        <v/>
      </c>
      <c r="BA730" s="632" t="str">
        <f t="shared" si="83"/>
        <v/>
      </c>
      <c r="BB730" s="632" t="str">
        <f t="shared" si="84"/>
        <v/>
      </c>
      <c r="BC730" s="632" t="str">
        <f t="shared" si="85"/>
        <v/>
      </c>
      <c r="BD730" s="633" t="str">
        <f>IF(AND(L730="",H730=""),"",
IF(H730="",Pole_Calc!A758,
IF(H730="MP",Pole_Calc!A759,
IF(H730="AnMP",Pole_Calc!A760,
IF(H730="A",Pole_Calc!A761,
IF(H730="S/A",Pole_Calc!A762,
IF(H730="A/S",Pole_Calc!A763,"Poner a mano")))))))</f>
        <v/>
      </c>
      <c r="BE730" s="448" t="s">
        <v>1726</v>
      </c>
      <c r="BF730" s="634"/>
      <c r="BG730" s="634"/>
      <c r="BH730" s="634"/>
      <c r="BI730" s="634"/>
    </row>
    <row r="731" spans="1:61" ht="16.2" customHeight="1">
      <c r="A731" s="12"/>
      <c r="B731" s="446"/>
      <c r="C731" s="89"/>
      <c r="D731" s="13"/>
      <c r="E731" s="14"/>
      <c r="F731" s="14"/>
      <c r="G731" s="15"/>
      <c r="H731" s="8"/>
      <c r="I731" s="8"/>
      <c r="J731" s="89"/>
      <c r="K731" s="8"/>
      <c r="L731" s="8"/>
      <c r="M731" s="8" t="str">
        <f>IF(L731="","",
IF(AX731="PT",VLOOKUP(L731,Foundation_Calc!$V$4:$X$37,VLOOKUP(AX731,Foundation_Calc!$I$10:$J$13,2,FALSE),0),
IF(AX731="K",VLOOKUP(L731,Foundation_Calc!$V$41:$X$74,VLOOKUP(AX731,Foundation_Calc!$I$10:$J$13,2,FALSE),0),"")))</f>
        <v/>
      </c>
      <c r="N731" s="8"/>
      <c r="O731" s="8"/>
      <c r="P731" s="8"/>
      <c r="Q731" s="14"/>
      <c r="R731" s="15"/>
      <c r="S731" s="15"/>
      <c r="T731" s="14"/>
      <c r="U731" s="14"/>
      <c r="V731" s="14"/>
      <c r="W731" s="18"/>
      <c r="X731" s="18"/>
      <c r="Y731" s="18"/>
      <c r="Z731" s="18"/>
      <c r="AA731" s="18"/>
      <c r="AB731" s="18"/>
      <c r="AC731" s="8" t="str">
        <f t="shared" si="82"/>
        <v/>
      </c>
      <c r="AD731" s="8"/>
      <c r="AE731" s="8"/>
      <c r="AF731" s="14"/>
      <c r="AG731" s="13"/>
      <c r="AH731" s="14"/>
      <c r="AI731" s="14"/>
      <c r="AJ731" s="8"/>
      <c r="AK731" s="8"/>
      <c r="AL731" s="8"/>
      <c r="AM731" s="8"/>
      <c r="AN731" s="631"/>
      <c r="AO731" s="18"/>
      <c r="AP731" s="18"/>
      <c r="AQ731" s="18"/>
      <c r="AR731" s="18"/>
      <c r="AS731" s="18"/>
      <c r="AU731" s="448"/>
      <c r="AV731" s="448"/>
      <c r="AW731" s="8" t="str">
        <f>IF(C731&gt;0,VLOOKUP(C731,Foundation_Calc!$A$2:$C$986,3,1),
IF(J731&gt;0,VLOOKUP(J731,Foundation_Calc!$A$2:$C$986,3,1),""))</f>
        <v/>
      </c>
      <c r="AX731" s="8" t="str">
        <f>IF(C731&gt;0,VLOOKUP(C731,Foundation_Calc!$E$2:$G$986,3,1),
IF(J731&gt;0,VLOOKUP(J731,Foundation_Calc!$E$2:$G$986,3,1),""))</f>
        <v/>
      </c>
      <c r="AY731" s="631" t="str">
        <f>IF(L731="","",
IF(AX731="PT",VLOOKUP(L731,Foundation_Calc!$K$4:$R$37,VLOOKUP(AW731,Foundation_Calc!$I$2:$J$8,2,FALSE),0),
IF(AX731="K",VLOOKUP(L731,Foundation_Calc!$K$41:$R$74,VLOOKUP(AW731,Foundation_Calc!$I$2:$J$8,2,FALSE),0),"")))</f>
        <v/>
      </c>
      <c r="AZ731" s="631" t="str">
        <f>IF(K731="","",
IF(AX731="PT",VLOOKUP(K731,Foundation_Calc!$K$4:$R$37,VLOOKUP(AW731,Foundation_Calc!$I$2:$J$8,2,FALSE),0),
IF(AX731="K",VLOOKUP(K731,Foundation_Calc!$K$41:$R$74,VLOOKUP(AW731,Foundation_Calc!$I$2:$J$8,2,FALSE),0),"")))</f>
        <v/>
      </c>
      <c r="BA731" s="632" t="str">
        <f t="shared" si="83"/>
        <v/>
      </c>
      <c r="BB731" s="632" t="str">
        <f t="shared" si="84"/>
        <v/>
      </c>
      <c r="BC731" s="632" t="str">
        <f t="shared" si="85"/>
        <v/>
      </c>
      <c r="BD731" s="633" t="str">
        <f>IF(AND(L731="",H731=""),"",
IF(H731="",Pole_Calc!A759,
IF(H731="MP",Pole_Calc!A760,
IF(H731="AnMP",Pole_Calc!A761,
IF(H731="A",Pole_Calc!A762,
IF(H731="S/A",Pole_Calc!A763,
IF(H731="A/S",Pole_Calc!A764,"Poner a mano")))))))</f>
        <v/>
      </c>
      <c r="BE731" s="448" t="s">
        <v>1726</v>
      </c>
      <c r="BF731" s="635"/>
      <c r="BG731" s="635"/>
      <c r="BH731" s="634"/>
      <c r="BI731" s="635"/>
    </row>
    <row r="732" spans="1:61" ht="16.2" customHeight="1">
      <c r="A732" s="12"/>
      <c r="B732" s="446"/>
      <c r="C732" s="89"/>
      <c r="D732" s="13"/>
      <c r="E732" s="14"/>
      <c r="F732" s="14"/>
      <c r="G732" s="15"/>
      <c r="H732" s="8"/>
      <c r="I732" s="8"/>
      <c r="J732" s="89"/>
      <c r="K732" s="8"/>
      <c r="L732" s="8"/>
      <c r="M732" s="8" t="str">
        <f>IF(L732="","",
IF(AX732="PT",VLOOKUP(L732,Foundation_Calc!$V$4:$X$37,VLOOKUP(AX732,Foundation_Calc!$I$10:$J$13,2,FALSE),0),
IF(AX732="K",VLOOKUP(L732,Foundation_Calc!$V$41:$X$74,VLOOKUP(AX732,Foundation_Calc!$I$10:$J$13,2,FALSE),0),"")))</f>
        <v/>
      </c>
      <c r="N732" s="8"/>
      <c r="O732" s="8"/>
      <c r="P732" s="8"/>
      <c r="Q732" s="14"/>
      <c r="R732" s="15"/>
      <c r="S732" s="15"/>
      <c r="T732" s="14"/>
      <c r="U732" s="14"/>
      <c r="V732" s="14"/>
      <c r="W732" s="18"/>
      <c r="X732" s="18"/>
      <c r="Y732" s="18"/>
      <c r="Z732" s="18"/>
      <c r="AA732" s="18"/>
      <c r="AB732" s="18"/>
      <c r="AC732" s="8" t="str">
        <f t="shared" si="82"/>
        <v/>
      </c>
      <c r="AD732" s="8"/>
      <c r="AE732" s="8"/>
      <c r="AF732" s="14"/>
      <c r="AG732" s="13"/>
      <c r="AH732" s="14"/>
      <c r="AI732" s="14"/>
      <c r="AJ732" s="8"/>
      <c r="AK732" s="8"/>
      <c r="AL732" s="8"/>
      <c r="AM732" s="8"/>
      <c r="AN732" s="631"/>
      <c r="AO732" s="18"/>
      <c r="AP732" s="18"/>
      <c r="AQ732" s="18"/>
      <c r="AR732" s="18"/>
      <c r="AS732" s="18"/>
      <c r="AU732" s="448"/>
      <c r="AV732" s="448"/>
      <c r="AW732" s="8" t="str">
        <f>IF(C732&gt;0,VLOOKUP(C732,Foundation_Calc!$A$2:$C$986,3,1),
IF(J732&gt;0,VLOOKUP(J732,Foundation_Calc!$A$2:$C$986,3,1),""))</f>
        <v/>
      </c>
      <c r="AX732" s="8" t="str">
        <f>IF(C732&gt;0,VLOOKUP(C732,Foundation_Calc!$E$2:$G$986,3,1),
IF(J732&gt;0,VLOOKUP(J732,Foundation_Calc!$E$2:$G$986,3,1),""))</f>
        <v/>
      </c>
      <c r="AY732" s="631" t="str">
        <f>IF(L732="","",
IF(AX732="PT",VLOOKUP(L732,Foundation_Calc!$K$4:$R$37,VLOOKUP(AW732,Foundation_Calc!$I$2:$J$8,2,FALSE),0),
IF(AX732="K",VLOOKUP(L732,Foundation_Calc!$K$41:$R$74,VLOOKUP(AW732,Foundation_Calc!$I$2:$J$8,2,FALSE),0),"")))</f>
        <v/>
      </c>
      <c r="AZ732" s="631" t="str">
        <f>IF(K732="","",
IF(AX732="PT",VLOOKUP(K732,Foundation_Calc!$K$4:$R$37,VLOOKUP(AW732,Foundation_Calc!$I$2:$J$8,2,FALSE),0),
IF(AX732="K",VLOOKUP(K732,Foundation_Calc!$K$41:$R$74,VLOOKUP(AW732,Foundation_Calc!$I$2:$J$8,2,FALSE),0),"")))</f>
        <v/>
      </c>
      <c r="BA732" s="632" t="str">
        <f t="shared" si="83"/>
        <v/>
      </c>
      <c r="BB732" s="632" t="str">
        <f t="shared" si="84"/>
        <v/>
      </c>
      <c r="BC732" s="632" t="str">
        <f t="shared" si="85"/>
        <v/>
      </c>
      <c r="BD732" s="633" t="str">
        <f>IF(AND(L732="",H732=""),"",
IF(H732="",Pole_Calc!A760,
IF(H732="MP",Pole_Calc!A761,
IF(H732="AnMP",Pole_Calc!A762,
IF(H732="A",Pole_Calc!A763,
IF(H732="S/A",Pole_Calc!A764,
IF(H732="A/S",Pole_Calc!A765,"Poner a mano")))))))</f>
        <v/>
      </c>
      <c r="BE732" s="448" t="s">
        <v>1726</v>
      </c>
      <c r="BF732" s="634"/>
      <c r="BG732" s="634"/>
      <c r="BH732" s="634"/>
      <c r="BI732" s="634"/>
    </row>
    <row r="733" spans="1:61" ht="16.2" customHeight="1">
      <c r="A733" s="12"/>
      <c r="B733" s="446"/>
      <c r="C733" s="89"/>
      <c r="D733" s="13"/>
      <c r="E733" s="14"/>
      <c r="F733" s="14"/>
      <c r="G733" s="15"/>
      <c r="H733" s="8"/>
      <c r="I733" s="8"/>
      <c r="J733" s="89"/>
      <c r="K733" s="8"/>
      <c r="L733" s="8"/>
      <c r="M733" s="8" t="str">
        <f>IF(L733="","",
IF(AX733="PT",VLOOKUP(L733,Foundation_Calc!$V$4:$X$37,VLOOKUP(AX733,Foundation_Calc!$I$10:$J$13,2,FALSE),0),
IF(AX733="K",VLOOKUP(L733,Foundation_Calc!$V$41:$X$74,VLOOKUP(AX733,Foundation_Calc!$I$10:$J$13,2,FALSE),0),"")))</f>
        <v/>
      </c>
      <c r="N733" s="8"/>
      <c r="O733" s="8"/>
      <c r="P733" s="8"/>
      <c r="Q733" s="14"/>
      <c r="R733" s="15"/>
      <c r="S733" s="15"/>
      <c r="T733" s="14"/>
      <c r="U733" s="14"/>
      <c r="V733" s="14"/>
      <c r="W733" s="18"/>
      <c r="X733" s="18"/>
      <c r="Y733" s="18"/>
      <c r="Z733" s="18"/>
      <c r="AA733" s="18"/>
      <c r="AB733" s="18"/>
      <c r="AC733" s="8" t="str">
        <f t="shared" si="82"/>
        <v/>
      </c>
      <c r="AD733" s="8"/>
      <c r="AE733" s="8"/>
      <c r="AF733" s="14"/>
      <c r="AG733" s="13"/>
      <c r="AH733" s="14"/>
      <c r="AI733" s="14"/>
      <c r="AJ733" s="8"/>
      <c r="AK733" s="8"/>
      <c r="AL733" s="8"/>
      <c r="AM733" s="8"/>
      <c r="AN733" s="631"/>
      <c r="AO733" s="18"/>
      <c r="AP733" s="18"/>
      <c r="AQ733" s="18"/>
      <c r="AR733" s="18"/>
      <c r="AS733" s="18"/>
      <c r="AU733" s="448"/>
      <c r="AV733" s="448"/>
      <c r="AW733" s="8" t="str">
        <f>IF(C733&gt;0,VLOOKUP(C733,Foundation_Calc!$A$2:$C$986,3,1),
IF(J733&gt;0,VLOOKUP(J733,Foundation_Calc!$A$2:$C$986,3,1),""))</f>
        <v/>
      </c>
      <c r="AX733" s="8" t="str">
        <f>IF(C733&gt;0,VLOOKUP(C733,Foundation_Calc!$E$2:$G$986,3,1),
IF(J733&gt;0,VLOOKUP(J733,Foundation_Calc!$E$2:$G$986,3,1),""))</f>
        <v/>
      </c>
      <c r="AY733" s="631" t="str">
        <f>IF(L733="","",
IF(AX733="PT",VLOOKUP(L733,Foundation_Calc!$K$4:$R$37,VLOOKUP(AW733,Foundation_Calc!$I$2:$J$8,2,FALSE),0),
IF(AX733="K",VLOOKUP(L733,Foundation_Calc!$K$41:$R$74,VLOOKUP(AW733,Foundation_Calc!$I$2:$J$8,2,FALSE),0),"")))</f>
        <v/>
      </c>
      <c r="AZ733" s="631" t="str">
        <f>IF(K733="","",
IF(AX733="PT",VLOOKUP(K733,Foundation_Calc!$K$4:$R$37,VLOOKUP(AW733,Foundation_Calc!$I$2:$J$8,2,FALSE),0),
IF(AX733="K",VLOOKUP(K733,Foundation_Calc!$K$41:$R$74,VLOOKUP(AW733,Foundation_Calc!$I$2:$J$8,2,FALSE),0),"")))</f>
        <v/>
      </c>
      <c r="BA733" s="632" t="str">
        <f t="shared" si="83"/>
        <v/>
      </c>
      <c r="BB733" s="632" t="str">
        <f t="shared" si="84"/>
        <v/>
      </c>
      <c r="BC733" s="632" t="str">
        <f t="shared" si="85"/>
        <v/>
      </c>
      <c r="BD733" s="633" t="str">
        <f>IF(AND(L733="",H733=""),"",
IF(H733="",Pole_Calc!A761,
IF(H733="MP",Pole_Calc!A762,
IF(H733="AnMP",Pole_Calc!A763,
IF(H733="A",Pole_Calc!A764,
IF(H733="S/A",Pole_Calc!A765,
IF(H733="A/S",Pole_Calc!A766,"Poner a mano")))))))</f>
        <v/>
      </c>
      <c r="BE733" s="448" t="s">
        <v>1726</v>
      </c>
      <c r="BF733" s="635"/>
      <c r="BG733" s="635"/>
      <c r="BH733" s="634"/>
      <c r="BI733" s="635"/>
    </row>
    <row r="734" spans="1:61" ht="16.2" customHeight="1">
      <c r="A734" s="12"/>
      <c r="B734" s="446"/>
      <c r="C734" s="89"/>
      <c r="D734" s="13"/>
      <c r="E734" s="14"/>
      <c r="F734" s="14"/>
      <c r="G734" s="15"/>
      <c r="H734" s="8"/>
      <c r="I734" s="8"/>
      <c r="J734" s="89"/>
      <c r="K734" s="8"/>
      <c r="L734" s="8"/>
      <c r="M734" s="8" t="str">
        <f>IF(L734="","",
IF(AX734="PT",VLOOKUP(L734,Foundation_Calc!$V$4:$X$37,VLOOKUP(AX734,Foundation_Calc!$I$10:$J$13,2,FALSE),0),
IF(AX734="K",VLOOKUP(L734,Foundation_Calc!$V$41:$X$74,VLOOKUP(AX734,Foundation_Calc!$I$10:$J$13,2,FALSE),0),"")))</f>
        <v/>
      </c>
      <c r="N734" s="8"/>
      <c r="O734" s="8"/>
      <c r="P734" s="8"/>
      <c r="Q734" s="14"/>
      <c r="R734" s="15"/>
      <c r="S734" s="15"/>
      <c r="T734" s="14"/>
      <c r="U734" s="14"/>
      <c r="V734" s="14"/>
      <c r="W734" s="18"/>
      <c r="X734" s="18"/>
      <c r="Y734" s="18"/>
      <c r="Z734" s="18"/>
      <c r="AA734" s="18"/>
      <c r="AB734" s="18"/>
      <c r="AC734" s="8" t="str">
        <f t="shared" si="82"/>
        <v/>
      </c>
      <c r="AD734" s="8"/>
      <c r="AE734" s="8"/>
      <c r="AF734" s="14"/>
      <c r="AG734" s="13"/>
      <c r="AH734" s="14"/>
      <c r="AI734" s="14"/>
      <c r="AJ734" s="8"/>
      <c r="AK734" s="8"/>
      <c r="AL734" s="8"/>
      <c r="AM734" s="8"/>
      <c r="AN734" s="631"/>
      <c r="AO734" s="18"/>
      <c r="AP734" s="18"/>
      <c r="AQ734" s="18"/>
      <c r="AR734" s="18"/>
      <c r="AS734" s="18"/>
      <c r="AU734" s="448"/>
      <c r="AV734" s="448"/>
      <c r="AW734" s="8" t="str">
        <f>IF(C734&gt;0,VLOOKUP(C734,Foundation_Calc!$A$2:$C$986,3,1),
IF(J734&gt;0,VLOOKUP(J734,Foundation_Calc!$A$2:$C$986,3,1),""))</f>
        <v/>
      </c>
      <c r="AX734" s="8" t="str">
        <f>IF(C734&gt;0,VLOOKUP(C734,Foundation_Calc!$E$2:$G$986,3,1),
IF(J734&gt;0,VLOOKUP(J734,Foundation_Calc!$E$2:$G$986,3,1),""))</f>
        <v/>
      </c>
      <c r="AY734" s="631" t="str">
        <f>IF(L734="","",
IF(AX734="PT",VLOOKUP(L734,Foundation_Calc!$K$4:$R$37,VLOOKUP(AW734,Foundation_Calc!$I$2:$J$8,2,FALSE),0),
IF(AX734="K",VLOOKUP(L734,Foundation_Calc!$K$41:$R$74,VLOOKUP(AW734,Foundation_Calc!$I$2:$J$8,2,FALSE),0),"")))</f>
        <v/>
      </c>
      <c r="AZ734" s="631" t="str">
        <f>IF(K734="","",
IF(AX734="PT",VLOOKUP(K734,Foundation_Calc!$K$4:$R$37,VLOOKUP(AW734,Foundation_Calc!$I$2:$J$8,2,FALSE),0),
IF(AX734="K",VLOOKUP(K734,Foundation_Calc!$K$41:$R$74,VLOOKUP(AW734,Foundation_Calc!$I$2:$J$8,2,FALSE),0),"")))</f>
        <v/>
      </c>
      <c r="BA734" s="632" t="str">
        <f t="shared" si="83"/>
        <v/>
      </c>
      <c r="BB734" s="632" t="str">
        <f t="shared" si="84"/>
        <v/>
      </c>
      <c r="BC734" s="632" t="str">
        <f t="shared" si="85"/>
        <v/>
      </c>
      <c r="BD734" s="633" t="str">
        <f>IF(AND(L734="",H734=""),"",
IF(H734="",Pole_Calc!A762,
IF(H734="MP",Pole_Calc!A763,
IF(H734="AnMP",Pole_Calc!A764,
IF(H734="A",Pole_Calc!A765,
IF(H734="S/A",Pole_Calc!A766,
IF(H734="A/S",Pole_Calc!A767,"Poner a mano")))))))</f>
        <v/>
      </c>
      <c r="BE734" s="448" t="s">
        <v>1726</v>
      </c>
      <c r="BF734" s="634"/>
      <c r="BG734" s="634"/>
      <c r="BH734" s="634"/>
      <c r="BI734" s="634"/>
    </row>
    <row r="735" spans="1:61" ht="16.2" customHeight="1">
      <c r="A735" s="12"/>
      <c r="B735" s="446"/>
      <c r="C735" s="89"/>
      <c r="D735" s="13"/>
      <c r="E735" s="14"/>
      <c r="F735" s="14"/>
      <c r="G735" s="15"/>
      <c r="H735" s="8"/>
      <c r="I735" s="8"/>
      <c r="J735" s="89"/>
      <c r="K735" s="8"/>
      <c r="L735" s="8"/>
      <c r="M735" s="8" t="str">
        <f>IF(L735="","",
IF(AX735="PT",VLOOKUP(L735,Foundation_Calc!$V$4:$X$37,VLOOKUP(AX735,Foundation_Calc!$I$10:$J$13,2,FALSE),0),
IF(AX735="K",VLOOKUP(L735,Foundation_Calc!$V$41:$X$74,VLOOKUP(AX735,Foundation_Calc!$I$10:$J$13,2,FALSE),0),"")))</f>
        <v/>
      </c>
      <c r="N735" s="8"/>
      <c r="O735" s="8"/>
      <c r="P735" s="8"/>
      <c r="Q735" s="14"/>
      <c r="R735" s="15"/>
      <c r="S735" s="15"/>
      <c r="T735" s="14"/>
      <c r="U735" s="14"/>
      <c r="V735" s="14"/>
      <c r="W735" s="18"/>
      <c r="X735" s="18"/>
      <c r="Y735" s="18"/>
      <c r="Z735" s="18"/>
      <c r="AA735" s="18"/>
      <c r="AB735" s="18"/>
      <c r="AC735" s="8" t="str">
        <f t="shared" si="82"/>
        <v/>
      </c>
      <c r="AD735" s="8"/>
      <c r="AE735" s="8"/>
      <c r="AF735" s="14"/>
      <c r="AG735" s="13"/>
      <c r="AH735" s="14"/>
      <c r="AI735" s="14"/>
      <c r="AJ735" s="8"/>
      <c r="AK735" s="8"/>
      <c r="AL735" s="8"/>
      <c r="AM735" s="8"/>
      <c r="AN735" s="631"/>
      <c r="AO735" s="18"/>
      <c r="AP735" s="18"/>
      <c r="AQ735" s="18"/>
      <c r="AR735" s="18"/>
      <c r="AS735" s="18"/>
      <c r="AU735" s="448"/>
      <c r="AV735" s="448"/>
      <c r="AW735" s="8" t="str">
        <f>IF(C735&gt;0,VLOOKUP(C735,Foundation_Calc!$A$2:$C$986,3,1),
IF(J735&gt;0,VLOOKUP(J735,Foundation_Calc!$A$2:$C$986,3,1),""))</f>
        <v/>
      </c>
      <c r="AX735" s="8" t="str">
        <f>IF(C735&gt;0,VLOOKUP(C735,Foundation_Calc!$E$2:$G$986,3,1),
IF(J735&gt;0,VLOOKUP(J735,Foundation_Calc!$E$2:$G$986,3,1),""))</f>
        <v/>
      </c>
      <c r="AY735" s="631" t="str">
        <f>IF(L735="","",
IF(AX735="PT",VLOOKUP(L735,Foundation_Calc!$K$4:$R$37,VLOOKUP(AW735,Foundation_Calc!$I$2:$J$8,2,FALSE),0),
IF(AX735="K",VLOOKUP(L735,Foundation_Calc!$K$41:$R$74,VLOOKUP(AW735,Foundation_Calc!$I$2:$J$8,2,FALSE),0),"")))</f>
        <v/>
      </c>
      <c r="AZ735" s="631" t="str">
        <f>IF(K735="","",
IF(AX735="PT",VLOOKUP(K735,Foundation_Calc!$K$4:$R$37,VLOOKUP(AW735,Foundation_Calc!$I$2:$J$8,2,FALSE),0),
IF(AX735="K",VLOOKUP(K735,Foundation_Calc!$K$41:$R$74,VLOOKUP(AW735,Foundation_Calc!$I$2:$J$8,2,FALSE),0),"")))</f>
        <v/>
      </c>
      <c r="BA735" s="632" t="str">
        <f t="shared" si="83"/>
        <v/>
      </c>
      <c r="BB735" s="632" t="str">
        <f t="shared" si="84"/>
        <v/>
      </c>
      <c r="BC735" s="632" t="str">
        <f t="shared" si="85"/>
        <v/>
      </c>
      <c r="BD735" s="633" t="str">
        <f>IF(AND(L735="",H735=""),"",
IF(H735="",Pole_Calc!A763,
IF(H735="MP",Pole_Calc!A764,
IF(H735="AnMP",Pole_Calc!A765,
IF(H735="A",Pole_Calc!A766,
IF(H735="S/A",Pole_Calc!A767,
IF(H735="A/S",Pole_Calc!A768,"Poner a mano")))))))</f>
        <v/>
      </c>
      <c r="BE735" s="448" t="s">
        <v>1726</v>
      </c>
      <c r="BF735" s="635"/>
      <c r="BG735" s="635"/>
      <c r="BH735" s="634"/>
      <c r="BI735" s="635"/>
    </row>
    <row r="736" spans="1:61" ht="16.2" customHeight="1">
      <c r="A736" s="12"/>
      <c r="B736" s="446"/>
      <c r="C736" s="89"/>
      <c r="D736" s="13"/>
      <c r="E736" s="14"/>
      <c r="F736" s="14"/>
      <c r="G736" s="15"/>
      <c r="H736" s="8"/>
      <c r="I736" s="8"/>
      <c r="J736" s="89"/>
      <c r="K736" s="8"/>
      <c r="L736" s="8"/>
      <c r="M736" s="8" t="str">
        <f>IF(L736="","",
IF(AX736="PT",VLOOKUP(L736,Foundation_Calc!$V$4:$X$37,VLOOKUP(AX736,Foundation_Calc!$I$10:$J$13,2,FALSE),0),
IF(AX736="K",VLOOKUP(L736,Foundation_Calc!$V$41:$X$74,VLOOKUP(AX736,Foundation_Calc!$I$10:$J$13,2,FALSE),0),"")))</f>
        <v/>
      </c>
      <c r="N736" s="8"/>
      <c r="O736" s="8"/>
      <c r="P736" s="8"/>
      <c r="Q736" s="14"/>
      <c r="R736" s="15"/>
      <c r="S736" s="15"/>
      <c r="T736" s="14"/>
      <c r="U736" s="14"/>
      <c r="V736" s="14"/>
      <c r="W736" s="18"/>
      <c r="X736" s="18"/>
      <c r="Y736" s="18"/>
      <c r="Z736" s="18"/>
      <c r="AA736" s="18"/>
      <c r="AB736" s="18"/>
      <c r="AC736" s="8" t="str">
        <f t="shared" si="82"/>
        <v/>
      </c>
      <c r="AD736" s="8"/>
      <c r="AE736" s="8"/>
      <c r="AF736" s="14"/>
      <c r="AG736" s="13"/>
      <c r="AH736" s="14"/>
      <c r="AI736" s="14"/>
      <c r="AJ736" s="8"/>
      <c r="AK736" s="8"/>
      <c r="AL736" s="8"/>
      <c r="AM736" s="8"/>
      <c r="AN736" s="631"/>
      <c r="AO736" s="18"/>
      <c r="AP736" s="18"/>
      <c r="AQ736" s="18"/>
      <c r="AR736" s="18"/>
      <c r="AS736" s="18"/>
      <c r="AU736" s="448"/>
      <c r="AV736" s="448"/>
      <c r="AW736" s="8" t="str">
        <f>IF(C736&gt;0,VLOOKUP(C736,Foundation_Calc!$A$2:$C$986,3,1),
IF(J736&gt;0,VLOOKUP(J736,Foundation_Calc!$A$2:$C$986,3,1),""))</f>
        <v/>
      </c>
      <c r="AX736" s="8" t="str">
        <f>IF(C736&gt;0,VLOOKUP(C736,Foundation_Calc!$E$2:$G$986,3,1),
IF(J736&gt;0,VLOOKUP(J736,Foundation_Calc!$E$2:$G$986,3,1),""))</f>
        <v/>
      </c>
      <c r="AY736" s="631" t="str">
        <f>IF(L736="","",
IF(AX736="PT",VLOOKUP(L736,Foundation_Calc!$K$4:$R$37,VLOOKUP(AW736,Foundation_Calc!$I$2:$J$8,2,FALSE),0),
IF(AX736="K",VLOOKUP(L736,Foundation_Calc!$K$41:$R$74,VLOOKUP(AW736,Foundation_Calc!$I$2:$J$8,2,FALSE),0),"")))</f>
        <v/>
      </c>
      <c r="AZ736" s="631" t="str">
        <f>IF(K736="","",
IF(AX736="PT",VLOOKUP(K736,Foundation_Calc!$K$4:$R$37,VLOOKUP(AW736,Foundation_Calc!$I$2:$J$8,2,FALSE),0),
IF(AX736="K",VLOOKUP(K736,Foundation_Calc!$K$41:$R$74,VLOOKUP(AW736,Foundation_Calc!$I$2:$J$8,2,FALSE),0),"")))</f>
        <v/>
      </c>
      <c r="BA736" s="632" t="str">
        <f t="shared" si="83"/>
        <v/>
      </c>
      <c r="BB736" s="632" t="str">
        <f t="shared" si="84"/>
        <v/>
      </c>
      <c r="BC736" s="632" t="str">
        <f t="shared" si="85"/>
        <v/>
      </c>
      <c r="BD736" s="633" t="str">
        <f>IF(AND(L736="",H736=""),"",
IF(H736="",Pole_Calc!A764,
IF(H736="MP",Pole_Calc!A765,
IF(H736="AnMP",Pole_Calc!A766,
IF(H736="A",Pole_Calc!A767,
IF(H736="S/A",Pole_Calc!A768,
IF(H736="A/S",Pole_Calc!A769,"Poner a mano")))))))</f>
        <v/>
      </c>
      <c r="BE736" s="448" t="s">
        <v>1726</v>
      </c>
      <c r="BF736" s="634"/>
      <c r="BG736" s="634"/>
      <c r="BH736" s="634"/>
      <c r="BI736" s="634"/>
    </row>
    <row r="737" spans="1:61" ht="16.2" customHeight="1">
      <c r="A737" s="12"/>
      <c r="B737" s="446"/>
      <c r="C737" s="89"/>
      <c r="D737" s="13"/>
      <c r="E737" s="14"/>
      <c r="F737" s="14"/>
      <c r="G737" s="15"/>
      <c r="H737" s="8"/>
      <c r="I737" s="8"/>
      <c r="J737" s="89"/>
      <c r="K737" s="8"/>
      <c r="L737" s="8"/>
      <c r="M737" s="8" t="str">
        <f>IF(L737="","",
IF(AX737="PT",VLOOKUP(L737,Foundation_Calc!$V$4:$X$37,VLOOKUP(AX737,Foundation_Calc!$I$10:$J$13,2,FALSE),0),
IF(AX737="K",VLOOKUP(L737,Foundation_Calc!$V$41:$X$74,VLOOKUP(AX737,Foundation_Calc!$I$10:$J$13,2,FALSE),0),"")))</f>
        <v/>
      </c>
      <c r="N737" s="8"/>
      <c r="O737" s="8"/>
      <c r="P737" s="8"/>
      <c r="Q737" s="14"/>
      <c r="R737" s="15"/>
      <c r="S737" s="15"/>
      <c r="T737" s="14"/>
      <c r="U737" s="14"/>
      <c r="V737" s="14"/>
      <c r="W737" s="18"/>
      <c r="X737" s="18"/>
      <c r="Y737" s="18"/>
      <c r="Z737" s="18"/>
      <c r="AA737" s="18"/>
      <c r="AB737" s="18"/>
      <c r="AC737" s="8" t="str">
        <f t="shared" si="82"/>
        <v/>
      </c>
      <c r="AD737" s="8"/>
      <c r="AE737" s="8"/>
      <c r="AF737" s="14"/>
      <c r="AG737" s="13"/>
      <c r="AH737" s="14"/>
      <c r="AI737" s="14"/>
      <c r="AJ737" s="8"/>
      <c r="AK737" s="8"/>
      <c r="AL737" s="8"/>
      <c r="AM737" s="8"/>
      <c r="AN737" s="631"/>
      <c r="AO737" s="18"/>
      <c r="AP737" s="18"/>
      <c r="AQ737" s="18"/>
      <c r="AR737" s="18"/>
      <c r="AS737" s="18"/>
      <c r="AU737" s="448"/>
      <c r="AV737" s="448"/>
      <c r="AW737" s="8" t="str">
        <f>IF(C737&gt;0,VLOOKUP(C737,Foundation_Calc!$A$2:$C$986,3,1),
IF(J737&gt;0,VLOOKUP(J737,Foundation_Calc!$A$2:$C$986,3,1),""))</f>
        <v/>
      </c>
      <c r="AX737" s="8" t="str">
        <f>IF(C737&gt;0,VLOOKUP(C737,Foundation_Calc!$E$2:$G$986,3,1),
IF(J737&gt;0,VLOOKUP(J737,Foundation_Calc!$E$2:$G$986,3,1),""))</f>
        <v/>
      </c>
      <c r="AY737" s="631" t="str">
        <f>IF(L737="","",
IF(AX737="PT",VLOOKUP(L737,Foundation_Calc!$K$4:$R$37,VLOOKUP(AW737,Foundation_Calc!$I$2:$J$8,2,FALSE),0),
IF(AX737="K",VLOOKUP(L737,Foundation_Calc!$K$41:$R$74,VLOOKUP(AW737,Foundation_Calc!$I$2:$J$8,2,FALSE),0),"")))</f>
        <v/>
      </c>
      <c r="AZ737" s="631" t="str">
        <f>IF(K737="","",
IF(AX737="PT",VLOOKUP(K737,Foundation_Calc!$K$4:$R$37,VLOOKUP(AW737,Foundation_Calc!$I$2:$J$8,2,FALSE),0),
IF(AX737="K",VLOOKUP(K737,Foundation_Calc!$K$41:$R$74,VLOOKUP(AW737,Foundation_Calc!$I$2:$J$8,2,FALSE),0),"")))</f>
        <v/>
      </c>
      <c r="BA737" s="632" t="str">
        <f t="shared" si="83"/>
        <v/>
      </c>
      <c r="BB737" s="632" t="str">
        <f t="shared" si="84"/>
        <v/>
      </c>
      <c r="BC737" s="632" t="str">
        <f t="shared" si="85"/>
        <v/>
      </c>
      <c r="BD737" s="633" t="str">
        <f>IF(AND(L737="",H737=""),"",
IF(H737="",Pole_Calc!A765,
IF(H737="MP",Pole_Calc!A766,
IF(H737="AnMP",Pole_Calc!A767,
IF(H737="A",Pole_Calc!A768,
IF(H737="S/A",Pole_Calc!A769,
IF(H737="A/S",Pole_Calc!A770,"Poner a mano")))))))</f>
        <v/>
      </c>
      <c r="BE737" s="448" t="s">
        <v>1726</v>
      </c>
      <c r="BF737" s="635"/>
      <c r="BG737" s="635"/>
      <c r="BH737" s="634"/>
      <c r="BI737" s="635"/>
    </row>
    <row r="738" spans="1:61" ht="16.2" customHeight="1">
      <c r="A738" s="12"/>
      <c r="B738" s="446"/>
      <c r="C738" s="89"/>
      <c r="D738" s="13"/>
      <c r="E738" s="14"/>
      <c r="F738" s="14"/>
      <c r="G738" s="15"/>
      <c r="H738" s="8"/>
      <c r="I738" s="8"/>
      <c r="J738" s="89"/>
      <c r="K738" s="8"/>
      <c r="L738" s="8"/>
      <c r="M738" s="8" t="str">
        <f>IF(L738="","",
IF(AX738="PT",VLOOKUP(L738,Foundation_Calc!$V$4:$X$37,VLOOKUP(AX738,Foundation_Calc!$I$10:$J$13,2,FALSE),0),
IF(AX738="K",VLOOKUP(L738,Foundation_Calc!$V$41:$X$74,VLOOKUP(AX738,Foundation_Calc!$I$10:$J$13,2,FALSE),0),"")))</f>
        <v/>
      </c>
      <c r="N738" s="8"/>
      <c r="O738" s="8"/>
      <c r="P738" s="8"/>
      <c r="Q738" s="14"/>
      <c r="R738" s="15"/>
      <c r="S738" s="15"/>
      <c r="T738" s="14"/>
      <c r="U738" s="14"/>
      <c r="V738" s="14"/>
      <c r="W738" s="18"/>
      <c r="X738" s="18"/>
      <c r="Y738" s="18"/>
      <c r="Z738" s="18"/>
      <c r="AA738" s="18"/>
      <c r="AB738" s="18"/>
      <c r="AC738" s="8" t="str">
        <f t="shared" si="82"/>
        <v/>
      </c>
      <c r="AD738" s="8"/>
      <c r="AE738" s="8"/>
      <c r="AF738" s="14"/>
      <c r="AG738" s="13"/>
      <c r="AH738" s="14"/>
      <c r="AI738" s="14"/>
      <c r="AJ738" s="8"/>
      <c r="AK738" s="8"/>
      <c r="AL738" s="8"/>
      <c r="AM738" s="8"/>
      <c r="AN738" s="631"/>
      <c r="AO738" s="18"/>
      <c r="AP738" s="18"/>
      <c r="AQ738" s="18"/>
      <c r="AR738" s="18"/>
      <c r="AS738" s="18"/>
      <c r="AU738" s="448"/>
      <c r="AV738" s="448"/>
      <c r="AW738" s="8" t="str">
        <f>IF(C738&gt;0,VLOOKUP(C738,Foundation_Calc!$A$2:$C$986,3,1),
IF(J738&gt;0,VLOOKUP(J738,Foundation_Calc!$A$2:$C$986,3,1),""))</f>
        <v/>
      </c>
      <c r="AX738" s="8" t="str">
        <f>IF(C738&gt;0,VLOOKUP(C738,Foundation_Calc!$E$2:$G$986,3,1),
IF(J738&gt;0,VLOOKUP(J738,Foundation_Calc!$E$2:$G$986,3,1),""))</f>
        <v/>
      </c>
      <c r="AY738" s="631" t="str">
        <f>IF(L738="","",
IF(AX738="PT",VLOOKUP(L738,Foundation_Calc!$K$4:$R$37,VLOOKUP(AW738,Foundation_Calc!$I$2:$J$8,2,FALSE),0),
IF(AX738="K",VLOOKUP(L738,Foundation_Calc!$K$41:$R$74,VLOOKUP(AW738,Foundation_Calc!$I$2:$J$8,2,FALSE),0),"")))</f>
        <v/>
      </c>
      <c r="AZ738" s="631" t="str">
        <f>IF(K738="","",
IF(AX738="PT",VLOOKUP(K738,Foundation_Calc!$K$4:$R$37,VLOOKUP(AW738,Foundation_Calc!$I$2:$J$8,2,FALSE),0),
IF(AX738="K",VLOOKUP(K738,Foundation_Calc!$K$41:$R$74,VLOOKUP(AW738,Foundation_Calc!$I$2:$J$8,2,FALSE),0),"")))</f>
        <v/>
      </c>
      <c r="BA738" s="632" t="str">
        <f t="shared" si="83"/>
        <v/>
      </c>
      <c r="BB738" s="632" t="str">
        <f t="shared" si="84"/>
        <v/>
      </c>
      <c r="BC738" s="632" t="str">
        <f t="shared" si="85"/>
        <v/>
      </c>
      <c r="BD738" s="633" t="str">
        <f>IF(AND(L738="",H738=""),"",
IF(H738="",Pole_Calc!A766,
IF(H738="MP",Pole_Calc!A767,
IF(H738="AnMP",Pole_Calc!A768,
IF(H738="A",Pole_Calc!A769,
IF(H738="S/A",Pole_Calc!A770,
IF(H738="A/S",Pole_Calc!A771,"Poner a mano")))))))</f>
        <v/>
      </c>
      <c r="BE738" s="448" t="s">
        <v>1726</v>
      </c>
      <c r="BF738" s="634"/>
      <c r="BG738" s="634"/>
      <c r="BH738" s="634"/>
      <c r="BI738" s="634"/>
    </row>
    <row r="739" spans="1:61" ht="16.2" customHeight="1">
      <c r="A739" s="12"/>
      <c r="B739" s="446"/>
      <c r="C739" s="89"/>
      <c r="D739" s="13"/>
      <c r="E739" s="14"/>
      <c r="F739" s="14"/>
      <c r="G739" s="15"/>
      <c r="H739" s="8"/>
      <c r="I739" s="8"/>
      <c r="J739" s="89"/>
      <c r="K739" s="8"/>
      <c r="L739" s="8"/>
      <c r="M739" s="8" t="str">
        <f>IF(L739="","",
IF(AX739="PT",VLOOKUP(L739,Foundation_Calc!$V$4:$X$37,VLOOKUP(AX739,Foundation_Calc!$I$10:$J$13,2,FALSE),0),
IF(AX739="K",VLOOKUP(L739,Foundation_Calc!$V$41:$X$74,VLOOKUP(AX739,Foundation_Calc!$I$10:$J$13,2,FALSE),0),"")))</f>
        <v/>
      </c>
      <c r="N739" s="8"/>
      <c r="O739" s="8"/>
      <c r="P739" s="8"/>
      <c r="Q739" s="14"/>
      <c r="R739" s="15"/>
      <c r="S739" s="15"/>
      <c r="T739" s="14"/>
      <c r="U739" s="14"/>
      <c r="V739" s="14"/>
      <c r="W739" s="18"/>
      <c r="X739" s="18"/>
      <c r="Y739" s="18"/>
      <c r="Z739" s="18"/>
      <c r="AA739" s="18"/>
      <c r="AB739" s="18"/>
      <c r="AC739" s="8" t="str">
        <f t="shared" si="82"/>
        <v/>
      </c>
      <c r="AD739" s="8"/>
      <c r="AE739" s="8"/>
      <c r="AF739" s="14"/>
      <c r="AG739" s="13"/>
      <c r="AH739" s="14"/>
      <c r="AI739" s="14"/>
      <c r="AJ739" s="8"/>
      <c r="AK739" s="8"/>
      <c r="AL739" s="8"/>
      <c r="AM739" s="8"/>
      <c r="AN739" s="631"/>
      <c r="AO739" s="18"/>
      <c r="AP739" s="18"/>
      <c r="AQ739" s="18"/>
      <c r="AR739" s="18"/>
      <c r="AS739" s="18"/>
      <c r="AU739" s="448"/>
      <c r="AV739" s="448"/>
      <c r="AW739" s="8" t="str">
        <f>IF(C739&gt;0,VLOOKUP(C739,Foundation_Calc!$A$2:$C$986,3,1),
IF(J739&gt;0,VLOOKUP(J739,Foundation_Calc!$A$2:$C$986,3,1),""))</f>
        <v/>
      </c>
      <c r="AX739" s="8" t="str">
        <f>IF(C739&gt;0,VLOOKUP(C739,Foundation_Calc!$E$2:$G$986,3,1),
IF(J739&gt;0,VLOOKUP(J739,Foundation_Calc!$E$2:$G$986,3,1),""))</f>
        <v/>
      </c>
      <c r="AY739" s="631" t="str">
        <f>IF(L739="","",
IF(AX739="PT",VLOOKUP(L739,Foundation_Calc!$K$4:$R$37,VLOOKUP(AW739,Foundation_Calc!$I$2:$J$8,2,FALSE),0),
IF(AX739="K",VLOOKUP(L739,Foundation_Calc!$K$41:$R$74,VLOOKUP(AW739,Foundation_Calc!$I$2:$J$8,2,FALSE),0),"")))</f>
        <v/>
      </c>
      <c r="AZ739" s="631" t="str">
        <f>IF(K739="","",
IF(AX739="PT",VLOOKUP(K739,Foundation_Calc!$K$4:$R$37,VLOOKUP(AW739,Foundation_Calc!$I$2:$J$8,2,FALSE),0),
IF(AX739="K",VLOOKUP(K739,Foundation_Calc!$K$41:$R$74,VLOOKUP(AW739,Foundation_Calc!$I$2:$J$8,2,FALSE),0),"")))</f>
        <v/>
      </c>
      <c r="BA739" s="632" t="str">
        <f t="shared" si="83"/>
        <v/>
      </c>
      <c r="BB739" s="632" t="str">
        <f t="shared" si="84"/>
        <v/>
      </c>
      <c r="BC739" s="632" t="str">
        <f t="shared" si="85"/>
        <v/>
      </c>
      <c r="BD739" s="633" t="str">
        <f>IF(AND(L739="",H739=""),"",
IF(H739="",Pole_Calc!A767,
IF(H739="MP",Pole_Calc!A768,
IF(H739="AnMP",Pole_Calc!A769,
IF(H739="A",Pole_Calc!A770,
IF(H739="S/A",Pole_Calc!A771,
IF(H739="A/S",Pole_Calc!A772,"Poner a mano")))))))</f>
        <v/>
      </c>
      <c r="BE739" s="448" t="s">
        <v>1726</v>
      </c>
      <c r="BF739" s="635"/>
      <c r="BG739" s="635"/>
      <c r="BH739" s="634"/>
      <c r="BI739" s="635"/>
    </row>
    <row r="740" spans="1:61" ht="16.2" customHeight="1">
      <c r="A740" s="12"/>
      <c r="B740" s="446"/>
      <c r="C740" s="89"/>
      <c r="D740" s="13"/>
      <c r="E740" s="14"/>
      <c r="F740" s="14"/>
      <c r="G740" s="15"/>
      <c r="H740" s="8"/>
      <c r="I740" s="8"/>
      <c r="J740" s="89"/>
      <c r="K740" s="8"/>
      <c r="L740" s="8"/>
      <c r="M740" s="8" t="str">
        <f>IF(L740="","",
IF(AX740="PT",VLOOKUP(L740,Foundation_Calc!$V$4:$X$37,VLOOKUP(AX740,Foundation_Calc!$I$10:$J$13,2,FALSE),0),
IF(AX740="K",VLOOKUP(L740,Foundation_Calc!$V$41:$X$74,VLOOKUP(AX740,Foundation_Calc!$I$10:$J$13,2,FALSE),0),"")))</f>
        <v/>
      </c>
      <c r="N740" s="8"/>
      <c r="O740" s="8"/>
      <c r="P740" s="8"/>
      <c r="Q740" s="14"/>
      <c r="R740" s="15"/>
      <c r="S740" s="15"/>
      <c r="T740" s="14"/>
      <c r="U740" s="14"/>
      <c r="V740" s="14"/>
      <c r="W740" s="18"/>
      <c r="X740" s="18"/>
      <c r="Y740" s="18"/>
      <c r="Z740" s="18"/>
      <c r="AA740" s="18"/>
      <c r="AB740" s="18"/>
      <c r="AC740" s="8" t="str">
        <f t="shared" si="82"/>
        <v/>
      </c>
      <c r="AD740" s="8"/>
      <c r="AE740" s="8"/>
      <c r="AF740" s="14"/>
      <c r="AG740" s="13"/>
      <c r="AH740" s="14"/>
      <c r="AI740" s="14"/>
      <c r="AJ740" s="8"/>
      <c r="AK740" s="8"/>
      <c r="AL740" s="8"/>
      <c r="AM740" s="8"/>
      <c r="AN740" s="631"/>
      <c r="AO740" s="18"/>
      <c r="AP740" s="18"/>
      <c r="AQ740" s="18"/>
      <c r="AR740" s="18"/>
      <c r="AS740" s="18"/>
      <c r="AU740" s="448"/>
      <c r="AV740" s="448"/>
      <c r="AW740" s="8" t="str">
        <f>IF(C740&gt;0,VLOOKUP(C740,Foundation_Calc!$A$2:$C$986,3,1),
IF(J740&gt;0,VLOOKUP(J740,Foundation_Calc!$A$2:$C$986,3,1),""))</f>
        <v/>
      </c>
      <c r="AX740" s="8" t="str">
        <f>IF(C740&gt;0,VLOOKUP(C740,Foundation_Calc!$E$2:$G$986,3,1),
IF(J740&gt;0,VLOOKUP(J740,Foundation_Calc!$E$2:$G$986,3,1),""))</f>
        <v/>
      </c>
      <c r="AY740" s="631" t="str">
        <f>IF(L740="","",
IF(AX740="PT",VLOOKUP(L740,Foundation_Calc!$K$4:$R$37,VLOOKUP(AW740,Foundation_Calc!$I$2:$J$8,2,FALSE),0),
IF(AX740="K",VLOOKUP(L740,Foundation_Calc!$K$41:$R$74,VLOOKUP(AW740,Foundation_Calc!$I$2:$J$8,2,FALSE),0),"")))</f>
        <v/>
      </c>
      <c r="AZ740" s="631" t="str">
        <f>IF(K740="","",
IF(AX740="PT",VLOOKUP(K740,Foundation_Calc!$K$4:$R$37,VLOOKUP(AW740,Foundation_Calc!$I$2:$J$8,2,FALSE),0),
IF(AX740="K",VLOOKUP(K740,Foundation_Calc!$K$41:$R$74,VLOOKUP(AW740,Foundation_Calc!$I$2:$J$8,2,FALSE),0),"")))</f>
        <v/>
      </c>
      <c r="BA740" s="632" t="str">
        <f t="shared" si="83"/>
        <v/>
      </c>
      <c r="BB740" s="632" t="str">
        <f t="shared" si="84"/>
        <v/>
      </c>
      <c r="BC740" s="632" t="str">
        <f t="shared" si="85"/>
        <v/>
      </c>
      <c r="BD740" s="633" t="str">
        <f>IF(AND(L740="",H740=""),"",
IF(H740="",Pole_Calc!A768,
IF(H740="MP",Pole_Calc!A769,
IF(H740="AnMP",Pole_Calc!A770,
IF(H740="A",Pole_Calc!A771,
IF(H740="S/A",Pole_Calc!A772,
IF(H740="A/S",Pole_Calc!A773,"Poner a mano")))))))</f>
        <v/>
      </c>
      <c r="BE740" s="448" t="s">
        <v>1726</v>
      </c>
      <c r="BF740" s="634"/>
      <c r="BG740" s="634"/>
      <c r="BH740" s="634"/>
      <c r="BI740" s="634"/>
    </row>
    <row r="741" spans="1:61" ht="16.2" customHeight="1">
      <c r="A741" s="12"/>
      <c r="B741" s="446"/>
      <c r="C741" s="89"/>
      <c r="D741" s="13"/>
      <c r="E741" s="14"/>
      <c r="F741" s="14"/>
      <c r="G741" s="15"/>
      <c r="H741" s="8"/>
      <c r="I741" s="8"/>
      <c r="J741" s="89"/>
      <c r="K741" s="8"/>
      <c r="L741" s="8"/>
      <c r="M741" s="8" t="str">
        <f>IF(L741="","",
IF(AX741="PT",VLOOKUP(L741,Foundation_Calc!$V$4:$X$37,VLOOKUP(AX741,Foundation_Calc!$I$10:$J$13,2,FALSE),0),
IF(AX741="K",VLOOKUP(L741,Foundation_Calc!$V$41:$X$74,VLOOKUP(AX741,Foundation_Calc!$I$10:$J$13,2,FALSE),0),"")))</f>
        <v/>
      </c>
      <c r="N741" s="8"/>
      <c r="O741" s="8"/>
      <c r="P741" s="8"/>
      <c r="Q741" s="14"/>
      <c r="R741" s="15"/>
      <c r="S741" s="15"/>
      <c r="T741" s="14"/>
      <c r="U741" s="14"/>
      <c r="V741" s="14"/>
      <c r="W741" s="18"/>
      <c r="X741" s="18"/>
      <c r="Y741" s="18"/>
      <c r="Z741" s="18"/>
      <c r="AA741" s="18"/>
      <c r="AB741" s="18"/>
      <c r="AC741" s="8" t="str">
        <f t="shared" si="82"/>
        <v/>
      </c>
      <c r="AD741" s="8"/>
      <c r="AE741" s="8"/>
      <c r="AF741" s="14"/>
      <c r="AG741" s="13"/>
      <c r="AH741" s="14"/>
      <c r="AI741" s="14"/>
      <c r="AJ741" s="8"/>
      <c r="AK741" s="8"/>
      <c r="AL741" s="8"/>
      <c r="AM741" s="8"/>
      <c r="AN741" s="631"/>
      <c r="AO741" s="18"/>
      <c r="AP741" s="18"/>
      <c r="AQ741" s="18"/>
      <c r="AR741" s="18"/>
      <c r="AS741" s="18"/>
      <c r="AU741" s="448"/>
      <c r="AV741" s="448"/>
      <c r="AW741" s="8" t="str">
        <f>IF(C741&gt;0,VLOOKUP(C741,Foundation_Calc!$A$2:$C$986,3,1),
IF(J741&gt;0,VLOOKUP(J741,Foundation_Calc!$A$2:$C$986,3,1),""))</f>
        <v/>
      </c>
      <c r="AX741" s="8" t="str">
        <f>IF(C741&gt;0,VLOOKUP(C741,Foundation_Calc!$E$2:$G$986,3,1),
IF(J741&gt;0,VLOOKUP(J741,Foundation_Calc!$E$2:$G$986,3,1),""))</f>
        <v/>
      </c>
      <c r="AY741" s="631" t="str">
        <f>IF(L741="","",
IF(AX741="PT",VLOOKUP(L741,Foundation_Calc!$K$4:$R$37,VLOOKUP(AW741,Foundation_Calc!$I$2:$J$8,2,FALSE),0),
IF(AX741="K",VLOOKUP(L741,Foundation_Calc!$K$41:$R$74,VLOOKUP(AW741,Foundation_Calc!$I$2:$J$8,2,FALSE),0),"")))</f>
        <v/>
      </c>
      <c r="AZ741" s="631" t="str">
        <f>IF(K741="","",
IF(AX741="PT",VLOOKUP(K741,Foundation_Calc!$K$4:$R$37,VLOOKUP(AW741,Foundation_Calc!$I$2:$J$8,2,FALSE),0),
IF(AX741="K",VLOOKUP(K741,Foundation_Calc!$K$41:$R$74,VLOOKUP(AW741,Foundation_Calc!$I$2:$J$8,2,FALSE),0),"")))</f>
        <v/>
      </c>
      <c r="BA741" s="632" t="str">
        <f t="shared" si="83"/>
        <v/>
      </c>
      <c r="BB741" s="632" t="str">
        <f t="shared" si="84"/>
        <v/>
      </c>
      <c r="BC741" s="632" t="str">
        <f t="shared" si="85"/>
        <v/>
      </c>
      <c r="BD741" s="633" t="str">
        <f>IF(AND(L741="",H741=""),"",
IF(H741="",Pole_Calc!A769,
IF(H741="MP",Pole_Calc!A770,
IF(H741="AnMP",Pole_Calc!A771,
IF(H741="A",Pole_Calc!A772,
IF(H741="S/A",Pole_Calc!A773,
IF(H741="A/S",Pole_Calc!A774,"Poner a mano")))))))</f>
        <v/>
      </c>
      <c r="BE741" s="448" t="s">
        <v>1726</v>
      </c>
      <c r="BF741" s="635"/>
      <c r="BG741" s="635"/>
      <c r="BH741" s="634"/>
      <c r="BI741" s="635"/>
    </row>
    <row r="742" spans="1:61" ht="16.2" customHeight="1">
      <c r="A742" s="12"/>
      <c r="B742" s="446"/>
      <c r="C742" s="89"/>
      <c r="D742" s="13"/>
      <c r="E742" s="14"/>
      <c r="F742" s="14"/>
      <c r="G742" s="15"/>
      <c r="H742" s="8"/>
      <c r="I742" s="8"/>
      <c r="J742" s="89"/>
      <c r="K742" s="8"/>
      <c r="L742" s="8"/>
      <c r="M742" s="8" t="str">
        <f>IF(L742="","",
IF(AX742="PT",VLOOKUP(L742,Foundation_Calc!$V$4:$X$37,VLOOKUP(AX742,Foundation_Calc!$I$10:$J$13,2,FALSE),0),
IF(AX742="K",VLOOKUP(L742,Foundation_Calc!$V$41:$X$74,VLOOKUP(AX742,Foundation_Calc!$I$10:$J$13,2,FALSE),0),"")))</f>
        <v/>
      </c>
      <c r="N742" s="8"/>
      <c r="O742" s="8"/>
      <c r="P742" s="8"/>
      <c r="Q742" s="14"/>
      <c r="R742" s="15"/>
      <c r="S742" s="15"/>
      <c r="T742" s="14"/>
      <c r="U742" s="14"/>
      <c r="V742" s="14"/>
      <c r="W742" s="18"/>
      <c r="X742" s="18"/>
      <c r="Y742" s="18"/>
      <c r="Z742" s="18"/>
      <c r="AA742" s="18"/>
      <c r="AB742" s="18"/>
      <c r="AC742" s="8" t="str">
        <f t="shared" si="82"/>
        <v/>
      </c>
      <c r="AD742" s="8"/>
      <c r="AE742" s="8"/>
      <c r="AF742" s="14"/>
      <c r="AG742" s="13"/>
      <c r="AH742" s="14"/>
      <c r="AI742" s="14"/>
      <c r="AJ742" s="8"/>
      <c r="AK742" s="8"/>
      <c r="AL742" s="8"/>
      <c r="AM742" s="8"/>
      <c r="AN742" s="631"/>
      <c r="AO742" s="18"/>
      <c r="AP742" s="18"/>
      <c r="AQ742" s="18"/>
      <c r="AR742" s="18"/>
      <c r="AS742" s="18"/>
      <c r="AU742" s="448"/>
      <c r="AV742" s="448"/>
      <c r="AW742" s="8" t="str">
        <f>IF(C742&gt;0,VLOOKUP(C742,Foundation_Calc!$A$2:$C$986,3,1),
IF(J742&gt;0,VLOOKUP(J742,Foundation_Calc!$A$2:$C$986,3,1),""))</f>
        <v/>
      </c>
      <c r="AX742" s="8" t="str">
        <f>IF(C742&gt;0,VLOOKUP(C742,Foundation_Calc!$E$2:$G$986,3,1),
IF(J742&gt;0,VLOOKUP(J742,Foundation_Calc!$E$2:$G$986,3,1),""))</f>
        <v/>
      </c>
      <c r="AY742" s="631" t="str">
        <f>IF(L742="","",
IF(AX742="PT",VLOOKUP(L742,Foundation_Calc!$K$4:$R$37,VLOOKUP(AW742,Foundation_Calc!$I$2:$J$8,2,FALSE),0),
IF(AX742="K",VLOOKUP(L742,Foundation_Calc!$K$41:$R$74,VLOOKUP(AW742,Foundation_Calc!$I$2:$J$8,2,FALSE),0),"")))</f>
        <v/>
      </c>
      <c r="AZ742" s="631" t="str">
        <f>IF(K742="","",
IF(AX742="PT",VLOOKUP(K742,Foundation_Calc!$K$4:$R$37,VLOOKUP(AW742,Foundation_Calc!$I$2:$J$8,2,FALSE),0),
IF(AX742="K",VLOOKUP(K742,Foundation_Calc!$K$41:$R$74,VLOOKUP(AW742,Foundation_Calc!$I$2:$J$8,2,FALSE),0),"")))</f>
        <v/>
      </c>
      <c r="BA742" s="632" t="str">
        <f t="shared" si="83"/>
        <v/>
      </c>
      <c r="BB742" s="632" t="str">
        <f t="shared" si="84"/>
        <v/>
      </c>
      <c r="BC742" s="632" t="str">
        <f t="shared" si="85"/>
        <v/>
      </c>
      <c r="BD742" s="633" t="str">
        <f>IF(AND(L742="",H742=""),"",
IF(H742="",Pole_Calc!A770,
IF(H742="MP",Pole_Calc!A771,
IF(H742="AnMP",Pole_Calc!A772,
IF(H742="A",Pole_Calc!A773,
IF(H742="S/A",Pole_Calc!A774,
IF(H742="A/S",Pole_Calc!A775,"Poner a mano")))))))</f>
        <v/>
      </c>
      <c r="BE742" s="448" t="s">
        <v>1726</v>
      </c>
      <c r="BF742" s="634"/>
      <c r="BG742" s="634"/>
      <c r="BH742" s="634"/>
      <c r="BI742" s="634"/>
    </row>
    <row r="743" spans="1:61" ht="16.2" customHeight="1">
      <c r="A743" s="12"/>
      <c r="B743" s="446"/>
      <c r="C743" s="89"/>
      <c r="D743" s="13"/>
      <c r="E743" s="14"/>
      <c r="F743" s="14"/>
      <c r="G743" s="15"/>
      <c r="H743" s="8"/>
      <c r="I743" s="8"/>
      <c r="J743" s="89"/>
      <c r="K743" s="8"/>
      <c r="L743" s="8"/>
      <c r="M743" s="8" t="str">
        <f>IF(L743="","",
IF(AX743="PT",VLOOKUP(L743,Foundation_Calc!$V$4:$X$37,VLOOKUP(AX743,Foundation_Calc!$I$10:$J$13,2,FALSE),0),
IF(AX743="K",VLOOKUP(L743,Foundation_Calc!$V$41:$X$74,VLOOKUP(AX743,Foundation_Calc!$I$10:$J$13,2,FALSE),0),"")))</f>
        <v/>
      </c>
      <c r="N743" s="8"/>
      <c r="O743" s="8"/>
      <c r="P743" s="8"/>
      <c r="Q743" s="14"/>
      <c r="R743" s="15"/>
      <c r="S743" s="15"/>
      <c r="T743" s="14"/>
      <c r="U743" s="14"/>
      <c r="V743" s="14"/>
      <c r="W743" s="18"/>
      <c r="X743" s="18"/>
      <c r="Y743" s="18"/>
      <c r="Z743" s="18"/>
      <c r="AA743" s="18"/>
      <c r="AB743" s="18"/>
      <c r="AC743" s="8" t="str">
        <f t="shared" si="82"/>
        <v/>
      </c>
      <c r="AD743" s="8"/>
      <c r="AE743" s="8"/>
      <c r="AF743" s="14"/>
      <c r="AG743" s="13"/>
      <c r="AH743" s="14"/>
      <c r="AI743" s="14"/>
      <c r="AJ743" s="8"/>
      <c r="AK743" s="8"/>
      <c r="AL743" s="8"/>
      <c r="AM743" s="8"/>
      <c r="AN743" s="631"/>
      <c r="AO743" s="18"/>
      <c r="AP743" s="18"/>
      <c r="AQ743" s="18"/>
      <c r="AR743" s="18"/>
      <c r="AS743" s="18"/>
      <c r="AU743" s="448"/>
      <c r="AV743" s="448"/>
      <c r="AW743" s="8" t="str">
        <f>IF(C743&gt;0,VLOOKUP(C743,Foundation_Calc!$A$2:$C$986,3,1),
IF(J743&gt;0,VLOOKUP(J743,Foundation_Calc!$A$2:$C$986,3,1),""))</f>
        <v/>
      </c>
      <c r="AX743" s="8" t="str">
        <f>IF(C743&gt;0,VLOOKUP(C743,Foundation_Calc!$E$2:$G$986,3,1),
IF(J743&gt;0,VLOOKUP(J743,Foundation_Calc!$E$2:$G$986,3,1),""))</f>
        <v/>
      </c>
      <c r="AY743" s="631" t="str">
        <f>IF(L743="","",
IF(AX743="PT",VLOOKUP(L743,Foundation_Calc!$K$4:$R$37,VLOOKUP(AW743,Foundation_Calc!$I$2:$J$8,2,FALSE),0),
IF(AX743="K",VLOOKUP(L743,Foundation_Calc!$K$41:$R$74,VLOOKUP(AW743,Foundation_Calc!$I$2:$J$8,2,FALSE),0),"")))</f>
        <v/>
      </c>
      <c r="AZ743" s="631" t="str">
        <f>IF(K743="","",
IF(AX743="PT",VLOOKUP(K743,Foundation_Calc!$K$4:$R$37,VLOOKUP(AW743,Foundation_Calc!$I$2:$J$8,2,FALSE),0),
IF(AX743="K",VLOOKUP(K743,Foundation_Calc!$K$41:$R$74,VLOOKUP(AW743,Foundation_Calc!$I$2:$J$8,2,FALSE),0),"")))</f>
        <v/>
      </c>
      <c r="BA743" s="632" t="str">
        <f t="shared" si="83"/>
        <v/>
      </c>
      <c r="BB743" s="632" t="str">
        <f t="shared" si="84"/>
        <v/>
      </c>
      <c r="BC743" s="632" t="str">
        <f t="shared" si="85"/>
        <v/>
      </c>
      <c r="BD743" s="633" t="str">
        <f>IF(AND(L743="",H743=""),"",
IF(H743="",Pole_Calc!A771,
IF(H743="MP",Pole_Calc!A772,
IF(H743="AnMP",Pole_Calc!A773,
IF(H743="A",Pole_Calc!A774,
IF(H743="S/A",Pole_Calc!A775,
IF(H743="A/S",Pole_Calc!A776,"Poner a mano")))))))</f>
        <v/>
      </c>
      <c r="BE743" s="448" t="s">
        <v>1726</v>
      </c>
      <c r="BF743" s="635"/>
      <c r="BG743" s="635"/>
      <c r="BH743" s="634"/>
      <c r="BI743" s="635"/>
    </row>
    <row r="744" spans="1:61" ht="16.2" customHeight="1">
      <c r="A744" s="12"/>
      <c r="B744" s="446"/>
      <c r="C744" s="89"/>
      <c r="D744" s="13"/>
      <c r="E744" s="14"/>
      <c r="F744" s="14"/>
      <c r="G744" s="15"/>
      <c r="H744" s="8"/>
      <c r="I744" s="8"/>
      <c r="J744" s="89"/>
      <c r="K744" s="8"/>
      <c r="L744" s="8"/>
      <c r="M744" s="8" t="str">
        <f>IF(L744="","",
IF(AX744="PT",VLOOKUP(L744,Foundation_Calc!$V$4:$X$37,VLOOKUP(AX744,Foundation_Calc!$I$10:$J$13,2,FALSE),0),
IF(AX744="K",VLOOKUP(L744,Foundation_Calc!$V$41:$X$74,VLOOKUP(AX744,Foundation_Calc!$I$10:$J$13,2,FALSE),0),"")))</f>
        <v/>
      </c>
      <c r="N744" s="8"/>
      <c r="O744" s="8"/>
      <c r="P744" s="8"/>
      <c r="Q744" s="14"/>
      <c r="R744" s="15"/>
      <c r="S744" s="15"/>
      <c r="T744" s="14"/>
      <c r="U744" s="14"/>
      <c r="V744" s="14"/>
      <c r="W744" s="18"/>
      <c r="X744" s="18"/>
      <c r="Y744" s="18"/>
      <c r="Z744" s="18"/>
      <c r="AA744" s="18"/>
      <c r="AB744" s="18"/>
      <c r="AC744" s="8" t="str">
        <f t="shared" si="82"/>
        <v/>
      </c>
      <c r="AD744" s="8"/>
      <c r="AE744" s="8"/>
      <c r="AF744" s="14"/>
      <c r="AG744" s="13"/>
      <c r="AH744" s="14"/>
      <c r="AI744" s="14"/>
      <c r="AJ744" s="8"/>
      <c r="AK744" s="8"/>
      <c r="AL744" s="8"/>
      <c r="AM744" s="8"/>
      <c r="AN744" s="631"/>
      <c r="AO744" s="18"/>
      <c r="AP744" s="18"/>
      <c r="AQ744" s="18"/>
      <c r="AR744" s="18"/>
      <c r="AS744" s="18"/>
      <c r="AU744" s="448"/>
      <c r="AV744" s="448"/>
      <c r="AW744" s="8" t="str">
        <f>IF(C744&gt;0,VLOOKUP(C744,Foundation_Calc!$A$2:$C$986,3,1),
IF(J744&gt;0,VLOOKUP(J744,Foundation_Calc!$A$2:$C$986,3,1),""))</f>
        <v/>
      </c>
      <c r="AX744" s="8" t="str">
        <f>IF(C744&gt;0,VLOOKUP(C744,Foundation_Calc!$E$2:$G$986,3,1),
IF(J744&gt;0,VLOOKUP(J744,Foundation_Calc!$E$2:$G$986,3,1),""))</f>
        <v/>
      </c>
      <c r="AY744" s="631" t="str">
        <f>IF(L744="","",
IF(AX744="PT",VLOOKUP(L744,Foundation_Calc!$K$4:$R$37,VLOOKUP(AW744,Foundation_Calc!$I$2:$J$8,2,FALSE),0),
IF(AX744="K",VLOOKUP(L744,Foundation_Calc!$K$41:$R$74,VLOOKUP(AW744,Foundation_Calc!$I$2:$J$8,2,FALSE),0),"")))</f>
        <v/>
      </c>
      <c r="AZ744" s="631" t="str">
        <f>IF(K744="","",
IF(AX744="PT",VLOOKUP(K744,Foundation_Calc!$K$4:$R$37,VLOOKUP(AW744,Foundation_Calc!$I$2:$J$8,2,FALSE),0),
IF(AX744="K",VLOOKUP(K744,Foundation_Calc!$K$41:$R$74,VLOOKUP(AW744,Foundation_Calc!$I$2:$J$8,2,FALSE),0),"")))</f>
        <v/>
      </c>
      <c r="BA744" s="632" t="str">
        <f t="shared" si="83"/>
        <v/>
      </c>
      <c r="BB744" s="632" t="str">
        <f t="shared" si="84"/>
        <v/>
      </c>
      <c r="BC744" s="632" t="str">
        <f t="shared" si="85"/>
        <v/>
      </c>
      <c r="BD744" s="633" t="str">
        <f>IF(AND(L744="",H744=""),"",
IF(H744="",Pole_Calc!A772,
IF(H744="MP",Pole_Calc!A773,
IF(H744="AnMP",Pole_Calc!A774,
IF(H744="A",Pole_Calc!A775,
IF(H744="S/A",Pole_Calc!A776,
IF(H744="A/S",Pole_Calc!A777,"Poner a mano")))))))</f>
        <v/>
      </c>
      <c r="BE744" s="448" t="s">
        <v>1726</v>
      </c>
      <c r="BF744" s="634"/>
      <c r="BG744" s="634"/>
      <c r="BH744" s="634"/>
      <c r="BI744" s="634"/>
    </row>
    <row r="745" spans="1:61" ht="16.2" customHeight="1">
      <c r="A745" s="12"/>
      <c r="B745" s="446"/>
      <c r="C745" s="89"/>
      <c r="D745" s="13"/>
      <c r="E745" s="14"/>
      <c r="F745" s="14"/>
      <c r="G745" s="15"/>
      <c r="H745" s="8"/>
      <c r="I745" s="8"/>
      <c r="J745" s="89"/>
      <c r="K745" s="8"/>
      <c r="L745" s="8"/>
      <c r="M745" s="8" t="str">
        <f>IF(L745="","",
IF(AX745="PT",VLOOKUP(L745,Foundation_Calc!$V$4:$X$37,VLOOKUP(AX745,Foundation_Calc!$I$10:$J$13,2,FALSE),0),
IF(AX745="K",VLOOKUP(L745,Foundation_Calc!$V$41:$X$74,VLOOKUP(AX745,Foundation_Calc!$I$10:$J$13,2,FALSE),0),"")))</f>
        <v/>
      </c>
      <c r="N745" s="8"/>
      <c r="O745" s="8"/>
      <c r="P745" s="8"/>
      <c r="Q745" s="14"/>
      <c r="R745" s="15"/>
      <c r="S745" s="15"/>
      <c r="T745" s="14"/>
      <c r="U745" s="14"/>
      <c r="V745" s="14"/>
      <c r="W745" s="18"/>
      <c r="X745" s="18"/>
      <c r="Y745" s="18"/>
      <c r="Z745" s="18"/>
      <c r="AA745" s="18"/>
      <c r="AB745" s="18"/>
      <c r="AC745" s="8" t="str">
        <f t="shared" si="82"/>
        <v/>
      </c>
      <c r="AD745" s="8"/>
      <c r="AE745" s="8"/>
      <c r="AF745" s="14"/>
      <c r="AG745" s="13"/>
      <c r="AH745" s="14"/>
      <c r="AI745" s="14"/>
      <c r="AJ745" s="8"/>
      <c r="AK745" s="8"/>
      <c r="AL745" s="8"/>
      <c r="AM745" s="8"/>
      <c r="AN745" s="631"/>
      <c r="AO745" s="18"/>
      <c r="AP745" s="18"/>
      <c r="AQ745" s="18"/>
      <c r="AR745" s="18"/>
      <c r="AS745" s="18"/>
      <c r="AU745" s="448"/>
      <c r="AV745" s="448"/>
      <c r="AW745" s="8" t="str">
        <f>IF(C745&gt;0,VLOOKUP(C745,Foundation_Calc!$A$2:$C$986,3,1),
IF(J745&gt;0,VLOOKUP(J745,Foundation_Calc!$A$2:$C$986,3,1),""))</f>
        <v/>
      </c>
      <c r="AX745" s="8" t="str">
        <f>IF(C745&gt;0,VLOOKUP(C745,Foundation_Calc!$E$2:$G$986,3,1),
IF(J745&gt;0,VLOOKUP(J745,Foundation_Calc!$E$2:$G$986,3,1),""))</f>
        <v/>
      </c>
      <c r="AY745" s="631" t="str">
        <f>IF(L745="","",
IF(AX745="PT",VLOOKUP(L745,Foundation_Calc!$K$4:$R$37,VLOOKUP(AW745,Foundation_Calc!$I$2:$J$8,2,FALSE),0),
IF(AX745="K",VLOOKUP(L745,Foundation_Calc!$K$41:$R$74,VLOOKUP(AW745,Foundation_Calc!$I$2:$J$8,2,FALSE),0),"")))</f>
        <v/>
      </c>
      <c r="AZ745" s="631" t="str">
        <f>IF(K745="","",
IF(AX745="PT",VLOOKUP(K745,Foundation_Calc!$K$4:$R$37,VLOOKUP(AW745,Foundation_Calc!$I$2:$J$8,2,FALSE),0),
IF(AX745="K",VLOOKUP(K745,Foundation_Calc!$K$41:$R$74,VLOOKUP(AW745,Foundation_Calc!$I$2:$J$8,2,FALSE),0),"")))</f>
        <v/>
      </c>
      <c r="BA745" s="632" t="str">
        <f t="shared" si="83"/>
        <v/>
      </c>
      <c r="BB745" s="632" t="str">
        <f t="shared" si="84"/>
        <v/>
      </c>
      <c r="BC745" s="632" t="str">
        <f t="shared" si="85"/>
        <v/>
      </c>
      <c r="BD745" s="633" t="str">
        <f>IF(AND(L745="",H745=""),"",
IF(H745="",Pole_Calc!A773,
IF(H745="MP",Pole_Calc!A774,
IF(H745="AnMP",Pole_Calc!A775,
IF(H745="A",Pole_Calc!A776,
IF(H745="S/A",Pole_Calc!A777,
IF(H745="A/S",Pole_Calc!A778,"Poner a mano")))))))</f>
        <v/>
      </c>
      <c r="BE745" s="448" t="s">
        <v>1726</v>
      </c>
      <c r="BF745" s="635"/>
      <c r="BG745" s="635"/>
      <c r="BH745" s="634"/>
      <c r="BI745" s="635"/>
    </row>
    <row r="746" spans="1:61" ht="16.2" customHeight="1">
      <c r="A746" s="12"/>
      <c r="B746" s="446"/>
      <c r="C746" s="89"/>
      <c r="D746" s="13"/>
      <c r="E746" s="14"/>
      <c r="F746" s="14"/>
      <c r="G746" s="15"/>
      <c r="H746" s="8"/>
      <c r="I746" s="8"/>
      <c r="J746" s="89"/>
      <c r="K746" s="8"/>
      <c r="L746" s="8"/>
      <c r="M746" s="8" t="str">
        <f>IF(L746="","",
IF(AX746="PT",VLOOKUP(L746,Foundation_Calc!$V$4:$X$37,VLOOKUP(AX746,Foundation_Calc!$I$10:$J$13,2,FALSE),0),
IF(AX746="K",VLOOKUP(L746,Foundation_Calc!$V$41:$X$74,VLOOKUP(AX746,Foundation_Calc!$I$10:$J$13,2,FALSE),0),"")))</f>
        <v/>
      </c>
      <c r="N746" s="8"/>
      <c r="O746" s="8"/>
      <c r="P746" s="8"/>
      <c r="Q746" s="14"/>
      <c r="R746" s="15"/>
      <c r="S746" s="15"/>
      <c r="T746" s="14"/>
      <c r="U746" s="14"/>
      <c r="V746" s="14"/>
      <c r="W746" s="18"/>
      <c r="X746" s="18"/>
      <c r="Y746" s="18"/>
      <c r="Z746" s="18"/>
      <c r="AA746" s="18"/>
      <c r="AB746" s="18"/>
      <c r="AC746" s="8" t="str">
        <f t="shared" si="82"/>
        <v/>
      </c>
      <c r="AD746" s="8"/>
      <c r="AE746" s="8"/>
      <c r="AF746" s="14"/>
      <c r="AG746" s="13"/>
      <c r="AH746" s="14"/>
      <c r="AI746" s="14"/>
      <c r="AJ746" s="8"/>
      <c r="AK746" s="8"/>
      <c r="AL746" s="8"/>
      <c r="AM746" s="8"/>
      <c r="AN746" s="631"/>
      <c r="AO746" s="18"/>
      <c r="AP746" s="18"/>
      <c r="AQ746" s="18"/>
      <c r="AR746" s="18"/>
      <c r="AS746" s="18"/>
      <c r="AU746" s="448"/>
      <c r="AV746" s="448"/>
      <c r="AW746" s="8" t="str">
        <f>IF(C746&gt;0,VLOOKUP(C746,Foundation_Calc!$A$2:$C$986,3,1),
IF(J746&gt;0,VLOOKUP(J746,Foundation_Calc!$A$2:$C$986,3,1),""))</f>
        <v/>
      </c>
      <c r="AX746" s="8" t="str">
        <f>IF(C746&gt;0,VLOOKUP(C746,Foundation_Calc!$E$2:$G$986,3,1),
IF(J746&gt;0,VLOOKUP(J746,Foundation_Calc!$E$2:$G$986,3,1),""))</f>
        <v/>
      </c>
      <c r="AY746" s="631" t="str">
        <f>IF(L746="","",
IF(AX746="PT",VLOOKUP(L746,Foundation_Calc!$K$4:$R$37,VLOOKUP(AW746,Foundation_Calc!$I$2:$J$8,2,FALSE),0),
IF(AX746="K",VLOOKUP(L746,Foundation_Calc!$K$41:$R$74,VLOOKUP(AW746,Foundation_Calc!$I$2:$J$8,2,FALSE),0),"")))</f>
        <v/>
      </c>
      <c r="AZ746" s="631" t="str">
        <f>IF(K746="","",
IF(AX746="PT",VLOOKUP(K746,Foundation_Calc!$K$4:$R$37,VLOOKUP(AW746,Foundation_Calc!$I$2:$J$8,2,FALSE),0),
IF(AX746="K",VLOOKUP(K746,Foundation_Calc!$K$41:$R$74,VLOOKUP(AW746,Foundation_Calc!$I$2:$J$8,2,FALSE),0),"")))</f>
        <v/>
      </c>
      <c r="BA746" s="632" t="str">
        <f t="shared" si="83"/>
        <v/>
      </c>
      <c r="BB746" s="632" t="str">
        <f t="shared" si="84"/>
        <v/>
      </c>
      <c r="BC746" s="632" t="str">
        <f t="shared" si="85"/>
        <v/>
      </c>
      <c r="BD746" s="633" t="str">
        <f>IF(AND(L746="",H746=""),"",
IF(H746="",Pole_Calc!A774,
IF(H746="MP",Pole_Calc!A775,
IF(H746="AnMP",Pole_Calc!A776,
IF(H746="A",Pole_Calc!A777,
IF(H746="S/A",Pole_Calc!A778,
IF(H746="A/S",Pole_Calc!A779,"Poner a mano")))))))</f>
        <v/>
      </c>
      <c r="BE746" s="448" t="s">
        <v>1726</v>
      </c>
      <c r="BF746" s="634"/>
      <c r="BG746" s="634"/>
      <c r="BH746" s="634"/>
      <c r="BI746" s="634"/>
    </row>
    <row r="747" spans="1:61" ht="16.2" customHeight="1">
      <c r="A747" s="12"/>
      <c r="B747" s="446"/>
      <c r="C747" s="89"/>
      <c r="D747" s="13"/>
      <c r="E747" s="14"/>
      <c r="F747" s="14"/>
      <c r="G747" s="15"/>
      <c r="H747" s="8"/>
      <c r="I747" s="8"/>
      <c r="J747" s="89"/>
      <c r="K747" s="8"/>
      <c r="L747" s="8"/>
      <c r="M747" s="8" t="str">
        <f>IF(L747="","",
IF(AX747="PT",VLOOKUP(L747,Foundation_Calc!$V$4:$X$37,VLOOKUP(AX747,Foundation_Calc!$I$10:$J$13,2,FALSE),0),
IF(AX747="K",VLOOKUP(L747,Foundation_Calc!$V$41:$X$74,VLOOKUP(AX747,Foundation_Calc!$I$10:$J$13,2,FALSE),0),"")))</f>
        <v/>
      </c>
      <c r="N747" s="8"/>
      <c r="O747" s="8"/>
      <c r="P747" s="8"/>
      <c r="Q747" s="14"/>
      <c r="R747" s="15"/>
      <c r="S747" s="15"/>
      <c r="T747" s="14"/>
      <c r="U747" s="14"/>
      <c r="V747" s="14"/>
      <c r="W747" s="18"/>
      <c r="X747" s="18"/>
      <c r="Y747" s="18"/>
      <c r="Z747" s="18"/>
      <c r="AA747" s="18"/>
      <c r="AB747" s="18"/>
      <c r="AC747" s="8" t="str">
        <f t="shared" si="82"/>
        <v/>
      </c>
      <c r="AD747" s="8"/>
      <c r="AE747" s="8"/>
      <c r="AF747" s="14"/>
      <c r="AG747" s="13"/>
      <c r="AH747" s="14"/>
      <c r="AI747" s="14"/>
      <c r="AJ747" s="8"/>
      <c r="AK747" s="8"/>
      <c r="AL747" s="8"/>
      <c r="AM747" s="8"/>
      <c r="AN747" s="631"/>
      <c r="AO747" s="18"/>
      <c r="AP747" s="18"/>
      <c r="AQ747" s="18"/>
      <c r="AR747" s="18"/>
      <c r="AS747" s="18"/>
      <c r="AU747" s="448"/>
      <c r="AV747" s="448"/>
      <c r="AW747" s="8" t="str">
        <f>IF(C747&gt;0,VLOOKUP(C747,Foundation_Calc!$A$2:$C$986,3,1),
IF(J747&gt;0,VLOOKUP(J747,Foundation_Calc!$A$2:$C$986,3,1),""))</f>
        <v/>
      </c>
      <c r="AX747" s="8" t="str">
        <f>IF(C747&gt;0,VLOOKUP(C747,Foundation_Calc!$E$2:$G$986,3,1),
IF(J747&gt;0,VLOOKUP(J747,Foundation_Calc!$E$2:$G$986,3,1),""))</f>
        <v/>
      </c>
      <c r="AY747" s="631" t="str">
        <f>IF(L747="","",
IF(AX747="PT",VLOOKUP(L747,Foundation_Calc!$K$4:$R$37,VLOOKUP(AW747,Foundation_Calc!$I$2:$J$8,2,FALSE),0),
IF(AX747="K",VLOOKUP(L747,Foundation_Calc!$K$41:$R$74,VLOOKUP(AW747,Foundation_Calc!$I$2:$J$8,2,FALSE),0),"")))</f>
        <v/>
      </c>
      <c r="AZ747" s="631" t="str">
        <f>IF(K747="","",
IF(AX747="PT",VLOOKUP(K747,Foundation_Calc!$K$4:$R$37,VLOOKUP(AW747,Foundation_Calc!$I$2:$J$8,2,FALSE),0),
IF(AX747="K",VLOOKUP(K747,Foundation_Calc!$K$41:$R$74,VLOOKUP(AW747,Foundation_Calc!$I$2:$J$8,2,FALSE),0),"")))</f>
        <v/>
      </c>
      <c r="BA747" s="632" t="str">
        <f t="shared" si="83"/>
        <v/>
      </c>
      <c r="BB747" s="632" t="str">
        <f t="shared" si="84"/>
        <v/>
      </c>
      <c r="BC747" s="632" t="str">
        <f t="shared" si="85"/>
        <v/>
      </c>
      <c r="BD747" s="633" t="str">
        <f>IF(AND(L747="",H747=""),"",
IF(H747="",Pole_Calc!A775,
IF(H747="MP",Pole_Calc!A776,
IF(H747="AnMP",Pole_Calc!A777,
IF(H747="A",Pole_Calc!A778,
IF(H747="S/A",Pole_Calc!A779,
IF(H747="A/S",Pole_Calc!A780,"Poner a mano")))))))</f>
        <v/>
      </c>
      <c r="BE747" s="448" t="s">
        <v>1726</v>
      </c>
      <c r="BF747" s="635"/>
      <c r="BG747" s="635"/>
      <c r="BH747" s="634"/>
      <c r="BI747" s="635"/>
    </row>
    <row r="748" spans="1:61" ht="16.2" customHeight="1">
      <c r="A748" s="12"/>
      <c r="B748" s="446"/>
      <c r="C748" s="89"/>
      <c r="D748" s="13"/>
      <c r="E748" s="14"/>
      <c r="F748" s="14"/>
      <c r="G748" s="15"/>
      <c r="H748" s="8"/>
      <c r="I748" s="8"/>
      <c r="J748" s="89"/>
      <c r="K748" s="8"/>
      <c r="L748" s="8"/>
      <c r="M748" s="8" t="str">
        <f>IF(L748="","",
IF(AX748="PT",VLOOKUP(L748,Foundation_Calc!$V$4:$X$37,VLOOKUP(AX748,Foundation_Calc!$I$10:$J$13,2,FALSE),0),
IF(AX748="K",VLOOKUP(L748,Foundation_Calc!$V$41:$X$74,VLOOKUP(AX748,Foundation_Calc!$I$10:$J$13,2,FALSE),0),"")))</f>
        <v/>
      </c>
      <c r="N748" s="8"/>
      <c r="O748" s="8"/>
      <c r="P748" s="8"/>
      <c r="Q748" s="14"/>
      <c r="R748" s="15"/>
      <c r="S748" s="15"/>
      <c r="T748" s="14"/>
      <c r="U748" s="14"/>
      <c r="V748" s="14"/>
      <c r="W748" s="18"/>
      <c r="X748" s="18"/>
      <c r="Y748" s="18"/>
      <c r="Z748" s="18"/>
      <c r="AA748" s="18"/>
      <c r="AB748" s="18"/>
      <c r="AC748" s="8" t="str">
        <f t="shared" si="82"/>
        <v/>
      </c>
      <c r="AD748" s="8"/>
      <c r="AE748" s="8"/>
      <c r="AF748" s="14"/>
      <c r="AG748" s="13"/>
      <c r="AH748" s="14"/>
      <c r="AI748" s="14"/>
      <c r="AJ748" s="8"/>
      <c r="AK748" s="8"/>
      <c r="AL748" s="8"/>
      <c r="AM748" s="8"/>
      <c r="AN748" s="631"/>
      <c r="AO748" s="18"/>
      <c r="AP748" s="18"/>
      <c r="AQ748" s="18"/>
      <c r="AR748" s="18"/>
      <c r="AS748" s="18"/>
      <c r="AU748" s="448"/>
      <c r="AV748" s="448"/>
      <c r="AW748" s="8" t="str">
        <f>IF(C748&gt;0,VLOOKUP(C748,Foundation_Calc!$A$2:$C$986,3,1),
IF(J748&gt;0,VLOOKUP(J748,Foundation_Calc!$A$2:$C$986,3,1),""))</f>
        <v/>
      </c>
      <c r="AX748" s="8" t="str">
        <f>IF(C748&gt;0,VLOOKUP(C748,Foundation_Calc!$E$2:$G$986,3,1),
IF(J748&gt;0,VLOOKUP(J748,Foundation_Calc!$E$2:$G$986,3,1),""))</f>
        <v/>
      </c>
      <c r="AY748" s="631" t="str">
        <f>IF(L748="","",
IF(AX748="PT",VLOOKUP(L748,Foundation_Calc!$K$4:$R$37,VLOOKUP(AW748,Foundation_Calc!$I$2:$J$8,2,FALSE),0),
IF(AX748="K",VLOOKUP(L748,Foundation_Calc!$K$41:$R$74,VLOOKUP(AW748,Foundation_Calc!$I$2:$J$8,2,FALSE),0),"")))</f>
        <v/>
      </c>
      <c r="AZ748" s="631" t="str">
        <f>IF(K748="","",
IF(AX748="PT",VLOOKUP(K748,Foundation_Calc!$K$4:$R$37,VLOOKUP(AW748,Foundation_Calc!$I$2:$J$8,2,FALSE),0),
IF(AX748="K",VLOOKUP(K748,Foundation_Calc!$K$41:$R$74,VLOOKUP(AW748,Foundation_Calc!$I$2:$J$8,2,FALSE),0),"")))</f>
        <v/>
      </c>
      <c r="BA748" s="632" t="str">
        <f t="shared" si="83"/>
        <v/>
      </c>
      <c r="BB748" s="632" t="str">
        <f t="shared" si="84"/>
        <v/>
      </c>
      <c r="BC748" s="632" t="str">
        <f t="shared" si="85"/>
        <v/>
      </c>
      <c r="BD748" s="633" t="str">
        <f>IF(AND(L748="",H748=""),"",
IF(H748="",Pole_Calc!A776,
IF(H748="MP",Pole_Calc!A777,
IF(H748="AnMP",Pole_Calc!A778,
IF(H748="A",Pole_Calc!A779,
IF(H748="S/A",Pole_Calc!A780,
IF(H748="A/S",Pole_Calc!A781,"Poner a mano")))))))</f>
        <v/>
      </c>
      <c r="BE748" s="448" t="s">
        <v>1726</v>
      </c>
      <c r="BF748" s="634"/>
      <c r="BG748" s="634"/>
      <c r="BH748" s="634"/>
      <c r="BI748" s="634"/>
    </row>
    <row r="749" spans="1:61" ht="16.2" customHeight="1">
      <c r="A749" s="12"/>
      <c r="B749" s="446"/>
      <c r="C749" s="89"/>
      <c r="D749" s="13"/>
      <c r="E749" s="14"/>
      <c r="F749" s="14"/>
      <c r="G749" s="15"/>
      <c r="H749" s="8"/>
      <c r="I749" s="8"/>
      <c r="J749" s="89"/>
      <c r="K749" s="8"/>
      <c r="L749" s="8"/>
      <c r="M749" s="8" t="str">
        <f>IF(L749="","",
IF(AX749="PT",VLOOKUP(L749,Foundation_Calc!$V$4:$X$37,VLOOKUP(AX749,Foundation_Calc!$I$10:$J$13,2,FALSE),0),
IF(AX749="K",VLOOKUP(L749,Foundation_Calc!$V$41:$X$74,VLOOKUP(AX749,Foundation_Calc!$I$10:$J$13,2,FALSE),0),"")))</f>
        <v/>
      </c>
      <c r="N749" s="8"/>
      <c r="O749" s="8"/>
      <c r="P749" s="8"/>
      <c r="Q749" s="14"/>
      <c r="R749" s="15"/>
      <c r="S749" s="15"/>
      <c r="T749" s="14"/>
      <c r="U749" s="14"/>
      <c r="V749" s="14"/>
      <c r="W749" s="18"/>
      <c r="X749" s="18"/>
      <c r="Y749" s="18"/>
      <c r="Z749" s="18"/>
      <c r="AA749" s="18"/>
      <c r="AB749" s="18"/>
      <c r="AC749" s="8" t="str">
        <f t="shared" si="82"/>
        <v/>
      </c>
      <c r="AD749" s="8"/>
      <c r="AE749" s="8"/>
      <c r="AF749" s="14"/>
      <c r="AG749" s="13"/>
      <c r="AH749" s="14"/>
      <c r="AI749" s="14"/>
      <c r="AJ749" s="8"/>
      <c r="AK749" s="8"/>
      <c r="AL749" s="8"/>
      <c r="AM749" s="8"/>
      <c r="AN749" s="631"/>
      <c r="AO749" s="18"/>
      <c r="AP749" s="18"/>
      <c r="AQ749" s="18"/>
      <c r="AR749" s="18"/>
      <c r="AS749" s="18"/>
      <c r="AU749" s="448"/>
      <c r="AV749" s="448"/>
      <c r="AW749" s="8" t="str">
        <f>IF(C749&gt;0,VLOOKUP(C749,Foundation_Calc!$A$2:$C$986,3,1),
IF(J749&gt;0,VLOOKUP(J749,Foundation_Calc!$A$2:$C$986,3,1),""))</f>
        <v/>
      </c>
      <c r="AX749" s="8" t="str">
        <f>IF(C749&gt;0,VLOOKUP(C749,Foundation_Calc!$E$2:$G$986,3,1),
IF(J749&gt;0,VLOOKUP(J749,Foundation_Calc!$E$2:$G$986,3,1),""))</f>
        <v/>
      </c>
      <c r="AY749" s="631" t="str">
        <f>IF(L749="","",
IF(AX749="PT",VLOOKUP(L749,Foundation_Calc!$K$4:$R$37,VLOOKUP(AW749,Foundation_Calc!$I$2:$J$8,2,FALSE),0),
IF(AX749="K",VLOOKUP(L749,Foundation_Calc!$K$41:$R$74,VLOOKUP(AW749,Foundation_Calc!$I$2:$J$8,2,FALSE),0),"")))</f>
        <v/>
      </c>
      <c r="AZ749" s="631" t="str">
        <f>IF(K749="","",
IF(AX749="PT",VLOOKUP(K749,Foundation_Calc!$K$4:$R$37,VLOOKUP(AW749,Foundation_Calc!$I$2:$J$8,2,FALSE),0),
IF(AX749="K",VLOOKUP(K749,Foundation_Calc!$K$41:$R$74,VLOOKUP(AW749,Foundation_Calc!$I$2:$J$8,2,FALSE),0),"")))</f>
        <v/>
      </c>
      <c r="BA749" s="632" t="str">
        <f t="shared" si="83"/>
        <v/>
      </c>
      <c r="BB749" s="632" t="str">
        <f t="shared" si="84"/>
        <v/>
      </c>
      <c r="BC749" s="632" t="str">
        <f t="shared" si="85"/>
        <v/>
      </c>
      <c r="BD749" s="633" t="str">
        <f>IF(AND(L749="",H749=""),"",
IF(H749="",Pole_Calc!A777,
IF(H749="MP",Pole_Calc!A778,
IF(H749="AnMP",Pole_Calc!A779,
IF(H749="A",Pole_Calc!A780,
IF(H749="S/A",Pole_Calc!A781,
IF(H749="A/S",Pole_Calc!A782,"Poner a mano")))))))</f>
        <v/>
      </c>
      <c r="BE749" s="448" t="s">
        <v>1726</v>
      </c>
      <c r="BF749" s="635"/>
      <c r="BG749" s="635"/>
      <c r="BH749" s="634"/>
      <c r="BI749" s="635"/>
    </row>
    <row r="750" spans="1:61" ht="16.2" customHeight="1">
      <c r="A750" s="12"/>
      <c r="B750" s="446"/>
      <c r="C750" s="89"/>
      <c r="D750" s="13"/>
      <c r="E750" s="14"/>
      <c r="F750" s="14"/>
      <c r="G750" s="15"/>
      <c r="H750" s="8"/>
      <c r="I750" s="8"/>
      <c r="J750" s="89"/>
      <c r="K750" s="8"/>
      <c r="L750" s="8"/>
      <c r="M750" s="8" t="str">
        <f>IF(L750="","",
IF(AX750="PT",VLOOKUP(L750,Foundation_Calc!$V$4:$X$37,VLOOKUP(AX750,Foundation_Calc!$I$10:$J$13,2,FALSE),0),
IF(AX750="K",VLOOKUP(L750,Foundation_Calc!$V$41:$X$74,VLOOKUP(AX750,Foundation_Calc!$I$10:$J$13,2,FALSE),0),"")))</f>
        <v/>
      </c>
      <c r="N750" s="8"/>
      <c r="O750" s="8"/>
      <c r="P750" s="8"/>
      <c r="Q750" s="14"/>
      <c r="R750" s="15"/>
      <c r="S750" s="15"/>
      <c r="T750" s="14"/>
      <c r="U750" s="14"/>
      <c r="V750" s="14"/>
      <c r="W750" s="18"/>
      <c r="X750" s="18"/>
      <c r="Y750" s="18"/>
      <c r="Z750" s="18"/>
      <c r="AA750" s="18"/>
      <c r="AB750" s="18"/>
      <c r="AC750" s="8" t="str">
        <f t="shared" si="82"/>
        <v/>
      </c>
      <c r="AD750" s="8"/>
      <c r="AE750" s="8"/>
      <c r="AF750" s="14"/>
      <c r="AG750" s="13"/>
      <c r="AH750" s="14"/>
      <c r="AI750" s="14"/>
      <c r="AJ750" s="8"/>
      <c r="AK750" s="8"/>
      <c r="AL750" s="8"/>
      <c r="AM750" s="8"/>
      <c r="AN750" s="631"/>
      <c r="AO750" s="18"/>
      <c r="AP750" s="18"/>
      <c r="AQ750" s="18"/>
      <c r="AR750" s="18"/>
      <c r="AS750" s="18"/>
      <c r="AU750" s="448"/>
      <c r="AV750" s="448"/>
      <c r="AW750" s="8" t="str">
        <f>IF(C750&gt;0,VLOOKUP(C750,Foundation_Calc!$A$2:$C$986,3,1),
IF(J750&gt;0,VLOOKUP(J750,Foundation_Calc!$A$2:$C$986,3,1),""))</f>
        <v/>
      </c>
      <c r="AX750" s="8" t="str">
        <f>IF(C750&gt;0,VLOOKUP(C750,Foundation_Calc!$E$2:$G$986,3,1),
IF(J750&gt;0,VLOOKUP(J750,Foundation_Calc!$E$2:$G$986,3,1),""))</f>
        <v/>
      </c>
      <c r="AY750" s="631" t="str">
        <f>IF(L750="","",
IF(AX750="PT",VLOOKUP(L750,Foundation_Calc!$K$4:$R$37,VLOOKUP(AW750,Foundation_Calc!$I$2:$J$8,2,FALSE),0),
IF(AX750="K",VLOOKUP(L750,Foundation_Calc!$K$41:$R$74,VLOOKUP(AW750,Foundation_Calc!$I$2:$J$8,2,FALSE),0),"")))</f>
        <v/>
      </c>
      <c r="AZ750" s="631" t="str">
        <f>IF(K750="","",
IF(AX750="PT",VLOOKUP(K750,Foundation_Calc!$K$4:$R$37,VLOOKUP(AW750,Foundation_Calc!$I$2:$J$8,2,FALSE),0),
IF(AX750="K",VLOOKUP(K750,Foundation_Calc!$K$41:$R$74,VLOOKUP(AW750,Foundation_Calc!$I$2:$J$8,2,FALSE),0),"")))</f>
        <v/>
      </c>
      <c r="BA750" s="632" t="str">
        <f t="shared" si="83"/>
        <v/>
      </c>
      <c r="BB750" s="632" t="str">
        <f t="shared" si="84"/>
        <v/>
      </c>
      <c r="BC750" s="632" t="str">
        <f t="shared" si="85"/>
        <v/>
      </c>
      <c r="BD750" s="633" t="str">
        <f>IF(AND(L750="",H750=""),"",
IF(H750="",Pole_Calc!A778,
IF(H750="MP",Pole_Calc!A779,
IF(H750="AnMP",Pole_Calc!A780,
IF(H750="A",Pole_Calc!A781,
IF(H750="S/A",Pole_Calc!A782,
IF(H750="A/S",Pole_Calc!A783,"Poner a mano")))))))</f>
        <v/>
      </c>
      <c r="BE750" s="448" t="s">
        <v>1726</v>
      </c>
      <c r="BF750" s="634"/>
      <c r="BG750" s="634"/>
      <c r="BH750" s="634"/>
      <c r="BI750" s="634"/>
    </row>
    <row r="751" spans="1:61" ht="16.2" customHeight="1">
      <c r="A751" s="12"/>
      <c r="B751" s="446"/>
      <c r="C751" s="89"/>
      <c r="D751" s="13"/>
      <c r="E751" s="14"/>
      <c r="F751" s="14"/>
      <c r="G751" s="15"/>
      <c r="H751" s="8"/>
      <c r="I751" s="8"/>
      <c r="J751" s="89"/>
      <c r="K751" s="8"/>
      <c r="L751" s="8"/>
      <c r="M751" s="8" t="str">
        <f>IF(L751="","",
IF(AX751="PT",VLOOKUP(L751,Foundation_Calc!$V$4:$X$37,VLOOKUP(AX751,Foundation_Calc!$I$10:$J$13,2,FALSE),0),
IF(AX751="K",VLOOKUP(L751,Foundation_Calc!$V$41:$X$74,VLOOKUP(AX751,Foundation_Calc!$I$10:$J$13,2,FALSE),0),"")))</f>
        <v/>
      </c>
      <c r="N751" s="8"/>
      <c r="O751" s="8"/>
      <c r="P751" s="8"/>
      <c r="Q751" s="14"/>
      <c r="R751" s="15"/>
      <c r="S751" s="15"/>
      <c r="T751" s="14"/>
      <c r="U751" s="14"/>
      <c r="V751" s="14"/>
      <c r="W751" s="18"/>
      <c r="X751" s="18"/>
      <c r="Y751" s="18"/>
      <c r="Z751" s="18"/>
      <c r="AA751" s="18"/>
      <c r="AB751" s="18"/>
      <c r="AC751" s="8" t="str">
        <f t="shared" si="82"/>
        <v/>
      </c>
      <c r="AD751" s="8"/>
      <c r="AE751" s="8"/>
      <c r="AF751" s="14"/>
      <c r="AG751" s="13"/>
      <c r="AH751" s="14"/>
      <c r="AI751" s="14"/>
      <c r="AJ751" s="8"/>
      <c r="AK751" s="8"/>
      <c r="AL751" s="8"/>
      <c r="AM751" s="8"/>
      <c r="AN751" s="631"/>
      <c r="AO751" s="18"/>
      <c r="AP751" s="18"/>
      <c r="AQ751" s="18"/>
      <c r="AR751" s="18"/>
      <c r="AS751" s="18"/>
      <c r="AU751" s="448"/>
      <c r="AV751" s="448"/>
      <c r="AW751" s="8" t="str">
        <f>IF(C751&gt;0,VLOOKUP(C751,Foundation_Calc!$A$2:$C$986,3,1),
IF(J751&gt;0,VLOOKUP(J751,Foundation_Calc!$A$2:$C$986,3,1),""))</f>
        <v/>
      </c>
      <c r="AX751" s="8" t="str">
        <f>IF(C751&gt;0,VLOOKUP(C751,Foundation_Calc!$E$2:$G$986,3,1),
IF(J751&gt;0,VLOOKUP(J751,Foundation_Calc!$E$2:$G$986,3,1),""))</f>
        <v/>
      </c>
      <c r="AY751" s="631" t="str">
        <f>IF(L751="","",
IF(AX751="PT",VLOOKUP(L751,Foundation_Calc!$K$4:$R$37,VLOOKUP(AW751,Foundation_Calc!$I$2:$J$8,2,FALSE),0),
IF(AX751="K",VLOOKUP(L751,Foundation_Calc!$K$41:$R$74,VLOOKUP(AW751,Foundation_Calc!$I$2:$J$8,2,FALSE),0),"")))</f>
        <v/>
      </c>
      <c r="AZ751" s="631" t="str">
        <f>IF(K751="","",
IF(AX751="PT",VLOOKUP(K751,Foundation_Calc!$K$4:$R$37,VLOOKUP(AW751,Foundation_Calc!$I$2:$J$8,2,FALSE),0),
IF(AX751="K",VLOOKUP(K751,Foundation_Calc!$K$41:$R$74,VLOOKUP(AW751,Foundation_Calc!$I$2:$J$8,2,FALSE),0),"")))</f>
        <v/>
      </c>
      <c r="BA751" s="632" t="str">
        <f t="shared" si="83"/>
        <v/>
      </c>
      <c r="BB751" s="632" t="str">
        <f t="shared" si="84"/>
        <v/>
      </c>
      <c r="BC751" s="632" t="str">
        <f t="shared" si="85"/>
        <v/>
      </c>
      <c r="BD751" s="633" t="str">
        <f>IF(AND(L751="",H751=""),"",
IF(H751="",Pole_Calc!A779,
IF(H751="MP",Pole_Calc!A780,
IF(H751="AnMP",Pole_Calc!A781,
IF(H751="A",Pole_Calc!A782,
IF(H751="S/A",Pole_Calc!A783,
IF(H751="A/S",Pole_Calc!A784,"Poner a mano")))))))</f>
        <v/>
      </c>
      <c r="BE751" s="448" t="s">
        <v>1726</v>
      </c>
      <c r="BF751" s="635"/>
      <c r="BG751" s="635"/>
      <c r="BH751" s="634"/>
      <c r="BI751" s="635"/>
    </row>
    <row r="752" spans="1:61" ht="16.2" customHeight="1">
      <c r="A752" s="12"/>
      <c r="B752" s="446"/>
      <c r="C752" s="89"/>
      <c r="D752" s="13"/>
      <c r="E752" s="14"/>
      <c r="F752" s="14"/>
      <c r="G752" s="15"/>
      <c r="H752" s="8"/>
      <c r="I752" s="8"/>
      <c r="J752" s="89"/>
      <c r="K752" s="8"/>
      <c r="L752" s="8"/>
      <c r="M752" s="8" t="str">
        <f>IF(L752="","",
IF(AX752="PT",VLOOKUP(L752,Foundation_Calc!$V$4:$X$37,VLOOKUP(AX752,Foundation_Calc!$I$10:$J$13,2,FALSE),0),
IF(AX752="K",VLOOKUP(L752,Foundation_Calc!$V$41:$X$74,VLOOKUP(AX752,Foundation_Calc!$I$10:$J$13,2,FALSE),0),"")))</f>
        <v/>
      </c>
      <c r="N752" s="8"/>
      <c r="O752" s="8"/>
      <c r="P752" s="8"/>
      <c r="Q752" s="14"/>
      <c r="R752" s="15"/>
      <c r="S752" s="15"/>
      <c r="T752" s="14"/>
      <c r="U752" s="14"/>
      <c r="V752" s="14"/>
      <c r="W752" s="18"/>
      <c r="X752" s="18"/>
      <c r="Y752" s="18"/>
      <c r="Z752" s="18"/>
      <c r="AA752" s="18"/>
      <c r="AB752" s="18"/>
      <c r="AC752" s="8" t="str">
        <f t="shared" si="82"/>
        <v/>
      </c>
      <c r="AD752" s="8"/>
      <c r="AE752" s="8"/>
      <c r="AF752" s="14"/>
      <c r="AG752" s="13"/>
      <c r="AH752" s="14"/>
      <c r="AI752" s="14"/>
      <c r="AJ752" s="8"/>
      <c r="AK752" s="8"/>
      <c r="AL752" s="8"/>
      <c r="AM752" s="8"/>
      <c r="AN752" s="631"/>
      <c r="AO752" s="18"/>
      <c r="AP752" s="18"/>
      <c r="AQ752" s="18"/>
      <c r="AR752" s="18"/>
      <c r="AS752" s="18"/>
      <c r="AU752" s="448"/>
      <c r="AV752" s="448"/>
      <c r="AW752" s="8" t="str">
        <f>IF(C752&gt;0,VLOOKUP(C752,Foundation_Calc!$A$2:$C$986,3,1),
IF(J752&gt;0,VLOOKUP(J752,Foundation_Calc!$A$2:$C$986,3,1),""))</f>
        <v/>
      </c>
      <c r="AX752" s="8" t="str">
        <f>IF(C752&gt;0,VLOOKUP(C752,Foundation_Calc!$E$2:$G$986,3,1),
IF(J752&gt;0,VLOOKUP(J752,Foundation_Calc!$E$2:$G$986,3,1),""))</f>
        <v/>
      </c>
      <c r="AY752" s="631" t="str">
        <f>IF(L752="","",
IF(AX752="PT",VLOOKUP(L752,Foundation_Calc!$K$4:$R$37,VLOOKUP(AW752,Foundation_Calc!$I$2:$J$8,2,FALSE),0),
IF(AX752="K",VLOOKUP(L752,Foundation_Calc!$K$41:$R$74,VLOOKUP(AW752,Foundation_Calc!$I$2:$J$8,2,FALSE),0),"")))</f>
        <v/>
      </c>
      <c r="AZ752" s="631" t="str">
        <f>IF(K752="","",
IF(AX752="PT",VLOOKUP(K752,Foundation_Calc!$K$4:$R$37,VLOOKUP(AW752,Foundation_Calc!$I$2:$J$8,2,FALSE),0),
IF(AX752="K",VLOOKUP(K752,Foundation_Calc!$K$41:$R$74,VLOOKUP(AW752,Foundation_Calc!$I$2:$J$8,2,FALSE),0),"")))</f>
        <v/>
      </c>
      <c r="BA752" s="632" t="str">
        <f t="shared" si="83"/>
        <v/>
      </c>
      <c r="BB752" s="632" t="str">
        <f t="shared" si="84"/>
        <v/>
      </c>
      <c r="BC752" s="632" t="str">
        <f t="shared" si="85"/>
        <v/>
      </c>
      <c r="BD752" s="633" t="str">
        <f>IF(AND(L752="",H752=""),"",
IF(H752="",Pole_Calc!A780,
IF(H752="MP",Pole_Calc!A781,
IF(H752="AnMP",Pole_Calc!A782,
IF(H752="A",Pole_Calc!A783,
IF(H752="S/A",Pole_Calc!A784,
IF(H752="A/S",Pole_Calc!A785,"Poner a mano")))))))</f>
        <v/>
      </c>
      <c r="BE752" s="448" t="s">
        <v>1726</v>
      </c>
      <c r="BF752" s="634"/>
      <c r="BG752" s="634"/>
      <c r="BH752" s="634"/>
      <c r="BI752" s="634"/>
    </row>
    <row r="753" spans="1:61" ht="16.2" customHeight="1">
      <c r="A753" s="12"/>
      <c r="B753" s="446"/>
      <c r="C753" s="89"/>
      <c r="D753" s="13"/>
      <c r="E753" s="14"/>
      <c r="F753" s="14"/>
      <c r="G753" s="15"/>
      <c r="H753" s="8"/>
      <c r="I753" s="8"/>
      <c r="J753" s="89"/>
      <c r="K753" s="8"/>
      <c r="L753" s="8"/>
      <c r="M753" s="8" t="str">
        <f>IF(L753="","",
IF(AX753="PT",VLOOKUP(L753,Foundation_Calc!$V$4:$X$37,VLOOKUP(AX753,Foundation_Calc!$I$10:$J$13,2,FALSE),0),
IF(AX753="K",VLOOKUP(L753,Foundation_Calc!$V$41:$X$74,VLOOKUP(AX753,Foundation_Calc!$I$10:$J$13,2,FALSE),0),"")))</f>
        <v/>
      </c>
      <c r="N753" s="8"/>
      <c r="O753" s="8"/>
      <c r="P753" s="8"/>
      <c r="Q753" s="14"/>
      <c r="R753" s="15"/>
      <c r="S753" s="15"/>
      <c r="T753" s="14"/>
      <c r="U753" s="14"/>
      <c r="V753" s="14"/>
      <c r="W753" s="18"/>
      <c r="X753" s="18"/>
      <c r="Y753" s="18"/>
      <c r="Z753" s="18"/>
      <c r="AA753" s="18"/>
      <c r="AB753" s="18"/>
      <c r="AC753" s="8" t="str">
        <f t="shared" si="82"/>
        <v/>
      </c>
      <c r="AD753" s="8"/>
      <c r="AE753" s="8"/>
      <c r="AF753" s="14"/>
      <c r="AG753" s="13"/>
      <c r="AH753" s="14"/>
      <c r="AI753" s="14"/>
      <c r="AJ753" s="8"/>
      <c r="AK753" s="8"/>
      <c r="AL753" s="8"/>
      <c r="AM753" s="8"/>
      <c r="AN753" s="631"/>
      <c r="AO753" s="18"/>
      <c r="AP753" s="18"/>
      <c r="AQ753" s="18"/>
      <c r="AR753" s="18"/>
      <c r="AS753" s="18"/>
      <c r="AU753" s="448"/>
      <c r="AV753" s="448"/>
      <c r="AW753" s="8" t="str">
        <f>IF(C753&gt;0,VLOOKUP(C753,Foundation_Calc!$A$2:$C$986,3,1),
IF(J753&gt;0,VLOOKUP(J753,Foundation_Calc!$A$2:$C$986,3,1),""))</f>
        <v/>
      </c>
      <c r="AX753" s="8" t="str">
        <f>IF(C753&gt;0,VLOOKUP(C753,Foundation_Calc!$E$2:$G$986,3,1),
IF(J753&gt;0,VLOOKUP(J753,Foundation_Calc!$E$2:$G$986,3,1),""))</f>
        <v/>
      </c>
      <c r="AY753" s="631" t="str">
        <f>IF(L753="","",
IF(AX753="PT",VLOOKUP(L753,Foundation_Calc!$K$4:$R$37,VLOOKUP(AW753,Foundation_Calc!$I$2:$J$8,2,FALSE),0),
IF(AX753="K",VLOOKUP(L753,Foundation_Calc!$K$41:$R$74,VLOOKUP(AW753,Foundation_Calc!$I$2:$J$8,2,FALSE),0),"")))</f>
        <v/>
      </c>
      <c r="AZ753" s="631" t="str">
        <f>IF(K753="","",
IF(AX753="PT",VLOOKUP(K753,Foundation_Calc!$K$4:$R$37,VLOOKUP(AW753,Foundation_Calc!$I$2:$J$8,2,FALSE),0),
IF(AX753="K",VLOOKUP(K753,Foundation_Calc!$K$41:$R$74,VLOOKUP(AW753,Foundation_Calc!$I$2:$J$8,2,FALSE),0),"")))</f>
        <v/>
      </c>
      <c r="BA753" s="632" t="str">
        <f t="shared" si="83"/>
        <v/>
      </c>
      <c r="BB753" s="632" t="str">
        <f t="shared" si="84"/>
        <v/>
      </c>
      <c r="BC753" s="632" t="str">
        <f t="shared" si="85"/>
        <v/>
      </c>
      <c r="BD753" s="633" t="str">
        <f>IF(AND(L753="",H753=""),"",
IF(H753="",Pole_Calc!A781,
IF(H753="MP",Pole_Calc!A782,
IF(H753="AnMP",Pole_Calc!A783,
IF(H753="A",Pole_Calc!A784,
IF(H753="S/A",Pole_Calc!A785,
IF(H753="A/S",Pole_Calc!A786,"Poner a mano")))))))</f>
        <v/>
      </c>
      <c r="BE753" s="448" t="s">
        <v>1726</v>
      </c>
      <c r="BF753" s="635"/>
      <c r="BG753" s="635"/>
      <c r="BH753" s="634"/>
      <c r="BI753" s="635"/>
    </row>
    <row r="754" spans="1:61" ht="16.2" customHeight="1">
      <c r="A754" s="12"/>
      <c r="B754" s="446"/>
      <c r="C754" s="89"/>
      <c r="D754" s="13"/>
      <c r="E754" s="14"/>
      <c r="F754" s="14"/>
      <c r="G754" s="15"/>
      <c r="H754" s="8"/>
      <c r="I754" s="8"/>
      <c r="J754" s="89"/>
      <c r="K754" s="8"/>
      <c r="L754" s="8"/>
      <c r="M754" s="8" t="str">
        <f>IF(L754="","",
IF(AX754="PT",VLOOKUP(L754,Foundation_Calc!$V$4:$X$37,VLOOKUP(AX754,Foundation_Calc!$I$10:$J$13,2,FALSE),0),
IF(AX754="K",VLOOKUP(L754,Foundation_Calc!$V$41:$X$74,VLOOKUP(AX754,Foundation_Calc!$I$10:$J$13,2,FALSE),0),"")))</f>
        <v/>
      </c>
      <c r="N754" s="8"/>
      <c r="O754" s="8"/>
      <c r="P754" s="8"/>
      <c r="Q754" s="14"/>
      <c r="R754" s="15"/>
      <c r="S754" s="15"/>
      <c r="T754" s="14"/>
      <c r="U754" s="14"/>
      <c r="V754" s="14"/>
      <c r="W754" s="18"/>
      <c r="X754" s="18"/>
      <c r="Y754" s="18"/>
      <c r="Z754" s="18"/>
      <c r="AA754" s="18"/>
      <c r="AB754" s="18"/>
      <c r="AC754" s="8" t="str">
        <f t="shared" si="82"/>
        <v/>
      </c>
      <c r="AD754" s="8"/>
      <c r="AE754" s="8"/>
      <c r="AF754" s="14"/>
      <c r="AG754" s="13"/>
      <c r="AH754" s="14"/>
      <c r="AI754" s="14"/>
      <c r="AJ754" s="8"/>
      <c r="AK754" s="8"/>
      <c r="AL754" s="8"/>
      <c r="AM754" s="8"/>
      <c r="AN754" s="631"/>
      <c r="AO754" s="18"/>
      <c r="AP754" s="18"/>
      <c r="AQ754" s="18"/>
      <c r="AR754" s="18"/>
      <c r="AS754" s="18"/>
      <c r="AU754" s="448"/>
      <c r="AV754" s="448"/>
      <c r="AW754" s="8" t="str">
        <f>IF(C754&gt;0,VLOOKUP(C754,Foundation_Calc!$A$2:$C$986,3,1),
IF(J754&gt;0,VLOOKUP(J754,Foundation_Calc!$A$2:$C$986,3,1),""))</f>
        <v/>
      </c>
      <c r="AX754" s="8" t="str">
        <f>IF(C754&gt;0,VLOOKUP(C754,Foundation_Calc!$E$2:$G$986,3,1),
IF(J754&gt;0,VLOOKUP(J754,Foundation_Calc!$E$2:$G$986,3,1),""))</f>
        <v/>
      </c>
      <c r="AY754" s="631" t="str">
        <f>IF(L754="","",
IF(AX754="PT",VLOOKUP(L754,Foundation_Calc!$K$4:$R$37,VLOOKUP(AW754,Foundation_Calc!$I$2:$J$8,2,FALSE),0),
IF(AX754="K",VLOOKUP(L754,Foundation_Calc!$K$41:$R$74,VLOOKUP(AW754,Foundation_Calc!$I$2:$J$8,2,FALSE),0),"")))</f>
        <v/>
      </c>
      <c r="AZ754" s="631" t="str">
        <f>IF(K754="","",
IF(AX754="PT",VLOOKUP(K754,Foundation_Calc!$K$4:$R$37,VLOOKUP(AW754,Foundation_Calc!$I$2:$J$8,2,FALSE),0),
IF(AX754="K",VLOOKUP(K754,Foundation_Calc!$K$41:$R$74,VLOOKUP(AW754,Foundation_Calc!$I$2:$J$8,2,FALSE),0),"")))</f>
        <v/>
      </c>
      <c r="BA754" s="632" t="str">
        <f t="shared" si="83"/>
        <v/>
      </c>
      <c r="BB754" s="632" t="str">
        <f t="shared" si="84"/>
        <v/>
      </c>
      <c r="BC754" s="632" t="str">
        <f t="shared" si="85"/>
        <v/>
      </c>
      <c r="BD754" s="633" t="str">
        <f>IF(AND(L754="",H754=""),"",
IF(H754="",Pole_Calc!A782,
IF(H754="MP",Pole_Calc!A783,
IF(H754="AnMP",Pole_Calc!A784,
IF(H754="A",Pole_Calc!A785,
IF(H754="S/A",Pole_Calc!A786,
IF(H754="A/S",Pole_Calc!A787,"Poner a mano")))))))</f>
        <v/>
      </c>
      <c r="BE754" s="448" t="s">
        <v>1726</v>
      </c>
      <c r="BF754" s="634"/>
      <c r="BG754" s="634"/>
      <c r="BH754" s="634"/>
      <c r="BI754" s="634"/>
    </row>
    <row r="755" spans="1:61" ht="16.2" customHeight="1">
      <c r="A755" s="12"/>
      <c r="B755" s="446"/>
      <c r="C755" s="89"/>
      <c r="D755" s="13"/>
      <c r="E755" s="14"/>
      <c r="F755" s="14"/>
      <c r="G755" s="15"/>
      <c r="H755" s="8"/>
      <c r="I755" s="8"/>
      <c r="J755" s="89"/>
      <c r="K755" s="8"/>
      <c r="L755" s="8"/>
      <c r="M755" s="8" t="str">
        <f>IF(L755="","",
IF(AX755="PT",VLOOKUP(L755,Foundation_Calc!$V$4:$X$37,VLOOKUP(AX755,Foundation_Calc!$I$10:$J$13,2,FALSE),0),
IF(AX755="K",VLOOKUP(L755,Foundation_Calc!$V$41:$X$74,VLOOKUP(AX755,Foundation_Calc!$I$10:$J$13,2,FALSE),0),"")))</f>
        <v/>
      </c>
      <c r="N755" s="8"/>
      <c r="O755" s="8"/>
      <c r="P755" s="8"/>
      <c r="Q755" s="14"/>
      <c r="R755" s="15"/>
      <c r="S755" s="15"/>
      <c r="T755" s="14"/>
      <c r="U755" s="14"/>
      <c r="V755" s="14"/>
      <c r="W755" s="18"/>
      <c r="X755" s="18"/>
      <c r="Y755" s="18"/>
      <c r="Z755" s="18"/>
      <c r="AA755" s="18"/>
      <c r="AB755" s="18"/>
      <c r="AC755" s="8" t="str">
        <f t="shared" si="82"/>
        <v/>
      </c>
      <c r="AD755" s="8"/>
      <c r="AE755" s="8"/>
      <c r="AF755" s="14"/>
      <c r="AG755" s="13"/>
      <c r="AH755" s="14"/>
      <c r="AI755" s="14"/>
      <c r="AJ755" s="8"/>
      <c r="AK755" s="8"/>
      <c r="AL755" s="8"/>
      <c r="AM755" s="8"/>
      <c r="AN755" s="631"/>
      <c r="AO755" s="18"/>
      <c r="AP755" s="18"/>
      <c r="AQ755" s="18"/>
      <c r="AR755" s="18"/>
      <c r="AS755" s="18"/>
      <c r="AU755" s="448"/>
      <c r="AV755" s="448"/>
      <c r="AW755" s="8" t="str">
        <f>IF(C755&gt;0,VLOOKUP(C755,Foundation_Calc!$A$2:$C$986,3,1),
IF(J755&gt;0,VLOOKUP(J755,Foundation_Calc!$A$2:$C$986,3,1),""))</f>
        <v/>
      </c>
      <c r="AX755" s="8" t="str">
        <f>IF(C755&gt;0,VLOOKUP(C755,Foundation_Calc!$E$2:$G$986,3,1),
IF(J755&gt;0,VLOOKUP(J755,Foundation_Calc!$E$2:$G$986,3,1),""))</f>
        <v/>
      </c>
      <c r="AY755" s="631" t="str">
        <f>IF(L755="","",
IF(AX755="PT",VLOOKUP(L755,Foundation_Calc!$K$4:$R$37,VLOOKUP(AW755,Foundation_Calc!$I$2:$J$8,2,FALSE),0),
IF(AX755="K",VLOOKUP(L755,Foundation_Calc!$K$41:$R$74,VLOOKUP(AW755,Foundation_Calc!$I$2:$J$8,2,FALSE),0),"")))</f>
        <v/>
      </c>
      <c r="AZ755" s="631" t="str">
        <f>IF(K755="","",
IF(AX755="PT",VLOOKUP(K755,Foundation_Calc!$K$4:$R$37,VLOOKUP(AW755,Foundation_Calc!$I$2:$J$8,2,FALSE),0),
IF(AX755="K",VLOOKUP(K755,Foundation_Calc!$K$41:$R$74,VLOOKUP(AW755,Foundation_Calc!$I$2:$J$8,2,FALSE),0),"")))</f>
        <v/>
      </c>
      <c r="BA755" s="632" t="str">
        <f t="shared" si="83"/>
        <v/>
      </c>
      <c r="BB755" s="632" t="str">
        <f t="shared" si="84"/>
        <v/>
      </c>
      <c r="BC755" s="632" t="str">
        <f t="shared" si="85"/>
        <v/>
      </c>
      <c r="BD755" s="633" t="str">
        <f>IF(AND(L755="",H755=""),"",
IF(H755="",Pole_Calc!A783,
IF(H755="MP",Pole_Calc!A784,
IF(H755="AnMP",Pole_Calc!A785,
IF(H755="A",Pole_Calc!A786,
IF(H755="S/A",Pole_Calc!A787,
IF(H755="A/S",Pole_Calc!A788,"Poner a mano")))))))</f>
        <v/>
      </c>
      <c r="BE755" s="448" t="s">
        <v>1726</v>
      </c>
      <c r="BF755" s="635"/>
      <c r="BG755" s="635"/>
      <c r="BH755" s="634"/>
      <c r="BI755" s="635"/>
    </row>
    <row r="756" spans="1:61" ht="16.2" customHeight="1">
      <c r="A756" s="12"/>
      <c r="B756" s="446"/>
      <c r="C756" s="89"/>
      <c r="D756" s="13"/>
      <c r="E756" s="14"/>
      <c r="F756" s="14"/>
      <c r="G756" s="15"/>
      <c r="H756" s="8"/>
      <c r="I756" s="8"/>
      <c r="J756" s="89"/>
      <c r="K756" s="8"/>
      <c r="L756" s="8"/>
      <c r="M756" s="8" t="str">
        <f>IF(L756="","",
IF(AX756="PT",VLOOKUP(L756,Foundation_Calc!$V$4:$X$37,VLOOKUP(AX756,Foundation_Calc!$I$10:$J$13,2,FALSE),0),
IF(AX756="K",VLOOKUP(L756,Foundation_Calc!$V$41:$X$74,VLOOKUP(AX756,Foundation_Calc!$I$10:$J$13,2,FALSE),0),"")))</f>
        <v/>
      </c>
      <c r="N756" s="8"/>
      <c r="O756" s="8"/>
      <c r="P756" s="8"/>
      <c r="Q756" s="14"/>
      <c r="R756" s="15"/>
      <c r="S756" s="15"/>
      <c r="T756" s="14"/>
      <c r="U756" s="14"/>
      <c r="V756" s="14"/>
      <c r="W756" s="18"/>
      <c r="X756" s="18"/>
      <c r="Y756" s="18"/>
      <c r="Z756" s="18"/>
      <c r="AA756" s="18"/>
      <c r="AB756" s="18"/>
      <c r="AC756" s="8" t="str">
        <f t="shared" si="82"/>
        <v/>
      </c>
      <c r="AD756" s="8"/>
      <c r="AE756" s="8"/>
      <c r="AF756" s="14"/>
      <c r="AG756" s="13"/>
      <c r="AH756" s="14"/>
      <c r="AI756" s="14"/>
      <c r="AJ756" s="8"/>
      <c r="AK756" s="8"/>
      <c r="AL756" s="8"/>
      <c r="AM756" s="8"/>
      <c r="AN756" s="631"/>
      <c r="AO756" s="18"/>
      <c r="AP756" s="18"/>
      <c r="AQ756" s="18"/>
      <c r="AR756" s="18"/>
      <c r="AS756" s="18"/>
      <c r="AU756" s="448"/>
      <c r="AV756" s="448"/>
      <c r="AW756" s="8" t="str">
        <f>IF(C756&gt;0,VLOOKUP(C756,Foundation_Calc!$A$2:$C$986,3,1),
IF(J756&gt;0,VLOOKUP(J756,Foundation_Calc!$A$2:$C$986,3,1),""))</f>
        <v/>
      </c>
      <c r="AX756" s="8" t="str">
        <f>IF(C756&gt;0,VLOOKUP(C756,Foundation_Calc!$E$2:$G$986,3,1),
IF(J756&gt;0,VLOOKUP(J756,Foundation_Calc!$E$2:$G$986,3,1),""))</f>
        <v/>
      </c>
      <c r="AY756" s="631" t="str">
        <f>IF(L756="","",
IF(AX756="PT",VLOOKUP(L756,Foundation_Calc!$K$4:$R$37,VLOOKUP(AW756,Foundation_Calc!$I$2:$J$8,2,FALSE),0),
IF(AX756="K",VLOOKUP(L756,Foundation_Calc!$K$41:$R$74,VLOOKUP(AW756,Foundation_Calc!$I$2:$J$8,2,FALSE),0),"")))</f>
        <v/>
      </c>
      <c r="AZ756" s="631" t="str">
        <f>IF(K756="","",
IF(AX756="PT",VLOOKUP(K756,Foundation_Calc!$K$4:$R$37,VLOOKUP(AW756,Foundation_Calc!$I$2:$J$8,2,FALSE),0),
IF(AX756="K",VLOOKUP(K756,Foundation_Calc!$K$41:$R$74,VLOOKUP(AW756,Foundation_Calc!$I$2:$J$8,2,FALSE),0),"")))</f>
        <v/>
      </c>
      <c r="BA756" s="632" t="str">
        <f t="shared" si="83"/>
        <v/>
      </c>
      <c r="BB756" s="632" t="str">
        <f t="shared" si="84"/>
        <v/>
      </c>
      <c r="BC756" s="632" t="str">
        <f t="shared" si="85"/>
        <v/>
      </c>
      <c r="BD756" s="633" t="str">
        <f>IF(AND(L756="",H756=""),"",
IF(H756="",Pole_Calc!A784,
IF(H756="MP",Pole_Calc!A785,
IF(H756="AnMP",Pole_Calc!A786,
IF(H756="A",Pole_Calc!A787,
IF(H756="S/A",Pole_Calc!A788,
IF(H756="A/S",Pole_Calc!A789,"Poner a mano")))))))</f>
        <v/>
      </c>
      <c r="BE756" s="448" t="s">
        <v>1726</v>
      </c>
      <c r="BF756" s="634"/>
      <c r="BG756" s="634"/>
      <c r="BH756" s="634"/>
      <c r="BI756" s="634"/>
    </row>
    <row r="757" spans="1:61" ht="16.2" customHeight="1">
      <c r="A757" s="12"/>
      <c r="B757" s="446"/>
      <c r="C757" s="89"/>
      <c r="D757" s="13"/>
      <c r="E757" s="14"/>
      <c r="F757" s="14"/>
      <c r="G757" s="15"/>
      <c r="H757" s="8"/>
      <c r="I757" s="8"/>
      <c r="J757" s="89"/>
      <c r="K757" s="8"/>
      <c r="L757" s="8"/>
      <c r="M757" s="8" t="str">
        <f>IF(L757="","",
IF(AX757="PT",VLOOKUP(L757,Foundation_Calc!$V$4:$X$37,VLOOKUP(AX757,Foundation_Calc!$I$10:$J$13,2,FALSE),0),
IF(AX757="K",VLOOKUP(L757,Foundation_Calc!$V$41:$X$74,VLOOKUP(AX757,Foundation_Calc!$I$10:$J$13,2,FALSE),0),"")))</f>
        <v/>
      </c>
      <c r="N757" s="8"/>
      <c r="O757" s="8"/>
      <c r="P757" s="8"/>
      <c r="Q757" s="14"/>
      <c r="R757" s="15"/>
      <c r="S757" s="15"/>
      <c r="T757" s="14"/>
      <c r="U757" s="14"/>
      <c r="V757" s="14"/>
      <c r="W757" s="18"/>
      <c r="X757" s="18"/>
      <c r="Y757" s="18"/>
      <c r="Z757" s="18"/>
      <c r="AA757" s="18"/>
      <c r="AB757" s="18"/>
      <c r="AC757" s="8" t="str">
        <f t="shared" si="82"/>
        <v/>
      </c>
      <c r="AD757" s="8"/>
      <c r="AE757" s="8"/>
      <c r="AF757" s="14"/>
      <c r="AG757" s="13"/>
      <c r="AH757" s="14"/>
      <c r="AI757" s="14"/>
      <c r="AJ757" s="8"/>
      <c r="AK757" s="8"/>
      <c r="AL757" s="8"/>
      <c r="AM757" s="8"/>
      <c r="AN757" s="631"/>
      <c r="AO757" s="18"/>
      <c r="AP757" s="18"/>
      <c r="AQ757" s="18"/>
      <c r="AR757" s="18"/>
      <c r="AS757" s="18"/>
      <c r="AU757" s="448"/>
      <c r="AV757" s="448"/>
      <c r="AW757" s="8" t="str">
        <f>IF(C757&gt;0,VLOOKUP(C757,Foundation_Calc!$A$2:$C$986,3,1),
IF(J757&gt;0,VLOOKUP(J757,Foundation_Calc!$A$2:$C$986,3,1),""))</f>
        <v/>
      </c>
      <c r="AX757" s="8" t="str">
        <f>IF(C757&gt;0,VLOOKUP(C757,Foundation_Calc!$E$2:$G$986,3,1),
IF(J757&gt;0,VLOOKUP(J757,Foundation_Calc!$E$2:$G$986,3,1),""))</f>
        <v/>
      </c>
      <c r="AY757" s="631" t="str">
        <f>IF(L757="","",
IF(AX757="PT",VLOOKUP(L757,Foundation_Calc!$K$4:$R$37,VLOOKUP(AW757,Foundation_Calc!$I$2:$J$8,2,FALSE),0),
IF(AX757="K",VLOOKUP(L757,Foundation_Calc!$K$41:$R$74,VLOOKUP(AW757,Foundation_Calc!$I$2:$J$8,2,FALSE),0),"")))</f>
        <v/>
      </c>
      <c r="AZ757" s="631" t="str">
        <f>IF(K757="","",
IF(AX757="PT",VLOOKUP(K757,Foundation_Calc!$K$4:$R$37,VLOOKUP(AW757,Foundation_Calc!$I$2:$J$8,2,FALSE),0),
IF(AX757="K",VLOOKUP(K757,Foundation_Calc!$K$41:$R$74,VLOOKUP(AW757,Foundation_Calc!$I$2:$J$8,2,FALSE),0),"")))</f>
        <v/>
      </c>
      <c r="BA757" s="632" t="str">
        <f t="shared" si="83"/>
        <v/>
      </c>
      <c r="BB757" s="632" t="str">
        <f t="shared" si="84"/>
        <v/>
      </c>
      <c r="BC757" s="632" t="str">
        <f t="shared" si="85"/>
        <v/>
      </c>
      <c r="BD757" s="633" t="str">
        <f>IF(AND(L757="",H757=""),"",
IF(H757="",Pole_Calc!A785,
IF(H757="MP",Pole_Calc!A786,
IF(H757="AnMP",Pole_Calc!A787,
IF(H757="A",Pole_Calc!A788,
IF(H757="S/A",Pole_Calc!A789,
IF(H757="A/S",Pole_Calc!A790,"Poner a mano")))))))</f>
        <v/>
      </c>
      <c r="BE757" s="448" t="s">
        <v>1726</v>
      </c>
      <c r="BF757" s="635"/>
      <c r="BG757" s="635"/>
      <c r="BH757" s="634"/>
      <c r="BI757" s="635"/>
    </row>
    <row r="758" spans="1:61" ht="16.2" customHeight="1">
      <c r="A758" s="12"/>
      <c r="B758" s="446"/>
      <c r="C758" s="89"/>
      <c r="D758" s="13"/>
      <c r="E758" s="14"/>
      <c r="F758" s="14"/>
      <c r="G758" s="15"/>
      <c r="H758" s="8"/>
      <c r="I758" s="8"/>
      <c r="J758" s="89"/>
      <c r="K758" s="8"/>
      <c r="L758" s="8"/>
      <c r="M758" s="8" t="str">
        <f>IF(L758="","",
IF(AX758="PT",VLOOKUP(L758,Foundation_Calc!$V$4:$X$37,VLOOKUP(AX758,Foundation_Calc!$I$10:$J$13,2,FALSE),0),
IF(AX758="K",VLOOKUP(L758,Foundation_Calc!$V$41:$X$74,VLOOKUP(AX758,Foundation_Calc!$I$10:$J$13,2,FALSE),0),"")))</f>
        <v/>
      </c>
      <c r="N758" s="8"/>
      <c r="O758" s="8"/>
      <c r="P758" s="8"/>
      <c r="Q758" s="14"/>
      <c r="R758" s="15"/>
      <c r="S758" s="15"/>
      <c r="T758" s="14"/>
      <c r="U758" s="14"/>
      <c r="V758" s="14"/>
      <c r="W758" s="18"/>
      <c r="X758" s="18"/>
      <c r="Y758" s="18"/>
      <c r="Z758" s="18"/>
      <c r="AA758" s="18"/>
      <c r="AB758" s="18"/>
      <c r="AC758" s="8" t="str">
        <f t="shared" si="82"/>
        <v/>
      </c>
      <c r="AD758" s="8"/>
      <c r="AE758" s="8"/>
      <c r="AF758" s="14"/>
      <c r="AG758" s="13"/>
      <c r="AH758" s="14"/>
      <c r="AI758" s="14"/>
      <c r="AJ758" s="8"/>
      <c r="AK758" s="8"/>
      <c r="AL758" s="8"/>
      <c r="AM758" s="8"/>
      <c r="AN758" s="631"/>
      <c r="AO758" s="18"/>
      <c r="AP758" s="18"/>
      <c r="AQ758" s="18"/>
      <c r="AR758" s="18"/>
      <c r="AS758" s="18"/>
      <c r="AU758" s="448"/>
      <c r="AV758" s="448"/>
      <c r="AW758" s="8" t="str">
        <f>IF(C758&gt;0,VLOOKUP(C758,Foundation_Calc!$A$2:$C$986,3,1),
IF(J758&gt;0,VLOOKUP(J758,Foundation_Calc!$A$2:$C$986,3,1),""))</f>
        <v/>
      </c>
      <c r="AX758" s="8" t="str">
        <f>IF(C758&gt;0,VLOOKUP(C758,Foundation_Calc!$E$2:$G$986,3,1),
IF(J758&gt;0,VLOOKUP(J758,Foundation_Calc!$E$2:$G$986,3,1),""))</f>
        <v/>
      </c>
      <c r="AY758" s="631" t="str">
        <f>IF(L758="","",
IF(AX758="PT",VLOOKUP(L758,Foundation_Calc!$K$4:$R$37,VLOOKUP(AW758,Foundation_Calc!$I$2:$J$8,2,FALSE),0),
IF(AX758="K",VLOOKUP(L758,Foundation_Calc!$K$41:$R$74,VLOOKUP(AW758,Foundation_Calc!$I$2:$J$8,2,FALSE),0),"")))</f>
        <v/>
      </c>
      <c r="AZ758" s="631" t="str">
        <f>IF(K758="","",
IF(AX758="PT",VLOOKUP(K758,Foundation_Calc!$K$4:$R$37,VLOOKUP(AW758,Foundation_Calc!$I$2:$J$8,2,FALSE),0),
IF(AX758="K",VLOOKUP(K758,Foundation_Calc!$K$41:$R$74,VLOOKUP(AW758,Foundation_Calc!$I$2:$J$8,2,FALSE),0),"")))</f>
        <v/>
      </c>
      <c r="BA758" s="632" t="str">
        <f t="shared" si="83"/>
        <v/>
      </c>
      <c r="BB758" s="632" t="str">
        <f t="shared" si="84"/>
        <v/>
      </c>
      <c r="BC758" s="632" t="str">
        <f t="shared" si="85"/>
        <v/>
      </c>
      <c r="BD758" s="633" t="str">
        <f>IF(AND(L758="",H758=""),"",
IF(H758="",Pole_Calc!A786,
IF(H758="MP",Pole_Calc!A787,
IF(H758="AnMP",Pole_Calc!A788,
IF(H758="A",Pole_Calc!A789,
IF(H758="S/A",Pole_Calc!A790,
IF(H758="A/S",Pole_Calc!A791,"Poner a mano")))))))</f>
        <v/>
      </c>
      <c r="BE758" s="448" t="s">
        <v>1726</v>
      </c>
      <c r="BF758" s="634"/>
      <c r="BG758" s="634"/>
      <c r="BH758" s="634"/>
      <c r="BI758" s="634"/>
    </row>
    <row r="759" spans="1:61" ht="16.2" customHeight="1">
      <c r="A759" s="12"/>
      <c r="B759" s="446"/>
      <c r="C759" s="89"/>
      <c r="D759" s="13"/>
      <c r="E759" s="14"/>
      <c r="F759" s="14"/>
      <c r="G759" s="15"/>
      <c r="H759" s="8"/>
      <c r="I759" s="8"/>
      <c r="J759" s="89"/>
      <c r="K759" s="8"/>
      <c r="L759" s="8"/>
      <c r="M759" s="8" t="str">
        <f>IF(L759="","",
IF(AX759="PT",VLOOKUP(L759,Foundation_Calc!$V$4:$X$37,VLOOKUP(AX759,Foundation_Calc!$I$10:$J$13,2,FALSE),0),
IF(AX759="K",VLOOKUP(L759,Foundation_Calc!$V$41:$X$74,VLOOKUP(AX759,Foundation_Calc!$I$10:$J$13,2,FALSE),0),"")))</f>
        <v/>
      </c>
      <c r="N759" s="8"/>
      <c r="O759" s="8"/>
      <c r="P759" s="8"/>
      <c r="Q759" s="14"/>
      <c r="R759" s="15"/>
      <c r="S759" s="15"/>
      <c r="T759" s="14"/>
      <c r="U759" s="14"/>
      <c r="V759" s="14"/>
      <c r="W759" s="18"/>
      <c r="X759" s="18"/>
      <c r="Y759" s="18"/>
      <c r="Z759" s="18"/>
      <c r="AA759" s="18"/>
      <c r="AB759" s="18"/>
      <c r="AC759" s="8" t="str">
        <f t="shared" si="82"/>
        <v/>
      </c>
      <c r="AD759" s="8"/>
      <c r="AE759" s="8"/>
      <c r="AF759" s="14"/>
      <c r="AG759" s="13"/>
      <c r="AH759" s="14"/>
      <c r="AI759" s="14"/>
      <c r="AJ759" s="8"/>
      <c r="AK759" s="8"/>
      <c r="AL759" s="8"/>
      <c r="AM759" s="8"/>
      <c r="AN759" s="631"/>
      <c r="AO759" s="18"/>
      <c r="AP759" s="18"/>
      <c r="AQ759" s="18"/>
      <c r="AR759" s="18"/>
      <c r="AS759" s="18"/>
      <c r="AU759" s="448"/>
      <c r="AV759" s="448"/>
      <c r="AW759" s="8" t="str">
        <f>IF(C759&gt;0,VLOOKUP(C759,Foundation_Calc!$A$2:$C$986,3,1),
IF(J759&gt;0,VLOOKUP(J759,Foundation_Calc!$A$2:$C$986,3,1),""))</f>
        <v/>
      </c>
      <c r="AX759" s="8" t="str">
        <f>IF(C759&gt;0,VLOOKUP(C759,Foundation_Calc!$E$2:$G$986,3,1),
IF(J759&gt;0,VLOOKUP(J759,Foundation_Calc!$E$2:$G$986,3,1),""))</f>
        <v/>
      </c>
      <c r="AY759" s="631" t="str">
        <f>IF(L759="","",
IF(AX759="PT",VLOOKUP(L759,Foundation_Calc!$K$4:$R$37,VLOOKUP(AW759,Foundation_Calc!$I$2:$J$8,2,FALSE),0),
IF(AX759="K",VLOOKUP(L759,Foundation_Calc!$K$41:$R$74,VLOOKUP(AW759,Foundation_Calc!$I$2:$J$8,2,FALSE),0),"")))</f>
        <v/>
      </c>
      <c r="AZ759" s="631" t="str">
        <f>IF(K759="","",
IF(AX759="PT",VLOOKUP(K759,Foundation_Calc!$K$4:$R$37,VLOOKUP(AW759,Foundation_Calc!$I$2:$J$8,2,FALSE),0),
IF(AX759="K",VLOOKUP(K759,Foundation_Calc!$K$41:$R$74,VLOOKUP(AW759,Foundation_Calc!$I$2:$J$8,2,FALSE),0),"")))</f>
        <v/>
      </c>
      <c r="BA759" s="632" t="str">
        <f t="shared" si="83"/>
        <v/>
      </c>
      <c r="BB759" s="632" t="str">
        <f t="shared" si="84"/>
        <v/>
      </c>
      <c r="BC759" s="632" t="str">
        <f t="shared" si="85"/>
        <v/>
      </c>
      <c r="BD759" s="633" t="str">
        <f>IF(AND(L759="",H759=""),"",
IF(H759="",Pole_Calc!A787,
IF(H759="MP",Pole_Calc!A788,
IF(H759="AnMP",Pole_Calc!A789,
IF(H759="A",Pole_Calc!A790,
IF(H759="S/A",Pole_Calc!A791,
IF(H759="A/S",Pole_Calc!A792,"Poner a mano")))))))</f>
        <v/>
      </c>
      <c r="BE759" s="448" t="s">
        <v>1726</v>
      </c>
      <c r="BF759" s="635"/>
      <c r="BG759" s="635"/>
      <c r="BH759" s="634"/>
      <c r="BI759" s="635"/>
    </row>
    <row r="760" spans="1:61" ht="16.2" customHeight="1">
      <c r="A760" s="12"/>
      <c r="B760" s="446"/>
      <c r="C760" s="89"/>
      <c r="D760" s="13"/>
      <c r="E760" s="14"/>
      <c r="F760" s="14"/>
      <c r="G760" s="15"/>
      <c r="H760" s="8"/>
      <c r="I760" s="8"/>
      <c r="J760" s="89"/>
      <c r="K760" s="8"/>
      <c r="L760" s="8"/>
      <c r="M760" s="8" t="str">
        <f>IF(L760="","",
IF(AX760="PT",VLOOKUP(L760,Foundation_Calc!$V$4:$X$37,VLOOKUP(AX760,Foundation_Calc!$I$10:$J$13,2,FALSE),0),
IF(AX760="K",VLOOKUP(L760,Foundation_Calc!$V$41:$X$74,VLOOKUP(AX760,Foundation_Calc!$I$10:$J$13,2,FALSE),0),"")))</f>
        <v/>
      </c>
      <c r="N760" s="8"/>
      <c r="O760" s="8"/>
      <c r="P760" s="8"/>
      <c r="Q760" s="14"/>
      <c r="R760" s="15"/>
      <c r="S760" s="15"/>
      <c r="T760" s="14"/>
      <c r="U760" s="14"/>
      <c r="V760" s="14"/>
      <c r="W760" s="18"/>
      <c r="X760" s="18"/>
      <c r="Y760" s="18"/>
      <c r="Z760" s="18"/>
      <c r="AA760" s="18"/>
      <c r="AB760" s="18"/>
      <c r="AC760" s="8" t="str">
        <f t="shared" si="82"/>
        <v/>
      </c>
      <c r="AD760" s="8"/>
      <c r="AE760" s="8"/>
      <c r="AF760" s="14"/>
      <c r="AG760" s="13"/>
      <c r="AH760" s="14"/>
      <c r="AI760" s="14"/>
      <c r="AJ760" s="8"/>
      <c r="AK760" s="8"/>
      <c r="AL760" s="8"/>
      <c r="AM760" s="8"/>
      <c r="AN760" s="631"/>
      <c r="AO760" s="18"/>
      <c r="AP760" s="18"/>
      <c r="AQ760" s="18"/>
      <c r="AR760" s="18"/>
      <c r="AS760" s="18"/>
      <c r="AU760" s="448"/>
      <c r="AV760" s="448"/>
      <c r="AW760" s="8" t="str">
        <f>IF(C760&gt;0,VLOOKUP(C760,Foundation_Calc!$A$2:$C$986,3,1),
IF(J760&gt;0,VLOOKUP(J760,Foundation_Calc!$A$2:$C$986,3,1),""))</f>
        <v/>
      </c>
      <c r="AX760" s="8" t="str">
        <f>IF(C760&gt;0,VLOOKUP(C760,Foundation_Calc!$E$2:$G$986,3,1),
IF(J760&gt;0,VLOOKUP(J760,Foundation_Calc!$E$2:$G$986,3,1),""))</f>
        <v/>
      </c>
      <c r="AY760" s="631" t="str">
        <f>IF(L760="","",
IF(AX760="PT",VLOOKUP(L760,Foundation_Calc!$K$4:$R$37,VLOOKUP(AW760,Foundation_Calc!$I$2:$J$8,2,FALSE),0),
IF(AX760="K",VLOOKUP(L760,Foundation_Calc!$K$41:$R$74,VLOOKUP(AW760,Foundation_Calc!$I$2:$J$8,2,FALSE),0),"")))</f>
        <v/>
      </c>
      <c r="AZ760" s="631" t="str">
        <f>IF(K760="","",
IF(AX760="PT",VLOOKUP(K760,Foundation_Calc!$K$4:$R$37,VLOOKUP(AW760,Foundation_Calc!$I$2:$J$8,2,FALSE),0),
IF(AX760="K",VLOOKUP(K760,Foundation_Calc!$K$41:$R$74,VLOOKUP(AW760,Foundation_Calc!$I$2:$J$8,2,FALSE),0),"")))</f>
        <v/>
      </c>
      <c r="BA760" s="632" t="str">
        <f t="shared" si="83"/>
        <v/>
      </c>
      <c r="BB760" s="632" t="str">
        <f t="shared" si="84"/>
        <v/>
      </c>
      <c r="BC760" s="632" t="str">
        <f t="shared" si="85"/>
        <v/>
      </c>
      <c r="BD760" s="633" t="str">
        <f>IF(AND(L760="",H760=""),"",
IF(H760="",Pole_Calc!A788,
IF(H760="MP",Pole_Calc!A789,
IF(H760="AnMP",Pole_Calc!A790,
IF(H760="A",Pole_Calc!A791,
IF(H760="S/A",Pole_Calc!A792,
IF(H760="A/S",Pole_Calc!A793,"Poner a mano")))))))</f>
        <v/>
      </c>
      <c r="BE760" s="448" t="s">
        <v>1726</v>
      </c>
      <c r="BF760" s="634"/>
      <c r="BG760" s="634"/>
      <c r="BH760" s="634"/>
      <c r="BI760" s="634"/>
    </row>
    <row r="761" spans="1:61" ht="16.2" customHeight="1">
      <c r="A761" s="12"/>
      <c r="B761" s="446"/>
      <c r="C761" s="89"/>
      <c r="D761" s="13"/>
      <c r="E761" s="14"/>
      <c r="F761" s="14"/>
      <c r="G761" s="15"/>
      <c r="H761" s="8"/>
      <c r="I761" s="8"/>
      <c r="J761" s="89"/>
      <c r="K761" s="8"/>
      <c r="L761" s="8"/>
      <c r="M761" s="8" t="str">
        <f>IF(L761="","",
IF(AX761="PT",VLOOKUP(L761,Foundation_Calc!$V$4:$X$37,VLOOKUP(AX761,Foundation_Calc!$I$10:$J$13,2,FALSE),0),
IF(AX761="K",VLOOKUP(L761,Foundation_Calc!$V$41:$X$74,VLOOKUP(AX761,Foundation_Calc!$I$10:$J$13,2,FALSE),0),"")))</f>
        <v/>
      </c>
      <c r="N761" s="8"/>
      <c r="O761" s="8"/>
      <c r="P761" s="8"/>
      <c r="Q761" s="14"/>
      <c r="R761" s="15"/>
      <c r="S761" s="15"/>
      <c r="T761" s="14"/>
      <c r="U761" s="14"/>
      <c r="V761" s="14"/>
      <c r="W761" s="18"/>
      <c r="X761" s="18"/>
      <c r="Y761" s="18"/>
      <c r="Z761" s="18"/>
      <c r="AA761" s="18"/>
      <c r="AB761" s="18"/>
      <c r="AC761" s="8" t="str">
        <f t="shared" si="82"/>
        <v/>
      </c>
      <c r="AD761" s="8"/>
      <c r="AE761" s="8"/>
      <c r="AF761" s="14"/>
      <c r="AG761" s="13"/>
      <c r="AH761" s="14"/>
      <c r="AI761" s="14"/>
      <c r="AJ761" s="8"/>
      <c r="AK761" s="8"/>
      <c r="AL761" s="8"/>
      <c r="AM761" s="8"/>
      <c r="AN761" s="631"/>
      <c r="AO761" s="18"/>
      <c r="AP761" s="18"/>
      <c r="AQ761" s="18"/>
      <c r="AR761" s="18"/>
      <c r="AS761" s="18"/>
      <c r="AU761" s="448"/>
      <c r="AV761" s="448"/>
      <c r="AW761" s="8" t="str">
        <f>IF(C761&gt;0,VLOOKUP(C761,Foundation_Calc!$A$2:$C$986,3,1),
IF(J761&gt;0,VLOOKUP(J761,Foundation_Calc!$A$2:$C$986,3,1),""))</f>
        <v/>
      </c>
      <c r="AX761" s="8" t="str">
        <f>IF(C761&gt;0,VLOOKUP(C761,Foundation_Calc!$E$2:$G$986,3,1),
IF(J761&gt;0,VLOOKUP(J761,Foundation_Calc!$E$2:$G$986,3,1),""))</f>
        <v/>
      </c>
      <c r="AY761" s="631" t="str">
        <f>IF(L761="","",
IF(AX761="PT",VLOOKUP(L761,Foundation_Calc!$K$4:$R$37,VLOOKUP(AW761,Foundation_Calc!$I$2:$J$8,2,FALSE),0),
IF(AX761="K",VLOOKUP(L761,Foundation_Calc!$K$41:$R$74,VLOOKUP(AW761,Foundation_Calc!$I$2:$J$8,2,FALSE),0),"")))</f>
        <v/>
      </c>
      <c r="AZ761" s="631" t="str">
        <f>IF(K761="","",
IF(AX761="PT",VLOOKUP(K761,Foundation_Calc!$K$4:$R$37,VLOOKUP(AW761,Foundation_Calc!$I$2:$J$8,2,FALSE),0),
IF(AX761="K",VLOOKUP(K761,Foundation_Calc!$K$41:$R$74,VLOOKUP(AW761,Foundation_Calc!$I$2:$J$8,2,FALSE),0),"")))</f>
        <v/>
      </c>
      <c r="BA761" s="632" t="str">
        <f t="shared" si="83"/>
        <v/>
      </c>
      <c r="BB761" s="632" t="str">
        <f t="shared" si="84"/>
        <v/>
      </c>
      <c r="BC761" s="632" t="str">
        <f t="shared" si="85"/>
        <v/>
      </c>
      <c r="BD761" s="633" t="str">
        <f>IF(AND(L761="",H761=""),"",
IF(H761="",Pole_Calc!A789,
IF(H761="MP",Pole_Calc!A790,
IF(H761="AnMP",Pole_Calc!A791,
IF(H761="A",Pole_Calc!A792,
IF(H761="S/A",Pole_Calc!A793,
IF(H761="A/S",Pole_Calc!A794,"Poner a mano")))))))</f>
        <v/>
      </c>
      <c r="BE761" s="448" t="s">
        <v>1726</v>
      </c>
      <c r="BF761" s="635"/>
      <c r="BG761" s="635"/>
      <c r="BH761" s="634"/>
      <c r="BI761" s="635"/>
    </row>
    <row r="762" spans="1:61" ht="16.2" customHeight="1">
      <c r="A762" s="12"/>
      <c r="B762" s="446"/>
      <c r="C762" s="89"/>
      <c r="D762" s="13"/>
      <c r="E762" s="14"/>
      <c r="F762" s="14"/>
      <c r="G762" s="15"/>
      <c r="H762" s="8"/>
      <c r="I762" s="8"/>
      <c r="J762" s="89"/>
      <c r="K762" s="8"/>
      <c r="L762" s="8"/>
      <c r="M762" s="8" t="str">
        <f>IF(L762="","",
IF(AX762="PT",VLOOKUP(L762,Foundation_Calc!$V$4:$X$37,VLOOKUP(AX762,Foundation_Calc!$I$10:$J$13,2,FALSE),0),
IF(AX762="K",VLOOKUP(L762,Foundation_Calc!$V$41:$X$74,VLOOKUP(AX762,Foundation_Calc!$I$10:$J$13,2,FALSE),0),"")))</f>
        <v/>
      </c>
      <c r="N762" s="8"/>
      <c r="O762" s="8"/>
      <c r="P762" s="8"/>
      <c r="Q762" s="14"/>
      <c r="R762" s="15"/>
      <c r="S762" s="15"/>
      <c r="T762" s="14"/>
      <c r="U762" s="14"/>
      <c r="V762" s="14"/>
      <c r="W762" s="18"/>
      <c r="X762" s="18"/>
      <c r="Y762" s="18"/>
      <c r="Z762" s="18"/>
      <c r="AA762" s="18"/>
      <c r="AB762" s="18"/>
      <c r="AC762" s="8" t="str">
        <f t="shared" si="82"/>
        <v/>
      </c>
      <c r="AD762" s="8"/>
      <c r="AE762" s="8"/>
      <c r="AF762" s="14"/>
      <c r="AG762" s="13"/>
      <c r="AH762" s="14"/>
      <c r="AI762" s="14"/>
      <c r="AJ762" s="8"/>
      <c r="AK762" s="8"/>
      <c r="AL762" s="8"/>
      <c r="AM762" s="8"/>
      <c r="AN762" s="631"/>
      <c r="AO762" s="18"/>
      <c r="AP762" s="18"/>
      <c r="AQ762" s="18"/>
      <c r="AR762" s="18"/>
      <c r="AS762" s="18"/>
      <c r="AU762" s="448"/>
      <c r="AV762" s="448"/>
      <c r="AW762" s="8" t="str">
        <f>IF(C762&gt;0,VLOOKUP(C762,Foundation_Calc!$A$2:$C$986,3,1),
IF(J762&gt;0,VLOOKUP(J762,Foundation_Calc!$A$2:$C$986,3,1),""))</f>
        <v/>
      </c>
      <c r="AX762" s="8" t="str">
        <f>IF(C762&gt;0,VLOOKUP(C762,Foundation_Calc!$E$2:$G$986,3,1),
IF(J762&gt;0,VLOOKUP(J762,Foundation_Calc!$E$2:$G$986,3,1),""))</f>
        <v/>
      </c>
      <c r="AY762" s="631" t="str">
        <f>IF(L762="","",
IF(AX762="PT",VLOOKUP(L762,Foundation_Calc!$K$4:$R$37,VLOOKUP(AW762,Foundation_Calc!$I$2:$J$8,2,FALSE),0),
IF(AX762="K",VLOOKUP(L762,Foundation_Calc!$K$41:$R$74,VLOOKUP(AW762,Foundation_Calc!$I$2:$J$8,2,FALSE),0),"")))</f>
        <v/>
      </c>
      <c r="AZ762" s="631" t="str">
        <f>IF(K762="","",
IF(AX762="PT",VLOOKUP(K762,Foundation_Calc!$K$4:$R$37,VLOOKUP(AW762,Foundation_Calc!$I$2:$J$8,2,FALSE),0),
IF(AX762="K",VLOOKUP(K762,Foundation_Calc!$K$41:$R$74,VLOOKUP(AW762,Foundation_Calc!$I$2:$J$8,2,FALSE),0),"")))</f>
        <v/>
      </c>
      <c r="BA762" s="632" t="str">
        <f t="shared" si="83"/>
        <v/>
      </c>
      <c r="BB762" s="632" t="str">
        <f t="shared" si="84"/>
        <v/>
      </c>
      <c r="BC762" s="632" t="str">
        <f t="shared" si="85"/>
        <v/>
      </c>
      <c r="BD762" s="633" t="str">
        <f>IF(AND(L762="",H762=""),"",
IF(H762="",Pole_Calc!A790,
IF(H762="MP",Pole_Calc!A791,
IF(H762="AnMP",Pole_Calc!A792,
IF(H762="A",Pole_Calc!A793,
IF(H762="S/A",Pole_Calc!A794,
IF(H762="A/S",Pole_Calc!A795,"Poner a mano")))))))</f>
        <v/>
      </c>
      <c r="BE762" s="448" t="s">
        <v>1726</v>
      </c>
      <c r="BF762" s="634"/>
      <c r="BG762" s="634"/>
      <c r="BH762" s="634"/>
      <c r="BI762" s="634"/>
    </row>
    <row r="763" spans="1:61" ht="16.2" customHeight="1">
      <c r="A763" s="12"/>
      <c r="B763" s="446"/>
      <c r="C763" s="89"/>
      <c r="D763" s="13"/>
      <c r="E763" s="14"/>
      <c r="F763" s="14"/>
      <c r="G763" s="15"/>
      <c r="H763" s="8"/>
      <c r="I763" s="8"/>
      <c r="J763" s="89"/>
      <c r="K763" s="8"/>
      <c r="L763" s="8"/>
      <c r="M763" s="8" t="str">
        <f>IF(L763="","",
IF(AX763="PT",VLOOKUP(L763,Foundation_Calc!$V$4:$X$37,VLOOKUP(AX763,Foundation_Calc!$I$10:$J$13,2,FALSE),0),
IF(AX763="K",VLOOKUP(L763,Foundation_Calc!$V$41:$X$74,VLOOKUP(AX763,Foundation_Calc!$I$10:$J$13,2,FALSE),0),"")))</f>
        <v/>
      </c>
      <c r="N763" s="8"/>
      <c r="O763" s="8"/>
      <c r="P763" s="8"/>
      <c r="Q763" s="14"/>
      <c r="R763" s="15"/>
      <c r="S763" s="15"/>
      <c r="T763" s="14"/>
      <c r="U763" s="14"/>
      <c r="V763" s="14"/>
      <c r="W763" s="18"/>
      <c r="X763" s="18"/>
      <c r="Y763" s="18"/>
      <c r="Z763" s="18"/>
      <c r="AA763" s="18"/>
      <c r="AB763" s="18"/>
      <c r="AC763" s="8" t="str">
        <f t="shared" si="82"/>
        <v/>
      </c>
      <c r="AD763" s="8"/>
      <c r="AE763" s="8"/>
      <c r="AF763" s="14"/>
      <c r="AG763" s="13"/>
      <c r="AH763" s="14"/>
      <c r="AI763" s="14"/>
      <c r="AJ763" s="8"/>
      <c r="AK763" s="8"/>
      <c r="AL763" s="8"/>
      <c r="AM763" s="8"/>
      <c r="AN763" s="631"/>
      <c r="AO763" s="18"/>
      <c r="AP763" s="18"/>
      <c r="AQ763" s="18"/>
      <c r="AR763" s="18"/>
      <c r="AS763" s="18"/>
      <c r="AU763" s="448"/>
      <c r="AV763" s="448"/>
      <c r="AW763" s="8" t="str">
        <f>IF(C763&gt;0,VLOOKUP(C763,Foundation_Calc!$A$2:$C$986,3,1),
IF(J763&gt;0,VLOOKUP(J763,Foundation_Calc!$A$2:$C$986,3,1),""))</f>
        <v/>
      </c>
      <c r="AX763" s="8" t="str">
        <f>IF(C763&gt;0,VLOOKUP(C763,Foundation_Calc!$E$2:$G$986,3,1),
IF(J763&gt;0,VLOOKUP(J763,Foundation_Calc!$E$2:$G$986,3,1),""))</f>
        <v/>
      </c>
      <c r="AY763" s="631" t="str">
        <f>IF(L763="","",
IF(AX763="PT",VLOOKUP(L763,Foundation_Calc!$K$4:$R$37,VLOOKUP(AW763,Foundation_Calc!$I$2:$J$8,2,FALSE),0),
IF(AX763="K",VLOOKUP(L763,Foundation_Calc!$K$41:$R$74,VLOOKUP(AW763,Foundation_Calc!$I$2:$J$8,2,FALSE),0),"")))</f>
        <v/>
      </c>
      <c r="AZ763" s="631" t="str">
        <f>IF(K763="","",
IF(AX763="PT",VLOOKUP(K763,Foundation_Calc!$K$4:$R$37,VLOOKUP(AW763,Foundation_Calc!$I$2:$J$8,2,FALSE),0),
IF(AX763="K",VLOOKUP(K763,Foundation_Calc!$K$41:$R$74,VLOOKUP(AW763,Foundation_Calc!$I$2:$J$8,2,FALSE),0),"")))</f>
        <v/>
      </c>
      <c r="BA763" s="632" t="str">
        <f t="shared" si="83"/>
        <v/>
      </c>
      <c r="BB763" s="632" t="str">
        <f t="shared" si="84"/>
        <v/>
      </c>
      <c r="BC763" s="632" t="str">
        <f t="shared" si="85"/>
        <v/>
      </c>
      <c r="BD763" s="633" t="str">
        <f>IF(AND(L763="",H763=""),"",
IF(H763="",Pole_Calc!A791,
IF(H763="MP",Pole_Calc!A792,
IF(H763="AnMP",Pole_Calc!A793,
IF(H763="A",Pole_Calc!A794,
IF(H763="S/A",Pole_Calc!A795,
IF(H763="A/S",Pole_Calc!A796,"Poner a mano")))))))</f>
        <v/>
      </c>
      <c r="BE763" s="448" t="s">
        <v>1726</v>
      </c>
      <c r="BF763" s="635"/>
      <c r="BG763" s="635"/>
      <c r="BH763" s="634"/>
      <c r="BI763" s="635"/>
    </row>
    <row r="764" spans="1:61" ht="16.2" customHeight="1">
      <c r="A764" s="12"/>
      <c r="B764" s="446"/>
      <c r="C764" s="89"/>
      <c r="D764" s="13"/>
      <c r="E764" s="14"/>
      <c r="F764" s="14"/>
      <c r="G764" s="15"/>
      <c r="H764" s="8"/>
      <c r="I764" s="8"/>
      <c r="J764" s="89"/>
      <c r="K764" s="8"/>
      <c r="L764" s="8"/>
      <c r="M764" s="8" t="str">
        <f>IF(L764="","",
IF(AX764="PT",VLOOKUP(L764,Foundation_Calc!$V$4:$X$37,VLOOKUP(AX764,Foundation_Calc!$I$10:$J$13,2,FALSE),0),
IF(AX764="K",VLOOKUP(L764,Foundation_Calc!$V$41:$X$74,VLOOKUP(AX764,Foundation_Calc!$I$10:$J$13,2,FALSE),0),"")))</f>
        <v/>
      </c>
      <c r="N764" s="8"/>
      <c r="O764" s="8"/>
      <c r="P764" s="8"/>
      <c r="Q764" s="14"/>
      <c r="R764" s="15"/>
      <c r="S764" s="15"/>
      <c r="T764" s="14"/>
      <c r="U764" s="14"/>
      <c r="V764" s="14"/>
      <c r="W764" s="18"/>
      <c r="X764" s="18"/>
      <c r="Y764" s="18"/>
      <c r="Z764" s="18"/>
      <c r="AA764" s="18"/>
      <c r="AB764" s="18"/>
      <c r="AC764" s="8" t="str">
        <f t="shared" si="82"/>
        <v/>
      </c>
      <c r="AD764" s="8"/>
      <c r="AE764" s="8"/>
      <c r="AF764" s="14"/>
      <c r="AG764" s="13"/>
      <c r="AH764" s="14"/>
      <c r="AI764" s="14"/>
      <c r="AJ764" s="8"/>
      <c r="AK764" s="8"/>
      <c r="AL764" s="8"/>
      <c r="AM764" s="8"/>
      <c r="AN764" s="631"/>
      <c r="AO764" s="18"/>
      <c r="AP764" s="18"/>
      <c r="AQ764" s="18"/>
      <c r="AR764" s="18"/>
      <c r="AS764" s="18"/>
      <c r="AU764" s="448"/>
      <c r="AV764" s="448"/>
      <c r="AW764" s="8" t="str">
        <f>IF(C764&gt;0,VLOOKUP(C764,Foundation_Calc!$A$2:$C$986,3,1),
IF(J764&gt;0,VLOOKUP(J764,Foundation_Calc!$A$2:$C$986,3,1),""))</f>
        <v/>
      </c>
      <c r="AX764" s="8" t="str">
        <f>IF(C764&gt;0,VLOOKUP(C764,Foundation_Calc!$E$2:$G$986,3,1),
IF(J764&gt;0,VLOOKUP(J764,Foundation_Calc!$E$2:$G$986,3,1),""))</f>
        <v/>
      </c>
      <c r="AY764" s="631" t="str">
        <f>IF(L764="","",
IF(AX764="PT",VLOOKUP(L764,Foundation_Calc!$K$4:$R$37,VLOOKUP(AW764,Foundation_Calc!$I$2:$J$8,2,FALSE),0),
IF(AX764="K",VLOOKUP(L764,Foundation_Calc!$K$41:$R$74,VLOOKUP(AW764,Foundation_Calc!$I$2:$J$8,2,FALSE),0),"")))</f>
        <v/>
      </c>
      <c r="AZ764" s="631" t="str">
        <f>IF(K764="","",
IF(AX764="PT",VLOOKUP(K764,Foundation_Calc!$K$4:$R$37,VLOOKUP(AW764,Foundation_Calc!$I$2:$J$8,2,FALSE),0),
IF(AX764="K",VLOOKUP(K764,Foundation_Calc!$K$41:$R$74,VLOOKUP(AW764,Foundation_Calc!$I$2:$J$8,2,FALSE),0),"")))</f>
        <v/>
      </c>
      <c r="BA764" s="632" t="str">
        <f t="shared" si="83"/>
        <v/>
      </c>
      <c r="BB764" s="632" t="str">
        <f t="shared" si="84"/>
        <v/>
      </c>
      <c r="BC764" s="632" t="str">
        <f t="shared" si="85"/>
        <v/>
      </c>
      <c r="BD764" s="633" t="str">
        <f>IF(AND(L764="",H764=""),"",
IF(H764="",Pole_Calc!A792,
IF(H764="MP",Pole_Calc!A793,
IF(H764="AnMP",Pole_Calc!A794,
IF(H764="A",Pole_Calc!A795,
IF(H764="S/A",Pole_Calc!A796,
IF(H764="A/S",Pole_Calc!A797,"Poner a mano")))))))</f>
        <v/>
      </c>
      <c r="BE764" s="448" t="s">
        <v>1726</v>
      </c>
      <c r="BF764" s="634"/>
      <c r="BG764" s="634"/>
      <c r="BH764" s="634"/>
      <c r="BI764" s="634"/>
    </row>
    <row r="765" spans="1:61" ht="16.2" customHeight="1">
      <c r="A765" s="12"/>
      <c r="B765" s="446"/>
      <c r="C765" s="89"/>
      <c r="D765" s="13"/>
      <c r="E765" s="14"/>
      <c r="F765" s="14"/>
      <c r="G765" s="15"/>
      <c r="H765" s="8"/>
      <c r="I765" s="8"/>
      <c r="J765" s="89"/>
      <c r="K765" s="8"/>
      <c r="L765" s="8"/>
      <c r="M765" s="8" t="str">
        <f>IF(L765="","",
IF(AX765="PT",VLOOKUP(L765,Foundation_Calc!$V$4:$X$37,VLOOKUP(AX765,Foundation_Calc!$I$10:$J$13,2,FALSE),0),
IF(AX765="K",VLOOKUP(L765,Foundation_Calc!$V$41:$X$74,VLOOKUP(AX765,Foundation_Calc!$I$10:$J$13,2,FALSE),0),"")))</f>
        <v/>
      </c>
      <c r="N765" s="8"/>
      <c r="O765" s="8"/>
      <c r="P765" s="8"/>
      <c r="Q765" s="14"/>
      <c r="R765" s="15"/>
      <c r="S765" s="15"/>
      <c r="T765" s="14"/>
      <c r="U765" s="14"/>
      <c r="V765" s="14"/>
      <c r="W765" s="18"/>
      <c r="X765" s="18"/>
      <c r="Y765" s="18"/>
      <c r="Z765" s="18"/>
      <c r="AA765" s="18"/>
      <c r="AB765" s="18"/>
      <c r="AC765" s="8" t="str">
        <f t="shared" si="82"/>
        <v/>
      </c>
      <c r="AD765" s="8"/>
      <c r="AE765" s="8"/>
      <c r="AF765" s="14"/>
      <c r="AG765" s="13"/>
      <c r="AH765" s="14"/>
      <c r="AI765" s="14"/>
      <c r="AJ765" s="8"/>
      <c r="AK765" s="8"/>
      <c r="AL765" s="8"/>
      <c r="AM765" s="8"/>
      <c r="AN765" s="631"/>
      <c r="AO765" s="18"/>
      <c r="AP765" s="18"/>
      <c r="AQ765" s="18"/>
      <c r="AR765" s="18"/>
      <c r="AS765" s="18"/>
      <c r="AU765" s="448"/>
      <c r="AV765" s="448"/>
      <c r="AW765" s="8" t="str">
        <f>IF(C765&gt;0,VLOOKUP(C765,Foundation_Calc!$A$2:$C$986,3,1),
IF(J765&gt;0,VLOOKUP(J765,Foundation_Calc!$A$2:$C$986,3,1),""))</f>
        <v/>
      </c>
      <c r="AX765" s="8" t="str">
        <f>IF(C765&gt;0,VLOOKUP(C765,Foundation_Calc!$E$2:$G$986,3,1),
IF(J765&gt;0,VLOOKUP(J765,Foundation_Calc!$E$2:$G$986,3,1),""))</f>
        <v/>
      </c>
      <c r="AY765" s="631" t="str">
        <f>IF(L765="","",
IF(AX765="PT",VLOOKUP(L765,Foundation_Calc!$K$4:$R$37,VLOOKUP(AW765,Foundation_Calc!$I$2:$J$8,2,FALSE),0),
IF(AX765="K",VLOOKUP(L765,Foundation_Calc!$K$41:$R$74,VLOOKUP(AW765,Foundation_Calc!$I$2:$J$8,2,FALSE),0),"")))</f>
        <v/>
      </c>
      <c r="AZ765" s="631" t="str">
        <f>IF(K765="","",
IF(AX765="PT",VLOOKUP(K765,Foundation_Calc!$K$4:$R$37,VLOOKUP(AW765,Foundation_Calc!$I$2:$J$8,2,FALSE),0),
IF(AX765="K",VLOOKUP(K765,Foundation_Calc!$K$41:$R$74,VLOOKUP(AW765,Foundation_Calc!$I$2:$J$8,2,FALSE),0),"")))</f>
        <v/>
      </c>
      <c r="BA765" s="632" t="str">
        <f t="shared" si="83"/>
        <v/>
      </c>
      <c r="BB765" s="632" t="str">
        <f t="shared" si="84"/>
        <v/>
      </c>
      <c r="BC765" s="632" t="str">
        <f t="shared" si="85"/>
        <v/>
      </c>
      <c r="BD765" s="633" t="str">
        <f>IF(AND(L765="",H765=""),"",
IF(H765="",Pole_Calc!A793,
IF(H765="MP",Pole_Calc!A794,
IF(H765="AnMP",Pole_Calc!A795,
IF(H765="A",Pole_Calc!A796,
IF(H765="S/A",Pole_Calc!A797,
IF(H765="A/S",Pole_Calc!A798,"Poner a mano")))))))</f>
        <v/>
      </c>
      <c r="BE765" s="448" t="s">
        <v>1726</v>
      </c>
      <c r="BF765" s="635"/>
      <c r="BG765" s="635"/>
      <c r="BH765" s="634"/>
      <c r="BI765" s="635"/>
    </row>
    <row r="766" spans="1:61" ht="16.2" customHeight="1">
      <c r="A766" s="12"/>
      <c r="B766" s="446"/>
      <c r="C766" s="89"/>
      <c r="D766" s="13"/>
      <c r="E766" s="14"/>
      <c r="F766" s="14"/>
      <c r="G766" s="15"/>
      <c r="H766" s="8"/>
      <c r="I766" s="8"/>
      <c r="J766" s="89"/>
      <c r="K766" s="8"/>
      <c r="L766" s="8"/>
      <c r="M766" s="8" t="str">
        <f>IF(L766="","",
IF(AX766="PT",VLOOKUP(L766,Foundation_Calc!$V$4:$X$37,VLOOKUP(AX766,Foundation_Calc!$I$10:$J$13,2,FALSE),0),
IF(AX766="K",VLOOKUP(L766,Foundation_Calc!$V$41:$X$74,VLOOKUP(AX766,Foundation_Calc!$I$10:$J$13,2,FALSE),0),"")))</f>
        <v/>
      </c>
      <c r="N766" s="8"/>
      <c r="O766" s="8"/>
      <c r="P766" s="8"/>
      <c r="Q766" s="14"/>
      <c r="R766" s="15"/>
      <c r="S766" s="15"/>
      <c r="T766" s="14"/>
      <c r="U766" s="14"/>
      <c r="V766" s="14"/>
      <c r="W766" s="18"/>
      <c r="X766" s="18"/>
      <c r="Y766" s="18"/>
      <c r="Z766" s="18"/>
      <c r="AA766" s="18"/>
      <c r="AB766" s="18"/>
      <c r="AC766" s="8" t="str">
        <f t="shared" si="82"/>
        <v/>
      </c>
      <c r="AD766" s="8"/>
      <c r="AE766" s="8"/>
      <c r="AF766" s="14"/>
      <c r="AG766" s="13"/>
      <c r="AH766" s="14"/>
      <c r="AI766" s="14"/>
      <c r="AJ766" s="8"/>
      <c r="AK766" s="8"/>
      <c r="AL766" s="8"/>
      <c r="AM766" s="8"/>
      <c r="AN766" s="631"/>
      <c r="AO766" s="18"/>
      <c r="AP766" s="18"/>
      <c r="AQ766" s="18"/>
      <c r="AR766" s="18"/>
      <c r="AS766" s="18"/>
      <c r="AU766" s="448"/>
      <c r="AV766" s="448"/>
      <c r="AW766" s="8" t="str">
        <f>IF(C766&gt;0,VLOOKUP(C766,Foundation_Calc!$A$2:$C$986,3,1),
IF(J766&gt;0,VLOOKUP(J766,Foundation_Calc!$A$2:$C$986,3,1),""))</f>
        <v/>
      </c>
      <c r="AX766" s="8" t="str">
        <f>IF(C766&gt;0,VLOOKUP(C766,Foundation_Calc!$E$2:$G$986,3,1),
IF(J766&gt;0,VLOOKUP(J766,Foundation_Calc!$E$2:$G$986,3,1),""))</f>
        <v/>
      </c>
      <c r="AY766" s="631" t="str">
        <f>IF(L766="","",
IF(AX766="PT",VLOOKUP(L766,Foundation_Calc!$K$4:$R$37,VLOOKUP(AW766,Foundation_Calc!$I$2:$J$8,2,FALSE),0),
IF(AX766="K",VLOOKUP(L766,Foundation_Calc!$K$41:$R$74,VLOOKUP(AW766,Foundation_Calc!$I$2:$J$8,2,FALSE),0),"")))</f>
        <v/>
      </c>
      <c r="AZ766" s="631" t="str">
        <f>IF(K766="","",
IF(AX766="PT",VLOOKUP(K766,Foundation_Calc!$K$4:$R$37,VLOOKUP(AW766,Foundation_Calc!$I$2:$J$8,2,FALSE),0),
IF(AX766="K",VLOOKUP(K766,Foundation_Calc!$K$41:$R$74,VLOOKUP(AW766,Foundation_Calc!$I$2:$J$8,2,FALSE),0),"")))</f>
        <v/>
      </c>
      <c r="BA766" s="632" t="str">
        <f t="shared" si="83"/>
        <v/>
      </c>
      <c r="BB766" s="632" t="str">
        <f t="shared" si="84"/>
        <v/>
      </c>
      <c r="BC766" s="632" t="str">
        <f t="shared" si="85"/>
        <v/>
      </c>
      <c r="BD766" s="633" t="str">
        <f>IF(AND(L766="",H766=""),"",
IF(H766="",Pole_Calc!A794,
IF(H766="MP",Pole_Calc!A795,
IF(H766="AnMP",Pole_Calc!A796,
IF(H766="A",Pole_Calc!A797,
IF(H766="S/A",Pole_Calc!A798,
IF(H766="A/S",Pole_Calc!A799,"Poner a mano")))))))</f>
        <v/>
      </c>
      <c r="BE766" s="448" t="s">
        <v>1726</v>
      </c>
      <c r="BF766" s="634"/>
      <c r="BG766" s="634"/>
      <c r="BH766" s="634"/>
      <c r="BI766" s="634"/>
    </row>
    <row r="767" spans="1:61" ht="16.2" customHeight="1">
      <c r="A767" s="12"/>
      <c r="B767" s="446"/>
      <c r="C767" s="89"/>
      <c r="D767" s="13"/>
      <c r="E767" s="14"/>
      <c r="F767" s="14"/>
      <c r="G767" s="15"/>
      <c r="H767" s="8"/>
      <c r="I767" s="8"/>
      <c r="J767" s="89"/>
      <c r="K767" s="8"/>
      <c r="L767" s="8"/>
      <c r="M767" s="8" t="str">
        <f>IF(L767="","",
IF(AX767="PT",VLOOKUP(L767,Foundation_Calc!$V$4:$X$37,VLOOKUP(AX767,Foundation_Calc!$I$10:$J$13,2,FALSE),0),
IF(AX767="K",VLOOKUP(L767,Foundation_Calc!$V$41:$X$74,VLOOKUP(AX767,Foundation_Calc!$I$10:$J$13,2,FALSE),0),"")))</f>
        <v/>
      </c>
      <c r="N767" s="8"/>
      <c r="O767" s="8"/>
      <c r="P767" s="8"/>
      <c r="Q767" s="14"/>
      <c r="R767" s="15"/>
      <c r="S767" s="15"/>
      <c r="T767" s="14"/>
      <c r="U767" s="14"/>
      <c r="V767" s="14"/>
      <c r="W767" s="18"/>
      <c r="X767" s="18"/>
      <c r="Y767" s="18"/>
      <c r="Z767" s="18"/>
      <c r="AA767" s="18"/>
      <c r="AB767" s="18"/>
      <c r="AC767" s="8" t="str">
        <f t="shared" si="82"/>
        <v/>
      </c>
      <c r="AD767" s="8"/>
      <c r="AE767" s="8"/>
      <c r="AF767" s="14"/>
      <c r="AG767" s="13"/>
      <c r="AH767" s="14"/>
      <c r="AI767" s="14"/>
      <c r="AJ767" s="8"/>
      <c r="AK767" s="8"/>
      <c r="AL767" s="8"/>
      <c r="AM767" s="8"/>
      <c r="AN767" s="631"/>
      <c r="AO767" s="18"/>
      <c r="AP767" s="18"/>
      <c r="AQ767" s="18"/>
      <c r="AR767" s="18"/>
      <c r="AS767" s="18"/>
      <c r="AU767" s="448"/>
      <c r="AV767" s="448"/>
      <c r="AW767" s="8" t="str">
        <f>IF(C767&gt;0,VLOOKUP(C767,Foundation_Calc!$A$2:$C$986,3,1),
IF(J767&gt;0,VLOOKUP(J767,Foundation_Calc!$A$2:$C$986,3,1),""))</f>
        <v/>
      </c>
      <c r="AX767" s="8" t="str">
        <f>IF(C767&gt;0,VLOOKUP(C767,Foundation_Calc!$E$2:$G$986,3,1),
IF(J767&gt;0,VLOOKUP(J767,Foundation_Calc!$E$2:$G$986,3,1),""))</f>
        <v/>
      </c>
      <c r="AY767" s="631" t="str">
        <f>IF(L767="","",
IF(AX767="PT",VLOOKUP(L767,Foundation_Calc!$K$4:$R$37,VLOOKUP(AW767,Foundation_Calc!$I$2:$J$8,2,FALSE),0),
IF(AX767="K",VLOOKUP(L767,Foundation_Calc!$K$41:$R$74,VLOOKUP(AW767,Foundation_Calc!$I$2:$J$8,2,FALSE),0),"")))</f>
        <v/>
      </c>
      <c r="AZ767" s="631" t="str">
        <f>IF(K767="","",
IF(AX767="PT",VLOOKUP(K767,Foundation_Calc!$K$4:$R$37,VLOOKUP(AW767,Foundation_Calc!$I$2:$J$8,2,FALSE),0),
IF(AX767="K",VLOOKUP(K767,Foundation_Calc!$K$41:$R$74,VLOOKUP(AW767,Foundation_Calc!$I$2:$J$8,2,FALSE),0),"")))</f>
        <v/>
      </c>
      <c r="BA767" s="632" t="str">
        <f t="shared" si="83"/>
        <v/>
      </c>
      <c r="BB767" s="632" t="str">
        <f t="shared" si="84"/>
        <v/>
      </c>
      <c r="BC767" s="632" t="str">
        <f t="shared" si="85"/>
        <v/>
      </c>
      <c r="BD767" s="633" t="str">
        <f>IF(AND(L767="",H767=""),"",
IF(H767="",Pole_Calc!A795,
IF(H767="MP",Pole_Calc!A796,
IF(H767="AnMP",Pole_Calc!A797,
IF(H767="A",Pole_Calc!A798,
IF(H767="S/A",Pole_Calc!A799,
IF(H767="A/S",Pole_Calc!A800,"Poner a mano")))))))</f>
        <v/>
      </c>
      <c r="BE767" s="448" t="s">
        <v>1726</v>
      </c>
      <c r="BF767" s="635"/>
      <c r="BG767" s="635"/>
      <c r="BH767" s="634"/>
      <c r="BI767" s="635"/>
    </row>
    <row r="768" spans="1:61" ht="16.2" customHeight="1">
      <c r="A768" s="12"/>
      <c r="B768" s="446"/>
      <c r="C768" s="89"/>
      <c r="D768" s="13"/>
      <c r="E768" s="14"/>
      <c r="F768" s="14"/>
      <c r="G768" s="15"/>
      <c r="H768" s="8"/>
      <c r="I768" s="8"/>
      <c r="J768" s="89"/>
      <c r="K768" s="8"/>
      <c r="L768" s="8"/>
      <c r="M768" s="8" t="str">
        <f>IF(L768="","",
IF(AX768="PT",VLOOKUP(L768,Foundation_Calc!$V$4:$X$37,VLOOKUP(AX768,Foundation_Calc!$I$10:$J$13,2,FALSE),0),
IF(AX768="K",VLOOKUP(L768,Foundation_Calc!$V$41:$X$74,VLOOKUP(AX768,Foundation_Calc!$I$10:$J$13,2,FALSE),0),"")))</f>
        <v/>
      </c>
      <c r="N768" s="8"/>
      <c r="O768" s="8"/>
      <c r="P768" s="8"/>
      <c r="Q768" s="14"/>
      <c r="R768" s="15"/>
      <c r="S768" s="15"/>
      <c r="T768" s="14"/>
      <c r="U768" s="14"/>
      <c r="V768" s="14"/>
      <c r="W768" s="18"/>
      <c r="X768" s="18"/>
      <c r="Y768" s="18"/>
      <c r="Z768" s="18"/>
      <c r="AA768" s="18"/>
      <c r="AB768" s="18"/>
      <c r="AC768" s="8" t="str">
        <f t="shared" si="82"/>
        <v/>
      </c>
      <c r="AD768" s="8"/>
      <c r="AE768" s="8"/>
      <c r="AF768" s="14"/>
      <c r="AG768" s="13"/>
      <c r="AH768" s="14"/>
      <c r="AI768" s="14"/>
      <c r="AJ768" s="8"/>
      <c r="AK768" s="8"/>
      <c r="AL768" s="8"/>
      <c r="AM768" s="8"/>
      <c r="AN768" s="631"/>
      <c r="AO768" s="18"/>
      <c r="AP768" s="18"/>
      <c r="AQ768" s="18"/>
      <c r="AR768" s="18"/>
      <c r="AS768" s="18"/>
      <c r="AU768" s="448"/>
      <c r="AV768" s="448"/>
      <c r="AW768" s="8" t="str">
        <f>IF(C768&gt;0,VLOOKUP(C768,Foundation_Calc!$A$2:$C$986,3,1),
IF(J768&gt;0,VLOOKUP(J768,Foundation_Calc!$A$2:$C$986,3,1),""))</f>
        <v/>
      </c>
      <c r="AX768" s="8" t="str">
        <f>IF(C768&gt;0,VLOOKUP(C768,Foundation_Calc!$E$2:$G$986,3,1),
IF(J768&gt;0,VLOOKUP(J768,Foundation_Calc!$E$2:$G$986,3,1),""))</f>
        <v/>
      </c>
      <c r="AY768" s="631" t="str">
        <f>IF(L768="","",
IF(AX768="PT",VLOOKUP(L768,Foundation_Calc!$K$4:$R$37,VLOOKUP(AW768,Foundation_Calc!$I$2:$J$8,2,FALSE),0),
IF(AX768="K",VLOOKUP(L768,Foundation_Calc!$K$41:$R$74,VLOOKUP(AW768,Foundation_Calc!$I$2:$J$8,2,FALSE),0),"")))</f>
        <v/>
      </c>
      <c r="AZ768" s="631" t="str">
        <f>IF(K768="","",
IF(AX768="PT",VLOOKUP(K768,Foundation_Calc!$K$4:$R$37,VLOOKUP(AW768,Foundation_Calc!$I$2:$J$8,2,FALSE),0),
IF(AX768="K",VLOOKUP(K768,Foundation_Calc!$K$41:$R$74,VLOOKUP(AW768,Foundation_Calc!$I$2:$J$8,2,FALSE),0),"")))</f>
        <v/>
      </c>
      <c r="BA768" s="632" t="str">
        <f t="shared" si="83"/>
        <v/>
      </c>
      <c r="BB768" s="632" t="str">
        <f t="shared" si="84"/>
        <v/>
      </c>
      <c r="BC768" s="632" t="str">
        <f t="shared" si="85"/>
        <v/>
      </c>
      <c r="BD768" s="633" t="str">
        <f>IF(AND(L768="",H768=""),"",
IF(H768="",Pole_Calc!A796,
IF(H768="MP",Pole_Calc!A797,
IF(H768="AnMP",Pole_Calc!A798,
IF(H768="A",Pole_Calc!A799,
IF(H768="S/A",Pole_Calc!A800,
IF(H768="A/S",Pole_Calc!A801,"Poner a mano")))))))</f>
        <v/>
      </c>
      <c r="BE768" s="448" t="s">
        <v>1726</v>
      </c>
      <c r="BF768" s="634"/>
      <c r="BG768" s="634"/>
      <c r="BH768" s="634"/>
      <c r="BI768" s="634"/>
    </row>
    <row r="769" spans="1:61" ht="16.2" customHeight="1">
      <c r="A769" s="12"/>
      <c r="B769" s="446"/>
      <c r="C769" s="89"/>
      <c r="D769" s="13"/>
      <c r="E769" s="14"/>
      <c r="F769" s="14"/>
      <c r="G769" s="15"/>
      <c r="H769" s="8"/>
      <c r="I769" s="8"/>
      <c r="J769" s="89"/>
      <c r="K769" s="8"/>
      <c r="L769" s="8"/>
      <c r="M769" s="8" t="str">
        <f>IF(L769="","",
IF(AX769="PT",VLOOKUP(L769,Foundation_Calc!$V$4:$X$37,VLOOKUP(AX769,Foundation_Calc!$I$10:$J$13,2,FALSE),0),
IF(AX769="K",VLOOKUP(L769,Foundation_Calc!$V$41:$X$74,VLOOKUP(AX769,Foundation_Calc!$I$10:$J$13,2,FALSE),0),"")))</f>
        <v/>
      </c>
      <c r="N769" s="8"/>
      <c r="O769" s="8"/>
      <c r="P769" s="8"/>
      <c r="Q769" s="14"/>
      <c r="R769" s="15"/>
      <c r="S769" s="15"/>
      <c r="T769" s="14"/>
      <c r="U769" s="14"/>
      <c r="V769" s="14"/>
      <c r="W769" s="18"/>
      <c r="X769" s="18"/>
      <c r="Y769" s="18"/>
      <c r="Z769" s="18"/>
      <c r="AA769" s="18"/>
      <c r="AB769" s="18"/>
      <c r="AC769" s="8" t="str">
        <f t="shared" si="82"/>
        <v/>
      </c>
      <c r="AD769" s="8"/>
      <c r="AE769" s="8"/>
      <c r="AF769" s="14"/>
      <c r="AG769" s="13"/>
      <c r="AH769" s="14"/>
      <c r="AI769" s="14"/>
      <c r="AJ769" s="8"/>
      <c r="AK769" s="8"/>
      <c r="AL769" s="8"/>
      <c r="AM769" s="8"/>
      <c r="AN769" s="631"/>
      <c r="AO769" s="18"/>
      <c r="AP769" s="18"/>
      <c r="AQ769" s="18"/>
      <c r="AR769" s="18"/>
      <c r="AS769" s="18"/>
      <c r="AU769" s="448"/>
      <c r="AV769" s="448"/>
      <c r="AW769" s="8" t="str">
        <f>IF(C769&gt;0,VLOOKUP(C769,Foundation_Calc!$A$2:$C$986,3,1),
IF(J769&gt;0,VLOOKUP(J769,Foundation_Calc!$A$2:$C$986,3,1),""))</f>
        <v/>
      </c>
      <c r="AX769" s="8" t="str">
        <f>IF(C769&gt;0,VLOOKUP(C769,Foundation_Calc!$E$2:$G$986,3,1),
IF(J769&gt;0,VLOOKUP(J769,Foundation_Calc!$E$2:$G$986,3,1),""))</f>
        <v/>
      </c>
      <c r="AY769" s="631" t="str">
        <f>IF(L769="","",
IF(AX769="PT",VLOOKUP(L769,Foundation_Calc!$K$4:$R$37,VLOOKUP(AW769,Foundation_Calc!$I$2:$J$8,2,FALSE),0),
IF(AX769="K",VLOOKUP(L769,Foundation_Calc!$K$41:$R$74,VLOOKUP(AW769,Foundation_Calc!$I$2:$J$8,2,FALSE),0),"")))</f>
        <v/>
      </c>
      <c r="AZ769" s="631" t="str">
        <f>IF(K769="","",
IF(AX769="PT",VLOOKUP(K769,Foundation_Calc!$K$4:$R$37,VLOOKUP(AW769,Foundation_Calc!$I$2:$J$8,2,FALSE),0),
IF(AX769="K",VLOOKUP(K769,Foundation_Calc!$K$41:$R$74,VLOOKUP(AW769,Foundation_Calc!$I$2:$J$8,2,FALSE),0),"")))</f>
        <v/>
      </c>
      <c r="BA769" s="632" t="str">
        <f t="shared" si="83"/>
        <v/>
      </c>
      <c r="BB769" s="632" t="str">
        <f t="shared" si="84"/>
        <v/>
      </c>
      <c r="BC769" s="632" t="str">
        <f t="shared" si="85"/>
        <v/>
      </c>
      <c r="BD769" s="633" t="str">
        <f>IF(AND(L769="",H769=""),"",
IF(H769="",Pole_Calc!A797,
IF(H769="MP",Pole_Calc!A798,
IF(H769="AnMP",Pole_Calc!A799,
IF(H769="A",Pole_Calc!A800,
IF(H769="S/A",Pole_Calc!A801,
IF(H769="A/S",Pole_Calc!A802,"Poner a mano")))))))</f>
        <v/>
      </c>
      <c r="BE769" s="448" t="s">
        <v>1726</v>
      </c>
      <c r="BF769" s="635"/>
      <c r="BG769" s="635"/>
      <c r="BH769" s="634"/>
      <c r="BI769" s="635"/>
    </row>
    <row r="770" spans="1:61" ht="16.2" customHeight="1">
      <c r="A770" s="12"/>
      <c r="B770" s="446"/>
      <c r="C770" s="89"/>
      <c r="D770" s="13"/>
      <c r="E770" s="14"/>
      <c r="F770" s="14"/>
      <c r="G770" s="15"/>
      <c r="H770" s="8"/>
      <c r="I770" s="8"/>
      <c r="J770" s="89"/>
      <c r="K770" s="8"/>
      <c r="L770" s="8"/>
      <c r="M770" s="8" t="str">
        <f>IF(L770="","",
IF(AX770="PT",VLOOKUP(L770,Foundation_Calc!$V$4:$X$37,VLOOKUP(AX770,Foundation_Calc!$I$10:$J$13,2,FALSE),0),
IF(AX770="K",VLOOKUP(L770,Foundation_Calc!$V$41:$X$74,VLOOKUP(AX770,Foundation_Calc!$I$10:$J$13,2,FALSE),0),"")))</f>
        <v/>
      </c>
      <c r="N770" s="8"/>
      <c r="O770" s="8"/>
      <c r="P770" s="8"/>
      <c r="Q770" s="14"/>
      <c r="R770" s="15"/>
      <c r="S770" s="15"/>
      <c r="T770" s="14"/>
      <c r="U770" s="14"/>
      <c r="V770" s="14"/>
      <c r="W770" s="18"/>
      <c r="X770" s="18"/>
      <c r="Y770" s="18"/>
      <c r="Z770" s="18"/>
      <c r="AA770" s="18"/>
      <c r="AB770" s="18"/>
      <c r="AC770" s="8" t="str">
        <f t="shared" si="82"/>
        <v/>
      </c>
      <c r="AD770" s="8"/>
      <c r="AE770" s="8"/>
      <c r="AF770" s="14"/>
      <c r="AG770" s="13"/>
      <c r="AH770" s="14"/>
      <c r="AI770" s="14"/>
      <c r="AJ770" s="8"/>
      <c r="AK770" s="8"/>
      <c r="AL770" s="8"/>
      <c r="AM770" s="8"/>
      <c r="AN770" s="631"/>
      <c r="AO770" s="18"/>
      <c r="AP770" s="18"/>
      <c r="AQ770" s="18"/>
      <c r="AR770" s="18"/>
      <c r="AS770" s="18"/>
      <c r="AU770" s="448"/>
      <c r="AV770" s="448"/>
      <c r="AW770" s="8" t="str">
        <f>IF(C770&gt;0,VLOOKUP(C770,Foundation_Calc!$A$2:$C$986,3,1),
IF(J770&gt;0,VLOOKUP(J770,Foundation_Calc!$A$2:$C$986,3,1),""))</f>
        <v/>
      </c>
      <c r="AX770" s="8" t="str">
        <f>IF(C770&gt;0,VLOOKUP(C770,Foundation_Calc!$E$2:$G$986,3,1),
IF(J770&gt;0,VLOOKUP(J770,Foundation_Calc!$E$2:$G$986,3,1),""))</f>
        <v/>
      </c>
      <c r="AY770" s="631" t="str">
        <f>IF(L770="","",
IF(AX770="PT",VLOOKUP(L770,Foundation_Calc!$K$4:$R$37,VLOOKUP(AW770,Foundation_Calc!$I$2:$J$8,2,FALSE),0),
IF(AX770="K",VLOOKUP(L770,Foundation_Calc!$K$41:$R$74,VLOOKUP(AW770,Foundation_Calc!$I$2:$J$8,2,FALSE),0),"")))</f>
        <v/>
      </c>
      <c r="AZ770" s="631" t="str">
        <f>IF(K770="","",
IF(AX770="PT",VLOOKUP(K770,Foundation_Calc!$K$4:$R$37,VLOOKUP(AW770,Foundation_Calc!$I$2:$J$8,2,FALSE),0),
IF(AX770="K",VLOOKUP(K770,Foundation_Calc!$K$41:$R$74,VLOOKUP(AW770,Foundation_Calc!$I$2:$J$8,2,FALSE),0),"")))</f>
        <v/>
      </c>
      <c r="BA770" s="632" t="str">
        <f t="shared" si="83"/>
        <v/>
      </c>
      <c r="BB770" s="632" t="str">
        <f t="shared" si="84"/>
        <v/>
      </c>
      <c r="BC770" s="632" t="str">
        <f t="shared" si="85"/>
        <v/>
      </c>
      <c r="BD770" s="633" t="str">
        <f>IF(AND(L770="",H770=""),"",
IF(H770="",Pole_Calc!A798,
IF(H770="MP",Pole_Calc!A799,
IF(H770="AnMP",Pole_Calc!A800,
IF(H770="A",Pole_Calc!A801,
IF(H770="S/A",Pole_Calc!A802,
IF(H770="A/S",Pole_Calc!A803,"Poner a mano")))))))</f>
        <v/>
      </c>
      <c r="BE770" s="448" t="s">
        <v>1726</v>
      </c>
      <c r="BF770" s="634"/>
      <c r="BG770" s="634"/>
      <c r="BH770" s="634"/>
      <c r="BI770" s="634"/>
    </row>
    <row r="771" spans="1:61" ht="16.2" customHeight="1">
      <c r="A771" s="12"/>
      <c r="B771" s="446"/>
      <c r="C771" s="89"/>
      <c r="D771" s="13"/>
      <c r="E771" s="14"/>
      <c r="F771" s="14"/>
      <c r="G771" s="15"/>
      <c r="H771" s="8"/>
      <c r="I771" s="8"/>
      <c r="J771" s="89"/>
      <c r="K771" s="8"/>
      <c r="L771" s="8"/>
      <c r="M771" s="8" t="str">
        <f>IF(L771="","",
IF(AX771="PT",VLOOKUP(L771,Foundation_Calc!$V$4:$X$37,VLOOKUP(AX771,Foundation_Calc!$I$10:$J$13,2,FALSE),0),
IF(AX771="K",VLOOKUP(L771,Foundation_Calc!$V$41:$X$74,VLOOKUP(AX771,Foundation_Calc!$I$10:$J$13,2,FALSE),0),"")))</f>
        <v/>
      </c>
      <c r="N771" s="8"/>
      <c r="O771" s="8"/>
      <c r="P771" s="8"/>
      <c r="Q771" s="14"/>
      <c r="R771" s="15"/>
      <c r="S771" s="15"/>
      <c r="T771" s="14"/>
      <c r="U771" s="14"/>
      <c r="V771" s="14"/>
      <c r="W771" s="18"/>
      <c r="X771" s="18"/>
      <c r="Y771" s="18"/>
      <c r="Z771" s="18"/>
      <c r="AA771" s="18"/>
      <c r="AB771" s="18"/>
      <c r="AC771" s="8" t="str">
        <f t="shared" si="82"/>
        <v/>
      </c>
      <c r="AD771" s="8"/>
      <c r="AE771" s="8"/>
      <c r="AF771" s="14"/>
      <c r="AG771" s="13"/>
      <c r="AH771" s="14"/>
      <c r="AI771" s="14"/>
      <c r="AJ771" s="8"/>
      <c r="AK771" s="8"/>
      <c r="AL771" s="8"/>
      <c r="AM771" s="8"/>
      <c r="AN771" s="631"/>
      <c r="AO771" s="18"/>
      <c r="AP771" s="18"/>
      <c r="AQ771" s="18"/>
      <c r="AR771" s="18"/>
      <c r="AS771" s="18"/>
      <c r="AU771" s="448"/>
      <c r="AV771" s="448"/>
      <c r="AW771" s="8" t="str">
        <f>IF(C771&gt;0,VLOOKUP(C771,Foundation_Calc!$A$2:$C$986,3,1),
IF(J771&gt;0,VLOOKUP(J771,Foundation_Calc!$A$2:$C$986,3,1),""))</f>
        <v/>
      </c>
      <c r="AX771" s="8" t="str">
        <f>IF(C771&gt;0,VLOOKUP(C771,Foundation_Calc!$E$2:$G$986,3,1),
IF(J771&gt;0,VLOOKUP(J771,Foundation_Calc!$E$2:$G$986,3,1),""))</f>
        <v/>
      </c>
      <c r="AY771" s="631" t="str">
        <f>IF(L771="","",
IF(AX771="PT",VLOOKUP(L771,Foundation_Calc!$K$4:$R$37,VLOOKUP(AW771,Foundation_Calc!$I$2:$J$8,2,FALSE),0),
IF(AX771="K",VLOOKUP(L771,Foundation_Calc!$K$41:$R$74,VLOOKUP(AW771,Foundation_Calc!$I$2:$J$8,2,FALSE),0),"")))</f>
        <v/>
      </c>
      <c r="AZ771" s="631" t="str">
        <f>IF(K771="","",
IF(AX771="PT",VLOOKUP(K771,Foundation_Calc!$K$4:$R$37,VLOOKUP(AW771,Foundation_Calc!$I$2:$J$8,2,FALSE),0),
IF(AX771="K",VLOOKUP(K771,Foundation_Calc!$K$41:$R$74,VLOOKUP(AW771,Foundation_Calc!$I$2:$J$8,2,FALSE),0),"")))</f>
        <v/>
      </c>
      <c r="BA771" s="632" t="str">
        <f t="shared" si="83"/>
        <v/>
      </c>
      <c r="BB771" s="632" t="str">
        <f t="shared" si="84"/>
        <v/>
      </c>
      <c r="BC771" s="632" t="str">
        <f t="shared" si="85"/>
        <v/>
      </c>
      <c r="BD771" s="633" t="str">
        <f>IF(AND(L771="",H771=""),"",
IF(H771="",Pole_Calc!A799,
IF(H771="MP",Pole_Calc!A800,
IF(H771="AnMP",Pole_Calc!A801,
IF(H771="A",Pole_Calc!A802,
IF(H771="S/A",Pole_Calc!A803,
IF(H771="A/S",Pole_Calc!A804,"Poner a mano")))))))</f>
        <v/>
      </c>
      <c r="BE771" s="448" t="s">
        <v>1726</v>
      </c>
      <c r="BF771" s="635"/>
      <c r="BG771" s="635"/>
      <c r="BH771" s="634"/>
      <c r="BI771" s="635"/>
    </row>
    <row r="772" spans="1:61" ht="16.2" customHeight="1">
      <c r="A772" s="12"/>
      <c r="B772" s="446"/>
      <c r="C772" s="89"/>
      <c r="D772" s="13"/>
      <c r="E772" s="14"/>
      <c r="F772" s="14"/>
      <c r="G772" s="15"/>
      <c r="H772" s="8"/>
      <c r="I772" s="8"/>
      <c r="J772" s="89"/>
      <c r="K772" s="8"/>
      <c r="L772" s="8"/>
      <c r="M772" s="8" t="str">
        <f>IF(L772="","",
IF(AX772="PT",VLOOKUP(L772,Foundation_Calc!$V$4:$X$37,VLOOKUP(AX772,Foundation_Calc!$I$10:$J$13,2,FALSE),0),
IF(AX772="K",VLOOKUP(L772,Foundation_Calc!$V$41:$X$74,VLOOKUP(AX772,Foundation_Calc!$I$10:$J$13,2,FALSE),0),"")))</f>
        <v/>
      </c>
      <c r="N772" s="8"/>
      <c r="O772" s="8"/>
      <c r="P772" s="8"/>
      <c r="Q772" s="14"/>
      <c r="R772" s="15"/>
      <c r="S772" s="15"/>
      <c r="T772" s="14"/>
      <c r="U772" s="14"/>
      <c r="V772" s="14"/>
      <c r="W772" s="18"/>
      <c r="X772" s="18"/>
      <c r="Y772" s="18"/>
      <c r="Z772" s="18"/>
      <c r="AA772" s="18"/>
      <c r="AB772" s="18"/>
      <c r="AC772" s="8" t="str">
        <f t="shared" si="82"/>
        <v/>
      </c>
      <c r="AD772" s="8"/>
      <c r="AE772" s="8"/>
      <c r="AF772" s="14"/>
      <c r="AG772" s="13"/>
      <c r="AH772" s="14"/>
      <c r="AI772" s="14"/>
      <c r="AJ772" s="8"/>
      <c r="AK772" s="8"/>
      <c r="AL772" s="8"/>
      <c r="AM772" s="8"/>
      <c r="AN772" s="631"/>
      <c r="AO772" s="18"/>
      <c r="AP772" s="18"/>
      <c r="AQ772" s="18"/>
      <c r="AR772" s="18"/>
      <c r="AS772" s="18"/>
      <c r="AU772" s="448"/>
      <c r="AV772" s="448"/>
      <c r="AW772" s="8" t="str">
        <f>IF(C772&gt;0,VLOOKUP(C772,Foundation_Calc!$A$2:$C$986,3,1),
IF(J772&gt;0,VLOOKUP(J772,Foundation_Calc!$A$2:$C$986,3,1),""))</f>
        <v/>
      </c>
      <c r="AX772" s="8" t="str">
        <f>IF(C772&gt;0,VLOOKUP(C772,Foundation_Calc!$E$2:$G$986,3,1),
IF(J772&gt;0,VLOOKUP(J772,Foundation_Calc!$E$2:$G$986,3,1),""))</f>
        <v/>
      </c>
      <c r="AY772" s="631" t="str">
        <f>IF(L772="","",
IF(AX772="PT",VLOOKUP(L772,Foundation_Calc!$K$4:$R$37,VLOOKUP(AW772,Foundation_Calc!$I$2:$J$8,2,FALSE),0),
IF(AX772="K",VLOOKUP(L772,Foundation_Calc!$K$41:$R$74,VLOOKUP(AW772,Foundation_Calc!$I$2:$J$8,2,FALSE),0),"")))</f>
        <v/>
      </c>
      <c r="AZ772" s="631" t="str">
        <f>IF(K772="","",
IF(AX772="PT",VLOOKUP(K772,Foundation_Calc!$K$4:$R$37,VLOOKUP(AW772,Foundation_Calc!$I$2:$J$8,2,FALSE),0),
IF(AX772="K",VLOOKUP(K772,Foundation_Calc!$K$41:$R$74,VLOOKUP(AW772,Foundation_Calc!$I$2:$J$8,2,FALSE),0),"")))</f>
        <v/>
      </c>
      <c r="BA772" s="632" t="str">
        <f t="shared" si="83"/>
        <v/>
      </c>
      <c r="BB772" s="632" t="str">
        <f t="shared" si="84"/>
        <v/>
      </c>
      <c r="BC772" s="632" t="str">
        <f t="shared" si="85"/>
        <v/>
      </c>
      <c r="BD772" s="633" t="str">
        <f>IF(AND(L772="",H772=""),"",
IF(H772="",Pole_Calc!A800,
IF(H772="MP",Pole_Calc!A801,
IF(H772="AnMP",Pole_Calc!A802,
IF(H772="A",Pole_Calc!A803,
IF(H772="S/A",Pole_Calc!A804,
IF(H772="A/S",Pole_Calc!A805,"Poner a mano")))))))</f>
        <v/>
      </c>
      <c r="BE772" s="448" t="s">
        <v>1726</v>
      </c>
      <c r="BF772" s="634"/>
      <c r="BG772" s="634"/>
      <c r="BH772" s="634"/>
      <c r="BI772" s="634"/>
    </row>
    <row r="773" spans="1:61" ht="16.2" customHeight="1">
      <c r="A773" s="12"/>
      <c r="B773" s="446"/>
      <c r="C773" s="89"/>
      <c r="D773" s="13"/>
      <c r="E773" s="14"/>
      <c r="F773" s="14"/>
      <c r="G773" s="15"/>
      <c r="H773" s="8"/>
      <c r="I773" s="8"/>
      <c r="J773" s="89"/>
      <c r="K773" s="8"/>
      <c r="L773" s="8"/>
      <c r="M773" s="8" t="str">
        <f>IF(L773="","",
IF(AX773="PT",VLOOKUP(L773,Foundation_Calc!$V$4:$X$37,VLOOKUP(AX773,Foundation_Calc!$I$10:$J$13,2,FALSE),0),
IF(AX773="K",VLOOKUP(L773,Foundation_Calc!$V$41:$X$74,VLOOKUP(AX773,Foundation_Calc!$I$10:$J$13,2,FALSE),0),"")))</f>
        <v/>
      </c>
      <c r="N773" s="8"/>
      <c r="O773" s="8"/>
      <c r="P773" s="8"/>
      <c r="Q773" s="14"/>
      <c r="R773" s="15"/>
      <c r="S773" s="15"/>
      <c r="T773" s="14"/>
      <c r="U773" s="14"/>
      <c r="V773" s="14"/>
      <c r="W773" s="18"/>
      <c r="X773" s="18"/>
      <c r="Y773" s="18"/>
      <c r="Z773" s="18"/>
      <c r="AA773" s="18"/>
      <c r="AB773" s="18"/>
      <c r="AC773" s="8" t="str">
        <f t="shared" si="82"/>
        <v/>
      </c>
      <c r="AD773" s="8"/>
      <c r="AE773" s="8"/>
      <c r="AF773" s="14"/>
      <c r="AG773" s="13"/>
      <c r="AH773" s="14"/>
      <c r="AI773" s="14"/>
      <c r="AJ773" s="8"/>
      <c r="AK773" s="8"/>
      <c r="AL773" s="8"/>
      <c r="AM773" s="8"/>
      <c r="AN773" s="631"/>
      <c r="AO773" s="18"/>
      <c r="AP773" s="18"/>
      <c r="AQ773" s="18"/>
      <c r="AR773" s="18"/>
      <c r="AS773" s="18"/>
      <c r="AU773" s="448"/>
      <c r="AV773" s="448"/>
      <c r="AW773" s="8" t="str">
        <f>IF(C773&gt;0,VLOOKUP(C773,Foundation_Calc!$A$2:$C$986,3,1),
IF(J773&gt;0,VLOOKUP(J773,Foundation_Calc!$A$2:$C$986,3,1),""))</f>
        <v/>
      </c>
      <c r="AX773" s="8" t="str">
        <f>IF(C773&gt;0,VLOOKUP(C773,Foundation_Calc!$E$2:$G$986,3,1),
IF(J773&gt;0,VLOOKUP(J773,Foundation_Calc!$E$2:$G$986,3,1),""))</f>
        <v/>
      </c>
      <c r="AY773" s="631" t="str">
        <f>IF(L773="","",
IF(AX773="PT",VLOOKUP(L773,Foundation_Calc!$K$4:$R$37,VLOOKUP(AW773,Foundation_Calc!$I$2:$J$8,2,FALSE),0),
IF(AX773="K",VLOOKUP(L773,Foundation_Calc!$K$41:$R$74,VLOOKUP(AW773,Foundation_Calc!$I$2:$J$8,2,FALSE),0),"")))</f>
        <v/>
      </c>
      <c r="AZ773" s="631" t="str">
        <f>IF(K773="","",
IF(AX773="PT",VLOOKUP(K773,Foundation_Calc!$K$4:$R$37,VLOOKUP(AW773,Foundation_Calc!$I$2:$J$8,2,FALSE),0),
IF(AX773="K",VLOOKUP(K773,Foundation_Calc!$K$41:$R$74,VLOOKUP(AW773,Foundation_Calc!$I$2:$J$8,2,FALSE),0),"")))</f>
        <v/>
      </c>
      <c r="BA773" s="632" t="str">
        <f t="shared" si="83"/>
        <v/>
      </c>
      <c r="BB773" s="632" t="str">
        <f t="shared" si="84"/>
        <v/>
      </c>
      <c r="BC773" s="632" t="str">
        <f t="shared" si="85"/>
        <v/>
      </c>
      <c r="BD773" s="633" t="str">
        <f>IF(AND(L773="",H773=""),"",
IF(H773="",Pole_Calc!A801,
IF(H773="MP",Pole_Calc!A802,
IF(H773="AnMP",Pole_Calc!A803,
IF(H773="A",Pole_Calc!A804,
IF(H773="S/A",Pole_Calc!A805,
IF(H773="A/S",Pole_Calc!A806,"Poner a mano")))))))</f>
        <v/>
      </c>
      <c r="BE773" s="448" t="s">
        <v>1726</v>
      </c>
      <c r="BF773" s="635"/>
      <c r="BG773" s="635"/>
      <c r="BH773" s="634"/>
      <c r="BI773" s="635"/>
    </row>
    <row r="774" spans="1:61" ht="16.2" customHeight="1">
      <c r="A774" s="12"/>
      <c r="B774" s="446"/>
      <c r="C774" s="89"/>
      <c r="D774" s="13"/>
      <c r="E774" s="14"/>
      <c r="F774" s="14"/>
      <c r="G774" s="15"/>
      <c r="H774" s="8"/>
      <c r="I774" s="8"/>
      <c r="J774" s="89"/>
      <c r="K774" s="8"/>
      <c r="L774" s="8"/>
      <c r="M774" s="8" t="str">
        <f>IF(L774="","",
IF(AX774="PT",VLOOKUP(L774,Foundation_Calc!$V$4:$X$37,VLOOKUP(AX774,Foundation_Calc!$I$10:$J$13,2,FALSE),0),
IF(AX774="K",VLOOKUP(L774,Foundation_Calc!$V$41:$X$74,VLOOKUP(AX774,Foundation_Calc!$I$10:$J$13,2,FALSE),0),"")))</f>
        <v/>
      </c>
      <c r="N774" s="8"/>
      <c r="O774" s="8"/>
      <c r="P774" s="8"/>
      <c r="Q774" s="14"/>
      <c r="R774" s="15"/>
      <c r="S774" s="15"/>
      <c r="T774" s="14"/>
      <c r="U774" s="14"/>
      <c r="V774" s="14"/>
      <c r="W774" s="18"/>
      <c r="X774" s="18"/>
      <c r="Y774" s="18"/>
      <c r="Z774" s="18"/>
      <c r="AA774" s="18"/>
      <c r="AB774" s="18"/>
      <c r="AC774" s="8" t="str">
        <f t="shared" ref="AC774:AC800" si="86">IF(OR(AT774&gt;8,AT774&lt;-8),"PH",
IF(OR(AT774&gt;5,AT774&lt;-5),"PHQ",
IF(OR(AT774&gt;1,AT774&lt;-1),
"PHC","")))</f>
        <v/>
      </c>
      <c r="AD774" s="8"/>
      <c r="AE774" s="8"/>
      <c r="AF774" s="14"/>
      <c r="AG774" s="13"/>
      <c r="AH774" s="14"/>
      <c r="AI774" s="14"/>
      <c r="AJ774" s="8"/>
      <c r="AK774" s="8"/>
      <c r="AL774" s="8"/>
      <c r="AM774" s="8"/>
      <c r="AN774" s="631"/>
      <c r="AO774" s="18"/>
      <c r="AP774" s="18"/>
      <c r="AQ774" s="18"/>
      <c r="AR774" s="18"/>
      <c r="AS774" s="18"/>
      <c r="AU774" s="448"/>
      <c r="AV774" s="448"/>
      <c r="AW774" s="8" t="str">
        <f>IF(C774&gt;0,VLOOKUP(C774,Foundation_Calc!$A$2:$C$986,3,1),
IF(J774&gt;0,VLOOKUP(J774,Foundation_Calc!$A$2:$C$986,3,1),""))</f>
        <v/>
      </c>
      <c r="AX774" s="8" t="str">
        <f>IF(C774&gt;0,VLOOKUP(C774,Foundation_Calc!$E$2:$G$986,3,1),
IF(J774&gt;0,VLOOKUP(J774,Foundation_Calc!$E$2:$G$986,3,1),""))</f>
        <v/>
      </c>
      <c r="AY774" s="631" t="str">
        <f>IF(L774="","",
IF(AX774="PT",VLOOKUP(L774,Foundation_Calc!$K$4:$R$37,VLOOKUP(AW774,Foundation_Calc!$I$2:$J$8,2,FALSE),0),
IF(AX774="K",VLOOKUP(L774,Foundation_Calc!$K$41:$R$74,VLOOKUP(AW774,Foundation_Calc!$I$2:$J$8,2,FALSE),0),"")))</f>
        <v/>
      </c>
      <c r="AZ774" s="631" t="str">
        <f>IF(K774="","",
IF(AX774="PT",VLOOKUP(K774,Foundation_Calc!$K$4:$R$37,VLOOKUP(AW774,Foundation_Calc!$I$2:$J$8,2,FALSE),0),
IF(AX774="K",VLOOKUP(K774,Foundation_Calc!$K$41:$R$74,VLOOKUP(AW774,Foundation_Calc!$I$2:$J$8,2,FALSE),0),"")))</f>
        <v/>
      </c>
      <c r="BA774" s="632" t="str">
        <f t="shared" ref="BA774:BA800" si="87">IF(AY774="","",IF(AY774&gt;0,"ü",""))</f>
        <v/>
      </c>
      <c r="BB774" s="632" t="str">
        <f t="shared" ref="BB774:BB800" si="88">IF(AZ774="","",IF(AZ774&gt;0,"ü",""))</f>
        <v/>
      </c>
      <c r="BC774" s="632" t="str">
        <f t="shared" ref="BC774:BC800" si="89">IF(M774="","",IF(M774="Unique Solution","ü",""))</f>
        <v/>
      </c>
      <c r="BD774" s="633" t="str">
        <f>IF(AND(L774="",H774=""),"",
IF(H774="",Pole_Calc!A802,
IF(H774="MP",Pole_Calc!A803,
IF(H774="AnMP",Pole_Calc!A804,
IF(H774="A",Pole_Calc!A805,
IF(H774="S/A",Pole_Calc!A806,
IF(H774="A/S",Pole_Calc!A807,"Poner a mano")))))))</f>
        <v/>
      </c>
      <c r="BE774" s="448" t="s">
        <v>1726</v>
      </c>
      <c r="BF774" s="634"/>
      <c r="BG774" s="634"/>
      <c r="BH774" s="634"/>
      <c r="BI774" s="634"/>
    </row>
    <row r="775" spans="1:61" ht="16.2" customHeight="1">
      <c r="A775" s="12"/>
      <c r="B775" s="446"/>
      <c r="C775" s="89"/>
      <c r="D775" s="13"/>
      <c r="E775" s="14"/>
      <c r="F775" s="14"/>
      <c r="G775" s="15"/>
      <c r="H775" s="8"/>
      <c r="I775" s="8"/>
      <c r="J775" s="89"/>
      <c r="K775" s="8"/>
      <c r="L775" s="8"/>
      <c r="M775" s="8" t="str">
        <f>IF(L775="","",
IF(AX775="PT",VLOOKUP(L775,Foundation_Calc!$V$4:$X$37,VLOOKUP(AX775,Foundation_Calc!$I$10:$J$13,2,FALSE),0),
IF(AX775="K",VLOOKUP(L775,Foundation_Calc!$V$41:$X$74,VLOOKUP(AX775,Foundation_Calc!$I$10:$J$13,2,FALSE),0),"")))</f>
        <v/>
      </c>
      <c r="N775" s="8"/>
      <c r="O775" s="8"/>
      <c r="P775" s="8"/>
      <c r="Q775" s="14"/>
      <c r="R775" s="15"/>
      <c r="S775" s="15"/>
      <c r="T775" s="14"/>
      <c r="U775" s="14"/>
      <c r="V775" s="14"/>
      <c r="W775" s="18"/>
      <c r="X775" s="18"/>
      <c r="Y775" s="18"/>
      <c r="Z775" s="18"/>
      <c r="AA775" s="18"/>
      <c r="AB775" s="18"/>
      <c r="AC775" s="8" t="str">
        <f t="shared" si="86"/>
        <v/>
      </c>
      <c r="AD775" s="8"/>
      <c r="AE775" s="8"/>
      <c r="AF775" s="14"/>
      <c r="AG775" s="13"/>
      <c r="AH775" s="14"/>
      <c r="AI775" s="14"/>
      <c r="AJ775" s="8"/>
      <c r="AK775" s="8"/>
      <c r="AL775" s="8"/>
      <c r="AM775" s="8"/>
      <c r="AN775" s="631"/>
      <c r="AO775" s="18"/>
      <c r="AP775" s="18"/>
      <c r="AQ775" s="18"/>
      <c r="AR775" s="18"/>
      <c r="AS775" s="18"/>
      <c r="AU775" s="448"/>
      <c r="AV775" s="448"/>
      <c r="AW775" s="8" t="str">
        <f>IF(C775&gt;0,VLOOKUP(C775,Foundation_Calc!$A$2:$C$986,3,1),
IF(J775&gt;0,VLOOKUP(J775,Foundation_Calc!$A$2:$C$986,3,1),""))</f>
        <v/>
      </c>
      <c r="AX775" s="8" t="str">
        <f>IF(C775&gt;0,VLOOKUP(C775,Foundation_Calc!$E$2:$G$986,3,1),
IF(J775&gt;0,VLOOKUP(J775,Foundation_Calc!$E$2:$G$986,3,1),""))</f>
        <v/>
      </c>
      <c r="AY775" s="631" t="str">
        <f>IF(L775="","",
IF(AX775="PT",VLOOKUP(L775,Foundation_Calc!$K$4:$R$37,VLOOKUP(AW775,Foundation_Calc!$I$2:$J$8,2,FALSE),0),
IF(AX775="K",VLOOKUP(L775,Foundation_Calc!$K$41:$R$74,VLOOKUP(AW775,Foundation_Calc!$I$2:$J$8,2,FALSE),0),"")))</f>
        <v/>
      </c>
      <c r="AZ775" s="631" t="str">
        <f>IF(K775="","",
IF(AX775="PT",VLOOKUP(K775,Foundation_Calc!$K$4:$R$37,VLOOKUP(AW775,Foundation_Calc!$I$2:$J$8,2,FALSE),0),
IF(AX775="K",VLOOKUP(K775,Foundation_Calc!$K$41:$R$74,VLOOKUP(AW775,Foundation_Calc!$I$2:$J$8,2,FALSE),0),"")))</f>
        <v/>
      </c>
      <c r="BA775" s="632" t="str">
        <f t="shared" si="87"/>
        <v/>
      </c>
      <c r="BB775" s="632" t="str">
        <f t="shared" si="88"/>
        <v/>
      </c>
      <c r="BC775" s="632" t="str">
        <f t="shared" si="89"/>
        <v/>
      </c>
      <c r="BD775" s="633" t="str">
        <f>IF(AND(L775="",H775=""),"",
IF(H775="",Pole_Calc!A803,
IF(H775="MP",Pole_Calc!A804,
IF(H775="AnMP",Pole_Calc!A805,
IF(H775="A",Pole_Calc!A806,
IF(H775="S/A",Pole_Calc!A807,
IF(H775="A/S",Pole_Calc!A808,"Poner a mano")))))))</f>
        <v/>
      </c>
      <c r="BE775" s="448" t="s">
        <v>1726</v>
      </c>
      <c r="BF775" s="635"/>
      <c r="BG775" s="635"/>
      <c r="BH775" s="634"/>
      <c r="BI775" s="635"/>
    </row>
    <row r="776" spans="1:61" ht="16.2" customHeight="1">
      <c r="A776" s="12"/>
      <c r="B776" s="446"/>
      <c r="C776" s="89"/>
      <c r="D776" s="13"/>
      <c r="E776" s="14"/>
      <c r="F776" s="14"/>
      <c r="G776" s="15"/>
      <c r="H776" s="8"/>
      <c r="I776" s="8"/>
      <c r="J776" s="89"/>
      <c r="K776" s="8"/>
      <c r="L776" s="8"/>
      <c r="M776" s="8" t="str">
        <f>IF(L776="","",
IF(AX776="PT",VLOOKUP(L776,Foundation_Calc!$V$4:$X$37,VLOOKUP(AX776,Foundation_Calc!$I$10:$J$13,2,FALSE),0),
IF(AX776="K",VLOOKUP(L776,Foundation_Calc!$V$41:$X$74,VLOOKUP(AX776,Foundation_Calc!$I$10:$J$13,2,FALSE),0),"")))</f>
        <v/>
      </c>
      <c r="N776" s="8"/>
      <c r="O776" s="8"/>
      <c r="P776" s="8"/>
      <c r="Q776" s="14"/>
      <c r="R776" s="15"/>
      <c r="S776" s="15"/>
      <c r="T776" s="14"/>
      <c r="U776" s="14"/>
      <c r="V776" s="14"/>
      <c r="W776" s="18"/>
      <c r="X776" s="18"/>
      <c r="Y776" s="18"/>
      <c r="Z776" s="18"/>
      <c r="AA776" s="18"/>
      <c r="AB776" s="18"/>
      <c r="AC776" s="8" t="str">
        <f t="shared" si="86"/>
        <v/>
      </c>
      <c r="AD776" s="8"/>
      <c r="AE776" s="8"/>
      <c r="AF776" s="14"/>
      <c r="AG776" s="13"/>
      <c r="AH776" s="14"/>
      <c r="AI776" s="14"/>
      <c r="AJ776" s="8"/>
      <c r="AK776" s="8"/>
      <c r="AL776" s="8"/>
      <c r="AM776" s="8"/>
      <c r="AN776" s="631"/>
      <c r="AO776" s="18"/>
      <c r="AP776" s="18"/>
      <c r="AQ776" s="18"/>
      <c r="AR776" s="18"/>
      <c r="AS776" s="18"/>
      <c r="AU776" s="448"/>
      <c r="AV776" s="448"/>
      <c r="AW776" s="8" t="str">
        <f>IF(C776&gt;0,VLOOKUP(C776,Foundation_Calc!$A$2:$C$986,3,1),
IF(J776&gt;0,VLOOKUP(J776,Foundation_Calc!$A$2:$C$986,3,1),""))</f>
        <v/>
      </c>
      <c r="AX776" s="8" t="str">
        <f>IF(C776&gt;0,VLOOKUP(C776,Foundation_Calc!$E$2:$G$986,3,1),
IF(J776&gt;0,VLOOKUP(J776,Foundation_Calc!$E$2:$G$986,3,1),""))</f>
        <v/>
      </c>
      <c r="AY776" s="631" t="str">
        <f>IF(L776="","",
IF(AX776="PT",VLOOKUP(L776,Foundation_Calc!$K$4:$R$37,VLOOKUP(AW776,Foundation_Calc!$I$2:$J$8,2,FALSE),0),
IF(AX776="K",VLOOKUP(L776,Foundation_Calc!$K$41:$R$74,VLOOKUP(AW776,Foundation_Calc!$I$2:$J$8,2,FALSE),0),"")))</f>
        <v/>
      </c>
      <c r="AZ776" s="631" t="str">
        <f>IF(K776="","",
IF(AX776="PT",VLOOKUP(K776,Foundation_Calc!$K$4:$R$37,VLOOKUP(AW776,Foundation_Calc!$I$2:$J$8,2,FALSE),0),
IF(AX776="K",VLOOKUP(K776,Foundation_Calc!$K$41:$R$74,VLOOKUP(AW776,Foundation_Calc!$I$2:$J$8,2,FALSE),0),"")))</f>
        <v/>
      </c>
      <c r="BA776" s="632" t="str">
        <f t="shared" si="87"/>
        <v/>
      </c>
      <c r="BB776" s="632" t="str">
        <f t="shared" si="88"/>
        <v/>
      </c>
      <c r="BC776" s="632" t="str">
        <f t="shared" si="89"/>
        <v/>
      </c>
      <c r="BD776" s="633" t="str">
        <f>IF(AND(L776="",H776=""),"",
IF(H776="",Pole_Calc!A804,
IF(H776="MP",Pole_Calc!A805,
IF(H776="AnMP",Pole_Calc!A806,
IF(H776="A",Pole_Calc!A807,
IF(H776="S/A",Pole_Calc!A808,
IF(H776="A/S",Pole_Calc!A809,"Poner a mano")))))))</f>
        <v/>
      </c>
      <c r="BE776" s="448" t="s">
        <v>1726</v>
      </c>
      <c r="BF776" s="634"/>
      <c r="BG776" s="634"/>
      <c r="BH776" s="634"/>
      <c r="BI776" s="634"/>
    </row>
    <row r="777" spans="1:61" ht="16.2" customHeight="1">
      <c r="A777" s="12"/>
      <c r="B777" s="446"/>
      <c r="C777" s="89"/>
      <c r="D777" s="13"/>
      <c r="E777" s="14"/>
      <c r="F777" s="14"/>
      <c r="G777" s="15"/>
      <c r="H777" s="8"/>
      <c r="I777" s="8"/>
      <c r="J777" s="89"/>
      <c r="K777" s="8"/>
      <c r="L777" s="8"/>
      <c r="M777" s="8" t="str">
        <f>IF(L777="","",
IF(AX777="PT",VLOOKUP(L777,Foundation_Calc!$V$4:$X$37,VLOOKUP(AX777,Foundation_Calc!$I$10:$J$13,2,FALSE),0),
IF(AX777="K",VLOOKUP(L777,Foundation_Calc!$V$41:$X$74,VLOOKUP(AX777,Foundation_Calc!$I$10:$J$13,2,FALSE),0),"")))</f>
        <v/>
      </c>
      <c r="N777" s="8"/>
      <c r="O777" s="8"/>
      <c r="P777" s="8"/>
      <c r="Q777" s="14"/>
      <c r="R777" s="15"/>
      <c r="S777" s="15"/>
      <c r="T777" s="14"/>
      <c r="U777" s="14"/>
      <c r="V777" s="14"/>
      <c r="W777" s="18"/>
      <c r="X777" s="18"/>
      <c r="Y777" s="18"/>
      <c r="Z777" s="18"/>
      <c r="AA777" s="18"/>
      <c r="AB777" s="18"/>
      <c r="AC777" s="8" t="str">
        <f t="shared" si="86"/>
        <v/>
      </c>
      <c r="AD777" s="8"/>
      <c r="AE777" s="8"/>
      <c r="AF777" s="14"/>
      <c r="AG777" s="13"/>
      <c r="AH777" s="14"/>
      <c r="AI777" s="14"/>
      <c r="AJ777" s="8"/>
      <c r="AK777" s="8"/>
      <c r="AL777" s="8"/>
      <c r="AM777" s="8"/>
      <c r="AN777" s="631"/>
      <c r="AO777" s="18"/>
      <c r="AP777" s="18"/>
      <c r="AQ777" s="18"/>
      <c r="AR777" s="18"/>
      <c r="AS777" s="18"/>
      <c r="AU777" s="448"/>
      <c r="AV777" s="448"/>
      <c r="AW777" s="8" t="str">
        <f>IF(C777&gt;0,VLOOKUP(C777,Foundation_Calc!$A$2:$C$986,3,1),
IF(J777&gt;0,VLOOKUP(J777,Foundation_Calc!$A$2:$C$986,3,1),""))</f>
        <v/>
      </c>
      <c r="AX777" s="8" t="str">
        <f>IF(C777&gt;0,VLOOKUP(C777,Foundation_Calc!$E$2:$G$986,3,1),
IF(J777&gt;0,VLOOKUP(J777,Foundation_Calc!$E$2:$G$986,3,1),""))</f>
        <v/>
      </c>
      <c r="AY777" s="631" t="str">
        <f>IF(L777="","",
IF(AX777="PT",VLOOKUP(L777,Foundation_Calc!$K$4:$R$37,VLOOKUP(AW777,Foundation_Calc!$I$2:$J$8,2,FALSE),0),
IF(AX777="K",VLOOKUP(L777,Foundation_Calc!$K$41:$R$74,VLOOKUP(AW777,Foundation_Calc!$I$2:$J$8,2,FALSE),0),"")))</f>
        <v/>
      </c>
      <c r="AZ777" s="631" t="str">
        <f>IF(K777="","",
IF(AX777="PT",VLOOKUP(K777,Foundation_Calc!$K$4:$R$37,VLOOKUP(AW777,Foundation_Calc!$I$2:$J$8,2,FALSE),0),
IF(AX777="K",VLOOKUP(K777,Foundation_Calc!$K$41:$R$74,VLOOKUP(AW777,Foundation_Calc!$I$2:$J$8,2,FALSE),0),"")))</f>
        <v/>
      </c>
      <c r="BA777" s="632" t="str">
        <f t="shared" si="87"/>
        <v/>
      </c>
      <c r="BB777" s="632" t="str">
        <f t="shared" si="88"/>
        <v/>
      </c>
      <c r="BC777" s="632" t="str">
        <f t="shared" si="89"/>
        <v/>
      </c>
      <c r="BD777" s="633" t="str">
        <f>IF(AND(L777="",H777=""),"",
IF(H777="",Pole_Calc!A805,
IF(H777="MP",Pole_Calc!A806,
IF(H777="AnMP",Pole_Calc!A807,
IF(H777="A",Pole_Calc!A808,
IF(H777="S/A",Pole_Calc!A809,
IF(H777="A/S",Pole_Calc!A810,"Poner a mano")))))))</f>
        <v/>
      </c>
      <c r="BE777" s="448" t="s">
        <v>1726</v>
      </c>
      <c r="BF777" s="635"/>
      <c r="BG777" s="635"/>
      <c r="BH777" s="634"/>
      <c r="BI777" s="635"/>
    </row>
    <row r="778" spans="1:61" ht="16.2" customHeight="1">
      <c r="A778" s="12"/>
      <c r="B778" s="446"/>
      <c r="C778" s="89"/>
      <c r="D778" s="13"/>
      <c r="E778" s="14"/>
      <c r="F778" s="14"/>
      <c r="G778" s="15"/>
      <c r="H778" s="8"/>
      <c r="I778" s="8"/>
      <c r="J778" s="89"/>
      <c r="K778" s="8"/>
      <c r="L778" s="8"/>
      <c r="M778" s="8" t="str">
        <f>IF(L778="","",
IF(AX778="PT",VLOOKUP(L778,Foundation_Calc!$V$4:$X$37,VLOOKUP(AX778,Foundation_Calc!$I$10:$J$13,2,FALSE),0),
IF(AX778="K",VLOOKUP(L778,Foundation_Calc!$V$41:$X$74,VLOOKUP(AX778,Foundation_Calc!$I$10:$J$13,2,FALSE),0),"")))</f>
        <v/>
      </c>
      <c r="N778" s="8"/>
      <c r="O778" s="8"/>
      <c r="P778" s="8"/>
      <c r="Q778" s="14"/>
      <c r="R778" s="15"/>
      <c r="S778" s="15"/>
      <c r="T778" s="14"/>
      <c r="U778" s="14"/>
      <c r="V778" s="14"/>
      <c r="W778" s="18"/>
      <c r="X778" s="18"/>
      <c r="Y778" s="18"/>
      <c r="Z778" s="18"/>
      <c r="AA778" s="18"/>
      <c r="AB778" s="18"/>
      <c r="AC778" s="8" t="str">
        <f t="shared" si="86"/>
        <v/>
      </c>
      <c r="AD778" s="8"/>
      <c r="AE778" s="8"/>
      <c r="AF778" s="14"/>
      <c r="AG778" s="13"/>
      <c r="AH778" s="14"/>
      <c r="AI778" s="14"/>
      <c r="AJ778" s="8"/>
      <c r="AK778" s="8"/>
      <c r="AL778" s="8"/>
      <c r="AM778" s="8"/>
      <c r="AN778" s="631"/>
      <c r="AO778" s="18"/>
      <c r="AP778" s="18"/>
      <c r="AQ778" s="18"/>
      <c r="AR778" s="18"/>
      <c r="AS778" s="18"/>
      <c r="AU778" s="448"/>
      <c r="AV778" s="448"/>
      <c r="AW778" s="8" t="str">
        <f>IF(C778&gt;0,VLOOKUP(C778,Foundation_Calc!$A$2:$C$986,3,1),
IF(J778&gt;0,VLOOKUP(J778,Foundation_Calc!$A$2:$C$986,3,1),""))</f>
        <v/>
      </c>
      <c r="AX778" s="8" t="str">
        <f>IF(C778&gt;0,VLOOKUP(C778,Foundation_Calc!$E$2:$G$986,3,1),
IF(J778&gt;0,VLOOKUP(J778,Foundation_Calc!$E$2:$G$986,3,1),""))</f>
        <v/>
      </c>
      <c r="AY778" s="631" t="str">
        <f>IF(L778="","",
IF(AX778="PT",VLOOKUP(L778,Foundation_Calc!$K$4:$R$37,VLOOKUP(AW778,Foundation_Calc!$I$2:$J$8,2,FALSE),0),
IF(AX778="K",VLOOKUP(L778,Foundation_Calc!$K$41:$R$74,VLOOKUP(AW778,Foundation_Calc!$I$2:$J$8,2,FALSE),0),"")))</f>
        <v/>
      </c>
      <c r="AZ778" s="631" t="str">
        <f>IF(K778="","",
IF(AX778="PT",VLOOKUP(K778,Foundation_Calc!$K$4:$R$37,VLOOKUP(AW778,Foundation_Calc!$I$2:$J$8,2,FALSE),0),
IF(AX778="K",VLOOKUP(K778,Foundation_Calc!$K$41:$R$74,VLOOKUP(AW778,Foundation_Calc!$I$2:$J$8,2,FALSE),0),"")))</f>
        <v/>
      </c>
      <c r="BA778" s="632" t="str">
        <f t="shared" si="87"/>
        <v/>
      </c>
      <c r="BB778" s="632" t="str">
        <f t="shared" si="88"/>
        <v/>
      </c>
      <c r="BC778" s="632" t="str">
        <f t="shared" si="89"/>
        <v/>
      </c>
      <c r="BD778" s="633" t="str">
        <f>IF(AND(L778="",H778=""),"",
IF(H778="",Pole_Calc!A806,
IF(H778="MP",Pole_Calc!A807,
IF(H778="AnMP",Pole_Calc!A808,
IF(H778="A",Pole_Calc!A809,
IF(H778="S/A",Pole_Calc!A810,
IF(H778="A/S",Pole_Calc!A811,"Poner a mano")))))))</f>
        <v/>
      </c>
      <c r="BE778" s="448" t="s">
        <v>1726</v>
      </c>
      <c r="BF778" s="634"/>
      <c r="BG778" s="634"/>
      <c r="BH778" s="634"/>
      <c r="BI778" s="634"/>
    </row>
    <row r="779" spans="1:61" ht="16.2" customHeight="1">
      <c r="A779" s="12"/>
      <c r="B779" s="446"/>
      <c r="C779" s="89"/>
      <c r="D779" s="13"/>
      <c r="E779" s="14"/>
      <c r="F779" s="14"/>
      <c r="G779" s="15"/>
      <c r="H779" s="8"/>
      <c r="I779" s="8"/>
      <c r="J779" s="89"/>
      <c r="K779" s="8"/>
      <c r="L779" s="8"/>
      <c r="M779" s="8" t="str">
        <f>IF(L779="","",
IF(AX779="PT",VLOOKUP(L779,Foundation_Calc!$V$4:$X$37,VLOOKUP(AX779,Foundation_Calc!$I$10:$J$13,2,FALSE),0),
IF(AX779="K",VLOOKUP(L779,Foundation_Calc!$V$41:$X$74,VLOOKUP(AX779,Foundation_Calc!$I$10:$J$13,2,FALSE),0),"")))</f>
        <v/>
      </c>
      <c r="N779" s="8"/>
      <c r="O779" s="8"/>
      <c r="P779" s="8"/>
      <c r="Q779" s="14"/>
      <c r="R779" s="15"/>
      <c r="S779" s="15"/>
      <c r="T779" s="14"/>
      <c r="U779" s="14"/>
      <c r="V779" s="14"/>
      <c r="W779" s="18"/>
      <c r="X779" s="18"/>
      <c r="Y779" s="18"/>
      <c r="Z779" s="18"/>
      <c r="AA779" s="18"/>
      <c r="AB779" s="18"/>
      <c r="AC779" s="8" t="str">
        <f t="shared" si="86"/>
        <v/>
      </c>
      <c r="AD779" s="8"/>
      <c r="AE779" s="8"/>
      <c r="AF779" s="14"/>
      <c r="AG779" s="13"/>
      <c r="AH779" s="14"/>
      <c r="AI779" s="14"/>
      <c r="AJ779" s="8"/>
      <c r="AK779" s="8"/>
      <c r="AL779" s="8"/>
      <c r="AM779" s="8"/>
      <c r="AN779" s="631"/>
      <c r="AO779" s="18"/>
      <c r="AP779" s="18"/>
      <c r="AQ779" s="18"/>
      <c r="AR779" s="18"/>
      <c r="AS779" s="18"/>
      <c r="AU779" s="448"/>
      <c r="AV779" s="448"/>
      <c r="AW779" s="8" t="str">
        <f>IF(C779&gt;0,VLOOKUP(C779,Foundation_Calc!$A$2:$C$986,3,1),
IF(J779&gt;0,VLOOKUP(J779,Foundation_Calc!$A$2:$C$986,3,1),""))</f>
        <v/>
      </c>
      <c r="AX779" s="8" t="str">
        <f>IF(C779&gt;0,VLOOKUP(C779,Foundation_Calc!$E$2:$G$986,3,1),
IF(J779&gt;0,VLOOKUP(J779,Foundation_Calc!$E$2:$G$986,3,1),""))</f>
        <v/>
      </c>
      <c r="AY779" s="631" t="str">
        <f>IF(L779="","",
IF(AX779="PT",VLOOKUP(L779,Foundation_Calc!$K$4:$R$37,VLOOKUP(AW779,Foundation_Calc!$I$2:$J$8,2,FALSE),0),
IF(AX779="K",VLOOKUP(L779,Foundation_Calc!$K$41:$R$74,VLOOKUP(AW779,Foundation_Calc!$I$2:$J$8,2,FALSE),0),"")))</f>
        <v/>
      </c>
      <c r="AZ779" s="631" t="str">
        <f>IF(K779="","",
IF(AX779="PT",VLOOKUP(K779,Foundation_Calc!$K$4:$R$37,VLOOKUP(AW779,Foundation_Calc!$I$2:$J$8,2,FALSE),0),
IF(AX779="K",VLOOKUP(K779,Foundation_Calc!$K$41:$R$74,VLOOKUP(AW779,Foundation_Calc!$I$2:$J$8,2,FALSE),0),"")))</f>
        <v/>
      </c>
      <c r="BA779" s="632" t="str">
        <f t="shared" si="87"/>
        <v/>
      </c>
      <c r="BB779" s="632" t="str">
        <f t="shared" si="88"/>
        <v/>
      </c>
      <c r="BC779" s="632" t="str">
        <f t="shared" si="89"/>
        <v/>
      </c>
      <c r="BD779" s="633" t="str">
        <f>IF(AND(L779="",H779=""),"",
IF(H779="",Pole_Calc!A807,
IF(H779="MP",Pole_Calc!A808,
IF(H779="AnMP",Pole_Calc!A809,
IF(H779="A",Pole_Calc!A810,
IF(H779="S/A",Pole_Calc!A811,
IF(H779="A/S",Pole_Calc!A812,"Poner a mano")))))))</f>
        <v/>
      </c>
      <c r="BE779" s="448" t="s">
        <v>1726</v>
      </c>
      <c r="BF779" s="635"/>
      <c r="BG779" s="635"/>
      <c r="BH779" s="634"/>
      <c r="BI779" s="635"/>
    </row>
    <row r="780" spans="1:61" ht="16.2" customHeight="1">
      <c r="A780" s="12"/>
      <c r="B780" s="446"/>
      <c r="C780" s="89"/>
      <c r="D780" s="13"/>
      <c r="E780" s="14"/>
      <c r="F780" s="14"/>
      <c r="G780" s="15"/>
      <c r="H780" s="8"/>
      <c r="I780" s="8"/>
      <c r="J780" s="89"/>
      <c r="K780" s="8"/>
      <c r="L780" s="8"/>
      <c r="M780" s="8" t="str">
        <f>IF(L780="","",
IF(AX780="PT",VLOOKUP(L780,Foundation_Calc!$V$4:$X$37,VLOOKUP(AX780,Foundation_Calc!$I$10:$J$13,2,FALSE),0),
IF(AX780="K",VLOOKUP(L780,Foundation_Calc!$V$41:$X$74,VLOOKUP(AX780,Foundation_Calc!$I$10:$J$13,2,FALSE),0),"")))</f>
        <v/>
      </c>
      <c r="N780" s="8"/>
      <c r="O780" s="8"/>
      <c r="P780" s="8"/>
      <c r="Q780" s="14"/>
      <c r="R780" s="15"/>
      <c r="S780" s="15"/>
      <c r="T780" s="14"/>
      <c r="U780" s="14"/>
      <c r="V780" s="14"/>
      <c r="W780" s="18"/>
      <c r="X780" s="18"/>
      <c r="Y780" s="18"/>
      <c r="Z780" s="18"/>
      <c r="AA780" s="18"/>
      <c r="AB780" s="18"/>
      <c r="AC780" s="8" t="str">
        <f t="shared" si="86"/>
        <v/>
      </c>
      <c r="AD780" s="8"/>
      <c r="AE780" s="8"/>
      <c r="AF780" s="14"/>
      <c r="AG780" s="13"/>
      <c r="AH780" s="14"/>
      <c r="AI780" s="14"/>
      <c r="AJ780" s="8"/>
      <c r="AK780" s="8"/>
      <c r="AL780" s="8"/>
      <c r="AM780" s="8"/>
      <c r="AN780" s="631"/>
      <c r="AO780" s="18"/>
      <c r="AP780" s="18"/>
      <c r="AQ780" s="18"/>
      <c r="AR780" s="18"/>
      <c r="AS780" s="18"/>
      <c r="AU780" s="448"/>
      <c r="AV780" s="448"/>
      <c r="AW780" s="8" t="str">
        <f>IF(C780&gt;0,VLOOKUP(C780,Foundation_Calc!$A$2:$C$986,3,1),
IF(J780&gt;0,VLOOKUP(J780,Foundation_Calc!$A$2:$C$986,3,1),""))</f>
        <v/>
      </c>
      <c r="AX780" s="8" t="str">
        <f>IF(C780&gt;0,VLOOKUP(C780,Foundation_Calc!$E$2:$G$986,3,1),
IF(J780&gt;0,VLOOKUP(J780,Foundation_Calc!$E$2:$G$986,3,1),""))</f>
        <v/>
      </c>
      <c r="AY780" s="631" t="str">
        <f>IF(L780="","",
IF(AX780="PT",VLOOKUP(L780,Foundation_Calc!$K$4:$R$37,VLOOKUP(AW780,Foundation_Calc!$I$2:$J$8,2,FALSE),0),
IF(AX780="K",VLOOKUP(L780,Foundation_Calc!$K$41:$R$74,VLOOKUP(AW780,Foundation_Calc!$I$2:$J$8,2,FALSE),0),"")))</f>
        <v/>
      </c>
      <c r="AZ780" s="631" t="str">
        <f>IF(K780="","",
IF(AX780="PT",VLOOKUP(K780,Foundation_Calc!$K$4:$R$37,VLOOKUP(AW780,Foundation_Calc!$I$2:$J$8,2,FALSE),0),
IF(AX780="K",VLOOKUP(K780,Foundation_Calc!$K$41:$R$74,VLOOKUP(AW780,Foundation_Calc!$I$2:$J$8,2,FALSE),0),"")))</f>
        <v/>
      </c>
      <c r="BA780" s="632" t="str">
        <f t="shared" si="87"/>
        <v/>
      </c>
      <c r="BB780" s="632" t="str">
        <f t="shared" si="88"/>
        <v/>
      </c>
      <c r="BC780" s="632" t="str">
        <f t="shared" si="89"/>
        <v/>
      </c>
      <c r="BD780" s="633" t="str">
        <f>IF(AND(L780="",H780=""),"",
IF(H780="",Pole_Calc!A808,
IF(H780="MP",Pole_Calc!A809,
IF(H780="AnMP",Pole_Calc!A810,
IF(H780="A",Pole_Calc!A811,
IF(H780="S/A",Pole_Calc!A812,
IF(H780="A/S",Pole_Calc!A813,"Poner a mano")))))))</f>
        <v/>
      </c>
      <c r="BE780" s="448" t="s">
        <v>1726</v>
      </c>
      <c r="BF780" s="634"/>
      <c r="BG780" s="634"/>
      <c r="BH780" s="634"/>
      <c r="BI780" s="634"/>
    </row>
    <row r="781" spans="1:61" ht="16.2" customHeight="1">
      <c r="A781" s="12"/>
      <c r="B781" s="446"/>
      <c r="C781" s="89"/>
      <c r="D781" s="13"/>
      <c r="E781" s="14"/>
      <c r="F781" s="14"/>
      <c r="G781" s="15"/>
      <c r="H781" s="8"/>
      <c r="I781" s="8"/>
      <c r="J781" s="89"/>
      <c r="K781" s="8"/>
      <c r="L781" s="8"/>
      <c r="M781" s="8" t="str">
        <f>IF(L781="","",
IF(AX781="PT",VLOOKUP(L781,Foundation_Calc!$V$4:$X$37,VLOOKUP(AX781,Foundation_Calc!$I$10:$J$13,2,FALSE),0),
IF(AX781="K",VLOOKUP(L781,Foundation_Calc!$V$41:$X$74,VLOOKUP(AX781,Foundation_Calc!$I$10:$J$13,2,FALSE),0),"")))</f>
        <v/>
      </c>
      <c r="N781" s="8"/>
      <c r="O781" s="8"/>
      <c r="P781" s="8"/>
      <c r="Q781" s="14"/>
      <c r="R781" s="15"/>
      <c r="S781" s="15"/>
      <c r="T781" s="14"/>
      <c r="U781" s="14"/>
      <c r="V781" s="14"/>
      <c r="W781" s="18"/>
      <c r="X781" s="18"/>
      <c r="Y781" s="18"/>
      <c r="Z781" s="18"/>
      <c r="AA781" s="18"/>
      <c r="AB781" s="18"/>
      <c r="AC781" s="8" t="str">
        <f t="shared" si="86"/>
        <v/>
      </c>
      <c r="AD781" s="8"/>
      <c r="AE781" s="8"/>
      <c r="AF781" s="14"/>
      <c r="AG781" s="13"/>
      <c r="AH781" s="14"/>
      <c r="AI781" s="14"/>
      <c r="AJ781" s="8"/>
      <c r="AK781" s="8"/>
      <c r="AL781" s="8"/>
      <c r="AM781" s="8"/>
      <c r="AN781" s="631"/>
      <c r="AO781" s="18"/>
      <c r="AP781" s="18"/>
      <c r="AQ781" s="18"/>
      <c r="AR781" s="18"/>
      <c r="AS781" s="18"/>
      <c r="AU781" s="448"/>
      <c r="AV781" s="448"/>
      <c r="AW781" s="8" t="str">
        <f>IF(C781&gt;0,VLOOKUP(C781,Foundation_Calc!$A$2:$C$986,3,1),
IF(J781&gt;0,VLOOKUP(J781,Foundation_Calc!$A$2:$C$986,3,1),""))</f>
        <v/>
      </c>
      <c r="AX781" s="8" t="str">
        <f>IF(C781&gt;0,VLOOKUP(C781,Foundation_Calc!$E$2:$G$986,3,1),
IF(J781&gt;0,VLOOKUP(J781,Foundation_Calc!$E$2:$G$986,3,1),""))</f>
        <v/>
      </c>
      <c r="AY781" s="631" t="str">
        <f>IF(L781="","",
IF(AX781="PT",VLOOKUP(L781,Foundation_Calc!$K$4:$R$37,VLOOKUP(AW781,Foundation_Calc!$I$2:$J$8,2,FALSE),0),
IF(AX781="K",VLOOKUP(L781,Foundation_Calc!$K$41:$R$74,VLOOKUP(AW781,Foundation_Calc!$I$2:$J$8,2,FALSE),0),"")))</f>
        <v/>
      </c>
      <c r="AZ781" s="631" t="str">
        <f>IF(K781="","",
IF(AX781="PT",VLOOKUP(K781,Foundation_Calc!$K$4:$R$37,VLOOKUP(AW781,Foundation_Calc!$I$2:$J$8,2,FALSE),0),
IF(AX781="K",VLOOKUP(K781,Foundation_Calc!$K$41:$R$74,VLOOKUP(AW781,Foundation_Calc!$I$2:$J$8,2,FALSE),0),"")))</f>
        <v/>
      </c>
      <c r="BA781" s="632" t="str">
        <f t="shared" si="87"/>
        <v/>
      </c>
      <c r="BB781" s="632" t="str">
        <f t="shared" si="88"/>
        <v/>
      </c>
      <c r="BC781" s="632" t="str">
        <f t="shared" si="89"/>
        <v/>
      </c>
      <c r="BD781" s="633" t="str">
        <f>IF(AND(L781="",H781=""),"",
IF(H781="",Pole_Calc!A809,
IF(H781="MP",Pole_Calc!A810,
IF(H781="AnMP",Pole_Calc!A811,
IF(H781="A",Pole_Calc!A812,
IF(H781="S/A",Pole_Calc!A813,
IF(H781="A/S",Pole_Calc!A814,"Poner a mano")))))))</f>
        <v/>
      </c>
      <c r="BE781" s="448" t="s">
        <v>1726</v>
      </c>
      <c r="BF781" s="635"/>
      <c r="BG781" s="635"/>
      <c r="BH781" s="634"/>
      <c r="BI781" s="635"/>
    </row>
    <row r="782" spans="1:61" ht="16.2" customHeight="1">
      <c r="A782" s="12"/>
      <c r="B782" s="446"/>
      <c r="C782" s="89"/>
      <c r="D782" s="13"/>
      <c r="E782" s="14"/>
      <c r="F782" s="14"/>
      <c r="G782" s="15"/>
      <c r="H782" s="8"/>
      <c r="I782" s="8"/>
      <c r="J782" s="89"/>
      <c r="K782" s="8"/>
      <c r="L782" s="8"/>
      <c r="M782" s="8" t="str">
        <f>IF(L782="","",
IF(AX782="PT",VLOOKUP(L782,Foundation_Calc!$V$4:$X$37,VLOOKUP(AX782,Foundation_Calc!$I$10:$J$13,2,FALSE),0),
IF(AX782="K",VLOOKUP(L782,Foundation_Calc!$V$41:$X$74,VLOOKUP(AX782,Foundation_Calc!$I$10:$J$13,2,FALSE),0),"")))</f>
        <v/>
      </c>
      <c r="N782" s="8"/>
      <c r="O782" s="8"/>
      <c r="P782" s="8"/>
      <c r="Q782" s="14"/>
      <c r="R782" s="15"/>
      <c r="S782" s="15"/>
      <c r="T782" s="14"/>
      <c r="U782" s="14"/>
      <c r="V782" s="14"/>
      <c r="W782" s="18"/>
      <c r="X782" s="18"/>
      <c r="Y782" s="18"/>
      <c r="Z782" s="18"/>
      <c r="AA782" s="18"/>
      <c r="AB782" s="18"/>
      <c r="AC782" s="8" t="str">
        <f t="shared" si="86"/>
        <v/>
      </c>
      <c r="AD782" s="8"/>
      <c r="AE782" s="8"/>
      <c r="AF782" s="14"/>
      <c r="AG782" s="13"/>
      <c r="AH782" s="14"/>
      <c r="AI782" s="14"/>
      <c r="AJ782" s="8"/>
      <c r="AK782" s="8"/>
      <c r="AL782" s="8"/>
      <c r="AM782" s="8"/>
      <c r="AN782" s="631"/>
      <c r="AO782" s="18"/>
      <c r="AP782" s="18"/>
      <c r="AQ782" s="18"/>
      <c r="AR782" s="18"/>
      <c r="AS782" s="18"/>
      <c r="AU782" s="448"/>
      <c r="AV782" s="448"/>
      <c r="AW782" s="8" t="str">
        <f>IF(C782&gt;0,VLOOKUP(C782,Foundation_Calc!$A$2:$C$986,3,1),
IF(J782&gt;0,VLOOKUP(J782,Foundation_Calc!$A$2:$C$986,3,1),""))</f>
        <v/>
      </c>
      <c r="AX782" s="8" t="str">
        <f>IF(C782&gt;0,VLOOKUP(C782,Foundation_Calc!$E$2:$G$986,3,1),
IF(J782&gt;0,VLOOKUP(J782,Foundation_Calc!$E$2:$G$986,3,1),""))</f>
        <v/>
      </c>
      <c r="AY782" s="631" t="str">
        <f>IF(L782="","",
IF(AX782="PT",VLOOKUP(L782,Foundation_Calc!$K$4:$R$37,VLOOKUP(AW782,Foundation_Calc!$I$2:$J$8,2,FALSE),0),
IF(AX782="K",VLOOKUP(L782,Foundation_Calc!$K$41:$R$74,VLOOKUP(AW782,Foundation_Calc!$I$2:$J$8,2,FALSE),0),"")))</f>
        <v/>
      </c>
      <c r="AZ782" s="631" t="str">
        <f>IF(K782="","",
IF(AX782="PT",VLOOKUP(K782,Foundation_Calc!$K$4:$R$37,VLOOKUP(AW782,Foundation_Calc!$I$2:$J$8,2,FALSE),0),
IF(AX782="K",VLOOKUP(K782,Foundation_Calc!$K$41:$R$74,VLOOKUP(AW782,Foundation_Calc!$I$2:$J$8,2,FALSE),0),"")))</f>
        <v/>
      </c>
      <c r="BA782" s="632" t="str">
        <f t="shared" si="87"/>
        <v/>
      </c>
      <c r="BB782" s="632" t="str">
        <f t="shared" si="88"/>
        <v/>
      </c>
      <c r="BC782" s="632" t="str">
        <f t="shared" si="89"/>
        <v/>
      </c>
      <c r="BD782" s="633" t="str">
        <f>IF(AND(L782="",H782=""),"",
IF(H782="",Pole_Calc!A810,
IF(H782="MP",Pole_Calc!A811,
IF(H782="AnMP",Pole_Calc!A812,
IF(H782="A",Pole_Calc!A813,
IF(H782="S/A",Pole_Calc!A814,
IF(H782="A/S",Pole_Calc!A815,"Poner a mano")))))))</f>
        <v/>
      </c>
      <c r="BE782" s="448" t="s">
        <v>1726</v>
      </c>
      <c r="BF782" s="634"/>
      <c r="BG782" s="634"/>
      <c r="BH782" s="634"/>
      <c r="BI782" s="634"/>
    </row>
    <row r="783" spans="1:61" ht="16.2" customHeight="1">
      <c r="A783" s="12"/>
      <c r="B783" s="446"/>
      <c r="C783" s="89"/>
      <c r="D783" s="13"/>
      <c r="E783" s="14"/>
      <c r="F783" s="14"/>
      <c r="G783" s="15"/>
      <c r="H783" s="8"/>
      <c r="I783" s="8"/>
      <c r="J783" s="89"/>
      <c r="K783" s="8"/>
      <c r="L783" s="8"/>
      <c r="M783" s="8" t="str">
        <f>IF(L783="","",
IF(AX783="PT",VLOOKUP(L783,Foundation_Calc!$V$4:$X$37,VLOOKUP(AX783,Foundation_Calc!$I$10:$J$13,2,FALSE),0),
IF(AX783="K",VLOOKUP(L783,Foundation_Calc!$V$41:$X$74,VLOOKUP(AX783,Foundation_Calc!$I$10:$J$13,2,FALSE),0),"")))</f>
        <v/>
      </c>
      <c r="N783" s="8"/>
      <c r="O783" s="8"/>
      <c r="P783" s="8"/>
      <c r="Q783" s="14"/>
      <c r="R783" s="15"/>
      <c r="S783" s="15"/>
      <c r="T783" s="14"/>
      <c r="U783" s="14"/>
      <c r="V783" s="14"/>
      <c r="W783" s="18"/>
      <c r="X783" s="18"/>
      <c r="Y783" s="18"/>
      <c r="Z783" s="18"/>
      <c r="AA783" s="18"/>
      <c r="AB783" s="18"/>
      <c r="AC783" s="8" t="str">
        <f t="shared" si="86"/>
        <v/>
      </c>
      <c r="AD783" s="8"/>
      <c r="AE783" s="8"/>
      <c r="AF783" s="14"/>
      <c r="AG783" s="13"/>
      <c r="AH783" s="14"/>
      <c r="AI783" s="14"/>
      <c r="AJ783" s="8"/>
      <c r="AK783" s="8"/>
      <c r="AL783" s="8"/>
      <c r="AM783" s="8"/>
      <c r="AN783" s="631"/>
      <c r="AO783" s="18"/>
      <c r="AP783" s="18"/>
      <c r="AQ783" s="18"/>
      <c r="AR783" s="18"/>
      <c r="AS783" s="18"/>
      <c r="AU783" s="448"/>
      <c r="AV783" s="448"/>
      <c r="AW783" s="8" t="str">
        <f>IF(C783&gt;0,VLOOKUP(C783,Foundation_Calc!$A$2:$C$986,3,1),
IF(J783&gt;0,VLOOKUP(J783,Foundation_Calc!$A$2:$C$986,3,1),""))</f>
        <v/>
      </c>
      <c r="AX783" s="8" t="str">
        <f>IF(C783&gt;0,VLOOKUP(C783,Foundation_Calc!$E$2:$G$986,3,1),
IF(J783&gt;0,VLOOKUP(J783,Foundation_Calc!$E$2:$G$986,3,1),""))</f>
        <v/>
      </c>
      <c r="AY783" s="631" t="str">
        <f>IF(L783="","",
IF(AX783="PT",VLOOKUP(L783,Foundation_Calc!$K$4:$R$37,VLOOKUP(AW783,Foundation_Calc!$I$2:$J$8,2,FALSE),0),
IF(AX783="K",VLOOKUP(L783,Foundation_Calc!$K$41:$R$74,VLOOKUP(AW783,Foundation_Calc!$I$2:$J$8,2,FALSE),0),"")))</f>
        <v/>
      </c>
      <c r="AZ783" s="631" t="str">
        <f>IF(K783="","",
IF(AX783="PT",VLOOKUP(K783,Foundation_Calc!$K$4:$R$37,VLOOKUP(AW783,Foundation_Calc!$I$2:$J$8,2,FALSE),0),
IF(AX783="K",VLOOKUP(K783,Foundation_Calc!$K$41:$R$74,VLOOKUP(AW783,Foundation_Calc!$I$2:$J$8,2,FALSE),0),"")))</f>
        <v/>
      </c>
      <c r="BA783" s="632" t="str">
        <f t="shared" si="87"/>
        <v/>
      </c>
      <c r="BB783" s="632" t="str">
        <f t="shared" si="88"/>
        <v/>
      </c>
      <c r="BC783" s="632" t="str">
        <f t="shared" si="89"/>
        <v/>
      </c>
      <c r="BD783" s="633" t="str">
        <f>IF(AND(L783="",H783=""),"",
IF(H783="",Pole_Calc!A811,
IF(H783="MP",Pole_Calc!A812,
IF(H783="AnMP",Pole_Calc!A813,
IF(H783="A",Pole_Calc!A814,
IF(H783="S/A",Pole_Calc!A815,
IF(H783="A/S",Pole_Calc!A816,"Poner a mano")))))))</f>
        <v/>
      </c>
      <c r="BE783" s="448" t="s">
        <v>1726</v>
      </c>
      <c r="BF783" s="635"/>
      <c r="BG783" s="635"/>
      <c r="BH783" s="634"/>
      <c r="BI783" s="635"/>
    </row>
    <row r="784" spans="1:61" ht="16.2" customHeight="1">
      <c r="A784" s="12"/>
      <c r="B784" s="446"/>
      <c r="C784" s="89"/>
      <c r="D784" s="13"/>
      <c r="E784" s="14"/>
      <c r="F784" s="14"/>
      <c r="G784" s="15"/>
      <c r="H784" s="8"/>
      <c r="I784" s="8"/>
      <c r="J784" s="89"/>
      <c r="K784" s="8"/>
      <c r="L784" s="8"/>
      <c r="M784" s="8" t="str">
        <f>IF(L784="","",
IF(AX784="PT",VLOOKUP(L784,Foundation_Calc!$V$4:$X$37,VLOOKUP(AX784,Foundation_Calc!$I$10:$J$13,2,FALSE),0),
IF(AX784="K",VLOOKUP(L784,Foundation_Calc!$V$41:$X$74,VLOOKUP(AX784,Foundation_Calc!$I$10:$J$13,2,FALSE),0),"")))</f>
        <v/>
      </c>
      <c r="N784" s="8"/>
      <c r="O784" s="8"/>
      <c r="P784" s="8"/>
      <c r="Q784" s="14"/>
      <c r="R784" s="15"/>
      <c r="S784" s="15"/>
      <c r="T784" s="14"/>
      <c r="U784" s="14"/>
      <c r="V784" s="14"/>
      <c r="W784" s="18"/>
      <c r="X784" s="18"/>
      <c r="Y784" s="18"/>
      <c r="Z784" s="18"/>
      <c r="AA784" s="18"/>
      <c r="AB784" s="18"/>
      <c r="AC784" s="8" t="str">
        <f t="shared" si="86"/>
        <v/>
      </c>
      <c r="AD784" s="8"/>
      <c r="AE784" s="8"/>
      <c r="AF784" s="14"/>
      <c r="AG784" s="13"/>
      <c r="AH784" s="14"/>
      <c r="AI784" s="14"/>
      <c r="AJ784" s="8"/>
      <c r="AK784" s="8"/>
      <c r="AL784" s="8"/>
      <c r="AM784" s="8"/>
      <c r="AN784" s="631"/>
      <c r="AO784" s="18"/>
      <c r="AP784" s="18"/>
      <c r="AQ784" s="18"/>
      <c r="AR784" s="18"/>
      <c r="AS784" s="18"/>
      <c r="AU784" s="448"/>
      <c r="AV784" s="448"/>
      <c r="AW784" s="8" t="str">
        <f>IF(C784&gt;0,VLOOKUP(C784,Foundation_Calc!$A$2:$C$986,3,1),
IF(J784&gt;0,VLOOKUP(J784,Foundation_Calc!$A$2:$C$986,3,1),""))</f>
        <v/>
      </c>
      <c r="AX784" s="8" t="str">
        <f>IF(C784&gt;0,VLOOKUP(C784,Foundation_Calc!$E$2:$G$986,3,1),
IF(J784&gt;0,VLOOKUP(J784,Foundation_Calc!$E$2:$G$986,3,1),""))</f>
        <v/>
      </c>
      <c r="AY784" s="631" t="str">
        <f>IF(L784="","",
IF(AX784="PT",VLOOKUP(L784,Foundation_Calc!$K$4:$R$37,VLOOKUP(AW784,Foundation_Calc!$I$2:$J$8,2,FALSE),0),
IF(AX784="K",VLOOKUP(L784,Foundation_Calc!$K$41:$R$74,VLOOKUP(AW784,Foundation_Calc!$I$2:$J$8,2,FALSE),0),"")))</f>
        <v/>
      </c>
      <c r="AZ784" s="631" t="str">
        <f>IF(K784="","",
IF(AX784="PT",VLOOKUP(K784,Foundation_Calc!$K$4:$R$37,VLOOKUP(AW784,Foundation_Calc!$I$2:$J$8,2,FALSE),0),
IF(AX784="K",VLOOKUP(K784,Foundation_Calc!$K$41:$R$74,VLOOKUP(AW784,Foundation_Calc!$I$2:$J$8,2,FALSE),0),"")))</f>
        <v/>
      </c>
      <c r="BA784" s="632" t="str">
        <f t="shared" si="87"/>
        <v/>
      </c>
      <c r="BB784" s="632" t="str">
        <f t="shared" si="88"/>
        <v/>
      </c>
      <c r="BC784" s="632" t="str">
        <f t="shared" si="89"/>
        <v/>
      </c>
      <c r="BD784" s="633" t="str">
        <f>IF(AND(L784="",H784=""),"",
IF(H784="",Pole_Calc!A812,
IF(H784="MP",Pole_Calc!A813,
IF(H784="AnMP",Pole_Calc!A814,
IF(H784="A",Pole_Calc!A815,
IF(H784="S/A",Pole_Calc!A816,
IF(H784="A/S",Pole_Calc!A817,"Poner a mano")))))))</f>
        <v/>
      </c>
      <c r="BE784" s="448" t="s">
        <v>1726</v>
      </c>
      <c r="BF784" s="634"/>
      <c r="BG784" s="634"/>
      <c r="BH784" s="634"/>
      <c r="BI784" s="634"/>
    </row>
    <row r="785" spans="1:61" ht="16.2" customHeight="1">
      <c r="A785" s="12"/>
      <c r="B785" s="446"/>
      <c r="C785" s="89"/>
      <c r="D785" s="13"/>
      <c r="E785" s="14"/>
      <c r="F785" s="14"/>
      <c r="G785" s="15"/>
      <c r="H785" s="8"/>
      <c r="I785" s="8"/>
      <c r="J785" s="89"/>
      <c r="K785" s="8"/>
      <c r="L785" s="8"/>
      <c r="M785" s="8" t="str">
        <f>IF(L785="","",
IF(AX785="PT",VLOOKUP(L785,Foundation_Calc!$V$4:$X$37,VLOOKUP(AX785,Foundation_Calc!$I$10:$J$13,2,FALSE),0),
IF(AX785="K",VLOOKUP(L785,Foundation_Calc!$V$41:$X$74,VLOOKUP(AX785,Foundation_Calc!$I$10:$J$13,2,FALSE),0),"")))</f>
        <v/>
      </c>
      <c r="N785" s="8"/>
      <c r="O785" s="8"/>
      <c r="P785" s="8"/>
      <c r="Q785" s="14"/>
      <c r="R785" s="15"/>
      <c r="S785" s="15"/>
      <c r="T785" s="14"/>
      <c r="U785" s="14"/>
      <c r="V785" s="14"/>
      <c r="W785" s="18"/>
      <c r="X785" s="18"/>
      <c r="Y785" s="18"/>
      <c r="Z785" s="18"/>
      <c r="AA785" s="18"/>
      <c r="AB785" s="18"/>
      <c r="AC785" s="8" t="str">
        <f t="shared" si="86"/>
        <v/>
      </c>
      <c r="AD785" s="8"/>
      <c r="AE785" s="8"/>
      <c r="AF785" s="14"/>
      <c r="AG785" s="13"/>
      <c r="AH785" s="14"/>
      <c r="AI785" s="14"/>
      <c r="AJ785" s="8"/>
      <c r="AK785" s="8"/>
      <c r="AL785" s="8"/>
      <c r="AM785" s="8"/>
      <c r="AN785" s="631"/>
      <c r="AO785" s="18"/>
      <c r="AP785" s="18"/>
      <c r="AQ785" s="18"/>
      <c r="AR785" s="18"/>
      <c r="AS785" s="18"/>
      <c r="AU785" s="448"/>
      <c r="AV785" s="448"/>
      <c r="AW785" s="8" t="str">
        <f>IF(C785&gt;0,VLOOKUP(C785,Foundation_Calc!$A$2:$C$986,3,1),
IF(J785&gt;0,VLOOKUP(J785,Foundation_Calc!$A$2:$C$986,3,1),""))</f>
        <v/>
      </c>
      <c r="AX785" s="8" t="str">
        <f>IF(C785&gt;0,VLOOKUP(C785,Foundation_Calc!$E$2:$G$986,3,1),
IF(J785&gt;0,VLOOKUP(J785,Foundation_Calc!$E$2:$G$986,3,1),""))</f>
        <v/>
      </c>
      <c r="AY785" s="631" t="str">
        <f>IF(L785="","",
IF(AX785="PT",VLOOKUP(L785,Foundation_Calc!$K$4:$R$37,VLOOKUP(AW785,Foundation_Calc!$I$2:$J$8,2,FALSE),0),
IF(AX785="K",VLOOKUP(L785,Foundation_Calc!$K$41:$R$74,VLOOKUP(AW785,Foundation_Calc!$I$2:$J$8,2,FALSE),0),"")))</f>
        <v/>
      </c>
      <c r="AZ785" s="631" t="str">
        <f>IF(K785="","",
IF(AX785="PT",VLOOKUP(K785,Foundation_Calc!$K$4:$R$37,VLOOKUP(AW785,Foundation_Calc!$I$2:$J$8,2,FALSE),0),
IF(AX785="K",VLOOKUP(K785,Foundation_Calc!$K$41:$R$74,VLOOKUP(AW785,Foundation_Calc!$I$2:$J$8,2,FALSE),0),"")))</f>
        <v/>
      </c>
      <c r="BA785" s="632" t="str">
        <f t="shared" si="87"/>
        <v/>
      </c>
      <c r="BB785" s="632" t="str">
        <f t="shared" si="88"/>
        <v/>
      </c>
      <c r="BC785" s="632" t="str">
        <f t="shared" si="89"/>
        <v/>
      </c>
      <c r="BD785" s="633" t="str">
        <f>IF(AND(L785="",H785=""),"",
IF(H785="",Pole_Calc!A813,
IF(H785="MP",Pole_Calc!A814,
IF(H785="AnMP",Pole_Calc!A815,
IF(H785="A",Pole_Calc!A816,
IF(H785="S/A",Pole_Calc!A817,
IF(H785="A/S",Pole_Calc!A818,"Poner a mano")))))))</f>
        <v/>
      </c>
      <c r="BE785" s="448" t="s">
        <v>1726</v>
      </c>
      <c r="BF785" s="635"/>
      <c r="BG785" s="635"/>
      <c r="BH785" s="634"/>
      <c r="BI785" s="635"/>
    </row>
    <row r="786" spans="1:61" ht="16.2" customHeight="1">
      <c r="A786" s="12"/>
      <c r="B786" s="446"/>
      <c r="C786" s="89"/>
      <c r="D786" s="13"/>
      <c r="E786" s="14"/>
      <c r="F786" s="14"/>
      <c r="G786" s="15"/>
      <c r="H786" s="8"/>
      <c r="I786" s="8"/>
      <c r="J786" s="89"/>
      <c r="K786" s="8"/>
      <c r="L786" s="8"/>
      <c r="M786" s="8" t="str">
        <f>IF(L786="","",
IF(AX786="PT",VLOOKUP(L786,Foundation_Calc!$V$4:$X$37,VLOOKUP(AX786,Foundation_Calc!$I$10:$J$13,2,FALSE),0),
IF(AX786="K",VLOOKUP(L786,Foundation_Calc!$V$41:$X$74,VLOOKUP(AX786,Foundation_Calc!$I$10:$J$13,2,FALSE),0),"")))</f>
        <v/>
      </c>
      <c r="N786" s="8"/>
      <c r="O786" s="8"/>
      <c r="P786" s="8"/>
      <c r="Q786" s="14"/>
      <c r="R786" s="15"/>
      <c r="S786" s="15"/>
      <c r="T786" s="14"/>
      <c r="U786" s="14"/>
      <c r="V786" s="14"/>
      <c r="W786" s="18"/>
      <c r="X786" s="18"/>
      <c r="Y786" s="18"/>
      <c r="Z786" s="18"/>
      <c r="AA786" s="18"/>
      <c r="AB786" s="18"/>
      <c r="AC786" s="8" t="str">
        <f t="shared" si="86"/>
        <v/>
      </c>
      <c r="AD786" s="8"/>
      <c r="AE786" s="8"/>
      <c r="AF786" s="14"/>
      <c r="AG786" s="13"/>
      <c r="AH786" s="14"/>
      <c r="AI786" s="14"/>
      <c r="AJ786" s="8"/>
      <c r="AK786" s="8"/>
      <c r="AL786" s="8"/>
      <c r="AM786" s="8"/>
      <c r="AN786" s="631"/>
      <c r="AO786" s="18"/>
      <c r="AP786" s="18"/>
      <c r="AQ786" s="18"/>
      <c r="AR786" s="18"/>
      <c r="AS786" s="18"/>
      <c r="AU786" s="448"/>
      <c r="AV786" s="448"/>
      <c r="AW786" s="8" t="str">
        <f>IF(C786&gt;0,VLOOKUP(C786,Foundation_Calc!$A$2:$C$986,3,1),
IF(J786&gt;0,VLOOKUP(J786,Foundation_Calc!$A$2:$C$986,3,1),""))</f>
        <v/>
      </c>
      <c r="AX786" s="8" t="str">
        <f>IF(C786&gt;0,VLOOKUP(C786,Foundation_Calc!$E$2:$G$986,3,1),
IF(J786&gt;0,VLOOKUP(J786,Foundation_Calc!$E$2:$G$986,3,1),""))</f>
        <v/>
      </c>
      <c r="AY786" s="631" t="str">
        <f>IF(L786="","",
IF(AX786="PT",VLOOKUP(L786,Foundation_Calc!$K$4:$R$37,VLOOKUP(AW786,Foundation_Calc!$I$2:$J$8,2,FALSE),0),
IF(AX786="K",VLOOKUP(L786,Foundation_Calc!$K$41:$R$74,VLOOKUP(AW786,Foundation_Calc!$I$2:$J$8,2,FALSE),0),"")))</f>
        <v/>
      </c>
      <c r="AZ786" s="631" t="str">
        <f>IF(K786="","",
IF(AX786="PT",VLOOKUP(K786,Foundation_Calc!$K$4:$R$37,VLOOKUP(AW786,Foundation_Calc!$I$2:$J$8,2,FALSE),0),
IF(AX786="K",VLOOKUP(K786,Foundation_Calc!$K$41:$R$74,VLOOKUP(AW786,Foundation_Calc!$I$2:$J$8,2,FALSE),0),"")))</f>
        <v/>
      </c>
      <c r="BA786" s="632" t="str">
        <f t="shared" si="87"/>
        <v/>
      </c>
      <c r="BB786" s="632" t="str">
        <f t="shared" si="88"/>
        <v/>
      </c>
      <c r="BC786" s="632" t="str">
        <f t="shared" si="89"/>
        <v/>
      </c>
      <c r="BD786" s="633" t="str">
        <f>IF(AND(L786="",H786=""),"",
IF(H786="",Pole_Calc!A814,
IF(H786="MP",Pole_Calc!A815,
IF(H786="AnMP",Pole_Calc!A816,
IF(H786="A",Pole_Calc!A817,
IF(H786="S/A",Pole_Calc!A818,
IF(H786="A/S",Pole_Calc!A819,"Poner a mano")))))))</f>
        <v/>
      </c>
      <c r="BE786" s="448" t="s">
        <v>1726</v>
      </c>
      <c r="BF786" s="634"/>
      <c r="BG786" s="634"/>
      <c r="BH786" s="634"/>
      <c r="BI786" s="634"/>
    </row>
    <row r="787" spans="1:61" ht="16.2" customHeight="1">
      <c r="A787" s="12"/>
      <c r="B787" s="446"/>
      <c r="C787" s="89"/>
      <c r="D787" s="13"/>
      <c r="E787" s="14"/>
      <c r="F787" s="14"/>
      <c r="G787" s="15"/>
      <c r="H787" s="8"/>
      <c r="I787" s="8"/>
      <c r="J787" s="89"/>
      <c r="K787" s="8"/>
      <c r="L787" s="8"/>
      <c r="M787" s="8" t="str">
        <f>IF(L787="","",
IF(AX787="PT",VLOOKUP(L787,Foundation_Calc!$V$4:$X$37,VLOOKUP(AX787,Foundation_Calc!$I$10:$J$13,2,FALSE),0),
IF(AX787="K",VLOOKUP(L787,Foundation_Calc!$V$41:$X$74,VLOOKUP(AX787,Foundation_Calc!$I$10:$J$13,2,FALSE),0),"")))</f>
        <v/>
      </c>
      <c r="N787" s="8"/>
      <c r="O787" s="8"/>
      <c r="P787" s="8"/>
      <c r="Q787" s="14"/>
      <c r="R787" s="15"/>
      <c r="S787" s="15"/>
      <c r="T787" s="14"/>
      <c r="U787" s="14"/>
      <c r="V787" s="14"/>
      <c r="W787" s="18"/>
      <c r="X787" s="18"/>
      <c r="Y787" s="18"/>
      <c r="Z787" s="18"/>
      <c r="AA787" s="18"/>
      <c r="AB787" s="18"/>
      <c r="AC787" s="8" t="str">
        <f t="shared" si="86"/>
        <v/>
      </c>
      <c r="AD787" s="8"/>
      <c r="AE787" s="8"/>
      <c r="AF787" s="14"/>
      <c r="AG787" s="13"/>
      <c r="AH787" s="14"/>
      <c r="AI787" s="14"/>
      <c r="AJ787" s="8"/>
      <c r="AK787" s="8"/>
      <c r="AL787" s="8"/>
      <c r="AM787" s="8"/>
      <c r="AN787" s="631"/>
      <c r="AO787" s="18"/>
      <c r="AP787" s="18"/>
      <c r="AQ787" s="18"/>
      <c r="AR787" s="18"/>
      <c r="AS787" s="18"/>
      <c r="AU787" s="448"/>
      <c r="AV787" s="448"/>
      <c r="AW787" s="8" t="str">
        <f>IF(C787&gt;0,VLOOKUP(C787,Foundation_Calc!$A$2:$C$986,3,1),
IF(J787&gt;0,VLOOKUP(J787,Foundation_Calc!$A$2:$C$986,3,1),""))</f>
        <v/>
      </c>
      <c r="AX787" s="8" t="str">
        <f>IF(C787&gt;0,VLOOKUP(C787,Foundation_Calc!$E$2:$G$986,3,1),
IF(J787&gt;0,VLOOKUP(J787,Foundation_Calc!$E$2:$G$986,3,1),""))</f>
        <v/>
      </c>
      <c r="AY787" s="631" t="str">
        <f>IF(L787="","",
IF(AX787="PT",VLOOKUP(L787,Foundation_Calc!$K$4:$R$37,VLOOKUP(AW787,Foundation_Calc!$I$2:$J$8,2,FALSE),0),
IF(AX787="K",VLOOKUP(L787,Foundation_Calc!$K$41:$R$74,VLOOKUP(AW787,Foundation_Calc!$I$2:$J$8,2,FALSE),0),"")))</f>
        <v/>
      </c>
      <c r="AZ787" s="631" t="str">
        <f>IF(K787="","",
IF(AX787="PT",VLOOKUP(K787,Foundation_Calc!$K$4:$R$37,VLOOKUP(AW787,Foundation_Calc!$I$2:$J$8,2,FALSE),0),
IF(AX787="K",VLOOKUP(K787,Foundation_Calc!$K$41:$R$74,VLOOKUP(AW787,Foundation_Calc!$I$2:$J$8,2,FALSE),0),"")))</f>
        <v/>
      </c>
      <c r="BA787" s="632" t="str">
        <f t="shared" si="87"/>
        <v/>
      </c>
      <c r="BB787" s="632" t="str">
        <f t="shared" si="88"/>
        <v/>
      </c>
      <c r="BC787" s="632" t="str">
        <f t="shared" si="89"/>
        <v/>
      </c>
      <c r="BD787" s="633" t="str">
        <f>IF(AND(L787="",H787=""),"",
IF(H787="",Pole_Calc!A815,
IF(H787="MP",Pole_Calc!A816,
IF(H787="AnMP",Pole_Calc!A817,
IF(H787="A",Pole_Calc!A818,
IF(H787="S/A",Pole_Calc!A819,
IF(H787="A/S",Pole_Calc!A820,"Poner a mano")))))))</f>
        <v/>
      </c>
      <c r="BE787" s="448" t="s">
        <v>1726</v>
      </c>
      <c r="BF787" s="635"/>
      <c r="BG787" s="635"/>
      <c r="BH787" s="634"/>
      <c r="BI787" s="635"/>
    </row>
    <row r="788" spans="1:61" ht="16.2" customHeight="1">
      <c r="A788" s="12"/>
      <c r="B788" s="446"/>
      <c r="C788" s="89"/>
      <c r="D788" s="13"/>
      <c r="E788" s="14"/>
      <c r="F788" s="14"/>
      <c r="G788" s="15"/>
      <c r="H788" s="8"/>
      <c r="I788" s="8"/>
      <c r="J788" s="89"/>
      <c r="K788" s="8"/>
      <c r="L788" s="8"/>
      <c r="M788" s="8" t="str">
        <f>IF(L788="","",
IF(AX788="PT",VLOOKUP(L788,Foundation_Calc!$V$4:$X$37,VLOOKUP(AX788,Foundation_Calc!$I$10:$J$13,2,FALSE),0),
IF(AX788="K",VLOOKUP(L788,Foundation_Calc!$V$41:$X$74,VLOOKUP(AX788,Foundation_Calc!$I$10:$J$13,2,FALSE),0),"")))</f>
        <v/>
      </c>
      <c r="N788" s="8"/>
      <c r="O788" s="8"/>
      <c r="P788" s="8"/>
      <c r="Q788" s="14"/>
      <c r="R788" s="15"/>
      <c r="S788" s="15"/>
      <c r="T788" s="14"/>
      <c r="U788" s="14"/>
      <c r="V788" s="14"/>
      <c r="W788" s="18"/>
      <c r="X788" s="18"/>
      <c r="Y788" s="18"/>
      <c r="Z788" s="18"/>
      <c r="AA788" s="18"/>
      <c r="AB788" s="18"/>
      <c r="AC788" s="8" t="str">
        <f t="shared" si="86"/>
        <v/>
      </c>
      <c r="AD788" s="8"/>
      <c r="AE788" s="8"/>
      <c r="AF788" s="14"/>
      <c r="AG788" s="13"/>
      <c r="AH788" s="14"/>
      <c r="AI788" s="14"/>
      <c r="AJ788" s="8"/>
      <c r="AK788" s="8"/>
      <c r="AL788" s="8"/>
      <c r="AM788" s="8"/>
      <c r="AN788" s="631"/>
      <c r="AO788" s="18"/>
      <c r="AP788" s="18"/>
      <c r="AQ788" s="18"/>
      <c r="AR788" s="18"/>
      <c r="AS788" s="18"/>
      <c r="AU788" s="448"/>
      <c r="AV788" s="448"/>
      <c r="AW788" s="8" t="str">
        <f>IF(C788&gt;0,VLOOKUP(C788,Foundation_Calc!$A$2:$C$986,3,1),
IF(J788&gt;0,VLOOKUP(J788,Foundation_Calc!$A$2:$C$986,3,1),""))</f>
        <v/>
      </c>
      <c r="AX788" s="8" t="str">
        <f>IF(C788&gt;0,VLOOKUP(C788,Foundation_Calc!$E$2:$G$986,3,1),
IF(J788&gt;0,VLOOKUP(J788,Foundation_Calc!$E$2:$G$986,3,1),""))</f>
        <v/>
      </c>
      <c r="AY788" s="631" t="str">
        <f>IF(L788="","",
IF(AX788="PT",VLOOKUP(L788,Foundation_Calc!$K$4:$R$37,VLOOKUP(AW788,Foundation_Calc!$I$2:$J$8,2,FALSE),0),
IF(AX788="K",VLOOKUP(L788,Foundation_Calc!$K$41:$R$74,VLOOKUP(AW788,Foundation_Calc!$I$2:$J$8,2,FALSE),0),"")))</f>
        <v/>
      </c>
      <c r="AZ788" s="631" t="str">
        <f>IF(K788="","",
IF(AX788="PT",VLOOKUP(K788,Foundation_Calc!$K$4:$R$37,VLOOKUP(AW788,Foundation_Calc!$I$2:$J$8,2,FALSE),0),
IF(AX788="K",VLOOKUP(K788,Foundation_Calc!$K$41:$R$74,VLOOKUP(AW788,Foundation_Calc!$I$2:$J$8,2,FALSE),0),"")))</f>
        <v/>
      </c>
      <c r="BA788" s="632" t="str">
        <f t="shared" si="87"/>
        <v/>
      </c>
      <c r="BB788" s="632" t="str">
        <f t="shared" si="88"/>
        <v/>
      </c>
      <c r="BC788" s="632" t="str">
        <f t="shared" si="89"/>
        <v/>
      </c>
      <c r="BD788" s="633" t="str">
        <f>IF(AND(L788="",H788=""),"",
IF(H788="",Pole_Calc!A816,
IF(H788="MP",Pole_Calc!A817,
IF(H788="AnMP",Pole_Calc!A818,
IF(H788="A",Pole_Calc!A819,
IF(H788="S/A",Pole_Calc!A820,
IF(H788="A/S",Pole_Calc!A821,"Poner a mano")))))))</f>
        <v/>
      </c>
      <c r="BE788" s="448" t="s">
        <v>1726</v>
      </c>
      <c r="BF788" s="634"/>
      <c r="BG788" s="634"/>
      <c r="BH788" s="634"/>
      <c r="BI788" s="634"/>
    </row>
    <row r="789" spans="1:61" ht="16.2" customHeight="1">
      <c r="A789" s="12"/>
      <c r="B789" s="446"/>
      <c r="C789" s="89"/>
      <c r="D789" s="13"/>
      <c r="E789" s="14"/>
      <c r="F789" s="14"/>
      <c r="G789" s="15"/>
      <c r="H789" s="8"/>
      <c r="I789" s="8"/>
      <c r="J789" s="89"/>
      <c r="K789" s="8"/>
      <c r="L789" s="8"/>
      <c r="M789" s="8" t="str">
        <f>IF(L789="","",
IF(AX789="PT",VLOOKUP(L789,Foundation_Calc!$V$4:$X$37,VLOOKUP(AX789,Foundation_Calc!$I$10:$J$13,2,FALSE),0),
IF(AX789="K",VLOOKUP(L789,Foundation_Calc!$V$41:$X$74,VLOOKUP(AX789,Foundation_Calc!$I$10:$J$13,2,FALSE),0),"")))</f>
        <v/>
      </c>
      <c r="N789" s="8"/>
      <c r="O789" s="8"/>
      <c r="P789" s="8"/>
      <c r="Q789" s="14"/>
      <c r="R789" s="15"/>
      <c r="S789" s="15"/>
      <c r="T789" s="14"/>
      <c r="U789" s="14"/>
      <c r="V789" s="14"/>
      <c r="W789" s="18"/>
      <c r="X789" s="18"/>
      <c r="Y789" s="18"/>
      <c r="Z789" s="18"/>
      <c r="AA789" s="18"/>
      <c r="AB789" s="18"/>
      <c r="AC789" s="8" t="str">
        <f t="shared" si="86"/>
        <v/>
      </c>
      <c r="AD789" s="8"/>
      <c r="AE789" s="8"/>
      <c r="AF789" s="14"/>
      <c r="AG789" s="13"/>
      <c r="AH789" s="14"/>
      <c r="AI789" s="14"/>
      <c r="AJ789" s="8"/>
      <c r="AK789" s="8"/>
      <c r="AL789" s="8"/>
      <c r="AM789" s="8"/>
      <c r="AN789" s="631"/>
      <c r="AO789" s="18"/>
      <c r="AP789" s="18"/>
      <c r="AQ789" s="18"/>
      <c r="AR789" s="18"/>
      <c r="AS789" s="18"/>
      <c r="AU789" s="448"/>
      <c r="AV789" s="448"/>
      <c r="AW789" s="8" t="str">
        <f>IF(C789&gt;0,VLOOKUP(C789,Foundation_Calc!$A$2:$C$986,3,1),
IF(J789&gt;0,VLOOKUP(J789,Foundation_Calc!$A$2:$C$986,3,1),""))</f>
        <v/>
      </c>
      <c r="AX789" s="8" t="str">
        <f>IF(C789&gt;0,VLOOKUP(C789,Foundation_Calc!$E$2:$G$986,3,1),
IF(J789&gt;0,VLOOKUP(J789,Foundation_Calc!$E$2:$G$986,3,1),""))</f>
        <v/>
      </c>
      <c r="AY789" s="631" t="str">
        <f>IF(L789="","",
IF(AX789="PT",VLOOKUP(L789,Foundation_Calc!$K$4:$R$37,VLOOKUP(AW789,Foundation_Calc!$I$2:$J$8,2,FALSE),0),
IF(AX789="K",VLOOKUP(L789,Foundation_Calc!$K$41:$R$74,VLOOKUP(AW789,Foundation_Calc!$I$2:$J$8,2,FALSE),0),"")))</f>
        <v/>
      </c>
      <c r="AZ789" s="631" t="str">
        <f>IF(K789="","",
IF(AX789="PT",VLOOKUP(K789,Foundation_Calc!$K$4:$R$37,VLOOKUP(AW789,Foundation_Calc!$I$2:$J$8,2,FALSE),0),
IF(AX789="K",VLOOKUP(K789,Foundation_Calc!$K$41:$R$74,VLOOKUP(AW789,Foundation_Calc!$I$2:$J$8,2,FALSE),0),"")))</f>
        <v/>
      </c>
      <c r="BA789" s="632" t="str">
        <f t="shared" si="87"/>
        <v/>
      </c>
      <c r="BB789" s="632" t="str">
        <f t="shared" si="88"/>
        <v/>
      </c>
      <c r="BC789" s="632" t="str">
        <f t="shared" si="89"/>
        <v/>
      </c>
      <c r="BD789" s="633" t="str">
        <f>IF(AND(L789="",H789=""),"",
IF(H789="",Pole_Calc!A817,
IF(H789="MP",Pole_Calc!A818,
IF(H789="AnMP",Pole_Calc!A819,
IF(H789="A",Pole_Calc!A820,
IF(H789="S/A",Pole_Calc!A821,
IF(H789="A/S",Pole_Calc!A822,"Poner a mano")))))))</f>
        <v/>
      </c>
      <c r="BE789" s="448" t="s">
        <v>1726</v>
      </c>
      <c r="BF789" s="635"/>
      <c r="BG789" s="635"/>
      <c r="BH789" s="634"/>
      <c r="BI789" s="635"/>
    </row>
    <row r="790" spans="1:61" ht="16.2" customHeight="1">
      <c r="A790" s="12"/>
      <c r="B790" s="446"/>
      <c r="C790" s="89"/>
      <c r="D790" s="13"/>
      <c r="E790" s="14"/>
      <c r="F790" s="14"/>
      <c r="G790" s="15"/>
      <c r="H790" s="8"/>
      <c r="I790" s="8"/>
      <c r="J790" s="89"/>
      <c r="K790" s="8"/>
      <c r="L790" s="8"/>
      <c r="M790" s="8" t="str">
        <f>IF(L790="","",
IF(AX790="PT",VLOOKUP(L790,Foundation_Calc!$V$4:$X$37,VLOOKUP(AX790,Foundation_Calc!$I$10:$J$13,2,FALSE),0),
IF(AX790="K",VLOOKUP(L790,Foundation_Calc!$V$41:$X$74,VLOOKUP(AX790,Foundation_Calc!$I$10:$J$13,2,FALSE),0),"")))</f>
        <v/>
      </c>
      <c r="N790" s="8"/>
      <c r="O790" s="8"/>
      <c r="P790" s="8"/>
      <c r="Q790" s="14"/>
      <c r="R790" s="15"/>
      <c r="S790" s="15"/>
      <c r="T790" s="14"/>
      <c r="U790" s="14"/>
      <c r="V790" s="14"/>
      <c r="W790" s="18"/>
      <c r="X790" s="18"/>
      <c r="Y790" s="18"/>
      <c r="Z790" s="18"/>
      <c r="AA790" s="18"/>
      <c r="AB790" s="18"/>
      <c r="AC790" s="8" t="str">
        <f t="shared" si="86"/>
        <v/>
      </c>
      <c r="AD790" s="8"/>
      <c r="AE790" s="8"/>
      <c r="AF790" s="14"/>
      <c r="AG790" s="13"/>
      <c r="AH790" s="14"/>
      <c r="AI790" s="14"/>
      <c r="AJ790" s="8"/>
      <c r="AK790" s="8"/>
      <c r="AL790" s="8"/>
      <c r="AM790" s="8"/>
      <c r="AN790" s="631"/>
      <c r="AO790" s="18"/>
      <c r="AP790" s="18"/>
      <c r="AQ790" s="18"/>
      <c r="AR790" s="18"/>
      <c r="AS790" s="18"/>
      <c r="AU790" s="448"/>
      <c r="AV790" s="448"/>
      <c r="AW790" s="8" t="str">
        <f>IF(C790&gt;0,VLOOKUP(C790,Foundation_Calc!$A$2:$C$986,3,1),
IF(J790&gt;0,VLOOKUP(J790,Foundation_Calc!$A$2:$C$986,3,1),""))</f>
        <v/>
      </c>
      <c r="AX790" s="8" t="str">
        <f>IF(C790&gt;0,VLOOKUP(C790,Foundation_Calc!$E$2:$G$986,3,1),
IF(J790&gt;0,VLOOKUP(J790,Foundation_Calc!$E$2:$G$986,3,1),""))</f>
        <v/>
      </c>
      <c r="AY790" s="631" t="str">
        <f>IF(L790="","",
IF(AX790="PT",VLOOKUP(L790,Foundation_Calc!$K$4:$R$37,VLOOKUP(AW790,Foundation_Calc!$I$2:$J$8,2,FALSE),0),
IF(AX790="K",VLOOKUP(L790,Foundation_Calc!$K$41:$R$74,VLOOKUP(AW790,Foundation_Calc!$I$2:$J$8,2,FALSE),0),"")))</f>
        <v/>
      </c>
      <c r="AZ790" s="631" t="str">
        <f>IF(K790="","",
IF(AX790="PT",VLOOKUP(K790,Foundation_Calc!$K$4:$R$37,VLOOKUP(AW790,Foundation_Calc!$I$2:$J$8,2,FALSE),0),
IF(AX790="K",VLOOKUP(K790,Foundation_Calc!$K$41:$R$74,VLOOKUP(AW790,Foundation_Calc!$I$2:$J$8,2,FALSE),0),"")))</f>
        <v/>
      </c>
      <c r="BA790" s="632" t="str">
        <f t="shared" si="87"/>
        <v/>
      </c>
      <c r="BB790" s="632" t="str">
        <f t="shared" si="88"/>
        <v/>
      </c>
      <c r="BC790" s="632" t="str">
        <f t="shared" si="89"/>
        <v/>
      </c>
      <c r="BD790" s="633" t="str">
        <f>IF(AND(L790="",H790=""),"",
IF(H790="",Pole_Calc!A818,
IF(H790="MP",Pole_Calc!A819,
IF(H790="AnMP",Pole_Calc!A820,
IF(H790="A",Pole_Calc!A821,
IF(H790="S/A",Pole_Calc!A822,
IF(H790="A/S",Pole_Calc!A823,"Poner a mano")))))))</f>
        <v/>
      </c>
      <c r="BE790" s="448" t="s">
        <v>1726</v>
      </c>
      <c r="BF790" s="634"/>
      <c r="BG790" s="634"/>
      <c r="BH790" s="634"/>
      <c r="BI790" s="634"/>
    </row>
    <row r="791" spans="1:61" ht="16.2" customHeight="1">
      <c r="A791" s="12"/>
      <c r="B791" s="446"/>
      <c r="C791" s="89"/>
      <c r="D791" s="13"/>
      <c r="E791" s="14"/>
      <c r="F791" s="14"/>
      <c r="G791" s="15"/>
      <c r="H791" s="8"/>
      <c r="I791" s="8"/>
      <c r="J791" s="89"/>
      <c r="K791" s="8"/>
      <c r="L791" s="8"/>
      <c r="M791" s="8" t="str">
        <f>IF(L791="","",
IF(AX791="PT",VLOOKUP(L791,Foundation_Calc!$V$4:$X$37,VLOOKUP(AX791,Foundation_Calc!$I$10:$J$13,2,FALSE),0),
IF(AX791="K",VLOOKUP(L791,Foundation_Calc!$V$41:$X$74,VLOOKUP(AX791,Foundation_Calc!$I$10:$J$13,2,FALSE),0),"")))</f>
        <v/>
      </c>
      <c r="N791" s="8"/>
      <c r="O791" s="8"/>
      <c r="P791" s="8"/>
      <c r="Q791" s="14"/>
      <c r="R791" s="15"/>
      <c r="S791" s="15"/>
      <c r="T791" s="14"/>
      <c r="U791" s="14"/>
      <c r="V791" s="14"/>
      <c r="W791" s="18"/>
      <c r="X791" s="18"/>
      <c r="Y791" s="18"/>
      <c r="Z791" s="18"/>
      <c r="AA791" s="18"/>
      <c r="AB791" s="18"/>
      <c r="AC791" s="8" t="str">
        <f t="shared" si="86"/>
        <v/>
      </c>
      <c r="AD791" s="8"/>
      <c r="AE791" s="8"/>
      <c r="AF791" s="14"/>
      <c r="AG791" s="13"/>
      <c r="AH791" s="14"/>
      <c r="AI791" s="14"/>
      <c r="AJ791" s="8"/>
      <c r="AK791" s="8"/>
      <c r="AL791" s="8"/>
      <c r="AM791" s="8"/>
      <c r="AN791" s="631"/>
      <c r="AO791" s="18"/>
      <c r="AP791" s="18"/>
      <c r="AQ791" s="18"/>
      <c r="AR791" s="18"/>
      <c r="AS791" s="18"/>
      <c r="AU791" s="448"/>
      <c r="AV791" s="448"/>
      <c r="AW791" s="8" t="str">
        <f>IF(C791&gt;0,VLOOKUP(C791,Foundation_Calc!$A$2:$C$986,3,1),
IF(J791&gt;0,VLOOKUP(J791,Foundation_Calc!$A$2:$C$986,3,1),""))</f>
        <v/>
      </c>
      <c r="AX791" s="8" t="str">
        <f>IF(C791&gt;0,VLOOKUP(C791,Foundation_Calc!$E$2:$G$986,3,1),
IF(J791&gt;0,VLOOKUP(J791,Foundation_Calc!$E$2:$G$986,3,1),""))</f>
        <v/>
      </c>
      <c r="AY791" s="631" t="str">
        <f>IF(L791="","",
IF(AX791="PT",VLOOKUP(L791,Foundation_Calc!$K$4:$R$37,VLOOKUP(AW791,Foundation_Calc!$I$2:$J$8,2,FALSE),0),
IF(AX791="K",VLOOKUP(L791,Foundation_Calc!$K$41:$R$74,VLOOKUP(AW791,Foundation_Calc!$I$2:$J$8,2,FALSE),0),"")))</f>
        <v/>
      </c>
      <c r="AZ791" s="631" t="str">
        <f>IF(K791="","",
IF(AX791="PT",VLOOKUP(K791,Foundation_Calc!$K$4:$R$37,VLOOKUP(AW791,Foundation_Calc!$I$2:$J$8,2,FALSE),0),
IF(AX791="K",VLOOKUP(K791,Foundation_Calc!$K$41:$R$74,VLOOKUP(AW791,Foundation_Calc!$I$2:$J$8,2,FALSE),0),"")))</f>
        <v/>
      </c>
      <c r="BA791" s="632" t="str">
        <f t="shared" si="87"/>
        <v/>
      </c>
      <c r="BB791" s="632" t="str">
        <f t="shared" si="88"/>
        <v/>
      </c>
      <c r="BC791" s="632" t="str">
        <f t="shared" si="89"/>
        <v/>
      </c>
      <c r="BD791" s="633" t="str">
        <f>IF(AND(L791="",H791=""),"",
IF(H791="",Pole_Calc!A819,
IF(H791="MP",Pole_Calc!A820,
IF(H791="AnMP",Pole_Calc!A821,
IF(H791="A",Pole_Calc!A822,
IF(H791="S/A",Pole_Calc!A823,
IF(H791="A/S",Pole_Calc!A824,"Poner a mano")))))))</f>
        <v/>
      </c>
      <c r="BE791" s="448" t="s">
        <v>1726</v>
      </c>
      <c r="BF791" s="635"/>
      <c r="BG791" s="635"/>
      <c r="BH791" s="634"/>
      <c r="BI791" s="635"/>
    </row>
    <row r="792" spans="1:61" ht="16.2" customHeight="1">
      <c r="A792" s="12"/>
      <c r="B792" s="446"/>
      <c r="C792" s="89"/>
      <c r="D792" s="13"/>
      <c r="E792" s="14"/>
      <c r="F792" s="14"/>
      <c r="G792" s="15"/>
      <c r="H792" s="8"/>
      <c r="I792" s="8"/>
      <c r="J792" s="89"/>
      <c r="K792" s="8"/>
      <c r="L792" s="8"/>
      <c r="M792" s="8" t="str">
        <f>IF(L792="","",
IF(AX792="PT",VLOOKUP(L792,Foundation_Calc!$V$4:$X$37,VLOOKUP(AX792,Foundation_Calc!$I$10:$J$13,2,FALSE),0),
IF(AX792="K",VLOOKUP(L792,Foundation_Calc!$V$41:$X$74,VLOOKUP(AX792,Foundation_Calc!$I$10:$J$13,2,FALSE),0),"")))</f>
        <v/>
      </c>
      <c r="N792" s="8"/>
      <c r="O792" s="8"/>
      <c r="P792" s="8"/>
      <c r="Q792" s="14"/>
      <c r="R792" s="15"/>
      <c r="S792" s="15"/>
      <c r="T792" s="14"/>
      <c r="U792" s="14"/>
      <c r="V792" s="14"/>
      <c r="W792" s="18"/>
      <c r="X792" s="18"/>
      <c r="Y792" s="18"/>
      <c r="Z792" s="18"/>
      <c r="AA792" s="18"/>
      <c r="AB792" s="18"/>
      <c r="AC792" s="8" t="str">
        <f t="shared" si="86"/>
        <v/>
      </c>
      <c r="AD792" s="8"/>
      <c r="AE792" s="8"/>
      <c r="AF792" s="14"/>
      <c r="AG792" s="13"/>
      <c r="AH792" s="14"/>
      <c r="AI792" s="14"/>
      <c r="AJ792" s="8"/>
      <c r="AK792" s="8"/>
      <c r="AL792" s="8"/>
      <c r="AM792" s="8"/>
      <c r="AN792" s="631"/>
      <c r="AO792" s="18"/>
      <c r="AP792" s="18"/>
      <c r="AQ792" s="18"/>
      <c r="AR792" s="18"/>
      <c r="AS792" s="18"/>
      <c r="AU792" s="448"/>
      <c r="AV792" s="448"/>
      <c r="AW792" s="8" t="str">
        <f>IF(C792&gt;0,VLOOKUP(C792,Foundation_Calc!$A$2:$C$986,3,1),
IF(J792&gt;0,VLOOKUP(J792,Foundation_Calc!$A$2:$C$986,3,1),""))</f>
        <v/>
      </c>
      <c r="AX792" s="8" t="str">
        <f>IF(C792&gt;0,VLOOKUP(C792,Foundation_Calc!$E$2:$G$986,3,1),
IF(J792&gt;0,VLOOKUP(J792,Foundation_Calc!$E$2:$G$986,3,1),""))</f>
        <v/>
      </c>
      <c r="AY792" s="631" t="str">
        <f>IF(L792="","",
IF(AX792="PT",VLOOKUP(L792,Foundation_Calc!$K$4:$R$37,VLOOKUP(AW792,Foundation_Calc!$I$2:$J$8,2,FALSE),0),
IF(AX792="K",VLOOKUP(L792,Foundation_Calc!$K$41:$R$74,VLOOKUP(AW792,Foundation_Calc!$I$2:$J$8,2,FALSE),0),"")))</f>
        <v/>
      </c>
      <c r="AZ792" s="631" t="str">
        <f>IF(K792="","",
IF(AX792="PT",VLOOKUP(K792,Foundation_Calc!$K$4:$R$37,VLOOKUP(AW792,Foundation_Calc!$I$2:$J$8,2,FALSE),0),
IF(AX792="K",VLOOKUP(K792,Foundation_Calc!$K$41:$R$74,VLOOKUP(AW792,Foundation_Calc!$I$2:$J$8,2,FALSE),0),"")))</f>
        <v/>
      </c>
      <c r="BA792" s="632" t="str">
        <f t="shared" si="87"/>
        <v/>
      </c>
      <c r="BB792" s="632" t="str">
        <f t="shared" si="88"/>
        <v/>
      </c>
      <c r="BC792" s="632" t="str">
        <f t="shared" si="89"/>
        <v/>
      </c>
      <c r="BD792" s="633" t="str">
        <f>IF(AND(L792="",H792=""),"",
IF(H792="",Pole_Calc!A820,
IF(H792="MP",Pole_Calc!A821,
IF(H792="AnMP",Pole_Calc!A822,
IF(H792="A",Pole_Calc!A823,
IF(H792="S/A",Pole_Calc!A824,
IF(H792="A/S",Pole_Calc!A825,"Poner a mano")))))))</f>
        <v/>
      </c>
      <c r="BE792" s="448" t="s">
        <v>1726</v>
      </c>
      <c r="BF792" s="634"/>
      <c r="BG792" s="634"/>
      <c r="BH792" s="634"/>
      <c r="BI792" s="634"/>
    </row>
    <row r="793" spans="1:61" ht="16.2" customHeight="1">
      <c r="A793" s="12"/>
      <c r="B793" s="446"/>
      <c r="C793" s="89"/>
      <c r="D793" s="13"/>
      <c r="E793" s="14"/>
      <c r="F793" s="14"/>
      <c r="G793" s="15"/>
      <c r="H793" s="8"/>
      <c r="I793" s="8"/>
      <c r="J793" s="89"/>
      <c r="K793" s="8"/>
      <c r="L793" s="8"/>
      <c r="M793" s="8" t="str">
        <f>IF(L793="","",
IF(AX793="PT",VLOOKUP(L793,Foundation_Calc!$V$4:$X$37,VLOOKUP(AX793,Foundation_Calc!$I$10:$J$13,2,FALSE),0),
IF(AX793="K",VLOOKUP(L793,Foundation_Calc!$V$41:$X$74,VLOOKUP(AX793,Foundation_Calc!$I$10:$J$13,2,FALSE),0),"")))</f>
        <v/>
      </c>
      <c r="N793" s="8"/>
      <c r="O793" s="8"/>
      <c r="P793" s="8"/>
      <c r="Q793" s="14"/>
      <c r="R793" s="15"/>
      <c r="S793" s="15"/>
      <c r="T793" s="14"/>
      <c r="U793" s="14"/>
      <c r="V793" s="14"/>
      <c r="W793" s="18"/>
      <c r="X793" s="18"/>
      <c r="Y793" s="18"/>
      <c r="Z793" s="18"/>
      <c r="AA793" s="18"/>
      <c r="AB793" s="18"/>
      <c r="AC793" s="8" t="str">
        <f t="shared" si="86"/>
        <v/>
      </c>
      <c r="AD793" s="8"/>
      <c r="AE793" s="8"/>
      <c r="AF793" s="14"/>
      <c r="AG793" s="13"/>
      <c r="AH793" s="14"/>
      <c r="AI793" s="14"/>
      <c r="AJ793" s="8"/>
      <c r="AK793" s="8"/>
      <c r="AL793" s="8"/>
      <c r="AM793" s="8"/>
      <c r="AN793" s="631"/>
      <c r="AO793" s="18"/>
      <c r="AP793" s="18"/>
      <c r="AQ793" s="18"/>
      <c r="AR793" s="18"/>
      <c r="AS793" s="18"/>
      <c r="AU793" s="448"/>
      <c r="AV793" s="448"/>
      <c r="AW793" s="8" t="str">
        <f>IF(C793&gt;0,VLOOKUP(C793,Foundation_Calc!$A$2:$C$986,3,1),
IF(J793&gt;0,VLOOKUP(J793,Foundation_Calc!$A$2:$C$986,3,1),""))</f>
        <v/>
      </c>
      <c r="AX793" s="8" t="str">
        <f>IF(C793&gt;0,VLOOKUP(C793,Foundation_Calc!$E$2:$G$986,3,1),
IF(J793&gt;0,VLOOKUP(J793,Foundation_Calc!$E$2:$G$986,3,1),""))</f>
        <v/>
      </c>
      <c r="AY793" s="631" t="str">
        <f>IF(L793="","",
IF(AX793="PT",VLOOKUP(L793,Foundation_Calc!$K$4:$R$37,VLOOKUP(AW793,Foundation_Calc!$I$2:$J$8,2,FALSE),0),
IF(AX793="K",VLOOKUP(L793,Foundation_Calc!$K$41:$R$74,VLOOKUP(AW793,Foundation_Calc!$I$2:$J$8,2,FALSE),0),"")))</f>
        <v/>
      </c>
      <c r="AZ793" s="631" t="str">
        <f>IF(K793="","",
IF(AX793="PT",VLOOKUP(K793,Foundation_Calc!$K$4:$R$37,VLOOKUP(AW793,Foundation_Calc!$I$2:$J$8,2,FALSE),0),
IF(AX793="K",VLOOKUP(K793,Foundation_Calc!$K$41:$R$74,VLOOKUP(AW793,Foundation_Calc!$I$2:$J$8,2,FALSE),0),"")))</f>
        <v/>
      </c>
      <c r="BA793" s="632" t="str">
        <f t="shared" si="87"/>
        <v/>
      </c>
      <c r="BB793" s="632" t="str">
        <f t="shared" si="88"/>
        <v/>
      </c>
      <c r="BC793" s="632" t="str">
        <f t="shared" si="89"/>
        <v/>
      </c>
      <c r="BD793" s="633" t="str">
        <f>IF(AND(L793="",H793=""),"",
IF(H793="",Pole_Calc!A821,
IF(H793="MP",Pole_Calc!A822,
IF(H793="AnMP",Pole_Calc!A823,
IF(H793="A",Pole_Calc!A824,
IF(H793="S/A",Pole_Calc!A825,
IF(H793="A/S",Pole_Calc!A826,"Poner a mano")))))))</f>
        <v/>
      </c>
      <c r="BE793" s="448" t="s">
        <v>1726</v>
      </c>
      <c r="BF793" s="635"/>
      <c r="BG793" s="635"/>
      <c r="BH793" s="634"/>
      <c r="BI793" s="635"/>
    </row>
    <row r="794" spans="1:61" ht="16.2" customHeight="1">
      <c r="A794" s="12"/>
      <c r="B794" s="446"/>
      <c r="C794" s="89"/>
      <c r="D794" s="13"/>
      <c r="E794" s="14"/>
      <c r="F794" s="14"/>
      <c r="G794" s="15"/>
      <c r="H794" s="8"/>
      <c r="I794" s="8"/>
      <c r="J794" s="89"/>
      <c r="K794" s="8"/>
      <c r="L794" s="8"/>
      <c r="M794" s="8" t="str">
        <f>IF(L794="","",
IF(AX794="PT",VLOOKUP(L794,Foundation_Calc!$V$4:$X$37,VLOOKUP(AX794,Foundation_Calc!$I$10:$J$13,2,FALSE),0),
IF(AX794="K",VLOOKUP(L794,Foundation_Calc!$V$41:$X$74,VLOOKUP(AX794,Foundation_Calc!$I$10:$J$13,2,FALSE),0),"")))</f>
        <v/>
      </c>
      <c r="N794" s="8"/>
      <c r="O794" s="8"/>
      <c r="P794" s="8"/>
      <c r="Q794" s="14"/>
      <c r="R794" s="15"/>
      <c r="S794" s="15"/>
      <c r="T794" s="14"/>
      <c r="U794" s="14"/>
      <c r="V794" s="14"/>
      <c r="W794" s="18"/>
      <c r="X794" s="18"/>
      <c r="Y794" s="18"/>
      <c r="Z794" s="18"/>
      <c r="AA794" s="18"/>
      <c r="AB794" s="18"/>
      <c r="AC794" s="8" t="str">
        <f t="shared" si="86"/>
        <v/>
      </c>
      <c r="AD794" s="8"/>
      <c r="AE794" s="8"/>
      <c r="AF794" s="14"/>
      <c r="AG794" s="13"/>
      <c r="AH794" s="14"/>
      <c r="AI794" s="14"/>
      <c r="AJ794" s="8"/>
      <c r="AK794" s="8"/>
      <c r="AL794" s="8"/>
      <c r="AM794" s="8"/>
      <c r="AN794" s="631"/>
      <c r="AO794" s="18"/>
      <c r="AP794" s="18"/>
      <c r="AQ794" s="18"/>
      <c r="AR794" s="18"/>
      <c r="AS794" s="18"/>
      <c r="AU794" s="448"/>
      <c r="AV794" s="448"/>
      <c r="AW794" s="8" t="str">
        <f>IF(C794&gt;0,VLOOKUP(C794,Foundation_Calc!$A$2:$C$986,3,1),
IF(J794&gt;0,VLOOKUP(J794,Foundation_Calc!$A$2:$C$986,3,1),""))</f>
        <v/>
      </c>
      <c r="AX794" s="8" t="str">
        <f>IF(C794&gt;0,VLOOKUP(C794,Foundation_Calc!$E$2:$G$986,3,1),
IF(J794&gt;0,VLOOKUP(J794,Foundation_Calc!$E$2:$G$986,3,1),""))</f>
        <v/>
      </c>
      <c r="AY794" s="631" t="str">
        <f>IF(L794="","",
IF(AX794="PT",VLOOKUP(L794,Foundation_Calc!$K$4:$R$37,VLOOKUP(AW794,Foundation_Calc!$I$2:$J$8,2,FALSE),0),
IF(AX794="K",VLOOKUP(L794,Foundation_Calc!$K$41:$R$74,VLOOKUP(AW794,Foundation_Calc!$I$2:$J$8,2,FALSE),0),"")))</f>
        <v/>
      </c>
      <c r="AZ794" s="631" t="str">
        <f>IF(K794="","",
IF(AX794="PT",VLOOKUP(K794,Foundation_Calc!$K$4:$R$37,VLOOKUP(AW794,Foundation_Calc!$I$2:$J$8,2,FALSE),0),
IF(AX794="K",VLOOKUP(K794,Foundation_Calc!$K$41:$R$74,VLOOKUP(AW794,Foundation_Calc!$I$2:$J$8,2,FALSE),0),"")))</f>
        <v/>
      </c>
      <c r="BA794" s="632" t="str">
        <f t="shared" si="87"/>
        <v/>
      </c>
      <c r="BB794" s="632" t="str">
        <f t="shared" si="88"/>
        <v/>
      </c>
      <c r="BC794" s="632" t="str">
        <f t="shared" si="89"/>
        <v/>
      </c>
      <c r="BD794" s="633" t="str">
        <f>IF(AND(L794="",H794=""),"",
IF(H794="",Pole_Calc!A822,
IF(H794="MP",Pole_Calc!A823,
IF(H794="AnMP",Pole_Calc!A824,
IF(H794="A",Pole_Calc!A825,
IF(H794="S/A",Pole_Calc!A826,
IF(H794="A/S",Pole_Calc!A827,"Poner a mano")))))))</f>
        <v/>
      </c>
      <c r="BE794" s="448" t="s">
        <v>1726</v>
      </c>
      <c r="BF794" s="634"/>
      <c r="BG794" s="634"/>
      <c r="BH794" s="634"/>
      <c r="BI794" s="634"/>
    </row>
    <row r="795" spans="1:61" ht="16.2" customHeight="1">
      <c r="A795" s="12"/>
      <c r="B795" s="446"/>
      <c r="C795" s="89"/>
      <c r="D795" s="13"/>
      <c r="E795" s="14"/>
      <c r="F795" s="14"/>
      <c r="G795" s="15"/>
      <c r="H795" s="8"/>
      <c r="I795" s="8"/>
      <c r="J795" s="89"/>
      <c r="K795" s="8"/>
      <c r="L795" s="8"/>
      <c r="M795" s="8" t="str">
        <f>IF(L795="","",
IF(AX795="PT",VLOOKUP(L795,Foundation_Calc!$V$4:$X$37,VLOOKUP(AX795,Foundation_Calc!$I$10:$J$13,2,FALSE),0),
IF(AX795="K",VLOOKUP(L795,Foundation_Calc!$V$41:$X$74,VLOOKUP(AX795,Foundation_Calc!$I$10:$J$13,2,FALSE),0),"")))</f>
        <v/>
      </c>
      <c r="N795" s="8"/>
      <c r="O795" s="8"/>
      <c r="P795" s="8"/>
      <c r="Q795" s="14"/>
      <c r="R795" s="15"/>
      <c r="S795" s="15"/>
      <c r="T795" s="14"/>
      <c r="U795" s="14"/>
      <c r="V795" s="14"/>
      <c r="W795" s="18"/>
      <c r="X795" s="18"/>
      <c r="Y795" s="18"/>
      <c r="Z795" s="18"/>
      <c r="AA795" s="18"/>
      <c r="AB795" s="18"/>
      <c r="AC795" s="8" t="str">
        <f t="shared" si="86"/>
        <v/>
      </c>
      <c r="AD795" s="8"/>
      <c r="AE795" s="8"/>
      <c r="AF795" s="14"/>
      <c r="AG795" s="13"/>
      <c r="AH795" s="14"/>
      <c r="AI795" s="14"/>
      <c r="AJ795" s="8"/>
      <c r="AK795" s="8"/>
      <c r="AL795" s="8"/>
      <c r="AM795" s="8"/>
      <c r="AN795" s="631"/>
      <c r="AO795" s="18"/>
      <c r="AP795" s="18"/>
      <c r="AQ795" s="18"/>
      <c r="AR795" s="18"/>
      <c r="AS795" s="18"/>
      <c r="AU795" s="448"/>
      <c r="AV795" s="448"/>
      <c r="AW795" s="8" t="str">
        <f>IF(C795&gt;0,VLOOKUP(C795,Foundation_Calc!$A$2:$C$986,3,1),
IF(J795&gt;0,VLOOKUP(J795,Foundation_Calc!$A$2:$C$986,3,1),""))</f>
        <v/>
      </c>
      <c r="AX795" s="8" t="str">
        <f>IF(C795&gt;0,VLOOKUP(C795,Foundation_Calc!$E$2:$G$986,3,1),
IF(J795&gt;0,VLOOKUP(J795,Foundation_Calc!$E$2:$G$986,3,1),""))</f>
        <v/>
      </c>
      <c r="AY795" s="631" t="str">
        <f>IF(L795="","",
IF(AX795="PT",VLOOKUP(L795,Foundation_Calc!$K$4:$R$37,VLOOKUP(AW795,Foundation_Calc!$I$2:$J$8,2,FALSE),0),
IF(AX795="K",VLOOKUP(L795,Foundation_Calc!$K$41:$R$74,VLOOKUP(AW795,Foundation_Calc!$I$2:$J$8,2,FALSE),0),"")))</f>
        <v/>
      </c>
      <c r="AZ795" s="631" t="str">
        <f>IF(K795="","",
IF(AX795="PT",VLOOKUP(K795,Foundation_Calc!$K$4:$R$37,VLOOKUP(AW795,Foundation_Calc!$I$2:$J$8,2,FALSE),0),
IF(AX795="K",VLOOKUP(K795,Foundation_Calc!$K$41:$R$74,VLOOKUP(AW795,Foundation_Calc!$I$2:$J$8,2,FALSE),0),"")))</f>
        <v/>
      </c>
      <c r="BA795" s="632" t="str">
        <f t="shared" si="87"/>
        <v/>
      </c>
      <c r="BB795" s="632" t="str">
        <f t="shared" si="88"/>
        <v/>
      </c>
      <c r="BC795" s="632" t="str">
        <f t="shared" si="89"/>
        <v/>
      </c>
      <c r="BD795" s="633" t="str">
        <f>IF(AND(L795="",H795=""),"",
IF(H795="",Pole_Calc!A823,
IF(H795="MP",Pole_Calc!A824,
IF(H795="AnMP",Pole_Calc!A825,
IF(H795="A",Pole_Calc!A826,
IF(H795="S/A",Pole_Calc!A827,
IF(H795="A/S",Pole_Calc!A828,"Poner a mano")))))))</f>
        <v/>
      </c>
      <c r="BE795" s="448" t="s">
        <v>1726</v>
      </c>
      <c r="BF795" s="635"/>
      <c r="BG795" s="635"/>
      <c r="BH795" s="634"/>
      <c r="BI795" s="635"/>
    </row>
    <row r="796" spans="1:61" ht="16.2" customHeight="1">
      <c r="A796" s="12"/>
      <c r="B796" s="446"/>
      <c r="C796" s="89"/>
      <c r="D796" s="13"/>
      <c r="E796" s="14"/>
      <c r="F796" s="14"/>
      <c r="G796" s="15"/>
      <c r="H796" s="8"/>
      <c r="I796" s="8"/>
      <c r="J796" s="89"/>
      <c r="K796" s="8"/>
      <c r="L796" s="8"/>
      <c r="M796" s="8" t="str">
        <f>IF(L796="","",
IF(AX796="PT",VLOOKUP(L796,Foundation_Calc!$V$4:$X$37,VLOOKUP(AX796,Foundation_Calc!$I$10:$J$13,2,FALSE),0),
IF(AX796="K",VLOOKUP(L796,Foundation_Calc!$V$41:$X$74,VLOOKUP(AX796,Foundation_Calc!$I$10:$J$13,2,FALSE),0),"")))</f>
        <v/>
      </c>
      <c r="N796" s="8"/>
      <c r="O796" s="8"/>
      <c r="P796" s="8"/>
      <c r="Q796" s="14"/>
      <c r="R796" s="15"/>
      <c r="S796" s="15"/>
      <c r="T796" s="14"/>
      <c r="U796" s="14"/>
      <c r="V796" s="14"/>
      <c r="W796" s="18"/>
      <c r="X796" s="18"/>
      <c r="Y796" s="18"/>
      <c r="Z796" s="18"/>
      <c r="AA796" s="18"/>
      <c r="AB796" s="18"/>
      <c r="AC796" s="8" t="str">
        <f t="shared" si="86"/>
        <v/>
      </c>
      <c r="AD796" s="8"/>
      <c r="AE796" s="8"/>
      <c r="AF796" s="14"/>
      <c r="AG796" s="13"/>
      <c r="AH796" s="14"/>
      <c r="AI796" s="14"/>
      <c r="AJ796" s="8"/>
      <c r="AK796" s="8"/>
      <c r="AL796" s="8"/>
      <c r="AM796" s="8"/>
      <c r="AN796" s="631"/>
      <c r="AO796" s="18"/>
      <c r="AP796" s="18"/>
      <c r="AQ796" s="18"/>
      <c r="AR796" s="18"/>
      <c r="AS796" s="18"/>
      <c r="AU796" s="448"/>
      <c r="AV796" s="448"/>
      <c r="AW796" s="8" t="str">
        <f>IF(C796&gt;0,VLOOKUP(C796,Foundation_Calc!$A$2:$C$986,3,1),
IF(J796&gt;0,VLOOKUP(J796,Foundation_Calc!$A$2:$C$986,3,1),""))</f>
        <v/>
      </c>
      <c r="AX796" s="8" t="str">
        <f>IF(C796&gt;0,VLOOKUP(C796,Foundation_Calc!$E$2:$G$986,3,1),
IF(J796&gt;0,VLOOKUP(J796,Foundation_Calc!$E$2:$G$986,3,1),""))</f>
        <v/>
      </c>
      <c r="AY796" s="631" t="str">
        <f>IF(L796="","",
IF(AX796="PT",VLOOKUP(L796,Foundation_Calc!$K$4:$R$37,VLOOKUP(AW796,Foundation_Calc!$I$2:$J$8,2,FALSE),0),
IF(AX796="K",VLOOKUP(L796,Foundation_Calc!$K$41:$R$74,VLOOKUP(AW796,Foundation_Calc!$I$2:$J$8,2,FALSE),0),"")))</f>
        <v/>
      </c>
      <c r="AZ796" s="631" t="str">
        <f>IF(K796="","",
IF(AX796="PT",VLOOKUP(K796,Foundation_Calc!$K$4:$R$37,VLOOKUP(AW796,Foundation_Calc!$I$2:$J$8,2,FALSE),0),
IF(AX796="K",VLOOKUP(K796,Foundation_Calc!$K$41:$R$74,VLOOKUP(AW796,Foundation_Calc!$I$2:$J$8,2,FALSE),0),"")))</f>
        <v/>
      </c>
      <c r="BA796" s="632" t="str">
        <f t="shared" si="87"/>
        <v/>
      </c>
      <c r="BB796" s="632" t="str">
        <f t="shared" si="88"/>
        <v/>
      </c>
      <c r="BC796" s="632" t="str">
        <f t="shared" si="89"/>
        <v/>
      </c>
      <c r="BD796" s="633" t="str">
        <f>IF(AND(L796="",H796=""),"",
IF(H796="",Pole_Calc!A824,
IF(H796="MP",Pole_Calc!A825,
IF(H796="AnMP",Pole_Calc!A826,
IF(H796="A",Pole_Calc!A827,
IF(H796="S/A",Pole_Calc!A828,
IF(H796="A/S",Pole_Calc!A829,"Poner a mano")))))))</f>
        <v/>
      </c>
      <c r="BE796" s="448" t="s">
        <v>1726</v>
      </c>
      <c r="BF796" s="634"/>
      <c r="BG796" s="634"/>
      <c r="BH796" s="634"/>
      <c r="BI796" s="634"/>
    </row>
    <row r="797" spans="1:61" ht="16.2" customHeight="1">
      <c r="A797" s="12"/>
      <c r="B797" s="446"/>
      <c r="C797" s="89"/>
      <c r="D797" s="13"/>
      <c r="E797" s="14"/>
      <c r="F797" s="14"/>
      <c r="G797" s="15"/>
      <c r="H797" s="8"/>
      <c r="I797" s="8"/>
      <c r="J797" s="89"/>
      <c r="K797" s="8"/>
      <c r="L797" s="8"/>
      <c r="M797" s="8" t="str">
        <f>IF(L797="","",
IF(AX797="PT",VLOOKUP(L797,Foundation_Calc!$V$4:$X$37,VLOOKUP(AX797,Foundation_Calc!$I$10:$J$13,2,FALSE),0),
IF(AX797="K",VLOOKUP(L797,Foundation_Calc!$V$41:$X$74,VLOOKUP(AX797,Foundation_Calc!$I$10:$J$13,2,FALSE),0),"")))</f>
        <v/>
      </c>
      <c r="N797" s="8"/>
      <c r="O797" s="8"/>
      <c r="P797" s="8"/>
      <c r="Q797" s="14"/>
      <c r="R797" s="15"/>
      <c r="S797" s="15"/>
      <c r="T797" s="14"/>
      <c r="U797" s="14"/>
      <c r="V797" s="14"/>
      <c r="W797" s="18"/>
      <c r="X797" s="18"/>
      <c r="Y797" s="18"/>
      <c r="Z797" s="18"/>
      <c r="AA797" s="18"/>
      <c r="AB797" s="18"/>
      <c r="AC797" s="8" t="str">
        <f t="shared" si="86"/>
        <v/>
      </c>
      <c r="AD797" s="8"/>
      <c r="AE797" s="8"/>
      <c r="AF797" s="14"/>
      <c r="AG797" s="13"/>
      <c r="AH797" s="14"/>
      <c r="AI797" s="14"/>
      <c r="AJ797" s="8"/>
      <c r="AK797" s="8"/>
      <c r="AL797" s="8"/>
      <c r="AM797" s="8"/>
      <c r="AN797" s="631"/>
      <c r="AO797" s="18"/>
      <c r="AP797" s="18"/>
      <c r="AQ797" s="18"/>
      <c r="AR797" s="18"/>
      <c r="AS797" s="18"/>
      <c r="AU797" s="448"/>
      <c r="AV797" s="448"/>
      <c r="AW797" s="8" t="str">
        <f>IF(C797&gt;0,VLOOKUP(C797,Foundation_Calc!$A$2:$C$986,3,1),
IF(J797&gt;0,VLOOKUP(J797,Foundation_Calc!$A$2:$C$986,3,1),""))</f>
        <v/>
      </c>
      <c r="AX797" s="8" t="str">
        <f>IF(C797&gt;0,VLOOKUP(C797,Foundation_Calc!$E$2:$G$986,3,1),
IF(J797&gt;0,VLOOKUP(J797,Foundation_Calc!$E$2:$G$986,3,1),""))</f>
        <v/>
      </c>
      <c r="AY797" s="631" t="str">
        <f>IF(L797="","",
IF(AX797="PT",VLOOKUP(L797,Foundation_Calc!$K$4:$R$37,VLOOKUP(AW797,Foundation_Calc!$I$2:$J$8,2,FALSE),0),
IF(AX797="K",VLOOKUP(L797,Foundation_Calc!$K$41:$R$74,VLOOKUP(AW797,Foundation_Calc!$I$2:$J$8,2,FALSE),0),"")))</f>
        <v/>
      </c>
      <c r="AZ797" s="631" t="str">
        <f>IF(K797="","",
IF(AX797="PT",VLOOKUP(K797,Foundation_Calc!$K$4:$R$37,VLOOKUP(AW797,Foundation_Calc!$I$2:$J$8,2,FALSE),0),
IF(AX797="K",VLOOKUP(K797,Foundation_Calc!$K$41:$R$74,VLOOKUP(AW797,Foundation_Calc!$I$2:$J$8,2,FALSE),0),"")))</f>
        <v/>
      </c>
      <c r="BA797" s="632" t="str">
        <f t="shared" si="87"/>
        <v/>
      </c>
      <c r="BB797" s="632" t="str">
        <f t="shared" si="88"/>
        <v/>
      </c>
      <c r="BC797" s="632" t="str">
        <f t="shared" si="89"/>
        <v/>
      </c>
      <c r="BD797" s="633" t="str">
        <f>IF(AND(L797="",H797=""),"",
IF(H797="",Pole_Calc!A825,
IF(H797="MP",Pole_Calc!A826,
IF(H797="AnMP",Pole_Calc!A827,
IF(H797="A",Pole_Calc!A828,
IF(H797="S/A",Pole_Calc!A829,
IF(H797="A/S",Pole_Calc!A830,"Poner a mano")))))))</f>
        <v/>
      </c>
      <c r="BE797" s="448" t="s">
        <v>1726</v>
      </c>
      <c r="BF797" s="635"/>
      <c r="BG797" s="635"/>
      <c r="BH797" s="634"/>
      <c r="BI797" s="635"/>
    </row>
    <row r="798" spans="1:61" ht="16.2" customHeight="1">
      <c r="A798" s="12"/>
      <c r="B798" s="446"/>
      <c r="C798" s="89"/>
      <c r="D798" s="13"/>
      <c r="E798" s="14"/>
      <c r="F798" s="14"/>
      <c r="G798" s="15"/>
      <c r="H798" s="8"/>
      <c r="I798" s="8"/>
      <c r="J798" s="89"/>
      <c r="K798" s="8"/>
      <c r="L798" s="8"/>
      <c r="M798" s="8" t="str">
        <f>IF(L798="","",
IF(AX798="PT",VLOOKUP(L798,Foundation_Calc!$V$4:$X$37,VLOOKUP(AX798,Foundation_Calc!$I$10:$J$13,2,FALSE),0),
IF(AX798="K",VLOOKUP(L798,Foundation_Calc!$V$41:$X$74,VLOOKUP(AX798,Foundation_Calc!$I$10:$J$13,2,FALSE),0),"")))</f>
        <v/>
      </c>
      <c r="N798" s="8"/>
      <c r="O798" s="8"/>
      <c r="P798" s="8"/>
      <c r="Q798" s="14"/>
      <c r="R798" s="15"/>
      <c r="S798" s="15"/>
      <c r="T798" s="14"/>
      <c r="U798" s="14"/>
      <c r="V798" s="14"/>
      <c r="W798" s="18"/>
      <c r="X798" s="18"/>
      <c r="Y798" s="18"/>
      <c r="Z798" s="18"/>
      <c r="AA798" s="18"/>
      <c r="AB798" s="18"/>
      <c r="AC798" s="8" t="str">
        <f t="shared" si="86"/>
        <v/>
      </c>
      <c r="AD798" s="8"/>
      <c r="AE798" s="8"/>
      <c r="AF798" s="14"/>
      <c r="AG798" s="13"/>
      <c r="AH798" s="14"/>
      <c r="AI798" s="14"/>
      <c r="AJ798" s="8"/>
      <c r="AK798" s="8"/>
      <c r="AL798" s="8"/>
      <c r="AM798" s="8"/>
      <c r="AN798" s="631"/>
      <c r="AO798" s="18"/>
      <c r="AP798" s="18"/>
      <c r="AQ798" s="18"/>
      <c r="AR798" s="18"/>
      <c r="AS798" s="18"/>
      <c r="AU798" s="448"/>
      <c r="AV798" s="448"/>
      <c r="AW798" s="8" t="str">
        <f>IF(C798&gt;0,VLOOKUP(C798,Foundation_Calc!$A$2:$C$986,3,1),
IF(J798&gt;0,VLOOKUP(J798,Foundation_Calc!$A$2:$C$986,3,1),""))</f>
        <v/>
      </c>
      <c r="AX798" s="8" t="str">
        <f>IF(C798&gt;0,VLOOKUP(C798,Foundation_Calc!$E$2:$G$986,3,1),
IF(J798&gt;0,VLOOKUP(J798,Foundation_Calc!$E$2:$G$986,3,1),""))</f>
        <v/>
      </c>
      <c r="AY798" s="631" t="str">
        <f>IF(L798="","",
IF(AX798="PT",VLOOKUP(L798,Foundation_Calc!$K$4:$R$37,VLOOKUP(AW798,Foundation_Calc!$I$2:$J$8,2,FALSE),0),
IF(AX798="K",VLOOKUP(L798,Foundation_Calc!$K$41:$R$74,VLOOKUP(AW798,Foundation_Calc!$I$2:$J$8,2,FALSE),0),"")))</f>
        <v/>
      </c>
      <c r="AZ798" s="631" t="str">
        <f>IF(K798="","",
IF(AX798="PT",VLOOKUP(K798,Foundation_Calc!$K$4:$R$37,VLOOKUP(AW798,Foundation_Calc!$I$2:$J$8,2,FALSE),0),
IF(AX798="K",VLOOKUP(K798,Foundation_Calc!$K$41:$R$74,VLOOKUP(AW798,Foundation_Calc!$I$2:$J$8,2,FALSE),0),"")))</f>
        <v/>
      </c>
      <c r="BA798" s="632" t="str">
        <f t="shared" si="87"/>
        <v/>
      </c>
      <c r="BB798" s="632" t="str">
        <f t="shared" si="88"/>
        <v/>
      </c>
      <c r="BC798" s="632" t="str">
        <f t="shared" si="89"/>
        <v/>
      </c>
      <c r="BD798" s="633" t="str">
        <f>IF(AND(L798="",H798=""),"",
IF(H798="",Pole_Calc!A826,
IF(H798="MP",Pole_Calc!A827,
IF(H798="AnMP",Pole_Calc!A828,
IF(H798="A",Pole_Calc!A829,
IF(H798="S/A",Pole_Calc!A830,
IF(H798="A/S",Pole_Calc!A831,"Poner a mano")))))))</f>
        <v/>
      </c>
      <c r="BE798" s="448" t="s">
        <v>1726</v>
      </c>
      <c r="BF798" s="634"/>
      <c r="BG798" s="634"/>
      <c r="BH798" s="634"/>
      <c r="BI798" s="634"/>
    </row>
    <row r="799" spans="1:61" ht="16.2" customHeight="1">
      <c r="A799" s="12"/>
      <c r="B799" s="446"/>
      <c r="C799" s="89"/>
      <c r="D799" s="13"/>
      <c r="E799" s="14"/>
      <c r="F799" s="14"/>
      <c r="G799" s="15"/>
      <c r="H799" s="8"/>
      <c r="I799" s="8"/>
      <c r="J799" s="89"/>
      <c r="K799" s="8"/>
      <c r="L799" s="8"/>
      <c r="M799" s="8" t="str">
        <f>IF(L799="","",
IF(AX799="PT",VLOOKUP(L799,Foundation_Calc!$V$4:$X$37,VLOOKUP(AX799,Foundation_Calc!$I$10:$J$13,2,FALSE),0),
IF(AX799="K",VLOOKUP(L799,Foundation_Calc!$V$41:$X$74,VLOOKUP(AX799,Foundation_Calc!$I$10:$J$13,2,FALSE),0),"")))</f>
        <v/>
      </c>
      <c r="N799" s="8"/>
      <c r="O799" s="8"/>
      <c r="P799" s="8"/>
      <c r="Q799" s="14"/>
      <c r="R799" s="15"/>
      <c r="S799" s="15"/>
      <c r="T799" s="14"/>
      <c r="U799" s="14"/>
      <c r="V799" s="14"/>
      <c r="W799" s="18"/>
      <c r="X799" s="18"/>
      <c r="Y799" s="18"/>
      <c r="Z799" s="18"/>
      <c r="AA799" s="18"/>
      <c r="AB799" s="18"/>
      <c r="AC799" s="8" t="str">
        <f t="shared" si="86"/>
        <v/>
      </c>
      <c r="AD799" s="8"/>
      <c r="AE799" s="8"/>
      <c r="AF799" s="14"/>
      <c r="AG799" s="13"/>
      <c r="AH799" s="14"/>
      <c r="AI799" s="14"/>
      <c r="AJ799" s="8"/>
      <c r="AK799" s="8"/>
      <c r="AL799" s="8"/>
      <c r="AM799" s="8"/>
      <c r="AN799" s="631"/>
      <c r="AO799" s="18"/>
      <c r="AP799" s="18"/>
      <c r="AQ799" s="18"/>
      <c r="AR799" s="18"/>
      <c r="AS799" s="18"/>
      <c r="AU799" s="448"/>
      <c r="AV799" s="448"/>
      <c r="AW799" s="8" t="str">
        <f>IF(C799&gt;0,VLOOKUP(C799,Foundation_Calc!$A$2:$C$986,3,1),
IF(J799&gt;0,VLOOKUP(J799,Foundation_Calc!$A$2:$C$986,3,1),""))</f>
        <v/>
      </c>
      <c r="AX799" s="8" t="str">
        <f>IF(C799&gt;0,VLOOKUP(C799,Foundation_Calc!$E$2:$G$986,3,1),
IF(J799&gt;0,VLOOKUP(J799,Foundation_Calc!$E$2:$G$986,3,1),""))</f>
        <v/>
      </c>
      <c r="AY799" s="631" t="str">
        <f>IF(L799="","",
IF(AX799="PT",VLOOKUP(L799,Foundation_Calc!$K$4:$R$37,VLOOKUP(AW799,Foundation_Calc!$I$2:$J$8,2,FALSE),0),
IF(AX799="K",VLOOKUP(L799,Foundation_Calc!$K$41:$R$74,VLOOKUP(AW799,Foundation_Calc!$I$2:$J$8,2,FALSE),0),"")))</f>
        <v/>
      </c>
      <c r="AZ799" s="631" t="str">
        <f>IF(K799="","",
IF(AX799="PT",VLOOKUP(K799,Foundation_Calc!$K$4:$R$37,VLOOKUP(AW799,Foundation_Calc!$I$2:$J$8,2,FALSE),0),
IF(AX799="K",VLOOKUP(K799,Foundation_Calc!$K$41:$R$74,VLOOKUP(AW799,Foundation_Calc!$I$2:$J$8,2,FALSE),0),"")))</f>
        <v/>
      </c>
      <c r="BA799" s="632" t="str">
        <f t="shared" si="87"/>
        <v/>
      </c>
      <c r="BB799" s="632" t="str">
        <f t="shared" si="88"/>
        <v/>
      </c>
      <c r="BC799" s="632" t="str">
        <f t="shared" si="89"/>
        <v/>
      </c>
      <c r="BD799" s="633" t="str">
        <f>IF(AND(L799="",H799=""),"",
IF(H799="",Pole_Calc!A827,
IF(H799="MP",Pole_Calc!A828,
IF(H799="AnMP",Pole_Calc!A829,
IF(H799="A",Pole_Calc!A830,
IF(H799="S/A",Pole_Calc!A831,
IF(H799="A/S",Pole_Calc!A832,"Poner a mano")))))))</f>
        <v/>
      </c>
      <c r="BE799" s="448" t="s">
        <v>1726</v>
      </c>
      <c r="BF799" s="635"/>
      <c r="BG799" s="635"/>
      <c r="BH799" s="634"/>
      <c r="BI799" s="635"/>
    </row>
    <row r="800" spans="1:61" ht="16.2" customHeight="1">
      <c r="A800" s="12"/>
      <c r="B800" s="446"/>
      <c r="C800" s="89"/>
      <c r="D800" s="13"/>
      <c r="E800" s="14"/>
      <c r="F800" s="14"/>
      <c r="G800" s="15"/>
      <c r="H800" s="8"/>
      <c r="I800" s="8"/>
      <c r="J800" s="89"/>
      <c r="K800" s="8"/>
      <c r="L800" s="8"/>
      <c r="M800" s="8" t="str">
        <f>IF(L800="","",
IF(AX800="PT",VLOOKUP(L800,Foundation_Calc!$V$4:$X$37,VLOOKUP(AX800,Foundation_Calc!$I$10:$J$13,2,FALSE),0),
IF(AX800="K",VLOOKUP(L800,Foundation_Calc!$V$41:$X$74,VLOOKUP(AX800,Foundation_Calc!$I$10:$J$13,2,FALSE),0),"")))</f>
        <v/>
      </c>
      <c r="N800" s="8"/>
      <c r="O800" s="8"/>
      <c r="P800" s="8"/>
      <c r="Q800" s="14"/>
      <c r="R800" s="15"/>
      <c r="S800" s="15"/>
      <c r="T800" s="14"/>
      <c r="U800" s="14"/>
      <c r="V800" s="14"/>
      <c r="W800" s="18"/>
      <c r="X800" s="18"/>
      <c r="Y800" s="18"/>
      <c r="Z800" s="18"/>
      <c r="AA800" s="18"/>
      <c r="AB800" s="18"/>
      <c r="AC800" s="8" t="str">
        <f t="shared" si="86"/>
        <v/>
      </c>
      <c r="AD800" s="8"/>
      <c r="AE800" s="8"/>
      <c r="AF800" s="14"/>
      <c r="AG800" s="13"/>
      <c r="AH800" s="14"/>
      <c r="AI800" s="14"/>
      <c r="AJ800" s="8"/>
      <c r="AK800" s="8"/>
      <c r="AL800" s="8"/>
      <c r="AM800" s="8"/>
      <c r="AN800" s="631"/>
      <c r="AO800" s="18"/>
      <c r="AP800" s="18"/>
      <c r="AQ800" s="18"/>
      <c r="AR800" s="18"/>
      <c r="AS800" s="18"/>
      <c r="AU800" s="448"/>
      <c r="AV800" s="448"/>
      <c r="AW800" s="8" t="str">
        <f>IF(C800&gt;0,VLOOKUP(C800,Foundation_Calc!$A$2:$C$986,3,1),
IF(J800&gt;0,VLOOKUP(J800,Foundation_Calc!$A$2:$C$986,3,1),""))</f>
        <v/>
      </c>
      <c r="AX800" s="8" t="str">
        <f>IF(C800&gt;0,VLOOKUP(C800,Foundation_Calc!$E$2:$G$986,3,1),
IF(J800&gt;0,VLOOKUP(J800,Foundation_Calc!$E$2:$G$986,3,1),""))</f>
        <v/>
      </c>
      <c r="AY800" s="631" t="str">
        <f>IF(L800="","",
IF(AX800="PT",VLOOKUP(L800,Foundation_Calc!$K$4:$R$37,VLOOKUP(AW800,Foundation_Calc!$I$2:$J$8,2,FALSE),0),
IF(AX800="K",VLOOKUP(L800,Foundation_Calc!$K$41:$R$74,VLOOKUP(AW800,Foundation_Calc!$I$2:$J$8,2,FALSE),0),"")))</f>
        <v/>
      </c>
      <c r="AZ800" s="631" t="str">
        <f>IF(K800="","",
IF(AX800="PT",VLOOKUP(K800,Foundation_Calc!$K$4:$R$37,VLOOKUP(AW800,Foundation_Calc!$I$2:$J$8,2,FALSE),0),
IF(AX800="K",VLOOKUP(K800,Foundation_Calc!$K$41:$R$74,VLOOKUP(AW800,Foundation_Calc!$I$2:$J$8,2,FALSE),0),"")))</f>
        <v/>
      </c>
      <c r="BA800" s="632" t="str">
        <f t="shared" si="87"/>
        <v/>
      </c>
      <c r="BB800" s="632" t="str">
        <f t="shared" si="88"/>
        <v/>
      </c>
      <c r="BC800" s="632" t="str">
        <f t="shared" si="89"/>
        <v/>
      </c>
      <c r="BD800" s="633" t="str">
        <f>IF(AND(L800="",H800=""),"",
IF(H800="",Pole_Calc!A828,
IF(H800="MP",Pole_Calc!A829,
IF(H800="AnMP",Pole_Calc!A830,
IF(H800="A",Pole_Calc!A831,
IF(H800="S/A",Pole_Calc!A832,
IF(H800="A/S",Pole_Calc!A833,"Poner a mano")))))))</f>
        <v/>
      </c>
      <c r="BE800" s="448" t="s">
        <v>1726</v>
      </c>
      <c r="BF800" s="634"/>
      <c r="BG800" s="634"/>
      <c r="BH800" s="634"/>
      <c r="BI800" s="634"/>
    </row>
  </sheetData>
  <autoFilter ref="A2:BD800" xr:uid="{00000000-0009-0000-0000-000006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F1:BI1"/>
    <mergeCell ref="A1:BD1"/>
    <mergeCell ref="N2:P2"/>
    <mergeCell ref="AN2:AP2"/>
    <mergeCell ref="AQ2:AS2"/>
    <mergeCell ref="AT2:AV2"/>
    <mergeCell ref="T2:V2"/>
    <mergeCell ref="W2:Y2"/>
    <mergeCell ref="Z2:AB2"/>
    <mergeCell ref="AC2:AE2"/>
    <mergeCell ref="BA2:BC2"/>
  </mergeCells>
  <phoneticPr fontId="76" type="noConversion"/>
  <conditionalFormatting sqref="BF5:BG5 BI5 BF7:BG7 BF9:BG9 BF11:BG11 BF13:BG13 BF15:BG15 BF17:BG17 BF19:BG19 BF21:BG21 BF23:BG23 BF25:BG25 BF27:BG27 BF29:BG29 BF31:BG31 BF33:BG33 BF35:BG35 BF37:BG37 BF39:BG39 BF41:BG41 BF43:BG43 BF45:BG45 BF47:BG47 BF49:BG49 BF51:BG51 BF53:BG53 BF55:BG55 BF57:BG57 BF59:BG59 BF61:BG61 BF63:BG63 BF65:BG65 BF67:BG67 BF69:BG69 BF71:BG71 BF73:BG73 BF75:BG75 BF77:BG77 BF79:BG79 BF81:BG81 BF83:BG83 BF85:BG85 BF87:BG87 BF89:BG89 BF91:BG91 BF93:BG93 BF95:BG95 BF97:BG97 BF99:BG99 BF101:BG101 BF103:BG103 BF105:BG105 BF107:BG107 BF109:BG109 BF111:BG111 BF113:BG113 BF115:BG115 BF117:BG117 BF119:BG119 BF121:BG121 BF123:BG123 BF125:BG125 BF127:BG127 BF129:BG129 BF131:BG131 BF133:BG133 BF135:BG135 BF137:BG137 BF139:BG139 BF141:BG141 BF143:BG143 BF145:BG145 BF147:BG147 BF149:BG149 BF151:BG151 BF153:BG153 BF155:BG155 BF157:BG157 BF159:BG159 BF161:BG161 BF163:BG163 BF165:BG165 BF167:BG167 BF169:BG169 BF171:BG171 BF173:BG173 BF175:BG175 BF177:BG177 BF179:BG179 BF181:BG181 BF183:BG183 BF185:BG185 BF187:BG187 BF189:BG189 BF191:BG191 BF193:BG193 BF195:BG195 BF197:BG197 BF199:BG199 BF201:BG201 BF203:BG203 BF205:BG205 BF207:BG207 BF209:BG209 BF211:BG211 BF213:BG213 BF215:BG215 BF217:BG217 BF219:BG219 BF221:BG221 BF223:BG223 BF225:BG225 BF227:BG227 BF229:BG229 BF231:BG231 BF233:BG233 BF235:BG235 BF237:BG237 BF239:BG239 BF241:BG241 BF243:BG243 BF245:BG245 BF247:BG247 BF249:BG249 BF251:BG251 BF253:BG253 BF255:BG255 BF257:BG257 BF259:BG259 BF261:BG261 BF263:BG263 BF265:BG265 BF267:BG267 BF269:BG269 BF271:BG271 BF273:BG273 BF275:BG275 BF277:BG277 BF279:BG279 BF281:BG281 BF283:BG283 BF285:BG285 BF287:BG287 BF289:BG289 BF291:BG291 BF293:BG293 BF295:BG295 BF297:BG297 BF299:BG299 BF301:BG301 BF303:BG303 BF305:BG305 BF307:BG307 BF309:BG309 BF311:BG311 BF313:BG313 BF315:BG315 BF317:BG317 BF319:BG319 BF321:BG321 BF323:BG323 BF325:BG325 BF327:BG327 BF329:BG329 BF331:BG331 BF333:BG333 BF335:BG335 BF337:BG337 BF339:BG339 BF341:BG341 BF343:BG343 BF345:BG345 BF347:BG347 BF349:BG349 BF351:BG351 BF353:BG353 BF355:BG355 BF357:BG357 BF359:BG359 BF361:BG361 BF363:BG363 BF365:BG365 BF367:BG367 BF369:BG369 BF371:BG371 BF373:BG373 BF375:BG375 BF377:BG377 BF379:BG379 BF381:BG381 BF383:BG383 BF385:BG385 BF387:BG387 BF389:BG389 BF391:BG391 BF393:BG393 BF395:BG395 BF397:BG397 BF399:BG399 BF401:BG401 BF403:BG403 BF405:BG405 BF407:BG407 BF409:BG409 BF411:BG411 BF413:BG413 BF415:BG415 BF417:BG417 BF419:BG419 BF421:BG421 BF423:BG423 BF425:BG425 BF427:BG427 BF429:BG429 BF431:BG431 BF433:BG433 BF435:BG435 BF437:BG437 BF439:BG439 BF441:BG441 BF443:BG443 BF445:BG445 BF447:BG447 BF449:BG449 BF451:BG451 BF453:BG453 BF455:BG455 BF457:BG457 BF459:BG459 BF461:BG461 BF463:BG463 BF465:BG465 BF467:BG467 BF469:BG469 BF471:BG471 BF473:BG473 BF475:BG475 BF477:BG477 BF479:BG479 BF481:BG481 BF483:BG483 BF485:BG485 BF487:BG487 BF489:BG489 BF491:BG491 BF493:BG493 BF495:BG495 BF497:BG497 BF499:BG499 BF501:BG501 BF503:BG503 BF505:BG505 BF507:BG507 BF509:BG509 BF511:BG511 BF513:BG513 BF515:BG515 BF517:BG517 BF519:BG519 BF521:BG521 BF523:BG523 BF525:BG525 BF527:BG527 BF529:BG529 BF531:BG531 BF533:BG533 BF535:BG535 BF537:BG537 BF539:BG539 BF541:BG541 BF543:BG543 BF545:BG545 BF547:BG547 BF549:BG549 BF551:BG551 BF553:BG553 BF555:BG555 BF557:BG557 BF559:BG559 BF561:BG561 BF563:BG563 BF565:BG565 BF567:BG567 BF569:BG569 BF571:BG571 BF573:BG573 BF575:BG575 BF577:BG577 BF579:BG579 BF581:BG581 BF583:BG583 BF585:BG585 BF587:BG587 BF589:BG589 BF591:BG591 BF593:BG593 BF595:BG595 BF597:BG597 BF599:BG599 BF601:BG601 BF603:BG603 BF605:BG605 BF607:BG607 BF609:BG609 BF611:BG611 BF613:BG613 BF615:BG615 BF617:BG617 BF619:BG619 BF621:BG621 BF623:BG623 BF625:BG625 BF627:BG627 BF629:BG629 BF631:BG631 BF633:BG633 BF635:BG635 BF637:BG637 BF639:BG639 BF641:BG641 BF643:BG643 BF645:BG645 BF647:BG647 BF649:BG649 BF651:BG651 BF653:BG653 BF655:BG655 BF657:BG657 BF659:BG659 BF661:BG661 BF663:BG663 BF665:BG665 BF667:BG667 BF669:BG669 BF671:BG671 BF673:BG673 BF675:BG675 BF677:BG677 BF679:BG679 BF681:BG681 BF683:BG683 BF685:BG685 BF687:BG687 BF689:BG689 BF691:BG691 BF693:BG693 BF695:BG695 BF697:BG697 BF699:BG699 BF701:BG701 BF703:BG703 BF705:BG705 BF707:BG707 BF709:BG709 BF711:BG711 BF713:BG713 BF715:BG715 BF717:BG717 BF719:BG719 BF721:BG721 BF723:BG723 BF725:BG725 BF727:BG727 BF729:BG729 BF731:BG731 BF733:BG733 BF735:BG735 BF737:BG737 BF739:BG739 BF741:BG741 BF743:BG743 BF745:BG745 BF747:BG747 BF749:BG749 BF751:BG751 BF753:BG753 BF755:BG755 BF757:BG757 BF759:BG759 BF761:BG761 BF763:BG763 BF765:BG765 BF767:BG767 BF769:BG769 BF771:BG771 BF773:BG773 BF775:BG775 BF777:BG777 BF779:BG779 BF781:BG781 BF783:BG783 BF785:BG785 BF787:BG787 BF789:BG789 BF791:BG791 BF793:BG793 BF795:BG795 BF797:BG797 BF799:BG799 BI7 BI9 BI11 BI13 BI15 BI17 BI19 BI21 BI23 BI25 BI27 BI29 BI31 BI33 BI35 BI37 BI39 BI41 BI43 BI45 BI47 BI49 BI51 BI53 BI55 BI57 BI59 BI61 BI63 BI65 BI67 BI69 BI71 BI73 BI75 BI77 BI79 BI81 BI83 BI85 BI87 BI89 BI91 BI93 BI95 BI97 BI99 BI101 BI103 BI105 BI107 BI109 BI111 BI113 BI115 BI117 BI119 BI121 BI123 BI125 BI127 BI129 BI131 BI133 BI135 BI137 BI139 BI141 BI143 BI145 BI147 BI149 BI151 BI153 BI155 BI157 BI159 BI161 BI163 BI165 BI167 BI169 BI171 BI173 BI175 BI177 BI179 BI181 BI183 BI185 BI187 BI189 BI191 BI193 BI195 BI197 BI199 BI201 BI203 BI205 BI207 BI209 BI211 BI213 BI215 BI217 BI219 BI221 BI223 BI225 BI227 BI229 BI231 BI233 BI235 BI237 BI239 BI241 BI243 BI245 BI247 BI249 BI251 BI253 BI255 BI257 BI259 BI261 BI263 BI265 BI267 BI269 BI271 BI273 BI275 BI277 BI279 BI281 BI283 BI285 BI287 BI289 BI291 BI293 BI295 BI297 BI299 BI301 BI303 BI305 BI307 BI309 BI311 BI313 BI315 BI317 BI319 BI321 BI323 BI325 BI327 BI329 BI331 BI333 BI335 BI337 BI339 BI341 BI343 BI345 BI347 BI349 BI351 BI353 BI355 BI357 BI359 BI361 BI363 BI365 BI367 BI369 BI371 BI373 BI375 BI377 BI379 BI381 BI383 BI385 BI387 BI389 BI391 BI393 BI395 BI397 BI399 BI401 BI403 BI405 BI407 BI409 BI411 BI413 BI415 BI417 BI419 BI421 BI423 BI425 BI427 BI429 BI431 BI433 BI435 BI437 BI439 BI441 BI443 BI445 BI447 BI449 BI451 BI453 BI455 BI457 BI459 BI461 BI463 BI465 BI467 BI469 BI471 BI473 BI475 BI477 BI479 BI481 BI483 BI485 BI487 BI489 BI491 BI493 BI495 BI497 BI499 BI501 BI503 BI505 BI507 BI509 BI511 BI513 BI515 BI517 BI519 BI521 BI523 BI525 BI527 BI529 BI531 BI533 BI535 BI537 BI539 BI541 BI543 BI545 BI547 BI549 BI551 BI553 BI555 BI557 BI559 BI561 BI563 BI565 BI567 BI569 BI571 BI573 BI575 BI577 BI579 BI581 BI583 BI585 BI587 BI589 BI591 BI593 BI595 BI597 BI599 BI601 BI603 BI605 BI607 BI609 BI611 BI613 BI615 BI617 BI619 BI621 BI623 BI625 BI627 BI629 BI631 BI633 BI635 BI637 BI639 BI641 BI643 BI645 BI647 BI649 BI651 BI653 BI655 BI657 BI659 BI661 BI663 BI665 BI667 BI669 BI671 BI673 BI675 BI677 BI679 BI681 BI683 BI685 BI687 BI689 BI691 BI693 BI695 BI697 BI699 BI701 BI703 BI705 BI707 BI709 BI711 BI713 BI715 BI717 BI719 BI721 BI723 BI725 BI727 BI729 BI731 BI733 BI735 BI737 BI739 BI741 BI743 BI745 BI747 BI749 BI751 BI753 BI755 BI757 BI759 BI761 BI763 BI765 BI767 BI769 BI771 BI773 BI775 BI777 BI779 BI781 BI783 BI785 BI787 BI789 BI791 BI793 BI795 BI797 BI799">
    <cfRule type="containsBlanks" dxfId="3173" priority="3223">
      <formula>LEN(TRIM(BF5))=0</formula>
    </cfRule>
  </conditionalFormatting>
  <conditionalFormatting sqref="BE4">
    <cfRule type="expression" dxfId="3172" priority="3221">
      <formula>$M4="NON DEFINED"</formula>
    </cfRule>
    <cfRule type="expression" dxfId="3171" priority="3222">
      <formula>$AY4="N.D."</formula>
    </cfRule>
  </conditionalFormatting>
  <conditionalFormatting sqref="BE4">
    <cfRule type="cellIs" dxfId="3170" priority="3220" operator="equal">
      <formula>0</formula>
    </cfRule>
  </conditionalFormatting>
  <conditionalFormatting sqref="BA4:BC4">
    <cfRule type="expression" dxfId="3169" priority="3184">
      <formula>$BE4="R"</formula>
    </cfRule>
  </conditionalFormatting>
  <conditionalFormatting sqref="B4:E4 J4 AG4 AN4:AS4 AY4:BC4 G4:H4">
    <cfRule type="expression" dxfId="3168" priority="3182">
      <formula>$M4="NON DEFINED"</formula>
    </cfRule>
    <cfRule type="expression" dxfId="3167" priority="3183">
      <formula>$AY4="N.D."</formula>
    </cfRule>
  </conditionalFormatting>
  <conditionalFormatting sqref="A4:E4 J4 AG4 AN4:AS4 AY4:BD4 G4:H4">
    <cfRule type="cellIs" dxfId="3166" priority="3181" operator="equal">
      <formula>0</formula>
    </cfRule>
  </conditionalFormatting>
  <conditionalFormatting sqref="I4">
    <cfRule type="expression" dxfId="3165" priority="3163">
      <formula>$M4="NON DEFINED"</formula>
    </cfRule>
    <cfRule type="expression" dxfId="3164" priority="3164">
      <formula>$AY4="N.D."</formula>
    </cfRule>
  </conditionalFormatting>
  <conditionalFormatting sqref="I4">
    <cfRule type="cellIs" dxfId="3163" priority="3162" operator="equal">
      <formula>0</formula>
    </cfRule>
  </conditionalFormatting>
  <conditionalFormatting sqref="K4">
    <cfRule type="expression" dxfId="3162" priority="3146">
      <formula>$M4="NON DEFINED"</formula>
    </cfRule>
    <cfRule type="expression" dxfId="3161" priority="3147">
      <formula>$AY4="N.D."</formula>
    </cfRule>
  </conditionalFormatting>
  <conditionalFormatting sqref="K4">
    <cfRule type="cellIs" dxfId="3160" priority="3145" operator="equal">
      <formula>0</formula>
    </cfRule>
  </conditionalFormatting>
  <conditionalFormatting sqref="L4">
    <cfRule type="expression" dxfId="3159" priority="3129">
      <formula>$M4="NON DEFINED"</formula>
    </cfRule>
    <cfRule type="expression" dxfId="3158" priority="3130">
      <formula>$AY4="N.D."</formula>
    </cfRule>
  </conditionalFormatting>
  <conditionalFormatting sqref="L4">
    <cfRule type="cellIs" dxfId="3157" priority="3128" operator="equal">
      <formula>0</formula>
    </cfRule>
  </conditionalFormatting>
  <conditionalFormatting sqref="M4">
    <cfRule type="expression" dxfId="3156" priority="3112">
      <formula>$M4="NON DEFINED"</formula>
    </cfRule>
    <cfRule type="expression" dxfId="3155" priority="3113">
      <formula>$AY4="N.D."</formula>
    </cfRule>
  </conditionalFormatting>
  <conditionalFormatting sqref="M4">
    <cfRule type="cellIs" dxfId="3154" priority="3111" operator="equal">
      <formula>0</formula>
    </cfRule>
  </conditionalFormatting>
  <conditionalFormatting sqref="N4">
    <cfRule type="expression" dxfId="3153" priority="3092">
      <formula>$M4="NON DEFINED"</formula>
    </cfRule>
    <cfRule type="expression" dxfId="3152" priority="3093">
      <formula>$AY4="N.D."</formula>
    </cfRule>
  </conditionalFormatting>
  <conditionalFormatting sqref="N4">
    <cfRule type="cellIs" dxfId="3151" priority="3091" operator="equal">
      <formula>0</formula>
    </cfRule>
  </conditionalFormatting>
  <conditionalFormatting sqref="O4">
    <cfRule type="expression" dxfId="3150" priority="3075">
      <formula>$M4="NON DEFINED"</formula>
    </cfRule>
    <cfRule type="expression" dxfId="3149" priority="3076">
      <formula>$AY4="N.D."</formula>
    </cfRule>
  </conditionalFormatting>
  <conditionalFormatting sqref="O4">
    <cfRule type="cellIs" dxfId="3148" priority="3074" operator="equal">
      <formula>0</formula>
    </cfRule>
  </conditionalFormatting>
  <conditionalFormatting sqref="P4">
    <cfRule type="expression" dxfId="3147" priority="3058">
      <formula>$M4="NON DEFINED"</formula>
    </cfRule>
    <cfRule type="expression" dxfId="3146" priority="3059">
      <formula>$AY4="N.D."</formula>
    </cfRule>
  </conditionalFormatting>
  <conditionalFormatting sqref="P4">
    <cfRule type="cellIs" dxfId="3145" priority="3057" operator="equal">
      <formula>0</formula>
    </cfRule>
  </conditionalFormatting>
  <conditionalFormatting sqref="AC4">
    <cfRule type="expression" dxfId="3144" priority="3024">
      <formula>$M4="NON DEFINED"</formula>
    </cfRule>
    <cfRule type="expression" dxfId="3143" priority="3025">
      <formula>$AY4="N.D."</formula>
    </cfRule>
  </conditionalFormatting>
  <conditionalFormatting sqref="AC4">
    <cfRule type="cellIs" dxfId="3142" priority="3023" operator="equal">
      <formula>0</formula>
    </cfRule>
  </conditionalFormatting>
  <conditionalFormatting sqref="AD4">
    <cfRule type="expression" dxfId="3141" priority="3007">
      <formula>$M4="NON DEFINED"</formula>
    </cfRule>
    <cfRule type="expression" dxfId="3140" priority="3008">
      <formula>$AY4="N.D."</formula>
    </cfRule>
  </conditionalFormatting>
  <conditionalFormatting sqref="AD4">
    <cfRule type="cellIs" dxfId="3139" priority="3006" operator="equal">
      <formula>0</formula>
    </cfRule>
  </conditionalFormatting>
  <conditionalFormatting sqref="AE4">
    <cfRule type="expression" dxfId="3138" priority="2990">
      <formula>$M4="NON DEFINED"</formula>
    </cfRule>
    <cfRule type="expression" dxfId="3137" priority="2991">
      <formula>$AY4="N.D."</formula>
    </cfRule>
  </conditionalFormatting>
  <conditionalFormatting sqref="AE4">
    <cfRule type="cellIs" dxfId="3136" priority="2989" operator="equal">
      <formula>0</formula>
    </cfRule>
  </conditionalFormatting>
  <conditionalFormatting sqref="AJ4">
    <cfRule type="expression" dxfId="3135" priority="2973">
      <formula>$M4="NON DEFINED"</formula>
    </cfRule>
    <cfRule type="expression" dxfId="3134" priority="2974">
      <formula>$AY4="N.D."</formula>
    </cfRule>
  </conditionalFormatting>
  <conditionalFormatting sqref="AJ4">
    <cfRule type="cellIs" dxfId="3133" priority="2972" operator="equal">
      <formula>0</formula>
    </cfRule>
  </conditionalFormatting>
  <conditionalFormatting sqref="AK4">
    <cfRule type="expression" dxfId="3132" priority="2956">
      <formula>$M4="NON DEFINED"</formula>
    </cfRule>
    <cfRule type="expression" dxfId="3131" priority="2957">
      <formula>$AY4="N.D."</formula>
    </cfRule>
  </conditionalFormatting>
  <conditionalFormatting sqref="AK4">
    <cfRule type="cellIs" dxfId="3130" priority="2955" operator="equal">
      <formula>0</formula>
    </cfRule>
  </conditionalFormatting>
  <conditionalFormatting sqref="AL4">
    <cfRule type="expression" dxfId="3129" priority="2939">
      <formula>$M4="NON DEFINED"</formula>
    </cfRule>
    <cfRule type="expression" dxfId="3128" priority="2940">
      <formula>$AY4="N.D."</formula>
    </cfRule>
  </conditionalFormatting>
  <conditionalFormatting sqref="AL4">
    <cfRule type="cellIs" dxfId="3127" priority="2938" operator="equal">
      <formula>0</formula>
    </cfRule>
  </conditionalFormatting>
  <conditionalFormatting sqref="AM4">
    <cfRule type="expression" dxfId="3126" priority="2922">
      <formula>$M4="NON DEFINED"</formula>
    </cfRule>
    <cfRule type="expression" dxfId="3125" priority="2923">
      <formula>$AY4="N.D."</formula>
    </cfRule>
  </conditionalFormatting>
  <conditionalFormatting sqref="AM4">
    <cfRule type="cellIs" dxfId="3124" priority="2921" operator="equal">
      <formula>0</formula>
    </cfRule>
  </conditionalFormatting>
  <conditionalFormatting sqref="AT4">
    <cfRule type="expression" dxfId="3123" priority="2905">
      <formula>$M4="NON DEFINED"</formula>
    </cfRule>
    <cfRule type="expression" dxfId="3122" priority="2906">
      <formula>$AY4="N.D."</formula>
    </cfRule>
  </conditionalFormatting>
  <conditionalFormatting sqref="AT4">
    <cfRule type="cellIs" dxfId="3121" priority="2904" operator="equal">
      <formula>0</formula>
    </cfRule>
  </conditionalFormatting>
  <conditionalFormatting sqref="AU4">
    <cfRule type="expression" dxfId="3120" priority="2888">
      <formula>$M4="NON DEFINED"</formula>
    </cfRule>
    <cfRule type="expression" dxfId="3119" priority="2889">
      <formula>$AY4="N.D."</formula>
    </cfRule>
  </conditionalFormatting>
  <conditionalFormatting sqref="AU4">
    <cfRule type="cellIs" dxfId="3118" priority="2887" operator="equal">
      <formula>0</formula>
    </cfRule>
  </conditionalFormatting>
  <conditionalFormatting sqref="AV4">
    <cfRule type="expression" dxfId="3117" priority="2871">
      <formula>$M4="NON DEFINED"</formula>
    </cfRule>
    <cfRule type="expression" dxfId="3116" priority="2872">
      <formula>$AY4="N.D."</formula>
    </cfRule>
  </conditionalFormatting>
  <conditionalFormatting sqref="AV4">
    <cfRule type="cellIs" dxfId="3115" priority="2870" operator="equal">
      <formula>0</formula>
    </cfRule>
  </conditionalFormatting>
  <conditionalFormatting sqref="AW4">
    <cfRule type="expression" dxfId="3114" priority="2854">
      <formula>$M4="NON DEFINED"</formula>
    </cfRule>
    <cfRule type="expression" dxfId="3113" priority="2855">
      <formula>$AY4="N.D."</formula>
    </cfRule>
  </conditionalFormatting>
  <conditionalFormatting sqref="AW4">
    <cfRule type="cellIs" dxfId="3112" priority="2853" operator="equal">
      <formula>0</formula>
    </cfRule>
  </conditionalFormatting>
  <conditionalFormatting sqref="AX4">
    <cfRule type="expression" dxfId="3111" priority="2837">
      <formula>$M4="NON DEFINED"</formula>
    </cfRule>
    <cfRule type="expression" dxfId="3110" priority="2838">
      <formula>$AY4="N.D."</formula>
    </cfRule>
  </conditionalFormatting>
  <conditionalFormatting sqref="AX4">
    <cfRule type="cellIs" dxfId="3109" priority="2836" operator="equal">
      <formula>0</formula>
    </cfRule>
  </conditionalFormatting>
  <conditionalFormatting sqref="F4">
    <cfRule type="expression" dxfId="3108" priority="2820">
      <formula>$M4="NON DEFINED"</formula>
    </cfRule>
    <cfRule type="expression" dxfId="3107" priority="2821">
      <formula>$AY4="N.D."</formula>
    </cfRule>
  </conditionalFormatting>
  <conditionalFormatting sqref="F4">
    <cfRule type="cellIs" dxfId="3106" priority="2819" operator="equal">
      <formula>0</formula>
    </cfRule>
  </conditionalFormatting>
  <conditionalFormatting sqref="Q4">
    <cfRule type="expression" dxfId="3105" priority="2803">
      <formula>$M4="NON DEFINED"</formula>
    </cfRule>
    <cfRule type="expression" dxfId="3104" priority="2804">
      <formula>$AY4="N.D."</formula>
    </cfRule>
  </conditionalFormatting>
  <conditionalFormatting sqref="Q4">
    <cfRule type="cellIs" dxfId="3103" priority="2802" operator="equal">
      <formula>0</formula>
    </cfRule>
  </conditionalFormatting>
  <conditionalFormatting sqref="T4">
    <cfRule type="expression" dxfId="3102" priority="2786">
      <formula>$M4="NON DEFINED"</formula>
    </cfRule>
    <cfRule type="expression" dxfId="3101" priority="2787">
      <formula>$AY4="N.D."</formula>
    </cfRule>
  </conditionalFormatting>
  <conditionalFormatting sqref="T4">
    <cfRule type="cellIs" dxfId="3100" priority="2785" operator="equal">
      <formula>0</formula>
    </cfRule>
  </conditionalFormatting>
  <conditionalFormatting sqref="U4">
    <cfRule type="expression" dxfId="3099" priority="2769">
      <formula>$M4="NON DEFINED"</formula>
    </cfRule>
    <cfRule type="expression" dxfId="3098" priority="2770">
      <formula>$AY4="N.D."</formula>
    </cfRule>
  </conditionalFormatting>
  <conditionalFormatting sqref="U4">
    <cfRule type="cellIs" dxfId="3097" priority="2768" operator="equal">
      <formula>0</formula>
    </cfRule>
  </conditionalFormatting>
  <conditionalFormatting sqref="V4">
    <cfRule type="expression" dxfId="3096" priority="2752">
      <formula>$M4="NON DEFINED"</formula>
    </cfRule>
    <cfRule type="expression" dxfId="3095" priority="2753">
      <formula>$AY4="N.D."</formula>
    </cfRule>
  </conditionalFormatting>
  <conditionalFormatting sqref="V4">
    <cfRule type="cellIs" dxfId="3094" priority="2751" operator="equal">
      <formula>0</formula>
    </cfRule>
  </conditionalFormatting>
  <conditionalFormatting sqref="AF4">
    <cfRule type="expression" dxfId="3093" priority="2735">
      <formula>$M4="NON DEFINED"</formula>
    </cfRule>
    <cfRule type="expression" dxfId="3092" priority="2736">
      <formula>$AY4="N.D."</formula>
    </cfRule>
  </conditionalFormatting>
  <conditionalFormatting sqref="AF4">
    <cfRule type="cellIs" dxfId="3091" priority="2734" operator="equal">
      <formula>0</formula>
    </cfRule>
  </conditionalFormatting>
  <conditionalFormatting sqref="AH4">
    <cfRule type="expression" dxfId="3090" priority="2718">
      <formula>$M4="NON DEFINED"</formula>
    </cfRule>
    <cfRule type="expression" dxfId="3089" priority="2719">
      <formula>$AY4="N.D."</formula>
    </cfRule>
  </conditionalFormatting>
  <conditionalFormatting sqref="AH4">
    <cfRule type="cellIs" dxfId="3088" priority="2717" operator="equal">
      <formula>0</formula>
    </cfRule>
  </conditionalFormatting>
  <conditionalFormatting sqref="AI4">
    <cfRule type="expression" dxfId="3087" priority="2701">
      <formula>$M4="NON DEFINED"</formula>
    </cfRule>
    <cfRule type="expression" dxfId="3086" priority="2702">
      <formula>$AY4="N.D."</formula>
    </cfRule>
  </conditionalFormatting>
  <conditionalFormatting sqref="AI4">
    <cfRule type="cellIs" dxfId="3085" priority="2700" operator="equal">
      <formula>0</formula>
    </cfRule>
  </conditionalFormatting>
  <conditionalFormatting sqref="R4">
    <cfRule type="expression" dxfId="3084" priority="2684">
      <formula>$M4="NON DEFINED"</formula>
    </cfRule>
    <cfRule type="expression" dxfId="3083" priority="2685">
      <formula>$AY4="N.D."</formula>
    </cfRule>
  </conditionalFormatting>
  <conditionalFormatting sqref="R4">
    <cfRule type="cellIs" dxfId="3082" priority="2683" operator="equal">
      <formula>0</formula>
    </cfRule>
  </conditionalFormatting>
  <conditionalFormatting sqref="S4">
    <cfRule type="expression" dxfId="3081" priority="2667">
      <formula>$M4="NON DEFINED"</formula>
    </cfRule>
    <cfRule type="expression" dxfId="3080" priority="2668">
      <formula>$AY4="N.D."</formula>
    </cfRule>
  </conditionalFormatting>
  <conditionalFormatting sqref="S4">
    <cfRule type="cellIs" dxfId="3079" priority="2666" operator="equal">
      <formula>0</formula>
    </cfRule>
  </conditionalFormatting>
  <conditionalFormatting sqref="W4">
    <cfRule type="expression" dxfId="3078" priority="2650">
      <formula>$M4="NON DEFINED"</formula>
    </cfRule>
    <cfRule type="expression" dxfId="3077" priority="2651">
      <formula>$AY4="N.D."</formula>
    </cfRule>
  </conditionalFormatting>
  <conditionalFormatting sqref="W4">
    <cfRule type="cellIs" dxfId="3076" priority="2649" operator="equal">
      <formula>0</formula>
    </cfRule>
  </conditionalFormatting>
  <conditionalFormatting sqref="X4">
    <cfRule type="expression" dxfId="3075" priority="2616">
      <formula>$M4="NON DEFINED"</formula>
    </cfRule>
    <cfRule type="expression" dxfId="3074" priority="2617">
      <formula>$AY4="N.D."</formula>
    </cfRule>
  </conditionalFormatting>
  <conditionalFormatting sqref="X4">
    <cfRule type="cellIs" dxfId="3073" priority="2615" operator="equal">
      <formula>0</formula>
    </cfRule>
  </conditionalFormatting>
  <conditionalFormatting sqref="Y4">
    <cfRule type="expression" dxfId="3072" priority="2599">
      <formula>$M4="NON DEFINED"</formula>
    </cfRule>
    <cfRule type="expression" dxfId="3071" priority="2600">
      <formula>$AY4="N.D."</formula>
    </cfRule>
  </conditionalFormatting>
  <conditionalFormatting sqref="Y4">
    <cfRule type="cellIs" dxfId="3070" priority="2598" operator="equal">
      <formula>0</formula>
    </cfRule>
  </conditionalFormatting>
  <conditionalFormatting sqref="Z4">
    <cfRule type="expression" dxfId="3069" priority="2582">
      <formula>$M4="NON DEFINED"</formula>
    </cfRule>
    <cfRule type="expression" dxfId="3068" priority="2583">
      <formula>$AY4="N.D."</formula>
    </cfRule>
  </conditionalFormatting>
  <conditionalFormatting sqref="Z4">
    <cfRule type="cellIs" dxfId="3067" priority="2581" operator="equal">
      <formula>0</formula>
    </cfRule>
  </conditionalFormatting>
  <conditionalFormatting sqref="AA4">
    <cfRule type="expression" dxfId="3066" priority="2565">
      <formula>$M4="NON DEFINED"</formula>
    </cfRule>
    <cfRule type="expression" dxfId="3065" priority="2566">
      <formula>$AY4="N.D."</formula>
    </cfRule>
  </conditionalFormatting>
  <conditionalFormatting sqref="AA4">
    <cfRule type="cellIs" dxfId="3064" priority="2564" operator="equal">
      <formula>0</formula>
    </cfRule>
  </conditionalFormatting>
  <conditionalFormatting sqref="AB4">
    <cfRule type="expression" dxfId="3063" priority="2548">
      <formula>$M4="NON DEFINED"</formula>
    </cfRule>
    <cfRule type="expression" dxfId="3062" priority="2549">
      <formula>$AY4="N.D."</formula>
    </cfRule>
  </conditionalFormatting>
  <conditionalFormatting sqref="AB4">
    <cfRule type="cellIs" dxfId="3061" priority="2547" operator="equal">
      <formula>0</formula>
    </cfRule>
  </conditionalFormatting>
  <conditionalFormatting sqref="AG30:AG800 AZ30:AZ800 J30:J84 AN30:AS141 B30:E800 G30:H800 J86:J90 J92:J109 J112:J123 J126 J128:J800 AN143:AS800 AO142:AS142">
    <cfRule type="expression" dxfId="3060" priority="2029">
      <formula>$M30="NON DEFINED"</formula>
    </cfRule>
    <cfRule type="expression" dxfId="3059" priority="2030">
      <formula>$AZ30="N.D."</formula>
    </cfRule>
    <cfRule type="expression" dxfId="3058" priority="2031">
      <formula>$AY30="N.D."</formula>
    </cfRule>
  </conditionalFormatting>
  <conditionalFormatting sqref="BA192:BC800">
    <cfRule type="expression" dxfId="3057" priority="2027">
      <formula>$BE192="A"</formula>
    </cfRule>
    <cfRule type="expression" dxfId="3056" priority="2028">
      <formula>$BE192="R"</formula>
    </cfRule>
  </conditionalFormatting>
  <conditionalFormatting sqref="AY30:AY800">
    <cfRule type="expression" dxfId="3055" priority="2024">
      <formula>$M30="NON DEFINED"</formula>
    </cfRule>
    <cfRule type="expression" dxfId="3054" priority="2025">
      <formula>$AZ30="N.D."</formula>
    </cfRule>
    <cfRule type="expression" dxfId="3053" priority="2026">
      <formula>$AY30="N.D."</formula>
    </cfRule>
  </conditionalFormatting>
  <conditionalFormatting sqref="BA192:BC800">
    <cfRule type="expression" dxfId="3052" priority="2020">
      <formula>$M192="NON DEFINED"</formula>
    </cfRule>
    <cfRule type="expression" dxfId="3051" priority="2021">
      <formula>$AZ192="N.D."</formula>
    </cfRule>
    <cfRule type="expression" dxfId="3050" priority="2022">
      <formula>$AY192="N.D."</formula>
    </cfRule>
  </conditionalFormatting>
  <conditionalFormatting sqref="J30:J84 AG30:AG800 AN30:AS141 AY192:BC800 G30:H800 J86:J90 J92:J109 J112:J123 J126 J128:J800 AY30:AZ191 A30:E800 AN143:AS800 AO142:AS142">
    <cfRule type="expression" dxfId="3049" priority="2009">
      <formula>$A30="Overhead Cable"</formula>
    </cfRule>
    <cfRule type="expression" dxfId="3048" priority="2010">
      <formula>$A30="Level Crossing"</formula>
    </cfRule>
    <cfRule type="expression" dxfId="3047" priority="2011">
      <formula>$A30="Neutral Section"</formula>
    </cfRule>
    <cfRule type="expression" dxfId="3046" priority="2012">
      <formula>$A30="Tunnel"</formula>
    </cfRule>
    <cfRule type="expression" dxfId="3045" priority="2013">
      <formula>$A30="Bridge"</formula>
    </cfRule>
    <cfRule type="expression" dxfId="3044" priority="2014">
      <formula>$A30="Drainage Works"</formula>
    </cfRule>
    <cfRule type="expression" dxfId="3043" priority="2015">
      <formula>$A30="Underpass"</formula>
    </cfRule>
    <cfRule type="expression" dxfId="3042" priority="2016">
      <formula>$A30="Overcrossing"</formula>
    </cfRule>
    <cfRule type="expression" dxfId="3041" priority="2017">
      <formula>$A30="Overpass"</formula>
    </cfRule>
    <cfRule type="expression" dxfId="3040" priority="2018">
      <formula>$A30="Station"</formula>
    </cfRule>
    <cfRule type="expression" dxfId="3039" priority="2019">
      <formula>$A30="Overlap between sections"</formula>
    </cfRule>
  </conditionalFormatting>
  <conditionalFormatting sqref="AN30:AP141 AN143:AP800 AO142:AP142">
    <cfRule type="cellIs" dxfId="3038" priority="2008" operator="notEqual">
      <formula>5.5</formula>
    </cfRule>
  </conditionalFormatting>
  <conditionalFormatting sqref="B30:B800">
    <cfRule type="expression" dxfId="3037" priority="2007">
      <formula>AND($AH30&gt;2499,$AH30&lt;2901)</formula>
    </cfRule>
  </conditionalFormatting>
  <conditionalFormatting sqref="I30:I109 I112:I800">
    <cfRule type="expression" dxfId="3036" priority="2004">
      <formula>$M30="NON DEFINED"</formula>
    </cfRule>
    <cfRule type="expression" dxfId="3035" priority="2005">
      <formula>$AZ30="N.D."</formula>
    </cfRule>
    <cfRule type="expression" dxfId="3034" priority="2006">
      <formula>$AY30="N.D."</formula>
    </cfRule>
  </conditionalFormatting>
  <conditionalFormatting sqref="I30:I109 I112:I800">
    <cfRule type="expression" dxfId="3033" priority="1993">
      <formula>$A30="Overhead Cable"</formula>
    </cfRule>
    <cfRule type="expression" dxfId="3032" priority="1994">
      <formula>$A30="Level Crossing"</formula>
    </cfRule>
    <cfRule type="expression" dxfId="3031" priority="1995">
      <formula>$A30="Neutral Section"</formula>
    </cfRule>
    <cfRule type="expression" dxfId="3030" priority="1996">
      <formula>$A30="Tunnel"</formula>
    </cfRule>
    <cfRule type="expression" dxfId="3029" priority="1997">
      <formula>$A30="Bridge"</formula>
    </cfRule>
    <cfRule type="expression" dxfId="3028" priority="1998">
      <formula>$A30="Drainage Works"</formula>
    </cfRule>
    <cfRule type="expression" dxfId="3027" priority="1999">
      <formula>$A30="Underpass"</formula>
    </cfRule>
    <cfRule type="expression" dxfId="3026" priority="2000">
      <formula>$A30="Overcrossing"</formula>
    </cfRule>
    <cfRule type="expression" dxfId="3025" priority="2001">
      <formula>$A30="Overpass"</formula>
    </cfRule>
    <cfRule type="expression" dxfId="3024" priority="2002">
      <formula>$A30="Station"</formula>
    </cfRule>
    <cfRule type="expression" dxfId="3023" priority="2003">
      <formula>$A30="Overlap between sections"</formula>
    </cfRule>
  </conditionalFormatting>
  <conditionalFormatting sqref="K86:K90 K92:K102 K104:K109 K112:K123 K126 K128:K800 K30:K84">
    <cfRule type="expression" dxfId="3022" priority="1990">
      <formula>$M30="NON DEFINED"</formula>
    </cfRule>
    <cfRule type="expression" dxfId="3021" priority="1991">
      <formula>$AZ30="N.D."</formula>
    </cfRule>
    <cfRule type="expression" dxfId="3020" priority="1992">
      <formula>$AY30="N.D."</formula>
    </cfRule>
  </conditionalFormatting>
  <conditionalFormatting sqref="K86:K90 K92:K102 K104:K109 K112:K123 K126 K128:K800 K30:K84">
    <cfRule type="expression" dxfId="3019" priority="1979">
      <formula>$A30="Overhead Cable"</formula>
    </cfRule>
    <cfRule type="expression" dxfId="3018" priority="1980">
      <formula>$A30="Level Crossing"</formula>
    </cfRule>
    <cfRule type="expression" dxfId="3017" priority="1981">
      <formula>$A30="Neutral Section"</formula>
    </cfRule>
    <cfRule type="expression" dxfId="3016" priority="1982">
      <formula>$A30="Tunnel"</formula>
    </cfRule>
    <cfRule type="expression" dxfId="3015" priority="1983">
      <formula>$A30="Bridge"</formula>
    </cfRule>
    <cfRule type="expression" dxfId="3014" priority="1984">
      <formula>$A30="Drainage Works"</formula>
    </cfRule>
    <cfRule type="expression" dxfId="3013" priority="1985">
      <formula>$A30="Underpass"</formula>
    </cfRule>
    <cfRule type="expression" dxfId="3012" priority="1986">
      <formula>$A30="Overcrossing"</formula>
    </cfRule>
    <cfRule type="expression" dxfId="3011" priority="1987">
      <formula>$A30="Overpass"</formula>
    </cfRule>
    <cfRule type="expression" dxfId="3010" priority="1988">
      <formula>$A30="Station"</formula>
    </cfRule>
    <cfRule type="expression" dxfId="3009" priority="1989">
      <formula>$A30="Overlap between sections"</formula>
    </cfRule>
  </conditionalFormatting>
  <conditionalFormatting sqref="L30:L800">
    <cfRule type="expression" dxfId="3008" priority="1976">
      <formula>$M30="NON DEFINED"</formula>
    </cfRule>
    <cfRule type="expression" dxfId="3007" priority="1977">
      <formula>$AZ30="N.D."</formula>
    </cfRule>
    <cfRule type="expression" dxfId="3006" priority="1978">
      <formula>$AY30="N.D."</formula>
    </cfRule>
  </conditionalFormatting>
  <conditionalFormatting sqref="L30:L800">
    <cfRule type="expression" dxfId="3005" priority="1965">
      <formula>$A30="Overhead Cable"</formula>
    </cfRule>
    <cfRule type="expression" dxfId="3004" priority="1966">
      <formula>$A30="Level Crossing"</formula>
    </cfRule>
    <cfRule type="expression" dxfId="3003" priority="1967">
      <formula>$A30="Neutral Section"</formula>
    </cfRule>
    <cfRule type="expression" dxfId="3002" priority="1968">
      <formula>$A30="Tunnel"</formula>
    </cfRule>
    <cfRule type="expression" dxfId="3001" priority="1969">
      <formula>$A30="Bridge"</formula>
    </cfRule>
    <cfRule type="expression" dxfId="3000" priority="1970">
      <formula>$A30="Drainage Works"</formula>
    </cfRule>
    <cfRule type="expression" dxfId="2999" priority="1971">
      <formula>$A30="Underpass"</formula>
    </cfRule>
    <cfRule type="expression" dxfId="2998" priority="1972">
      <formula>$A30="Overcrossing"</formula>
    </cfRule>
    <cfRule type="expression" dxfId="2997" priority="1973">
      <formula>$A30="Overpass"</formula>
    </cfRule>
    <cfRule type="expression" dxfId="2996" priority="1974">
      <formula>$A30="Station"</formula>
    </cfRule>
    <cfRule type="expression" dxfId="2995" priority="1975">
      <formula>$A30="Overlap between sections"</formula>
    </cfRule>
  </conditionalFormatting>
  <conditionalFormatting sqref="M30:M800">
    <cfRule type="expression" dxfId="2994" priority="1962">
      <formula>$M30="NON DEFINED"</formula>
    </cfRule>
    <cfRule type="expression" dxfId="2993" priority="1963">
      <formula>$AZ30="N.D."</formula>
    </cfRule>
    <cfRule type="expression" dxfId="2992" priority="1964">
      <formula>$AY30="N.D."</formula>
    </cfRule>
  </conditionalFormatting>
  <conditionalFormatting sqref="M30:M800">
    <cfRule type="expression" dxfId="2991" priority="1951">
      <formula>$A30="Overhead Cable"</formula>
    </cfRule>
    <cfRule type="expression" dxfId="2990" priority="1952">
      <formula>$A30="Level Crossing"</formula>
    </cfRule>
    <cfRule type="expression" dxfId="2989" priority="1953">
      <formula>$A30="Neutral Section"</formula>
    </cfRule>
    <cfRule type="expression" dxfId="2988" priority="1954">
      <formula>$A30="Tunnel"</formula>
    </cfRule>
    <cfRule type="expression" dxfId="2987" priority="1955">
      <formula>$A30="Bridge"</formula>
    </cfRule>
    <cfRule type="expression" dxfId="2986" priority="1956">
      <formula>$A30="Drainage Works"</formula>
    </cfRule>
    <cfRule type="expression" dxfId="2985" priority="1957">
      <formula>$A30="Underpass"</formula>
    </cfRule>
    <cfRule type="expression" dxfId="2984" priority="1958">
      <formula>$A30="Overcrossing"</formula>
    </cfRule>
    <cfRule type="expression" dxfId="2983" priority="1959">
      <formula>$A30="Overpass"</formula>
    </cfRule>
    <cfRule type="expression" dxfId="2982" priority="1960">
      <formula>$A30="Station"</formula>
    </cfRule>
    <cfRule type="expression" dxfId="2981" priority="1961">
      <formula>$A30="Overlap between sections"</formula>
    </cfRule>
  </conditionalFormatting>
  <conditionalFormatting sqref="N30:N39 N41:N73 N75:N800">
    <cfRule type="expression" dxfId="2980" priority="1948">
      <formula>$M30="NON DEFINED"</formula>
    </cfRule>
    <cfRule type="expression" dxfId="2979" priority="1949">
      <formula>$AZ30="N.D."</formula>
    </cfRule>
    <cfRule type="expression" dxfId="2978" priority="1950">
      <formula>$AY30="N.D."</formula>
    </cfRule>
  </conditionalFormatting>
  <conditionalFormatting sqref="N30:N39 N41:N73 N75:N800">
    <cfRule type="expression" dxfId="2977" priority="1937">
      <formula>$A30="Overhead Cable"</formula>
    </cfRule>
    <cfRule type="expression" dxfId="2976" priority="1938">
      <formula>$A30="Level Crossing"</formula>
    </cfRule>
    <cfRule type="expression" dxfId="2975" priority="1939">
      <formula>$A30="Neutral Section"</formula>
    </cfRule>
    <cfRule type="expression" dxfId="2974" priority="1940">
      <formula>$A30="Tunnel"</formula>
    </cfRule>
    <cfRule type="expression" dxfId="2973" priority="1941">
      <formula>$A30="Bridge"</formula>
    </cfRule>
    <cfRule type="expression" dxfId="2972" priority="1942">
      <formula>$A30="Drainage Works"</formula>
    </cfRule>
    <cfRule type="expression" dxfId="2971" priority="1943">
      <formula>$A30="Underpass"</formula>
    </cfRule>
    <cfRule type="expression" dxfId="2970" priority="1944">
      <formula>$A30="Overcrossing"</formula>
    </cfRule>
    <cfRule type="expression" dxfId="2969" priority="1945">
      <formula>$A30="Overpass"</formula>
    </cfRule>
    <cfRule type="expression" dxfId="2968" priority="1946">
      <formula>$A30="Station"</formula>
    </cfRule>
    <cfRule type="expression" dxfId="2967" priority="1947">
      <formula>$A30="Overlap between sections"</formula>
    </cfRule>
  </conditionalFormatting>
  <conditionalFormatting sqref="O30:O800">
    <cfRule type="expression" dxfId="2966" priority="1934">
      <formula>$M30="NON DEFINED"</formula>
    </cfRule>
    <cfRule type="expression" dxfId="2965" priority="1935">
      <formula>$AZ30="N.D."</formula>
    </cfRule>
    <cfRule type="expression" dxfId="2964" priority="1936">
      <formula>$AY30="N.D."</formula>
    </cfRule>
  </conditionalFormatting>
  <conditionalFormatting sqref="O30:O800">
    <cfRule type="expression" dxfId="2963" priority="1923">
      <formula>$A30="Overhead Cable"</formula>
    </cfRule>
    <cfRule type="expression" dxfId="2962" priority="1924">
      <formula>$A30="Level Crossing"</formula>
    </cfRule>
    <cfRule type="expression" dxfId="2961" priority="1925">
      <formula>$A30="Neutral Section"</formula>
    </cfRule>
    <cfRule type="expression" dxfId="2960" priority="1926">
      <formula>$A30="Tunnel"</formula>
    </cfRule>
    <cfRule type="expression" dxfId="2959" priority="1927">
      <formula>$A30="Bridge"</formula>
    </cfRule>
    <cfRule type="expression" dxfId="2958" priority="1928">
      <formula>$A30="Drainage Works"</formula>
    </cfRule>
    <cfRule type="expression" dxfId="2957" priority="1929">
      <formula>$A30="Underpass"</formula>
    </cfRule>
    <cfRule type="expression" dxfId="2956" priority="1930">
      <formula>$A30="Overcrossing"</formula>
    </cfRule>
    <cfRule type="expression" dxfId="2955" priority="1931">
      <formula>$A30="Overpass"</formula>
    </cfRule>
    <cfRule type="expression" dxfId="2954" priority="1932">
      <formula>$A30="Station"</formula>
    </cfRule>
    <cfRule type="expression" dxfId="2953" priority="1933">
      <formula>$A30="Overlap between sections"</formula>
    </cfRule>
  </conditionalFormatting>
  <conditionalFormatting sqref="P30:P800">
    <cfRule type="expression" dxfId="2952" priority="1920">
      <formula>$M30="NON DEFINED"</formula>
    </cfRule>
    <cfRule type="expression" dxfId="2951" priority="1921">
      <formula>$AZ30="N.D."</formula>
    </cfRule>
    <cfRule type="expression" dxfId="2950" priority="1922">
      <formula>$AY30="N.D."</formula>
    </cfRule>
  </conditionalFormatting>
  <conditionalFormatting sqref="P30:P800">
    <cfRule type="expression" dxfId="2949" priority="1909">
      <formula>$A30="Overhead Cable"</formula>
    </cfRule>
    <cfRule type="expression" dxfId="2948" priority="1910">
      <formula>$A30="Level Crossing"</formula>
    </cfRule>
    <cfRule type="expression" dxfId="2947" priority="1911">
      <formula>$A30="Neutral Section"</formula>
    </cfRule>
    <cfRule type="expression" dxfId="2946" priority="1912">
      <formula>$A30="Tunnel"</formula>
    </cfRule>
    <cfRule type="expression" dxfId="2945" priority="1913">
      <formula>$A30="Bridge"</formula>
    </cfRule>
    <cfRule type="expression" dxfId="2944" priority="1914">
      <formula>$A30="Drainage Works"</formula>
    </cfRule>
    <cfRule type="expression" dxfId="2943" priority="1915">
      <formula>$A30="Underpass"</formula>
    </cfRule>
    <cfRule type="expression" dxfId="2942" priority="1916">
      <formula>$A30="Overcrossing"</formula>
    </cfRule>
    <cfRule type="expression" dxfId="2941" priority="1917">
      <formula>$A30="Overpass"</formula>
    </cfRule>
    <cfRule type="expression" dxfId="2940" priority="1918">
      <formula>$A30="Station"</formula>
    </cfRule>
    <cfRule type="expression" dxfId="2939" priority="1919">
      <formula>$A30="Overlap between sections"</formula>
    </cfRule>
  </conditionalFormatting>
  <conditionalFormatting sqref="AC30:AC35 AC117:AC800 AC37 AC39 AC41:AC115">
    <cfRule type="expression" dxfId="2938" priority="1906">
      <formula>$M30="NON DEFINED"</formula>
    </cfRule>
    <cfRule type="expression" dxfId="2937" priority="1907">
      <formula>$AZ30="N.D."</formula>
    </cfRule>
    <cfRule type="expression" dxfId="2936" priority="1908">
      <formula>$AY30="N.D."</formula>
    </cfRule>
  </conditionalFormatting>
  <conditionalFormatting sqref="AC30:AC35 AC117:AC800 AC37 AC39 AC41:AC115">
    <cfRule type="expression" dxfId="2935" priority="1895">
      <formula>$A30="Overhead Cable"</formula>
    </cfRule>
    <cfRule type="expression" dxfId="2934" priority="1896">
      <formula>$A30="Level Crossing"</formula>
    </cfRule>
    <cfRule type="expression" dxfId="2933" priority="1897">
      <formula>$A30="Neutral Section"</formula>
    </cfRule>
    <cfRule type="expression" dxfId="2932" priority="1898">
      <formula>$A30="Tunnel"</formula>
    </cfRule>
    <cfRule type="expression" dxfId="2931" priority="1899">
      <formula>$A30="Bridge"</formula>
    </cfRule>
    <cfRule type="expression" dxfId="2930" priority="1900">
      <formula>$A30="Drainage Works"</formula>
    </cfRule>
    <cfRule type="expression" dxfId="2929" priority="1901">
      <formula>$A30="Underpass"</formula>
    </cfRule>
    <cfRule type="expression" dxfId="2928" priority="1902">
      <formula>$A30="Overcrossing"</formula>
    </cfRule>
    <cfRule type="expression" dxfId="2927" priority="1903">
      <formula>$A30="Overpass"</formula>
    </cfRule>
    <cfRule type="expression" dxfId="2926" priority="1904">
      <formula>$A30="Station"</formula>
    </cfRule>
    <cfRule type="expression" dxfId="2925" priority="1905">
      <formula>$A30="Overlap between sections"</formula>
    </cfRule>
  </conditionalFormatting>
  <conditionalFormatting sqref="AD30:AD37 AD75:AD800 AD39:AD73">
    <cfRule type="expression" dxfId="2924" priority="1892">
      <formula>$M30="NON DEFINED"</formula>
    </cfRule>
    <cfRule type="expression" dxfId="2923" priority="1893">
      <formula>$AZ30="N.D."</formula>
    </cfRule>
    <cfRule type="expression" dxfId="2922" priority="1894">
      <formula>$AY30="N.D."</formula>
    </cfRule>
  </conditionalFormatting>
  <conditionalFormatting sqref="AD30:AD37 AD75:AD800 AD39:AD73">
    <cfRule type="expression" dxfId="2921" priority="1881">
      <formula>$A30="Overhead Cable"</formula>
    </cfRule>
    <cfRule type="expression" dxfId="2920" priority="1882">
      <formula>$A30="Level Crossing"</formula>
    </cfRule>
    <cfRule type="expression" dxfId="2919" priority="1883">
      <formula>$A30="Neutral Section"</formula>
    </cfRule>
    <cfRule type="expression" dxfId="2918" priority="1884">
      <formula>$A30="Tunnel"</formula>
    </cfRule>
    <cfRule type="expression" dxfId="2917" priority="1885">
      <formula>$A30="Bridge"</formula>
    </cfRule>
    <cfRule type="expression" dxfId="2916" priority="1886">
      <formula>$A30="Drainage Works"</formula>
    </cfRule>
    <cfRule type="expression" dxfId="2915" priority="1887">
      <formula>$A30="Underpass"</formula>
    </cfRule>
    <cfRule type="expression" dxfId="2914" priority="1888">
      <formula>$A30="Overcrossing"</formula>
    </cfRule>
    <cfRule type="expression" dxfId="2913" priority="1889">
      <formula>$A30="Overpass"</formula>
    </cfRule>
    <cfRule type="expression" dxfId="2912" priority="1890">
      <formula>$A30="Station"</formula>
    </cfRule>
    <cfRule type="expression" dxfId="2911" priority="1891">
      <formula>$A30="Overlap between sections"</formula>
    </cfRule>
  </conditionalFormatting>
  <conditionalFormatting sqref="AE30:AE67 AE73:AE800 AE69:AE71">
    <cfRule type="expression" dxfId="2910" priority="1878">
      <formula>$M30="NON DEFINED"</formula>
    </cfRule>
    <cfRule type="expression" dxfId="2909" priority="1879">
      <formula>$AZ30="N.D."</formula>
    </cfRule>
    <cfRule type="expression" dxfId="2908" priority="1880">
      <formula>$AY30="N.D."</formula>
    </cfRule>
  </conditionalFormatting>
  <conditionalFormatting sqref="AE30:AE67 AE73:AE800 AE69:AE71">
    <cfRule type="expression" dxfId="2907" priority="1867">
      <formula>$A30="Overhead Cable"</formula>
    </cfRule>
    <cfRule type="expression" dxfId="2906" priority="1868">
      <formula>$A30="Level Crossing"</formula>
    </cfRule>
    <cfRule type="expression" dxfId="2905" priority="1869">
      <formula>$A30="Neutral Section"</formula>
    </cfRule>
    <cfRule type="expression" dxfId="2904" priority="1870">
      <formula>$A30="Tunnel"</formula>
    </cfRule>
    <cfRule type="expression" dxfId="2903" priority="1871">
      <formula>$A30="Bridge"</formula>
    </cfRule>
    <cfRule type="expression" dxfId="2902" priority="1872">
      <formula>$A30="Drainage Works"</formula>
    </cfRule>
    <cfRule type="expression" dxfId="2901" priority="1873">
      <formula>$A30="Underpass"</formula>
    </cfRule>
    <cfRule type="expression" dxfId="2900" priority="1874">
      <formula>$A30="Overcrossing"</formula>
    </cfRule>
    <cfRule type="expression" dxfId="2899" priority="1875">
      <formula>$A30="Overpass"</formula>
    </cfRule>
    <cfRule type="expression" dxfId="2898" priority="1876">
      <formula>$A30="Station"</formula>
    </cfRule>
    <cfRule type="expression" dxfId="2897" priority="1877">
      <formula>$A30="Overlap between sections"</formula>
    </cfRule>
  </conditionalFormatting>
  <conditionalFormatting sqref="AJ30:AJ800">
    <cfRule type="expression" dxfId="2896" priority="1864">
      <formula>$M30="NON DEFINED"</formula>
    </cfRule>
    <cfRule type="expression" dxfId="2895" priority="1865">
      <formula>$AZ30="N.D."</formula>
    </cfRule>
    <cfRule type="expression" dxfId="2894" priority="1866">
      <formula>$AY30="N.D."</formula>
    </cfRule>
  </conditionalFormatting>
  <conditionalFormatting sqref="AJ30:AJ800">
    <cfRule type="expression" dxfId="2893" priority="1853">
      <formula>$A30="Overhead Cable"</formula>
    </cfRule>
    <cfRule type="expression" dxfId="2892" priority="1854">
      <formula>$A30="Level Crossing"</formula>
    </cfRule>
    <cfRule type="expression" dxfId="2891" priority="1855">
      <formula>$A30="Neutral Section"</formula>
    </cfRule>
    <cfRule type="expression" dxfId="2890" priority="1856">
      <formula>$A30="Tunnel"</formula>
    </cfRule>
    <cfRule type="expression" dxfId="2889" priority="1857">
      <formula>$A30="Bridge"</formula>
    </cfRule>
    <cfRule type="expression" dxfId="2888" priority="1858">
      <formula>$A30="Drainage Works"</formula>
    </cfRule>
    <cfRule type="expression" dxfId="2887" priority="1859">
      <formula>$A30="Underpass"</formula>
    </cfRule>
    <cfRule type="expression" dxfId="2886" priority="1860">
      <formula>$A30="Overcrossing"</formula>
    </cfRule>
    <cfRule type="expression" dxfId="2885" priority="1861">
      <formula>$A30="Overpass"</formula>
    </cfRule>
    <cfRule type="expression" dxfId="2884" priority="1862">
      <formula>$A30="Station"</formula>
    </cfRule>
    <cfRule type="expression" dxfId="2883" priority="1863">
      <formula>$A30="Overlap between sections"</formula>
    </cfRule>
  </conditionalFormatting>
  <conditionalFormatting sqref="AK30:AK141 AK143:AK800">
    <cfRule type="expression" dxfId="2882" priority="1850">
      <formula>$M30="NON DEFINED"</formula>
    </cfRule>
    <cfRule type="expression" dxfId="2881" priority="1851">
      <formula>$AZ30="N.D."</formula>
    </cfRule>
    <cfRule type="expression" dxfId="2880" priority="1852">
      <formula>$AY30="N.D."</formula>
    </cfRule>
  </conditionalFormatting>
  <conditionalFormatting sqref="AK30:AK141 AK143:AK800">
    <cfRule type="expression" dxfId="2879" priority="1839">
      <formula>$A30="Overhead Cable"</formula>
    </cfRule>
    <cfRule type="expression" dxfId="2878" priority="1840">
      <formula>$A30="Level Crossing"</formula>
    </cfRule>
    <cfRule type="expression" dxfId="2877" priority="1841">
      <formula>$A30="Neutral Section"</formula>
    </cfRule>
    <cfRule type="expression" dxfId="2876" priority="1842">
      <formula>$A30="Tunnel"</formula>
    </cfRule>
    <cfRule type="expression" dxfId="2875" priority="1843">
      <formula>$A30="Bridge"</formula>
    </cfRule>
    <cfRule type="expression" dxfId="2874" priority="1844">
      <formula>$A30="Drainage Works"</formula>
    </cfRule>
    <cfRule type="expression" dxfId="2873" priority="1845">
      <formula>$A30="Underpass"</formula>
    </cfRule>
    <cfRule type="expression" dxfId="2872" priority="1846">
      <formula>$A30="Overcrossing"</formula>
    </cfRule>
    <cfRule type="expression" dxfId="2871" priority="1847">
      <formula>$A30="Overpass"</formula>
    </cfRule>
    <cfRule type="expression" dxfId="2870" priority="1848">
      <formula>$A30="Station"</formula>
    </cfRule>
    <cfRule type="expression" dxfId="2869" priority="1849">
      <formula>$A30="Overlap between sections"</formula>
    </cfRule>
  </conditionalFormatting>
  <conditionalFormatting sqref="AL30:AL141 AL143:AL800">
    <cfRule type="expression" dxfId="2868" priority="1836">
      <formula>$M30="NON DEFINED"</formula>
    </cfRule>
    <cfRule type="expression" dxfId="2867" priority="1837">
      <formula>$AZ30="N.D."</formula>
    </cfRule>
    <cfRule type="expression" dxfId="2866" priority="1838">
      <formula>$AY30="N.D."</formula>
    </cfRule>
  </conditionalFormatting>
  <conditionalFormatting sqref="AL30:AL141 AL143:AL800">
    <cfRule type="expression" dxfId="2865" priority="1825">
      <formula>$A30="Overhead Cable"</formula>
    </cfRule>
    <cfRule type="expression" dxfId="2864" priority="1826">
      <formula>$A30="Level Crossing"</formula>
    </cfRule>
    <cfRule type="expression" dxfId="2863" priority="1827">
      <formula>$A30="Neutral Section"</formula>
    </cfRule>
    <cfRule type="expression" dxfId="2862" priority="1828">
      <formula>$A30="Tunnel"</formula>
    </cfRule>
    <cfRule type="expression" dxfId="2861" priority="1829">
      <formula>$A30="Bridge"</formula>
    </cfRule>
    <cfRule type="expression" dxfId="2860" priority="1830">
      <formula>$A30="Drainage Works"</formula>
    </cfRule>
    <cfRule type="expression" dxfId="2859" priority="1831">
      <formula>$A30="Underpass"</formula>
    </cfRule>
    <cfRule type="expression" dxfId="2858" priority="1832">
      <formula>$A30="Overcrossing"</formula>
    </cfRule>
    <cfRule type="expression" dxfId="2857" priority="1833">
      <formula>$A30="Overpass"</formula>
    </cfRule>
    <cfRule type="expression" dxfId="2856" priority="1834">
      <formula>$A30="Station"</formula>
    </cfRule>
    <cfRule type="expression" dxfId="2855" priority="1835">
      <formula>$A30="Overlap between sections"</formula>
    </cfRule>
  </conditionalFormatting>
  <conditionalFormatting sqref="AM30:AM141 AM143:AM800">
    <cfRule type="expression" dxfId="2854" priority="1822">
      <formula>$M30="NON DEFINED"</formula>
    </cfRule>
    <cfRule type="expression" dxfId="2853" priority="1823">
      <formula>$AZ30="N.D."</formula>
    </cfRule>
    <cfRule type="expression" dxfId="2852" priority="1824">
      <formula>$AY30="N.D."</formula>
    </cfRule>
  </conditionalFormatting>
  <conditionalFormatting sqref="AM30:AM141 AM143:AM800">
    <cfRule type="expression" dxfId="2851" priority="1811">
      <formula>$A30="Overhead Cable"</formula>
    </cfRule>
    <cfRule type="expression" dxfId="2850" priority="1812">
      <formula>$A30="Level Crossing"</formula>
    </cfRule>
    <cfRule type="expression" dxfId="2849" priority="1813">
      <formula>$A30="Neutral Section"</formula>
    </cfRule>
    <cfRule type="expression" dxfId="2848" priority="1814">
      <formula>$A30="Tunnel"</formula>
    </cfRule>
    <cfRule type="expression" dxfId="2847" priority="1815">
      <formula>$A30="Bridge"</formula>
    </cfRule>
    <cfRule type="expression" dxfId="2846" priority="1816">
      <formula>$A30="Drainage Works"</formula>
    </cfRule>
    <cfRule type="expression" dxfId="2845" priority="1817">
      <formula>$A30="Underpass"</formula>
    </cfRule>
    <cfRule type="expression" dxfId="2844" priority="1818">
      <formula>$A30="Overcrossing"</formula>
    </cfRule>
    <cfRule type="expression" dxfId="2843" priority="1819">
      <formula>$A30="Overpass"</formula>
    </cfRule>
    <cfRule type="expression" dxfId="2842" priority="1820">
      <formula>$A30="Station"</formula>
    </cfRule>
    <cfRule type="expression" dxfId="2841" priority="1821">
      <formula>$A30="Overlap between sections"</formula>
    </cfRule>
  </conditionalFormatting>
  <conditionalFormatting sqref="AT30:AT800">
    <cfRule type="expression" dxfId="2840" priority="1808">
      <formula>$M30="NON DEFINED"</formula>
    </cfRule>
    <cfRule type="expression" dxfId="2839" priority="1809">
      <formula>$AZ30="N.D."</formula>
    </cfRule>
    <cfRule type="expression" dxfId="2838" priority="1810">
      <formula>$AY30="N.D."</formula>
    </cfRule>
  </conditionalFormatting>
  <conditionalFormatting sqref="AT30:AT800">
    <cfRule type="expression" dxfId="2837" priority="1797">
      <formula>$A30="Overhead Cable"</formula>
    </cfRule>
    <cfRule type="expression" dxfId="2836" priority="1798">
      <formula>$A30="Level Crossing"</formula>
    </cfRule>
    <cfRule type="expression" dxfId="2835" priority="1799">
      <formula>$A30="Neutral Section"</formula>
    </cfRule>
    <cfRule type="expression" dxfId="2834" priority="1800">
      <formula>$A30="Tunnel"</formula>
    </cfRule>
    <cfRule type="expression" dxfId="2833" priority="1801">
      <formula>$A30="Bridge"</formula>
    </cfRule>
    <cfRule type="expression" dxfId="2832" priority="1802">
      <formula>$A30="Drainage Works"</formula>
    </cfRule>
    <cfRule type="expression" dxfId="2831" priority="1803">
      <formula>$A30="Underpass"</formula>
    </cfRule>
    <cfRule type="expression" dxfId="2830" priority="1804">
      <formula>$A30="Overcrossing"</formula>
    </cfRule>
    <cfRule type="expression" dxfId="2829" priority="1805">
      <formula>$A30="Overpass"</formula>
    </cfRule>
    <cfRule type="expression" dxfId="2828" priority="1806">
      <formula>$A30="Station"</formula>
    </cfRule>
    <cfRule type="expression" dxfId="2827" priority="1807">
      <formula>$A30="Overlap between sections"</formula>
    </cfRule>
  </conditionalFormatting>
  <conditionalFormatting sqref="AU30:AU800">
    <cfRule type="expression" dxfId="2826" priority="1794">
      <formula>$M30="NON DEFINED"</formula>
    </cfRule>
    <cfRule type="expression" dxfId="2825" priority="1795">
      <formula>$AZ30="N.D."</formula>
    </cfRule>
    <cfRule type="expression" dxfId="2824" priority="1796">
      <formula>$AY30="N.D."</formula>
    </cfRule>
  </conditionalFormatting>
  <conditionalFormatting sqref="AU30:AU800">
    <cfRule type="expression" dxfId="2823" priority="1783">
      <formula>$A30="Overhead Cable"</formula>
    </cfRule>
    <cfRule type="expression" dxfId="2822" priority="1784">
      <formula>$A30="Level Crossing"</formula>
    </cfRule>
    <cfRule type="expression" dxfId="2821" priority="1785">
      <formula>$A30="Neutral Section"</formula>
    </cfRule>
    <cfRule type="expression" dxfId="2820" priority="1786">
      <formula>$A30="Tunnel"</formula>
    </cfRule>
    <cfRule type="expression" dxfId="2819" priority="1787">
      <formula>$A30="Bridge"</formula>
    </cfRule>
    <cfRule type="expression" dxfId="2818" priority="1788">
      <formula>$A30="Drainage Works"</formula>
    </cfRule>
    <cfRule type="expression" dxfId="2817" priority="1789">
      <formula>$A30="Underpass"</formula>
    </cfRule>
    <cfRule type="expression" dxfId="2816" priority="1790">
      <formula>$A30="Overcrossing"</formula>
    </cfRule>
    <cfRule type="expression" dxfId="2815" priority="1791">
      <formula>$A30="Overpass"</formula>
    </cfRule>
    <cfRule type="expression" dxfId="2814" priority="1792">
      <formula>$A30="Station"</formula>
    </cfRule>
    <cfRule type="expression" dxfId="2813" priority="1793">
      <formula>$A30="Overlap between sections"</formula>
    </cfRule>
  </conditionalFormatting>
  <conditionalFormatting sqref="AV30:AV800">
    <cfRule type="expression" dxfId="2812" priority="1780">
      <formula>$M30="NON DEFINED"</formula>
    </cfRule>
    <cfRule type="expression" dxfId="2811" priority="1781">
      <formula>$AZ30="N.D."</formula>
    </cfRule>
    <cfRule type="expression" dxfId="2810" priority="1782">
      <formula>$AY30="N.D."</formula>
    </cfRule>
  </conditionalFormatting>
  <conditionalFormatting sqref="AV30:AV800">
    <cfRule type="expression" dxfId="2809" priority="1769">
      <formula>$A30="Overhead Cable"</formula>
    </cfRule>
    <cfRule type="expression" dxfId="2808" priority="1770">
      <formula>$A30="Level Crossing"</formula>
    </cfRule>
    <cfRule type="expression" dxfId="2807" priority="1771">
      <formula>$A30="Neutral Section"</formula>
    </cfRule>
    <cfRule type="expression" dxfId="2806" priority="1772">
      <formula>$A30="Tunnel"</formula>
    </cfRule>
    <cfRule type="expression" dxfId="2805" priority="1773">
      <formula>$A30="Bridge"</formula>
    </cfRule>
    <cfRule type="expression" dxfId="2804" priority="1774">
      <formula>$A30="Drainage Works"</formula>
    </cfRule>
    <cfRule type="expression" dxfId="2803" priority="1775">
      <formula>$A30="Underpass"</formula>
    </cfRule>
    <cfRule type="expression" dxfId="2802" priority="1776">
      <formula>$A30="Overcrossing"</formula>
    </cfRule>
    <cfRule type="expression" dxfId="2801" priority="1777">
      <formula>$A30="Overpass"</formula>
    </cfRule>
    <cfRule type="expression" dxfId="2800" priority="1778">
      <formula>$A30="Station"</formula>
    </cfRule>
    <cfRule type="expression" dxfId="2799" priority="1779">
      <formula>$A30="Overlap between sections"</formula>
    </cfRule>
  </conditionalFormatting>
  <conditionalFormatting sqref="AW30:AW105 AW107 AW109 AW111 AW113 AW115 AW117 AW119 AW121 AW123 AW125 AW127:AW129 AW131 AW133:AW800">
    <cfRule type="expression" dxfId="2798" priority="1766">
      <formula>$M30="NON DEFINED"</formula>
    </cfRule>
    <cfRule type="expression" dxfId="2797" priority="1767">
      <formula>$AZ30="N.D."</formula>
    </cfRule>
    <cfRule type="expression" dxfId="2796" priority="1768">
      <formula>$AY30="N.D."</formula>
    </cfRule>
  </conditionalFormatting>
  <conditionalFormatting sqref="AW30:AW105 AW107 AW109 AW111 AW113 AW115 AW117 AW119 AW121 AW123 AW125 AW127:AW129 AW131 AW133:AW800">
    <cfRule type="expression" dxfId="2795" priority="1755">
      <formula>$A30="Overhead Cable"</formula>
    </cfRule>
    <cfRule type="expression" dxfId="2794" priority="1756">
      <formula>$A30="Level Crossing"</formula>
    </cfRule>
    <cfRule type="expression" dxfId="2793" priority="1757">
      <formula>$A30="Neutral Section"</formula>
    </cfRule>
    <cfRule type="expression" dxfId="2792" priority="1758">
      <formula>$A30="Tunnel"</formula>
    </cfRule>
    <cfRule type="expression" dxfId="2791" priority="1759">
      <formula>$A30="Bridge"</formula>
    </cfRule>
    <cfRule type="expression" dxfId="2790" priority="1760">
      <formula>$A30="Drainage Works"</formula>
    </cfRule>
    <cfRule type="expression" dxfId="2789" priority="1761">
      <formula>$A30="Underpass"</formula>
    </cfRule>
    <cfRule type="expression" dxfId="2788" priority="1762">
      <formula>$A30="Overcrossing"</formula>
    </cfRule>
    <cfRule type="expression" dxfId="2787" priority="1763">
      <formula>$A30="Overpass"</formula>
    </cfRule>
    <cfRule type="expression" dxfId="2786" priority="1764">
      <formula>$A30="Station"</formula>
    </cfRule>
    <cfRule type="expression" dxfId="2785" priority="1765">
      <formula>$A30="Overlap between sections"</formula>
    </cfRule>
  </conditionalFormatting>
  <conditionalFormatting sqref="AX30:AX105 AX107 AX109 AX111 AX113 AX115 AX117 AX119 AX121 AX123 AX125 AX127:AX129 AX131 AX133:AX800">
    <cfRule type="expression" dxfId="2784" priority="1752">
      <formula>$M30="NON DEFINED"</formula>
    </cfRule>
    <cfRule type="expression" dxfId="2783" priority="1753">
      <formula>$AZ30="N.D."</formula>
    </cfRule>
    <cfRule type="expression" dxfId="2782" priority="1754">
      <formula>$AY30="N.D."</formula>
    </cfRule>
  </conditionalFormatting>
  <conditionalFormatting sqref="AX30:AX105 AX107 AX109 AX111 AX113 AX115 AX117 AX119 AX121 AX123 AX125 AX127:AX129 AX131 AX133:AX800">
    <cfRule type="expression" dxfId="2781" priority="1741">
      <formula>$A30="Overhead Cable"</formula>
    </cfRule>
    <cfRule type="expression" dxfId="2780" priority="1742">
      <formula>$A30="Level Crossing"</formula>
    </cfRule>
    <cfRule type="expression" dxfId="2779" priority="1743">
      <formula>$A30="Neutral Section"</formula>
    </cfRule>
    <cfRule type="expression" dxfId="2778" priority="1744">
      <formula>$A30="Tunnel"</formula>
    </cfRule>
    <cfRule type="expression" dxfId="2777" priority="1745">
      <formula>$A30="Bridge"</formula>
    </cfRule>
    <cfRule type="expression" dxfId="2776" priority="1746">
      <formula>$A30="Drainage Works"</formula>
    </cfRule>
    <cfRule type="expression" dxfId="2775" priority="1747">
      <formula>$A30="Underpass"</formula>
    </cfRule>
    <cfRule type="expression" dxfId="2774" priority="1748">
      <formula>$A30="Overcrossing"</formula>
    </cfRule>
    <cfRule type="expression" dxfId="2773" priority="1749">
      <formula>$A30="Overpass"</formula>
    </cfRule>
    <cfRule type="expression" dxfId="2772" priority="1750">
      <formula>$A30="Station"</formula>
    </cfRule>
    <cfRule type="expression" dxfId="2771" priority="1751">
      <formula>$A30="Overlap between sections"</formula>
    </cfRule>
  </conditionalFormatting>
  <conditionalFormatting sqref="F30:F800">
    <cfRule type="expression" dxfId="2770" priority="1738">
      <formula>$M30="NON DEFINED"</formula>
    </cfRule>
    <cfRule type="expression" dxfId="2769" priority="1739">
      <formula>$AZ30="N.D."</formula>
    </cfRule>
    <cfRule type="expression" dxfId="2768" priority="1740">
      <formula>$AY30="N.D."</formula>
    </cfRule>
  </conditionalFormatting>
  <conditionalFormatting sqref="F30:F800">
    <cfRule type="expression" dxfId="2767" priority="1727">
      <formula>$A30="Overhead Cable"</formula>
    </cfRule>
    <cfRule type="expression" dxfId="2766" priority="1728">
      <formula>$A30="Level Crossing"</formula>
    </cfRule>
    <cfRule type="expression" dxfId="2765" priority="1729">
      <formula>$A30="Neutral Section"</formula>
    </cfRule>
    <cfRule type="expression" dxfId="2764" priority="1730">
      <formula>$A30="Tunnel"</formula>
    </cfRule>
    <cfRule type="expression" dxfId="2763" priority="1731">
      <formula>$A30="Bridge"</formula>
    </cfRule>
    <cfRule type="expression" dxfId="2762" priority="1732">
      <formula>$A30="Drainage Works"</formula>
    </cfRule>
    <cfRule type="expression" dxfId="2761" priority="1733">
      <formula>$A30="Underpass"</formula>
    </cfRule>
    <cfRule type="expression" dxfId="2760" priority="1734">
      <formula>$A30="Overcrossing"</formula>
    </cfRule>
    <cfRule type="expression" dxfId="2759" priority="1735">
      <formula>$A30="Overpass"</formula>
    </cfRule>
    <cfRule type="expression" dxfId="2758" priority="1736">
      <formula>$A30="Station"</formula>
    </cfRule>
    <cfRule type="expression" dxfId="2757" priority="1737">
      <formula>$A30="Overlap between sections"</formula>
    </cfRule>
  </conditionalFormatting>
  <conditionalFormatting sqref="Q30:Q800">
    <cfRule type="expression" dxfId="2756" priority="1724">
      <formula>$M30="NON DEFINED"</formula>
    </cfRule>
    <cfRule type="expression" dxfId="2755" priority="1725">
      <formula>$AZ30="N.D."</formula>
    </cfRule>
    <cfRule type="expression" dxfId="2754" priority="1726">
      <formula>$AY30="N.D."</formula>
    </cfRule>
  </conditionalFormatting>
  <conditionalFormatting sqref="Q30:Q800">
    <cfRule type="expression" dxfId="2753" priority="1713">
      <formula>$A30="Overhead Cable"</formula>
    </cfRule>
    <cfRule type="expression" dxfId="2752" priority="1714">
      <formula>$A30="Level Crossing"</formula>
    </cfRule>
    <cfRule type="expression" dxfId="2751" priority="1715">
      <formula>$A30="Neutral Section"</formula>
    </cfRule>
    <cfRule type="expression" dxfId="2750" priority="1716">
      <formula>$A30="Tunnel"</formula>
    </cfRule>
    <cfRule type="expression" dxfId="2749" priority="1717">
      <formula>$A30="Bridge"</formula>
    </cfRule>
    <cfRule type="expression" dxfId="2748" priority="1718">
      <formula>$A30="Drainage Works"</formula>
    </cfRule>
    <cfRule type="expression" dxfId="2747" priority="1719">
      <formula>$A30="Underpass"</formula>
    </cfRule>
    <cfRule type="expression" dxfId="2746" priority="1720">
      <formula>$A30="Overcrossing"</formula>
    </cfRule>
    <cfRule type="expression" dxfId="2745" priority="1721">
      <formula>$A30="Overpass"</formula>
    </cfRule>
    <cfRule type="expression" dxfId="2744" priority="1722">
      <formula>$A30="Station"</formula>
    </cfRule>
    <cfRule type="expression" dxfId="2743" priority="1723">
      <formula>$A30="Overlap between sections"</formula>
    </cfRule>
  </conditionalFormatting>
  <conditionalFormatting sqref="T30:T800">
    <cfRule type="expression" dxfId="2742" priority="1710">
      <formula>$M30="NON DEFINED"</formula>
    </cfRule>
    <cfRule type="expression" dxfId="2741" priority="1711">
      <formula>$AZ30="N.D."</formula>
    </cfRule>
    <cfRule type="expression" dxfId="2740" priority="1712">
      <formula>$AY30="N.D."</formula>
    </cfRule>
  </conditionalFormatting>
  <conditionalFormatting sqref="T30:T800">
    <cfRule type="expression" dxfId="2739" priority="1699">
      <formula>$A30="Overhead Cable"</formula>
    </cfRule>
    <cfRule type="expression" dxfId="2738" priority="1700">
      <formula>$A30="Level Crossing"</formula>
    </cfRule>
    <cfRule type="expression" dxfId="2737" priority="1701">
      <formula>$A30="Neutral Section"</formula>
    </cfRule>
    <cfRule type="expression" dxfId="2736" priority="1702">
      <formula>$A30="Tunnel"</formula>
    </cfRule>
    <cfRule type="expression" dxfId="2735" priority="1703">
      <formula>$A30="Bridge"</formula>
    </cfRule>
    <cfRule type="expression" dxfId="2734" priority="1704">
      <formula>$A30="Drainage Works"</formula>
    </cfRule>
    <cfRule type="expression" dxfId="2733" priority="1705">
      <formula>$A30="Underpass"</formula>
    </cfRule>
    <cfRule type="expression" dxfId="2732" priority="1706">
      <formula>$A30="Overcrossing"</formula>
    </cfRule>
    <cfRule type="expression" dxfId="2731" priority="1707">
      <formula>$A30="Overpass"</formula>
    </cfRule>
    <cfRule type="expression" dxfId="2730" priority="1708">
      <formula>$A30="Station"</formula>
    </cfRule>
    <cfRule type="expression" dxfId="2729" priority="1709">
      <formula>$A30="Overlap between sections"</formula>
    </cfRule>
  </conditionalFormatting>
  <conditionalFormatting sqref="U30:U800">
    <cfRule type="expression" dxfId="2728" priority="1696">
      <formula>$M30="NON DEFINED"</formula>
    </cfRule>
    <cfRule type="expression" dxfId="2727" priority="1697">
      <formula>$AZ30="N.D."</formula>
    </cfRule>
    <cfRule type="expression" dxfId="2726" priority="1698">
      <formula>$AY30="N.D."</formula>
    </cfRule>
  </conditionalFormatting>
  <conditionalFormatting sqref="U30:U800">
    <cfRule type="expression" dxfId="2725" priority="1685">
      <formula>$A30="Overhead Cable"</formula>
    </cfRule>
    <cfRule type="expression" dxfId="2724" priority="1686">
      <formula>$A30="Level Crossing"</formula>
    </cfRule>
    <cfRule type="expression" dxfId="2723" priority="1687">
      <formula>$A30="Neutral Section"</formula>
    </cfRule>
    <cfRule type="expression" dxfId="2722" priority="1688">
      <formula>$A30="Tunnel"</formula>
    </cfRule>
    <cfRule type="expression" dxfId="2721" priority="1689">
      <formula>$A30="Bridge"</formula>
    </cfRule>
    <cfRule type="expression" dxfId="2720" priority="1690">
      <formula>$A30="Drainage Works"</formula>
    </cfRule>
    <cfRule type="expression" dxfId="2719" priority="1691">
      <formula>$A30="Underpass"</formula>
    </cfRule>
    <cfRule type="expression" dxfId="2718" priority="1692">
      <formula>$A30="Overcrossing"</formula>
    </cfRule>
    <cfRule type="expression" dxfId="2717" priority="1693">
      <formula>$A30="Overpass"</formula>
    </cfRule>
    <cfRule type="expression" dxfId="2716" priority="1694">
      <formula>$A30="Station"</formula>
    </cfRule>
    <cfRule type="expression" dxfId="2715" priority="1695">
      <formula>$A30="Overlap between sections"</formula>
    </cfRule>
  </conditionalFormatting>
  <conditionalFormatting sqref="V30:V800">
    <cfRule type="expression" dxfId="2714" priority="1682">
      <formula>$M30="NON DEFINED"</formula>
    </cfRule>
    <cfRule type="expression" dxfId="2713" priority="1683">
      <formula>$AZ30="N.D."</formula>
    </cfRule>
    <cfRule type="expression" dxfId="2712" priority="1684">
      <formula>$AY30="N.D."</formula>
    </cfRule>
  </conditionalFormatting>
  <conditionalFormatting sqref="V30:V800">
    <cfRule type="expression" dxfId="2711" priority="1671">
      <formula>$A30="Overhead Cable"</formula>
    </cfRule>
    <cfRule type="expression" dxfId="2710" priority="1672">
      <formula>$A30="Level Crossing"</formula>
    </cfRule>
    <cfRule type="expression" dxfId="2709" priority="1673">
      <formula>$A30="Neutral Section"</formula>
    </cfRule>
    <cfRule type="expression" dxfId="2708" priority="1674">
      <formula>$A30="Tunnel"</formula>
    </cfRule>
    <cfRule type="expression" dxfId="2707" priority="1675">
      <formula>$A30="Bridge"</formula>
    </cfRule>
    <cfRule type="expression" dxfId="2706" priority="1676">
      <formula>$A30="Drainage Works"</formula>
    </cfRule>
    <cfRule type="expression" dxfId="2705" priority="1677">
      <formula>$A30="Underpass"</formula>
    </cfRule>
    <cfRule type="expression" dxfId="2704" priority="1678">
      <formula>$A30="Overcrossing"</formula>
    </cfRule>
    <cfRule type="expression" dxfId="2703" priority="1679">
      <formula>$A30="Overpass"</formula>
    </cfRule>
    <cfRule type="expression" dxfId="2702" priority="1680">
      <formula>$A30="Station"</formula>
    </cfRule>
    <cfRule type="expression" dxfId="2701" priority="1681">
      <formula>$A30="Overlap between sections"</formula>
    </cfRule>
  </conditionalFormatting>
  <conditionalFormatting sqref="AF30:AF800">
    <cfRule type="expression" dxfId="2700" priority="1668">
      <formula>$M30="NON DEFINED"</formula>
    </cfRule>
    <cfRule type="expression" dxfId="2699" priority="1669">
      <formula>$AZ30="N.D."</formula>
    </cfRule>
    <cfRule type="expression" dxfId="2698" priority="1670">
      <formula>$AY30="N.D."</formula>
    </cfRule>
  </conditionalFormatting>
  <conditionalFormatting sqref="AF30:AF800">
    <cfRule type="expression" dxfId="2697" priority="1657">
      <formula>$A30="Overhead Cable"</formula>
    </cfRule>
    <cfRule type="expression" dxfId="2696" priority="1658">
      <formula>$A30="Level Crossing"</formula>
    </cfRule>
    <cfRule type="expression" dxfId="2695" priority="1659">
      <formula>$A30="Neutral Section"</formula>
    </cfRule>
    <cfRule type="expression" dxfId="2694" priority="1660">
      <formula>$A30="Tunnel"</formula>
    </cfRule>
    <cfRule type="expression" dxfId="2693" priority="1661">
      <formula>$A30="Bridge"</formula>
    </cfRule>
    <cfRule type="expression" dxfId="2692" priority="1662">
      <formula>$A30="Drainage Works"</formula>
    </cfRule>
    <cfRule type="expression" dxfId="2691" priority="1663">
      <formula>$A30="Underpass"</formula>
    </cfRule>
    <cfRule type="expression" dxfId="2690" priority="1664">
      <formula>$A30="Overcrossing"</formula>
    </cfRule>
    <cfRule type="expression" dxfId="2689" priority="1665">
      <formula>$A30="Overpass"</formula>
    </cfRule>
    <cfRule type="expression" dxfId="2688" priority="1666">
      <formula>$A30="Station"</formula>
    </cfRule>
    <cfRule type="expression" dxfId="2687" priority="1667">
      <formula>$A30="Overlap between sections"</formula>
    </cfRule>
  </conditionalFormatting>
  <conditionalFormatting sqref="AH30:AH800">
    <cfRule type="expression" dxfId="2686" priority="1654">
      <formula>$M30="NON DEFINED"</formula>
    </cfRule>
    <cfRule type="expression" dxfId="2685" priority="1655">
      <formula>$AZ30="N.D."</formula>
    </cfRule>
    <cfRule type="expression" dxfId="2684" priority="1656">
      <formula>$AY30="N.D."</formula>
    </cfRule>
  </conditionalFormatting>
  <conditionalFormatting sqref="AH30:AH800">
    <cfRule type="expression" dxfId="2683" priority="1643">
      <formula>$A30="Overhead Cable"</formula>
    </cfRule>
    <cfRule type="expression" dxfId="2682" priority="1644">
      <formula>$A30="Level Crossing"</formula>
    </cfRule>
    <cfRule type="expression" dxfId="2681" priority="1645">
      <formula>$A30="Neutral Section"</formula>
    </cfRule>
    <cfRule type="expression" dxfId="2680" priority="1646">
      <formula>$A30="Tunnel"</formula>
    </cfRule>
    <cfRule type="expression" dxfId="2679" priority="1647">
      <formula>$A30="Bridge"</formula>
    </cfRule>
    <cfRule type="expression" dxfId="2678" priority="1648">
      <formula>$A30="Drainage Works"</formula>
    </cfRule>
    <cfRule type="expression" dxfId="2677" priority="1649">
      <formula>$A30="Underpass"</formula>
    </cfRule>
    <cfRule type="expression" dxfId="2676" priority="1650">
      <formula>$A30="Overcrossing"</formula>
    </cfRule>
    <cfRule type="expression" dxfId="2675" priority="1651">
      <formula>$A30="Overpass"</formula>
    </cfRule>
    <cfRule type="expression" dxfId="2674" priority="1652">
      <formula>$A30="Station"</formula>
    </cfRule>
    <cfRule type="expression" dxfId="2673" priority="1653">
      <formula>$A30="Overlap between sections"</formula>
    </cfRule>
  </conditionalFormatting>
  <conditionalFormatting sqref="AI30:AI800">
    <cfRule type="expression" dxfId="2672" priority="1640">
      <formula>$M30="NON DEFINED"</formula>
    </cfRule>
    <cfRule type="expression" dxfId="2671" priority="1641">
      <formula>$AZ30="N.D."</formula>
    </cfRule>
    <cfRule type="expression" dxfId="2670" priority="1642">
      <formula>$AY30="N.D."</formula>
    </cfRule>
  </conditionalFormatting>
  <conditionalFormatting sqref="AI30:AI800">
    <cfRule type="expression" dxfId="2669" priority="1629">
      <formula>$A30="Overhead Cable"</formula>
    </cfRule>
    <cfRule type="expression" dxfId="2668" priority="1630">
      <formula>$A30="Level Crossing"</formula>
    </cfRule>
    <cfRule type="expression" dxfId="2667" priority="1631">
      <formula>$A30="Neutral Section"</formula>
    </cfRule>
    <cfRule type="expression" dxfId="2666" priority="1632">
      <formula>$A30="Tunnel"</formula>
    </cfRule>
    <cfRule type="expression" dxfId="2665" priority="1633">
      <formula>$A30="Bridge"</formula>
    </cfRule>
    <cfRule type="expression" dxfId="2664" priority="1634">
      <formula>$A30="Drainage Works"</formula>
    </cfRule>
    <cfRule type="expression" dxfId="2663" priority="1635">
      <formula>$A30="Underpass"</formula>
    </cfRule>
    <cfRule type="expression" dxfId="2662" priority="1636">
      <formula>$A30="Overcrossing"</formula>
    </cfRule>
    <cfRule type="expression" dxfId="2661" priority="1637">
      <formula>$A30="Overpass"</formula>
    </cfRule>
    <cfRule type="expression" dxfId="2660" priority="1638">
      <formula>$A30="Station"</formula>
    </cfRule>
    <cfRule type="expression" dxfId="2659" priority="1639">
      <formula>$A30="Overlap between sections"</formula>
    </cfRule>
  </conditionalFormatting>
  <conditionalFormatting sqref="R30:R800">
    <cfRule type="expression" dxfId="2658" priority="1626">
      <formula>$M30="NON DEFINED"</formula>
    </cfRule>
    <cfRule type="expression" dxfId="2657" priority="1627">
      <formula>$AZ30="N.D."</formula>
    </cfRule>
    <cfRule type="expression" dxfId="2656" priority="1628">
      <formula>$AY30="N.D."</formula>
    </cfRule>
  </conditionalFormatting>
  <conditionalFormatting sqref="R30:R800">
    <cfRule type="expression" dxfId="2655" priority="1615">
      <formula>$A30="Overhead Cable"</formula>
    </cfRule>
    <cfRule type="expression" dxfId="2654" priority="1616">
      <formula>$A30="Level Crossing"</formula>
    </cfRule>
    <cfRule type="expression" dxfId="2653" priority="1617">
      <formula>$A30="Neutral Section"</formula>
    </cfRule>
    <cfRule type="expression" dxfId="2652" priority="1618">
      <formula>$A30="Tunnel"</formula>
    </cfRule>
    <cfRule type="expression" dxfId="2651" priority="1619">
      <formula>$A30="Bridge"</formula>
    </cfRule>
    <cfRule type="expression" dxfId="2650" priority="1620">
      <formula>$A30="Drainage Works"</formula>
    </cfRule>
    <cfRule type="expression" dxfId="2649" priority="1621">
      <formula>$A30="Underpass"</formula>
    </cfRule>
    <cfRule type="expression" dxfId="2648" priority="1622">
      <formula>$A30="Overcrossing"</formula>
    </cfRule>
    <cfRule type="expression" dxfId="2647" priority="1623">
      <formula>$A30="Overpass"</formula>
    </cfRule>
    <cfRule type="expression" dxfId="2646" priority="1624">
      <formula>$A30="Station"</formula>
    </cfRule>
    <cfRule type="expression" dxfId="2645" priority="1625">
      <formula>$A30="Overlap between sections"</formula>
    </cfRule>
  </conditionalFormatting>
  <conditionalFormatting sqref="S30:S800">
    <cfRule type="expression" dxfId="2644" priority="1612">
      <formula>$M30="NON DEFINED"</formula>
    </cfRule>
    <cfRule type="expression" dxfId="2643" priority="1613">
      <formula>$AZ30="N.D."</formula>
    </cfRule>
    <cfRule type="expression" dxfId="2642" priority="1614">
      <formula>$AY30="N.D."</formula>
    </cfRule>
  </conditionalFormatting>
  <conditionalFormatting sqref="S30:S800">
    <cfRule type="expression" dxfId="2641" priority="1601">
      <formula>$A30="Overhead Cable"</formula>
    </cfRule>
    <cfRule type="expression" dxfId="2640" priority="1602">
      <formula>$A30="Level Crossing"</formula>
    </cfRule>
    <cfRule type="expression" dxfId="2639" priority="1603">
      <formula>$A30="Neutral Section"</formula>
    </cfRule>
    <cfRule type="expression" dxfId="2638" priority="1604">
      <formula>$A30="Tunnel"</formula>
    </cfRule>
    <cfRule type="expression" dxfId="2637" priority="1605">
      <formula>$A30="Bridge"</formula>
    </cfRule>
    <cfRule type="expression" dxfId="2636" priority="1606">
      <formula>$A30="Drainage Works"</formula>
    </cfRule>
    <cfRule type="expression" dxfId="2635" priority="1607">
      <formula>$A30="Underpass"</formula>
    </cfRule>
    <cfRule type="expression" dxfId="2634" priority="1608">
      <formula>$A30="Overcrossing"</formula>
    </cfRule>
    <cfRule type="expression" dxfId="2633" priority="1609">
      <formula>$A30="Overpass"</formula>
    </cfRule>
    <cfRule type="expression" dxfId="2632" priority="1610">
      <formula>$A30="Station"</formula>
    </cfRule>
    <cfRule type="expression" dxfId="2631" priority="1611">
      <formula>$A30="Overlap between sections"</formula>
    </cfRule>
  </conditionalFormatting>
  <conditionalFormatting sqref="W30:W37 W39 W41:W107 W109:W800">
    <cfRule type="expression" dxfId="2630" priority="1598">
      <formula>$M30="NON DEFINED"</formula>
    </cfRule>
    <cfRule type="expression" dxfId="2629" priority="1599">
      <formula>$AZ30="N.D."</formula>
    </cfRule>
    <cfRule type="expression" dxfId="2628" priority="1600">
      <formula>$AY30="N.D."</formula>
    </cfRule>
  </conditionalFormatting>
  <conditionalFormatting sqref="W30:W37 W39 W41:W107 W109:W800">
    <cfRule type="expression" dxfId="2627" priority="1587">
      <formula>$A30="Overhead Cable"</formula>
    </cfRule>
    <cfRule type="expression" dxfId="2626" priority="1588">
      <formula>$A30="Level Crossing"</formula>
    </cfRule>
    <cfRule type="expression" dxfId="2625" priority="1589">
      <formula>$A30="Neutral Section"</formula>
    </cfRule>
    <cfRule type="expression" dxfId="2624" priority="1590">
      <formula>$A30="Tunnel"</formula>
    </cfRule>
    <cfRule type="expression" dxfId="2623" priority="1591">
      <formula>$A30="Bridge"</formula>
    </cfRule>
    <cfRule type="expression" dxfId="2622" priority="1592">
      <formula>$A30="Drainage Works"</formula>
    </cfRule>
    <cfRule type="expression" dxfId="2621" priority="1593">
      <formula>$A30="Underpass"</formula>
    </cfRule>
    <cfRule type="expression" dxfId="2620" priority="1594">
      <formula>$A30="Overcrossing"</formula>
    </cfRule>
    <cfRule type="expression" dxfId="2619" priority="1595">
      <formula>$A30="Overpass"</formula>
    </cfRule>
    <cfRule type="expression" dxfId="2618" priority="1596">
      <formula>$A30="Station"</formula>
    </cfRule>
    <cfRule type="expression" dxfId="2617" priority="1597">
      <formula>$A30="Overlap between sections"</formula>
    </cfRule>
  </conditionalFormatting>
  <conditionalFormatting sqref="X30:X37 X39 X41:X107 X109:X800">
    <cfRule type="expression" dxfId="2616" priority="1584">
      <formula>$M30="NON DEFINED"</formula>
    </cfRule>
    <cfRule type="expression" dxfId="2615" priority="1585">
      <formula>$AZ30="N.D."</formula>
    </cfRule>
    <cfRule type="expression" dxfId="2614" priority="1586">
      <formula>$AY30="N.D."</formula>
    </cfRule>
  </conditionalFormatting>
  <conditionalFormatting sqref="X30:X37 X39 X41:X107 X109:X800">
    <cfRule type="expression" dxfId="2613" priority="1573">
      <formula>$A30="Overhead Cable"</formula>
    </cfRule>
    <cfRule type="expression" dxfId="2612" priority="1574">
      <formula>$A30="Level Crossing"</formula>
    </cfRule>
    <cfRule type="expression" dxfId="2611" priority="1575">
      <formula>$A30="Neutral Section"</formula>
    </cfRule>
    <cfRule type="expression" dxfId="2610" priority="1576">
      <formula>$A30="Tunnel"</formula>
    </cfRule>
    <cfRule type="expression" dxfId="2609" priority="1577">
      <formula>$A30="Bridge"</formula>
    </cfRule>
    <cfRule type="expression" dxfId="2608" priority="1578">
      <formula>$A30="Drainage Works"</formula>
    </cfRule>
    <cfRule type="expression" dxfId="2607" priority="1579">
      <formula>$A30="Underpass"</formula>
    </cfRule>
    <cfRule type="expression" dxfId="2606" priority="1580">
      <formula>$A30="Overcrossing"</formula>
    </cfRule>
    <cfRule type="expression" dxfId="2605" priority="1581">
      <formula>$A30="Overpass"</formula>
    </cfRule>
    <cfRule type="expression" dxfId="2604" priority="1582">
      <formula>$A30="Station"</formula>
    </cfRule>
    <cfRule type="expression" dxfId="2603" priority="1583">
      <formula>$A30="Overlap between sections"</formula>
    </cfRule>
  </conditionalFormatting>
  <conditionalFormatting sqref="Y30:Y800">
    <cfRule type="expression" dxfId="2602" priority="1570">
      <formula>$M30="NON DEFINED"</formula>
    </cfRule>
    <cfRule type="expression" dxfId="2601" priority="1571">
      <formula>$AZ30="N.D."</formula>
    </cfRule>
    <cfRule type="expression" dxfId="2600" priority="1572">
      <formula>$AY30="N.D."</formula>
    </cfRule>
  </conditionalFormatting>
  <conditionalFormatting sqref="Y30:Y800">
    <cfRule type="expression" dxfId="2599" priority="1559">
      <formula>$A30="Overhead Cable"</formula>
    </cfRule>
    <cfRule type="expression" dxfId="2598" priority="1560">
      <formula>$A30="Level Crossing"</formula>
    </cfRule>
    <cfRule type="expression" dxfId="2597" priority="1561">
      <formula>$A30="Neutral Section"</formula>
    </cfRule>
    <cfRule type="expression" dxfId="2596" priority="1562">
      <formula>$A30="Tunnel"</formula>
    </cfRule>
    <cfRule type="expression" dxfId="2595" priority="1563">
      <formula>$A30="Bridge"</formula>
    </cfRule>
    <cfRule type="expression" dxfId="2594" priority="1564">
      <formula>$A30="Drainage Works"</formula>
    </cfRule>
    <cfRule type="expression" dxfId="2593" priority="1565">
      <formula>$A30="Underpass"</formula>
    </cfRule>
    <cfRule type="expression" dxfId="2592" priority="1566">
      <formula>$A30="Overcrossing"</formula>
    </cfRule>
    <cfRule type="expression" dxfId="2591" priority="1567">
      <formula>$A30="Overpass"</formula>
    </cfRule>
    <cfRule type="expression" dxfId="2590" priority="1568">
      <formula>$A30="Station"</formula>
    </cfRule>
    <cfRule type="expression" dxfId="2589" priority="1569">
      <formula>$A30="Overlap between sections"</formula>
    </cfRule>
  </conditionalFormatting>
  <conditionalFormatting sqref="Z30:Z800">
    <cfRule type="expression" dxfId="2588" priority="1556">
      <formula>$M30="NON DEFINED"</formula>
    </cfRule>
    <cfRule type="expression" dxfId="2587" priority="1557">
      <formula>$AZ30="N.D."</formula>
    </cfRule>
    <cfRule type="expression" dxfId="2586" priority="1558">
      <formula>$AY30="N.D."</formula>
    </cfRule>
  </conditionalFormatting>
  <conditionalFormatting sqref="Z30:Z800">
    <cfRule type="expression" dxfId="2585" priority="1545">
      <formula>$A30="Overhead Cable"</formula>
    </cfRule>
    <cfRule type="expression" dxfId="2584" priority="1546">
      <formula>$A30="Level Crossing"</formula>
    </cfRule>
    <cfRule type="expression" dxfId="2583" priority="1547">
      <formula>$A30="Neutral Section"</formula>
    </cfRule>
    <cfRule type="expression" dxfId="2582" priority="1548">
      <formula>$A30="Tunnel"</formula>
    </cfRule>
    <cfRule type="expression" dxfId="2581" priority="1549">
      <formula>$A30="Bridge"</formula>
    </cfRule>
    <cfRule type="expression" dxfId="2580" priority="1550">
      <formula>$A30="Drainage Works"</formula>
    </cfRule>
    <cfRule type="expression" dxfId="2579" priority="1551">
      <formula>$A30="Underpass"</formula>
    </cfRule>
    <cfRule type="expression" dxfId="2578" priority="1552">
      <formula>$A30="Overcrossing"</formula>
    </cfRule>
    <cfRule type="expression" dxfId="2577" priority="1553">
      <formula>$A30="Overpass"</formula>
    </cfRule>
    <cfRule type="expression" dxfId="2576" priority="1554">
      <formula>$A30="Station"</formula>
    </cfRule>
    <cfRule type="expression" dxfId="2575" priority="1555">
      <formula>$A30="Overlap between sections"</formula>
    </cfRule>
  </conditionalFormatting>
  <conditionalFormatting sqref="AA30:AA800">
    <cfRule type="expression" dxfId="2574" priority="1542">
      <formula>$M30="NON DEFINED"</formula>
    </cfRule>
    <cfRule type="expression" dxfId="2573" priority="1543">
      <formula>$AZ30="N.D."</formula>
    </cfRule>
    <cfRule type="expression" dxfId="2572" priority="1544">
      <formula>$AY30="N.D."</formula>
    </cfRule>
  </conditionalFormatting>
  <conditionalFormatting sqref="AA30:AA800">
    <cfRule type="expression" dxfId="2571" priority="1531">
      <formula>$A30="Overhead Cable"</formula>
    </cfRule>
    <cfRule type="expression" dxfId="2570" priority="1532">
      <formula>$A30="Level Crossing"</formula>
    </cfRule>
    <cfRule type="expression" dxfId="2569" priority="1533">
      <formula>$A30="Neutral Section"</formula>
    </cfRule>
    <cfRule type="expression" dxfId="2568" priority="1534">
      <formula>$A30="Tunnel"</formula>
    </cfRule>
    <cfRule type="expression" dxfId="2567" priority="1535">
      <formula>$A30="Bridge"</formula>
    </cfRule>
    <cfRule type="expression" dxfId="2566" priority="1536">
      <formula>$A30="Drainage Works"</formula>
    </cfRule>
    <cfRule type="expression" dxfId="2565" priority="1537">
      <formula>$A30="Underpass"</formula>
    </cfRule>
    <cfRule type="expression" dxfId="2564" priority="1538">
      <formula>$A30="Overcrossing"</formula>
    </cfRule>
    <cfRule type="expression" dxfId="2563" priority="1539">
      <formula>$A30="Overpass"</formula>
    </cfRule>
    <cfRule type="expression" dxfId="2562" priority="1540">
      <formula>$A30="Station"</formula>
    </cfRule>
    <cfRule type="expression" dxfId="2561" priority="1541">
      <formula>$A30="Overlap between sections"</formula>
    </cfRule>
  </conditionalFormatting>
  <conditionalFormatting sqref="AB30:AB800">
    <cfRule type="expression" dxfId="2560" priority="1528">
      <formula>$M30="NON DEFINED"</formula>
    </cfRule>
    <cfRule type="expression" dxfId="2559" priority="1529">
      <formula>$AZ30="N.D."</formula>
    </cfRule>
    <cfRule type="expression" dxfId="2558" priority="1530">
      <formula>$AY30="N.D."</formula>
    </cfRule>
  </conditionalFormatting>
  <conditionalFormatting sqref="AB30:AB800">
    <cfRule type="expression" dxfId="2557" priority="1517">
      <formula>$A30="Overhead Cable"</formula>
    </cfRule>
    <cfRule type="expression" dxfId="2556" priority="1518">
      <formula>$A30="Level Crossing"</formula>
    </cfRule>
    <cfRule type="expression" dxfId="2555" priority="1519">
      <formula>$A30="Neutral Section"</formula>
    </cfRule>
    <cfRule type="expression" dxfId="2554" priority="1520">
      <formula>$A30="Tunnel"</formula>
    </cfRule>
    <cfRule type="expression" dxfId="2553" priority="1521">
      <formula>$A30="Bridge"</formula>
    </cfRule>
    <cfRule type="expression" dxfId="2552" priority="1522">
      <formula>$A30="Drainage Works"</formula>
    </cfRule>
    <cfRule type="expression" dxfId="2551" priority="1523">
      <formula>$A30="Underpass"</formula>
    </cfRule>
    <cfRule type="expression" dxfId="2550" priority="1524">
      <formula>$A30="Overcrossing"</formula>
    </cfRule>
    <cfRule type="expression" dxfId="2549" priority="1525">
      <formula>$A30="Overpass"</formula>
    </cfRule>
    <cfRule type="expression" dxfId="2548" priority="1526">
      <formula>$A30="Station"</formula>
    </cfRule>
    <cfRule type="expression" dxfId="2547" priority="1527">
      <formula>$A30="Overlap between sections"</formula>
    </cfRule>
  </conditionalFormatting>
  <conditionalFormatting sqref="BD5">
    <cfRule type="containsText" dxfId="2546" priority="1516" operator="containsText" text="Poner a mano">
      <formula>NOT(ISERROR(SEARCH("Poner a mano",BD5)))</formula>
    </cfRule>
  </conditionalFormatting>
  <conditionalFormatting sqref="BD5">
    <cfRule type="expression" dxfId="2545" priority="1505">
      <formula>$A5="Overhead Cable"</formula>
    </cfRule>
    <cfRule type="expression" dxfId="2544" priority="1506">
      <formula>$A5="Level Crossing"</formula>
    </cfRule>
    <cfRule type="expression" dxfId="2543" priority="1507">
      <formula>$A5="Neutral Section"</formula>
    </cfRule>
    <cfRule type="expression" dxfId="2542" priority="1508">
      <formula>$A5="Tunnel"</formula>
    </cfRule>
    <cfRule type="expression" dxfId="2541" priority="1509">
      <formula>$A5="Bridge"</formula>
    </cfRule>
    <cfRule type="expression" dxfId="2540" priority="1510">
      <formula>$A5="Drainage Works"</formula>
    </cfRule>
    <cfRule type="expression" dxfId="2539" priority="1511">
      <formula>$A5="Underpass"</formula>
    </cfRule>
    <cfRule type="expression" dxfId="2538" priority="1512">
      <formula>$A5="Overcrossing"</formula>
    </cfRule>
    <cfRule type="expression" dxfId="2537" priority="1513">
      <formula>$A5="Overpass"</formula>
    </cfRule>
    <cfRule type="expression" dxfId="2536" priority="1514">
      <formula>$A5="Station"</formula>
    </cfRule>
    <cfRule type="expression" dxfId="2535" priority="1515">
      <formula>$A5="Overlap between sections"</formula>
    </cfRule>
  </conditionalFormatting>
  <conditionalFormatting sqref="BD6:BD29 BD192:BD800">
    <cfRule type="containsText" dxfId="2534" priority="1504" operator="containsText" text="Poner a mano">
      <formula>NOT(ISERROR(SEARCH("Poner a mano",BD6)))</formula>
    </cfRule>
  </conditionalFormatting>
  <conditionalFormatting sqref="BD6:BD29 BD192:BD800">
    <cfRule type="expression" dxfId="2533" priority="1493">
      <formula>$A6="Overhead Cable"</formula>
    </cfRule>
    <cfRule type="expression" dxfId="2532" priority="1494">
      <formula>$A6="Level Crossing"</formula>
    </cfRule>
    <cfRule type="expression" dxfId="2531" priority="1495">
      <formula>$A6="Neutral Section"</formula>
    </cfRule>
    <cfRule type="expression" dxfId="2530" priority="1496">
      <formula>$A6="Tunnel"</formula>
    </cfRule>
    <cfRule type="expression" dxfId="2529" priority="1497">
      <formula>$A6="Bridge"</formula>
    </cfRule>
    <cfRule type="expression" dxfId="2528" priority="1498">
      <formula>$A6="Drainage Works"</formula>
    </cfRule>
    <cfRule type="expression" dxfId="2527" priority="1499">
      <formula>$A6="Underpass"</formula>
    </cfRule>
    <cfRule type="expression" dxfId="2526" priority="1500">
      <formula>$A6="Overcrossing"</formula>
    </cfRule>
    <cfRule type="expression" dxfId="2525" priority="1501">
      <formula>$A6="Overpass"</formula>
    </cfRule>
    <cfRule type="expression" dxfId="2524" priority="1502">
      <formula>$A6="Station"</formula>
    </cfRule>
    <cfRule type="expression" dxfId="2523" priority="1503">
      <formula>$A6="Overlap between sections"</formula>
    </cfRule>
  </conditionalFormatting>
  <conditionalFormatting sqref="BE5:BE800">
    <cfRule type="containsText" dxfId="2522" priority="1491" operator="containsText" text="a">
      <formula>NOT(ISERROR(SEARCH("a",BE5)))</formula>
    </cfRule>
    <cfRule type="containsText" dxfId="2521" priority="1492" operator="containsText" text="R">
      <formula>NOT(ISERROR(SEARCH("R",BE5)))</formula>
    </cfRule>
  </conditionalFormatting>
  <conditionalFormatting sqref="BA5:BC29">
    <cfRule type="expression" dxfId="2520" priority="1490">
      <formula>$BE5="R"</formula>
    </cfRule>
  </conditionalFormatting>
  <conditionalFormatting sqref="B5:E29 J5:J25 AG5:AG19 AN5:AS29 AY5:BC29 G5:H29 AG21 AG23 AG25 AG27:AG29 J27:J29">
    <cfRule type="expression" dxfId="2519" priority="1488">
      <formula>$M5="NON DEFINED"</formula>
    </cfRule>
    <cfRule type="expression" dxfId="2518" priority="1489">
      <formula>$AY5="N.D."</formula>
    </cfRule>
  </conditionalFormatting>
  <conditionalFormatting sqref="A5:E29 J5:J25 AG5:AG19 AN5:AS29 AY5:BC29 G5:H29 AG21 AG23 AG25 AG27:AG29 J27:J29">
    <cfRule type="cellIs" dxfId="2517" priority="1487" operator="equal">
      <formula>0</formula>
    </cfRule>
  </conditionalFormatting>
  <conditionalFormatting sqref="I5:I28">
    <cfRule type="expression" dxfId="2516" priority="1485">
      <formula>$M5="NON DEFINED"</formula>
    </cfRule>
    <cfRule type="expression" dxfId="2515" priority="1486">
      <formula>$AY5="N.D."</formula>
    </cfRule>
  </conditionalFormatting>
  <conditionalFormatting sqref="I5:I28">
    <cfRule type="cellIs" dxfId="2514" priority="1484" operator="equal">
      <formula>0</formula>
    </cfRule>
  </conditionalFormatting>
  <conditionalFormatting sqref="K5:K25">
    <cfRule type="expression" dxfId="2513" priority="1482">
      <formula>$M5="NON DEFINED"</formula>
    </cfRule>
    <cfRule type="expression" dxfId="2512" priority="1483">
      <formula>$AY5="N.D."</formula>
    </cfRule>
  </conditionalFormatting>
  <conditionalFormatting sqref="K5:K25">
    <cfRule type="cellIs" dxfId="2511" priority="1481" operator="equal">
      <formula>0</formula>
    </cfRule>
  </conditionalFormatting>
  <conditionalFormatting sqref="L5:L19 L21 L23 L25 L27:L29">
    <cfRule type="expression" dxfId="2510" priority="1479">
      <formula>$M5="NON DEFINED"</formula>
    </cfRule>
    <cfRule type="expression" dxfId="2509" priority="1480">
      <formula>$AY5="N.D."</formula>
    </cfRule>
  </conditionalFormatting>
  <conditionalFormatting sqref="L5:L19 L21 L23 L25 L27:L29">
    <cfRule type="cellIs" dxfId="2508" priority="1478" operator="equal">
      <formula>0</formula>
    </cfRule>
  </conditionalFormatting>
  <conditionalFormatting sqref="M5:M19 M21 M23 M25 M27:M29">
    <cfRule type="expression" dxfId="2507" priority="1476">
      <formula>$M5="NON DEFINED"</formula>
    </cfRule>
    <cfRule type="expression" dxfId="2506" priority="1477">
      <formula>$AY5="N.D."</formula>
    </cfRule>
  </conditionalFormatting>
  <conditionalFormatting sqref="M5:M19 M21 M23 M25 M27:M29">
    <cfRule type="cellIs" dxfId="2505" priority="1475" operator="equal">
      <formula>0</formula>
    </cfRule>
  </conditionalFormatting>
  <conditionalFormatting sqref="N5:N19 N21 N23 N25 N27:N29">
    <cfRule type="expression" dxfId="2504" priority="1473">
      <formula>$M5="NON DEFINED"</formula>
    </cfRule>
    <cfRule type="expression" dxfId="2503" priority="1474">
      <formula>$AY5="N.D."</formula>
    </cfRule>
  </conditionalFormatting>
  <conditionalFormatting sqref="N5:N19 N21 N23 N25 N27:N29">
    <cfRule type="cellIs" dxfId="2502" priority="1472" operator="equal">
      <formula>0</formula>
    </cfRule>
  </conditionalFormatting>
  <conditionalFormatting sqref="O5:O19 O21 O23 O25 O27:O29">
    <cfRule type="expression" dxfId="2501" priority="1470">
      <formula>$M5="NON DEFINED"</formula>
    </cfRule>
    <cfRule type="expression" dxfId="2500" priority="1471">
      <formula>$AY5="N.D."</formula>
    </cfRule>
  </conditionalFormatting>
  <conditionalFormatting sqref="O5:O19 O21 O23 O25 O27:O29">
    <cfRule type="cellIs" dxfId="2499" priority="1469" operator="equal">
      <formula>0</formula>
    </cfRule>
  </conditionalFormatting>
  <conditionalFormatting sqref="P5:P19 P21 P23 P25 P27:P29">
    <cfRule type="expression" dxfId="2498" priority="1467">
      <formula>$M5="NON DEFINED"</formula>
    </cfRule>
    <cfRule type="expression" dxfId="2497" priority="1468">
      <formula>$AY5="N.D."</formula>
    </cfRule>
  </conditionalFormatting>
  <conditionalFormatting sqref="P5:P19 P21 P23 P25 P27:P29">
    <cfRule type="cellIs" dxfId="2496" priority="1466" operator="equal">
      <formula>0</formula>
    </cfRule>
  </conditionalFormatting>
  <conditionalFormatting sqref="AC5:AC19 AC21 AC23 AC25 AC27:AC29">
    <cfRule type="expression" dxfId="2495" priority="1464">
      <formula>$M5="NON DEFINED"</formula>
    </cfRule>
    <cfRule type="expression" dxfId="2494" priority="1465">
      <formula>$AY5="N.D."</formula>
    </cfRule>
  </conditionalFormatting>
  <conditionalFormatting sqref="AC5:AC19 AC21 AC23 AC25 AC27:AC29">
    <cfRule type="cellIs" dxfId="2493" priority="1463" operator="equal">
      <formula>0</formula>
    </cfRule>
  </conditionalFormatting>
  <conditionalFormatting sqref="AD5:AD19 AD21 AD23 AD25 AD27:AD29">
    <cfRule type="expression" dxfId="2492" priority="1461">
      <formula>$M5="NON DEFINED"</formula>
    </cfRule>
    <cfRule type="expression" dxfId="2491" priority="1462">
      <formula>$AY5="N.D."</formula>
    </cfRule>
  </conditionalFormatting>
  <conditionalFormatting sqref="AD5:AD19 AD21 AD23 AD25 AD27:AD29">
    <cfRule type="cellIs" dxfId="2490" priority="1460" operator="equal">
      <formula>0</formula>
    </cfRule>
  </conditionalFormatting>
  <conditionalFormatting sqref="AE5:AE19 AE21 AE23 AE25 AE27:AE29">
    <cfRule type="expression" dxfId="2489" priority="1458">
      <formula>$M5="NON DEFINED"</formula>
    </cfRule>
    <cfRule type="expression" dxfId="2488" priority="1459">
      <formula>$AY5="N.D."</formula>
    </cfRule>
  </conditionalFormatting>
  <conditionalFormatting sqref="AE5:AE19 AE21 AE23 AE25 AE27:AE29">
    <cfRule type="cellIs" dxfId="2487" priority="1457" operator="equal">
      <formula>0</formula>
    </cfRule>
  </conditionalFormatting>
  <conditionalFormatting sqref="AJ5:AJ19 AJ21 AJ23 AJ25 AJ27:AJ29">
    <cfRule type="expression" dxfId="2486" priority="1455">
      <formula>$M5="NON DEFINED"</formula>
    </cfRule>
    <cfRule type="expression" dxfId="2485" priority="1456">
      <formula>$AY5="N.D."</formula>
    </cfRule>
  </conditionalFormatting>
  <conditionalFormatting sqref="AJ5:AJ19 AJ21 AJ23 AJ25 AJ27:AJ29">
    <cfRule type="cellIs" dxfId="2484" priority="1454" operator="equal">
      <formula>0</formula>
    </cfRule>
  </conditionalFormatting>
  <conditionalFormatting sqref="AK5:AK19 AK21 AK23:AK25 AK27:AK29">
    <cfRule type="expression" dxfId="2483" priority="1452">
      <formula>$M5="NON DEFINED"</formula>
    </cfRule>
    <cfRule type="expression" dxfId="2482" priority="1453">
      <formula>$AY5="N.D."</formula>
    </cfRule>
  </conditionalFormatting>
  <conditionalFormatting sqref="AK5:AK19 AK21 AK23:AK25 AK27:AK29">
    <cfRule type="cellIs" dxfId="2481" priority="1451" operator="equal">
      <formula>0</formula>
    </cfRule>
  </conditionalFormatting>
  <conditionalFormatting sqref="AL5:AL15 AL17 AL19 AL21 AL23 AL25 AL27:AL29">
    <cfRule type="expression" dxfId="2480" priority="1449">
      <formula>$M5="NON DEFINED"</formula>
    </cfRule>
    <cfRule type="expression" dxfId="2479" priority="1450">
      <formula>$AY5="N.D."</formula>
    </cfRule>
  </conditionalFormatting>
  <conditionalFormatting sqref="AL5:AL15 AL17 AL19 AL21 AL23 AL25 AL27:AL29">
    <cfRule type="cellIs" dxfId="2478" priority="1448" operator="equal">
      <formula>0</formula>
    </cfRule>
  </conditionalFormatting>
  <conditionalFormatting sqref="AM5:AM15 AM17 AM19 AM21 AM23 AM25 AM27 AM29">
    <cfRule type="expression" dxfId="2477" priority="1446">
      <formula>$M5="NON DEFINED"</formula>
    </cfRule>
    <cfRule type="expression" dxfId="2476" priority="1447">
      <formula>$AY5="N.D."</formula>
    </cfRule>
  </conditionalFormatting>
  <conditionalFormatting sqref="AM5:AM15 AM17 AM19 AM21 AM23 AM25 AM27 AM29">
    <cfRule type="cellIs" dxfId="2475" priority="1445" operator="equal">
      <formula>0</formula>
    </cfRule>
  </conditionalFormatting>
  <conditionalFormatting sqref="AT5:AT29">
    <cfRule type="expression" dxfId="2474" priority="1443">
      <formula>$M5="NON DEFINED"</formula>
    </cfRule>
    <cfRule type="expression" dxfId="2473" priority="1444">
      <formula>$AY5="N.D."</formula>
    </cfRule>
  </conditionalFormatting>
  <conditionalFormatting sqref="AT5:AT29">
    <cfRule type="cellIs" dxfId="2472" priority="1442" operator="equal">
      <formula>0</formula>
    </cfRule>
  </conditionalFormatting>
  <conditionalFormatting sqref="AU5:AU29">
    <cfRule type="expression" dxfId="2471" priority="1440">
      <formula>$M5="NON DEFINED"</formula>
    </cfRule>
    <cfRule type="expression" dxfId="2470" priority="1441">
      <formula>$AY5="N.D."</formula>
    </cfRule>
  </conditionalFormatting>
  <conditionalFormatting sqref="AU5:AU29">
    <cfRule type="cellIs" dxfId="2469" priority="1439" operator="equal">
      <formula>0</formula>
    </cfRule>
  </conditionalFormatting>
  <conditionalFormatting sqref="AV5:AV29">
    <cfRule type="expression" dxfId="2468" priority="1437">
      <formula>$M5="NON DEFINED"</formula>
    </cfRule>
    <cfRule type="expression" dxfId="2467" priority="1438">
      <formula>$AY5="N.D."</formula>
    </cfRule>
  </conditionalFormatting>
  <conditionalFormatting sqref="AV5:AV29">
    <cfRule type="cellIs" dxfId="2466" priority="1436" operator="equal">
      <formula>0</formula>
    </cfRule>
  </conditionalFormatting>
  <conditionalFormatting sqref="AW5:AW29">
    <cfRule type="expression" dxfId="2465" priority="1434">
      <formula>$M5="NON DEFINED"</formula>
    </cfRule>
    <cfRule type="expression" dxfId="2464" priority="1435">
      <formula>$AY5="N.D."</formula>
    </cfRule>
  </conditionalFormatting>
  <conditionalFormatting sqref="AW5:AW29">
    <cfRule type="cellIs" dxfId="2463" priority="1433" operator="equal">
      <formula>0</formula>
    </cfRule>
  </conditionalFormatting>
  <conditionalFormatting sqref="AX5:AX29">
    <cfRule type="expression" dxfId="2462" priority="1431">
      <formula>$M5="NON DEFINED"</formula>
    </cfRule>
    <cfRule type="expression" dxfId="2461" priority="1432">
      <formula>$AY5="N.D."</formula>
    </cfRule>
  </conditionalFormatting>
  <conditionalFormatting sqref="AX5:AX29">
    <cfRule type="cellIs" dxfId="2460" priority="1430" operator="equal">
      <formula>0</formula>
    </cfRule>
  </conditionalFormatting>
  <conditionalFormatting sqref="F5:F29">
    <cfRule type="expression" dxfId="2459" priority="1428">
      <formula>$M5="NON DEFINED"</formula>
    </cfRule>
    <cfRule type="expression" dxfId="2458" priority="1429">
      <formula>$AY5="N.D."</formula>
    </cfRule>
  </conditionalFormatting>
  <conditionalFormatting sqref="F5:F29">
    <cfRule type="cellIs" dxfId="2457" priority="1427" operator="equal">
      <formula>0</formula>
    </cfRule>
  </conditionalFormatting>
  <conditionalFormatting sqref="Q5:Q19 Q21 Q23 Q25 Q27:Q29">
    <cfRule type="expression" dxfId="2456" priority="1425">
      <formula>$M5="NON DEFINED"</formula>
    </cfRule>
    <cfRule type="expression" dxfId="2455" priority="1426">
      <formula>$AY5="N.D."</formula>
    </cfRule>
  </conditionalFormatting>
  <conditionalFormatting sqref="Q5:Q19 Q21 Q23 Q25 Q27:Q29">
    <cfRule type="cellIs" dxfId="2454" priority="1424" operator="equal">
      <formula>0</formula>
    </cfRule>
  </conditionalFormatting>
  <conditionalFormatting sqref="T5:T19 T21 T23 T25 T27:T29">
    <cfRule type="expression" dxfId="2453" priority="1422">
      <formula>$M5="NON DEFINED"</formula>
    </cfRule>
    <cfRule type="expression" dxfId="2452" priority="1423">
      <formula>$AY5="N.D."</formula>
    </cfRule>
  </conditionalFormatting>
  <conditionalFormatting sqref="T5:T19 T21 T23 T25 T27:T29">
    <cfRule type="cellIs" dxfId="2451" priority="1421" operator="equal">
      <formula>0</formula>
    </cfRule>
  </conditionalFormatting>
  <conditionalFormatting sqref="U5:U19 U21 U23 U25 U27:U29">
    <cfRule type="expression" dxfId="2450" priority="1419">
      <formula>$M5="NON DEFINED"</formula>
    </cfRule>
    <cfRule type="expression" dxfId="2449" priority="1420">
      <formula>$AY5="N.D."</formula>
    </cfRule>
  </conditionalFormatting>
  <conditionalFormatting sqref="U5:U19 U21 U23 U25 U27:U29">
    <cfRule type="cellIs" dxfId="2448" priority="1418" operator="equal">
      <formula>0</formula>
    </cfRule>
  </conditionalFormatting>
  <conditionalFormatting sqref="V5:V19 V21 V23 V25 V27:V29">
    <cfRule type="expression" dxfId="2447" priority="1416">
      <formula>$M5="NON DEFINED"</formula>
    </cfRule>
    <cfRule type="expression" dxfId="2446" priority="1417">
      <formula>$AY5="N.D."</formula>
    </cfRule>
  </conditionalFormatting>
  <conditionalFormatting sqref="V5:V19 V21 V23 V25 V27:V29">
    <cfRule type="cellIs" dxfId="2445" priority="1415" operator="equal">
      <formula>0</formula>
    </cfRule>
  </conditionalFormatting>
  <conditionalFormatting sqref="AF5:AF19 AF21 AF23 AF25 AF27:AF29">
    <cfRule type="expression" dxfId="2444" priority="1413">
      <formula>$M5="NON DEFINED"</formula>
    </cfRule>
    <cfRule type="expression" dxfId="2443" priority="1414">
      <formula>$AY5="N.D."</formula>
    </cfRule>
  </conditionalFormatting>
  <conditionalFormatting sqref="AF5:AF19 AF21 AF23 AF25 AF27:AF29">
    <cfRule type="cellIs" dxfId="2442" priority="1412" operator="equal">
      <formula>0</formula>
    </cfRule>
  </conditionalFormatting>
  <conditionalFormatting sqref="AH5:AH19 AH21 AH23 AH25 AH27:AH29">
    <cfRule type="expression" dxfId="2441" priority="1410">
      <formula>$M5="NON DEFINED"</formula>
    </cfRule>
    <cfRule type="expression" dxfId="2440" priority="1411">
      <formula>$AY5="N.D."</formula>
    </cfRule>
  </conditionalFormatting>
  <conditionalFormatting sqref="AH5:AH19 AH21 AH23 AH25 AH27:AH29">
    <cfRule type="cellIs" dxfId="2439" priority="1409" operator="equal">
      <formula>0</formula>
    </cfRule>
  </conditionalFormatting>
  <conditionalFormatting sqref="AI5:AI19 AI21 AI23 AI25 AI27:AI29">
    <cfRule type="expression" dxfId="2438" priority="1407">
      <formula>$M5="NON DEFINED"</formula>
    </cfRule>
    <cfRule type="expression" dxfId="2437" priority="1408">
      <formula>$AY5="N.D."</formula>
    </cfRule>
  </conditionalFormatting>
  <conditionalFormatting sqref="AI5:AI19 AI21 AI23 AI25 AI27:AI29">
    <cfRule type="cellIs" dxfId="2436" priority="1406" operator="equal">
      <formula>0</formula>
    </cfRule>
  </conditionalFormatting>
  <conditionalFormatting sqref="R5:R19 R21 R23 R25 R27:R29">
    <cfRule type="expression" dxfId="2435" priority="1404">
      <formula>$M5="NON DEFINED"</formula>
    </cfRule>
    <cfRule type="expression" dxfId="2434" priority="1405">
      <formula>$AY5="N.D."</formula>
    </cfRule>
  </conditionalFormatting>
  <conditionalFormatting sqref="R5:R19 R21 R23 R25 R27:R29">
    <cfRule type="cellIs" dxfId="2433" priority="1403" operator="equal">
      <formula>0</formula>
    </cfRule>
  </conditionalFormatting>
  <conditionalFormatting sqref="S5:S19 S21 S23 S25 S27:S29">
    <cfRule type="expression" dxfId="2432" priority="1401">
      <formula>$M5="NON DEFINED"</formula>
    </cfRule>
    <cfRule type="expression" dxfId="2431" priority="1402">
      <formula>$AY5="N.D."</formula>
    </cfRule>
  </conditionalFormatting>
  <conditionalFormatting sqref="S5:S19 S21 S23 S25 S27:S29">
    <cfRule type="cellIs" dxfId="2430" priority="1400" operator="equal">
      <formula>0</formula>
    </cfRule>
  </conditionalFormatting>
  <conditionalFormatting sqref="W5:W19 W21 W23 W25 W27:W29">
    <cfRule type="expression" dxfId="2429" priority="1398">
      <formula>$M5="NON DEFINED"</formula>
    </cfRule>
    <cfRule type="expression" dxfId="2428" priority="1399">
      <formula>$AY5="N.D."</formula>
    </cfRule>
  </conditionalFormatting>
  <conditionalFormatting sqref="W5:W19 W21 W23 W25 W27:W29">
    <cfRule type="cellIs" dxfId="2427" priority="1397" operator="equal">
      <formula>0</formula>
    </cfRule>
  </conditionalFormatting>
  <conditionalFormatting sqref="X5:X19 X21 X23 X25 X27:X29">
    <cfRule type="expression" dxfId="2426" priority="1395">
      <formula>$M5="NON DEFINED"</formula>
    </cfRule>
    <cfRule type="expression" dxfId="2425" priority="1396">
      <formula>$AY5="N.D."</formula>
    </cfRule>
  </conditionalFormatting>
  <conditionalFormatting sqref="X5:X19 X21 X23 X25 X27:X29">
    <cfRule type="cellIs" dxfId="2424" priority="1394" operator="equal">
      <formula>0</formula>
    </cfRule>
  </conditionalFormatting>
  <conditionalFormatting sqref="Y5:Y19 Y21 Y23 Y25 Y27:Y29">
    <cfRule type="expression" dxfId="2423" priority="1392">
      <formula>$M5="NON DEFINED"</formula>
    </cfRule>
    <cfRule type="expression" dxfId="2422" priority="1393">
      <formula>$AY5="N.D."</formula>
    </cfRule>
  </conditionalFormatting>
  <conditionalFormatting sqref="Y5:Y19 Y21 Y23 Y25 Y27:Y29">
    <cfRule type="cellIs" dxfId="2421" priority="1391" operator="equal">
      <formula>0</formula>
    </cfRule>
  </conditionalFormatting>
  <conditionalFormatting sqref="Z5:Z19 Z21 Z23 Z25 Z27:Z29">
    <cfRule type="expression" dxfId="2420" priority="1389">
      <formula>$M5="NON DEFINED"</formula>
    </cfRule>
    <cfRule type="expression" dxfId="2419" priority="1390">
      <formula>$AY5="N.D."</formula>
    </cfRule>
  </conditionalFormatting>
  <conditionalFormatting sqref="Z5:Z19 Z21 Z23 Z25 Z27:Z29">
    <cfRule type="cellIs" dxfId="2418" priority="1388" operator="equal">
      <formula>0</formula>
    </cfRule>
  </conditionalFormatting>
  <conditionalFormatting sqref="AA5:AA19 AA21 AA23 AA25 AA27:AA29">
    <cfRule type="expression" dxfId="2417" priority="1386">
      <formula>$M5="NON DEFINED"</formula>
    </cfRule>
    <cfRule type="expression" dxfId="2416" priority="1387">
      <formula>$AY5="N.D."</formula>
    </cfRule>
  </conditionalFormatting>
  <conditionalFormatting sqref="AA5:AA19 AA21 AA23 AA25 AA27:AA29">
    <cfRule type="cellIs" dxfId="2415" priority="1385" operator="equal">
      <formula>0</formula>
    </cfRule>
  </conditionalFormatting>
  <conditionalFormatting sqref="AB5:AB19 AB21 AB23 AB25 AB27:AB29">
    <cfRule type="expression" dxfId="2414" priority="1383">
      <formula>$M5="NON DEFINED"</formula>
    </cfRule>
    <cfRule type="expression" dxfId="2413" priority="1384">
      <formula>$AY5="N.D."</formula>
    </cfRule>
  </conditionalFormatting>
  <conditionalFormatting sqref="AB5:AB19 AB21 AB23 AB25 AB27:AB29">
    <cfRule type="cellIs" dxfId="2412" priority="1382" operator="equal">
      <formula>0</formula>
    </cfRule>
  </conditionalFormatting>
  <conditionalFormatting sqref="AL16">
    <cfRule type="expression" dxfId="2411" priority="1380">
      <formula>$M16="NON DEFINED"</formula>
    </cfRule>
    <cfRule type="expression" dxfId="2410" priority="1381">
      <formula>$AY16="N.D."</formula>
    </cfRule>
  </conditionalFormatting>
  <conditionalFormatting sqref="AL16">
    <cfRule type="cellIs" dxfId="2409" priority="1379" operator="equal">
      <formula>0</formula>
    </cfRule>
  </conditionalFormatting>
  <conditionalFormatting sqref="AM16">
    <cfRule type="expression" dxfId="2408" priority="1377">
      <formula>$M16="NON DEFINED"</formula>
    </cfRule>
    <cfRule type="expression" dxfId="2407" priority="1378">
      <formula>$AY16="N.D."</formula>
    </cfRule>
  </conditionalFormatting>
  <conditionalFormatting sqref="AM16">
    <cfRule type="cellIs" dxfId="2406" priority="1376" operator="equal">
      <formula>0</formula>
    </cfRule>
  </conditionalFormatting>
  <conditionalFormatting sqref="AL18">
    <cfRule type="expression" dxfId="2405" priority="1374">
      <formula>$M18="NON DEFINED"</formula>
    </cfRule>
    <cfRule type="expression" dxfId="2404" priority="1375">
      <formula>$AY18="N.D."</formula>
    </cfRule>
  </conditionalFormatting>
  <conditionalFormatting sqref="AL18">
    <cfRule type="cellIs" dxfId="2403" priority="1373" operator="equal">
      <formula>0</formula>
    </cfRule>
  </conditionalFormatting>
  <conditionalFormatting sqref="AM18">
    <cfRule type="expression" dxfId="2402" priority="1371">
      <formula>$M18="NON DEFINED"</formula>
    </cfRule>
    <cfRule type="expression" dxfId="2401" priority="1372">
      <formula>$AY18="N.D."</formula>
    </cfRule>
  </conditionalFormatting>
  <conditionalFormatting sqref="AM18">
    <cfRule type="cellIs" dxfId="2400" priority="1370" operator="equal">
      <formula>0</formula>
    </cfRule>
  </conditionalFormatting>
  <conditionalFormatting sqref="AG20">
    <cfRule type="expression" dxfId="2399" priority="1368">
      <formula>$M20="NON DEFINED"</formula>
    </cfRule>
    <cfRule type="expression" dxfId="2398" priority="1369">
      <formula>$AY20="N.D."</formula>
    </cfRule>
  </conditionalFormatting>
  <conditionalFormatting sqref="AG20">
    <cfRule type="cellIs" dxfId="2397" priority="1367" operator="equal">
      <formula>0</formula>
    </cfRule>
  </conditionalFormatting>
  <conditionalFormatting sqref="L20">
    <cfRule type="expression" dxfId="2396" priority="1365">
      <formula>$M20="NON DEFINED"</formula>
    </cfRule>
    <cfRule type="expression" dxfId="2395" priority="1366">
      <formula>$AY20="N.D."</formula>
    </cfRule>
  </conditionalFormatting>
  <conditionalFormatting sqref="L20">
    <cfRule type="cellIs" dxfId="2394" priority="1364" operator="equal">
      <formula>0</formula>
    </cfRule>
  </conditionalFormatting>
  <conditionalFormatting sqref="M20">
    <cfRule type="expression" dxfId="2393" priority="1362">
      <formula>$M20="NON DEFINED"</formula>
    </cfRule>
    <cfRule type="expression" dxfId="2392" priority="1363">
      <formula>$AY20="N.D."</formula>
    </cfRule>
  </conditionalFormatting>
  <conditionalFormatting sqref="M20">
    <cfRule type="cellIs" dxfId="2391" priority="1361" operator="equal">
      <formula>0</formula>
    </cfRule>
  </conditionalFormatting>
  <conditionalFormatting sqref="N20">
    <cfRule type="expression" dxfId="2390" priority="1359">
      <formula>$M20="NON DEFINED"</formula>
    </cfRule>
    <cfRule type="expression" dxfId="2389" priority="1360">
      <formula>$AY20="N.D."</formula>
    </cfRule>
  </conditionalFormatting>
  <conditionalFormatting sqref="N20">
    <cfRule type="cellIs" dxfId="2388" priority="1358" operator="equal">
      <formula>0</formula>
    </cfRule>
  </conditionalFormatting>
  <conditionalFormatting sqref="O20">
    <cfRule type="expression" dxfId="2387" priority="1356">
      <formula>$M20="NON DEFINED"</formula>
    </cfRule>
    <cfRule type="expression" dxfId="2386" priority="1357">
      <formula>$AY20="N.D."</formula>
    </cfRule>
  </conditionalFormatting>
  <conditionalFormatting sqref="O20">
    <cfRule type="cellIs" dxfId="2385" priority="1355" operator="equal">
      <formula>0</formula>
    </cfRule>
  </conditionalFormatting>
  <conditionalFormatting sqref="P20">
    <cfRule type="expression" dxfId="2384" priority="1353">
      <formula>$M20="NON DEFINED"</formula>
    </cfRule>
    <cfRule type="expression" dxfId="2383" priority="1354">
      <formula>$AY20="N.D."</formula>
    </cfRule>
  </conditionalFormatting>
  <conditionalFormatting sqref="P20">
    <cfRule type="cellIs" dxfId="2382" priority="1352" operator="equal">
      <formula>0</formula>
    </cfRule>
  </conditionalFormatting>
  <conditionalFormatting sqref="AC20">
    <cfRule type="expression" dxfId="2381" priority="1350">
      <formula>$M20="NON DEFINED"</formula>
    </cfRule>
    <cfRule type="expression" dxfId="2380" priority="1351">
      <formula>$AY20="N.D."</formula>
    </cfRule>
  </conditionalFormatting>
  <conditionalFormatting sqref="AC20">
    <cfRule type="cellIs" dxfId="2379" priority="1349" operator="equal">
      <formula>0</formula>
    </cfRule>
  </conditionalFormatting>
  <conditionalFormatting sqref="AD20">
    <cfRule type="expression" dxfId="2378" priority="1347">
      <formula>$M20="NON DEFINED"</formula>
    </cfRule>
    <cfRule type="expression" dxfId="2377" priority="1348">
      <formula>$AY20="N.D."</formula>
    </cfRule>
  </conditionalFormatting>
  <conditionalFormatting sqref="AD20">
    <cfRule type="cellIs" dxfId="2376" priority="1346" operator="equal">
      <formula>0</formula>
    </cfRule>
  </conditionalFormatting>
  <conditionalFormatting sqref="AE20">
    <cfRule type="expression" dxfId="2375" priority="1344">
      <formula>$M20="NON DEFINED"</formula>
    </cfRule>
    <cfRule type="expression" dxfId="2374" priority="1345">
      <formula>$AY20="N.D."</formula>
    </cfRule>
  </conditionalFormatting>
  <conditionalFormatting sqref="AE20">
    <cfRule type="cellIs" dxfId="2373" priority="1343" operator="equal">
      <formula>0</formula>
    </cfRule>
  </conditionalFormatting>
  <conditionalFormatting sqref="AJ20">
    <cfRule type="expression" dxfId="2372" priority="1341">
      <formula>$M20="NON DEFINED"</formula>
    </cfRule>
    <cfRule type="expression" dxfId="2371" priority="1342">
      <formula>$AY20="N.D."</formula>
    </cfRule>
  </conditionalFormatting>
  <conditionalFormatting sqref="AJ20">
    <cfRule type="cellIs" dxfId="2370" priority="1340" operator="equal">
      <formula>0</formula>
    </cfRule>
  </conditionalFormatting>
  <conditionalFormatting sqref="AK20">
    <cfRule type="expression" dxfId="2369" priority="1338">
      <formula>$M20="NON DEFINED"</formula>
    </cfRule>
    <cfRule type="expression" dxfId="2368" priority="1339">
      <formula>$AY20="N.D."</formula>
    </cfRule>
  </conditionalFormatting>
  <conditionalFormatting sqref="AK20">
    <cfRule type="cellIs" dxfId="2367" priority="1337" operator="equal">
      <formula>0</formula>
    </cfRule>
  </conditionalFormatting>
  <conditionalFormatting sqref="Q20">
    <cfRule type="expression" dxfId="2366" priority="1335">
      <formula>$M20="NON DEFINED"</formula>
    </cfRule>
    <cfRule type="expression" dxfId="2365" priority="1336">
      <formula>$AY20="N.D."</formula>
    </cfRule>
  </conditionalFormatting>
  <conditionalFormatting sqref="Q20">
    <cfRule type="cellIs" dxfId="2364" priority="1334" operator="equal">
      <formula>0</formula>
    </cfRule>
  </conditionalFormatting>
  <conditionalFormatting sqref="T20">
    <cfRule type="expression" dxfId="2363" priority="1332">
      <formula>$M20="NON DEFINED"</formula>
    </cfRule>
    <cfRule type="expression" dxfId="2362" priority="1333">
      <formula>$AY20="N.D."</formula>
    </cfRule>
  </conditionalFormatting>
  <conditionalFormatting sqref="T20">
    <cfRule type="cellIs" dxfId="2361" priority="1331" operator="equal">
      <formula>0</formula>
    </cfRule>
  </conditionalFormatting>
  <conditionalFormatting sqref="U20">
    <cfRule type="expression" dxfId="2360" priority="1329">
      <formula>$M20="NON DEFINED"</formula>
    </cfRule>
    <cfRule type="expression" dxfId="2359" priority="1330">
      <formula>$AY20="N.D."</formula>
    </cfRule>
  </conditionalFormatting>
  <conditionalFormatting sqref="U20">
    <cfRule type="cellIs" dxfId="2358" priority="1328" operator="equal">
      <formula>0</formula>
    </cfRule>
  </conditionalFormatting>
  <conditionalFormatting sqref="V20">
    <cfRule type="expression" dxfId="2357" priority="1326">
      <formula>$M20="NON DEFINED"</formula>
    </cfRule>
    <cfRule type="expression" dxfId="2356" priority="1327">
      <formula>$AY20="N.D."</formula>
    </cfRule>
  </conditionalFormatting>
  <conditionalFormatting sqref="V20">
    <cfRule type="cellIs" dxfId="2355" priority="1325" operator="equal">
      <formula>0</formula>
    </cfRule>
  </conditionalFormatting>
  <conditionalFormatting sqref="AF20">
    <cfRule type="expression" dxfId="2354" priority="1323">
      <formula>$M20="NON DEFINED"</formula>
    </cfRule>
    <cfRule type="expression" dxfId="2353" priority="1324">
      <formula>$AY20="N.D."</formula>
    </cfRule>
  </conditionalFormatting>
  <conditionalFormatting sqref="AF20">
    <cfRule type="cellIs" dxfId="2352" priority="1322" operator="equal">
      <formula>0</formula>
    </cfRule>
  </conditionalFormatting>
  <conditionalFormatting sqref="AH20">
    <cfRule type="expression" dxfId="2351" priority="1320">
      <formula>$M20="NON DEFINED"</formula>
    </cfRule>
    <cfRule type="expression" dxfId="2350" priority="1321">
      <formula>$AY20="N.D."</formula>
    </cfRule>
  </conditionalFormatting>
  <conditionalFormatting sqref="AH20">
    <cfRule type="cellIs" dxfId="2349" priority="1319" operator="equal">
      <formula>0</formula>
    </cfRule>
  </conditionalFormatting>
  <conditionalFormatting sqref="AI20">
    <cfRule type="expression" dxfId="2348" priority="1317">
      <formula>$M20="NON DEFINED"</formula>
    </cfRule>
    <cfRule type="expression" dxfId="2347" priority="1318">
      <formula>$AY20="N.D."</formula>
    </cfRule>
  </conditionalFormatting>
  <conditionalFormatting sqref="AI20">
    <cfRule type="cellIs" dxfId="2346" priority="1316" operator="equal">
      <formula>0</formula>
    </cfRule>
  </conditionalFormatting>
  <conditionalFormatting sqref="R20">
    <cfRule type="expression" dxfId="2345" priority="1314">
      <formula>$M20="NON DEFINED"</formula>
    </cfRule>
    <cfRule type="expression" dxfId="2344" priority="1315">
      <formula>$AY20="N.D."</formula>
    </cfRule>
  </conditionalFormatting>
  <conditionalFormatting sqref="R20">
    <cfRule type="cellIs" dxfId="2343" priority="1313" operator="equal">
      <formula>0</formula>
    </cfRule>
  </conditionalFormatting>
  <conditionalFormatting sqref="S20">
    <cfRule type="expression" dxfId="2342" priority="1311">
      <formula>$M20="NON DEFINED"</formula>
    </cfRule>
    <cfRule type="expression" dxfId="2341" priority="1312">
      <formula>$AY20="N.D."</formula>
    </cfRule>
  </conditionalFormatting>
  <conditionalFormatting sqref="S20">
    <cfRule type="cellIs" dxfId="2340" priority="1310" operator="equal">
      <formula>0</formula>
    </cfRule>
  </conditionalFormatting>
  <conditionalFormatting sqref="W20">
    <cfRule type="expression" dxfId="2339" priority="1308">
      <formula>$M20="NON DEFINED"</formula>
    </cfRule>
    <cfRule type="expression" dxfId="2338" priority="1309">
      <formula>$AY20="N.D."</formula>
    </cfRule>
  </conditionalFormatting>
  <conditionalFormatting sqref="W20">
    <cfRule type="cellIs" dxfId="2337" priority="1307" operator="equal">
      <formula>0</formula>
    </cfRule>
  </conditionalFormatting>
  <conditionalFormatting sqref="X20">
    <cfRule type="expression" dxfId="2336" priority="1305">
      <formula>$M20="NON DEFINED"</formula>
    </cfRule>
    <cfRule type="expression" dxfId="2335" priority="1306">
      <formula>$AY20="N.D."</formula>
    </cfRule>
  </conditionalFormatting>
  <conditionalFormatting sqref="X20">
    <cfRule type="cellIs" dxfId="2334" priority="1304" operator="equal">
      <formula>0</formula>
    </cfRule>
  </conditionalFormatting>
  <conditionalFormatting sqref="Y20">
    <cfRule type="expression" dxfId="2333" priority="1302">
      <formula>$M20="NON DEFINED"</formula>
    </cfRule>
    <cfRule type="expression" dxfId="2332" priority="1303">
      <formula>$AY20="N.D."</formula>
    </cfRule>
  </conditionalFormatting>
  <conditionalFormatting sqref="Y20">
    <cfRule type="cellIs" dxfId="2331" priority="1301" operator="equal">
      <formula>0</formula>
    </cfRule>
  </conditionalFormatting>
  <conditionalFormatting sqref="Z20">
    <cfRule type="expression" dxfId="2330" priority="1299">
      <formula>$M20="NON DEFINED"</formula>
    </cfRule>
    <cfRule type="expression" dxfId="2329" priority="1300">
      <formula>$AY20="N.D."</formula>
    </cfRule>
  </conditionalFormatting>
  <conditionalFormatting sqref="Z20">
    <cfRule type="cellIs" dxfId="2328" priority="1298" operator="equal">
      <formula>0</formula>
    </cfRule>
  </conditionalFormatting>
  <conditionalFormatting sqref="AA20">
    <cfRule type="expression" dxfId="2327" priority="1296">
      <formula>$M20="NON DEFINED"</formula>
    </cfRule>
    <cfRule type="expression" dxfId="2326" priority="1297">
      <formula>$AY20="N.D."</formula>
    </cfRule>
  </conditionalFormatting>
  <conditionalFormatting sqref="AA20">
    <cfRule type="cellIs" dxfId="2325" priority="1295" operator="equal">
      <formula>0</formula>
    </cfRule>
  </conditionalFormatting>
  <conditionalFormatting sqref="AB20">
    <cfRule type="expression" dxfId="2324" priority="1293">
      <formula>$M20="NON DEFINED"</formula>
    </cfRule>
    <cfRule type="expression" dxfId="2323" priority="1294">
      <formula>$AY20="N.D."</formula>
    </cfRule>
  </conditionalFormatting>
  <conditionalFormatting sqref="AB20">
    <cfRule type="cellIs" dxfId="2322" priority="1292" operator="equal">
      <formula>0</formula>
    </cfRule>
  </conditionalFormatting>
  <conditionalFormatting sqref="AL20">
    <cfRule type="expression" dxfId="2321" priority="1290">
      <formula>$M20="NON DEFINED"</formula>
    </cfRule>
    <cfRule type="expression" dxfId="2320" priority="1291">
      <formula>$AY20="N.D."</formula>
    </cfRule>
  </conditionalFormatting>
  <conditionalFormatting sqref="AL20">
    <cfRule type="cellIs" dxfId="2319" priority="1289" operator="equal">
      <formula>0</formula>
    </cfRule>
  </conditionalFormatting>
  <conditionalFormatting sqref="AM20">
    <cfRule type="expression" dxfId="2318" priority="1287">
      <formula>$M20="NON DEFINED"</formula>
    </cfRule>
    <cfRule type="expression" dxfId="2317" priority="1288">
      <formula>$AY20="N.D."</formula>
    </cfRule>
  </conditionalFormatting>
  <conditionalFormatting sqref="AM20">
    <cfRule type="cellIs" dxfId="2316" priority="1286" operator="equal">
      <formula>0</formula>
    </cfRule>
  </conditionalFormatting>
  <conditionalFormatting sqref="AG22">
    <cfRule type="expression" dxfId="2315" priority="1284">
      <formula>$M22="NON DEFINED"</formula>
    </cfRule>
    <cfRule type="expression" dxfId="2314" priority="1285">
      <formula>$AY22="N.D."</formula>
    </cfRule>
  </conditionalFormatting>
  <conditionalFormatting sqref="AG22">
    <cfRule type="cellIs" dxfId="2313" priority="1283" operator="equal">
      <formula>0</formula>
    </cfRule>
  </conditionalFormatting>
  <conditionalFormatting sqref="L22">
    <cfRule type="expression" dxfId="2312" priority="1281">
      <formula>$M22="NON DEFINED"</formula>
    </cfRule>
    <cfRule type="expression" dxfId="2311" priority="1282">
      <formula>$AY22="N.D."</formula>
    </cfRule>
  </conditionalFormatting>
  <conditionalFormatting sqref="L22">
    <cfRule type="cellIs" dxfId="2310" priority="1280" operator="equal">
      <formula>0</formula>
    </cfRule>
  </conditionalFormatting>
  <conditionalFormatting sqref="M22">
    <cfRule type="expression" dxfId="2309" priority="1278">
      <formula>$M22="NON DEFINED"</formula>
    </cfRule>
    <cfRule type="expression" dxfId="2308" priority="1279">
      <formula>$AY22="N.D."</formula>
    </cfRule>
  </conditionalFormatting>
  <conditionalFormatting sqref="M22">
    <cfRule type="cellIs" dxfId="2307" priority="1277" operator="equal">
      <formula>0</formula>
    </cfRule>
  </conditionalFormatting>
  <conditionalFormatting sqref="N22">
    <cfRule type="expression" dxfId="2306" priority="1275">
      <formula>$M22="NON DEFINED"</formula>
    </cfRule>
    <cfRule type="expression" dxfId="2305" priority="1276">
      <formula>$AY22="N.D."</formula>
    </cfRule>
  </conditionalFormatting>
  <conditionalFormatting sqref="N22">
    <cfRule type="cellIs" dxfId="2304" priority="1274" operator="equal">
      <formula>0</formula>
    </cfRule>
  </conditionalFormatting>
  <conditionalFormatting sqref="O22">
    <cfRule type="expression" dxfId="2303" priority="1272">
      <formula>$M22="NON DEFINED"</formula>
    </cfRule>
    <cfRule type="expression" dxfId="2302" priority="1273">
      <formula>$AY22="N.D."</formula>
    </cfRule>
  </conditionalFormatting>
  <conditionalFormatting sqref="O22">
    <cfRule type="cellIs" dxfId="2301" priority="1271" operator="equal">
      <formula>0</formula>
    </cfRule>
  </conditionalFormatting>
  <conditionalFormatting sqref="P22">
    <cfRule type="expression" dxfId="2300" priority="1269">
      <formula>$M22="NON DEFINED"</formula>
    </cfRule>
    <cfRule type="expression" dxfId="2299" priority="1270">
      <formula>$AY22="N.D."</formula>
    </cfRule>
  </conditionalFormatting>
  <conditionalFormatting sqref="P22">
    <cfRule type="cellIs" dxfId="2298" priority="1268" operator="equal">
      <formula>0</formula>
    </cfRule>
  </conditionalFormatting>
  <conditionalFormatting sqref="AC22">
    <cfRule type="expression" dxfId="2297" priority="1266">
      <formula>$M22="NON DEFINED"</formula>
    </cfRule>
    <cfRule type="expression" dxfId="2296" priority="1267">
      <formula>$AY22="N.D."</formula>
    </cfRule>
  </conditionalFormatting>
  <conditionalFormatting sqref="AC22">
    <cfRule type="cellIs" dxfId="2295" priority="1265" operator="equal">
      <formula>0</formula>
    </cfRule>
  </conditionalFormatting>
  <conditionalFormatting sqref="AD22">
    <cfRule type="expression" dxfId="2294" priority="1263">
      <formula>$M22="NON DEFINED"</formula>
    </cfRule>
    <cfRule type="expression" dxfId="2293" priority="1264">
      <formula>$AY22="N.D."</formula>
    </cfRule>
  </conditionalFormatting>
  <conditionalFormatting sqref="AD22">
    <cfRule type="cellIs" dxfId="2292" priority="1262" operator="equal">
      <formula>0</formula>
    </cfRule>
  </conditionalFormatting>
  <conditionalFormatting sqref="AE22">
    <cfRule type="expression" dxfId="2291" priority="1260">
      <formula>$M22="NON DEFINED"</formula>
    </cfRule>
    <cfRule type="expression" dxfId="2290" priority="1261">
      <formula>$AY22="N.D."</formula>
    </cfRule>
  </conditionalFormatting>
  <conditionalFormatting sqref="AE22">
    <cfRule type="cellIs" dxfId="2289" priority="1259" operator="equal">
      <formula>0</formula>
    </cfRule>
  </conditionalFormatting>
  <conditionalFormatting sqref="AJ22">
    <cfRule type="expression" dxfId="2288" priority="1257">
      <formula>$M22="NON DEFINED"</formula>
    </cfRule>
    <cfRule type="expression" dxfId="2287" priority="1258">
      <formula>$AY22="N.D."</formula>
    </cfRule>
  </conditionalFormatting>
  <conditionalFormatting sqref="AJ22">
    <cfRule type="cellIs" dxfId="2286" priority="1256" operator="equal">
      <formula>0</formula>
    </cfRule>
  </conditionalFormatting>
  <conditionalFormatting sqref="Q22">
    <cfRule type="expression" dxfId="2285" priority="1251">
      <formula>$M22="NON DEFINED"</formula>
    </cfRule>
    <cfRule type="expression" dxfId="2284" priority="1252">
      <formula>$AY22="N.D."</formula>
    </cfRule>
  </conditionalFormatting>
  <conditionalFormatting sqref="Q22">
    <cfRule type="cellIs" dxfId="2283" priority="1250" operator="equal">
      <formula>0</formula>
    </cfRule>
  </conditionalFormatting>
  <conditionalFormatting sqref="T22">
    <cfRule type="expression" dxfId="2282" priority="1248">
      <formula>$M22="NON DEFINED"</formula>
    </cfRule>
    <cfRule type="expression" dxfId="2281" priority="1249">
      <formula>$AY22="N.D."</formula>
    </cfRule>
  </conditionalFormatting>
  <conditionalFormatting sqref="T22">
    <cfRule type="cellIs" dxfId="2280" priority="1247" operator="equal">
      <formula>0</formula>
    </cfRule>
  </conditionalFormatting>
  <conditionalFormatting sqref="U22">
    <cfRule type="expression" dxfId="2279" priority="1245">
      <formula>$M22="NON DEFINED"</formula>
    </cfRule>
    <cfRule type="expression" dxfId="2278" priority="1246">
      <formula>$AY22="N.D."</formula>
    </cfRule>
  </conditionalFormatting>
  <conditionalFormatting sqref="U22">
    <cfRule type="cellIs" dxfId="2277" priority="1244" operator="equal">
      <formula>0</formula>
    </cfRule>
  </conditionalFormatting>
  <conditionalFormatting sqref="V22">
    <cfRule type="expression" dxfId="2276" priority="1242">
      <formula>$M22="NON DEFINED"</formula>
    </cfRule>
    <cfRule type="expression" dxfId="2275" priority="1243">
      <formula>$AY22="N.D."</formula>
    </cfRule>
  </conditionalFormatting>
  <conditionalFormatting sqref="V22">
    <cfRule type="cellIs" dxfId="2274" priority="1241" operator="equal">
      <formula>0</formula>
    </cfRule>
  </conditionalFormatting>
  <conditionalFormatting sqref="AF22">
    <cfRule type="expression" dxfId="2273" priority="1239">
      <formula>$M22="NON DEFINED"</formula>
    </cfRule>
    <cfRule type="expression" dxfId="2272" priority="1240">
      <formula>$AY22="N.D."</formula>
    </cfRule>
  </conditionalFormatting>
  <conditionalFormatting sqref="AF22">
    <cfRule type="cellIs" dxfId="2271" priority="1238" operator="equal">
      <formula>0</formula>
    </cfRule>
  </conditionalFormatting>
  <conditionalFormatting sqref="AH22">
    <cfRule type="expression" dxfId="2270" priority="1236">
      <formula>$M22="NON DEFINED"</formula>
    </cfRule>
    <cfRule type="expression" dxfId="2269" priority="1237">
      <formula>$AY22="N.D."</formula>
    </cfRule>
  </conditionalFormatting>
  <conditionalFormatting sqref="AH22">
    <cfRule type="cellIs" dxfId="2268" priority="1235" operator="equal">
      <formula>0</formula>
    </cfRule>
  </conditionalFormatting>
  <conditionalFormatting sqref="AI22">
    <cfRule type="expression" dxfId="2267" priority="1233">
      <formula>$M22="NON DEFINED"</formula>
    </cfRule>
    <cfRule type="expression" dxfId="2266" priority="1234">
      <formula>$AY22="N.D."</formula>
    </cfRule>
  </conditionalFormatting>
  <conditionalFormatting sqref="AI22">
    <cfRule type="cellIs" dxfId="2265" priority="1232" operator="equal">
      <formula>0</formula>
    </cfRule>
  </conditionalFormatting>
  <conditionalFormatting sqref="R22">
    <cfRule type="expression" dxfId="2264" priority="1230">
      <formula>$M22="NON DEFINED"</formula>
    </cfRule>
    <cfRule type="expression" dxfId="2263" priority="1231">
      <formula>$AY22="N.D."</formula>
    </cfRule>
  </conditionalFormatting>
  <conditionalFormatting sqref="R22">
    <cfRule type="cellIs" dxfId="2262" priority="1229" operator="equal">
      <formula>0</formula>
    </cfRule>
  </conditionalFormatting>
  <conditionalFormatting sqref="S22">
    <cfRule type="expression" dxfId="2261" priority="1227">
      <formula>$M22="NON DEFINED"</formula>
    </cfRule>
    <cfRule type="expression" dxfId="2260" priority="1228">
      <formula>$AY22="N.D."</formula>
    </cfRule>
  </conditionalFormatting>
  <conditionalFormatting sqref="S22">
    <cfRule type="cellIs" dxfId="2259" priority="1226" operator="equal">
      <formula>0</formula>
    </cfRule>
  </conditionalFormatting>
  <conditionalFormatting sqref="W22">
    <cfRule type="expression" dxfId="2258" priority="1224">
      <formula>$M22="NON DEFINED"</formula>
    </cfRule>
    <cfRule type="expression" dxfId="2257" priority="1225">
      <formula>$AY22="N.D."</formula>
    </cfRule>
  </conditionalFormatting>
  <conditionalFormatting sqref="W22">
    <cfRule type="cellIs" dxfId="2256" priority="1223" operator="equal">
      <formula>0</formula>
    </cfRule>
  </conditionalFormatting>
  <conditionalFormatting sqref="X22">
    <cfRule type="expression" dxfId="2255" priority="1221">
      <formula>$M22="NON DEFINED"</formula>
    </cfRule>
    <cfRule type="expression" dxfId="2254" priority="1222">
      <formula>$AY22="N.D."</formula>
    </cfRule>
  </conditionalFormatting>
  <conditionalFormatting sqref="X22">
    <cfRule type="cellIs" dxfId="2253" priority="1220" operator="equal">
      <formula>0</formula>
    </cfRule>
  </conditionalFormatting>
  <conditionalFormatting sqref="Y22">
    <cfRule type="expression" dxfId="2252" priority="1218">
      <formula>$M22="NON DEFINED"</formula>
    </cfRule>
    <cfRule type="expression" dxfId="2251" priority="1219">
      <formula>$AY22="N.D."</formula>
    </cfRule>
  </conditionalFormatting>
  <conditionalFormatting sqref="Y22">
    <cfRule type="cellIs" dxfId="2250" priority="1217" operator="equal">
      <formula>0</formula>
    </cfRule>
  </conditionalFormatting>
  <conditionalFormatting sqref="Z22">
    <cfRule type="expression" dxfId="2249" priority="1215">
      <formula>$M22="NON DEFINED"</formula>
    </cfRule>
    <cfRule type="expression" dxfId="2248" priority="1216">
      <formula>$AY22="N.D."</formula>
    </cfRule>
  </conditionalFormatting>
  <conditionalFormatting sqref="Z22">
    <cfRule type="cellIs" dxfId="2247" priority="1214" operator="equal">
      <formula>0</formula>
    </cfRule>
  </conditionalFormatting>
  <conditionalFormatting sqref="AA22">
    <cfRule type="expression" dxfId="2246" priority="1212">
      <formula>$M22="NON DEFINED"</formula>
    </cfRule>
    <cfRule type="expression" dxfId="2245" priority="1213">
      <formula>$AY22="N.D."</formula>
    </cfRule>
  </conditionalFormatting>
  <conditionalFormatting sqref="AA22">
    <cfRule type="cellIs" dxfId="2244" priority="1211" operator="equal">
      <formula>0</formula>
    </cfRule>
  </conditionalFormatting>
  <conditionalFormatting sqref="AB22">
    <cfRule type="expression" dxfId="2243" priority="1209">
      <formula>$M22="NON DEFINED"</formula>
    </cfRule>
    <cfRule type="expression" dxfId="2242" priority="1210">
      <formula>$AY22="N.D."</formula>
    </cfRule>
  </conditionalFormatting>
  <conditionalFormatting sqref="AB22">
    <cfRule type="cellIs" dxfId="2241" priority="1208" operator="equal">
      <formula>0</formula>
    </cfRule>
  </conditionalFormatting>
  <conditionalFormatting sqref="AL22">
    <cfRule type="expression" dxfId="2240" priority="1206">
      <formula>$M22="NON DEFINED"</formula>
    </cfRule>
    <cfRule type="expression" dxfId="2239" priority="1207">
      <formula>$AY22="N.D."</formula>
    </cfRule>
  </conditionalFormatting>
  <conditionalFormatting sqref="AL22">
    <cfRule type="cellIs" dxfId="2238" priority="1205" operator="equal">
      <formula>0</formula>
    </cfRule>
  </conditionalFormatting>
  <conditionalFormatting sqref="AM22">
    <cfRule type="expression" dxfId="2237" priority="1203">
      <formula>$M22="NON DEFINED"</formula>
    </cfRule>
    <cfRule type="expression" dxfId="2236" priority="1204">
      <formula>$AY22="N.D."</formula>
    </cfRule>
  </conditionalFormatting>
  <conditionalFormatting sqref="AM22">
    <cfRule type="cellIs" dxfId="2235" priority="1202" operator="equal">
      <formula>0</formula>
    </cfRule>
  </conditionalFormatting>
  <conditionalFormatting sqref="AK22">
    <cfRule type="expression" dxfId="2234" priority="1200">
      <formula>$M22="NON DEFINED"</formula>
    </cfRule>
    <cfRule type="expression" dxfId="2233" priority="1201">
      <formula>$AY22="N.D."</formula>
    </cfRule>
  </conditionalFormatting>
  <conditionalFormatting sqref="AK22">
    <cfRule type="cellIs" dxfId="2232" priority="1199" operator="equal">
      <formula>0</formula>
    </cfRule>
  </conditionalFormatting>
  <conditionalFormatting sqref="AG24">
    <cfRule type="expression" dxfId="2231" priority="1197">
      <formula>$M24="NON DEFINED"</formula>
    </cfRule>
    <cfRule type="expression" dxfId="2230" priority="1198">
      <formula>$AY24="N.D."</formula>
    </cfRule>
  </conditionalFormatting>
  <conditionalFormatting sqref="AG24">
    <cfRule type="cellIs" dxfId="2229" priority="1196" operator="equal">
      <formula>0</formula>
    </cfRule>
  </conditionalFormatting>
  <conditionalFormatting sqref="L24">
    <cfRule type="expression" dxfId="2228" priority="1194">
      <formula>$M24="NON DEFINED"</formula>
    </cfRule>
    <cfRule type="expression" dxfId="2227" priority="1195">
      <formula>$AY24="N.D."</formula>
    </cfRule>
  </conditionalFormatting>
  <conditionalFormatting sqref="L24">
    <cfRule type="cellIs" dxfId="2226" priority="1193" operator="equal">
      <formula>0</formula>
    </cfRule>
  </conditionalFormatting>
  <conditionalFormatting sqref="M24">
    <cfRule type="expression" dxfId="2225" priority="1191">
      <formula>$M24="NON DEFINED"</formula>
    </cfRule>
    <cfRule type="expression" dxfId="2224" priority="1192">
      <formula>$AY24="N.D."</formula>
    </cfRule>
  </conditionalFormatting>
  <conditionalFormatting sqref="M24">
    <cfRule type="cellIs" dxfId="2223" priority="1190" operator="equal">
      <formula>0</formula>
    </cfRule>
  </conditionalFormatting>
  <conditionalFormatting sqref="N24">
    <cfRule type="expression" dxfId="2222" priority="1188">
      <formula>$M24="NON DEFINED"</formula>
    </cfRule>
    <cfRule type="expression" dxfId="2221" priority="1189">
      <formula>$AY24="N.D."</formula>
    </cfRule>
  </conditionalFormatting>
  <conditionalFormatting sqref="N24">
    <cfRule type="cellIs" dxfId="2220" priority="1187" operator="equal">
      <formula>0</formula>
    </cfRule>
  </conditionalFormatting>
  <conditionalFormatting sqref="O24">
    <cfRule type="expression" dxfId="2219" priority="1185">
      <formula>$M24="NON DEFINED"</formula>
    </cfRule>
    <cfRule type="expression" dxfId="2218" priority="1186">
      <formula>$AY24="N.D."</formula>
    </cfRule>
  </conditionalFormatting>
  <conditionalFormatting sqref="O24">
    <cfRule type="cellIs" dxfId="2217" priority="1184" operator="equal">
      <formula>0</formula>
    </cfRule>
  </conditionalFormatting>
  <conditionalFormatting sqref="P24">
    <cfRule type="expression" dxfId="2216" priority="1182">
      <formula>$M24="NON DEFINED"</formula>
    </cfRule>
    <cfRule type="expression" dxfId="2215" priority="1183">
      <formula>$AY24="N.D."</formula>
    </cfRule>
  </conditionalFormatting>
  <conditionalFormatting sqref="P24">
    <cfRule type="cellIs" dxfId="2214" priority="1181" operator="equal">
      <formula>0</formula>
    </cfRule>
  </conditionalFormatting>
  <conditionalFormatting sqref="AC24">
    <cfRule type="expression" dxfId="2213" priority="1179">
      <formula>$M24="NON DEFINED"</formula>
    </cfRule>
    <cfRule type="expression" dxfId="2212" priority="1180">
      <formula>$AY24="N.D."</formula>
    </cfRule>
  </conditionalFormatting>
  <conditionalFormatting sqref="AC24">
    <cfRule type="cellIs" dxfId="2211" priority="1178" operator="equal">
      <formula>0</formula>
    </cfRule>
  </conditionalFormatting>
  <conditionalFormatting sqref="AD24">
    <cfRule type="expression" dxfId="2210" priority="1176">
      <formula>$M24="NON DEFINED"</formula>
    </cfRule>
    <cfRule type="expression" dxfId="2209" priority="1177">
      <formula>$AY24="N.D."</formula>
    </cfRule>
  </conditionalFormatting>
  <conditionalFormatting sqref="AD24">
    <cfRule type="cellIs" dxfId="2208" priority="1175" operator="equal">
      <formula>0</formula>
    </cfRule>
  </conditionalFormatting>
  <conditionalFormatting sqref="AE24">
    <cfRule type="expression" dxfId="2207" priority="1173">
      <formula>$M24="NON DEFINED"</formula>
    </cfRule>
    <cfRule type="expression" dxfId="2206" priority="1174">
      <formula>$AY24="N.D."</formula>
    </cfRule>
  </conditionalFormatting>
  <conditionalFormatting sqref="AE24">
    <cfRule type="cellIs" dxfId="2205" priority="1172" operator="equal">
      <formula>0</formula>
    </cfRule>
  </conditionalFormatting>
  <conditionalFormatting sqref="AJ24">
    <cfRule type="expression" dxfId="2204" priority="1170">
      <formula>$M24="NON DEFINED"</formula>
    </cfRule>
    <cfRule type="expression" dxfId="2203" priority="1171">
      <formula>$AY24="N.D."</formula>
    </cfRule>
  </conditionalFormatting>
  <conditionalFormatting sqref="AJ24">
    <cfRule type="cellIs" dxfId="2202" priority="1169" operator="equal">
      <formula>0</formula>
    </cfRule>
  </conditionalFormatting>
  <conditionalFormatting sqref="Q24">
    <cfRule type="expression" dxfId="2201" priority="1167">
      <formula>$M24="NON DEFINED"</formula>
    </cfRule>
    <cfRule type="expression" dxfId="2200" priority="1168">
      <formula>$AY24="N.D."</formula>
    </cfRule>
  </conditionalFormatting>
  <conditionalFormatting sqref="Q24">
    <cfRule type="cellIs" dxfId="2199" priority="1166" operator="equal">
      <formula>0</formula>
    </cfRule>
  </conditionalFormatting>
  <conditionalFormatting sqref="T24">
    <cfRule type="expression" dxfId="2198" priority="1164">
      <formula>$M24="NON DEFINED"</formula>
    </cfRule>
    <cfRule type="expression" dxfId="2197" priority="1165">
      <formula>$AY24="N.D."</formula>
    </cfRule>
  </conditionalFormatting>
  <conditionalFormatting sqref="T24">
    <cfRule type="cellIs" dxfId="2196" priority="1163" operator="equal">
      <formula>0</formula>
    </cfRule>
  </conditionalFormatting>
  <conditionalFormatting sqref="U24">
    <cfRule type="expression" dxfId="2195" priority="1161">
      <formula>$M24="NON DEFINED"</formula>
    </cfRule>
    <cfRule type="expression" dxfId="2194" priority="1162">
      <formula>$AY24="N.D."</formula>
    </cfRule>
  </conditionalFormatting>
  <conditionalFormatting sqref="U24">
    <cfRule type="cellIs" dxfId="2193" priority="1160" operator="equal">
      <formula>0</formula>
    </cfRule>
  </conditionalFormatting>
  <conditionalFormatting sqref="V24">
    <cfRule type="expression" dxfId="2192" priority="1158">
      <formula>$M24="NON DEFINED"</formula>
    </cfRule>
    <cfRule type="expression" dxfId="2191" priority="1159">
      <formula>$AY24="N.D."</formula>
    </cfRule>
  </conditionalFormatting>
  <conditionalFormatting sqref="V24">
    <cfRule type="cellIs" dxfId="2190" priority="1157" operator="equal">
      <formula>0</formula>
    </cfRule>
  </conditionalFormatting>
  <conditionalFormatting sqref="AF24">
    <cfRule type="expression" dxfId="2189" priority="1155">
      <formula>$M24="NON DEFINED"</formula>
    </cfRule>
    <cfRule type="expression" dxfId="2188" priority="1156">
      <formula>$AY24="N.D."</formula>
    </cfRule>
  </conditionalFormatting>
  <conditionalFormatting sqref="AF24">
    <cfRule type="cellIs" dxfId="2187" priority="1154" operator="equal">
      <formula>0</formula>
    </cfRule>
  </conditionalFormatting>
  <conditionalFormatting sqref="AH24">
    <cfRule type="expression" dxfId="2186" priority="1152">
      <formula>$M24="NON DEFINED"</formula>
    </cfRule>
    <cfRule type="expression" dxfId="2185" priority="1153">
      <formula>$AY24="N.D."</formula>
    </cfRule>
  </conditionalFormatting>
  <conditionalFormatting sqref="AH24">
    <cfRule type="cellIs" dxfId="2184" priority="1151" operator="equal">
      <formula>0</formula>
    </cfRule>
  </conditionalFormatting>
  <conditionalFormatting sqref="AI24">
    <cfRule type="expression" dxfId="2183" priority="1149">
      <formula>$M24="NON DEFINED"</formula>
    </cfRule>
    <cfRule type="expression" dxfId="2182" priority="1150">
      <formula>$AY24="N.D."</formula>
    </cfRule>
  </conditionalFormatting>
  <conditionalFormatting sqref="AI24">
    <cfRule type="cellIs" dxfId="2181" priority="1148" operator="equal">
      <formula>0</formula>
    </cfRule>
  </conditionalFormatting>
  <conditionalFormatting sqref="R24">
    <cfRule type="expression" dxfId="2180" priority="1146">
      <formula>$M24="NON DEFINED"</formula>
    </cfRule>
    <cfRule type="expression" dxfId="2179" priority="1147">
      <formula>$AY24="N.D."</formula>
    </cfRule>
  </conditionalFormatting>
  <conditionalFormatting sqref="R24">
    <cfRule type="cellIs" dxfId="2178" priority="1145" operator="equal">
      <formula>0</formula>
    </cfRule>
  </conditionalFormatting>
  <conditionalFormatting sqref="S24">
    <cfRule type="expression" dxfId="2177" priority="1143">
      <formula>$M24="NON DEFINED"</formula>
    </cfRule>
    <cfRule type="expression" dxfId="2176" priority="1144">
      <formula>$AY24="N.D."</formula>
    </cfRule>
  </conditionalFormatting>
  <conditionalFormatting sqref="S24">
    <cfRule type="cellIs" dxfId="2175" priority="1142" operator="equal">
      <formula>0</formula>
    </cfRule>
  </conditionalFormatting>
  <conditionalFormatting sqref="W24">
    <cfRule type="expression" dxfId="2174" priority="1140">
      <formula>$M24="NON DEFINED"</formula>
    </cfRule>
    <cfRule type="expression" dxfId="2173" priority="1141">
      <formula>$AY24="N.D."</formula>
    </cfRule>
  </conditionalFormatting>
  <conditionalFormatting sqref="W24">
    <cfRule type="cellIs" dxfId="2172" priority="1139" operator="equal">
      <formula>0</formula>
    </cfRule>
  </conditionalFormatting>
  <conditionalFormatting sqref="X24">
    <cfRule type="expression" dxfId="2171" priority="1137">
      <formula>$M24="NON DEFINED"</formula>
    </cfRule>
    <cfRule type="expression" dxfId="2170" priority="1138">
      <formula>$AY24="N.D."</formula>
    </cfRule>
  </conditionalFormatting>
  <conditionalFormatting sqref="X24">
    <cfRule type="cellIs" dxfId="2169" priority="1136" operator="equal">
      <formula>0</formula>
    </cfRule>
  </conditionalFormatting>
  <conditionalFormatting sqref="Y24">
    <cfRule type="expression" dxfId="2168" priority="1134">
      <formula>$M24="NON DEFINED"</formula>
    </cfRule>
    <cfRule type="expression" dxfId="2167" priority="1135">
      <formula>$AY24="N.D."</formula>
    </cfRule>
  </conditionalFormatting>
  <conditionalFormatting sqref="Y24">
    <cfRule type="cellIs" dxfId="2166" priority="1133" operator="equal">
      <formula>0</formula>
    </cfRule>
  </conditionalFormatting>
  <conditionalFormatting sqref="Z24">
    <cfRule type="expression" dxfId="2165" priority="1131">
      <formula>$M24="NON DEFINED"</formula>
    </cfRule>
    <cfRule type="expression" dxfId="2164" priority="1132">
      <formula>$AY24="N.D."</formula>
    </cfRule>
  </conditionalFormatting>
  <conditionalFormatting sqref="Z24">
    <cfRule type="cellIs" dxfId="2163" priority="1130" operator="equal">
      <formula>0</formula>
    </cfRule>
  </conditionalFormatting>
  <conditionalFormatting sqref="AA24">
    <cfRule type="expression" dxfId="2162" priority="1128">
      <formula>$M24="NON DEFINED"</formula>
    </cfRule>
    <cfRule type="expression" dxfId="2161" priority="1129">
      <formula>$AY24="N.D."</formula>
    </cfRule>
  </conditionalFormatting>
  <conditionalFormatting sqref="AA24">
    <cfRule type="cellIs" dxfId="2160" priority="1127" operator="equal">
      <formula>0</formula>
    </cfRule>
  </conditionalFormatting>
  <conditionalFormatting sqref="AB24">
    <cfRule type="expression" dxfId="2159" priority="1125">
      <formula>$M24="NON DEFINED"</formula>
    </cfRule>
    <cfRule type="expression" dxfId="2158" priority="1126">
      <formula>$AY24="N.D."</formula>
    </cfRule>
  </conditionalFormatting>
  <conditionalFormatting sqref="AB24">
    <cfRule type="cellIs" dxfId="2157" priority="1124" operator="equal">
      <formula>0</formula>
    </cfRule>
  </conditionalFormatting>
  <conditionalFormatting sqref="AL24">
    <cfRule type="expression" dxfId="2156" priority="1122">
      <formula>$M24="NON DEFINED"</formula>
    </cfRule>
    <cfRule type="expression" dxfId="2155" priority="1123">
      <formula>$AY24="N.D."</formula>
    </cfRule>
  </conditionalFormatting>
  <conditionalFormatting sqref="AL24">
    <cfRule type="cellIs" dxfId="2154" priority="1121" operator="equal">
      <formula>0</formula>
    </cfRule>
  </conditionalFormatting>
  <conditionalFormatting sqref="AM24">
    <cfRule type="expression" dxfId="2153" priority="1119">
      <formula>$M24="NON DEFINED"</formula>
    </cfRule>
    <cfRule type="expression" dxfId="2152" priority="1120">
      <formula>$AY24="N.D."</formula>
    </cfRule>
  </conditionalFormatting>
  <conditionalFormatting sqref="AM24">
    <cfRule type="cellIs" dxfId="2151" priority="1118" operator="equal">
      <formula>0</formula>
    </cfRule>
  </conditionalFormatting>
  <conditionalFormatting sqref="J26">
    <cfRule type="expression" dxfId="2150" priority="1116">
      <formula>$M26="NON DEFINED"</formula>
    </cfRule>
    <cfRule type="expression" dxfId="2149" priority="1117">
      <formula>$AY26="N.D."</formula>
    </cfRule>
  </conditionalFormatting>
  <conditionalFormatting sqref="J26">
    <cfRule type="cellIs" dxfId="2148" priority="1115" operator="equal">
      <formula>0</formula>
    </cfRule>
  </conditionalFormatting>
  <conditionalFormatting sqref="K26">
    <cfRule type="expression" dxfId="2147" priority="1113">
      <formula>$M26="NON DEFINED"</formula>
    </cfRule>
    <cfRule type="expression" dxfId="2146" priority="1114">
      <formula>$AY26="N.D."</formula>
    </cfRule>
  </conditionalFormatting>
  <conditionalFormatting sqref="K26">
    <cfRule type="cellIs" dxfId="2145" priority="1112" operator="equal">
      <formula>0</formula>
    </cfRule>
  </conditionalFormatting>
  <conditionalFormatting sqref="AK26">
    <cfRule type="expression" dxfId="2144" priority="1110">
      <formula>$M26="NON DEFINED"</formula>
    </cfRule>
    <cfRule type="expression" dxfId="2143" priority="1111">
      <formula>$AY26="N.D."</formula>
    </cfRule>
  </conditionalFormatting>
  <conditionalFormatting sqref="AK26">
    <cfRule type="cellIs" dxfId="2142" priority="1109" operator="equal">
      <formula>0</formula>
    </cfRule>
  </conditionalFormatting>
  <conditionalFormatting sqref="AG26">
    <cfRule type="expression" dxfId="2141" priority="1107">
      <formula>$M26="NON DEFINED"</formula>
    </cfRule>
    <cfRule type="expression" dxfId="2140" priority="1108">
      <formula>$AY26="N.D."</formula>
    </cfRule>
  </conditionalFormatting>
  <conditionalFormatting sqref="AG26">
    <cfRule type="cellIs" dxfId="2139" priority="1106" operator="equal">
      <formula>0</formula>
    </cfRule>
  </conditionalFormatting>
  <conditionalFormatting sqref="L26">
    <cfRule type="expression" dxfId="2138" priority="1104">
      <formula>$M26="NON DEFINED"</formula>
    </cfRule>
    <cfRule type="expression" dxfId="2137" priority="1105">
      <formula>$AY26="N.D."</formula>
    </cfRule>
  </conditionalFormatting>
  <conditionalFormatting sqref="L26">
    <cfRule type="cellIs" dxfId="2136" priority="1103" operator="equal">
      <formula>0</formula>
    </cfRule>
  </conditionalFormatting>
  <conditionalFormatting sqref="M26">
    <cfRule type="expression" dxfId="2135" priority="1101">
      <formula>$M26="NON DEFINED"</formula>
    </cfRule>
    <cfRule type="expression" dxfId="2134" priority="1102">
      <formula>$AY26="N.D."</formula>
    </cfRule>
  </conditionalFormatting>
  <conditionalFormatting sqref="M26">
    <cfRule type="cellIs" dxfId="2133" priority="1100" operator="equal">
      <formula>0</formula>
    </cfRule>
  </conditionalFormatting>
  <conditionalFormatting sqref="N26">
    <cfRule type="expression" dxfId="2132" priority="1098">
      <formula>$M26="NON DEFINED"</formula>
    </cfRule>
    <cfRule type="expression" dxfId="2131" priority="1099">
      <formula>$AY26="N.D."</formula>
    </cfRule>
  </conditionalFormatting>
  <conditionalFormatting sqref="N26">
    <cfRule type="cellIs" dxfId="2130" priority="1097" operator="equal">
      <formula>0</formula>
    </cfRule>
  </conditionalFormatting>
  <conditionalFormatting sqref="O26">
    <cfRule type="expression" dxfId="2129" priority="1095">
      <formula>$M26="NON DEFINED"</formula>
    </cfRule>
    <cfRule type="expression" dxfId="2128" priority="1096">
      <formula>$AY26="N.D."</formula>
    </cfRule>
  </conditionalFormatting>
  <conditionalFormatting sqref="O26">
    <cfRule type="cellIs" dxfId="2127" priority="1094" operator="equal">
      <formula>0</formula>
    </cfRule>
  </conditionalFormatting>
  <conditionalFormatting sqref="P26">
    <cfRule type="expression" dxfId="2126" priority="1092">
      <formula>$M26="NON DEFINED"</formula>
    </cfRule>
    <cfRule type="expression" dxfId="2125" priority="1093">
      <formula>$AY26="N.D."</formula>
    </cfRule>
  </conditionalFormatting>
  <conditionalFormatting sqref="P26">
    <cfRule type="cellIs" dxfId="2124" priority="1091" operator="equal">
      <formula>0</formula>
    </cfRule>
  </conditionalFormatting>
  <conditionalFormatting sqref="AC26">
    <cfRule type="expression" dxfId="2123" priority="1089">
      <formula>$M26="NON DEFINED"</formula>
    </cfRule>
    <cfRule type="expression" dxfId="2122" priority="1090">
      <formula>$AY26="N.D."</formula>
    </cfRule>
  </conditionalFormatting>
  <conditionalFormatting sqref="AC26">
    <cfRule type="cellIs" dxfId="2121" priority="1088" operator="equal">
      <formula>0</formula>
    </cfRule>
  </conditionalFormatting>
  <conditionalFormatting sqref="AD26">
    <cfRule type="expression" dxfId="2120" priority="1086">
      <formula>$M26="NON DEFINED"</formula>
    </cfRule>
    <cfRule type="expression" dxfId="2119" priority="1087">
      <formula>$AY26="N.D."</formula>
    </cfRule>
  </conditionalFormatting>
  <conditionalFormatting sqref="AD26">
    <cfRule type="cellIs" dxfId="2118" priority="1085" operator="equal">
      <formula>0</formula>
    </cfRule>
  </conditionalFormatting>
  <conditionalFormatting sqref="AE26">
    <cfRule type="expression" dxfId="2117" priority="1083">
      <formula>$M26="NON DEFINED"</formula>
    </cfRule>
    <cfRule type="expression" dxfId="2116" priority="1084">
      <formula>$AY26="N.D."</formula>
    </cfRule>
  </conditionalFormatting>
  <conditionalFormatting sqref="AE26">
    <cfRule type="cellIs" dxfId="2115" priority="1082" operator="equal">
      <formula>0</formula>
    </cfRule>
  </conditionalFormatting>
  <conditionalFormatting sqref="AJ26">
    <cfRule type="expression" dxfId="2114" priority="1080">
      <formula>$M26="NON DEFINED"</formula>
    </cfRule>
    <cfRule type="expression" dxfId="2113" priority="1081">
      <formula>$AY26="N.D."</formula>
    </cfRule>
  </conditionalFormatting>
  <conditionalFormatting sqref="AJ26">
    <cfRule type="cellIs" dxfId="2112" priority="1079" operator="equal">
      <formula>0</formula>
    </cfRule>
  </conditionalFormatting>
  <conditionalFormatting sqref="Q26">
    <cfRule type="expression" dxfId="2111" priority="1077">
      <formula>$M26="NON DEFINED"</formula>
    </cfRule>
    <cfRule type="expression" dxfId="2110" priority="1078">
      <formula>$AY26="N.D."</formula>
    </cfRule>
  </conditionalFormatting>
  <conditionalFormatting sqref="Q26">
    <cfRule type="cellIs" dxfId="2109" priority="1076" operator="equal">
      <formula>0</formula>
    </cfRule>
  </conditionalFormatting>
  <conditionalFormatting sqref="T26">
    <cfRule type="expression" dxfId="2108" priority="1074">
      <formula>$M26="NON DEFINED"</formula>
    </cfRule>
    <cfRule type="expression" dxfId="2107" priority="1075">
      <formula>$AY26="N.D."</formula>
    </cfRule>
  </conditionalFormatting>
  <conditionalFormatting sqref="T26">
    <cfRule type="cellIs" dxfId="2106" priority="1073" operator="equal">
      <formula>0</formula>
    </cfRule>
  </conditionalFormatting>
  <conditionalFormatting sqref="U26">
    <cfRule type="expression" dxfId="2105" priority="1071">
      <formula>$M26="NON DEFINED"</formula>
    </cfRule>
    <cfRule type="expression" dxfId="2104" priority="1072">
      <formula>$AY26="N.D."</formula>
    </cfRule>
  </conditionalFormatting>
  <conditionalFormatting sqref="U26">
    <cfRule type="cellIs" dxfId="2103" priority="1070" operator="equal">
      <formula>0</formula>
    </cfRule>
  </conditionalFormatting>
  <conditionalFormatting sqref="V26">
    <cfRule type="expression" dxfId="2102" priority="1068">
      <formula>$M26="NON DEFINED"</formula>
    </cfRule>
    <cfRule type="expression" dxfId="2101" priority="1069">
      <formula>$AY26="N.D."</formula>
    </cfRule>
  </conditionalFormatting>
  <conditionalFormatting sqref="V26">
    <cfRule type="cellIs" dxfId="2100" priority="1067" operator="equal">
      <formula>0</formula>
    </cfRule>
  </conditionalFormatting>
  <conditionalFormatting sqref="AF26">
    <cfRule type="expression" dxfId="2099" priority="1065">
      <formula>$M26="NON DEFINED"</formula>
    </cfRule>
    <cfRule type="expression" dxfId="2098" priority="1066">
      <formula>$AY26="N.D."</formula>
    </cfRule>
  </conditionalFormatting>
  <conditionalFormatting sqref="AF26">
    <cfRule type="cellIs" dxfId="2097" priority="1064" operator="equal">
      <formula>0</formula>
    </cfRule>
  </conditionalFormatting>
  <conditionalFormatting sqref="AH26">
    <cfRule type="expression" dxfId="2096" priority="1062">
      <formula>$M26="NON DEFINED"</formula>
    </cfRule>
    <cfRule type="expression" dxfId="2095" priority="1063">
      <formula>$AY26="N.D."</formula>
    </cfRule>
  </conditionalFormatting>
  <conditionalFormatting sqref="AH26">
    <cfRule type="cellIs" dxfId="2094" priority="1061" operator="equal">
      <formula>0</formula>
    </cfRule>
  </conditionalFormatting>
  <conditionalFormatting sqref="AI26">
    <cfRule type="expression" dxfId="2093" priority="1059">
      <formula>$M26="NON DEFINED"</formula>
    </cfRule>
    <cfRule type="expression" dxfId="2092" priority="1060">
      <formula>$AY26="N.D."</formula>
    </cfRule>
  </conditionalFormatting>
  <conditionalFormatting sqref="AI26">
    <cfRule type="cellIs" dxfId="2091" priority="1058" operator="equal">
      <formula>0</formula>
    </cfRule>
  </conditionalFormatting>
  <conditionalFormatting sqref="R26">
    <cfRule type="expression" dxfId="2090" priority="1056">
      <formula>$M26="NON DEFINED"</formula>
    </cfRule>
    <cfRule type="expression" dxfId="2089" priority="1057">
      <formula>$AY26="N.D."</formula>
    </cfRule>
  </conditionalFormatting>
  <conditionalFormatting sqref="R26">
    <cfRule type="cellIs" dxfId="2088" priority="1055" operator="equal">
      <formula>0</formula>
    </cfRule>
  </conditionalFormatting>
  <conditionalFormatting sqref="S26">
    <cfRule type="expression" dxfId="2087" priority="1053">
      <formula>$M26="NON DEFINED"</formula>
    </cfRule>
    <cfRule type="expression" dxfId="2086" priority="1054">
      <formula>$AY26="N.D."</formula>
    </cfRule>
  </conditionalFormatting>
  <conditionalFormatting sqref="S26">
    <cfRule type="cellIs" dxfId="2085" priority="1052" operator="equal">
      <formula>0</formula>
    </cfRule>
  </conditionalFormatting>
  <conditionalFormatting sqref="W26">
    <cfRule type="expression" dxfId="2084" priority="1050">
      <formula>$M26="NON DEFINED"</formula>
    </cfRule>
    <cfRule type="expression" dxfId="2083" priority="1051">
      <formula>$AY26="N.D."</formula>
    </cfRule>
  </conditionalFormatting>
  <conditionalFormatting sqref="W26">
    <cfRule type="cellIs" dxfId="2082" priority="1049" operator="equal">
      <formula>0</formula>
    </cfRule>
  </conditionalFormatting>
  <conditionalFormatting sqref="X26">
    <cfRule type="expression" dxfId="2081" priority="1047">
      <formula>$M26="NON DEFINED"</formula>
    </cfRule>
    <cfRule type="expression" dxfId="2080" priority="1048">
      <formula>$AY26="N.D."</formula>
    </cfRule>
  </conditionalFormatting>
  <conditionalFormatting sqref="X26">
    <cfRule type="cellIs" dxfId="2079" priority="1046" operator="equal">
      <formula>0</formula>
    </cfRule>
  </conditionalFormatting>
  <conditionalFormatting sqref="Y26">
    <cfRule type="expression" dxfId="2078" priority="1044">
      <formula>$M26="NON DEFINED"</formula>
    </cfRule>
    <cfRule type="expression" dxfId="2077" priority="1045">
      <formula>$AY26="N.D."</formula>
    </cfRule>
  </conditionalFormatting>
  <conditionalFormatting sqref="Y26">
    <cfRule type="cellIs" dxfId="2076" priority="1043" operator="equal">
      <formula>0</formula>
    </cfRule>
  </conditionalFormatting>
  <conditionalFormatting sqref="Z26">
    <cfRule type="expression" dxfId="2075" priority="1041">
      <formula>$M26="NON DEFINED"</formula>
    </cfRule>
    <cfRule type="expression" dxfId="2074" priority="1042">
      <formula>$AY26="N.D."</formula>
    </cfRule>
  </conditionalFormatting>
  <conditionalFormatting sqref="Z26">
    <cfRule type="cellIs" dxfId="2073" priority="1040" operator="equal">
      <formula>0</formula>
    </cfRule>
  </conditionalFormatting>
  <conditionalFormatting sqref="AA26">
    <cfRule type="expression" dxfId="2072" priority="1038">
      <formula>$M26="NON DEFINED"</formula>
    </cfRule>
    <cfRule type="expression" dxfId="2071" priority="1039">
      <formula>$AY26="N.D."</formula>
    </cfRule>
  </conditionalFormatting>
  <conditionalFormatting sqref="AA26">
    <cfRule type="cellIs" dxfId="2070" priority="1037" operator="equal">
      <formula>0</formula>
    </cfRule>
  </conditionalFormatting>
  <conditionalFormatting sqref="AB26">
    <cfRule type="expression" dxfId="2069" priority="1035">
      <formula>$M26="NON DEFINED"</formula>
    </cfRule>
    <cfRule type="expression" dxfId="2068" priority="1036">
      <formula>$AY26="N.D."</formula>
    </cfRule>
  </conditionalFormatting>
  <conditionalFormatting sqref="AB26">
    <cfRule type="cellIs" dxfId="2067" priority="1034" operator="equal">
      <formula>0</formula>
    </cfRule>
  </conditionalFormatting>
  <conditionalFormatting sqref="AL26">
    <cfRule type="expression" dxfId="2066" priority="1032">
      <formula>$M26="NON DEFINED"</formula>
    </cfRule>
    <cfRule type="expression" dxfId="2065" priority="1033">
      <formula>$AY26="N.D."</formula>
    </cfRule>
  </conditionalFormatting>
  <conditionalFormatting sqref="AL26">
    <cfRule type="cellIs" dxfId="2064" priority="1031" operator="equal">
      <formula>0</formula>
    </cfRule>
  </conditionalFormatting>
  <conditionalFormatting sqref="AM26">
    <cfRule type="expression" dxfId="2063" priority="1029">
      <formula>$M26="NON DEFINED"</formula>
    </cfRule>
    <cfRule type="expression" dxfId="2062" priority="1030">
      <formula>$AY26="N.D."</formula>
    </cfRule>
  </conditionalFormatting>
  <conditionalFormatting sqref="AM26">
    <cfRule type="cellIs" dxfId="2061" priority="1028" operator="equal">
      <formula>0</formula>
    </cfRule>
  </conditionalFormatting>
  <conditionalFormatting sqref="I29">
    <cfRule type="expression" dxfId="2060" priority="1025">
      <formula>$M29="NON DEFINED"</formula>
    </cfRule>
    <cfRule type="expression" dxfId="2059" priority="1026">
      <formula>$AZ29="N.D."</formula>
    </cfRule>
    <cfRule type="expression" dxfId="2058" priority="1027">
      <formula>$AY29="N.D."</formula>
    </cfRule>
  </conditionalFormatting>
  <conditionalFormatting sqref="I29">
    <cfRule type="expression" dxfId="2057" priority="1014">
      <formula>$A29="Overhead Cable"</formula>
    </cfRule>
    <cfRule type="expression" dxfId="2056" priority="1015">
      <formula>$A29="Level Crossing"</formula>
    </cfRule>
    <cfRule type="expression" dxfId="2055" priority="1016">
      <formula>$A29="Neutral Section"</formula>
    </cfRule>
    <cfRule type="expression" dxfId="2054" priority="1017">
      <formula>$A29="Tunnel"</formula>
    </cfRule>
    <cfRule type="expression" dxfId="2053" priority="1018">
      <formula>$A29="Bridge"</formula>
    </cfRule>
    <cfRule type="expression" dxfId="2052" priority="1019">
      <formula>$A29="Drainage Works"</formula>
    </cfRule>
    <cfRule type="expression" dxfId="2051" priority="1020">
      <formula>$A29="Underpass"</formula>
    </cfRule>
    <cfRule type="expression" dxfId="2050" priority="1021">
      <formula>$A29="Overcrossing"</formula>
    </cfRule>
    <cfRule type="expression" dxfId="2049" priority="1022">
      <formula>$A29="Overpass"</formula>
    </cfRule>
    <cfRule type="expression" dxfId="2048" priority="1023">
      <formula>$A29="Station"</formula>
    </cfRule>
    <cfRule type="expression" dxfId="2047" priority="1024">
      <formula>$A29="Overlap between sections"</formula>
    </cfRule>
  </conditionalFormatting>
  <conditionalFormatting sqref="K27">
    <cfRule type="expression" dxfId="2046" priority="1012">
      <formula>$M27="NON DEFINED"</formula>
    </cfRule>
    <cfRule type="expression" dxfId="2045" priority="1013">
      <formula>$AY27="N.D."</formula>
    </cfRule>
  </conditionalFormatting>
  <conditionalFormatting sqref="K27">
    <cfRule type="cellIs" dxfId="2044" priority="1011" operator="equal">
      <formula>0</formula>
    </cfRule>
  </conditionalFormatting>
  <conditionalFormatting sqref="K29">
    <cfRule type="expression" dxfId="2043" priority="1009">
      <formula>$M29="NON DEFINED"</formula>
    </cfRule>
    <cfRule type="expression" dxfId="2042" priority="1010">
      <formula>$AY29="N.D."</formula>
    </cfRule>
  </conditionalFormatting>
  <conditionalFormatting sqref="K29">
    <cfRule type="cellIs" dxfId="2041" priority="1008" operator="equal">
      <formula>0</formula>
    </cfRule>
  </conditionalFormatting>
  <conditionalFormatting sqref="AM28">
    <cfRule type="expression" dxfId="2040" priority="1006">
      <formula>$M28="NON DEFINED"</formula>
    </cfRule>
    <cfRule type="expression" dxfId="2039" priority="1007">
      <formula>$AY28="N.D."</formula>
    </cfRule>
  </conditionalFormatting>
  <conditionalFormatting sqref="AM28">
    <cfRule type="cellIs" dxfId="2038" priority="1005" operator="equal">
      <formula>0</formula>
    </cfRule>
  </conditionalFormatting>
  <conditionalFormatting sqref="J85">
    <cfRule type="expression" dxfId="2037" priority="1002">
      <formula>$M85="NON DEFINED"</formula>
    </cfRule>
    <cfRule type="expression" dxfId="2036" priority="1003">
      <formula>$AZ85="N.D."</formula>
    </cfRule>
    <cfRule type="expression" dxfId="2035" priority="1004">
      <formula>$AY85="N.D."</formula>
    </cfRule>
  </conditionalFormatting>
  <conditionalFormatting sqref="J85">
    <cfRule type="expression" dxfId="2034" priority="991">
      <formula>$A85="Overhead Cable"</formula>
    </cfRule>
    <cfRule type="expression" dxfId="2033" priority="992">
      <formula>$A85="Level Crossing"</formula>
    </cfRule>
    <cfRule type="expression" dxfId="2032" priority="993">
      <formula>$A85="Neutral Section"</formula>
    </cfRule>
    <cfRule type="expression" dxfId="2031" priority="994">
      <formula>$A85="Tunnel"</formula>
    </cfRule>
    <cfRule type="expression" dxfId="2030" priority="995">
      <formula>$A85="Bridge"</formula>
    </cfRule>
    <cfRule type="expression" dxfId="2029" priority="996">
      <formula>$A85="Drainage Works"</formula>
    </cfRule>
    <cfRule type="expression" dxfId="2028" priority="997">
      <formula>$A85="Underpass"</formula>
    </cfRule>
    <cfRule type="expression" dxfId="2027" priority="998">
      <formula>$A85="Overcrossing"</formula>
    </cfRule>
    <cfRule type="expression" dxfId="2026" priority="999">
      <formula>$A85="Overpass"</formula>
    </cfRule>
    <cfRule type="expression" dxfId="2025" priority="1000">
      <formula>$A85="Station"</formula>
    </cfRule>
    <cfRule type="expression" dxfId="2024" priority="1001">
      <formula>$A85="Overlap between sections"</formula>
    </cfRule>
  </conditionalFormatting>
  <conditionalFormatting sqref="J91">
    <cfRule type="expression" dxfId="2023" priority="974">
      <formula>$M91="NON DEFINED"</formula>
    </cfRule>
    <cfRule type="expression" dxfId="2022" priority="975">
      <formula>$AZ91="N.D."</formula>
    </cfRule>
    <cfRule type="expression" dxfId="2021" priority="976">
      <formula>$AY91="N.D."</formula>
    </cfRule>
  </conditionalFormatting>
  <conditionalFormatting sqref="J91">
    <cfRule type="expression" dxfId="2020" priority="963">
      <formula>$A91="Overhead Cable"</formula>
    </cfRule>
    <cfRule type="expression" dxfId="2019" priority="964">
      <formula>$A91="Level Crossing"</formula>
    </cfRule>
    <cfRule type="expression" dxfId="2018" priority="965">
      <formula>$A91="Neutral Section"</formula>
    </cfRule>
    <cfRule type="expression" dxfId="2017" priority="966">
      <formula>$A91="Tunnel"</formula>
    </cfRule>
    <cfRule type="expression" dxfId="2016" priority="967">
      <formula>$A91="Bridge"</formula>
    </cfRule>
    <cfRule type="expression" dxfId="2015" priority="968">
      <formula>$A91="Drainage Works"</formula>
    </cfRule>
    <cfRule type="expression" dxfId="2014" priority="969">
      <formula>$A91="Underpass"</formula>
    </cfRule>
    <cfRule type="expression" dxfId="2013" priority="970">
      <formula>$A91="Overcrossing"</formula>
    </cfRule>
    <cfRule type="expression" dxfId="2012" priority="971">
      <formula>$A91="Overpass"</formula>
    </cfRule>
    <cfRule type="expression" dxfId="2011" priority="972">
      <formula>$A91="Station"</formula>
    </cfRule>
    <cfRule type="expression" dxfId="2010" priority="973">
      <formula>$A91="Overlap between sections"</formula>
    </cfRule>
  </conditionalFormatting>
  <conditionalFormatting sqref="J110:J111">
    <cfRule type="expression" dxfId="2009" priority="932">
      <formula>$M110="NON DEFINED"</formula>
    </cfRule>
    <cfRule type="expression" dxfId="2008" priority="933">
      <formula>$AZ110="N.D."</formula>
    </cfRule>
    <cfRule type="expression" dxfId="2007" priority="934">
      <formula>$AY110="N.D."</formula>
    </cfRule>
  </conditionalFormatting>
  <conditionalFormatting sqref="J110:J111">
    <cfRule type="expression" dxfId="2006" priority="921">
      <formula>$A110="Overhead Cable"</formula>
    </cfRule>
    <cfRule type="expression" dxfId="2005" priority="922">
      <formula>$A110="Level Crossing"</formula>
    </cfRule>
    <cfRule type="expression" dxfId="2004" priority="923">
      <formula>$A110="Neutral Section"</formula>
    </cfRule>
    <cfRule type="expression" dxfId="2003" priority="924">
      <formula>$A110="Tunnel"</formula>
    </cfRule>
    <cfRule type="expression" dxfId="2002" priority="925">
      <formula>$A110="Bridge"</formula>
    </cfRule>
    <cfRule type="expression" dxfId="2001" priority="926">
      <formula>$A110="Drainage Works"</formula>
    </cfRule>
    <cfRule type="expression" dxfId="2000" priority="927">
      <formula>$A110="Underpass"</formula>
    </cfRule>
    <cfRule type="expression" dxfId="1999" priority="928">
      <formula>$A110="Overcrossing"</formula>
    </cfRule>
    <cfRule type="expression" dxfId="1998" priority="929">
      <formula>$A110="Overpass"</formula>
    </cfRule>
    <cfRule type="expression" dxfId="1997" priority="930">
      <formula>$A110="Station"</formula>
    </cfRule>
    <cfRule type="expression" dxfId="1996" priority="931">
      <formula>$A110="Overlap between sections"</formula>
    </cfRule>
  </conditionalFormatting>
  <conditionalFormatting sqref="I110:I111">
    <cfRule type="expression" dxfId="1995" priority="918">
      <formula>$M110="NON DEFINED"</formula>
    </cfRule>
    <cfRule type="expression" dxfId="1994" priority="919">
      <formula>$AZ110="N.D."</formula>
    </cfRule>
    <cfRule type="expression" dxfId="1993" priority="920">
      <formula>$AY110="N.D."</formula>
    </cfRule>
  </conditionalFormatting>
  <conditionalFormatting sqref="I110:I111">
    <cfRule type="expression" dxfId="1992" priority="907">
      <formula>$A110="Overhead Cable"</formula>
    </cfRule>
    <cfRule type="expression" dxfId="1991" priority="908">
      <formula>$A110="Level Crossing"</formula>
    </cfRule>
    <cfRule type="expression" dxfId="1990" priority="909">
      <formula>$A110="Neutral Section"</formula>
    </cfRule>
    <cfRule type="expression" dxfId="1989" priority="910">
      <formula>$A110="Tunnel"</formula>
    </cfRule>
    <cfRule type="expression" dxfId="1988" priority="911">
      <formula>$A110="Bridge"</formula>
    </cfRule>
    <cfRule type="expression" dxfId="1987" priority="912">
      <formula>$A110="Drainage Works"</formula>
    </cfRule>
    <cfRule type="expression" dxfId="1986" priority="913">
      <formula>$A110="Underpass"</formula>
    </cfRule>
    <cfRule type="expression" dxfId="1985" priority="914">
      <formula>$A110="Overcrossing"</formula>
    </cfRule>
    <cfRule type="expression" dxfId="1984" priority="915">
      <formula>$A110="Overpass"</formula>
    </cfRule>
    <cfRule type="expression" dxfId="1983" priority="916">
      <formula>$A110="Station"</formula>
    </cfRule>
    <cfRule type="expression" dxfId="1982" priority="917">
      <formula>$A110="Overlap between sections"</formula>
    </cfRule>
  </conditionalFormatting>
  <conditionalFormatting sqref="K110:K111">
    <cfRule type="expression" dxfId="1981" priority="904">
      <formula>$M110="NON DEFINED"</formula>
    </cfRule>
    <cfRule type="expression" dxfId="1980" priority="905">
      <formula>$AZ110="N.D."</formula>
    </cfRule>
    <cfRule type="expression" dxfId="1979" priority="906">
      <formula>$AY110="N.D."</formula>
    </cfRule>
  </conditionalFormatting>
  <conditionalFormatting sqref="K110:K111">
    <cfRule type="expression" dxfId="1978" priority="893">
      <formula>$A110="Overhead Cable"</formula>
    </cfRule>
    <cfRule type="expression" dxfId="1977" priority="894">
      <formula>$A110="Level Crossing"</formula>
    </cfRule>
    <cfRule type="expression" dxfId="1976" priority="895">
      <formula>$A110="Neutral Section"</formula>
    </cfRule>
    <cfRule type="expression" dxfId="1975" priority="896">
      <formula>$A110="Tunnel"</formula>
    </cfRule>
    <cfRule type="expression" dxfId="1974" priority="897">
      <formula>$A110="Bridge"</formula>
    </cfRule>
    <cfRule type="expression" dxfId="1973" priority="898">
      <formula>$A110="Drainage Works"</formula>
    </cfRule>
    <cfRule type="expression" dxfId="1972" priority="899">
      <formula>$A110="Underpass"</formula>
    </cfRule>
    <cfRule type="expression" dxfId="1971" priority="900">
      <formula>$A110="Overcrossing"</formula>
    </cfRule>
    <cfRule type="expression" dxfId="1970" priority="901">
      <formula>$A110="Overpass"</formula>
    </cfRule>
    <cfRule type="expression" dxfId="1969" priority="902">
      <formula>$A110="Station"</formula>
    </cfRule>
    <cfRule type="expression" dxfId="1968" priority="903">
      <formula>$A110="Overlap between sections"</formula>
    </cfRule>
  </conditionalFormatting>
  <conditionalFormatting sqref="J124">
    <cfRule type="expression" dxfId="1967" priority="890">
      <formula>$M124="NON DEFINED"</formula>
    </cfRule>
    <cfRule type="expression" dxfId="1966" priority="891">
      <formula>$AZ124="N.D."</formula>
    </cfRule>
    <cfRule type="expression" dxfId="1965" priority="892">
      <formula>$AY124="N.D."</formula>
    </cfRule>
  </conditionalFormatting>
  <conditionalFormatting sqref="J124">
    <cfRule type="expression" dxfId="1964" priority="879">
      <formula>$A124="Overhead Cable"</formula>
    </cfRule>
    <cfRule type="expression" dxfId="1963" priority="880">
      <formula>$A124="Level Crossing"</formula>
    </cfRule>
    <cfRule type="expression" dxfId="1962" priority="881">
      <formula>$A124="Neutral Section"</formula>
    </cfRule>
    <cfRule type="expression" dxfId="1961" priority="882">
      <formula>$A124="Tunnel"</formula>
    </cfRule>
    <cfRule type="expression" dxfId="1960" priority="883">
      <formula>$A124="Bridge"</formula>
    </cfRule>
    <cfRule type="expression" dxfId="1959" priority="884">
      <formula>$A124="Drainage Works"</formula>
    </cfRule>
    <cfRule type="expression" dxfId="1958" priority="885">
      <formula>$A124="Underpass"</formula>
    </cfRule>
    <cfRule type="expression" dxfId="1957" priority="886">
      <formula>$A124="Overcrossing"</formula>
    </cfRule>
    <cfRule type="expression" dxfId="1956" priority="887">
      <formula>$A124="Overpass"</formula>
    </cfRule>
    <cfRule type="expression" dxfId="1955" priority="888">
      <formula>$A124="Station"</formula>
    </cfRule>
    <cfRule type="expression" dxfId="1954" priority="889">
      <formula>$A124="Overlap between sections"</formula>
    </cfRule>
  </conditionalFormatting>
  <conditionalFormatting sqref="K124">
    <cfRule type="expression" dxfId="1953" priority="876">
      <formula>$M124="NON DEFINED"</formula>
    </cfRule>
    <cfRule type="expression" dxfId="1952" priority="877">
      <formula>$AZ124="N.D."</formula>
    </cfRule>
    <cfRule type="expression" dxfId="1951" priority="878">
      <formula>$AY124="N.D."</formula>
    </cfRule>
  </conditionalFormatting>
  <conditionalFormatting sqref="K124">
    <cfRule type="expression" dxfId="1950" priority="865">
      <formula>$A124="Overhead Cable"</formula>
    </cfRule>
    <cfRule type="expression" dxfId="1949" priority="866">
      <formula>$A124="Level Crossing"</formula>
    </cfRule>
    <cfRule type="expression" dxfId="1948" priority="867">
      <formula>$A124="Neutral Section"</formula>
    </cfRule>
    <cfRule type="expression" dxfId="1947" priority="868">
      <formula>$A124="Tunnel"</formula>
    </cfRule>
    <cfRule type="expression" dxfId="1946" priority="869">
      <formula>$A124="Bridge"</formula>
    </cfRule>
    <cfRule type="expression" dxfId="1945" priority="870">
      <formula>$A124="Drainage Works"</formula>
    </cfRule>
    <cfRule type="expression" dxfId="1944" priority="871">
      <formula>$A124="Underpass"</formula>
    </cfRule>
    <cfRule type="expression" dxfId="1943" priority="872">
      <formula>$A124="Overcrossing"</formula>
    </cfRule>
    <cfRule type="expression" dxfId="1942" priority="873">
      <formula>$A124="Overpass"</formula>
    </cfRule>
    <cfRule type="expression" dxfId="1941" priority="874">
      <formula>$A124="Station"</formula>
    </cfRule>
    <cfRule type="expression" dxfId="1940" priority="875">
      <formula>$A124="Overlap between sections"</formula>
    </cfRule>
  </conditionalFormatting>
  <conditionalFormatting sqref="J125">
    <cfRule type="expression" dxfId="1939" priority="862">
      <formula>$M125="NON DEFINED"</formula>
    </cfRule>
    <cfRule type="expression" dxfId="1938" priority="863">
      <formula>$AZ125="N.D."</formula>
    </cfRule>
    <cfRule type="expression" dxfId="1937" priority="864">
      <formula>$AY125="N.D."</formula>
    </cfRule>
  </conditionalFormatting>
  <conditionalFormatting sqref="J125">
    <cfRule type="expression" dxfId="1936" priority="851">
      <formula>$A125="Overhead Cable"</formula>
    </cfRule>
    <cfRule type="expression" dxfId="1935" priority="852">
      <formula>$A125="Level Crossing"</formula>
    </cfRule>
    <cfRule type="expression" dxfId="1934" priority="853">
      <formula>$A125="Neutral Section"</formula>
    </cfRule>
    <cfRule type="expression" dxfId="1933" priority="854">
      <formula>$A125="Tunnel"</formula>
    </cfRule>
    <cfRule type="expression" dxfId="1932" priority="855">
      <formula>$A125="Bridge"</formula>
    </cfRule>
    <cfRule type="expression" dxfId="1931" priority="856">
      <formula>$A125="Drainage Works"</formula>
    </cfRule>
    <cfRule type="expression" dxfId="1930" priority="857">
      <formula>$A125="Underpass"</formula>
    </cfRule>
    <cfRule type="expression" dxfId="1929" priority="858">
      <formula>$A125="Overcrossing"</formula>
    </cfRule>
    <cfRule type="expression" dxfId="1928" priority="859">
      <formula>$A125="Overpass"</formula>
    </cfRule>
    <cfRule type="expression" dxfId="1927" priority="860">
      <formula>$A125="Station"</formula>
    </cfRule>
    <cfRule type="expression" dxfId="1926" priority="861">
      <formula>$A125="Overlap between sections"</formula>
    </cfRule>
  </conditionalFormatting>
  <conditionalFormatting sqref="K125">
    <cfRule type="expression" dxfId="1925" priority="848">
      <formula>$M125="NON DEFINED"</formula>
    </cfRule>
    <cfRule type="expression" dxfId="1924" priority="849">
      <formula>$AZ125="N.D."</formula>
    </cfRule>
    <cfRule type="expression" dxfId="1923" priority="850">
      <formula>$AY125="N.D."</formula>
    </cfRule>
  </conditionalFormatting>
  <conditionalFormatting sqref="K125">
    <cfRule type="expression" dxfId="1922" priority="837">
      <formula>$A125="Overhead Cable"</formula>
    </cfRule>
    <cfRule type="expression" dxfId="1921" priority="838">
      <formula>$A125="Level Crossing"</formula>
    </cfRule>
    <cfRule type="expression" dxfId="1920" priority="839">
      <formula>$A125="Neutral Section"</formula>
    </cfRule>
    <cfRule type="expression" dxfId="1919" priority="840">
      <formula>$A125="Tunnel"</formula>
    </cfRule>
    <cfRule type="expression" dxfId="1918" priority="841">
      <formula>$A125="Bridge"</formula>
    </cfRule>
    <cfRule type="expression" dxfId="1917" priority="842">
      <formula>$A125="Drainage Works"</formula>
    </cfRule>
    <cfRule type="expression" dxfId="1916" priority="843">
      <formula>$A125="Underpass"</formula>
    </cfRule>
    <cfRule type="expression" dxfId="1915" priority="844">
      <formula>$A125="Overcrossing"</formula>
    </cfRule>
    <cfRule type="expression" dxfId="1914" priority="845">
      <formula>$A125="Overpass"</formula>
    </cfRule>
    <cfRule type="expression" dxfId="1913" priority="846">
      <formula>$A125="Station"</formula>
    </cfRule>
    <cfRule type="expression" dxfId="1912" priority="847">
      <formula>$A125="Overlap between sections"</formula>
    </cfRule>
  </conditionalFormatting>
  <conditionalFormatting sqref="J127">
    <cfRule type="expression" dxfId="1911" priority="834">
      <formula>$M127="NON DEFINED"</formula>
    </cfRule>
    <cfRule type="expression" dxfId="1910" priority="835">
      <formula>$AZ127="N.D."</formula>
    </cfRule>
    <cfRule type="expression" dxfId="1909" priority="836">
      <formula>$AY127="N.D."</formula>
    </cfRule>
  </conditionalFormatting>
  <conditionalFormatting sqref="J127">
    <cfRule type="expression" dxfId="1908" priority="823">
      <formula>$A127="Overhead Cable"</formula>
    </cfRule>
    <cfRule type="expression" dxfId="1907" priority="824">
      <formula>$A127="Level Crossing"</formula>
    </cfRule>
    <cfRule type="expression" dxfId="1906" priority="825">
      <formula>$A127="Neutral Section"</formula>
    </cfRule>
    <cfRule type="expression" dxfId="1905" priority="826">
      <formula>$A127="Tunnel"</formula>
    </cfRule>
    <cfRule type="expression" dxfId="1904" priority="827">
      <formula>$A127="Bridge"</formula>
    </cfRule>
    <cfRule type="expression" dxfId="1903" priority="828">
      <formula>$A127="Drainage Works"</formula>
    </cfRule>
    <cfRule type="expression" dxfId="1902" priority="829">
      <formula>$A127="Underpass"</formula>
    </cfRule>
    <cfRule type="expression" dxfId="1901" priority="830">
      <formula>$A127="Overcrossing"</formula>
    </cfRule>
    <cfRule type="expression" dxfId="1900" priority="831">
      <formula>$A127="Overpass"</formula>
    </cfRule>
    <cfRule type="expression" dxfId="1899" priority="832">
      <formula>$A127="Station"</formula>
    </cfRule>
    <cfRule type="expression" dxfId="1898" priority="833">
      <formula>$A127="Overlap between sections"</formula>
    </cfRule>
  </conditionalFormatting>
  <conditionalFormatting sqref="K127">
    <cfRule type="expression" dxfId="1897" priority="820">
      <formula>$M127="NON DEFINED"</formula>
    </cfRule>
    <cfRule type="expression" dxfId="1896" priority="821">
      <formula>$AZ127="N.D."</formula>
    </cfRule>
    <cfRule type="expression" dxfId="1895" priority="822">
      <formula>$AY127="N.D."</formula>
    </cfRule>
  </conditionalFormatting>
  <conditionalFormatting sqref="K127">
    <cfRule type="expression" dxfId="1894" priority="809">
      <formula>$A127="Overhead Cable"</formula>
    </cfRule>
    <cfRule type="expression" dxfId="1893" priority="810">
      <formula>$A127="Level Crossing"</formula>
    </cfRule>
    <cfRule type="expression" dxfId="1892" priority="811">
      <formula>$A127="Neutral Section"</formula>
    </cfRule>
    <cfRule type="expression" dxfId="1891" priority="812">
      <formula>$A127="Tunnel"</formula>
    </cfRule>
    <cfRule type="expression" dxfId="1890" priority="813">
      <formula>$A127="Bridge"</formula>
    </cfRule>
    <cfRule type="expression" dxfId="1889" priority="814">
      <formula>$A127="Drainage Works"</formula>
    </cfRule>
    <cfRule type="expression" dxfId="1888" priority="815">
      <formula>$A127="Underpass"</formula>
    </cfRule>
    <cfRule type="expression" dxfId="1887" priority="816">
      <formula>$A127="Overcrossing"</formula>
    </cfRule>
    <cfRule type="expression" dxfId="1886" priority="817">
      <formula>$A127="Overpass"</formula>
    </cfRule>
    <cfRule type="expression" dxfId="1885" priority="818">
      <formula>$A127="Station"</formula>
    </cfRule>
    <cfRule type="expression" dxfId="1884" priority="819">
      <formula>$A127="Overlap between sections"</formula>
    </cfRule>
  </conditionalFormatting>
  <conditionalFormatting sqref="BA30:BC191">
    <cfRule type="expression" dxfId="1883" priority="807">
      <formula>$BE30="A"</formula>
    </cfRule>
    <cfRule type="expression" dxfId="1882" priority="808">
      <formula>$BE30="R"</formula>
    </cfRule>
  </conditionalFormatting>
  <conditionalFormatting sqref="BD30:BD191">
    <cfRule type="containsText" dxfId="1881" priority="806" operator="containsText" text="Poner a mano">
      <formula>NOT(ISERROR(SEARCH("Poner a mano",BD30)))</formula>
    </cfRule>
  </conditionalFormatting>
  <conditionalFormatting sqref="BC30:BC191">
    <cfRule type="expression" dxfId="1880" priority="805">
      <formula>$M30="U.S. N.D."</formula>
    </cfRule>
  </conditionalFormatting>
  <conditionalFormatting sqref="BB30:BB191">
    <cfRule type="expression" dxfId="1879" priority="803">
      <formula>$AZ30="N.D."</formula>
    </cfRule>
  </conditionalFormatting>
  <conditionalFormatting sqref="BA30:BA191">
    <cfRule type="expression" dxfId="1878" priority="804">
      <formula>$AY30="N.D."</formula>
    </cfRule>
  </conditionalFormatting>
  <conditionalFormatting sqref="K28">
    <cfRule type="expression" dxfId="1877" priority="801">
      <formula>$M28="NON DEFINED"</formula>
    </cfRule>
    <cfRule type="expression" dxfId="1876" priority="802">
      <formula>$AY28="N.D."</formula>
    </cfRule>
  </conditionalFormatting>
  <conditionalFormatting sqref="K28">
    <cfRule type="cellIs" dxfId="1875" priority="800" operator="equal">
      <formula>0</formula>
    </cfRule>
  </conditionalFormatting>
  <conditionalFormatting sqref="K85">
    <cfRule type="expression" dxfId="1874" priority="797">
      <formula>$M85="NON DEFINED"</formula>
    </cfRule>
    <cfRule type="expression" dxfId="1873" priority="798">
      <formula>$AZ85="N.D."</formula>
    </cfRule>
    <cfRule type="expression" dxfId="1872" priority="799">
      <formula>$AY85="N.D."</formula>
    </cfRule>
  </conditionalFormatting>
  <conditionalFormatting sqref="K85">
    <cfRule type="expression" dxfId="1871" priority="786">
      <formula>$A85="Overhead Cable"</formula>
    </cfRule>
    <cfRule type="expression" dxfId="1870" priority="787">
      <formula>$A85="Level Crossing"</formula>
    </cfRule>
    <cfRule type="expression" dxfId="1869" priority="788">
      <formula>$A85="Neutral Section"</formula>
    </cfRule>
    <cfRule type="expression" dxfId="1868" priority="789">
      <formula>$A85="Tunnel"</formula>
    </cfRule>
    <cfRule type="expression" dxfId="1867" priority="790">
      <formula>$A85="Bridge"</formula>
    </cfRule>
    <cfRule type="expression" dxfId="1866" priority="791">
      <formula>$A85="Drainage Works"</formula>
    </cfRule>
    <cfRule type="expression" dxfId="1865" priority="792">
      <formula>$A85="Underpass"</formula>
    </cfRule>
    <cfRule type="expression" dxfId="1864" priority="793">
      <formula>$A85="Overcrossing"</formula>
    </cfRule>
    <cfRule type="expression" dxfId="1863" priority="794">
      <formula>$A85="Overpass"</formula>
    </cfRule>
    <cfRule type="expression" dxfId="1862" priority="795">
      <formula>$A85="Station"</formula>
    </cfRule>
    <cfRule type="expression" dxfId="1861" priority="796">
      <formula>$A85="Overlap between sections"</formula>
    </cfRule>
  </conditionalFormatting>
  <conditionalFormatting sqref="K91">
    <cfRule type="expression" dxfId="1860" priority="783">
      <formula>$M91="NON DEFINED"</formula>
    </cfRule>
    <cfRule type="expression" dxfId="1859" priority="784">
      <formula>$AZ91="N.D."</formula>
    </cfRule>
    <cfRule type="expression" dxfId="1858" priority="785">
      <formula>$AY91="N.D."</formula>
    </cfRule>
  </conditionalFormatting>
  <conditionalFormatting sqref="K91">
    <cfRule type="expression" dxfId="1857" priority="772">
      <formula>$A91="Overhead Cable"</formula>
    </cfRule>
    <cfRule type="expression" dxfId="1856" priority="773">
      <formula>$A91="Level Crossing"</formula>
    </cfRule>
    <cfRule type="expression" dxfId="1855" priority="774">
      <formula>$A91="Neutral Section"</formula>
    </cfRule>
    <cfRule type="expression" dxfId="1854" priority="775">
      <formula>$A91="Tunnel"</formula>
    </cfRule>
    <cfRule type="expression" dxfId="1853" priority="776">
      <formula>$A91="Bridge"</formula>
    </cfRule>
    <cfRule type="expression" dxfId="1852" priority="777">
      <formula>$A91="Drainage Works"</formula>
    </cfRule>
    <cfRule type="expression" dxfId="1851" priority="778">
      <formula>$A91="Underpass"</formula>
    </cfRule>
    <cfRule type="expression" dxfId="1850" priority="779">
      <formula>$A91="Overcrossing"</formula>
    </cfRule>
    <cfRule type="expression" dxfId="1849" priority="780">
      <formula>$A91="Overpass"</formula>
    </cfRule>
    <cfRule type="expression" dxfId="1848" priority="781">
      <formula>$A91="Station"</formula>
    </cfRule>
    <cfRule type="expression" dxfId="1847" priority="782">
      <formula>$A91="Overlap between sections"</formula>
    </cfRule>
  </conditionalFormatting>
  <conditionalFormatting sqref="K103">
    <cfRule type="expression" dxfId="1846" priority="769">
      <formula>$M103="NON DEFINED"</formula>
    </cfRule>
    <cfRule type="expression" dxfId="1845" priority="770">
      <formula>$AZ103="N.D."</formula>
    </cfRule>
    <cfRule type="expression" dxfId="1844" priority="771">
      <formula>$AY103="N.D."</formula>
    </cfRule>
  </conditionalFormatting>
  <conditionalFormatting sqref="K103">
    <cfRule type="expression" dxfId="1843" priority="758">
      <formula>$A103="Overhead Cable"</formula>
    </cfRule>
    <cfRule type="expression" dxfId="1842" priority="759">
      <formula>$A103="Level Crossing"</formula>
    </cfRule>
    <cfRule type="expression" dxfId="1841" priority="760">
      <formula>$A103="Neutral Section"</formula>
    </cfRule>
    <cfRule type="expression" dxfId="1840" priority="761">
      <formula>$A103="Tunnel"</formula>
    </cfRule>
    <cfRule type="expression" dxfId="1839" priority="762">
      <formula>$A103="Bridge"</formula>
    </cfRule>
    <cfRule type="expression" dxfId="1838" priority="763">
      <formula>$A103="Drainage Works"</formula>
    </cfRule>
    <cfRule type="expression" dxfId="1837" priority="764">
      <formula>$A103="Underpass"</formula>
    </cfRule>
    <cfRule type="expression" dxfId="1836" priority="765">
      <formula>$A103="Overcrossing"</formula>
    </cfRule>
    <cfRule type="expression" dxfId="1835" priority="766">
      <formula>$A103="Overpass"</formula>
    </cfRule>
    <cfRule type="expression" dxfId="1834" priority="767">
      <formula>$A103="Station"</formula>
    </cfRule>
    <cfRule type="expression" dxfId="1833" priority="768">
      <formula>$A103="Overlap between sections"</formula>
    </cfRule>
  </conditionalFormatting>
  <conditionalFormatting sqref="AN142">
    <cfRule type="expression" dxfId="1832" priority="755">
      <formula>$M142="NON DEFINED"</formula>
    </cfRule>
    <cfRule type="expression" dxfId="1831" priority="756">
      <formula>$AZ142="N.D."</formula>
    </cfRule>
    <cfRule type="expression" dxfId="1830" priority="757">
      <formula>$AY142="N.D."</formula>
    </cfRule>
  </conditionalFormatting>
  <conditionalFormatting sqref="AN142">
    <cfRule type="expression" dxfId="1829" priority="744">
      <formula>$A142="Overhead Cable"</formula>
    </cfRule>
    <cfRule type="expression" dxfId="1828" priority="745">
      <formula>$A142="Level Crossing"</formula>
    </cfRule>
    <cfRule type="expression" dxfId="1827" priority="746">
      <formula>$A142="Neutral Section"</formula>
    </cfRule>
    <cfRule type="expression" dxfId="1826" priority="747">
      <formula>$A142="Tunnel"</formula>
    </cfRule>
    <cfRule type="expression" dxfId="1825" priority="748">
      <formula>$A142="Bridge"</formula>
    </cfRule>
    <cfRule type="expression" dxfId="1824" priority="749">
      <formula>$A142="Drainage Works"</formula>
    </cfRule>
    <cfRule type="expression" dxfId="1823" priority="750">
      <formula>$A142="Underpass"</formula>
    </cfRule>
    <cfRule type="expression" dxfId="1822" priority="751">
      <formula>$A142="Overcrossing"</formula>
    </cfRule>
    <cfRule type="expression" dxfId="1821" priority="752">
      <formula>$A142="Overpass"</formula>
    </cfRule>
    <cfRule type="expression" dxfId="1820" priority="753">
      <formula>$A142="Station"</formula>
    </cfRule>
    <cfRule type="expression" dxfId="1819" priority="754">
      <formula>$A142="Overlap between sections"</formula>
    </cfRule>
  </conditionalFormatting>
  <conditionalFormatting sqref="AN142">
    <cfRule type="cellIs" dxfId="1818" priority="743" operator="notEqual">
      <formula>5.5</formula>
    </cfRule>
  </conditionalFormatting>
  <conditionalFormatting sqref="AK142">
    <cfRule type="expression" dxfId="1817" priority="740">
      <formula>$M142="NON DEFINED"</formula>
    </cfRule>
    <cfRule type="expression" dxfId="1816" priority="741">
      <formula>$AZ142="N.D."</formula>
    </cfRule>
    <cfRule type="expression" dxfId="1815" priority="742">
      <formula>$AY142="N.D."</formula>
    </cfRule>
  </conditionalFormatting>
  <conditionalFormatting sqref="AK142">
    <cfRule type="expression" dxfId="1814" priority="729">
      <formula>$A142="Overhead Cable"</formula>
    </cfRule>
    <cfRule type="expression" dxfId="1813" priority="730">
      <formula>$A142="Level Crossing"</formula>
    </cfRule>
    <cfRule type="expression" dxfId="1812" priority="731">
      <formula>$A142="Neutral Section"</formula>
    </cfRule>
    <cfRule type="expression" dxfId="1811" priority="732">
      <formula>$A142="Tunnel"</formula>
    </cfRule>
    <cfRule type="expression" dxfId="1810" priority="733">
      <formula>$A142="Bridge"</formula>
    </cfRule>
    <cfRule type="expression" dxfId="1809" priority="734">
      <formula>$A142="Drainage Works"</formula>
    </cfRule>
    <cfRule type="expression" dxfId="1808" priority="735">
      <formula>$A142="Underpass"</formula>
    </cfRule>
    <cfRule type="expression" dxfId="1807" priority="736">
      <formula>$A142="Overcrossing"</formula>
    </cfRule>
    <cfRule type="expression" dxfId="1806" priority="737">
      <formula>$A142="Overpass"</formula>
    </cfRule>
    <cfRule type="expression" dxfId="1805" priority="738">
      <formula>$A142="Station"</formula>
    </cfRule>
    <cfRule type="expression" dxfId="1804" priority="739">
      <formula>$A142="Overlap between sections"</formula>
    </cfRule>
  </conditionalFormatting>
  <conditionalFormatting sqref="AL142">
    <cfRule type="expression" dxfId="1803" priority="726">
      <formula>$M142="NON DEFINED"</formula>
    </cfRule>
    <cfRule type="expression" dxfId="1802" priority="727">
      <formula>$AZ142="N.D."</formula>
    </cfRule>
    <cfRule type="expression" dxfId="1801" priority="728">
      <formula>$AY142="N.D."</formula>
    </cfRule>
  </conditionalFormatting>
  <conditionalFormatting sqref="AL142">
    <cfRule type="expression" dxfId="1800" priority="715">
      <formula>$A142="Overhead Cable"</formula>
    </cfRule>
    <cfRule type="expression" dxfId="1799" priority="716">
      <formula>$A142="Level Crossing"</formula>
    </cfRule>
    <cfRule type="expression" dxfId="1798" priority="717">
      <formula>$A142="Neutral Section"</formula>
    </cfRule>
    <cfRule type="expression" dxfId="1797" priority="718">
      <formula>$A142="Tunnel"</formula>
    </cfRule>
    <cfRule type="expression" dxfId="1796" priority="719">
      <formula>$A142="Bridge"</formula>
    </cfRule>
    <cfRule type="expression" dxfId="1795" priority="720">
      <formula>$A142="Drainage Works"</formula>
    </cfRule>
    <cfRule type="expression" dxfId="1794" priority="721">
      <formula>$A142="Underpass"</formula>
    </cfRule>
    <cfRule type="expression" dxfId="1793" priority="722">
      <formula>$A142="Overcrossing"</formula>
    </cfRule>
    <cfRule type="expression" dxfId="1792" priority="723">
      <formula>$A142="Overpass"</formula>
    </cfRule>
    <cfRule type="expression" dxfId="1791" priority="724">
      <formula>$A142="Station"</formula>
    </cfRule>
    <cfRule type="expression" dxfId="1790" priority="725">
      <formula>$A142="Overlap between sections"</formula>
    </cfRule>
  </conditionalFormatting>
  <conditionalFormatting sqref="AM142">
    <cfRule type="expression" dxfId="1789" priority="712">
      <formula>$M142="NON DEFINED"</formula>
    </cfRule>
    <cfRule type="expression" dxfId="1788" priority="713">
      <formula>$AZ142="N.D."</formula>
    </cfRule>
    <cfRule type="expression" dxfId="1787" priority="714">
      <formula>$AY142="N.D."</formula>
    </cfRule>
  </conditionalFormatting>
  <conditionalFormatting sqref="AM142">
    <cfRule type="expression" dxfId="1786" priority="701">
      <formula>$A142="Overhead Cable"</formula>
    </cfRule>
    <cfRule type="expression" dxfId="1785" priority="702">
      <formula>$A142="Level Crossing"</formula>
    </cfRule>
    <cfRule type="expression" dxfId="1784" priority="703">
      <formula>$A142="Neutral Section"</formula>
    </cfRule>
    <cfRule type="expression" dxfId="1783" priority="704">
      <formula>$A142="Tunnel"</formula>
    </cfRule>
    <cfRule type="expression" dxfId="1782" priority="705">
      <formula>$A142="Bridge"</formula>
    </cfRule>
    <cfRule type="expression" dxfId="1781" priority="706">
      <formula>$A142="Drainage Works"</formula>
    </cfRule>
    <cfRule type="expression" dxfId="1780" priority="707">
      <formula>$A142="Underpass"</formula>
    </cfRule>
    <cfRule type="expression" dxfId="1779" priority="708">
      <formula>$A142="Overcrossing"</formula>
    </cfRule>
    <cfRule type="expression" dxfId="1778" priority="709">
      <formula>$A142="Overpass"</formula>
    </cfRule>
    <cfRule type="expression" dxfId="1777" priority="710">
      <formula>$A142="Station"</formula>
    </cfRule>
    <cfRule type="expression" dxfId="1776" priority="711">
      <formula>$A142="Overlap between sections"</formula>
    </cfRule>
  </conditionalFormatting>
  <conditionalFormatting sqref="AW106">
    <cfRule type="expression" dxfId="1775" priority="586">
      <formula>$M106="NON DEFINED"</formula>
    </cfRule>
    <cfRule type="expression" dxfId="1774" priority="587">
      <formula>$AZ106="N.D."</formula>
    </cfRule>
    <cfRule type="expression" dxfId="1773" priority="588">
      <formula>$AY106="N.D."</formula>
    </cfRule>
  </conditionalFormatting>
  <conditionalFormatting sqref="AW106">
    <cfRule type="expression" dxfId="1772" priority="575">
      <formula>$A106="Overhead Cable"</formula>
    </cfRule>
    <cfRule type="expression" dxfId="1771" priority="576">
      <formula>$A106="Level Crossing"</formula>
    </cfRule>
    <cfRule type="expression" dxfId="1770" priority="577">
      <formula>$A106="Neutral Section"</formula>
    </cfRule>
    <cfRule type="expression" dxfId="1769" priority="578">
      <formula>$A106="Tunnel"</formula>
    </cfRule>
    <cfRule type="expression" dxfId="1768" priority="579">
      <formula>$A106="Bridge"</formula>
    </cfRule>
    <cfRule type="expression" dxfId="1767" priority="580">
      <formula>$A106="Drainage Works"</formula>
    </cfRule>
    <cfRule type="expression" dxfId="1766" priority="581">
      <formula>$A106="Underpass"</formula>
    </cfRule>
    <cfRule type="expression" dxfId="1765" priority="582">
      <formula>$A106="Overcrossing"</formula>
    </cfRule>
    <cfRule type="expression" dxfId="1764" priority="583">
      <formula>$A106="Overpass"</formula>
    </cfRule>
    <cfRule type="expression" dxfId="1763" priority="584">
      <formula>$A106="Station"</formula>
    </cfRule>
    <cfRule type="expression" dxfId="1762" priority="585">
      <formula>$A106="Overlap between sections"</formula>
    </cfRule>
  </conditionalFormatting>
  <conditionalFormatting sqref="AX106">
    <cfRule type="expression" dxfId="1761" priority="572">
      <formula>$M106="NON DEFINED"</formula>
    </cfRule>
    <cfRule type="expression" dxfId="1760" priority="573">
      <formula>$AZ106="N.D."</formula>
    </cfRule>
    <cfRule type="expression" dxfId="1759" priority="574">
      <formula>$AY106="N.D."</formula>
    </cfRule>
  </conditionalFormatting>
  <conditionalFormatting sqref="AX106">
    <cfRule type="expression" dxfId="1758" priority="561">
      <formula>$A106="Overhead Cable"</formula>
    </cfRule>
    <cfRule type="expression" dxfId="1757" priority="562">
      <formula>$A106="Level Crossing"</formula>
    </cfRule>
    <cfRule type="expression" dxfId="1756" priority="563">
      <formula>$A106="Neutral Section"</formula>
    </cfRule>
    <cfRule type="expression" dxfId="1755" priority="564">
      <formula>$A106="Tunnel"</formula>
    </cfRule>
    <cfRule type="expression" dxfId="1754" priority="565">
      <formula>$A106="Bridge"</formula>
    </cfRule>
    <cfRule type="expression" dxfId="1753" priority="566">
      <formula>$A106="Drainage Works"</formula>
    </cfRule>
    <cfRule type="expression" dxfId="1752" priority="567">
      <formula>$A106="Underpass"</formula>
    </cfRule>
    <cfRule type="expression" dxfId="1751" priority="568">
      <formula>$A106="Overcrossing"</formula>
    </cfRule>
    <cfRule type="expression" dxfId="1750" priority="569">
      <formula>$A106="Overpass"</formula>
    </cfRule>
    <cfRule type="expression" dxfId="1749" priority="570">
      <formula>$A106="Station"</formula>
    </cfRule>
    <cfRule type="expression" dxfId="1748" priority="571">
      <formula>$A106="Overlap between sections"</formula>
    </cfRule>
  </conditionalFormatting>
  <conditionalFormatting sqref="AW108">
    <cfRule type="expression" dxfId="1747" priority="558">
      <formula>$M108="NON DEFINED"</formula>
    </cfRule>
    <cfRule type="expression" dxfId="1746" priority="559">
      <formula>$AZ108="N.D."</formula>
    </cfRule>
    <cfRule type="expression" dxfId="1745" priority="560">
      <formula>$AY108="N.D."</formula>
    </cfRule>
  </conditionalFormatting>
  <conditionalFormatting sqref="AW108">
    <cfRule type="expression" dxfId="1744" priority="547">
      <formula>$A108="Overhead Cable"</formula>
    </cfRule>
    <cfRule type="expression" dxfId="1743" priority="548">
      <formula>$A108="Level Crossing"</formula>
    </cfRule>
    <cfRule type="expression" dxfId="1742" priority="549">
      <formula>$A108="Neutral Section"</formula>
    </cfRule>
    <cfRule type="expression" dxfId="1741" priority="550">
      <formula>$A108="Tunnel"</formula>
    </cfRule>
    <cfRule type="expression" dxfId="1740" priority="551">
      <formula>$A108="Bridge"</formula>
    </cfRule>
    <cfRule type="expression" dxfId="1739" priority="552">
      <formula>$A108="Drainage Works"</formula>
    </cfRule>
    <cfRule type="expression" dxfId="1738" priority="553">
      <formula>$A108="Underpass"</formula>
    </cfRule>
    <cfRule type="expression" dxfId="1737" priority="554">
      <formula>$A108="Overcrossing"</formula>
    </cfRule>
    <cfRule type="expression" dxfId="1736" priority="555">
      <formula>$A108="Overpass"</formula>
    </cfRule>
    <cfRule type="expression" dxfId="1735" priority="556">
      <formula>$A108="Station"</formula>
    </cfRule>
    <cfRule type="expression" dxfId="1734" priority="557">
      <formula>$A108="Overlap between sections"</formula>
    </cfRule>
  </conditionalFormatting>
  <conditionalFormatting sqref="AX108">
    <cfRule type="expression" dxfId="1733" priority="544">
      <formula>$M108="NON DEFINED"</formula>
    </cfRule>
    <cfRule type="expression" dxfId="1732" priority="545">
      <formula>$AZ108="N.D."</formula>
    </cfRule>
    <cfRule type="expression" dxfId="1731" priority="546">
      <formula>$AY108="N.D."</formula>
    </cfRule>
  </conditionalFormatting>
  <conditionalFormatting sqref="AX108">
    <cfRule type="expression" dxfId="1730" priority="533">
      <formula>$A108="Overhead Cable"</formula>
    </cfRule>
    <cfRule type="expression" dxfId="1729" priority="534">
      <formula>$A108="Level Crossing"</formula>
    </cfRule>
    <cfRule type="expression" dxfId="1728" priority="535">
      <formula>$A108="Neutral Section"</formula>
    </cfRule>
    <cfRule type="expression" dxfId="1727" priority="536">
      <formula>$A108="Tunnel"</formula>
    </cfRule>
    <cfRule type="expression" dxfId="1726" priority="537">
      <formula>$A108="Bridge"</formula>
    </cfRule>
    <cfRule type="expression" dxfId="1725" priority="538">
      <formula>$A108="Drainage Works"</formula>
    </cfRule>
    <cfRule type="expression" dxfId="1724" priority="539">
      <formula>$A108="Underpass"</formula>
    </cfRule>
    <cfRule type="expression" dxfId="1723" priority="540">
      <formula>$A108="Overcrossing"</formula>
    </cfRule>
    <cfRule type="expression" dxfId="1722" priority="541">
      <formula>$A108="Overpass"</formula>
    </cfRule>
    <cfRule type="expression" dxfId="1721" priority="542">
      <formula>$A108="Station"</formula>
    </cfRule>
    <cfRule type="expression" dxfId="1720" priority="543">
      <formula>$A108="Overlap between sections"</formula>
    </cfRule>
  </conditionalFormatting>
  <conditionalFormatting sqref="AW110">
    <cfRule type="expression" dxfId="1719" priority="530">
      <formula>$M110="NON DEFINED"</formula>
    </cfRule>
    <cfRule type="expression" dxfId="1718" priority="531">
      <formula>$AZ110="N.D."</formula>
    </cfRule>
    <cfRule type="expression" dxfId="1717" priority="532">
      <formula>$AY110="N.D."</formula>
    </cfRule>
  </conditionalFormatting>
  <conditionalFormatting sqref="AW110">
    <cfRule type="expression" dxfId="1716" priority="519">
      <formula>$A110="Overhead Cable"</formula>
    </cfRule>
    <cfRule type="expression" dxfId="1715" priority="520">
      <formula>$A110="Level Crossing"</formula>
    </cfRule>
    <cfRule type="expression" dxfId="1714" priority="521">
      <formula>$A110="Neutral Section"</formula>
    </cfRule>
    <cfRule type="expression" dxfId="1713" priority="522">
      <formula>$A110="Tunnel"</formula>
    </cfRule>
    <cfRule type="expression" dxfId="1712" priority="523">
      <formula>$A110="Bridge"</formula>
    </cfRule>
    <cfRule type="expression" dxfId="1711" priority="524">
      <formula>$A110="Drainage Works"</formula>
    </cfRule>
    <cfRule type="expression" dxfId="1710" priority="525">
      <formula>$A110="Underpass"</formula>
    </cfRule>
    <cfRule type="expression" dxfId="1709" priority="526">
      <formula>$A110="Overcrossing"</formula>
    </cfRule>
    <cfRule type="expression" dxfId="1708" priority="527">
      <formula>$A110="Overpass"</formula>
    </cfRule>
    <cfRule type="expression" dxfId="1707" priority="528">
      <formula>$A110="Station"</formula>
    </cfRule>
    <cfRule type="expression" dxfId="1706" priority="529">
      <formula>$A110="Overlap between sections"</formula>
    </cfRule>
  </conditionalFormatting>
  <conditionalFormatting sqref="AX110">
    <cfRule type="expression" dxfId="1705" priority="516">
      <formula>$M110="NON DEFINED"</formula>
    </cfRule>
    <cfRule type="expression" dxfId="1704" priority="517">
      <formula>$AZ110="N.D."</formula>
    </cfRule>
    <cfRule type="expression" dxfId="1703" priority="518">
      <formula>$AY110="N.D."</formula>
    </cfRule>
  </conditionalFormatting>
  <conditionalFormatting sqref="AX110">
    <cfRule type="expression" dxfId="1702" priority="505">
      <formula>$A110="Overhead Cable"</formula>
    </cfRule>
    <cfRule type="expression" dxfId="1701" priority="506">
      <formula>$A110="Level Crossing"</formula>
    </cfRule>
    <cfRule type="expression" dxfId="1700" priority="507">
      <formula>$A110="Neutral Section"</formula>
    </cfRule>
    <cfRule type="expression" dxfId="1699" priority="508">
      <formula>$A110="Tunnel"</formula>
    </cfRule>
    <cfRule type="expression" dxfId="1698" priority="509">
      <formula>$A110="Bridge"</formula>
    </cfRule>
    <cfRule type="expression" dxfId="1697" priority="510">
      <formula>$A110="Drainage Works"</formula>
    </cfRule>
    <cfRule type="expression" dxfId="1696" priority="511">
      <formula>$A110="Underpass"</formula>
    </cfRule>
    <cfRule type="expression" dxfId="1695" priority="512">
      <formula>$A110="Overcrossing"</formula>
    </cfRule>
    <cfRule type="expression" dxfId="1694" priority="513">
      <formula>$A110="Overpass"</formula>
    </cfRule>
    <cfRule type="expression" dxfId="1693" priority="514">
      <formula>$A110="Station"</formula>
    </cfRule>
    <cfRule type="expression" dxfId="1692" priority="515">
      <formula>$A110="Overlap between sections"</formula>
    </cfRule>
  </conditionalFormatting>
  <conditionalFormatting sqref="AW112">
    <cfRule type="expression" dxfId="1691" priority="502">
      <formula>$M112="NON DEFINED"</formula>
    </cfRule>
    <cfRule type="expression" dxfId="1690" priority="503">
      <formula>$AZ112="N.D."</formula>
    </cfRule>
    <cfRule type="expression" dxfId="1689" priority="504">
      <formula>$AY112="N.D."</formula>
    </cfRule>
  </conditionalFormatting>
  <conditionalFormatting sqref="AW112">
    <cfRule type="expression" dxfId="1688" priority="491">
      <formula>$A112="Overhead Cable"</formula>
    </cfRule>
    <cfRule type="expression" dxfId="1687" priority="492">
      <formula>$A112="Level Crossing"</formula>
    </cfRule>
    <cfRule type="expression" dxfId="1686" priority="493">
      <formula>$A112="Neutral Section"</formula>
    </cfRule>
    <cfRule type="expression" dxfId="1685" priority="494">
      <formula>$A112="Tunnel"</formula>
    </cfRule>
    <cfRule type="expression" dxfId="1684" priority="495">
      <formula>$A112="Bridge"</formula>
    </cfRule>
    <cfRule type="expression" dxfId="1683" priority="496">
      <formula>$A112="Drainage Works"</formula>
    </cfRule>
    <cfRule type="expression" dxfId="1682" priority="497">
      <formula>$A112="Underpass"</formula>
    </cfRule>
    <cfRule type="expression" dxfId="1681" priority="498">
      <formula>$A112="Overcrossing"</formula>
    </cfRule>
    <cfRule type="expression" dxfId="1680" priority="499">
      <formula>$A112="Overpass"</formula>
    </cfRule>
    <cfRule type="expression" dxfId="1679" priority="500">
      <formula>$A112="Station"</formula>
    </cfRule>
    <cfRule type="expression" dxfId="1678" priority="501">
      <formula>$A112="Overlap between sections"</formula>
    </cfRule>
  </conditionalFormatting>
  <conditionalFormatting sqref="AX112">
    <cfRule type="expression" dxfId="1677" priority="488">
      <formula>$M112="NON DEFINED"</formula>
    </cfRule>
    <cfRule type="expression" dxfId="1676" priority="489">
      <formula>$AZ112="N.D."</formula>
    </cfRule>
    <cfRule type="expression" dxfId="1675" priority="490">
      <formula>$AY112="N.D."</formula>
    </cfRule>
  </conditionalFormatting>
  <conditionalFormatting sqref="AX112">
    <cfRule type="expression" dxfId="1674" priority="477">
      <formula>$A112="Overhead Cable"</formula>
    </cfRule>
    <cfRule type="expression" dxfId="1673" priority="478">
      <formula>$A112="Level Crossing"</formula>
    </cfRule>
    <cfRule type="expression" dxfId="1672" priority="479">
      <formula>$A112="Neutral Section"</formula>
    </cfRule>
    <cfRule type="expression" dxfId="1671" priority="480">
      <formula>$A112="Tunnel"</formula>
    </cfRule>
    <cfRule type="expression" dxfId="1670" priority="481">
      <formula>$A112="Bridge"</formula>
    </cfRule>
    <cfRule type="expression" dxfId="1669" priority="482">
      <formula>$A112="Drainage Works"</formula>
    </cfRule>
    <cfRule type="expression" dxfId="1668" priority="483">
      <formula>$A112="Underpass"</formula>
    </cfRule>
    <cfRule type="expression" dxfId="1667" priority="484">
      <formula>$A112="Overcrossing"</formula>
    </cfRule>
    <cfRule type="expression" dxfId="1666" priority="485">
      <formula>$A112="Overpass"</formula>
    </cfRule>
    <cfRule type="expression" dxfId="1665" priority="486">
      <formula>$A112="Station"</formula>
    </cfRule>
    <cfRule type="expression" dxfId="1664" priority="487">
      <formula>$A112="Overlap between sections"</formula>
    </cfRule>
  </conditionalFormatting>
  <conditionalFormatting sqref="AW114">
    <cfRule type="expression" dxfId="1663" priority="474">
      <formula>$M114="NON DEFINED"</formula>
    </cfRule>
    <cfRule type="expression" dxfId="1662" priority="475">
      <formula>$AZ114="N.D."</formula>
    </cfRule>
    <cfRule type="expression" dxfId="1661" priority="476">
      <formula>$AY114="N.D."</formula>
    </cfRule>
  </conditionalFormatting>
  <conditionalFormatting sqref="AW114">
    <cfRule type="expression" dxfId="1660" priority="463">
      <formula>$A114="Overhead Cable"</formula>
    </cfRule>
    <cfRule type="expression" dxfId="1659" priority="464">
      <formula>$A114="Level Crossing"</formula>
    </cfRule>
    <cfRule type="expression" dxfId="1658" priority="465">
      <formula>$A114="Neutral Section"</formula>
    </cfRule>
    <cfRule type="expression" dxfId="1657" priority="466">
      <formula>$A114="Tunnel"</formula>
    </cfRule>
    <cfRule type="expression" dxfId="1656" priority="467">
      <formula>$A114="Bridge"</formula>
    </cfRule>
    <cfRule type="expression" dxfId="1655" priority="468">
      <formula>$A114="Drainage Works"</formula>
    </cfRule>
    <cfRule type="expression" dxfId="1654" priority="469">
      <formula>$A114="Underpass"</formula>
    </cfRule>
    <cfRule type="expression" dxfId="1653" priority="470">
      <formula>$A114="Overcrossing"</formula>
    </cfRule>
    <cfRule type="expression" dxfId="1652" priority="471">
      <formula>$A114="Overpass"</formula>
    </cfRule>
    <cfRule type="expression" dxfId="1651" priority="472">
      <formula>$A114="Station"</formula>
    </cfRule>
    <cfRule type="expression" dxfId="1650" priority="473">
      <formula>$A114="Overlap between sections"</formula>
    </cfRule>
  </conditionalFormatting>
  <conditionalFormatting sqref="AX114">
    <cfRule type="expression" dxfId="1649" priority="460">
      <formula>$M114="NON DEFINED"</formula>
    </cfRule>
    <cfRule type="expression" dxfId="1648" priority="461">
      <formula>$AZ114="N.D."</formula>
    </cfRule>
    <cfRule type="expression" dxfId="1647" priority="462">
      <formula>$AY114="N.D."</formula>
    </cfRule>
  </conditionalFormatting>
  <conditionalFormatting sqref="AX114">
    <cfRule type="expression" dxfId="1646" priority="449">
      <formula>$A114="Overhead Cable"</formula>
    </cfRule>
    <cfRule type="expression" dxfId="1645" priority="450">
      <formula>$A114="Level Crossing"</formula>
    </cfRule>
    <cfRule type="expression" dxfId="1644" priority="451">
      <formula>$A114="Neutral Section"</formula>
    </cfRule>
    <cfRule type="expression" dxfId="1643" priority="452">
      <formula>$A114="Tunnel"</formula>
    </cfRule>
    <cfRule type="expression" dxfId="1642" priority="453">
      <formula>$A114="Bridge"</formula>
    </cfRule>
    <cfRule type="expression" dxfId="1641" priority="454">
      <formula>$A114="Drainage Works"</formula>
    </cfRule>
    <cfRule type="expression" dxfId="1640" priority="455">
      <formula>$A114="Underpass"</formula>
    </cfRule>
    <cfRule type="expression" dxfId="1639" priority="456">
      <formula>$A114="Overcrossing"</formula>
    </cfRule>
    <cfRule type="expression" dxfId="1638" priority="457">
      <formula>$A114="Overpass"</formula>
    </cfRule>
    <cfRule type="expression" dxfId="1637" priority="458">
      <formula>$A114="Station"</formula>
    </cfRule>
    <cfRule type="expression" dxfId="1636" priority="459">
      <formula>$A114="Overlap between sections"</formula>
    </cfRule>
  </conditionalFormatting>
  <conditionalFormatting sqref="AW116">
    <cfRule type="expression" dxfId="1635" priority="446">
      <formula>$M116="NON DEFINED"</formula>
    </cfRule>
    <cfRule type="expression" dxfId="1634" priority="447">
      <formula>$AZ116="N.D."</formula>
    </cfRule>
    <cfRule type="expression" dxfId="1633" priority="448">
      <formula>$AY116="N.D."</formula>
    </cfRule>
  </conditionalFormatting>
  <conditionalFormatting sqref="AW116">
    <cfRule type="expression" dxfId="1632" priority="435">
      <formula>$A116="Overhead Cable"</formula>
    </cfRule>
    <cfRule type="expression" dxfId="1631" priority="436">
      <formula>$A116="Level Crossing"</formula>
    </cfRule>
    <cfRule type="expression" dxfId="1630" priority="437">
      <formula>$A116="Neutral Section"</formula>
    </cfRule>
    <cfRule type="expression" dxfId="1629" priority="438">
      <formula>$A116="Tunnel"</formula>
    </cfRule>
    <cfRule type="expression" dxfId="1628" priority="439">
      <formula>$A116="Bridge"</formula>
    </cfRule>
    <cfRule type="expression" dxfId="1627" priority="440">
      <formula>$A116="Drainage Works"</formula>
    </cfRule>
    <cfRule type="expression" dxfId="1626" priority="441">
      <formula>$A116="Underpass"</formula>
    </cfRule>
    <cfRule type="expression" dxfId="1625" priority="442">
      <formula>$A116="Overcrossing"</formula>
    </cfRule>
    <cfRule type="expression" dxfId="1624" priority="443">
      <formula>$A116="Overpass"</formula>
    </cfRule>
    <cfRule type="expression" dxfId="1623" priority="444">
      <formula>$A116="Station"</formula>
    </cfRule>
    <cfRule type="expression" dxfId="1622" priority="445">
      <formula>$A116="Overlap between sections"</formula>
    </cfRule>
  </conditionalFormatting>
  <conditionalFormatting sqref="AX116">
    <cfRule type="expression" dxfId="1621" priority="432">
      <formula>$M116="NON DEFINED"</formula>
    </cfRule>
    <cfRule type="expression" dxfId="1620" priority="433">
      <formula>$AZ116="N.D."</formula>
    </cfRule>
    <cfRule type="expression" dxfId="1619" priority="434">
      <formula>$AY116="N.D."</formula>
    </cfRule>
  </conditionalFormatting>
  <conditionalFormatting sqref="AX116">
    <cfRule type="expression" dxfId="1618" priority="421">
      <formula>$A116="Overhead Cable"</formula>
    </cfRule>
    <cfRule type="expression" dxfId="1617" priority="422">
      <formula>$A116="Level Crossing"</formula>
    </cfRule>
    <cfRule type="expression" dxfId="1616" priority="423">
      <formula>$A116="Neutral Section"</formula>
    </cfRule>
    <cfRule type="expression" dxfId="1615" priority="424">
      <formula>$A116="Tunnel"</formula>
    </cfRule>
    <cfRule type="expression" dxfId="1614" priority="425">
      <formula>$A116="Bridge"</formula>
    </cfRule>
    <cfRule type="expression" dxfId="1613" priority="426">
      <formula>$A116="Drainage Works"</formula>
    </cfRule>
    <cfRule type="expression" dxfId="1612" priority="427">
      <formula>$A116="Underpass"</formula>
    </cfRule>
    <cfRule type="expression" dxfId="1611" priority="428">
      <formula>$A116="Overcrossing"</formula>
    </cfRule>
    <cfRule type="expression" dxfId="1610" priority="429">
      <formula>$A116="Overpass"</formula>
    </cfRule>
    <cfRule type="expression" dxfId="1609" priority="430">
      <formula>$A116="Station"</formula>
    </cfRule>
    <cfRule type="expression" dxfId="1608" priority="431">
      <formula>$A116="Overlap between sections"</formula>
    </cfRule>
  </conditionalFormatting>
  <conditionalFormatting sqref="AW118">
    <cfRule type="expression" dxfId="1607" priority="418">
      <formula>$M118="NON DEFINED"</formula>
    </cfRule>
    <cfRule type="expression" dxfId="1606" priority="419">
      <formula>$AZ118="N.D."</formula>
    </cfRule>
    <cfRule type="expression" dxfId="1605" priority="420">
      <formula>$AY118="N.D."</formula>
    </cfRule>
  </conditionalFormatting>
  <conditionalFormatting sqref="AW118">
    <cfRule type="expression" dxfId="1604" priority="407">
      <formula>$A118="Overhead Cable"</formula>
    </cfRule>
    <cfRule type="expression" dxfId="1603" priority="408">
      <formula>$A118="Level Crossing"</formula>
    </cfRule>
    <cfRule type="expression" dxfId="1602" priority="409">
      <formula>$A118="Neutral Section"</formula>
    </cfRule>
    <cfRule type="expression" dxfId="1601" priority="410">
      <formula>$A118="Tunnel"</formula>
    </cfRule>
    <cfRule type="expression" dxfId="1600" priority="411">
      <formula>$A118="Bridge"</formula>
    </cfRule>
    <cfRule type="expression" dxfId="1599" priority="412">
      <formula>$A118="Drainage Works"</formula>
    </cfRule>
    <cfRule type="expression" dxfId="1598" priority="413">
      <formula>$A118="Underpass"</formula>
    </cfRule>
    <cfRule type="expression" dxfId="1597" priority="414">
      <formula>$A118="Overcrossing"</formula>
    </cfRule>
    <cfRule type="expression" dxfId="1596" priority="415">
      <formula>$A118="Overpass"</formula>
    </cfRule>
    <cfRule type="expression" dxfId="1595" priority="416">
      <formula>$A118="Station"</formula>
    </cfRule>
    <cfRule type="expression" dxfId="1594" priority="417">
      <formula>$A118="Overlap between sections"</formula>
    </cfRule>
  </conditionalFormatting>
  <conditionalFormatting sqref="AX118">
    <cfRule type="expression" dxfId="1593" priority="404">
      <formula>$M118="NON DEFINED"</formula>
    </cfRule>
    <cfRule type="expression" dxfId="1592" priority="405">
      <formula>$AZ118="N.D."</formula>
    </cfRule>
    <cfRule type="expression" dxfId="1591" priority="406">
      <formula>$AY118="N.D."</formula>
    </cfRule>
  </conditionalFormatting>
  <conditionalFormatting sqref="AX118">
    <cfRule type="expression" dxfId="1590" priority="393">
      <formula>$A118="Overhead Cable"</formula>
    </cfRule>
    <cfRule type="expression" dxfId="1589" priority="394">
      <formula>$A118="Level Crossing"</formula>
    </cfRule>
    <cfRule type="expression" dxfId="1588" priority="395">
      <formula>$A118="Neutral Section"</formula>
    </cfRule>
    <cfRule type="expression" dxfId="1587" priority="396">
      <formula>$A118="Tunnel"</formula>
    </cfRule>
    <cfRule type="expression" dxfId="1586" priority="397">
      <formula>$A118="Bridge"</formula>
    </cfRule>
    <cfRule type="expression" dxfId="1585" priority="398">
      <formula>$A118="Drainage Works"</formula>
    </cfRule>
    <cfRule type="expression" dxfId="1584" priority="399">
      <formula>$A118="Underpass"</formula>
    </cfRule>
    <cfRule type="expression" dxfId="1583" priority="400">
      <formula>$A118="Overcrossing"</formula>
    </cfRule>
    <cfRule type="expression" dxfId="1582" priority="401">
      <formula>$A118="Overpass"</formula>
    </cfRule>
    <cfRule type="expression" dxfId="1581" priority="402">
      <formula>$A118="Station"</formula>
    </cfRule>
    <cfRule type="expression" dxfId="1580" priority="403">
      <formula>$A118="Overlap between sections"</formula>
    </cfRule>
  </conditionalFormatting>
  <conditionalFormatting sqref="AW120">
    <cfRule type="expression" dxfId="1579" priority="390">
      <formula>$M120="NON DEFINED"</formula>
    </cfRule>
    <cfRule type="expression" dxfId="1578" priority="391">
      <formula>$AZ120="N.D."</formula>
    </cfRule>
    <cfRule type="expression" dxfId="1577" priority="392">
      <formula>$AY120="N.D."</formula>
    </cfRule>
  </conditionalFormatting>
  <conditionalFormatting sqref="AW120">
    <cfRule type="expression" dxfId="1576" priority="379">
      <formula>$A120="Overhead Cable"</formula>
    </cfRule>
    <cfRule type="expression" dxfId="1575" priority="380">
      <formula>$A120="Level Crossing"</formula>
    </cfRule>
    <cfRule type="expression" dxfId="1574" priority="381">
      <formula>$A120="Neutral Section"</formula>
    </cfRule>
    <cfRule type="expression" dxfId="1573" priority="382">
      <formula>$A120="Tunnel"</formula>
    </cfRule>
    <cfRule type="expression" dxfId="1572" priority="383">
      <formula>$A120="Bridge"</formula>
    </cfRule>
    <cfRule type="expression" dxfId="1571" priority="384">
      <formula>$A120="Drainage Works"</formula>
    </cfRule>
    <cfRule type="expression" dxfId="1570" priority="385">
      <formula>$A120="Underpass"</formula>
    </cfRule>
    <cfRule type="expression" dxfId="1569" priority="386">
      <formula>$A120="Overcrossing"</formula>
    </cfRule>
    <cfRule type="expression" dxfId="1568" priority="387">
      <formula>$A120="Overpass"</formula>
    </cfRule>
    <cfRule type="expression" dxfId="1567" priority="388">
      <formula>$A120="Station"</formula>
    </cfRule>
    <cfRule type="expression" dxfId="1566" priority="389">
      <formula>$A120="Overlap between sections"</formula>
    </cfRule>
  </conditionalFormatting>
  <conditionalFormatting sqref="AX120">
    <cfRule type="expression" dxfId="1565" priority="376">
      <formula>$M120="NON DEFINED"</formula>
    </cfRule>
    <cfRule type="expression" dxfId="1564" priority="377">
      <formula>$AZ120="N.D."</formula>
    </cfRule>
    <cfRule type="expression" dxfId="1563" priority="378">
      <formula>$AY120="N.D."</formula>
    </cfRule>
  </conditionalFormatting>
  <conditionalFormatting sqref="AX120">
    <cfRule type="expression" dxfId="1562" priority="365">
      <formula>$A120="Overhead Cable"</formula>
    </cfRule>
    <cfRule type="expression" dxfId="1561" priority="366">
      <formula>$A120="Level Crossing"</formula>
    </cfRule>
    <cfRule type="expression" dxfId="1560" priority="367">
      <formula>$A120="Neutral Section"</formula>
    </cfRule>
    <cfRule type="expression" dxfId="1559" priority="368">
      <formula>$A120="Tunnel"</formula>
    </cfRule>
    <cfRule type="expression" dxfId="1558" priority="369">
      <formula>$A120="Bridge"</formula>
    </cfRule>
    <cfRule type="expression" dxfId="1557" priority="370">
      <formula>$A120="Drainage Works"</formula>
    </cfRule>
    <cfRule type="expression" dxfId="1556" priority="371">
      <formula>$A120="Underpass"</formula>
    </cfRule>
    <cfRule type="expression" dxfId="1555" priority="372">
      <formula>$A120="Overcrossing"</formula>
    </cfRule>
    <cfRule type="expression" dxfId="1554" priority="373">
      <formula>$A120="Overpass"</formula>
    </cfRule>
    <cfRule type="expression" dxfId="1553" priority="374">
      <formula>$A120="Station"</formula>
    </cfRule>
    <cfRule type="expression" dxfId="1552" priority="375">
      <formula>$A120="Overlap between sections"</formula>
    </cfRule>
  </conditionalFormatting>
  <conditionalFormatting sqref="AW122">
    <cfRule type="expression" dxfId="1551" priority="362">
      <formula>$M122="NON DEFINED"</formula>
    </cfRule>
    <cfRule type="expression" dxfId="1550" priority="363">
      <formula>$AZ122="N.D."</formula>
    </cfRule>
    <cfRule type="expression" dxfId="1549" priority="364">
      <formula>$AY122="N.D."</formula>
    </cfRule>
  </conditionalFormatting>
  <conditionalFormatting sqref="AW122">
    <cfRule type="expression" dxfId="1548" priority="351">
      <formula>$A122="Overhead Cable"</formula>
    </cfRule>
    <cfRule type="expression" dxfId="1547" priority="352">
      <formula>$A122="Level Crossing"</formula>
    </cfRule>
    <cfRule type="expression" dxfId="1546" priority="353">
      <formula>$A122="Neutral Section"</formula>
    </cfRule>
    <cfRule type="expression" dxfId="1545" priority="354">
      <formula>$A122="Tunnel"</formula>
    </cfRule>
    <cfRule type="expression" dxfId="1544" priority="355">
      <formula>$A122="Bridge"</formula>
    </cfRule>
    <cfRule type="expression" dxfId="1543" priority="356">
      <formula>$A122="Drainage Works"</formula>
    </cfRule>
    <cfRule type="expression" dxfId="1542" priority="357">
      <formula>$A122="Underpass"</formula>
    </cfRule>
    <cfRule type="expression" dxfId="1541" priority="358">
      <formula>$A122="Overcrossing"</formula>
    </cfRule>
    <cfRule type="expression" dxfId="1540" priority="359">
      <formula>$A122="Overpass"</formula>
    </cfRule>
    <cfRule type="expression" dxfId="1539" priority="360">
      <formula>$A122="Station"</formula>
    </cfRule>
    <cfRule type="expression" dxfId="1538" priority="361">
      <formula>$A122="Overlap between sections"</formula>
    </cfRule>
  </conditionalFormatting>
  <conditionalFormatting sqref="AX122">
    <cfRule type="expression" dxfId="1537" priority="348">
      <formula>$M122="NON DEFINED"</formula>
    </cfRule>
    <cfRule type="expression" dxfId="1536" priority="349">
      <formula>$AZ122="N.D."</formula>
    </cfRule>
    <cfRule type="expression" dxfId="1535" priority="350">
      <formula>$AY122="N.D."</formula>
    </cfRule>
  </conditionalFormatting>
  <conditionalFormatting sqref="AX122">
    <cfRule type="expression" dxfId="1534" priority="337">
      <formula>$A122="Overhead Cable"</formula>
    </cfRule>
    <cfRule type="expression" dxfId="1533" priority="338">
      <formula>$A122="Level Crossing"</formula>
    </cfRule>
    <cfRule type="expression" dxfId="1532" priority="339">
      <formula>$A122="Neutral Section"</formula>
    </cfRule>
    <cfRule type="expression" dxfId="1531" priority="340">
      <formula>$A122="Tunnel"</formula>
    </cfRule>
    <cfRule type="expression" dxfId="1530" priority="341">
      <formula>$A122="Bridge"</formula>
    </cfRule>
    <cfRule type="expression" dxfId="1529" priority="342">
      <formula>$A122="Drainage Works"</formula>
    </cfRule>
    <cfRule type="expression" dxfId="1528" priority="343">
      <formula>$A122="Underpass"</formula>
    </cfRule>
    <cfRule type="expression" dxfId="1527" priority="344">
      <formula>$A122="Overcrossing"</formula>
    </cfRule>
    <cfRule type="expression" dxfId="1526" priority="345">
      <formula>$A122="Overpass"</formula>
    </cfRule>
    <cfRule type="expression" dxfId="1525" priority="346">
      <formula>$A122="Station"</formula>
    </cfRule>
    <cfRule type="expression" dxfId="1524" priority="347">
      <formula>$A122="Overlap between sections"</formula>
    </cfRule>
  </conditionalFormatting>
  <conditionalFormatting sqref="AW124">
    <cfRule type="expression" dxfId="1523" priority="334">
      <formula>$M124="NON DEFINED"</formula>
    </cfRule>
    <cfRule type="expression" dxfId="1522" priority="335">
      <formula>$AZ124="N.D."</formula>
    </cfRule>
    <cfRule type="expression" dxfId="1521" priority="336">
      <formula>$AY124="N.D."</formula>
    </cfRule>
  </conditionalFormatting>
  <conditionalFormatting sqref="AW124">
    <cfRule type="expression" dxfId="1520" priority="323">
      <formula>$A124="Overhead Cable"</formula>
    </cfRule>
    <cfRule type="expression" dxfId="1519" priority="324">
      <formula>$A124="Level Crossing"</formula>
    </cfRule>
    <cfRule type="expression" dxfId="1518" priority="325">
      <formula>$A124="Neutral Section"</formula>
    </cfRule>
    <cfRule type="expression" dxfId="1517" priority="326">
      <formula>$A124="Tunnel"</formula>
    </cfRule>
    <cfRule type="expression" dxfId="1516" priority="327">
      <formula>$A124="Bridge"</formula>
    </cfRule>
    <cfRule type="expression" dxfId="1515" priority="328">
      <formula>$A124="Drainage Works"</formula>
    </cfRule>
    <cfRule type="expression" dxfId="1514" priority="329">
      <formula>$A124="Underpass"</formula>
    </cfRule>
    <cfRule type="expression" dxfId="1513" priority="330">
      <formula>$A124="Overcrossing"</formula>
    </cfRule>
    <cfRule type="expression" dxfId="1512" priority="331">
      <formula>$A124="Overpass"</formula>
    </cfRule>
    <cfRule type="expression" dxfId="1511" priority="332">
      <formula>$A124="Station"</formula>
    </cfRule>
    <cfRule type="expression" dxfId="1510" priority="333">
      <formula>$A124="Overlap between sections"</formula>
    </cfRule>
  </conditionalFormatting>
  <conditionalFormatting sqref="AX124">
    <cfRule type="expression" dxfId="1509" priority="320">
      <formula>$M124="NON DEFINED"</formula>
    </cfRule>
    <cfRule type="expression" dxfId="1508" priority="321">
      <formula>$AZ124="N.D."</formula>
    </cfRule>
    <cfRule type="expression" dxfId="1507" priority="322">
      <formula>$AY124="N.D."</formula>
    </cfRule>
  </conditionalFormatting>
  <conditionalFormatting sqref="AX124">
    <cfRule type="expression" dxfId="1506" priority="309">
      <formula>$A124="Overhead Cable"</formula>
    </cfRule>
    <cfRule type="expression" dxfId="1505" priority="310">
      <formula>$A124="Level Crossing"</formula>
    </cfRule>
    <cfRule type="expression" dxfId="1504" priority="311">
      <formula>$A124="Neutral Section"</formula>
    </cfRule>
    <cfRule type="expression" dxfId="1503" priority="312">
      <formula>$A124="Tunnel"</formula>
    </cfRule>
    <cfRule type="expression" dxfId="1502" priority="313">
      <formula>$A124="Bridge"</formula>
    </cfRule>
    <cfRule type="expression" dxfId="1501" priority="314">
      <formula>$A124="Drainage Works"</formula>
    </cfRule>
    <cfRule type="expression" dxfId="1500" priority="315">
      <formula>$A124="Underpass"</formula>
    </cfRule>
    <cfRule type="expression" dxfId="1499" priority="316">
      <formula>$A124="Overcrossing"</formula>
    </cfRule>
    <cfRule type="expression" dxfId="1498" priority="317">
      <formula>$A124="Overpass"</formula>
    </cfRule>
    <cfRule type="expression" dxfId="1497" priority="318">
      <formula>$A124="Station"</formula>
    </cfRule>
    <cfRule type="expression" dxfId="1496" priority="319">
      <formula>$A124="Overlap between sections"</formula>
    </cfRule>
  </conditionalFormatting>
  <conditionalFormatting sqref="AW126">
    <cfRule type="expression" dxfId="1495" priority="306">
      <formula>$M126="NON DEFINED"</formula>
    </cfRule>
    <cfRule type="expression" dxfId="1494" priority="307">
      <formula>$AZ126="N.D."</formula>
    </cfRule>
    <cfRule type="expression" dxfId="1493" priority="308">
      <formula>$AY126="N.D."</formula>
    </cfRule>
  </conditionalFormatting>
  <conditionalFormatting sqref="AW126">
    <cfRule type="expression" dxfId="1492" priority="295">
      <formula>$A126="Overhead Cable"</formula>
    </cfRule>
    <cfRule type="expression" dxfId="1491" priority="296">
      <formula>$A126="Level Crossing"</formula>
    </cfRule>
    <cfRule type="expression" dxfId="1490" priority="297">
      <formula>$A126="Neutral Section"</formula>
    </cfRule>
    <cfRule type="expression" dxfId="1489" priority="298">
      <formula>$A126="Tunnel"</formula>
    </cfRule>
    <cfRule type="expression" dxfId="1488" priority="299">
      <formula>$A126="Bridge"</formula>
    </cfRule>
    <cfRule type="expression" dxfId="1487" priority="300">
      <formula>$A126="Drainage Works"</formula>
    </cfRule>
    <cfRule type="expression" dxfId="1486" priority="301">
      <formula>$A126="Underpass"</formula>
    </cfRule>
    <cfRule type="expression" dxfId="1485" priority="302">
      <formula>$A126="Overcrossing"</formula>
    </cfRule>
    <cfRule type="expression" dxfId="1484" priority="303">
      <formula>$A126="Overpass"</formula>
    </cfRule>
    <cfRule type="expression" dxfId="1483" priority="304">
      <formula>$A126="Station"</formula>
    </cfRule>
    <cfRule type="expression" dxfId="1482" priority="305">
      <formula>$A126="Overlap between sections"</formula>
    </cfRule>
  </conditionalFormatting>
  <conditionalFormatting sqref="AX126">
    <cfRule type="expression" dxfId="1481" priority="292">
      <formula>$M126="NON DEFINED"</formula>
    </cfRule>
    <cfRule type="expression" dxfId="1480" priority="293">
      <formula>$AZ126="N.D."</formula>
    </cfRule>
    <cfRule type="expression" dxfId="1479" priority="294">
      <formula>$AY126="N.D."</formula>
    </cfRule>
  </conditionalFormatting>
  <conditionalFormatting sqref="AX126">
    <cfRule type="expression" dxfId="1478" priority="281">
      <formula>$A126="Overhead Cable"</formula>
    </cfRule>
    <cfRule type="expression" dxfId="1477" priority="282">
      <formula>$A126="Level Crossing"</formula>
    </cfRule>
    <cfRule type="expression" dxfId="1476" priority="283">
      <formula>$A126="Neutral Section"</formula>
    </cfRule>
    <cfRule type="expression" dxfId="1475" priority="284">
      <formula>$A126="Tunnel"</formula>
    </cfRule>
    <cfRule type="expression" dxfId="1474" priority="285">
      <formula>$A126="Bridge"</formula>
    </cfRule>
    <cfRule type="expression" dxfId="1473" priority="286">
      <formula>$A126="Drainage Works"</formula>
    </cfRule>
    <cfRule type="expression" dxfId="1472" priority="287">
      <formula>$A126="Underpass"</formula>
    </cfRule>
    <cfRule type="expression" dxfId="1471" priority="288">
      <formula>$A126="Overcrossing"</formula>
    </cfRule>
    <cfRule type="expression" dxfId="1470" priority="289">
      <formula>$A126="Overpass"</formula>
    </cfRule>
    <cfRule type="expression" dxfId="1469" priority="290">
      <formula>$A126="Station"</formula>
    </cfRule>
    <cfRule type="expression" dxfId="1468" priority="291">
      <formula>$A126="Overlap between sections"</formula>
    </cfRule>
  </conditionalFormatting>
  <conditionalFormatting sqref="AW130">
    <cfRule type="expression" dxfId="1467" priority="278">
      <formula>$M130="NON DEFINED"</formula>
    </cfRule>
    <cfRule type="expression" dxfId="1466" priority="279">
      <formula>$AZ130="N.D."</formula>
    </cfRule>
    <cfRule type="expression" dxfId="1465" priority="280">
      <formula>$AY130="N.D."</formula>
    </cfRule>
  </conditionalFormatting>
  <conditionalFormatting sqref="AW130">
    <cfRule type="expression" dxfId="1464" priority="267">
      <formula>$A130="Overhead Cable"</formula>
    </cfRule>
    <cfRule type="expression" dxfId="1463" priority="268">
      <formula>$A130="Level Crossing"</formula>
    </cfRule>
    <cfRule type="expression" dxfId="1462" priority="269">
      <formula>$A130="Neutral Section"</formula>
    </cfRule>
    <cfRule type="expression" dxfId="1461" priority="270">
      <formula>$A130="Tunnel"</formula>
    </cfRule>
    <cfRule type="expression" dxfId="1460" priority="271">
      <formula>$A130="Bridge"</formula>
    </cfRule>
    <cfRule type="expression" dxfId="1459" priority="272">
      <formula>$A130="Drainage Works"</formula>
    </cfRule>
    <cfRule type="expression" dxfId="1458" priority="273">
      <formula>$A130="Underpass"</formula>
    </cfRule>
    <cfRule type="expression" dxfId="1457" priority="274">
      <formula>$A130="Overcrossing"</formula>
    </cfRule>
    <cfRule type="expression" dxfId="1456" priority="275">
      <formula>$A130="Overpass"</formula>
    </cfRule>
    <cfRule type="expression" dxfId="1455" priority="276">
      <formula>$A130="Station"</formula>
    </cfRule>
    <cfRule type="expression" dxfId="1454" priority="277">
      <formula>$A130="Overlap between sections"</formula>
    </cfRule>
  </conditionalFormatting>
  <conditionalFormatting sqref="AX130">
    <cfRule type="expression" dxfId="1453" priority="264">
      <formula>$M130="NON DEFINED"</formula>
    </cfRule>
    <cfRule type="expression" dxfId="1452" priority="265">
      <formula>$AZ130="N.D."</formula>
    </cfRule>
    <cfRule type="expression" dxfId="1451" priority="266">
      <formula>$AY130="N.D."</formula>
    </cfRule>
  </conditionalFormatting>
  <conditionalFormatting sqref="AX130">
    <cfRule type="expression" dxfId="1450" priority="253">
      <formula>$A130="Overhead Cable"</formula>
    </cfRule>
    <cfRule type="expression" dxfId="1449" priority="254">
      <formula>$A130="Level Crossing"</formula>
    </cfRule>
    <cfRule type="expression" dxfId="1448" priority="255">
      <formula>$A130="Neutral Section"</formula>
    </cfRule>
    <cfRule type="expression" dxfId="1447" priority="256">
      <formula>$A130="Tunnel"</formula>
    </cfRule>
    <cfRule type="expression" dxfId="1446" priority="257">
      <formula>$A130="Bridge"</formula>
    </cfRule>
    <cfRule type="expression" dxfId="1445" priority="258">
      <formula>$A130="Drainage Works"</formula>
    </cfRule>
    <cfRule type="expression" dxfId="1444" priority="259">
      <formula>$A130="Underpass"</formula>
    </cfRule>
    <cfRule type="expression" dxfId="1443" priority="260">
      <formula>$A130="Overcrossing"</formula>
    </cfRule>
    <cfRule type="expression" dxfId="1442" priority="261">
      <formula>$A130="Overpass"</formula>
    </cfRule>
    <cfRule type="expression" dxfId="1441" priority="262">
      <formula>$A130="Station"</formula>
    </cfRule>
    <cfRule type="expression" dxfId="1440" priority="263">
      <formula>$A130="Overlap between sections"</formula>
    </cfRule>
  </conditionalFormatting>
  <conditionalFormatting sqref="AW132">
    <cfRule type="expression" dxfId="1439" priority="250">
      <formula>$M132="NON DEFINED"</formula>
    </cfRule>
    <cfRule type="expression" dxfId="1438" priority="251">
      <formula>$AZ132="N.D."</formula>
    </cfRule>
    <cfRule type="expression" dxfId="1437" priority="252">
      <formula>$AY132="N.D."</formula>
    </cfRule>
  </conditionalFormatting>
  <conditionalFormatting sqref="AW132">
    <cfRule type="expression" dxfId="1436" priority="239">
      <formula>$A132="Overhead Cable"</formula>
    </cfRule>
    <cfRule type="expression" dxfId="1435" priority="240">
      <formula>$A132="Level Crossing"</formula>
    </cfRule>
    <cfRule type="expression" dxfId="1434" priority="241">
      <formula>$A132="Neutral Section"</formula>
    </cfRule>
    <cfRule type="expression" dxfId="1433" priority="242">
      <formula>$A132="Tunnel"</formula>
    </cfRule>
    <cfRule type="expression" dxfId="1432" priority="243">
      <formula>$A132="Bridge"</formula>
    </cfRule>
    <cfRule type="expression" dxfId="1431" priority="244">
      <formula>$A132="Drainage Works"</formula>
    </cfRule>
    <cfRule type="expression" dxfId="1430" priority="245">
      <formula>$A132="Underpass"</formula>
    </cfRule>
    <cfRule type="expression" dxfId="1429" priority="246">
      <formula>$A132="Overcrossing"</formula>
    </cfRule>
    <cfRule type="expression" dxfId="1428" priority="247">
      <formula>$A132="Overpass"</formula>
    </cfRule>
    <cfRule type="expression" dxfId="1427" priority="248">
      <formula>$A132="Station"</formula>
    </cfRule>
    <cfRule type="expression" dxfId="1426" priority="249">
      <formula>$A132="Overlap between sections"</formula>
    </cfRule>
  </conditionalFormatting>
  <conditionalFormatting sqref="AX132">
    <cfRule type="expression" dxfId="1425" priority="236">
      <formula>$M132="NON DEFINED"</formula>
    </cfRule>
    <cfRule type="expression" dxfId="1424" priority="237">
      <formula>$AZ132="N.D."</formula>
    </cfRule>
    <cfRule type="expression" dxfId="1423" priority="238">
      <formula>$AY132="N.D."</formula>
    </cfRule>
  </conditionalFormatting>
  <conditionalFormatting sqref="AX132">
    <cfRule type="expression" dxfId="1422" priority="225">
      <formula>$A132="Overhead Cable"</formula>
    </cfRule>
    <cfRule type="expression" dxfId="1421" priority="226">
      <formula>$A132="Level Crossing"</formula>
    </cfRule>
    <cfRule type="expression" dxfId="1420" priority="227">
      <formula>$A132="Neutral Section"</formula>
    </cfRule>
    <cfRule type="expression" dxfId="1419" priority="228">
      <formula>$A132="Tunnel"</formula>
    </cfRule>
    <cfRule type="expression" dxfId="1418" priority="229">
      <formula>$A132="Bridge"</formula>
    </cfRule>
    <cfRule type="expression" dxfId="1417" priority="230">
      <formula>$A132="Drainage Works"</formula>
    </cfRule>
    <cfRule type="expression" dxfId="1416" priority="231">
      <formula>$A132="Underpass"</formula>
    </cfRule>
    <cfRule type="expression" dxfId="1415" priority="232">
      <formula>$A132="Overcrossing"</formula>
    </cfRule>
    <cfRule type="expression" dxfId="1414" priority="233">
      <formula>$A132="Overpass"</formula>
    </cfRule>
    <cfRule type="expression" dxfId="1413" priority="234">
      <formula>$A132="Station"</formula>
    </cfRule>
    <cfRule type="expression" dxfId="1412" priority="235">
      <formula>$A132="Overlap between sections"</formula>
    </cfRule>
  </conditionalFormatting>
  <conditionalFormatting sqref="N40">
    <cfRule type="expression" dxfId="1411" priority="222">
      <formula>$M40="NON DEFINED"</formula>
    </cfRule>
    <cfRule type="expression" dxfId="1410" priority="223">
      <formula>$AZ40="N.D."</formula>
    </cfRule>
    <cfRule type="expression" dxfId="1409" priority="224">
      <formula>$AY40="N.D."</formula>
    </cfRule>
  </conditionalFormatting>
  <conditionalFormatting sqref="N40">
    <cfRule type="expression" dxfId="1408" priority="211">
      <formula>$A40="Overhead Cable"</formula>
    </cfRule>
    <cfRule type="expression" dxfId="1407" priority="212">
      <formula>$A40="Level Crossing"</formula>
    </cfRule>
    <cfRule type="expression" dxfId="1406" priority="213">
      <formula>$A40="Neutral Section"</formula>
    </cfRule>
    <cfRule type="expression" dxfId="1405" priority="214">
      <formula>$A40="Tunnel"</formula>
    </cfRule>
    <cfRule type="expression" dxfId="1404" priority="215">
      <formula>$A40="Bridge"</formula>
    </cfRule>
    <cfRule type="expression" dxfId="1403" priority="216">
      <formula>$A40="Drainage Works"</formula>
    </cfRule>
    <cfRule type="expression" dxfId="1402" priority="217">
      <formula>$A40="Underpass"</formula>
    </cfRule>
    <cfRule type="expression" dxfId="1401" priority="218">
      <formula>$A40="Overcrossing"</formula>
    </cfRule>
    <cfRule type="expression" dxfId="1400" priority="219">
      <formula>$A40="Overpass"</formula>
    </cfRule>
    <cfRule type="expression" dxfId="1399" priority="220">
      <formula>$A40="Station"</formula>
    </cfRule>
    <cfRule type="expression" dxfId="1398" priority="221">
      <formula>$A40="Overlap between sections"</formula>
    </cfRule>
  </conditionalFormatting>
  <conditionalFormatting sqref="W38">
    <cfRule type="expression" dxfId="1397" priority="208">
      <formula>$M38="NON DEFINED"</formula>
    </cfRule>
    <cfRule type="expression" dxfId="1396" priority="209">
      <formula>$AZ38="N.D."</formula>
    </cfRule>
    <cfRule type="expression" dxfId="1395" priority="210">
      <formula>$AY38="N.D."</formula>
    </cfRule>
  </conditionalFormatting>
  <conditionalFormatting sqref="W38">
    <cfRule type="expression" dxfId="1394" priority="197">
      <formula>$A38="Overhead Cable"</formula>
    </cfRule>
    <cfRule type="expression" dxfId="1393" priority="198">
      <formula>$A38="Level Crossing"</formula>
    </cfRule>
    <cfRule type="expression" dxfId="1392" priority="199">
      <formula>$A38="Neutral Section"</formula>
    </cfRule>
    <cfRule type="expression" dxfId="1391" priority="200">
      <formula>$A38="Tunnel"</formula>
    </cfRule>
    <cfRule type="expression" dxfId="1390" priority="201">
      <formula>$A38="Bridge"</formula>
    </cfRule>
    <cfRule type="expression" dxfId="1389" priority="202">
      <formula>$A38="Drainage Works"</formula>
    </cfRule>
    <cfRule type="expression" dxfId="1388" priority="203">
      <formula>$A38="Underpass"</formula>
    </cfRule>
    <cfRule type="expression" dxfId="1387" priority="204">
      <formula>$A38="Overcrossing"</formula>
    </cfRule>
    <cfRule type="expression" dxfId="1386" priority="205">
      <formula>$A38="Overpass"</formula>
    </cfRule>
    <cfRule type="expression" dxfId="1385" priority="206">
      <formula>$A38="Station"</formula>
    </cfRule>
    <cfRule type="expression" dxfId="1384" priority="207">
      <formula>$A38="Overlap between sections"</formula>
    </cfRule>
  </conditionalFormatting>
  <conditionalFormatting sqref="X38">
    <cfRule type="expression" dxfId="1383" priority="194">
      <formula>$M38="NON DEFINED"</formula>
    </cfRule>
    <cfRule type="expression" dxfId="1382" priority="195">
      <formula>$AZ38="N.D."</formula>
    </cfRule>
    <cfRule type="expression" dxfId="1381" priority="196">
      <formula>$AY38="N.D."</formula>
    </cfRule>
  </conditionalFormatting>
  <conditionalFormatting sqref="X38">
    <cfRule type="expression" dxfId="1380" priority="183">
      <formula>$A38="Overhead Cable"</formula>
    </cfRule>
    <cfRule type="expression" dxfId="1379" priority="184">
      <formula>$A38="Level Crossing"</formula>
    </cfRule>
    <cfRule type="expression" dxfId="1378" priority="185">
      <formula>$A38="Neutral Section"</formula>
    </cfRule>
    <cfRule type="expression" dxfId="1377" priority="186">
      <formula>$A38="Tunnel"</formula>
    </cfRule>
    <cfRule type="expression" dxfId="1376" priority="187">
      <formula>$A38="Bridge"</formula>
    </cfRule>
    <cfRule type="expression" dxfId="1375" priority="188">
      <formula>$A38="Drainage Works"</formula>
    </cfRule>
    <cfRule type="expression" dxfId="1374" priority="189">
      <formula>$A38="Underpass"</formula>
    </cfRule>
    <cfRule type="expression" dxfId="1373" priority="190">
      <formula>$A38="Overcrossing"</formula>
    </cfRule>
    <cfRule type="expression" dxfId="1372" priority="191">
      <formula>$A38="Overpass"</formula>
    </cfRule>
    <cfRule type="expression" dxfId="1371" priority="192">
      <formula>$A38="Station"</formula>
    </cfRule>
    <cfRule type="expression" dxfId="1370" priority="193">
      <formula>$A38="Overlap between sections"</formula>
    </cfRule>
  </conditionalFormatting>
  <conditionalFormatting sqref="W40">
    <cfRule type="expression" dxfId="1369" priority="180">
      <formula>$M40="NON DEFINED"</formula>
    </cfRule>
    <cfRule type="expression" dxfId="1368" priority="181">
      <formula>$AZ40="N.D."</formula>
    </cfRule>
    <cfRule type="expression" dxfId="1367" priority="182">
      <formula>$AY40="N.D."</formula>
    </cfRule>
  </conditionalFormatting>
  <conditionalFormatting sqref="W40">
    <cfRule type="expression" dxfId="1366" priority="169">
      <formula>$A40="Overhead Cable"</formula>
    </cfRule>
    <cfRule type="expression" dxfId="1365" priority="170">
      <formula>$A40="Level Crossing"</formula>
    </cfRule>
    <cfRule type="expression" dxfId="1364" priority="171">
      <formula>$A40="Neutral Section"</formula>
    </cfRule>
    <cfRule type="expression" dxfId="1363" priority="172">
      <formula>$A40="Tunnel"</formula>
    </cfRule>
    <cfRule type="expression" dxfId="1362" priority="173">
      <formula>$A40="Bridge"</formula>
    </cfRule>
    <cfRule type="expression" dxfId="1361" priority="174">
      <formula>$A40="Drainage Works"</formula>
    </cfRule>
    <cfRule type="expression" dxfId="1360" priority="175">
      <formula>$A40="Underpass"</formula>
    </cfRule>
    <cfRule type="expression" dxfId="1359" priority="176">
      <formula>$A40="Overcrossing"</formula>
    </cfRule>
    <cfRule type="expression" dxfId="1358" priority="177">
      <formula>$A40="Overpass"</formula>
    </cfRule>
    <cfRule type="expression" dxfId="1357" priority="178">
      <formula>$A40="Station"</formula>
    </cfRule>
    <cfRule type="expression" dxfId="1356" priority="179">
      <formula>$A40="Overlap between sections"</formula>
    </cfRule>
  </conditionalFormatting>
  <conditionalFormatting sqref="X40">
    <cfRule type="expression" dxfId="1355" priority="166">
      <formula>$M40="NON DEFINED"</formula>
    </cfRule>
    <cfRule type="expression" dxfId="1354" priority="167">
      <formula>$AZ40="N.D."</formula>
    </cfRule>
    <cfRule type="expression" dxfId="1353" priority="168">
      <formula>$AY40="N.D."</formula>
    </cfRule>
  </conditionalFormatting>
  <conditionalFormatting sqref="X40">
    <cfRule type="expression" dxfId="1352" priority="155">
      <formula>$A40="Overhead Cable"</formula>
    </cfRule>
    <cfRule type="expression" dxfId="1351" priority="156">
      <formula>$A40="Level Crossing"</formula>
    </cfRule>
    <cfRule type="expression" dxfId="1350" priority="157">
      <formula>$A40="Neutral Section"</formula>
    </cfRule>
    <cfRule type="expression" dxfId="1349" priority="158">
      <formula>$A40="Tunnel"</formula>
    </cfRule>
    <cfRule type="expression" dxfId="1348" priority="159">
      <formula>$A40="Bridge"</formula>
    </cfRule>
    <cfRule type="expression" dxfId="1347" priority="160">
      <formula>$A40="Drainage Works"</formula>
    </cfRule>
    <cfRule type="expression" dxfId="1346" priority="161">
      <formula>$A40="Underpass"</formula>
    </cfRule>
    <cfRule type="expression" dxfId="1345" priority="162">
      <formula>$A40="Overcrossing"</formula>
    </cfRule>
    <cfRule type="expression" dxfId="1344" priority="163">
      <formula>$A40="Overpass"</formula>
    </cfRule>
    <cfRule type="expression" dxfId="1343" priority="164">
      <formula>$A40="Station"</formula>
    </cfRule>
    <cfRule type="expression" dxfId="1342" priority="165">
      <formula>$A40="Overlap between sections"</formula>
    </cfRule>
  </conditionalFormatting>
  <conditionalFormatting sqref="N74">
    <cfRule type="expression" dxfId="1341" priority="152">
      <formula>$M74="NON DEFINED"</formula>
    </cfRule>
    <cfRule type="expression" dxfId="1340" priority="153">
      <formula>$AZ74="N.D."</formula>
    </cfRule>
    <cfRule type="expression" dxfId="1339" priority="154">
      <formula>$AY74="N.D."</formula>
    </cfRule>
  </conditionalFormatting>
  <conditionalFormatting sqref="N74">
    <cfRule type="expression" dxfId="1338" priority="141">
      <formula>$A74="Overhead Cable"</formula>
    </cfRule>
    <cfRule type="expression" dxfId="1337" priority="142">
      <formula>$A74="Level Crossing"</formula>
    </cfRule>
    <cfRule type="expression" dxfId="1336" priority="143">
      <formula>$A74="Neutral Section"</formula>
    </cfRule>
    <cfRule type="expression" dxfId="1335" priority="144">
      <formula>$A74="Tunnel"</formula>
    </cfRule>
    <cfRule type="expression" dxfId="1334" priority="145">
      <formula>$A74="Bridge"</formula>
    </cfRule>
    <cfRule type="expression" dxfId="1333" priority="146">
      <formula>$A74="Drainage Works"</formula>
    </cfRule>
    <cfRule type="expression" dxfId="1332" priority="147">
      <formula>$A74="Underpass"</formula>
    </cfRule>
    <cfRule type="expression" dxfId="1331" priority="148">
      <formula>$A74="Overcrossing"</formula>
    </cfRule>
    <cfRule type="expression" dxfId="1330" priority="149">
      <formula>$A74="Overpass"</formula>
    </cfRule>
    <cfRule type="expression" dxfId="1329" priority="150">
      <formula>$A74="Station"</formula>
    </cfRule>
    <cfRule type="expression" dxfId="1328" priority="151">
      <formula>$A74="Overlap between sections"</formula>
    </cfRule>
  </conditionalFormatting>
  <conditionalFormatting sqref="AE72">
    <cfRule type="expression" dxfId="1327" priority="138">
      <formula>$M72="NON DEFINED"</formula>
    </cfRule>
    <cfRule type="expression" dxfId="1326" priority="139">
      <formula>$AZ72="N.D."</formula>
    </cfRule>
    <cfRule type="expression" dxfId="1325" priority="140">
      <formula>$AY72="N.D."</formula>
    </cfRule>
  </conditionalFormatting>
  <conditionalFormatting sqref="AE72">
    <cfRule type="expression" dxfId="1324" priority="127">
      <formula>$A72="Overhead Cable"</formula>
    </cfRule>
    <cfRule type="expression" dxfId="1323" priority="128">
      <formula>$A72="Level Crossing"</formula>
    </cfRule>
    <cfRule type="expression" dxfId="1322" priority="129">
      <formula>$A72="Neutral Section"</formula>
    </cfRule>
    <cfRule type="expression" dxfId="1321" priority="130">
      <formula>$A72="Tunnel"</formula>
    </cfRule>
    <cfRule type="expression" dxfId="1320" priority="131">
      <formula>$A72="Bridge"</formula>
    </cfRule>
    <cfRule type="expression" dxfId="1319" priority="132">
      <formula>$A72="Drainage Works"</formula>
    </cfRule>
    <cfRule type="expression" dxfId="1318" priority="133">
      <formula>$A72="Underpass"</formula>
    </cfRule>
    <cfRule type="expression" dxfId="1317" priority="134">
      <formula>$A72="Overcrossing"</formula>
    </cfRule>
    <cfRule type="expression" dxfId="1316" priority="135">
      <formula>$A72="Overpass"</formula>
    </cfRule>
    <cfRule type="expression" dxfId="1315" priority="136">
      <formula>$A72="Station"</formula>
    </cfRule>
    <cfRule type="expression" dxfId="1314" priority="137">
      <formula>$A72="Overlap between sections"</formula>
    </cfRule>
  </conditionalFormatting>
  <conditionalFormatting sqref="AD74">
    <cfRule type="expression" dxfId="1313" priority="124">
      <formula>$M74="NON DEFINED"</formula>
    </cfRule>
    <cfRule type="expression" dxfId="1312" priority="125">
      <formula>$AZ74="N.D."</formula>
    </cfRule>
    <cfRule type="expression" dxfId="1311" priority="126">
      <formula>$AY74="N.D."</formula>
    </cfRule>
  </conditionalFormatting>
  <conditionalFormatting sqref="AD74">
    <cfRule type="expression" dxfId="1310" priority="113">
      <formula>$A74="Overhead Cable"</formula>
    </cfRule>
    <cfRule type="expression" dxfId="1309" priority="114">
      <formula>$A74="Level Crossing"</formula>
    </cfRule>
    <cfRule type="expression" dxfId="1308" priority="115">
      <formula>$A74="Neutral Section"</formula>
    </cfRule>
    <cfRule type="expression" dxfId="1307" priority="116">
      <formula>$A74="Tunnel"</formula>
    </cfRule>
    <cfRule type="expression" dxfId="1306" priority="117">
      <formula>$A74="Bridge"</formula>
    </cfRule>
    <cfRule type="expression" dxfId="1305" priority="118">
      <formula>$A74="Drainage Works"</formula>
    </cfRule>
    <cfRule type="expression" dxfId="1304" priority="119">
      <formula>$A74="Underpass"</formula>
    </cfRule>
    <cfRule type="expression" dxfId="1303" priority="120">
      <formula>$A74="Overcrossing"</formula>
    </cfRule>
    <cfRule type="expression" dxfId="1302" priority="121">
      <formula>$A74="Overpass"</formula>
    </cfRule>
    <cfRule type="expression" dxfId="1301" priority="122">
      <formula>$A74="Station"</formula>
    </cfRule>
    <cfRule type="expression" dxfId="1300" priority="123">
      <formula>$A74="Overlap between sections"</formula>
    </cfRule>
  </conditionalFormatting>
  <conditionalFormatting sqref="AE68">
    <cfRule type="expression" dxfId="1299" priority="110">
      <formula>$M68="NON DEFINED"</formula>
    </cfRule>
    <cfRule type="expression" dxfId="1298" priority="111">
      <formula>$AZ68="N.D."</formula>
    </cfRule>
    <cfRule type="expression" dxfId="1297" priority="112">
      <formula>$AY68="N.D."</formula>
    </cfRule>
  </conditionalFormatting>
  <conditionalFormatting sqref="AE68">
    <cfRule type="expression" dxfId="1296" priority="99">
      <formula>$A68="Overhead Cable"</formula>
    </cfRule>
    <cfRule type="expression" dxfId="1295" priority="100">
      <formula>$A68="Level Crossing"</formula>
    </cfRule>
    <cfRule type="expression" dxfId="1294" priority="101">
      <formula>$A68="Neutral Section"</formula>
    </cfRule>
    <cfRule type="expression" dxfId="1293" priority="102">
      <formula>$A68="Tunnel"</formula>
    </cfRule>
    <cfRule type="expression" dxfId="1292" priority="103">
      <formula>$A68="Bridge"</formula>
    </cfRule>
    <cfRule type="expression" dxfId="1291" priority="104">
      <formula>$A68="Drainage Works"</formula>
    </cfRule>
    <cfRule type="expression" dxfId="1290" priority="105">
      <formula>$A68="Underpass"</formula>
    </cfRule>
    <cfRule type="expression" dxfId="1289" priority="106">
      <formula>$A68="Overcrossing"</formula>
    </cfRule>
    <cfRule type="expression" dxfId="1288" priority="107">
      <formula>$A68="Overpass"</formula>
    </cfRule>
    <cfRule type="expression" dxfId="1287" priority="108">
      <formula>$A68="Station"</formula>
    </cfRule>
    <cfRule type="expression" dxfId="1286" priority="109">
      <formula>$A68="Overlap between sections"</formula>
    </cfRule>
  </conditionalFormatting>
  <conditionalFormatting sqref="W108">
    <cfRule type="expression" dxfId="1285" priority="96">
      <formula>$M108="NON DEFINED"</formula>
    </cfRule>
    <cfRule type="expression" dxfId="1284" priority="97">
      <formula>$AZ108="N.D."</formula>
    </cfRule>
    <cfRule type="expression" dxfId="1283" priority="98">
      <formula>$AY108="N.D."</formula>
    </cfRule>
  </conditionalFormatting>
  <conditionalFormatting sqref="W108">
    <cfRule type="expression" dxfId="1282" priority="85">
      <formula>$A108="Overhead Cable"</formula>
    </cfRule>
    <cfRule type="expression" dxfId="1281" priority="86">
      <formula>$A108="Level Crossing"</formula>
    </cfRule>
    <cfRule type="expression" dxfId="1280" priority="87">
      <formula>$A108="Neutral Section"</formula>
    </cfRule>
    <cfRule type="expression" dxfId="1279" priority="88">
      <formula>$A108="Tunnel"</formula>
    </cfRule>
    <cfRule type="expression" dxfId="1278" priority="89">
      <formula>$A108="Bridge"</formula>
    </cfRule>
    <cfRule type="expression" dxfId="1277" priority="90">
      <formula>$A108="Drainage Works"</formula>
    </cfRule>
    <cfRule type="expression" dxfId="1276" priority="91">
      <formula>$A108="Underpass"</formula>
    </cfRule>
    <cfRule type="expression" dxfId="1275" priority="92">
      <formula>$A108="Overcrossing"</formula>
    </cfRule>
    <cfRule type="expression" dxfId="1274" priority="93">
      <formula>$A108="Overpass"</formula>
    </cfRule>
    <cfRule type="expression" dxfId="1273" priority="94">
      <formula>$A108="Station"</formula>
    </cfRule>
    <cfRule type="expression" dxfId="1272" priority="95">
      <formula>$A108="Overlap between sections"</formula>
    </cfRule>
  </conditionalFormatting>
  <conditionalFormatting sqref="X108">
    <cfRule type="expression" dxfId="1271" priority="82">
      <formula>$M108="NON DEFINED"</formula>
    </cfRule>
    <cfRule type="expression" dxfId="1270" priority="83">
      <formula>$AZ108="N.D."</formula>
    </cfRule>
    <cfRule type="expression" dxfId="1269" priority="84">
      <formula>$AY108="N.D."</formula>
    </cfRule>
  </conditionalFormatting>
  <conditionalFormatting sqref="X108">
    <cfRule type="expression" dxfId="1268" priority="71">
      <formula>$A108="Overhead Cable"</formula>
    </cfRule>
    <cfRule type="expression" dxfId="1267" priority="72">
      <formula>$A108="Level Crossing"</formula>
    </cfRule>
    <cfRule type="expression" dxfId="1266" priority="73">
      <formula>$A108="Neutral Section"</formula>
    </cfRule>
    <cfRule type="expression" dxfId="1265" priority="74">
      <formula>$A108="Tunnel"</formula>
    </cfRule>
    <cfRule type="expression" dxfId="1264" priority="75">
      <formula>$A108="Bridge"</formula>
    </cfRule>
    <cfRule type="expression" dxfId="1263" priority="76">
      <formula>$A108="Drainage Works"</formula>
    </cfRule>
    <cfRule type="expression" dxfId="1262" priority="77">
      <formula>$A108="Underpass"</formula>
    </cfRule>
    <cfRule type="expression" dxfId="1261" priority="78">
      <formula>$A108="Overcrossing"</formula>
    </cfRule>
    <cfRule type="expression" dxfId="1260" priority="79">
      <formula>$A108="Overpass"</formula>
    </cfRule>
    <cfRule type="expression" dxfId="1259" priority="80">
      <formula>$A108="Station"</formula>
    </cfRule>
    <cfRule type="expression" dxfId="1258" priority="81">
      <formula>$A108="Overlap between sections"</formula>
    </cfRule>
  </conditionalFormatting>
  <conditionalFormatting sqref="AC116">
    <cfRule type="expression" dxfId="1257" priority="68">
      <formula>$M116="NON DEFINED"</formula>
    </cfRule>
    <cfRule type="expression" dxfId="1256" priority="69">
      <formula>$AZ116="N.D."</formula>
    </cfRule>
    <cfRule type="expression" dxfId="1255" priority="70">
      <formula>$AY116="N.D."</formula>
    </cfRule>
  </conditionalFormatting>
  <conditionalFormatting sqref="AC116">
    <cfRule type="expression" dxfId="1254" priority="57">
      <formula>$A116="Overhead Cable"</formula>
    </cfRule>
    <cfRule type="expression" dxfId="1253" priority="58">
      <formula>$A116="Level Crossing"</formula>
    </cfRule>
    <cfRule type="expression" dxfId="1252" priority="59">
      <formula>$A116="Neutral Section"</formula>
    </cfRule>
    <cfRule type="expression" dxfId="1251" priority="60">
      <formula>$A116="Tunnel"</formula>
    </cfRule>
    <cfRule type="expression" dxfId="1250" priority="61">
      <formula>$A116="Bridge"</formula>
    </cfRule>
    <cfRule type="expression" dxfId="1249" priority="62">
      <formula>$A116="Drainage Works"</formula>
    </cfRule>
    <cfRule type="expression" dxfId="1248" priority="63">
      <formula>$A116="Underpass"</formula>
    </cfRule>
    <cfRule type="expression" dxfId="1247" priority="64">
      <formula>$A116="Overcrossing"</formula>
    </cfRule>
    <cfRule type="expression" dxfId="1246" priority="65">
      <formula>$A116="Overpass"</formula>
    </cfRule>
    <cfRule type="expression" dxfId="1245" priority="66">
      <formula>$A116="Station"</formula>
    </cfRule>
    <cfRule type="expression" dxfId="1244" priority="67">
      <formula>$A116="Overlap between sections"</formula>
    </cfRule>
  </conditionalFormatting>
  <conditionalFormatting sqref="AC36">
    <cfRule type="expression" dxfId="1243" priority="54">
      <formula>$M36="NON DEFINED"</formula>
    </cfRule>
    <cfRule type="expression" dxfId="1242" priority="55">
      <formula>$AZ36="N.D."</formula>
    </cfRule>
    <cfRule type="expression" dxfId="1241" priority="56">
      <formula>$AY36="N.D."</formula>
    </cfRule>
  </conditionalFormatting>
  <conditionalFormatting sqref="AC36">
    <cfRule type="expression" dxfId="1240" priority="43">
      <formula>$A36="Overhead Cable"</formula>
    </cfRule>
    <cfRule type="expression" dxfId="1239" priority="44">
      <formula>$A36="Level Crossing"</formula>
    </cfRule>
    <cfRule type="expression" dxfId="1238" priority="45">
      <formula>$A36="Neutral Section"</formula>
    </cfRule>
    <cfRule type="expression" dxfId="1237" priority="46">
      <formula>$A36="Tunnel"</formula>
    </cfRule>
    <cfRule type="expression" dxfId="1236" priority="47">
      <formula>$A36="Bridge"</formula>
    </cfRule>
    <cfRule type="expression" dxfId="1235" priority="48">
      <formula>$A36="Drainage Works"</formula>
    </cfRule>
    <cfRule type="expression" dxfId="1234" priority="49">
      <formula>$A36="Underpass"</formula>
    </cfRule>
    <cfRule type="expression" dxfId="1233" priority="50">
      <formula>$A36="Overcrossing"</formula>
    </cfRule>
    <cfRule type="expression" dxfId="1232" priority="51">
      <formula>$A36="Overpass"</formula>
    </cfRule>
    <cfRule type="expression" dxfId="1231" priority="52">
      <formula>$A36="Station"</formula>
    </cfRule>
    <cfRule type="expression" dxfId="1230" priority="53">
      <formula>$A36="Overlap between sections"</formula>
    </cfRule>
  </conditionalFormatting>
  <conditionalFormatting sqref="AC38">
    <cfRule type="expression" dxfId="1229" priority="40">
      <formula>$M38="NON DEFINED"</formula>
    </cfRule>
    <cfRule type="expression" dxfId="1228" priority="41">
      <formula>$AZ38="N.D."</formula>
    </cfRule>
    <cfRule type="expression" dxfId="1227" priority="42">
      <formula>$AY38="N.D."</formula>
    </cfRule>
  </conditionalFormatting>
  <conditionalFormatting sqref="AC38">
    <cfRule type="expression" dxfId="1226" priority="29">
      <formula>$A38="Overhead Cable"</formula>
    </cfRule>
    <cfRule type="expression" dxfId="1225" priority="30">
      <formula>$A38="Level Crossing"</formula>
    </cfRule>
    <cfRule type="expression" dxfId="1224" priority="31">
      <formula>$A38="Neutral Section"</formula>
    </cfRule>
    <cfRule type="expression" dxfId="1223" priority="32">
      <formula>$A38="Tunnel"</formula>
    </cfRule>
    <cfRule type="expression" dxfId="1222" priority="33">
      <formula>$A38="Bridge"</formula>
    </cfRule>
    <cfRule type="expression" dxfId="1221" priority="34">
      <formula>$A38="Drainage Works"</formula>
    </cfRule>
    <cfRule type="expression" dxfId="1220" priority="35">
      <formula>$A38="Underpass"</formula>
    </cfRule>
    <cfRule type="expression" dxfId="1219" priority="36">
      <formula>$A38="Overcrossing"</formula>
    </cfRule>
    <cfRule type="expression" dxfId="1218" priority="37">
      <formula>$A38="Overpass"</formula>
    </cfRule>
    <cfRule type="expression" dxfId="1217" priority="38">
      <formula>$A38="Station"</formula>
    </cfRule>
    <cfRule type="expression" dxfId="1216" priority="39">
      <formula>$A38="Overlap between sections"</formula>
    </cfRule>
  </conditionalFormatting>
  <conditionalFormatting sqref="AD38">
    <cfRule type="expression" dxfId="1215" priority="26">
      <formula>$M38="NON DEFINED"</formula>
    </cfRule>
    <cfRule type="expression" dxfId="1214" priority="27">
      <formula>$AZ38="N.D."</formula>
    </cfRule>
    <cfRule type="expression" dxfId="1213" priority="28">
      <formula>$AY38="N.D."</formula>
    </cfRule>
  </conditionalFormatting>
  <conditionalFormatting sqref="AD38">
    <cfRule type="expression" dxfId="1212" priority="15">
      <formula>$A38="Overhead Cable"</formula>
    </cfRule>
    <cfRule type="expression" dxfId="1211" priority="16">
      <formula>$A38="Level Crossing"</formula>
    </cfRule>
    <cfRule type="expression" dxfId="1210" priority="17">
      <formula>$A38="Neutral Section"</formula>
    </cfRule>
    <cfRule type="expression" dxfId="1209" priority="18">
      <formula>$A38="Tunnel"</formula>
    </cfRule>
    <cfRule type="expression" dxfId="1208" priority="19">
      <formula>$A38="Bridge"</formula>
    </cfRule>
    <cfRule type="expression" dxfId="1207" priority="20">
      <formula>$A38="Drainage Works"</formula>
    </cfRule>
    <cfRule type="expression" dxfId="1206" priority="21">
      <formula>$A38="Underpass"</formula>
    </cfRule>
    <cfRule type="expression" dxfId="1205" priority="22">
      <formula>$A38="Overcrossing"</formula>
    </cfRule>
    <cfRule type="expression" dxfId="1204" priority="23">
      <formula>$A38="Overpass"</formula>
    </cfRule>
    <cfRule type="expression" dxfId="1203" priority="24">
      <formula>$A38="Station"</formula>
    </cfRule>
    <cfRule type="expression" dxfId="1202" priority="25">
      <formula>$A38="Overlap between sections"</formula>
    </cfRule>
  </conditionalFormatting>
  <conditionalFormatting sqref="AC40">
    <cfRule type="expression" dxfId="1201" priority="12">
      <formula>$M40="NON DEFINED"</formula>
    </cfRule>
    <cfRule type="expression" dxfId="1200" priority="13">
      <formula>$AZ40="N.D."</formula>
    </cfRule>
    <cfRule type="expression" dxfId="1199" priority="14">
      <formula>$AY40="N.D."</formula>
    </cfRule>
  </conditionalFormatting>
  <conditionalFormatting sqref="AC40">
    <cfRule type="expression" dxfId="1198" priority="1">
      <formula>$A40="Overhead Cable"</formula>
    </cfRule>
    <cfRule type="expression" dxfId="1197" priority="2">
      <formula>$A40="Level Crossing"</formula>
    </cfRule>
    <cfRule type="expression" dxfId="1196" priority="3">
      <formula>$A40="Neutral Section"</formula>
    </cfRule>
    <cfRule type="expression" dxfId="1195" priority="4">
      <formula>$A40="Tunnel"</formula>
    </cfRule>
    <cfRule type="expression" dxfId="1194" priority="5">
      <formula>$A40="Bridge"</formula>
    </cfRule>
    <cfRule type="expression" dxfId="1193" priority="6">
      <formula>$A40="Drainage Works"</formula>
    </cfRule>
    <cfRule type="expression" dxfId="1192" priority="7">
      <formula>$A40="Underpass"</formula>
    </cfRule>
    <cfRule type="expression" dxfId="1191" priority="8">
      <formula>$A40="Overcrossing"</formula>
    </cfRule>
    <cfRule type="expression" dxfId="1190" priority="9">
      <formula>$A40="Overpass"</formula>
    </cfRule>
    <cfRule type="expression" dxfId="1189" priority="10">
      <formula>$A40="Station"</formula>
    </cfRule>
    <cfRule type="expression" dxfId="1188" priority="11">
      <formula>$A40="Overlap between sections"</formula>
    </cfRule>
  </conditionalFormatting>
  <printOptions horizontalCentered="1" gridLines="1"/>
  <pageMargins left="0.39370078740157483" right="0.39370078740157483" top="0.78740157480314965" bottom="0.78740157480314965" header="0.31496062992125984" footer="0.31496062992125984"/>
  <pageSetup paperSize="9" scale="52" fitToHeight="0" orientation="landscape" r:id="rId1"/>
  <headerFooter alignWithMargins="0">
    <oddHeader>&amp;L&amp;G&amp;C
LAYOUT AND EQUIPMENT
EP 11A TRACK 6 PMO
KP 03-100 to -00+168&amp;R&amp;G</oddHeader>
    <oddFooter>&amp;L&amp;G
&amp;F&amp;C&amp;D&amp;RPag &amp;P of &amp;N</oddFooter>
  </headerFooter>
  <legacy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tabColor theme="5" tint="0.79998168889431442"/>
    <pageSetUpPr fitToPage="1"/>
  </sheetPr>
  <dimension ref="A1:AO84"/>
  <sheetViews>
    <sheetView zoomScale="80" zoomScaleNormal="80" workbookViewId="0">
      <pane ySplit="1" topLeftCell="A32" activePane="bottomLeft" state="frozen"/>
      <selection pane="bottomLeft" activeCell="G80" sqref="G80"/>
    </sheetView>
  </sheetViews>
  <sheetFormatPr baseColWidth="10" defaultColWidth="11.44140625" defaultRowHeight="13.2"/>
  <cols>
    <col min="1" max="1" width="44.33203125" style="409" bestFit="1" customWidth="1"/>
    <col min="2" max="2" width="23.109375" style="409" bestFit="1" customWidth="1"/>
    <col min="3" max="3" width="11.44140625" style="409"/>
    <col min="4" max="4" width="35.6640625" style="409" bestFit="1" customWidth="1"/>
    <col min="5" max="5" width="14.88671875" style="409" bestFit="1" customWidth="1"/>
    <col min="6" max="6" width="11.44140625" style="409"/>
    <col min="7" max="7" width="24.6640625" style="409" customWidth="1"/>
    <col min="8" max="9" width="13.33203125" style="409" customWidth="1"/>
    <col min="10" max="10" width="11.5546875" style="409" customWidth="1"/>
    <col min="11" max="11" width="7.5546875" style="409" customWidth="1"/>
    <col min="12" max="12" width="11.44140625" style="409"/>
    <col min="13" max="13" width="24.6640625" style="409" customWidth="1"/>
    <col min="14" max="15" width="13.33203125" style="409" customWidth="1"/>
    <col min="16" max="16" width="11.5546875" style="409" customWidth="1"/>
    <col min="17" max="17" width="7.5546875" style="409" customWidth="1"/>
    <col min="18" max="18" width="11.44140625" style="409"/>
    <col min="19" max="19" width="24.6640625" style="409" customWidth="1"/>
    <col min="20" max="21" width="13.33203125" style="409" customWidth="1"/>
    <col min="22" max="22" width="11.5546875" style="409" customWidth="1"/>
    <col min="23" max="23" width="7.5546875" style="409" customWidth="1"/>
    <col min="24" max="24" width="11.44140625" style="409"/>
    <col min="25" max="25" width="24.6640625" style="409" customWidth="1"/>
    <col min="26" max="27" width="13.33203125" style="409" customWidth="1"/>
    <col min="28" max="28" width="11.5546875" style="409" customWidth="1"/>
    <col min="29" max="29" width="7.5546875" style="409" customWidth="1"/>
    <col min="30" max="30" width="11.44140625" style="409"/>
    <col min="31" max="31" width="24.6640625" style="409" customWidth="1"/>
    <col min="32" max="33" width="13.33203125" style="409" customWidth="1"/>
    <col min="34" max="34" width="11.5546875" style="409" customWidth="1"/>
    <col min="35" max="35" width="7.5546875" style="409" customWidth="1"/>
    <col min="36" max="36" width="11.44140625" style="409"/>
    <col min="37" max="37" width="24.6640625" style="409" customWidth="1"/>
    <col min="38" max="39" width="13.33203125" style="409" customWidth="1"/>
    <col min="40" max="40" width="11.5546875" style="409" customWidth="1"/>
    <col min="41" max="41" width="7.5546875" style="409" customWidth="1"/>
    <col min="42" max="16384" width="11.44140625" style="409"/>
  </cols>
  <sheetData>
    <row r="1" spans="1:41" ht="13.8" thickBot="1">
      <c r="A1" s="81" t="s">
        <v>382</v>
      </c>
      <c r="B1" s="82"/>
      <c r="C1" s="135"/>
      <c r="D1" s="83" t="s">
        <v>382</v>
      </c>
      <c r="E1" s="84"/>
      <c r="F1" s="161"/>
      <c r="G1" s="745" t="str">
        <f>'HR Track 1'!A1</f>
        <v>TRACK 1</v>
      </c>
      <c r="H1" s="745"/>
      <c r="I1" s="745"/>
      <c r="J1" s="745"/>
      <c r="K1" s="745"/>
      <c r="M1" s="746" t="str">
        <f>'HR Track 2'!A1</f>
        <v>TRACK 2</v>
      </c>
      <c r="N1" s="746"/>
      <c r="O1" s="746"/>
      <c r="P1" s="746"/>
      <c r="Q1" s="746"/>
      <c r="S1" s="747" t="str">
        <f>'HR Track 1 MOM'!A1</f>
        <v>TRACK 1 MOM</v>
      </c>
      <c r="T1" s="747"/>
      <c r="U1" s="747"/>
      <c r="V1" s="747"/>
      <c r="W1" s="747"/>
      <c r="Y1" s="748" t="str">
        <f>'HR Track 4 MOM'!A1</f>
        <v>TRACK 4 MOM</v>
      </c>
      <c r="Z1" s="748"/>
      <c r="AA1" s="748"/>
      <c r="AB1" s="748"/>
      <c r="AC1" s="748"/>
      <c r="AE1" s="749" t="str">
        <f>'HR Track 4 PMO'!A1</f>
        <v>TRACK 4 PMO</v>
      </c>
      <c r="AF1" s="749"/>
      <c r="AG1" s="749"/>
      <c r="AH1" s="749"/>
      <c r="AI1" s="749"/>
      <c r="AK1" s="744" t="str">
        <f>'HR Track 6 PMO'!A1</f>
        <v>TRACK 6 PMO</v>
      </c>
      <c r="AL1" s="744"/>
      <c r="AM1" s="744"/>
      <c r="AN1" s="744"/>
      <c r="AO1" s="744"/>
    </row>
    <row r="2" spans="1:41">
      <c r="A2" s="94"/>
      <c r="B2" s="95"/>
      <c r="C2" s="135"/>
      <c r="D2" s="94"/>
      <c r="E2" s="95"/>
      <c r="F2" s="131"/>
      <c r="G2" s="85" t="s">
        <v>734</v>
      </c>
      <c r="H2" s="86" t="s">
        <v>350</v>
      </c>
      <c r="I2" s="86" t="s">
        <v>351</v>
      </c>
      <c r="J2" s="86" t="s">
        <v>352</v>
      </c>
      <c r="K2" s="87" t="s">
        <v>35</v>
      </c>
      <c r="M2" s="85" t="s">
        <v>734</v>
      </c>
      <c r="N2" s="86" t="s">
        <v>350</v>
      </c>
      <c r="O2" s="86" t="s">
        <v>351</v>
      </c>
      <c r="P2" s="86" t="s">
        <v>352</v>
      </c>
      <c r="Q2" s="87" t="s">
        <v>35</v>
      </c>
      <c r="S2" s="85" t="s">
        <v>734</v>
      </c>
      <c r="T2" s="86" t="s">
        <v>350</v>
      </c>
      <c r="U2" s="86" t="s">
        <v>351</v>
      </c>
      <c r="V2" s="86" t="s">
        <v>352</v>
      </c>
      <c r="W2" s="87" t="s">
        <v>35</v>
      </c>
      <c r="Y2" s="85" t="s">
        <v>734</v>
      </c>
      <c r="Z2" s="86" t="s">
        <v>350</v>
      </c>
      <c r="AA2" s="86" t="s">
        <v>351</v>
      </c>
      <c r="AB2" s="86" t="s">
        <v>352</v>
      </c>
      <c r="AC2" s="87" t="s">
        <v>35</v>
      </c>
      <c r="AE2" s="85" t="s">
        <v>734</v>
      </c>
      <c r="AF2" s="86" t="s">
        <v>350</v>
      </c>
      <c r="AG2" s="86" t="s">
        <v>351</v>
      </c>
      <c r="AH2" s="86" t="s">
        <v>352</v>
      </c>
      <c r="AI2" s="87" t="s">
        <v>35</v>
      </c>
      <c r="AK2" s="85" t="s">
        <v>734</v>
      </c>
      <c r="AL2" s="86" t="s">
        <v>350</v>
      </c>
      <c r="AM2" s="86" t="s">
        <v>351</v>
      </c>
      <c r="AN2" s="86" t="s">
        <v>352</v>
      </c>
      <c r="AO2" s="87" t="s">
        <v>35</v>
      </c>
    </row>
    <row r="3" spans="1:41">
      <c r="A3" s="56"/>
      <c r="B3" s="57"/>
      <c r="C3" s="135"/>
      <c r="D3" s="56"/>
      <c r="E3" s="57"/>
      <c r="F3" s="131"/>
      <c r="G3" s="96"/>
      <c r="H3" s="8"/>
      <c r="I3" s="8"/>
      <c r="J3" s="8"/>
      <c r="K3" s="97"/>
      <c r="M3" s="96"/>
      <c r="N3" s="8"/>
      <c r="O3" s="8"/>
      <c r="P3" s="8"/>
      <c r="Q3" s="97"/>
      <c r="S3" s="96"/>
      <c r="T3" s="8"/>
      <c r="U3" s="8"/>
      <c r="V3" s="8"/>
      <c r="W3" s="97"/>
      <c r="Y3" s="96"/>
      <c r="Z3" s="8"/>
      <c r="AA3" s="8"/>
      <c r="AB3" s="8"/>
      <c r="AC3" s="97"/>
      <c r="AE3" s="96"/>
      <c r="AF3" s="8"/>
      <c r="AG3" s="8"/>
      <c r="AH3" s="8"/>
      <c r="AI3" s="97"/>
      <c r="AK3" s="96"/>
      <c r="AL3" s="8"/>
      <c r="AM3" s="8"/>
      <c r="AN3" s="8"/>
      <c r="AO3" s="97"/>
    </row>
    <row r="4" spans="1:41">
      <c r="A4" s="98" t="s">
        <v>731</v>
      </c>
      <c r="B4" s="99"/>
      <c r="C4" s="135"/>
      <c r="D4" s="98" t="s">
        <v>403</v>
      </c>
      <c r="E4" s="99"/>
      <c r="F4" s="131"/>
      <c r="G4" s="96"/>
      <c r="H4" s="12"/>
      <c r="I4" s="12"/>
      <c r="J4" s="8"/>
      <c r="K4" s="97"/>
      <c r="M4" s="96"/>
      <c r="N4" s="12"/>
      <c r="O4" s="12"/>
      <c r="P4" s="8"/>
      <c r="Q4" s="97"/>
      <c r="S4" s="96"/>
      <c r="T4" s="12"/>
      <c r="U4" s="12"/>
      <c r="V4" s="8"/>
      <c r="W4" s="97"/>
      <c r="Y4" s="96"/>
      <c r="Z4" s="12"/>
      <c r="AA4" s="12"/>
      <c r="AB4" s="8"/>
      <c r="AC4" s="97"/>
      <c r="AE4" s="96"/>
      <c r="AF4" s="12"/>
      <c r="AG4" s="12"/>
      <c r="AH4" s="8"/>
      <c r="AI4" s="97"/>
      <c r="AK4" s="96"/>
      <c r="AL4" s="12"/>
      <c r="AM4" s="12"/>
      <c r="AN4" s="8"/>
      <c r="AO4" s="97"/>
    </row>
    <row r="5" spans="1:41">
      <c r="A5" s="56" t="s">
        <v>386</v>
      </c>
      <c r="B5" s="100"/>
      <c r="C5" s="135"/>
      <c r="D5" s="56" t="s">
        <v>743</v>
      </c>
      <c r="E5" s="57" t="s">
        <v>795</v>
      </c>
      <c r="F5" s="131"/>
      <c r="G5" s="96" t="s">
        <v>732</v>
      </c>
      <c r="H5" s="12"/>
      <c r="I5" s="12"/>
      <c r="J5" s="8">
        <v>1</v>
      </c>
      <c r="K5" s="97">
        <f>+(I5-H5)*J5/1000</f>
        <v>0</v>
      </c>
      <c r="M5" s="96" t="s">
        <v>732</v>
      </c>
      <c r="N5" s="12"/>
      <c r="O5" s="12"/>
      <c r="P5" s="8">
        <v>1</v>
      </c>
      <c r="Q5" s="97">
        <f>+(O5-N5)*P5/1000</f>
        <v>0</v>
      </c>
      <c r="S5" s="96" t="s">
        <v>732</v>
      </c>
      <c r="T5" s="12"/>
      <c r="U5" s="12"/>
      <c r="V5" s="8">
        <v>1</v>
      </c>
      <c r="W5" s="97">
        <f>+(U5-T5)*V5/1000</f>
        <v>0</v>
      </c>
      <c r="Y5" s="96" t="s">
        <v>732</v>
      </c>
      <c r="Z5" s="12"/>
      <c r="AA5" s="12"/>
      <c r="AB5" s="8">
        <v>1</v>
      </c>
      <c r="AC5" s="97">
        <f>+(AA5-Z5)*AB5/1000</f>
        <v>0</v>
      </c>
      <c r="AE5" s="96" t="s">
        <v>732</v>
      </c>
      <c r="AF5" s="12"/>
      <c r="AG5" s="12"/>
      <c r="AH5" s="8">
        <v>1</v>
      </c>
      <c r="AI5" s="97">
        <f>+(AG5-AF5)*AH5/1000</f>
        <v>0</v>
      </c>
      <c r="AK5" s="96" t="s">
        <v>732</v>
      </c>
      <c r="AL5" s="12"/>
      <c r="AM5" s="12"/>
      <c r="AN5" s="8">
        <v>1</v>
      </c>
      <c r="AO5" s="97">
        <f>+(AM5-AL5)*AN5/1000</f>
        <v>0</v>
      </c>
    </row>
    <row r="6" spans="1:41">
      <c r="A6" s="56" t="s">
        <v>727</v>
      </c>
      <c r="B6" s="101"/>
      <c r="C6" s="135"/>
      <c r="D6" s="56" t="s">
        <v>742</v>
      </c>
      <c r="E6" s="57" t="s">
        <v>741</v>
      </c>
      <c r="F6" s="131"/>
      <c r="G6" s="96" t="s">
        <v>733</v>
      </c>
      <c r="H6" s="12"/>
      <c r="I6" s="12"/>
      <c r="J6" s="8">
        <v>2</v>
      </c>
      <c r="K6" s="97">
        <f>+(I6-H6)*J6/1000</f>
        <v>0</v>
      </c>
      <c r="M6" s="96" t="s">
        <v>733</v>
      </c>
      <c r="N6" s="12"/>
      <c r="O6" s="12"/>
      <c r="P6" s="8">
        <v>2</v>
      </c>
      <c r="Q6" s="97">
        <f>+(O6-N6)*P6/1000</f>
        <v>0</v>
      </c>
      <c r="S6" s="96" t="s">
        <v>733</v>
      </c>
      <c r="T6" s="12"/>
      <c r="U6" s="12"/>
      <c r="V6" s="8">
        <v>2</v>
      </c>
      <c r="W6" s="97">
        <f>+(U6-T6)*V6/1000</f>
        <v>0</v>
      </c>
      <c r="Y6" s="96" t="s">
        <v>733</v>
      </c>
      <c r="Z6" s="12"/>
      <c r="AA6" s="12"/>
      <c r="AB6" s="8">
        <v>2</v>
      </c>
      <c r="AC6" s="97">
        <f>+(AA6-Z6)*AB6/1000</f>
        <v>0</v>
      </c>
      <c r="AE6" s="96" t="s">
        <v>733</v>
      </c>
      <c r="AF6" s="12"/>
      <c r="AG6" s="12"/>
      <c r="AH6" s="8">
        <v>2</v>
      </c>
      <c r="AI6" s="97">
        <f>+(AG6-AF6)*AH6/1000</f>
        <v>0</v>
      </c>
      <c r="AK6" s="96" t="s">
        <v>733</v>
      </c>
      <c r="AL6" s="12"/>
      <c r="AM6" s="12"/>
      <c r="AN6" s="8">
        <v>2</v>
      </c>
      <c r="AO6" s="97">
        <f>+(AM6-AL6)*AN6/1000</f>
        <v>0</v>
      </c>
    </row>
    <row r="7" spans="1:41">
      <c r="A7" s="56" t="s">
        <v>726</v>
      </c>
      <c r="B7" s="102"/>
      <c r="C7" s="135"/>
      <c r="D7" s="56" t="s">
        <v>796</v>
      </c>
      <c r="E7" s="57" t="s">
        <v>1607</v>
      </c>
      <c r="F7" s="131"/>
      <c r="G7" s="96"/>
      <c r="H7" s="12"/>
      <c r="I7" s="12"/>
      <c r="J7" s="8"/>
      <c r="K7" s="97">
        <f>+(I7-H7)*J7/1000</f>
        <v>0</v>
      </c>
      <c r="M7" s="96"/>
      <c r="N7" s="12"/>
      <c r="O7" s="12"/>
      <c r="P7" s="8"/>
      <c r="Q7" s="97">
        <f>+(O7-N7)*P7/1000</f>
        <v>0</v>
      </c>
      <c r="S7" s="96"/>
      <c r="T7" s="12"/>
      <c r="U7" s="12"/>
      <c r="V7" s="8"/>
      <c r="W7" s="97">
        <f>+(U7-T7)*V7/1000</f>
        <v>0</v>
      </c>
      <c r="Y7" s="96"/>
      <c r="Z7" s="12"/>
      <c r="AA7" s="12"/>
      <c r="AB7" s="8"/>
      <c r="AC7" s="97">
        <f>+(AA7-Z7)*AB7/1000</f>
        <v>0</v>
      </c>
      <c r="AE7" s="96"/>
      <c r="AF7" s="12"/>
      <c r="AG7" s="12"/>
      <c r="AH7" s="8"/>
      <c r="AI7" s="97">
        <f>+(AG7-AF7)*AH7/1000</f>
        <v>0</v>
      </c>
      <c r="AK7" s="96"/>
      <c r="AL7" s="12"/>
      <c r="AM7" s="12"/>
      <c r="AN7" s="8"/>
      <c r="AO7" s="97">
        <f>+(AM7-AL7)*AN7/1000</f>
        <v>0</v>
      </c>
    </row>
    <row r="8" spans="1:41">
      <c r="A8" s="56" t="s">
        <v>385</v>
      </c>
      <c r="B8" s="103"/>
      <c r="C8" s="135"/>
      <c r="D8" s="56" t="s">
        <v>430</v>
      </c>
      <c r="E8" s="57" t="s">
        <v>737</v>
      </c>
      <c r="F8" s="131"/>
      <c r="G8" s="96"/>
      <c r="H8" s="12"/>
      <c r="I8" s="12"/>
      <c r="J8" s="8"/>
      <c r="K8" s="97">
        <f>+(I8-H8)*J8/1000</f>
        <v>0</v>
      </c>
      <c r="M8" s="96"/>
      <c r="N8" s="12"/>
      <c r="O8" s="12"/>
      <c r="P8" s="8"/>
      <c r="Q8" s="97">
        <f>+(O8-N8)*P8/1000</f>
        <v>0</v>
      </c>
      <c r="S8" s="96"/>
      <c r="T8" s="12"/>
      <c r="U8" s="12"/>
      <c r="V8" s="8"/>
      <c r="W8" s="97">
        <f>+(U8-T8)*V8/1000</f>
        <v>0</v>
      </c>
      <c r="Y8" s="96"/>
      <c r="Z8" s="12"/>
      <c r="AA8" s="12"/>
      <c r="AB8" s="8"/>
      <c r="AC8" s="97">
        <f>+(AA8-Z8)*AB8/1000</f>
        <v>0</v>
      </c>
      <c r="AE8" s="96"/>
      <c r="AF8" s="12"/>
      <c r="AG8" s="12"/>
      <c r="AH8" s="8"/>
      <c r="AI8" s="97">
        <f>+(AG8-AF8)*AH8/1000</f>
        <v>0</v>
      </c>
      <c r="AK8" s="96"/>
      <c r="AL8" s="12"/>
      <c r="AM8" s="12"/>
      <c r="AN8" s="8"/>
      <c r="AO8" s="97">
        <f>+(AM8-AL8)*AN8/1000</f>
        <v>0</v>
      </c>
    </row>
    <row r="9" spans="1:41">
      <c r="A9" s="56" t="s">
        <v>1497</v>
      </c>
      <c r="B9" s="104"/>
      <c r="C9" s="135"/>
      <c r="D9" s="56" t="s">
        <v>1714</v>
      </c>
      <c r="E9" s="57" t="s">
        <v>738</v>
      </c>
      <c r="F9" s="131"/>
      <c r="G9" s="96"/>
      <c r="H9" s="12"/>
      <c r="I9" s="12"/>
      <c r="J9" s="8"/>
      <c r="K9" s="97">
        <f>+(I9-H9)*J9/1000</f>
        <v>0</v>
      </c>
      <c r="M9" s="96"/>
      <c r="N9" s="12"/>
      <c r="O9" s="12"/>
      <c r="P9" s="8"/>
      <c r="Q9" s="97">
        <f>+(O9-N9)*P9/1000</f>
        <v>0</v>
      </c>
      <c r="S9" s="96"/>
      <c r="T9" s="12"/>
      <c r="U9" s="12"/>
      <c r="V9" s="8"/>
      <c r="W9" s="97">
        <f>+(U9-T9)*V9/1000</f>
        <v>0</v>
      </c>
      <c r="Y9" s="96"/>
      <c r="Z9" s="12"/>
      <c r="AA9" s="12"/>
      <c r="AB9" s="8"/>
      <c r="AC9" s="97">
        <f>+(AA9-Z9)*AB9/1000</f>
        <v>0</v>
      </c>
      <c r="AE9" s="96"/>
      <c r="AF9" s="12"/>
      <c r="AG9" s="12"/>
      <c r="AH9" s="8"/>
      <c r="AI9" s="97">
        <f>+(AG9-AF9)*AH9/1000</f>
        <v>0</v>
      </c>
      <c r="AK9" s="96"/>
      <c r="AL9" s="12"/>
      <c r="AM9" s="12"/>
      <c r="AN9" s="8"/>
      <c r="AO9" s="97">
        <f>+(AM9-AL9)*AN9/1000</f>
        <v>0</v>
      </c>
    </row>
    <row r="10" spans="1:41" ht="13.8" thickBot="1">
      <c r="A10" s="56" t="s">
        <v>383</v>
      </c>
      <c r="B10" s="108"/>
      <c r="C10" s="135"/>
      <c r="D10" s="56" t="s">
        <v>740</v>
      </c>
      <c r="E10" s="57" t="s">
        <v>739</v>
      </c>
      <c r="F10" s="131"/>
      <c r="G10" s="105" t="s">
        <v>380</v>
      </c>
      <c r="H10" s="106"/>
      <c r="I10" s="106"/>
      <c r="J10" s="106"/>
      <c r="K10" s="107">
        <f>SUM(K3:K9)</f>
        <v>0</v>
      </c>
      <c r="M10" s="105" t="s">
        <v>380</v>
      </c>
      <c r="N10" s="106"/>
      <c r="O10" s="106"/>
      <c r="P10" s="106"/>
      <c r="Q10" s="107">
        <f>SUM(Q3:Q9)</f>
        <v>0</v>
      </c>
      <c r="S10" s="105" t="s">
        <v>380</v>
      </c>
      <c r="T10" s="106"/>
      <c r="U10" s="106"/>
      <c r="V10" s="106"/>
      <c r="W10" s="107">
        <f>SUM(W3:W9)</f>
        <v>0</v>
      </c>
      <c r="Y10" s="105" t="s">
        <v>380</v>
      </c>
      <c r="Z10" s="106"/>
      <c r="AA10" s="106"/>
      <c r="AB10" s="106"/>
      <c r="AC10" s="107">
        <f>SUM(AC3:AC9)</f>
        <v>0</v>
      </c>
      <c r="AE10" s="105" t="s">
        <v>380</v>
      </c>
      <c r="AF10" s="106"/>
      <c r="AG10" s="106"/>
      <c r="AH10" s="106"/>
      <c r="AI10" s="107">
        <f>SUM(AI3:AI9)</f>
        <v>0</v>
      </c>
      <c r="AK10" s="105" t="s">
        <v>380</v>
      </c>
      <c r="AL10" s="106"/>
      <c r="AM10" s="106"/>
      <c r="AN10" s="106"/>
      <c r="AO10" s="107">
        <f>SUM(AO3:AO9)</f>
        <v>0</v>
      </c>
    </row>
    <row r="11" spans="1:41">
      <c r="A11" s="56" t="s">
        <v>869</v>
      </c>
      <c r="B11" s="109"/>
      <c r="C11" s="135"/>
      <c r="D11" s="56" t="s">
        <v>775</v>
      </c>
      <c r="E11" s="57" t="s">
        <v>776</v>
      </c>
      <c r="F11" s="131"/>
      <c r="G11" s="131"/>
      <c r="H11" s="131"/>
      <c r="I11" s="131"/>
      <c r="J11" s="131"/>
      <c r="K11" s="131"/>
      <c r="M11" s="131"/>
      <c r="N11" s="131"/>
      <c r="O11" s="131"/>
      <c r="P11" s="131"/>
      <c r="Q11" s="131"/>
      <c r="S11" s="131"/>
      <c r="T11" s="131"/>
      <c r="U11" s="131"/>
      <c r="V11" s="131"/>
      <c r="W11" s="131"/>
      <c r="Y11" s="131"/>
      <c r="Z11" s="131"/>
      <c r="AA11" s="131"/>
      <c r="AB11" s="131"/>
      <c r="AC11" s="131"/>
      <c r="AE11" s="131"/>
      <c r="AF11" s="131"/>
      <c r="AG11" s="131"/>
      <c r="AH11" s="131"/>
      <c r="AI11" s="131"/>
      <c r="AK11" s="131"/>
      <c r="AL11" s="131"/>
      <c r="AM11" s="131"/>
      <c r="AN11" s="131"/>
      <c r="AO11" s="131"/>
    </row>
    <row r="12" spans="1:41">
      <c r="A12" s="56" t="s">
        <v>728</v>
      </c>
      <c r="B12" s="112"/>
      <c r="C12" s="135"/>
      <c r="D12" s="56"/>
      <c r="E12" s="57"/>
      <c r="F12" s="131"/>
      <c r="G12" s="110" t="s">
        <v>381</v>
      </c>
      <c r="H12" s="110"/>
      <c r="I12" s="110"/>
      <c r="J12" s="110"/>
      <c r="K12" s="111">
        <f>+(I6-H5)/1000</f>
        <v>0</v>
      </c>
      <c r="M12" s="110" t="s">
        <v>381</v>
      </c>
      <c r="N12" s="110"/>
      <c r="O12" s="110"/>
      <c r="P12" s="110"/>
      <c r="Q12" s="111">
        <f>+(O6-N5)/1000</f>
        <v>0</v>
      </c>
      <c r="S12" s="110" t="s">
        <v>381</v>
      </c>
      <c r="T12" s="110"/>
      <c r="U12" s="110"/>
      <c r="V12" s="110"/>
      <c r="W12" s="111">
        <f>+(U6-T5)/1000</f>
        <v>0</v>
      </c>
      <c r="Y12" s="110" t="s">
        <v>381</v>
      </c>
      <c r="Z12" s="110"/>
      <c r="AA12" s="110"/>
      <c r="AB12" s="110"/>
      <c r="AC12" s="111">
        <f>+(AA6-Z5)/1000</f>
        <v>0</v>
      </c>
      <c r="AE12" s="110" t="s">
        <v>381</v>
      </c>
      <c r="AF12" s="110"/>
      <c r="AG12" s="110"/>
      <c r="AH12" s="110"/>
      <c r="AI12" s="111">
        <f>+(AG6-AF5)/1000</f>
        <v>0</v>
      </c>
      <c r="AK12" s="110" t="s">
        <v>381</v>
      </c>
      <c r="AL12" s="110"/>
      <c r="AM12" s="110"/>
      <c r="AN12" s="110"/>
      <c r="AO12" s="111">
        <f>+(AM6-AL5)/1000</f>
        <v>0</v>
      </c>
    </row>
    <row r="13" spans="1:41">
      <c r="A13" s="56" t="s">
        <v>725</v>
      </c>
      <c r="B13" s="113"/>
      <c r="C13" s="135"/>
      <c r="D13" s="98" t="s">
        <v>328</v>
      </c>
      <c r="E13" s="99"/>
      <c r="F13" s="131"/>
      <c r="G13" s="131"/>
      <c r="H13" s="131"/>
      <c r="I13" s="131"/>
      <c r="J13" s="131"/>
      <c r="K13" s="131"/>
      <c r="M13" s="131"/>
      <c r="N13" s="131"/>
      <c r="O13" s="131"/>
      <c r="P13" s="131"/>
      <c r="Q13" s="131"/>
      <c r="S13" s="131"/>
      <c r="T13" s="131"/>
      <c r="U13" s="131"/>
      <c r="V13" s="131"/>
      <c r="W13" s="131"/>
      <c r="Y13" s="131"/>
      <c r="Z13" s="131"/>
      <c r="AA13" s="131"/>
      <c r="AB13" s="131"/>
      <c r="AC13" s="131"/>
      <c r="AE13" s="131"/>
      <c r="AF13" s="131"/>
      <c r="AG13" s="131"/>
      <c r="AH13" s="131"/>
      <c r="AI13" s="131"/>
      <c r="AK13" s="131"/>
      <c r="AL13" s="131"/>
      <c r="AM13" s="131"/>
      <c r="AN13" s="131"/>
      <c r="AO13" s="131"/>
    </row>
    <row r="14" spans="1:41">
      <c r="A14" s="56"/>
      <c r="B14" s="57"/>
      <c r="C14" s="135"/>
      <c r="D14" s="56" t="s">
        <v>1608</v>
      </c>
      <c r="E14" s="57" t="s">
        <v>1609</v>
      </c>
      <c r="F14" s="131"/>
      <c r="G14" s="114" t="s">
        <v>354</v>
      </c>
      <c r="H14" s="114" t="s">
        <v>350</v>
      </c>
      <c r="I14" s="114" t="s">
        <v>351</v>
      </c>
      <c r="J14" s="114" t="s">
        <v>352</v>
      </c>
      <c r="K14" s="114" t="s">
        <v>35</v>
      </c>
      <c r="M14" s="114" t="s">
        <v>354</v>
      </c>
      <c r="N14" s="114" t="s">
        <v>350</v>
      </c>
      <c r="O14" s="114" t="s">
        <v>351</v>
      </c>
      <c r="P14" s="114" t="s">
        <v>352</v>
      </c>
      <c r="Q14" s="114" t="s">
        <v>35</v>
      </c>
      <c r="S14" s="114" t="s">
        <v>354</v>
      </c>
      <c r="T14" s="114" t="s">
        <v>350</v>
      </c>
      <c r="U14" s="114" t="s">
        <v>351</v>
      </c>
      <c r="V14" s="114" t="s">
        <v>352</v>
      </c>
      <c r="W14" s="114" t="s">
        <v>35</v>
      </c>
      <c r="Y14" s="114" t="s">
        <v>354</v>
      </c>
      <c r="Z14" s="114" t="s">
        <v>350</v>
      </c>
      <c r="AA14" s="114" t="s">
        <v>351</v>
      </c>
      <c r="AB14" s="114" t="s">
        <v>352</v>
      </c>
      <c r="AC14" s="114" t="s">
        <v>35</v>
      </c>
      <c r="AE14" s="114" t="s">
        <v>354</v>
      </c>
      <c r="AF14" s="114" t="s">
        <v>350</v>
      </c>
      <c r="AG14" s="114" t="s">
        <v>351</v>
      </c>
      <c r="AH14" s="114" t="s">
        <v>352</v>
      </c>
      <c r="AI14" s="114" t="s">
        <v>35</v>
      </c>
      <c r="AK14" s="114" t="s">
        <v>354</v>
      </c>
      <c r="AL14" s="114" t="s">
        <v>350</v>
      </c>
      <c r="AM14" s="114" t="s">
        <v>351</v>
      </c>
      <c r="AN14" s="114" t="s">
        <v>352</v>
      </c>
      <c r="AO14" s="114" t="s">
        <v>35</v>
      </c>
    </row>
    <row r="15" spans="1:41" ht="13.8" thickBot="1">
      <c r="A15" s="56" t="s">
        <v>683</v>
      </c>
      <c r="B15" s="38"/>
      <c r="C15" s="135"/>
      <c r="D15" s="56" t="s">
        <v>1610</v>
      </c>
      <c r="E15" s="57" t="s">
        <v>1611</v>
      </c>
      <c r="F15" s="131"/>
      <c r="G15" s="131"/>
      <c r="H15" s="131"/>
      <c r="I15" s="131"/>
      <c r="J15" s="131"/>
      <c r="K15" s="131"/>
      <c r="M15" s="131"/>
      <c r="N15" s="131"/>
      <c r="O15" s="131"/>
      <c r="P15" s="131"/>
      <c r="Q15" s="131"/>
      <c r="S15" s="131"/>
      <c r="T15" s="131"/>
      <c r="U15" s="131"/>
      <c r="V15" s="131"/>
      <c r="W15" s="131"/>
      <c r="Y15" s="131"/>
      <c r="Z15" s="131"/>
      <c r="AA15" s="131"/>
      <c r="AB15" s="131"/>
      <c r="AC15" s="131"/>
      <c r="AE15" s="131"/>
      <c r="AF15" s="131"/>
      <c r="AG15" s="131"/>
      <c r="AH15" s="131"/>
      <c r="AI15" s="131"/>
      <c r="AK15" s="131"/>
      <c r="AL15" s="131"/>
      <c r="AM15" s="131"/>
      <c r="AN15" s="131"/>
      <c r="AO15" s="131"/>
    </row>
    <row r="16" spans="1:41">
      <c r="A16" s="56" t="s">
        <v>684</v>
      </c>
      <c r="B16" s="119"/>
      <c r="C16" s="135"/>
      <c r="D16" s="56" t="s">
        <v>660</v>
      </c>
      <c r="E16" s="57" t="s">
        <v>329</v>
      </c>
      <c r="F16" s="131"/>
      <c r="G16" s="115" t="s">
        <v>664</v>
      </c>
      <c r="H16" s="116"/>
      <c r="I16" s="116"/>
      <c r="J16" s="117">
        <v>0</v>
      </c>
      <c r="K16" s="118">
        <f t="shared" ref="K16:K21" si="0">+(I16-H16)*J16/1000</f>
        <v>0</v>
      </c>
      <c r="M16" s="115" t="s">
        <v>664</v>
      </c>
      <c r="N16" s="116"/>
      <c r="O16" s="116"/>
      <c r="P16" s="117">
        <v>0</v>
      </c>
      <c r="Q16" s="118">
        <f t="shared" ref="Q16:Q21" si="1">+(O16-N16)*P16/1000</f>
        <v>0</v>
      </c>
      <c r="S16" s="115" t="s">
        <v>664</v>
      </c>
      <c r="T16" s="116"/>
      <c r="U16" s="116"/>
      <c r="V16" s="117">
        <v>0</v>
      </c>
      <c r="W16" s="118">
        <f t="shared" ref="W16:W21" si="2">+(U16-T16)*V16/1000</f>
        <v>0</v>
      </c>
      <c r="Y16" s="115" t="s">
        <v>664</v>
      </c>
      <c r="Z16" s="116"/>
      <c r="AA16" s="116"/>
      <c r="AB16" s="117">
        <v>0</v>
      </c>
      <c r="AC16" s="118">
        <f t="shared" ref="AC16:AC21" si="3">+(AA16-Z16)*AB16/1000</f>
        <v>0</v>
      </c>
      <c r="AE16" s="115" t="s">
        <v>664</v>
      </c>
      <c r="AF16" s="116"/>
      <c r="AG16" s="116"/>
      <c r="AH16" s="117">
        <v>0</v>
      </c>
      <c r="AI16" s="118">
        <f t="shared" ref="AI16:AI21" si="4">+(AG16-AF16)*AH16/1000</f>
        <v>0</v>
      </c>
      <c r="AK16" s="115" t="s">
        <v>664</v>
      </c>
      <c r="AL16" s="116"/>
      <c r="AM16" s="116"/>
      <c r="AN16" s="117">
        <v>0</v>
      </c>
      <c r="AO16" s="118">
        <f t="shared" ref="AO16:AO21" si="5">+(AM16-AL16)*AN16/1000</f>
        <v>0</v>
      </c>
    </row>
    <row r="17" spans="1:41">
      <c r="A17" s="56" t="s">
        <v>685</v>
      </c>
      <c r="B17" s="120"/>
      <c r="C17" s="135"/>
      <c r="D17" s="56"/>
      <c r="E17" s="57"/>
      <c r="F17" s="131"/>
      <c r="G17" s="96" t="s">
        <v>355</v>
      </c>
      <c r="H17" s="12"/>
      <c r="I17" s="12"/>
      <c r="J17" s="8">
        <v>0</v>
      </c>
      <c r="K17" s="97">
        <f t="shared" si="0"/>
        <v>0</v>
      </c>
      <c r="M17" s="96" t="s">
        <v>355</v>
      </c>
      <c r="N17" s="12"/>
      <c r="O17" s="12"/>
      <c r="P17" s="8">
        <v>0</v>
      </c>
      <c r="Q17" s="97">
        <f t="shared" si="1"/>
        <v>0</v>
      </c>
      <c r="S17" s="96" t="s">
        <v>355</v>
      </c>
      <c r="T17" s="12"/>
      <c r="U17" s="12"/>
      <c r="V17" s="8">
        <v>0</v>
      </c>
      <c r="W17" s="97">
        <f t="shared" si="2"/>
        <v>0</v>
      </c>
      <c r="Y17" s="96" t="s">
        <v>355</v>
      </c>
      <c r="Z17" s="12"/>
      <c r="AA17" s="12"/>
      <c r="AB17" s="8">
        <v>0</v>
      </c>
      <c r="AC17" s="97">
        <f t="shared" si="3"/>
        <v>0</v>
      </c>
      <c r="AE17" s="96" t="s">
        <v>355</v>
      </c>
      <c r="AF17" s="12"/>
      <c r="AG17" s="12"/>
      <c r="AH17" s="8">
        <v>0</v>
      </c>
      <c r="AI17" s="97">
        <f t="shared" si="4"/>
        <v>0</v>
      </c>
      <c r="AK17" s="96" t="s">
        <v>355</v>
      </c>
      <c r="AL17" s="12"/>
      <c r="AM17" s="12"/>
      <c r="AN17" s="8">
        <v>0</v>
      </c>
      <c r="AO17" s="97">
        <f t="shared" si="5"/>
        <v>0</v>
      </c>
    </row>
    <row r="18" spans="1:41">
      <c r="A18" s="56" t="s">
        <v>724</v>
      </c>
      <c r="B18" s="121"/>
      <c r="C18" s="135"/>
      <c r="D18" s="98" t="s">
        <v>318</v>
      </c>
      <c r="E18" s="99"/>
      <c r="F18" s="131"/>
      <c r="G18" s="96"/>
      <c r="H18" s="12"/>
      <c r="I18" s="12"/>
      <c r="J18" s="8"/>
      <c r="K18" s="97">
        <f t="shared" si="0"/>
        <v>0</v>
      </c>
      <c r="M18" s="96"/>
      <c r="N18" s="12"/>
      <c r="O18" s="12"/>
      <c r="P18" s="8"/>
      <c r="Q18" s="97">
        <f t="shared" si="1"/>
        <v>0</v>
      </c>
      <c r="S18" s="96"/>
      <c r="T18" s="12"/>
      <c r="U18" s="12"/>
      <c r="V18" s="8"/>
      <c r="W18" s="97">
        <f t="shared" si="2"/>
        <v>0</v>
      </c>
      <c r="Y18" s="96"/>
      <c r="Z18" s="12"/>
      <c r="AA18" s="12"/>
      <c r="AB18" s="8"/>
      <c r="AC18" s="97">
        <f t="shared" si="3"/>
        <v>0</v>
      </c>
      <c r="AE18" s="96"/>
      <c r="AF18" s="12"/>
      <c r="AG18" s="12"/>
      <c r="AH18" s="8"/>
      <c r="AI18" s="97">
        <f t="shared" si="4"/>
        <v>0</v>
      </c>
      <c r="AK18" s="96"/>
      <c r="AL18" s="12"/>
      <c r="AM18" s="12"/>
      <c r="AN18" s="8"/>
      <c r="AO18" s="97">
        <f t="shared" si="5"/>
        <v>0</v>
      </c>
    </row>
    <row r="19" spans="1:41">
      <c r="A19" s="56" t="s">
        <v>780</v>
      </c>
      <c r="B19" s="37"/>
      <c r="C19" s="135"/>
      <c r="D19" s="56" t="s">
        <v>422</v>
      </c>
      <c r="E19" s="57" t="s">
        <v>32</v>
      </c>
      <c r="F19" s="131"/>
      <c r="G19" s="96"/>
      <c r="H19" s="12"/>
      <c r="I19" s="12"/>
      <c r="J19" s="8"/>
      <c r="K19" s="97">
        <f t="shared" si="0"/>
        <v>0</v>
      </c>
      <c r="M19" s="96"/>
      <c r="N19" s="12"/>
      <c r="O19" s="12"/>
      <c r="P19" s="8"/>
      <c r="Q19" s="97">
        <f t="shared" si="1"/>
        <v>0</v>
      </c>
      <c r="S19" s="96"/>
      <c r="T19" s="12"/>
      <c r="U19" s="12"/>
      <c r="V19" s="8"/>
      <c r="W19" s="97">
        <f t="shared" si="2"/>
        <v>0</v>
      </c>
      <c r="Y19" s="96"/>
      <c r="Z19" s="12"/>
      <c r="AA19" s="12"/>
      <c r="AB19" s="8"/>
      <c r="AC19" s="97">
        <f t="shared" si="3"/>
        <v>0</v>
      </c>
      <c r="AE19" s="96"/>
      <c r="AF19" s="12"/>
      <c r="AG19" s="12"/>
      <c r="AH19" s="8"/>
      <c r="AI19" s="97">
        <f t="shared" si="4"/>
        <v>0</v>
      </c>
      <c r="AK19" s="96"/>
      <c r="AL19" s="12"/>
      <c r="AM19" s="12"/>
      <c r="AN19" s="8"/>
      <c r="AO19" s="97">
        <f t="shared" si="5"/>
        <v>0</v>
      </c>
    </row>
    <row r="20" spans="1:41">
      <c r="A20" s="56"/>
      <c r="B20" s="57"/>
      <c r="C20" s="135"/>
      <c r="D20" s="56" t="s">
        <v>446</v>
      </c>
      <c r="E20" s="57" t="s">
        <v>33</v>
      </c>
      <c r="F20" s="131"/>
      <c r="G20" s="96"/>
      <c r="H20" s="12"/>
      <c r="I20" s="12"/>
      <c r="J20" s="8"/>
      <c r="K20" s="97">
        <f t="shared" si="0"/>
        <v>0</v>
      </c>
      <c r="M20" s="96"/>
      <c r="N20" s="12"/>
      <c r="O20" s="12"/>
      <c r="P20" s="8"/>
      <c r="Q20" s="97">
        <f t="shared" si="1"/>
        <v>0</v>
      </c>
      <c r="S20" s="96"/>
      <c r="T20" s="12"/>
      <c r="U20" s="12"/>
      <c r="V20" s="8"/>
      <c r="W20" s="97">
        <f t="shared" si="2"/>
        <v>0</v>
      </c>
      <c r="Y20" s="96"/>
      <c r="Z20" s="12"/>
      <c r="AA20" s="12"/>
      <c r="AB20" s="8"/>
      <c r="AC20" s="97">
        <f t="shared" si="3"/>
        <v>0</v>
      </c>
      <c r="AE20" s="96"/>
      <c r="AF20" s="12"/>
      <c r="AG20" s="12"/>
      <c r="AH20" s="8"/>
      <c r="AI20" s="97">
        <f t="shared" si="4"/>
        <v>0</v>
      </c>
      <c r="AK20" s="96"/>
      <c r="AL20" s="12"/>
      <c r="AM20" s="12"/>
      <c r="AN20" s="8"/>
      <c r="AO20" s="97">
        <f t="shared" si="5"/>
        <v>0</v>
      </c>
    </row>
    <row r="21" spans="1:41">
      <c r="A21" s="98" t="s">
        <v>387</v>
      </c>
      <c r="B21" s="99"/>
      <c r="C21" s="135"/>
      <c r="D21" s="56" t="s">
        <v>423</v>
      </c>
      <c r="E21" s="57" t="s">
        <v>28</v>
      </c>
      <c r="F21" s="131"/>
      <c r="G21" s="96"/>
      <c r="H21" s="122"/>
      <c r="I21" s="122"/>
      <c r="J21" s="92"/>
      <c r="K21" s="123">
        <f t="shared" si="0"/>
        <v>0</v>
      </c>
      <c r="M21" s="96"/>
      <c r="N21" s="122"/>
      <c r="O21" s="122"/>
      <c r="P21" s="92"/>
      <c r="Q21" s="123">
        <f t="shared" si="1"/>
        <v>0</v>
      </c>
      <c r="S21" s="96"/>
      <c r="T21" s="122"/>
      <c r="U21" s="122"/>
      <c r="V21" s="92"/>
      <c r="W21" s="123">
        <f t="shared" si="2"/>
        <v>0</v>
      </c>
      <c r="Y21" s="96"/>
      <c r="Z21" s="122"/>
      <c r="AA21" s="122"/>
      <c r="AB21" s="92"/>
      <c r="AC21" s="123">
        <f t="shared" si="3"/>
        <v>0</v>
      </c>
      <c r="AE21" s="96"/>
      <c r="AF21" s="122"/>
      <c r="AG21" s="122"/>
      <c r="AH21" s="92"/>
      <c r="AI21" s="123">
        <f t="shared" si="4"/>
        <v>0</v>
      </c>
      <c r="AK21" s="96"/>
      <c r="AL21" s="122"/>
      <c r="AM21" s="122"/>
      <c r="AN21" s="92"/>
      <c r="AO21" s="123">
        <f t="shared" si="5"/>
        <v>0</v>
      </c>
    </row>
    <row r="22" spans="1:41">
      <c r="A22" s="56" t="s">
        <v>389</v>
      </c>
      <c r="B22" s="57" t="s">
        <v>26</v>
      </c>
      <c r="C22" s="135"/>
      <c r="D22" s="56" t="s">
        <v>424</v>
      </c>
      <c r="E22" s="57" t="s">
        <v>191</v>
      </c>
      <c r="F22" s="131"/>
      <c r="G22" s="124" t="s">
        <v>461</v>
      </c>
      <c r="H22" s="8"/>
      <c r="I22" s="8"/>
      <c r="J22" s="8"/>
      <c r="K22" s="125">
        <f>SUM(K16:K21)</f>
        <v>0</v>
      </c>
      <c r="M22" s="124" t="s">
        <v>461</v>
      </c>
      <c r="N22" s="8"/>
      <c r="O22" s="8"/>
      <c r="P22" s="8"/>
      <c r="Q22" s="125">
        <f>SUM(Q16:Q21)</f>
        <v>0</v>
      </c>
      <c r="S22" s="124" t="s">
        <v>461</v>
      </c>
      <c r="T22" s="8"/>
      <c r="U22" s="8"/>
      <c r="V22" s="8"/>
      <c r="W22" s="125">
        <f>SUM(W16:W21)</f>
        <v>0</v>
      </c>
      <c r="Y22" s="124" t="s">
        <v>461</v>
      </c>
      <c r="Z22" s="8"/>
      <c r="AA22" s="8"/>
      <c r="AB22" s="8"/>
      <c r="AC22" s="125">
        <f>SUM(AC16:AC21)</f>
        <v>0</v>
      </c>
      <c r="AE22" s="124" t="s">
        <v>461</v>
      </c>
      <c r="AF22" s="8"/>
      <c r="AG22" s="8"/>
      <c r="AH22" s="8"/>
      <c r="AI22" s="125">
        <f>SUM(AI16:AI21)</f>
        <v>0</v>
      </c>
      <c r="AK22" s="124" t="s">
        <v>461</v>
      </c>
      <c r="AL22" s="8"/>
      <c r="AM22" s="8"/>
      <c r="AN22" s="8"/>
      <c r="AO22" s="125">
        <f>SUM(AO16:AO21)</f>
        <v>0</v>
      </c>
    </row>
    <row r="23" spans="1:41">
      <c r="A23" s="56" t="s">
        <v>390</v>
      </c>
      <c r="B23" s="57" t="s">
        <v>388</v>
      </c>
      <c r="C23" s="131"/>
      <c r="D23" s="56" t="s">
        <v>425</v>
      </c>
      <c r="E23" s="57" t="s">
        <v>192</v>
      </c>
      <c r="F23" s="131"/>
      <c r="G23" s="96"/>
      <c r="H23" s="8"/>
      <c r="I23" s="8"/>
      <c r="J23" s="8"/>
      <c r="K23" s="97"/>
      <c r="M23" s="96"/>
      <c r="N23" s="8"/>
      <c r="O23" s="8"/>
      <c r="P23" s="8"/>
      <c r="Q23" s="97"/>
      <c r="S23" s="96"/>
      <c r="T23" s="8"/>
      <c r="U23" s="8"/>
      <c r="V23" s="8"/>
      <c r="W23" s="97"/>
      <c r="Y23" s="96"/>
      <c r="Z23" s="8"/>
      <c r="AA23" s="8"/>
      <c r="AB23" s="8"/>
      <c r="AC23" s="97"/>
      <c r="AE23" s="96"/>
      <c r="AF23" s="8"/>
      <c r="AG23" s="8"/>
      <c r="AH23" s="8"/>
      <c r="AI23" s="97"/>
      <c r="AK23" s="96"/>
      <c r="AL23" s="8"/>
      <c r="AM23" s="8"/>
      <c r="AN23" s="8"/>
      <c r="AO23" s="97"/>
    </row>
    <row r="24" spans="1:41" ht="13.8" thickBot="1">
      <c r="A24" s="56" t="s">
        <v>392</v>
      </c>
      <c r="B24" s="57" t="s">
        <v>179</v>
      </c>
      <c r="C24" s="131"/>
      <c r="D24" s="56" t="s">
        <v>426</v>
      </c>
      <c r="E24" s="57" t="s">
        <v>193</v>
      </c>
      <c r="F24" s="131"/>
      <c r="G24" s="105" t="s">
        <v>463</v>
      </c>
      <c r="H24" s="106"/>
      <c r="I24" s="106"/>
      <c r="J24" s="106"/>
      <c r="K24" s="107">
        <f>SUM(I16:I21)/1000-SUM(H16:H21)/1000</f>
        <v>0</v>
      </c>
      <c r="M24" s="105" t="s">
        <v>463</v>
      </c>
      <c r="N24" s="106"/>
      <c r="O24" s="106"/>
      <c r="P24" s="106"/>
      <c r="Q24" s="107">
        <f>SUM(O16:O21)/1000-SUM(N16:N21)/1000</f>
        <v>0</v>
      </c>
      <c r="S24" s="105" t="s">
        <v>463</v>
      </c>
      <c r="T24" s="106"/>
      <c r="U24" s="106"/>
      <c r="V24" s="106"/>
      <c r="W24" s="107">
        <f>SUM(U16:U21)/1000-SUM(T16:T21)/1000</f>
        <v>0</v>
      </c>
      <c r="Y24" s="105" t="s">
        <v>463</v>
      </c>
      <c r="Z24" s="106"/>
      <c r="AA24" s="106"/>
      <c r="AB24" s="106"/>
      <c r="AC24" s="107">
        <f>SUM(AA16:AA21)/1000-SUM(Z16:Z21)/1000</f>
        <v>0</v>
      </c>
      <c r="AE24" s="105" t="s">
        <v>463</v>
      </c>
      <c r="AF24" s="106"/>
      <c r="AG24" s="106"/>
      <c r="AH24" s="106"/>
      <c r="AI24" s="107">
        <f>SUM(AG16:AG21)/1000-SUM(AF16:AF21)/1000</f>
        <v>0</v>
      </c>
      <c r="AK24" s="105" t="s">
        <v>463</v>
      </c>
      <c r="AL24" s="106"/>
      <c r="AM24" s="106"/>
      <c r="AN24" s="106"/>
      <c r="AO24" s="107">
        <f>SUM(AM16:AM21)/1000-SUM(AL16:AL21)/1000</f>
        <v>0</v>
      </c>
    </row>
    <row r="25" spans="1:41" ht="13.8" thickBot="1">
      <c r="A25" s="56" t="s">
        <v>391</v>
      </c>
      <c r="B25" s="57" t="s">
        <v>180</v>
      </c>
      <c r="C25" s="131"/>
      <c r="D25" s="56" t="s">
        <v>427</v>
      </c>
      <c r="E25" s="57" t="s">
        <v>342</v>
      </c>
      <c r="F25" s="131"/>
      <c r="G25" s="131"/>
      <c r="H25" s="131"/>
      <c r="I25" s="131"/>
      <c r="J25" s="131"/>
      <c r="K25" s="131"/>
      <c r="M25" s="131"/>
      <c r="N25" s="131"/>
      <c r="O25" s="131"/>
      <c r="P25" s="131"/>
      <c r="Q25" s="131"/>
      <c r="S25" s="131"/>
      <c r="T25" s="131"/>
      <c r="U25" s="131"/>
      <c r="V25" s="131"/>
      <c r="W25" s="131"/>
      <c r="Y25" s="131"/>
      <c r="Z25" s="131"/>
      <c r="AA25" s="131"/>
      <c r="AB25" s="131"/>
      <c r="AC25" s="131"/>
      <c r="AE25" s="131"/>
      <c r="AF25" s="131"/>
      <c r="AG25" s="131"/>
      <c r="AH25" s="131"/>
      <c r="AI25" s="131"/>
      <c r="AK25" s="131"/>
      <c r="AL25" s="131"/>
      <c r="AM25" s="131"/>
      <c r="AN25" s="131"/>
      <c r="AO25" s="131"/>
    </row>
    <row r="26" spans="1:41">
      <c r="A26" s="56" t="s">
        <v>394</v>
      </c>
      <c r="B26" s="57" t="s">
        <v>366</v>
      </c>
      <c r="C26" s="131"/>
      <c r="D26" s="56" t="s">
        <v>428</v>
      </c>
      <c r="E26" s="57" t="s">
        <v>343</v>
      </c>
      <c r="F26" s="131"/>
      <c r="G26" s="115" t="s">
        <v>1616</v>
      </c>
      <c r="H26" s="116"/>
      <c r="I26" s="116"/>
      <c r="J26" s="117">
        <v>0</v>
      </c>
      <c r="K26" s="118">
        <f>+(I26-H26)*J26/1000</f>
        <v>0</v>
      </c>
      <c r="M26" s="115" t="s">
        <v>1616</v>
      </c>
      <c r="N26" s="116"/>
      <c r="O26" s="116"/>
      <c r="P26" s="117">
        <v>0</v>
      </c>
      <c r="Q26" s="118">
        <f>+(O26-N26)*P26/1000</f>
        <v>0</v>
      </c>
      <c r="S26" s="115" t="s">
        <v>1616</v>
      </c>
      <c r="T26" s="116"/>
      <c r="U26" s="116"/>
      <c r="V26" s="117">
        <v>0</v>
      </c>
      <c r="W26" s="118">
        <f>+(U26-T26)*V26/1000</f>
        <v>0</v>
      </c>
      <c r="Y26" s="115" t="s">
        <v>1616</v>
      </c>
      <c r="Z26" s="116"/>
      <c r="AA26" s="116"/>
      <c r="AB26" s="117">
        <v>0</v>
      </c>
      <c r="AC26" s="118">
        <f>+(AA26-Z26)*AB26/1000</f>
        <v>0</v>
      </c>
      <c r="AE26" s="115" t="s">
        <v>1616</v>
      </c>
      <c r="AF26" s="116"/>
      <c r="AG26" s="116"/>
      <c r="AH26" s="117">
        <v>0</v>
      </c>
      <c r="AI26" s="118">
        <f>+(AG26-AF26)*AH26/1000</f>
        <v>0</v>
      </c>
      <c r="AK26" s="115" t="s">
        <v>1616</v>
      </c>
      <c r="AL26" s="116"/>
      <c r="AM26" s="116"/>
      <c r="AN26" s="117">
        <v>0</v>
      </c>
      <c r="AO26" s="118">
        <f>+(AM26-AL26)*AN26/1000</f>
        <v>0</v>
      </c>
    </row>
    <row r="27" spans="1:41">
      <c r="A27" s="56" t="s">
        <v>393</v>
      </c>
      <c r="B27" s="57" t="s">
        <v>367</v>
      </c>
      <c r="C27" s="131"/>
      <c r="D27" s="56" t="s">
        <v>429</v>
      </c>
      <c r="E27" s="57" t="s">
        <v>344</v>
      </c>
      <c r="F27" s="131"/>
      <c r="G27" s="96" t="s">
        <v>1616</v>
      </c>
      <c r="H27" s="12"/>
      <c r="I27" s="12"/>
      <c r="J27" s="8">
        <v>0</v>
      </c>
      <c r="K27" s="97">
        <f>+(I27-H27)*J27/1000</f>
        <v>0</v>
      </c>
      <c r="M27" s="96" t="s">
        <v>1616</v>
      </c>
      <c r="N27" s="12"/>
      <c r="O27" s="12"/>
      <c r="P27" s="8">
        <v>0</v>
      </c>
      <c r="Q27" s="97">
        <f>+(O27-N27)*P27/1000</f>
        <v>0</v>
      </c>
      <c r="S27" s="96" t="s">
        <v>1616</v>
      </c>
      <c r="T27" s="12"/>
      <c r="U27" s="12"/>
      <c r="V27" s="8">
        <v>0</v>
      </c>
      <c r="W27" s="97">
        <f>+(U27-T27)*V27/1000</f>
        <v>0</v>
      </c>
      <c r="Y27" s="96" t="s">
        <v>1616</v>
      </c>
      <c r="Z27" s="12"/>
      <c r="AA27" s="12"/>
      <c r="AB27" s="8">
        <v>0</v>
      </c>
      <c r="AC27" s="97">
        <f>+(AA27-Z27)*AB27/1000</f>
        <v>0</v>
      </c>
      <c r="AE27" s="96" t="s">
        <v>1616</v>
      </c>
      <c r="AF27" s="12"/>
      <c r="AG27" s="12"/>
      <c r="AH27" s="8">
        <v>0</v>
      </c>
      <c r="AI27" s="97">
        <f>+(AG27-AF27)*AH27/1000</f>
        <v>0</v>
      </c>
      <c r="AK27" s="96" t="s">
        <v>1616</v>
      </c>
      <c r="AL27" s="12"/>
      <c r="AM27" s="12"/>
      <c r="AN27" s="8">
        <v>0</v>
      </c>
      <c r="AO27" s="97">
        <f>+(AM27-AL27)*AN27/1000</f>
        <v>0</v>
      </c>
    </row>
    <row r="28" spans="1:41">
      <c r="A28" s="56" t="s">
        <v>395</v>
      </c>
      <c r="B28" s="57" t="s">
        <v>365</v>
      </c>
      <c r="C28" s="131"/>
      <c r="D28" s="56"/>
      <c r="E28" s="57"/>
      <c r="F28" s="131"/>
      <c r="G28" s="96"/>
      <c r="H28" s="12"/>
      <c r="I28" s="12"/>
      <c r="J28" s="8"/>
      <c r="K28" s="97"/>
      <c r="M28" s="96"/>
      <c r="N28" s="12"/>
      <c r="O28" s="12"/>
      <c r="P28" s="8"/>
      <c r="Q28" s="97"/>
      <c r="S28" s="96"/>
      <c r="T28" s="12"/>
      <c r="U28" s="12"/>
      <c r="V28" s="8"/>
      <c r="W28" s="97"/>
      <c r="Y28" s="96"/>
      <c r="Z28" s="12"/>
      <c r="AA28" s="12"/>
      <c r="AB28" s="8"/>
      <c r="AC28" s="97"/>
      <c r="AE28" s="96"/>
      <c r="AF28" s="12"/>
      <c r="AG28" s="12"/>
      <c r="AH28" s="8"/>
      <c r="AI28" s="97"/>
      <c r="AK28" s="96"/>
      <c r="AL28" s="12"/>
      <c r="AM28" s="12"/>
      <c r="AN28" s="8"/>
      <c r="AO28" s="97"/>
    </row>
    <row r="29" spans="1:41">
      <c r="A29" s="56" t="s">
        <v>598</v>
      </c>
      <c r="B29" s="57" t="s">
        <v>450</v>
      </c>
      <c r="C29" s="131"/>
      <c r="D29" s="98" t="s">
        <v>404</v>
      </c>
      <c r="E29" s="99"/>
      <c r="F29" s="131"/>
      <c r="G29" s="96"/>
      <c r="H29" s="12"/>
      <c r="I29" s="12"/>
      <c r="J29" s="8"/>
      <c r="K29" s="97"/>
      <c r="M29" s="96"/>
      <c r="N29" s="12"/>
      <c r="O29" s="12"/>
      <c r="P29" s="8"/>
      <c r="Q29" s="97"/>
      <c r="S29" s="96"/>
      <c r="T29" s="12"/>
      <c r="U29" s="12"/>
      <c r="V29" s="8"/>
      <c r="W29" s="97"/>
      <c r="Y29" s="96"/>
      <c r="Z29" s="12"/>
      <c r="AA29" s="12"/>
      <c r="AB29" s="8"/>
      <c r="AC29" s="97"/>
      <c r="AE29" s="96"/>
      <c r="AF29" s="12"/>
      <c r="AG29" s="12"/>
      <c r="AH29" s="8"/>
      <c r="AI29" s="97"/>
      <c r="AK29" s="96"/>
      <c r="AL29" s="12"/>
      <c r="AM29" s="12"/>
      <c r="AN29" s="8"/>
      <c r="AO29" s="97"/>
    </row>
    <row r="30" spans="1:41">
      <c r="A30" s="56" t="s">
        <v>435</v>
      </c>
      <c r="B30" s="57" t="s">
        <v>1626</v>
      </c>
      <c r="C30" s="131"/>
      <c r="D30" s="56" t="s">
        <v>1715</v>
      </c>
      <c r="E30" s="57" t="s">
        <v>874</v>
      </c>
      <c r="F30" s="131"/>
      <c r="G30" s="96"/>
      <c r="H30" s="12"/>
      <c r="I30" s="12"/>
      <c r="J30" s="8"/>
      <c r="K30" s="97"/>
      <c r="M30" s="96"/>
      <c r="N30" s="12"/>
      <c r="O30" s="12"/>
      <c r="P30" s="8"/>
      <c r="Q30" s="97"/>
      <c r="S30" s="96"/>
      <c r="T30" s="12"/>
      <c r="U30" s="12"/>
      <c r="V30" s="8"/>
      <c r="W30" s="97"/>
      <c r="Y30" s="96"/>
      <c r="Z30" s="12"/>
      <c r="AA30" s="12"/>
      <c r="AB30" s="8"/>
      <c r="AC30" s="97"/>
      <c r="AE30" s="96"/>
      <c r="AF30" s="12"/>
      <c r="AG30" s="12"/>
      <c r="AH30" s="8"/>
      <c r="AI30" s="97"/>
      <c r="AK30" s="96"/>
      <c r="AL30" s="12"/>
      <c r="AM30" s="12"/>
      <c r="AN30" s="8"/>
      <c r="AO30" s="97"/>
    </row>
    <row r="31" spans="1:41">
      <c r="A31" s="56" t="s">
        <v>436</v>
      </c>
      <c r="B31" s="57" t="s">
        <v>1627</v>
      </c>
      <c r="C31" s="131"/>
      <c r="D31" s="56" t="s">
        <v>421</v>
      </c>
      <c r="E31" s="57" t="s">
        <v>368</v>
      </c>
      <c r="F31" s="131"/>
      <c r="G31" s="96"/>
      <c r="H31" s="12"/>
      <c r="I31" s="12"/>
      <c r="J31" s="8"/>
      <c r="K31" s="97"/>
      <c r="M31" s="96"/>
      <c r="N31" s="12"/>
      <c r="O31" s="12"/>
      <c r="P31" s="8"/>
      <c r="Q31" s="97"/>
      <c r="S31" s="96"/>
      <c r="T31" s="12"/>
      <c r="U31" s="12"/>
      <c r="V31" s="8"/>
      <c r="W31" s="97"/>
      <c r="Y31" s="96"/>
      <c r="Z31" s="12"/>
      <c r="AA31" s="12"/>
      <c r="AB31" s="8"/>
      <c r="AC31" s="97"/>
      <c r="AE31" s="96"/>
      <c r="AF31" s="12"/>
      <c r="AG31" s="12"/>
      <c r="AH31" s="8"/>
      <c r="AI31" s="97"/>
      <c r="AK31" s="96"/>
      <c r="AL31" s="12"/>
      <c r="AM31" s="12"/>
      <c r="AN31" s="8"/>
      <c r="AO31" s="97"/>
    </row>
    <row r="32" spans="1:41">
      <c r="A32" s="56"/>
      <c r="B32" s="57"/>
      <c r="C32" s="135"/>
      <c r="D32" s="56" t="s">
        <v>1612</v>
      </c>
      <c r="E32" s="57" t="s">
        <v>1613</v>
      </c>
      <c r="F32" s="131"/>
      <c r="G32" s="96"/>
      <c r="H32" s="12"/>
      <c r="I32" s="12"/>
      <c r="J32" s="8"/>
      <c r="K32" s="97"/>
      <c r="M32" s="96"/>
      <c r="N32" s="12"/>
      <c r="O32" s="12"/>
      <c r="P32" s="8"/>
      <c r="Q32" s="97"/>
      <c r="S32" s="96"/>
      <c r="T32" s="12"/>
      <c r="U32" s="12"/>
      <c r="V32" s="8"/>
      <c r="W32" s="97"/>
      <c r="Y32" s="96"/>
      <c r="Z32" s="12"/>
      <c r="AA32" s="12"/>
      <c r="AB32" s="8"/>
      <c r="AC32" s="97"/>
      <c r="AE32" s="96"/>
      <c r="AF32" s="12"/>
      <c r="AG32" s="12"/>
      <c r="AH32" s="8"/>
      <c r="AI32" s="97"/>
      <c r="AK32" s="96"/>
      <c r="AL32" s="12"/>
      <c r="AM32" s="12"/>
      <c r="AN32" s="8"/>
      <c r="AO32" s="97"/>
    </row>
    <row r="33" spans="1:41">
      <c r="A33" s="56"/>
      <c r="B33" s="57"/>
      <c r="C33" s="135"/>
      <c r="D33" s="56" t="s">
        <v>751</v>
      </c>
      <c r="E33" s="57" t="s">
        <v>371</v>
      </c>
      <c r="F33" s="131"/>
      <c r="G33" s="96"/>
      <c r="H33" s="12"/>
      <c r="I33" s="12"/>
      <c r="J33" s="8"/>
      <c r="K33" s="97"/>
      <c r="M33" s="96"/>
      <c r="N33" s="12"/>
      <c r="O33" s="12"/>
      <c r="P33" s="8"/>
      <c r="Q33" s="97"/>
      <c r="S33" s="96"/>
      <c r="T33" s="12"/>
      <c r="U33" s="12"/>
      <c r="V33" s="8"/>
      <c r="W33" s="97"/>
      <c r="Y33" s="96"/>
      <c r="Z33" s="12"/>
      <c r="AA33" s="12"/>
      <c r="AB33" s="8"/>
      <c r="AC33" s="97"/>
      <c r="AE33" s="96"/>
      <c r="AF33" s="12"/>
      <c r="AG33" s="12"/>
      <c r="AH33" s="8"/>
      <c r="AI33" s="97"/>
      <c r="AK33" s="96"/>
      <c r="AL33" s="12"/>
      <c r="AM33" s="12"/>
      <c r="AN33" s="8"/>
      <c r="AO33" s="97"/>
    </row>
    <row r="34" spans="1:41">
      <c r="A34" s="98" t="s">
        <v>735</v>
      </c>
      <c r="B34" s="99"/>
      <c r="C34" s="135"/>
      <c r="D34" s="56" t="s">
        <v>752</v>
      </c>
      <c r="E34" s="57" t="s">
        <v>666</v>
      </c>
      <c r="F34" s="131"/>
      <c r="G34" s="96"/>
      <c r="H34" s="12"/>
      <c r="I34" s="12"/>
      <c r="J34" s="8"/>
      <c r="K34" s="97"/>
      <c r="M34" s="96"/>
      <c r="N34" s="12"/>
      <c r="O34" s="12"/>
      <c r="P34" s="8"/>
      <c r="Q34" s="97"/>
      <c r="S34" s="96"/>
      <c r="T34" s="12"/>
      <c r="U34" s="12"/>
      <c r="V34" s="8"/>
      <c r="W34" s="97"/>
      <c r="Y34" s="96"/>
      <c r="Z34" s="12"/>
      <c r="AA34" s="12"/>
      <c r="AB34" s="8"/>
      <c r="AC34" s="97"/>
      <c r="AE34" s="96"/>
      <c r="AF34" s="12"/>
      <c r="AG34" s="12"/>
      <c r="AH34" s="8"/>
      <c r="AI34" s="97"/>
      <c r="AK34" s="96"/>
      <c r="AL34" s="12"/>
      <c r="AM34" s="12"/>
      <c r="AN34" s="8"/>
      <c r="AO34" s="97"/>
    </row>
    <row r="35" spans="1:41">
      <c r="A35" s="56" t="s">
        <v>396</v>
      </c>
      <c r="B35" s="57" t="s">
        <v>182</v>
      </c>
      <c r="C35" s="131"/>
      <c r="D35" s="56" t="s">
        <v>593</v>
      </c>
      <c r="E35" s="57" t="s">
        <v>594</v>
      </c>
      <c r="F35" s="131"/>
      <c r="G35" s="124" t="s">
        <v>356</v>
      </c>
      <c r="H35" s="8"/>
      <c r="I35" s="8"/>
      <c r="J35" s="8"/>
      <c r="K35" s="125">
        <f>SUM(K26:K34)</f>
        <v>0</v>
      </c>
      <c r="M35" s="124" t="s">
        <v>356</v>
      </c>
      <c r="N35" s="8"/>
      <c r="O35" s="8"/>
      <c r="P35" s="8"/>
      <c r="Q35" s="125">
        <f>SUM(Q26:Q34)</f>
        <v>0</v>
      </c>
      <c r="S35" s="124" t="s">
        <v>356</v>
      </c>
      <c r="T35" s="8"/>
      <c r="U35" s="8"/>
      <c r="V35" s="8"/>
      <c r="W35" s="125">
        <f>SUM(W26:W34)</f>
        <v>0</v>
      </c>
      <c r="Y35" s="124" t="s">
        <v>356</v>
      </c>
      <c r="Z35" s="8"/>
      <c r="AA35" s="8"/>
      <c r="AB35" s="8"/>
      <c r="AC35" s="125">
        <f>SUM(AC26:AC34)</f>
        <v>0</v>
      </c>
      <c r="AE35" s="124" t="s">
        <v>356</v>
      </c>
      <c r="AF35" s="8"/>
      <c r="AG35" s="8"/>
      <c r="AH35" s="8"/>
      <c r="AI35" s="125">
        <f>SUM(AI26:AI34)</f>
        <v>0</v>
      </c>
      <c r="AK35" s="124" t="s">
        <v>356</v>
      </c>
      <c r="AL35" s="8"/>
      <c r="AM35" s="8"/>
      <c r="AN35" s="8"/>
      <c r="AO35" s="125">
        <f>SUM(AO26:AO34)</f>
        <v>0</v>
      </c>
    </row>
    <row r="36" spans="1:41">
      <c r="A36" s="56" t="s">
        <v>397</v>
      </c>
      <c r="B36" s="57" t="s">
        <v>183</v>
      </c>
      <c r="C36" s="131"/>
      <c r="D36" s="56" t="s">
        <v>1614</v>
      </c>
      <c r="E36" s="57" t="s">
        <v>1164</v>
      </c>
      <c r="F36" s="131"/>
      <c r="G36" s="96"/>
      <c r="H36" s="8"/>
      <c r="I36" s="8"/>
      <c r="J36" s="8"/>
      <c r="K36" s="97"/>
      <c r="M36" s="96"/>
      <c r="N36" s="8"/>
      <c r="O36" s="8"/>
      <c r="P36" s="8"/>
      <c r="Q36" s="97"/>
      <c r="S36" s="96"/>
      <c r="T36" s="8"/>
      <c r="U36" s="8"/>
      <c r="V36" s="8"/>
      <c r="W36" s="97"/>
      <c r="Y36" s="96"/>
      <c r="Z36" s="8"/>
      <c r="AA36" s="8"/>
      <c r="AB36" s="8"/>
      <c r="AC36" s="97"/>
      <c r="AE36" s="96"/>
      <c r="AF36" s="8"/>
      <c r="AG36" s="8"/>
      <c r="AH36" s="8"/>
      <c r="AI36" s="97"/>
      <c r="AK36" s="96"/>
      <c r="AL36" s="8"/>
      <c r="AM36" s="8"/>
      <c r="AN36" s="8"/>
      <c r="AO36" s="97"/>
    </row>
    <row r="37" spans="1:41">
      <c r="A37" s="56" t="s">
        <v>398</v>
      </c>
      <c r="B37" s="57" t="s">
        <v>340</v>
      </c>
      <c r="C37" s="131"/>
      <c r="D37" s="56" t="s">
        <v>1615</v>
      </c>
      <c r="E37" s="57" t="s">
        <v>1162</v>
      </c>
      <c r="F37" s="131"/>
      <c r="G37" s="96"/>
      <c r="H37" s="8"/>
      <c r="I37" s="8"/>
      <c r="J37" s="8"/>
      <c r="K37" s="97"/>
      <c r="M37" s="96"/>
      <c r="N37" s="8"/>
      <c r="O37" s="8"/>
      <c r="P37" s="8"/>
      <c r="Q37" s="97"/>
      <c r="S37" s="96"/>
      <c r="T37" s="8"/>
      <c r="U37" s="8"/>
      <c r="V37" s="8"/>
      <c r="W37" s="97"/>
      <c r="Y37" s="96"/>
      <c r="Z37" s="8"/>
      <c r="AA37" s="8"/>
      <c r="AB37" s="8"/>
      <c r="AC37" s="97"/>
      <c r="AE37" s="96"/>
      <c r="AF37" s="8"/>
      <c r="AG37" s="8"/>
      <c r="AH37" s="8"/>
      <c r="AI37" s="97"/>
      <c r="AK37" s="96"/>
      <c r="AL37" s="8"/>
      <c r="AM37" s="8"/>
      <c r="AN37" s="8"/>
      <c r="AO37" s="97"/>
    </row>
    <row r="38" spans="1:41" ht="13.8" thickBot="1">
      <c r="A38" s="56" t="s">
        <v>399</v>
      </c>
      <c r="B38" s="57" t="s">
        <v>339</v>
      </c>
      <c r="C38" s="131"/>
      <c r="D38" s="56" t="s">
        <v>749</v>
      </c>
      <c r="E38" s="57" t="s">
        <v>750</v>
      </c>
      <c r="F38" s="131"/>
      <c r="G38" s="105" t="s">
        <v>462</v>
      </c>
      <c r="H38" s="106"/>
      <c r="I38" s="106"/>
      <c r="J38" s="106"/>
      <c r="K38" s="126">
        <f>(SUM(I26:I34)-SUM(H26:H34))/1000</f>
        <v>0</v>
      </c>
      <c r="M38" s="105" t="s">
        <v>462</v>
      </c>
      <c r="N38" s="106"/>
      <c r="O38" s="106"/>
      <c r="P38" s="106"/>
      <c r="Q38" s="126">
        <f>(SUM(O26:O34)-SUM(N26:N34))/1000</f>
        <v>0</v>
      </c>
      <c r="S38" s="105" t="s">
        <v>462</v>
      </c>
      <c r="T38" s="106"/>
      <c r="U38" s="106"/>
      <c r="V38" s="106"/>
      <c r="W38" s="126">
        <f>(SUM(U26:U34)-SUM(T26:T34))/1000</f>
        <v>0</v>
      </c>
      <c r="Y38" s="105" t="s">
        <v>462</v>
      </c>
      <c r="Z38" s="106"/>
      <c r="AA38" s="106"/>
      <c r="AB38" s="106"/>
      <c r="AC38" s="126">
        <f>(SUM(AA26:AA34)-SUM(Z26:Z34))/1000</f>
        <v>0</v>
      </c>
      <c r="AE38" s="105" t="s">
        <v>462</v>
      </c>
      <c r="AF38" s="106"/>
      <c r="AG38" s="106"/>
      <c r="AH38" s="106"/>
      <c r="AI38" s="126">
        <f>(SUM(AG26:AG34)-SUM(AF26:AF34))/1000</f>
        <v>0</v>
      </c>
      <c r="AK38" s="105" t="s">
        <v>462</v>
      </c>
      <c r="AL38" s="106"/>
      <c r="AM38" s="106"/>
      <c r="AN38" s="106"/>
      <c r="AO38" s="126">
        <f>(SUM(AM26:AM34)-SUM(AL26:AL34))/1000</f>
        <v>0</v>
      </c>
    </row>
    <row r="39" spans="1:41">
      <c r="A39" s="56" t="s">
        <v>736</v>
      </c>
      <c r="B39" s="57" t="s">
        <v>1159</v>
      </c>
      <c r="C39" s="131"/>
      <c r="D39" s="56" t="s">
        <v>406</v>
      </c>
      <c r="E39" s="57" t="s">
        <v>369</v>
      </c>
      <c r="F39" s="131"/>
      <c r="G39" s="131"/>
      <c r="H39" s="131"/>
      <c r="I39" s="131"/>
      <c r="J39" s="131"/>
      <c r="K39" s="131"/>
      <c r="M39" s="131"/>
      <c r="N39" s="131"/>
      <c r="O39" s="131"/>
      <c r="P39" s="131"/>
      <c r="Q39" s="131"/>
      <c r="S39" s="131"/>
      <c r="T39" s="131"/>
      <c r="U39" s="131"/>
      <c r="V39" s="131"/>
      <c r="W39" s="131"/>
      <c r="Y39" s="131"/>
      <c r="Z39" s="131"/>
      <c r="AA39" s="131"/>
      <c r="AB39" s="131"/>
      <c r="AC39" s="131"/>
      <c r="AE39" s="131"/>
      <c r="AF39" s="131"/>
      <c r="AG39" s="131"/>
      <c r="AH39" s="131"/>
      <c r="AI39" s="131"/>
      <c r="AK39" s="131"/>
      <c r="AL39" s="131"/>
      <c r="AM39" s="131"/>
      <c r="AN39" s="131"/>
      <c r="AO39" s="131"/>
    </row>
    <row r="40" spans="1:41">
      <c r="A40" s="56"/>
      <c r="B40" s="57" t="s">
        <v>1160</v>
      </c>
      <c r="C40" s="131"/>
      <c r="D40" s="56" t="s">
        <v>596</v>
      </c>
      <c r="E40" s="57" t="s">
        <v>597</v>
      </c>
      <c r="F40" s="131"/>
      <c r="G40" s="131"/>
      <c r="H40" s="131"/>
      <c r="I40" s="131"/>
      <c r="J40" s="131"/>
      <c r="K40" s="131"/>
      <c r="M40" s="131"/>
      <c r="N40" s="131"/>
      <c r="O40" s="131"/>
      <c r="P40" s="131"/>
      <c r="Q40" s="131"/>
      <c r="S40" s="131"/>
      <c r="T40" s="131"/>
      <c r="U40" s="131"/>
      <c r="V40" s="131"/>
      <c r="W40" s="131"/>
      <c r="Y40" s="131"/>
      <c r="Z40" s="131"/>
      <c r="AA40" s="131"/>
      <c r="AB40" s="131"/>
      <c r="AC40" s="131"/>
      <c r="AE40" s="131"/>
      <c r="AF40" s="131"/>
      <c r="AG40" s="131"/>
      <c r="AH40" s="131"/>
      <c r="AI40" s="131"/>
      <c r="AK40" s="131"/>
      <c r="AL40" s="131"/>
      <c r="AM40" s="131"/>
      <c r="AN40" s="131"/>
      <c r="AO40" s="131"/>
    </row>
    <row r="41" spans="1:41">
      <c r="A41" s="56" t="s">
        <v>758</v>
      </c>
      <c r="B41" s="57" t="s">
        <v>1155</v>
      </c>
      <c r="C41" s="131"/>
      <c r="D41" s="56" t="s">
        <v>562</v>
      </c>
      <c r="E41" s="57" t="s">
        <v>592</v>
      </c>
      <c r="F41" s="131"/>
      <c r="G41" s="131"/>
      <c r="H41" s="131"/>
      <c r="I41" s="131"/>
      <c r="J41" s="131"/>
      <c r="K41" s="131"/>
      <c r="M41" s="131"/>
      <c r="N41" s="131"/>
      <c r="O41" s="131"/>
      <c r="P41" s="131"/>
      <c r="Q41" s="131"/>
      <c r="S41" s="131"/>
      <c r="T41" s="131"/>
      <c r="U41" s="131"/>
      <c r="V41" s="131"/>
      <c r="W41" s="131"/>
      <c r="Y41" s="131"/>
      <c r="Z41" s="131"/>
      <c r="AA41" s="131"/>
      <c r="AB41" s="131"/>
      <c r="AC41" s="131"/>
      <c r="AE41" s="131"/>
      <c r="AF41" s="131"/>
      <c r="AG41" s="131"/>
      <c r="AH41" s="131"/>
      <c r="AI41" s="131"/>
      <c r="AK41" s="131"/>
      <c r="AL41" s="131"/>
      <c r="AM41" s="131"/>
      <c r="AN41" s="131"/>
      <c r="AO41" s="131"/>
    </row>
    <row r="42" spans="1:41">
      <c r="A42" s="56"/>
      <c r="B42" s="57" t="s">
        <v>1156</v>
      </c>
      <c r="C42" s="131"/>
      <c r="D42" s="56" t="s">
        <v>563</v>
      </c>
      <c r="E42" s="57" t="s">
        <v>595</v>
      </c>
      <c r="F42" s="131"/>
      <c r="G42" s="131"/>
      <c r="H42" s="131"/>
      <c r="I42" s="131"/>
      <c r="J42" s="131"/>
      <c r="K42" s="131"/>
      <c r="M42" s="131"/>
      <c r="N42" s="131"/>
      <c r="O42" s="131"/>
      <c r="P42" s="131"/>
      <c r="Q42" s="131"/>
      <c r="S42" s="131"/>
      <c r="T42" s="131"/>
      <c r="U42" s="131"/>
      <c r="V42" s="131"/>
      <c r="W42" s="131"/>
      <c r="Y42" s="131"/>
      <c r="Z42" s="131"/>
      <c r="AA42" s="131"/>
      <c r="AB42" s="131"/>
      <c r="AC42" s="131"/>
      <c r="AE42" s="131"/>
      <c r="AF42" s="131"/>
      <c r="AG42" s="131"/>
      <c r="AH42" s="131"/>
      <c r="AI42" s="131"/>
      <c r="AK42" s="131"/>
      <c r="AL42" s="131"/>
      <c r="AM42" s="131"/>
      <c r="AN42" s="131"/>
      <c r="AO42" s="131"/>
    </row>
    <row r="43" spans="1:41">
      <c r="A43" s="56" t="s">
        <v>759</v>
      </c>
      <c r="B43" s="57" t="s">
        <v>1157</v>
      </c>
      <c r="C43" s="131"/>
      <c r="D43" s="56" t="s">
        <v>559</v>
      </c>
      <c r="E43" s="57" t="s">
        <v>364</v>
      </c>
      <c r="F43" s="131"/>
      <c r="G43" s="131"/>
      <c r="H43" s="131"/>
      <c r="I43" s="131"/>
      <c r="J43" s="131"/>
      <c r="K43" s="131"/>
      <c r="M43" s="131"/>
      <c r="N43" s="131"/>
      <c r="O43" s="131"/>
      <c r="P43" s="131"/>
      <c r="Q43" s="131"/>
      <c r="S43" s="131"/>
      <c r="T43" s="131"/>
      <c r="U43" s="131"/>
      <c r="V43" s="131"/>
      <c r="W43" s="131"/>
      <c r="Y43" s="131"/>
      <c r="Z43" s="131"/>
      <c r="AA43" s="131"/>
      <c r="AB43" s="131"/>
      <c r="AC43" s="131"/>
      <c r="AE43" s="131"/>
      <c r="AF43" s="131"/>
      <c r="AG43" s="131"/>
      <c r="AH43" s="131"/>
      <c r="AI43" s="131"/>
      <c r="AK43" s="131"/>
      <c r="AL43" s="131"/>
      <c r="AM43" s="131"/>
      <c r="AN43" s="131"/>
      <c r="AO43" s="131"/>
    </row>
    <row r="44" spans="1:41">
      <c r="A44" s="56"/>
      <c r="B44" s="57" t="s">
        <v>1158</v>
      </c>
      <c r="C44" s="131"/>
      <c r="D44" s="56" t="s">
        <v>729</v>
      </c>
      <c r="E44" s="57" t="s">
        <v>730</v>
      </c>
      <c r="F44" s="131"/>
      <c r="G44" s="131"/>
      <c r="H44" s="131"/>
      <c r="I44" s="131"/>
      <c r="J44" s="131"/>
      <c r="K44" s="131"/>
      <c r="M44" s="131"/>
      <c r="N44" s="131"/>
      <c r="O44" s="131"/>
      <c r="P44" s="131"/>
      <c r="Q44" s="131"/>
      <c r="S44" s="131"/>
      <c r="T44" s="131"/>
      <c r="U44" s="131"/>
      <c r="V44" s="131"/>
      <c r="W44" s="131"/>
      <c r="Y44" s="131"/>
      <c r="Z44" s="131"/>
      <c r="AA44" s="131"/>
      <c r="AB44" s="131"/>
      <c r="AC44" s="131"/>
      <c r="AE44" s="131"/>
      <c r="AF44" s="131"/>
      <c r="AG44" s="131"/>
      <c r="AH44" s="131"/>
      <c r="AI44" s="131"/>
      <c r="AK44" s="131"/>
      <c r="AL44" s="131"/>
      <c r="AM44" s="131"/>
      <c r="AN44" s="131"/>
      <c r="AO44" s="131"/>
    </row>
    <row r="45" spans="1:41">
      <c r="A45" s="56" t="s">
        <v>437</v>
      </c>
      <c r="B45" s="57" t="s">
        <v>483</v>
      </c>
      <c r="C45" s="131"/>
      <c r="D45" s="56"/>
      <c r="E45" s="57"/>
      <c r="F45" s="131"/>
      <c r="G45" s="131"/>
      <c r="H45" s="131"/>
      <c r="I45" s="131"/>
      <c r="J45" s="131"/>
      <c r="K45" s="131"/>
      <c r="M45" s="131"/>
      <c r="N45" s="131"/>
      <c r="O45" s="131"/>
      <c r="P45" s="131"/>
      <c r="Q45" s="131"/>
      <c r="S45" s="131"/>
      <c r="T45" s="131"/>
      <c r="U45" s="131"/>
      <c r="V45" s="131"/>
      <c r="W45" s="131"/>
      <c r="Y45" s="131"/>
      <c r="Z45" s="131"/>
      <c r="AA45" s="131"/>
      <c r="AB45" s="131"/>
      <c r="AC45" s="131"/>
      <c r="AE45" s="131"/>
      <c r="AF45" s="131"/>
      <c r="AG45" s="131"/>
      <c r="AH45" s="131"/>
      <c r="AI45" s="131"/>
      <c r="AK45" s="131"/>
      <c r="AL45" s="131"/>
      <c r="AM45" s="131"/>
      <c r="AN45" s="131"/>
      <c r="AO45" s="131"/>
    </row>
    <row r="46" spans="1:41">
      <c r="A46" s="56" t="s">
        <v>440</v>
      </c>
      <c r="B46" s="57" t="s">
        <v>482</v>
      </c>
      <c r="C46" s="131"/>
      <c r="D46" s="56" t="s">
        <v>409</v>
      </c>
      <c r="E46" s="57" t="s">
        <v>375</v>
      </c>
      <c r="F46" s="131"/>
      <c r="G46" s="131"/>
      <c r="H46" s="131"/>
      <c r="I46" s="131"/>
      <c r="J46" s="131"/>
      <c r="K46" s="131"/>
      <c r="M46" s="131"/>
      <c r="N46" s="131"/>
      <c r="O46" s="131"/>
      <c r="P46" s="131"/>
      <c r="Q46" s="131"/>
      <c r="S46" s="131"/>
      <c r="T46" s="131"/>
      <c r="U46" s="131"/>
      <c r="V46" s="131"/>
      <c r="W46" s="131"/>
      <c r="Y46" s="131"/>
      <c r="Z46" s="131"/>
      <c r="AA46" s="131"/>
      <c r="AB46" s="131"/>
      <c r="AC46" s="131"/>
      <c r="AE46" s="131"/>
      <c r="AF46" s="131"/>
      <c r="AG46" s="131"/>
      <c r="AH46" s="131"/>
      <c r="AI46" s="131"/>
      <c r="AK46" s="131"/>
      <c r="AL46" s="131"/>
      <c r="AM46" s="131"/>
      <c r="AN46" s="131"/>
      <c r="AO46" s="131"/>
    </row>
    <row r="47" spans="1:41">
      <c r="A47" s="56" t="s">
        <v>438</v>
      </c>
      <c r="B47" s="57" t="s">
        <v>484</v>
      </c>
      <c r="C47" s="131"/>
      <c r="D47" s="56" t="s">
        <v>410</v>
      </c>
      <c r="E47" s="57" t="s">
        <v>407</v>
      </c>
      <c r="F47" s="131"/>
      <c r="G47" s="131"/>
      <c r="H47" s="131"/>
      <c r="I47" s="131"/>
      <c r="J47" s="131"/>
      <c r="K47" s="131"/>
      <c r="M47" s="131"/>
      <c r="N47" s="131"/>
      <c r="O47" s="131"/>
      <c r="P47" s="131"/>
      <c r="Q47" s="131"/>
      <c r="S47" s="131"/>
      <c r="T47" s="131"/>
      <c r="U47" s="131"/>
      <c r="V47" s="131"/>
      <c r="W47" s="131"/>
      <c r="Y47" s="131"/>
      <c r="Z47" s="131"/>
      <c r="AA47" s="131"/>
      <c r="AB47" s="131"/>
      <c r="AC47" s="131"/>
      <c r="AE47" s="131"/>
      <c r="AF47" s="131"/>
      <c r="AG47" s="131"/>
      <c r="AH47" s="131"/>
      <c r="AI47" s="131"/>
      <c r="AK47" s="131"/>
      <c r="AL47" s="131"/>
      <c r="AM47" s="131"/>
      <c r="AN47" s="131"/>
      <c r="AO47" s="131"/>
    </row>
    <row r="48" spans="1:41">
      <c r="A48" s="56" t="s">
        <v>439</v>
      </c>
      <c r="B48" s="57" t="s">
        <v>485</v>
      </c>
      <c r="C48" s="131"/>
      <c r="D48" s="56" t="s">
        <v>411</v>
      </c>
      <c r="E48" s="57" t="s">
        <v>370</v>
      </c>
      <c r="F48" s="131"/>
      <c r="G48" s="131"/>
      <c r="H48" s="131"/>
      <c r="I48" s="131"/>
      <c r="J48" s="131"/>
      <c r="K48" s="131"/>
      <c r="M48" s="131"/>
      <c r="N48" s="131"/>
      <c r="O48" s="131"/>
      <c r="P48" s="131"/>
      <c r="Q48" s="131"/>
      <c r="S48" s="131"/>
      <c r="T48" s="131"/>
      <c r="U48" s="131"/>
      <c r="V48" s="131"/>
      <c r="W48" s="131"/>
      <c r="Y48" s="131"/>
      <c r="Z48" s="131"/>
      <c r="AA48" s="131"/>
      <c r="AB48" s="131"/>
      <c r="AC48" s="131"/>
      <c r="AE48" s="131"/>
      <c r="AF48" s="131"/>
      <c r="AG48" s="131"/>
      <c r="AH48" s="131"/>
      <c r="AI48" s="131"/>
      <c r="AK48" s="131"/>
      <c r="AL48" s="131"/>
      <c r="AM48" s="131"/>
      <c r="AN48" s="131"/>
      <c r="AO48" s="131"/>
    </row>
    <row r="49" spans="1:41">
      <c r="A49" s="56" t="s">
        <v>441</v>
      </c>
      <c r="B49" s="57" t="s">
        <v>405</v>
      </c>
      <c r="C49" s="131"/>
      <c r="D49" s="56" t="s">
        <v>412</v>
      </c>
      <c r="E49" s="57" t="s">
        <v>379</v>
      </c>
      <c r="F49" s="131"/>
      <c r="G49" s="131"/>
      <c r="H49" s="131"/>
      <c r="I49" s="131"/>
      <c r="J49" s="131"/>
      <c r="K49" s="131"/>
      <c r="M49" s="131"/>
      <c r="N49" s="131"/>
      <c r="O49" s="131"/>
      <c r="P49" s="131"/>
      <c r="Q49" s="131"/>
      <c r="S49" s="131"/>
      <c r="T49" s="131"/>
      <c r="U49" s="131"/>
      <c r="V49" s="131"/>
      <c r="W49" s="131"/>
      <c r="Y49" s="131"/>
      <c r="Z49" s="131"/>
      <c r="AA49" s="131"/>
      <c r="AB49" s="131"/>
      <c r="AC49" s="131"/>
      <c r="AE49" s="131"/>
      <c r="AF49" s="131"/>
      <c r="AG49" s="131"/>
      <c r="AH49" s="131"/>
      <c r="AI49" s="131"/>
      <c r="AK49" s="131"/>
      <c r="AL49" s="131"/>
      <c r="AM49" s="131"/>
      <c r="AN49" s="131"/>
      <c r="AO49" s="131"/>
    </row>
    <row r="50" spans="1:41">
      <c r="A50" s="56" t="s">
        <v>661</v>
      </c>
      <c r="B50" s="57" t="s">
        <v>653</v>
      </c>
      <c r="C50" s="131"/>
      <c r="D50" s="56" t="s">
        <v>413</v>
      </c>
      <c r="E50" s="57" t="s">
        <v>374</v>
      </c>
      <c r="F50" s="131"/>
      <c r="G50" s="131"/>
      <c r="H50" s="131"/>
      <c r="I50" s="131"/>
      <c r="J50" s="131"/>
      <c r="K50" s="131"/>
      <c r="M50" s="131"/>
      <c r="N50" s="131"/>
      <c r="O50" s="131"/>
      <c r="P50" s="131"/>
      <c r="Q50" s="131"/>
      <c r="S50" s="131"/>
      <c r="T50" s="131"/>
      <c r="U50" s="131"/>
      <c r="V50" s="131"/>
      <c r="W50" s="131"/>
      <c r="Y50" s="131"/>
      <c r="Z50" s="131"/>
      <c r="AA50" s="131"/>
      <c r="AB50" s="131"/>
      <c r="AC50" s="131"/>
      <c r="AE50" s="131"/>
      <c r="AF50" s="131"/>
      <c r="AG50" s="131"/>
      <c r="AH50" s="131"/>
      <c r="AI50" s="131"/>
      <c r="AK50" s="131"/>
      <c r="AL50" s="131"/>
      <c r="AM50" s="131"/>
      <c r="AN50" s="131"/>
      <c r="AO50" s="131"/>
    </row>
    <row r="51" spans="1:41">
      <c r="A51" s="56"/>
      <c r="B51" s="57"/>
      <c r="C51" s="131"/>
      <c r="D51" s="56" t="s">
        <v>414</v>
      </c>
      <c r="E51" s="57" t="s">
        <v>408</v>
      </c>
      <c r="F51" s="131"/>
      <c r="G51" s="131"/>
      <c r="H51" s="131"/>
      <c r="I51" s="131"/>
      <c r="J51" s="131"/>
      <c r="K51" s="131"/>
      <c r="M51" s="131"/>
      <c r="N51" s="131"/>
      <c r="O51" s="131"/>
      <c r="P51" s="131"/>
      <c r="Q51" s="131"/>
      <c r="S51" s="131"/>
      <c r="T51" s="131"/>
      <c r="U51" s="131"/>
      <c r="V51" s="131"/>
      <c r="W51" s="131"/>
      <c r="Y51" s="131"/>
      <c r="Z51" s="131"/>
      <c r="AA51" s="131"/>
      <c r="AB51" s="131"/>
      <c r="AC51" s="131"/>
      <c r="AE51" s="131"/>
      <c r="AF51" s="131"/>
      <c r="AG51" s="131"/>
      <c r="AH51" s="131"/>
      <c r="AI51" s="131"/>
      <c r="AK51" s="131"/>
      <c r="AL51" s="131"/>
      <c r="AM51" s="131"/>
      <c r="AN51" s="131"/>
      <c r="AO51" s="131"/>
    </row>
    <row r="52" spans="1:41">
      <c r="A52" s="98" t="s">
        <v>400</v>
      </c>
      <c r="B52" s="99"/>
      <c r="C52" s="131"/>
      <c r="D52" s="56" t="s">
        <v>415</v>
      </c>
      <c r="E52" s="57" t="s">
        <v>378</v>
      </c>
      <c r="F52" s="131"/>
      <c r="G52" s="131"/>
      <c r="H52" s="131"/>
      <c r="I52" s="131"/>
      <c r="J52" s="131"/>
      <c r="K52" s="131"/>
      <c r="M52" s="131"/>
      <c r="N52" s="131"/>
      <c r="O52" s="131"/>
      <c r="P52" s="131"/>
      <c r="Q52" s="131"/>
      <c r="S52" s="131"/>
      <c r="T52" s="131"/>
      <c r="U52" s="131"/>
      <c r="V52" s="131"/>
      <c r="W52" s="131"/>
      <c r="Y52" s="131"/>
      <c r="Z52" s="131"/>
      <c r="AA52" s="131"/>
      <c r="AB52" s="131"/>
      <c r="AC52" s="131"/>
      <c r="AE52" s="131"/>
      <c r="AF52" s="131"/>
      <c r="AG52" s="131"/>
      <c r="AH52" s="131"/>
      <c r="AI52" s="131"/>
      <c r="AK52" s="131"/>
      <c r="AL52" s="131"/>
      <c r="AM52" s="131"/>
      <c r="AN52" s="131"/>
      <c r="AO52" s="131"/>
    </row>
    <row r="53" spans="1:41">
      <c r="A53" s="56" t="s">
        <v>442</v>
      </c>
      <c r="B53" s="57"/>
      <c r="C53" s="131"/>
      <c r="D53" s="56"/>
      <c r="E53" s="57"/>
      <c r="F53" s="131"/>
      <c r="G53" s="131"/>
      <c r="H53" s="131"/>
      <c r="I53" s="131"/>
      <c r="J53" s="131"/>
      <c r="K53" s="131"/>
      <c r="M53" s="131"/>
      <c r="N53" s="131"/>
      <c r="O53" s="131"/>
      <c r="P53" s="131"/>
      <c r="Q53" s="131"/>
      <c r="S53" s="131"/>
      <c r="T53" s="131"/>
      <c r="U53" s="131"/>
      <c r="V53" s="131"/>
      <c r="W53" s="131"/>
      <c r="Y53" s="131"/>
      <c r="Z53" s="131"/>
      <c r="AA53" s="131"/>
      <c r="AB53" s="131"/>
      <c r="AC53" s="131"/>
      <c r="AE53" s="131"/>
      <c r="AF53" s="131"/>
      <c r="AG53" s="131"/>
      <c r="AH53" s="131"/>
      <c r="AI53" s="131"/>
      <c r="AK53" s="131"/>
      <c r="AL53" s="131"/>
      <c r="AM53" s="131"/>
      <c r="AN53" s="131"/>
      <c r="AO53" s="131"/>
    </row>
    <row r="54" spans="1:41">
      <c r="A54" s="56" t="s">
        <v>742</v>
      </c>
      <c r="B54" s="57" t="s">
        <v>1605</v>
      </c>
      <c r="C54" s="135"/>
      <c r="D54" s="98" t="s">
        <v>416</v>
      </c>
      <c r="E54" s="99"/>
      <c r="F54" s="131"/>
      <c r="G54" s="131"/>
      <c r="H54" s="131"/>
      <c r="I54" s="131"/>
      <c r="J54" s="131"/>
      <c r="K54" s="131"/>
      <c r="M54" s="131"/>
      <c r="N54" s="131"/>
      <c r="O54" s="131"/>
      <c r="P54" s="131"/>
      <c r="Q54" s="131"/>
      <c r="S54" s="131"/>
      <c r="T54" s="131"/>
      <c r="U54" s="131"/>
      <c r="V54" s="131"/>
      <c r="W54" s="131"/>
      <c r="Y54" s="131"/>
      <c r="Z54" s="131"/>
      <c r="AA54" s="131"/>
      <c r="AB54" s="131"/>
      <c r="AC54" s="131"/>
      <c r="AE54" s="131"/>
      <c r="AF54" s="131"/>
      <c r="AG54" s="131"/>
      <c r="AH54" s="131"/>
      <c r="AI54" s="131"/>
      <c r="AK54" s="131"/>
      <c r="AL54" s="131"/>
      <c r="AM54" s="131"/>
      <c r="AN54" s="131"/>
      <c r="AO54" s="131"/>
    </row>
    <row r="55" spans="1:41">
      <c r="A55" s="56" t="s">
        <v>443</v>
      </c>
      <c r="B55" s="57"/>
      <c r="C55" s="135"/>
      <c r="D55" s="56" t="s">
        <v>417</v>
      </c>
      <c r="E55" s="57" t="s">
        <v>402</v>
      </c>
      <c r="F55" s="131"/>
      <c r="G55" s="131"/>
      <c r="H55" s="131"/>
      <c r="I55" s="131"/>
      <c r="J55" s="131"/>
      <c r="K55" s="131"/>
      <c r="M55" s="131"/>
      <c r="N55" s="131"/>
      <c r="O55" s="131"/>
      <c r="P55" s="131"/>
      <c r="Q55" s="131"/>
      <c r="S55" s="131"/>
      <c r="T55" s="131"/>
      <c r="U55" s="131"/>
      <c r="V55" s="131"/>
      <c r="W55" s="131"/>
      <c r="Y55" s="131"/>
      <c r="Z55" s="131"/>
      <c r="AA55" s="131"/>
      <c r="AB55" s="131"/>
      <c r="AC55" s="131"/>
      <c r="AE55" s="131"/>
      <c r="AF55" s="131"/>
      <c r="AG55" s="131"/>
      <c r="AH55" s="131"/>
      <c r="AI55" s="131"/>
      <c r="AK55" s="131"/>
      <c r="AL55" s="131"/>
      <c r="AM55" s="131"/>
      <c r="AN55" s="131"/>
      <c r="AO55" s="131"/>
    </row>
    <row r="56" spans="1:41">
      <c r="A56" s="56" t="s">
        <v>742</v>
      </c>
      <c r="B56" s="57" t="s">
        <v>1606</v>
      </c>
      <c r="C56" s="135"/>
      <c r="D56" s="56" t="s">
        <v>418</v>
      </c>
      <c r="E56" s="57" t="s">
        <v>781</v>
      </c>
      <c r="F56" s="131"/>
      <c r="G56" s="131"/>
      <c r="H56" s="131"/>
      <c r="I56" s="131"/>
      <c r="J56" s="131"/>
      <c r="K56" s="131"/>
      <c r="M56" s="131"/>
      <c r="N56" s="131"/>
      <c r="O56" s="131"/>
      <c r="P56" s="131"/>
      <c r="Q56" s="131"/>
      <c r="S56" s="131"/>
      <c r="T56" s="131"/>
      <c r="U56" s="131"/>
      <c r="V56" s="131"/>
      <c r="W56" s="131"/>
      <c r="Y56" s="131"/>
      <c r="Z56" s="131"/>
      <c r="AA56" s="131"/>
      <c r="AB56" s="131"/>
      <c r="AC56" s="131"/>
      <c r="AE56" s="131"/>
      <c r="AF56" s="131"/>
      <c r="AG56" s="131"/>
      <c r="AH56" s="131"/>
      <c r="AI56" s="131"/>
      <c r="AK56" s="131"/>
      <c r="AL56" s="131"/>
      <c r="AM56" s="131"/>
      <c r="AN56" s="131"/>
      <c r="AO56" s="131"/>
    </row>
    <row r="57" spans="1:41">
      <c r="A57" s="56" t="s">
        <v>445</v>
      </c>
      <c r="B57" s="57" t="s">
        <v>181</v>
      </c>
      <c r="C57" s="135"/>
      <c r="D57" s="56" t="s">
        <v>419</v>
      </c>
      <c r="E57" s="57" t="s">
        <v>782</v>
      </c>
      <c r="F57" s="131"/>
      <c r="G57" s="131"/>
      <c r="H57" s="131"/>
      <c r="I57" s="131"/>
      <c r="J57" s="131"/>
      <c r="K57" s="131"/>
      <c r="M57" s="131"/>
      <c r="N57" s="131"/>
      <c r="O57" s="131"/>
      <c r="P57" s="131"/>
      <c r="Q57" s="131"/>
      <c r="S57" s="131"/>
      <c r="T57" s="131"/>
      <c r="U57" s="131"/>
      <c r="V57" s="131"/>
      <c r="W57" s="131"/>
      <c r="Y57" s="131"/>
      <c r="Z57" s="131"/>
      <c r="AA57" s="131"/>
      <c r="AB57" s="131"/>
      <c r="AC57" s="131"/>
      <c r="AE57" s="131"/>
      <c r="AF57" s="131"/>
      <c r="AG57" s="131"/>
      <c r="AH57" s="131"/>
      <c r="AI57" s="131"/>
      <c r="AK57" s="131"/>
      <c r="AL57" s="131"/>
      <c r="AM57" s="131"/>
      <c r="AN57" s="131"/>
      <c r="AO57" s="131"/>
    </row>
    <row r="58" spans="1:41">
      <c r="A58" s="56" t="s">
        <v>444</v>
      </c>
      <c r="B58" s="57" t="s">
        <v>184</v>
      </c>
      <c r="C58" s="135"/>
      <c r="D58" s="56" t="s">
        <v>420</v>
      </c>
      <c r="E58" s="57" t="s">
        <v>29</v>
      </c>
      <c r="F58" s="131"/>
      <c r="G58" s="131"/>
      <c r="H58" s="131"/>
      <c r="I58" s="131"/>
      <c r="J58" s="131"/>
      <c r="K58" s="131"/>
      <c r="M58" s="131"/>
      <c r="N58" s="131"/>
      <c r="O58" s="131"/>
      <c r="P58" s="131"/>
      <c r="Q58" s="131"/>
      <c r="S58" s="131"/>
      <c r="T58" s="131"/>
      <c r="U58" s="131"/>
      <c r="V58" s="131"/>
      <c r="W58" s="131"/>
      <c r="Y58" s="131"/>
      <c r="Z58" s="131"/>
      <c r="AA58" s="131"/>
      <c r="AB58" s="131"/>
      <c r="AC58" s="131"/>
      <c r="AE58" s="131"/>
      <c r="AF58" s="131"/>
      <c r="AG58" s="131"/>
      <c r="AH58" s="131"/>
      <c r="AI58" s="131"/>
      <c r="AK58" s="131"/>
      <c r="AL58" s="131"/>
      <c r="AM58" s="131"/>
      <c r="AN58" s="131"/>
      <c r="AO58" s="131"/>
    </row>
    <row r="59" spans="1:41">
      <c r="A59" s="56" t="s">
        <v>793</v>
      </c>
      <c r="B59" s="57" t="s">
        <v>1057</v>
      </c>
      <c r="C59" s="135"/>
      <c r="D59" s="96"/>
      <c r="E59" s="97"/>
      <c r="F59" s="131"/>
      <c r="G59" s="131"/>
      <c r="H59" s="131"/>
      <c r="I59" s="131"/>
      <c r="J59" s="131"/>
      <c r="K59" s="131"/>
      <c r="M59" s="131"/>
      <c r="N59" s="131"/>
      <c r="O59" s="131"/>
      <c r="P59" s="131"/>
      <c r="Q59" s="131"/>
      <c r="S59" s="131"/>
      <c r="T59" s="131"/>
      <c r="U59" s="131"/>
      <c r="V59" s="131"/>
      <c r="W59" s="131"/>
      <c r="Y59" s="131"/>
      <c r="Z59" s="131"/>
      <c r="AA59" s="131"/>
      <c r="AB59" s="131"/>
      <c r="AC59" s="131"/>
      <c r="AE59" s="131"/>
      <c r="AF59" s="131"/>
      <c r="AG59" s="131"/>
      <c r="AH59" s="131"/>
      <c r="AI59" s="131"/>
      <c r="AK59" s="131"/>
      <c r="AL59" s="131"/>
      <c r="AM59" s="131"/>
      <c r="AN59" s="131"/>
      <c r="AO59" s="131"/>
    </row>
    <row r="60" spans="1:41">
      <c r="A60" s="56" t="s">
        <v>794</v>
      </c>
      <c r="B60" s="57" t="s">
        <v>1058</v>
      </c>
      <c r="C60" s="135"/>
      <c r="D60" s="98" t="s">
        <v>189</v>
      </c>
      <c r="E60" s="99"/>
      <c r="F60" s="131"/>
      <c r="G60" s="131"/>
      <c r="H60" s="131"/>
      <c r="I60" s="131"/>
      <c r="J60" s="131"/>
      <c r="K60" s="131"/>
      <c r="M60" s="131"/>
      <c r="N60" s="131"/>
      <c r="O60" s="131"/>
      <c r="P60" s="131"/>
      <c r="Q60" s="131"/>
      <c r="S60" s="131"/>
      <c r="T60" s="131"/>
      <c r="U60" s="131"/>
      <c r="V60" s="131"/>
      <c r="W60" s="131"/>
      <c r="Y60" s="131"/>
      <c r="Z60" s="131"/>
      <c r="AA60" s="131"/>
      <c r="AB60" s="131"/>
      <c r="AC60" s="131"/>
      <c r="AE60" s="131"/>
      <c r="AF60" s="131"/>
      <c r="AG60" s="131"/>
      <c r="AH60" s="131"/>
      <c r="AI60" s="131"/>
      <c r="AK60" s="131"/>
      <c r="AL60" s="131"/>
      <c r="AM60" s="131"/>
      <c r="AN60" s="131"/>
      <c r="AO60" s="131"/>
    </row>
    <row r="61" spans="1:41">
      <c r="A61" s="56" t="s">
        <v>601</v>
      </c>
      <c r="B61" s="57" t="s">
        <v>447</v>
      </c>
      <c r="C61" s="135"/>
      <c r="D61" s="56" t="s">
        <v>632</v>
      </c>
      <c r="E61" s="57" t="s">
        <v>486</v>
      </c>
      <c r="F61" s="131"/>
      <c r="G61" s="131"/>
      <c r="H61" s="131"/>
      <c r="I61" s="131"/>
      <c r="J61" s="131"/>
      <c r="K61" s="131"/>
      <c r="M61" s="131"/>
      <c r="N61" s="131"/>
      <c r="O61" s="131"/>
      <c r="P61" s="131"/>
      <c r="Q61" s="131"/>
      <c r="S61" s="131"/>
      <c r="T61" s="131"/>
      <c r="U61" s="131"/>
      <c r="V61" s="131"/>
      <c r="W61" s="131"/>
      <c r="Y61" s="131"/>
      <c r="Z61" s="131"/>
      <c r="AA61" s="131"/>
      <c r="AB61" s="131"/>
      <c r="AC61" s="131"/>
      <c r="AE61" s="131"/>
      <c r="AF61" s="131"/>
      <c r="AG61" s="131"/>
      <c r="AH61" s="131"/>
      <c r="AI61" s="131"/>
      <c r="AK61" s="131"/>
      <c r="AL61" s="131"/>
      <c r="AM61" s="131"/>
      <c r="AN61" s="131"/>
      <c r="AO61" s="131"/>
    </row>
    <row r="62" spans="1:41">
      <c r="A62" s="56" t="s">
        <v>600</v>
      </c>
      <c r="B62" s="57" t="s">
        <v>451</v>
      </c>
      <c r="C62" s="135"/>
      <c r="D62" s="56" t="s">
        <v>633</v>
      </c>
      <c r="E62" s="57" t="s">
        <v>487</v>
      </c>
      <c r="F62" s="131"/>
      <c r="G62" s="131"/>
      <c r="H62" s="131"/>
      <c r="I62" s="131"/>
      <c r="J62" s="131"/>
      <c r="K62" s="131"/>
      <c r="M62" s="131"/>
      <c r="N62" s="131"/>
      <c r="O62" s="131"/>
      <c r="P62" s="131"/>
      <c r="Q62" s="131"/>
      <c r="S62" s="131"/>
      <c r="T62" s="131"/>
      <c r="U62" s="131"/>
      <c r="V62" s="131"/>
      <c r="W62" s="131"/>
      <c r="Y62" s="131"/>
      <c r="Z62" s="131"/>
      <c r="AA62" s="131"/>
      <c r="AB62" s="131"/>
      <c r="AC62" s="131"/>
      <c r="AE62" s="131"/>
      <c r="AF62" s="131"/>
      <c r="AG62" s="131"/>
      <c r="AH62" s="131"/>
      <c r="AI62" s="131"/>
      <c r="AK62" s="131"/>
      <c r="AL62" s="131"/>
      <c r="AM62" s="131"/>
      <c r="AN62" s="131"/>
      <c r="AO62" s="131"/>
    </row>
    <row r="63" spans="1:41">
      <c r="A63" s="56" t="s">
        <v>791</v>
      </c>
      <c r="B63" s="57" t="s">
        <v>769</v>
      </c>
      <c r="C63" s="135"/>
      <c r="D63" s="56" t="s">
        <v>634</v>
      </c>
      <c r="E63" s="57" t="s">
        <v>636</v>
      </c>
      <c r="F63" s="131"/>
      <c r="G63" s="131"/>
      <c r="H63" s="131"/>
      <c r="I63" s="131"/>
      <c r="J63" s="131"/>
      <c r="K63" s="131"/>
      <c r="M63" s="131"/>
      <c r="N63" s="131"/>
      <c r="O63" s="131"/>
      <c r="P63" s="131"/>
      <c r="Q63" s="131"/>
      <c r="S63" s="131"/>
      <c r="T63" s="131"/>
      <c r="U63" s="131"/>
      <c r="V63" s="131"/>
      <c r="W63" s="131"/>
      <c r="Y63" s="131"/>
      <c r="Z63" s="131"/>
      <c r="AA63" s="131"/>
      <c r="AB63" s="131"/>
      <c r="AC63" s="131"/>
      <c r="AE63" s="131"/>
      <c r="AF63" s="131"/>
      <c r="AG63" s="131"/>
      <c r="AH63" s="131"/>
      <c r="AI63" s="131"/>
      <c r="AK63" s="131"/>
      <c r="AL63" s="131"/>
      <c r="AM63" s="131"/>
      <c r="AN63" s="131"/>
      <c r="AO63" s="131"/>
    </row>
    <row r="64" spans="1:41">
      <c r="A64" s="56" t="s">
        <v>792</v>
      </c>
      <c r="B64" s="57" t="s">
        <v>770</v>
      </c>
      <c r="C64" s="135"/>
      <c r="D64" s="56" t="s">
        <v>635</v>
      </c>
      <c r="E64" s="57" t="s">
        <v>1617</v>
      </c>
      <c r="F64" s="131"/>
      <c r="G64" s="131"/>
      <c r="H64" s="131"/>
      <c r="I64" s="131"/>
      <c r="J64" s="131"/>
      <c r="K64" s="131"/>
      <c r="M64" s="131"/>
      <c r="N64" s="131"/>
      <c r="O64" s="131"/>
      <c r="P64" s="131"/>
      <c r="Q64" s="131"/>
      <c r="S64" s="131"/>
      <c r="T64" s="131"/>
      <c r="U64" s="131"/>
      <c r="V64" s="131"/>
      <c r="W64" s="131"/>
      <c r="Y64" s="131"/>
      <c r="Z64" s="131"/>
      <c r="AA64" s="131"/>
      <c r="AB64" s="131"/>
      <c r="AC64" s="131"/>
      <c r="AE64" s="131"/>
      <c r="AF64" s="131"/>
      <c r="AG64" s="131"/>
      <c r="AH64" s="131"/>
      <c r="AI64" s="131"/>
      <c r="AK64" s="131"/>
      <c r="AL64" s="131"/>
      <c r="AM64" s="131"/>
      <c r="AN64" s="131"/>
      <c r="AO64" s="131"/>
    </row>
    <row r="65" spans="1:41">
      <c r="A65" s="56" t="s">
        <v>602</v>
      </c>
      <c r="B65" s="57" t="s">
        <v>599</v>
      </c>
      <c r="C65" s="135"/>
      <c r="D65" s="56" t="s">
        <v>1618</v>
      </c>
      <c r="E65" s="57" t="s">
        <v>1620</v>
      </c>
      <c r="F65" s="131"/>
      <c r="G65" s="131"/>
      <c r="H65" s="131"/>
      <c r="I65" s="131"/>
      <c r="J65" s="131"/>
      <c r="K65" s="131"/>
      <c r="M65" s="131"/>
      <c r="N65" s="131"/>
      <c r="O65" s="131"/>
      <c r="P65" s="131"/>
      <c r="Q65" s="131"/>
      <c r="S65" s="131"/>
      <c r="T65" s="131"/>
      <c r="U65" s="131"/>
      <c r="V65" s="131"/>
      <c r="W65" s="131"/>
      <c r="Y65" s="131"/>
      <c r="Z65" s="131"/>
      <c r="AA65" s="131"/>
      <c r="AB65" s="131"/>
      <c r="AC65" s="131"/>
      <c r="AE65" s="131"/>
      <c r="AF65" s="131"/>
      <c r="AG65" s="131"/>
      <c r="AH65" s="131"/>
      <c r="AI65" s="131"/>
      <c r="AK65" s="131"/>
      <c r="AL65" s="131"/>
      <c r="AM65" s="131"/>
      <c r="AN65" s="131"/>
      <c r="AO65" s="131"/>
    </row>
    <row r="66" spans="1:41">
      <c r="A66" s="56"/>
      <c r="B66" s="97"/>
      <c r="C66" s="135"/>
      <c r="D66" s="56" t="s">
        <v>1619</v>
      </c>
      <c r="E66" s="57" t="s">
        <v>1621</v>
      </c>
      <c r="F66" s="131"/>
      <c r="G66" s="131"/>
      <c r="H66" s="131"/>
      <c r="I66" s="131"/>
      <c r="J66" s="131"/>
      <c r="K66" s="131"/>
      <c r="M66" s="131"/>
      <c r="N66" s="131"/>
      <c r="O66" s="131"/>
      <c r="P66" s="131"/>
      <c r="Q66" s="131"/>
      <c r="S66" s="131"/>
      <c r="T66" s="131"/>
      <c r="U66" s="131"/>
      <c r="V66" s="131"/>
      <c r="W66" s="131"/>
      <c r="Y66" s="131"/>
      <c r="Z66" s="131"/>
      <c r="AA66" s="131"/>
      <c r="AB66" s="131"/>
      <c r="AC66" s="131"/>
      <c r="AE66" s="131"/>
      <c r="AF66" s="131"/>
      <c r="AG66" s="131"/>
      <c r="AH66" s="131"/>
      <c r="AI66" s="131"/>
      <c r="AK66" s="131"/>
      <c r="AL66" s="131"/>
      <c r="AM66" s="131"/>
      <c r="AN66" s="131"/>
      <c r="AO66" s="131"/>
    </row>
    <row r="67" spans="1:41">
      <c r="A67" s="98" t="s">
        <v>401</v>
      </c>
      <c r="B67" s="99"/>
      <c r="C67" s="135"/>
      <c r="D67" s="56"/>
      <c r="E67" s="57"/>
      <c r="F67" s="131"/>
      <c r="G67" s="131"/>
      <c r="H67" s="131"/>
      <c r="I67" s="131"/>
      <c r="J67" s="131"/>
      <c r="K67" s="131"/>
      <c r="M67" s="131"/>
      <c r="N67" s="131"/>
      <c r="O67" s="131"/>
      <c r="P67" s="131"/>
      <c r="Q67" s="131"/>
      <c r="S67" s="131"/>
      <c r="T67" s="131"/>
      <c r="U67" s="131"/>
      <c r="V67" s="131"/>
      <c r="W67" s="131"/>
      <c r="Y67" s="131"/>
      <c r="Z67" s="131"/>
      <c r="AA67" s="131"/>
      <c r="AB67" s="131"/>
      <c r="AC67" s="131"/>
      <c r="AE67" s="131"/>
      <c r="AF67" s="131"/>
      <c r="AG67" s="131"/>
      <c r="AH67" s="131"/>
      <c r="AI67" s="131"/>
      <c r="AK67" s="131"/>
      <c r="AL67" s="131"/>
      <c r="AM67" s="131"/>
      <c r="AN67" s="131"/>
      <c r="AO67" s="131"/>
    </row>
    <row r="68" spans="1:41">
      <c r="A68" s="56" t="s">
        <v>744</v>
      </c>
      <c r="B68" s="57" t="s">
        <v>745</v>
      </c>
      <c r="C68" s="135"/>
      <c r="D68" s="98" t="s">
        <v>2462</v>
      </c>
      <c r="E68" s="99"/>
      <c r="F68" s="131"/>
      <c r="G68" s="131"/>
      <c r="H68" s="131"/>
      <c r="I68" s="131"/>
      <c r="J68" s="131"/>
      <c r="K68" s="131"/>
      <c r="M68" s="131"/>
      <c r="N68" s="131"/>
      <c r="O68" s="131"/>
      <c r="P68" s="131"/>
      <c r="Q68" s="131"/>
      <c r="S68" s="131"/>
      <c r="T68" s="131"/>
      <c r="U68" s="131"/>
      <c r="V68" s="131"/>
      <c r="W68" s="131"/>
      <c r="Y68" s="131"/>
      <c r="Z68" s="131"/>
      <c r="AA68" s="131"/>
      <c r="AB68" s="131"/>
      <c r="AC68" s="131"/>
      <c r="AE68" s="131"/>
      <c r="AF68" s="131"/>
      <c r="AG68" s="131"/>
      <c r="AH68" s="131"/>
      <c r="AI68" s="131"/>
      <c r="AK68" s="131"/>
      <c r="AL68" s="131"/>
      <c r="AM68" s="131"/>
      <c r="AN68" s="131"/>
      <c r="AO68" s="131"/>
    </row>
    <row r="69" spans="1:41">
      <c r="A69" s="56" t="s">
        <v>431</v>
      </c>
      <c r="B69" s="57" t="s">
        <v>27</v>
      </c>
      <c r="C69" s="135"/>
      <c r="D69" s="56" t="s">
        <v>1311</v>
      </c>
      <c r="E69" s="57" t="s">
        <v>1376</v>
      </c>
      <c r="F69" s="131"/>
      <c r="G69" s="131"/>
      <c r="H69" s="131"/>
      <c r="I69" s="131"/>
      <c r="J69" s="131"/>
      <c r="K69" s="131"/>
      <c r="M69" s="131"/>
      <c r="N69" s="131"/>
      <c r="O69" s="131"/>
      <c r="P69" s="131"/>
      <c r="Q69" s="131"/>
      <c r="S69" s="131"/>
      <c r="T69" s="131"/>
      <c r="U69" s="131"/>
      <c r="V69" s="131"/>
      <c r="W69" s="131"/>
      <c r="Y69" s="131"/>
      <c r="Z69" s="131"/>
      <c r="AA69" s="131"/>
      <c r="AB69" s="131"/>
      <c r="AC69" s="131"/>
      <c r="AE69" s="131"/>
      <c r="AF69" s="131"/>
      <c r="AG69" s="131"/>
      <c r="AH69" s="131"/>
      <c r="AI69" s="131"/>
      <c r="AK69" s="131"/>
      <c r="AL69" s="131"/>
      <c r="AM69" s="131"/>
      <c r="AN69" s="131"/>
      <c r="AO69" s="131"/>
    </row>
    <row r="70" spans="1:41">
      <c r="A70" s="56" t="s">
        <v>432</v>
      </c>
      <c r="B70" s="57" t="s">
        <v>36</v>
      </c>
      <c r="C70" s="135"/>
      <c r="D70" s="56" t="s">
        <v>2466</v>
      </c>
      <c r="E70" s="57" t="s">
        <v>1625</v>
      </c>
      <c r="F70" s="131"/>
      <c r="G70" s="131"/>
      <c r="H70" s="131"/>
      <c r="I70" s="131"/>
      <c r="J70" s="131"/>
      <c r="K70" s="131"/>
      <c r="M70" s="131"/>
      <c r="N70" s="131"/>
      <c r="O70" s="131"/>
      <c r="P70" s="131"/>
      <c r="Q70" s="131"/>
      <c r="S70" s="131"/>
      <c r="T70" s="131"/>
      <c r="U70" s="131"/>
      <c r="V70" s="131"/>
      <c r="W70" s="131"/>
      <c r="Y70" s="131"/>
      <c r="Z70" s="131"/>
      <c r="AA70" s="131"/>
      <c r="AB70" s="131"/>
      <c r="AC70" s="131"/>
      <c r="AE70" s="131"/>
      <c r="AF70" s="131"/>
      <c r="AG70" s="131"/>
      <c r="AH70" s="131"/>
      <c r="AI70" s="131"/>
      <c r="AK70" s="131"/>
      <c r="AL70" s="131"/>
      <c r="AM70" s="131"/>
      <c r="AN70" s="131"/>
      <c r="AO70" s="131"/>
    </row>
    <row r="71" spans="1:41">
      <c r="A71" s="56" t="s">
        <v>1703</v>
      </c>
      <c r="B71" s="57" t="s">
        <v>1563</v>
      </c>
      <c r="C71" s="135"/>
      <c r="D71" s="56" t="s">
        <v>2463</v>
      </c>
      <c r="E71" s="57" t="s">
        <v>2465</v>
      </c>
      <c r="F71" s="131"/>
      <c r="G71" s="131"/>
      <c r="H71" s="131"/>
      <c r="I71" s="131"/>
      <c r="J71" s="131"/>
      <c r="K71" s="131"/>
      <c r="M71" s="131"/>
      <c r="N71" s="131"/>
      <c r="O71" s="131"/>
      <c r="P71" s="131"/>
      <c r="Q71" s="131"/>
      <c r="S71" s="131"/>
      <c r="T71" s="131"/>
      <c r="U71" s="131"/>
      <c r="V71" s="131"/>
      <c r="W71" s="131"/>
      <c r="Y71" s="131"/>
      <c r="Z71" s="131"/>
      <c r="AA71" s="131"/>
      <c r="AB71" s="131"/>
      <c r="AC71" s="131"/>
      <c r="AE71" s="131"/>
      <c r="AF71" s="131"/>
      <c r="AG71" s="131"/>
      <c r="AH71" s="131"/>
      <c r="AI71" s="131"/>
      <c r="AK71" s="131"/>
      <c r="AL71" s="131"/>
      <c r="AM71" s="131"/>
      <c r="AN71" s="131"/>
      <c r="AO71" s="131"/>
    </row>
    <row r="72" spans="1:41" ht="15">
      <c r="A72" s="56" t="s">
        <v>1704</v>
      </c>
      <c r="B72" s="57" t="s">
        <v>1564</v>
      </c>
      <c r="C72" s="135"/>
      <c r="D72" s="56" t="s">
        <v>2472</v>
      </c>
      <c r="E72" s="598" t="s">
        <v>2464</v>
      </c>
      <c r="F72" s="131"/>
      <c r="G72" s="131"/>
      <c r="H72" s="131"/>
      <c r="I72" s="131"/>
      <c r="J72" s="131"/>
      <c r="K72" s="131"/>
      <c r="M72" s="131"/>
      <c r="N72" s="131"/>
      <c r="O72" s="131"/>
      <c r="P72" s="131"/>
      <c r="Q72" s="131"/>
      <c r="S72" s="131"/>
      <c r="T72" s="131"/>
      <c r="U72" s="131"/>
      <c r="V72" s="131"/>
      <c r="W72" s="131"/>
      <c r="Y72" s="131"/>
      <c r="Z72" s="131"/>
      <c r="AA72" s="131"/>
      <c r="AB72" s="131"/>
      <c r="AC72" s="131"/>
      <c r="AE72" s="131"/>
      <c r="AF72" s="131"/>
      <c r="AG72" s="131"/>
      <c r="AH72" s="131"/>
      <c r="AI72" s="131"/>
      <c r="AK72" s="131"/>
      <c r="AL72" s="131"/>
      <c r="AM72" s="131"/>
      <c r="AN72" s="131"/>
      <c r="AO72" s="131"/>
    </row>
    <row r="73" spans="1:41" ht="15">
      <c r="A73" s="56" t="s">
        <v>433</v>
      </c>
      <c r="B73" s="57" t="s">
        <v>41</v>
      </c>
      <c r="C73" s="135"/>
      <c r="D73" s="56" t="s">
        <v>2467</v>
      </c>
      <c r="E73" s="599" t="s">
        <v>2464</v>
      </c>
      <c r="F73" s="131"/>
      <c r="G73" s="131"/>
      <c r="H73" s="131"/>
      <c r="I73" s="131"/>
      <c r="J73" s="131"/>
      <c r="K73" s="131"/>
      <c r="M73" s="131"/>
      <c r="N73" s="131"/>
      <c r="O73" s="131"/>
      <c r="P73" s="131"/>
      <c r="Q73" s="131"/>
      <c r="S73" s="131"/>
      <c r="T73" s="131"/>
      <c r="U73" s="131"/>
      <c r="V73" s="131"/>
      <c r="W73" s="131"/>
      <c r="Y73" s="131"/>
      <c r="Z73" s="131"/>
      <c r="AA73" s="131"/>
      <c r="AB73" s="131"/>
      <c r="AC73" s="131"/>
      <c r="AE73" s="131"/>
      <c r="AF73" s="131"/>
      <c r="AG73" s="131"/>
      <c r="AH73" s="131"/>
      <c r="AI73" s="131"/>
      <c r="AK73" s="131"/>
      <c r="AL73" s="131"/>
      <c r="AM73" s="131"/>
      <c r="AN73" s="131"/>
      <c r="AO73" s="131"/>
    </row>
    <row r="74" spans="1:41" ht="15.6" thickBot="1">
      <c r="A74" s="56" t="s">
        <v>761</v>
      </c>
      <c r="B74" s="57" t="s">
        <v>42</v>
      </c>
      <c r="C74" s="135"/>
      <c r="D74" s="597" t="s">
        <v>2473</v>
      </c>
      <c r="E74" s="642" t="s">
        <v>2464</v>
      </c>
      <c r="F74" s="131"/>
      <c r="G74" s="131"/>
      <c r="H74" s="131"/>
      <c r="I74" s="131"/>
      <c r="J74" s="131"/>
      <c r="K74" s="131"/>
      <c r="M74" s="131"/>
      <c r="N74" s="131"/>
      <c r="O74" s="131"/>
      <c r="P74" s="131"/>
      <c r="Q74" s="131"/>
      <c r="S74" s="131"/>
      <c r="T74" s="131"/>
      <c r="U74" s="131"/>
      <c r="V74" s="131"/>
      <c r="W74" s="131"/>
      <c r="Y74" s="131"/>
      <c r="Z74" s="131"/>
      <c r="AA74" s="131"/>
      <c r="AB74" s="131"/>
      <c r="AC74" s="131"/>
      <c r="AE74" s="131"/>
      <c r="AF74" s="131"/>
      <c r="AG74" s="131"/>
      <c r="AH74" s="131"/>
      <c r="AI74" s="131"/>
      <c r="AK74" s="131"/>
      <c r="AL74" s="131"/>
      <c r="AM74" s="131"/>
      <c r="AN74" s="131"/>
      <c r="AO74" s="131"/>
    </row>
    <row r="75" spans="1:41">
      <c r="A75" s="56" t="s">
        <v>760</v>
      </c>
      <c r="B75" s="57" t="s">
        <v>763</v>
      </c>
      <c r="C75" s="135"/>
      <c r="D75" s="135"/>
      <c r="E75" s="135"/>
      <c r="F75" s="131"/>
      <c r="G75" s="131"/>
      <c r="H75" s="131"/>
      <c r="I75" s="131"/>
      <c r="J75" s="131"/>
      <c r="K75" s="131"/>
      <c r="M75" s="131"/>
      <c r="N75" s="131"/>
      <c r="O75" s="131"/>
      <c r="P75" s="131"/>
      <c r="Q75" s="131"/>
      <c r="S75" s="131"/>
      <c r="T75" s="131"/>
      <c r="U75" s="131"/>
      <c r="V75" s="131"/>
      <c r="W75" s="131"/>
      <c r="Y75" s="131"/>
      <c r="Z75" s="131"/>
      <c r="AA75" s="131"/>
      <c r="AB75" s="131"/>
      <c r="AC75" s="131"/>
      <c r="AE75" s="131"/>
      <c r="AF75" s="131"/>
      <c r="AG75" s="131"/>
      <c r="AH75" s="131"/>
      <c r="AI75" s="131"/>
      <c r="AK75" s="131"/>
      <c r="AL75" s="131"/>
      <c r="AM75" s="131"/>
      <c r="AN75" s="131"/>
      <c r="AO75" s="131"/>
    </row>
    <row r="76" spans="1:41">
      <c r="A76" s="56" t="s">
        <v>762</v>
      </c>
      <c r="B76" s="57" t="s">
        <v>764</v>
      </c>
      <c r="C76" s="135"/>
      <c r="D76" s="135"/>
      <c r="E76" s="135"/>
      <c r="F76" s="131"/>
      <c r="G76" s="131"/>
      <c r="H76" s="131"/>
      <c r="I76" s="131"/>
      <c r="J76" s="131"/>
      <c r="K76" s="131"/>
      <c r="M76" s="131"/>
      <c r="N76" s="131"/>
      <c r="O76" s="131"/>
      <c r="P76" s="131"/>
      <c r="Q76" s="131"/>
      <c r="S76" s="131"/>
      <c r="T76" s="131"/>
      <c r="U76" s="131"/>
      <c r="V76" s="131"/>
      <c r="W76" s="131"/>
      <c r="Y76" s="131"/>
      <c r="Z76" s="131"/>
      <c r="AA76" s="131"/>
      <c r="AB76" s="131"/>
      <c r="AC76" s="131"/>
      <c r="AE76" s="131"/>
      <c r="AF76" s="131"/>
      <c r="AG76" s="131"/>
      <c r="AH76" s="131"/>
      <c r="AI76" s="131"/>
      <c r="AK76" s="131"/>
      <c r="AL76" s="131"/>
      <c r="AM76" s="131"/>
      <c r="AN76" s="131"/>
      <c r="AO76" s="131"/>
    </row>
    <row r="77" spans="1:41">
      <c r="A77" s="56" t="s">
        <v>765</v>
      </c>
      <c r="B77" s="57" t="s">
        <v>773</v>
      </c>
      <c r="C77" s="135"/>
      <c r="D77" s="135"/>
      <c r="E77" s="135"/>
      <c r="F77" s="131"/>
      <c r="G77" s="131"/>
      <c r="H77" s="131"/>
      <c r="I77" s="131"/>
      <c r="J77" s="131"/>
      <c r="K77" s="131"/>
      <c r="M77" s="131"/>
      <c r="N77" s="131"/>
      <c r="O77" s="131"/>
      <c r="P77" s="131"/>
      <c r="Q77" s="131"/>
      <c r="S77" s="131"/>
      <c r="T77" s="131"/>
      <c r="U77" s="131"/>
      <c r="V77" s="131"/>
      <c r="W77" s="131"/>
      <c r="Y77" s="131"/>
      <c r="Z77" s="131"/>
      <c r="AA77" s="131"/>
      <c r="AB77" s="131"/>
      <c r="AC77" s="131"/>
      <c r="AE77" s="131"/>
      <c r="AF77" s="131"/>
      <c r="AG77" s="131"/>
      <c r="AH77" s="131"/>
      <c r="AI77" s="131"/>
      <c r="AK77" s="131"/>
      <c r="AL77" s="131"/>
      <c r="AM77" s="131"/>
      <c r="AN77" s="131"/>
      <c r="AO77" s="131"/>
    </row>
    <row r="78" spans="1:41">
      <c r="A78" s="56" t="s">
        <v>766</v>
      </c>
      <c r="B78" s="57" t="s">
        <v>774</v>
      </c>
      <c r="C78" s="135"/>
      <c r="D78" s="135"/>
      <c r="E78" s="135"/>
      <c r="F78" s="131"/>
      <c r="G78" s="131"/>
      <c r="H78" s="131"/>
      <c r="I78" s="131"/>
      <c r="J78" s="131"/>
      <c r="K78" s="131"/>
      <c r="M78" s="131"/>
      <c r="N78" s="131"/>
      <c r="O78" s="131"/>
      <c r="P78" s="131"/>
      <c r="Q78" s="131"/>
      <c r="S78" s="131"/>
      <c r="T78" s="131"/>
      <c r="U78" s="131"/>
      <c r="V78" s="131"/>
      <c r="W78" s="131"/>
      <c r="Y78" s="131"/>
      <c r="Z78" s="131"/>
      <c r="AA78" s="131"/>
      <c r="AB78" s="131"/>
      <c r="AC78" s="131"/>
      <c r="AE78" s="131"/>
      <c r="AF78" s="131"/>
      <c r="AG78" s="131"/>
      <c r="AH78" s="131"/>
      <c r="AI78" s="131"/>
      <c r="AK78" s="131"/>
      <c r="AL78" s="131"/>
      <c r="AM78" s="131"/>
      <c r="AN78" s="131"/>
      <c r="AO78" s="131"/>
    </row>
    <row r="79" spans="1:41">
      <c r="A79" s="56" t="s">
        <v>765</v>
      </c>
      <c r="B79" s="57" t="s">
        <v>767</v>
      </c>
      <c r="C79" s="135"/>
      <c r="D79" s="131"/>
      <c r="E79" s="131"/>
      <c r="F79" s="131"/>
      <c r="G79" s="131"/>
      <c r="H79" s="131"/>
      <c r="I79" s="131"/>
      <c r="J79" s="131"/>
      <c r="K79" s="131"/>
      <c r="M79" s="131"/>
      <c r="N79" s="131"/>
      <c r="O79" s="131"/>
      <c r="P79" s="131"/>
      <c r="Q79" s="131"/>
      <c r="S79" s="131"/>
      <c r="T79" s="131"/>
      <c r="U79" s="131"/>
      <c r="V79" s="131"/>
      <c r="W79" s="131"/>
      <c r="Y79" s="131"/>
      <c r="Z79" s="131"/>
      <c r="AA79" s="131"/>
      <c r="AB79" s="131"/>
      <c r="AC79" s="131"/>
      <c r="AE79" s="131"/>
      <c r="AF79" s="131"/>
      <c r="AG79" s="131"/>
      <c r="AH79" s="131"/>
      <c r="AI79" s="131"/>
      <c r="AK79" s="131"/>
      <c r="AL79" s="131"/>
      <c r="AM79" s="131"/>
      <c r="AN79" s="131"/>
      <c r="AO79" s="131"/>
    </row>
    <row r="80" spans="1:41">
      <c r="A80" s="56" t="s">
        <v>766</v>
      </c>
      <c r="B80" s="57" t="s">
        <v>768</v>
      </c>
      <c r="C80" s="135"/>
      <c r="D80" s="135"/>
      <c r="E80" s="135"/>
      <c r="F80" s="131"/>
      <c r="G80" s="131"/>
      <c r="H80" s="131"/>
      <c r="I80" s="131"/>
      <c r="J80" s="131"/>
      <c r="K80" s="131"/>
      <c r="M80" s="131"/>
      <c r="N80" s="131"/>
      <c r="O80" s="131"/>
      <c r="P80" s="131"/>
      <c r="Q80" s="131"/>
      <c r="S80" s="131"/>
      <c r="T80" s="131"/>
      <c r="U80" s="131"/>
      <c r="V80" s="131"/>
      <c r="W80" s="131"/>
      <c r="Y80" s="131"/>
      <c r="Z80" s="131"/>
      <c r="AA80" s="131"/>
      <c r="AB80" s="131"/>
      <c r="AC80" s="131"/>
      <c r="AE80" s="131"/>
      <c r="AF80" s="131"/>
      <c r="AG80" s="131"/>
      <c r="AH80" s="131"/>
      <c r="AI80" s="131"/>
      <c r="AK80" s="131"/>
      <c r="AL80" s="131"/>
      <c r="AM80" s="131"/>
      <c r="AN80" s="131"/>
      <c r="AO80" s="131"/>
    </row>
    <row r="81" spans="1:41">
      <c r="A81" s="56" t="s">
        <v>434</v>
      </c>
      <c r="B81" s="57" t="s">
        <v>334</v>
      </c>
      <c r="D81" s="135"/>
      <c r="E81" s="135"/>
      <c r="G81" s="131"/>
      <c r="H81" s="131"/>
      <c r="I81" s="131"/>
      <c r="J81" s="131"/>
      <c r="K81" s="131"/>
      <c r="M81" s="131"/>
      <c r="N81" s="131"/>
      <c r="O81" s="131"/>
      <c r="P81" s="131"/>
      <c r="Q81" s="131"/>
      <c r="S81" s="131"/>
      <c r="T81" s="131"/>
      <c r="U81" s="131"/>
      <c r="V81" s="131"/>
      <c r="W81" s="131"/>
      <c r="Y81" s="131"/>
      <c r="Z81" s="131"/>
      <c r="AA81" s="131"/>
      <c r="AB81" s="131"/>
      <c r="AC81" s="131"/>
      <c r="AE81" s="131"/>
      <c r="AF81" s="131"/>
      <c r="AG81" s="131"/>
      <c r="AH81" s="131"/>
      <c r="AI81" s="131"/>
      <c r="AK81" s="131"/>
      <c r="AL81" s="131"/>
      <c r="AM81" s="131"/>
      <c r="AN81" s="131"/>
      <c r="AO81" s="131"/>
    </row>
    <row r="82" spans="1:41">
      <c r="A82" s="56" t="s">
        <v>783</v>
      </c>
      <c r="B82" s="57" t="s">
        <v>784</v>
      </c>
      <c r="D82" s="135"/>
      <c r="E82" s="135"/>
    </row>
    <row r="83" spans="1:41" ht="13.8" thickBot="1">
      <c r="A83" s="127"/>
      <c r="B83" s="128"/>
      <c r="D83" s="135"/>
      <c r="E83" s="135"/>
    </row>
    <row r="84" spans="1:41">
      <c r="D84" s="131"/>
      <c r="E84" s="131"/>
    </row>
  </sheetData>
  <mergeCells count="6">
    <mergeCell ref="AK1:AO1"/>
    <mergeCell ref="G1:K1"/>
    <mergeCell ref="M1:Q1"/>
    <mergeCell ref="S1:W1"/>
    <mergeCell ref="Y1:AC1"/>
    <mergeCell ref="AE1:AI1"/>
  </mergeCells>
  <pageMargins left="0.7" right="0.7" top="0.75" bottom="0.75" header="0.3" footer="0.3"/>
  <pageSetup paperSize="9" scale="14"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theme="8" tint="0.59999389629810485"/>
  </sheetPr>
  <dimension ref="A1:L354"/>
  <sheetViews>
    <sheetView showGridLines="0" zoomScale="80" zoomScaleNormal="80" workbookViewId="0">
      <pane ySplit="3" topLeftCell="A133" activePane="bottomLeft" state="frozen"/>
      <selection activeCell="M245" sqref="M245"/>
      <selection pane="bottomLeft" activeCell="O143" sqref="O143"/>
    </sheetView>
  </sheetViews>
  <sheetFormatPr baseColWidth="10" defaultColWidth="9.109375" defaultRowHeight="13.2"/>
  <cols>
    <col min="1" max="1" width="20.33203125" style="58" customWidth="1"/>
    <col min="2" max="2" width="12.44140625" style="58" bestFit="1" customWidth="1"/>
    <col min="3" max="3" width="14.33203125" style="58" customWidth="1"/>
    <col min="4" max="8" width="15.6640625" style="16" customWidth="1"/>
    <col min="9" max="10" width="15.6640625" style="58" customWidth="1"/>
    <col min="11" max="11" width="11.6640625" style="58" customWidth="1"/>
    <col min="12" max="16384" width="9.109375" style="58"/>
  </cols>
  <sheetData>
    <row r="1" spans="1:12">
      <c r="B1" s="410" t="s">
        <v>876</v>
      </c>
    </row>
    <row r="2" spans="1:12">
      <c r="A2" s="59" t="s">
        <v>877</v>
      </c>
      <c r="B2" s="411" t="s">
        <v>2523</v>
      </c>
      <c r="C2" s="58" t="s">
        <v>1188</v>
      </c>
    </row>
    <row r="3" spans="1:12">
      <c r="A3" s="59" t="s">
        <v>878</v>
      </c>
      <c r="B3" s="411" t="s">
        <v>1711</v>
      </c>
      <c r="C3" s="58" t="s">
        <v>1189</v>
      </c>
    </row>
    <row r="4" spans="1:12" ht="30" customHeight="1">
      <c r="A4" s="750" t="s">
        <v>1702</v>
      </c>
      <c r="B4" s="751"/>
      <c r="C4" s="751"/>
      <c r="D4" s="751"/>
      <c r="E4" s="751"/>
      <c r="F4" s="751"/>
      <c r="G4" s="751"/>
      <c r="H4" s="751"/>
      <c r="I4" s="751"/>
      <c r="J4" s="752"/>
    </row>
    <row r="5" spans="1:12" ht="19.95" customHeight="1" thickBot="1"/>
    <row r="6" spans="1:12" ht="19.95" customHeight="1" thickBot="1">
      <c r="A6" s="789" t="s">
        <v>879</v>
      </c>
      <c r="B6" s="790"/>
      <c r="C6" s="790"/>
      <c r="D6" s="790"/>
      <c r="E6" s="790"/>
      <c r="F6" s="790"/>
      <c r="G6" s="790"/>
      <c r="H6" s="790"/>
      <c r="I6" s="790"/>
      <c r="J6" s="791"/>
      <c r="K6" s="66"/>
    </row>
    <row r="7" spans="1:12" ht="25.2" customHeight="1">
      <c r="A7" s="781" t="s">
        <v>880</v>
      </c>
      <c r="B7" s="795" t="s">
        <v>881</v>
      </c>
      <c r="C7" s="797"/>
      <c r="D7" s="412" t="s">
        <v>882</v>
      </c>
      <c r="E7" s="412" t="s">
        <v>883</v>
      </c>
      <c r="F7" s="412" t="s">
        <v>884</v>
      </c>
      <c r="G7" s="412" t="s">
        <v>885</v>
      </c>
      <c r="H7" s="412" t="s">
        <v>886</v>
      </c>
      <c r="I7" s="412" t="s">
        <v>887</v>
      </c>
      <c r="J7" s="413" t="s">
        <v>888</v>
      </c>
      <c r="K7" s="66"/>
    </row>
    <row r="8" spans="1:12" ht="25.2" customHeight="1">
      <c r="A8" s="782"/>
      <c r="B8" s="796"/>
      <c r="C8" s="794"/>
      <c r="D8" s="414" t="s">
        <v>889</v>
      </c>
      <c r="E8" s="414" t="s">
        <v>889</v>
      </c>
      <c r="F8" s="414" t="s">
        <v>890</v>
      </c>
      <c r="G8" s="414" t="s">
        <v>891</v>
      </c>
      <c r="H8" s="414" t="s">
        <v>892</v>
      </c>
      <c r="I8" s="414" t="s">
        <v>893</v>
      </c>
      <c r="J8" s="415" t="s">
        <v>894</v>
      </c>
      <c r="K8" s="66"/>
    </row>
    <row r="9" spans="1:12" ht="19.95" customHeight="1">
      <c r="A9" s="373" t="str">
        <f t="shared" ref="A9:A17" si="0">CONCATENATE($A$2,"-",$B$2,"-",B9)</f>
        <v>App.7-V11H-P9.5.1.1</v>
      </c>
      <c r="B9" s="5" t="s">
        <v>895</v>
      </c>
      <c r="C9" s="416" t="s">
        <v>896</v>
      </c>
      <c r="D9" s="417" t="s">
        <v>37</v>
      </c>
      <c r="E9" s="418" t="s">
        <v>37</v>
      </c>
      <c r="F9" s="418" t="s">
        <v>37</v>
      </c>
      <c r="G9" s="418" t="s">
        <v>38</v>
      </c>
      <c r="H9" s="418" t="s">
        <v>38</v>
      </c>
      <c r="I9" s="418" t="s">
        <v>38</v>
      </c>
      <c r="J9" s="419" t="s">
        <v>39</v>
      </c>
      <c r="K9" s="66"/>
      <c r="L9" s="58" t="s">
        <v>1635</v>
      </c>
    </row>
    <row r="10" spans="1:12" ht="19.95" customHeight="1">
      <c r="A10" s="373" t="str">
        <f t="shared" si="0"/>
        <v>App.7-V11H-P9.5.1.2</v>
      </c>
      <c r="B10" s="5" t="s">
        <v>897</v>
      </c>
      <c r="C10" s="416" t="s">
        <v>366</v>
      </c>
      <c r="D10" s="418" t="s">
        <v>37</v>
      </c>
      <c r="E10" s="418" t="s">
        <v>37</v>
      </c>
      <c r="F10" s="418" t="s">
        <v>37</v>
      </c>
      <c r="G10" s="418" t="s">
        <v>38</v>
      </c>
      <c r="H10" s="418" t="s">
        <v>38</v>
      </c>
      <c r="I10" s="418" t="s">
        <v>40</v>
      </c>
      <c r="J10" s="419" t="s">
        <v>449</v>
      </c>
      <c r="K10" s="66"/>
      <c r="L10" s="58" t="s">
        <v>1636</v>
      </c>
    </row>
    <row r="11" spans="1:12" ht="19.95" customHeight="1">
      <c r="A11" s="373" t="str">
        <f t="shared" si="0"/>
        <v>App.7-V11H-P9.5.1.3</v>
      </c>
      <c r="B11" s="5" t="s">
        <v>898</v>
      </c>
      <c r="C11" s="416" t="s">
        <v>365</v>
      </c>
      <c r="D11" s="418" t="s">
        <v>38</v>
      </c>
      <c r="E11" s="418" t="s">
        <v>38</v>
      </c>
      <c r="F11" s="418" t="s">
        <v>38</v>
      </c>
      <c r="G11" s="418" t="s">
        <v>38</v>
      </c>
      <c r="H11" s="418" t="s">
        <v>40</v>
      </c>
      <c r="I11" s="418" t="s">
        <v>40</v>
      </c>
      <c r="J11" s="419" t="s">
        <v>449</v>
      </c>
      <c r="K11" s="66"/>
      <c r="L11" s="58" t="s">
        <v>1637</v>
      </c>
    </row>
    <row r="12" spans="1:12" ht="19.95" customHeight="1">
      <c r="A12" s="373" t="str">
        <f t="shared" si="0"/>
        <v>App.7-V11H-P9.5.1.4</v>
      </c>
      <c r="B12" s="5" t="s">
        <v>899</v>
      </c>
      <c r="C12" s="416" t="s">
        <v>180</v>
      </c>
      <c r="D12" s="418" t="s">
        <v>38</v>
      </c>
      <c r="E12" s="418" t="s">
        <v>38</v>
      </c>
      <c r="F12" s="418" t="s">
        <v>38</v>
      </c>
      <c r="G12" s="418" t="s">
        <v>40</v>
      </c>
      <c r="H12" s="418" t="s">
        <v>40</v>
      </c>
      <c r="I12" s="418" t="s">
        <v>39</v>
      </c>
      <c r="J12" s="419" t="s">
        <v>449</v>
      </c>
      <c r="K12" s="66"/>
    </row>
    <row r="13" spans="1:12" ht="19.95" customHeight="1">
      <c r="A13" s="373" t="str">
        <f t="shared" si="0"/>
        <v>App.7-V11H-P9.5.1.5</v>
      </c>
      <c r="B13" s="5" t="s">
        <v>900</v>
      </c>
      <c r="C13" s="416" t="s">
        <v>179</v>
      </c>
      <c r="D13" s="418" t="s">
        <v>38</v>
      </c>
      <c r="E13" s="418" t="s">
        <v>38</v>
      </c>
      <c r="F13" s="418" t="s">
        <v>38</v>
      </c>
      <c r="G13" s="418" t="s">
        <v>448</v>
      </c>
      <c r="H13" s="418" t="s">
        <v>448</v>
      </c>
      <c r="I13" s="418" t="s">
        <v>448</v>
      </c>
      <c r="J13" s="419" t="s">
        <v>449</v>
      </c>
      <c r="K13" s="66"/>
    </row>
    <row r="14" spans="1:12" ht="19.95" customHeight="1">
      <c r="A14" s="373" t="str">
        <f t="shared" si="0"/>
        <v>App.7-V11H-P9.5.1.6</v>
      </c>
      <c r="B14" s="5" t="s">
        <v>901</v>
      </c>
      <c r="C14" s="416" t="s">
        <v>26</v>
      </c>
      <c r="D14" s="418" t="s">
        <v>38</v>
      </c>
      <c r="E14" s="418" t="s">
        <v>38</v>
      </c>
      <c r="F14" s="418" t="s">
        <v>38</v>
      </c>
      <c r="G14" s="418" t="s">
        <v>40</v>
      </c>
      <c r="H14" s="418" t="s">
        <v>40</v>
      </c>
      <c r="I14" s="418" t="s">
        <v>39</v>
      </c>
      <c r="J14" s="419" t="s">
        <v>747</v>
      </c>
      <c r="K14" s="66"/>
    </row>
    <row r="15" spans="1:12" ht="19.95" customHeight="1">
      <c r="A15" s="373" t="str">
        <f t="shared" si="0"/>
        <v>App.7-V11H-P9.5.1.7</v>
      </c>
      <c r="B15" s="5" t="s">
        <v>903</v>
      </c>
      <c r="C15" s="416" t="s">
        <v>904</v>
      </c>
      <c r="D15" s="418" t="s">
        <v>40</v>
      </c>
      <c r="E15" s="418" t="s">
        <v>40</v>
      </c>
      <c r="F15" s="418" t="s">
        <v>40</v>
      </c>
      <c r="G15" s="418" t="s">
        <v>39</v>
      </c>
      <c r="H15" s="418" t="s">
        <v>39</v>
      </c>
      <c r="I15" s="418" t="s">
        <v>449</v>
      </c>
      <c r="J15" s="419" t="s">
        <v>747</v>
      </c>
      <c r="K15" s="66"/>
    </row>
    <row r="16" spans="1:12" ht="19.95" customHeight="1">
      <c r="A16" s="373" t="str">
        <f t="shared" si="0"/>
        <v>App.7-V11H-P9.5.1.8</v>
      </c>
      <c r="B16" s="5" t="s">
        <v>905</v>
      </c>
      <c r="C16" s="416" t="s">
        <v>906</v>
      </c>
      <c r="D16" s="418" t="s">
        <v>40</v>
      </c>
      <c r="E16" s="418" t="s">
        <v>40</v>
      </c>
      <c r="F16" s="418" t="s">
        <v>40</v>
      </c>
      <c r="G16" s="418" t="s">
        <v>448</v>
      </c>
      <c r="H16" s="418" t="s">
        <v>449</v>
      </c>
      <c r="I16" s="418" t="s">
        <v>449</v>
      </c>
      <c r="J16" s="419" t="s">
        <v>747</v>
      </c>
      <c r="K16" s="66"/>
    </row>
    <row r="17" spans="1:12" ht="19.95" customHeight="1" thickBot="1">
      <c r="A17" s="374" t="str">
        <f t="shared" si="0"/>
        <v>App.7-V11H-P9.5.1.9</v>
      </c>
      <c r="B17" s="375" t="s">
        <v>907</v>
      </c>
      <c r="C17" s="420" t="s">
        <v>908</v>
      </c>
      <c r="D17" s="421" t="s">
        <v>40</v>
      </c>
      <c r="E17" s="421" t="s">
        <v>40</v>
      </c>
      <c r="F17" s="421" t="s">
        <v>40</v>
      </c>
      <c r="G17" s="421" t="s">
        <v>39</v>
      </c>
      <c r="H17" s="421" t="s">
        <v>909</v>
      </c>
      <c r="I17" s="421" t="s">
        <v>909</v>
      </c>
      <c r="J17" s="422" t="s">
        <v>909</v>
      </c>
      <c r="K17" s="66"/>
    </row>
    <row r="18" spans="1:12" ht="19.95" customHeight="1" thickBot="1"/>
    <row r="19" spans="1:12" ht="19.95" customHeight="1" thickBot="1">
      <c r="A19" s="789" t="s">
        <v>2402</v>
      </c>
      <c r="B19" s="790"/>
      <c r="C19" s="790"/>
      <c r="D19" s="790"/>
      <c r="E19" s="790"/>
      <c r="F19" s="790"/>
      <c r="G19" s="790"/>
      <c r="H19" s="790"/>
      <c r="I19" s="790"/>
      <c r="J19" s="791"/>
    </row>
    <row r="20" spans="1:12" ht="25.2" customHeight="1">
      <c r="A20" s="781" t="s">
        <v>880</v>
      </c>
      <c r="B20" s="795" t="s">
        <v>881</v>
      </c>
      <c r="C20" s="797"/>
      <c r="D20" s="412" t="s">
        <v>882</v>
      </c>
      <c r="E20" s="412" t="s">
        <v>883</v>
      </c>
      <c r="F20" s="412" t="s">
        <v>884</v>
      </c>
      <c r="G20" s="412" t="s">
        <v>885</v>
      </c>
      <c r="H20" s="412" t="s">
        <v>886</v>
      </c>
      <c r="I20" s="412" t="s">
        <v>887</v>
      </c>
      <c r="J20" s="413" t="s">
        <v>888</v>
      </c>
    </row>
    <row r="21" spans="1:12" ht="25.2" customHeight="1">
      <c r="A21" s="782"/>
      <c r="B21" s="796"/>
      <c r="C21" s="794"/>
      <c r="D21" s="414" t="s">
        <v>889</v>
      </c>
      <c r="E21" s="414" t="s">
        <v>889</v>
      </c>
      <c r="F21" s="414" t="s">
        <v>890</v>
      </c>
      <c r="G21" s="414" t="s">
        <v>891</v>
      </c>
      <c r="H21" s="414" t="s">
        <v>892</v>
      </c>
      <c r="I21" s="414" t="s">
        <v>893</v>
      </c>
      <c r="J21" s="415" t="s">
        <v>894</v>
      </c>
    </row>
    <row r="22" spans="1:12" ht="19.95" customHeight="1">
      <c r="A22" s="373" t="str">
        <f t="shared" ref="A22:A30" si="1">CONCATENATE($A$2,"-",$B$2,"-",B22)</f>
        <v>App.7-V11H-P9.5.2.1</v>
      </c>
      <c r="B22" s="5" t="s">
        <v>981</v>
      </c>
      <c r="C22" s="416" t="s">
        <v>896</v>
      </c>
      <c r="D22" s="418" t="s">
        <v>38</v>
      </c>
      <c r="E22" s="418" t="s">
        <v>38</v>
      </c>
      <c r="F22" s="418" t="s">
        <v>38</v>
      </c>
      <c r="G22" s="418" t="s">
        <v>40</v>
      </c>
      <c r="H22" s="418" t="s">
        <v>40</v>
      </c>
      <c r="I22" s="418" t="s">
        <v>40</v>
      </c>
      <c r="J22" s="419" t="s">
        <v>39</v>
      </c>
      <c r="L22" s="58" t="s">
        <v>1635</v>
      </c>
    </row>
    <row r="23" spans="1:12" ht="19.95" customHeight="1">
      <c r="A23" s="373" t="str">
        <f t="shared" si="1"/>
        <v>App.7-V11H-P9.5.2.2</v>
      </c>
      <c r="B23" s="5" t="s">
        <v>982</v>
      </c>
      <c r="C23" s="416" t="s">
        <v>366</v>
      </c>
      <c r="D23" s="418" t="s">
        <v>38</v>
      </c>
      <c r="E23" s="418" t="s">
        <v>38</v>
      </c>
      <c r="F23" s="418" t="s">
        <v>38</v>
      </c>
      <c r="G23" s="418" t="s">
        <v>40</v>
      </c>
      <c r="H23" s="418" t="s">
        <v>40</v>
      </c>
      <c r="I23" s="418" t="s">
        <v>40</v>
      </c>
      <c r="J23" s="419" t="s">
        <v>449</v>
      </c>
      <c r="L23" s="58" t="s">
        <v>1636</v>
      </c>
    </row>
    <row r="24" spans="1:12" ht="19.95" customHeight="1">
      <c r="A24" s="373" t="str">
        <f t="shared" si="1"/>
        <v>App.7-V11H-P9.5.2.3</v>
      </c>
      <c r="B24" s="5" t="s">
        <v>983</v>
      </c>
      <c r="C24" s="416" t="s">
        <v>365</v>
      </c>
      <c r="D24" s="418" t="s">
        <v>38</v>
      </c>
      <c r="E24" s="418" t="s">
        <v>38</v>
      </c>
      <c r="F24" s="418" t="s">
        <v>38</v>
      </c>
      <c r="G24" s="418" t="s">
        <v>40</v>
      </c>
      <c r="H24" s="418" t="s">
        <v>40</v>
      </c>
      <c r="I24" s="418" t="s">
        <v>39</v>
      </c>
      <c r="J24" s="419" t="s">
        <v>747</v>
      </c>
      <c r="L24" s="58" t="s">
        <v>1637</v>
      </c>
    </row>
    <row r="25" spans="1:12" ht="19.95" customHeight="1">
      <c r="A25" s="373" t="str">
        <f t="shared" si="1"/>
        <v>App.7-V11H-P9.5.2.4</v>
      </c>
      <c r="B25" s="5" t="s">
        <v>984</v>
      </c>
      <c r="C25" s="416" t="s">
        <v>180</v>
      </c>
      <c r="D25" s="418" t="s">
        <v>40</v>
      </c>
      <c r="E25" s="418" t="s">
        <v>40</v>
      </c>
      <c r="F25" s="418" t="s">
        <v>40</v>
      </c>
      <c r="G25" s="418" t="s">
        <v>39</v>
      </c>
      <c r="H25" s="418" t="s">
        <v>39</v>
      </c>
      <c r="I25" s="418" t="s">
        <v>39</v>
      </c>
      <c r="J25" s="419" t="s">
        <v>747</v>
      </c>
    </row>
    <row r="26" spans="1:12" ht="19.95" customHeight="1">
      <c r="A26" s="373" t="str">
        <f t="shared" si="1"/>
        <v>App.7-V11H-P9.5.2.5</v>
      </c>
      <c r="B26" s="5" t="s">
        <v>985</v>
      </c>
      <c r="C26" s="416" t="s">
        <v>179</v>
      </c>
      <c r="D26" s="418" t="s">
        <v>38</v>
      </c>
      <c r="E26" s="418" t="s">
        <v>40</v>
      </c>
      <c r="F26" s="418" t="s">
        <v>40</v>
      </c>
      <c r="G26" s="418" t="s">
        <v>448</v>
      </c>
      <c r="H26" s="418" t="s">
        <v>448</v>
      </c>
      <c r="I26" s="418" t="s">
        <v>448</v>
      </c>
      <c r="J26" s="419" t="s">
        <v>449</v>
      </c>
    </row>
    <row r="27" spans="1:12" ht="19.95" customHeight="1">
      <c r="A27" s="373" t="str">
        <f t="shared" si="1"/>
        <v>App.7-V11H-P9.5.2.6</v>
      </c>
      <c r="B27" s="5" t="s">
        <v>986</v>
      </c>
      <c r="C27" s="416" t="s">
        <v>26</v>
      </c>
      <c r="D27" s="418" t="s">
        <v>38</v>
      </c>
      <c r="E27" s="418" t="s">
        <v>38</v>
      </c>
      <c r="F27" s="418" t="s">
        <v>40</v>
      </c>
      <c r="G27" s="418" t="s">
        <v>40</v>
      </c>
      <c r="H27" s="418" t="s">
        <v>39</v>
      </c>
      <c r="I27" s="418" t="s">
        <v>39</v>
      </c>
      <c r="J27" s="419" t="s">
        <v>747</v>
      </c>
    </row>
    <row r="28" spans="1:12" ht="19.95" customHeight="1">
      <c r="A28" s="373" t="str">
        <f t="shared" si="1"/>
        <v>App.7-V11H-P9.5.2.7</v>
      </c>
      <c r="B28" s="5" t="s">
        <v>987</v>
      </c>
      <c r="C28" s="416" t="s">
        <v>904</v>
      </c>
      <c r="D28" s="418" t="s">
        <v>40</v>
      </c>
      <c r="E28" s="418" t="s">
        <v>40</v>
      </c>
      <c r="F28" s="418" t="s">
        <v>39</v>
      </c>
      <c r="G28" s="418" t="s">
        <v>39</v>
      </c>
      <c r="H28" s="418" t="s">
        <v>39</v>
      </c>
      <c r="I28" s="418" t="s">
        <v>449</v>
      </c>
      <c r="J28" s="419" t="s">
        <v>747</v>
      </c>
    </row>
    <row r="29" spans="1:12" ht="19.95" customHeight="1">
      <c r="A29" s="373" t="str">
        <f t="shared" si="1"/>
        <v>App.7-V11H-P9.5.2.8</v>
      </c>
      <c r="B29" s="5" t="s">
        <v>988</v>
      </c>
      <c r="C29" s="416" t="s">
        <v>906</v>
      </c>
      <c r="D29" s="418" t="s">
        <v>40</v>
      </c>
      <c r="E29" s="418" t="s">
        <v>40</v>
      </c>
      <c r="F29" s="418" t="s">
        <v>40</v>
      </c>
      <c r="G29" s="418" t="s">
        <v>449</v>
      </c>
      <c r="H29" s="418" t="s">
        <v>449</v>
      </c>
      <c r="I29" s="418" t="s">
        <v>449</v>
      </c>
      <c r="J29" s="419" t="s">
        <v>747</v>
      </c>
    </row>
    <row r="30" spans="1:12" ht="19.95" customHeight="1" thickBot="1">
      <c r="A30" s="374" t="str">
        <f t="shared" si="1"/>
        <v>App.7-V11H-P9.5.2.9</v>
      </c>
      <c r="B30" s="375" t="s">
        <v>989</v>
      </c>
      <c r="C30" s="420" t="s">
        <v>908</v>
      </c>
      <c r="D30" s="421" t="s">
        <v>40</v>
      </c>
      <c r="E30" s="421" t="s">
        <v>40</v>
      </c>
      <c r="F30" s="421" t="s">
        <v>40</v>
      </c>
      <c r="G30" s="421" t="s">
        <v>39</v>
      </c>
      <c r="H30" s="421" t="s">
        <v>909</v>
      </c>
      <c r="I30" s="421" t="s">
        <v>909</v>
      </c>
      <c r="J30" s="422" t="s">
        <v>909</v>
      </c>
    </row>
    <row r="31" spans="1:12" ht="19.95" customHeight="1" thickBot="1"/>
    <row r="32" spans="1:12" ht="19.95" customHeight="1" thickBot="1">
      <c r="A32" s="789" t="s">
        <v>910</v>
      </c>
      <c r="B32" s="790"/>
      <c r="C32" s="790"/>
      <c r="D32" s="790"/>
      <c r="E32" s="790"/>
      <c r="F32" s="790"/>
      <c r="G32" s="790"/>
      <c r="H32" s="790"/>
      <c r="I32" s="790"/>
      <c r="J32" s="791"/>
      <c r="K32" s="816"/>
    </row>
    <row r="33" spans="1:12" ht="25.2" customHeight="1">
      <c r="A33" s="781" t="s">
        <v>880</v>
      </c>
      <c r="B33" s="795" t="s">
        <v>881</v>
      </c>
      <c r="C33" s="797"/>
      <c r="D33" s="412" t="s">
        <v>882</v>
      </c>
      <c r="E33" s="412" t="s">
        <v>883</v>
      </c>
      <c r="F33" s="412" t="s">
        <v>884</v>
      </c>
      <c r="G33" s="412" t="s">
        <v>885</v>
      </c>
      <c r="H33" s="412" t="s">
        <v>886</v>
      </c>
      <c r="I33" s="412" t="s">
        <v>887</v>
      </c>
      <c r="J33" s="413" t="s">
        <v>888</v>
      </c>
      <c r="K33" s="816"/>
    </row>
    <row r="34" spans="1:12" ht="25.2" customHeight="1">
      <c r="A34" s="782"/>
      <c r="B34" s="796"/>
      <c r="C34" s="794"/>
      <c r="D34" s="414" t="s">
        <v>889</v>
      </c>
      <c r="E34" s="414" t="s">
        <v>889</v>
      </c>
      <c r="F34" s="414" t="s">
        <v>890</v>
      </c>
      <c r="G34" s="414" t="s">
        <v>891</v>
      </c>
      <c r="H34" s="414" t="s">
        <v>892</v>
      </c>
      <c r="I34" s="414" t="s">
        <v>893</v>
      </c>
      <c r="J34" s="415" t="s">
        <v>894</v>
      </c>
      <c r="K34" s="816"/>
    </row>
    <row r="35" spans="1:12" ht="19.95" customHeight="1">
      <c r="A35" s="373" t="str">
        <f t="shared" ref="A35:A43" si="2">CONCATENATE($A$2,"-",$B$2,"-",B35)</f>
        <v>App.7-V11H-P9.5.4.1</v>
      </c>
      <c r="B35" s="5" t="s">
        <v>911</v>
      </c>
      <c r="C35" s="416" t="s">
        <v>896</v>
      </c>
      <c r="D35" s="418" t="s">
        <v>37</v>
      </c>
      <c r="E35" s="418" t="s">
        <v>37</v>
      </c>
      <c r="F35" s="418" t="s">
        <v>37</v>
      </c>
      <c r="G35" s="418" t="s">
        <v>38</v>
      </c>
      <c r="H35" s="418" t="s">
        <v>38</v>
      </c>
      <c r="I35" s="418" t="s">
        <v>38</v>
      </c>
      <c r="J35" s="419" t="s">
        <v>39</v>
      </c>
      <c r="K35" s="816"/>
      <c r="L35" s="423" t="s">
        <v>1635</v>
      </c>
    </row>
    <row r="36" spans="1:12" ht="19.95" customHeight="1">
      <c r="A36" s="373" t="str">
        <f t="shared" si="2"/>
        <v>App.7-V11H-P9.5.4.2</v>
      </c>
      <c r="B36" s="5" t="s">
        <v>912</v>
      </c>
      <c r="C36" s="416" t="s">
        <v>366</v>
      </c>
      <c r="D36" s="418" t="s">
        <v>37</v>
      </c>
      <c r="E36" s="418" t="s">
        <v>38</v>
      </c>
      <c r="F36" s="418" t="s">
        <v>38</v>
      </c>
      <c r="G36" s="418" t="s">
        <v>38</v>
      </c>
      <c r="H36" s="418" t="s">
        <v>38</v>
      </c>
      <c r="I36" s="418" t="s">
        <v>40</v>
      </c>
      <c r="J36" s="419" t="s">
        <v>449</v>
      </c>
      <c r="K36" s="816"/>
      <c r="L36" s="423" t="s">
        <v>1720</v>
      </c>
    </row>
    <row r="37" spans="1:12" ht="19.95" customHeight="1">
      <c r="A37" s="373" t="str">
        <f t="shared" si="2"/>
        <v>App.7-V11H-P9.5.4.3</v>
      </c>
      <c r="B37" s="5" t="s">
        <v>913</v>
      </c>
      <c r="C37" s="416" t="s">
        <v>365</v>
      </c>
      <c r="D37" s="418" t="s">
        <v>38</v>
      </c>
      <c r="E37" s="418" t="s">
        <v>38</v>
      </c>
      <c r="F37" s="418" t="s">
        <v>38</v>
      </c>
      <c r="G37" s="418" t="s">
        <v>40</v>
      </c>
      <c r="H37" s="418" t="s">
        <v>40</v>
      </c>
      <c r="I37" s="418" t="s">
        <v>40</v>
      </c>
      <c r="J37" s="419" t="s">
        <v>449</v>
      </c>
      <c r="K37" s="816"/>
    </row>
    <row r="38" spans="1:12" ht="19.95" customHeight="1">
      <c r="A38" s="373" t="str">
        <f t="shared" si="2"/>
        <v>App.7-V11H-P9.5.4.4</v>
      </c>
      <c r="B38" s="5" t="s">
        <v>914</v>
      </c>
      <c r="C38" s="416" t="s">
        <v>180</v>
      </c>
      <c r="D38" s="418" t="s">
        <v>38</v>
      </c>
      <c r="E38" s="418" t="s">
        <v>38</v>
      </c>
      <c r="F38" s="418" t="s">
        <v>40</v>
      </c>
      <c r="G38" s="418" t="s">
        <v>40</v>
      </c>
      <c r="H38" s="418" t="s">
        <v>40</v>
      </c>
      <c r="I38" s="418" t="s">
        <v>39</v>
      </c>
      <c r="J38" s="419" t="s">
        <v>449</v>
      </c>
      <c r="K38" s="816"/>
    </row>
    <row r="39" spans="1:12" ht="19.95" customHeight="1">
      <c r="A39" s="373" t="str">
        <f t="shared" si="2"/>
        <v>App.7-V11H-P9.5.4.5</v>
      </c>
      <c r="B39" s="5" t="s">
        <v>915</v>
      </c>
      <c r="C39" s="416" t="s">
        <v>179</v>
      </c>
      <c r="D39" s="418" t="s">
        <v>38</v>
      </c>
      <c r="E39" s="418" t="s">
        <v>38</v>
      </c>
      <c r="F39" s="418" t="s">
        <v>38</v>
      </c>
      <c r="G39" s="418" t="s">
        <v>448</v>
      </c>
      <c r="H39" s="418" t="s">
        <v>448</v>
      </c>
      <c r="I39" s="418" t="s">
        <v>448</v>
      </c>
      <c r="J39" s="419" t="s">
        <v>448</v>
      </c>
      <c r="K39" s="816"/>
    </row>
    <row r="40" spans="1:12" ht="19.95" customHeight="1">
      <c r="A40" s="373" t="str">
        <f t="shared" si="2"/>
        <v>App.7-V11H-P9.5.4.6</v>
      </c>
      <c r="B40" s="5" t="s">
        <v>916</v>
      </c>
      <c r="C40" s="416" t="s">
        <v>26</v>
      </c>
      <c r="D40" s="418" t="s">
        <v>38</v>
      </c>
      <c r="E40" s="418" t="s">
        <v>38</v>
      </c>
      <c r="F40" s="418" t="s">
        <v>40</v>
      </c>
      <c r="G40" s="418" t="s">
        <v>40</v>
      </c>
      <c r="H40" s="418" t="s">
        <v>39</v>
      </c>
      <c r="I40" s="418" t="s">
        <v>39</v>
      </c>
      <c r="J40" s="419" t="s">
        <v>747</v>
      </c>
      <c r="K40" s="816"/>
    </row>
    <row r="41" spans="1:12" ht="19.95" customHeight="1">
      <c r="A41" s="373" t="str">
        <f t="shared" si="2"/>
        <v>App.7-V11H-P9.5.4.7</v>
      </c>
      <c r="B41" s="5" t="s">
        <v>917</v>
      </c>
      <c r="C41" s="416" t="s">
        <v>904</v>
      </c>
      <c r="D41" s="418" t="s">
        <v>40</v>
      </c>
      <c r="E41" s="418" t="s">
        <v>40</v>
      </c>
      <c r="F41" s="418" t="s">
        <v>40</v>
      </c>
      <c r="G41" s="418" t="s">
        <v>39</v>
      </c>
      <c r="H41" s="418" t="s">
        <v>39</v>
      </c>
      <c r="I41" s="418" t="s">
        <v>449</v>
      </c>
      <c r="J41" s="419" t="s">
        <v>747</v>
      </c>
      <c r="K41" s="816"/>
    </row>
    <row r="42" spans="1:12" ht="19.95" customHeight="1">
      <c r="A42" s="373" t="str">
        <f t="shared" si="2"/>
        <v>App.7-V11H-P9.5.4.8</v>
      </c>
      <c r="B42" s="5" t="s">
        <v>918</v>
      </c>
      <c r="C42" s="416" t="s">
        <v>906</v>
      </c>
      <c r="D42" s="418" t="s">
        <v>40</v>
      </c>
      <c r="E42" s="418" t="s">
        <v>40</v>
      </c>
      <c r="F42" s="418" t="s">
        <v>40</v>
      </c>
      <c r="G42" s="418" t="s">
        <v>448</v>
      </c>
      <c r="H42" s="418" t="s">
        <v>449</v>
      </c>
      <c r="I42" s="418" t="s">
        <v>449</v>
      </c>
      <c r="J42" s="419" t="s">
        <v>747</v>
      </c>
      <c r="K42" s="816"/>
    </row>
    <row r="43" spans="1:12" ht="19.95" customHeight="1" thickBot="1">
      <c r="A43" s="374" t="str">
        <f t="shared" si="2"/>
        <v>App.7-V11H-P9.5.4.9</v>
      </c>
      <c r="B43" s="375" t="s">
        <v>919</v>
      </c>
      <c r="C43" s="420" t="s">
        <v>908</v>
      </c>
      <c r="D43" s="421" t="s">
        <v>40</v>
      </c>
      <c r="E43" s="421" t="s">
        <v>40</v>
      </c>
      <c r="F43" s="421" t="s">
        <v>40</v>
      </c>
      <c r="G43" s="421" t="s">
        <v>39</v>
      </c>
      <c r="H43" s="421" t="s">
        <v>909</v>
      </c>
      <c r="I43" s="421" t="s">
        <v>909</v>
      </c>
      <c r="J43" s="422" t="s">
        <v>909</v>
      </c>
      <c r="K43" s="816"/>
    </row>
    <row r="44" spans="1:12" ht="19.95" customHeight="1" thickBot="1"/>
    <row r="45" spans="1:12" ht="19.95" customHeight="1" thickBot="1">
      <c r="A45" s="789" t="s">
        <v>2403</v>
      </c>
      <c r="B45" s="790"/>
      <c r="C45" s="790"/>
      <c r="D45" s="790"/>
      <c r="E45" s="790"/>
      <c r="F45" s="790"/>
      <c r="G45" s="790"/>
      <c r="H45" s="790"/>
      <c r="I45" s="790"/>
      <c r="J45" s="791"/>
    </row>
    <row r="46" spans="1:12" ht="25.2" customHeight="1">
      <c r="A46" s="781" t="s">
        <v>880</v>
      </c>
      <c r="B46" s="795" t="s">
        <v>881</v>
      </c>
      <c r="C46" s="797"/>
      <c r="D46" s="412" t="s">
        <v>882</v>
      </c>
      <c r="E46" s="412" t="s">
        <v>883</v>
      </c>
      <c r="F46" s="412" t="s">
        <v>884</v>
      </c>
      <c r="G46" s="412" t="s">
        <v>885</v>
      </c>
      <c r="H46" s="412" t="s">
        <v>886</v>
      </c>
      <c r="I46" s="412" t="s">
        <v>887</v>
      </c>
      <c r="J46" s="413" t="s">
        <v>888</v>
      </c>
    </row>
    <row r="47" spans="1:12" ht="25.2" customHeight="1">
      <c r="A47" s="782"/>
      <c r="B47" s="796"/>
      <c r="C47" s="794"/>
      <c r="D47" s="414" t="s">
        <v>889</v>
      </c>
      <c r="E47" s="414" t="s">
        <v>889</v>
      </c>
      <c r="F47" s="414" t="s">
        <v>890</v>
      </c>
      <c r="G47" s="414" t="s">
        <v>891</v>
      </c>
      <c r="H47" s="414" t="s">
        <v>892</v>
      </c>
      <c r="I47" s="414" t="s">
        <v>893</v>
      </c>
      <c r="J47" s="415" t="s">
        <v>894</v>
      </c>
    </row>
    <row r="48" spans="1:12" ht="19.95" customHeight="1">
      <c r="A48" s="373" t="str">
        <f t="shared" ref="A48:A56" si="3">CONCATENATE($A$2,"-",$B$2,"-",B48)</f>
        <v>App.7-V11H-P9.5.5.1</v>
      </c>
      <c r="B48" s="5" t="s">
        <v>1639</v>
      </c>
      <c r="C48" s="416" t="s">
        <v>896</v>
      </c>
      <c r="D48" s="418" t="s">
        <v>38</v>
      </c>
      <c r="E48" s="418" t="s">
        <v>38</v>
      </c>
      <c r="F48" s="418" t="s">
        <v>38</v>
      </c>
      <c r="G48" s="418" t="s">
        <v>40</v>
      </c>
      <c r="H48" s="418" t="s">
        <v>40</v>
      </c>
      <c r="I48" s="418" t="s">
        <v>40</v>
      </c>
      <c r="J48" s="419" t="s">
        <v>39</v>
      </c>
      <c r="L48" s="423" t="s">
        <v>1635</v>
      </c>
    </row>
    <row r="49" spans="1:12" ht="19.95" customHeight="1">
      <c r="A49" s="373" t="str">
        <f t="shared" si="3"/>
        <v>App.7-V11H-P9.5.5.2</v>
      </c>
      <c r="B49" s="5" t="s">
        <v>1640</v>
      </c>
      <c r="C49" s="416" t="s">
        <v>366</v>
      </c>
      <c r="D49" s="418" t="s">
        <v>38</v>
      </c>
      <c r="E49" s="418" t="s">
        <v>38</v>
      </c>
      <c r="F49" s="418" t="s">
        <v>38</v>
      </c>
      <c r="G49" s="418" t="s">
        <v>40</v>
      </c>
      <c r="H49" s="418" t="s">
        <v>40</v>
      </c>
      <c r="I49" s="418" t="s">
        <v>40</v>
      </c>
      <c r="J49" s="419" t="s">
        <v>449</v>
      </c>
      <c r="L49" s="423" t="s">
        <v>1720</v>
      </c>
    </row>
    <row r="50" spans="1:12" ht="19.95" customHeight="1">
      <c r="A50" s="373" t="str">
        <f t="shared" si="3"/>
        <v>App.7-V11H-P9.5.5.3</v>
      </c>
      <c r="B50" s="5" t="s">
        <v>1641</v>
      </c>
      <c r="C50" s="416" t="s">
        <v>365</v>
      </c>
      <c r="D50" s="418" t="s">
        <v>38</v>
      </c>
      <c r="E50" s="418" t="s">
        <v>38</v>
      </c>
      <c r="F50" s="418" t="s">
        <v>40</v>
      </c>
      <c r="G50" s="418" t="s">
        <v>40</v>
      </c>
      <c r="H50" s="418" t="s">
        <v>39</v>
      </c>
      <c r="I50" s="418" t="s">
        <v>39</v>
      </c>
      <c r="J50" s="419" t="s">
        <v>747</v>
      </c>
    </row>
    <row r="51" spans="1:12" ht="19.95" customHeight="1">
      <c r="A51" s="373" t="str">
        <f t="shared" si="3"/>
        <v>App.7-V11H-P9.5.5.5</v>
      </c>
      <c r="B51" s="5" t="s">
        <v>1642</v>
      </c>
      <c r="C51" s="416" t="s">
        <v>180</v>
      </c>
      <c r="D51" s="418" t="s">
        <v>40</v>
      </c>
      <c r="E51" s="418" t="s">
        <v>40</v>
      </c>
      <c r="F51" s="418" t="s">
        <v>40</v>
      </c>
      <c r="G51" s="418" t="s">
        <v>39</v>
      </c>
      <c r="H51" s="418" t="s">
        <v>39</v>
      </c>
      <c r="I51" s="418" t="s">
        <v>39</v>
      </c>
      <c r="J51" s="419" t="s">
        <v>747</v>
      </c>
    </row>
    <row r="52" spans="1:12" ht="19.95" customHeight="1">
      <c r="A52" s="373" t="str">
        <f t="shared" si="3"/>
        <v>App.7-V11H-P9.5.5.5</v>
      </c>
      <c r="B52" s="5" t="s">
        <v>1642</v>
      </c>
      <c r="C52" s="416" t="s">
        <v>179</v>
      </c>
      <c r="D52" s="418" t="s">
        <v>38</v>
      </c>
      <c r="E52" s="418" t="s">
        <v>40</v>
      </c>
      <c r="F52" s="418" t="s">
        <v>40</v>
      </c>
      <c r="G52" s="418" t="s">
        <v>448</v>
      </c>
      <c r="H52" s="418" t="s">
        <v>448</v>
      </c>
      <c r="I52" s="418" t="s">
        <v>448</v>
      </c>
      <c r="J52" s="419" t="s">
        <v>449</v>
      </c>
    </row>
    <row r="53" spans="1:12" ht="19.95" customHeight="1">
      <c r="A53" s="373" t="str">
        <f t="shared" si="3"/>
        <v>App.7-V11H-P9.5.5.6</v>
      </c>
      <c r="B53" s="5" t="s">
        <v>1643</v>
      </c>
      <c r="C53" s="416" t="s">
        <v>26</v>
      </c>
      <c r="D53" s="418" t="s">
        <v>40</v>
      </c>
      <c r="E53" s="418" t="s">
        <v>40</v>
      </c>
      <c r="F53" s="418" t="s">
        <v>40</v>
      </c>
      <c r="G53" s="418" t="s">
        <v>39</v>
      </c>
      <c r="H53" s="418" t="s">
        <v>39</v>
      </c>
      <c r="I53" s="418" t="s">
        <v>39</v>
      </c>
      <c r="J53" s="419" t="s">
        <v>747</v>
      </c>
    </row>
    <row r="54" spans="1:12" ht="19.95" customHeight="1">
      <c r="A54" s="373" t="str">
        <f t="shared" si="3"/>
        <v>App.7-V11H-P9.5.5.7</v>
      </c>
      <c r="B54" s="5" t="s">
        <v>1644</v>
      </c>
      <c r="C54" s="416" t="s">
        <v>904</v>
      </c>
      <c r="D54" s="418" t="s">
        <v>40</v>
      </c>
      <c r="E54" s="418" t="s">
        <v>40</v>
      </c>
      <c r="F54" s="418" t="s">
        <v>39</v>
      </c>
      <c r="G54" s="418" t="s">
        <v>39</v>
      </c>
      <c r="H54" s="418" t="s">
        <v>449</v>
      </c>
      <c r="I54" s="418" t="s">
        <v>747</v>
      </c>
      <c r="J54" s="504" t="s">
        <v>747</v>
      </c>
    </row>
    <row r="55" spans="1:12" ht="19.95" customHeight="1">
      <c r="A55" s="373" t="str">
        <f t="shared" si="3"/>
        <v>App.7-V11H-P9.5.5.8</v>
      </c>
      <c r="B55" s="5" t="s">
        <v>1645</v>
      </c>
      <c r="C55" s="416" t="s">
        <v>906</v>
      </c>
      <c r="D55" s="418" t="s">
        <v>40</v>
      </c>
      <c r="E55" s="418" t="s">
        <v>40</v>
      </c>
      <c r="F55" s="418" t="s">
        <v>449</v>
      </c>
      <c r="G55" s="418" t="s">
        <v>449</v>
      </c>
      <c r="H55" s="418" t="s">
        <v>449</v>
      </c>
      <c r="I55" s="418" t="s">
        <v>449</v>
      </c>
      <c r="J55" s="419" t="s">
        <v>747</v>
      </c>
    </row>
    <row r="56" spans="1:12" ht="19.95" customHeight="1" thickBot="1">
      <c r="A56" s="374" t="str">
        <f t="shared" si="3"/>
        <v>App.7-V11H-P9.5.5.9</v>
      </c>
      <c r="B56" s="375" t="s">
        <v>1646</v>
      </c>
      <c r="C56" s="420" t="s">
        <v>908</v>
      </c>
      <c r="D56" s="421" t="s">
        <v>40</v>
      </c>
      <c r="E56" s="421" t="s">
        <v>40</v>
      </c>
      <c r="F56" s="421" t="s">
        <v>39</v>
      </c>
      <c r="G56" s="421" t="s">
        <v>39</v>
      </c>
      <c r="H56" s="421" t="s">
        <v>909</v>
      </c>
      <c r="I56" s="421" t="s">
        <v>909</v>
      </c>
      <c r="J56" s="422" t="s">
        <v>909</v>
      </c>
    </row>
    <row r="57" spans="1:12" ht="19.95" customHeight="1" thickBot="1"/>
    <row r="58" spans="1:12" ht="19.95" customHeight="1" thickBot="1">
      <c r="A58" s="789" t="s">
        <v>920</v>
      </c>
      <c r="B58" s="790"/>
      <c r="C58" s="790"/>
      <c r="D58" s="790"/>
      <c r="E58" s="790"/>
      <c r="F58" s="790"/>
      <c r="G58" s="790"/>
      <c r="H58" s="790"/>
      <c r="I58" s="790"/>
      <c r="J58" s="791"/>
    </row>
    <row r="59" spans="1:12" ht="25.2" customHeight="1">
      <c r="A59" s="792" t="s">
        <v>880</v>
      </c>
      <c r="B59" s="783" t="s">
        <v>881</v>
      </c>
      <c r="C59" s="793"/>
      <c r="D59" s="412" t="s">
        <v>882</v>
      </c>
      <c r="E59" s="412" t="s">
        <v>883</v>
      </c>
      <c r="F59" s="412" t="s">
        <v>884</v>
      </c>
      <c r="G59" s="412" t="s">
        <v>885</v>
      </c>
      <c r="H59" s="412" t="s">
        <v>886</v>
      </c>
      <c r="I59" s="412" t="s">
        <v>887</v>
      </c>
      <c r="J59" s="413" t="s">
        <v>888</v>
      </c>
    </row>
    <row r="60" spans="1:12" ht="25.2" customHeight="1">
      <c r="A60" s="782"/>
      <c r="B60" s="796"/>
      <c r="C60" s="794"/>
      <c r="D60" s="414" t="s">
        <v>889</v>
      </c>
      <c r="E60" s="414" t="s">
        <v>889</v>
      </c>
      <c r="F60" s="414" t="s">
        <v>890</v>
      </c>
      <c r="G60" s="414" t="s">
        <v>891</v>
      </c>
      <c r="H60" s="414" t="s">
        <v>892</v>
      </c>
      <c r="I60" s="414" t="s">
        <v>893</v>
      </c>
      <c r="J60" s="415" t="s">
        <v>894</v>
      </c>
      <c r="L60" s="423"/>
    </row>
    <row r="61" spans="1:12" ht="19.95" customHeight="1">
      <c r="A61" s="373" t="str">
        <f t="shared" ref="A61:A69" si="4">CONCATENATE($A$2,"-",$B$2,"-",B61)</f>
        <v>App.7-V11H-P9.5.7.1</v>
      </c>
      <c r="B61" s="5" t="s">
        <v>921</v>
      </c>
      <c r="C61" s="416" t="s">
        <v>896</v>
      </c>
      <c r="D61" s="5" t="s">
        <v>38</v>
      </c>
      <c r="E61" s="5" t="s">
        <v>38</v>
      </c>
      <c r="F61" s="5" t="s">
        <v>38</v>
      </c>
      <c r="G61" s="5" t="s">
        <v>38</v>
      </c>
      <c r="H61" s="5" t="s">
        <v>38</v>
      </c>
      <c r="I61" s="376" t="s">
        <v>40</v>
      </c>
      <c r="J61" s="377" t="s">
        <v>39</v>
      </c>
      <c r="L61" s="423" t="s">
        <v>1635</v>
      </c>
    </row>
    <row r="62" spans="1:12" ht="19.95" customHeight="1">
      <c r="A62" s="373" t="str">
        <f t="shared" si="4"/>
        <v>App.7-V11H-P9.5.7.2</v>
      </c>
      <c r="B62" s="5" t="s">
        <v>922</v>
      </c>
      <c r="C62" s="416" t="s">
        <v>366</v>
      </c>
      <c r="D62" s="5" t="s">
        <v>38</v>
      </c>
      <c r="E62" s="5" t="s">
        <v>38</v>
      </c>
      <c r="F62" s="5" t="s">
        <v>38</v>
      </c>
      <c r="G62" s="5" t="s">
        <v>38</v>
      </c>
      <c r="H62" s="5" t="s">
        <v>38</v>
      </c>
      <c r="I62" s="376" t="s">
        <v>38</v>
      </c>
      <c r="J62" s="377" t="s">
        <v>39</v>
      </c>
      <c r="L62" s="424" t="s">
        <v>1636</v>
      </c>
    </row>
    <row r="63" spans="1:12" ht="19.95" customHeight="1">
      <c r="A63" s="373" t="str">
        <f t="shared" si="4"/>
        <v>App.7-V11H-P9.5.7.3</v>
      </c>
      <c r="B63" s="5" t="s">
        <v>923</v>
      </c>
      <c r="C63" s="416" t="s">
        <v>365</v>
      </c>
      <c r="D63" s="5" t="s">
        <v>38</v>
      </c>
      <c r="E63" s="5" t="s">
        <v>38</v>
      </c>
      <c r="F63" s="5" t="s">
        <v>38</v>
      </c>
      <c r="G63" s="5" t="s">
        <v>40</v>
      </c>
      <c r="H63" s="5" t="s">
        <v>40</v>
      </c>
      <c r="I63" s="376" t="s">
        <v>39</v>
      </c>
      <c r="J63" s="377" t="s">
        <v>449</v>
      </c>
      <c r="L63" s="340" t="s">
        <v>1637</v>
      </c>
    </row>
    <row r="64" spans="1:12" ht="19.95" customHeight="1">
      <c r="A64" s="373" t="str">
        <f t="shared" si="4"/>
        <v>App.7-V11H-P9.5.7.4</v>
      </c>
      <c r="B64" s="5" t="s">
        <v>924</v>
      </c>
      <c r="C64" s="416" t="s">
        <v>180</v>
      </c>
      <c r="D64" s="5" t="s">
        <v>40</v>
      </c>
      <c r="E64" s="5" t="s">
        <v>40</v>
      </c>
      <c r="F64" s="5" t="s">
        <v>40</v>
      </c>
      <c r="G64" s="5" t="s">
        <v>40</v>
      </c>
      <c r="H64" s="5" t="s">
        <v>39</v>
      </c>
      <c r="I64" s="376" t="s">
        <v>39</v>
      </c>
      <c r="J64" s="377" t="s">
        <v>747</v>
      </c>
    </row>
    <row r="65" spans="1:12" ht="19.95" customHeight="1">
      <c r="A65" s="373" t="str">
        <f t="shared" si="4"/>
        <v>App.7-V11H-P9.5.7.5</v>
      </c>
      <c r="B65" s="5" t="s">
        <v>925</v>
      </c>
      <c r="C65" s="416" t="s">
        <v>179</v>
      </c>
      <c r="D65" s="378" t="s">
        <v>1721</v>
      </c>
      <c r="E65" s="379" t="s">
        <v>1722</v>
      </c>
      <c r="F65" s="379" t="s">
        <v>1722</v>
      </c>
      <c r="G65" s="5" t="s">
        <v>448</v>
      </c>
      <c r="H65" s="5" t="s">
        <v>448</v>
      </c>
      <c r="I65" s="376" t="s">
        <v>448</v>
      </c>
      <c r="J65" s="377" t="s">
        <v>449</v>
      </c>
    </row>
    <row r="66" spans="1:12" ht="19.95" customHeight="1">
      <c r="A66" s="373" t="str">
        <f t="shared" si="4"/>
        <v>App.7-V11H-P9.5.7.6</v>
      </c>
      <c r="B66" s="5" t="s">
        <v>926</v>
      </c>
      <c r="C66" s="416" t="s">
        <v>26</v>
      </c>
      <c r="D66" s="5" t="s">
        <v>38</v>
      </c>
      <c r="E66" s="5" t="s">
        <v>38</v>
      </c>
      <c r="F66" s="5" t="s">
        <v>40</v>
      </c>
      <c r="G66" s="5" t="s">
        <v>40</v>
      </c>
      <c r="H66" s="5" t="s">
        <v>39</v>
      </c>
      <c r="I66" s="376" t="s">
        <v>39</v>
      </c>
      <c r="J66" s="377" t="s">
        <v>747</v>
      </c>
    </row>
    <row r="67" spans="1:12" ht="19.95" customHeight="1">
      <c r="A67" s="373" t="str">
        <f t="shared" si="4"/>
        <v>App.7-V11H-P9.5.7.7</v>
      </c>
      <c r="B67" s="5" t="s">
        <v>927</v>
      </c>
      <c r="C67" s="416" t="s">
        <v>904</v>
      </c>
      <c r="D67" s="5" t="s">
        <v>40</v>
      </c>
      <c r="E67" s="5" t="s">
        <v>40</v>
      </c>
      <c r="F67" s="5" t="s">
        <v>39</v>
      </c>
      <c r="G67" s="5" t="s">
        <v>39</v>
      </c>
      <c r="H67" s="5" t="s">
        <v>449</v>
      </c>
      <c r="I67" s="376" t="s">
        <v>449</v>
      </c>
      <c r="J67" s="377" t="s">
        <v>747</v>
      </c>
    </row>
    <row r="68" spans="1:12" ht="19.95" customHeight="1">
      <c r="A68" s="373" t="str">
        <f t="shared" si="4"/>
        <v>App.7-V11H-P9.5.7.8</v>
      </c>
      <c r="B68" s="5" t="s">
        <v>928</v>
      </c>
      <c r="C68" s="416" t="s">
        <v>906</v>
      </c>
      <c r="D68" s="5" t="s">
        <v>40</v>
      </c>
      <c r="E68" s="5" t="s">
        <v>40</v>
      </c>
      <c r="F68" s="5" t="s">
        <v>448</v>
      </c>
      <c r="G68" s="5" t="s">
        <v>449</v>
      </c>
      <c r="H68" s="5" t="s">
        <v>449</v>
      </c>
      <c r="I68" s="376" t="s">
        <v>449</v>
      </c>
      <c r="J68" s="377" t="s">
        <v>747</v>
      </c>
    </row>
    <row r="69" spans="1:12" ht="19.95" customHeight="1" thickBot="1">
      <c r="A69" s="374" t="str">
        <f t="shared" si="4"/>
        <v>App.7-V11H-P9.5.7.9</v>
      </c>
      <c r="B69" s="375" t="s">
        <v>929</v>
      </c>
      <c r="C69" s="420" t="s">
        <v>908</v>
      </c>
      <c r="D69" s="375" t="s">
        <v>40</v>
      </c>
      <c r="E69" s="375" t="s">
        <v>40</v>
      </c>
      <c r="F69" s="375" t="s">
        <v>39</v>
      </c>
      <c r="G69" s="375" t="s">
        <v>39</v>
      </c>
      <c r="H69" s="375" t="s">
        <v>909</v>
      </c>
      <c r="I69" s="341" t="s">
        <v>909</v>
      </c>
      <c r="J69" s="380" t="s">
        <v>909</v>
      </c>
    </row>
    <row r="70" spans="1:12" ht="19.95" customHeight="1" thickBot="1">
      <c r="B70" s="16"/>
      <c r="C70" s="425"/>
      <c r="I70" s="326"/>
      <c r="J70" s="326"/>
    </row>
    <row r="71" spans="1:12" ht="19.95" customHeight="1" thickBot="1">
      <c r="A71" s="789" t="s">
        <v>2404</v>
      </c>
      <c r="B71" s="790"/>
      <c r="C71" s="790"/>
      <c r="D71" s="790"/>
      <c r="E71" s="790"/>
      <c r="F71" s="790"/>
      <c r="G71" s="790"/>
      <c r="H71" s="790"/>
      <c r="I71" s="790"/>
      <c r="J71" s="791"/>
    </row>
    <row r="72" spans="1:12" ht="25.2" customHeight="1">
      <c r="A72" s="792" t="s">
        <v>880</v>
      </c>
      <c r="B72" s="783" t="s">
        <v>881</v>
      </c>
      <c r="C72" s="793"/>
      <c r="D72" s="412" t="s">
        <v>882</v>
      </c>
      <c r="E72" s="412" t="s">
        <v>883</v>
      </c>
      <c r="F72" s="412" t="s">
        <v>884</v>
      </c>
      <c r="G72" s="412" t="s">
        <v>885</v>
      </c>
      <c r="H72" s="412" t="s">
        <v>886</v>
      </c>
      <c r="I72" s="412" t="s">
        <v>887</v>
      </c>
      <c r="J72" s="413" t="s">
        <v>888</v>
      </c>
    </row>
    <row r="73" spans="1:12" ht="25.2" customHeight="1">
      <c r="A73" s="782"/>
      <c r="B73" s="796"/>
      <c r="C73" s="794"/>
      <c r="D73" s="414" t="s">
        <v>889</v>
      </c>
      <c r="E73" s="414" t="s">
        <v>889</v>
      </c>
      <c r="F73" s="414" t="s">
        <v>890</v>
      </c>
      <c r="G73" s="414" t="s">
        <v>891</v>
      </c>
      <c r="H73" s="414" t="s">
        <v>892</v>
      </c>
      <c r="I73" s="414" t="s">
        <v>893</v>
      </c>
      <c r="J73" s="415" t="s">
        <v>894</v>
      </c>
    </row>
    <row r="74" spans="1:12" ht="19.95" customHeight="1">
      <c r="A74" s="373" t="str">
        <f t="shared" ref="A74:A82" si="5">CONCATENATE($A$2,"-",$B$2,"-",B74)</f>
        <v>App.7-V11H-P9.5.8.1</v>
      </c>
      <c r="B74" s="5" t="s">
        <v>931</v>
      </c>
      <c r="C74" s="416" t="s">
        <v>896</v>
      </c>
      <c r="D74" s="5" t="s">
        <v>40</v>
      </c>
      <c r="E74" s="5" t="s">
        <v>40</v>
      </c>
      <c r="F74" s="5" t="s">
        <v>40</v>
      </c>
      <c r="G74" s="5" t="s">
        <v>40</v>
      </c>
      <c r="H74" s="5" t="s">
        <v>40</v>
      </c>
      <c r="I74" s="376" t="s">
        <v>40</v>
      </c>
      <c r="J74" s="377" t="s">
        <v>39</v>
      </c>
      <c r="L74" s="423" t="s">
        <v>1635</v>
      </c>
    </row>
    <row r="75" spans="1:12" ht="19.95" customHeight="1">
      <c r="A75" s="373" t="str">
        <f t="shared" si="5"/>
        <v>App.7-V11H-P9.5.8.2</v>
      </c>
      <c r="B75" s="5" t="s">
        <v>932</v>
      </c>
      <c r="C75" s="416" t="s">
        <v>366</v>
      </c>
      <c r="D75" s="5" t="s">
        <v>40</v>
      </c>
      <c r="E75" s="5" t="s">
        <v>40</v>
      </c>
      <c r="F75" s="5" t="s">
        <v>40</v>
      </c>
      <c r="G75" s="5" t="s">
        <v>40</v>
      </c>
      <c r="H75" s="5" t="s">
        <v>40</v>
      </c>
      <c r="I75" s="376" t="s">
        <v>40</v>
      </c>
      <c r="J75" s="377" t="s">
        <v>449</v>
      </c>
      <c r="L75" s="424" t="s">
        <v>1636</v>
      </c>
    </row>
    <row r="76" spans="1:12" ht="19.95" customHeight="1">
      <c r="A76" s="373" t="str">
        <f t="shared" si="5"/>
        <v>App.7-V11H-P9.5.8.3</v>
      </c>
      <c r="B76" s="5" t="s">
        <v>933</v>
      </c>
      <c r="C76" s="416" t="s">
        <v>365</v>
      </c>
      <c r="D76" s="5" t="s">
        <v>40</v>
      </c>
      <c r="E76" s="5" t="s">
        <v>40</v>
      </c>
      <c r="F76" s="5" t="s">
        <v>40</v>
      </c>
      <c r="G76" s="5" t="s">
        <v>39</v>
      </c>
      <c r="H76" s="5" t="s">
        <v>39</v>
      </c>
      <c r="I76" s="376" t="s">
        <v>39</v>
      </c>
      <c r="J76" s="377" t="s">
        <v>747</v>
      </c>
      <c r="L76" s="340" t="s">
        <v>1637</v>
      </c>
    </row>
    <row r="77" spans="1:12" ht="19.95" customHeight="1">
      <c r="A77" s="373" t="str">
        <f t="shared" si="5"/>
        <v>App.7-V11H-P9.5.8.4</v>
      </c>
      <c r="B77" s="5" t="s">
        <v>934</v>
      </c>
      <c r="C77" s="416" t="s">
        <v>180</v>
      </c>
      <c r="D77" s="5" t="s">
        <v>40</v>
      </c>
      <c r="E77" s="5" t="s">
        <v>39</v>
      </c>
      <c r="F77" s="5" t="s">
        <v>39</v>
      </c>
      <c r="G77" s="5" t="s">
        <v>39</v>
      </c>
      <c r="H77" s="5" t="s">
        <v>39</v>
      </c>
      <c r="I77" s="376" t="s">
        <v>39</v>
      </c>
      <c r="J77" s="377" t="s">
        <v>747</v>
      </c>
    </row>
    <row r="78" spans="1:12" ht="19.95" customHeight="1">
      <c r="A78" s="373" t="str">
        <f t="shared" si="5"/>
        <v>App.7-V11H-P9.5.8.5</v>
      </c>
      <c r="B78" s="5" t="s">
        <v>935</v>
      </c>
      <c r="C78" s="416" t="s">
        <v>179</v>
      </c>
      <c r="D78" s="379" t="s">
        <v>1722</v>
      </c>
      <c r="E78" s="379" t="s">
        <v>1722</v>
      </c>
      <c r="F78" s="379" t="s">
        <v>1723</v>
      </c>
      <c r="G78" s="5" t="s">
        <v>449</v>
      </c>
      <c r="H78" s="5" t="s">
        <v>449</v>
      </c>
      <c r="I78" s="376" t="s">
        <v>449</v>
      </c>
      <c r="J78" s="377" t="s">
        <v>747</v>
      </c>
    </row>
    <row r="79" spans="1:12" ht="19.95" customHeight="1">
      <c r="A79" s="373" t="str">
        <f t="shared" si="5"/>
        <v>App.7-V11H-P9.5.8.6</v>
      </c>
      <c r="B79" s="5" t="s">
        <v>936</v>
      </c>
      <c r="C79" s="416" t="s">
        <v>26</v>
      </c>
      <c r="D79" s="5" t="s">
        <v>40</v>
      </c>
      <c r="E79" s="5" t="s">
        <v>40</v>
      </c>
      <c r="F79" s="5" t="s">
        <v>39</v>
      </c>
      <c r="G79" s="5" t="s">
        <v>39</v>
      </c>
      <c r="H79" s="5" t="s">
        <v>39</v>
      </c>
      <c r="I79" s="376" t="s">
        <v>449</v>
      </c>
      <c r="J79" s="377" t="s">
        <v>747</v>
      </c>
    </row>
    <row r="80" spans="1:12" ht="19.95" customHeight="1">
      <c r="A80" s="373" t="str">
        <f t="shared" si="5"/>
        <v>App.7-V11H-P9.5.8.8</v>
      </c>
      <c r="B80" s="5" t="s">
        <v>937</v>
      </c>
      <c r="C80" s="416" t="s">
        <v>904</v>
      </c>
      <c r="D80" s="5" t="s">
        <v>39</v>
      </c>
      <c r="E80" s="5" t="s">
        <v>39</v>
      </c>
      <c r="F80" s="5" t="s">
        <v>39</v>
      </c>
      <c r="G80" s="5" t="s">
        <v>449</v>
      </c>
      <c r="H80" s="5" t="s">
        <v>449</v>
      </c>
      <c r="I80" s="376" t="s">
        <v>747</v>
      </c>
      <c r="J80" s="377" t="s">
        <v>747</v>
      </c>
    </row>
    <row r="81" spans="1:12" ht="19.95" customHeight="1">
      <c r="A81" s="373" t="str">
        <f t="shared" si="5"/>
        <v>App.7-V11H-P9.5.8.8</v>
      </c>
      <c r="B81" s="5" t="s">
        <v>937</v>
      </c>
      <c r="C81" s="416" t="s">
        <v>906</v>
      </c>
      <c r="D81" s="5" t="s">
        <v>39</v>
      </c>
      <c r="E81" s="5" t="s">
        <v>39</v>
      </c>
      <c r="F81" s="5" t="s">
        <v>39</v>
      </c>
      <c r="G81" s="5" t="s">
        <v>449</v>
      </c>
      <c r="H81" s="5" t="s">
        <v>449</v>
      </c>
      <c r="I81" s="376" t="s">
        <v>747</v>
      </c>
      <c r="J81" s="377" t="s">
        <v>747</v>
      </c>
    </row>
    <row r="82" spans="1:12" ht="19.95" customHeight="1" thickBot="1">
      <c r="A82" s="374" t="str">
        <f t="shared" si="5"/>
        <v>App.7-V11H-P9.5.8.9</v>
      </c>
      <c r="B82" s="375" t="s">
        <v>938</v>
      </c>
      <c r="C82" s="420" t="s">
        <v>908</v>
      </c>
      <c r="D82" s="375" t="s">
        <v>39</v>
      </c>
      <c r="E82" s="375" t="s">
        <v>39</v>
      </c>
      <c r="F82" s="375" t="s">
        <v>39</v>
      </c>
      <c r="G82" s="375" t="s">
        <v>449</v>
      </c>
      <c r="H82" s="375" t="s">
        <v>909</v>
      </c>
      <c r="I82" s="341" t="s">
        <v>909</v>
      </c>
      <c r="J82" s="380" t="s">
        <v>909</v>
      </c>
    </row>
    <row r="83" spans="1:12" ht="19.95" customHeight="1" thickBot="1">
      <c r="B83" s="16"/>
      <c r="C83" s="425"/>
      <c r="I83" s="326"/>
      <c r="J83" s="326"/>
    </row>
    <row r="84" spans="1:12" ht="19.95" customHeight="1" thickBot="1">
      <c r="A84" s="789" t="s">
        <v>930</v>
      </c>
      <c r="B84" s="790"/>
      <c r="C84" s="790"/>
      <c r="D84" s="790"/>
      <c r="E84" s="790"/>
      <c r="F84" s="790"/>
      <c r="G84" s="790"/>
      <c r="H84" s="790"/>
      <c r="I84" s="790"/>
      <c r="J84" s="791"/>
    </row>
    <row r="85" spans="1:12" ht="25.2" customHeight="1">
      <c r="A85" s="781" t="s">
        <v>880</v>
      </c>
      <c r="B85" s="795" t="s">
        <v>881</v>
      </c>
      <c r="C85" s="797"/>
      <c r="D85" s="412" t="s">
        <v>882</v>
      </c>
      <c r="E85" s="412" t="s">
        <v>883</v>
      </c>
      <c r="F85" s="412" t="s">
        <v>884</v>
      </c>
      <c r="G85" s="412" t="s">
        <v>885</v>
      </c>
      <c r="H85" s="412" t="s">
        <v>886</v>
      </c>
      <c r="I85" s="412" t="s">
        <v>887</v>
      </c>
      <c r="J85" s="413" t="s">
        <v>888</v>
      </c>
    </row>
    <row r="86" spans="1:12" ht="25.2" customHeight="1">
      <c r="A86" s="782"/>
      <c r="B86" s="796"/>
      <c r="C86" s="794"/>
      <c r="D86" s="414" t="s">
        <v>889</v>
      </c>
      <c r="E86" s="414" t="s">
        <v>889</v>
      </c>
      <c r="F86" s="414" t="s">
        <v>890</v>
      </c>
      <c r="G86" s="414" t="s">
        <v>891</v>
      </c>
      <c r="H86" s="414" t="s">
        <v>892</v>
      </c>
      <c r="I86" s="414" t="s">
        <v>893</v>
      </c>
      <c r="J86" s="415" t="s">
        <v>894</v>
      </c>
    </row>
    <row r="87" spans="1:12" ht="19.95" customHeight="1">
      <c r="A87" s="373" t="str">
        <f t="shared" ref="A87:A95" si="6">CONCATENATE($A$2,"-",$B$2,"-",B87)</f>
        <v>App.7-V11H-P9.5.9.1</v>
      </c>
      <c r="B87" s="5" t="s">
        <v>940</v>
      </c>
      <c r="C87" s="416" t="s">
        <v>896</v>
      </c>
      <c r="D87" s="5" t="s">
        <v>38</v>
      </c>
      <c r="E87" s="5" t="s">
        <v>38</v>
      </c>
      <c r="F87" s="5" t="s">
        <v>38</v>
      </c>
      <c r="G87" s="5" t="s">
        <v>38</v>
      </c>
      <c r="H87" s="5" t="s">
        <v>38</v>
      </c>
      <c r="I87" s="376" t="s">
        <v>40</v>
      </c>
      <c r="J87" s="377" t="s">
        <v>39</v>
      </c>
      <c r="L87" s="423" t="s">
        <v>1635</v>
      </c>
    </row>
    <row r="88" spans="1:12" ht="19.95" customHeight="1">
      <c r="A88" s="373" t="str">
        <f t="shared" si="6"/>
        <v>App.7-V11H-P9.5.9.2</v>
      </c>
      <c r="B88" s="5" t="s">
        <v>941</v>
      </c>
      <c r="C88" s="416" t="s">
        <v>366</v>
      </c>
      <c r="D88" s="5" t="s">
        <v>38</v>
      </c>
      <c r="E88" s="5" t="s">
        <v>38</v>
      </c>
      <c r="F88" s="5" t="s">
        <v>38</v>
      </c>
      <c r="G88" s="5" t="s">
        <v>38</v>
      </c>
      <c r="H88" s="5" t="s">
        <v>38</v>
      </c>
      <c r="I88" s="376" t="s">
        <v>38</v>
      </c>
      <c r="J88" s="377" t="s">
        <v>39</v>
      </c>
      <c r="L88" s="424" t="s">
        <v>1720</v>
      </c>
    </row>
    <row r="89" spans="1:12" ht="19.95" customHeight="1">
      <c r="A89" s="373" t="str">
        <f t="shared" si="6"/>
        <v>App.7-V11H-P9.5.9.3</v>
      </c>
      <c r="B89" s="5" t="s">
        <v>942</v>
      </c>
      <c r="C89" s="416" t="s">
        <v>365</v>
      </c>
      <c r="D89" s="5" t="s">
        <v>38</v>
      </c>
      <c r="E89" s="5" t="s">
        <v>38</v>
      </c>
      <c r="F89" s="5" t="s">
        <v>38</v>
      </c>
      <c r="G89" s="5" t="s">
        <v>40</v>
      </c>
      <c r="H89" s="5" t="s">
        <v>40</v>
      </c>
      <c r="I89" s="376" t="s">
        <v>39</v>
      </c>
      <c r="J89" s="377" t="s">
        <v>449</v>
      </c>
    </row>
    <row r="90" spans="1:12" ht="19.95" customHeight="1">
      <c r="A90" s="373" t="str">
        <f t="shared" si="6"/>
        <v>App.7-V11H-P9.5.9.4</v>
      </c>
      <c r="B90" s="5" t="s">
        <v>943</v>
      </c>
      <c r="C90" s="416" t="s">
        <v>180</v>
      </c>
      <c r="D90" s="5" t="s">
        <v>40</v>
      </c>
      <c r="E90" s="5" t="s">
        <v>40</v>
      </c>
      <c r="F90" s="5" t="s">
        <v>40</v>
      </c>
      <c r="G90" s="5" t="s">
        <v>40</v>
      </c>
      <c r="H90" s="5" t="s">
        <v>39</v>
      </c>
      <c r="I90" s="376" t="s">
        <v>39</v>
      </c>
      <c r="J90" s="377" t="s">
        <v>747</v>
      </c>
    </row>
    <row r="91" spans="1:12" ht="19.95" customHeight="1">
      <c r="A91" s="373" t="str">
        <f t="shared" si="6"/>
        <v>App.7-V11H-P9.5.9.5</v>
      </c>
      <c r="B91" s="5" t="s">
        <v>944</v>
      </c>
      <c r="C91" s="416" t="s">
        <v>179</v>
      </c>
      <c r="D91" s="378" t="s">
        <v>1721</v>
      </c>
      <c r="E91" s="379" t="s">
        <v>1722</v>
      </c>
      <c r="F91" s="379" t="s">
        <v>1722</v>
      </c>
      <c r="G91" s="5" t="s">
        <v>448</v>
      </c>
      <c r="H91" s="5" t="s">
        <v>448</v>
      </c>
      <c r="I91" s="376" t="s">
        <v>448</v>
      </c>
      <c r="J91" s="377" t="s">
        <v>449</v>
      </c>
    </row>
    <row r="92" spans="1:12" ht="19.95" customHeight="1">
      <c r="A92" s="373" t="str">
        <f t="shared" si="6"/>
        <v>App.7-V11H-P9.5.9.6</v>
      </c>
      <c r="B92" s="5" t="s">
        <v>945</v>
      </c>
      <c r="C92" s="416" t="s">
        <v>26</v>
      </c>
      <c r="D92" s="5" t="s">
        <v>38</v>
      </c>
      <c r="E92" s="5" t="s">
        <v>38</v>
      </c>
      <c r="F92" s="5" t="s">
        <v>40</v>
      </c>
      <c r="G92" s="5" t="s">
        <v>40</v>
      </c>
      <c r="H92" s="5" t="s">
        <v>39</v>
      </c>
      <c r="I92" s="376" t="s">
        <v>39</v>
      </c>
      <c r="J92" s="377" t="s">
        <v>747</v>
      </c>
    </row>
    <row r="93" spans="1:12" ht="19.95" customHeight="1">
      <c r="A93" s="373" t="str">
        <f t="shared" si="6"/>
        <v>App.7-V11H-P9.5.9.7</v>
      </c>
      <c r="B93" s="5" t="s">
        <v>946</v>
      </c>
      <c r="C93" s="416" t="s">
        <v>904</v>
      </c>
      <c r="D93" s="5" t="s">
        <v>40</v>
      </c>
      <c r="E93" s="5" t="s">
        <v>40</v>
      </c>
      <c r="F93" s="5" t="s">
        <v>39</v>
      </c>
      <c r="G93" s="5" t="s">
        <v>39</v>
      </c>
      <c r="H93" s="5" t="s">
        <v>449</v>
      </c>
      <c r="I93" s="376" t="s">
        <v>449</v>
      </c>
      <c r="J93" s="377" t="s">
        <v>747</v>
      </c>
    </row>
    <row r="94" spans="1:12" ht="19.95" customHeight="1">
      <c r="A94" s="373" t="str">
        <f t="shared" si="6"/>
        <v>App.7-V11H-P9.5.9.9</v>
      </c>
      <c r="B94" s="5" t="s">
        <v>947</v>
      </c>
      <c r="C94" s="416" t="s">
        <v>906</v>
      </c>
      <c r="D94" s="5" t="s">
        <v>40</v>
      </c>
      <c r="E94" s="5" t="s">
        <v>40</v>
      </c>
      <c r="F94" s="5" t="s">
        <v>448</v>
      </c>
      <c r="G94" s="5" t="s">
        <v>449</v>
      </c>
      <c r="H94" s="5" t="s">
        <v>449</v>
      </c>
      <c r="I94" s="376" t="s">
        <v>449</v>
      </c>
      <c r="J94" s="377" t="s">
        <v>747</v>
      </c>
    </row>
    <row r="95" spans="1:12" ht="19.95" customHeight="1" thickBot="1">
      <c r="A95" s="374" t="str">
        <f t="shared" si="6"/>
        <v>App.7-V11H-P9.5.9.9</v>
      </c>
      <c r="B95" s="375" t="s">
        <v>947</v>
      </c>
      <c r="C95" s="420" t="s">
        <v>908</v>
      </c>
      <c r="D95" s="375" t="s">
        <v>40</v>
      </c>
      <c r="E95" s="375" t="s">
        <v>40</v>
      </c>
      <c r="F95" s="375" t="s">
        <v>39</v>
      </c>
      <c r="G95" s="375" t="s">
        <v>39</v>
      </c>
      <c r="H95" s="375" t="s">
        <v>909</v>
      </c>
      <c r="I95" s="341" t="s">
        <v>909</v>
      </c>
      <c r="J95" s="380" t="s">
        <v>909</v>
      </c>
    </row>
    <row r="96" spans="1:12" ht="19.95" customHeight="1" thickBot="1">
      <c r="B96" s="16"/>
      <c r="C96" s="425"/>
      <c r="I96" s="326"/>
      <c r="J96" s="326"/>
    </row>
    <row r="97" spans="1:12" ht="19.95" customHeight="1" thickBot="1">
      <c r="A97" s="789" t="s">
        <v>2405</v>
      </c>
      <c r="B97" s="790"/>
      <c r="C97" s="790"/>
      <c r="D97" s="790"/>
      <c r="E97" s="790"/>
      <c r="F97" s="790"/>
      <c r="G97" s="790"/>
      <c r="H97" s="790"/>
      <c r="I97" s="790"/>
      <c r="J97" s="791"/>
    </row>
    <row r="98" spans="1:12" ht="25.2" customHeight="1">
      <c r="A98" s="781" t="s">
        <v>880</v>
      </c>
      <c r="B98" s="795" t="s">
        <v>881</v>
      </c>
      <c r="C98" s="797"/>
      <c r="D98" s="412" t="s">
        <v>882</v>
      </c>
      <c r="E98" s="412" t="s">
        <v>883</v>
      </c>
      <c r="F98" s="412" t="s">
        <v>884</v>
      </c>
      <c r="G98" s="412" t="s">
        <v>885</v>
      </c>
      <c r="H98" s="412" t="s">
        <v>886</v>
      </c>
      <c r="I98" s="412" t="s">
        <v>887</v>
      </c>
      <c r="J98" s="413" t="s">
        <v>888</v>
      </c>
    </row>
    <row r="99" spans="1:12" ht="25.2" customHeight="1">
      <c r="A99" s="782"/>
      <c r="B99" s="796"/>
      <c r="C99" s="794"/>
      <c r="D99" s="414" t="s">
        <v>889</v>
      </c>
      <c r="E99" s="414" t="s">
        <v>889</v>
      </c>
      <c r="F99" s="414" t="s">
        <v>890</v>
      </c>
      <c r="G99" s="414" t="s">
        <v>891</v>
      </c>
      <c r="H99" s="414" t="s">
        <v>892</v>
      </c>
      <c r="I99" s="414" t="s">
        <v>893</v>
      </c>
      <c r="J99" s="415" t="s">
        <v>894</v>
      </c>
    </row>
    <row r="100" spans="1:12" ht="19.95" customHeight="1">
      <c r="A100" s="373" t="str">
        <f t="shared" ref="A100:A108" si="7">CONCATENATE($A$2,"-",$B$2,"-",B100)</f>
        <v>App.7-V11H-P9.5.10.1</v>
      </c>
      <c r="B100" s="5" t="s">
        <v>949</v>
      </c>
      <c r="C100" s="416" t="s">
        <v>896</v>
      </c>
      <c r="D100" s="5" t="s">
        <v>40</v>
      </c>
      <c r="E100" s="5" t="s">
        <v>40</v>
      </c>
      <c r="F100" s="5" t="s">
        <v>40</v>
      </c>
      <c r="G100" s="5" t="s">
        <v>40</v>
      </c>
      <c r="H100" s="5" t="s">
        <v>40</v>
      </c>
      <c r="I100" s="376" t="s">
        <v>40</v>
      </c>
      <c r="J100" s="377" t="s">
        <v>39</v>
      </c>
      <c r="L100" s="423" t="s">
        <v>1635</v>
      </c>
    </row>
    <row r="101" spans="1:12" ht="19.95" customHeight="1">
      <c r="A101" s="373" t="str">
        <f t="shared" si="7"/>
        <v>App.7-V11H-P9.5.10.2</v>
      </c>
      <c r="B101" s="5" t="s">
        <v>950</v>
      </c>
      <c r="C101" s="416" t="s">
        <v>366</v>
      </c>
      <c r="D101" s="5" t="s">
        <v>40</v>
      </c>
      <c r="E101" s="5" t="s">
        <v>40</v>
      </c>
      <c r="F101" s="5" t="s">
        <v>40</v>
      </c>
      <c r="G101" s="5" t="s">
        <v>40</v>
      </c>
      <c r="H101" s="5" t="s">
        <v>40</v>
      </c>
      <c r="I101" s="376" t="s">
        <v>40</v>
      </c>
      <c r="J101" s="377" t="s">
        <v>449</v>
      </c>
      <c r="L101" s="424" t="s">
        <v>1720</v>
      </c>
    </row>
    <row r="102" spans="1:12" ht="19.95" customHeight="1">
      <c r="A102" s="373" t="str">
        <f t="shared" si="7"/>
        <v>App.7-V11H-P9.5.10.3</v>
      </c>
      <c r="B102" s="5" t="s">
        <v>951</v>
      </c>
      <c r="C102" s="416" t="s">
        <v>365</v>
      </c>
      <c r="D102" s="5" t="s">
        <v>40</v>
      </c>
      <c r="E102" s="5" t="s">
        <v>40</v>
      </c>
      <c r="F102" s="5" t="s">
        <v>40</v>
      </c>
      <c r="G102" s="5" t="s">
        <v>39</v>
      </c>
      <c r="H102" s="5" t="s">
        <v>39</v>
      </c>
      <c r="I102" s="376" t="s">
        <v>39</v>
      </c>
      <c r="J102" s="377" t="s">
        <v>747</v>
      </c>
    </row>
    <row r="103" spans="1:12" ht="19.95" customHeight="1">
      <c r="A103" s="373" t="str">
        <f t="shared" si="7"/>
        <v>App.7-V11H-P9.5.10.4</v>
      </c>
      <c r="B103" s="5" t="s">
        <v>952</v>
      </c>
      <c r="C103" s="416" t="s">
        <v>180</v>
      </c>
      <c r="D103" s="5" t="s">
        <v>40</v>
      </c>
      <c r="E103" s="5" t="s">
        <v>39</v>
      </c>
      <c r="F103" s="5" t="s">
        <v>39</v>
      </c>
      <c r="G103" s="5" t="s">
        <v>39</v>
      </c>
      <c r="H103" s="5" t="s">
        <v>39</v>
      </c>
      <c r="I103" s="376" t="s">
        <v>39</v>
      </c>
      <c r="J103" s="377" t="s">
        <v>747</v>
      </c>
    </row>
    <row r="104" spans="1:12" ht="19.95" customHeight="1">
      <c r="A104" s="373" t="str">
        <f t="shared" si="7"/>
        <v>App.7-V11H-P9.5.10.5</v>
      </c>
      <c r="B104" s="5" t="s">
        <v>953</v>
      </c>
      <c r="C104" s="416" t="s">
        <v>179</v>
      </c>
      <c r="D104" s="379" t="s">
        <v>1722</v>
      </c>
      <c r="E104" s="379" t="s">
        <v>1722</v>
      </c>
      <c r="F104" s="379" t="s">
        <v>1723</v>
      </c>
      <c r="G104" s="5" t="s">
        <v>449</v>
      </c>
      <c r="H104" s="5" t="s">
        <v>449</v>
      </c>
      <c r="I104" s="376" t="s">
        <v>449</v>
      </c>
      <c r="J104" s="377" t="s">
        <v>747</v>
      </c>
    </row>
    <row r="105" spans="1:12" ht="19.95" customHeight="1">
      <c r="A105" s="373" t="str">
        <f t="shared" si="7"/>
        <v>App.7-V11H-P9.5.10.6</v>
      </c>
      <c r="B105" s="5" t="s">
        <v>954</v>
      </c>
      <c r="C105" s="416" t="s">
        <v>26</v>
      </c>
      <c r="D105" s="5" t="s">
        <v>40</v>
      </c>
      <c r="E105" s="5" t="s">
        <v>40</v>
      </c>
      <c r="F105" s="5" t="s">
        <v>39</v>
      </c>
      <c r="G105" s="5" t="s">
        <v>39</v>
      </c>
      <c r="H105" s="5" t="s">
        <v>39</v>
      </c>
      <c r="I105" s="376" t="s">
        <v>449</v>
      </c>
      <c r="J105" s="377" t="s">
        <v>747</v>
      </c>
    </row>
    <row r="106" spans="1:12" ht="19.95" customHeight="1">
      <c r="A106" s="373" t="str">
        <f t="shared" si="7"/>
        <v>App.7-V11H-P9.5.10.7</v>
      </c>
      <c r="B106" s="5" t="s">
        <v>955</v>
      </c>
      <c r="C106" s="416" t="s">
        <v>904</v>
      </c>
      <c r="D106" s="5" t="s">
        <v>39</v>
      </c>
      <c r="E106" s="5" t="s">
        <v>39</v>
      </c>
      <c r="F106" s="5" t="s">
        <v>39</v>
      </c>
      <c r="G106" s="5" t="s">
        <v>449</v>
      </c>
      <c r="H106" s="5" t="s">
        <v>747</v>
      </c>
      <c r="I106" s="376" t="s">
        <v>747</v>
      </c>
      <c r="J106" s="377" t="s">
        <v>747</v>
      </c>
    </row>
    <row r="107" spans="1:12" ht="19.95" customHeight="1">
      <c r="A107" s="373" t="str">
        <f t="shared" si="7"/>
        <v>App.7-V11H-P9.5.10.10</v>
      </c>
      <c r="B107" s="5" t="s">
        <v>1647</v>
      </c>
      <c r="C107" s="416" t="s">
        <v>906</v>
      </c>
      <c r="D107" s="5" t="s">
        <v>39</v>
      </c>
      <c r="E107" s="5" t="s">
        <v>39</v>
      </c>
      <c r="F107" s="5" t="s">
        <v>449</v>
      </c>
      <c r="G107" s="5" t="s">
        <v>449</v>
      </c>
      <c r="H107" s="5" t="s">
        <v>449</v>
      </c>
      <c r="I107" s="376" t="s">
        <v>747</v>
      </c>
      <c r="J107" s="377" t="s">
        <v>747</v>
      </c>
    </row>
    <row r="108" spans="1:12" ht="19.95" customHeight="1" thickBot="1">
      <c r="A108" s="374" t="str">
        <f t="shared" si="7"/>
        <v>App.7-V11H-P9.5.10.9</v>
      </c>
      <c r="B108" s="375" t="s">
        <v>956</v>
      </c>
      <c r="C108" s="420" t="s">
        <v>908</v>
      </c>
      <c r="D108" s="375" t="s">
        <v>39</v>
      </c>
      <c r="E108" s="375" t="s">
        <v>39</v>
      </c>
      <c r="F108" s="375" t="s">
        <v>39</v>
      </c>
      <c r="G108" s="375" t="s">
        <v>449</v>
      </c>
      <c r="H108" s="375" t="s">
        <v>909</v>
      </c>
      <c r="I108" s="341" t="s">
        <v>909</v>
      </c>
      <c r="J108" s="380" t="s">
        <v>909</v>
      </c>
    </row>
    <row r="109" spans="1:12" ht="19.95" customHeight="1" thickBot="1">
      <c r="B109" s="16"/>
      <c r="C109" s="425"/>
      <c r="I109" s="326"/>
      <c r="J109" s="326"/>
    </row>
    <row r="110" spans="1:12" ht="19.95" customHeight="1" thickBot="1">
      <c r="A110" s="789" t="s">
        <v>939</v>
      </c>
      <c r="B110" s="790"/>
      <c r="C110" s="790"/>
      <c r="D110" s="790"/>
      <c r="E110" s="790"/>
      <c r="F110" s="790"/>
      <c r="G110" s="790"/>
      <c r="H110" s="790"/>
      <c r="I110" s="790"/>
      <c r="J110" s="791"/>
    </row>
    <row r="111" spans="1:12" ht="25.2" customHeight="1">
      <c r="A111" s="792" t="s">
        <v>880</v>
      </c>
      <c r="B111" s="783" t="s">
        <v>881</v>
      </c>
      <c r="C111" s="793"/>
      <c r="D111" s="412" t="s">
        <v>882</v>
      </c>
      <c r="E111" s="412" t="s">
        <v>883</v>
      </c>
      <c r="F111" s="412" t="s">
        <v>884</v>
      </c>
      <c r="G111" s="412" t="s">
        <v>885</v>
      </c>
      <c r="H111" s="412" t="s">
        <v>886</v>
      </c>
      <c r="I111" s="412" t="s">
        <v>887</v>
      </c>
      <c r="J111" s="413" t="s">
        <v>888</v>
      </c>
    </row>
    <row r="112" spans="1:12" ht="25.2" customHeight="1">
      <c r="A112" s="782"/>
      <c r="B112" s="796"/>
      <c r="C112" s="794"/>
      <c r="D112" s="414" t="s">
        <v>889</v>
      </c>
      <c r="E112" s="414" t="s">
        <v>889</v>
      </c>
      <c r="F112" s="414" t="s">
        <v>890</v>
      </c>
      <c r="G112" s="414" t="s">
        <v>891</v>
      </c>
      <c r="H112" s="414" t="s">
        <v>892</v>
      </c>
      <c r="I112" s="414" t="s">
        <v>893</v>
      </c>
      <c r="J112" s="415" t="s">
        <v>894</v>
      </c>
    </row>
    <row r="113" spans="1:12" ht="19.95" customHeight="1">
      <c r="A113" s="373" t="str">
        <f t="shared" ref="A113:A121" si="8">CONCATENATE($A$2,"-",$B$2,"-",B113)</f>
        <v>App.7-V11H-P9.5.11.1</v>
      </c>
      <c r="B113" s="5" t="s">
        <v>958</v>
      </c>
      <c r="C113" s="416" t="s">
        <v>896</v>
      </c>
      <c r="D113" s="5" t="s">
        <v>38</v>
      </c>
      <c r="E113" s="5" t="s">
        <v>38</v>
      </c>
      <c r="F113" s="5" t="s">
        <v>38</v>
      </c>
      <c r="G113" s="5" t="s">
        <v>40</v>
      </c>
      <c r="H113" s="5" t="s">
        <v>40</v>
      </c>
      <c r="I113" s="376" t="s">
        <v>40</v>
      </c>
      <c r="J113" s="377" t="s">
        <v>39</v>
      </c>
      <c r="L113" s="423" t="s">
        <v>1635</v>
      </c>
    </row>
    <row r="114" spans="1:12" ht="19.95" customHeight="1">
      <c r="A114" s="373" t="str">
        <f t="shared" si="8"/>
        <v>App.7-V11H-P9.5.11.2</v>
      </c>
      <c r="B114" s="5" t="s">
        <v>959</v>
      </c>
      <c r="C114" s="416" t="s">
        <v>366</v>
      </c>
      <c r="D114" s="5" t="s">
        <v>38</v>
      </c>
      <c r="E114" s="5" t="s">
        <v>38</v>
      </c>
      <c r="F114" s="5" t="s">
        <v>38</v>
      </c>
      <c r="G114" s="5" t="s">
        <v>40</v>
      </c>
      <c r="H114" s="5" t="s">
        <v>40</v>
      </c>
      <c r="I114" s="376" t="s">
        <v>40</v>
      </c>
      <c r="J114" s="377" t="s">
        <v>39</v>
      </c>
      <c r="L114" s="424" t="s">
        <v>1724</v>
      </c>
    </row>
    <row r="115" spans="1:12" ht="19.95" customHeight="1">
      <c r="A115" s="373" t="str">
        <f t="shared" si="8"/>
        <v>App.7-V11H-P9.5.11.3</v>
      </c>
      <c r="B115" s="5" t="s">
        <v>960</v>
      </c>
      <c r="C115" s="416" t="s">
        <v>365</v>
      </c>
      <c r="D115" s="5" t="s">
        <v>38</v>
      </c>
      <c r="E115" s="5" t="s">
        <v>38</v>
      </c>
      <c r="F115" s="5" t="s">
        <v>40</v>
      </c>
      <c r="G115" s="5" t="s">
        <v>40</v>
      </c>
      <c r="H115" s="5" t="s">
        <v>40</v>
      </c>
      <c r="I115" s="376" t="s">
        <v>39</v>
      </c>
      <c r="J115" s="377" t="s">
        <v>449</v>
      </c>
      <c r="L115" s="424" t="s">
        <v>1725</v>
      </c>
    </row>
    <row r="116" spans="1:12" ht="19.95" customHeight="1">
      <c r="A116" s="373" t="str">
        <f t="shared" si="8"/>
        <v>App.7-V11H-P9.5.11.4</v>
      </c>
      <c r="B116" s="5" t="s">
        <v>961</v>
      </c>
      <c r="C116" s="416" t="s">
        <v>180</v>
      </c>
      <c r="D116" s="5" t="s">
        <v>40</v>
      </c>
      <c r="E116" s="5" t="s">
        <v>40</v>
      </c>
      <c r="F116" s="5" t="s">
        <v>40</v>
      </c>
      <c r="G116" s="5" t="s">
        <v>39</v>
      </c>
      <c r="H116" s="5" t="s">
        <v>39</v>
      </c>
      <c r="I116" s="376" t="s">
        <v>39</v>
      </c>
      <c r="J116" s="377" t="s">
        <v>747</v>
      </c>
    </row>
    <row r="117" spans="1:12" ht="19.95" customHeight="1">
      <c r="A117" s="373" t="str">
        <f t="shared" si="8"/>
        <v>App.7-V11H-P9.5.11.5</v>
      </c>
      <c r="B117" s="5" t="s">
        <v>1648</v>
      </c>
      <c r="C117" s="416" t="s">
        <v>179</v>
      </c>
      <c r="D117" s="379" t="s">
        <v>1722</v>
      </c>
      <c r="E117" s="379" t="s">
        <v>1722</v>
      </c>
      <c r="F117" s="379" t="s">
        <v>1722</v>
      </c>
      <c r="G117" s="5" t="s">
        <v>448</v>
      </c>
      <c r="H117" s="5" t="s">
        <v>448</v>
      </c>
      <c r="I117" s="376" t="s">
        <v>448</v>
      </c>
      <c r="J117" s="377" t="s">
        <v>449</v>
      </c>
    </row>
    <row r="118" spans="1:12" ht="19.95" customHeight="1">
      <c r="A118" s="373" t="str">
        <f t="shared" si="8"/>
        <v>App.7-V11H-P9.5.11.6</v>
      </c>
      <c r="B118" s="5" t="s">
        <v>1649</v>
      </c>
      <c r="C118" s="416" t="s">
        <v>26</v>
      </c>
      <c r="D118" s="5" t="s">
        <v>40</v>
      </c>
      <c r="E118" s="5" t="s">
        <v>40</v>
      </c>
      <c r="F118" s="5" t="s">
        <v>40</v>
      </c>
      <c r="G118" s="5" t="s">
        <v>39</v>
      </c>
      <c r="H118" s="5" t="s">
        <v>39</v>
      </c>
      <c r="I118" s="376" t="s">
        <v>39</v>
      </c>
      <c r="J118" s="377" t="s">
        <v>747</v>
      </c>
    </row>
    <row r="119" spans="1:12" ht="19.95" customHeight="1">
      <c r="A119" s="373" t="str">
        <f t="shared" si="8"/>
        <v>App.7-V11H-P9.5.11.7</v>
      </c>
      <c r="B119" s="5" t="s">
        <v>1650</v>
      </c>
      <c r="C119" s="416" t="s">
        <v>904</v>
      </c>
      <c r="D119" s="5" t="s">
        <v>39</v>
      </c>
      <c r="E119" s="5" t="s">
        <v>39</v>
      </c>
      <c r="F119" s="5" t="s">
        <v>39</v>
      </c>
      <c r="G119" s="5" t="s">
        <v>449</v>
      </c>
      <c r="H119" s="5" t="s">
        <v>449</v>
      </c>
      <c r="I119" s="376" t="s">
        <v>449</v>
      </c>
      <c r="J119" s="377" t="s">
        <v>747</v>
      </c>
    </row>
    <row r="120" spans="1:12" ht="19.95" customHeight="1">
      <c r="A120" s="373" t="str">
        <f t="shared" si="8"/>
        <v>App.7-V11H-P9.5.11.8</v>
      </c>
      <c r="B120" s="5" t="s">
        <v>1651</v>
      </c>
      <c r="C120" s="416" t="s">
        <v>906</v>
      </c>
      <c r="D120" s="5" t="s">
        <v>40</v>
      </c>
      <c r="E120" s="5" t="s">
        <v>39</v>
      </c>
      <c r="F120" s="5" t="s">
        <v>39</v>
      </c>
      <c r="G120" s="5" t="s">
        <v>449</v>
      </c>
      <c r="H120" s="5" t="s">
        <v>449</v>
      </c>
      <c r="I120" s="376" t="s">
        <v>449</v>
      </c>
      <c r="J120" s="377" t="s">
        <v>747</v>
      </c>
    </row>
    <row r="121" spans="1:12" ht="19.95" customHeight="1" thickBot="1">
      <c r="A121" s="374" t="str">
        <f t="shared" si="8"/>
        <v>App.7-V11H-P9.5.11.11</v>
      </c>
      <c r="B121" s="375" t="s">
        <v>1652</v>
      </c>
      <c r="C121" s="420" t="s">
        <v>908</v>
      </c>
      <c r="D121" s="375" t="s">
        <v>39</v>
      </c>
      <c r="E121" s="375" t="s">
        <v>39</v>
      </c>
      <c r="F121" s="375" t="s">
        <v>39</v>
      </c>
      <c r="G121" s="375" t="s">
        <v>39</v>
      </c>
      <c r="H121" s="375" t="s">
        <v>909</v>
      </c>
      <c r="I121" s="341" t="s">
        <v>909</v>
      </c>
      <c r="J121" s="380" t="s">
        <v>909</v>
      </c>
    </row>
    <row r="122" spans="1:12" ht="19.95" customHeight="1" thickBot="1"/>
    <row r="123" spans="1:12" ht="19.95" customHeight="1" thickBot="1">
      <c r="A123" s="789" t="s">
        <v>2406</v>
      </c>
      <c r="B123" s="790"/>
      <c r="C123" s="790"/>
      <c r="D123" s="790"/>
      <c r="E123" s="790"/>
      <c r="F123" s="790"/>
      <c r="G123" s="790"/>
      <c r="H123" s="790"/>
      <c r="I123" s="790"/>
      <c r="J123" s="791"/>
    </row>
    <row r="124" spans="1:12" ht="25.2" customHeight="1">
      <c r="A124" s="792" t="s">
        <v>880</v>
      </c>
      <c r="B124" s="783" t="s">
        <v>881</v>
      </c>
      <c r="C124" s="793"/>
      <c r="D124" s="412" t="s">
        <v>882</v>
      </c>
      <c r="E124" s="412" t="s">
        <v>883</v>
      </c>
      <c r="F124" s="412" t="s">
        <v>884</v>
      </c>
      <c r="G124" s="412" t="s">
        <v>885</v>
      </c>
      <c r="H124" s="412" t="s">
        <v>886</v>
      </c>
      <c r="I124" s="412" t="s">
        <v>887</v>
      </c>
      <c r="J124" s="413" t="s">
        <v>888</v>
      </c>
    </row>
    <row r="125" spans="1:12" ht="25.2" customHeight="1">
      <c r="A125" s="782"/>
      <c r="B125" s="796"/>
      <c r="C125" s="794"/>
      <c r="D125" s="414" t="s">
        <v>889</v>
      </c>
      <c r="E125" s="414" t="s">
        <v>889</v>
      </c>
      <c r="F125" s="414" t="s">
        <v>890</v>
      </c>
      <c r="G125" s="414" t="s">
        <v>891</v>
      </c>
      <c r="H125" s="414" t="s">
        <v>892</v>
      </c>
      <c r="I125" s="414" t="s">
        <v>893</v>
      </c>
      <c r="J125" s="415" t="s">
        <v>894</v>
      </c>
    </row>
    <row r="126" spans="1:12" ht="19.95" customHeight="1">
      <c r="A126" s="373" t="str">
        <f t="shared" ref="A126:A134" si="9">CONCATENATE($A$2,"-",$B$2,"-",B126)</f>
        <v>App.7-V11H-P9.5.12.1</v>
      </c>
      <c r="B126" s="5" t="s">
        <v>1653</v>
      </c>
      <c r="C126" s="416" t="s">
        <v>896</v>
      </c>
      <c r="D126" s="5" t="s">
        <v>40</v>
      </c>
      <c r="E126" s="5" t="s">
        <v>40</v>
      </c>
      <c r="F126" s="5" t="s">
        <v>40</v>
      </c>
      <c r="G126" s="5" t="s">
        <v>40</v>
      </c>
      <c r="H126" s="5" t="s">
        <v>40</v>
      </c>
      <c r="I126" s="376" t="s">
        <v>40</v>
      </c>
      <c r="J126" s="377" t="s">
        <v>449</v>
      </c>
      <c r="L126" s="423" t="s">
        <v>1635</v>
      </c>
    </row>
    <row r="127" spans="1:12" ht="19.95" customHeight="1">
      <c r="A127" s="373" t="str">
        <f t="shared" si="9"/>
        <v>App.7-V11H-P9.5.12.2</v>
      </c>
      <c r="B127" s="5" t="s">
        <v>1654</v>
      </c>
      <c r="C127" s="416" t="s">
        <v>366</v>
      </c>
      <c r="D127" s="5" t="s">
        <v>40</v>
      </c>
      <c r="E127" s="5" t="s">
        <v>40</v>
      </c>
      <c r="F127" s="5" t="s">
        <v>40</v>
      </c>
      <c r="G127" s="5" t="s">
        <v>40</v>
      </c>
      <c r="H127" s="5" t="s">
        <v>40</v>
      </c>
      <c r="I127" s="376" t="s">
        <v>40</v>
      </c>
      <c r="J127" s="377" t="s">
        <v>449</v>
      </c>
      <c r="L127" s="424" t="s">
        <v>1724</v>
      </c>
    </row>
    <row r="128" spans="1:12" ht="19.95" customHeight="1">
      <c r="A128" s="373" t="str">
        <f t="shared" si="9"/>
        <v>App.7-V11H-P9.5.12.3</v>
      </c>
      <c r="B128" s="5" t="s">
        <v>1655</v>
      </c>
      <c r="C128" s="416" t="s">
        <v>365</v>
      </c>
      <c r="D128" s="5" t="s">
        <v>40</v>
      </c>
      <c r="E128" s="5" t="s">
        <v>40</v>
      </c>
      <c r="F128" s="5" t="s">
        <v>39</v>
      </c>
      <c r="G128" s="5" t="s">
        <v>39</v>
      </c>
      <c r="H128" s="5" t="s">
        <v>39</v>
      </c>
      <c r="I128" s="376" t="s">
        <v>39</v>
      </c>
      <c r="J128" s="377" t="s">
        <v>747</v>
      </c>
      <c r="L128" s="424" t="s">
        <v>1725</v>
      </c>
    </row>
    <row r="129" spans="1:12" ht="19.95" customHeight="1">
      <c r="A129" s="373" t="str">
        <f t="shared" si="9"/>
        <v>App.7-V11H-P9.5.12.4</v>
      </c>
      <c r="B129" s="5" t="s">
        <v>1656</v>
      </c>
      <c r="C129" s="416" t="s">
        <v>180</v>
      </c>
      <c r="D129" s="5" t="s">
        <v>39</v>
      </c>
      <c r="E129" s="5" t="s">
        <v>39</v>
      </c>
      <c r="F129" s="5" t="s">
        <v>39</v>
      </c>
      <c r="G129" s="5" t="s">
        <v>39</v>
      </c>
      <c r="H129" s="5" t="s">
        <v>39</v>
      </c>
      <c r="I129" s="376" t="s">
        <v>39</v>
      </c>
      <c r="J129" s="377" t="s">
        <v>747</v>
      </c>
    </row>
    <row r="130" spans="1:12" ht="19.95" customHeight="1">
      <c r="A130" s="373" t="str">
        <f t="shared" si="9"/>
        <v>App.7-V11H-P9.5.12.5</v>
      </c>
      <c r="B130" s="5" t="s">
        <v>1657</v>
      </c>
      <c r="C130" s="416" t="s">
        <v>179</v>
      </c>
      <c r="D130" s="379" t="s">
        <v>1723</v>
      </c>
      <c r="E130" s="379" t="s">
        <v>1723</v>
      </c>
      <c r="F130" s="379" t="s">
        <v>1723</v>
      </c>
      <c r="G130" s="5" t="s">
        <v>449</v>
      </c>
      <c r="H130" s="5" t="s">
        <v>449</v>
      </c>
      <c r="I130" s="376" t="s">
        <v>449</v>
      </c>
      <c r="J130" s="377" t="s">
        <v>747</v>
      </c>
    </row>
    <row r="131" spans="1:12" ht="19.95" customHeight="1">
      <c r="A131" s="373" t="str">
        <f t="shared" si="9"/>
        <v>App.7-V11H-P9.5.12.6</v>
      </c>
      <c r="B131" s="5" t="s">
        <v>1658</v>
      </c>
      <c r="C131" s="416" t="s">
        <v>26</v>
      </c>
      <c r="D131" s="5" t="s">
        <v>39</v>
      </c>
      <c r="E131" s="5" t="s">
        <v>39</v>
      </c>
      <c r="F131" s="5" t="s">
        <v>39</v>
      </c>
      <c r="G131" s="5" t="s">
        <v>39</v>
      </c>
      <c r="H131" s="5" t="s">
        <v>39</v>
      </c>
      <c r="I131" s="376" t="s">
        <v>449</v>
      </c>
      <c r="J131" s="377" t="s">
        <v>747</v>
      </c>
    </row>
    <row r="132" spans="1:12" ht="19.95" customHeight="1">
      <c r="A132" s="373" t="str">
        <f t="shared" si="9"/>
        <v>App.7-V11H-P9.5.12.7</v>
      </c>
      <c r="B132" s="5" t="s">
        <v>1659</v>
      </c>
      <c r="C132" s="416" t="s">
        <v>904</v>
      </c>
      <c r="D132" s="5" t="s">
        <v>39</v>
      </c>
      <c r="E132" s="5" t="s">
        <v>39</v>
      </c>
      <c r="F132" s="5" t="s">
        <v>39</v>
      </c>
      <c r="G132" s="5" t="s">
        <v>449</v>
      </c>
      <c r="H132" s="5" t="s">
        <v>747</v>
      </c>
      <c r="I132" s="376" t="s">
        <v>747</v>
      </c>
      <c r="J132" s="377" t="s">
        <v>747</v>
      </c>
    </row>
    <row r="133" spans="1:12" ht="19.95" customHeight="1">
      <c r="A133" s="373" t="str">
        <f t="shared" si="9"/>
        <v>App.7-V11H-P9.5.12.8</v>
      </c>
      <c r="B133" s="5" t="s">
        <v>1660</v>
      </c>
      <c r="C133" s="416" t="s">
        <v>906</v>
      </c>
      <c r="D133" s="5" t="s">
        <v>39</v>
      </c>
      <c r="E133" s="5" t="s">
        <v>39</v>
      </c>
      <c r="F133" s="5" t="s">
        <v>39</v>
      </c>
      <c r="G133" s="5" t="s">
        <v>449</v>
      </c>
      <c r="H133" s="5" t="s">
        <v>747</v>
      </c>
      <c r="I133" s="376" t="s">
        <v>747</v>
      </c>
      <c r="J133" s="377" t="s">
        <v>747</v>
      </c>
    </row>
    <row r="134" spans="1:12" ht="19.95" customHeight="1" thickBot="1">
      <c r="A134" s="374" t="str">
        <f t="shared" si="9"/>
        <v>App.7-V11H-P9.5.12.12</v>
      </c>
      <c r="B134" s="375" t="s">
        <v>1661</v>
      </c>
      <c r="C134" s="420" t="s">
        <v>908</v>
      </c>
      <c r="D134" s="375" t="s">
        <v>39</v>
      </c>
      <c r="E134" s="375" t="s">
        <v>39</v>
      </c>
      <c r="F134" s="375" t="s">
        <v>39</v>
      </c>
      <c r="G134" s="375" t="s">
        <v>449</v>
      </c>
      <c r="H134" s="375" t="s">
        <v>909</v>
      </c>
      <c r="I134" s="341" t="s">
        <v>909</v>
      </c>
      <c r="J134" s="380" t="s">
        <v>909</v>
      </c>
    </row>
    <row r="135" spans="1:12" ht="19.95" customHeight="1" thickBot="1"/>
    <row r="136" spans="1:12" ht="19.95" customHeight="1" thickBot="1">
      <c r="A136" s="789" t="s">
        <v>948</v>
      </c>
      <c r="B136" s="790"/>
      <c r="C136" s="790"/>
      <c r="D136" s="790"/>
      <c r="E136" s="790"/>
      <c r="F136" s="790"/>
      <c r="G136" s="790"/>
      <c r="H136" s="790"/>
      <c r="I136" s="790"/>
      <c r="J136" s="791"/>
    </row>
    <row r="137" spans="1:12" ht="25.2" customHeight="1">
      <c r="A137" s="792" t="s">
        <v>880</v>
      </c>
      <c r="B137" s="783" t="s">
        <v>881</v>
      </c>
      <c r="C137" s="793"/>
      <c r="D137" s="412" t="s">
        <v>882</v>
      </c>
      <c r="E137" s="412" t="s">
        <v>883</v>
      </c>
      <c r="F137" s="412" t="s">
        <v>884</v>
      </c>
      <c r="G137" s="412" t="s">
        <v>885</v>
      </c>
      <c r="H137" s="412" t="s">
        <v>886</v>
      </c>
      <c r="I137" s="412" t="s">
        <v>887</v>
      </c>
      <c r="J137" s="413" t="s">
        <v>888</v>
      </c>
    </row>
    <row r="138" spans="1:12" ht="25.2" customHeight="1">
      <c r="A138" s="782"/>
      <c r="B138" s="796"/>
      <c r="C138" s="794"/>
      <c r="D138" s="414" t="s">
        <v>889</v>
      </c>
      <c r="E138" s="414" t="s">
        <v>889</v>
      </c>
      <c r="F138" s="414" t="s">
        <v>890</v>
      </c>
      <c r="G138" s="414" t="s">
        <v>891</v>
      </c>
      <c r="H138" s="414" t="s">
        <v>892</v>
      </c>
      <c r="I138" s="414" t="s">
        <v>893</v>
      </c>
      <c r="J138" s="415" t="s">
        <v>894</v>
      </c>
    </row>
    <row r="139" spans="1:12" ht="19.95" customHeight="1">
      <c r="A139" s="373" t="str">
        <f t="shared" ref="A139:A147" si="10">CONCATENATE($A$2,"-",$B$2,"-",B139)</f>
        <v>App.7-V11H-P9.5.13.1</v>
      </c>
      <c r="B139" s="5" t="s">
        <v>1662</v>
      </c>
      <c r="C139" s="416" t="s">
        <v>896</v>
      </c>
      <c r="D139" s="5" t="s">
        <v>38</v>
      </c>
      <c r="E139" s="5" t="s">
        <v>38</v>
      </c>
      <c r="F139" s="5" t="s">
        <v>38</v>
      </c>
      <c r="G139" s="5" t="s">
        <v>40</v>
      </c>
      <c r="H139" s="5" t="s">
        <v>40</v>
      </c>
      <c r="I139" s="376" t="s">
        <v>40</v>
      </c>
      <c r="J139" s="377" t="s">
        <v>39</v>
      </c>
      <c r="L139" s="423" t="s">
        <v>1635</v>
      </c>
    </row>
    <row r="140" spans="1:12" ht="19.95" customHeight="1">
      <c r="A140" s="373" t="str">
        <f t="shared" si="10"/>
        <v>App.7-V11H-P9.5.13.2</v>
      </c>
      <c r="B140" s="5" t="s">
        <v>1663</v>
      </c>
      <c r="C140" s="416" t="s">
        <v>366</v>
      </c>
      <c r="D140" s="5" t="s">
        <v>38</v>
      </c>
      <c r="E140" s="5" t="s">
        <v>38</v>
      </c>
      <c r="F140" s="5" t="s">
        <v>38</v>
      </c>
      <c r="G140" s="5" t="s">
        <v>40</v>
      </c>
      <c r="H140" s="5" t="s">
        <v>40</v>
      </c>
      <c r="I140" s="376" t="s">
        <v>40</v>
      </c>
      <c r="J140" s="377" t="s">
        <v>39</v>
      </c>
      <c r="L140" s="424" t="s">
        <v>1720</v>
      </c>
    </row>
    <row r="141" spans="1:12" ht="19.95" customHeight="1">
      <c r="A141" s="373" t="str">
        <f t="shared" si="10"/>
        <v>App.7-V11H-P9.5.13.3</v>
      </c>
      <c r="B141" s="5" t="s">
        <v>1664</v>
      </c>
      <c r="C141" s="416" t="s">
        <v>365</v>
      </c>
      <c r="D141" s="5" t="s">
        <v>40</v>
      </c>
      <c r="E141" s="5" t="s">
        <v>40</v>
      </c>
      <c r="F141" s="5" t="s">
        <v>40</v>
      </c>
      <c r="G141" s="5" t="s">
        <v>40</v>
      </c>
      <c r="H141" s="5" t="s">
        <v>40</v>
      </c>
      <c r="I141" s="376" t="s">
        <v>39</v>
      </c>
      <c r="J141" s="377" t="s">
        <v>449</v>
      </c>
    </row>
    <row r="142" spans="1:12" ht="19.95" customHeight="1">
      <c r="A142" s="373" t="str">
        <f t="shared" si="10"/>
        <v>App.7-V11H-P9.5.13.4</v>
      </c>
      <c r="B142" s="5" t="s">
        <v>1665</v>
      </c>
      <c r="C142" s="416" t="s">
        <v>180</v>
      </c>
      <c r="D142" s="5" t="s">
        <v>40</v>
      </c>
      <c r="E142" s="5" t="s">
        <v>40</v>
      </c>
      <c r="F142" s="5" t="s">
        <v>40</v>
      </c>
      <c r="G142" s="5" t="s">
        <v>39</v>
      </c>
      <c r="H142" s="5" t="s">
        <v>39</v>
      </c>
      <c r="I142" s="376" t="s">
        <v>39</v>
      </c>
      <c r="J142" s="377" t="s">
        <v>747</v>
      </c>
    </row>
    <row r="143" spans="1:12" ht="19.95" customHeight="1">
      <c r="A143" s="373" t="str">
        <f t="shared" si="10"/>
        <v>App.7-V11H-P9.5.13.5</v>
      </c>
      <c r="B143" s="5" t="s">
        <v>1666</v>
      </c>
      <c r="C143" s="416" t="s">
        <v>179</v>
      </c>
      <c r="D143" s="379" t="s">
        <v>1722</v>
      </c>
      <c r="E143" s="379" t="s">
        <v>1722</v>
      </c>
      <c r="F143" s="379" t="s">
        <v>1722</v>
      </c>
      <c r="G143" s="5" t="s">
        <v>448</v>
      </c>
      <c r="H143" s="5" t="s">
        <v>448</v>
      </c>
      <c r="I143" s="376" t="s">
        <v>448</v>
      </c>
      <c r="J143" s="377" t="s">
        <v>449</v>
      </c>
    </row>
    <row r="144" spans="1:12" ht="19.95" customHeight="1">
      <c r="A144" s="373" t="str">
        <f t="shared" si="10"/>
        <v>App.7-V11H-P9.5.13.6</v>
      </c>
      <c r="B144" s="5" t="s">
        <v>1667</v>
      </c>
      <c r="C144" s="416" t="s">
        <v>26</v>
      </c>
      <c r="D144" s="5" t="s">
        <v>40</v>
      </c>
      <c r="E144" s="5" t="s">
        <v>40</v>
      </c>
      <c r="F144" s="5" t="s">
        <v>40</v>
      </c>
      <c r="G144" s="5" t="s">
        <v>39</v>
      </c>
      <c r="H144" s="5" t="s">
        <v>39</v>
      </c>
      <c r="I144" s="376" t="s">
        <v>39</v>
      </c>
      <c r="J144" s="377" t="s">
        <v>747</v>
      </c>
    </row>
    <row r="145" spans="1:12" ht="19.95" customHeight="1">
      <c r="A145" s="373" t="str">
        <f t="shared" si="10"/>
        <v>App.7-V11H-P9.5.13.7</v>
      </c>
      <c r="B145" s="5" t="s">
        <v>1668</v>
      </c>
      <c r="C145" s="416" t="s">
        <v>904</v>
      </c>
      <c r="D145" s="5" t="s">
        <v>39</v>
      </c>
      <c r="E145" s="5" t="s">
        <v>39</v>
      </c>
      <c r="F145" s="5" t="s">
        <v>39</v>
      </c>
      <c r="G145" s="5" t="s">
        <v>449</v>
      </c>
      <c r="H145" s="5" t="s">
        <v>449</v>
      </c>
      <c r="I145" s="376" t="s">
        <v>747</v>
      </c>
      <c r="J145" s="377" t="s">
        <v>747</v>
      </c>
    </row>
    <row r="146" spans="1:12" ht="19.95" customHeight="1">
      <c r="A146" s="373" t="str">
        <f t="shared" si="10"/>
        <v>App.7-V11H-P9.5.13.8</v>
      </c>
      <c r="B146" s="5" t="s">
        <v>1669</v>
      </c>
      <c r="C146" s="416" t="s">
        <v>906</v>
      </c>
      <c r="D146" s="5" t="s">
        <v>40</v>
      </c>
      <c r="E146" s="5" t="s">
        <v>39</v>
      </c>
      <c r="F146" s="5" t="s">
        <v>39</v>
      </c>
      <c r="G146" s="5" t="s">
        <v>449</v>
      </c>
      <c r="H146" s="5" t="s">
        <v>449</v>
      </c>
      <c r="I146" s="376" t="s">
        <v>449</v>
      </c>
      <c r="J146" s="377" t="s">
        <v>747</v>
      </c>
    </row>
    <row r="147" spans="1:12" ht="19.95" customHeight="1" thickBot="1">
      <c r="A147" s="374" t="str">
        <f t="shared" si="10"/>
        <v>App.7-V11H-P9.5.13.9</v>
      </c>
      <c r="B147" s="375" t="s">
        <v>1670</v>
      </c>
      <c r="C147" s="420" t="s">
        <v>908</v>
      </c>
      <c r="D147" s="375" t="s">
        <v>39</v>
      </c>
      <c r="E147" s="375" t="s">
        <v>39</v>
      </c>
      <c r="F147" s="375" t="s">
        <v>39</v>
      </c>
      <c r="G147" s="375" t="s">
        <v>39</v>
      </c>
      <c r="H147" s="375" t="s">
        <v>909</v>
      </c>
      <c r="I147" s="341" t="s">
        <v>909</v>
      </c>
      <c r="J147" s="380" t="s">
        <v>909</v>
      </c>
    </row>
    <row r="148" spans="1:12" ht="19.95" customHeight="1" thickBot="1">
      <c r="B148" s="16"/>
      <c r="C148" s="425"/>
      <c r="D148" s="381"/>
      <c r="E148" s="381"/>
      <c r="F148" s="381"/>
      <c r="G148" s="381"/>
      <c r="H148" s="381"/>
      <c r="I148" s="326"/>
    </row>
    <row r="149" spans="1:12" ht="19.95" customHeight="1" thickBot="1">
      <c r="A149" s="789" t="s">
        <v>2407</v>
      </c>
      <c r="B149" s="790"/>
      <c r="C149" s="790"/>
      <c r="D149" s="790"/>
      <c r="E149" s="790"/>
      <c r="F149" s="790"/>
      <c r="G149" s="790"/>
      <c r="H149" s="790"/>
      <c r="I149" s="790"/>
      <c r="J149" s="791"/>
    </row>
    <row r="150" spans="1:12" ht="25.2" customHeight="1">
      <c r="A150" s="792" t="s">
        <v>880</v>
      </c>
      <c r="B150" s="783" t="s">
        <v>881</v>
      </c>
      <c r="C150" s="793"/>
      <c r="D150" s="412" t="s">
        <v>882</v>
      </c>
      <c r="E150" s="412" t="s">
        <v>883</v>
      </c>
      <c r="F150" s="412" t="s">
        <v>884</v>
      </c>
      <c r="G150" s="412" t="s">
        <v>885</v>
      </c>
      <c r="H150" s="412" t="s">
        <v>886</v>
      </c>
      <c r="I150" s="412" t="s">
        <v>887</v>
      </c>
      <c r="J150" s="413" t="s">
        <v>888</v>
      </c>
    </row>
    <row r="151" spans="1:12" ht="25.2" customHeight="1">
      <c r="A151" s="782"/>
      <c r="B151" s="796"/>
      <c r="C151" s="794"/>
      <c r="D151" s="414" t="s">
        <v>889</v>
      </c>
      <c r="E151" s="414" t="s">
        <v>889</v>
      </c>
      <c r="F151" s="414" t="s">
        <v>890</v>
      </c>
      <c r="G151" s="414" t="s">
        <v>891</v>
      </c>
      <c r="H151" s="414" t="s">
        <v>892</v>
      </c>
      <c r="I151" s="414" t="s">
        <v>893</v>
      </c>
      <c r="J151" s="415" t="s">
        <v>894</v>
      </c>
    </row>
    <row r="152" spans="1:12" ht="19.95" customHeight="1">
      <c r="A152" s="373" t="str">
        <f t="shared" ref="A152:A160" si="11">CONCATENATE($A$2,"-",$B$2,"-",B152)</f>
        <v>App.7-V11H-P9.5.14.1</v>
      </c>
      <c r="B152" s="5" t="s">
        <v>1671</v>
      </c>
      <c r="C152" s="416" t="s">
        <v>896</v>
      </c>
      <c r="D152" s="5" t="s">
        <v>40</v>
      </c>
      <c r="E152" s="5" t="s">
        <v>40</v>
      </c>
      <c r="F152" s="5" t="s">
        <v>40</v>
      </c>
      <c r="G152" s="5" t="s">
        <v>40</v>
      </c>
      <c r="H152" s="5" t="s">
        <v>40</v>
      </c>
      <c r="I152" s="376" t="s">
        <v>40</v>
      </c>
      <c r="J152" s="377" t="s">
        <v>449</v>
      </c>
      <c r="L152" s="423" t="s">
        <v>1635</v>
      </c>
    </row>
    <row r="153" spans="1:12" ht="19.95" customHeight="1">
      <c r="A153" s="373" t="str">
        <f t="shared" si="11"/>
        <v>App.7-V11H-P9.5.14.2</v>
      </c>
      <c r="B153" s="5" t="s">
        <v>1672</v>
      </c>
      <c r="C153" s="416" t="s">
        <v>366</v>
      </c>
      <c r="D153" s="5" t="s">
        <v>40</v>
      </c>
      <c r="E153" s="5" t="s">
        <v>40</v>
      </c>
      <c r="F153" s="5" t="s">
        <v>40</v>
      </c>
      <c r="G153" s="5" t="s">
        <v>40</v>
      </c>
      <c r="H153" s="5" t="s">
        <v>40</v>
      </c>
      <c r="I153" s="376" t="s">
        <v>40</v>
      </c>
      <c r="J153" s="377" t="s">
        <v>449</v>
      </c>
      <c r="L153" s="424" t="s">
        <v>1720</v>
      </c>
    </row>
    <row r="154" spans="1:12" ht="19.95" customHeight="1">
      <c r="A154" s="373" t="str">
        <f t="shared" si="11"/>
        <v>App.7-V11H-P9.5.14.3</v>
      </c>
      <c r="B154" s="5" t="s">
        <v>1673</v>
      </c>
      <c r="C154" s="416" t="s">
        <v>365</v>
      </c>
      <c r="D154" s="5" t="s">
        <v>40</v>
      </c>
      <c r="E154" s="5" t="s">
        <v>40</v>
      </c>
      <c r="F154" s="5" t="s">
        <v>39</v>
      </c>
      <c r="G154" s="5" t="s">
        <v>39</v>
      </c>
      <c r="H154" s="5" t="s">
        <v>39</v>
      </c>
      <c r="I154" s="376" t="s">
        <v>39</v>
      </c>
      <c r="J154" s="377" t="s">
        <v>747</v>
      </c>
    </row>
    <row r="155" spans="1:12" ht="19.95" customHeight="1">
      <c r="A155" s="373" t="str">
        <f t="shared" si="11"/>
        <v>App.7-V11H-P9.5.14.4</v>
      </c>
      <c r="B155" s="5" t="s">
        <v>1674</v>
      </c>
      <c r="C155" s="416" t="s">
        <v>180</v>
      </c>
      <c r="D155" s="5" t="s">
        <v>39</v>
      </c>
      <c r="E155" s="5" t="s">
        <v>39</v>
      </c>
      <c r="F155" s="5" t="s">
        <v>39</v>
      </c>
      <c r="G155" s="5" t="s">
        <v>39</v>
      </c>
      <c r="H155" s="5" t="s">
        <v>39</v>
      </c>
      <c r="I155" s="376" t="s">
        <v>39</v>
      </c>
      <c r="J155" s="377" t="s">
        <v>747</v>
      </c>
    </row>
    <row r="156" spans="1:12" ht="19.95" customHeight="1">
      <c r="A156" s="373" t="str">
        <f t="shared" si="11"/>
        <v>App.7-V11H-P9.5.14.5</v>
      </c>
      <c r="B156" s="5" t="s">
        <v>1675</v>
      </c>
      <c r="C156" s="416" t="s">
        <v>179</v>
      </c>
      <c r="D156" s="379" t="s">
        <v>1723</v>
      </c>
      <c r="E156" s="379" t="s">
        <v>1723</v>
      </c>
      <c r="F156" s="379" t="s">
        <v>1723</v>
      </c>
      <c r="G156" s="5" t="s">
        <v>449</v>
      </c>
      <c r="H156" s="5" t="s">
        <v>449</v>
      </c>
      <c r="I156" s="376" t="s">
        <v>449</v>
      </c>
      <c r="J156" s="377" t="s">
        <v>747</v>
      </c>
    </row>
    <row r="157" spans="1:12" ht="19.95" customHeight="1">
      <c r="A157" s="373" t="str">
        <f t="shared" si="11"/>
        <v>App.7-V11H-P9.5.14.6</v>
      </c>
      <c r="B157" s="5" t="s">
        <v>1676</v>
      </c>
      <c r="C157" s="416" t="s">
        <v>26</v>
      </c>
      <c r="D157" s="5" t="s">
        <v>39</v>
      </c>
      <c r="E157" s="5" t="s">
        <v>39</v>
      </c>
      <c r="F157" s="5" t="s">
        <v>39</v>
      </c>
      <c r="G157" s="5" t="s">
        <v>39</v>
      </c>
      <c r="H157" s="5" t="s">
        <v>39</v>
      </c>
      <c r="I157" s="376" t="s">
        <v>449</v>
      </c>
      <c r="J157" s="377" t="s">
        <v>747</v>
      </c>
    </row>
    <row r="158" spans="1:12" ht="19.95" customHeight="1">
      <c r="A158" s="373" t="str">
        <f t="shared" si="11"/>
        <v>App.7-V11H-P9.5.14.7</v>
      </c>
      <c r="B158" s="5" t="s">
        <v>1677</v>
      </c>
      <c r="C158" s="416" t="s">
        <v>904</v>
      </c>
      <c r="D158" s="5" t="s">
        <v>39</v>
      </c>
      <c r="E158" s="5" t="s">
        <v>39</v>
      </c>
      <c r="F158" s="5" t="s">
        <v>449</v>
      </c>
      <c r="G158" s="5" t="s">
        <v>747</v>
      </c>
      <c r="H158" s="5" t="s">
        <v>747</v>
      </c>
      <c r="I158" s="376" t="s">
        <v>747</v>
      </c>
      <c r="J158" s="377" t="s">
        <v>747</v>
      </c>
    </row>
    <row r="159" spans="1:12" ht="19.95" customHeight="1">
      <c r="A159" s="373" t="str">
        <f t="shared" si="11"/>
        <v>App.7-V11H-P9.5.14.8</v>
      </c>
      <c r="B159" s="5" t="s">
        <v>1678</v>
      </c>
      <c r="C159" s="416" t="s">
        <v>906</v>
      </c>
      <c r="D159" s="5" t="s">
        <v>39</v>
      </c>
      <c r="E159" s="5" t="s">
        <v>39</v>
      </c>
      <c r="F159" s="5" t="s">
        <v>449</v>
      </c>
      <c r="G159" s="5" t="s">
        <v>747</v>
      </c>
      <c r="H159" s="5" t="s">
        <v>747</v>
      </c>
      <c r="I159" s="376" t="s">
        <v>747</v>
      </c>
      <c r="J159" s="377" t="s">
        <v>747</v>
      </c>
    </row>
    <row r="160" spans="1:12" ht="19.95" customHeight="1" thickBot="1">
      <c r="A160" s="374" t="str">
        <f t="shared" si="11"/>
        <v>App.7-V11H-P9.5.14.9</v>
      </c>
      <c r="B160" s="375" t="s">
        <v>1679</v>
      </c>
      <c r="C160" s="420" t="s">
        <v>908</v>
      </c>
      <c r="D160" s="375" t="s">
        <v>39</v>
      </c>
      <c r="E160" s="375" t="s">
        <v>449</v>
      </c>
      <c r="F160" s="375" t="s">
        <v>449</v>
      </c>
      <c r="G160" s="375" t="s">
        <v>449</v>
      </c>
      <c r="H160" s="375" t="s">
        <v>909</v>
      </c>
      <c r="I160" s="341" t="s">
        <v>909</v>
      </c>
      <c r="J160" s="380" t="s">
        <v>909</v>
      </c>
    </row>
    <row r="161" spans="1:12" ht="19.95" customHeight="1">
      <c r="B161" s="16"/>
      <c r="C161" s="425"/>
      <c r="D161" s="381"/>
      <c r="E161" s="381"/>
      <c r="F161" s="381"/>
      <c r="G161" s="381"/>
      <c r="H161" s="381"/>
      <c r="I161" s="326"/>
    </row>
    <row r="162" spans="1:12" ht="19.95" customHeight="1" thickBot="1">
      <c r="A162" s="784" t="s">
        <v>957</v>
      </c>
      <c r="B162" s="785"/>
      <c r="C162" s="785"/>
      <c r="D162" s="785"/>
      <c r="E162" s="785"/>
      <c r="F162" s="785"/>
      <c r="G162" s="785"/>
      <c r="H162" s="785"/>
      <c r="I162" s="785"/>
      <c r="J162" s="786"/>
    </row>
    <row r="163" spans="1:12" ht="19.95" customHeight="1" thickBot="1">
      <c r="A163" s="789" t="s">
        <v>879</v>
      </c>
      <c r="B163" s="790"/>
      <c r="C163" s="790"/>
      <c r="D163" s="790"/>
      <c r="E163" s="790"/>
      <c r="F163" s="790"/>
      <c r="G163" s="790"/>
      <c r="H163" s="790"/>
      <c r="I163" s="790"/>
      <c r="J163" s="791"/>
    </row>
    <row r="164" spans="1:12" ht="25.2" customHeight="1">
      <c r="A164" s="792" t="s">
        <v>880</v>
      </c>
      <c r="B164" s="783" t="s">
        <v>881</v>
      </c>
      <c r="C164" s="793"/>
      <c r="D164" s="426" t="s">
        <v>882</v>
      </c>
      <c r="E164" s="426" t="s">
        <v>883</v>
      </c>
      <c r="F164" s="426" t="s">
        <v>884</v>
      </c>
      <c r="G164" s="426" t="s">
        <v>885</v>
      </c>
      <c r="H164" s="426" t="s">
        <v>886</v>
      </c>
      <c r="I164" s="326"/>
      <c r="J164" s="382"/>
    </row>
    <row r="165" spans="1:12" ht="25.2" customHeight="1">
      <c r="A165" s="782"/>
      <c r="B165" s="796"/>
      <c r="C165" s="794"/>
      <c r="D165" s="427" t="s">
        <v>889</v>
      </c>
      <c r="E165" s="427" t="s">
        <v>889</v>
      </c>
      <c r="F165" s="427" t="s">
        <v>890</v>
      </c>
      <c r="G165" s="427" t="s">
        <v>891</v>
      </c>
      <c r="H165" s="427" t="s">
        <v>892</v>
      </c>
      <c r="I165" s="326"/>
      <c r="J165" s="382"/>
    </row>
    <row r="166" spans="1:12" ht="19.95" customHeight="1">
      <c r="A166" s="373" t="str">
        <f>CONCATENATE($A$2,"-",$B$2,"-",B166)</f>
        <v>App.7-V11H-P9.5.15.1</v>
      </c>
      <c r="B166" s="5" t="s">
        <v>1680</v>
      </c>
      <c r="C166" s="416" t="s">
        <v>365</v>
      </c>
      <c r="D166" s="383" t="s">
        <v>449</v>
      </c>
      <c r="E166" s="383" t="s">
        <v>449</v>
      </c>
      <c r="F166" s="383" t="s">
        <v>449</v>
      </c>
      <c r="G166" s="383" t="s">
        <v>449</v>
      </c>
      <c r="H166" s="383" t="s">
        <v>449</v>
      </c>
      <c r="I166" s="326"/>
      <c r="J166" s="382"/>
      <c r="L166" s="423" t="s">
        <v>1635</v>
      </c>
    </row>
    <row r="167" spans="1:12" ht="19.95" customHeight="1">
      <c r="A167" s="373" t="str">
        <f>CONCATENATE($A$2,"-",$B$2,"-",B167)</f>
        <v>App.7-V11H-P9.5.15.2</v>
      </c>
      <c r="B167" s="5" t="s">
        <v>1681</v>
      </c>
      <c r="C167" s="416" t="s">
        <v>26</v>
      </c>
      <c r="D167" s="383" t="s">
        <v>449</v>
      </c>
      <c r="E167" s="383" t="s">
        <v>449</v>
      </c>
      <c r="F167" s="383" t="s">
        <v>449</v>
      </c>
      <c r="G167" s="383" t="s">
        <v>449</v>
      </c>
      <c r="H167" s="383" t="s">
        <v>449</v>
      </c>
      <c r="I167" s="326"/>
      <c r="J167" s="382"/>
    </row>
    <row r="168" spans="1:12" ht="19.95" customHeight="1">
      <c r="A168" s="373" t="str">
        <f>CONCATENATE($A$2,"-",$B$2,"-",B168)</f>
        <v>App.7-V11H-P9.5.15.3</v>
      </c>
      <c r="B168" s="5" t="s">
        <v>1682</v>
      </c>
      <c r="C168" s="416" t="s">
        <v>904</v>
      </c>
      <c r="D168" s="383" t="s">
        <v>449</v>
      </c>
      <c r="E168" s="383" t="s">
        <v>449</v>
      </c>
      <c r="F168" s="383" t="s">
        <v>449</v>
      </c>
      <c r="G168" s="383" t="s">
        <v>449</v>
      </c>
      <c r="H168" s="383" t="s">
        <v>449</v>
      </c>
      <c r="I168" s="326"/>
      <c r="J168" s="382"/>
    </row>
    <row r="169" spans="1:12" ht="19.95" customHeight="1" thickBot="1">
      <c r="A169" s="374" t="str">
        <f>CONCATENATE($A$2,"-",$B$2,"-",B169)</f>
        <v>App.7-V11H-P9.5.15.4</v>
      </c>
      <c r="B169" s="375" t="s">
        <v>1683</v>
      </c>
      <c r="C169" s="420" t="s">
        <v>906</v>
      </c>
      <c r="D169" s="384" t="s">
        <v>449</v>
      </c>
      <c r="E169" s="384" t="s">
        <v>449</v>
      </c>
      <c r="F169" s="384" t="s">
        <v>449</v>
      </c>
      <c r="G169" s="384" t="s">
        <v>449</v>
      </c>
      <c r="H169" s="384" t="s">
        <v>449</v>
      </c>
      <c r="I169" s="345"/>
      <c r="J169" s="385"/>
    </row>
    <row r="170" spans="1:12" ht="19.95" customHeight="1" thickBot="1"/>
    <row r="171" spans="1:12" ht="19.95" customHeight="1" thickBot="1">
      <c r="A171" s="789" t="s">
        <v>1638</v>
      </c>
      <c r="B171" s="790"/>
      <c r="C171" s="790"/>
      <c r="D171" s="790"/>
      <c r="E171" s="790"/>
      <c r="F171" s="790"/>
      <c r="G171" s="790"/>
      <c r="H171" s="790"/>
      <c r="I171" s="790"/>
      <c r="J171" s="791"/>
    </row>
    <row r="172" spans="1:12" ht="25.2" customHeight="1">
      <c r="A172" s="792" t="s">
        <v>880</v>
      </c>
      <c r="B172" s="783" t="s">
        <v>881</v>
      </c>
      <c r="C172" s="793"/>
      <c r="D172" s="426" t="s">
        <v>882</v>
      </c>
      <c r="E172" s="426" t="s">
        <v>883</v>
      </c>
      <c r="F172" s="426" t="s">
        <v>884</v>
      </c>
      <c r="G172" s="426" t="s">
        <v>885</v>
      </c>
      <c r="H172" s="426" t="s">
        <v>886</v>
      </c>
      <c r="I172" s="326"/>
      <c r="J172" s="382"/>
    </row>
    <row r="173" spans="1:12" ht="25.2" customHeight="1">
      <c r="A173" s="782"/>
      <c r="B173" s="796"/>
      <c r="C173" s="794"/>
      <c r="D173" s="427" t="s">
        <v>889</v>
      </c>
      <c r="E173" s="427" t="s">
        <v>889</v>
      </c>
      <c r="F173" s="427" t="s">
        <v>890</v>
      </c>
      <c r="G173" s="427" t="s">
        <v>891</v>
      </c>
      <c r="H173" s="427" t="s">
        <v>892</v>
      </c>
      <c r="I173" s="326"/>
      <c r="J173" s="382"/>
    </row>
    <row r="174" spans="1:12" ht="19.95" customHeight="1">
      <c r="A174" s="373" t="str">
        <f>CONCATENATE($A$2,"-",$B$2,"-",B174)</f>
        <v>App.7-V11H-P9.5.16.1</v>
      </c>
      <c r="B174" s="5" t="s">
        <v>1684</v>
      </c>
      <c r="C174" s="416" t="s">
        <v>365</v>
      </c>
      <c r="D174" s="383" t="s">
        <v>449</v>
      </c>
      <c r="E174" s="383" t="s">
        <v>449</v>
      </c>
      <c r="F174" s="383" t="s">
        <v>449</v>
      </c>
      <c r="G174" s="383" t="s">
        <v>449</v>
      </c>
      <c r="H174" s="383" t="s">
        <v>449</v>
      </c>
      <c r="I174" s="326"/>
      <c r="J174" s="382"/>
      <c r="L174" s="423" t="s">
        <v>1635</v>
      </c>
    </row>
    <row r="175" spans="1:12" ht="19.95" customHeight="1">
      <c r="A175" s="373" t="str">
        <f>CONCATENATE($A$2,"-",$B$2,"-",B175)</f>
        <v>App.7-V11H-P9.5.16.2</v>
      </c>
      <c r="B175" s="5" t="s">
        <v>1685</v>
      </c>
      <c r="C175" s="416" t="s">
        <v>26</v>
      </c>
      <c r="D175" s="383" t="s">
        <v>449</v>
      </c>
      <c r="E175" s="383" t="s">
        <v>449</v>
      </c>
      <c r="F175" s="383" t="s">
        <v>449</v>
      </c>
      <c r="G175" s="383" t="s">
        <v>449</v>
      </c>
      <c r="H175" s="383" t="s">
        <v>449</v>
      </c>
      <c r="I175" s="326"/>
      <c r="J175" s="382"/>
    </row>
    <row r="176" spans="1:12" ht="19.95" customHeight="1">
      <c r="A176" s="373" t="str">
        <f>CONCATENATE($A$2,"-",$B$2,"-",B176)</f>
        <v>App.7-V11H-P9.5.16.3</v>
      </c>
      <c r="B176" s="5" t="s">
        <v>1686</v>
      </c>
      <c r="C176" s="416" t="s">
        <v>904</v>
      </c>
      <c r="D176" s="383" t="s">
        <v>449</v>
      </c>
      <c r="E176" s="383" t="s">
        <v>449</v>
      </c>
      <c r="F176" s="383" t="s">
        <v>449</v>
      </c>
      <c r="G176" s="383" t="s">
        <v>449</v>
      </c>
      <c r="H176" s="383" t="s">
        <v>449</v>
      </c>
      <c r="I176" s="326"/>
      <c r="J176" s="382"/>
    </row>
    <row r="177" spans="1:12" ht="19.95" customHeight="1" thickBot="1">
      <c r="A177" s="374" t="str">
        <f>CONCATENATE($A$2,"-",$B$2,"-",B177)</f>
        <v>App.7-V11H-P9.5.16.4</v>
      </c>
      <c r="B177" s="375" t="s">
        <v>1687</v>
      </c>
      <c r="C177" s="420" t="s">
        <v>906</v>
      </c>
      <c r="D177" s="384" t="s">
        <v>449</v>
      </c>
      <c r="E177" s="384" t="s">
        <v>449</v>
      </c>
      <c r="F177" s="384" t="s">
        <v>449</v>
      </c>
      <c r="G177" s="384" t="s">
        <v>449</v>
      </c>
      <c r="H177" s="384" t="s">
        <v>449</v>
      </c>
      <c r="I177" s="345"/>
      <c r="J177" s="385"/>
    </row>
    <row r="178" spans="1:12" ht="19.95" customHeight="1" thickBot="1">
      <c r="B178" s="16"/>
      <c r="C178" s="425"/>
      <c r="D178" s="326"/>
      <c r="E178" s="326"/>
      <c r="F178" s="326"/>
      <c r="G178" s="326"/>
      <c r="H178" s="326"/>
      <c r="I178" s="326"/>
    </row>
    <row r="179" spans="1:12" ht="19.95" customHeight="1" thickBot="1">
      <c r="A179" s="789" t="s">
        <v>910</v>
      </c>
      <c r="B179" s="790"/>
      <c r="C179" s="790"/>
      <c r="D179" s="790"/>
      <c r="E179" s="790"/>
      <c r="F179" s="790"/>
      <c r="G179" s="790"/>
      <c r="H179" s="790"/>
      <c r="I179" s="790"/>
      <c r="J179" s="791"/>
    </row>
    <row r="180" spans="1:12" ht="25.2" customHeight="1">
      <c r="A180" s="792" t="s">
        <v>880</v>
      </c>
      <c r="B180" s="783" t="s">
        <v>881</v>
      </c>
      <c r="C180" s="793"/>
      <c r="D180" s="426" t="s">
        <v>882</v>
      </c>
      <c r="E180" s="426" t="s">
        <v>883</v>
      </c>
      <c r="F180" s="426" t="s">
        <v>884</v>
      </c>
      <c r="G180" s="426" t="s">
        <v>885</v>
      </c>
      <c r="H180" s="426" t="s">
        <v>886</v>
      </c>
      <c r="I180" s="326"/>
      <c r="J180" s="382"/>
    </row>
    <row r="181" spans="1:12" ht="25.2" customHeight="1">
      <c r="A181" s="782"/>
      <c r="B181" s="796"/>
      <c r="C181" s="794"/>
      <c r="D181" s="427" t="s">
        <v>889</v>
      </c>
      <c r="E181" s="427" t="s">
        <v>889</v>
      </c>
      <c r="F181" s="427" t="s">
        <v>890</v>
      </c>
      <c r="G181" s="427" t="s">
        <v>891</v>
      </c>
      <c r="H181" s="427" t="s">
        <v>892</v>
      </c>
      <c r="I181" s="326"/>
      <c r="J181" s="382"/>
    </row>
    <row r="182" spans="1:12" ht="19.95" customHeight="1">
      <c r="A182" s="373" t="str">
        <f>CONCATENATE($A$2,"-",$B$2,"-",B182)</f>
        <v>App.7-V11H-P9.5.17.1</v>
      </c>
      <c r="B182" s="5" t="s">
        <v>1688</v>
      </c>
      <c r="C182" s="416" t="s">
        <v>365</v>
      </c>
      <c r="D182" s="383" t="s">
        <v>449</v>
      </c>
      <c r="E182" s="383" t="s">
        <v>449</v>
      </c>
      <c r="F182" s="383" t="s">
        <v>449</v>
      </c>
      <c r="G182" s="383" t="s">
        <v>449</v>
      </c>
      <c r="H182" s="383" t="s">
        <v>449</v>
      </c>
      <c r="I182" s="326"/>
      <c r="J182" s="382"/>
      <c r="L182" s="423" t="s">
        <v>1635</v>
      </c>
    </row>
    <row r="183" spans="1:12" ht="19.95" customHeight="1">
      <c r="A183" s="373" t="str">
        <f>CONCATENATE($A$2,"-",$B$2,"-",B183)</f>
        <v>App.7-V11H-P9.5.17.2</v>
      </c>
      <c r="B183" s="5" t="s">
        <v>1689</v>
      </c>
      <c r="C183" s="416" t="s">
        <v>26</v>
      </c>
      <c r="D183" s="383" t="s">
        <v>449</v>
      </c>
      <c r="E183" s="383" t="s">
        <v>449</v>
      </c>
      <c r="F183" s="383" t="s">
        <v>449</v>
      </c>
      <c r="G183" s="383" t="s">
        <v>449</v>
      </c>
      <c r="H183" s="383" t="s">
        <v>449</v>
      </c>
      <c r="I183" s="326"/>
      <c r="J183" s="382"/>
    </row>
    <row r="184" spans="1:12" ht="19.95" customHeight="1">
      <c r="A184" s="373" t="str">
        <f>CONCATENATE($A$2,"-",$B$2,"-",B184)</f>
        <v>App.7-V11H-P9.5.17.3</v>
      </c>
      <c r="B184" s="5" t="s">
        <v>1690</v>
      </c>
      <c r="C184" s="416" t="s">
        <v>904</v>
      </c>
      <c r="D184" s="383" t="s">
        <v>449</v>
      </c>
      <c r="E184" s="383" t="s">
        <v>449</v>
      </c>
      <c r="F184" s="383" t="s">
        <v>449</v>
      </c>
      <c r="G184" s="383" t="s">
        <v>449</v>
      </c>
      <c r="H184" s="383" t="s">
        <v>449</v>
      </c>
      <c r="I184" s="326"/>
      <c r="J184" s="382"/>
    </row>
    <row r="185" spans="1:12" ht="19.95" customHeight="1" thickBot="1">
      <c r="A185" s="374" t="str">
        <f>CONCATENATE($A$2,"-",$B$2,"-",B185)</f>
        <v>App.7-V11H-P9.5.17.4</v>
      </c>
      <c r="B185" s="375" t="s">
        <v>1691</v>
      </c>
      <c r="C185" s="420" t="s">
        <v>906</v>
      </c>
      <c r="D185" s="384" t="s">
        <v>449</v>
      </c>
      <c r="E185" s="384" t="s">
        <v>449</v>
      </c>
      <c r="F185" s="384" t="s">
        <v>449</v>
      </c>
      <c r="G185" s="384" t="s">
        <v>449</v>
      </c>
      <c r="H185" s="384" t="s">
        <v>449</v>
      </c>
      <c r="I185" s="345"/>
      <c r="J185" s="385"/>
    </row>
    <row r="186" spans="1:12" ht="19.95" customHeight="1" thickBot="1"/>
    <row r="187" spans="1:12" ht="19.95" customHeight="1" thickBot="1">
      <c r="A187" s="789" t="s">
        <v>2403</v>
      </c>
      <c r="B187" s="790"/>
      <c r="C187" s="790"/>
      <c r="D187" s="790"/>
      <c r="E187" s="790"/>
      <c r="F187" s="790"/>
      <c r="G187" s="790"/>
      <c r="H187" s="790"/>
      <c r="I187" s="790"/>
      <c r="J187" s="791"/>
    </row>
    <row r="188" spans="1:12" ht="25.2" customHeight="1">
      <c r="A188" s="792" t="s">
        <v>880</v>
      </c>
      <c r="B188" s="783" t="s">
        <v>881</v>
      </c>
      <c r="C188" s="793"/>
      <c r="D188" s="426" t="s">
        <v>882</v>
      </c>
      <c r="E188" s="426" t="s">
        <v>883</v>
      </c>
      <c r="F188" s="426" t="s">
        <v>884</v>
      </c>
      <c r="G188" s="426" t="s">
        <v>885</v>
      </c>
      <c r="H188" s="426" t="s">
        <v>886</v>
      </c>
      <c r="I188" s="326"/>
      <c r="J188" s="382"/>
    </row>
    <row r="189" spans="1:12" ht="25.2" customHeight="1">
      <c r="A189" s="782"/>
      <c r="B189" s="796"/>
      <c r="C189" s="794"/>
      <c r="D189" s="427" t="s">
        <v>889</v>
      </c>
      <c r="E189" s="427" t="s">
        <v>889</v>
      </c>
      <c r="F189" s="427" t="s">
        <v>890</v>
      </c>
      <c r="G189" s="427" t="s">
        <v>891</v>
      </c>
      <c r="H189" s="427" t="s">
        <v>892</v>
      </c>
      <c r="I189" s="326"/>
      <c r="J189" s="382"/>
    </row>
    <row r="190" spans="1:12" ht="19.95" customHeight="1">
      <c r="A190" s="373" t="str">
        <f>CONCATENATE($A$2,"-",$B$2,"-",B190)</f>
        <v>App.7-V11H-P9.5.18.1</v>
      </c>
      <c r="B190" s="5" t="s">
        <v>1692</v>
      </c>
      <c r="C190" s="416" t="s">
        <v>365</v>
      </c>
      <c r="D190" s="383" t="s">
        <v>449</v>
      </c>
      <c r="E190" s="383" t="s">
        <v>449</v>
      </c>
      <c r="F190" s="383" t="s">
        <v>449</v>
      </c>
      <c r="G190" s="383" t="s">
        <v>449</v>
      </c>
      <c r="H190" s="383" t="s">
        <v>449</v>
      </c>
      <c r="I190" s="326"/>
      <c r="J190" s="382"/>
      <c r="L190" s="423" t="s">
        <v>1635</v>
      </c>
    </row>
    <row r="191" spans="1:12" ht="19.95" customHeight="1">
      <c r="A191" s="373" t="str">
        <f>CONCATENATE($A$2,"-",$B$2,"-",B191)</f>
        <v>App.7-V11H-P9.5.18.2</v>
      </c>
      <c r="B191" s="5" t="s">
        <v>1693</v>
      </c>
      <c r="C191" s="416" t="s">
        <v>26</v>
      </c>
      <c r="D191" s="383" t="s">
        <v>449</v>
      </c>
      <c r="E191" s="383" t="s">
        <v>449</v>
      </c>
      <c r="F191" s="383" t="s">
        <v>449</v>
      </c>
      <c r="G191" s="383" t="s">
        <v>449</v>
      </c>
      <c r="H191" s="383" t="s">
        <v>449</v>
      </c>
      <c r="I191" s="326"/>
      <c r="J191" s="382"/>
    </row>
    <row r="192" spans="1:12" ht="19.95" customHeight="1">
      <c r="A192" s="373" t="str">
        <f>CONCATENATE($A$2,"-",$B$2,"-",B192)</f>
        <v>App.7-V11H-P9.5.18.3</v>
      </c>
      <c r="B192" s="5" t="s">
        <v>1694</v>
      </c>
      <c r="C192" s="416" t="s">
        <v>904</v>
      </c>
      <c r="D192" s="383" t="s">
        <v>449</v>
      </c>
      <c r="E192" s="383" t="s">
        <v>449</v>
      </c>
      <c r="F192" s="383" t="s">
        <v>449</v>
      </c>
      <c r="G192" s="383" t="s">
        <v>449</v>
      </c>
      <c r="H192" s="383" t="s">
        <v>449</v>
      </c>
      <c r="I192" s="326"/>
      <c r="J192" s="382"/>
    </row>
    <row r="193" spans="1:12" ht="19.95" customHeight="1" thickBot="1">
      <c r="A193" s="374" t="str">
        <f>CONCATENATE($A$2,"-",$B$2,"-",B193)</f>
        <v>App.7-V11H-P9.5.18.4</v>
      </c>
      <c r="B193" s="375" t="s">
        <v>1695</v>
      </c>
      <c r="C193" s="420" t="s">
        <v>906</v>
      </c>
      <c r="D193" s="384" t="s">
        <v>449</v>
      </c>
      <c r="E193" s="384" t="s">
        <v>449</v>
      </c>
      <c r="F193" s="384" t="s">
        <v>449</v>
      </c>
      <c r="G193" s="384" t="s">
        <v>449</v>
      </c>
      <c r="H193" s="384" t="s">
        <v>449</v>
      </c>
      <c r="I193" s="345"/>
      <c r="J193" s="385"/>
    </row>
    <row r="194" spans="1:12" ht="19.95" customHeight="1">
      <c r="B194" s="16"/>
      <c r="C194" s="425"/>
      <c r="D194" s="326"/>
      <c r="E194" s="326"/>
      <c r="F194" s="326"/>
      <c r="G194" s="326"/>
      <c r="H194" s="326"/>
      <c r="I194" s="326"/>
    </row>
    <row r="195" spans="1:12" ht="19.95" customHeight="1" thickBot="1">
      <c r="A195" s="784" t="s">
        <v>962</v>
      </c>
      <c r="B195" s="785"/>
      <c r="C195" s="785"/>
      <c r="D195" s="785"/>
      <c r="E195" s="785"/>
      <c r="F195" s="785"/>
      <c r="G195" s="785"/>
      <c r="H195" s="785"/>
      <c r="I195" s="785"/>
      <c r="J195" s="786"/>
    </row>
    <row r="196" spans="1:12" ht="19.95" customHeight="1" thickBot="1">
      <c r="A196" s="789" t="s">
        <v>963</v>
      </c>
      <c r="B196" s="790"/>
      <c r="C196" s="790"/>
      <c r="D196" s="790"/>
      <c r="E196" s="790"/>
      <c r="F196" s="790"/>
      <c r="G196" s="790"/>
      <c r="H196" s="790"/>
      <c r="I196" s="790"/>
      <c r="J196" s="791"/>
    </row>
    <row r="197" spans="1:12" ht="19.95" customHeight="1">
      <c r="A197" s="792" t="s">
        <v>880</v>
      </c>
      <c r="B197" s="770" t="s">
        <v>881</v>
      </c>
      <c r="C197" s="793"/>
      <c r="D197" s="787" t="s">
        <v>964</v>
      </c>
      <c r="I197" s="326"/>
      <c r="J197" s="382"/>
    </row>
    <row r="198" spans="1:12" ht="19.95" customHeight="1">
      <c r="A198" s="782"/>
      <c r="B198" s="783"/>
      <c r="C198" s="794"/>
      <c r="D198" s="788"/>
      <c r="I198" s="326"/>
      <c r="J198" s="382"/>
    </row>
    <row r="199" spans="1:12" ht="19.95" customHeight="1" thickBot="1">
      <c r="A199" s="374" t="str">
        <f>CONCATENATE($A$2,"-",$B$2,"-",B199)</f>
        <v>App.7-V11H-P11.1</v>
      </c>
      <c r="B199" s="375" t="s">
        <v>965</v>
      </c>
      <c r="C199" s="428" t="s">
        <v>966</v>
      </c>
      <c r="D199" s="341" t="s">
        <v>1696</v>
      </c>
      <c r="E199" s="386"/>
      <c r="F199" s="386"/>
      <c r="G199" s="386"/>
      <c r="H199" s="386"/>
      <c r="I199" s="345"/>
      <c r="J199" s="385"/>
    </row>
    <row r="200" spans="1:12" ht="19.95" customHeight="1"/>
    <row r="201" spans="1:12" ht="19.95" customHeight="1" thickBot="1">
      <c r="A201" s="784" t="s">
        <v>967</v>
      </c>
      <c r="B201" s="785"/>
      <c r="C201" s="785"/>
      <c r="D201" s="785"/>
      <c r="E201" s="785"/>
      <c r="F201" s="785"/>
      <c r="G201" s="785"/>
      <c r="H201" s="785"/>
      <c r="I201" s="785"/>
      <c r="J201" s="786"/>
    </row>
    <row r="202" spans="1:12" ht="19.95" customHeight="1">
      <c r="A202" s="798" t="s">
        <v>968</v>
      </c>
      <c r="B202" s="799"/>
      <c r="C202" s="799"/>
      <c r="D202" s="799"/>
      <c r="E202" s="799"/>
      <c r="F202" s="799"/>
      <c r="G202" s="799"/>
      <c r="H202" s="799"/>
      <c r="I202" s="799"/>
      <c r="J202" s="800"/>
    </row>
    <row r="203" spans="1:12" ht="25.2" customHeight="1">
      <c r="A203" s="792" t="s">
        <v>880</v>
      </c>
      <c r="B203" s="783" t="s">
        <v>881</v>
      </c>
      <c r="C203" s="793"/>
      <c r="D203" s="426" t="s">
        <v>882</v>
      </c>
      <c r="E203" s="426" t="s">
        <v>883</v>
      </c>
      <c r="F203" s="426" t="s">
        <v>884</v>
      </c>
      <c r="G203" s="426" t="s">
        <v>885</v>
      </c>
      <c r="H203" s="426" t="s">
        <v>886</v>
      </c>
      <c r="I203" s="16"/>
      <c r="J203" s="382"/>
    </row>
    <row r="204" spans="1:12" ht="25.2" customHeight="1">
      <c r="A204" s="782"/>
      <c r="B204" s="796"/>
      <c r="C204" s="794"/>
      <c r="D204" s="427" t="s">
        <v>889</v>
      </c>
      <c r="E204" s="427" t="s">
        <v>889</v>
      </c>
      <c r="F204" s="427" t="s">
        <v>890</v>
      </c>
      <c r="G204" s="427" t="s">
        <v>891</v>
      </c>
      <c r="H204" s="427" t="s">
        <v>892</v>
      </c>
      <c r="I204" s="16"/>
      <c r="J204" s="382"/>
    </row>
    <row r="205" spans="1:12" ht="19.95" customHeight="1">
      <c r="A205" s="387" t="str">
        <f t="shared" ref="A205:A213" si="12">CONCATENATE($A$2,"-",$B$2,"-",B205)</f>
        <v>App.7-V11H-P12.3.1.1</v>
      </c>
      <c r="B205" s="5" t="s">
        <v>969</v>
      </c>
      <c r="C205" s="416" t="s">
        <v>896</v>
      </c>
      <c r="D205" s="388" t="s">
        <v>970</v>
      </c>
      <c r="E205" s="388" t="s">
        <v>970</v>
      </c>
      <c r="F205" s="389" t="s">
        <v>789</v>
      </c>
      <c r="G205" s="389" t="s">
        <v>789</v>
      </c>
      <c r="H205" s="389" t="s">
        <v>789</v>
      </c>
      <c r="I205" s="16"/>
      <c r="J205" s="382"/>
      <c r="L205" s="423" t="s">
        <v>1697</v>
      </c>
    </row>
    <row r="206" spans="1:12" ht="19.95" customHeight="1">
      <c r="A206" s="387" t="str">
        <f t="shared" si="12"/>
        <v>App.7-V11H-P12.3.1.2</v>
      </c>
      <c r="B206" s="5" t="s">
        <v>971</v>
      </c>
      <c r="C206" s="416" t="s">
        <v>366</v>
      </c>
      <c r="D206" s="388" t="s">
        <v>970</v>
      </c>
      <c r="E206" s="388" t="s">
        <v>970</v>
      </c>
      <c r="F206" s="389" t="s">
        <v>789</v>
      </c>
      <c r="G206" s="389" t="s">
        <v>972</v>
      </c>
      <c r="H206" s="389" t="s">
        <v>789</v>
      </c>
      <c r="I206" s="16"/>
      <c r="J206" s="382"/>
      <c r="L206" s="423" t="s">
        <v>1635</v>
      </c>
    </row>
    <row r="207" spans="1:12" ht="19.95" customHeight="1">
      <c r="A207" s="387" t="str">
        <f t="shared" si="12"/>
        <v>App.7-V11H-P12.3.1.3</v>
      </c>
      <c r="B207" s="5" t="s">
        <v>973</v>
      </c>
      <c r="C207" s="416" t="s">
        <v>365</v>
      </c>
      <c r="D207" s="389" t="s">
        <v>789</v>
      </c>
      <c r="E207" s="389" t="s">
        <v>789</v>
      </c>
      <c r="F207" s="389" t="s">
        <v>789</v>
      </c>
      <c r="G207" s="390" t="s">
        <v>190</v>
      </c>
      <c r="H207" s="390" t="s">
        <v>190</v>
      </c>
      <c r="I207" s="16"/>
      <c r="J207" s="382"/>
      <c r="L207" s="423"/>
    </row>
    <row r="208" spans="1:12" ht="19.95" customHeight="1">
      <c r="A208" s="387" t="str">
        <f t="shared" si="12"/>
        <v>App.7-V11H-P12.3.1.4</v>
      </c>
      <c r="B208" s="5" t="s">
        <v>974</v>
      </c>
      <c r="C208" s="416" t="s">
        <v>180</v>
      </c>
      <c r="D208" s="389" t="s">
        <v>789</v>
      </c>
      <c r="E208" s="389" t="s">
        <v>789</v>
      </c>
      <c r="F208" s="389" t="s">
        <v>789</v>
      </c>
      <c r="G208" s="390" t="s">
        <v>190</v>
      </c>
      <c r="H208" s="391" t="s">
        <v>975</v>
      </c>
      <c r="I208" s="16"/>
      <c r="J208" s="382"/>
    </row>
    <row r="209" spans="1:12" ht="19.95" customHeight="1">
      <c r="A209" s="387" t="str">
        <f t="shared" si="12"/>
        <v>App.7-V11H-P12.3.1.5</v>
      </c>
      <c r="B209" s="5" t="s">
        <v>976</v>
      </c>
      <c r="C209" s="416" t="s">
        <v>179</v>
      </c>
      <c r="D209" s="389" t="s">
        <v>789</v>
      </c>
      <c r="E209" s="389" t="s">
        <v>789</v>
      </c>
      <c r="F209" s="389" t="s">
        <v>789</v>
      </c>
      <c r="G209" s="390" t="s">
        <v>190</v>
      </c>
      <c r="H209" s="390" t="s">
        <v>190</v>
      </c>
      <c r="I209" s="16"/>
      <c r="J209" s="382"/>
    </row>
    <row r="210" spans="1:12" ht="19.95" customHeight="1">
      <c r="A210" s="387" t="str">
        <f t="shared" si="12"/>
        <v>App.7-V11H-P12.3.1.6</v>
      </c>
      <c r="B210" s="5" t="s">
        <v>977</v>
      </c>
      <c r="C210" s="416" t="s">
        <v>26</v>
      </c>
      <c r="D210" s="389" t="s">
        <v>789</v>
      </c>
      <c r="E210" s="389" t="s">
        <v>789</v>
      </c>
      <c r="F210" s="389" t="s">
        <v>789</v>
      </c>
      <c r="G210" s="390" t="s">
        <v>190</v>
      </c>
      <c r="H210" s="391" t="s">
        <v>975</v>
      </c>
      <c r="I210" s="16"/>
      <c r="J210" s="382"/>
    </row>
    <row r="211" spans="1:12" ht="19.95" customHeight="1">
      <c r="A211" s="387" t="str">
        <f t="shared" si="12"/>
        <v>App.7-V11H-P12.3.1.7</v>
      </c>
      <c r="B211" s="5" t="s">
        <v>978</v>
      </c>
      <c r="C211" s="416" t="s">
        <v>904</v>
      </c>
      <c r="D211" s="390" t="s">
        <v>190</v>
      </c>
      <c r="E211" s="390" t="s">
        <v>190</v>
      </c>
      <c r="F211" s="390" t="s">
        <v>190</v>
      </c>
      <c r="G211" s="391" t="s">
        <v>975</v>
      </c>
      <c r="H211" s="391" t="s">
        <v>975</v>
      </c>
      <c r="I211" s="16"/>
      <c r="J211" s="382"/>
    </row>
    <row r="212" spans="1:12" ht="19.95" customHeight="1">
      <c r="A212" s="387" t="str">
        <f t="shared" si="12"/>
        <v>App.7-V11H-P12.3.1.8</v>
      </c>
      <c r="B212" s="5" t="s">
        <v>979</v>
      </c>
      <c r="C212" s="416" t="s">
        <v>906</v>
      </c>
      <c r="D212" s="390" t="s">
        <v>190</v>
      </c>
      <c r="E212" s="390" t="s">
        <v>190</v>
      </c>
      <c r="F212" s="390" t="s">
        <v>190</v>
      </c>
      <c r="G212" s="391" t="s">
        <v>975</v>
      </c>
      <c r="H212" s="391" t="s">
        <v>975</v>
      </c>
      <c r="I212" s="16"/>
      <c r="J212" s="382"/>
    </row>
    <row r="213" spans="1:12" ht="19.95" customHeight="1" thickBot="1">
      <c r="A213" s="374" t="str">
        <f t="shared" si="12"/>
        <v>App.7-V11H-P12.3.1.9</v>
      </c>
      <c r="B213" s="375" t="s">
        <v>980</v>
      </c>
      <c r="C213" s="420" t="s">
        <v>908</v>
      </c>
      <c r="D213" s="392" t="s">
        <v>190</v>
      </c>
      <c r="E213" s="392" t="s">
        <v>190</v>
      </c>
      <c r="F213" s="392" t="s">
        <v>190</v>
      </c>
      <c r="G213" s="393" t="s">
        <v>975</v>
      </c>
      <c r="H213" s="375" t="s">
        <v>909</v>
      </c>
      <c r="I213" s="386"/>
      <c r="J213" s="385"/>
    </row>
    <row r="214" spans="1:12" ht="19.95" customHeight="1" thickBot="1"/>
    <row r="215" spans="1:12" ht="19.95" customHeight="1">
      <c r="A215" s="798" t="s">
        <v>2408</v>
      </c>
      <c r="B215" s="799"/>
      <c r="C215" s="799"/>
      <c r="D215" s="799"/>
      <c r="E215" s="799"/>
      <c r="F215" s="799"/>
      <c r="G215" s="799"/>
      <c r="H215" s="799"/>
      <c r="I215" s="799"/>
      <c r="J215" s="800"/>
    </row>
    <row r="216" spans="1:12" ht="25.2" customHeight="1">
      <c r="A216" s="792" t="s">
        <v>880</v>
      </c>
      <c r="B216" s="783" t="s">
        <v>881</v>
      </c>
      <c r="C216" s="793"/>
      <c r="D216" s="426" t="s">
        <v>882</v>
      </c>
      <c r="E216" s="426" t="s">
        <v>883</v>
      </c>
      <c r="F216" s="426" t="s">
        <v>884</v>
      </c>
      <c r="G216" s="426" t="s">
        <v>885</v>
      </c>
      <c r="H216" s="426" t="s">
        <v>886</v>
      </c>
      <c r="I216" s="16"/>
      <c r="J216" s="382"/>
    </row>
    <row r="217" spans="1:12" ht="25.2" customHeight="1">
      <c r="A217" s="782"/>
      <c r="B217" s="796"/>
      <c r="C217" s="794"/>
      <c r="D217" s="427" t="s">
        <v>889</v>
      </c>
      <c r="E217" s="427" t="s">
        <v>889</v>
      </c>
      <c r="F217" s="427" t="s">
        <v>890</v>
      </c>
      <c r="G217" s="427" t="s">
        <v>891</v>
      </c>
      <c r="H217" s="427" t="s">
        <v>892</v>
      </c>
      <c r="I217" s="16"/>
      <c r="J217" s="382"/>
    </row>
    <row r="218" spans="1:12" ht="19.95" customHeight="1">
      <c r="A218" s="387" t="str">
        <f t="shared" ref="A218:A226" si="13">CONCATENATE($A$2,"-",$B$2,"-",B218)</f>
        <v>App.7-V11H-P12.3.1.1</v>
      </c>
      <c r="B218" s="5" t="s">
        <v>969</v>
      </c>
      <c r="C218" s="416" t="s">
        <v>896</v>
      </c>
      <c r="D218" s="390" t="s">
        <v>190</v>
      </c>
      <c r="E218" s="390" t="s">
        <v>190</v>
      </c>
      <c r="F218" s="390" t="s">
        <v>190</v>
      </c>
      <c r="G218" s="390" t="s">
        <v>190</v>
      </c>
      <c r="H218" s="390" t="s">
        <v>190</v>
      </c>
      <c r="I218" s="16"/>
      <c r="J218" s="382"/>
      <c r="L218" s="423" t="s">
        <v>1697</v>
      </c>
    </row>
    <row r="219" spans="1:12" ht="19.95" customHeight="1">
      <c r="A219" s="387" t="str">
        <f t="shared" si="13"/>
        <v>App.7-V11H-P12.3.1.2</v>
      </c>
      <c r="B219" s="5" t="s">
        <v>971</v>
      </c>
      <c r="C219" s="416" t="s">
        <v>366</v>
      </c>
      <c r="D219" s="390" t="s">
        <v>190</v>
      </c>
      <c r="E219" s="390" t="s">
        <v>190</v>
      </c>
      <c r="F219" s="390" t="s">
        <v>190</v>
      </c>
      <c r="G219" s="390" t="s">
        <v>190</v>
      </c>
      <c r="H219" s="390" t="s">
        <v>190</v>
      </c>
      <c r="I219" s="16"/>
      <c r="J219" s="382"/>
      <c r="L219" s="423" t="s">
        <v>1635</v>
      </c>
    </row>
    <row r="220" spans="1:12" ht="19.95" customHeight="1">
      <c r="A220" s="387" t="str">
        <f t="shared" si="13"/>
        <v>App.7-V11H-P12.3.1.3</v>
      </c>
      <c r="B220" s="5" t="s">
        <v>973</v>
      </c>
      <c r="C220" s="416" t="s">
        <v>365</v>
      </c>
      <c r="D220" s="391" t="s">
        <v>975</v>
      </c>
      <c r="E220" s="391" t="s">
        <v>975</v>
      </c>
      <c r="F220" s="391" t="s">
        <v>975</v>
      </c>
      <c r="G220" s="391" t="s">
        <v>975</v>
      </c>
      <c r="H220" s="391" t="s">
        <v>975</v>
      </c>
      <c r="I220" s="16"/>
      <c r="J220" s="382"/>
      <c r="L220" s="423"/>
    </row>
    <row r="221" spans="1:12" ht="19.95" customHeight="1">
      <c r="A221" s="387" t="str">
        <f t="shared" si="13"/>
        <v>App.7-V11H-P12.3.1.4</v>
      </c>
      <c r="B221" s="5" t="s">
        <v>974</v>
      </c>
      <c r="C221" s="416" t="s">
        <v>180</v>
      </c>
      <c r="D221" s="391" t="s">
        <v>975</v>
      </c>
      <c r="E221" s="391" t="s">
        <v>975</v>
      </c>
      <c r="F221" s="391" t="s">
        <v>975</v>
      </c>
      <c r="G221" s="391" t="s">
        <v>975</v>
      </c>
      <c r="H221" s="391" t="s">
        <v>975</v>
      </c>
      <c r="I221" s="16"/>
      <c r="J221" s="382"/>
    </row>
    <row r="222" spans="1:12" ht="19.95" customHeight="1">
      <c r="A222" s="387" t="str">
        <f t="shared" si="13"/>
        <v>App.7-V11H-P12.3.1.5</v>
      </c>
      <c r="B222" s="5" t="s">
        <v>976</v>
      </c>
      <c r="C222" s="416" t="s">
        <v>179</v>
      </c>
      <c r="D222" s="391" t="s">
        <v>975</v>
      </c>
      <c r="E222" s="391" t="s">
        <v>975</v>
      </c>
      <c r="F222" s="391" t="s">
        <v>975</v>
      </c>
      <c r="G222" s="391" t="s">
        <v>975</v>
      </c>
      <c r="H222" s="391" t="s">
        <v>975</v>
      </c>
      <c r="I222" s="16"/>
      <c r="J222" s="382"/>
    </row>
    <row r="223" spans="1:12" ht="19.95" customHeight="1">
      <c r="A223" s="387" t="str">
        <f t="shared" si="13"/>
        <v>App.7-V11H-P12.3.1.6</v>
      </c>
      <c r="B223" s="5" t="s">
        <v>977</v>
      </c>
      <c r="C223" s="416" t="s">
        <v>26</v>
      </c>
      <c r="D223" s="391" t="s">
        <v>975</v>
      </c>
      <c r="E223" s="391" t="s">
        <v>975</v>
      </c>
      <c r="F223" s="5" t="s">
        <v>754</v>
      </c>
      <c r="G223" s="5" t="s">
        <v>754</v>
      </c>
      <c r="H223" s="5" t="s">
        <v>754</v>
      </c>
      <c r="I223" s="16"/>
      <c r="J223" s="382"/>
    </row>
    <row r="224" spans="1:12" ht="19.95" customHeight="1">
      <c r="A224" s="387" t="str">
        <f t="shared" si="13"/>
        <v>App.7-V11H-P12.3.1.7</v>
      </c>
      <c r="B224" s="5" t="s">
        <v>978</v>
      </c>
      <c r="C224" s="416" t="s">
        <v>904</v>
      </c>
      <c r="D224" s="5" t="s">
        <v>754</v>
      </c>
      <c r="E224" s="5" t="s">
        <v>754</v>
      </c>
      <c r="F224" s="5" t="s">
        <v>754</v>
      </c>
      <c r="G224" s="5" t="s">
        <v>754</v>
      </c>
      <c r="H224" s="5" t="s">
        <v>754</v>
      </c>
      <c r="I224" s="16"/>
      <c r="J224" s="382"/>
    </row>
    <row r="225" spans="1:10" ht="19.95" customHeight="1">
      <c r="A225" s="387" t="str">
        <f t="shared" si="13"/>
        <v>App.7-V11H-P12.3.1.8</v>
      </c>
      <c r="B225" s="5" t="s">
        <v>979</v>
      </c>
      <c r="C225" s="416" t="s">
        <v>906</v>
      </c>
      <c r="D225" s="5" t="s">
        <v>754</v>
      </c>
      <c r="E225" s="5" t="s">
        <v>754</v>
      </c>
      <c r="F225" s="5" t="s">
        <v>754</v>
      </c>
      <c r="G225" s="5" t="s">
        <v>754</v>
      </c>
      <c r="H225" s="5" t="s">
        <v>754</v>
      </c>
      <c r="I225" s="16"/>
      <c r="J225" s="382"/>
    </row>
    <row r="226" spans="1:10" ht="19.95" customHeight="1" thickBot="1">
      <c r="A226" s="374" t="str">
        <f t="shared" si="13"/>
        <v>App.7-V11H-P12.3.1.9</v>
      </c>
      <c r="B226" s="375" t="s">
        <v>980</v>
      </c>
      <c r="C226" s="420" t="s">
        <v>908</v>
      </c>
      <c r="D226" s="375" t="s">
        <v>754</v>
      </c>
      <c r="E226" s="375" t="s">
        <v>754</v>
      </c>
      <c r="F226" s="375" t="s">
        <v>754</v>
      </c>
      <c r="G226" s="375" t="s">
        <v>754</v>
      </c>
      <c r="H226" s="375" t="s">
        <v>909</v>
      </c>
      <c r="I226" s="386"/>
      <c r="J226" s="385"/>
    </row>
    <row r="227" spans="1:10" ht="19.95" customHeight="1">
      <c r="A227" s="505"/>
      <c r="B227" s="506"/>
      <c r="C227" s="507"/>
      <c r="D227" s="506"/>
      <c r="E227" s="506"/>
      <c r="F227" s="506"/>
      <c r="G227" s="506"/>
      <c r="H227" s="506"/>
      <c r="I227" s="16"/>
    </row>
    <row r="228" spans="1:10" ht="19.95" customHeight="1" thickBot="1">
      <c r="A228" s="784" t="s">
        <v>2409</v>
      </c>
      <c r="B228" s="785"/>
      <c r="C228" s="785"/>
      <c r="D228" s="785"/>
      <c r="E228" s="785"/>
      <c r="F228" s="785"/>
      <c r="G228" s="785"/>
      <c r="H228" s="785"/>
      <c r="I228" s="785"/>
      <c r="J228" s="786"/>
    </row>
    <row r="229" spans="1:10" ht="19.95" customHeight="1" thickBot="1">
      <c r="A229" s="789" t="s">
        <v>2410</v>
      </c>
      <c r="B229" s="790"/>
      <c r="C229" s="790"/>
      <c r="D229" s="790"/>
      <c r="E229" s="790"/>
      <c r="F229" s="790"/>
      <c r="G229" s="790"/>
      <c r="H229" s="790"/>
      <c r="I229" s="790"/>
      <c r="J229" s="791"/>
    </row>
    <row r="230" spans="1:10" ht="19.95" customHeight="1">
      <c r="A230" s="792" t="s">
        <v>880</v>
      </c>
      <c r="B230" s="770" t="s">
        <v>881</v>
      </c>
      <c r="C230" s="793"/>
      <c r="D230" s="787" t="s">
        <v>964</v>
      </c>
      <c r="I230" s="326"/>
      <c r="J230" s="382"/>
    </row>
    <row r="231" spans="1:10" ht="19.95" customHeight="1">
      <c r="A231" s="782"/>
      <c r="B231" s="783"/>
      <c r="C231" s="794"/>
      <c r="D231" s="788"/>
      <c r="I231" s="326"/>
      <c r="J231" s="382"/>
    </row>
    <row r="232" spans="1:10" ht="19.95" customHeight="1" thickBot="1">
      <c r="A232" s="374" t="str">
        <f>CONCATENATE($A$2,"-",$B$2,"-",B232)</f>
        <v>App.7-V11H-P13.3</v>
      </c>
      <c r="B232" s="375" t="s">
        <v>2411</v>
      </c>
      <c r="C232" s="428" t="s">
        <v>882</v>
      </c>
      <c r="D232" s="341" t="s">
        <v>975</v>
      </c>
      <c r="E232" s="386"/>
      <c r="F232" s="386"/>
      <c r="G232" s="386"/>
      <c r="H232" s="386"/>
      <c r="I232" s="345"/>
      <c r="J232" s="385"/>
    </row>
    <row r="233" spans="1:10" ht="19.95" customHeight="1" thickBot="1">
      <c r="A233" s="505"/>
      <c r="B233" s="506"/>
      <c r="C233" s="507"/>
      <c r="D233" s="506"/>
      <c r="E233" s="506"/>
      <c r="F233" s="506"/>
      <c r="G233" s="506"/>
      <c r="H233" s="506"/>
      <c r="I233" s="16"/>
    </row>
    <row r="234" spans="1:10" ht="19.95" customHeight="1" thickBot="1">
      <c r="A234" s="789" t="s">
        <v>2412</v>
      </c>
      <c r="B234" s="790"/>
      <c r="C234" s="790"/>
      <c r="D234" s="790"/>
      <c r="E234" s="790"/>
      <c r="F234" s="790"/>
      <c r="G234" s="790"/>
      <c r="H234" s="790"/>
      <c r="I234" s="790"/>
      <c r="J234" s="791"/>
    </row>
    <row r="235" spans="1:10" ht="19.95" customHeight="1">
      <c r="A235" s="792" t="s">
        <v>880</v>
      </c>
      <c r="B235" s="770" t="s">
        <v>881</v>
      </c>
      <c r="C235" s="793"/>
      <c r="D235" s="787" t="s">
        <v>964</v>
      </c>
      <c r="I235" s="326"/>
      <c r="J235" s="382"/>
    </row>
    <row r="236" spans="1:10" ht="19.95" customHeight="1">
      <c r="A236" s="782"/>
      <c r="B236" s="783"/>
      <c r="C236" s="794"/>
      <c r="D236" s="788"/>
      <c r="I236" s="326"/>
      <c r="J236" s="382"/>
    </row>
    <row r="237" spans="1:10" ht="19.95" customHeight="1" thickBot="1">
      <c r="A237" s="374" t="str">
        <f>CONCATENATE($A$2,"-",$B$2,"-",B237)</f>
        <v>App.7-V11H-P13.3</v>
      </c>
      <c r="B237" s="375" t="s">
        <v>2411</v>
      </c>
      <c r="C237" s="428" t="s">
        <v>882</v>
      </c>
      <c r="D237" s="341" t="s">
        <v>975</v>
      </c>
      <c r="E237" s="386"/>
      <c r="F237" s="386"/>
      <c r="G237" s="386"/>
      <c r="H237" s="386"/>
      <c r="I237" s="345"/>
      <c r="J237" s="385"/>
    </row>
    <row r="238" spans="1:10" ht="19.95" customHeight="1">
      <c r="A238" s="505"/>
      <c r="B238" s="506"/>
      <c r="C238" s="508"/>
      <c r="D238" s="509"/>
      <c r="I238" s="326"/>
    </row>
    <row r="239" spans="1:10" ht="19.95" customHeight="1" thickBot="1">
      <c r="A239" s="784" t="s">
        <v>1526</v>
      </c>
      <c r="B239" s="785"/>
      <c r="C239" s="785"/>
      <c r="D239" s="785"/>
      <c r="E239" s="785"/>
      <c r="F239" s="785"/>
      <c r="G239" s="785"/>
      <c r="H239" s="785"/>
      <c r="I239" s="785"/>
      <c r="J239" s="786"/>
    </row>
    <row r="240" spans="1:10" ht="19.95" customHeight="1">
      <c r="A240" s="781" t="s">
        <v>880</v>
      </c>
      <c r="B240" s="795" t="s">
        <v>881</v>
      </c>
      <c r="C240" s="797"/>
      <c r="D240" s="795" t="s">
        <v>1698</v>
      </c>
      <c r="E240" s="394"/>
      <c r="F240" s="394"/>
      <c r="G240" s="394"/>
      <c r="H240" s="394"/>
      <c r="I240" s="395"/>
      <c r="J240" s="396"/>
    </row>
    <row r="241" spans="1:10" ht="19.95" customHeight="1">
      <c r="A241" s="782"/>
      <c r="B241" s="796"/>
      <c r="C241" s="794"/>
      <c r="D241" s="796"/>
      <c r="J241" s="382"/>
    </row>
    <row r="242" spans="1:10" ht="19.95" customHeight="1">
      <c r="A242" s="814" t="str">
        <f t="shared" ref="A242" si="14">CONCATENATE($A$2,"-",$B$2,"-",B242)</f>
        <v>App.7-V11H-P10.1</v>
      </c>
      <c r="B242" s="693" t="s">
        <v>1699</v>
      </c>
      <c r="C242" s="755" t="s">
        <v>199</v>
      </c>
      <c r="D242" s="5" t="s">
        <v>1700</v>
      </c>
      <c r="J242" s="382"/>
    </row>
    <row r="243" spans="1:10" ht="19.95" customHeight="1">
      <c r="A243" s="814"/>
      <c r="B243" s="753"/>
      <c r="C243" s="755"/>
      <c r="D243" s="376" t="s">
        <v>365</v>
      </c>
      <c r="J243" s="382"/>
    </row>
    <row r="244" spans="1:10" ht="19.95" customHeight="1">
      <c r="A244" s="814"/>
      <c r="B244" s="753"/>
      <c r="C244" s="755"/>
      <c r="D244" s="376" t="s">
        <v>482</v>
      </c>
      <c r="J244" s="382"/>
    </row>
    <row r="245" spans="1:10" ht="19.95" customHeight="1" thickBot="1">
      <c r="A245" s="815"/>
      <c r="B245" s="754"/>
      <c r="C245" s="756"/>
      <c r="D245" s="341" t="s">
        <v>483</v>
      </c>
      <c r="E245" s="386"/>
      <c r="F245" s="386"/>
      <c r="G245" s="386"/>
      <c r="H245" s="386"/>
      <c r="I245" s="397"/>
      <c r="J245" s="385"/>
    </row>
    <row r="246" spans="1:10" ht="19.95" customHeight="1"/>
    <row r="247" spans="1:10" ht="30" customHeight="1">
      <c r="A247" s="750" t="s">
        <v>1701</v>
      </c>
      <c r="B247" s="751"/>
      <c r="C247" s="751"/>
      <c r="D247" s="751"/>
      <c r="E247" s="751"/>
      <c r="F247" s="751"/>
      <c r="G247" s="751"/>
      <c r="H247" s="751"/>
      <c r="I247" s="751"/>
      <c r="J247" s="752"/>
    </row>
    <row r="248" spans="1:10" ht="19.95" customHeight="1" thickBot="1">
      <c r="A248" s="16"/>
      <c r="B248" s="16"/>
      <c r="C248" s="16"/>
      <c r="I248" s="16"/>
    </row>
    <row r="249" spans="1:10" ht="25.2" customHeight="1">
      <c r="A249" s="801" t="s">
        <v>880</v>
      </c>
      <c r="B249" s="771"/>
      <c r="C249" s="769" t="s">
        <v>990</v>
      </c>
      <c r="D249" s="412" t="s">
        <v>882</v>
      </c>
      <c r="E249" s="412" t="s">
        <v>883</v>
      </c>
      <c r="F249" s="412" t="s">
        <v>884</v>
      </c>
      <c r="G249" s="412" t="s">
        <v>885</v>
      </c>
      <c r="H249" s="412" t="s">
        <v>886</v>
      </c>
      <c r="I249" s="342"/>
      <c r="J249" s="343"/>
    </row>
    <row r="250" spans="1:10" ht="25.2" customHeight="1">
      <c r="A250" s="802"/>
      <c r="B250" s="813"/>
      <c r="C250" s="783"/>
      <c r="D250" s="414" t="s">
        <v>889</v>
      </c>
      <c r="E250" s="414" t="s">
        <v>991</v>
      </c>
      <c r="F250" s="414" t="s">
        <v>890</v>
      </c>
      <c r="G250" s="414" t="s">
        <v>891</v>
      </c>
      <c r="H250" s="414" t="s">
        <v>892</v>
      </c>
      <c r="I250" s="325"/>
      <c r="J250" s="344"/>
    </row>
    <row r="251" spans="1:10" ht="19.95" customHeight="1">
      <c r="A251" s="763" t="str">
        <f>CONCATENATE($A$3,"-",$B$3,"-P10.3")</f>
        <v>App.8-V08H-P10.3</v>
      </c>
      <c r="B251" s="755" t="s">
        <v>992</v>
      </c>
      <c r="C251" s="429" t="s">
        <v>993</v>
      </c>
      <c r="D251" s="379" t="s">
        <v>323</v>
      </c>
      <c r="E251" s="379" t="s">
        <v>323</v>
      </c>
      <c r="F251" s="379" t="s">
        <v>323</v>
      </c>
      <c r="G251" s="398" t="s">
        <v>324</v>
      </c>
      <c r="H251" s="398" t="s">
        <v>324</v>
      </c>
      <c r="I251" s="325"/>
      <c r="J251" s="344"/>
    </row>
    <row r="252" spans="1:10" ht="19.95" customHeight="1">
      <c r="A252" s="764"/>
      <c r="B252" s="755"/>
      <c r="C252" s="429" t="s">
        <v>994</v>
      </c>
      <c r="D252" s="379" t="s">
        <v>323</v>
      </c>
      <c r="E252" s="379" t="s">
        <v>323</v>
      </c>
      <c r="F252" s="379" t="s">
        <v>323</v>
      </c>
      <c r="G252" s="398" t="s">
        <v>324</v>
      </c>
      <c r="H252" s="398" t="s">
        <v>324</v>
      </c>
      <c r="I252" s="325"/>
      <c r="J252" s="344"/>
    </row>
    <row r="253" spans="1:10" ht="19.95" customHeight="1">
      <c r="A253" s="764"/>
      <c r="B253" s="755"/>
      <c r="C253" s="429" t="s">
        <v>995</v>
      </c>
      <c r="D253" s="379" t="s">
        <v>323</v>
      </c>
      <c r="E253" s="379" t="s">
        <v>323</v>
      </c>
      <c r="F253" s="379" t="s">
        <v>323</v>
      </c>
      <c r="G253" s="398" t="s">
        <v>324</v>
      </c>
      <c r="H253" s="398" t="s">
        <v>324</v>
      </c>
      <c r="I253" s="325"/>
      <c r="J253" s="344"/>
    </row>
    <row r="254" spans="1:10" ht="19.95" customHeight="1">
      <c r="A254" s="764"/>
      <c r="B254" s="755"/>
      <c r="C254" s="429" t="s">
        <v>996</v>
      </c>
      <c r="D254" s="379" t="s">
        <v>323</v>
      </c>
      <c r="E254" s="379" t="s">
        <v>323</v>
      </c>
      <c r="F254" s="379" t="s">
        <v>323</v>
      </c>
      <c r="G254" s="398" t="s">
        <v>324</v>
      </c>
      <c r="H254" s="398" t="s">
        <v>324</v>
      </c>
      <c r="I254" s="325"/>
      <c r="J254" s="344"/>
    </row>
    <row r="255" spans="1:10" ht="19.95" customHeight="1">
      <c r="A255" s="764"/>
      <c r="B255" s="755" t="s">
        <v>997</v>
      </c>
      <c r="C255" s="429" t="s">
        <v>993</v>
      </c>
      <c r="D255" s="379" t="s">
        <v>323</v>
      </c>
      <c r="E255" s="379" t="s">
        <v>323</v>
      </c>
      <c r="F255" s="398" t="s">
        <v>324</v>
      </c>
      <c r="G255" s="398" t="s">
        <v>324</v>
      </c>
      <c r="H255" s="399" t="s">
        <v>998</v>
      </c>
      <c r="I255" s="325"/>
      <c r="J255" s="344"/>
    </row>
    <row r="256" spans="1:10" ht="19.95" customHeight="1">
      <c r="A256" s="764"/>
      <c r="B256" s="755"/>
      <c r="C256" s="429" t="s">
        <v>994</v>
      </c>
      <c r="D256" s="379" t="s">
        <v>323</v>
      </c>
      <c r="E256" s="379" t="s">
        <v>323</v>
      </c>
      <c r="F256" s="398" t="s">
        <v>324</v>
      </c>
      <c r="G256" s="398" t="s">
        <v>324</v>
      </c>
      <c r="H256" s="399" t="s">
        <v>998</v>
      </c>
      <c r="I256" s="325"/>
      <c r="J256" s="344"/>
    </row>
    <row r="257" spans="1:10" ht="19.95" customHeight="1">
      <c r="A257" s="764"/>
      <c r="B257" s="755"/>
      <c r="C257" s="429" t="s">
        <v>995</v>
      </c>
      <c r="D257" s="379" t="s">
        <v>323</v>
      </c>
      <c r="E257" s="379" t="s">
        <v>323</v>
      </c>
      <c r="F257" s="398" t="s">
        <v>324</v>
      </c>
      <c r="G257" s="398" t="s">
        <v>324</v>
      </c>
      <c r="H257" s="399" t="s">
        <v>998</v>
      </c>
      <c r="I257" s="325"/>
      <c r="J257" s="344"/>
    </row>
    <row r="258" spans="1:10" ht="19.95" customHeight="1">
      <c r="A258" s="764"/>
      <c r="B258" s="755"/>
      <c r="C258" s="429" t="s">
        <v>996</v>
      </c>
      <c r="D258" s="379" t="s">
        <v>323</v>
      </c>
      <c r="E258" s="379" t="s">
        <v>323</v>
      </c>
      <c r="F258" s="398" t="s">
        <v>324</v>
      </c>
      <c r="G258" s="398" t="s">
        <v>324</v>
      </c>
      <c r="H258" s="399" t="s">
        <v>998</v>
      </c>
      <c r="I258" s="325"/>
      <c r="J258" s="344"/>
    </row>
    <row r="259" spans="1:10" ht="19.95" customHeight="1">
      <c r="A259" s="764"/>
      <c r="B259" s="755" t="s">
        <v>999</v>
      </c>
      <c r="C259" s="429" t="s">
        <v>993</v>
      </c>
      <c r="D259" s="400" t="s">
        <v>325</v>
      </c>
      <c r="E259" s="400" t="s">
        <v>325</v>
      </c>
      <c r="F259" s="378" t="s">
        <v>1000</v>
      </c>
      <c r="G259" s="378" t="s">
        <v>1000</v>
      </c>
      <c r="H259" s="399" t="s">
        <v>998</v>
      </c>
      <c r="I259" s="325"/>
      <c r="J259" s="344"/>
    </row>
    <row r="260" spans="1:10" ht="19.95" customHeight="1">
      <c r="A260" s="764"/>
      <c r="B260" s="755"/>
      <c r="C260" s="429" t="s">
        <v>994</v>
      </c>
      <c r="D260" s="400" t="s">
        <v>325</v>
      </c>
      <c r="E260" s="400" t="s">
        <v>325</v>
      </c>
      <c r="F260" s="378" t="s">
        <v>1000</v>
      </c>
      <c r="G260" s="378" t="s">
        <v>1000</v>
      </c>
      <c r="H260" s="399" t="s">
        <v>998</v>
      </c>
      <c r="I260" s="325"/>
      <c r="J260" s="344"/>
    </row>
    <row r="261" spans="1:10" ht="19.95" customHeight="1">
      <c r="A261" s="764"/>
      <c r="B261" s="755"/>
      <c r="C261" s="429" t="s">
        <v>995</v>
      </c>
      <c r="D261" s="400" t="s">
        <v>325</v>
      </c>
      <c r="E261" s="400" t="s">
        <v>325</v>
      </c>
      <c r="F261" s="378" t="s">
        <v>1000</v>
      </c>
      <c r="G261" s="378" t="s">
        <v>1000</v>
      </c>
      <c r="H261" s="399" t="s">
        <v>998</v>
      </c>
      <c r="I261" s="325"/>
      <c r="J261" s="344"/>
    </row>
    <row r="262" spans="1:10" ht="19.95" customHeight="1">
      <c r="A262" s="764"/>
      <c r="B262" s="755"/>
      <c r="C262" s="429" t="s">
        <v>996</v>
      </c>
      <c r="D262" s="400" t="s">
        <v>325</v>
      </c>
      <c r="E262" s="400" t="s">
        <v>325</v>
      </c>
      <c r="F262" s="378" t="s">
        <v>1000</v>
      </c>
      <c r="G262" s="378" t="s">
        <v>1000</v>
      </c>
      <c r="H262" s="399" t="s">
        <v>998</v>
      </c>
      <c r="I262" s="325"/>
      <c r="J262" s="344"/>
    </row>
    <row r="263" spans="1:10" ht="19.95" customHeight="1">
      <c r="A263" s="764"/>
      <c r="B263" s="755" t="s">
        <v>1001</v>
      </c>
      <c r="C263" s="429" t="s">
        <v>993</v>
      </c>
      <c r="D263" s="399" t="s">
        <v>998</v>
      </c>
      <c r="E263" s="399" t="s">
        <v>998</v>
      </c>
      <c r="F263" s="399" t="s">
        <v>998</v>
      </c>
      <c r="G263" s="399" t="s">
        <v>998</v>
      </c>
      <c r="H263" s="399" t="s">
        <v>998</v>
      </c>
      <c r="I263" s="325"/>
      <c r="J263" s="344"/>
    </row>
    <row r="264" spans="1:10" ht="19.95" customHeight="1">
      <c r="A264" s="764"/>
      <c r="B264" s="755"/>
      <c r="C264" s="429" t="s">
        <v>994</v>
      </c>
      <c r="D264" s="399" t="s">
        <v>998</v>
      </c>
      <c r="E264" s="399" t="s">
        <v>998</v>
      </c>
      <c r="F264" s="399" t="s">
        <v>998</v>
      </c>
      <c r="G264" s="399" t="s">
        <v>998</v>
      </c>
      <c r="H264" s="399" t="s">
        <v>998</v>
      </c>
      <c r="I264" s="325"/>
      <c r="J264" s="344"/>
    </row>
    <row r="265" spans="1:10" ht="19.95" customHeight="1">
      <c r="A265" s="764"/>
      <c r="B265" s="755"/>
      <c r="C265" s="429" t="s">
        <v>995</v>
      </c>
      <c r="D265" s="399" t="s">
        <v>998</v>
      </c>
      <c r="E265" s="399" t="s">
        <v>998</v>
      </c>
      <c r="F265" s="399" t="s">
        <v>998</v>
      </c>
      <c r="G265" s="399" t="s">
        <v>998</v>
      </c>
      <c r="H265" s="399" t="s">
        <v>998</v>
      </c>
      <c r="I265" s="325"/>
      <c r="J265" s="344"/>
    </row>
    <row r="266" spans="1:10" ht="19.95" customHeight="1">
      <c r="A266" s="764"/>
      <c r="B266" s="755"/>
      <c r="C266" s="429" t="s">
        <v>996</v>
      </c>
      <c r="D266" s="399" t="s">
        <v>998</v>
      </c>
      <c r="E266" s="399" t="s">
        <v>998</v>
      </c>
      <c r="F266" s="399" t="s">
        <v>998</v>
      </c>
      <c r="G266" s="399" t="s">
        <v>998</v>
      </c>
      <c r="H266" s="399" t="s">
        <v>998</v>
      </c>
      <c r="I266" s="325"/>
      <c r="J266" s="344"/>
    </row>
    <row r="267" spans="1:10" ht="19.95" customHeight="1">
      <c r="A267" s="764"/>
      <c r="B267" s="755"/>
      <c r="C267" s="429" t="s">
        <v>1002</v>
      </c>
      <c r="D267" s="401" t="s">
        <v>998</v>
      </c>
      <c r="E267" s="401" t="s">
        <v>998</v>
      </c>
      <c r="F267" s="401" t="s">
        <v>998</v>
      </c>
      <c r="G267" s="401" t="s">
        <v>998</v>
      </c>
      <c r="H267" s="401" t="s">
        <v>998</v>
      </c>
      <c r="I267" s="325"/>
      <c r="J267" s="344"/>
    </row>
    <row r="268" spans="1:10" ht="19.95" customHeight="1">
      <c r="A268" s="764"/>
      <c r="B268" s="755" t="s">
        <v>1003</v>
      </c>
      <c r="C268" s="429" t="s">
        <v>993</v>
      </c>
      <c r="D268" s="402" t="s">
        <v>1289</v>
      </c>
      <c r="E268" s="402" t="s">
        <v>1289</v>
      </c>
      <c r="F268" s="402" t="s">
        <v>1289</v>
      </c>
      <c r="G268" s="402" t="s">
        <v>1289</v>
      </c>
      <c r="H268" s="402" t="s">
        <v>1289</v>
      </c>
      <c r="I268" s="326"/>
      <c r="J268" s="344"/>
    </row>
    <row r="269" spans="1:10" ht="19.95" customHeight="1">
      <c r="A269" s="764"/>
      <c r="B269" s="755"/>
      <c r="C269" s="429" t="s">
        <v>994</v>
      </c>
      <c r="D269" s="402" t="s">
        <v>1289</v>
      </c>
      <c r="E269" s="402" t="s">
        <v>1289</v>
      </c>
      <c r="F269" s="402" t="s">
        <v>1289</v>
      </c>
      <c r="G269" s="402" t="s">
        <v>1289</v>
      </c>
      <c r="H269" s="402" t="s">
        <v>1289</v>
      </c>
      <c r="I269" s="326"/>
      <c r="J269" s="344"/>
    </row>
    <row r="270" spans="1:10" ht="19.95" customHeight="1">
      <c r="A270" s="764"/>
      <c r="B270" s="755"/>
      <c r="C270" s="429" t="s">
        <v>995</v>
      </c>
      <c r="D270" s="402" t="s">
        <v>1289</v>
      </c>
      <c r="E270" s="402" t="s">
        <v>1289</v>
      </c>
      <c r="F270" s="402" t="s">
        <v>1289</v>
      </c>
      <c r="G270" s="402" t="s">
        <v>1289</v>
      </c>
      <c r="H270" s="402" t="s">
        <v>1289</v>
      </c>
      <c r="I270" s="326"/>
      <c r="J270" s="344"/>
    </row>
    <row r="271" spans="1:10" ht="19.95" customHeight="1">
      <c r="A271" s="764"/>
      <c r="B271" s="755"/>
      <c r="C271" s="429" t="s">
        <v>996</v>
      </c>
      <c r="D271" s="402" t="s">
        <v>1289</v>
      </c>
      <c r="E271" s="402" t="s">
        <v>1289</v>
      </c>
      <c r="F271" s="402" t="s">
        <v>1289</v>
      </c>
      <c r="G271" s="402" t="s">
        <v>1289</v>
      </c>
      <c r="H271" s="402" t="s">
        <v>1289</v>
      </c>
      <c r="I271" s="326"/>
      <c r="J271" s="344"/>
    </row>
    <row r="272" spans="1:10" ht="19.95" customHeight="1">
      <c r="A272" s="764"/>
      <c r="B272" s="755"/>
      <c r="C272" s="429" t="s">
        <v>1002</v>
      </c>
      <c r="D272" s="402" t="s">
        <v>1289</v>
      </c>
      <c r="E272" s="402" t="s">
        <v>1289</v>
      </c>
      <c r="F272" s="402" t="s">
        <v>1289</v>
      </c>
      <c r="G272" s="402" t="s">
        <v>1289</v>
      </c>
      <c r="H272" s="402" t="s">
        <v>1289</v>
      </c>
      <c r="I272" s="326"/>
      <c r="J272" s="344"/>
    </row>
    <row r="273" spans="1:10" ht="19.95" customHeight="1">
      <c r="A273" s="764"/>
      <c r="B273" s="766" t="s">
        <v>1288</v>
      </c>
      <c r="C273" s="429" t="s">
        <v>993</v>
      </c>
      <c r="D273" s="403" t="s">
        <v>1290</v>
      </c>
      <c r="E273" s="403" t="s">
        <v>1290</v>
      </c>
      <c r="F273" s="403" t="s">
        <v>1290</v>
      </c>
      <c r="G273" s="403" t="s">
        <v>1290</v>
      </c>
      <c r="H273" s="403" t="s">
        <v>1290</v>
      </c>
      <c r="I273" s="326"/>
      <c r="J273" s="344"/>
    </row>
    <row r="274" spans="1:10" ht="19.95" customHeight="1">
      <c r="A274" s="764"/>
      <c r="B274" s="767"/>
      <c r="C274" s="429" t="s">
        <v>994</v>
      </c>
      <c r="D274" s="403" t="s">
        <v>1290</v>
      </c>
      <c r="E274" s="403" t="s">
        <v>1290</v>
      </c>
      <c r="F274" s="403" t="s">
        <v>1290</v>
      </c>
      <c r="G274" s="403" t="s">
        <v>1290</v>
      </c>
      <c r="H274" s="403" t="s">
        <v>1290</v>
      </c>
      <c r="I274" s="326"/>
      <c r="J274" s="344"/>
    </row>
    <row r="275" spans="1:10" ht="19.95" customHeight="1">
      <c r="A275" s="764"/>
      <c r="B275" s="767"/>
      <c r="C275" s="429" t="s">
        <v>995</v>
      </c>
      <c r="D275" s="403" t="s">
        <v>1290</v>
      </c>
      <c r="E275" s="403" t="s">
        <v>1290</v>
      </c>
      <c r="F275" s="403" t="s">
        <v>1290</v>
      </c>
      <c r="G275" s="403" t="s">
        <v>1290</v>
      </c>
      <c r="H275" s="403" t="s">
        <v>1290</v>
      </c>
      <c r="I275" s="326"/>
      <c r="J275" s="344"/>
    </row>
    <row r="276" spans="1:10" ht="19.95" customHeight="1">
      <c r="A276" s="764"/>
      <c r="B276" s="767"/>
      <c r="C276" s="429" t="s">
        <v>996</v>
      </c>
      <c r="D276" s="403" t="s">
        <v>1290</v>
      </c>
      <c r="E276" s="403" t="s">
        <v>1290</v>
      </c>
      <c r="F276" s="403" t="s">
        <v>1290</v>
      </c>
      <c r="G276" s="403" t="s">
        <v>1290</v>
      </c>
      <c r="H276" s="403" t="s">
        <v>1290</v>
      </c>
      <c r="I276" s="326"/>
      <c r="J276" s="344"/>
    </row>
    <row r="277" spans="1:10" ht="19.95" customHeight="1">
      <c r="A277" s="764"/>
      <c r="B277" s="767"/>
      <c r="C277" s="429" t="s">
        <v>1002</v>
      </c>
      <c r="D277" s="403" t="s">
        <v>1290</v>
      </c>
      <c r="E277" s="403" t="s">
        <v>1290</v>
      </c>
      <c r="F277" s="403" t="s">
        <v>1290</v>
      </c>
      <c r="G277" s="403" t="s">
        <v>1290</v>
      </c>
      <c r="H277" s="403" t="s">
        <v>1290</v>
      </c>
      <c r="I277" s="326"/>
      <c r="J277" s="344"/>
    </row>
    <row r="278" spans="1:10" ht="19.95" customHeight="1">
      <c r="A278" s="764"/>
      <c r="B278" s="767"/>
      <c r="C278" s="429" t="s">
        <v>1286</v>
      </c>
      <c r="D278" s="403" t="s">
        <v>1290</v>
      </c>
      <c r="E278" s="403" t="s">
        <v>1290</v>
      </c>
      <c r="F278" s="403" t="s">
        <v>1290</v>
      </c>
      <c r="G278" s="403" t="s">
        <v>1290</v>
      </c>
      <c r="H278" s="403" t="s">
        <v>1290</v>
      </c>
      <c r="I278" s="326"/>
      <c r="J278" s="344"/>
    </row>
    <row r="279" spans="1:10" ht="19.95" customHeight="1">
      <c r="A279" s="764"/>
      <c r="B279" s="768"/>
      <c r="C279" s="429" t="s">
        <v>1287</v>
      </c>
      <c r="D279" s="403" t="s">
        <v>1290</v>
      </c>
      <c r="E279" s="403" t="s">
        <v>1290</v>
      </c>
      <c r="F279" s="403" t="s">
        <v>1290</v>
      </c>
      <c r="G279" s="403" t="s">
        <v>1290</v>
      </c>
      <c r="H279" s="403" t="s">
        <v>1290</v>
      </c>
      <c r="I279" s="326"/>
      <c r="J279" s="344"/>
    </row>
    <row r="280" spans="1:10" ht="19.95" customHeight="1">
      <c r="A280" s="764"/>
      <c r="B280" s="755" t="s">
        <v>1285</v>
      </c>
      <c r="C280" s="429" t="s">
        <v>993</v>
      </c>
      <c r="D280" s="71" t="s">
        <v>1192</v>
      </c>
      <c r="E280" s="71" t="s">
        <v>1192</v>
      </c>
      <c r="F280" s="71" t="s">
        <v>1192</v>
      </c>
      <c r="G280" s="71" t="s">
        <v>1192</v>
      </c>
      <c r="H280" s="71" t="s">
        <v>1192</v>
      </c>
      <c r="I280" s="326"/>
      <c r="J280" s="344"/>
    </row>
    <row r="281" spans="1:10" ht="19.95" customHeight="1">
      <c r="A281" s="764"/>
      <c r="B281" s="755"/>
      <c r="C281" s="429" t="s">
        <v>994</v>
      </c>
      <c r="D281" s="71" t="s">
        <v>1192</v>
      </c>
      <c r="E281" s="71" t="s">
        <v>1192</v>
      </c>
      <c r="F281" s="71" t="s">
        <v>1192</v>
      </c>
      <c r="G281" s="71" t="s">
        <v>1192</v>
      </c>
      <c r="H281" s="71" t="s">
        <v>1192</v>
      </c>
      <c r="I281" s="326"/>
      <c r="J281" s="344"/>
    </row>
    <row r="282" spans="1:10" ht="19.95" customHeight="1">
      <c r="A282" s="764"/>
      <c r="B282" s="755"/>
      <c r="C282" s="429" t="s">
        <v>995</v>
      </c>
      <c r="D282" s="71" t="s">
        <v>1192</v>
      </c>
      <c r="E282" s="71" t="s">
        <v>1192</v>
      </c>
      <c r="F282" s="71" t="s">
        <v>1192</v>
      </c>
      <c r="G282" s="71" t="s">
        <v>1192</v>
      </c>
      <c r="H282" s="71" t="s">
        <v>1192</v>
      </c>
      <c r="I282" s="326"/>
      <c r="J282" s="344"/>
    </row>
    <row r="283" spans="1:10" ht="19.95" customHeight="1">
      <c r="A283" s="764"/>
      <c r="B283" s="755"/>
      <c r="C283" s="429" t="s">
        <v>996</v>
      </c>
      <c r="D283" s="71" t="s">
        <v>1192</v>
      </c>
      <c r="E283" s="71" t="s">
        <v>1192</v>
      </c>
      <c r="F283" s="71" t="s">
        <v>1192</v>
      </c>
      <c r="G283" s="71" t="s">
        <v>1192</v>
      </c>
      <c r="H283" s="71" t="s">
        <v>1192</v>
      </c>
      <c r="I283" s="326"/>
      <c r="J283" s="344"/>
    </row>
    <row r="284" spans="1:10" ht="19.95" customHeight="1" thickBot="1">
      <c r="A284" s="765"/>
      <c r="B284" s="756"/>
      <c r="C284" s="430" t="s">
        <v>1002</v>
      </c>
      <c r="D284" s="404" t="s">
        <v>1192</v>
      </c>
      <c r="E284" s="404" t="s">
        <v>1192</v>
      </c>
      <c r="F284" s="404" t="s">
        <v>1192</v>
      </c>
      <c r="G284" s="404" t="s">
        <v>1192</v>
      </c>
      <c r="H284" s="404" t="s">
        <v>1192</v>
      </c>
      <c r="I284" s="345"/>
      <c r="J284" s="346"/>
    </row>
    <row r="285" spans="1:10" ht="19.95" customHeight="1"/>
    <row r="286" spans="1:10" ht="19.95" customHeight="1" thickBot="1">
      <c r="A286" s="784" t="s">
        <v>1707</v>
      </c>
      <c r="B286" s="785"/>
      <c r="C286" s="785"/>
      <c r="D286" s="785"/>
      <c r="E286" s="785"/>
      <c r="F286" s="785"/>
      <c r="G286" s="785"/>
      <c r="H286" s="785"/>
      <c r="I286" s="785"/>
      <c r="J286" s="786"/>
    </row>
    <row r="287" spans="1:10" ht="25.2" customHeight="1">
      <c r="A287" s="801" t="s">
        <v>880</v>
      </c>
      <c r="B287" s="771"/>
      <c r="C287" s="769" t="s">
        <v>990</v>
      </c>
      <c r="D287" s="412" t="s">
        <v>882</v>
      </c>
      <c r="E287" s="412" t="s">
        <v>883</v>
      </c>
      <c r="F287" s="412" t="s">
        <v>884</v>
      </c>
      <c r="G287" s="412" t="s">
        <v>885</v>
      </c>
      <c r="H287" s="412" t="s">
        <v>886</v>
      </c>
      <c r="I287" s="347"/>
      <c r="J287" s="396"/>
    </row>
    <row r="288" spans="1:10" ht="25.2" customHeight="1" thickBot="1">
      <c r="A288" s="802"/>
      <c r="B288" s="772"/>
      <c r="C288" s="770"/>
      <c r="D288" s="431" t="s">
        <v>889</v>
      </c>
      <c r="E288" s="431" t="s">
        <v>991</v>
      </c>
      <c r="F288" s="431" t="s">
        <v>890</v>
      </c>
      <c r="G288" s="431" t="s">
        <v>891</v>
      </c>
      <c r="H288" s="431" t="s">
        <v>892</v>
      </c>
      <c r="I288" s="73"/>
      <c r="J288" s="382"/>
    </row>
    <row r="289" spans="1:10" ht="19.95" customHeight="1">
      <c r="A289" s="803" t="str">
        <f>CONCATENATE($A$3,"-",$B$3,"-P10.3.2")</f>
        <v>App.8-V08H-P10.3.2</v>
      </c>
      <c r="B289" s="755" t="s">
        <v>992</v>
      </c>
      <c r="C289" s="429" t="s">
        <v>993</v>
      </c>
      <c r="D289" s="403" t="s">
        <v>1290</v>
      </c>
      <c r="E289" s="403" t="s">
        <v>1290</v>
      </c>
      <c r="F289" s="403" t="s">
        <v>1290</v>
      </c>
      <c r="G289" s="403" t="s">
        <v>1290</v>
      </c>
      <c r="H289" s="403" t="s">
        <v>1290</v>
      </c>
      <c r="J289" s="382"/>
    </row>
    <row r="290" spans="1:10" ht="19.95" customHeight="1">
      <c r="A290" s="804"/>
      <c r="B290" s="755"/>
      <c r="C290" s="429" t="s">
        <v>994</v>
      </c>
      <c r="D290" s="403" t="s">
        <v>1290</v>
      </c>
      <c r="E290" s="403" t="s">
        <v>1290</v>
      </c>
      <c r="F290" s="403" t="s">
        <v>1290</v>
      </c>
      <c r="G290" s="403" t="s">
        <v>1290</v>
      </c>
      <c r="H290" s="403" t="s">
        <v>1290</v>
      </c>
      <c r="J290" s="382"/>
    </row>
    <row r="291" spans="1:10" ht="19.95" customHeight="1">
      <c r="A291" s="804"/>
      <c r="B291" s="755"/>
      <c r="C291" s="429" t="s">
        <v>995</v>
      </c>
      <c r="D291" s="403" t="s">
        <v>1290</v>
      </c>
      <c r="E291" s="403" t="s">
        <v>1290</v>
      </c>
      <c r="F291" s="403" t="s">
        <v>1290</v>
      </c>
      <c r="G291" s="403" t="s">
        <v>1290</v>
      </c>
      <c r="H291" s="403" t="s">
        <v>1290</v>
      </c>
      <c r="J291" s="382"/>
    </row>
    <row r="292" spans="1:10" ht="19.95" customHeight="1">
      <c r="A292" s="804"/>
      <c r="B292" s="755"/>
      <c r="C292" s="429" t="s">
        <v>996</v>
      </c>
      <c r="D292" s="403" t="s">
        <v>1290</v>
      </c>
      <c r="E292" s="403" t="s">
        <v>1290</v>
      </c>
      <c r="F292" s="403" t="s">
        <v>1290</v>
      </c>
      <c r="G292" s="403" t="s">
        <v>1290</v>
      </c>
      <c r="H292" s="403" t="s">
        <v>1290</v>
      </c>
      <c r="J292" s="382"/>
    </row>
    <row r="293" spans="1:10" ht="19.95" customHeight="1">
      <c r="A293" s="804"/>
      <c r="B293" s="755" t="s">
        <v>997</v>
      </c>
      <c r="C293" s="429" t="s">
        <v>993</v>
      </c>
      <c r="D293" s="403" t="s">
        <v>1290</v>
      </c>
      <c r="E293" s="403" t="s">
        <v>1290</v>
      </c>
      <c r="F293" s="403" t="s">
        <v>1290</v>
      </c>
      <c r="G293" s="403" t="s">
        <v>1290</v>
      </c>
      <c r="H293" s="403" t="s">
        <v>1290</v>
      </c>
      <c r="J293" s="382"/>
    </row>
    <row r="294" spans="1:10" ht="19.95" customHeight="1">
      <c r="A294" s="804"/>
      <c r="B294" s="755"/>
      <c r="C294" s="429" t="s">
        <v>994</v>
      </c>
      <c r="D294" s="403" t="s">
        <v>1290</v>
      </c>
      <c r="E294" s="403" t="s">
        <v>1290</v>
      </c>
      <c r="F294" s="403" t="s">
        <v>1290</v>
      </c>
      <c r="G294" s="403" t="s">
        <v>1290</v>
      </c>
      <c r="H294" s="403" t="s">
        <v>1290</v>
      </c>
      <c r="J294" s="382"/>
    </row>
    <row r="295" spans="1:10" ht="19.95" customHeight="1">
      <c r="A295" s="804"/>
      <c r="B295" s="755"/>
      <c r="C295" s="429" t="s">
        <v>995</v>
      </c>
      <c r="D295" s="403" t="s">
        <v>1290</v>
      </c>
      <c r="E295" s="403" t="s">
        <v>1290</v>
      </c>
      <c r="F295" s="403" t="s">
        <v>1290</v>
      </c>
      <c r="G295" s="403" t="s">
        <v>1290</v>
      </c>
      <c r="H295" s="403" t="s">
        <v>1290</v>
      </c>
      <c r="J295" s="382"/>
    </row>
    <row r="296" spans="1:10" ht="19.95" customHeight="1">
      <c r="A296" s="804"/>
      <c r="B296" s="755"/>
      <c r="C296" s="429" t="s">
        <v>996</v>
      </c>
      <c r="D296" s="403" t="s">
        <v>1290</v>
      </c>
      <c r="E296" s="403" t="s">
        <v>1290</v>
      </c>
      <c r="F296" s="403" t="s">
        <v>1290</v>
      </c>
      <c r="G296" s="403" t="s">
        <v>1290</v>
      </c>
      <c r="H296" s="403" t="s">
        <v>1290</v>
      </c>
      <c r="J296" s="382"/>
    </row>
    <row r="297" spans="1:10" ht="19.95" customHeight="1">
      <c r="A297" s="804"/>
      <c r="B297" s="755" t="s">
        <v>999</v>
      </c>
      <c r="C297" s="429" t="s">
        <v>993</v>
      </c>
      <c r="D297" s="403" t="s">
        <v>1290</v>
      </c>
      <c r="E297" s="403" t="s">
        <v>1290</v>
      </c>
      <c r="F297" s="403" t="s">
        <v>1290</v>
      </c>
      <c r="G297" s="403" t="s">
        <v>1290</v>
      </c>
      <c r="H297" s="403" t="s">
        <v>1290</v>
      </c>
      <c r="J297" s="382"/>
    </row>
    <row r="298" spans="1:10" ht="19.95" customHeight="1">
      <c r="A298" s="804"/>
      <c r="B298" s="755"/>
      <c r="C298" s="429" t="s">
        <v>994</v>
      </c>
      <c r="D298" s="403" t="s">
        <v>1290</v>
      </c>
      <c r="E298" s="403" t="s">
        <v>1290</v>
      </c>
      <c r="F298" s="403" t="s">
        <v>1290</v>
      </c>
      <c r="G298" s="403" t="s">
        <v>1290</v>
      </c>
      <c r="H298" s="403" t="s">
        <v>1290</v>
      </c>
      <c r="J298" s="382"/>
    </row>
    <row r="299" spans="1:10" ht="19.95" customHeight="1">
      <c r="A299" s="804"/>
      <c r="B299" s="755"/>
      <c r="C299" s="429" t="s">
        <v>995</v>
      </c>
      <c r="D299" s="403" t="s">
        <v>1290</v>
      </c>
      <c r="E299" s="403" t="s">
        <v>1290</v>
      </c>
      <c r="F299" s="403" t="s">
        <v>1290</v>
      </c>
      <c r="G299" s="403" t="s">
        <v>1290</v>
      </c>
      <c r="H299" s="403" t="s">
        <v>1290</v>
      </c>
      <c r="J299" s="382"/>
    </row>
    <row r="300" spans="1:10" ht="19.95" customHeight="1">
      <c r="A300" s="804"/>
      <c r="B300" s="755"/>
      <c r="C300" s="429" t="s">
        <v>996</v>
      </c>
      <c r="D300" s="403" t="s">
        <v>1290</v>
      </c>
      <c r="E300" s="403" t="s">
        <v>1290</v>
      </c>
      <c r="F300" s="403" t="s">
        <v>1290</v>
      </c>
      <c r="G300" s="403" t="s">
        <v>1290</v>
      </c>
      <c r="H300" s="403" t="s">
        <v>1290</v>
      </c>
      <c r="J300" s="382"/>
    </row>
    <row r="301" spans="1:10" ht="19.95" customHeight="1">
      <c r="A301" s="804"/>
      <c r="B301" s="755" t="s">
        <v>1001</v>
      </c>
      <c r="C301" s="429" t="s">
        <v>993</v>
      </c>
      <c r="D301" s="403" t="s">
        <v>1290</v>
      </c>
      <c r="E301" s="403" t="s">
        <v>1290</v>
      </c>
      <c r="F301" s="403" t="s">
        <v>1290</v>
      </c>
      <c r="G301" s="403" t="s">
        <v>1290</v>
      </c>
      <c r="H301" s="403" t="s">
        <v>1290</v>
      </c>
      <c r="J301" s="382"/>
    </row>
    <row r="302" spans="1:10" ht="19.95" customHeight="1">
      <c r="A302" s="804"/>
      <c r="B302" s="755"/>
      <c r="C302" s="429" t="s">
        <v>994</v>
      </c>
      <c r="D302" s="403" t="s">
        <v>1290</v>
      </c>
      <c r="E302" s="403" t="s">
        <v>1290</v>
      </c>
      <c r="F302" s="403" t="s">
        <v>1290</v>
      </c>
      <c r="G302" s="403" t="s">
        <v>1290</v>
      </c>
      <c r="H302" s="403" t="s">
        <v>1290</v>
      </c>
      <c r="J302" s="382"/>
    </row>
    <row r="303" spans="1:10" ht="19.95" customHeight="1">
      <c r="A303" s="804"/>
      <c r="B303" s="755"/>
      <c r="C303" s="429" t="s">
        <v>995</v>
      </c>
      <c r="D303" s="403" t="s">
        <v>1290</v>
      </c>
      <c r="E303" s="403" t="s">
        <v>1290</v>
      </c>
      <c r="F303" s="403" t="s">
        <v>1290</v>
      </c>
      <c r="G303" s="403" t="s">
        <v>1290</v>
      </c>
      <c r="H303" s="403" t="s">
        <v>1290</v>
      </c>
      <c r="J303" s="382"/>
    </row>
    <row r="304" spans="1:10" ht="19.95" customHeight="1">
      <c r="A304" s="804"/>
      <c r="B304" s="755"/>
      <c r="C304" s="429" t="s">
        <v>996</v>
      </c>
      <c r="D304" s="403" t="s">
        <v>1290</v>
      </c>
      <c r="E304" s="403" t="s">
        <v>1290</v>
      </c>
      <c r="F304" s="403" t="s">
        <v>1290</v>
      </c>
      <c r="G304" s="403" t="s">
        <v>1290</v>
      </c>
      <c r="H304" s="403" t="s">
        <v>1290</v>
      </c>
      <c r="J304" s="382"/>
    </row>
    <row r="305" spans="1:10" ht="19.95" customHeight="1">
      <c r="A305" s="804"/>
      <c r="B305" s="755"/>
      <c r="C305" s="429" t="s">
        <v>1002</v>
      </c>
      <c r="D305" s="403" t="s">
        <v>1290</v>
      </c>
      <c r="E305" s="403" t="s">
        <v>1290</v>
      </c>
      <c r="F305" s="403" t="s">
        <v>1290</v>
      </c>
      <c r="G305" s="403" t="s">
        <v>1290</v>
      </c>
      <c r="H305" s="403" t="s">
        <v>1290</v>
      </c>
      <c r="J305" s="382"/>
    </row>
    <row r="306" spans="1:10" ht="19.95" customHeight="1">
      <c r="A306" s="804"/>
      <c r="B306" s="755" t="s">
        <v>1003</v>
      </c>
      <c r="C306" s="429" t="s">
        <v>993</v>
      </c>
      <c r="D306" s="403" t="s">
        <v>1290</v>
      </c>
      <c r="E306" s="403" t="s">
        <v>1290</v>
      </c>
      <c r="F306" s="403" t="s">
        <v>1290</v>
      </c>
      <c r="G306" s="403" t="s">
        <v>1290</v>
      </c>
      <c r="H306" s="403" t="s">
        <v>1290</v>
      </c>
      <c r="J306" s="382"/>
    </row>
    <row r="307" spans="1:10" ht="19.95" customHeight="1">
      <c r="A307" s="804"/>
      <c r="B307" s="755"/>
      <c r="C307" s="429" t="s">
        <v>994</v>
      </c>
      <c r="D307" s="403" t="s">
        <v>1290</v>
      </c>
      <c r="E307" s="403" t="s">
        <v>1290</v>
      </c>
      <c r="F307" s="403" t="s">
        <v>1290</v>
      </c>
      <c r="G307" s="403" t="s">
        <v>1290</v>
      </c>
      <c r="H307" s="403" t="s">
        <v>1290</v>
      </c>
      <c r="J307" s="382"/>
    </row>
    <row r="308" spans="1:10" ht="19.95" customHeight="1">
      <c r="A308" s="804"/>
      <c r="B308" s="755"/>
      <c r="C308" s="429" t="s">
        <v>995</v>
      </c>
      <c r="D308" s="403" t="s">
        <v>1290</v>
      </c>
      <c r="E308" s="403" t="s">
        <v>1290</v>
      </c>
      <c r="F308" s="403" t="s">
        <v>1290</v>
      </c>
      <c r="G308" s="403" t="s">
        <v>1290</v>
      </c>
      <c r="H308" s="403" t="s">
        <v>1290</v>
      </c>
      <c r="J308" s="382"/>
    </row>
    <row r="309" spans="1:10" ht="19.95" customHeight="1">
      <c r="A309" s="804"/>
      <c r="B309" s="755"/>
      <c r="C309" s="429" t="s">
        <v>996</v>
      </c>
      <c r="D309" s="403" t="s">
        <v>1290</v>
      </c>
      <c r="E309" s="403" t="s">
        <v>1290</v>
      </c>
      <c r="F309" s="403" t="s">
        <v>1290</v>
      </c>
      <c r="G309" s="403" t="s">
        <v>1290</v>
      </c>
      <c r="H309" s="403" t="s">
        <v>1290</v>
      </c>
      <c r="J309" s="382"/>
    </row>
    <row r="310" spans="1:10" ht="19.95" customHeight="1">
      <c r="A310" s="804"/>
      <c r="B310" s="755"/>
      <c r="C310" s="429" t="s">
        <v>1002</v>
      </c>
      <c r="D310" s="403" t="s">
        <v>1290</v>
      </c>
      <c r="E310" s="403" t="s">
        <v>1290</v>
      </c>
      <c r="F310" s="403" t="s">
        <v>1290</v>
      </c>
      <c r="G310" s="403" t="s">
        <v>1290</v>
      </c>
      <c r="H310" s="403" t="s">
        <v>1290</v>
      </c>
      <c r="J310" s="382"/>
    </row>
    <row r="311" spans="1:10" ht="19.95" customHeight="1">
      <c r="A311" s="804"/>
      <c r="B311" s="755" t="s">
        <v>1288</v>
      </c>
      <c r="C311" s="429" t="s">
        <v>993</v>
      </c>
      <c r="D311" s="405" t="s">
        <v>1291</v>
      </c>
      <c r="E311" s="405" t="s">
        <v>1291</v>
      </c>
      <c r="F311" s="405" t="s">
        <v>1291</v>
      </c>
      <c r="G311" s="405" t="s">
        <v>1291</v>
      </c>
      <c r="H311" s="405" t="s">
        <v>1291</v>
      </c>
      <c r="J311" s="382"/>
    </row>
    <row r="312" spans="1:10" ht="19.95" customHeight="1">
      <c r="A312" s="804"/>
      <c r="B312" s="755"/>
      <c r="C312" s="429" t="s">
        <v>994</v>
      </c>
      <c r="D312" s="405" t="s">
        <v>1291</v>
      </c>
      <c r="E312" s="405" t="s">
        <v>1291</v>
      </c>
      <c r="F312" s="405" t="s">
        <v>1291</v>
      </c>
      <c r="G312" s="405" t="s">
        <v>1291</v>
      </c>
      <c r="H312" s="405" t="s">
        <v>1291</v>
      </c>
      <c r="J312" s="382"/>
    </row>
    <row r="313" spans="1:10" ht="19.95" customHeight="1">
      <c r="A313" s="804"/>
      <c r="B313" s="755"/>
      <c r="C313" s="429" t="s">
        <v>995</v>
      </c>
      <c r="D313" s="405" t="s">
        <v>1291</v>
      </c>
      <c r="E313" s="405" t="s">
        <v>1291</v>
      </c>
      <c r="F313" s="405" t="s">
        <v>1291</v>
      </c>
      <c r="G313" s="405" t="s">
        <v>1291</v>
      </c>
      <c r="H313" s="405" t="s">
        <v>1291</v>
      </c>
      <c r="J313" s="382"/>
    </row>
    <row r="314" spans="1:10" ht="19.95" customHeight="1">
      <c r="A314" s="804"/>
      <c r="B314" s="755"/>
      <c r="C314" s="429" t="s">
        <v>996</v>
      </c>
      <c r="D314" s="405" t="s">
        <v>1291</v>
      </c>
      <c r="E314" s="405" t="s">
        <v>1291</v>
      </c>
      <c r="F314" s="405" t="s">
        <v>1291</v>
      </c>
      <c r="G314" s="405" t="s">
        <v>1291</v>
      </c>
      <c r="H314" s="405" t="s">
        <v>1291</v>
      </c>
      <c r="J314" s="382"/>
    </row>
    <row r="315" spans="1:10" ht="19.95" customHeight="1">
      <c r="A315" s="804"/>
      <c r="B315" s="755"/>
      <c r="C315" s="429" t="s">
        <v>1002</v>
      </c>
      <c r="D315" s="405" t="s">
        <v>1291</v>
      </c>
      <c r="E315" s="405" t="s">
        <v>1291</v>
      </c>
      <c r="F315" s="405" t="s">
        <v>1291</v>
      </c>
      <c r="G315" s="405" t="s">
        <v>1291</v>
      </c>
      <c r="H315" s="405" t="s">
        <v>1291</v>
      </c>
      <c r="J315" s="382"/>
    </row>
    <row r="316" spans="1:10" ht="19.95" customHeight="1">
      <c r="A316" s="804"/>
      <c r="B316" s="755"/>
      <c r="C316" s="429" t="s">
        <v>1286</v>
      </c>
      <c r="D316" s="405" t="s">
        <v>1291</v>
      </c>
      <c r="E316" s="405" t="s">
        <v>1291</v>
      </c>
      <c r="F316" s="405" t="s">
        <v>1291</v>
      </c>
      <c r="G316" s="405" t="s">
        <v>1291</v>
      </c>
      <c r="H316" s="405" t="s">
        <v>1291</v>
      </c>
      <c r="J316" s="382"/>
    </row>
    <row r="317" spans="1:10" ht="19.95" customHeight="1" thickBot="1">
      <c r="A317" s="805"/>
      <c r="B317" s="756"/>
      <c r="C317" s="430" t="s">
        <v>1287</v>
      </c>
      <c r="D317" s="406" t="s">
        <v>1291</v>
      </c>
      <c r="E317" s="406" t="s">
        <v>1291</v>
      </c>
      <c r="F317" s="406" t="s">
        <v>1291</v>
      </c>
      <c r="G317" s="406" t="s">
        <v>1291</v>
      </c>
      <c r="H317" s="406" t="s">
        <v>1291</v>
      </c>
      <c r="I317" s="397"/>
      <c r="J317" s="385"/>
    </row>
    <row r="318" spans="1:10" ht="19.95" customHeight="1">
      <c r="A318" s="16"/>
      <c r="B318" s="410"/>
      <c r="C318" s="432"/>
      <c r="D318" s="326"/>
      <c r="E318" s="326"/>
      <c r="F318" s="326"/>
      <c r="G318" s="326"/>
      <c r="H318" s="326"/>
    </row>
    <row r="319" spans="1:10" ht="19.95" customHeight="1" thickBot="1">
      <c r="A319" s="784" t="s">
        <v>1708</v>
      </c>
      <c r="B319" s="785"/>
      <c r="C319" s="785"/>
      <c r="D319" s="785"/>
      <c r="E319" s="785"/>
      <c r="F319" s="785"/>
      <c r="G319" s="785"/>
      <c r="H319" s="785"/>
      <c r="I319" s="785"/>
      <c r="J319" s="786"/>
    </row>
    <row r="320" spans="1:10" ht="19.95" customHeight="1">
      <c r="A320" s="781" t="s">
        <v>880</v>
      </c>
      <c r="B320" s="769" t="s">
        <v>881</v>
      </c>
      <c r="C320" s="771"/>
      <c r="D320" s="773" t="s">
        <v>964</v>
      </c>
      <c r="E320" s="326"/>
      <c r="F320" s="326"/>
      <c r="G320" s="326"/>
      <c r="H320" s="326"/>
      <c r="J320" s="382"/>
    </row>
    <row r="321" spans="1:10" ht="19.95" customHeight="1">
      <c r="A321" s="809"/>
      <c r="B321" s="770"/>
      <c r="C321" s="772"/>
      <c r="D321" s="774"/>
      <c r="E321" s="326"/>
      <c r="F321" s="326"/>
      <c r="G321" s="326"/>
      <c r="H321" s="326"/>
      <c r="J321" s="382"/>
    </row>
    <row r="322" spans="1:10" ht="19.95" customHeight="1">
      <c r="A322" s="407" t="str">
        <f>CONCATENATE($A$3,"-",$B$3,"-",B322)</f>
        <v>App.8-V08H-10.7.4.1</v>
      </c>
      <c r="B322" s="433" t="s">
        <v>1709</v>
      </c>
      <c r="C322" s="429"/>
      <c r="D322" s="376" t="s">
        <v>789</v>
      </c>
      <c r="E322" s="810" t="s">
        <v>1713</v>
      </c>
      <c r="F322" s="811"/>
      <c r="G322" s="811"/>
      <c r="H322" s="811"/>
      <c r="I322" s="811"/>
      <c r="J322" s="812"/>
    </row>
    <row r="323" spans="1:10" ht="19.95" customHeight="1" thickBot="1">
      <c r="A323" s="408" t="str">
        <f>CONCATENATE($A$3,"-",$B$3,"-",B323)</f>
        <v>App.8-V08H-10.7.4.2</v>
      </c>
      <c r="B323" s="428" t="s">
        <v>1710</v>
      </c>
      <c r="C323" s="430"/>
      <c r="D323" s="341" t="s">
        <v>190</v>
      </c>
      <c r="E323" s="806" t="s">
        <v>1712</v>
      </c>
      <c r="F323" s="807"/>
      <c r="G323" s="807"/>
      <c r="H323" s="807"/>
      <c r="I323" s="807"/>
      <c r="J323" s="808"/>
    </row>
    <row r="324" spans="1:10" ht="19.95" customHeight="1">
      <c r="A324" s="16"/>
      <c r="B324" s="410"/>
      <c r="C324" s="432"/>
      <c r="D324" s="326"/>
      <c r="E324" s="326"/>
      <c r="F324" s="326"/>
      <c r="G324" s="326"/>
      <c r="H324" s="326"/>
    </row>
    <row r="325" spans="1:10" ht="19.95" customHeight="1" thickBot="1">
      <c r="A325" s="784" t="s">
        <v>1706</v>
      </c>
      <c r="B325" s="785"/>
      <c r="C325" s="785"/>
      <c r="D325" s="785"/>
      <c r="E325" s="785"/>
      <c r="F325" s="785"/>
      <c r="G325" s="785"/>
      <c r="H325" s="785"/>
      <c r="I325" s="785"/>
      <c r="J325" s="786"/>
    </row>
    <row r="326" spans="1:10" ht="19.95" customHeight="1">
      <c r="A326" s="781" t="s">
        <v>880</v>
      </c>
      <c r="B326" s="769" t="s">
        <v>881</v>
      </c>
      <c r="C326" s="771"/>
      <c r="D326" s="773" t="s">
        <v>964</v>
      </c>
      <c r="E326" s="394"/>
      <c r="F326" s="394"/>
      <c r="G326" s="394"/>
      <c r="H326" s="394"/>
      <c r="I326" s="395"/>
      <c r="J326" s="396"/>
    </row>
    <row r="327" spans="1:10" ht="19.95" customHeight="1">
      <c r="A327" s="782"/>
      <c r="B327" s="783"/>
      <c r="C327" s="772"/>
      <c r="D327" s="788"/>
      <c r="J327" s="382"/>
    </row>
    <row r="328" spans="1:10" ht="19.95" customHeight="1">
      <c r="A328" s="763" t="str">
        <f>CONCATENATE($A$3,"-",$B$3,"-P8.7")</f>
        <v>App.8-V08H-P8.7</v>
      </c>
      <c r="B328" s="5" t="s">
        <v>1004</v>
      </c>
      <c r="C328" s="433" t="s">
        <v>966</v>
      </c>
      <c r="D328" s="376" t="s">
        <v>1005</v>
      </c>
      <c r="J328" s="382"/>
    </row>
    <row r="329" spans="1:10" ht="19.95" customHeight="1" thickBot="1">
      <c r="A329" s="765"/>
      <c r="B329" s="375" t="s">
        <v>1004</v>
      </c>
      <c r="C329" s="428" t="s">
        <v>966</v>
      </c>
      <c r="D329" s="341" t="s">
        <v>1006</v>
      </c>
      <c r="E329" s="386"/>
      <c r="F329" s="386"/>
      <c r="G329" s="386"/>
      <c r="H329" s="386"/>
      <c r="I329" s="397"/>
      <c r="J329" s="385"/>
    </row>
    <row r="330" spans="1:10" ht="19.95" customHeight="1"/>
    <row r="331" spans="1:10" ht="30" hidden="1" customHeight="1">
      <c r="A331" s="775"/>
      <c r="B331" s="777"/>
      <c r="C331" s="779" t="s">
        <v>990</v>
      </c>
      <c r="D331" s="434" t="s">
        <v>882</v>
      </c>
      <c r="E331" s="434" t="s">
        <v>883</v>
      </c>
      <c r="F331" s="434" t="s">
        <v>884</v>
      </c>
      <c r="G331" s="434" t="s">
        <v>885</v>
      </c>
      <c r="H331" s="434" t="s">
        <v>886</v>
      </c>
      <c r="I331" s="757"/>
      <c r="J331" s="758"/>
    </row>
    <row r="332" spans="1:10" hidden="1">
      <c r="A332" s="776"/>
      <c r="B332" s="778"/>
      <c r="C332" s="780"/>
      <c r="D332" s="435" t="s">
        <v>889</v>
      </c>
      <c r="E332" s="435" t="s">
        <v>991</v>
      </c>
      <c r="F332" s="435" t="s">
        <v>890</v>
      </c>
      <c r="G332" s="435" t="s">
        <v>891</v>
      </c>
      <c r="H332" s="435" t="s">
        <v>892</v>
      </c>
      <c r="I332" s="757"/>
      <c r="J332" s="758"/>
    </row>
    <row r="333" spans="1:10" hidden="1">
      <c r="A333" s="759"/>
      <c r="B333" s="762" t="s">
        <v>992</v>
      </c>
      <c r="C333" s="436" t="s">
        <v>993</v>
      </c>
      <c r="D333" s="72"/>
      <c r="E333" s="72"/>
      <c r="F333" s="72"/>
      <c r="G333" s="72"/>
      <c r="H333" s="72"/>
      <c r="I333" s="757"/>
      <c r="J333" s="758"/>
    </row>
    <row r="334" spans="1:10" hidden="1">
      <c r="A334" s="760"/>
      <c r="B334" s="762"/>
      <c r="C334" s="436" t="s">
        <v>994</v>
      </c>
      <c r="D334" s="72"/>
      <c r="E334" s="72"/>
      <c r="F334" s="72"/>
      <c r="G334" s="72"/>
      <c r="H334" s="72"/>
      <c r="I334" s="757"/>
      <c r="J334" s="758"/>
    </row>
    <row r="335" spans="1:10" hidden="1">
      <c r="A335" s="760"/>
      <c r="B335" s="762"/>
      <c r="C335" s="436" t="s">
        <v>995</v>
      </c>
      <c r="D335" s="72"/>
      <c r="E335" s="72"/>
      <c r="F335" s="72"/>
      <c r="G335" s="72"/>
      <c r="H335" s="72"/>
      <c r="I335" s="757"/>
      <c r="J335" s="758"/>
    </row>
    <row r="336" spans="1:10" hidden="1">
      <c r="A336" s="760"/>
      <c r="B336" s="762"/>
      <c r="C336" s="436" t="s">
        <v>996</v>
      </c>
      <c r="D336" s="72"/>
      <c r="E336" s="72"/>
      <c r="F336" s="72"/>
      <c r="G336" s="72"/>
      <c r="H336" s="72"/>
      <c r="I336" s="757"/>
      <c r="J336" s="758"/>
    </row>
    <row r="337" spans="1:10" hidden="1">
      <c r="A337" s="760"/>
      <c r="B337" s="762" t="s">
        <v>997</v>
      </c>
      <c r="C337" s="436" t="s">
        <v>993</v>
      </c>
      <c r="D337" s="72"/>
      <c r="E337" s="72"/>
      <c r="F337" s="72"/>
      <c r="G337" s="72"/>
      <c r="H337" s="72"/>
      <c r="I337" s="757"/>
      <c r="J337" s="758"/>
    </row>
    <row r="338" spans="1:10" hidden="1">
      <c r="A338" s="760"/>
      <c r="B338" s="762"/>
      <c r="C338" s="436" t="s">
        <v>994</v>
      </c>
      <c r="D338" s="72"/>
      <c r="E338" s="72"/>
      <c r="F338" s="72"/>
      <c r="G338" s="72"/>
      <c r="H338" s="72"/>
      <c r="I338" s="757"/>
      <c r="J338" s="758"/>
    </row>
    <row r="339" spans="1:10" hidden="1">
      <c r="A339" s="760"/>
      <c r="B339" s="762"/>
      <c r="C339" s="436" t="s">
        <v>995</v>
      </c>
      <c r="D339" s="72"/>
      <c r="E339" s="72"/>
      <c r="F339" s="72"/>
      <c r="G339" s="72"/>
      <c r="H339" s="72"/>
      <c r="I339" s="757"/>
      <c r="J339" s="758"/>
    </row>
    <row r="340" spans="1:10" hidden="1">
      <c r="A340" s="760"/>
      <c r="B340" s="762"/>
      <c r="C340" s="436" t="s">
        <v>996</v>
      </c>
      <c r="D340" s="72"/>
      <c r="E340" s="72"/>
      <c r="F340" s="72"/>
      <c r="G340" s="72"/>
      <c r="H340" s="72"/>
      <c r="I340" s="757"/>
      <c r="J340" s="758"/>
    </row>
    <row r="341" spans="1:10" hidden="1">
      <c r="A341" s="760"/>
      <c r="B341" s="762" t="s">
        <v>999</v>
      </c>
      <c r="C341" s="436" t="s">
        <v>993</v>
      </c>
      <c r="D341" s="72"/>
      <c r="E341" s="72"/>
      <c r="F341" s="72"/>
      <c r="G341" s="72"/>
      <c r="H341" s="72"/>
      <c r="I341" s="757"/>
      <c r="J341" s="758"/>
    </row>
    <row r="342" spans="1:10" hidden="1">
      <c r="A342" s="760"/>
      <c r="B342" s="762"/>
      <c r="C342" s="436" t="s">
        <v>994</v>
      </c>
      <c r="D342" s="72"/>
      <c r="E342" s="72"/>
      <c r="F342" s="72"/>
      <c r="G342" s="72"/>
      <c r="H342" s="72"/>
      <c r="I342" s="757"/>
      <c r="J342" s="758"/>
    </row>
    <row r="343" spans="1:10" hidden="1">
      <c r="A343" s="760"/>
      <c r="B343" s="762"/>
      <c r="C343" s="436" t="s">
        <v>995</v>
      </c>
      <c r="D343" s="72"/>
      <c r="E343" s="72"/>
      <c r="F343" s="72"/>
      <c r="G343" s="72"/>
      <c r="H343" s="72"/>
      <c r="I343" s="757"/>
      <c r="J343" s="758"/>
    </row>
    <row r="344" spans="1:10" hidden="1">
      <c r="A344" s="760"/>
      <c r="B344" s="762"/>
      <c r="C344" s="436" t="s">
        <v>996</v>
      </c>
      <c r="D344" s="72"/>
      <c r="E344" s="72"/>
      <c r="F344" s="72"/>
      <c r="G344" s="72"/>
      <c r="H344" s="72"/>
      <c r="I344" s="757"/>
      <c r="J344" s="758"/>
    </row>
    <row r="345" spans="1:10" hidden="1">
      <c r="A345" s="760"/>
      <c r="B345" s="762" t="s">
        <v>1001</v>
      </c>
      <c r="C345" s="436" t="s">
        <v>993</v>
      </c>
      <c r="D345" s="72"/>
      <c r="E345" s="72"/>
      <c r="F345" s="72"/>
      <c r="G345" s="72"/>
      <c r="H345" s="72"/>
      <c r="I345" s="757"/>
      <c r="J345" s="758"/>
    </row>
    <row r="346" spans="1:10" hidden="1">
      <c r="A346" s="760"/>
      <c r="B346" s="762"/>
      <c r="C346" s="436" t="s">
        <v>994</v>
      </c>
      <c r="D346" s="72"/>
      <c r="E346" s="72"/>
      <c r="F346" s="72"/>
      <c r="G346" s="72"/>
      <c r="H346" s="72"/>
      <c r="I346" s="757"/>
      <c r="J346" s="758"/>
    </row>
    <row r="347" spans="1:10" hidden="1">
      <c r="A347" s="760"/>
      <c r="B347" s="762"/>
      <c r="C347" s="436" t="s">
        <v>995</v>
      </c>
      <c r="D347" s="72"/>
      <c r="E347" s="72"/>
      <c r="F347" s="72"/>
      <c r="G347" s="72"/>
      <c r="H347" s="72"/>
      <c r="I347" s="757"/>
      <c r="J347" s="758"/>
    </row>
    <row r="348" spans="1:10" hidden="1">
      <c r="A348" s="760"/>
      <c r="B348" s="762"/>
      <c r="C348" s="436" t="s">
        <v>996</v>
      </c>
      <c r="D348" s="72"/>
      <c r="E348" s="72"/>
      <c r="F348" s="72"/>
      <c r="G348" s="72"/>
      <c r="H348" s="72"/>
      <c r="I348" s="757"/>
      <c r="J348" s="758"/>
    </row>
    <row r="349" spans="1:10" hidden="1">
      <c r="A349" s="760"/>
      <c r="B349" s="762"/>
      <c r="C349" s="436" t="s">
        <v>1002</v>
      </c>
      <c r="D349" s="72"/>
      <c r="E349" s="72"/>
      <c r="F349" s="72"/>
      <c r="G349" s="72"/>
      <c r="H349" s="72"/>
      <c r="I349" s="757"/>
      <c r="J349" s="758"/>
    </row>
    <row r="350" spans="1:10" hidden="1">
      <c r="A350" s="760"/>
      <c r="B350" s="762" t="s">
        <v>1003</v>
      </c>
      <c r="C350" s="436" t="s">
        <v>993</v>
      </c>
      <c r="D350" s="72"/>
      <c r="E350" s="72"/>
      <c r="F350" s="72"/>
      <c r="G350" s="72"/>
      <c r="H350" s="72"/>
      <c r="I350" s="757"/>
      <c r="J350" s="758"/>
    </row>
    <row r="351" spans="1:10" hidden="1">
      <c r="A351" s="760"/>
      <c r="B351" s="762"/>
      <c r="C351" s="436" t="s">
        <v>994</v>
      </c>
      <c r="D351" s="72"/>
      <c r="E351" s="72"/>
      <c r="F351" s="72"/>
      <c r="G351" s="72"/>
      <c r="H351" s="72"/>
      <c r="I351" s="757"/>
      <c r="J351" s="758"/>
    </row>
    <row r="352" spans="1:10" hidden="1">
      <c r="A352" s="760"/>
      <c r="B352" s="762"/>
      <c r="C352" s="436" t="s">
        <v>995</v>
      </c>
      <c r="D352" s="72"/>
      <c r="E352" s="72"/>
      <c r="F352" s="72"/>
      <c r="G352" s="72"/>
      <c r="H352" s="72"/>
      <c r="I352" s="757"/>
      <c r="J352" s="758"/>
    </row>
    <row r="353" spans="1:10" hidden="1">
      <c r="A353" s="760"/>
      <c r="B353" s="762"/>
      <c r="C353" s="436" t="s">
        <v>996</v>
      </c>
      <c r="D353" s="72"/>
      <c r="E353" s="72"/>
      <c r="F353" s="72"/>
      <c r="G353" s="72"/>
      <c r="H353" s="72"/>
      <c r="I353" s="757"/>
      <c r="J353" s="758"/>
    </row>
    <row r="354" spans="1:10" hidden="1">
      <c r="A354" s="761"/>
      <c r="B354" s="762"/>
      <c r="C354" s="436" t="s">
        <v>1002</v>
      </c>
      <c r="D354" s="72"/>
      <c r="E354" s="72"/>
      <c r="F354" s="72"/>
      <c r="G354" s="72"/>
      <c r="H354" s="72"/>
      <c r="I354" s="757"/>
      <c r="J354" s="758"/>
    </row>
  </sheetData>
  <mergeCells count="147">
    <mergeCell ref="A234:J234"/>
    <mergeCell ref="A235:A236"/>
    <mergeCell ref="B235:B236"/>
    <mergeCell ref="C235:C236"/>
    <mergeCell ref="D235:D236"/>
    <mergeCell ref="A4:J4"/>
    <mergeCell ref="A6:J6"/>
    <mergeCell ref="A7:A8"/>
    <mergeCell ref="B7:B8"/>
    <mergeCell ref="C7:C8"/>
    <mergeCell ref="A19:J19"/>
    <mergeCell ref="A20:A21"/>
    <mergeCell ref="B20:B21"/>
    <mergeCell ref="C20:C21"/>
    <mergeCell ref="K32:K43"/>
    <mergeCell ref="A33:A34"/>
    <mergeCell ref="B33:B34"/>
    <mergeCell ref="C33:C34"/>
    <mergeCell ref="A45:J45"/>
    <mergeCell ref="A59:A60"/>
    <mergeCell ref="B59:B60"/>
    <mergeCell ref="C59:C60"/>
    <mergeCell ref="A85:A86"/>
    <mergeCell ref="B85:B86"/>
    <mergeCell ref="C85:C86"/>
    <mergeCell ref="A72:A73"/>
    <mergeCell ref="B72:B73"/>
    <mergeCell ref="C72:C73"/>
    <mergeCell ref="A84:J84"/>
    <mergeCell ref="C46:C47"/>
    <mergeCell ref="B46:B47"/>
    <mergeCell ref="A46:A47"/>
    <mergeCell ref="A32:J32"/>
    <mergeCell ref="A58:J58"/>
    <mergeCell ref="C249:C250"/>
    <mergeCell ref="B251:B254"/>
    <mergeCell ref="B255:B258"/>
    <mergeCell ref="B259:B262"/>
    <mergeCell ref="A164:A165"/>
    <mergeCell ref="B164:B165"/>
    <mergeCell ref="A110:J110"/>
    <mergeCell ref="A123:J123"/>
    <mergeCell ref="A124:A125"/>
    <mergeCell ref="B124:B125"/>
    <mergeCell ref="C124:C125"/>
    <mergeCell ref="A136:J136"/>
    <mergeCell ref="A149:J149"/>
    <mergeCell ref="A150:A151"/>
    <mergeCell ref="B150:B151"/>
    <mergeCell ref="C150:C151"/>
    <mergeCell ref="A162:J162"/>
    <mergeCell ref="A163:J163"/>
    <mergeCell ref="C164:C165"/>
    <mergeCell ref="A171:J171"/>
    <mergeCell ref="A172:A173"/>
    <mergeCell ref="B172:B173"/>
    <mergeCell ref="A111:A112"/>
    <mergeCell ref="A242:A245"/>
    <mergeCell ref="A286:J286"/>
    <mergeCell ref="A249:A250"/>
    <mergeCell ref="B249:B250"/>
    <mergeCell ref="B111:B112"/>
    <mergeCell ref="C111:C112"/>
    <mergeCell ref="A137:A138"/>
    <mergeCell ref="B137:B138"/>
    <mergeCell ref="C137:C138"/>
    <mergeCell ref="A180:A181"/>
    <mergeCell ref="B180:B181"/>
    <mergeCell ref="C180:C181"/>
    <mergeCell ref="B240:B241"/>
    <mergeCell ref="C240:C241"/>
    <mergeCell ref="D240:D241"/>
    <mergeCell ref="B188:B189"/>
    <mergeCell ref="C188:C189"/>
    <mergeCell ref="A195:J195"/>
    <mergeCell ref="A196:J196"/>
    <mergeCell ref="A201:J201"/>
    <mergeCell ref="A202:J202"/>
    <mergeCell ref="A203:A204"/>
    <mergeCell ref="B203:B204"/>
    <mergeCell ref="C203:C204"/>
    <mergeCell ref="A197:A198"/>
    <mergeCell ref="C326:C327"/>
    <mergeCell ref="D326:D327"/>
    <mergeCell ref="A325:J325"/>
    <mergeCell ref="A287:A288"/>
    <mergeCell ref="B287:B288"/>
    <mergeCell ref="C287:C288"/>
    <mergeCell ref="A289:A317"/>
    <mergeCell ref="B289:B292"/>
    <mergeCell ref="B293:B296"/>
    <mergeCell ref="B297:B300"/>
    <mergeCell ref="B301:B305"/>
    <mergeCell ref="B306:B310"/>
    <mergeCell ref="B311:B317"/>
    <mergeCell ref="E323:J323"/>
    <mergeCell ref="A319:J319"/>
    <mergeCell ref="A320:A321"/>
    <mergeCell ref="E322:J322"/>
    <mergeCell ref="A239:J239"/>
    <mergeCell ref="A240:A241"/>
    <mergeCell ref="D197:D198"/>
    <mergeCell ref="A187:J187"/>
    <mergeCell ref="A188:A189"/>
    <mergeCell ref="B197:B198"/>
    <mergeCell ref="C197:C198"/>
    <mergeCell ref="A71:J71"/>
    <mergeCell ref="A97:J97"/>
    <mergeCell ref="A98:A99"/>
    <mergeCell ref="B98:B99"/>
    <mergeCell ref="C98:C99"/>
    <mergeCell ref="C172:C173"/>
    <mergeCell ref="A179:J179"/>
    <mergeCell ref="A215:J215"/>
    <mergeCell ref="A216:A217"/>
    <mergeCell ref="B216:B217"/>
    <mergeCell ref="C216:C217"/>
    <mergeCell ref="A228:J228"/>
    <mergeCell ref="A229:J229"/>
    <mergeCell ref="A230:A231"/>
    <mergeCell ref="B230:B231"/>
    <mergeCell ref="C230:C231"/>
    <mergeCell ref="D230:D231"/>
    <mergeCell ref="A247:J247"/>
    <mergeCell ref="B242:B245"/>
    <mergeCell ref="C242:C245"/>
    <mergeCell ref="I331:J354"/>
    <mergeCell ref="A333:A354"/>
    <mergeCell ref="B333:B336"/>
    <mergeCell ref="B337:B340"/>
    <mergeCell ref="B341:B344"/>
    <mergeCell ref="A251:A284"/>
    <mergeCell ref="B268:B272"/>
    <mergeCell ref="B280:B284"/>
    <mergeCell ref="B273:B279"/>
    <mergeCell ref="B320:B321"/>
    <mergeCell ref="C320:C321"/>
    <mergeCell ref="D320:D321"/>
    <mergeCell ref="B345:B349"/>
    <mergeCell ref="B350:B354"/>
    <mergeCell ref="A328:A329"/>
    <mergeCell ref="A331:A332"/>
    <mergeCell ref="B331:B332"/>
    <mergeCell ref="C331:C332"/>
    <mergeCell ref="B263:B267"/>
    <mergeCell ref="A326:A327"/>
    <mergeCell ref="B326:B327"/>
  </mergeCells>
  <conditionalFormatting sqref="D17:G17 D10:J16">
    <cfRule type="cellIs" dxfId="1187" priority="891" operator="equal">
      <formula>"2HEB-300"</formula>
    </cfRule>
    <cfRule type="cellIs" dxfId="1186" priority="892" operator="equal">
      <formula>"2HEB-260"</formula>
    </cfRule>
    <cfRule type="cellIs" dxfId="1185" priority="893" operator="equal">
      <formula>"2HEB-240"</formula>
    </cfRule>
    <cfRule type="cellIs" dxfId="1184" priority="894" operator="equal">
      <formula>"HEB-300"</formula>
    </cfRule>
    <cfRule type="cellIs" dxfId="1183" priority="895" operator="equal">
      <formula>"HEB-280"</formula>
    </cfRule>
    <cfRule type="cellIs" dxfId="1182" priority="896" operator="equal">
      <formula>"HEB-260"</formula>
    </cfRule>
    <cfRule type="cellIs" dxfId="1181" priority="897" operator="equal">
      <formula>"HEB-240"</formula>
    </cfRule>
  </conditionalFormatting>
  <conditionalFormatting sqref="D9:J9">
    <cfRule type="cellIs" dxfId="1180" priority="898" operator="equal">
      <formula>"2HEB-300"</formula>
    </cfRule>
    <cfRule type="cellIs" dxfId="1179" priority="899" operator="equal">
      <formula>"2HEB-260"</formula>
    </cfRule>
    <cfRule type="cellIs" dxfId="1178" priority="900" operator="equal">
      <formula>"2HEB-240"</formula>
    </cfRule>
    <cfRule type="cellIs" dxfId="1177" priority="901" operator="equal">
      <formula>"HEB-300"</formula>
    </cfRule>
    <cfRule type="cellIs" dxfId="1176" priority="902" operator="equal">
      <formula>"HEB-280"</formula>
    </cfRule>
    <cfRule type="cellIs" dxfId="1175" priority="903" operator="equal">
      <formula>"HEB-260"</formula>
    </cfRule>
    <cfRule type="cellIs" dxfId="1174" priority="904" operator="equal">
      <formula>"HEB-240"</formula>
    </cfRule>
  </conditionalFormatting>
  <conditionalFormatting sqref="H17">
    <cfRule type="cellIs" dxfId="1173" priority="884" operator="equal">
      <formula>"2HEB-300"</formula>
    </cfRule>
    <cfRule type="cellIs" dxfId="1172" priority="885" operator="equal">
      <formula>"2HEB-260"</formula>
    </cfRule>
    <cfRule type="cellIs" dxfId="1171" priority="886" operator="equal">
      <formula>"2HEB-240"</formula>
    </cfRule>
    <cfRule type="cellIs" dxfId="1170" priority="887" operator="equal">
      <formula>"HEB-300"</formula>
    </cfRule>
    <cfRule type="cellIs" dxfId="1169" priority="888" operator="equal">
      <formula>"HEB-280"</formula>
    </cfRule>
    <cfRule type="cellIs" dxfId="1168" priority="889" operator="equal">
      <formula>"HEB-260"</formula>
    </cfRule>
    <cfRule type="cellIs" dxfId="1167" priority="890" operator="equal">
      <formula>"HEB-240"</formula>
    </cfRule>
  </conditionalFormatting>
  <conditionalFormatting sqref="I17">
    <cfRule type="cellIs" dxfId="1166" priority="877" operator="equal">
      <formula>"2HEB-300"</formula>
    </cfRule>
    <cfRule type="cellIs" dxfId="1165" priority="878" operator="equal">
      <formula>"2HEB-260"</formula>
    </cfRule>
    <cfRule type="cellIs" dxfId="1164" priority="879" operator="equal">
      <formula>"2HEB-240"</formula>
    </cfRule>
    <cfRule type="cellIs" dxfId="1163" priority="880" operator="equal">
      <formula>"HEB-300"</formula>
    </cfRule>
    <cfRule type="cellIs" dxfId="1162" priority="881" operator="equal">
      <formula>"HEB-280"</formula>
    </cfRule>
    <cfRule type="cellIs" dxfId="1161" priority="882" operator="equal">
      <formula>"HEB-260"</formula>
    </cfRule>
    <cfRule type="cellIs" dxfId="1160" priority="883" operator="equal">
      <formula>"HEB-240"</formula>
    </cfRule>
  </conditionalFormatting>
  <conditionalFormatting sqref="J17">
    <cfRule type="cellIs" dxfId="1159" priority="870" operator="equal">
      <formula>"2HEB-300"</formula>
    </cfRule>
    <cfRule type="cellIs" dxfId="1158" priority="871" operator="equal">
      <formula>"2HEB-260"</formula>
    </cfRule>
    <cfRule type="cellIs" dxfId="1157" priority="872" operator="equal">
      <formula>"2HEB-240"</formula>
    </cfRule>
    <cfRule type="cellIs" dxfId="1156" priority="873" operator="equal">
      <formula>"HEB-300"</formula>
    </cfRule>
    <cfRule type="cellIs" dxfId="1155" priority="874" operator="equal">
      <formula>"HEB-280"</formula>
    </cfRule>
    <cfRule type="cellIs" dxfId="1154" priority="875" operator="equal">
      <formula>"HEB-260"</formula>
    </cfRule>
    <cfRule type="cellIs" dxfId="1153" priority="876" operator="equal">
      <formula>"HEB-240"</formula>
    </cfRule>
  </conditionalFormatting>
  <conditionalFormatting sqref="D23:J23 D30:G30 D26:J26">
    <cfRule type="cellIs" dxfId="1152" priority="814" operator="equal">
      <formula>"2HEB-300"</formula>
    </cfRule>
    <cfRule type="cellIs" dxfId="1151" priority="815" operator="equal">
      <formula>"2HEB-260"</formula>
    </cfRule>
    <cfRule type="cellIs" dxfId="1150" priority="816" operator="equal">
      <formula>"2HEB-240"</formula>
    </cfRule>
    <cfRule type="cellIs" dxfId="1149" priority="817" operator="equal">
      <formula>"HEB-300"</formula>
    </cfRule>
    <cfRule type="cellIs" dxfId="1148" priority="818" operator="equal">
      <formula>"HEB-280"</formula>
    </cfRule>
    <cfRule type="cellIs" dxfId="1147" priority="819" operator="equal">
      <formula>"HEB-260"</formula>
    </cfRule>
    <cfRule type="cellIs" dxfId="1146" priority="820" operator="equal">
      <formula>"HEB-240"</formula>
    </cfRule>
  </conditionalFormatting>
  <conditionalFormatting sqref="D22:J22">
    <cfRule type="cellIs" dxfId="1145" priority="821" operator="equal">
      <formula>"2HEB-300"</formula>
    </cfRule>
    <cfRule type="cellIs" dxfId="1144" priority="822" operator="equal">
      <formula>"2HEB-260"</formula>
    </cfRule>
    <cfRule type="cellIs" dxfId="1143" priority="823" operator="equal">
      <formula>"2HEB-240"</formula>
    </cfRule>
    <cfRule type="cellIs" dxfId="1142" priority="824" operator="equal">
      <formula>"HEB-300"</formula>
    </cfRule>
    <cfRule type="cellIs" dxfId="1141" priority="825" operator="equal">
      <formula>"HEB-280"</formula>
    </cfRule>
    <cfRule type="cellIs" dxfId="1140" priority="826" operator="equal">
      <formula>"HEB-260"</formula>
    </cfRule>
    <cfRule type="cellIs" dxfId="1139" priority="827" operator="equal">
      <formula>"HEB-240"</formula>
    </cfRule>
  </conditionalFormatting>
  <conditionalFormatting sqref="H30">
    <cfRule type="cellIs" dxfId="1138" priority="807" operator="equal">
      <formula>"2HEB-300"</formula>
    </cfRule>
    <cfRule type="cellIs" dxfId="1137" priority="808" operator="equal">
      <formula>"2HEB-260"</formula>
    </cfRule>
    <cfRule type="cellIs" dxfId="1136" priority="809" operator="equal">
      <formula>"2HEB-240"</formula>
    </cfRule>
    <cfRule type="cellIs" dxfId="1135" priority="810" operator="equal">
      <formula>"HEB-300"</formula>
    </cfRule>
    <cfRule type="cellIs" dxfId="1134" priority="811" operator="equal">
      <formula>"HEB-280"</formula>
    </cfRule>
    <cfRule type="cellIs" dxfId="1133" priority="812" operator="equal">
      <formula>"HEB-260"</formula>
    </cfRule>
    <cfRule type="cellIs" dxfId="1132" priority="813" operator="equal">
      <formula>"HEB-240"</formula>
    </cfRule>
  </conditionalFormatting>
  <conditionalFormatting sqref="I30">
    <cfRule type="cellIs" dxfId="1131" priority="800" operator="equal">
      <formula>"2HEB-300"</formula>
    </cfRule>
    <cfRule type="cellIs" dxfId="1130" priority="801" operator="equal">
      <formula>"2HEB-260"</formula>
    </cfRule>
    <cfRule type="cellIs" dxfId="1129" priority="802" operator="equal">
      <formula>"2HEB-240"</formula>
    </cfRule>
    <cfRule type="cellIs" dxfId="1128" priority="803" operator="equal">
      <formula>"HEB-300"</formula>
    </cfRule>
    <cfRule type="cellIs" dxfId="1127" priority="804" operator="equal">
      <formula>"HEB-280"</formula>
    </cfRule>
    <cfRule type="cellIs" dxfId="1126" priority="805" operator="equal">
      <formula>"HEB-260"</formula>
    </cfRule>
    <cfRule type="cellIs" dxfId="1125" priority="806" operator="equal">
      <formula>"HEB-240"</formula>
    </cfRule>
  </conditionalFormatting>
  <conditionalFormatting sqref="J30">
    <cfRule type="cellIs" dxfId="1124" priority="793" operator="equal">
      <formula>"2HEB-300"</formula>
    </cfRule>
    <cfRule type="cellIs" dxfId="1123" priority="794" operator="equal">
      <formula>"2HEB-260"</formula>
    </cfRule>
    <cfRule type="cellIs" dxfId="1122" priority="795" operator="equal">
      <formula>"2HEB-240"</formula>
    </cfRule>
    <cfRule type="cellIs" dxfId="1121" priority="796" operator="equal">
      <formula>"HEB-300"</formula>
    </cfRule>
    <cfRule type="cellIs" dxfId="1120" priority="797" operator="equal">
      <formula>"HEB-280"</formula>
    </cfRule>
    <cfRule type="cellIs" dxfId="1119" priority="798" operator="equal">
      <formula>"HEB-260"</formula>
    </cfRule>
    <cfRule type="cellIs" dxfId="1118" priority="799" operator="equal">
      <formula>"HEB-240"</formula>
    </cfRule>
  </conditionalFormatting>
  <conditionalFormatting sqref="D24:J25 D27:J29">
    <cfRule type="cellIs" dxfId="1117" priority="828" operator="equal">
      <formula>"2HEB-300"</formula>
    </cfRule>
    <cfRule type="cellIs" dxfId="1116" priority="829" operator="equal">
      <formula>"2HEB-260"</formula>
    </cfRule>
    <cfRule type="cellIs" dxfId="1115" priority="830" operator="equal">
      <formula>"2HEB-240"</formula>
    </cfRule>
    <cfRule type="cellIs" dxfId="1114" priority="831" operator="equal">
      <formula>"HEB-300"</formula>
    </cfRule>
    <cfRule type="cellIs" dxfId="1113" priority="832" operator="equal">
      <formula>"HEB-280"</formula>
    </cfRule>
    <cfRule type="cellIs" dxfId="1112" priority="833" operator="equal">
      <formula>"HEB-260"</formula>
    </cfRule>
    <cfRule type="cellIs" dxfId="1111" priority="834" operator="equal">
      <formula>"HEB-240"</formula>
    </cfRule>
  </conditionalFormatting>
  <conditionalFormatting sqref="H43">
    <cfRule type="cellIs" dxfId="1110" priority="625" operator="equal">
      <formula>"2HEB-300"</formula>
    </cfRule>
    <cfRule type="cellIs" dxfId="1109" priority="626" operator="equal">
      <formula>"2HEB-260"</formula>
    </cfRule>
    <cfRule type="cellIs" dxfId="1108" priority="627" operator="equal">
      <formula>"2HEB-240"</formula>
    </cfRule>
    <cfRule type="cellIs" dxfId="1107" priority="628" operator="equal">
      <formula>"HEB-300"</formula>
    </cfRule>
    <cfRule type="cellIs" dxfId="1106" priority="629" operator="equal">
      <formula>"HEB-280"</formula>
    </cfRule>
    <cfRule type="cellIs" dxfId="1105" priority="630" operator="equal">
      <formula>"HEB-260"</formula>
    </cfRule>
    <cfRule type="cellIs" dxfId="1104" priority="631" operator="equal">
      <formula>"HEB-240"</formula>
    </cfRule>
  </conditionalFormatting>
  <conditionalFormatting sqref="D36:J42">
    <cfRule type="cellIs" dxfId="1103" priority="660" operator="equal">
      <formula>"2HEB-300"</formula>
    </cfRule>
    <cfRule type="cellIs" dxfId="1102" priority="661" operator="equal">
      <formula>"2HEB-260"</formula>
    </cfRule>
    <cfRule type="cellIs" dxfId="1101" priority="662" operator="equal">
      <formula>"2HEB-240"</formula>
    </cfRule>
    <cfRule type="cellIs" dxfId="1100" priority="663" operator="equal">
      <formula>"HEB-300"</formula>
    </cfRule>
    <cfRule type="cellIs" dxfId="1099" priority="664" operator="equal">
      <formula>"HEB-280"</formula>
    </cfRule>
    <cfRule type="cellIs" dxfId="1098" priority="665" operator="equal">
      <formula>"HEB-260"</formula>
    </cfRule>
    <cfRule type="cellIs" dxfId="1097" priority="666" operator="equal">
      <formula>"HEB-240"</formula>
    </cfRule>
  </conditionalFormatting>
  <conditionalFormatting sqref="D35:J35">
    <cfRule type="cellIs" dxfId="1096" priority="653" operator="equal">
      <formula>"2HEB-300"</formula>
    </cfRule>
    <cfRule type="cellIs" dxfId="1095" priority="654" operator="equal">
      <formula>"2HEB-260"</formula>
    </cfRule>
    <cfRule type="cellIs" dxfId="1094" priority="655" operator="equal">
      <formula>"2HEB-240"</formula>
    </cfRule>
    <cfRule type="cellIs" dxfId="1093" priority="656" operator="equal">
      <formula>"HEB-300"</formula>
    </cfRule>
    <cfRule type="cellIs" dxfId="1092" priority="657" operator="equal">
      <formula>"HEB-280"</formula>
    </cfRule>
    <cfRule type="cellIs" dxfId="1091" priority="658" operator="equal">
      <formula>"HEB-260"</formula>
    </cfRule>
    <cfRule type="cellIs" dxfId="1090" priority="659" operator="equal">
      <formula>"HEB-240"</formula>
    </cfRule>
  </conditionalFormatting>
  <conditionalFormatting sqref="D43:G43">
    <cfRule type="cellIs" dxfId="1089" priority="646" operator="equal">
      <formula>"2HEB-300"</formula>
    </cfRule>
    <cfRule type="cellIs" dxfId="1088" priority="647" operator="equal">
      <formula>"2HEB-260"</formula>
    </cfRule>
    <cfRule type="cellIs" dxfId="1087" priority="648" operator="equal">
      <formula>"2HEB-240"</formula>
    </cfRule>
    <cfRule type="cellIs" dxfId="1086" priority="649" operator="equal">
      <formula>"HEB-300"</formula>
    </cfRule>
    <cfRule type="cellIs" dxfId="1085" priority="650" operator="equal">
      <formula>"HEB-280"</formula>
    </cfRule>
    <cfRule type="cellIs" dxfId="1084" priority="651" operator="equal">
      <formula>"HEB-260"</formula>
    </cfRule>
    <cfRule type="cellIs" dxfId="1083" priority="652" operator="equal">
      <formula>"HEB-240"</formula>
    </cfRule>
  </conditionalFormatting>
  <conditionalFormatting sqref="I43">
    <cfRule type="cellIs" dxfId="1082" priority="639" operator="equal">
      <formula>"2HEB-300"</formula>
    </cfRule>
    <cfRule type="cellIs" dxfId="1081" priority="640" operator="equal">
      <formula>"2HEB-260"</formula>
    </cfRule>
    <cfRule type="cellIs" dxfId="1080" priority="641" operator="equal">
      <formula>"2HEB-240"</formula>
    </cfRule>
    <cfRule type="cellIs" dxfId="1079" priority="642" operator="equal">
      <formula>"HEB-300"</formula>
    </cfRule>
    <cfRule type="cellIs" dxfId="1078" priority="643" operator="equal">
      <formula>"HEB-280"</formula>
    </cfRule>
    <cfRule type="cellIs" dxfId="1077" priority="644" operator="equal">
      <formula>"HEB-260"</formula>
    </cfRule>
    <cfRule type="cellIs" dxfId="1076" priority="645" operator="equal">
      <formula>"HEB-240"</formula>
    </cfRule>
  </conditionalFormatting>
  <conditionalFormatting sqref="J43">
    <cfRule type="cellIs" dxfId="1075" priority="632" operator="equal">
      <formula>"2HEB-300"</formula>
    </cfRule>
    <cfRule type="cellIs" dxfId="1074" priority="633" operator="equal">
      <formula>"2HEB-260"</formula>
    </cfRule>
    <cfRule type="cellIs" dxfId="1073" priority="634" operator="equal">
      <formula>"2HEB-240"</formula>
    </cfRule>
    <cfRule type="cellIs" dxfId="1072" priority="635" operator="equal">
      <formula>"HEB-300"</formula>
    </cfRule>
    <cfRule type="cellIs" dxfId="1071" priority="636" operator="equal">
      <formula>"HEB-280"</formula>
    </cfRule>
    <cfRule type="cellIs" dxfId="1070" priority="637" operator="equal">
      <formula>"HEB-260"</formula>
    </cfRule>
    <cfRule type="cellIs" dxfId="1069" priority="638" operator="equal">
      <formula>"HEB-240"</formula>
    </cfRule>
  </conditionalFormatting>
  <conditionalFormatting sqref="H56">
    <cfRule type="cellIs" dxfId="1068" priority="583" operator="equal">
      <formula>"2HEB-300"</formula>
    </cfRule>
    <cfRule type="cellIs" dxfId="1067" priority="584" operator="equal">
      <formula>"2HEB-260"</formula>
    </cfRule>
    <cfRule type="cellIs" dxfId="1066" priority="585" operator="equal">
      <formula>"2HEB-240"</formula>
    </cfRule>
    <cfRule type="cellIs" dxfId="1065" priority="586" operator="equal">
      <formula>"HEB-300"</formula>
    </cfRule>
    <cfRule type="cellIs" dxfId="1064" priority="587" operator="equal">
      <formula>"HEB-280"</formula>
    </cfRule>
    <cfRule type="cellIs" dxfId="1063" priority="588" operator="equal">
      <formula>"HEB-260"</formula>
    </cfRule>
    <cfRule type="cellIs" dxfId="1062" priority="589" operator="equal">
      <formula>"HEB-240"</formula>
    </cfRule>
  </conditionalFormatting>
  <conditionalFormatting sqref="D49:J55">
    <cfRule type="cellIs" dxfId="1061" priority="618" operator="equal">
      <formula>"2HEB-300"</formula>
    </cfRule>
    <cfRule type="cellIs" dxfId="1060" priority="619" operator="equal">
      <formula>"2HEB-260"</formula>
    </cfRule>
    <cfRule type="cellIs" dxfId="1059" priority="620" operator="equal">
      <formula>"2HEB-240"</formula>
    </cfRule>
    <cfRule type="cellIs" dxfId="1058" priority="621" operator="equal">
      <formula>"HEB-300"</formula>
    </cfRule>
    <cfRule type="cellIs" dxfId="1057" priority="622" operator="equal">
      <formula>"HEB-280"</formula>
    </cfRule>
    <cfRule type="cellIs" dxfId="1056" priority="623" operator="equal">
      <formula>"HEB-260"</formula>
    </cfRule>
    <cfRule type="cellIs" dxfId="1055" priority="624" operator="equal">
      <formula>"HEB-240"</formula>
    </cfRule>
  </conditionalFormatting>
  <conditionalFormatting sqref="J48">
    <cfRule type="cellIs" dxfId="1054" priority="611" operator="equal">
      <formula>"2HEB-300"</formula>
    </cfRule>
    <cfRule type="cellIs" dxfId="1053" priority="612" operator="equal">
      <formula>"2HEB-260"</formula>
    </cfRule>
    <cfRule type="cellIs" dxfId="1052" priority="613" operator="equal">
      <formula>"2HEB-240"</formula>
    </cfRule>
    <cfRule type="cellIs" dxfId="1051" priority="614" operator="equal">
      <formula>"HEB-300"</formula>
    </cfRule>
    <cfRule type="cellIs" dxfId="1050" priority="615" operator="equal">
      <formula>"HEB-280"</formula>
    </cfRule>
    <cfRule type="cellIs" dxfId="1049" priority="616" operator="equal">
      <formula>"HEB-260"</formula>
    </cfRule>
    <cfRule type="cellIs" dxfId="1048" priority="617" operator="equal">
      <formula>"HEB-240"</formula>
    </cfRule>
  </conditionalFormatting>
  <conditionalFormatting sqref="D56:G56">
    <cfRule type="cellIs" dxfId="1047" priority="604" operator="equal">
      <formula>"2HEB-300"</formula>
    </cfRule>
    <cfRule type="cellIs" dxfId="1046" priority="605" operator="equal">
      <formula>"2HEB-260"</formula>
    </cfRule>
    <cfRule type="cellIs" dxfId="1045" priority="606" operator="equal">
      <formula>"2HEB-240"</formula>
    </cfRule>
    <cfRule type="cellIs" dxfId="1044" priority="607" operator="equal">
      <formula>"HEB-300"</formula>
    </cfRule>
    <cfRule type="cellIs" dxfId="1043" priority="608" operator="equal">
      <formula>"HEB-280"</formula>
    </cfRule>
    <cfRule type="cellIs" dxfId="1042" priority="609" operator="equal">
      <formula>"HEB-260"</formula>
    </cfRule>
    <cfRule type="cellIs" dxfId="1041" priority="610" operator="equal">
      <formula>"HEB-240"</formula>
    </cfRule>
  </conditionalFormatting>
  <conditionalFormatting sqref="I56">
    <cfRule type="cellIs" dxfId="1040" priority="597" operator="equal">
      <formula>"2HEB-300"</formula>
    </cfRule>
    <cfRule type="cellIs" dxfId="1039" priority="598" operator="equal">
      <formula>"2HEB-260"</formula>
    </cfRule>
    <cfRule type="cellIs" dxfId="1038" priority="599" operator="equal">
      <formula>"2HEB-240"</formula>
    </cfRule>
    <cfRule type="cellIs" dxfId="1037" priority="600" operator="equal">
      <formula>"HEB-300"</formula>
    </cfRule>
    <cfRule type="cellIs" dxfId="1036" priority="601" operator="equal">
      <formula>"HEB-280"</formula>
    </cfRule>
    <cfRule type="cellIs" dxfId="1035" priority="602" operator="equal">
      <formula>"HEB-260"</formula>
    </cfRule>
    <cfRule type="cellIs" dxfId="1034" priority="603" operator="equal">
      <formula>"HEB-240"</formula>
    </cfRule>
  </conditionalFormatting>
  <conditionalFormatting sqref="J56">
    <cfRule type="cellIs" dxfId="1033" priority="590" operator="equal">
      <formula>"2HEB-300"</formula>
    </cfRule>
    <cfRule type="cellIs" dxfId="1032" priority="591" operator="equal">
      <formula>"2HEB-260"</formula>
    </cfRule>
    <cfRule type="cellIs" dxfId="1031" priority="592" operator="equal">
      <formula>"2HEB-240"</formula>
    </cfRule>
    <cfRule type="cellIs" dxfId="1030" priority="593" operator="equal">
      <formula>"HEB-300"</formula>
    </cfRule>
    <cfRule type="cellIs" dxfId="1029" priority="594" operator="equal">
      <formula>"HEB-280"</formula>
    </cfRule>
    <cfRule type="cellIs" dxfId="1028" priority="595" operator="equal">
      <formula>"HEB-260"</formula>
    </cfRule>
    <cfRule type="cellIs" dxfId="1027" priority="596" operator="equal">
      <formula>"HEB-240"</formula>
    </cfRule>
  </conditionalFormatting>
  <conditionalFormatting sqref="D61:J70 D83:J83">
    <cfRule type="cellIs" dxfId="1026" priority="574" operator="equal">
      <formula>"HEB-2801"</formula>
    </cfRule>
    <cfRule type="cellIs" dxfId="1025" priority="575" operator="equal">
      <formula>"HEB-2601"</formula>
    </cfRule>
    <cfRule type="cellIs" dxfId="1024" priority="576" operator="equal">
      <formula>"2HEB-320"</formula>
    </cfRule>
    <cfRule type="cellIs" dxfId="1023" priority="577" operator="equal">
      <formula>"2HEB-260"</formula>
    </cfRule>
    <cfRule type="cellIs" dxfId="1022" priority="578" operator="equal">
      <formula>"2HEB-240"</formula>
    </cfRule>
    <cfRule type="cellIs" dxfId="1021" priority="579" operator="equal">
      <formula>"HEB-300"</formula>
    </cfRule>
    <cfRule type="cellIs" dxfId="1020" priority="580" operator="equal">
      <formula>"HEB-280"</formula>
    </cfRule>
    <cfRule type="cellIs" dxfId="1019" priority="581" operator="equal">
      <formula>"HEB-260"</formula>
    </cfRule>
    <cfRule type="cellIs" dxfId="1018" priority="582" operator="equal">
      <formula>"HEB-240"</formula>
    </cfRule>
  </conditionalFormatting>
  <conditionalFormatting sqref="D61:J70 D83:J83">
    <cfRule type="cellIs" dxfId="1017" priority="573" operator="equal">
      <formula>"HEB-3001"</formula>
    </cfRule>
  </conditionalFormatting>
  <conditionalFormatting sqref="F78">
    <cfRule type="cellIs" dxfId="1016" priority="536" operator="equal">
      <formula>"HEB-2801"</formula>
    </cfRule>
    <cfRule type="cellIs" dxfId="1015" priority="537" operator="equal">
      <formula>"HEB-2601"</formula>
    </cfRule>
    <cfRule type="cellIs" dxfId="1014" priority="538" operator="equal">
      <formula>"2HEB-320"</formula>
    </cfRule>
    <cfRule type="cellIs" dxfId="1013" priority="539" operator="equal">
      <formula>"2HEB-260"</formula>
    </cfRule>
    <cfRule type="cellIs" dxfId="1012" priority="540" operator="equal">
      <formula>"2HEB-240"</formula>
    </cfRule>
    <cfRule type="cellIs" dxfId="1011" priority="541" operator="equal">
      <formula>"HEB-300"</formula>
    </cfRule>
    <cfRule type="cellIs" dxfId="1010" priority="542" operator="equal">
      <formula>"HEB-280"</formula>
    </cfRule>
    <cfRule type="cellIs" dxfId="1009" priority="543" operator="equal">
      <formula>"HEB-260"</formula>
    </cfRule>
    <cfRule type="cellIs" dxfId="1008" priority="544" operator="equal">
      <formula>"HEB-240"</formula>
    </cfRule>
  </conditionalFormatting>
  <conditionalFormatting sqref="D74:J82">
    <cfRule type="cellIs" dxfId="1007" priority="535" operator="equal">
      <formula>"HEB-3001"</formula>
    </cfRule>
  </conditionalFormatting>
  <conditionalFormatting sqref="D74:J77 D79:J82 G78:J78">
    <cfRule type="cellIs" dxfId="1006" priority="554" operator="equal">
      <formula>"HEB-2801"</formula>
    </cfRule>
    <cfRule type="cellIs" dxfId="1005" priority="555" operator="equal">
      <formula>"HEB-2601"</formula>
    </cfRule>
    <cfRule type="cellIs" dxfId="1004" priority="556" operator="equal">
      <formula>"2HEB-320"</formula>
    </cfRule>
    <cfRule type="cellIs" dxfId="1003" priority="557" operator="equal">
      <formula>"2HEB-260"</formula>
    </cfRule>
    <cfRule type="cellIs" dxfId="1002" priority="558" operator="equal">
      <formula>"2HEB-240"</formula>
    </cfRule>
    <cfRule type="cellIs" dxfId="1001" priority="559" operator="equal">
      <formula>"HEB-300"</formula>
    </cfRule>
    <cfRule type="cellIs" dxfId="1000" priority="560" operator="equal">
      <formula>"HEB-280"</formula>
    </cfRule>
    <cfRule type="cellIs" dxfId="999" priority="561" operator="equal">
      <formula>"HEB-260"</formula>
    </cfRule>
    <cfRule type="cellIs" dxfId="998" priority="562" operator="equal">
      <formula>"HEB-240"</formula>
    </cfRule>
  </conditionalFormatting>
  <conditionalFormatting sqref="D78:E78">
    <cfRule type="cellIs" dxfId="997" priority="545" operator="equal">
      <formula>"HEB-2801"</formula>
    </cfRule>
    <cfRule type="cellIs" dxfId="996" priority="546" operator="equal">
      <formula>"HEB-2601"</formula>
    </cfRule>
    <cfRule type="cellIs" dxfId="995" priority="547" operator="equal">
      <formula>"2HEB-320"</formula>
    </cfRule>
    <cfRule type="cellIs" dxfId="994" priority="548" operator="equal">
      <formula>"2HEB-260"</formula>
    </cfRule>
    <cfRule type="cellIs" dxfId="993" priority="549" operator="equal">
      <formula>"2HEB-240"</formula>
    </cfRule>
    <cfRule type="cellIs" dxfId="992" priority="550" operator="equal">
      <formula>"HEB-300"</formula>
    </cfRule>
    <cfRule type="cellIs" dxfId="991" priority="551" operator="equal">
      <formula>"HEB-280"</formula>
    </cfRule>
    <cfRule type="cellIs" dxfId="990" priority="552" operator="equal">
      <formula>"HEB-260"</formula>
    </cfRule>
    <cfRule type="cellIs" dxfId="989" priority="553" operator="equal">
      <formula>"HEB-240"</formula>
    </cfRule>
  </conditionalFormatting>
  <conditionalFormatting sqref="H95:J96 H109:J109">
    <cfRule type="cellIs" dxfId="988" priority="498" operator="equal">
      <formula>"HEB-2801"</formula>
    </cfRule>
    <cfRule type="cellIs" dxfId="987" priority="499" operator="equal">
      <formula>"HEB-2601"</formula>
    </cfRule>
    <cfRule type="cellIs" dxfId="986" priority="500" operator="equal">
      <formula>"2HEB-320"</formula>
    </cfRule>
    <cfRule type="cellIs" dxfId="985" priority="501" operator="equal">
      <formula>"2HEB-260"</formula>
    </cfRule>
    <cfRule type="cellIs" dxfId="984" priority="502" operator="equal">
      <formula>"2HEB-240"</formula>
    </cfRule>
    <cfRule type="cellIs" dxfId="983" priority="503" operator="equal">
      <formula>"HEB-300"</formula>
    </cfRule>
    <cfRule type="cellIs" dxfId="982" priority="504" operator="equal">
      <formula>"HEB-280"</formula>
    </cfRule>
    <cfRule type="cellIs" dxfId="981" priority="505" operator="equal">
      <formula>"HEB-260"</formula>
    </cfRule>
    <cfRule type="cellIs" dxfId="980" priority="506" operator="equal">
      <formula>"HEB-240"</formula>
    </cfRule>
  </conditionalFormatting>
  <conditionalFormatting sqref="D87:J96 D109:J109">
    <cfRule type="cellIs" dxfId="979" priority="526" operator="equal">
      <formula>"HEB-2801"</formula>
    </cfRule>
    <cfRule type="cellIs" dxfId="978" priority="527" operator="equal">
      <formula>"HEB-2601"</formula>
    </cfRule>
    <cfRule type="cellIs" dxfId="977" priority="528" operator="equal">
      <formula>"2HEB-320"</formula>
    </cfRule>
    <cfRule type="cellIs" dxfId="976" priority="529" operator="equal">
      <formula>"2HEB-260"</formula>
    </cfRule>
    <cfRule type="cellIs" dxfId="975" priority="530" operator="equal">
      <formula>"2HEB-240"</formula>
    </cfRule>
    <cfRule type="cellIs" dxfId="974" priority="531" operator="equal">
      <formula>"HEB-300"</formula>
    </cfRule>
    <cfRule type="cellIs" dxfId="973" priority="532" operator="equal">
      <formula>"HEB-280"</formula>
    </cfRule>
    <cfRule type="cellIs" dxfId="972" priority="533" operator="equal">
      <formula>"HEB-260"</formula>
    </cfRule>
    <cfRule type="cellIs" dxfId="971" priority="534" operator="equal">
      <formula>"HEB-240"</formula>
    </cfRule>
  </conditionalFormatting>
  <conditionalFormatting sqref="D87:J96 D109:J109">
    <cfRule type="cellIs" dxfId="970" priority="525" operator="equal">
      <formula>"HEB-3001"</formula>
    </cfRule>
  </conditionalFormatting>
  <conditionalFormatting sqref="I87:J96 I109:J109">
    <cfRule type="cellIs" dxfId="969" priority="516" operator="equal">
      <formula>"HEB-2801"</formula>
    </cfRule>
    <cfRule type="cellIs" dxfId="968" priority="517" operator="equal">
      <formula>"HEB-2601"</formula>
    </cfRule>
    <cfRule type="cellIs" dxfId="967" priority="518" operator="equal">
      <formula>"2HEB-320"</formula>
    </cfRule>
    <cfRule type="cellIs" dxfId="966" priority="519" operator="equal">
      <formula>"2HEB-260"</formula>
    </cfRule>
    <cfRule type="cellIs" dxfId="965" priority="520" operator="equal">
      <formula>"2HEB-240"</formula>
    </cfRule>
    <cfRule type="cellIs" dxfId="964" priority="521" operator="equal">
      <formula>"HEB-300"</formula>
    </cfRule>
    <cfRule type="cellIs" dxfId="963" priority="522" operator="equal">
      <formula>"HEB-280"</formula>
    </cfRule>
    <cfRule type="cellIs" dxfId="962" priority="523" operator="equal">
      <formula>"HEB-260"</formula>
    </cfRule>
    <cfRule type="cellIs" dxfId="961" priority="524" operator="equal">
      <formula>"HEB-240"</formula>
    </cfRule>
  </conditionalFormatting>
  <conditionalFormatting sqref="E91:F91">
    <cfRule type="cellIs" dxfId="960" priority="507" operator="equal">
      <formula>"HEB-2801"</formula>
    </cfRule>
    <cfRule type="cellIs" dxfId="959" priority="508" operator="equal">
      <formula>"HEB-2601"</formula>
    </cfRule>
    <cfRule type="cellIs" dxfId="958" priority="509" operator="equal">
      <formula>"2HEB-320"</formula>
    </cfRule>
    <cfRule type="cellIs" dxfId="957" priority="510" operator="equal">
      <formula>"2HEB-260"</formula>
    </cfRule>
    <cfRule type="cellIs" dxfId="956" priority="511" operator="equal">
      <formula>"2HEB-240"</formula>
    </cfRule>
    <cfRule type="cellIs" dxfId="955" priority="512" operator="equal">
      <formula>"HEB-300"</formula>
    </cfRule>
    <cfRule type="cellIs" dxfId="954" priority="513" operator="equal">
      <formula>"HEB-280"</formula>
    </cfRule>
    <cfRule type="cellIs" dxfId="953" priority="514" operator="equal">
      <formula>"HEB-260"</formula>
    </cfRule>
    <cfRule type="cellIs" dxfId="952" priority="515" operator="equal">
      <formula>"HEB-240"</formula>
    </cfRule>
  </conditionalFormatting>
  <conditionalFormatting sqref="D100:J103 D105:J107 G104:J104 D108:G108">
    <cfRule type="cellIs" dxfId="951" priority="452" operator="equal">
      <formula>"HEB-2801"</formula>
    </cfRule>
    <cfRule type="cellIs" dxfId="950" priority="453" operator="equal">
      <formula>"HEB-2601"</formula>
    </cfRule>
    <cfRule type="cellIs" dxfId="949" priority="454" operator="equal">
      <formula>"2HEB-320"</formula>
    </cfRule>
    <cfRule type="cellIs" dxfId="948" priority="455" operator="equal">
      <formula>"2HEB-260"</formula>
    </cfRule>
    <cfRule type="cellIs" dxfId="947" priority="456" operator="equal">
      <formula>"2HEB-240"</formula>
    </cfRule>
    <cfRule type="cellIs" dxfId="946" priority="457" operator="equal">
      <formula>"HEB-300"</formula>
    </cfRule>
    <cfRule type="cellIs" dxfId="945" priority="458" operator="equal">
      <formula>"HEB-280"</formula>
    </cfRule>
    <cfRule type="cellIs" dxfId="944" priority="459" operator="equal">
      <formula>"HEB-260"</formula>
    </cfRule>
    <cfRule type="cellIs" dxfId="943" priority="460" operator="equal">
      <formula>"HEB-240"</formula>
    </cfRule>
  </conditionalFormatting>
  <conditionalFormatting sqref="D100:J103 D105:J107 G104:J104 D108:G108">
    <cfRule type="cellIs" dxfId="942" priority="451" operator="equal">
      <formula>"HEB-3001"</formula>
    </cfRule>
  </conditionalFormatting>
  <conditionalFormatting sqref="I100:J107">
    <cfRule type="cellIs" dxfId="941" priority="442" operator="equal">
      <formula>"HEB-2801"</formula>
    </cfRule>
    <cfRule type="cellIs" dxfId="940" priority="443" operator="equal">
      <formula>"HEB-2601"</formula>
    </cfRule>
    <cfRule type="cellIs" dxfId="939" priority="444" operator="equal">
      <formula>"2HEB-320"</formula>
    </cfRule>
    <cfRule type="cellIs" dxfId="938" priority="445" operator="equal">
      <formula>"2HEB-260"</formula>
    </cfRule>
    <cfRule type="cellIs" dxfId="937" priority="446" operator="equal">
      <formula>"2HEB-240"</formula>
    </cfRule>
    <cfRule type="cellIs" dxfId="936" priority="447" operator="equal">
      <formula>"HEB-300"</formula>
    </cfRule>
    <cfRule type="cellIs" dxfId="935" priority="448" operator="equal">
      <formula>"HEB-280"</formula>
    </cfRule>
    <cfRule type="cellIs" dxfId="934" priority="449" operator="equal">
      <formula>"HEB-260"</formula>
    </cfRule>
    <cfRule type="cellIs" dxfId="933" priority="450" operator="equal">
      <formula>"HEB-240"</formula>
    </cfRule>
  </conditionalFormatting>
  <conditionalFormatting sqref="D104:E104">
    <cfRule type="cellIs" dxfId="932" priority="433" operator="equal">
      <formula>"HEB-2801"</formula>
    </cfRule>
    <cfRule type="cellIs" dxfId="931" priority="434" operator="equal">
      <formula>"HEB-2601"</formula>
    </cfRule>
    <cfRule type="cellIs" dxfId="930" priority="435" operator="equal">
      <formula>"2HEB-320"</formula>
    </cfRule>
    <cfRule type="cellIs" dxfId="929" priority="436" operator="equal">
      <formula>"2HEB-260"</formula>
    </cfRule>
    <cfRule type="cellIs" dxfId="928" priority="437" operator="equal">
      <formula>"2HEB-240"</formula>
    </cfRule>
    <cfRule type="cellIs" dxfId="927" priority="438" operator="equal">
      <formula>"HEB-300"</formula>
    </cfRule>
    <cfRule type="cellIs" dxfId="926" priority="439" operator="equal">
      <formula>"HEB-280"</formula>
    </cfRule>
    <cfRule type="cellIs" dxfId="925" priority="440" operator="equal">
      <formula>"HEB-260"</formula>
    </cfRule>
    <cfRule type="cellIs" dxfId="924" priority="441" operator="equal">
      <formula>"HEB-240"</formula>
    </cfRule>
  </conditionalFormatting>
  <conditionalFormatting sqref="D104:E104">
    <cfRule type="cellIs" dxfId="923" priority="432" operator="equal">
      <formula>"HEB-3001"</formula>
    </cfRule>
  </conditionalFormatting>
  <conditionalFormatting sqref="D104:E104">
    <cfRule type="cellIs" dxfId="922" priority="423" operator="equal">
      <formula>"HEB-2801"</formula>
    </cfRule>
    <cfRule type="cellIs" dxfId="921" priority="424" operator="equal">
      <formula>"HEB-2601"</formula>
    </cfRule>
    <cfRule type="cellIs" dxfId="920" priority="425" operator="equal">
      <formula>"2HEB-320"</formula>
    </cfRule>
    <cfRule type="cellIs" dxfId="919" priority="426" operator="equal">
      <formula>"2HEB-260"</formula>
    </cfRule>
    <cfRule type="cellIs" dxfId="918" priority="427" operator="equal">
      <formula>"2HEB-240"</formula>
    </cfRule>
    <cfRule type="cellIs" dxfId="917" priority="428" operator="equal">
      <formula>"HEB-300"</formula>
    </cfRule>
    <cfRule type="cellIs" dxfId="916" priority="429" operator="equal">
      <formula>"HEB-280"</formula>
    </cfRule>
    <cfRule type="cellIs" dxfId="915" priority="430" operator="equal">
      <formula>"HEB-260"</formula>
    </cfRule>
    <cfRule type="cellIs" dxfId="914" priority="431" operator="equal">
      <formula>"HEB-240"</formula>
    </cfRule>
  </conditionalFormatting>
  <conditionalFormatting sqref="F104">
    <cfRule type="cellIs" dxfId="913" priority="414" operator="equal">
      <formula>"HEB-2801"</formula>
    </cfRule>
    <cfRule type="cellIs" dxfId="912" priority="415" operator="equal">
      <formula>"HEB-2601"</formula>
    </cfRule>
    <cfRule type="cellIs" dxfId="911" priority="416" operator="equal">
      <formula>"2HEB-320"</formula>
    </cfRule>
    <cfRule type="cellIs" dxfId="910" priority="417" operator="equal">
      <formula>"2HEB-260"</formula>
    </cfRule>
    <cfRule type="cellIs" dxfId="909" priority="418" operator="equal">
      <formula>"2HEB-240"</formula>
    </cfRule>
    <cfRule type="cellIs" dxfId="908" priority="419" operator="equal">
      <formula>"HEB-300"</formula>
    </cfRule>
    <cfRule type="cellIs" dxfId="907" priority="420" operator="equal">
      <formula>"HEB-280"</formula>
    </cfRule>
    <cfRule type="cellIs" dxfId="906" priority="421" operator="equal">
      <formula>"HEB-260"</formula>
    </cfRule>
    <cfRule type="cellIs" dxfId="905" priority="422" operator="equal">
      <formula>"HEB-240"</formula>
    </cfRule>
  </conditionalFormatting>
  <conditionalFormatting sqref="F104">
    <cfRule type="cellIs" dxfId="904" priority="413" operator="equal">
      <formula>"HEB-3001"</formula>
    </cfRule>
  </conditionalFormatting>
  <conditionalFormatting sqref="H108:J108">
    <cfRule type="cellIs" dxfId="903" priority="404" operator="equal">
      <formula>"HEB-2801"</formula>
    </cfRule>
    <cfRule type="cellIs" dxfId="902" priority="405" operator="equal">
      <formula>"HEB-2601"</formula>
    </cfRule>
    <cfRule type="cellIs" dxfId="901" priority="406" operator="equal">
      <formula>"2HEB-320"</formula>
    </cfRule>
    <cfRule type="cellIs" dxfId="900" priority="407" operator="equal">
      <formula>"2HEB-260"</formula>
    </cfRule>
    <cfRule type="cellIs" dxfId="899" priority="408" operator="equal">
      <formula>"2HEB-240"</formula>
    </cfRule>
    <cfRule type="cellIs" dxfId="898" priority="409" operator="equal">
      <formula>"HEB-300"</formula>
    </cfRule>
    <cfRule type="cellIs" dxfId="897" priority="410" operator="equal">
      <formula>"HEB-280"</formula>
    </cfRule>
    <cfRule type="cellIs" dxfId="896" priority="411" operator="equal">
      <formula>"HEB-260"</formula>
    </cfRule>
    <cfRule type="cellIs" dxfId="895" priority="412" operator="equal">
      <formula>"HEB-240"</formula>
    </cfRule>
  </conditionalFormatting>
  <conditionalFormatting sqref="H108:J108">
    <cfRule type="cellIs" dxfId="894" priority="403" operator="equal">
      <formula>"HEB-3001"</formula>
    </cfRule>
  </conditionalFormatting>
  <conditionalFormatting sqref="D113:H116 D121:G121 D118:H120 G117:H117">
    <cfRule type="cellIs" dxfId="893" priority="394" operator="equal">
      <formula>"HEB-2801"</formula>
    </cfRule>
    <cfRule type="cellIs" dxfId="892" priority="395" operator="equal">
      <formula>"HEB-2601"</formula>
    </cfRule>
    <cfRule type="cellIs" dxfId="891" priority="396" operator="equal">
      <formula>"2HEB-320"</formula>
    </cfRule>
    <cfRule type="cellIs" dxfId="890" priority="397" operator="equal">
      <formula>"2HEB-260"</formula>
    </cfRule>
    <cfRule type="cellIs" dxfId="889" priority="398" operator="equal">
      <formula>"2HEB-240"</formula>
    </cfRule>
    <cfRule type="cellIs" dxfId="888" priority="399" operator="equal">
      <formula>"HEB-300"</formula>
    </cfRule>
    <cfRule type="cellIs" dxfId="887" priority="400" operator="equal">
      <formula>"HEB-280"</formula>
    </cfRule>
    <cfRule type="cellIs" dxfId="886" priority="401" operator="equal">
      <formula>"HEB-260"</formula>
    </cfRule>
    <cfRule type="cellIs" dxfId="885" priority="402" operator="equal">
      <formula>"HEB-240"</formula>
    </cfRule>
  </conditionalFormatting>
  <conditionalFormatting sqref="D113:H116 D121:G121 D118:H120 G117:H117">
    <cfRule type="cellIs" dxfId="884" priority="393" operator="equal">
      <formula>"HEB-3001"</formula>
    </cfRule>
  </conditionalFormatting>
  <conditionalFormatting sqref="I113:J120">
    <cfRule type="cellIs" dxfId="883" priority="384" operator="equal">
      <formula>"HEB-2801"</formula>
    </cfRule>
    <cfRule type="cellIs" dxfId="882" priority="385" operator="equal">
      <formula>"HEB-2601"</formula>
    </cfRule>
    <cfRule type="cellIs" dxfId="881" priority="386" operator="equal">
      <formula>"2HEB-320"</formula>
    </cfRule>
    <cfRule type="cellIs" dxfId="880" priority="387" operator="equal">
      <formula>"2HEB-260"</formula>
    </cfRule>
    <cfRule type="cellIs" dxfId="879" priority="388" operator="equal">
      <formula>"2HEB-240"</formula>
    </cfRule>
    <cfRule type="cellIs" dxfId="878" priority="389" operator="equal">
      <formula>"HEB-300"</formula>
    </cfRule>
    <cfRule type="cellIs" dxfId="877" priority="390" operator="equal">
      <formula>"HEB-280"</formula>
    </cfRule>
    <cfRule type="cellIs" dxfId="876" priority="391" operator="equal">
      <formula>"HEB-260"</formula>
    </cfRule>
    <cfRule type="cellIs" dxfId="875" priority="392" operator="equal">
      <formula>"HEB-240"</formula>
    </cfRule>
  </conditionalFormatting>
  <conditionalFormatting sqref="I113:J120">
    <cfRule type="cellIs" dxfId="874" priority="383" operator="equal">
      <formula>"HEB-3001"</formula>
    </cfRule>
  </conditionalFormatting>
  <conditionalFormatting sqref="I113:J120">
    <cfRule type="cellIs" dxfId="873" priority="374" operator="equal">
      <formula>"HEB-2801"</formula>
    </cfRule>
    <cfRule type="cellIs" dxfId="872" priority="375" operator="equal">
      <formula>"HEB-2601"</formula>
    </cfRule>
    <cfRule type="cellIs" dxfId="871" priority="376" operator="equal">
      <formula>"2HEB-320"</formula>
    </cfRule>
    <cfRule type="cellIs" dxfId="870" priority="377" operator="equal">
      <formula>"2HEB-260"</formula>
    </cfRule>
    <cfRule type="cellIs" dxfId="869" priority="378" operator="equal">
      <formula>"2HEB-240"</formula>
    </cfRule>
    <cfRule type="cellIs" dxfId="868" priority="379" operator="equal">
      <formula>"HEB-300"</formula>
    </cfRule>
    <cfRule type="cellIs" dxfId="867" priority="380" operator="equal">
      <formula>"HEB-280"</formula>
    </cfRule>
    <cfRule type="cellIs" dxfId="866" priority="381" operator="equal">
      <formula>"HEB-260"</formula>
    </cfRule>
    <cfRule type="cellIs" dxfId="865" priority="382" operator="equal">
      <formula>"HEB-240"</formula>
    </cfRule>
  </conditionalFormatting>
  <conditionalFormatting sqref="H121:J121">
    <cfRule type="cellIs" dxfId="864" priority="365" operator="equal">
      <formula>"HEB-2801"</formula>
    </cfRule>
    <cfRule type="cellIs" dxfId="863" priority="366" operator="equal">
      <formula>"HEB-2601"</formula>
    </cfRule>
    <cfRule type="cellIs" dxfId="862" priority="367" operator="equal">
      <formula>"2HEB-320"</formula>
    </cfRule>
    <cfRule type="cellIs" dxfId="861" priority="368" operator="equal">
      <formula>"2HEB-260"</formula>
    </cfRule>
    <cfRule type="cellIs" dxfId="860" priority="369" operator="equal">
      <formula>"2HEB-240"</formula>
    </cfRule>
    <cfRule type="cellIs" dxfId="859" priority="370" operator="equal">
      <formula>"HEB-300"</formula>
    </cfRule>
    <cfRule type="cellIs" dxfId="858" priority="371" operator="equal">
      <formula>"HEB-280"</formula>
    </cfRule>
    <cfRule type="cellIs" dxfId="857" priority="372" operator="equal">
      <formula>"HEB-260"</formula>
    </cfRule>
    <cfRule type="cellIs" dxfId="856" priority="373" operator="equal">
      <formula>"HEB-240"</formula>
    </cfRule>
  </conditionalFormatting>
  <conditionalFormatting sqref="H121:J121">
    <cfRule type="cellIs" dxfId="855" priority="364" operator="equal">
      <formula>"HEB-3001"</formula>
    </cfRule>
  </conditionalFormatting>
  <conditionalFormatting sqref="D117:F117">
    <cfRule type="cellIs" dxfId="854" priority="355" operator="equal">
      <formula>"HEB-2801"</formula>
    </cfRule>
    <cfRule type="cellIs" dxfId="853" priority="356" operator="equal">
      <formula>"HEB-2601"</formula>
    </cfRule>
    <cfRule type="cellIs" dxfId="852" priority="357" operator="equal">
      <formula>"2HEB-320"</formula>
    </cfRule>
    <cfRule type="cellIs" dxfId="851" priority="358" operator="equal">
      <formula>"2HEB-260"</formula>
    </cfRule>
    <cfRule type="cellIs" dxfId="850" priority="359" operator="equal">
      <formula>"2HEB-240"</formula>
    </cfRule>
    <cfRule type="cellIs" dxfId="849" priority="360" operator="equal">
      <formula>"HEB-300"</formula>
    </cfRule>
    <cfRule type="cellIs" dxfId="848" priority="361" operator="equal">
      <formula>"HEB-280"</formula>
    </cfRule>
    <cfRule type="cellIs" dxfId="847" priority="362" operator="equal">
      <formula>"HEB-260"</formula>
    </cfRule>
    <cfRule type="cellIs" dxfId="846" priority="363" operator="equal">
      <formula>"HEB-240"</formula>
    </cfRule>
  </conditionalFormatting>
  <conditionalFormatting sqref="D117:F117">
    <cfRule type="cellIs" dxfId="845" priority="354" operator="equal">
      <formula>"HEB-3001"</formula>
    </cfRule>
  </conditionalFormatting>
  <conditionalFormatting sqref="D117:F117">
    <cfRule type="cellIs" dxfId="844" priority="345" operator="equal">
      <formula>"HEB-2801"</formula>
    </cfRule>
    <cfRule type="cellIs" dxfId="843" priority="346" operator="equal">
      <formula>"HEB-2601"</formula>
    </cfRule>
    <cfRule type="cellIs" dxfId="842" priority="347" operator="equal">
      <formula>"2HEB-320"</formula>
    </cfRule>
    <cfRule type="cellIs" dxfId="841" priority="348" operator="equal">
      <formula>"2HEB-260"</formula>
    </cfRule>
    <cfRule type="cellIs" dxfId="840" priority="349" operator="equal">
      <formula>"2HEB-240"</formula>
    </cfRule>
    <cfRule type="cellIs" dxfId="839" priority="350" operator="equal">
      <formula>"HEB-300"</formula>
    </cfRule>
    <cfRule type="cellIs" dxfId="838" priority="351" operator="equal">
      <formula>"HEB-280"</formula>
    </cfRule>
    <cfRule type="cellIs" dxfId="837" priority="352" operator="equal">
      <formula>"HEB-260"</formula>
    </cfRule>
    <cfRule type="cellIs" dxfId="836" priority="353" operator="equal">
      <formula>"HEB-240"</formula>
    </cfRule>
  </conditionalFormatting>
  <conditionalFormatting sqref="I126:J133">
    <cfRule type="cellIs" dxfId="835" priority="258" operator="equal">
      <formula>"HEB-2801"</formula>
    </cfRule>
    <cfRule type="cellIs" dxfId="834" priority="259" operator="equal">
      <formula>"HEB-2601"</formula>
    </cfRule>
    <cfRule type="cellIs" dxfId="833" priority="260" operator="equal">
      <formula>"2HEB-320"</formula>
    </cfRule>
    <cfRule type="cellIs" dxfId="832" priority="261" operator="equal">
      <formula>"2HEB-260"</formula>
    </cfRule>
    <cfRule type="cellIs" dxfId="831" priority="262" operator="equal">
      <formula>"2HEB-240"</formula>
    </cfRule>
    <cfRule type="cellIs" dxfId="830" priority="263" operator="equal">
      <formula>"HEB-300"</formula>
    </cfRule>
    <cfRule type="cellIs" dxfId="829" priority="264" operator="equal">
      <formula>"HEB-280"</formula>
    </cfRule>
    <cfRule type="cellIs" dxfId="828" priority="265" operator="equal">
      <formula>"HEB-260"</formula>
    </cfRule>
    <cfRule type="cellIs" dxfId="827" priority="266" operator="equal">
      <formula>"HEB-240"</formula>
    </cfRule>
  </conditionalFormatting>
  <conditionalFormatting sqref="D130:F130">
    <cfRule type="cellIs" dxfId="826" priority="239" operator="equal">
      <formula>"HEB-2801"</formula>
    </cfRule>
    <cfRule type="cellIs" dxfId="825" priority="240" operator="equal">
      <formula>"HEB-2601"</formula>
    </cfRule>
    <cfRule type="cellIs" dxfId="824" priority="241" operator="equal">
      <formula>"2HEB-320"</formula>
    </cfRule>
    <cfRule type="cellIs" dxfId="823" priority="242" operator="equal">
      <formula>"2HEB-260"</formula>
    </cfRule>
    <cfRule type="cellIs" dxfId="822" priority="243" operator="equal">
      <formula>"2HEB-240"</formula>
    </cfRule>
    <cfRule type="cellIs" dxfId="821" priority="244" operator="equal">
      <formula>"HEB-300"</formula>
    </cfRule>
    <cfRule type="cellIs" dxfId="820" priority="245" operator="equal">
      <formula>"HEB-280"</formula>
    </cfRule>
    <cfRule type="cellIs" dxfId="819" priority="246" operator="equal">
      <formula>"HEB-260"</formula>
    </cfRule>
    <cfRule type="cellIs" dxfId="818" priority="247" operator="equal">
      <formula>"HEB-240"</formula>
    </cfRule>
  </conditionalFormatting>
  <conditionalFormatting sqref="D130:F130">
    <cfRule type="cellIs" dxfId="817" priority="238" operator="equal">
      <formula>"HEB-3001"</formula>
    </cfRule>
  </conditionalFormatting>
  <conditionalFormatting sqref="D126:H129 D134:G134 D131:H133 G130:H130">
    <cfRule type="cellIs" dxfId="816" priority="278" operator="equal">
      <formula>"HEB-2801"</formula>
    </cfRule>
    <cfRule type="cellIs" dxfId="815" priority="279" operator="equal">
      <formula>"HEB-2601"</formula>
    </cfRule>
    <cfRule type="cellIs" dxfId="814" priority="280" operator="equal">
      <formula>"2HEB-320"</formula>
    </cfRule>
    <cfRule type="cellIs" dxfId="813" priority="281" operator="equal">
      <formula>"2HEB-260"</formula>
    </cfRule>
    <cfRule type="cellIs" dxfId="812" priority="282" operator="equal">
      <formula>"2HEB-240"</formula>
    </cfRule>
    <cfRule type="cellIs" dxfId="811" priority="283" operator="equal">
      <formula>"HEB-300"</formula>
    </cfRule>
    <cfRule type="cellIs" dxfId="810" priority="284" operator="equal">
      <formula>"HEB-280"</formula>
    </cfRule>
    <cfRule type="cellIs" dxfId="809" priority="285" operator="equal">
      <formula>"HEB-260"</formula>
    </cfRule>
    <cfRule type="cellIs" dxfId="808" priority="286" operator="equal">
      <formula>"HEB-240"</formula>
    </cfRule>
  </conditionalFormatting>
  <conditionalFormatting sqref="D126:H129 D134:G134 D131:H133 G130:H130">
    <cfRule type="cellIs" dxfId="807" priority="277" operator="equal">
      <formula>"HEB-3001"</formula>
    </cfRule>
  </conditionalFormatting>
  <conditionalFormatting sqref="I126:J133">
    <cfRule type="cellIs" dxfId="806" priority="268" operator="equal">
      <formula>"HEB-2801"</formula>
    </cfRule>
    <cfRule type="cellIs" dxfId="805" priority="269" operator="equal">
      <formula>"HEB-2601"</formula>
    </cfRule>
    <cfRule type="cellIs" dxfId="804" priority="270" operator="equal">
      <formula>"2HEB-320"</formula>
    </cfRule>
    <cfRule type="cellIs" dxfId="803" priority="271" operator="equal">
      <formula>"2HEB-260"</formula>
    </cfRule>
    <cfRule type="cellIs" dxfId="802" priority="272" operator="equal">
      <formula>"2HEB-240"</formula>
    </cfRule>
    <cfRule type="cellIs" dxfId="801" priority="273" operator="equal">
      <formula>"HEB-300"</formula>
    </cfRule>
    <cfRule type="cellIs" dxfId="800" priority="274" operator="equal">
      <formula>"HEB-280"</formula>
    </cfRule>
    <cfRule type="cellIs" dxfId="799" priority="275" operator="equal">
      <formula>"HEB-260"</formula>
    </cfRule>
    <cfRule type="cellIs" dxfId="798" priority="276" operator="equal">
      <formula>"HEB-240"</formula>
    </cfRule>
  </conditionalFormatting>
  <conditionalFormatting sqref="I126:J133">
    <cfRule type="cellIs" dxfId="797" priority="267" operator="equal">
      <formula>"HEB-3001"</formula>
    </cfRule>
  </conditionalFormatting>
  <conditionalFormatting sqref="H134:J134">
    <cfRule type="cellIs" dxfId="796" priority="249" operator="equal">
      <formula>"HEB-2801"</formula>
    </cfRule>
    <cfRule type="cellIs" dxfId="795" priority="250" operator="equal">
      <formula>"HEB-2601"</formula>
    </cfRule>
    <cfRule type="cellIs" dxfId="794" priority="251" operator="equal">
      <formula>"2HEB-320"</formula>
    </cfRule>
    <cfRule type="cellIs" dxfId="793" priority="252" operator="equal">
      <formula>"2HEB-260"</formula>
    </cfRule>
    <cfRule type="cellIs" dxfId="792" priority="253" operator="equal">
      <formula>"2HEB-240"</formula>
    </cfRule>
    <cfRule type="cellIs" dxfId="791" priority="254" operator="equal">
      <formula>"HEB-300"</formula>
    </cfRule>
    <cfRule type="cellIs" dxfId="790" priority="255" operator="equal">
      <formula>"HEB-280"</formula>
    </cfRule>
    <cfRule type="cellIs" dxfId="789" priority="256" operator="equal">
      <formula>"HEB-260"</formula>
    </cfRule>
    <cfRule type="cellIs" dxfId="788" priority="257" operator="equal">
      <formula>"HEB-240"</formula>
    </cfRule>
  </conditionalFormatting>
  <conditionalFormatting sqref="H134:J134">
    <cfRule type="cellIs" dxfId="787" priority="248" operator="equal">
      <formula>"HEB-3001"</formula>
    </cfRule>
  </conditionalFormatting>
  <conditionalFormatting sqref="D139:H142 D144:H146 G143:H143 D147:G147">
    <cfRule type="cellIs" dxfId="786" priority="229" operator="equal">
      <formula>"HEB-2801"</formula>
    </cfRule>
    <cfRule type="cellIs" dxfId="785" priority="230" operator="equal">
      <formula>"HEB-2601"</formula>
    </cfRule>
    <cfRule type="cellIs" dxfId="784" priority="231" operator="equal">
      <formula>"2HEB-320"</formula>
    </cfRule>
    <cfRule type="cellIs" dxfId="783" priority="232" operator="equal">
      <formula>"2HEB-260"</formula>
    </cfRule>
    <cfRule type="cellIs" dxfId="782" priority="233" operator="equal">
      <formula>"2HEB-240"</formula>
    </cfRule>
    <cfRule type="cellIs" dxfId="781" priority="234" operator="equal">
      <formula>"HEB-300"</formula>
    </cfRule>
    <cfRule type="cellIs" dxfId="780" priority="235" operator="equal">
      <formula>"HEB-280"</formula>
    </cfRule>
    <cfRule type="cellIs" dxfId="779" priority="236" operator="equal">
      <formula>"HEB-260"</formula>
    </cfRule>
    <cfRule type="cellIs" dxfId="778" priority="237" operator="equal">
      <formula>"HEB-240"</formula>
    </cfRule>
  </conditionalFormatting>
  <conditionalFormatting sqref="D139:H142 D144:H146 G143:H143 D147:G147">
    <cfRule type="cellIs" dxfId="777" priority="228" operator="equal">
      <formula>"HEB-3001"</formula>
    </cfRule>
  </conditionalFormatting>
  <conditionalFormatting sqref="I139:J146">
    <cfRule type="cellIs" dxfId="776" priority="219" operator="equal">
      <formula>"HEB-2801"</formula>
    </cfRule>
    <cfRule type="cellIs" dxfId="775" priority="220" operator="equal">
      <formula>"HEB-2601"</formula>
    </cfRule>
    <cfRule type="cellIs" dxfId="774" priority="221" operator="equal">
      <formula>"2HEB-320"</formula>
    </cfRule>
    <cfRule type="cellIs" dxfId="773" priority="222" operator="equal">
      <formula>"2HEB-260"</formula>
    </cfRule>
    <cfRule type="cellIs" dxfId="772" priority="223" operator="equal">
      <formula>"2HEB-240"</formula>
    </cfRule>
    <cfRule type="cellIs" dxfId="771" priority="224" operator="equal">
      <formula>"HEB-300"</formula>
    </cfRule>
    <cfRule type="cellIs" dxfId="770" priority="225" operator="equal">
      <formula>"HEB-280"</formula>
    </cfRule>
    <cfRule type="cellIs" dxfId="769" priority="226" operator="equal">
      <formula>"HEB-260"</formula>
    </cfRule>
    <cfRule type="cellIs" dxfId="768" priority="227" operator="equal">
      <formula>"HEB-240"</formula>
    </cfRule>
  </conditionalFormatting>
  <conditionalFormatting sqref="I139:J146">
    <cfRule type="cellIs" dxfId="767" priority="218" operator="equal">
      <formula>"HEB-3001"</formula>
    </cfRule>
  </conditionalFormatting>
  <conditionalFormatting sqref="I139:J146">
    <cfRule type="cellIs" dxfId="766" priority="209" operator="equal">
      <formula>"HEB-2801"</formula>
    </cfRule>
    <cfRule type="cellIs" dxfId="765" priority="210" operator="equal">
      <formula>"HEB-2601"</formula>
    </cfRule>
    <cfRule type="cellIs" dxfId="764" priority="211" operator="equal">
      <formula>"2HEB-320"</formula>
    </cfRule>
    <cfRule type="cellIs" dxfId="763" priority="212" operator="equal">
      <formula>"2HEB-260"</formula>
    </cfRule>
    <cfRule type="cellIs" dxfId="762" priority="213" operator="equal">
      <formula>"2HEB-240"</formula>
    </cfRule>
    <cfRule type="cellIs" dxfId="761" priority="214" operator="equal">
      <formula>"HEB-300"</formula>
    </cfRule>
    <cfRule type="cellIs" dxfId="760" priority="215" operator="equal">
      <formula>"HEB-280"</formula>
    </cfRule>
    <cfRule type="cellIs" dxfId="759" priority="216" operator="equal">
      <formula>"HEB-260"</formula>
    </cfRule>
    <cfRule type="cellIs" dxfId="758" priority="217" operator="equal">
      <formula>"HEB-240"</formula>
    </cfRule>
  </conditionalFormatting>
  <conditionalFormatting sqref="D143:F143">
    <cfRule type="cellIs" dxfId="757" priority="200" operator="equal">
      <formula>"HEB-2801"</formula>
    </cfRule>
    <cfRule type="cellIs" dxfId="756" priority="201" operator="equal">
      <formula>"HEB-2601"</formula>
    </cfRule>
    <cfRule type="cellIs" dxfId="755" priority="202" operator="equal">
      <formula>"2HEB-320"</formula>
    </cfRule>
    <cfRule type="cellIs" dxfId="754" priority="203" operator="equal">
      <formula>"2HEB-260"</formula>
    </cfRule>
    <cfRule type="cellIs" dxfId="753" priority="204" operator="equal">
      <formula>"2HEB-240"</formula>
    </cfRule>
    <cfRule type="cellIs" dxfId="752" priority="205" operator="equal">
      <formula>"HEB-300"</formula>
    </cfRule>
    <cfRule type="cellIs" dxfId="751" priority="206" operator="equal">
      <formula>"HEB-280"</formula>
    </cfRule>
    <cfRule type="cellIs" dxfId="750" priority="207" operator="equal">
      <formula>"HEB-260"</formula>
    </cfRule>
    <cfRule type="cellIs" dxfId="749" priority="208" operator="equal">
      <formula>"HEB-240"</formula>
    </cfRule>
  </conditionalFormatting>
  <conditionalFormatting sqref="D143:F143">
    <cfRule type="cellIs" dxfId="748" priority="199" operator="equal">
      <formula>"HEB-3001"</formula>
    </cfRule>
  </conditionalFormatting>
  <conditionalFormatting sqref="D143:F143">
    <cfRule type="cellIs" dxfId="747" priority="190" operator="equal">
      <formula>"HEB-2801"</formula>
    </cfRule>
    <cfRule type="cellIs" dxfId="746" priority="191" operator="equal">
      <formula>"HEB-2601"</formula>
    </cfRule>
    <cfRule type="cellIs" dxfId="745" priority="192" operator="equal">
      <formula>"2HEB-320"</formula>
    </cfRule>
    <cfRule type="cellIs" dxfId="744" priority="193" operator="equal">
      <formula>"2HEB-260"</formula>
    </cfRule>
    <cfRule type="cellIs" dxfId="743" priority="194" operator="equal">
      <formula>"2HEB-240"</formula>
    </cfRule>
    <cfRule type="cellIs" dxfId="742" priority="195" operator="equal">
      <formula>"HEB-300"</formula>
    </cfRule>
    <cfRule type="cellIs" dxfId="741" priority="196" operator="equal">
      <formula>"HEB-280"</formula>
    </cfRule>
    <cfRule type="cellIs" dxfId="740" priority="197" operator="equal">
      <formula>"HEB-260"</formula>
    </cfRule>
    <cfRule type="cellIs" dxfId="739" priority="198" operator="equal">
      <formula>"HEB-240"</formula>
    </cfRule>
  </conditionalFormatting>
  <conditionalFormatting sqref="H147:J147">
    <cfRule type="cellIs" dxfId="738" priority="181" operator="equal">
      <formula>"HEB-2801"</formula>
    </cfRule>
    <cfRule type="cellIs" dxfId="737" priority="182" operator="equal">
      <formula>"HEB-2601"</formula>
    </cfRule>
    <cfRule type="cellIs" dxfId="736" priority="183" operator="equal">
      <formula>"2HEB-320"</formula>
    </cfRule>
    <cfRule type="cellIs" dxfId="735" priority="184" operator="equal">
      <formula>"2HEB-260"</formula>
    </cfRule>
    <cfRule type="cellIs" dxfId="734" priority="185" operator="equal">
      <formula>"2HEB-240"</formula>
    </cfRule>
    <cfRule type="cellIs" dxfId="733" priority="186" operator="equal">
      <formula>"HEB-300"</formula>
    </cfRule>
    <cfRule type="cellIs" dxfId="732" priority="187" operator="equal">
      <formula>"HEB-280"</formula>
    </cfRule>
    <cfRule type="cellIs" dxfId="731" priority="188" operator="equal">
      <formula>"HEB-260"</formula>
    </cfRule>
    <cfRule type="cellIs" dxfId="730" priority="189" operator="equal">
      <formula>"HEB-240"</formula>
    </cfRule>
  </conditionalFormatting>
  <conditionalFormatting sqref="H147:J147">
    <cfRule type="cellIs" dxfId="729" priority="180" operator="equal">
      <formula>"HEB-3001"</formula>
    </cfRule>
  </conditionalFormatting>
  <conditionalFormatting sqref="I152:J159">
    <cfRule type="cellIs" dxfId="728" priority="93" operator="equal">
      <formula>"HEB-2801"</formula>
    </cfRule>
    <cfRule type="cellIs" dxfId="727" priority="94" operator="equal">
      <formula>"HEB-2601"</formula>
    </cfRule>
    <cfRule type="cellIs" dxfId="726" priority="95" operator="equal">
      <formula>"2HEB-320"</formula>
    </cfRule>
    <cfRule type="cellIs" dxfId="725" priority="96" operator="equal">
      <formula>"2HEB-260"</formula>
    </cfRule>
    <cfRule type="cellIs" dxfId="724" priority="97" operator="equal">
      <formula>"2HEB-240"</formula>
    </cfRule>
    <cfRule type="cellIs" dxfId="723" priority="98" operator="equal">
      <formula>"HEB-300"</formula>
    </cfRule>
    <cfRule type="cellIs" dxfId="722" priority="99" operator="equal">
      <formula>"HEB-280"</formula>
    </cfRule>
    <cfRule type="cellIs" dxfId="721" priority="100" operator="equal">
      <formula>"HEB-260"</formula>
    </cfRule>
    <cfRule type="cellIs" dxfId="720" priority="101" operator="equal">
      <formula>"HEB-240"</formula>
    </cfRule>
  </conditionalFormatting>
  <conditionalFormatting sqref="H160:J160">
    <cfRule type="cellIs" dxfId="719" priority="74" operator="equal">
      <formula>"HEB-2801"</formula>
    </cfRule>
    <cfRule type="cellIs" dxfId="718" priority="75" operator="equal">
      <formula>"HEB-2601"</formula>
    </cfRule>
    <cfRule type="cellIs" dxfId="717" priority="76" operator="equal">
      <formula>"2HEB-320"</formula>
    </cfRule>
    <cfRule type="cellIs" dxfId="716" priority="77" operator="equal">
      <formula>"2HEB-260"</formula>
    </cfRule>
    <cfRule type="cellIs" dxfId="715" priority="78" operator="equal">
      <formula>"2HEB-240"</formula>
    </cfRule>
    <cfRule type="cellIs" dxfId="714" priority="79" operator="equal">
      <formula>"HEB-300"</formula>
    </cfRule>
    <cfRule type="cellIs" dxfId="713" priority="80" operator="equal">
      <formula>"HEB-280"</formula>
    </cfRule>
    <cfRule type="cellIs" dxfId="712" priority="81" operator="equal">
      <formula>"HEB-260"</formula>
    </cfRule>
    <cfRule type="cellIs" dxfId="711" priority="82" operator="equal">
      <formula>"HEB-240"</formula>
    </cfRule>
  </conditionalFormatting>
  <conditionalFormatting sqref="H160:J160">
    <cfRule type="cellIs" dxfId="710" priority="73" operator="equal">
      <formula>"HEB-3001"</formula>
    </cfRule>
  </conditionalFormatting>
  <conditionalFormatting sqref="D152:H155 D157:H159 G156:H156 D160:G160">
    <cfRule type="cellIs" dxfId="709" priority="113" operator="equal">
      <formula>"HEB-2801"</formula>
    </cfRule>
    <cfRule type="cellIs" dxfId="708" priority="114" operator="equal">
      <formula>"HEB-2601"</formula>
    </cfRule>
    <cfRule type="cellIs" dxfId="707" priority="115" operator="equal">
      <formula>"2HEB-320"</formula>
    </cfRule>
    <cfRule type="cellIs" dxfId="706" priority="116" operator="equal">
      <formula>"2HEB-260"</formula>
    </cfRule>
    <cfRule type="cellIs" dxfId="705" priority="117" operator="equal">
      <formula>"2HEB-240"</formula>
    </cfRule>
    <cfRule type="cellIs" dxfId="704" priority="118" operator="equal">
      <formula>"HEB-300"</formula>
    </cfRule>
    <cfRule type="cellIs" dxfId="703" priority="119" operator="equal">
      <formula>"HEB-280"</formula>
    </cfRule>
    <cfRule type="cellIs" dxfId="702" priority="120" operator="equal">
      <formula>"HEB-260"</formula>
    </cfRule>
    <cfRule type="cellIs" dxfId="701" priority="121" operator="equal">
      <formula>"HEB-240"</formula>
    </cfRule>
  </conditionalFormatting>
  <conditionalFormatting sqref="D152:H155 D157:H159 G156:H156 D160:G160">
    <cfRule type="cellIs" dxfId="700" priority="112" operator="equal">
      <formula>"HEB-3001"</formula>
    </cfRule>
  </conditionalFormatting>
  <conditionalFormatting sqref="I152:J159">
    <cfRule type="cellIs" dxfId="699" priority="103" operator="equal">
      <formula>"HEB-2801"</formula>
    </cfRule>
    <cfRule type="cellIs" dxfId="698" priority="104" operator="equal">
      <formula>"HEB-2601"</formula>
    </cfRule>
    <cfRule type="cellIs" dxfId="697" priority="105" operator="equal">
      <formula>"2HEB-320"</formula>
    </cfRule>
    <cfRule type="cellIs" dxfId="696" priority="106" operator="equal">
      <formula>"2HEB-260"</formula>
    </cfRule>
    <cfRule type="cellIs" dxfId="695" priority="107" operator="equal">
      <formula>"2HEB-240"</formula>
    </cfRule>
    <cfRule type="cellIs" dxfId="694" priority="108" operator="equal">
      <formula>"HEB-300"</formula>
    </cfRule>
    <cfRule type="cellIs" dxfId="693" priority="109" operator="equal">
      <formula>"HEB-280"</formula>
    </cfRule>
    <cfRule type="cellIs" dxfId="692" priority="110" operator="equal">
      <formula>"HEB-260"</formula>
    </cfRule>
    <cfRule type="cellIs" dxfId="691" priority="111" operator="equal">
      <formula>"HEB-240"</formula>
    </cfRule>
  </conditionalFormatting>
  <conditionalFormatting sqref="I152:J159">
    <cfRule type="cellIs" dxfId="690" priority="102" operator="equal">
      <formula>"HEB-3001"</formula>
    </cfRule>
  </conditionalFormatting>
  <conditionalFormatting sqref="D156:F156">
    <cfRule type="cellIs" dxfId="689" priority="84" operator="equal">
      <formula>"HEB-2801"</formula>
    </cfRule>
    <cfRule type="cellIs" dxfId="688" priority="85" operator="equal">
      <formula>"HEB-2601"</formula>
    </cfRule>
    <cfRule type="cellIs" dxfId="687" priority="86" operator="equal">
      <formula>"2HEB-320"</formula>
    </cfRule>
    <cfRule type="cellIs" dxfId="686" priority="87" operator="equal">
      <formula>"2HEB-260"</formula>
    </cfRule>
    <cfRule type="cellIs" dxfId="685" priority="88" operator="equal">
      <formula>"2HEB-240"</formula>
    </cfRule>
    <cfRule type="cellIs" dxfId="684" priority="89" operator="equal">
      <formula>"HEB-300"</formula>
    </cfRule>
    <cfRule type="cellIs" dxfId="683" priority="90" operator="equal">
      <formula>"HEB-280"</formula>
    </cfRule>
    <cfRule type="cellIs" dxfId="682" priority="91" operator="equal">
      <formula>"HEB-260"</formula>
    </cfRule>
    <cfRule type="cellIs" dxfId="681" priority="92" operator="equal">
      <formula>"HEB-240"</formula>
    </cfRule>
  </conditionalFormatting>
  <conditionalFormatting sqref="D156:F156">
    <cfRule type="cellIs" dxfId="680" priority="83" operator="equal">
      <formula>"HEB-3001"</formula>
    </cfRule>
  </conditionalFormatting>
  <conditionalFormatting sqref="D205:H213">
    <cfRule type="cellIs" dxfId="679" priority="64" operator="equal">
      <formula>"HEB-2801"</formula>
    </cfRule>
    <cfRule type="cellIs" dxfId="678" priority="65" operator="equal">
      <formula>"HEB-2601"</formula>
    </cfRule>
    <cfRule type="cellIs" dxfId="677" priority="66" operator="equal">
      <formula>"2HEB-320"</formula>
    </cfRule>
    <cfRule type="cellIs" dxfId="676" priority="67" operator="equal">
      <formula>"2HEB-260"</formula>
    </cfRule>
    <cfRule type="cellIs" dxfId="675" priority="68" operator="equal">
      <formula>"2HEB-240"</formula>
    </cfRule>
    <cfRule type="cellIs" dxfId="674" priority="69" operator="equal">
      <formula>"HEB-300"</formula>
    </cfRule>
    <cfRule type="cellIs" dxfId="673" priority="70" operator="equal">
      <formula>"HEB-280"</formula>
    </cfRule>
    <cfRule type="cellIs" dxfId="672" priority="71" operator="equal">
      <formula>"HEB-260"</formula>
    </cfRule>
    <cfRule type="cellIs" dxfId="671" priority="72" operator="equal">
      <formula>"HEB-240"</formula>
    </cfRule>
  </conditionalFormatting>
  <conditionalFormatting sqref="D205:H213">
    <cfRule type="cellIs" dxfId="670" priority="63" operator="equal">
      <formula>"HEB-3001"</formula>
    </cfRule>
  </conditionalFormatting>
  <conditionalFormatting sqref="D242:D245">
    <cfRule type="cellIs" dxfId="669" priority="54" operator="equal">
      <formula>"HEB-2801"</formula>
    </cfRule>
    <cfRule type="cellIs" dxfId="668" priority="55" operator="equal">
      <formula>"HEB-2601"</formula>
    </cfRule>
    <cfRule type="cellIs" dxfId="667" priority="56" operator="equal">
      <formula>"2HEB-320"</formula>
    </cfRule>
    <cfRule type="cellIs" dxfId="666" priority="57" operator="equal">
      <formula>"2HEB-260"</formula>
    </cfRule>
    <cfRule type="cellIs" dxfId="665" priority="58" operator="equal">
      <formula>"2HEB-240"</formula>
    </cfRule>
    <cfRule type="cellIs" dxfId="664" priority="59" operator="equal">
      <formula>"HEB-300"</formula>
    </cfRule>
    <cfRule type="cellIs" dxfId="663" priority="60" operator="equal">
      <formula>"HEB-280"</formula>
    </cfRule>
    <cfRule type="cellIs" dxfId="662" priority="61" operator="equal">
      <formula>"HEB-260"</formula>
    </cfRule>
    <cfRule type="cellIs" dxfId="661" priority="62" operator="equal">
      <formula>"HEB-240"</formula>
    </cfRule>
  </conditionalFormatting>
  <conditionalFormatting sqref="D242:D245">
    <cfRule type="cellIs" dxfId="660" priority="53" operator="equal">
      <formula>"HEB-3001"</formula>
    </cfRule>
  </conditionalFormatting>
  <conditionalFormatting sqref="D48">
    <cfRule type="cellIs" dxfId="659" priority="46" operator="equal">
      <formula>"2HEB-300"</formula>
    </cfRule>
    <cfRule type="cellIs" dxfId="658" priority="47" operator="equal">
      <formula>"2HEB-260"</formula>
    </cfRule>
    <cfRule type="cellIs" dxfId="657" priority="48" operator="equal">
      <formula>"2HEB-240"</formula>
    </cfRule>
    <cfRule type="cellIs" dxfId="656" priority="49" operator="equal">
      <formula>"HEB-300"</formula>
    </cfRule>
    <cfRule type="cellIs" dxfId="655" priority="50" operator="equal">
      <formula>"HEB-280"</formula>
    </cfRule>
    <cfRule type="cellIs" dxfId="654" priority="51" operator="equal">
      <formula>"HEB-260"</formula>
    </cfRule>
    <cfRule type="cellIs" dxfId="653" priority="52" operator="equal">
      <formula>"HEB-240"</formula>
    </cfRule>
  </conditionalFormatting>
  <conditionalFormatting sqref="E48">
    <cfRule type="cellIs" dxfId="652" priority="39" operator="equal">
      <formula>"2HEB-300"</formula>
    </cfRule>
    <cfRule type="cellIs" dxfId="651" priority="40" operator="equal">
      <formula>"2HEB-260"</formula>
    </cfRule>
    <cfRule type="cellIs" dxfId="650" priority="41" operator="equal">
      <formula>"2HEB-240"</formula>
    </cfRule>
    <cfRule type="cellIs" dxfId="649" priority="42" operator="equal">
      <formula>"HEB-300"</formula>
    </cfRule>
    <cfRule type="cellIs" dxfId="648" priority="43" operator="equal">
      <formula>"HEB-280"</formula>
    </cfRule>
    <cfRule type="cellIs" dxfId="647" priority="44" operator="equal">
      <formula>"HEB-260"</formula>
    </cfRule>
    <cfRule type="cellIs" dxfId="646" priority="45" operator="equal">
      <formula>"HEB-240"</formula>
    </cfRule>
  </conditionalFormatting>
  <conditionalFormatting sqref="F48">
    <cfRule type="cellIs" dxfId="645" priority="32" operator="equal">
      <formula>"2HEB-300"</formula>
    </cfRule>
    <cfRule type="cellIs" dxfId="644" priority="33" operator="equal">
      <formula>"2HEB-260"</formula>
    </cfRule>
    <cfRule type="cellIs" dxfId="643" priority="34" operator="equal">
      <formula>"2HEB-240"</formula>
    </cfRule>
    <cfRule type="cellIs" dxfId="642" priority="35" operator="equal">
      <formula>"HEB-300"</formula>
    </cfRule>
    <cfRule type="cellIs" dxfId="641" priority="36" operator="equal">
      <formula>"HEB-280"</formula>
    </cfRule>
    <cfRule type="cellIs" dxfId="640" priority="37" operator="equal">
      <formula>"HEB-260"</formula>
    </cfRule>
    <cfRule type="cellIs" dxfId="639" priority="38" operator="equal">
      <formula>"HEB-240"</formula>
    </cfRule>
  </conditionalFormatting>
  <conditionalFormatting sqref="G48">
    <cfRule type="cellIs" dxfId="638" priority="25" operator="equal">
      <formula>"2HEB-300"</formula>
    </cfRule>
    <cfRule type="cellIs" dxfId="637" priority="26" operator="equal">
      <formula>"2HEB-260"</formula>
    </cfRule>
    <cfRule type="cellIs" dxfId="636" priority="27" operator="equal">
      <formula>"2HEB-240"</formula>
    </cfRule>
    <cfRule type="cellIs" dxfId="635" priority="28" operator="equal">
      <formula>"HEB-300"</formula>
    </cfRule>
    <cfRule type="cellIs" dxfId="634" priority="29" operator="equal">
      <formula>"HEB-280"</formula>
    </cfRule>
    <cfRule type="cellIs" dxfId="633" priority="30" operator="equal">
      <formula>"HEB-260"</formula>
    </cfRule>
    <cfRule type="cellIs" dxfId="632" priority="31" operator="equal">
      <formula>"HEB-240"</formula>
    </cfRule>
  </conditionalFormatting>
  <conditionalFormatting sqref="H48">
    <cfRule type="cellIs" dxfId="631" priority="18" operator="equal">
      <formula>"2HEB-300"</formula>
    </cfRule>
    <cfRule type="cellIs" dxfId="630" priority="19" operator="equal">
      <formula>"2HEB-260"</formula>
    </cfRule>
    <cfRule type="cellIs" dxfId="629" priority="20" operator="equal">
      <formula>"2HEB-240"</formula>
    </cfRule>
    <cfRule type="cellIs" dxfId="628" priority="21" operator="equal">
      <formula>"HEB-300"</formula>
    </cfRule>
    <cfRule type="cellIs" dxfId="627" priority="22" operator="equal">
      <formula>"HEB-280"</formula>
    </cfRule>
    <cfRule type="cellIs" dxfId="626" priority="23" operator="equal">
      <formula>"HEB-260"</formula>
    </cfRule>
    <cfRule type="cellIs" dxfId="625" priority="24" operator="equal">
      <formula>"HEB-240"</formula>
    </cfRule>
  </conditionalFormatting>
  <conditionalFormatting sqref="I48">
    <cfRule type="cellIs" dxfId="624" priority="11" operator="equal">
      <formula>"2HEB-300"</formula>
    </cfRule>
    <cfRule type="cellIs" dxfId="623" priority="12" operator="equal">
      <formula>"2HEB-260"</formula>
    </cfRule>
    <cfRule type="cellIs" dxfId="622" priority="13" operator="equal">
      <formula>"2HEB-240"</formula>
    </cfRule>
    <cfRule type="cellIs" dxfId="621" priority="14" operator="equal">
      <formula>"HEB-300"</formula>
    </cfRule>
    <cfRule type="cellIs" dxfId="620" priority="15" operator="equal">
      <formula>"HEB-280"</formula>
    </cfRule>
    <cfRule type="cellIs" dxfId="619" priority="16" operator="equal">
      <formula>"HEB-260"</formula>
    </cfRule>
    <cfRule type="cellIs" dxfId="618" priority="17" operator="equal">
      <formula>"HEB-240"</formula>
    </cfRule>
  </conditionalFormatting>
  <conditionalFormatting sqref="D218:H227 D233:H233">
    <cfRule type="cellIs" dxfId="617" priority="2" operator="equal">
      <formula>"HEB-2801"</formula>
    </cfRule>
    <cfRule type="cellIs" dxfId="616" priority="3" operator="equal">
      <formula>"HEB-2601"</formula>
    </cfRule>
    <cfRule type="cellIs" dxfId="615" priority="4" operator="equal">
      <formula>"2HEB-320"</formula>
    </cfRule>
    <cfRule type="cellIs" dxfId="614" priority="5" operator="equal">
      <formula>"2HEB-260"</formula>
    </cfRule>
    <cfRule type="cellIs" dxfId="613" priority="6" operator="equal">
      <formula>"2HEB-240"</formula>
    </cfRule>
    <cfRule type="cellIs" dxfId="612" priority="7" operator="equal">
      <formula>"HEB-300"</formula>
    </cfRule>
    <cfRule type="cellIs" dxfId="611" priority="8" operator="equal">
      <formula>"HEB-280"</formula>
    </cfRule>
    <cfRule type="cellIs" dxfId="610" priority="9" operator="equal">
      <formula>"HEB-260"</formula>
    </cfRule>
    <cfRule type="cellIs" dxfId="609" priority="10" operator="equal">
      <formula>"HEB-240"</formula>
    </cfRule>
  </conditionalFormatting>
  <conditionalFormatting sqref="D218:H227 D233:H233">
    <cfRule type="cellIs" dxfId="608" priority="1" operator="equal">
      <formula>"HEB-3001"</formula>
    </cfRule>
  </conditionalFormatting>
  <pageMargins left="0.70866141732283472" right="0.70866141732283472" top="0.74803149606299213" bottom="0.74803149606299213" header="0.31496062992125984" footer="0.31496062992125984"/>
  <pageSetup paperSize="9" scale="5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tabColor theme="8" tint="0.59999389629810485"/>
    <pageSetUpPr fitToPage="1"/>
  </sheetPr>
  <dimension ref="A1:AE1146"/>
  <sheetViews>
    <sheetView zoomScale="80" zoomScaleNormal="80" workbookViewId="0">
      <pane ySplit="1" topLeftCell="A2" activePane="bottomLeft" state="frozen"/>
      <selection pane="bottomLeft" activeCell="W17" sqref="W17"/>
    </sheetView>
  </sheetViews>
  <sheetFormatPr baseColWidth="10" defaultColWidth="11.44140625" defaultRowHeight="13.2"/>
  <cols>
    <col min="1" max="4" width="11.44140625" style="135"/>
    <col min="5" max="5" width="13.88671875" style="135" customWidth="1"/>
    <col min="6" max="6" width="11.44140625" style="135"/>
    <col min="7" max="7" width="12.109375" style="135" bestFit="1" customWidth="1"/>
    <col min="8" max="9" width="11.44140625" style="135"/>
    <col min="10" max="10" width="13.44140625" style="135" bestFit="1" customWidth="1"/>
    <col min="11" max="11" width="15.33203125" style="135" bestFit="1" customWidth="1"/>
    <col min="12" max="13" width="11.44140625" style="135"/>
    <col min="14" max="18" width="0" style="135" hidden="1" customWidth="1"/>
    <col min="19" max="21" width="11.44140625" style="135"/>
    <col min="22" max="22" width="15.33203125" style="135" bestFit="1" customWidth="1"/>
    <col min="23" max="24" width="13" style="135" customWidth="1"/>
    <col min="25" max="25" width="9.109375" style="135" customWidth="1"/>
    <col min="26" max="26" width="7.6640625" style="135" bestFit="1" customWidth="1"/>
    <col min="27" max="27" width="8.5546875" style="135" bestFit="1" customWidth="1"/>
    <col min="28" max="28" width="22.6640625" style="135" bestFit="1" customWidth="1"/>
    <col min="29" max="30" width="11.44140625" style="135"/>
    <col min="31" max="31" width="10.6640625" style="135" bestFit="1" customWidth="1"/>
    <col min="32" max="16384" width="11.44140625" style="135"/>
  </cols>
  <sheetData>
    <row r="1" spans="1:31" s="437" customFormat="1" ht="39.75" customHeight="1">
      <c r="A1" s="826" t="s">
        <v>610</v>
      </c>
      <c r="B1" s="827"/>
      <c r="C1" s="828"/>
      <c r="E1" s="826" t="s">
        <v>1509</v>
      </c>
      <c r="F1" s="827"/>
      <c r="G1" s="828"/>
      <c r="L1" s="829" t="s">
        <v>2414</v>
      </c>
      <c r="M1" s="830"/>
      <c r="N1" s="830"/>
      <c r="O1" s="830"/>
      <c r="P1" s="830"/>
      <c r="Q1" s="830"/>
      <c r="R1" s="830"/>
      <c r="S1" s="444" t="s">
        <v>2413</v>
      </c>
      <c r="V1" s="831" t="s">
        <v>2414</v>
      </c>
      <c r="W1" s="831"/>
      <c r="X1" s="831"/>
      <c r="Y1" s="348" t="s">
        <v>1510</v>
      </c>
      <c r="Z1" s="348" t="s">
        <v>1342</v>
      </c>
      <c r="AA1" s="348" t="s">
        <v>1489</v>
      </c>
      <c r="AB1" s="348" t="s">
        <v>1490</v>
      </c>
      <c r="AC1" s="348" t="s">
        <v>1491</v>
      </c>
      <c r="AD1" s="348" t="s">
        <v>1492</v>
      </c>
      <c r="AE1" s="348" t="s">
        <v>1511</v>
      </c>
    </row>
    <row r="2" spans="1:31" ht="19.95" customHeight="1">
      <c r="A2" s="163" t="s">
        <v>604</v>
      </c>
      <c r="B2" s="163" t="s">
        <v>605</v>
      </c>
      <c r="C2" s="163" t="s">
        <v>606</v>
      </c>
      <c r="E2" s="163" t="s">
        <v>604</v>
      </c>
      <c r="F2" s="163" t="s">
        <v>605</v>
      </c>
      <c r="G2" s="163" t="s">
        <v>606</v>
      </c>
      <c r="I2" s="834" t="s">
        <v>613</v>
      </c>
      <c r="J2" s="835"/>
      <c r="K2" s="71" t="s">
        <v>603</v>
      </c>
      <c r="L2" s="71"/>
      <c r="M2" s="163" t="s">
        <v>2519</v>
      </c>
      <c r="N2" s="163" t="s">
        <v>1090</v>
      </c>
      <c r="O2" s="163" t="s">
        <v>1091</v>
      </c>
      <c r="P2" s="163" t="s">
        <v>1092</v>
      </c>
      <c r="Q2" s="163" t="s">
        <v>1093</v>
      </c>
      <c r="R2" s="163" t="s">
        <v>1094</v>
      </c>
      <c r="S2" s="163" t="s">
        <v>1097</v>
      </c>
      <c r="T2" s="437"/>
      <c r="V2" s="71" t="s">
        <v>603</v>
      </c>
      <c r="W2" s="71" t="s">
        <v>611</v>
      </c>
      <c r="X2" s="71"/>
      <c r="Y2" s="163"/>
      <c r="Z2" s="163"/>
      <c r="AA2" s="163"/>
      <c r="AB2" s="163"/>
      <c r="AC2" s="163"/>
      <c r="AD2" s="163"/>
      <c r="AE2" s="163"/>
    </row>
    <row r="3" spans="1:31" ht="19.95" customHeight="1">
      <c r="A3" s="3">
        <v>-100</v>
      </c>
      <c r="B3" s="552">
        <v>0</v>
      </c>
      <c r="C3" s="11" t="s">
        <v>2519</v>
      </c>
      <c r="E3" s="3">
        <v>-100</v>
      </c>
      <c r="F3" s="3">
        <v>0</v>
      </c>
      <c r="G3" s="11" t="s">
        <v>611</v>
      </c>
      <c r="I3" s="5" t="s">
        <v>2519</v>
      </c>
      <c r="J3" s="5">
        <v>3</v>
      </c>
      <c r="K3" s="819"/>
      <c r="L3" s="820"/>
      <c r="M3" s="820"/>
      <c r="N3" s="820"/>
      <c r="O3" s="820"/>
      <c r="P3" s="820"/>
      <c r="Q3" s="820"/>
      <c r="R3" s="824"/>
      <c r="S3" s="443" t="s">
        <v>1496</v>
      </c>
      <c r="V3" s="819"/>
      <c r="W3" s="820"/>
      <c r="X3" s="820"/>
      <c r="Y3" s="820"/>
      <c r="Z3" s="820"/>
      <c r="AA3" s="820"/>
      <c r="AB3" s="820"/>
      <c r="AC3" s="820"/>
      <c r="AD3" s="820"/>
      <c r="AE3" s="824"/>
    </row>
    <row r="4" spans="1:31" ht="19.95" customHeight="1">
      <c r="A4" s="3">
        <f>B3</f>
        <v>0</v>
      </c>
      <c r="B4" s="3">
        <v>1000</v>
      </c>
      <c r="C4" s="11" t="s">
        <v>2519</v>
      </c>
      <c r="E4" s="3">
        <v>0</v>
      </c>
      <c r="F4" s="3">
        <v>1000</v>
      </c>
      <c r="G4" s="11" t="s">
        <v>611</v>
      </c>
      <c r="I4" s="5" t="s">
        <v>1090</v>
      </c>
      <c r="J4" s="5">
        <v>4</v>
      </c>
      <c r="K4" s="5"/>
      <c r="L4" s="5"/>
      <c r="M4" s="11"/>
      <c r="N4" s="11"/>
      <c r="O4" s="11"/>
      <c r="P4" s="11"/>
      <c r="Q4" s="11"/>
      <c r="R4" s="512"/>
      <c r="S4" s="825" t="str">
        <f>CONCATENATE("OSC FOUNDATIONS ",$S$1," DESIGANTION TABLE (SEM-ER-",$S$1,"-OCS_FOUND-DD-6900-",$S$3,")")</f>
        <v>OSC FOUNDATIONS EP11A DESIGANTION TABLE (SEM-ER-EP11A-OCS_FOUND-DD-6900-00)</v>
      </c>
      <c r="V4" s="5" t="s">
        <v>37</v>
      </c>
      <c r="W4" s="11" t="s">
        <v>2418</v>
      </c>
      <c r="X4" s="303"/>
      <c r="Y4" s="438">
        <v>0.75</v>
      </c>
      <c r="Z4" s="439">
        <v>25</v>
      </c>
      <c r="AA4" s="76">
        <v>4</v>
      </c>
      <c r="AB4" s="76" t="s">
        <v>1344</v>
      </c>
      <c r="AC4" s="76" t="s">
        <v>1345</v>
      </c>
      <c r="AD4" s="76" t="s">
        <v>1346</v>
      </c>
      <c r="AE4" s="76" t="s">
        <v>1347</v>
      </c>
    </row>
    <row r="5" spans="1:31" ht="19.95" customHeight="1">
      <c r="A5" s="3">
        <f>B4</f>
        <v>1000</v>
      </c>
      <c r="B5" s="3">
        <v>2000</v>
      </c>
      <c r="C5" s="11" t="s">
        <v>2519</v>
      </c>
      <c r="E5" s="3">
        <v>1000</v>
      </c>
      <c r="F5" s="3">
        <v>2000</v>
      </c>
      <c r="G5" s="11" t="s">
        <v>611</v>
      </c>
      <c r="I5" s="5" t="s">
        <v>1091</v>
      </c>
      <c r="J5" s="5">
        <v>5</v>
      </c>
      <c r="K5" s="76" t="s">
        <v>38</v>
      </c>
      <c r="L5" s="76" t="str">
        <f t="shared" ref="L5:L20" si="0">VLOOKUP(K5,$V$4:$W$38,2,FALSE)</f>
        <v>C4SR</v>
      </c>
      <c r="M5" s="77">
        <v>3.7</v>
      </c>
      <c r="N5" s="77" t="s">
        <v>1376</v>
      </c>
      <c r="O5" s="77" t="s">
        <v>1376</v>
      </c>
      <c r="P5" s="77" t="s">
        <v>1376</v>
      </c>
      <c r="Q5" s="77" t="s">
        <v>1376</v>
      </c>
      <c r="R5" s="513" t="s">
        <v>1376</v>
      </c>
      <c r="S5" s="825"/>
      <c r="V5" s="76" t="s">
        <v>38</v>
      </c>
      <c r="W5" s="77" t="s">
        <v>2419</v>
      </c>
      <c r="X5" s="303"/>
      <c r="Y5" s="438">
        <v>0.75</v>
      </c>
      <c r="Z5" s="439">
        <v>32</v>
      </c>
      <c r="AA5" s="76">
        <v>4</v>
      </c>
      <c r="AB5" s="76" t="s">
        <v>1348</v>
      </c>
      <c r="AC5" s="76" t="s">
        <v>1345</v>
      </c>
      <c r="AD5" s="76" t="s">
        <v>1346</v>
      </c>
      <c r="AE5" s="76" t="s">
        <v>1347</v>
      </c>
    </row>
    <row r="6" spans="1:31" ht="19.95" customHeight="1">
      <c r="A6" s="3">
        <f>B5</f>
        <v>2000</v>
      </c>
      <c r="B6" s="3">
        <v>3000</v>
      </c>
      <c r="C6" s="11" t="s">
        <v>2519</v>
      </c>
      <c r="E6" s="3">
        <v>2000</v>
      </c>
      <c r="F6" s="3">
        <v>3000</v>
      </c>
      <c r="G6" s="11" t="s">
        <v>611</v>
      </c>
      <c r="I6" s="5" t="s">
        <v>1092</v>
      </c>
      <c r="J6" s="5">
        <v>6</v>
      </c>
      <c r="K6" s="78" t="s">
        <v>452</v>
      </c>
      <c r="L6" s="78" t="str">
        <f t="shared" si="0"/>
        <v>C4SR</v>
      </c>
      <c r="M6" s="79">
        <f t="shared" ref="M6:R6" si="1">M5</f>
        <v>3.7</v>
      </c>
      <c r="N6" s="79" t="str">
        <f t="shared" si="1"/>
        <v>N.D.</v>
      </c>
      <c r="O6" s="79" t="str">
        <f t="shared" si="1"/>
        <v>N.D.</v>
      </c>
      <c r="P6" s="79" t="str">
        <f t="shared" si="1"/>
        <v>N.D.</v>
      </c>
      <c r="Q6" s="79" t="str">
        <f t="shared" si="1"/>
        <v>N.D.</v>
      </c>
      <c r="R6" s="514" t="str">
        <f t="shared" si="1"/>
        <v>N.D.</v>
      </c>
      <c r="S6" s="825"/>
      <c r="V6" s="78" t="s">
        <v>452</v>
      </c>
      <c r="W6" s="79" t="s">
        <v>2419</v>
      </c>
      <c r="X6" s="303"/>
      <c r="Y6" s="438">
        <v>0.75</v>
      </c>
      <c r="Z6" s="439">
        <v>32</v>
      </c>
      <c r="AA6" s="76">
        <v>4</v>
      </c>
      <c r="AB6" s="76" t="s">
        <v>1348</v>
      </c>
      <c r="AC6" s="76" t="s">
        <v>1345</v>
      </c>
      <c r="AD6" s="76" t="s">
        <v>1346</v>
      </c>
      <c r="AE6" s="76" t="s">
        <v>1347</v>
      </c>
    </row>
    <row r="7" spans="1:31" ht="19.95" customHeight="1">
      <c r="A7" s="3">
        <f t="shared" ref="A7:A12" si="2">B6</f>
        <v>3000</v>
      </c>
      <c r="B7" s="3">
        <v>4000</v>
      </c>
      <c r="C7" s="11" t="s">
        <v>2519</v>
      </c>
      <c r="E7" s="3">
        <v>3000</v>
      </c>
      <c r="F7" s="3">
        <v>4000</v>
      </c>
      <c r="G7" s="11" t="s">
        <v>611</v>
      </c>
      <c r="I7" s="5" t="s">
        <v>1093</v>
      </c>
      <c r="J7" s="5">
        <v>7</v>
      </c>
      <c r="K7" s="76" t="s">
        <v>322</v>
      </c>
      <c r="L7" s="76" t="str">
        <f t="shared" si="0"/>
        <v>C4SR</v>
      </c>
      <c r="M7" s="77">
        <v>3.8</v>
      </c>
      <c r="N7" s="77" t="s">
        <v>1376</v>
      </c>
      <c r="O7" s="77" t="s">
        <v>1376</v>
      </c>
      <c r="P7" s="77" t="s">
        <v>1376</v>
      </c>
      <c r="Q7" s="77" t="s">
        <v>1376</v>
      </c>
      <c r="R7" s="513" t="s">
        <v>1376</v>
      </c>
      <c r="S7" s="825"/>
      <c r="V7" s="76" t="s">
        <v>322</v>
      </c>
      <c r="W7" s="77" t="s">
        <v>2419</v>
      </c>
      <c r="X7" s="303"/>
      <c r="Y7" s="438">
        <v>0.75</v>
      </c>
      <c r="Z7" s="439">
        <v>32</v>
      </c>
      <c r="AA7" s="76">
        <v>4</v>
      </c>
      <c r="AB7" s="76" t="s">
        <v>1348</v>
      </c>
      <c r="AC7" s="76" t="s">
        <v>1345</v>
      </c>
      <c r="AD7" s="76" t="s">
        <v>1346</v>
      </c>
      <c r="AE7" s="76" t="s">
        <v>1347</v>
      </c>
    </row>
    <row r="8" spans="1:31" ht="19.95" customHeight="1">
      <c r="A8" s="3">
        <f t="shared" si="2"/>
        <v>4000</v>
      </c>
      <c r="B8" s="3">
        <v>5000</v>
      </c>
      <c r="C8" s="11" t="s">
        <v>2519</v>
      </c>
      <c r="E8" s="3">
        <v>4000</v>
      </c>
      <c r="F8" s="3">
        <v>5000</v>
      </c>
      <c r="G8" s="11" t="s">
        <v>611</v>
      </c>
      <c r="I8" s="5" t="s">
        <v>1094</v>
      </c>
      <c r="J8" s="5">
        <v>8</v>
      </c>
      <c r="K8" s="5" t="s">
        <v>40</v>
      </c>
      <c r="L8" s="5" t="str">
        <f t="shared" si="0"/>
        <v>C5SR</v>
      </c>
      <c r="M8" s="11">
        <v>3.7</v>
      </c>
      <c r="N8" s="11" t="s">
        <v>1376</v>
      </c>
      <c r="O8" s="11" t="s">
        <v>1376</v>
      </c>
      <c r="P8" s="11" t="s">
        <v>1376</v>
      </c>
      <c r="Q8" s="11" t="s">
        <v>1376</v>
      </c>
      <c r="R8" s="512" t="s">
        <v>1376</v>
      </c>
      <c r="S8" s="825"/>
      <c r="V8" s="5" t="s">
        <v>40</v>
      </c>
      <c r="W8" s="11" t="s">
        <v>2420</v>
      </c>
      <c r="X8" s="303"/>
      <c r="Y8" s="438">
        <v>1</v>
      </c>
      <c r="Z8" s="439">
        <v>32</v>
      </c>
      <c r="AA8" s="76">
        <v>4</v>
      </c>
      <c r="AB8" s="76" t="s">
        <v>1349</v>
      </c>
      <c r="AC8" s="76" t="s">
        <v>1350</v>
      </c>
      <c r="AD8" s="76" t="s">
        <v>1346</v>
      </c>
      <c r="AE8" s="76" t="s">
        <v>1347</v>
      </c>
    </row>
    <row r="9" spans="1:31" ht="19.95" customHeight="1">
      <c r="A9" s="3">
        <f t="shared" si="2"/>
        <v>5000</v>
      </c>
      <c r="B9" s="3">
        <v>6000</v>
      </c>
      <c r="C9" s="11" t="s">
        <v>2519</v>
      </c>
      <c r="E9" s="3">
        <v>5000</v>
      </c>
      <c r="F9" s="3">
        <v>6000</v>
      </c>
      <c r="G9" s="11" t="s">
        <v>611</v>
      </c>
      <c r="I9" s="134" t="s">
        <v>1376</v>
      </c>
      <c r="K9" s="80" t="s">
        <v>453</v>
      </c>
      <c r="L9" s="80" t="str">
        <f t="shared" si="0"/>
        <v>C5SR</v>
      </c>
      <c r="M9" s="70">
        <f t="shared" ref="M9:R9" si="3">M8</f>
        <v>3.7</v>
      </c>
      <c r="N9" s="70" t="str">
        <f t="shared" si="3"/>
        <v>N.D.</v>
      </c>
      <c r="O9" s="70" t="str">
        <f t="shared" si="3"/>
        <v>N.D.</v>
      </c>
      <c r="P9" s="70" t="str">
        <f t="shared" si="3"/>
        <v>N.D.</v>
      </c>
      <c r="Q9" s="70" t="str">
        <f t="shared" si="3"/>
        <v>N.D.</v>
      </c>
      <c r="R9" s="515" t="str">
        <f t="shared" si="3"/>
        <v>N.D.</v>
      </c>
      <c r="S9" s="825"/>
      <c r="V9" s="80" t="s">
        <v>453</v>
      </c>
      <c r="W9" s="70" t="s">
        <v>2420</v>
      </c>
      <c r="X9" s="303"/>
      <c r="Y9" s="438">
        <v>1</v>
      </c>
      <c r="Z9" s="439">
        <v>32</v>
      </c>
      <c r="AA9" s="76">
        <v>4</v>
      </c>
      <c r="AB9" s="76" t="s">
        <v>1349</v>
      </c>
      <c r="AC9" s="76" t="s">
        <v>1350</v>
      </c>
      <c r="AD9" s="76" t="s">
        <v>1346</v>
      </c>
      <c r="AE9" s="76" t="s">
        <v>1347</v>
      </c>
    </row>
    <row r="10" spans="1:31" ht="19.95" customHeight="1">
      <c r="A10" s="3">
        <f t="shared" si="2"/>
        <v>6000</v>
      </c>
      <c r="B10" s="3">
        <v>7000</v>
      </c>
      <c r="C10" s="11" t="s">
        <v>2519</v>
      </c>
      <c r="E10" s="3">
        <v>6000</v>
      </c>
      <c r="F10" s="3">
        <v>7000</v>
      </c>
      <c r="G10" s="11" t="s">
        <v>611</v>
      </c>
      <c r="I10" s="834" t="s">
        <v>613</v>
      </c>
      <c r="J10" s="835"/>
      <c r="K10" s="5" t="s">
        <v>323</v>
      </c>
      <c r="L10" s="5" t="str">
        <f t="shared" si="0"/>
        <v>C5SR</v>
      </c>
      <c r="M10" s="11">
        <v>3.9</v>
      </c>
      <c r="N10" s="11" t="s">
        <v>1376</v>
      </c>
      <c r="O10" s="11" t="s">
        <v>1376</v>
      </c>
      <c r="P10" s="11" t="s">
        <v>1376</v>
      </c>
      <c r="Q10" s="11" t="s">
        <v>1376</v>
      </c>
      <c r="R10" s="512" t="s">
        <v>1376</v>
      </c>
      <c r="S10" s="825"/>
      <c r="V10" s="5" t="s">
        <v>323</v>
      </c>
      <c r="W10" s="11" t="s">
        <v>2420</v>
      </c>
      <c r="X10" s="303"/>
      <c r="Y10" s="438">
        <v>1</v>
      </c>
      <c r="Z10" s="439">
        <v>32</v>
      </c>
      <c r="AA10" s="76">
        <v>4</v>
      </c>
      <c r="AB10" s="76" t="s">
        <v>1349</v>
      </c>
      <c r="AC10" s="76" t="s">
        <v>1350</v>
      </c>
      <c r="AD10" s="76" t="s">
        <v>1346</v>
      </c>
      <c r="AE10" s="76" t="s">
        <v>1347</v>
      </c>
    </row>
    <row r="11" spans="1:31" ht="19.95" customHeight="1">
      <c r="A11" s="3">
        <f t="shared" si="2"/>
        <v>7000</v>
      </c>
      <c r="B11" s="3">
        <v>8000</v>
      </c>
      <c r="C11" s="11" t="s">
        <v>2519</v>
      </c>
      <c r="E11" s="3">
        <v>7000</v>
      </c>
      <c r="F11" s="3">
        <v>8000</v>
      </c>
      <c r="G11" s="11" t="s">
        <v>611</v>
      </c>
      <c r="I11" s="5" t="s">
        <v>611</v>
      </c>
      <c r="J11" s="5">
        <v>2</v>
      </c>
      <c r="K11" s="76" t="s">
        <v>39</v>
      </c>
      <c r="L11" s="76" t="str">
        <f t="shared" si="0"/>
        <v>C7SR</v>
      </c>
      <c r="M11" s="77">
        <v>3.9</v>
      </c>
      <c r="N11" s="77" t="s">
        <v>1376</v>
      </c>
      <c r="O11" s="77" t="s">
        <v>1376</v>
      </c>
      <c r="P11" s="77" t="s">
        <v>1376</v>
      </c>
      <c r="Q11" s="77" t="s">
        <v>1376</v>
      </c>
      <c r="R11" s="513" t="s">
        <v>1376</v>
      </c>
      <c r="S11" s="825"/>
      <c r="V11" s="76" t="s">
        <v>39</v>
      </c>
      <c r="W11" s="77" t="s">
        <v>2421</v>
      </c>
      <c r="X11" s="303"/>
      <c r="Y11" s="438">
        <v>1</v>
      </c>
      <c r="Z11" s="439">
        <v>40</v>
      </c>
      <c r="AA11" s="76">
        <v>4</v>
      </c>
      <c r="AB11" s="76" t="s">
        <v>1349</v>
      </c>
      <c r="AC11" s="76" t="s">
        <v>1350</v>
      </c>
      <c r="AD11" s="76" t="s">
        <v>1346</v>
      </c>
      <c r="AE11" s="76" t="s">
        <v>1347</v>
      </c>
    </row>
    <row r="12" spans="1:31" ht="19.95" customHeight="1">
      <c r="A12" s="3">
        <f t="shared" si="2"/>
        <v>8000</v>
      </c>
      <c r="B12" s="3">
        <v>9000</v>
      </c>
      <c r="C12" s="11" t="s">
        <v>2519</v>
      </c>
      <c r="E12" s="3">
        <v>8000</v>
      </c>
      <c r="F12" s="3">
        <v>9000</v>
      </c>
      <c r="G12" s="11" t="s">
        <v>611</v>
      </c>
      <c r="I12" s="5" t="s">
        <v>612</v>
      </c>
      <c r="J12" s="5">
        <v>3</v>
      </c>
      <c r="K12" s="78" t="s">
        <v>454</v>
      </c>
      <c r="L12" s="78" t="str">
        <f t="shared" si="0"/>
        <v>C7SR</v>
      </c>
      <c r="M12" s="79">
        <f t="shared" ref="M12:R12" si="4">M11</f>
        <v>3.9</v>
      </c>
      <c r="N12" s="79" t="str">
        <f t="shared" si="4"/>
        <v>N.D.</v>
      </c>
      <c r="O12" s="79" t="str">
        <f t="shared" si="4"/>
        <v>N.D.</v>
      </c>
      <c r="P12" s="79" t="str">
        <f t="shared" si="4"/>
        <v>N.D.</v>
      </c>
      <c r="Q12" s="79" t="str">
        <f t="shared" si="4"/>
        <v>N.D.</v>
      </c>
      <c r="R12" s="514" t="str">
        <f t="shared" si="4"/>
        <v>N.D.</v>
      </c>
      <c r="S12" s="825"/>
      <c r="V12" s="78" t="s">
        <v>454</v>
      </c>
      <c r="W12" s="79" t="s">
        <v>2421</v>
      </c>
      <c r="X12" s="440"/>
      <c r="Y12" s="438">
        <v>1</v>
      </c>
      <c r="Z12" s="439">
        <v>40</v>
      </c>
      <c r="AA12" s="76">
        <v>4</v>
      </c>
      <c r="AB12" s="76" t="s">
        <v>1349</v>
      </c>
      <c r="AC12" s="76" t="s">
        <v>1350</v>
      </c>
      <c r="AD12" s="76" t="s">
        <v>1346</v>
      </c>
      <c r="AE12" s="76" t="s">
        <v>1347</v>
      </c>
    </row>
    <row r="13" spans="1:31" ht="19.95" customHeight="1">
      <c r="A13" s="3"/>
      <c r="B13" s="3"/>
      <c r="C13" s="11" t="s">
        <v>1376</v>
      </c>
      <c r="E13" s="3"/>
      <c r="F13" s="3"/>
      <c r="G13" s="11" t="s">
        <v>1376</v>
      </c>
      <c r="I13" s="134" t="s">
        <v>1376</v>
      </c>
      <c r="K13" s="76" t="s">
        <v>324</v>
      </c>
      <c r="L13" s="76" t="str">
        <f t="shared" si="0"/>
        <v>C7SR</v>
      </c>
      <c r="M13" s="77">
        <v>3.8</v>
      </c>
      <c r="N13" s="77" t="s">
        <v>1376</v>
      </c>
      <c r="O13" s="77" t="s">
        <v>1376</v>
      </c>
      <c r="P13" s="77" t="s">
        <v>1376</v>
      </c>
      <c r="Q13" s="77" t="s">
        <v>1376</v>
      </c>
      <c r="R13" s="513" t="s">
        <v>1376</v>
      </c>
      <c r="S13" s="825"/>
      <c r="V13" s="76" t="s">
        <v>324</v>
      </c>
      <c r="W13" s="77" t="s">
        <v>2421</v>
      </c>
      <c r="X13" s="440"/>
      <c r="Y13" s="438">
        <v>1</v>
      </c>
      <c r="Z13" s="439">
        <v>40</v>
      </c>
      <c r="AA13" s="76">
        <v>4</v>
      </c>
      <c r="AB13" s="76" t="s">
        <v>1349</v>
      </c>
      <c r="AC13" s="76" t="s">
        <v>1350</v>
      </c>
      <c r="AD13" s="76" t="s">
        <v>1346</v>
      </c>
      <c r="AE13" s="76" t="s">
        <v>1347</v>
      </c>
    </row>
    <row r="14" spans="1:31" ht="19.95" customHeight="1">
      <c r="A14" s="3"/>
      <c r="B14" s="3"/>
      <c r="C14" s="11" t="s">
        <v>1376</v>
      </c>
      <c r="E14" s="3"/>
      <c r="F14" s="3"/>
      <c r="G14" s="11" t="s">
        <v>1376</v>
      </c>
      <c r="K14" s="76" t="s">
        <v>789</v>
      </c>
      <c r="L14" s="76" t="str">
        <f t="shared" si="0"/>
        <v>C9SR</v>
      </c>
      <c r="M14" s="77" t="s">
        <v>1376</v>
      </c>
      <c r="N14" s="77" t="s">
        <v>1376</v>
      </c>
      <c r="O14" s="77" t="s">
        <v>1376</v>
      </c>
      <c r="P14" s="77" t="s">
        <v>1376</v>
      </c>
      <c r="Q14" s="77" t="s">
        <v>1376</v>
      </c>
      <c r="R14" s="513" t="s">
        <v>1376</v>
      </c>
      <c r="S14" s="825"/>
      <c r="V14" s="76" t="s">
        <v>789</v>
      </c>
      <c r="W14" s="77" t="s">
        <v>2424</v>
      </c>
      <c r="X14" s="440"/>
      <c r="Y14" s="438">
        <v>1</v>
      </c>
      <c r="Z14" s="439">
        <v>40</v>
      </c>
      <c r="AA14" s="76">
        <v>4</v>
      </c>
      <c r="AB14" s="76" t="s">
        <v>1349</v>
      </c>
      <c r="AC14" s="76" t="s">
        <v>1355</v>
      </c>
      <c r="AD14" s="76" t="s">
        <v>1353</v>
      </c>
      <c r="AE14" s="76" t="s">
        <v>1593</v>
      </c>
    </row>
    <row r="15" spans="1:31" ht="19.95" customHeight="1">
      <c r="A15" s="3"/>
      <c r="B15" s="3"/>
      <c r="C15" s="11" t="s">
        <v>1376</v>
      </c>
      <c r="E15" s="3"/>
      <c r="F15" s="3"/>
      <c r="G15" s="11" t="s">
        <v>1376</v>
      </c>
      <c r="K15" s="76" t="s">
        <v>325</v>
      </c>
      <c r="L15" s="76" t="str">
        <f t="shared" si="0"/>
        <v>C7SR</v>
      </c>
      <c r="M15" s="77">
        <v>4</v>
      </c>
      <c r="N15" s="77" t="s">
        <v>1376</v>
      </c>
      <c r="O15" s="77" t="s">
        <v>1376</v>
      </c>
      <c r="P15" s="77" t="s">
        <v>1376</v>
      </c>
      <c r="Q15" s="77" t="s">
        <v>1376</v>
      </c>
      <c r="R15" s="513" t="s">
        <v>1376</v>
      </c>
      <c r="S15" s="825"/>
      <c r="V15" s="76" t="s">
        <v>325</v>
      </c>
      <c r="W15" s="77" t="s">
        <v>2421</v>
      </c>
      <c r="X15" s="440"/>
      <c r="Y15" s="438">
        <v>1</v>
      </c>
      <c r="Z15" s="439">
        <v>40</v>
      </c>
      <c r="AA15" s="76">
        <v>4</v>
      </c>
      <c r="AB15" s="76" t="s">
        <v>1349</v>
      </c>
      <c r="AC15" s="76" t="s">
        <v>1350</v>
      </c>
      <c r="AD15" s="76" t="s">
        <v>1346</v>
      </c>
      <c r="AE15" s="76" t="s">
        <v>1347</v>
      </c>
    </row>
    <row r="16" spans="1:31" ht="19.95" customHeight="1">
      <c r="A16" s="3"/>
      <c r="B16" s="3"/>
      <c r="C16" s="11" t="s">
        <v>1376</v>
      </c>
      <c r="E16" s="3"/>
      <c r="F16" s="3"/>
      <c r="G16" s="11" t="s">
        <v>1376</v>
      </c>
      <c r="K16" s="76" t="s">
        <v>998</v>
      </c>
      <c r="L16" s="76" t="str">
        <f t="shared" si="0"/>
        <v>2C4SR</v>
      </c>
      <c r="M16" s="77">
        <v>5.6</v>
      </c>
      <c r="N16" s="77" t="s">
        <v>1376</v>
      </c>
      <c r="O16" s="77" t="s">
        <v>1376</v>
      </c>
      <c r="P16" s="77" t="s">
        <v>1376</v>
      </c>
      <c r="Q16" s="77" t="s">
        <v>1376</v>
      </c>
      <c r="R16" s="513" t="s">
        <v>1376</v>
      </c>
      <c r="S16" s="825"/>
      <c r="V16" s="76" t="s">
        <v>998</v>
      </c>
      <c r="W16" s="77" t="s">
        <v>2422</v>
      </c>
      <c r="X16" s="440"/>
      <c r="Y16" s="438">
        <v>1</v>
      </c>
      <c r="Z16" s="439">
        <v>32</v>
      </c>
      <c r="AA16" s="76">
        <v>6</v>
      </c>
      <c r="AB16" s="76" t="s">
        <v>1367</v>
      </c>
      <c r="AC16" s="76" t="s">
        <v>1355</v>
      </c>
      <c r="AD16" s="76" t="s">
        <v>1353</v>
      </c>
      <c r="AE16" s="76" t="s">
        <v>1594</v>
      </c>
    </row>
    <row r="17" spans="1:31" ht="19.95" customHeight="1">
      <c r="A17" s="3"/>
      <c r="B17" s="3"/>
      <c r="C17" s="11" t="s">
        <v>1376</v>
      </c>
      <c r="E17" s="3"/>
      <c r="F17" s="3"/>
      <c r="G17" s="11" t="s">
        <v>1376</v>
      </c>
      <c r="K17" s="5" t="s">
        <v>747</v>
      </c>
      <c r="L17" s="5" t="str">
        <f t="shared" si="0"/>
        <v>C8SR</v>
      </c>
      <c r="M17" s="11" t="s">
        <v>1376</v>
      </c>
      <c r="N17" s="11" t="s">
        <v>1376</v>
      </c>
      <c r="O17" s="11" t="s">
        <v>1376</v>
      </c>
      <c r="P17" s="11" t="s">
        <v>1376</v>
      </c>
      <c r="Q17" s="11" t="s">
        <v>1376</v>
      </c>
      <c r="R17" s="512" t="s">
        <v>1376</v>
      </c>
      <c r="S17" s="825"/>
      <c r="V17" s="5" t="s">
        <v>747</v>
      </c>
      <c r="W17" s="11" t="s">
        <v>2423</v>
      </c>
      <c r="X17" s="440"/>
      <c r="Y17" s="438">
        <v>1.2</v>
      </c>
      <c r="Z17" s="439">
        <v>40</v>
      </c>
      <c r="AA17" s="76">
        <v>8</v>
      </c>
      <c r="AB17" s="76" t="s">
        <v>1351</v>
      </c>
      <c r="AC17" s="76" t="s">
        <v>1352</v>
      </c>
      <c r="AD17" s="76" t="s">
        <v>1353</v>
      </c>
      <c r="AE17" s="76" t="s">
        <v>1354</v>
      </c>
    </row>
    <row r="18" spans="1:31" ht="19.95" customHeight="1">
      <c r="A18" s="3"/>
      <c r="B18" s="3"/>
      <c r="C18" s="11" t="s">
        <v>1376</v>
      </c>
      <c r="E18" s="3"/>
      <c r="F18" s="3"/>
      <c r="G18" s="11" t="s">
        <v>1376</v>
      </c>
      <c r="K18" s="80" t="s">
        <v>326</v>
      </c>
      <c r="L18" s="80" t="str">
        <f t="shared" si="0"/>
        <v>C8SR</v>
      </c>
      <c r="M18" s="70" t="str">
        <f t="shared" ref="M18:R18" si="5">M17</f>
        <v>N.D.</v>
      </c>
      <c r="N18" s="70" t="str">
        <f t="shared" si="5"/>
        <v>N.D.</v>
      </c>
      <c r="O18" s="70" t="str">
        <f t="shared" si="5"/>
        <v>N.D.</v>
      </c>
      <c r="P18" s="70" t="str">
        <f t="shared" si="5"/>
        <v>N.D.</v>
      </c>
      <c r="Q18" s="70" t="str">
        <f t="shared" si="5"/>
        <v>N.D.</v>
      </c>
      <c r="R18" s="515" t="str">
        <f t="shared" si="5"/>
        <v>N.D.</v>
      </c>
      <c r="S18" s="825"/>
      <c r="V18" s="80" t="s">
        <v>326</v>
      </c>
      <c r="W18" s="70" t="s">
        <v>2423</v>
      </c>
      <c r="X18" s="440"/>
      <c r="Y18" s="438">
        <v>1.2</v>
      </c>
      <c r="Z18" s="439">
        <v>40</v>
      </c>
      <c r="AA18" s="76">
        <v>8</v>
      </c>
      <c r="AB18" s="76" t="s">
        <v>1351</v>
      </c>
      <c r="AC18" s="76" t="s">
        <v>1352</v>
      </c>
      <c r="AD18" s="76" t="s">
        <v>1353</v>
      </c>
      <c r="AE18" s="76" t="s">
        <v>1354</v>
      </c>
    </row>
    <row r="19" spans="1:31" ht="19.95" customHeight="1">
      <c r="A19" s="3"/>
      <c r="B19" s="3"/>
      <c r="C19" s="11" t="s">
        <v>1376</v>
      </c>
      <c r="E19" s="3"/>
      <c r="F19" s="3"/>
      <c r="G19" s="11" t="s">
        <v>1376</v>
      </c>
      <c r="K19" s="5" t="s">
        <v>663</v>
      </c>
      <c r="L19" s="5" t="str">
        <f t="shared" si="0"/>
        <v>C8SR</v>
      </c>
      <c r="M19" s="11" t="s">
        <v>1376</v>
      </c>
      <c r="N19" s="11" t="s">
        <v>1376</v>
      </c>
      <c r="O19" s="11" t="s">
        <v>1376</v>
      </c>
      <c r="P19" s="11" t="s">
        <v>1376</v>
      </c>
      <c r="Q19" s="11" t="s">
        <v>1376</v>
      </c>
      <c r="R19" s="512" t="s">
        <v>1376</v>
      </c>
      <c r="S19" s="825"/>
      <c r="V19" s="5" t="s">
        <v>663</v>
      </c>
      <c r="W19" s="11" t="s">
        <v>2423</v>
      </c>
      <c r="X19" s="440"/>
      <c r="Y19" s="438">
        <v>1.2</v>
      </c>
      <c r="Z19" s="439">
        <v>40</v>
      </c>
      <c r="AA19" s="76">
        <v>8</v>
      </c>
      <c r="AB19" s="76" t="s">
        <v>1351</v>
      </c>
      <c r="AC19" s="76" t="s">
        <v>1352</v>
      </c>
      <c r="AD19" s="76" t="s">
        <v>1353</v>
      </c>
      <c r="AE19" s="76" t="s">
        <v>1354</v>
      </c>
    </row>
    <row r="20" spans="1:31" ht="19.95" customHeight="1">
      <c r="A20" s="3">
        <v>0</v>
      </c>
      <c r="B20" s="3">
        <v>1000</v>
      </c>
      <c r="C20" s="11" t="s">
        <v>2519</v>
      </c>
      <c r="E20" s="3">
        <v>0</v>
      </c>
      <c r="F20" s="3">
        <v>1000</v>
      </c>
      <c r="G20" s="11" t="s">
        <v>611</v>
      </c>
      <c r="K20" s="76" t="s">
        <v>1000</v>
      </c>
      <c r="L20" s="76" t="str">
        <f t="shared" si="0"/>
        <v>C9SR</v>
      </c>
      <c r="M20" s="77">
        <v>4.5</v>
      </c>
      <c r="N20" s="77" t="s">
        <v>1376</v>
      </c>
      <c r="O20" s="77" t="s">
        <v>1376</v>
      </c>
      <c r="P20" s="77" t="s">
        <v>1376</v>
      </c>
      <c r="Q20" s="77" t="s">
        <v>1376</v>
      </c>
      <c r="R20" s="513" t="s">
        <v>1376</v>
      </c>
      <c r="S20" s="825"/>
      <c r="V20" s="76" t="s">
        <v>1000</v>
      </c>
      <c r="W20" s="77" t="s">
        <v>2424</v>
      </c>
      <c r="X20" s="440"/>
      <c r="Y20" s="438">
        <v>1</v>
      </c>
      <c r="Z20" s="439">
        <v>40</v>
      </c>
      <c r="AA20" s="76">
        <v>4</v>
      </c>
      <c r="AB20" s="76" t="s">
        <v>1349</v>
      </c>
      <c r="AC20" s="76" t="s">
        <v>1355</v>
      </c>
      <c r="AD20" s="76" t="s">
        <v>1353</v>
      </c>
      <c r="AE20" s="76" t="s">
        <v>1356</v>
      </c>
    </row>
    <row r="21" spans="1:31" ht="19.95" customHeight="1">
      <c r="A21" s="3">
        <f t="shared" ref="A21:A24" si="6">B20</f>
        <v>1000</v>
      </c>
      <c r="B21" s="3">
        <v>2000</v>
      </c>
      <c r="C21" s="11" t="s">
        <v>2519</v>
      </c>
      <c r="E21" s="3">
        <v>1000</v>
      </c>
      <c r="F21" s="3">
        <v>2000</v>
      </c>
      <c r="G21" s="11" t="s">
        <v>611</v>
      </c>
      <c r="K21" s="76" t="s">
        <v>970</v>
      </c>
      <c r="L21" s="76" t="s">
        <v>678</v>
      </c>
      <c r="M21" s="77" t="s">
        <v>1376</v>
      </c>
      <c r="N21" s="77" t="s">
        <v>1376</v>
      </c>
      <c r="O21" s="77" t="s">
        <v>1376</v>
      </c>
      <c r="P21" s="77" t="s">
        <v>1376</v>
      </c>
      <c r="Q21" s="77" t="s">
        <v>1376</v>
      </c>
      <c r="R21" s="513" t="s">
        <v>1376</v>
      </c>
      <c r="S21" s="825"/>
      <c r="V21" s="76" t="s">
        <v>970</v>
      </c>
      <c r="W21" s="77" t="s">
        <v>2420</v>
      </c>
      <c r="X21" s="440"/>
      <c r="Y21" s="438">
        <v>1</v>
      </c>
      <c r="Z21" s="439">
        <v>32</v>
      </c>
      <c r="AA21" s="76">
        <v>4</v>
      </c>
      <c r="AB21" s="76" t="s">
        <v>1349</v>
      </c>
      <c r="AC21" s="301" t="s">
        <v>1359</v>
      </c>
      <c r="AD21" s="301" t="s">
        <v>1360</v>
      </c>
      <c r="AE21" s="301" t="s">
        <v>1361</v>
      </c>
    </row>
    <row r="22" spans="1:31" ht="19.95" customHeight="1">
      <c r="A22" s="3">
        <f t="shared" si="6"/>
        <v>2000</v>
      </c>
      <c r="B22" s="3">
        <v>3000</v>
      </c>
      <c r="C22" s="11" t="s">
        <v>2519</v>
      </c>
      <c r="E22" s="3">
        <v>2000</v>
      </c>
      <c r="F22" s="3">
        <v>3000</v>
      </c>
      <c r="G22" s="11" t="s">
        <v>611</v>
      </c>
      <c r="K22" s="76" t="s">
        <v>190</v>
      </c>
      <c r="L22" s="76" t="str">
        <f t="shared" ref="L22:L37" si="7">VLOOKUP(K22,$V$4:$W$38,2,FALSE)</f>
        <v>C9SR</v>
      </c>
      <c r="M22" s="77">
        <v>4.4000000000000004</v>
      </c>
      <c r="N22" s="77" t="s">
        <v>1376</v>
      </c>
      <c r="O22" s="77" t="s">
        <v>1376</v>
      </c>
      <c r="P22" s="77" t="s">
        <v>1376</v>
      </c>
      <c r="Q22" s="77" t="s">
        <v>1376</v>
      </c>
      <c r="R22" s="513" t="s">
        <v>1376</v>
      </c>
      <c r="S22" s="825"/>
      <c r="V22" s="76" t="s">
        <v>190</v>
      </c>
      <c r="W22" s="77" t="s">
        <v>2424</v>
      </c>
      <c r="X22" s="440"/>
      <c r="Y22" s="438">
        <v>1</v>
      </c>
      <c r="Z22" s="439">
        <v>40</v>
      </c>
      <c r="AA22" s="76">
        <v>4</v>
      </c>
      <c r="AB22" s="76" t="s">
        <v>1349</v>
      </c>
      <c r="AC22" s="76" t="s">
        <v>1355</v>
      </c>
      <c r="AD22" s="76" t="s">
        <v>1353</v>
      </c>
      <c r="AE22" s="76" t="s">
        <v>1593</v>
      </c>
    </row>
    <row r="23" spans="1:31" ht="19.95" customHeight="1">
      <c r="A23" s="3">
        <f t="shared" si="6"/>
        <v>3000</v>
      </c>
      <c r="B23" s="3">
        <v>4000</v>
      </c>
      <c r="C23" s="11" t="s">
        <v>2519</v>
      </c>
      <c r="E23" s="3">
        <v>3000</v>
      </c>
      <c r="F23" s="3">
        <v>4000</v>
      </c>
      <c r="G23" s="11" t="s">
        <v>611</v>
      </c>
      <c r="K23" s="76" t="s">
        <v>975</v>
      </c>
      <c r="L23" s="76" t="str">
        <f t="shared" si="7"/>
        <v>C9SR</v>
      </c>
      <c r="M23" s="77">
        <v>4.5999999999999996</v>
      </c>
      <c r="N23" s="77" t="s">
        <v>1376</v>
      </c>
      <c r="O23" s="77" t="s">
        <v>1376</v>
      </c>
      <c r="P23" s="77" t="s">
        <v>1376</v>
      </c>
      <c r="Q23" s="77" t="s">
        <v>1376</v>
      </c>
      <c r="R23" s="513" t="s">
        <v>1376</v>
      </c>
      <c r="S23" s="825"/>
      <c r="V23" s="76" t="s">
        <v>975</v>
      </c>
      <c r="W23" s="77" t="s">
        <v>2424</v>
      </c>
      <c r="X23" s="304"/>
      <c r="Y23" s="438">
        <v>1</v>
      </c>
      <c r="Z23" s="439">
        <v>40</v>
      </c>
      <c r="AA23" s="76">
        <v>4</v>
      </c>
      <c r="AB23" s="76" t="s">
        <v>1349</v>
      </c>
      <c r="AC23" s="76" t="s">
        <v>1355</v>
      </c>
      <c r="AD23" s="76" t="s">
        <v>1353</v>
      </c>
      <c r="AE23" s="76" t="s">
        <v>1356</v>
      </c>
    </row>
    <row r="24" spans="1:31" ht="19.95" customHeight="1">
      <c r="A24" s="3">
        <f t="shared" si="6"/>
        <v>4000</v>
      </c>
      <c r="B24" s="3">
        <v>5000</v>
      </c>
      <c r="C24" s="11" t="s">
        <v>2519</v>
      </c>
      <c r="E24" s="3">
        <v>4000</v>
      </c>
      <c r="F24" s="3">
        <v>5000</v>
      </c>
      <c r="G24" s="11" t="s">
        <v>611</v>
      </c>
      <c r="K24" s="5" t="s">
        <v>754</v>
      </c>
      <c r="L24" s="5" t="str">
        <f t="shared" si="7"/>
        <v>C10SR</v>
      </c>
      <c r="M24" s="11">
        <v>5.5</v>
      </c>
      <c r="N24" s="11" t="s">
        <v>1376</v>
      </c>
      <c r="O24" s="11" t="s">
        <v>1376</v>
      </c>
      <c r="P24" s="11" t="s">
        <v>1376</v>
      </c>
      <c r="Q24" s="11" t="s">
        <v>1376</v>
      </c>
      <c r="R24" s="512" t="s">
        <v>1376</v>
      </c>
      <c r="S24" s="825"/>
      <c r="V24" s="5" t="s">
        <v>754</v>
      </c>
      <c r="W24" s="11" t="s">
        <v>2425</v>
      </c>
      <c r="X24" s="440"/>
      <c r="Y24" s="438">
        <v>1.2</v>
      </c>
      <c r="Z24" s="439">
        <v>40</v>
      </c>
      <c r="AA24" s="76">
        <v>4</v>
      </c>
      <c r="AB24" s="76" t="s">
        <v>1349</v>
      </c>
      <c r="AC24" s="76" t="s">
        <v>1352</v>
      </c>
      <c r="AD24" s="76" t="s">
        <v>1353</v>
      </c>
      <c r="AE24" s="76" t="s">
        <v>1357</v>
      </c>
    </row>
    <row r="25" spans="1:31" ht="19.95" customHeight="1">
      <c r="A25" s="3"/>
      <c r="B25" s="3"/>
      <c r="C25" s="11" t="s">
        <v>1376</v>
      </c>
      <c r="E25" s="3"/>
      <c r="F25" s="3"/>
      <c r="G25" s="11" t="s">
        <v>1376</v>
      </c>
      <c r="K25" s="76" t="s">
        <v>1192</v>
      </c>
      <c r="L25" s="76" t="str">
        <f t="shared" si="7"/>
        <v>C11SR</v>
      </c>
      <c r="M25" s="77">
        <v>4.7</v>
      </c>
      <c r="N25" s="77" t="s">
        <v>1376</v>
      </c>
      <c r="O25" s="77" t="s">
        <v>1376</v>
      </c>
      <c r="P25" s="77" t="s">
        <v>1376</v>
      </c>
      <c r="Q25" s="77" t="s">
        <v>1376</v>
      </c>
      <c r="R25" s="513" t="s">
        <v>1376</v>
      </c>
      <c r="S25" s="825"/>
      <c r="V25" s="76" t="s">
        <v>1192</v>
      </c>
      <c r="W25" s="77" t="s">
        <v>2426</v>
      </c>
      <c r="X25" s="440"/>
      <c r="Y25" s="438">
        <v>1.2</v>
      </c>
      <c r="Z25" s="439">
        <v>40</v>
      </c>
      <c r="AA25" s="76">
        <v>8</v>
      </c>
      <c r="AB25" s="302" t="s">
        <v>1358</v>
      </c>
      <c r="AC25" s="76" t="s">
        <v>1352</v>
      </c>
      <c r="AD25" s="76" t="s">
        <v>1353</v>
      </c>
      <c r="AE25" s="76" t="s">
        <v>1595</v>
      </c>
    </row>
    <row r="26" spans="1:31" ht="19.95" customHeight="1">
      <c r="A26" s="3"/>
      <c r="B26" s="3"/>
      <c r="C26" s="11" t="s">
        <v>1376</v>
      </c>
      <c r="E26" s="3"/>
      <c r="F26" s="3"/>
      <c r="G26" s="11" t="s">
        <v>1376</v>
      </c>
      <c r="K26" s="76" t="s">
        <v>1289</v>
      </c>
      <c r="L26" s="76" t="str">
        <f t="shared" si="7"/>
        <v>C11SR</v>
      </c>
      <c r="M26" s="77">
        <v>4.5999999999999996</v>
      </c>
      <c r="N26" s="77" t="s">
        <v>1376</v>
      </c>
      <c r="O26" s="77" t="s">
        <v>1376</v>
      </c>
      <c r="P26" s="77" t="s">
        <v>1376</v>
      </c>
      <c r="Q26" s="77" t="s">
        <v>1376</v>
      </c>
      <c r="R26" s="513" t="s">
        <v>1376</v>
      </c>
      <c r="S26" s="825"/>
      <c r="V26" s="76" t="s">
        <v>1289</v>
      </c>
      <c r="W26" s="77" t="s">
        <v>2426</v>
      </c>
      <c r="X26" s="440"/>
      <c r="Y26" s="438">
        <v>1.2</v>
      </c>
      <c r="Z26" s="439">
        <v>40</v>
      </c>
      <c r="AA26" s="76">
        <v>8</v>
      </c>
      <c r="AB26" s="302" t="s">
        <v>1358</v>
      </c>
      <c r="AC26" s="76" t="s">
        <v>1352</v>
      </c>
      <c r="AD26" s="76" t="s">
        <v>1353</v>
      </c>
      <c r="AE26" s="76" t="s">
        <v>1595</v>
      </c>
    </row>
    <row r="27" spans="1:31" ht="19.95" customHeight="1">
      <c r="A27" s="3"/>
      <c r="B27" s="3"/>
      <c r="C27" s="11" t="s">
        <v>1376</v>
      </c>
      <c r="E27" s="3"/>
      <c r="F27" s="3"/>
      <c r="G27" s="11" t="s">
        <v>1376</v>
      </c>
      <c r="K27" s="5" t="s">
        <v>1290</v>
      </c>
      <c r="L27" s="5" t="str">
        <f t="shared" si="7"/>
        <v>C12SR</v>
      </c>
      <c r="M27" s="11">
        <v>6.1</v>
      </c>
      <c r="N27" s="11" t="s">
        <v>1376</v>
      </c>
      <c r="O27" s="11" t="s">
        <v>1376</v>
      </c>
      <c r="P27" s="11" t="s">
        <v>1376</v>
      </c>
      <c r="Q27" s="11" t="s">
        <v>1376</v>
      </c>
      <c r="R27" s="512" t="s">
        <v>1376</v>
      </c>
      <c r="S27" s="825"/>
      <c r="V27" s="5" t="s">
        <v>1290</v>
      </c>
      <c r="W27" s="11" t="s">
        <v>2427</v>
      </c>
      <c r="X27" s="440"/>
      <c r="Y27" s="438">
        <v>1.2</v>
      </c>
      <c r="Z27" s="439">
        <v>40</v>
      </c>
      <c r="AA27" s="76">
        <v>10</v>
      </c>
      <c r="AB27" s="76" t="s">
        <v>1363</v>
      </c>
      <c r="AC27" s="76" t="s">
        <v>1352</v>
      </c>
      <c r="AD27" s="76" t="s">
        <v>1353</v>
      </c>
      <c r="AE27" s="76" t="s">
        <v>1716</v>
      </c>
    </row>
    <row r="28" spans="1:31" ht="19.95" customHeight="1">
      <c r="A28" s="3"/>
      <c r="B28" s="3"/>
      <c r="C28" s="11" t="s">
        <v>1376</v>
      </c>
      <c r="E28" s="3"/>
      <c r="F28" s="3"/>
      <c r="G28" s="11" t="s">
        <v>1376</v>
      </c>
      <c r="K28" s="76" t="s">
        <v>1291</v>
      </c>
      <c r="L28" s="76" t="str">
        <f t="shared" si="7"/>
        <v>C13SR</v>
      </c>
      <c r="M28" s="77">
        <v>7.1</v>
      </c>
      <c r="N28" s="77" t="s">
        <v>1376</v>
      </c>
      <c r="O28" s="77" t="s">
        <v>1376</v>
      </c>
      <c r="P28" s="77" t="s">
        <v>1376</v>
      </c>
      <c r="Q28" s="77" t="s">
        <v>1376</v>
      </c>
      <c r="R28" s="513" t="s">
        <v>1376</v>
      </c>
      <c r="S28" s="825"/>
      <c r="V28" s="76" t="s">
        <v>1291</v>
      </c>
      <c r="W28" s="77" t="s">
        <v>2428</v>
      </c>
      <c r="X28" s="440"/>
      <c r="Y28" s="438">
        <v>1.2</v>
      </c>
      <c r="Z28" s="439">
        <v>40</v>
      </c>
      <c r="AA28" s="76">
        <v>12</v>
      </c>
      <c r="AB28" s="76" t="s">
        <v>1364</v>
      </c>
      <c r="AC28" s="76" t="s">
        <v>1352</v>
      </c>
      <c r="AD28" s="76" t="s">
        <v>1353</v>
      </c>
      <c r="AE28" s="76" t="s">
        <v>1717</v>
      </c>
    </row>
    <row r="29" spans="1:31" ht="19.95" customHeight="1">
      <c r="A29" s="3"/>
      <c r="B29" s="3"/>
      <c r="C29" s="11" t="s">
        <v>1376</v>
      </c>
      <c r="E29" s="3"/>
      <c r="F29" s="3"/>
      <c r="G29" s="11" t="s">
        <v>1376</v>
      </c>
      <c r="K29" s="5" t="s">
        <v>448</v>
      </c>
      <c r="L29" s="5" t="str">
        <f t="shared" si="7"/>
        <v>2C3SR</v>
      </c>
      <c r="M29" s="11">
        <v>3.9</v>
      </c>
      <c r="N29" s="11" t="s">
        <v>1376</v>
      </c>
      <c r="O29" s="11" t="s">
        <v>1376</v>
      </c>
      <c r="P29" s="11" t="s">
        <v>1376</v>
      </c>
      <c r="Q29" s="11" t="s">
        <v>1376</v>
      </c>
      <c r="R29" s="512" t="s">
        <v>1376</v>
      </c>
      <c r="S29" s="825"/>
      <c r="V29" s="5" t="s">
        <v>448</v>
      </c>
      <c r="W29" s="11" t="s">
        <v>2429</v>
      </c>
      <c r="X29" s="440"/>
      <c r="Y29" s="438">
        <v>1</v>
      </c>
      <c r="Z29" s="439">
        <v>25</v>
      </c>
      <c r="AA29" s="76">
        <v>6</v>
      </c>
      <c r="AB29" s="76" t="s">
        <v>1365</v>
      </c>
      <c r="AC29" s="76" t="s">
        <v>1350</v>
      </c>
      <c r="AD29" s="76" t="s">
        <v>1346</v>
      </c>
      <c r="AE29" s="76" t="s">
        <v>1366</v>
      </c>
    </row>
    <row r="30" spans="1:31" ht="19.95" customHeight="1">
      <c r="A30" s="3"/>
      <c r="B30" s="3"/>
      <c r="C30" s="11" t="s">
        <v>1376</v>
      </c>
      <c r="E30" s="3"/>
      <c r="F30" s="3"/>
      <c r="G30" s="11" t="s">
        <v>1376</v>
      </c>
      <c r="K30" s="5" t="s">
        <v>787</v>
      </c>
      <c r="L30" s="5" t="str">
        <f t="shared" si="7"/>
        <v>2C3SR</v>
      </c>
      <c r="M30" s="11">
        <v>4</v>
      </c>
      <c r="N30" s="11" t="s">
        <v>1376</v>
      </c>
      <c r="O30" s="11" t="s">
        <v>1376</v>
      </c>
      <c r="P30" s="11" t="s">
        <v>1376</v>
      </c>
      <c r="Q30" s="11" t="s">
        <v>1376</v>
      </c>
      <c r="R30" s="512" t="s">
        <v>1376</v>
      </c>
      <c r="S30" s="825"/>
      <c r="V30" s="5" t="s">
        <v>787</v>
      </c>
      <c r="W30" s="11" t="s">
        <v>2429</v>
      </c>
      <c r="X30" s="440"/>
      <c r="Y30" s="438">
        <v>1</v>
      </c>
      <c r="Z30" s="439">
        <v>25</v>
      </c>
      <c r="AA30" s="76">
        <v>6</v>
      </c>
      <c r="AB30" s="76" t="s">
        <v>1365</v>
      </c>
      <c r="AC30" s="76" t="s">
        <v>1350</v>
      </c>
      <c r="AD30" s="76" t="s">
        <v>1346</v>
      </c>
      <c r="AE30" s="76" t="s">
        <v>1366</v>
      </c>
    </row>
    <row r="31" spans="1:31" ht="19.95" customHeight="1">
      <c r="A31" s="3"/>
      <c r="B31" s="3"/>
      <c r="C31" s="11" t="s">
        <v>1376</v>
      </c>
      <c r="E31" s="3"/>
      <c r="F31" s="3"/>
      <c r="G31" s="11" t="s">
        <v>1376</v>
      </c>
      <c r="K31" s="76" t="s">
        <v>449</v>
      </c>
      <c r="L31" s="76" t="str">
        <f t="shared" si="7"/>
        <v>2C4SR</v>
      </c>
      <c r="M31" s="77">
        <v>4.3</v>
      </c>
      <c r="N31" s="77" t="s">
        <v>1376</v>
      </c>
      <c r="O31" s="77" t="s">
        <v>1376</v>
      </c>
      <c r="P31" s="77" t="s">
        <v>1376</v>
      </c>
      <c r="Q31" s="77" t="s">
        <v>1376</v>
      </c>
      <c r="R31" s="513" t="s">
        <v>1376</v>
      </c>
      <c r="S31" s="825"/>
      <c r="V31" s="76" t="s">
        <v>449</v>
      </c>
      <c r="W31" s="77" t="s">
        <v>2422</v>
      </c>
      <c r="X31" s="440"/>
      <c r="Y31" s="438">
        <v>1</v>
      </c>
      <c r="Z31" s="439">
        <v>32</v>
      </c>
      <c r="AA31" s="76">
        <v>6</v>
      </c>
      <c r="AB31" s="76" t="s">
        <v>1367</v>
      </c>
      <c r="AC31" s="76" t="s">
        <v>1355</v>
      </c>
      <c r="AD31" s="76" t="s">
        <v>1353</v>
      </c>
      <c r="AE31" s="76" t="s">
        <v>1368</v>
      </c>
    </row>
    <row r="32" spans="1:31" ht="19.95" customHeight="1">
      <c r="A32" s="3"/>
      <c r="B32" s="3"/>
      <c r="C32" s="11" t="s">
        <v>1376</v>
      </c>
      <c r="E32" s="3"/>
      <c r="F32" s="3"/>
      <c r="G32" s="11" t="s">
        <v>1376</v>
      </c>
      <c r="K32" s="76" t="s">
        <v>788</v>
      </c>
      <c r="L32" s="76" t="str">
        <f t="shared" si="7"/>
        <v>2C4SR</v>
      </c>
      <c r="M32" s="77" t="s">
        <v>1376</v>
      </c>
      <c r="N32" s="77" t="s">
        <v>1376</v>
      </c>
      <c r="O32" s="77" t="s">
        <v>1376</v>
      </c>
      <c r="P32" s="77" t="s">
        <v>1376</v>
      </c>
      <c r="Q32" s="77" t="s">
        <v>1376</v>
      </c>
      <c r="R32" s="513" t="s">
        <v>1376</v>
      </c>
      <c r="S32" s="825"/>
      <c r="V32" s="76" t="s">
        <v>788</v>
      </c>
      <c r="W32" s="77" t="s">
        <v>2422</v>
      </c>
      <c r="X32" s="440"/>
      <c r="Y32" s="438">
        <v>1</v>
      </c>
      <c r="Z32" s="439">
        <v>32</v>
      </c>
      <c r="AA32" s="76">
        <v>6</v>
      </c>
      <c r="AB32" s="76" t="s">
        <v>1367</v>
      </c>
      <c r="AC32" s="76" t="s">
        <v>1355</v>
      </c>
      <c r="AD32" s="76" t="s">
        <v>1353</v>
      </c>
      <c r="AE32" s="76" t="s">
        <v>1368</v>
      </c>
    </row>
    <row r="33" spans="1:31" ht="19.95" customHeight="1">
      <c r="A33" s="3"/>
      <c r="B33" s="3"/>
      <c r="C33" s="11" t="s">
        <v>1376</v>
      </c>
      <c r="E33" s="3"/>
      <c r="F33" s="3"/>
      <c r="G33" s="11" t="s">
        <v>1376</v>
      </c>
      <c r="K33" s="5" t="s">
        <v>1263</v>
      </c>
      <c r="L33" s="5" t="str">
        <f t="shared" si="7"/>
        <v>2C7SR</v>
      </c>
      <c r="M33" s="11" t="s">
        <v>1376</v>
      </c>
      <c r="N33" s="11" t="s">
        <v>1376</v>
      </c>
      <c r="O33" s="11" t="s">
        <v>1376</v>
      </c>
      <c r="P33" s="11" t="s">
        <v>1376</v>
      </c>
      <c r="Q33" s="11" t="s">
        <v>1376</v>
      </c>
      <c r="R33" s="512" t="s">
        <v>1376</v>
      </c>
      <c r="S33" s="825"/>
      <c r="V33" s="5" t="s">
        <v>1263</v>
      </c>
      <c r="W33" s="11" t="s">
        <v>2430</v>
      </c>
      <c r="X33" s="440"/>
      <c r="Y33" s="438"/>
      <c r="Z33" s="439">
        <v>40</v>
      </c>
      <c r="AA33" s="76">
        <v>8</v>
      </c>
      <c r="AB33" s="76" t="s">
        <v>1369</v>
      </c>
      <c r="AC33" s="301" t="s">
        <v>1359</v>
      </c>
      <c r="AD33" s="301" t="s">
        <v>1360</v>
      </c>
      <c r="AE33" s="301" t="s">
        <v>1361</v>
      </c>
    </row>
    <row r="34" spans="1:31" ht="19.95" customHeight="1">
      <c r="A34" s="3"/>
      <c r="B34" s="3"/>
      <c r="C34" s="11" t="s">
        <v>1376</v>
      </c>
      <c r="E34" s="3"/>
      <c r="F34" s="3"/>
      <c r="G34" s="11" t="s">
        <v>1376</v>
      </c>
      <c r="K34" s="76" t="s">
        <v>1005</v>
      </c>
      <c r="L34" s="76" t="str">
        <f t="shared" si="7"/>
        <v>2C4FSR</v>
      </c>
      <c r="M34" s="77">
        <v>4.3</v>
      </c>
      <c r="N34" s="77" t="s">
        <v>1376</v>
      </c>
      <c r="O34" s="77" t="s">
        <v>1376</v>
      </c>
      <c r="P34" s="77" t="s">
        <v>1376</v>
      </c>
      <c r="Q34" s="77" t="s">
        <v>1376</v>
      </c>
      <c r="R34" s="513" t="s">
        <v>1376</v>
      </c>
      <c r="S34" s="825"/>
      <c r="V34" s="76" t="s">
        <v>1005</v>
      </c>
      <c r="W34" s="77" t="s">
        <v>2431</v>
      </c>
      <c r="X34" s="440"/>
      <c r="Y34" s="438">
        <v>1</v>
      </c>
      <c r="Z34" s="439">
        <v>32</v>
      </c>
      <c r="AA34" s="76">
        <v>6</v>
      </c>
      <c r="AB34" s="76" t="s">
        <v>1367</v>
      </c>
      <c r="AC34" s="76" t="s">
        <v>1350</v>
      </c>
      <c r="AD34" s="76" t="s">
        <v>1370</v>
      </c>
      <c r="AE34" s="76" t="s">
        <v>1371</v>
      </c>
    </row>
    <row r="35" spans="1:31" ht="19.95" customHeight="1">
      <c r="A35" s="3"/>
      <c r="B35" s="3"/>
      <c r="C35" s="11" t="s">
        <v>1376</v>
      </c>
      <c r="E35" s="3"/>
      <c r="F35" s="3"/>
      <c r="G35" s="11" t="s">
        <v>1376</v>
      </c>
      <c r="K35" s="5" t="s">
        <v>1006</v>
      </c>
      <c r="L35" s="5" t="str">
        <f t="shared" si="7"/>
        <v>C12FSR</v>
      </c>
      <c r="M35" s="11">
        <v>5.7</v>
      </c>
      <c r="N35" s="11" t="s">
        <v>1376</v>
      </c>
      <c r="O35" s="11" t="s">
        <v>1376</v>
      </c>
      <c r="P35" s="11" t="s">
        <v>1376</v>
      </c>
      <c r="Q35" s="11" t="s">
        <v>1376</v>
      </c>
      <c r="R35" s="512" t="s">
        <v>1376</v>
      </c>
      <c r="S35" s="825"/>
      <c r="V35" s="5" t="s">
        <v>1006</v>
      </c>
      <c r="W35" s="11" t="s">
        <v>2432</v>
      </c>
      <c r="X35" s="440"/>
      <c r="Y35" s="438">
        <v>1.2</v>
      </c>
      <c r="Z35" s="439">
        <v>40</v>
      </c>
      <c r="AA35" s="76">
        <v>10</v>
      </c>
      <c r="AB35" s="76" t="s">
        <v>1372</v>
      </c>
      <c r="AC35" s="76" t="s">
        <v>1352</v>
      </c>
      <c r="AD35" s="76" t="s">
        <v>1370</v>
      </c>
      <c r="AE35" s="76" t="s">
        <v>1373</v>
      </c>
    </row>
    <row r="36" spans="1:31" ht="19.95" customHeight="1">
      <c r="A36" s="3"/>
      <c r="B36" s="3"/>
      <c r="C36" s="11" t="s">
        <v>1376</v>
      </c>
      <c r="E36" s="3"/>
      <c r="F36" s="3"/>
      <c r="G36" s="11" t="s">
        <v>1376</v>
      </c>
      <c r="K36" s="77" t="s">
        <v>1095</v>
      </c>
      <c r="L36" s="77" t="str">
        <f t="shared" si="7"/>
        <v>AnMC-R</v>
      </c>
      <c r="M36" s="77">
        <v>3.9</v>
      </c>
      <c r="N36" s="77" t="s">
        <v>1376</v>
      </c>
      <c r="O36" s="77" t="s">
        <v>1376</v>
      </c>
      <c r="P36" s="77" t="s">
        <v>1376</v>
      </c>
      <c r="Q36" s="77" t="s">
        <v>1376</v>
      </c>
      <c r="R36" s="513" t="s">
        <v>1376</v>
      </c>
      <c r="S36" s="825"/>
      <c r="V36" s="77" t="s">
        <v>1095</v>
      </c>
      <c r="W36" s="77" t="s">
        <v>1095</v>
      </c>
      <c r="X36" s="440"/>
      <c r="Y36" s="438">
        <v>0.75</v>
      </c>
      <c r="Z36" s="439">
        <v>16</v>
      </c>
      <c r="AA36" s="76">
        <v>4</v>
      </c>
      <c r="AB36" s="76" t="s">
        <v>1374</v>
      </c>
      <c r="AC36" s="76" t="s">
        <v>1345</v>
      </c>
      <c r="AD36" s="76" t="s">
        <v>1346</v>
      </c>
      <c r="AE36" s="76" t="s">
        <v>1375</v>
      </c>
    </row>
    <row r="37" spans="1:31" ht="19.95" customHeight="1">
      <c r="A37" s="3"/>
      <c r="B37" s="3"/>
      <c r="C37" s="11" t="s">
        <v>1376</v>
      </c>
      <c r="E37" s="3"/>
      <c r="F37" s="3"/>
      <c r="G37" s="11" t="s">
        <v>1376</v>
      </c>
      <c r="K37" s="77" t="s">
        <v>1096</v>
      </c>
      <c r="L37" s="77" t="str">
        <f t="shared" si="7"/>
        <v>AnM-R</v>
      </c>
      <c r="M37" s="77">
        <v>2.8</v>
      </c>
      <c r="N37" s="77" t="s">
        <v>1376</v>
      </c>
      <c r="O37" s="77" t="s">
        <v>1376</v>
      </c>
      <c r="P37" s="77" t="s">
        <v>1376</v>
      </c>
      <c r="Q37" s="77" t="s">
        <v>1376</v>
      </c>
      <c r="R37" s="513" t="s">
        <v>1376</v>
      </c>
      <c r="S37" s="825"/>
      <c r="V37" s="77" t="s">
        <v>1096</v>
      </c>
      <c r="W37" s="77" t="s">
        <v>1096</v>
      </c>
      <c r="X37" s="440"/>
      <c r="Y37" s="438">
        <v>0.75</v>
      </c>
      <c r="Z37" s="439">
        <v>16</v>
      </c>
      <c r="AA37" s="76">
        <v>4</v>
      </c>
      <c r="AB37" s="76" t="s">
        <v>1374</v>
      </c>
      <c r="AC37" s="76" t="s">
        <v>1345</v>
      </c>
      <c r="AD37" s="76" t="s">
        <v>1346</v>
      </c>
      <c r="AE37" s="76" t="s">
        <v>1375</v>
      </c>
    </row>
    <row r="38" spans="1:31" ht="19.95" customHeight="1">
      <c r="A38" s="3"/>
      <c r="B38" s="3"/>
      <c r="C38" s="11" t="s">
        <v>1376</v>
      </c>
      <c r="E38" s="3"/>
      <c r="F38" s="3"/>
      <c r="G38" s="11" t="s">
        <v>1376</v>
      </c>
      <c r="K38" s="16"/>
      <c r="L38" s="832" t="s">
        <v>2520</v>
      </c>
      <c r="M38" s="833"/>
      <c r="N38" s="833"/>
      <c r="O38" s="833"/>
      <c r="P38" s="833"/>
      <c r="Q38" s="833"/>
      <c r="R38" s="833"/>
      <c r="S38" s="825"/>
      <c r="V38" s="831" t="s">
        <v>2415</v>
      </c>
      <c r="W38" s="831"/>
      <c r="X38" s="831"/>
    </row>
    <row r="39" spans="1:31" ht="19.95" customHeight="1">
      <c r="A39" s="3"/>
      <c r="B39" s="3"/>
      <c r="C39" s="11" t="s">
        <v>1376</v>
      </c>
      <c r="E39" s="3"/>
      <c r="F39" s="3"/>
      <c r="G39" s="11" t="s">
        <v>1376</v>
      </c>
      <c r="K39" s="441" t="s">
        <v>603</v>
      </c>
      <c r="L39" s="441"/>
      <c r="M39" s="442" t="s">
        <v>2519</v>
      </c>
      <c r="N39" s="442" t="s">
        <v>1090</v>
      </c>
      <c r="O39" s="442" t="s">
        <v>1091</v>
      </c>
      <c r="P39" s="442" t="s">
        <v>1092</v>
      </c>
      <c r="Q39" s="442" t="s">
        <v>1093</v>
      </c>
      <c r="R39" s="516" t="s">
        <v>1094</v>
      </c>
      <c r="S39" s="825"/>
      <c r="V39" s="441" t="s">
        <v>603</v>
      </c>
      <c r="W39" s="163"/>
      <c r="X39" s="163" t="s">
        <v>612</v>
      </c>
    </row>
    <row r="40" spans="1:31" ht="19.95" customHeight="1">
      <c r="A40" s="3"/>
      <c r="B40" s="3"/>
      <c r="C40" s="11" t="s">
        <v>1376</v>
      </c>
      <c r="E40" s="3"/>
      <c r="F40" s="3"/>
      <c r="G40" s="11" t="s">
        <v>1376</v>
      </c>
      <c r="K40" s="819"/>
      <c r="L40" s="820"/>
      <c r="M40" s="820"/>
      <c r="N40" s="820"/>
      <c r="O40" s="820"/>
      <c r="P40" s="820"/>
      <c r="Q40" s="820"/>
      <c r="R40" s="820"/>
      <c r="S40" s="825"/>
      <c r="V40" s="819"/>
      <c r="W40" s="820"/>
      <c r="X40" s="824"/>
    </row>
    <row r="41" spans="1:31" ht="19.95" customHeight="1">
      <c r="A41" s="3"/>
      <c r="B41" s="3"/>
      <c r="C41" s="11" t="s">
        <v>1376</v>
      </c>
      <c r="E41" s="3"/>
      <c r="F41" s="3"/>
      <c r="G41" s="11" t="s">
        <v>1376</v>
      </c>
      <c r="K41" s="5"/>
      <c r="L41" s="5"/>
      <c r="M41" s="11"/>
      <c r="N41" s="11"/>
      <c r="O41" s="11"/>
      <c r="P41" s="11"/>
      <c r="Q41" s="11"/>
      <c r="R41" s="512"/>
      <c r="S41" s="825"/>
      <c r="V41" s="5" t="s">
        <v>37</v>
      </c>
      <c r="W41" s="11"/>
      <c r="X41" s="5" t="s">
        <v>2433</v>
      </c>
    </row>
    <row r="42" spans="1:31" ht="19.95" customHeight="1">
      <c r="A42" s="3"/>
      <c r="B42" s="3"/>
      <c r="C42" s="11" t="s">
        <v>1376</v>
      </c>
      <c r="E42" s="3"/>
      <c r="F42" s="3"/>
      <c r="G42" s="11" t="s">
        <v>1376</v>
      </c>
      <c r="K42" s="76" t="s">
        <v>38</v>
      </c>
      <c r="L42" s="76" t="str">
        <f t="shared" ref="L42:L57" si="8">VLOOKUP(K42,$V$41:$X$78,3,FALSE)</f>
        <v>C4SRT</v>
      </c>
      <c r="M42" s="77">
        <v>4.5</v>
      </c>
      <c r="N42" s="77" t="s">
        <v>1376</v>
      </c>
      <c r="O42" s="77" t="s">
        <v>1376</v>
      </c>
      <c r="P42" s="77" t="s">
        <v>1376</v>
      </c>
      <c r="Q42" s="77" t="s">
        <v>1376</v>
      </c>
      <c r="R42" s="513" t="s">
        <v>1376</v>
      </c>
      <c r="S42" s="825"/>
      <c r="V42" s="76" t="s">
        <v>38</v>
      </c>
      <c r="W42" s="77"/>
      <c r="X42" s="76" t="s">
        <v>2434</v>
      </c>
    </row>
    <row r="43" spans="1:31" ht="19.95" customHeight="1">
      <c r="A43" s="3"/>
      <c r="B43" s="3"/>
      <c r="C43" s="11" t="s">
        <v>1376</v>
      </c>
      <c r="E43" s="3"/>
      <c r="F43" s="3"/>
      <c r="G43" s="11" t="s">
        <v>1376</v>
      </c>
      <c r="K43" s="78" t="s">
        <v>452</v>
      </c>
      <c r="L43" s="78" t="str">
        <f t="shared" si="8"/>
        <v>C4SRT</v>
      </c>
      <c r="M43" s="79">
        <f>M42</f>
        <v>4.5</v>
      </c>
      <c r="N43" s="79" t="str">
        <f>N42</f>
        <v>N.D.</v>
      </c>
      <c r="O43" s="79" t="str">
        <f t="shared" ref="O43:R43" si="9">O42</f>
        <v>N.D.</v>
      </c>
      <c r="P43" s="79" t="str">
        <f t="shared" si="9"/>
        <v>N.D.</v>
      </c>
      <c r="Q43" s="79" t="str">
        <f t="shared" si="9"/>
        <v>N.D.</v>
      </c>
      <c r="R43" s="514" t="str">
        <f t="shared" si="9"/>
        <v>N.D.</v>
      </c>
      <c r="S43" s="825"/>
      <c r="V43" s="78" t="s">
        <v>452</v>
      </c>
      <c r="W43" s="79"/>
      <c r="X43" s="78" t="s">
        <v>2434</v>
      </c>
    </row>
    <row r="44" spans="1:31" ht="19.95" customHeight="1">
      <c r="A44" s="3"/>
      <c r="B44" s="3"/>
      <c r="C44" s="11" t="s">
        <v>1376</v>
      </c>
      <c r="E44" s="3"/>
      <c r="F44" s="3"/>
      <c r="G44" s="11" t="s">
        <v>1376</v>
      </c>
      <c r="K44" s="76" t="s">
        <v>322</v>
      </c>
      <c r="L44" s="76" t="str">
        <f t="shared" si="8"/>
        <v>C4SRT</v>
      </c>
      <c r="M44" s="77">
        <v>5</v>
      </c>
      <c r="N44" s="77" t="s">
        <v>1376</v>
      </c>
      <c r="O44" s="77" t="s">
        <v>1376</v>
      </c>
      <c r="P44" s="77" t="s">
        <v>1376</v>
      </c>
      <c r="Q44" s="77" t="s">
        <v>1376</v>
      </c>
      <c r="R44" s="513" t="s">
        <v>1376</v>
      </c>
      <c r="S44" s="825"/>
      <c r="V44" s="76" t="s">
        <v>322</v>
      </c>
      <c r="W44" s="79"/>
      <c r="X44" s="76" t="s">
        <v>2434</v>
      </c>
    </row>
    <row r="45" spans="1:31" ht="19.95" customHeight="1">
      <c r="A45" s="3"/>
      <c r="B45" s="3"/>
      <c r="C45" s="11" t="s">
        <v>1376</v>
      </c>
      <c r="E45" s="3"/>
      <c r="F45" s="3"/>
      <c r="G45" s="11" t="s">
        <v>1376</v>
      </c>
      <c r="K45" s="5" t="s">
        <v>40</v>
      </c>
      <c r="L45" s="5" t="str">
        <f t="shared" si="8"/>
        <v>C5SRT</v>
      </c>
      <c r="M45" s="11">
        <v>4.5</v>
      </c>
      <c r="N45" s="11" t="s">
        <v>1376</v>
      </c>
      <c r="O45" s="11" t="s">
        <v>1376</v>
      </c>
      <c r="P45" s="11" t="s">
        <v>1376</v>
      </c>
      <c r="Q45" s="11" t="s">
        <v>1376</v>
      </c>
      <c r="R45" s="512" t="s">
        <v>1376</v>
      </c>
      <c r="S45" s="825"/>
      <c r="V45" s="5" t="s">
        <v>40</v>
      </c>
      <c r="W45" s="11"/>
      <c r="X45" s="5" t="s">
        <v>2435</v>
      </c>
    </row>
    <row r="46" spans="1:31" ht="19.95" customHeight="1">
      <c r="A46" s="3"/>
      <c r="B46" s="3"/>
      <c r="C46" s="11" t="s">
        <v>1376</v>
      </c>
      <c r="E46" s="3"/>
      <c r="F46" s="3"/>
      <c r="G46" s="11" t="s">
        <v>1376</v>
      </c>
      <c r="K46" s="80" t="s">
        <v>453</v>
      </c>
      <c r="L46" s="80" t="str">
        <f t="shared" si="8"/>
        <v>C5SRT</v>
      </c>
      <c r="M46" s="70">
        <f t="shared" ref="M46:R46" si="10">M45</f>
        <v>4.5</v>
      </c>
      <c r="N46" s="70" t="str">
        <f t="shared" si="10"/>
        <v>N.D.</v>
      </c>
      <c r="O46" s="70" t="str">
        <f t="shared" si="10"/>
        <v>N.D.</v>
      </c>
      <c r="P46" s="70" t="str">
        <f t="shared" si="10"/>
        <v>N.D.</v>
      </c>
      <c r="Q46" s="70" t="str">
        <f t="shared" si="10"/>
        <v>N.D.</v>
      </c>
      <c r="R46" s="515" t="str">
        <f t="shared" si="10"/>
        <v>N.D.</v>
      </c>
      <c r="S46" s="825"/>
      <c r="V46" s="80" t="s">
        <v>453</v>
      </c>
      <c r="W46" s="70"/>
      <c r="X46" s="80" t="s">
        <v>2435</v>
      </c>
    </row>
    <row r="47" spans="1:31" ht="19.95" customHeight="1">
      <c r="A47" s="3"/>
      <c r="B47" s="3"/>
      <c r="C47" s="11" t="s">
        <v>1376</v>
      </c>
      <c r="E47" s="3"/>
      <c r="F47" s="3"/>
      <c r="G47" s="11" t="s">
        <v>1376</v>
      </c>
      <c r="K47" s="5" t="s">
        <v>323</v>
      </c>
      <c r="L47" s="5" t="str">
        <f t="shared" si="8"/>
        <v>C5SRT</v>
      </c>
      <c r="M47" s="11">
        <v>4.5</v>
      </c>
      <c r="N47" s="11" t="s">
        <v>1376</v>
      </c>
      <c r="O47" s="11" t="s">
        <v>1376</v>
      </c>
      <c r="P47" s="11" t="s">
        <v>1376</v>
      </c>
      <c r="Q47" s="11" t="s">
        <v>1376</v>
      </c>
      <c r="R47" s="512" t="s">
        <v>1376</v>
      </c>
      <c r="S47" s="825"/>
      <c r="V47" s="5" t="s">
        <v>323</v>
      </c>
      <c r="W47" s="11"/>
      <c r="X47" s="5" t="s">
        <v>2435</v>
      </c>
    </row>
    <row r="48" spans="1:31" ht="19.95" customHeight="1">
      <c r="A48" s="3"/>
      <c r="B48" s="3"/>
      <c r="C48" s="11" t="s">
        <v>1376</v>
      </c>
      <c r="E48" s="3"/>
      <c r="F48" s="3"/>
      <c r="G48" s="11" t="s">
        <v>1376</v>
      </c>
      <c r="K48" s="76" t="s">
        <v>39</v>
      </c>
      <c r="L48" s="76" t="str">
        <f t="shared" si="8"/>
        <v>C7SRT</v>
      </c>
      <c r="M48" s="77">
        <v>4.5</v>
      </c>
      <c r="N48" s="77" t="s">
        <v>1376</v>
      </c>
      <c r="O48" s="77" t="s">
        <v>1376</v>
      </c>
      <c r="P48" s="77" t="s">
        <v>1376</v>
      </c>
      <c r="Q48" s="77" t="s">
        <v>1376</v>
      </c>
      <c r="R48" s="513" t="s">
        <v>1376</v>
      </c>
      <c r="S48" s="825"/>
      <c r="V48" s="76" t="s">
        <v>39</v>
      </c>
      <c r="W48" s="77"/>
      <c r="X48" s="76" t="s">
        <v>2436</v>
      </c>
    </row>
    <row r="49" spans="1:24" ht="19.95" customHeight="1">
      <c r="A49" s="3"/>
      <c r="B49" s="3"/>
      <c r="C49" s="11" t="s">
        <v>1376</v>
      </c>
      <c r="E49" s="3"/>
      <c r="F49" s="3"/>
      <c r="G49" s="11" t="s">
        <v>1376</v>
      </c>
      <c r="K49" s="78" t="s">
        <v>454</v>
      </c>
      <c r="L49" s="78" t="str">
        <f t="shared" si="8"/>
        <v>C7SRT</v>
      </c>
      <c r="M49" s="79">
        <f t="shared" ref="M49:R49" si="11">M48</f>
        <v>4.5</v>
      </c>
      <c r="N49" s="79" t="str">
        <f t="shared" si="11"/>
        <v>N.D.</v>
      </c>
      <c r="O49" s="79" t="str">
        <f t="shared" si="11"/>
        <v>N.D.</v>
      </c>
      <c r="P49" s="79" t="str">
        <f t="shared" si="11"/>
        <v>N.D.</v>
      </c>
      <c r="Q49" s="79" t="str">
        <f t="shared" si="11"/>
        <v>N.D.</v>
      </c>
      <c r="R49" s="514" t="str">
        <f t="shared" si="11"/>
        <v>N.D.</v>
      </c>
      <c r="S49" s="825"/>
      <c r="V49" s="78" t="s">
        <v>454</v>
      </c>
      <c r="W49" s="79"/>
      <c r="X49" s="78" t="s">
        <v>2436</v>
      </c>
    </row>
    <row r="50" spans="1:24" ht="19.95" customHeight="1">
      <c r="A50" s="3"/>
      <c r="B50" s="3"/>
      <c r="C50" s="11" t="s">
        <v>1376</v>
      </c>
      <c r="E50" s="3"/>
      <c r="F50" s="3"/>
      <c r="G50" s="11" t="s">
        <v>1376</v>
      </c>
      <c r="K50" s="76" t="s">
        <v>324</v>
      </c>
      <c r="L50" s="76" t="str">
        <f t="shared" si="8"/>
        <v>C7SRT</v>
      </c>
      <c r="M50" s="77">
        <v>4.5999999999999996</v>
      </c>
      <c r="N50" s="77" t="s">
        <v>1376</v>
      </c>
      <c r="O50" s="77" t="s">
        <v>1376</v>
      </c>
      <c r="P50" s="77" t="s">
        <v>1376</v>
      </c>
      <c r="Q50" s="77" t="s">
        <v>1376</v>
      </c>
      <c r="R50" s="513" t="s">
        <v>1376</v>
      </c>
      <c r="S50" s="825"/>
      <c r="V50" s="76" t="s">
        <v>324</v>
      </c>
      <c r="W50" s="77"/>
      <c r="X50" s="76" t="s">
        <v>2436</v>
      </c>
    </row>
    <row r="51" spans="1:24" ht="19.95" customHeight="1">
      <c r="A51" s="3"/>
      <c r="B51" s="3"/>
      <c r="C51" s="11" t="s">
        <v>1376</v>
      </c>
      <c r="E51" s="3"/>
      <c r="F51" s="3"/>
      <c r="G51" s="11" t="s">
        <v>1376</v>
      </c>
      <c r="K51" s="76" t="s">
        <v>789</v>
      </c>
      <c r="L51" s="76" t="str">
        <f t="shared" si="8"/>
        <v>C9SRT</v>
      </c>
      <c r="M51" s="77" t="s">
        <v>1376</v>
      </c>
      <c r="N51" s="77" t="s">
        <v>1376</v>
      </c>
      <c r="O51" s="77" t="s">
        <v>1376</v>
      </c>
      <c r="P51" s="77" t="s">
        <v>1376</v>
      </c>
      <c r="Q51" s="77" t="s">
        <v>1376</v>
      </c>
      <c r="R51" s="513" t="s">
        <v>1376</v>
      </c>
      <c r="S51" s="825"/>
      <c r="V51" s="76" t="s">
        <v>789</v>
      </c>
      <c r="W51" s="77"/>
      <c r="X51" s="76" t="s">
        <v>2439</v>
      </c>
    </row>
    <row r="52" spans="1:24" ht="19.95" customHeight="1">
      <c r="A52" s="3"/>
      <c r="B52" s="3"/>
      <c r="C52" s="11" t="s">
        <v>1376</v>
      </c>
      <c r="E52" s="3"/>
      <c r="F52" s="3"/>
      <c r="G52" s="11" t="s">
        <v>1376</v>
      </c>
      <c r="K52" s="76" t="s">
        <v>325</v>
      </c>
      <c r="L52" s="76" t="str">
        <f t="shared" si="8"/>
        <v>C7SRT</v>
      </c>
      <c r="M52" s="77">
        <v>5</v>
      </c>
      <c r="N52" s="77" t="s">
        <v>1376</v>
      </c>
      <c r="O52" s="77" t="s">
        <v>1376</v>
      </c>
      <c r="P52" s="77" t="s">
        <v>1376</v>
      </c>
      <c r="Q52" s="77" t="s">
        <v>1376</v>
      </c>
      <c r="R52" s="513" t="s">
        <v>1376</v>
      </c>
      <c r="S52" s="825"/>
      <c r="V52" s="76" t="s">
        <v>325</v>
      </c>
      <c r="W52" s="77"/>
      <c r="X52" s="76" t="s">
        <v>2436</v>
      </c>
    </row>
    <row r="53" spans="1:24" ht="19.95" customHeight="1">
      <c r="A53" s="3"/>
      <c r="B53" s="3"/>
      <c r="C53" s="11" t="s">
        <v>1376</v>
      </c>
      <c r="E53" s="3"/>
      <c r="F53" s="3"/>
      <c r="G53" s="11" t="s">
        <v>1376</v>
      </c>
      <c r="K53" s="76" t="s">
        <v>998</v>
      </c>
      <c r="L53" s="76" t="str">
        <f t="shared" si="8"/>
        <v>2C4SRT</v>
      </c>
      <c r="M53" s="77">
        <v>7.4</v>
      </c>
      <c r="N53" s="77" t="s">
        <v>1376</v>
      </c>
      <c r="O53" s="77" t="s">
        <v>1376</v>
      </c>
      <c r="P53" s="77" t="s">
        <v>1376</v>
      </c>
      <c r="Q53" s="77" t="s">
        <v>1376</v>
      </c>
      <c r="R53" s="513" t="s">
        <v>1376</v>
      </c>
      <c r="S53" s="825"/>
      <c r="V53" s="76" t="s">
        <v>998</v>
      </c>
      <c r="W53" s="79"/>
      <c r="X53" s="76" t="s">
        <v>2437</v>
      </c>
    </row>
    <row r="54" spans="1:24" ht="19.95" customHeight="1">
      <c r="A54" s="3"/>
      <c r="B54" s="3"/>
      <c r="C54" s="11" t="s">
        <v>1376</v>
      </c>
      <c r="E54" s="3"/>
      <c r="F54" s="3"/>
      <c r="G54" s="11" t="s">
        <v>1376</v>
      </c>
      <c r="K54" s="5" t="s">
        <v>747</v>
      </c>
      <c r="L54" s="5" t="str">
        <f t="shared" si="8"/>
        <v>C8SRT</v>
      </c>
      <c r="M54" s="11" t="s">
        <v>1376</v>
      </c>
      <c r="N54" s="11" t="s">
        <v>1376</v>
      </c>
      <c r="O54" s="11" t="s">
        <v>1376</v>
      </c>
      <c r="P54" s="11" t="s">
        <v>1376</v>
      </c>
      <c r="Q54" s="11" t="s">
        <v>1376</v>
      </c>
      <c r="R54" s="512" t="s">
        <v>1376</v>
      </c>
      <c r="S54" s="825"/>
      <c r="V54" s="5" t="s">
        <v>747</v>
      </c>
      <c r="W54" s="11"/>
      <c r="X54" s="5" t="s">
        <v>2438</v>
      </c>
    </row>
    <row r="55" spans="1:24" ht="19.95" customHeight="1">
      <c r="A55" s="3"/>
      <c r="B55" s="3"/>
      <c r="C55" s="11" t="s">
        <v>1376</v>
      </c>
      <c r="E55" s="3"/>
      <c r="F55" s="3"/>
      <c r="G55" s="11" t="s">
        <v>1376</v>
      </c>
      <c r="K55" s="80" t="s">
        <v>326</v>
      </c>
      <c r="L55" s="80" t="str">
        <f t="shared" si="8"/>
        <v>C8SRT</v>
      </c>
      <c r="M55" s="70" t="str">
        <f t="shared" ref="M55:R55" si="12">M54</f>
        <v>N.D.</v>
      </c>
      <c r="N55" s="70" t="str">
        <f t="shared" si="12"/>
        <v>N.D.</v>
      </c>
      <c r="O55" s="70" t="str">
        <f t="shared" si="12"/>
        <v>N.D.</v>
      </c>
      <c r="P55" s="70" t="str">
        <f t="shared" si="12"/>
        <v>N.D.</v>
      </c>
      <c r="Q55" s="70" t="str">
        <f t="shared" si="12"/>
        <v>N.D.</v>
      </c>
      <c r="R55" s="515" t="str">
        <f t="shared" si="12"/>
        <v>N.D.</v>
      </c>
      <c r="S55" s="825"/>
      <c r="V55" s="80" t="s">
        <v>326</v>
      </c>
      <c r="W55" s="70"/>
      <c r="X55" s="80" t="s">
        <v>2438</v>
      </c>
    </row>
    <row r="56" spans="1:24" ht="19.95" customHeight="1">
      <c r="A56" s="3"/>
      <c r="B56" s="3"/>
      <c r="C56" s="11" t="s">
        <v>1376</v>
      </c>
      <c r="E56" s="3"/>
      <c r="F56" s="3"/>
      <c r="G56" s="11" t="s">
        <v>1376</v>
      </c>
      <c r="K56" s="5" t="s">
        <v>663</v>
      </c>
      <c r="L56" s="5" t="str">
        <f t="shared" si="8"/>
        <v>C8SRT</v>
      </c>
      <c r="M56" s="11" t="s">
        <v>1376</v>
      </c>
      <c r="N56" s="11" t="s">
        <v>1376</v>
      </c>
      <c r="O56" s="11" t="s">
        <v>1376</v>
      </c>
      <c r="P56" s="11" t="s">
        <v>1376</v>
      </c>
      <c r="Q56" s="11" t="s">
        <v>1376</v>
      </c>
      <c r="R56" s="512" t="s">
        <v>1376</v>
      </c>
      <c r="S56" s="825"/>
      <c r="V56" s="5" t="s">
        <v>663</v>
      </c>
      <c r="W56" s="70"/>
      <c r="X56" s="5" t="s">
        <v>2438</v>
      </c>
    </row>
    <row r="57" spans="1:24" ht="19.95" customHeight="1">
      <c r="A57" s="3"/>
      <c r="B57" s="3"/>
      <c r="C57" s="11" t="s">
        <v>1376</v>
      </c>
      <c r="E57" s="3"/>
      <c r="F57" s="3"/>
      <c r="G57" s="11" t="s">
        <v>1376</v>
      </c>
      <c r="K57" s="76" t="s">
        <v>1000</v>
      </c>
      <c r="L57" s="76" t="str">
        <f t="shared" si="8"/>
        <v>C9SRT</v>
      </c>
      <c r="M57" s="77">
        <v>5</v>
      </c>
      <c r="N57" s="77" t="s">
        <v>1376</v>
      </c>
      <c r="O57" s="77" t="s">
        <v>1376</v>
      </c>
      <c r="P57" s="77" t="s">
        <v>1376</v>
      </c>
      <c r="Q57" s="77" t="s">
        <v>1376</v>
      </c>
      <c r="R57" s="513" t="s">
        <v>1376</v>
      </c>
      <c r="S57" s="825"/>
      <c r="V57" s="76" t="s">
        <v>1000</v>
      </c>
      <c r="W57" s="77"/>
      <c r="X57" s="76" t="s">
        <v>2439</v>
      </c>
    </row>
    <row r="58" spans="1:24" ht="19.95" customHeight="1">
      <c r="A58" s="3"/>
      <c r="B58" s="3"/>
      <c r="C58" s="11" t="s">
        <v>1376</v>
      </c>
      <c r="E58" s="3"/>
      <c r="F58" s="3"/>
      <c r="G58" s="11" t="s">
        <v>1376</v>
      </c>
      <c r="K58" s="76" t="s">
        <v>970</v>
      </c>
      <c r="L58" s="76" t="s">
        <v>689</v>
      </c>
      <c r="M58" s="77" t="s">
        <v>1376</v>
      </c>
      <c r="N58" s="77" t="s">
        <v>1376</v>
      </c>
      <c r="O58" s="77" t="s">
        <v>1376</v>
      </c>
      <c r="P58" s="77" t="s">
        <v>1376</v>
      </c>
      <c r="Q58" s="77" t="s">
        <v>1376</v>
      </c>
      <c r="R58" s="513" t="s">
        <v>1376</v>
      </c>
      <c r="S58" s="825"/>
      <c r="V58" s="76" t="s">
        <v>970</v>
      </c>
      <c r="W58" s="77"/>
      <c r="X58" s="76" t="s">
        <v>2435</v>
      </c>
    </row>
    <row r="59" spans="1:24" ht="19.95" customHeight="1">
      <c r="A59" s="3"/>
      <c r="B59" s="3"/>
      <c r="C59" s="11" t="s">
        <v>1376</v>
      </c>
      <c r="E59" s="3"/>
      <c r="F59" s="3"/>
      <c r="G59" s="11" t="s">
        <v>1376</v>
      </c>
      <c r="K59" s="76" t="s">
        <v>190</v>
      </c>
      <c r="L59" s="76" t="str">
        <f t="shared" ref="L59:L74" si="13">VLOOKUP(K59,$V$41:$X$78,3,FALSE)</f>
        <v>C9SRT</v>
      </c>
      <c r="M59" s="77">
        <v>5</v>
      </c>
      <c r="N59" s="77" t="s">
        <v>1376</v>
      </c>
      <c r="O59" s="77" t="s">
        <v>1376</v>
      </c>
      <c r="P59" s="77" t="s">
        <v>1376</v>
      </c>
      <c r="Q59" s="77" t="s">
        <v>1376</v>
      </c>
      <c r="R59" s="513" t="s">
        <v>1376</v>
      </c>
      <c r="S59" s="825"/>
      <c r="V59" s="76" t="s">
        <v>190</v>
      </c>
      <c r="W59" s="77"/>
      <c r="X59" s="76" t="s">
        <v>2439</v>
      </c>
    </row>
    <row r="60" spans="1:24" ht="19.95" customHeight="1">
      <c r="A60" s="3"/>
      <c r="B60" s="3"/>
      <c r="C60" s="11" t="s">
        <v>1376</v>
      </c>
      <c r="E60" s="3"/>
      <c r="F60" s="3"/>
      <c r="G60" s="11" t="s">
        <v>1376</v>
      </c>
      <c r="K60" s="76" t="s">
        <v>975</v>
      </c>
      <c r="L60" s="76" t="str">
        <f t="shared" si="13"/>
        <v>C9SRT</v>
      </c>
      <c r="M60" s="77">
        <v>5.4</v>
      </c>
      <c r="N60" s="77" t="s">
        <v>1376</v>
      </c>
      <c r="O60" s="77" t="s">
        <v>1376</v>
      </c>
      <c r="P60" s="77" t="s">
        <v>1376</v>
      </c>
      <c r="Q60" s="77" t="s">
        <v>1376</v>
      </c>
      <c r="R60" s="513" t="s">
        <v>1376</v>
      </c>
      <c r="S60" s="825"/>
      <c r="V60" s="76" t="s">
        <v>975</v>
      </c>
      <c r="W60" s="77"/>
      <c r="X60" s="76" t="s">
        <v>2439</v>
      </c>
    </row>
    <row r="61" spans="1:24" ht="19.95" customHeight="1">
      <c r="A61" s="3"/>
      <c r="B61" s="3"/>
      <c r="C61" s="11" t="s">
        <v>1376</v>
      </c>
      <c r="E61" s="3"/>
      <c r="F61" s="3"/>
      <c r="G61" s="11" t="s">
        <v>1376</v>
      </c>
      <c r="K61" s="5" t="s">
        <v>754</v>
      </c>
      <c r="L61" s="5" t="str">
        <f t="shared" si="13"/>
        <v>C10SRT</v>
      </c>
      <c r="M61" s="11">
        <v>6.8</v>
      </c>
      <c r="N61" s="11" t="s">
        <v>1376</v>
      </c>
      <c r="O61" s="11" t="s">
        <v>1376</v>
      </c>
      <c r="P61" s="11" t="s">
        <v>1376</v>
      </c>
      <c r="Q61" s="11" t="s">
        <v>1376</v>
      </c>
      <c r="R61" s="512" t="s">
        <v>1376</v>
      </c>
      <c r="S61" s="825"/>
      <c r="V61" s="5" t="s">
        <v>754</v>
      </c>
      <c r="W61" s="11"/>
      <c r="X61" s="5" t="s">
        <v>2440</v>
      </c>
    </row>
    <row r="62" spans="1:24" ht="19.95" customHeight="1">
      <c r="A62" s="3"/>
      <c r="B62" s="3"/>
      <c r="C62" s="11" t="s">
        <v>1376</v>
      </c>
      <c r="E62" s="3"/>
      <c r="F62" s="3"/>
      <c r="G62" s="11" t="s">
        <v>1376</v>
      </c>
      <c r="K62" s="76" t="s">
        <v>1192</v>
      </c>
      <c r="L62" s="76" t="str">
        <f t="shared" si="13"/>
        <v>C11SRT</v>
      </c>
      <c r="M62" s="77">
        <v>6.1</v>
      </c>
      <c r="N62" s="77" t="s">
        <v>1376</v>
      </c>
      <c r="O62" s="77" t="s">
        <v>1376</v>
      </c>
      <c r="P62" s="77" t="s">
        <v>1376</v>
      </c>
      <c r="Q62" s="77" t="s">
        <v>1376</v>
      </c>
      <c r="R62" s="513" t="s">
        <v>1376</v>
      </c>
      <c r="S62" s="825"/>
      <c r="V62" s="76" t="s">
        <v>1192</v>
      </c>
      <c r="W62" s="77"/>
      <c r="X62" s="76" t="s">
        <v>2441</v>
      </c>
    </row>
    <row r="63" spans="1:24" ht="19.95" customHeight="1">
      <c r="A63" s="3"/>
      <c r="B63" s="3"/>
      <c r="C63" s="11" t="s">
        <v>1376</v>
      </c>
      <c r="E63" s="3"/>
      <c r="F63" s="3"/>
      <c r="G63" s="11" t="s">
        <v>1376</v>
      </c>
      <c r="K63" s="76" t="s">
        <v>1289</v>
      </c>
      <c r="L63" s="76" t="str">
        <f t="shared" si="13"/>
        <v>C11SRT</v>
      </c>
      <c r="M63" s="77">
        <v>6</v>
      </c>
      <c r="N63" s="77" t="s">
        <v>1376</v>
      </c>
      <c r="O63" s="77" t="s">
        <v>1376</v>
      </c>
      <c r="P63" s="77" t="s">
        <v>1376</v>
      </c>
      <c r="Q63" s="77" t="s">
        <v>1376</v>
      </c>
      <c r="R63" s="513" t="s">
        <v>1376</v>
      </c>
      <c r="S63" s="825"/>
      <c r="V63" s="76" t="s">
        <v>1289</v>
      </c>
      <c r="W63" s="77"/>
      <c r="X63" s="76" t="s">
        <v>2441</v>
      </c>
    </row>
    <row r="64" spans="1:24" ht="19.95" customHeight="1">
      <c r="A64" s="3"/>
      <c r="B64" s="3"/>
      <c r="C64" s="11" t="s">
        <v>1376</v>
      </c>
      <c r="E64" s="3"/>
      <c r="F64" s="3"/>
      <c r="G64" s="11" t="s">
        <v>1376</v>
      </c>
      <c r="K64" s="5" t="s">
        <v>1290</v>
      </c>
      <c r="L64" s="5" t="str">
        <f t="shared" si="13"/>
        <v>C12SRT</v>
      </c>
      <c r="M64" s="11">
        <v>8.4</v>
      </c>
      <c r="N64" s="11" t="s">
        <v>1376</v>
      </c>
      <c r="O64" s="11" t="s">
        <v>1376</v>
      </c>
      <c r="P64" s="11" t="s">
        <v>1376</v>
      </c>
      <c r="Q64" s="11" t="s">
        <v>1376</v>
      </c>
      <c r="R64" s="512" t="s">
        <v>1376</v>
      </c>
      <c r="S64" s="825"/>
      <c r="V64" s="5" t="s">
        <v>1290</v>
      </c>
      <c r="W64" s="11"/>
      <c r="X64" s="5" t="s">
        <v>2442</v>
      </c>
    </row>
    <row r="65" spans="1:24" ht="19.95" customHeight="1">
      <c r="A65" s="3"/>
      <c r="B65" s="3"/>
      <c r="C65" s="11" t="s">
        <v>1376</v>
      </c>
      <c r="E65" s="3"/>
      <c r="F65" s="3"/>
      <c r="G65" s="11" t="s">
        <v>1376</v>
      </c>
      <c r="K65" s="76" t="s">
        <v>1291</v>
      </c>
      <c r="L65" s="76" t="str">
        <f t="shared" si="13"/>
        <v>C13SRT</v>
      </c>
      <c r="M65" s="77">
        <v>11</v>
      </c>
      <c r="N65" s="77" t="s">
        <v>1376</v>
      </c>
      <c r="O65" s="77" t="s">
        <v>1376</v>
      </c>
      <c r="P65" s="77" t="s">
        <v>1376</v>
      </c>
      <c r="Q65" s="77" t="s">
        <v>1376</v>
      </c>
      <c r="R65" s="513" t="s">
        <v>1376</v>
      </c>
      <c r="S65" s="825"/>
      <c r="V65" s="76" t="s">
        <v>1291</v>
      </c>
      <c r="W65" s="77"/>
      <c r="X65" s="76" t="s">
        <v>2443</v>
      </c>
    </row>
    <row r="66" spans="1:24" ht="19.95" customHeight="1">
      <c r="A66" s="3"/>
      <c r="B66" s="3"/>
      <c r="C66" s="11" t="s">
        <v>1376</v>
      </c>
      <c r="E66" s="3"/>
      <c r="F66" s="3"/>
      <c r="G66" s="11" t="s">
        <v>1376</v>
      </c>
      <c r="K66" s="5" t="s">
        <v>448</v>
      </c>
      <c r="L66" s="5" t="str">
        <f t="shared" si="13"/>
        <v>2C3SRT</v>
      </c>
      <c r="M66" s="11">
        <v>4.5</v>
      </c>
      <c r="N66" s="11" t="s">
        <v>1376</v>
      </c>
      <c r="O66" s="11" t="s">
        <v>1376</v>
      </c>
      <c r="P66" s="11" t="s">
        <v>1376</v>
      </c>
      <c r="Q66" s="11" t="s">
        <v>1376</v>
      </c>
      <c r="R66" s="512" t="s">
        <v>1376</v>
      </c>
      <c r="S66" s="825"/>
      <c r="V66" s="5" t="s">
        <v>448</v>
      </c>
      <c r="W66" s="11"/>
      <c r="X66" s="5" t="s">
        <v>2444</v>
      </c>
    </row>
    <row r="67" spans="1:24" ht="19.95" customHeight="1">
      <c r="A67" s="3"/>
      <c r="B67" s="3"/>
      <c r="C67" s="11" t="s">
        <v>1376</v>
      </c>
      <c r="E67" s="3"/>
      <c r="F67" s="3"/>
      <c r="G67" s="11" t="s">
        <v>1376</v>
      </c>
      <c r="K67" s="5" t="s">
        <v>787</v>
      </c>
      <c r="L67" s="5" t="str">
        <f t="shared" si="13"/>
        <v>2C3SRT</v>
      </c>
      <c r="M67" s="11">
        <v>5</v>
      </c>
      <c r="N67" s="11" t="s">
        <v>1376</v>
      </c>
      <c r="O67" s="11" t="s">
        <v>1376</v>
      </c>
      <c r="P67" s="11" t="s">
        <v>1376</v>
      </c>
      <c r="Q67" s="11" t="s">
        <v>1376</v>
      </c>
      <c r="R67" s="512" t="s">
        <v>1376</v>
      </c>
      <c r="S67" s="825"/>
      <c r="V67" s="5" t="s">
        <v>787</v>
      </c>
      <c r="W67" s="70"/>
      <c r="X67" s="5" t="s">
        <v>2444</v>
      </c>
    </row>
    <row r="68" spans="1:24" ht="19.95" customHeight="1">
      <c r="A68" s="3"/>
      <c r="B68" s="3"/>
      <c r="C68" s="11" t="s">
        <v>1376</v>
      </c>
      <c r="E68" s="3"/>
      <c r="F68" s="3"/>
      <c r="G68" s="11" t="s">
        <v>1376</v>
      </c>
      <c r="K68" s="76" t="s">
        <v>449</v>
      </c>
      <c r="L68" s="76" t="str">
        <f t="shared" si="13"/>
        <v>2C4SRT</v>
      </c>
      <c r="M68" s="77">
        <v>5</v>
      </c>
      <c r="N68" s="77" t="str">
        <f>N67</f>
        <v>N.D.</v>
      </c>
      <c r="O68" s="77" t="str">
        <f t="shared" ref="O68:R69" si="14">O67</f>
        <v>N.D.</v>
      </c>
      <c r="P68" s="77" t="str">
        <f t="shared" si="14"/>
        <v>N.D.</v>
      </c>
      <c r="Q68" s="77" t="str">
        <f t="shared" si="14"/>
        <v>N.D.</v>
      </c>
      <c r="R68" s="513" t="str">
        <f t="shared" si="14"/>
        <v>N.D.</v>
      </c>
      <c r="S68" s="825"/>
      <c r="V68" s="76" t="s">
        <v>449</v>
      </c>
      <c r="W68" s="77"/>
      <c r="X68" s="76" t="s">
        <v>2437</v>
      </c>
    </row>
    <row r="69" spans="1:24" ht="19.95" customHeight="1">
      <c r="A69" s="3"/>
      <c r="B69" s="3"/>
      <c r="C69" s="11" t="s">
        <v>1376</v>
      </c>
      <c r="E69" s="3"/>
      <c r="F69" s="3"/>
      <c r="G69" s="11" t="s">
        <v>1376</v>
      </c>
      <c r="K69" s="76" t="s">
        <v>788</v>
      </c>
      <c r="L69" s="76" t="str">
        <f t="shared" si="13"/>
        <v>2C4SRT</v>
      </c>
      <c r="M69" s="77" t="s">
        <v>1376</v>
      </c>
      <c r="N69" s="77" t="str">
        <f>N68</f>
        <v>N.D.</v>
      </c>
      <c r="O69" s="77" t="str">
        <f t="shared" si="14"/>
        <v>N.D.</v>
      </c>
      <c r="P69" s="77" t="str">
        <f t="shared" si="14"/>
        <v>N.D.</v>
      </c>
      <c r="Q69" s="77" t="str">
        <f t="shared" si="14"/>
        <v>N.D.</v>
      </c>
      <c r="R69" s="513" t="str">
        <f t="shared" si="14"/>
        <v>N.D.</v>
      </c>
      <c r="S69" s="825"/>
      <c r="V69" s="76" t="s">
        <v>788</v>
      </c>
      <c r="W69" s="77"/>
      <c r="X69" s="76" t="s">
        <v>2437</v>
      </c>
    </row>
    <row r="70" spans="1:24" ht="19.95" customHeight="1">
      <c r="A70" s="3"/>
      <c r="B70" s="3"/>
      <c r="C70" s="11" t="s">
        <v>1376</v>
      </c>
      <c r="E70" s="3"/>
      <c r="F70" s="3"/>
      <c r="G70" s="11" t="s">
        <v>1376</v>
      </c>
      <c r="K70" s="5" t="s">
        <v>1263</v>
      </c>
      <c r="L70" s="5" t="str">
        <f t="shared" si="13"/>
        <v>2C7SRT</v>
      </c>
      <c r="M70" s="11" t="s">
        <v>1376</v>
      </c>
      <c r="N70" s="11" t="s">
        <v>1376</v>
      </c>
      <c r="O70" s="11" t="s">
        <v>1376</v>
      </c>
      <c r="P70" s="11" t="s">
        <v>1376</v>
      </c>
      <c r="Q70" s="11" t="s">
        <v>1376</v>
      </c>
      <c r="R70" s="512" t="s">
        <v>1376</v>
      </c>
      <c r="S70" s="825"/>
      <c r="V70" s="5" t="s">
        <v>1263</v>
      </c>
      <c r="W70" s="11"/>
      <c r="X70" s="5" t="s">
        <v>2445</v>
      </c>
    </row>
    <row r="71" spans="1:24" ht="19.95" customHeight="1">
      <c r="A71" s="3"/>
      <c r="B71" s="3"/>
      <c r="C71" s="11" t="s">
        <v>1376</v>
      </c>
      <c r="E71" s="3"/>
      <c r="F71" s="3"/>
      <c r="G71" s="11" t="s">
        <v>1376</v>
      </c>
      <c r="K71" s="76" t="s">
        <v>1005</v>
      </c>
      <c r="L71" s="76" t="str">
        <f t="shared" si="13"/>
        <v>2C4FSRT</v>
      </c>
      <c r="M71" s="77">
        <v>5.7</v>
      </c>
      <c r="N71" s="77" t="s">
        <v>1376</v>
      </c>
      <c r="O71" s="77" t="s">
        <v>1376</v>
      </c>
      <c r="P71" s="77" t="s">
        <v>1376</v>
      </c>
      <c r="Q71" s="77" t="s">
        <v>1376</v>
      </c>
      <c r="R71" s="513" t="s">
        <v>1376</v>
      </c>
      <c r="S71" s="825"/>
      <c r="V71" s="76" t="s">
        <v>1005</v>
      </c>
      <c r="W71" s="77"/>
      <c r="X71" s="76" t="s">
        <v>2446</v>
      </c>
    </row>
    <row r="72" spans="1:24" ht="19.95" customHeight="1">
      <c r="A72" s="3"/>
      <c r="B72" s="3"/>
      <c r="C72" s="11" t="s">
        <v>1376</v>
      </c>
      <c r="E72" s="3"/>
      <c r="F72" s="3"/>
      <c r="G72" s="11" t="s">
        <v>1376</v>
      </c>
      <c r="K72" s="5" t="s">
        <v>1006</v>
      </c>
      <c r="L72" s="5" t="str">
        <f t="shared" si="13"/>
        <v>C12FSRT</v>
      </c>
      <c r="M72" s="11">
        <v>7.8</v>
      </c>
      <c r="N72" s="11" t="s">
        <v>1376</v>
      </c>
      <c r="O72" s="11" t="s">
        <v>1376</v>
      </c>
      <c r="P72" s="11" t="s">
        <v>1376</v>
      </c>
      <c r="Q72" s="11" t="s">
        <v>1376</v>
      </c>
      <c r="R72" s="512" t="s">
        <v>1376</v>
      </c>
      <c r="S72" s="825"/>
      <c r="V72" s="5" t="s">
        <v>1006</v>
      </c>
      <c r="W72" s="11"/>
      <c r="X72" s="5" t="s">
        <v>2447</v>
      </c>
    </row>
    <row r="73" spans="1:24" ht="19.95" customHeight="1">
      <c r="A73" s="3"/>
      <c r="B73" s="3"/>
      <c r="C73" s="11" t="s">
        <v>1376</v>
      </c>
      <c r="E73" s="3"/>
      <c r="F73" s="3"/>
      <c r="G73" s="11" t="s">
        <v>1376</v>
      </c>
      <c r="K73" s="77" t="s">
        <v>723</v>
      </c>
      <c r="L73" s="77" t="str">
        <f t="shared" si="13"/>
        <v>AnMC-RT</v>
      </c>
      <c r="M73" s="77">
        <v>3.9</v>
      </c>
      <c r="N73" s="77" t="s">
        <v>1376</v>
      </c>
      <c r="O73" s="77" t="s">
        <v>1376</v>
      </c>
      <c r="P73" s="77" t="s">
        <v>1376</v>
      </c>
      <c r="Q73" s="77" t="s">
        <v>1376</v>
      </c>
      <c r="R73" s="513" t="s">
        <v>1376</v>
      </c>
      <c r="S73" s="825"/>
      <c r="V73" s="77" t="s">
        <v>723</v>
      </c>
      <c r="W73" s="77"/>
      <c r="X73" s="77" t="s">
        <v>723</v>
      </c>
    </row>
    <row r="74" spans="1:24" ht="19.95" customHeight="1">
      <c r="A74" s="3"/>
      <c r="B74" s="3"/>
      <c r="C74" s="11" t="s">
        <v>1376</v>
      </c>
      <c r="E74" s="3"/>
      <c r="F74" s="3"/>
      <c r="G74" s="11" t="s">
        <v>1376</v>
      </c>
      <c r="K74" s="77" t="s">
        <v>746</v>
      </c>
      <c r="L74" s="77" t="str">
        <f t="shared" si="13"/>
        <v>AnM-RT</v>
      </c>
      <c r="M74" s="77">
        <v>2.8</v>
      </c>
      <c r="N74" s="77" t="s">
        <v>1376</v>
      </c>
      <c r="O74" s="77" t="s">
        <v>1376</v>
      </c>
      <c r="P74" s="77" t="s">
        <v>1376</v>
      </c>
      <c r="Q74" s="77" t="s">
        <v>1376</v>
      </c>
      <c r="R74" s="513" t="s">
        <v>1376</v>
      </c>
      <c r="S74" s="825"/>
      <c r="V74" s="77" t="s">
        <v>746</v>
      </c>
      <c r="W74" s="77"/>
      <c r="X74" s="77" t="s">
        <v>746</v>
      </c>
    </row>
    <row r="75" spans="1:24" ht="19.95" customHeight="1">
      <c r="A75" s="3"/>
      <c r="B75" s="3"/>
      <c r="C75" s="11" t="s">
        <v>1376</v>
      </c>
      <c r="E75" s="3"/>
      <c r="F75" s="3"/>
      <c r="G75" s="11" t="s">
        <v>1376</v>
      </c>
      <c r="S75" s="825"/>
    </row>
    <row r="76" spans="1:24" ht="19.95" customHeight="1">
      <c r="A76" s="3"/>
      <c r="B76" s="3"/>
      <c r="C76" s="11" t="s">
        <v>1376</v>
      </c>
      <c r="E76" s="3"/>
      <c r="F76" s="3"/>
      <c r="G76" s="11" t="s">
        <v>1376</v>
      </c>
      <c r="K76" s="437"/>
      <c r="L76" s="817" t="s">
        <v>2416</v>
      </c>
      <c r="M76" s="818"/>
      <c r="N76" s="818"/>
      <c r="O76" s="818"/>
      <c r="P76" s="818"/>
      <c r="Q76" s="818"/>
      <c r="R76" s="818"/>
      <c r="S76" s="825"/>
      <c r="V76" s="823" t="s">
        <v>2416</v>
      </c>
      <c r="W76" s="823"/>
      <c r="X76" s="823"/>
    </row>
    <row r="77" spans="1:24" ht="19.95" customHeight="1">
      <c r="A77" s="3"/>
      <c r="B77" s="3"/>
      <c r="C77" s="11" t="s">
        <v>1376</v>
      </c>
      <c r="E77" s="3"/>
      <c r="F77" s="3"/>
      <c r="G77" s="11" t="s">
        <v>1376</v>
      </c>
      <c r="K77" s="71" t="s">
        <v>603</v>
      </c>
      <c r="L77" s="71"/>
      <c r="M77" s="163" t="s">
        <v>2519</v>
      </c>
      <c r="N77" s="163" t="s">
        <v>1090</v>
      </c>
      <c r="O77" s="163" t="s">
        <v>1091</v>
      </c>
      <c r="P77" s="163" t="s">
        <v>1092</v>
      </c>
      <c r="Q77" s="163" t="s">
        <v>1093</v>
      </c>
      <c r="R77" s="503" t="s">
        <v>1094</v>
      </c>
      <c r="S77" s="825"/>
      <c r="V77" s="71" t="s">
        <v>603</v>
      </c>
      <c r="W77" s="71" t="s">
        <v>611</v>
      </c>
      <c r="X77" s="71"/>
    </row>
    <row r="78" spans="1:24" ht="19.95" customHeight="1">
      <c r="A78" s="3"/>
      <c r="B78" s="3"/>
      <c r="C78" s="11" t="s">
        <v>1376</v>
      </c>
      <c r="E78" s="3"/>
      <c r="F78" s="3"/>
      <c r="G78" s="11" t="s">
        <v>1376</v>
      </c>
      <c r="K78" s="819"/>
      <c r="L78" s="820"/>
      <c r="M78" s="820"/>
      <c r="N78" s="820"/>
      <c r="O78" s="820"/>
      <c r="P78" s="820"/>
      <c r="Q78" s="820"/>
      <c r="R78" s="820"/>
      <c r="S78" s="825"/>
      <c r="V78" s="510"/>
      <c r="W78" s="511"/>
      <c r="X78" s="511"/>
    </row>
    <row r="79" spans="1:24" ht="19.95" customHeight="1">
      <c r="A79" s="3"/>
      <c r="B79" s="3"/>
      <c r="C79" s="11" t="s">
        <v>1376</v>
      </c>
      <c r="E79" s="3"/>
      <c r="F79" s="3"/>
      <c r="G79" s="11" t="s">
        <v>1376</v>
      </c>
      <c r="K79" s="5" t="s">
        <v>37</v>
      </c>
      <c r="L79" s="5" t="str">
        <f>VLOOKUP(K79,$V$79:$W$113,2,FALSE)</f>
        <v>C3R</v>
      </c>
      <c r="M79" s="11">
        <v>3.5</v>
      </c>
      <c r="N79" s="11" t="s">
        <v>1376</v>
      </c>
      <c r="O79" s="11" t="s">
        <v>1376</v>
      </c>
      <c r="P79" s="11" t="s">
        <v>1376</v>
      </c>
      <c r="Q79" s="11" t="s">
        <v>1376</v>
      </c>
      <c r="R79" s="512" t="s">
        <v>1376</v>
      </c>
      <c r="S79" s="825"/>
      <c r="V79" s="5" t="s">
        <v>37</v>
      </c>
      <c r="W79" s="11" t="s">
        <v>673</v>
      </c>
      <c r="X79" s="303"/>
    </row>
    <row r="80" spans="1:24" ht="19.95" customHeight="1">
      <c r="A80" s="3"/>
      <c r="B80" s="3"/>
      <c r="C80" s="11" t="s">
        <v>1376</v>
      </c>
      <c r="E80" s="3"/>
      <c r="F80" s="3"/>
      <c r="G80" s="11" t="s">
        <v>1376</v>
      </c>
      <c r="K80" s="76" t="s">
        <v>38</v>
      </c>
      <c r="L80" s="76" t="str">
        <f t="shared" ref="L80:L112" si="15">VLOOKUP(K80,$V$79:$W$113,2,FALSE)</f>
        <v>C4R</v>
      </c>
      <c r="M80" s="77">
        <v>3.5</v>
      </c>
      <c r="N80" s="77" t="s">
        <v>1376</v>
      </c>
      <c r="O80" s="77" t="s">
        <v>1376</v>
      </c>
      <c r="P80" s="77" t="s">
        <v>1376</v>
      </c>
      <c r="Q80" s="77" t="s">
        <v>1376</v>
      </c>
      <c r="R80" s="513" t="s">
        <v>1376</v>
      </c>
      <c r="S80" s="825"/>
      <c r="V80" s="76" t="s">
        <v>38</v>
      </c>
      <c r="W80" s="77" t="s">
        <v>674</v>
      </c>
      <c r="X80" s="303"/>
    </row>
    <row r="81" spans="1:24" ht="19.95" customHeight="1">
      <c r="A81" s="3"/>
      <c r="B81" s="3"/>
      <c r="C81" s="11" t="s">
        <v>1376</v>
      </c>
      <c r="E81" s="3"/>
      <c r="F81" s="3"/>
      <c r="G81" s="11" t="s">
        <v>1376</v>
      </c>
      <c r="K81" s="78" t="s">
        <v>452</v>
      </c>
      <c r="L81" s="78" t="str">
        <f t="shared" si="15"/>
        <v>C4R</v>
      </c>
      <c r="M81" s="79">
        <f t="shared" ref="M81:R81" si="16">M80</f>
        <v>3.5</v>
      </c>
      <c r="N81" s="79" t="str">
        <f t="shared" si="16"/>
        <v>N.D.</v>
      </c>
      <c r="O81" s="79" t="str">
        <f t="shared" si="16"/>
        <v>N.D.</v>
      </c>
      <c r="P81" s="79" t="str">
        <f t="shared" si="16"/>
        <v>N.D.</v>
      </c>
      <c r="Q81" s="79" t="str">
        <f t="shared" si="16"/>
        <v>N.D.</v>
      </c>
      <c r="R81" s="514" t="str">
        <f t="shared" si="16"/>
        <v>N.D.</v>
      </c>
      <c r="S81" s="825"/>
      <c r="V81" s="78" t="s">
        <v>452</v>
      </c>
      <c r="W81" s="79" t="s">
        <v>674</v>
      </c>
      <c r="X81" s="303"/>
    </row>
    <row r="82" spans="1:24" ht="19.95" customHeight="1">
      <c r="A82" s="3"/>
      <c r="B82" s="3"/>
      <c r="C82" s="11" t="s">
        <v>1376</v>
      </c>
      <c r="E82" s="3"/>
      <c r="F82" s="3"/>
      <c r="G82" s="11" t="s">
        <v>1376</v>
      </c>
      <c r="K82" s="76" t="s">
        <v>322</v>
      </c>
      <c r="L82" s="76" t="str">
        <f t="shared" si="15"/>
        <v>C4R</v>
      </c>
      <c r="M82" s="77">
        <v>3.7</v>
      </c>
      <c r="N82" s="77" t="s">
        <v>1376</v>
      </c>
      <c r="O82" s="77" t="s">
        <v>1376</v>
      </c>
      <c r="P82" s="77" t="s">
        <v>1376</v>
      </c>
      <c r="Q82" s="77" t="s">
        <v>1376</v>
      </c>
      <c r="R82" s="513" t="s">
        <v>1376</v>
      </c>
      <c r="S82" s="825"/>
      <c r="V82" s="76" t="s">
        <v>322</v>
      </c>
      <c r="W82" s="77" t="s">
        <v>674</v>
      </c>
      <c r="X82" s="303"/>
    </row>
    <row r="83" spans="1:24" ht="19.95" customHeight="1">
      <c r="A83" s="3"/>
      <c r="B83" s="3"/>
      <c r="C83" s="11" t="s">
        <v>1376</v>
      </c>
      <c r="E83" s="3"/>
      <c r="F83" s="3"/>
      <c r="G83" s="11" t="s">
        <v>1376</v>
      </c>
      <c r="K83" s="5" t="s">
        <v>40</v>
      </c>
      <c r="L83" s="5" t="str">
        <f t="shared" si="15"/>
        <v>C5R</v>
      </c>
      <c r="M83" s="11">
        <v>3.5</v>
      </c>
      <c r="N83" s="11" t="s">
        <v>1376</v>
      </c>
      <c r="O83" s="11" t="s">
        <v>1376</v>
      </c>
      <c r="P83" s="11" t="s">
        <v>1376</v>
      </c>
      <c r="Q83" s="11" t="s">
        <v>1376</v>
      </c>
      <c r="R83" s="512" t="s">
        <v>1376</v>
      </c>
      <c r="S83" s="825"/>
      <c r="V83" s="5" t="s">
        <v>40</v>
      </c>
      <c r="W83" s="11" t="s">
        <v>678</v>
      </c>
      <c r="X83" s="303"/>
    </row>
    <row r="84" spans="1:24" ht="19.95" customHeight="1">
      <c r="A84" s="3"/>
      <c r="B84" s="3"/>
      <c r="C84" s="11" t="s">
        <v>1376</v>
      </c>
      <c r="E84" s="3"/>
      <c r="F84" s="3"/>
      <c r="G84" s="11" t="s">
        <v>1376</v>
      </c>
      <c r="K84" s="80" t="s">
        <v>453</v>
      </c>
      <c r="L84" s="80" t="str">
        <f t="shared" si="15"/>
        <v>C5R</v>
      </c>
      <c r="M84" s="70">
        <f t="shared" ref="M84:R84" si="17">M83</f>
        <v>3.5</v>
      </c>
      <c r="N84" s="70" t="str">
        <f t="shared" si="17"/>
        <v>N.D.</v>
      </c>
      <c r="O84" s="70" t="str">
        <f t="shared" si="17"/>
        <v>N.D.</v>
      </c>
      <c r="P84" s="70" t="str">
        <f t="shared" si="17"/>
        <v>N.D.</v>
      </c>
      <c r="Q84" s="70" t="str">
        <f t="shared" si="17"/>
        <v>N.D.</v>
      </c>
      <c r="R84" s="515" t="str">
        <f t="shared" si="17"/>
        <v>N.D.</v>
      </c>
      <c r="S84" s="825"/>
      <c r="V84" s="80" t="s">
        <v>453</v>
      </c>
      <c r="W84" s="70" t="s">
        <v>678</v>
      </c>
      <c r="X84" s="303"/>
    </row>
    <row r="85" spans="1:24" ht="19.95" customHeight="1">
      <c r="A85" s="3"/>
      <c r="B85" s="3"/>
      <c r="C85" s="11" t="s">
        <v>1376</v>
      </c>
      <c r="E85" s="3"/>
      <c r="F85" s="3"/>
      <c r="G85" s="11" t="s">
        <v>1376</v>
      </c>
      <c r="K85" s="5" t="s">
        <v>323</v>
      </c>
      <c r="L85" s="5" t="str">
        <f t="shared" si="15"/>
        <v>C5R</v>
      </c>
      <c r="M85" s="11">
        <v>3.5</v>
      </c>
      <c r="N85" s="11" t="s">
        <v>1376</v>
      </c>
      <c r="O85" s="11" t="s">
        <v>1376</v>
      </c>
      <c r="P85" s="11" t="s">
        <v>1376</v>
      </c>
      <c r="Q85" s="11" t="s">
        <v>1376</v>
      </c>
      <c r="R85" s="512" t="s">
        <v>1376</v>
      </c>
      <c r="S85" s="825"/>
      <c r="V85" s="5" t="s">
        <v>323</v>
      </c>
      <c r="W85" s="11" t="s">
        <v>678</v>
      </c>
      <c r="X85" s="303"/>
    </row>
    <row r="86" spans="1:24" ht="19.95" customHeight="1">
      <c r="A86" s="3"/>
      <c r="B86" s="3"/>
      <c r="C86" s="11" t="s">
        <v>1376</v>
      </c>
      <c r="E86" s="3"/>
      <c r="F86" s="3"/>
      <c r="G86" s="11" t="s">
        <v>1376</v>
      </c>
      <c r="K86" s="76" t="s">
        <v>39</v>
      </c>
      <c r="L86" s="76" t="str">
        <f t="shared" si="15"/>
        <v>C7R</v>
      </c>
      <c r="M86" s="77">
        <v>4</v>
      </c>
      <c r="N86" s="77" t="s">
        <v>1376</v>
      </c>
      <c r="O86" s="77" t="s">
        <v>1376</v>
      </c>
      <c r="P86" s="77" t="s">
        <v>1376</v>
      </c>
      <c r="Q86" s="77" t="s">
        <v>1376</v>
      </c>
      <c r="R86" s="513" t="s">
        <v>1376</v>
      </c>
      <c r="S86" s="825"/>
      <c r="V86" s="76" t="s">
        <v>39</v>
      </c>
      <c r="W86" s="77" t="s">
        <v>677</v>
      </c>
      <c r="X86" s="303"/>
    </row>
    <row r="87" spans="1:24" ht="19.95" customHeight="1">
      <c r="A87" s="3"/>
      <c r="B87" s="3"/>
      <c r="C87" s="11" t="s">
        <v>1376</v>
      </c>
      <c r="E87" s="3"/>
      <c r="F87" s="3"/>
      <c r="G87" s="11" t="s">
        <v>1376</v>
      </c>
      <c r="K87" s="78" t="s">
        <v>454</v>
      </c>
      <c r="L87" s="78" t="str">
        <f t="shared" si="15"/>
        <v>C7R</v>
      </c>
      <c r="M87" s="79">
        <f t="shared" ref="M87:R87" si="18">M86</f>
        <v>4</v>
      </c>
      <c r="N87" s="79" t="str">
        <f t="shared" si="18"/>
        <v>N.D.</v>
      </c>
      <c r="O87" s="79" t="str">
        <f t="shared" si="18"/>
        <v>N.D.</v>
      </c>
      <c r="P87" s="79" t="str">
        <f t="shared" si="18"/>
        <v>N.D.</v>
      </c>
      <c r="Q87" s="79" t="str">
        <f t="shared" si="18"/>
        <v>N.D.</v>
      </c>
      <c r="R87" s="514" t="str">
        <f t="shared" si="18"/>
        <v>N.D.</v>
      </c>
      <c r="S87" s="825"/>
      <c r="V87" s="78" t="s">
        <v>454</v>
      </c>
      <c r="W87" s="79" t="s">
        <v>677</v>
      </c>
      <c r="X87" s="440"/>
    </row>
    <row r="88" spans="1:24" ht="19.95" customHeight="1">
      <c r="K88" s="76" t="s">
        <v>324</v>
      </c>
      <c r="L88" s="76" t="str">
        <f t="shared" si="15"/>
        <v>C7R</v>
      </c>
      <c r="M88" s="77">
        <v>3.7</v>
      </c>
      <c r="N88" s="77" t="s">
        <v>1376</v>
      </c>
      <c r="O88" s="77" t="s">
        <v>1376</v>
      </c>
      <c r="P88" s="77" t="s">
        <v>1376</v>
      </c>
      <c r="Q88" s="77" t="s">
        <v>1376</v>
      </c>
      <c r="R88" s="513" t="s">
        <v>1376</v>
      </c>
      <c r="S88" s="825"/>
      <c r="V88" s="76" t="s">
        <v>324</v>
      </c>
      <c r="W88" s="77" t="s">
        <v>677</v>
      </c>
      <c r="X88" s="440"/>
    </row>
    <row r="89" spans="1:24" ht="19.95" customHeight="1">
      <c r="K89" s="76" t="s">
        <v>789</v>
      </c>
      <c r="L89" s="76" t="str">
        <f t="shared" si="15"/>
        <v>C9R</v>
      </c>
      <c r="M89" s="77">
        <v>4.4000000000000004</v>
      </c>
      <c r="N89" s="77" t="s">
        <v>1376</v>
      </c>
      <c r="O89" s="77" t="s">
        <v>1376</v>
      </c>
      <c r="P89" s="77" t="s">
        <v>1376</v>
      </c>
      <c r="Q89" s="77" t="s">
        <v>1376</v>
      </c>
      <c r="R89" s="513" t="s">
        <v>1376</v>
      </c>
      <c r="S89" s="825"/>
      <c r="V89" s="76" t="s">
        <v>789</v>
      </c>
      <c r="W89" s="77" t="s">
        <v>1013</v>
      </c>
      <c r="X89" s="440"/>
    </row>
    <row r="90" spans="1:24" ht="19.95" customHeight="1">
      <c r="K90" s="76" t="s">
        <v>325</v>
      </c>
      <c r="L90" s="76" t="str">
        <f t="shared" si="15"/>
        <v>C7R</v>
      </c>
      <c r="M90" s="77" t="s">
        <v>1376</v>
      </c>
      <c r="N90" s="77" t="s">
        <v>1376</v>
      </c>
      <c r="O90" s="77" t="s">
        <v>1376</v>
      </c>
      <c r="P90" s="77" t="s">
        <v>1376</v>
      </c>
      <c r="Q90" s="77" t="s">
        <v>1376</v>
      </c>
      <c r="R90" s="513" t="s">
        <v>1376</v>
      </c>
      <c r="S90" s="825"/>
      <c r="V90" s="76" t="s">
        <v>325</v>
      </c>
      <c r="W90" s="77" t="s">
        <v>677</v>
      </c>
      <c r="X90" s="440"/>
    </row>
    <row r="91" spans="1:24" ht="19.95" customHeight="1">
      <c r="K91" s="76" t="s">
        <v>998</v>
      </c>
      <c r="L91" s="76" t="str">
        <f t="shared" si="15"/>
        <v>2C4R</v>
      </c>
      <c r="M91" s="77">
        <v>5.6</v>
      </c>
      <c r="N91" s="77" t="s">
        <v>1376</v>
      </c>
      <c r="O91" s="77" t="s">
        <v>1376</v>
      </c>
      <c r="P91" s="77" t="s">
        <v>1376</v>
      </c>
      <c r="Q91" s="77" t="s">
        <v>1376</v>
      </c>
      <c r="R91" s="513" t="s">
        <v>1376</v>
      </c>
      <c r="S91" s="825"/>
      <c r="V91" s="76" t="s">
        <v>998</v>
      </c>
      <c r="W91" s="77" t="s">
        <v>1009</v>
      </c>
      <c r="X91" s="440"/>
    </row>
    <row r="92" spans="1:24" ht="19.95" customHeight="1">
      <c r="K92" s="5" t="s">
        <v>747</v>
      </c>
      <c r="L92" s="5" t="str">
        <f t="shared" si="15"/>
        <v>C8R</v>
      </c>
      <c r="M92" s="11">
        <v>4.5</v>
      </c>
      <c r="N92" s="11" t="s">
        <v>1376</v>
      </c>
      <c r="O92" s="11" t="s">
        <v>1376</v>
      </c>
      <c r="P92" s="11" t="s">
        <v>1376</v>
      </c>
      <c r="Q92" s="11" t="s">
        <v>1376</v>
      </c>
      <c r="R92" s="512" t="s">
        <v>1376</v>
      </c>
      <c r="S92" s="825"/>
      <c r="V92" s="5" t="s">
        <v>747</v>
      </c>
      <c r="W92" s="11" t="s">
        <v>1011</v>
      </c>
      <c r="X92" s="440"/>
    </row>
    <row r="93" spans="1:24" ht="19.95" customHeight="1">
      <c r="K93" s="80" t="s">
        <v>326</v>
      </c>
      <c r="L93" s="80" t="str">
        <f t="shared" si="15"/>
        <v>C8R</v>
      </c>
      <c r="M93" s="70">
        <f t="shared" ref="M93:R93" si="19">M92</f>
        <v>4.5</v>
      </c>
      <c r="N93" s="70" t="str">
        <f t="shared" si="19"/>
        <v>N.D.</v>
      </c>
      <c r="O93" s="70" t="str">
        <f t="shared" si="19"/>
        <v>N.D.</v>
      </c>
      <c r="P93" s="70" t="str">
        <f t="shared" si="19"/>
        <v>N.D.</v>
      </c>
      <c r="Q93" s="70" t="str">
        <f t="shared" si="19"/>
        <v>N.D.</v>
      </c>
      <c r="R93" s="515" t="str">
        <f t="shared" si="19"/>
        <v>N.D.</v>
      </c>
      <c r="S93" s="825"/>
      <c r="V93" s="80" t="s">
        <v>326</v>
      </c>
      <c r="W93" s="70" t="s">
        <v>1011</v>
      </c>
      <c r="X93" s="440"/>
    </row>
    <row r="94" spans="1:24" ht="19.95" customHeight="1">
      <c r="K94" s="5" t="s">
        <v>663</v>
      </c>
      <c r="L94" s="5" t="str">
        <f t="shared" si="15"/>
        <v>C8R</v>
      </c>
      <c r="M94" s="11" t="s">
        <v>1376</v>
      </c>
      <c r="N94" s="11" t="s">
        <v>1376</v>
      </c>
      <c r="O94" s="11" t="s">
        <v>1376</v>
      </c>
      <c r="P94" s="11" t="s">
        <v>1376</v>
      </c>
      <c r="Q94" s="11" t="s">
        <v>1376</v>
      </c>
      <c r="R94" s="512" t="s">
        <v>1376</v>
      </c>
      <c r="S94" s="825"/>
      <c r="V94" s="5" t="s">
        <v>663</v>
      </c>
      <c r="W94" s="11" t="s">
        <v>1011</v>
      </c>
      <c r="X94" s="440"/>
    </row>
    <row r="95" spans="1:24" ht="19.95" customHeight="1">
      <c r="K95" s="76" t="s">
        <v>1000</v>
      </c>
      <c r="L95" s="76" t="str">
        <f t="shared" si="15"/>
        <v>C9R</v>
      </c>
      <c r="M95" s="77">
        <v>4.5</v>
      </c>
      <c r="N95" s="77" t="s">
        <v>1376</v>
      </c>
      <c r="O95" s="77" t="s">
        <v>1376</v>
      </c>
      <c r="P95" s="77" t="s">
        <v>1376</v>
      </c>
      <c r="Q95" s="77" t="s">
        <v>1376</v>
      </c>
      <c r="R95" s="513" t="s">
        <v>1376</v>
      </c>
      <c r="S95" s="825"/>
      <c r="V95" s="76" t="s">
        <v>1000</v>
      </c>
      <c r="W95" s="77" t="s">
        <v>1013</v>
      </c>
      <c r="X95" s="440"/>
    </row>
    <row r="96" spans="1:24" ht="19.95" customHeight="1">
      <c r="K96" s="76" t="s">
        <v>970</v>
      </c>
      <c r="L96" s="76" t="str">
        <f t="shared" si="15"/>
        <v>C5R</v>
      </c>
      <c r="M96" s="77">
        <v>4</v>
      </c>
      <c r="N96" s="77" t="s">
        <v>1376</v>
      </c>
      <c r="O96" s="77" t="s">
        <v>1376</v>
      </c>
      <c r="P96" s="77" t="s">
        <v>1376</v>
      </c>
      <c r="Q96" s="77" t="s">
        <v>1376</v>
      </c>
      <c r="R96" s="513" t="s">
        <v>1376</v>
      </c>
      <c r="S96" s="825"/>
      <c r="V96" s="76" t="s">
        <v>970</v>
      </c>
      <c r="W96" s="77" t="s">
        <v>678</v>
      </c>
      <c r="X96" s="440"/>
    </row>
    <row r="97" spans="11:24" ht="19.95" customHeight="1">
      <c r="K97" s="76" t="s">
        <v>190</v>
      </c>
      <c r="L97" s="76" t="str">
        <f t="shared" si="15"/>
        <v>C9R</v>
      </c>
      <c r="M97" s="77">
        <v>4.4000000000000004</v>
      </c>
      <c r="N97" s="77" t="s">
        <v>1376</v>
      </c>
      <c r="O97" s="77" t="s">
        <v>1376</v>
      </c>
      <c r="P97" s="77" t="s">
        <v>1376</v>
      </c>
      <c r="Q97" s="77" t="s">
        <v>1376</v>
      </c>
      <c r="R97" s="513" t="s">
        <v>1376</v>
      </c>
      <c r="S97" s="825"/>
      <c r="V97" s="76" t="s">
        <v>190</v>
      </c>
      <c r="W97" s="77" t="s">
        <v>1013</v>
      </c>
      <c r="X97" s="440"/>
    </row>
    <row r="98" spans="11:24" ht="19.95" customHeight="1">
      <c r="K98" s="76" t="s">
        <v>975</v>
      </c>
      <c r="L98" s="76" t="str">
        <f t="shared" si="15"/>
        <v>C9R</v>
      </c>
      <c r="M98" s="77" t="s">
        <v>1376</v>
      </c>
      <c r="N98" s="77" t="s">
        <v>1376</v>
      </c>
      <c r="O98" s="77" t="s">
        <v>1376</v>
      </c>
      <c r="P98" s="77" t="s">
        <v>1376</v>
      </c>
      <c r="Q98" s="77" t="s">
        <v>1376</v>
      </c>
      <c r="R98" s="513" t="s">
        <v>1376</v>
      </c>
      <c r="S98" s="825"/>
      <c r="V98" s="76" t="s">
        <v>975</v>
      </c>
      <c r="W98" s="77" t="s">
        <v>1013</v>
      </c>
      <c r="X98" s="304"/>
    </row>
    <row r="99" spans="11:24" ht="19.95" customHeight="1">
      <c r="K99" s="5" t="s">
        <v>754</v>
      </c>
      <c r="L99" s="5" t="str">
        <f t="shared" si="15"/>
        <v>C10R</v>
      </c>
      <c r="M99" s="11" t="s">
        <v>1376</v>
      </c>
      <c r="N99" s="11" t="s">
        <v>1376</v>
      </c>
      <c r="O99" s="11" t="s">
        <v>1376</v>
      </c>
      <c r="P99" s="11" t="s">
        <v>1376</v>
      </c>
      <c r="Q99" s="11" t="s">
        <v>1376</v>
      </c>
      <c r="R99" s="512" t="s">
        <v>1376</v>
      </c>
      <c r="S99" s="825"/>
      <c r="V99" s="5" t="s">
        <v>754</v>
      </c>
      <c r="W99" s="11" t="s">
        <v>1015</v>
      </c>
      <c r="X99" s="440"/>
    </row>
    <row r="100" spans="11:24" ht="19.95" customHeight="1">
      <c r="K100" s="76" t="s">
        <v>1192</v>
      </c>
      <c r="L100" s="76" t="str">
        <f t="shared" si="15"/>
        <v>C11R</v>
      </c>
      <c r="M100" s="77" t="s">
        <v>1376</v>
      </c>
      <c r="N100" s="77" t="s">
        <v>1376</v>
      </c>
      <c r="O100" s="77" t="s">
        <v>1376</v>
      </c>
      <c r="P100" s="77" t="s">
        <v>1376</v>
      </c>
      <c r="Q100" s="77" t="s">
        <v>1376</v>
      </c>
      <c r="R100" s="513" t="s">
        <v>1376</v>
      </c>
      <c r="S100" s="825"/>
      <c r="V100" s="76" t="s">
        <v>1192</v>
      </c>
      <c r="W100" s="77" t="s">
        <v>1017</v>
      </c>
      <c r="X100" s="440"/>
    </row>
    <row r="101" spans="11:24" ht="19.95" customHeight="1">
      <c r="K101" s="76" t="s">
        <v>1289</v>
      </c>
      <c r="L101" s="76" t="str">
        <f t="shared" si="15"/>
        <v>C11R</v>
      </c>
      <c r="M101" s="77" t="s">
        <v>1376</v>
      </c>
      <c r="N101" s="77" t="s">
        <v>1376</v>
      </c>
      <c r="O101" s="77" t="s">
        <v>1376</v>
      </c>
      <c r="P101" s="77" t="s">
        <v>1376</v>
      </c>
      <c r="Q101" s="77" t="s">
        <v>1376</v>
      </c>
      <c r="R101" s="513" t="s">
        <v>1376</v>
      </c>
      <c r="S101" s="825"/>
      <c r="V101" s="76" t="s">
        <v>1289</v>
      </c>
      <c r="W101" s="77" t="s">
        <v>1017</v>
      </c>
      <c r="X101" s="440"/>
    </row>
    <row r="102" spans="11:24" ht="19.95" customHeight="1">
      <c r="K102" s="5" t="s">
        <v>1290</v>
      </c>
      <c r="L102" s="5" t="str">
        <f t="shared" si="15"/>
        <v>C12R</v>
      </c>
      <c r="M102" s="11">
        <v>6.2</v>
      </c>
      <c r="N102" s="11" t="s">
        <v>1376</v>
      </c>
      <c r="O102" s="11" t="s">
        <v>1376</v>
      </c>
      <c r="P102" s="11" t="s">
        <v>1376</v>
      </c>
      <c r="Q102" s="11" t="s">
        <v>1376</v>
      </c>
      <c r="R102" s="512" t="s">
        <v>1376</v>
      </c>
      <c r="S102" s="825"/>
      <c r="V102" s="5" t="s">
        <v>1290</v>
      </c>
      <c r="W102" s="11" t="s">
        <v>1362</v>
      </c>
      <c r="X102" s="440"/>
    </row>
    <row r="103" spans="11:24" ht="19.95" customHeight="1">
      <c r="K103" s="76" t="s">
        <v>1291</v>
      </c>
      <c r="L103" s="76" t="str">
        <f t="shared" si="15"/>
        <v>C13R</v>
      </c>
      <c r="M103" s="77" t="s">
        <v>1376</v>
      </c>
      <c r="N103" s="77" t="s">
        <v>1376</v>
      </c>
      <c r="O103" s="77" t="s">
        <v>1376</v>
      </c>
      <c r="P103" s="77" t="s">
        <v>1376</v>
      </c>
      <c r="Q103" s="77" t="s">
        <v>1376</v>
      </c>
      <c r="R103" s="513" t="s">
        <v>1376</v>
      </c>
      <c r="S103" s="825"/>
      <c r="V103" s="76" t="s">
        <v>1291</v>
      </c>
      <c r="W103" s="77" t="s">
        <v>1292</v>
      </c>
      <c r="X103" s="440"/>
    </row>
    <row r="104" spans="11:24" ht="19.95" customHeight="1">
      <c r="K104" s="5" t="s">
        <v>448</v>
      </c>
      <c r="L104" s="5" t="str">
        <f t="shared" si="15"/>
        <v>2C3R</v>
      </c>
      <c r="M104" s="11">
        <v>3.7</v>
      </c>
      <c r="N104" s="11" t="s">
        <v>1376</v>
      </c>
      <c r="O104" s="11" t="s">
        <v>1376</v>
      </c>
      <c r="P104" s="11" t="s">
        <v>1376</v>
      </c>
      <c r="Q104" s="11" t="s">
        <v>1376</v>
      </c>
      <c r="R104" s="512" t="s">
        <v>1376</v>
      </c>
      <c r="S104" s="825"/>
      <c r="V104" s="5" t="s">
        <v>448</v>
      </c>
      <c r="W104" s="11" t="s">
        <v>1007</v>
      </c>
      <c r="X104" s="440"/>
    </row>
    <row r="105" spans="11:24" ht="19.95" customHeight="1">
      <c r="K105" s="5" t="s">
        <v>787</v>
      </c>
      <c r="L105" s="5" t="str">
        <f t="shared" si="15"/>
        <v>2C3R</v>
      </c>
      <c r="M105" s="11">
        <v>4</v>
      </c>
      <c r="N105" s="11" t="s">
        <v>1376</v>
      </c>
      <c r="O105" s="11" t="s">
        <v>1376</v>
      </c>
      <c r="P105" s="11" t="s">
        <v>1376</v>
      </c>
      <c r="Q105" s="11" t="s">
        <v>1376</v>
      </c>
      <c r="R105" s="512" t="s">
        <v>1376</v>
      </c>
      <c r="S105" s="825"/>
      <c r="V105" s="5" t="s">
        <v>787</v>
      </c>
      <c r="W105" s="11" t="s">
        <v>1007</v>
      </c>
      <c r="X105" s="440"/>
    </row>
    <row r="106" spans="11:24" ht="19.95" customHeight="1">
      <c r="K106" s="76" t="s">
        <v>449</v>
      </c>
      <c r="L106" s="76" t="str">
        <f t="shared" si="15"/>
        <v>2C4R</v>
      </c>
      <c r="M106" s="77">
        <v>4</v>
      </c>
      <c r="N106" s="77" t="s">
        <v>1376</v>
      </c>
      <c r="O106" s="77" t="s">
        <v>1376</v>
      </c>
      <c r="P106" s="77" t="s">
        <v>1376</v>
      </c>
      <c r="Q106" s="77" t="s">
        <v>1376</v>
      </c>
      <c r="R106" s="513" t="s">
        <v>1376</v>
      </c>
      <c r="S106" s="825"/>
      <c r="V106" s="76" t="s">
        <v>449</v>
      </c>
      <c r="W106" s="77" t="s">
        <v>1009</v>
      </c>
      <c r="X106" s="440"/>
    </row>
    <row r="107" spans="11:24" ht="19.95" customHeight="1">
      <c r="K107" s="76" t="s">
        <v>788</v>
      </c>
      <c r="L107" s="76" t="str">
        <f t="shared" si="15"/>
        <v>2C4R</v>
      </c>
      <c r="M107" s="77">
        <v>5.6</v>
      </c>
      <c r="N107" s="77" t="s">
        <v>1376</v>
      </c>
      <c r="O107" s="77" t="s">
        <v>1376</v>
      </c>
      <c r="P107" s="77" t="s">
        <v>1376</v>
      </c>
      <c r="Q107" s="77" t="s">
        <v>1376</v>
      </c>
      <c r="R107" s="513" t="s">
        <v>1376</v>
      </c>
      <c r="S107" s="825"/>
      <c r="V107" s="76" t="s">
        <v>788</v>
      </c>
      <c r="W107" s="77" t="s">
        <v>1009</v>
      </c>
      <c r="X107" s="440"/>
    </row>
    <row r="108" spans="11:24" ht="19.95" customHeight="1">
      <c r="K108" s="5" t="s">
        <v>1263</v>
      </c>
      <c r="L108" s="5" t="str">
        <f t="shared" si="15"/>
        <v>2C7R</v>
      </c>
      <c r="M108" s="11" t="s">
        <v>1376</v>
      </c>
      <c r="N108" s="11" t="s">
        <v>1376</v>
      </c>
      <c r="O108" s="11" t="s">
        <v>1376</v>
      </c>
      <c r="P108" s="11" t="s">
        <v>1376</v>
      </c>
      <c r="Q108" s="11" t="s">
        <v>1376</v>
      </c>
      <c r="R108" s="512" t="s">
        <v>1376</v>
      </c>
      <c r="S108" s="825"/>
      <c r="V108" s="5" t="s">
        <v>1263</v>
      </c>
      <c r="W108" s="11" t="s">
        <v>1293</v>
      </c>
      <c r="X108" s="440"/>
    </row>
    <row r="109" spans="11:24" ht="19.95" customHeight="1">
      <c r="K109" s="76" t="s">
        <v>1005</v>
      </c>
      <c r="L109" s="76" t="str">
        <f t="shared" si="15"/>
        <v>2C4FR</v>
      </c>
      <c r="M109" s="77" t="s">
        <v>1376</v>
      </c>
      <c r="N109" s="77" t="s">
        <v>1376</v>
      </c>
      <c r="O109" s="77" t="s">
        <v>1376</v>
      </c>
      <c r="P109" s="77" t="s">
        <v>1376</v>
      </c>
      <c r="Q109" s="77" t="s">
        <v>1376</v>
      </c>
      <c r="R109" s="513" t="s">
        <v>1376</v>
      </c>
      <c r="S109" s="825"/>
      <c r="V109" s="76" t="s">
        <v>1005</v>
      </c>
      <c r="W109" s="77" t="s">
        <v>1023</v>
      </c>
      <c r="X109" s="440"/>
    </row>
    <row r="110" spans="11:24" ht="19.95" customHeight="1">
      <c r="K110" s="5" t="s">
        <v>1006</v>
      </c>
      <c r="L110" s="5" t="str">
        <f t="shared" si="15"/>
        <v>C12FR</v>
      </c>
      <c r="M110" s="11" t="s">
        <v>1376</v>
      </c>
      <c r="N110" s="11" t="s">
        <v>1376</v>
      </c>
      <c r="O110" s="11" t="s">
        <v>1376</v>
      </c>
      <c r="P110" s="11" t="s">
        <v>1376</v>
      </c>
      <c r="Q110" s="11" t="s">
        <v>1376</v>
      </c>
      <c r="R110" s="512" t="s">
        <v>1376</v>
      </c>
      <c r="S110" s="825"/>
      <c r="V110" s="5" t="s">
        <v>1006</v>
      </c>
      <c r="W110" s="11" t="s">
        <v>1019</v>
      </c>
      <c r="X110" s="440"/>
    </row>
    <row r="111" spans="11:24" ht="19.95" customHeight="1">
      <c r="K111" s="77" t="s">
        <v>1095</v>
      </c>
      <c r="L111" s="77" t="str">
        <f t="shared" si="15"/>
        <v>AnMC-R</v>
      </c>
      <c r="M111" s="77">
        <v>3.9</v>
      </c>
      <c r="N111" s="77" t="s">
        <v>1376</v>
      </c>
      <c r="O111" s="77" t="s">
        <v>1376</v>
      </c>
      <c r="P111" s="77" t="s">
        <v>1376</v>
      </c>
      <c r="Q111" s="77" t="s">
        <v>1376</v>
      </c>
      <c r="R111" s="513" t="s">
        <v>1376</v>
      </c>
      <c r="S111" s="825"/>
      <c r="V111" s="77" t="s">
        <v>1095</v>
      </c>
      <c r="W111" s="77" t="s">
        <v>1095</v>
      </c>
      <c r="X111" s="440"/>
    </row>
    <row r="112" spans="11:24" ht="19.95" customHeight="1">
      <c r="K112" s="77" t="s">
        <v>1096</v>
      </c>
      <c r="L112" s="77" t="str">
        <f t="shared" si="15"/>
        <v>AnM-R</v>
      </c>
      <c r="M112" s="77">
        <v>2.8</v>
      </c>
      <c r="N112" s="77" t="s">
        <v>1376</v>
      </c>
      <c r="O112" s="77" t="s">
        <v>1376</v>
      </c>
      <c r="P112" s="77" t="s">
        <v>1376</v>
      </c>
      <c r="Q112" s="77" t="s">
        <v>1376</v>
      </c>
      <c r="R112" s="513" t="s">
        <v>1376</v>
      </c>
      <c r="S112" s="825"/>
      <c r="V112" s="77" t="s">
        <v>1096</v>
      </c>
      <c r="W112" s="77" t="s">
        <v>1096</v>
      </c>
      <c r="X112" s="440"/>
    </row>
    <row r="113" spans="11:24" ht="19.95" customHeight="1">
      <c r="K113" s="16"/>
      <c r="L113" s="821" t="s">
        <v>2521</v>
      </c>
      <c r="M113" s="822"/>
      <c r="N113" s="822"/>
      <c r="O113" s="822"/>
      <c r="P113" s="822"/>
      <c r="Q113" s="822"/>
      <c r="R113" s="822"/>
      <c r="S113" s="825"/>
      <c r="V113" s="823" t="s">
        <v>2417</v>
      </c>
      <c r="W113" s="823"/>
      <c r="X113" s="823"/>
    </row>
    <row r="114" spans="11:24" ht="19.95" customHeight="1">
      <c r="K114" s="441" t="s">
        <v>603</v>
      </c>
      <c r="L114" s="441"/>
      <c r="M114" s="442" t="s">
        <v>2519</v>
      </c>
      <c r="N114" s="442" t="s">
        <v>1090</v>
      </c>
      <c r="O114" s="442" t="s">
        <v>1091</v>
      </c>
      <c r="P114" s="442" t="s">
        <v>1092</v>
      </c>
      <c r="Q114" s="442" t="s">
        <v>1093</v>
      </c>
      <c r="R114" s="516" t="s">
        <v>1094</v>
      </c>
      <c r="S114" s="825"/>
      <c r="V114" s="441" t="s">
        <v>603</v>
      </c>
      <c r="W114" s="163"/>
      <c r="X114" s="163" t="s">
        <v>612</v>
      </c>
    </row>
    <row r="115" spans="11:24" ht="19.95" customHeight="1">
      <c r="K115" s="819"/>
      <c r="L115" s="820"/>
      <c r="M115" s="820"/>
      <c r="N115" s="820"/>
      <c r="O115" s="820"/>
      <c r="P115" s="820"/>
      <c r="Q115" s="820"/>
      <c r="R115" s="820"/>
      <c r="S115" s="825"/>
      <c r="V115" s="819"/>
      <c r="W115" s="820"/>
      <c r="X115" s="824"/>
    </row>
    <row r="116" spans="11:24" ht="19.95" customHeight="1">
      <c r="K116" s="5" t="s">
        <v>37</v>
      </c>
      <c r="L116" s="5" t="str">
        <f>VLOOKUP(K116,$V$116:$X$153,3,FALSE)</f>
        <v>C3RT</v>
      </c>
      <c r="M116" s="11">
        <v>4</v>
      </c>
      <c r="N116" s="11" t="s">
        <v>1376</v>
      </c>
      <c r="O116" s="11" t="s">
        <v>1376</v>
      </c>
      <c r="P116" s="11" t="s">
        <v>1376</v>
      </c>
      <c r="Q116" s="11" t="s">
        <v>1376</v>
      </c>
      <c r="R116" s="512" t="s">
        <v>1376</v>
      </c>
      <c r="S116" s="825"/>
      <c r="V116" s="5" t="s">
        <v>37</v>
      </c>
      <c r="W116" s="11"/>
      <c r="X116" s="5" t="s">
        <v>688</v>
      </c>
    </row>
    <row r="117" spans="11:24" ht="19.95" customHeight="1">
      <c r="K117" s="76" t="s">
        <v>38</v>
      </c>
      <c r="L117" s="76" t="str">
        <f t="shared" ref="L117:L149" si="20">VLOOKUP(K117,$V$116:$X$153,3,FALSE)</f>
        <v>C4RT</v>
      </c>
      <c r="M117" s="77">
        <v>4.2</v>
      </c>
      <c r="N117" s="77" t="s">
        <v>1376</v>
      </c>
      <c r="O117" s="77" t="s">
        <v>1376</v>
      </c>
      <c r="P117" s="77" t="s">
        <v>1376</v>
      </c>
      <c r="Q117" s="77" t="s">
        <v>1376</v>
      </c>
      <c r="R117" s="513" t="s">
        <v>1376</v>
      </c>
      <c r="S117" s="825"/>
      <c r="V117" s="76" t="s">
        <v>38</v>
      </c>
      <c r="W117" s="77"/>
      <c r="X117" s="76" t="s">
        <v>687</v>
      </c>
    </row>
    <row r="118" spans="11:24" ht="19.95" customHeight="1">
      <c r="K118" s="78" t="s">
        <v>452</v>
      </c>
      <c r="L118" s="78" t="str">
        <f t="shared" si="20"/>
        <v>C4RT</v>
      </c>
      <c r="M118" s="79">
        <f>M117</f>
        <v>4.2</v>
      </c>
      <c r="N118" s="79" t="str">
        <f>N117</f>
        <v>N.D.</v>
      </c>
      <c r="O118" s="79" t="str">
        <f t="shared" ref="O118:R118" si="21">O117</f>
        <v>N.D.</v>
      </c>
      <c r="P118" s="79" t="str">
        <f t="shared" si="21"/>
        <v>N.D.</v>
      </c>
      <c r="Q118" s="79" t="str">
        <f t="shared" si="21"/>
        <v>N.D.</v>
      </c>
      <c r="R118" s="514" t="str">
        <f t="shared" si="21"/>
        <v>N.D.</v>
      </c>
      <c r="S118" s="825"/>
      <c r="V118" s="78" t="s">
        <v>452</v>
      </c>
      <c r="W118" s="79"/>
      <c r="X118" s="78" t="s">
        <v>687</v>
      </c>
    </row>
    <row r="119" spans="11:24" ht="19.95" customHeight="1">
      <c r="K119" s="76" t="s">
        <v>322</v>
      </c>
      <c r="L119" s="76" t="str">
        <f t="shared" si="20"/>
        <v>C4RT</v>
      </c>
      <c r="M119" s="77">
        <v>4.7</v>
      </c>
      <c r="N119" s="77" t="s">
        <v>1376</v>
      </c>
      <c r="O119" s="77" t="s">
        <v>1376</v>
      </c>
      <c r="P119" s="77" t="s">
        <v>1376</v>
      </c>
      <c r="Q119" s="77" t="s">
        <v>1376</v>
      </c>
      <c r="R119" s="513" t="s">
        <v>1376</v>
      </c>
      <c r="S119" s="825"/>
      <c r="V119" s="76" t="s">
        <v>322</v>
      </c>
      <c r="W119" s="79"/>
      <c r="X119" s="76" t="s">
        <v>687</v>
      </c>
    </row>
    <row r="120" spans="11:24" ht="19.95" customHeight="1">
      <c r="K120" s="5" t="s">
        <v>40</v>
      </c>
      <c r="L120" s="5" t="str">
        <f t="shared" si="20"/>
        <v>C5RT</v>
      </c>
      <c r="M120" s="11">
        <v>4</v>
      </c>
      <c r="N120" s="11" t="s">
        <v>1376</v>
      </c>
      <c r="O120" s="11" t="s">
        <v>1376</v>
      </c>
      <c r="P120" s="11" t="s">
        <v>1376</v>
      </c>
      <c r="Q120" s="11" t="s">
        <v>1376</v>
      </c>
      <c r="R120" s="512" t="s">
        <v>1376</v>
      </c>
      <c r="S120" s="825"/>
      <c r="V120" s="5" t="s">
        <v>40</v>
      </c>
      <c r="W120" s="11"/>
      <c r="X120" s="5" t="s">
        <v>689</v>
      </c>
    </row>
    <row r="121" spans="11:24" ht="19.95" customHeight="1">
      <c r="K121" s="80" t="s">
        <v>453</v>
      </c>
      <c r="L121" s="80" t="str">
        <f t="shared" si="20"/>
        <v>C5RT</v>
      </c>
      <c r="M121" s="70">
        <f t="shared" ref="M121:R121" si="22">M120</f>
        <v>4</v>
      </c>
      <c r="N121" s="70" t="str">
        <f t="shared" si="22"/>
        <v>N.D.</v>
      </c>
      <c r="O121" s="70" t="str">
        <f t="shared" si="22"/>
        <v>N.D.</v>
      </c>
      <c r="P121" s="70" t="str">
        <f t="shared" si="22"/>
        <v>N.D.</v>
      </c>
      <c r="Q121" s="70" t="str">
        <f t="shared" si="22"/>
        <v>N.D.</v>
      </c>
      <c r="R121" s="515" t="str">
        <f t="shared" si="22"/>
        <v>N.D.</v>
      </c>
      <c r="S121" s="825"/>
      <c r="V121" s="80" t="s">
        <v>453</v>
      </c>
      <c r="W121" s="70"/>
      <c r="X121" s="80" t="s">
        <v>689</v>
      </c>
    </row>
    <row r="122" spans="11:24" ht="19.95" customHeight="1">
      <c r="K122" s="5" t="s">
        <v>323</v>
      </c>
      <c r="L122" s="5" t="str">
        <f t="shared" si="20"/>
        <v>C5RT</v>
      </c>
      <c r="M122" s="11">
        <v>4.2</v>
      </c>
      <c r="N122" s="11" t="s">
        <v>1376</v>
      </c>
      <c r="O122" s="11" t="s">
        <v>1376</v>
      </c>
      <c r="P122" s="11" t="s">
        <v>1376</v>
      </c>
      <c r="Q122" s="11" t="s">
        <v>1376</v>
      </c>
      <c r="R122" s="512" t="s">
        <v>1376</v>
      </c>
      <c r="S122" s="825"/>
      <c r="V122" s="5" t="s">
        <v>323</v>
      </c>
      <c r="W122" s="11"/>
      <c r="X122" s="5" t="s">
        <v>689</v>
      </c>
    </row>
    <row r="123" spans="11:24" ht="19.95" customHeight="1">
      <c r="K123" s="76" t="s">
        <v>39</v>
      </c>
      <c r="L123" s="76" t="str">
        <f t="shared" si="20"/>
        <v>C7RT</v>
      </c>
      <c r="M123" s="77">
        <v>4.5</v>
      </c>
      <c r="N123" s="77" t="s">
        <v>1376</v>
      </c>
      <c r="O123" s="77" t="s">
        <v>1376</v>
      </c>
      <c r="P123" s="77" t="s">
        <v>1376</v>
      </c>
      <c r="Q123" s="77" t="s">
        <v>1376</v>
      </c>
      <c r="R123" s="513" t="s">
        <v>1376</v>
      </c>
      <c r="S123" s="825"/>
      <c r="V123" s="76" t="s">
        <v>39</v>
      </c>
      <c r="W123" s="77"/>
      <c r="X123" s="76" t="s">
        <v>691</v>
      </c>
    </row>
    <row r="124" spans="11:24" ht="19.95" customHeight="1">
      <c r="K124" s="78" t="s">
        <v>454</v>
      </c>
      <c r="L124" s="78" t="str">
        <f t="shared" si="20"/>
        <v>C7RT</v>
      </c>
      <c r="M124" s="79">
        <f>M123</f>
        <v>4.5</v>
      </c>
      <c r="N124" s="79" t="str">
        <f t="shared" ref="N124:R124" si="23">N123</f>
        <v>N.D.</v>
      </c>
      <c r="O124" s="79" t="str">
        <f t="shared" si="23"/>
        <v>N.D.</v>
      </c>
      <c r="P124" s="79" t="str">
        <f t="shared" si="23"/>
        <v>N.D.</v>
      </c>
      <c r="Q124" s="79" t="str">
        <f t="shared" si="23"/>
        <v>N.D.</v>
      </c>
      <c r="R124" s="514" t="str">
        <f t="shared" si="23"/>
        <v>N.D.</v>
      </c>
      <c r="S124" s="825"/>
      <c r="V124" s="78" t="s">
        <v>454</v>
      </c>
      <c r="W124" s="79"/>
      <c r="X124" s="78" t="s">
        <v>691</v>
      </c>
    </row>
    <row r="125" spans="11:24" ht="19.95" customHeight="1">
      <c r="K125" s="76" t="s">
        <v>324</v>
      </c>
      <c r="L125" s="76" t="str">
        <f t="shared" si="20"/>
        <v>C7RT</v>
      </c>
      <c r="M125" s="77">
        <v>4.4000000000000004</v>
      </c>
      <c r="N125" s="77" t="s">
        <v>1376</v>
      </c>
      <c r="O125" s="77" t="s">
        <v>1376</v>
      </c>
      <c r="P125" s="77" t="s">
        <v>1376</v>
      </c>
      <c r="Q125" s="77" t="s">
        <v>1376</v>
      </c>
      <c r="R125" s="513" t="s">
        <v>1376</v>
      </c>
      <c r="S125" s="825"/>
      <c r="V125" s="76" t="s">
        <v>324</v>
      </c>
      <c r="W125" s="77"/>
      <c r="X125" s="76" t="s">
        <v>691</v>
      </c>
    </row>
    <row r="126" spans="11:24" ht="19.95" customHeight="1">
      <c r="K126" s="76" t="s">
        <v>789</v>
      </c>
      <c r="L126" s="76" t="str">
        <f t="shared" si="20"/>
        <v>C9RT</v>
      </c>
      <c r="M126" s="77">
        <v>5</v>
      </c>
      <c r="N126" s="77" t="s">
        <v>1376</v>
      </c>
      <c r="O126" s="77" t="s">
        <v>1376</v>
      </c>
      <c r="P126" s="77" t="s">
        <v>1376</v>
      </c>
      <c r="Q126" s="77" t="s">
        <v>1376</v>
      </c>
      <c r="R126" s="513" t="s">
        <v>1376</v>
      </c>
      <c r="S126" s="825"/>
      <c r="V126" s="76" t="s">
        <v>789</v>
      </c>
      <c r="W126" s="77"/>
      <c r="X126" s="76" t="s">
        <v>1014</v>
      </c>
    </row>
    <row r="127" spans="11:24" ht="19.95" customHeight="1">
      <c r="K127" s="76" t="s">
        <v>325</v>
      </c>
      <c r="L127" s="76" t="str">
        <f t="shared" si="20"/>
        <v>C7RT</v>
      </c>
      <c r="M127" s="77" t="s">
        <v>1376</v>
      </c>
      <c r="N127" s="77" t="s">
        <v>1376</v>
      </c>
      <c r="O127" s="77" t="s">
        <v>1376</v>
      </c>
      <c r="P127" s="77" t="s">
        <v>1376</v>
      </c>
      <c r="Q127" s="77" t="s">
        <v>1376</v>
      </c>
      <c r="R127" s="513" t="s">
        <v>1376</v>
      </c>
      <c r="S127" s="825"/>
      <c r="V127" s="76" t="s">
        <v>325</v>
      </c>
      <c r="W127" s="77"/>
      <c r="X127" s="76" t="s">
        <v>691</v>
      </c>
    </row>
    <row r="128" spans="11:24" ht="19.95" customHeight="1">
      <c r="K128" s="76" t="s">
        <v>998</v>
      </c>
      <c r="L128" s="76" t="str">
        <f t="shared" si="20"/>
        <v>2C4RT</v>
      </c>
      <c r="M128" s="77">
        <v>7.4</v>
      </c>
      <c r="N128" s="77" t="s">
        <v>1376</v>
      </c>
      <c r="O128" s="77" t="s">
        <v>1376</v>
      </c>
      <c r="P128" s="77" t="s">
        <v>1376</v>
      </c>
      <c r="Q128" s="77" t="s">
        <v>1376</v>
      </c>
      <c r="R128" s="513" t="s">
        <v>1376</v>
      </c>
      <c r="S128" s="825"/>
      <c r="V128" s="76" t="s">
        <v>998</v>
      </c>
      <c r="W128" s="79"/>
      <c r="X128" s="76" t="s">
        <v>1010</v>
      </c>
    </row>
    <row r="129" spans="11:24" ht="19.95" customHeight="1">
      <c r="K129" s="5" t="s">
        <v>747</v>
      </c>
      <c r="L129" s="5" t="str">
        <f t="shared" si="20"/>
        <v>C8RT</v>
      </c>
      <c r="M129" s="11">
        <v>6</v>
      </c>
      <c r="N129" s="11" t="s">
        <v>1376</v>
      </c>
      <c r="O129" s="11" t="s">
        <v>1376</v>
      </c>
      <c r="P129" s="11" t="s">
        <v>1376</v>
      </c>
      <c r="Q129" s="11" t="s">
        <v>1376</v>
      </c>
      <c r="R129" s="512" t="s">
        <v>1376</v>
      </c>
      <c r="S129" s="825"/>
      <c r="V129" s="5" t="s">
        <v>747</v>
      </c>
      <c r="W129" s="11"/>
      <c r="X129" s="5" t="s">
        <v>1012</v>
      </c>
    </row>
    <row r="130" spans="11:24" ht="19.95" customHeight="1">
      <c r="K130" s="80" t="s">
        <v>326</v>
      </c>
      <c r="L130" s="80" t="str">
        <f t="shared" si="20"/>
        <v>C8RT</v>
      </c>
      <c r="M130" s="70">
        <f t="shared" ref="M130:R130" si="24">M129</f>
        <v>6</v>
      </c>
      <c r="N130" s="70" t="str">
        <f t="shared" si="24"/>
        <v>N.D.</v>
      </c>
      <c r="O130" s="70" t="str">
        <f t="shared" si="24"/>
        <v>N.D.</v>
      </c>
      <c r="P130" s="70" t="str">
        <f t="shared" si="24"/>
        <v>N.D.</v>
      </c>
      <c r="Q130" s="70" t="str">
        <f t="shared" si="24"/>
        <v>N.D.</v>
      </c>
      <c r="R130" s="515" t="str">
        <f t="shared" si="24"/>
        <v>N.D.</v>
      </c>
      <c r="S130" s="825"/>
      <c r="V130" s="80" t="s">
        <v>326</v>
      </c>
      <c r="W130" s="70"/>
      <c r="X130" s="80" t="s">
        <v>1012</v>
      </c>
    </row>
    <row r="131" spans="11:24" ht="19.95" customHeight="1">
      <c r="K131" s="5" t="s">
        <v>663</v>
      </c>
      <c r="L131" s="5" t="str">
        <f t="shared" si="20"/>
        <v>C8RT</v>
      </c>
      <c r="M131" s="11" t="s">
        <v>1376</v>
      </c>
      <c r="N131" s="11" t="s">
        <v>1376</v>
      </c>
      <c r="O131" s="11" t="s">
        <v>1376</v>
      </c>
      <c r="P131" s="11" t="s">
        <v>1376</v>
      </c>
      <c r="Q131" s="11" t="s">
        <v>1376</v>
      </c>
      <c r="R131" s="512" t="s">
        <v>1376</v>
      </c>
      <c r="S131" s="825"/>
      <c r="V131" s="5" t="s">
        <v>663</v>
      </c>
      <c r="W131" s="70"/>
      <c r="X131" s="5" t="s">
        <v>1012</v>
      </c>
    </row>
    <row r="132" spans="11:24" ht="19.95" customHeight="1">
      <c r="K132" s="76" t="s">
        <v>1000</v>
      </c>
      <c r="L132" s="76" t="str">
        <f t="shared" si="20"/>
        <v>C9RT</v>
      </c>
      <c r="M132" s="77">
        <v>5</v>
      </c>
      <c r="N132" s="77" t="s">
        <v>1376</v>
      </c>
      <c r="O132" s="77" t="s">
        <v>1376</v>
      </c>
      <c r="P132" s="77" t="s">
        <v>1376</v>
      </c>
      <c r="Q132" s="77" t="s">
        <v>1376</v>
      </c>
      <c r="R132" s="513" t="s">
        <v>1376</v>
      </c>
      <c r="S132" s="825"/>
      <c r="V132" s="76" t="s">
        <v>1000</v>
      </c>
      <c r="W132" s="77"/>
      <c r="X132" s="76" t="s">
        <v>1014</v>
      </c>
    </row>
    <row r="133" spans="11:24" ht="19.95" customHeight="1">
      <c r="K133" s="76" t="s">
        <v>970</v>
      </c>
      <c r="L133" s="76" t="str">
        <f t="shared" si="20"/>
        <v>C5RT</v>
      </c>
      <c r="M133" s="77">
        <v>4.5999999999999996</v>
      </c>
      <c r="N133" s="77" t="s">
        <v>1376</v>
      </c>
      <c r="O133" s="77" t="s">
        <v>1376</v>
      </c>
      <c r="P133" s="77" t="s">
        <v>1376</v>
      </c>
      <c r="Q133" s="77" t="s">
        <v>1376</v>
      </c>
      <c r="R133" s="513" t="s">
        <v>1376</v>
      </c>
      <c r="S133" s="825"/>
      <c r="V133" s="76" t="s">
        <v>970</v>
      </c>
      <c r="W133" s="77"/>
      <c r="X133" s="76" t="s">
        <v>689</v>
      </c>
    </row>
    <row r="134" spans="11:24" ht="19.95" customHeight="1">
      <c r="K134" s="76" t="s">
        <v>190</v>
      </c>
      <c r="L134" s="76" t="str">
        <f t="shared" si="20"/>
        <v>C9RT</v>
      </c>
      <c r="M134" s="77">
        <v>5</v>
      </c>
      <c r="N134" s="77" t="s">
        <v>1376</v>
      </c>
      <c r="O134" s="77" t="s">
        <v>1376</v>
      </c>
      <c r="P134" s="77" t="s">
        <v>1376</v>
      </c>
      <c r="Q134" s="77" t="s">
        <v>1376</v>
      </c>
      <c r="R134" s="513" t="s">
        <v>1376</v>
      </c>
      <c r="S134" s="825"/>
      <c r="V134" s="76" t="s">
        <v>190</v>
      </c>
      <c r="W134" s="77"/>
      <c r="X134" s="76" t="s">
        <v>1014</v>
      </c>
    </row>
    <row r="135" spans="11:24" ht="19.95" customHeight="1">
      <c r="K135" s="76" t="s">
        <v>975</v>
      </c>
      <c r="L135" s="76" t="str">
        <f t="shared" si="20"/>
        <v>C9RT</v>
      </c>
      <c r="M135" s="77" t="s">
        <v>1376</v>
      </c>
      <c r="N135" s="77" t="s">
        <v>1376</v>
      </c>
      <c r="O135" s="77" t="s">
        <v>1376</v>
      </c>
      <c r="P135" s="77" t="s">
        <v>1376</v>
      </c>
      <c r="Q135" s="77" t="s">
        <v>1376</v>
      </c>
      <c r="R135" s="513" t="s">
        <v>1376</v>
      </c>
      <c r="S135" s="825"/>
      <c r="V135" s="76" t="s">
        <v>975</v>
      </c>
      <c r="W135" s="77"/>
      <c r="X135" s="76" t="s">
        <v>1014</v>
      </c>
    </row>
    <row r="136" spans="11:24" ht="19.95" customHeight="1">
      <c r="K136" s="5" t="s">
        <v>754</v>
      </c>
      <c r="L136" s="5" t="str">
        <f t="shared" si="20"/>
        <v>C10RT</v>
      </c>
      <c r="M136" s="11" t="s">
        <v>1376</v>
      </c>
      <c r="N136" s="11" t="s">
        <v>1376</v>
      </c>
      <c r="O136" s="11" t="s">
        <v>1376</v>
      </c>
      <c r="P136" s="11" t="s">
        <v>1376</v>
      </c>
      <c r="Q136" s="11" t="s">
        <v>1376</v>
      </c>
      <c r="R136" s="512" t="s">
        <v>1376</v>
      </c>
      <c r="S136" s="825"/>
      <c r="V136" s="5" t="s">
        <v>754</v>
      </c>
      <c r="W136" s="11"/>
      <c r="X136" s="5" t="s">
        <v>1016</v>
      </c>
    </row>
    <row r="137" spans="11:24" ht="19.95" customHeight="1">
      <c r="K137" s="76" t="s">
        <v>1192</v>
      </c>
      <c r="L137" s="76" t="str">
        <f t="shared" si="20"/>
        <v>C11RT</v>
      </c>
      <c r="M137" s="77" t="s">
        <v>1376</v>
      </c>
      <c r="N137" s="77" t="s">
        <v>1376</v>
      </c>
      <c r="O137" s="77" t="s">
        <v>1376</v>
      </c>
      <c r="P137" s="77" t="s">
        <v>1376</v>
      </c>
      <c r="Q137" s="77" t="s">
        <v>1376</v>
      </c>
      <c r="R137" s="513" t="s">
        <v>1376</v>
      </c>
      <c r="S137" s="825"/>
      <c r="V137" s="76" t="s">
        <v>1192</v>
      </c>
      <c r="W137" s="77"/>
      <c r="X137" s="76" t="s">
        <v>1018</v>
      </c>
    </row>
    <row r="138" spans="11:24" ht="19.95" customHeight="1">
      <c r="K138" s="76" t="s">
        <v>1289</v>
      </c>
      <c r="L138" s="76" t="str">
        <f t="shared" si="20"/>
        <v>C11RT</v>
      </c>
      <c r="M138" s="77" t="s">
        <v>1376</v>
      </c>
      <c r="N138" s="77" t="s">
        <v>1376</v>
      </c>
      <c r="O138" s="77" t="s">
        <v>1376</v>
      </c>
      <c r="P138" s="77" t="s">
        <v>1376</v>
      </c>
      <c r="Q138" s="77" t="s">
        <v>1376</v>
      </c>
      <c r="R138" s="513" t="s">
        <v>1376</v>
      </c>
      <c r="S138" s="825"/>
      <c r="V138" s="76" t="s">
        <v>1289</v>
      </c>
      <c r="W138" s="77"/>
      <c r="X138" s="76" t="s">
        <v>1018</v>
      </c>
    </row>
    <row r="139" spans="11:24" ht="19.95" customHeight="1">
      <c r="K139" s="5" t="s">
        <v>1290</v>
      </c>
      <c r="L139" s="5" t="str">
        <f t="shared" si="20"/>
        <v>C12RT</v>
      </c>
      <c r="M139" s="11">
        <v>8.5</v>
      </c>
      <c r="N139" s="11" t="s">
        <v>1376</v>
      </c>
      <c r="O139" s="11" t="s">
        <v>1376</v>
      </c>
      <c r="P139" s="11" t="s">
        <v>1376</v>
      </c>
      <c r="Q139" s="11" t="s">
        <v>1376</v>
      </c>
      <c r="R139" s="512" t="s">
        <v>1376</v>
      </c>
      <c r="S139" s="825"/>
      <c r="V139" s="5" t="s">
        <v>1290</v>
      </c>
      <c r="W139" s="11"/>
      <c r="X139" s="5" t="s">
        <v>1343</v>
      </c>
    </row>
    <row r="140" spans="11:24" ht="19.95" customHeight="1">
      <c r="K140" s="76" t="s">
        <v>1291</v>
      </c>
      <c r="L140" s="76" t="str">
        <f t="shared" si="20"/>
        <v>C13RT</v>
      </c>
      <c r="M140" s="77" t="s">
        <v>1376</v>
      </c>
      <c r="N140" s="77" t="s">
        <v>1376</v>
      </c>
      <c r="O140" s="77" t="s">
        <v>1376</v>
      </c>
      <c r="P140" s="77" t="s">
        <v>1376</v>
      </c>
      <c r="Q140" s="77" t="s">
        <v>1376</v>
      </c>
      <c r="R140" s="513" t="s">
        <v>1376</v>
      </c>
      <c r="S140" s="825"/>
      <c r="V140" s="76" t="s">
        <v>1291</v>
      </c>
      <c r="W140" s="77"/>
      <c r="X140" s="76" t="s">
        <v>1295</v>
      </c>
    </row>
    <row r="141" spans="11:24" ht="19.95" customHeight="1">
      <c r="K141" s="5" t="s">
        <v>448</v>
      </c>
      <c r="L141" s="5" t="str">
        <f t="shared" si="20"/>
        <v>2C3RT</v>
      </c>
      <c r="M141" s="11">
        <v>4.5</v>
      </c>
      <c r="N141" s="11" t="s">
        <v>1376</v>
      </c>
      <c r="O141" s="11" t="s">
        <v>1376</v>
      </c>
      <c r="P141" s="11" t="s">
        <v>1376</v>
      </c>
      <c r="Q141" s="11" t="s">
        <v>1376</v>
      </c>
      <c r="R141" s="512" t="s">
        <v>1376</v>
      </c>
      <c r="S141" s="825"/>
      <c r="V141" s="5" t="s">
        <v>448</v>
      </c>
      <c r="W141" s="11"/>
      <c r="X141" s="5" t="s">
        <v>1008</v>
      </c>
    </row>
    <row r="142" spans="11:24" ht="19.95" customHeight="1">
      <c r="K142" s="5" t="s">
        <v>787</v>
      </c>
      <c r="L142" s="5" t="str">
        <f t="shared" si="20"/>
        <v>2C3RT</v>
      </c>
      <c r="M142" s="11">
        <v>5</v>
      </c>
      <c r="N142" s="11" t="s">
        <v>1376</v>
      </c>
      <c r="O142" s="11" t="s">
        <v>1376</v>
      </c>
      <c r="P142" s="11" t="s">
        <v>1376</v>
      </c>
      <c r="Q142" s="11" t="s">
        <v>1376</v>
      </c>
      <c r="R142" s="512" t="s">
        <v>1376</v>
      </c>
      <c r="S142" s="825"/>
      <c r="V142" s="5" t="s">
        <v>787</v>
      </c>
      <c r="W142" s="70"/>
      <c r="X142" s="5" t="s">
        <v>1008</v>
      </c>
    </row>
    <row r="143" spans="11:24" ht="19.95" customHeight="1">
      <c r="K143" s="76" t="s">
        <v>449</v>
      </c>
      <c r="L143" s="76" t="str">
        <f t="shared" si="20"/>
        <v>2C4RT</v>
      </c>
      <c r="M143" s="77">
        <v>4.5</v>
      </c>
      <c r="N143" s="77" t="str">
        <f>N142</f>
        <v>N.D.</v>
      </c>
      <c r="O143" s="77" t="str">
        <f t="shared" ref="O143:R143" si="25">O142</f>
        <v>N.D.</v>
      </c>
      <c r="P143" s="77" t="str">
        <f t="shared" si="25"/>
        <v>N.D.</v>
      </c>
      <c r="Q143" s="77" t="str">
        <f t="shared" si="25"/>
        <v>N.D.</v>
      </c>
      <c r="R143" s="513" t="str">
        <f t="shared" si="25"/>
        <v>N.D.</v>
      </c>
      <c r="S143" s="825"/>
      <c r="V143" s="76" t="s">
        <v>449</v>
      </c>
      <c r="W143" s="77"/>
      <c r="X143" s="76" t="s">
        <v>1010</v>
      </c>
    </row>
    <row r="144" spans="11:24" ht="19.95" customHeight="1">
      <c r="K144" s="76" t="s">
        <v>788</v>
      </c>
      <c r="L144" s="76" t="str">
        <f t="shared" si="20"/>
        <v>2C4RT</v>
      </c>
      <c r="M144" s="77">
        <v>7.4</v>
      </c>
      <c r="N144" s="77" t="str">
        <f>N143</f>
        <v>N.D.</v>
      </c>
      <c r="O144" s="77" t="str">
        <f t="shared" ref="O144:R144" si="26">O143</f>
        <v>N.D.</v>
      </c>
      <c r="P144" s="77" t="str">
        <f t="shared" si="26"/>
        <v>N.D.</v>
      </c>
      <c r="Q144" s="77" t="str">
        <f t="shared" si="26"/>
        <v>N.D.</v>
      </c>
      <c r="R144" s="513" t="str">
        <f t="shared" si="26"/>
        <v>N.D.</v>
      </c>
      <c r="S144" s="825"/>
      <c r="V144" s="76" t="s">
        <v>788</v>
      </c>
      <c r="W144" s="77"/>
      <c r="X144" s="76" t="s">
        <v>1010</v>
      </c>
    </row>
    <row r="145" spans="11:24" ht="19.95" customHeight="1">
      <c r="K145" s="5" t="s">
        <v>1263</v>
      </c>
      <c r="L145" s="5" t="str">
        <f t="shared" si="20"/>
        <v>2C7RT</v>
      </c>
      <c r="M145" s="11" t="s">
        <v>1376</v>
      </c>
      <c r="N145" s="11" t="s">
        <v>1376</v>
      </c>
      <c r="O145" s="11" t="s">
        <v>1376</v>
      </c>
      <c r="P145" s="11" t="s">
        <v>1376</v>
      </c>
      <c r="Q145" s="11" t="s">
        <v>1376</v>
      </c>
      <c r="R145" s="512" t="s">
        <v>1376</v>
      </c>
      <c r="S145" s="825"/>
      <c r="V145" s="5" t="s">
        <v>1263</v>
      </c>
      <c r="W145" s="11"/>
      <c r="X145" s="5" t="s">
        <v>1294</v>
      </c>
    </row>
    <row r="146" spans="11:24" ht="19.95" customHeight="1">
      <c r="K146" s="76" t="s">
        <v>1005</v>
      </c>
      <c r="L146" s="76" t="str">
        <f t="shared" si="20"/>
        <v>2C4FRT</v>
      </c>
      <c r="M146" s="77" t="s">
        <v>1376</v>
      </c>
      <c r="N146" s="77" t="s">
        <v>1376</v>
      </c>
      <c r="O146" s="77" t="s">
        <v>1376</v>
      </c>
      <c r="P146" s="77" t="s">
        <v>1376</v>
      </c>
      <c r="Q146" s="77" t="s">
        <v>1376</v>
      </c>
      <c r="R146" s="513" t="s">
        <v>1376</v>
      </c>
      <c r="S146" s="825"/>
      <c r="V146" s="76" t="s">
        <v>1005</v>
      </c>
      <c r="W146" s="77"/>
      <c r="X146" s="76" t="s">
        <v>1025</v>
      </c>
    </row>
    <row r="147" spans="11:24" ht="19.95" customHeight="1">
      <c r="K147" s="5" t="s">
        <v>1006</v>
      </c>
      <c r="L147" s="5" t="str">
        <f t="shared" si="20"/>
        <v>C12FRT</v>
      </c>
      <c r="M147" s="11" t="s">
        <v>1376</v>
      </c>
      <c r="N147" s="11" t="s">
        <v>1376</v>
      </c>
      <c r="O147" s="11" t="s">
        <v>1376</v>
      </c>
      <c r="P147" s="11" t="s">
        <v>1376</v>
      </c>
      <c r="Q147" s="11" t="s">
        <v>1376</v>
      </c>
      <c r="R147" s="512" t="s">
        <v>1376</v>
      </c>
      <c r="S147" s="825"/>
      <c r="V147" s="5" t="s">
        <v>1006</v>
      </c>
      <c r="W147" s="11"/>
      <c r="X147" s="5" t="s">
        <v>1021</v>
      </c>
    </row>
    <row r="148" spans="11:24" ht="19.95" customHeight="1">
      <c r="K148" s="77" t="s">
        <v>723</v>
      </c>
      <c r="L148" s="77" t="str">
        <f t="shared" si="20"/>
        <v>AnMC-RT</v>
      </c>
      <c r="M148" s="77">
        <v>3.9</v>
      </c>
      <c r="N148" s="77" t="s">
        <v>1376</v>
      </c>
      <c r="O148" s="77" t="s">
        <v>1376</v>
      </c>
      <c r="P148" s="77" t="s">
        <v>1376</v>
      </c>
      <c r="Q148" s="77" t="s">
        <v>1376</v>
      </c>
      <c r="R148" s="513" t="s">
        <v>1376</v>
      </c>
      <c r="S148" s="825"/>
      <c r="V148" s="77" t="s">
        <v>723</v>
      </c>
      <c r="W148" s="77"/>
      <c r="X148" s="77" t="s">
        <v>723</v>
      </c>
    </row>
    <row r="149" spans="11:24" ht="19.95" customHeight="1">
      <c r="K149" s="77" t="s">
        <v>746</v>
      </c>
      <c r="L149" s="77" t="str">
        <f t="shared" si="20"/>
        <v>AnM-RT</v>
      </c>
      <c r="M149" s="77">
        <v>2.8</v>
      </c>
      <c r="N149" s="77" t="s">
        <v>1376</v>
      </c>
      <c r="O149" s="77" t="s">
        <v>1376</v>
      </c>
      <c r="P149" s="77" t="s">
        <v>1376</v>
      </c>
      <c r="Q149" s="77" t="s">
        <v>1376</v>
      </c>
      <c r="R149" s="513" t="s">
        <v>1376</v>
      </c>
      <c r="S149" s="825"/>
      <c r="V149" s="77" t="s">
        <v>746</v>
      </c>
      <c r="W149" s="77"/>
      <c r="X149" s="77" t="s">
        <v>746</v>
      </c>
    </row>
    <row r="150" spans="11:24" ht="19.95" customHeight="1"/>
    <row r="151" spans="11:24" ht="19.95" customHeight="1"/>
    <row r="152" spans="11:24" ht="19.95" customHeight="1"/>
    <row r="153" spans="11:24" ht="19.95" customHeight="1"/>
    <row r="154" spans="11:24" ht="19.95" customHeight="1"/>
    <row r="155" spans="11:24" ht="19.95" customHeight="1"/>
    <row r="156" spans="11:24" ht="19.95" customHeight="1"/>
    <row r="157" spans="11:24" ht="19.95" customHeight="1"/>
    <row r="158" spans="11:24" ht="19.95" customHeight="1"/>
    <row r="159" spans="11:24" ht="19.95" customHeight="1"/>
    <row r="160" spans="11:24" ht="19.95" customHeight="1"/>
    <row r="161" ht="19.95" customHeight="1"/>
    <row r="162" ht="19.95" customHeight="1"/>
    <row r="163" ht="19.95" customHeight="1"/>
    <row r="164" ht="19.95" customHeight="1"/>
    <row r="165" ht="19.95" customHeight="1"/>
    <row r="166" ht="19.95" customHeight="1"/>
    <row r="167" ht="19.95" customHeight="1"/>
    <row r="168" ht="19.95" customHeight="1"/>
    <row r="169" ht="19.95" customHeight="1"/>
    <row r="170" ht="19.95" customHeight="1"/>
    <row r="171" ht="19.95" customHeight="1"/>
    <row r="172" ht="19.95" customHeight="1"/>
    <row r="173" ht="19.95" customHeight="1"/>
    <row r="174" ht="19.95" customHeight="1"/>
    <row r="175" ht="19.95" customHeight="1"/>
    <row r="176" ht="19.95" customHeight="1"/>
    <row r="177" ht="19.95" customHeight="1"/>
    <row r="178" ht="19.95" customHeight="1"/>
    <row r="179" ht="19.95" customHeight="1"/>
    <row r="180" ht="19.95" customHeight="1"/>
    <row r="181" ht="19.95" customHeight="1"/>
    <row r="182" ht="19.95" customHeight="1"/>
    <row r="183" ht="19.95" customHeight="1"/>
    <row r="184" ht="19.95" customHeight="1"/>
    <row r="185" ht="19.95" customHeight="1"/>
    <row r="186" ht="19.95" customHeight="1"/>
    <row r="187" ht="19.95" customHeight="1"/>
    <row r="188" ht="19.95" customHeight="1"/>
    <row r="189" ht="19.95" customHeight="1"/>
    <row r="190" ht="19.95" customHeight="1"/>
    <row r="191" ht="19.95" customHeight="1"/>
    <row r="192" ht="19.95" customHeight="1"/>
    <row r="193" ht="19.95" customHeight="1"/>
    <row r="194" ht="19.95" customHeight="1"/>
    <row r="195" ht="19.95" customHeight="1"/>
    <row r="196" ht="19.95" customHeight="1"/>
    <row r="197" ht="19.95" customHeight="1"/>
    <row r="198" ht="19.95" customHeight="1"/>
    <row r="199" ht="19.95" customHeight="1"/>
    <row r="200" ht="19.95" customHeight="1"/>
    <row r="201" ht="19.95" customHeight="1"/>
    <row r="202" ht="19.95" customHeight="1"/>
    <row r="203" ht="19.95" customHeight="1"/>
    <row r="204" ht="19.95" customHeight="1"/>
    <row r="205" ht="19.95" customHeight="1"/>
    <row r="206" ht="19.95" customHeight="1"/>
    <row r="207" ht="19.95" customHeight="1"/>
    <row r="208" ht="19.95" customHeight="1"/>
    <row r="209" ht="19.95" customHeight="1"/>
    <row r="210" ht="19.95" customHeight="1"/>
    <row r="211" ht="19.95" customHeight="1"/>
    <row r="212" ht="19.95" customHeight="1"/>
    <row r="213" ht="19.95" customHeight="1"/>
    <row r="214" ht="19.95" customHeight="1"/>
    <row r="215" ht="19.95" customHeight="1"/>
    <row r="216" ht="19.95" customHeight="1"/>
    <row r="217" ht="19.95" customHeight="1"/>
    <row r="218" ht="19.95" customHeight="1"/>
    <row r="219" ht="19.95" customHeight="1"/>
    <row r="220" ht="19.95" customHeight="1"/>
    <row r="221" ht="19.95" customHeight="1"/>
    <row r="222" ht="19.95" customHeight="1"/>
    <row r="223" ht="19.95" customHeight="1"/>
    <row r="224" ht="19.95" customHeight="1"/>
    <row r="225" ht="19.95" customHeight="1"/>
    <row r="226" ht="19.95" customHeight="1"/>
    <row r="227" ht="19.95" customHeight="1"/>
    <row r="228" ht="19.95" customHeight="1"/>
    <row r="229" ht="19.95" customHeight="1"/>
    <row r="230" ht="19.95" customHeight="1"/>
    <row r="231" ht="19.95" customHeight="1"/>
    <row r="232" ht="19.95" customHeight="1"/>
    <row r="233" ht="19.95" customHeight="1"/>
    <row r="234" ht="19.95" customHeight="1"/>
    <row r="235" ht="19.95" customHeight="1"/>
    <row r="236" ht="19.95" customHeight="1"/>
    <row r="237" ht="19.95" customHeight="1"/>
    <row r="238" ht="19.95" customHeight="1"/>
    <row r="239" ht="19.95" customHeight="1"/>
    <row r="240" ht="19.95" customHeight="1"/>
    <row r="241" ht="19.95" customHeight="1"/>
    <row r="242" ht="19.95" customHeight="1"/>
    <row r="243" ht="19.95" customHeight="1"/>
    <row r="244" ht="19.95" customHeight="1"/>
    <row r="245" ht="19.95" customHeight="1"/>
    <row r="246" ht="19.95" customHeight="1"/>
    <row r="247" ht="19.95" customHeight="1"/>
    <row r="248" ht="19.95" customHeight="1"/>
    <row r="249" ht="19.95" customHeight="1"/>
    <row r="250" ht="19.95" customHeight="1"/>
    <row r="251" ht="19.95" customHeight="1"/>
    <row r="252" ht="19.95" customHeight="1"/>
    <row r="253" ht="19.95" customHeight="1"/>
    <row r="254" ht="19.95" customHeight="1"/>
    <row r="255" ht="19.95" customHeight="1"/>
    <row r="256" ht="19.95" customHeight="1"/>
    <row r="257" ht="19.95" customHeight="1"/>
    <row r="258" ht="19.95" customHeight="1"/>
    <row r="259" ht="19.95" customHeight="1"/>
    <row r="260" ht="19.95" customHeight="1"/>
    <row r="261" ht="19.95" customHeight="1"/>
    <row r="262" ht="19.95" customHeight="1"/>
    <row r="263" ht="19.95" customHeight="1"/>
    <row r="264" ht="19.95" customHeight="1"/>
    <row r="265" ht="19.95" customHeight="1"/>
    <row r="266" ht="19.95" customHeight="1"/>
    <row r="267" ht="19.95" customHeight="1"/>
    <row r="268" ht="19.95" customHeight="1"/>
    <row r="269" ht="19.95" customHeight="1"/>
    <row r="270" ht="19.95" customHeight="1"/>
    <row r="271" ht="19.95" customHeight="1"/>
    <row r="272" ht="19.95" customHeight="1"/>
    <row r="273" ht="19.95" customHeight="1"/>
    <row r="274" ht="19.95" customHeight="1"/>
    <row r="275" ht="19.95" customHeight="1"/>
    <row r="276" ht="19.95" customHeight="1"/>
    <row r="277" ht="19.95" customHeight="1"/>
    <row r="278" ht="19.95" customHeight="1"/>
    <row r="279" ht="19.95" customHeight="1"/>
    <row r="280" ht="19.95" customHeight="1"/>
    <row r="281" ht="19.95" customHeight="1"/>
    <row r="282" ht="19.95" customHeight="1"/>
    <row r="283" ht="19.95" customHeight="1"/>
    <row r="284" ht="19.95" customHeight="1"/>
    <row r="285" ht="19.95" customHeight="1"/>
    <row r="286" ht="19.95" customHeight="1"/>
    <row r="287" ht="19.95" customHeight="1"/>
    <row r="288" ht="19.95" customHeight="1"/>
    <row r="289" ht="19.95" customHeight="1"/>
    <row r="290" ht="19.95" customHeight="1"/>
    <row r="291" ht="19.95" customHeight="1"/>
    <row r="292" ht="19.95" customHeight="1"/>
    <row r="293" ht="19.95" customHeight="1"/>
    <row r="294" ht="19.95" customHeight="1"/>
    <row r="295" ht="19.95" customHeight="1"/>
    <row r="296" ht="19.95" customHeight="1"/>
    <row r="297" ht="19.95" customHeight="1"/>
    <row r="298" ht="19.95" customHeight="1"/>
    <row r="299" ht="19.95" customHeight="1"/>
    <row r="300" ht="19.95" customHeight="1"/>
    <row r="301" ht="19.95" customHeight="1"/>
    <row r="302" ht="19.95" customHeight="1"/>
    <row r="303" ht="19.95" customHeight="1"/>
    <row r="304" ht="19.95" customHeight="1"/>
    <row r="305" ht="19.95" customHeight="1"/>
    <row r="306" ht="19.95" customHeight="1"/>
    <row r="307" ht="19.95" customHeight="1"/>
    <row r="308" ht="19.95" customHeight="1"/>
    <row r="309" ht="19.95" customHeight="1"/>
    <row r="310" ht="19.95" customHeight="1"/>
    <row r="311" ht="19.95" customHeight="1"/>
    <row r="312" ht="19.95" customHeight="1"/>
    <row r="313" ht="19.95" customHeight="1"/>
    <row r="314" ht="19.95" customHeight="1"/>
    <row r="315" ht="19.95" customHeight="1"/>
    <row r="316" ht="19.95" customHeight="1"/>
    <row r="317" ht="19.95" customHeight="1"/>
    <row r="318" ht="19.95" customHeight="1"/>
    <row r="319" ht="19.95" customHeight="1"/>
    <row r="320" ht="19.95" customHeight="1"/>
    <row r="321" ht="19.95" customHeight="1"/>
    <row r="322" ht="19.95" customHeight="1"/>
    <row r="323" ht="19.95" customHeight="1"/>
    <row r="324" ht="19.95" customHeight="1"/>
    <row r="325" ht="19.95" customHeight="1"/>
    <row r="326" ht="19.95" customHeight="1"/>
    <row r="327" ht="19.95" customHeight="1"/>
    <row r="328" ht="19.95" customHeight="1"/>
    <row r="329" ht="19.95" customHeight="1"/>
    <row r="330" ht="19.95" customHeight="1"/>
    <row r="331" ht="19.95" customHeight="1"/>
    <row r="332" ht="19.95" customHeight="1"/>
    <row r="333" ht="19.95" customHeight="1"/>
    <row r="334" ht="19.95" customHeight="1"/>
    <row r="335" ht="19.95" customHeight="1"/>
    <row r="336" ht="19.95" customHeight="1"/>
    <row r="337" ht="19.95" customHeight="1"/>
    <row r="338" ht="19.95" customHeight="1"/>
    <row r="339" ht="19.95" customHeight="1"/>
    <row r="340" ht="19.95" customHeight="1"/>
    <row r="341" ht="19.95" customHeight="1"/>
    <row r="342" ht="19.95" customHeight="1"/>
    <row r="343" ht="19.95" customHeight="1"/>
    <row r="344" ht="19.95" customHeight="1"/>
    <row r="345" ht="19.95" customHeight="1"/>
    <row r="346" ht="19.95" customHeight="1"/>
    <row r="347" ht="19.95" customHeight="1"/>
    <row r="348" ht="19.95" customHeight="1"/>
    <row r="349" ht="19.95" customHeight="1"/>
    <row r="350" ht="19.95" customHeight="1"/>
    <row r="351" ht="19.95" customHeight="1"/>
    <row r="352" ht="19.95" customHeight="1"/>
    <row r="353" ht="19.95" customHeight="1"/>
    <row r="354" ht="19.95" customHeight="1"/>
    <row r="355" ht="19.95" customHeight="1"/>
    <row r="356" ht="19.95" customHeight="1"/>
    <row r="357" ht="19.95" customHeight="1"/>
    <row r="358" ht="19.95" customHeight="1"/>
    <row r="359" ht="19.95" customHeight="1"/>
    <row r="360" ht="19.95" customHeight="1"/>
    <row r="361" ht="19.95" customHeight="1"/>
    <row r="362" ht="19.95" customHeight="1"/>
    <row r="363" ht="19.95" customHeight="1"/>
    <row r="364" ht="19.95" customHeight="1"/>
    <row r="365" ht="19.95" customHeight="1"/>
    <row r="366" ht="19.95" customHeight="1"/>
    <row r="367" ht="19.95" customHeight="1"/>
    <row r="368" ht="19.95" customHeight="1"/>
    <row r="369" ht="19.95" customHeight="1"/>
    <row r="370" ht="19.95" customHeight="1"/>
    <row r="371" ht="19.95" customHeight="1"/>
    <row r="372" ht="19.95" customHeight="1"/>
    <row r="373" ht="19.95" customHeight="1"/>
    <row r="374" ht="19.95" customHeight="1"/>
    <row r="375" ht="19.95" customHeight="1"/>
    <row r="376" ht="19.95" customHeight="1"/>
    <row r="377" ht="19.95" customHeight="1"/>
    <row r="378" ht="19.95" customHeight="1"/>
    <row r="379" ht="19.95" customHeight="1"/>
    <row r="380" ht="19.95" customHeight="1"/>
    <row r="381" ht="19.95" customHeight="1"/>
    <row r="382" ht="19.95" customHeight="1"/>
    <row r="383" ht="19.95" customHeight="1"/>
    <row r="384" ht="19.95" customHeight="1"/>
    <row r="385" ht="19.95" customHeight="1"/>
    <row r="386" ht="19.95" customHeight="1"/>
    <row r="387" ht="19.95" customHeight="1"/>
    <row r="388" ht="19.95" customHeight="1"/>
    <row r="389" ht="19.95" customHeight="1"/>
    <row r="390" ht="19.95" customHeight="1"/>
    <row r="391" ht="19.95" customHeight="1"/>
    <row r="392" ht="19.95" customHeight="1"/>
    <row r="393" ht="19.95" customHeight="1"/>
    <row r="394" ht="19.95" customHeight="1"/>
    <row r="395" ht="19.95" customHeight="1"/>
    <row r="396" ht="19.95" customHeight="1"/>
    <row r="397" ht="19.95" customHeight="1"/>
    <row r="398" ht="19.95" customHeight="1"/>
    <row r="399" ht="19.95" customHeight="1"/>
    <row r="400" ht="19.95" customHeight="1"/>
    <row r="401" ht="19.95" customHeight="1"/>
    <row r="402" ht="19.95" customHeight="1"/>
    <row r="403" ht="19.95" customHeight="1"/>
    <row r="404" ht="19.95" customHeight="1"/>
    <row r="405" ht="19.95" customHeight="1"/>
    <row r="406" ht="19.95" customHeight="1"/>
    <row r="407" ht="19.95" customHeight="1"/>
    <row r="408" ht="19.95" customHeight="1"/>
    <row r="409" ht="19.95" customHeight="1"/>
    <row r="410" ht="19.95" customHeight="1"/>
    <row r="411" ht="19.95" customHeight="1"/>
    <row r="412" ht="19.95" customHeight="1"/>
    <row r="413" ht="19.95" customHeight="1"/>
    <row r="414" ht="19.95" customHeight="1"/>
    <row r="415" ht="19.95" customHeight="1"/>
    <row r="416" ht="19.95" customHeight="1"/>
    <row r="417" ht="19.95" customHeight="1"/>
    <row r="418" ht="19.95" customHeight="1"/>
    <row r="419" ht="19.95" customHeight="1"/>
    <row r="420" ht="19.95" customHeight="1"/>
    <row r="421" ht="19.95" customHeight="1"/>
    <row r="422" ht="19.95" customHeight="1"/>
    <row r="423" ht="19.95" customHeight="1"/>
    <row r="424" ht="19.95" customHeight="1"/>
    <row r="425" ht="19.95" customHeight="1"/>
    <row r="426" ht="19.95" customHeight="1"/>
    <row r="427" ht="19.95" customHeight="1"/>
    <row r="428" ht="19.95" customHeight="1"/>
    <row r="429" ht="19.95" customHeight="1"/>
    <row r="430" ht="19.95" customHeight="1"/>
    <row r="431" ht="19.95" customHeight="1"/>
    <row r="432" ht="19.95" customHeight="1"/>
    <row r="433" ht="19.95" customHeight="1"/>
    <row r="434" ht="19.95" customHeight="1"/>
    <row r="435" ht="19.95" customHeight="1"/>
    <row r="436" ht="19.95" customHeight="1"/>
    <row r="437" ht="19.95" customHeight="1"/>
    <row r="438" ht="19.95" customHeight="1"/>
    <row r="439" ht="19.95" customHeight="1"/>
    <row r="440" ht="19.95" customHeight="1"/>
    <row r="441" ht="19.95" customHeight="1"/>
    <row r="442" ht="19.95" customHeight="1"/>
    <row r="443" ht="19.95" customHeight="1"/>
    <row r="444" ht="19.95" customHeight="1"/>
    <row r="445" ht="19.95" customHeight="1"/>
    <row r="446" ht="19.95" customHeight="1"/>
    <row r="447" ht="19.95" customHeight="1"/>
    <row r="448" ht="19.95" customHeight="1"/>
    <row r="449" ht="19.95" customHeight="1"/>
    <row r="450" ht="19.95" customHeight="1"/>
    <row r="451" ht="19.95" customHeight="1"/>
    <row r="452" ht="19.95" customHeight="1"/>
    <row r="453" ht="19.95" customHeight="1"/>
    <row r="454" ht="19.95" customHeight="1"/>
    <row r="455" ht="19.95" customHeight="1"/>
    <row r="456" ht="19.95" customHeight="1"/>
    <row r="457" ht="19.95" customHeight="1"/>
    <row r="458" ht="19.95" customHeight="1"/>
    <row r="459" ht="19.95" customHeight="1"/>
    <row r="460" ht="19.95" customHeight="1"/>
    <row r="461" ht="19.95" customHeight="1"/>
    <row r="462" ht="19.95" customHeight="1"/>
    <row r="463" ht="19.95" customHeight="1"/>
    <row r="464" ht="19.95" customHeight="1"/>
    <row r="465" ht="19.95" customHeight="1"/>
    <row r="466" ht="19.95" customHeight="1"/>
    <row r="467" ht="19.95" customHeight="1"/>
    <row r="468" ht="19.95" customHeight="1"/>
    <row r="469" ht="19.95" customHeight="1"/>
    <row r="470" ht="19.95" customHeight="1"/>
    <row r="471" ht="19.95" customHeight="1"/>
    <row r="472" ht="19.95" customHeight="1"/>
    <row r="473" ht="19.95" customHeight="1"/>
    <row r="474" ht="19.95" customHeight="1"/>
    <row r="475" ht="19.95" customHeight="1"/>
    <row r="476" ht="19.95" customHeight="1"/>
    <row r="477" ht="19.95" customHeight="1"/>
    <row r="478" ht="19.95" customHeight="1"/>
    <row r="479" ht="19.95" customHeight="1"/>
    <row r="480" ht="19.95" customHeight="1"/>
    <row r="481" ht="19.95" customHeight="1"/>
    <row r="482" ht="19.95" customHeight="1"/>
    <row r="483" ht="19.95" customHeight="1"/>
    <row r="484" ht="19.95" customHeight="1"/>
    <row r="485" ht="19.95" customHeight="1"/>
    <row r="486" ht="19.95" customHeight="1"/>
    <row r="487" ht="19.95" customHeight="1"/>
    <row r="488" ht="19.95" customHeight="1"/>
    <row r="489" ht="19.95" customHeight="1"/>
    <row r="490" ht="19.95" customHeight="1"/>
    <row r="491" ht="19.95" customHeight="1"/>
    <row r="492" ht="19.95" customHeight="1"/>
    <row r="493" ht="19.95" customHeight="1"/>
    <row r="494" ht="19.95" customHeight="1"/>
    <row r="495" ht="19.95" customHeight="1"/>
    <row r="496" ht="19.95" customHeight="1"/>
    <row r="497" ht="19.95" customHeight="1"/>
    <row r="498" ht="19.95" customHeight="1"/>
    <row r="499" ht="19.95" customHeight="1"/>
    <row r="500" ht="19.95" customHeight="1"/>
    <row r="501" ht="19.95" customHeight="1"/>
    <row r="502" ht="19.95" customHeight="1"/>
    <row r="503" ht="19.95" customHeight="1"/>
    <row r="504" ht="19.95" customHeight="1"/>
    <row r="505" ht="19.95" customHeight="1"/>
    <row r="506" ht="19.95" customHeight="1"/>
    <row r="507" ht="19.95" customHeight="1"/>
    <row r="508" ht="19.95" customHeight="1"/>
    <row r="509" ht="19.95" customHeight="1"/>
    <row r="510" ht="19.95" customHeight="1"/>
    <row r="511" ht="19.95" customHeight="1"/>
    <row r="512" ht="19.95" customHeight="1"/>
    <row r="513" ht="19.95" customHeight="1"/>
    <row r="514" ht="19.95" customHeight="1"/>
    <row r="515" ht="19.95" customHeight="1"/>
    <row r="516" ht="19.95" customHeight="1"/>
    <row r="517" ht="19.95" customHeight="1"/>
    <row r="518" ht="19.95" customHeight="1"/>
    <row r="519" ht="19.95" customHeight="1"/>
    <row r="520" ht="19.95" customHeight="1"/>
    <row r="521" ht="19.95" customHeight="1"/>
    <row r="522" ht="19.95" customHeight="1"/>
    <row r="523" ht="19.95" customHeight="1"/>
    <row r="524" ht="19.95" customHeight="1"/>
    <row r="525" ht="19.95" customHeight="1"/>
    <row r="526" ht="19.95" customHeight="1"/>
    <row r="527" ht="19.95" customHeight="1"/>
    <row r="528" ht="19.95" customHeight="1"/>
    <row r="529" ht="19.95" customHeight="1"/>
    <row r="530" ht="19.95" customHeight="1"/>
    <row r="531" ht="19.95" customHeight="1"/>
    <row r="532" ht="19.95" customHeight="1"/>
    <row r="533" ht="19.95" customHeight="1"/>
    <row r="534" ht="19.95" customHeight="1"/>
    <row r="535" ht="19.95" customHeight="1"/>
    <row r="536" ht="19.95" customHeight="1"/>
    <row r="537" ht="19.95" customHeight="1"/>
    <row r="538" ht="19.95" customHeight="1"/>
    <row r="539" ht="19.95" customHeight="1"/>
    <row r="540" ht="19.95" customHeight="1"/>
    <row r="541" ht="19.95" customHeight="1"/>
    <row r="542" ht="19.95" customHeight="1"/>
    <row r="543" ht="19.95" customHeight="1"/>
    <row r="544" ht="19.95" customHeight="1"/>
    <row r="545" ht="19.95" customHeight="1"/>
    <row r="546" ht="19.95" customHeight="1"/>
    <row r="547" ht="19.95" customHeight="1"/>
    <row r="548" ht="19.95" customHeight="1"/>
    <row r="549" ht="19.95" customHeight="1"/>
    <row r="550" ht="19.95" customHeight="1"/>
    <row r="551" ht="19.95" customHeight="1"/>
    <row r="552" ht="19.95" customHeight="1"/>
    <row r="553" ht="19.95" customHeight="1"/>
    <row r="554" ht="19.95" customHeight="1"/>
    <row r="555" ht="19.95" customHeight="1"/>
    <row r="556" ht="19.95" customHeight="1"/>
    <row r="557" ht="19.95" customHeight="1"/>
    <row r="558" ht="19.95" customHeight="1"/>
    <row r="559" ht="19.95" customHeight="1"/>
    <row r="560" ht="19.95" customHeight="1"/>
    <row r="561" ht="19.95" customHeight="1"/>
    <row r="562" ht="19.95" customHeight="1"/>
    <row r="563" ht="19.95" customHeight="1"/>
    <row r="564" ht="19.95" customHeight="1"/>
    <row r="565" ht="19.95" customHeight="1"/>
    <row r="566" ht="19.95" customHeight="1"/>
    <row r="567" ht="19.95" customHeight="1"/>
    <row r="568" ht="19.95" customHeight="1"/>
    <row r="569" ht="19.95" customHeight="1"/>
    <row r="570" ht="19.95" customHeight="1"/>
    <row r="571" ht="19.95" customHeight="1"/>
    <row r="572" ht="19.95" customHeight="1"/>
    <row r="573" ht="19.95" customHeight="1"/>
    <row r="574" ht="19.95" customHeight="1"/>
    <row r="575" ht="19.95" customHeight="1"/>
    <row r="576" ht="19.95" customHeight="1"/>
    <row r="577" ht="19.95" customHeight="1"/>
    <row r="578" ht="19.95" customHeight="1"/>
    <row r="579" ht="19.95" customHeight="1"/>
    <row r="580" ht="19.95" customHeight="1"/>
    <row r="581" ht="19.95" customHeight="1"/>
    <row r="582" ht="19.95" customHeight="1"/>
    <row r="583" ht="19.95" customHeight="1"/>
    <row r="584" ht="19.95" customHeight="1"/>
    <row r="585" ht="19.95" customHeight="1"/>
    <row r="586" ht="19.95" customHeight="1"/>
    <row r="587" ht="19.95" customHeight="1"/>
    <row r="588" ht="19.95" customHeight="1"/>
    <row r="589" ht="19.95" customHeight="1"/>
    <row r="590" ht="19.95" customHeight="1"/>
    <row r="591" ht="19.95" customHeight="1"/>
    <row r="592" ht="19.95" customHeight="1"/>
    <row r="593" ht="19.95" customHeight="1"/>
    <row r="594" ht="19.95" customHeight="1"/>
    <row r="595" ht="19.95" customHeight="1"/>
    <row r="596" ht="19.95" customHeight="1"/>
    <row r="597" ht="19.95" customHeight="1"/>
    <row r="598" ht="19.95" customHeight="1"/>
    <row r="599" ht="19.95" customHeight="1"/>
    <row r="600" ht="19.95" customHeight="1"/>
    <row r="601" ht="19.95" customHeight="1"/>
    <row r="602" ht="19.95" customHeight="1"/>
    <row r="603" ht="19.95" customHeight="1"/>
    <row r="604" ht="19.95" customHeight="1"/>
    <row r="605" ht="19.95" customHeight="1"/>
    <row r="606" ht="19.95" customHeight="1"/>
    <row r="607" ht="19.95" customHeight="1"/>
    <row r="608" ht="19.95" customHeight="1"/>
    <row r="609" ht="19.95" customHeight="1"/>
    <row r="610" ht="19.95" customHeight="1"/>
    <row r="611" ht="19.95" customHeight="1"/>
    <row r="612" ht="19.95" customHeight="1"/>
    <row r="613" ht="19.95" customHeight="1"/>
    <row r="614" ht="19.95" customHeight="1"/>
    <row r="615" ht="19.95" customHeight="1"/>
    <row r="616" ht="19.95" customHeight="1"/>
    <row r="617" ht="19.95" customHeight="1"/>
    <row r="618" ht="19.95" customHeight="1"/>
    <row r="619" ht="19.95" customHeight="1"/>
    <row r="620" ht="19.95" customHeight="1"/>
    <row r="621" ht="19.95" customHeight="1"/>
    <row r="622" ht="19.95" customHeight="1"/>
    <row r="623" ht="19.95" customHeight="1"/>
    <row r="624" ht="19.95" customHeight="1"/>
    <row r="625" ht="19.95" customHeight="1"/>
    <row r="626" ht="19.95" customHeight="1"/>
    <row r="627" ht="19.95" customHeight="1"/>
    <row r="628" ht="19.95" customHeight="1"/>
    <row r="629" ht="19.95" customHeight="1"/>
    <row r="630" ht="19.95" customHeight="1"/>
    <row r="631" ht="19.95" customHeight="1"/>
    <row r="632" ht="19.95" customHeight="1"/>
    <row r="633" ht="19.95" customHeight="1"/>
    <row r="634" ht="19.95" customHeight="1"/>
    <row r="635" ht="19.95" customHeight="1"/>
    <row r="636" ht="19.95" customHeight="1"/>
    <row r="637" ht="19.95" customHeight="1"/>
    <row r="638" ht="19.95" customHeight="1"/>
    <row r="639" ht="19.95" customHeight="1"/>
    <row r="640" ht="19.95" customHeight="1"/>
    <row r="641" ht="19.95" customHeight="1"/>
    <row r="642" ht="19.95" customHeight="1"/>
    <row r="643" ht="19.95" customHeight="1"/>
    <row r="644" ht="19.95" customHeight="1"/>
    <row r="645" ht="19.95" customHeight="1"/>
    <row r="646" ht="19.95" customHeight="1"/>
    <row r="647" ht="19.95" customHeight="1"/>
    <row r="648" ht="19.95" customHeight="1"/>
    <row r="649" ht="19.95" customHeight="1"/>
    <row r="650" ht="19.95" customHeight="1"/>
    <row r="651" ht="19.95" customHeight="1"/>
    <row r="652" ht="19.95" customHeight="1"/>
    <row r="653" ht="19.95" customHeight="1"/>
    <row r="654" ht="19.95" customHeight="1"/>
    <row r="655" ht="19.95" customHeight="1"/>
    <row r="656" ht="19.95" customHeight="1"/>
    <row r="657" ht="19.95" customHeight="1"/>
    <row r="658" ht="19.95" customHeight="1"/>
    <row r="659" ht="19.95" customHeight="1"/>
    <row r="660" ht="19.95" customHeight="1"/>
    <row r="661" ht="19.95" customHeight="1"/>
    <row r="662" ht="19.95" customHeight="1"/>
    <row r="663" ht="19.95" customHeight="1"/>
    <row r="664" ht="19.95" customHeight="1"/>
    <row r="665" ht="19.95" customHeight="1"/>
    <row r="666" ht="19.95" customHeight="1"/>
    <row r="667" ht="19.95" customHeight="1"/>
    <row r="668" ht="19.95" customHeight="1"/>
    <row r="669" ht="19.95" customHeight="1"/>
    <row r="670" ht="19.95" customHeight="1"/>
    <row r="671" ht="19.95" customHeight="1"/>
    <row r="672" ht="19.95" customHeight="1"/>
    <row r="673" ht="19.95" customHeight="1"/>
    <row r="674" ht="19.95" customHeight="1"/>
    <row r="675" ht="19.95" customHeight="1"/>
    <row r="676" ht="19.95" customHeight="1"/>
    <row r="677" ht="19.95" customHeight="1"/>
    <row r="678" ht="19.95" customHeight="1"/>
    <row r="679" ht="19.95" customHeight="1"/>
    <row r="680" ht="19.95" customHeight="1"/>
    <row r="681" ht="19.95" customHeight="1"/>
    <row r="682" ht="19.95" customHeight="1"/>
    <row r="683" ht="19.95" customHeight="1"/>
    <row r="684" ht="19.95" customHeight="1"/>
    <row r="685" ht="19.95" customHeight="1"/>
    <row r="686" ht="19.95" customHeight="1"/>
    <row r="687" ht="19.95" customHeight="1"/>
    <row r="688" ht="19.95" customHeight="1"/>
    <row r="689" ht="19.95" customHeight="1"/>
    <row r="690" ht="19.95" customHeight="1"/>
    <row r="691" ht="19.95" customHeight="1"/>
    <row r="692" ht="19.95" customHeight="1"/>
    <row r="693" ht="19.95" customHeight="1"/>
    <row r="694" ht="19.95" customHeight="1"/>
    <row r="695" ht="19.95" customHeight="1"/>
    <row r="696" ht="19.95" customHeight="1"/>
    <row r="697" ht="19.95" customHeight="1"/>
    <row r="698" ht="19.95" customHeight="1"/>
    <row r="699" ht="19.95" customHeight="1"/>
    <row r="700" ht="19.95" customHeight="1"/>
    <row r="701" ht="19.95" customHeight="1"/>
    <row r="702" ht="19.95" customHeight="1"/>
    <row r="703" ht="19.95" customHeight="1"/>
    <row r="704" ht="19.95" customHeight="1"/>
    <row r="705" ht="19.95" customHeight="1"/>
    <row r="706" ht="19.95" customHeight="1"/>
    <row r="707" ht="19.95" customHeight="1"/>
    <row r="708" ht="19.95" customHeight="1"/>
    <row r="709" ht="19.95" customHeight="1"/>
    <row r="710" ht="19.95" customHeight="1"/>
    <row r="711" ht="19.95" customHeight="1"/>
    <row r="712" ht="19.95" customHeight="1"/>
    <row r="713" ht="19.95" customHeight="1"/>
    <row r="714" ht="19.95" customHeight="1"/>
    <row r="715" ht="19.95" customHeight="1"/>
    <row r="716" ht="19.95" customHeight="1"/>
    <row r="717" ht="19.95" customHeight="1"/>
    <row r="718" ht="19.95" customHeight="1"/>
    <row r="719" ht="19.95" customHeight="1"/>
    <row r="720" ht="19.95" customHeight="1"/>
    <row r="721" ht="19.95" customHeight="1"/>
    <row r="722" ht="19.95" customHeight="1"/>
    <row r="723" ht="19.95" customHeight="1"/>
    <row r="724" ht="19.95" customHeight="1"/>
    <row r="725" ht="19.95" customHeight="1"/>
    <row r="726" ht="19.95" customHeight="1"/>
    <row r="727" ht="19.95" customHeight="1"/>
    <row r="728" ht="19.95" customHeight="1"/>
    <row r="729" ht="19.95" customHeight="1"/>
    <row r="730" ht="19.95" customHeight="1"/>
    <row r="731" ht="19.95" customHeight="1"/>
    <row r="732" ht="19.95" customHeight="1"/>
    <row r="733" ht="19.95" customHeight="1"/>
    <row r="734" ht="19.95" customHeight="1"/>
    <row r="735" ht="19.95" customHeight="1"/>
    <row r="736" ht="19.95" customHeight="1"/>
    <row r="737" ht="19.95" customHeight="1"/>
    <row r="738" ht="19.95" customHeight="1"/>
    <row r="739" ht="19.95" customHeight="1"/>
    <row r="740" ht="19.95" customHeight="1"/>
    <row r="741" ht="19.95" customHeight="1"/>
    <row r="742" ht="19.95" customHeight="1"/>
    <row r="743" ht="19.95" customHeight="1"/>
    <row r="744" ht="19.95" customHeight="1"/>
    <row r="745" ht="19.95" customHeight="1"/>
    <row r="746" ht="19.95" customHeight="1"/>
    <row r="747" ht="19.95" customHeight="1"/>
    <row r="748" ht="19.95" customHeight="1"/>
    <row r="749" ht="19.95" customHeight="1"/>
    <row r="750" ht="19.95" customHeight="1"/>
    <row r="751" ht="19.95" customHeight="1"/>
    <row r="752" ht="19.95" customHeight="1"/>
    <row r="753" ht="19.95" customHeight="1"/>
    <row r="754" ht="19.95" customHeight="1"/>
    <row r="755" ht="19.95" customHeight="1"/>
    <row r="756" ht="19.95" customHeight="1"/>
    <row r="757" ht="19.95" customHeight="1"/>
    <row r="758" ht="19.95" customHeight="1"/>
    <row r="759" ht="19.95" customHeight="1"/>
    <row r="760" ht="19.95" customHeight="1"/>
    <row r="761" ht="19.95" customHeight="1"/>
    <row r="762" ht="19.95" customHeight="1"/>
    <row r="763" ht="19.95" customHeight="1"/>
    <row r="764" ht="19.95" customHeight="1"/>
    <row r="765" ht="19.95" customHeight="1"/>
    <row r="766" ht="19.95" customHeight="1"/>
    <row r="767" ht="19.95" customHeight="1"/>
    <row r="768" ht="19.95" customHeight="1"/>
    <row r="769" ht="19.95" customHeight="1"/>
    <row r="770" ht="19.95" customHeight="1"/>
    <row r="771" ht="19.95" customHeight="1"/>
    <row r="772" ht="19.95" customHeight="1"/>
    <row r="773" ht="19.95" customHeight="1"/>
    <row r="774" ht="19.95" customHeight="1"/>
    <row r="775" ht="19.95" customHeight="1"/>
    <row r="776" ht="19.95" customHeight="1"/>
    <row r="777" ht="19.95" customHeight="1"/>
    <row r="778" ht="19.95" customHeight="1"/>
    <row r="779" ht="19.95" customHeight="1"/>
    <row r="780" ht="19.95" customHeight="1"/>
    <row r="781" ht="19.95" customHeight="1"/>
    <row r="782" ht="19.95" customHeight="1"/>
    <row r="783" ht="19.95" customHeight="1"/>
    <row r="784" ht="19.95" customHeight="1"/>
    <row r="785" ht="19.95" customHeight="1"/>
    <row r="786" ht="19.95" customHeight="1"/>
    <row r="787" ht="19.95" customHeight="1"/>
    <row r="788" ht="19.95" customHeight="1"/>
    <row r="789" ht="19.95" customHeight="1"/>
    <row r="790" ht="19.95" customHeight="1"/>
    <row r="791" ht="19.95" customHeight="1"/>
    <row r="792" ht="19.95" customHeight="1"/>
    <row r="793" ht="19.95" customHeight="1"/>
    <row r="794" ht="19.95" customHeight="1"/>
    <row r="795" ht="19.95" customHeight="1"/>
    <row r="796" ht="19.95" customHeight="1"/>
    <row r="797" ht="19.95" customHeight="1"/>
    <row r="798" ht="19.95" customHeight="1"/>
    <row r="799" ht="19.95" customHeight="1"/>
    <row r="800" ht="19.95" customHeight="1"/>
    <row r="801" ht="19.95" customHeight="1"/>
    <row r="802" ht="19.95" customHeight="1"/>
    <row r="803" ht="19.95" customHeight="1"/>
    <row r="804" ht="19.95" customHeight="1"/>
    <row r="805" ht="19.95" customHeight="1"/>
    <row r="806" ht="19.95" customHeight="1"/>
    <row r="807" ht="19.95" customHeight="1"/>
    <row r="808" ht="19.95" customHeight="1"/>
    <row r="809" ht="19.95" customHeight="1"/>
    <row r="810" ht="19.95" customHeight="1"/>
    <row r="811" ht="19.95" customHeight="1"/>
    <row r="812" ht="19.95" customHeight="1"/>
    <row r="813" ht="19.95" customHeight="1"/>
    <row r="814" ht="19.95" customHeight="1"/>
    <row r="815" ht="19.95" customHeight="1"/>
    <row r="816" ht="19.95" customHeight="1"/>
    <row r="817" ht="19.95" customHeight="1"/>
    <row r="818" ht="19.95" customHeight="1"/>
    <row r="819" ht="19.95" customHeight="1"/>
    <row r="820" ht="19.95" customHeight="1"/>
    <row r="821" ht="19.95" customHeight="1"/>
    <row r="822" ht="19.95" customHeight="1"/>
    <row r="823" ht="19.95" customHeight="1"/>
    <row r="824" ht="19.95" customHeight="1"/>
    <row r="825" ht="19.95" customHeight="1"/>
    <row r="826" ht="19.95" customHeight="1"/>
    <row r="827" ht="19.95" customHeight="1"/>
    <row r="828" ht="19.95" customHeight="1"/>
    <row r="829" ht="19.95" customHeight="1"/>
    <row r="830" ht="19.95" customHeight="1"/>
    <row r="831" ht="19.95" customHeight="1"/>
    <row r="832" ht="19.95" customHeight="1"/>
    <row r="833" ht="19.95" customHeight="1"/>
    <row r="834" ht="19.95" customHeight="1"/>
    <row r="835" ht="19.95" customHeight="1"/>
    <row r="836" ht="19.95" customHeight="1"/>
    <row r="837" ht="19.95" customHeight="1"/>
    <row r="838" ht="19.95" customHeight="1"/>
    <row r="839" ht="19.95" customHeight="1"/>
    <row r="840" ht="19.95" customHeight="1"/>
    <row r="841" ht="19.95" customHeight="1"/>
    <row r="842" ht="19.95" customHeight="1"/>
    <row r="843" ht="19.95" customHeight="1"/>
    <row r="844" ht="19.95" customHeight="1"/>
    <row r="845" ht="19.95" customHeight="1"/>
    <row r="846" ht="19.95" customHeight="1"/>
    <row r="847" ht="19.95" customHeight="1"/>
    <row r="848" ht="19.95" customHeight="1"/>
    <row r="849" ht="19.95" customHeight="1"/>
    <row r="850" ht="19.95" customHeight="1"/>
    <row r="851" ht="19.95" customHeight="1"/>
    <row r="852" ht="19.95" customHeight="1"/>
    <row r="853" ht="19.95" customHeight="1"/>
    <row r="854" ht="19.95" customHeight="1"/>
    <row r="855" ht="19.95" customHeight="1"/>
    <row r="856" ht="19.95" customHeight="1"/>
    <row r="857" ht="19.95" customHeight="1"/>
    <row r="858" ht="19.95" customHeight="1"/>
    <row r="859" ht="19.95" customHeight="1"/>
    <row r="860" ht="19.95" customHeight="1"/>
    <row r="861" ht="19.95" customHeight="1"/>
    <row r="862" ht="19.95" customHeight="1"/>
    <row r="863" ht="19.95" customHeight="1"/>
    <row r="864" ht="19.95" customHeight="1"/>
    <row r="865" ht="19.95" customHeight="1"/>
    <row r="866" ht="19.95" customHeight="1"/>
    <row r="867" ht="19.95" customHeight="1"/>
    <row r="868" ht="19.95" customHeight="1"/>
    <row r="869" ht="19.95" customHeight="1"/>
    <row r="870" ht="19.95" customHeight="1"/>
    <row r="871" ht="19.95" customHeight="1"/>
    <row r="872" ht="19.95" customHeight="1"/>
    <row r="873" ht="19.95" customHeight="1"/>
    <row r="874" ht="19.95" customHeight="1"/>
    <row r="875" ht="19.95" customHeight="1"/>
    <row r="876" ht="19.95" customHeight="1"/>
    <row r="877" ht="19.95" customHeight="1"/>
    <row r="878" ht="19.95" customHeight="1"/>
    <row r="879" ht="19.95" customHeight="1"/>
    <row r="880" ht="19.95" customHeight="1"/>
    <row r="881" ht="19.95" customHeight="1"/>
    <row r="882" ht="19.95" customHeight="1"/>
    <row r="883" ht="19.95" customHeight="1"/>
    <row r="884" ht="19.95" customHeight="1"/>
    <row r="885" ht="19.95" customHeight="1"/>
    <row r="886" ht="19.95" customHeight="1"/>
    <row r="887" ht="19.95" customHeight="1"/>
    <row r="888" ht="19.95" customHeight="1"/>
    <row r="889" ht="19.95" customHeight="1"/>
    <row r="890" ht="19.95" customHeight="1"/>
    <row r="891" ht="19.95" customHeight="1"/>
    <row r="892" ht="19.95" customHeight="1"/>
    <row r="893" ht="19.95" customHeight="1"/>
    <row r="894" ht="19.95" customHeight="1"/>
    <row r="895" ht="19.95" customHeight="1"/>
    <row r="896" ht="19.95" customHeight="1"/>
    <row r="897" ht="19.95" customHeight="1"/>
    <row r="898" ht="19.95" customHeight="1"/>
    <row r="899" ht="19.95" customHeight="1"/>
    <row r="900" ht="19.95" customHeight="1"/>
    <row r="901" ht="19.95" customHeight="1"/>
    <row r="902" ht="19.95" customHeight="1"/>
    <row r="903" ht="19.95" customHeight="1"/>
    <row r="904" ht="19.95" customHeight="1"/>
    <row r="905" ht="19.95" customHeight="1"/>
    <row r="906" ht="19.95" customHeight="1"/>
    <row r="907" ht="19.95" customHeight="1"/>
    <row r="908" ht="19.95" customHeight="1"/>
    <row r="909" ht="19.95" customHeight="1"/>
    <row r="910" ht="19.95" customHeight="1"/>
    <row r="911" ht="19.95" customHeight="1"/>
    <row r="912" ht="19.95" customHeight="1"/>
    <row r="913" ht="19.95" customHeight="1"/>
    <row r="914" ht="19.95" customHeight="1"/>
    <row r="915" ht="19.95" customHeight="1"/>
    <row r="916" ht="19.95" customHeight="1"/>
    <row r="917" ht="19.95" customHeight="1"/>
    <row r="918" ht="19.95" customHeight="1"/>
    <row r="919" ht="19.95" customHeight="1"/>
    <row r="920" ht="19.95" customHeight="1"/>
    <row r="921" ht="19.95" customHeight="1"/>
    <row r="922" ht="19.95" customHeight="1"/>
    <row r="923" ht="19.95" customHeight="1"/>
    <row r="924" ht="19.95" customHeight="1"/>
    <row r="925" ht="19.95" customHeight="1"/>
    <row r="926" ht="19.95" customHeight="1"/>
    <row r="927" ht="19.95" customHeight="1"/>
    <row r="928" ht="19.95" customHeight="1"/>
    <row r="929" ht="19.95" customHeight="1"/>
    <row r="930" ht="19.95" customHeight="1"/>
    <row r="931" ht="19.95" customHeight="1"/>
    <row r="932" ht="19.95" customHeight="1"/>
    <row r="933" ht="19.95" customHeight="1"/>
    <row r="934" ht="19.95" customHeight="1"/>
    <row r="935" ht="19.95" customHeight="1"/>
    <row r="936" ht="19.95" customHeight="1"/>
    <row r="937" ht="19.95" customHeight="1"/>
    <row r="938" ht="19.95" customHeight="1"/>
    <row r="939" ht="19.95" customHeight="1"/>
    <row r="940" ht="19.95" customHeight="1"/>
    <row r="941" ht="19.95" customHeight="1"/>
    <row r="942" ht="19.95" customHeight="1"/>
    <row r="943" ht="19.95" customHeight="1"/>
    <row r="944" ht="19.95" customHeight="1"/>
    <row r="945" ht="19.95" customHeight="1"/>
    <row r="946" ht="19.95" customHeight="1"/>
    <row r="947" ht="19.95" customHeight="1"/>
    <row r="948" ht="19.95" customHeight="1"/>
    <row r="949" ht="19.95" customHeight="1"/>
    <row r="950" ht="19.95" customHeight="1"/>
    <row r="951" ht="19.95" customHeight="1"/>
    <row r="952" ht="19.95" customHeight="1"/>
    <row r="953" ht="19.95" customHeight="1"/>
    <row r="954" ht="19.95" customHeight="1"/>
    <row r="955" ht="19.95" customHeight="1"/>
    <row r="956" ht="19.95" customHeight="1"/>
    <row r="957" ht="19.95" customHeight="1"/>
    <row r="958" ht="19.95" customHeight="1"/>
    <row r="959" ht="19.95" customHeight="1"/>
    <row r="960" ht="19.95" customHeight="1"/>
    <row r="961" ht="19.95" customHeight="1"/>
    <row r="962" ht="19.95" customHeight="1"/>
    <row r="963" ht="19.95" customHeight="1"/>
    <row r="964" ht="19.95" customHeight="1"/>
    <row r="965" ht="19.95" customHeight="1"/>
    <row r="966" ht="19.95" customHeight="1"/>
    <row r="967" ht="19.95" customHeight="1"/>
    <row r="968" ht="19.95" customHeight="1"/>
    <row r="969" ht="19.95" customHeight="1"/>
    <row r="970" ht="19.95" customHeight="1"/>
    <row r="971" ht="19.95" customHeight="1"/>
    <row r="972" ht="19.95" customHeight="1"/>
    <row r="973" ht="19.95" customHeight="1"/>
    <row r="974" ht="19.95" customHeight="1"/>
    <row r="975" ht="19.95" customHeight="1"/>
    <row r="976" ht="19.95" customHeight="1"/>
    <row r="977" ht="19.95" customHeight="1"/>
    <row r="978" ht="19.95" customHeight="1"/>
    <row r="979" ht="19.95" customHeight="1"/>
    <row r="980" ht="19.95" customHeight="1"/>
    <row r="981" ht="19.95" customHeight="1"/>
    <row r="982" ht="19.95" customHeight="1"/>
    <row r="983" ht="19.95" customHeight="1"/>
    <row r="984" ht="19.95" customHeight="1"/>
    <row r="985" ht="19.95" customHeight="1"/>
    <row r="986" ht="19.95" customHeight="1"/>
    <row r="987" ht="19.95" customHeight="1"/>
    <row r="988" ht="19.95" customHeight="1"/>
    <row r="989" ht="19.95" customHeight="1"/>
    <row r="990" ht="19.95" customHeight="1"/>
    <row r="991" ht="19.95" customHeight="1"/>
    <row r="992" ht="19.95" customHeight="1"/>
    <row r="993" ht="19.95" customHeight="1"/>
    <row r="994" ht="19.95" customHeight="1"/>
    <row r="995" ht="19.95" customHeight="1"/>
    <row r="996" ht="19.95" customHeight="1"/>
    <row r="997" ht="19.95" customHeight="1"/>
    <row r="998" ht="19.95" customHeight="1"/>
    <row r="999" ht="19.95" customHeight="1"/>
    <row r="1000" ht="19.95" customHeight="1"/>
    <row r="1001" ht="19.95" customHeight="1"/>
    <row r="1002" ht="19.95" customHeight="1"/>
    <row r="1003" ht="19.95" customHeight="1"/>
    <row r="1004" ht="19.95" customHeight="1"/>
    <row r="1005" ht="19.95" customHeight="1"/>
    <row r="1006" ht="19.95" customHeight="1"/>
    <row r="1007" ht="19.95" customHeight="1"/>
    <row r="1008" ht="19.95" customHeight="1"/>
    <row r="1009" ht="19.95" customHeight="1"/>
    <row r="1010" ht="19.95" customHeight="1"/>
    <row r="1011" ht="19.95" customHeight="1"/>
    <row r="1012" ht="19.95" customHeight="1"/>
    <row r="1013" ht="19.95" customHeight="1"/>
    <row r="1014" ht="19.95" customHeight="1"/>
    <row r="1015" ht="19.95" customHeight="1"/>
    <row r="1016" ht="19.95" customHeight="1"/>
    <row r="1017" ht="19.95" customHeight="1"/>
    <row r="1018" ht="19.95" customHeight="1"/>
    <row r="1019" ht="19.95" customHeight="1"/>
    <row r="1020" ht="19.95" customHeight="1"/>
    <row r="1021" ht="19.95" customHeight="1"/>
    <row r="1022" ht="19.95" customHeight="1"/>
    <row r="1023" ht="19.95" customHeight="1"/>
    <row r="1024" ht="19.95" customHeight="1"/>
    <row r="1025" ht="19.95" customHeight="1"/>
    <row r="1026" ht="19.95" customHeight="1"/>
    <row r="1027" ht="19.95" customHeight="1"/>
    <row r="1028" ht="19.95" customHeight="1"/>
    <row r="1029" ht="19.95" customHeight="1"/>
    <row r="1030" ht="19.95" customHeight="1"/>
    <row r="1031" ht="19.95" customHeight="1"/>
    <row r="1032" ht="19.95" customHeight="1"/>
    <row r="1033" ht="19.95" customHeight="1"/>
    <row r="1034" ht="19.95" customHeight="1"/>
    <row r="1035" ht="19.95" customHeight="1"/>
    <row r="1036" ht="19.95" customHeight="1"/>
    <row r="1037" ht="19.95" customHeight="1"/>
    <row r="1038" ht="19.95" customHeight="1"/>
    <row r="1039" ht="19.95" customHeight="1"/>
    <row r="1040" ht="19.95" customHeight="1"/>
    <row r="1041" ht="19.95" customHeight="1"/>
    <row r="1042" ht="19.95" customHeight="1"/>
    <row r="1043" ht="19.95" customHeight="1"/>
    <row r="1044" ht="19.95" customHeight="1"/>
    <row r="1045" ht="19.95" customHeight="1"/>
    <row r="1046" ht="19.95" customHeight="1"/>
    <row r="1047" ht="19.95" customHeight="1"/>
    <row r="1048" ht="19.95" customHeight="1"/>
    <row r="1049" ht="19.95" customHeight="1"/>
    <row r="1050" ht="19.95" customHeight="1"/>
    <row r="1051" ht="19.95" customHeight="1"/>
    <row r="1052" ht="19.95" customHeight="1"/>
    <row r="1053" ht="19.95" customHeight="1"/>
    <row r="1054" ht="19.95" customHeight="1"/>
    <row r="1055" ht="19.95" customHeight="1"/>
    <row r="1056" ht="19.95" customHeight="1"/>
    <row r="1057" ht="19.95" customHeight="1"/>
    <row r="1058" ht="19.95" customHeight="1"/>
    <row r="1059" ht="19.95" customHeight="1"/>
    <row r="1060" ht="19.95" customHeight="1"/>
    <row r="1061" ht="19.95" customHeight="1"/>
    <row r="1062" ht="19.95" customHeight="1"/>
    <row r="1063" ht="19.95" customHeight="1"/>
    <row r="1064" ht="19.95" customHeight="1"/>
    <row r="1065" ht="19.95" customHeight="1"/>
    <row r="1066" ht="19.95" customHeight="1"/>
    <row r="1067" ht="19.95" customHeight="1"/>
    <row r="1068" ht="19.95" customHeight="1"/>
    <row r="1069" ht="19.95" customHeight="1"/>
    <row r="1070" ht="19.95" customHeight="1"/>
    <row r="1071" ht="19.95" customHeight="1"/>
    <row r="1072" ht="19.95" customHeight="1"/>
    <row r="1073" ht="19.95" customHeight="1"/>
    <row r="1074" ht="19.95" customHeight="1"/>
    <row r="1075" ht="19.95" customHeight="1"/>
    <row r="1076" ht="19.95" customHeight="1"/>
    <row r="1077" ht="19.95" customHeight="1"/>
    <row r="1078" ht="19.95" customHeight="1"/>
    <row r="1079" ht="19.95" customHeight="1"/>
    <row r="1080" ht="19.95" customHeight="1"/>
    <row r="1081" ht="19.95" customHeight="1"/>
    <row r="1082" ht="19.95" customHeight="1"/>
    <row r="1083" ht="19.95" customHeight="1"/>
    <row r="1084" ht="19.95" customHeight="1"/>
    <row r="1085" ht="19.95" customHeight="1"/>
    <row r="1086" ht="19.95" customHeight="1"/>
    <row r="1087" ht="19.95" customHeight="1"/>
    <row r="1088" ht="19.95" customHeight="1"/>
    <row r="1089" ht="19.95" customHeight="1"/>
    <row r="1090" ht="19.95" customHeight="1"/>
    <row r="1091" ht="19.95" customHeight="1"/>
    <row r="1092" ht="19.95" customHeight="1"/>
    <row r="1093" ht="19.95" customHeight="1"/>
    <row r="1094" ht="19.95" customHeight="1"/>
    <row r="1095" ht="19.95" customHeight="1"/>
    <row r="1096" ht="19.95" customHeight="1"/>
    <row r="1097" ht="19.95" customHeight="1"/>
    <row r="1098" ht="19.95" customHeight="1"/>
    <row r="1099" ht="19.95" customHeight="1"/>
    <row r="1100" ht="19.95" customHeight="1"/>
    <row r="1101" ht="19.95" customHeight="1"/>
    <row r="1102" ht="19.95" customHeight="1"/>
    <row r="1103" ht="19.95" customHeight="1"/>
    <row r="1104" ht="19.95" customHeight="1"/>
    <row r="1105" ht="19.95" customHeight="1"/>
    <row r="1106" ht="19.95" customHeight="1"/>
    <row r="1107" ht="19.95" customHeight="1"/>
    <row r="1108" ht="19.95" customHeight="1"/>
    <row r="1109" ht="19.95" customHeight="1"/>
    <row r="1110" ht="19.95" customHeight="1"/>
    <row r="1111" ht="19.95" customHeight="1"/>
    <row r="1112" ht="19.95" customHeight="1"/>
    <row r="1113" ht="19.95" customHeight="1"/>
    <row r="1114" ht="19.95" customHeight="1"/>
    <row r="1115" ht="19.95" customHeight="1"/>
    <row r="1116" ht="19.95" customHeight="1"/>
    <row r="1117" ht="19.95" customHeight="1"/>
    <row r="1118" ht="19.95" customHeight="1"/>
    <row r="1119" ht="19.95" customHeight="1"/>
    <row r="1120" ht="19.95" customHeight="1"/>
    <row r="1121" ht="19.95" customHeight="1"/>
    <row r="1122" ht="19.95" customHeight="1"/>
    <row r="1123" ht="19.95" customHeight="1"/>
    <row r="1124" ht="19.95" customHeight="1"/>
    <row r="1125" ht="19.95" customHeight="1"/>
    <row r="1126" ht="19.95" customHeight="1"/>
    <row r="1127" ht="19.95" customHeight="1"/>
    <row r="1128" ht="19.95" customHeight="1"/>
    <row r="1129" ht="19.95" customHeight="1"/>
    <row r="1130" ht="19.95" customHeight="1"/>
    <row r="1131" ht="19.95" customHeight="1"/>
    <row r="1132" ht="19.95" customHeight="1"/>
    <row r="1133" ht="19.95" customHeight="1"/>
    <row r="1134" ht="19.95" customHeight="1"/>
    <row r="1135" ht="19.95" customHeight="1"/>
    <row r="1136" ht="19.95" customHeight="1"/>
    <row r="1137" ht="19.95" customHeight="1"/>
    <row r="1138" ht="19.95" customHeight="1"/>
    <row r="1139" ht="19.95" customHeight="1"/>
    <row r="1140" ht="19.95" customHeight="1"/>
    <row r="1141" ht="19.95" customHeight="1"/>
    <row r="1142" ht="19.95" customHeight="1"/>
    <row r="1143" ht="19.95" customHeight="1"/>
    <row r="1144" ht="19.95" customHeight="1"/>
    <row r="1145" ht="19.95" customHeight="1"/>
    <row r="1146" ht="19.95" customHeight="1"/>
  </sheetData>
  <mergeCells count="20">
    <mergeCell ref="A1:C1"/>
    <mergeCell ref="E1:G1"/>
    <mergeCell ref="L1:R1"/>
    <mergeCell ref="V1:X1"/>
    <mergeCell ref="L38:R38"/>
    <mergeCell ref="V38:X38"/>
    <mergeCell ref="K3:R3"/>
    <mergeCell ref="V3:AE3"/>
    <mergeCell ref="I2:J2"/>
    <mergeCell ref="I10:J10"/>
    <mergeCell ref="L76:R76"/>
    <mergeCell ref="K78:R78"/>
    <mergeCell ref="L113:R113"/>
    <mergeCell ref="K115:R115"/>
    <mergeCell ref="V76:X76"/>
    <mergeCell ref="V113:X113"/>
    <mergeCell ref="V115:X115"/>
    <mergeCell ref="S4:S149"/>
    <mergeCell ref="V40:X40"/>
    <mergeCell ref="K40:R40"/>
  </mergeCells>
  <conditionalFormatting sqref="M43:R43 M42 O42:R42 M74:R74 M73 O73:R73 M4:R24 M45:R72">
    <cfRule type="containsText" dxfId="607" priority="526" operator="containsText" text="N.D.">
      <formula>NOT(ISERROR(SEARCH("N.D.",M4)))</formula>
    </cfRule>
  </conditionalFormatting>
  <conditionalFormatting sqref="M26:R37">
    <cfRule type="containsText" dxfId="606" priority="525" operator="containsText" text="N.D.">
      <formula>NOT(ISERROR(SEARCH("N.D.",M26)))</formula>
    </cfRule>
  </conditionalFormatting>
  <conditionalFormatting sqref="C3">
    <cfRule type="containsText" dxfId="605" priority="524" operator="containsText" text="N.D.">
      <formula>NOT(ISERROR(SEARCH("N.D.",C3)))</formula>
    </cfRule>
  </conditionalFormatting>
  <conditionalFormatting sqref="C4:C33">
    <cfRule type="containsText" dxfId="604" priority="521" operator="containsText" text="N.D.">
      <formula>NOT(ISERROR(SEARCH("N.D.",C4)))</formula>
    </cfRule>
  </conditionalFormatting>
  <conditionalFormatting sqref="A3:B19 E3:F19">
    <cfRule type="expression" dxfId="603" priority="518">
      <formula>$M3="NON DEFINED"</formula>
    </cfRule>
    <cfRule type="expression" dxfId="602" priority="519">
      <formula>$AZ3="N.D."</formula>
    </cfRule>
    <cfRule type="expression" dxfId="601" priority="520">
      <formula>$AY3="N.D."</formula>
    </cfRule>
  </conditionalFormatting>
  <conditionalFormatting sqref="G3">
    <cfRule type="containsText" dxfId="600" priority="517" operator="containsText" text="N.D.">
      <formula>NOT(ISERROR(SEARCH("N.D.",G3)))</formula>
    </cfRule>
  </conditionalFormatting>
  <conditionalFormatting sqref="G4:G33">
    <cfRule type="containsText" dxfId="599" priority="516" operator="containsText" text="N.D.">
      <formula>NOT(ISERROR(SEARCH("N.D.",G4)))</formula>
    </cfRule>
  </conditionalFormatting>
  <conditionalFormatting sqref="C34:C87">
    <cfRule type="containsText" dxfId="598" priority="515" operator="containsText" text="N.D.">
      <formula>NOT(ISERROR(SEARCH("N.D.",C34)))</formula>
    </cfRule>
  </conditionalFormatting>
  <conditionalFormatting sqref="G34:G87">
    <cfRule type="containsText" dxfId="597" priority="511" operator="containsText" text="N.D.">
      <formula>NOT(ISERROR(SEARCH("N.D.",G34)))</formula>
    </cfRule>
  </conditionalFormatting>
  <conditionalFormatting sqref="AD22">
    <cfRule type="containsText" dxfId="596" priority="324" operator="containsText" text="Ø8@200">
      <formula>NOT(ISERROR(SEARCH("Ø8@200",AD22)))</formula>
    </cfRule>
    <cfRule type="containsText" dxfId="595" priority="325" operator="containsText" text="Ø12@200">
      <formula>NOT(ISERROR(SEARCH("Ø12@200",AD22)))</formula>
    </cfRule>
    <cfRule type="containsText" dxfId="594" priority="326" operator="containsText" text="Ø8@250">
      <formula>NOT(ISERROR(SEARCH("Ø8@250",AD22)))</formula>
    </cfRule>
  </conditionalFormatting>
  <conditionalFormatting sqref="Y22">
    <cfRule type="cellIs" dxfId="593" priority="344" operator="equal">
      <formula>0.75</formula>
    </cfRule>
    <cfRule type="cellIs" dxfId="592" priority="345" operator="equal">
      <formula>1.2</formula>
    </cfRule>
    <cfRule type="cellIs" dxfId="591" priority="346" operator="equal">
      <formula>1</formula>
    </cfRule>
  </conditionalFormatting>
  <conditionalFormatting sqref="Z22">
    <cfRule type="cellIs" dxfId="590" priority="340" operator="equal">
      <formula>40</formula>
    </cfRule>
    <cfRule type="cellIs" dxfId="589" priority="341" operator="equal">
      <formula>32</formula>
    </cfRule>
    <cfRule type="cellIs" dxfId="588" priority="342" operator="equal">
      <formula>25</formula>
    </cfRule>
    <cfRule type="cellIs" dxfId="587" priority="343" operator="equal">
      <formula>16</formula>
    </cfRule>
  </conditionalFormatting>
  <conditionalFormatting sqref="AB22">
    <cfRule type="containsText" dxfId="586" priority="331" operator="containsText" text="200*200*200/300*300">
      <formula>NOT(ISERROR(SEARCH("200*200*200/300*300",AB22)))</formula>
    </cfRule>
    <cfRule type="containsText" dxfId="585" priority="332" operator="containsText" text="200/300">
      <formula>NOT(ISERROR(SEARCH("200/300",AB22)))</formula>
    </cfRule>
    <cfRule type="containsText" dxfId="584" priority="333" operator="containsText" text="200*200*200/520">
      <formula>NOT(ISERROR(SEARCH("200*200*200/520",AB22)))</formula>
    </cfRule>
    <cfRule type="containsText" dxfId="583" priority="334" operator="containsText" text="250*250/500">
      <formula>NOT(ISERROR(SEARCH("250*250/500",AB22)))</formula>
    </cfRule>
    <cfRule type="containsText" dxfId="582" priority="335" operator="containsText" text="200*200/500">
      <formula>NOT(ISERROR(SEARCH("200*200/500",AB22)))</formula>
    </cfRule>
    <cfRule type="containsText" dxfId="581" priority="336" operator="containsText" text="200*200*200/560">
      <formula>NOT(ISERROR(SEARCH("200*200*200/560",AB22)))</formula>
    </cfRule>
    <cfRule type="containsText" dxfId="580" priority="337" operator="containsText" text="600/300">
      <formula>NOT(ISERROR(SEARCH("600/300",AB22)))</formula>
    </cfRule>
    <cfRule type="containsText" dxfId="579" priority="338" operator="containsText" text="500/250">
      <formula>NOT(ISERROR(SEARCH("500/250",AB22)))</formula>
    </cfRule>
    <cfRule type="containsText" dxfId="578" priority="339" operator="containsText" text="500/200">
      <formula>NOT(ISERROR(SEARCH("500/200",AB22)))</formula>
    </cfRule>
  </conditionalFormatting>
  <conditionalFormatting sqref="AC22">
    <cfRule type="containsText" dxfId="577" priority="327" operator="containsText" text="13Ø25">
      <formula>NOT(ISERROR(SEARCH("13Ø25",AC22)))</formula>
    </cfRule>
    <cfRule type="containsText" dxfId="576" priority="328" operator="containsText" text="12Ø25">
      <formula>NOT(ISERROR(SEARCH("12Ø25",AC22)))</formula>
    </cfRule>
    <cfRule type="containsText" dxfId="575" priority="329" operator="containsText" text="10Ø20">
      <formula>NOT(ISERROR(SEARCH("10Ø20",AC22)))</formula>
    </cfRule>
    <cfRule type="containsText" dxfId="574" priority="330" operator="containsText" text="8Ø18">
      <formula>NOT(ISERROR(SEARCH("8Ø18",AC22)))</formula>
    </cfRule>
  </conditionalFormatting>
  <conditionalFormatting sqref="Y4:Y13 Y17:Y20 Y23 Y15">
    <cfRule type="cellIs" dxfId="573" priority="397" operator="equal">
      <formula>0.75</formula>
    </cfRule>
    <cfRule type="cellIs" dxfId="572" priority="398" operator="equal">
      <formula>1.2</formula>
    </cfRule>
    <cfRule type="cellIs" dxfId="571" priority="399" operator="equal">
      <formula>1</formula>
    </cfRule>
  </conditionalFormatting>
  <conditionalFormatting sqref="Z4:Z13 Z17:Z20 Z23 Z15">
    <cfRule type="cellIs" dxfId="570" priority="393" operator="equal">
      <formula>40</formula>
    </cfRule>
    <cfRule type="cellIs" dxfId="569" priority="394" operator="equal">
      <formula>32</formula>
    </cfRule>
    <cfRule type="cellIs" dxfId="568" priority="395" operator="equal">
      <formula>25</formula>
    </cfRule>
    <cfRule type="cellIs" dxfId="567" priority="396" operator="equal">
      <formula>16</formula>
    </cfRule>
  </conditionalFormatting>
  <conditionalFormatting sqref="AB4:AB13 AB17:AB20 AB23 AB15">
    <cfRule type="containsText" dxfId="566" priority="384" operator="containsText" text="200*200*200/300*300">
      <formula>NOT(ISERROR(SEARCH("200*200*200/300*300",AB4)))</formula>
    </cfRule>
    <cfRule type="containsText" dxfId="565" priority="385" operator="containsText" text="200/300">
      <formula>NOT(ISERROR(SEARCH("200/300",AB4)))</formula>
    </cfRule>
    <cfRule type="containsText" dxfId="564" priority="386" operator="containsText" text="200*200*200/520">
      <formula>NOT(ISERROR(SEARCH("200*200*200/520",AB4)))</formula>
    </cfRule>
    <cfRule type="containsText" dxfId="563" priority="387" operator="containsText" text="250*250/500">
      <formula>NOT(ISERROR(SEARCH("250*250/500",AB4)))</formula>
    </cfRule>
    <cfRule type="containsText" dxfId="562" priority="388" operator="containsText" text="200*200/500">
      <formula>NOT(ISERROR(SEARCH("200*200/500",AB4)))</formula>
    </cfRule>
    <cfRule type="containsText" dxfId="561" priority="389" operator="containsText" text="200*200*200/560">
      <formula>NOT(ISERROR(SEARCH("200*200*200/560",AB4)))</formula>
    </cfRule>
    <cfRule type="containsText" dxfId="560" priority="390" operator="containsText" text="600/300">
      <formula>NOT(ISERROR(SEARCH("600/300",AB4)))</formula>
    </cfRule>
    <cfRule type="containsText" dxfId="559" priority="391" operator="containsText" text="500/250">
      <formula>NOT(ISERROR(SEARCH("500/250",AB4)))</formula>
    </cfRule>
    <cfRule type="containsText" dxfId="558" priority="392" operator="containsText" text="500/200">
      <formula>NOT(ISERROR(SEARCH("500/200",AB4)))</formula>
    </cfRule>
  </conditionalFormatting>
  <conditionalFormatting sqref="AC4:AC13 AC17:AC20 AC23 AC15">
    <cfRule type="containsText" dxfId="557" priority="380" operator="containsText" text="13Ø25">
      <formula>NOT(ISERROR(SEARCH("13Ø25",AC4)))</formula>
    </cfRule>
    <cfRule type="containsText" dxfId="556" priority="381" operator="containsText" text="12Ø25">
      <formula>NOT(ISERROR(SEARCH("12Ø25",AC4)))</formula>
    </cfRule>
    <cfRule type="containsText" dxfId="555" priority="382" operator="containsText" text="10Ø20">
      <formula>NOT(ISERROR(SEARCH("10Ø20",AC4)))</formula>
    </cfRule>
    <cfRule type="containsText" dxfId="554" priority="383" operator="containsText" text="8Ø18">
      <formula>NOT(ISERROR(SEARCH("8Ø18",AC4)))</formula>
    </cfRule>
  </conditionalFormatting>
  <conditionalFormatting sqref="AD4:AD13 AD17:AD20 AD23 AD15">
    <cfRule type="containsText" dxfId="553" priority="377" operator="containsText" text="Ø8@200">
      <formula>NOT(ISERROR(SEARCH("Ø8@200",AD4)))</formula>
    </cfRule>
    <cfRule type="containsText" dxfId="552" priority="378" operator="containsText" text="Ø12@200">
      <formula>NOT(ISERROR(SEARCH("Ø12@200",AD4)))</formula>
    </cfRule>
    <cfRule type="containsText" dxfId="551" priority="379" operator="containsText" text="Ø8@250">
      <formula>NOT(ISERROR(SEARCH("Ø8@250",AD4)))</formula>
    </cfRule>
  </conditionalFormatting>
  <conditionalFormatting sqref="Y29:Y37 Y23:Y24">
    <cfRule type="cellIs" dxfId="550" priority="321" operator="equal">
      <formula>0.75</formula>
    </cfRule>
    <cfRule type="cellIs" dxfId="549" priority="322" operator="equal">
      <formula>1.2</formula>
    </cfRule>
    <cfRule type="cellIs" dxfId="548" priority="323" operator="equal">
      <formula>1</formula>
    </cfRule>
  </conditionalFormatting>
  <conditionalFormatting sqref="Z29:Z37 Z23:Z24">
    <cfRule type="cellIs" dxfId="547" priority="317" operator="equal">
      <formula>40</formula>
    </cfRule>
    <cfRule type="cellIs" dxfId="546" priority="318" operator="equal">
      <formula>32</formula>
    </cfRule>
    <cfRule type="cellIs" dxfId="545" priority="319" operator="equal">
      <formula>25</formula>
    </cfRule>
    <cfRule type="cellIs" dxfId="544" priority="320" operator="equal">
      <formula>16</formula>
    </cfRule>
  </conditionalFormatting>
  <conditionalFormatting sqref="AB29:AB37 AB23:AB24">
    <cfRule type="containsText" dxfId="543" priority="308" operator="containsText" text="200*200*200/300*300">
      <formula>NOT(ISERROR(SEARCH("200*200*200/300*300",AB23)))</formula>
    </cfRule>
    <cfRule type="containsText" dxfId="542" priority="309" operator="containsText" text="200/300">
      <formula>NOT(ISERROR(SEARCH("200/300",AB23)))</formula>
    </cfRule>
    <cfRule type="containsText" dxfId="541" priority="310" operator="containsText" text="200*200*200/520">
      <formula>NOT(ISERROR(SEARCH("200*200*200/520",AB23)))</formula>
    </cfRule>
    <cfRule type="containsText" dxfId="540" priority="311" operator="containsText" text="250*250/500">
      <formula>NOT(ISERROR(SEARCH("250*250/500",AB23)))</formula>
    </cfRule>
    <cfRule type="containsText" dxfId="539" priority="312" operator="containsText" text="200*200/500">
      <formula>NOT(ISERROR(SEARCH("200*200/500",AB23)))</formula>
    </cfRule>
    <cfRule type="containsText" dxfId="538" priority="313" operator="containsText" text="200*200*200/560">
      <formula>NOT(ISERROR(SEARCH("200*200*200/560",AB23)))</formula>
    </cfRule>
    <cfRule type="containsText" dxfId="537" priority="314" operator="containsText" text="600/300">
      <formula>NOT(ISERROR(SEARCH("600/300",AB23)))</formula>
    </cfRule>
    <cfRule type="containsText" dxfId="536" priority="315" operator="containsText" text="500/250">
      <formula>NOT(ISERROR(SEARCH("500/250",AB23)))</formula>
    </cfRule>
    <cfRule type="containsText" dxfId="535" priority="316" operator="containsText" text="500/200">
      <formula>NOT(ISERROR(SEARCH("500/200",AB23)))</formula>
    </cfRule>
  </conditionalFormatting>
  <conditionalFormatting sqref="AC29:AC32 AC34:AC37 AC23:AC24">
    <cfRule type="containsText" dxfId="534" priority="304" operator="containsText" text="13Ø25">
      <formula>NOT(ISERROR(SEARCH("13Ø25",AC23)))</formula>
    </cfRule>
    <cfRule type="containsText" dxfId="533" priority="305" operator="containsText" text="12Ø25">
      <formula>NOT(ISERROR(SEARCH("12Ø25",AC23)))</formula>
    </cfRule>
    <cfRule type="containsText" dxfId="532" priority="306" operator="containsText" text="10Ø20">
      <formula>NOT(ISERROR(SEARCH("10Ø20",AC23)))</formula>
    </cfRule>
    <cfRule type="containsText" dxfId="531" priority="307" operator="containsText" text="8Ø18">
      <formula>NOT(ISERROR(SEARCH("8Ø18",AC23)))</formula>
    </cfRule>
  </conditionalFormatting>
  <conditionalFormatting sqref="AD29:AD32 AD34:AD37 AD23:AD24">
    <cfRule type="containsText" dxfId="530" priority="301" operator="containsText" text="Ø8@200">
      <formula>NOT(ISERROR(SEARCH("Ø8@200",AD23)))</formula>
    </cfRule>
    <cfRule type="containsText" dxfId="529" priority="302" operator="containsText" text="Ø12@200">
      <formula>NOT(ISERROR(SEARCH("Ø12@200",AD23)))</formula>
    </cfRule>
    <cfRule type="containsText" dxfId="528" priority="303" operator="containsText" text="Ø8@250">
      <formula>NOT(ISERROR(SEARCH("Ø8@250",AD23)))</formula>
    </cfRule>
  </conditionalFormatting>
  <conditionalFormatting sqref="Z28">
    <cfRule type="cellIs" dxfId="527" priority="278" operator="equal">
      <formula>40</formula>
    </cfRule>
    <cfRule type="cellIs" dxfId="526" priority="279" operator="equal">
      <formula>32</formula>
    </cfRule>
    <cfRule type="cellIs" dxfId="525" priority="280" operator="equal">
      <formula>25</formula>
    </cfRule>
    <cfRule type="cellIs" dxfId="524" priority="281" operator="equal">
      <formula>16</formula>
    </cfRule>
  </conditionalFormatting>
  <conditionalFormatting sqref="AB28">
    <cfRule type="containsText" dxfId="523" priority="269" operator="containsText" text="200*200*200/300*300">
      <formula>NOT(ISERROR(SEARCH("200*200*200/300*300",AB28)))</formula>
    </cfRule>
    <cfRule type="containsText" dxfId="522" priority="270" operator="containsText" text="200/300">
      <formula>NOT(ISERROR(SEARCH("200/300",AB28)))</formula>
    </cfRule>
    <cfRule type="containsText" dxfId="521" priority="271" operator="containsText" text="200*200*200/520">
      <formula>NOT(ISERROR(SEARCH("200*200*200/520",AB28)))</formula>
    </cfRule>
    <cfRule type="containsText" dxfId="520" priority="272" operator="containsText" text="250*250/500">
      <formula>NOT(ISERROR(SEARCH("250*250/500",AB28)))</formula>
    </cfRule>
    <cfRule type="containsText" dxfId="519" priority="273" operator="containsText" text="200*200/500">
      <formula>NOT(ISERROR(SEARCH("200*200/500",AB28)))</formula>
    </cfRule>
    <cfRule type="containsText" dxfId="518" priority="274" operator="containsText" text="200*200*200/560">
      <formula>NOT(ISERROR(SEARCH("200*200*200/560",AB28)))</formula>
    </cfRule>
    <cfRule type="containsText" dxfId="517" priority="275" operator="containsText" text="600/300">
      <formula>NOT(ISERROR(SEARCH("600/300",AB28)))</formula>
    </cfRule>
    <cfRule type="containsText" dxfId="516" priority="276" operator="containsText" text="500/250">
      <formula>NOT(ISERROR(SEARCH("500/250",AB28)))</formula>
    </cfRule>
    <cfRule type="containsText" dxfId="515" priority="277" operator="containsText" text="500/200">
      <formula>NOT(ISERROR(SEARCH("500/200",AB28)))</formula>
    </cfRule>
  </conditionalFormatting>
  <conditionalFormatting sqref="AC33">
    <cfRule type="containsText" dxfId="514" priority="265" operator="containsText" text="13Ø25">
      <formula>NOT(ISERROR(SEARCH("13Ø25",AC33)))</formula>
    </cfRule>
    <cfRule type="containsText" dxfId="513" priority="266" operator="containsText" text="12Ø25">
      <formula>NOT(ISERROR(SEARCH("12Ø25",AC33)))</formula>
    </cfRule>
    <cfRule type="containsText" dxfId="512" priority="267" operator="containsText" text="10Ø20">
      <formula>NOT(ISERROR(SEARCH("10Ø20",AC33)))</formula>
    </cfRule>
    <cfRule type="containsText" dxfId="511" priority="268" operator="containsText" text="8Ø18">
      <formula>NOT(ISERROR(SEARCH("8Ø18",AC33)))</formula>
    </cfRule>
  </conditionalFormatting>
  <conditionalFormatting sqref="AD33">
    <cfRule type="containsText" dxfId="510" priority="262" operator="containsText" text="Ø8@200">
      <formula>NOT(ISERROR(SEARCH("Ø8@200",AD33)))</formula>
    </cfRule>
    <cfRule type="containsText" dxfId="509" priority="263" operator="containsText" text="Ø12@200">
      <formula>NOT(ISERROR(SEARCH("Ø12@200",AD33)))</formula>
    </cfRule>
    <cfRule type="containsText" dxfId="508" priority="264" operator="containsText" text="Ø8@250">
      <formula>NOT(ISERROR(SEARCH("Ø8@250",AD33)))</formula>
    </cfRule>
  </conditionalFormatting>
  <conditionalFormatting sqref="Z27">
    <cfRule type="cellIs" dxfId="507" priority="255" operator="equal">
      <formula>40</formula>
    </cfRule>
    <cfRule type="cellIs" dxfId="506" priority="256" operator="equal">
      <formula>32</formula>
    </cfRule>
    <cfRule type="cellIs" dxfId="505" priority="257" operator="equal">
      <formula>25</formula>
    </cfRule>
    <cfRule type="cellIs" dxfId="504" priority="258" operator="equal">
      <formula>16</formula>
    </cfRule>
  </conditionalFormatting>
  <conditionalFormatting sqref="AB27">
    <cfRule type="containsText" dxfId="503" priority="246" operator="containsText" text="200*200*200/300*300">
      <formula>NOT(ISERROR(SEARCH("200*200*200/300*300",AB27)))</formula>
    </cfRule>
    <cfRule type="containsText" dxfId="502" priority="247" operator="containsText" text="200/300">
      <formula>NOT(ISERROR(SEARCH("200/300",AB27)))</formula>
    </cfRule>
    <cfRule type="containsText" dxfId="501" priority="248" operator="containsText" text="200*200*200/520">
      <formula>NOT(ISERROR(SEARCH("200*200*200/520",AB27)))</formula>
    </cfRule>
    <cfRule type="containsText" dxfId="500" priority="249" operator="containsText" text="250*250/500">
      <formula>NOT(ISERROR(SEARCH("250*250/500",AB27)))</formula>
    </cfRule>
    <cfRule type="containsText" dxfId="499" priority="250" operator="containsText" text="200*200/500">
      <formula>NOT(ISERROR(SEARCH("200*200/500",AB27)))</formula>
    </cfRule>
    <cfRule type="containsText" dxfId="498" priority="251" operator="containsText" text="200*200*200/560">
      <formula>NOT(ISERROR(SEARCH("200*200*200/560",AB27)))</formula>
    </cfRule>
    <cfRule type="containsText" dxfId="497" priority="252" operator="containsText" text="600/300">
      <formula>NOT(ISERROR(SEARCH("600/300",AB27)))</formula>
    </cfRule>
    <cfRule type="containsText" dxfId="496" priority="253" operator="containsText" text="500/250">
      <formula>NOT(ISERROR(SEARCH("500/250",AB27)))</formula>
    </cfRule>
    <cfRule type="containsText" dxfId="495" priority="254" operator="containsText" text="500/200">
      <formula>NOT(ISERROR(SEARCH("500/200",AB27)))</formula>
    </cfRule>
  </conditionalFormatting>
  <conditionalFormatting sqref="Y22">
    <cfRule type="cellIs" dxfId="494" priority="243" operator="equal">
      <formula>0.75</formula>
    </cfRule>
    <cfRule type="cellIs" dxfId="493" priority="244" operator="equal">
      <formula>1.2</formula>
    </cfRule>
    <cfRule type="cellIs" dxfId="492" priority="245" operator="equal">
      <formula>1</formula>
    </cfRule>
  </conditionalFormatting>
  <conditionalFormatting sqref="Z22">
    <cfRule type="cellIs" dxfId="491" priority="239" operator="equal">
      <formula>40</formula>
    </cfRule>
    <cfRule type="cellIs" dxfId="490" priority="240" operator="equal">
      <formula>32</formula>
    </cfRule>
    <cfRule type="cellIs" dxfId="489" priority="241" operator="equal">
      <formula>25</formula>
    </cfRule>
    <cfRule type="cellIs" dxfId="488" priority="242" operator="equal">
      <formula>16</formula>
    </cfRule>
  </conditionalFormatting>
  <conditionalFormatting sqref="AB22">
    <cfRule type="containsText" dxfId="487" priority="230" operator="containsText" text="200*200*200/300*300">
      <formula>NOT(ISERROR(SEARCH("200*200*200/300*300",AB22)))</formula>
    </cfRule>
    <cfRule type="containsText" dxfId="486" priority="231" operator="containsText" text="200/300">
      <formula>NOT(ISERROR(SEARCH("200/300",AB22)))</formula>
    </cfRule>
    <cfRule type="containsText" dxfId="485" priority="232" operator="containsText" text="200*200*200/520">
      <formula>NOT(ISERROR(SEARCH("200*200*200/520",AB22)))</formula>
    </cfRule>
    <cfRule type="containsText" dxfId="484" priority="233" operator="containsText" text="250*250/500">
      <formula>NOT(ISERROR(SEARCH("250*250/500",AB22)))</formula>
    </cfRule>
    <cfRule type="containsText" dxfId="483" priority="234" operator="containsText" text="200*200/500">
      <formula>NOT(ISERROR(SEARCH("200*200/500",AB22)))</formula>
    </cfRule>
    <cfRule type="containsText" dxfId="482" priority="235" operator="containsText" text="200*200*200/560">
      <formula>NOT(ISERROR(SEARCH("200*200*200/560",AB22)))</formula>
    </cfRule>
    <cfRule type="containsText" dxfId="481" priority="236" operator="containsText" text="600/300">
      <formula>NOT(ISERROR(SEARCH("600/300",AB22)))</formula>
    </cfRule>
    <cfRule type="containsText" dxfId="480" priority="237" operator="containsText" text="500/250">
      <formula>NOT(ISERROR(SEARCH("500/250",AB22)))</formula>
    </cfRule>
    <cfRule type="containsText" dxfId="479" priority="238" operator="containsText" text="500/200">
      <formula>NOT(ISERROR(SEARCH("500/200",AB22)))</formula>
    </cfRule>
  </conditionalFormatting>
  <conditionalFormatting sqref="AC22">
    <cfRule type="containsText" dxfId="478" priority="226" operator="containsText" text="13Ø25">
      <formula>NOT(ISERROR(SEARCH("13Ø25",AC22)))</formula>
    </cfRule>
    <cfRule type="containsText" dxfId="477" priority="227" operator="containsText" text="12Ø25">
      <formula>NOT(ISERROR(SEARCH("12Ø25",AC22)))</formula>
    </cfRule>
    <cfRule type="containsText" dxfId="476" priority="228" operator="containsText" text="10Ø20">
      <formula>NOT(ISERROR(SEARCH("10Ø20",AC22)))</formula>
    </cfRule>
    <cfRule type="containsText" dxfId="475" priority="229" operator="containsText" text="8Ø18">
      <formula>NOT(ISERROR(SEARCH("8Ø18",AC22)))</formula>
    </cfRule>
  </conditionalFormatting>
  <conditionalFormatting sqref="AD22">
    <cfRule type="containsText" dxfId="474" priority="223" operator="containsText" text="Ø8@200">
      <formula>NOT(ISERROR(SEARCH("Ø8@200",AD22)))</formula>
    </cfRule>
    <cfRule type="containsText" dxfId="473" priority="224" operator="containsText" text="Ø12@200">
      <formula>NOT(ISERROR(SEARCH("Ø12@200",AD22)))</formula>
    </cfRule>
    <cfRule type="containsText" dxfId="472" priority="225" operator="containsText" text="Ø8@250">
      <formula>NOT(ISERROR(SEARCH("Ø8@250",AD22)))</formula>
    </cfRule>
  </conditionalFormatting>
  <conditionalFormatting sqref="M25:R25">
    <cfRule type="containsText" dxfId="471" priority="176" operator="containsText" text="N.D.">
      <formula>NOT(ISERROR(SEARCH("N.D.",M25)))</formula>
    </cfRule>
  </conditionalFormatting>
  <conditionalFormatting sqref="Y16">
    <cfRule type="cellIs" dxfId="470" priority="173" operator="equal">
      <formula>0.75</formula>
    </cfRule>
    <cfRule type="cellIs" dxfId="469" priority="174" operator="equal">
      <formula>1.2</formula>
    </cfRule>
    <cfRule type="cellIs" dxfId="468" priority="175" operator="equal">
      <formula>1</formula>
    </cfRule>
  </conditionalFormatting>
  <conditionalFormatting sqref="Z16">
    <cfRule type="cellIs" dxfId="467" priority="169" operator="equal">
      <formula>40</formula>
    </cfRule>
    <cfRule type="cellIs" dxfId="466" priority="170" operator="equal">
      <formula>32</formula>
    </cfRule>
    <cfRule type="cellIs" dxfId="465" priority="171" operator="equal">
      <formula>25</formula>
    </cfRule>
    <cfRule type="cellIs" dxfId="464" priority="172" operator="equal">
      <formula>16</formula>
    </cfRule>
  </conditionalFormatting>
  <conditionalFormatting sqref="AB16">
    <cfRule type="containsText" dxfId="463" priority="160" operator="containsText" text="200*200*200/300*300">
      <formula>NOT(ISERROR(SEARCH("200*200*200/300*300",AB16)))</formula>
    </cfRule>
    <cfRule type="containsText" dxfId="462" priority="161" operator="containsText" text="200/300">
      <formula>NOT(ISERROR(SEARCH("200/300",AB16)))</formula>
    </cfRule>
    <cfRule type="containsText" dxfId="461" priority="162" operator="containsText" text="200*200*200/520">
      <formula>NOT(ISERROR(SEARCH("200*200*200/520",AB16)))</formula>
    </cfRule>
    <cfRule type="containsText" dxfId="460" priority="163" operator="containsText" text="250*250/500">
      <formula>NOT(ISERROR(SEARCH("250*250/500",AB16)))</formula>
    </cfRule>
    <cfRule type="containsText" dxfId="459" priority="164" operator="containsText" text="200*200/500">
      <formula>NOT(ISERROR(SEARCH("200*200/500",AB16)))</formula>
    </cfRule>
    <cfRule type="containsText" dxfId="458" priority="165" operator="containsText" text="200*200*200/560">
      <formula>NOT(ISERROR(SEARCH("200*200*200/560",AB16)))</formula>
    </cfRule>
    <cfRule type="containsText" dxfId="457" priority="166" operator="containsText" text="600/300">
      <formula>NOT(ISERROR(SEARCH("600/300",AB16)))</formula>
    </cfRule>
    <cfRule type="containsText" dxfId="456" priority="167" operator="containsText" text="500/250">
      <formula>NOT(ISERROR(SEARCH("500/250",AB16)))</formula>
    </cfRule>
    <cfRule type="containsText" dxfId="455" priority="168" operator="containsText" text="500/200">
      <formula>NOT(ISERROR(SEARCH("500/200",AB16)))</formula>
    </cfRule>
  </conditionalFormatting>
  <conditionalFormatting sqref="AC16">
    <cfRule type="containsText" dxfId="454" priority="156" operator="containsText" text="13Ø25">
      <formula>NOT(ISERROR(SEARCH("13Ø25",AC16)))</formula>
    </cfRule>
    <cfRule type="containsText" dxfId="453" priority="157" operator="containsText" text="12Ø25">
      <formula>NOT(ISERROR(SEARCH("12Ø25",AC16)))</formula>
    </cfRule>
    <cfRule type="containsText" dxfId="452" priority="158" operator="containsText" text="10Ø20">
      <formula>NOT(ISERROR(SEARCH("10Ø20",AC16)))</formula>
    </cfRule>
    <cfRule type="containsText" dxfId="451" priority="159" operator="containsText" text="8Ø18">
      <formula>NOT(ISERROR(SEARCH("8Ø18",AC16)))</formula>
    </cfRule>
  </conditionalFormatting>
  <conditionalFormatting sqref="AD16">
    <cfRule type="containsText" dxfId="450" priority="153" operator="containsText" text="Ø8@200">
      <formula>NOT(ISERROR(SEARCH("Ø8@200",AD16)))</formula>
    </cfRule>
    <cfRule type="containsText" dxfId="449" priority="154" operator="containsText" text="Ø12@200">
      <formula>NOT(ISERROR(SEARCH("Ø12@200",AD16)))</formula>
    </cfRule>
    <cfRule type="containsText" dxfId="448" priority="155" operator="containsText" text="Ø8@250">
      <formula>NOT(ISERROR(SEARCH("Ø8@250",AD16)))</formula>
    </cfRule>
  </conditionalFormatting>
  <conditionalFormatting sqref="Z26">
    <cfRule type="cellIs" dxfId="447" priority="149" operator="equal">
      <formula>40</formula>
    </cfRule>
    <cfRule type="cellIs" dxfId="446" priority="150" operator="equal">
      <formula>32</formula>
    </cfRule>
    <cfRule type="cellIs" dxfId="445" priority="151" operator="equal">
      <formula>25</formula>
    </cfRule>
    <cfRule type="cellIs" dxfId="444" priority="152" operator="equal">
      <formula>16</formula>
    </cfRule>
  </conditionalFormatting>
  <conditionalFormatting sqref="AB26">
    <cfRule type="containsText" dxfId="443" priority="140" operator="containsText" text="200*200*200/300*300">
      <formula>NOT(ISERROR(SEARCH("200*200*200/300*300",AB26)))</formula>
    </cfRule>
    <cfRule type="containsText" dxfId="442" priority="141" operator="containsText" text="200/300">
      <formula>NOT(ISERROR(SEARCH("200/300",AB26)))</formula>
    </cfRule>
    <cfRule type="containsText" dxfId="441" priority="142" operator="containsText" text="200*200*200/520">
      <formula>NOT(ISERROR(SEARCH("200*200*200/520",AB26)))</formula>
    </cfRule>
    <cfRule type="containsText" dxfId="440" priority="143" operator="containsText" text="250*250/500">
      <formula>NOT(ISERROR(SEARCH("250*250/500",AB26)))</formula>
    </cfRule>
    <cfRule type="containsText" dxfId="439" priority="144" operator="containsText" text="200*200/500">
      <formula>NOT(ISERROR(SEARCH("200*200/500",AB26)))</formula>
    </cfRule>
    <cfRule type="containsText" dxfId="438" priority="145" operator="containsText" text="200*200*200/560">
      <formula>NOT(ISERROR(SEARCH("200*200*200/560",AB26)))</formula>
    </cfRule>
    <cfRule type="containsText" dxfId="437" priority="146" operator="containsText" text="600/300">
      <formula>NOT(ISERROR(SEARCH("600/300",AB26)))</formula>
    </cfRule>
    <cfRule type="containsText" dxfId="436" priority="147" operator="containsText" text="500/250">
      <formula>NOT(ISERROR(SEARCH("500/250",AB26)))</formula>
    </cfRule>
    <cfRule type="containsText" dxfId="435" priority="148" operator="containsText" text="500/200">
      <formula>NOT(ISERROR(SEARCH("500/200",AB26)))</formula>
    </cfRule>
  </conditionalFormatting>
  <conditionalFormatting sqref="Z25">
    <cfRule type="cellIs" dxfId="434" priority="136" operator="equal">
      <formula>40</formula>
    </cfRule>
    <cfRule type="cellIs" dxfId="433" priority="137" operator="equal">
      <formula>32</formula>
    </cfRule>
    <cfRule type="cellIs" dxfId="432" priority="138" operator="equal">
      <formula>25</formula>
    </cfRule>
    <cfRule type="cellIs" dxfId="431" priority="139" operator="equal">
      <formula>16</formula>
    </cfRule>
  </conditionalFormatting>
  <conditionalFormatting sqref="AB25">
    <cfRule type="containsText" dxfId="430" priority="127" operator="containsText" text="200*200*200/300*300">
      <formula>NOT(ISERROR(SEARCH("200*200*200/300*300",AB25)))</formula>
    </cfRule>
    <cfRule type="containsText" dxfId="429" priority="128" operator="containsText" text="200/300">
      <formula>NOT(ISERROR(SEARCH("200/300",AB25)))</formula>
    </cfRule>
    <cfRule type="containsText" dxfId="428" priority="129" operator="containsText" text="200*200*200/520">
      <formula>NOT(ISERROR(SEARCH("200*200*200/520",AB25)))</formula>
    </cfRule>
    <cfRule type="containsText" dxfId="427" priority="130" operator="containsText" text="250*250/500">
      <formula>NOT(ISERROR(SEARCH("250*250/500",AB25)))</formula>
    </cfRule>
    <cfRule type="containsText" dxfId="426" priority="131" operator="containsText" text="200*200/500">
      <formula>NOT(ISERROR(SEARCH("200*200/500",AB25)))</formula>
    </cfRule>
    <cfRule type="containsText" dxfId="425" priority="132" operator="containsText" text="200*200*200/560">
      <formula>NOT(ISERROR(SEARCH("200*200*200/560",AB25)))</formula>
    </cfRule>
    <cfRule type="containsText" dxfId="424" priority="133" operator="containsText" text="600/300">
      <formula>NOT(ISERROR(SEARCH("600/300",AB25)))</formula>
    </cfRule>
    <cfRule type="containsText" dxfId="423" priority="134" operator="containsText" text="500/250">
      <formula>NOT(ISERROR(SEARCH("500/250",AB25)))</formula>
    </cfRule>
    <cfRule type="containsText" dxfId="422" priority="135" operator="containsText" text="500/200">
      <formula>NOT(ISERROR(SEARCH("500/200",AB25)))</formula>
    </cfRule>
  </conditionalFormatting>
  <conditionalFormatting sqref="AD25">
    <cfRule type="containsText" dxfId="421" priority="124" operator="containsText" text="Ø8@200">
      <formula>NOT(ISERROR(SEARCH("Ø8@200",AD25)))</formula>
    </cfRule>
    <cfRule type="containsText" dxfId="420" priority="125" operator="containsText" text="Ø12@200">
      <formula>NOT(ISERROR(SEARCH("Ø12@200",AD25)))</formula>
    </cfRule>
    <cfRule type="containsText" dxfId="419" priority="126" operator="containsText" text="Ø8@250">
      <formula>NOT(ISERROR(SEARCH("Ø8@250",AD25)))</formula>
    </cfRule>
  </conditionalFormatting>
  <conditionalFormatting sqref="AC25">
    <cfRule type="containsText" dxfId="418" priority="120" operator="containsText" text="13Ø25">
      <formula>NOT(ISERROR(SEARCH("13Ø25",AC25)))</formula>
    </cfRule>
    <cfRule type="containsText" dxfId="417" priority="121" operator="containsText" text="12Ø25">
      <formula>NOT(ISERROR(SEARCH("12Ø25",AC25)))</formula>
    </cfRule>
    <cfRule type="containsText" dxfId="416" priority="122" operator="containsText" text="10Ø20">
      <formula>NOT(ISERROR(SEARCH("10Ø20",AC25)))</formula>
    </cfRule>
    <cfRule type="containsText" dxfId="415" priority="123" operator="containsText" text="8Ø18">
      <formula>NOT(ISERROR(SEARCH("8Ø18",AC25)))</formula>
    </cfRule>
  </conditionalFormatting>
  <conditionalFormatting sqref="AD26">
    <cfRule type="containsText" dxfId="414" priority="117" operator="containsText" text="Ø8@200">
      <formula>NOT(ISERROR(SEARCH("Ø8@200",AD26)))</formula>
    </cfRule>
    <cfRule type="containsText" dxfId="413" priority="118" operator="containsText" text="Ø12@200">
      <formula>NOT(ISERROR(SEARCH("Ø12@200",AD26)))</formula>
    </cfRule>
    <cfRule type="containsText" dxfId="412" priority="119" operator="containsText" text="Ø8@250">
      <formula>NOT(ISERROR(SEARCH("Ø8@250",AD26)))</formula>
    </cfRule>
  </conditionalFormatting>
  <conditionalFormatting sqref="AC26">
    <cfRule type="containsText" dxfId="411" priority="113" operator="containsText" text="13Ø25">
      <formula>NOT(ISERROR(SEARCH("13Ø25",AC26)))</formula>
    </cfRule>
    <cfRule type="containsText" dxfId="410" priority="114" operator="containsText" text="12Ø25">
      <formula>NOT(ISERROR(SEARCH("12Ø25",AC26)))</formula>
    </cfRule>
    <cfRule type="containsText" dxfId="409" priority="115" operator="containsText" text="10Ø20">
      <formula>NOT(ISERROR(SEARCH("10Ø20",AC26)))</formula>
    </cfRule>
    <cfRule type="containsText" dxfId="408" priority="116" operator="containsText" text="8Ø18">
      <formula>NOT(ISERROR(SEARCH("8Ø18",AC26)))</formula>
    </cfRule>
  </conditionalFormatting>
  <conditionalFormatting sqref="Y25">
    <cfRule type="cellIs" dxfId="407" priority="110" operator="equal">
      <formula>0.75</formula>
    </cfRule>
    <cfRule type="cellIs" dxfId="406" priority="111" operator="equal">
      <formula>1.2</formula>
    </cfRule>
    <cfRule type="cellIs" dxfId="405" priority="112" operator="equal">
      <formula>1</formula>
    </cfRule>
  </conditionalFormatting>
  <conditionalFormatting sqref="Y26">
    <cfRule type="cellIs" dxfId="404" priority="107" operator="equal">
      <formula>0.75</formula>
    </cfRule>
    <cfRule type="cellIs" dxfId="403" priority="108" operator="equal">
      <formula>1.2</formula>
    </cfRule>
    <cfRule type="cellIs" dxfId="402" priority="109" operator="equal">
      <formula>1</formula>
    </cfRule>
  </conditionalFormatting>
  <conditionalFormatting sqref="Y27:Y28">
    <cfRule type="cellIs" dxfId="401" priority="104" operator="equal">
      <formula>0.75</formula>
    </cfRule>
    <cfRule type="cellIs" dxfId="400" priority="105" operator="equal">
      <formula>1.2</formula>
    </cfRule>
    <cfRule type="cellIs" dxfId="399" priority="106" operator="equal">
      <formula>1</formula>
    </cfRule>
  </conditionalFormatting>
  <conditionalFormatting sqref="M41:R41">
    <cfRule type="containsText" dxfId="398" priority="102" operator="containsText" text="N.D.">
      <formula>NOT(ISERROR(SEARCH("N.D.",M41)))</formula>
    </cfRule>
  </conditionalFormatting>
  <conditionalFormatting sqref="N42">
    <cfRule type="containsText" dxfId="397" priority="101" operator="containsText" text="N.D.">
      <formula>NOT(ISERROR(SEARCH("N.D.",N42)))</formula>
    </cfRule>
  </conditionalFormatting>
  <conditionalFormatting sqref="N73">
    <cfRule type="containsText" dxfId="396" priority="100" operator="containsText" text="N.D.">
      <formula>NOT(ISERROR(SEARCH("N.D.",N73)))</formula>
    </cfRule>
  </conditionalFormatting>
  <conditionalFormatting sqref="M44 O44:R44">
    <cfRule type="containsText" dxfId="395" priority="99" operator="containsText" text="N.D.">
      <formula>NOT(ISERROR(SEARCH("N.D.",M44)))</formula>
    </cfRule>
  </conditionalFormatting>
  <conditionalFormatting sqref="N44">
    <cfRule type="containsText" dxfId="394" priority="98" operator="containsText" text="N.D.">
      <formula>NOT(ISERROR(SEARCH("N.D.",N44)))</formula>
    </cfRule>
  </conditionalFormatting>
  <conditionalFormatting sqref="AD27">
    <cfRule type="containsText" dxfId="393" priority="95" operator="containsText" text="Ø8@200">
      <formula>NOT(ISERROR(SEARCH("Ø8@200",AD27)))</formula>
    </cfRule>
    <cfRule type="containsText" dxfId="392" priority="96" operator="containsText" text="Ø12@200">
      <formula>NOT(ISERROR(SEARCH("Ø12@200",AD27)))</formula>
    </cfRule>
    <cfRule type="containsText" dxfId="391" priority="97" operator="containsText" text="Ø8@250">
      <formula>NOT(ISERROR(SEARCH("Ø8@250",AD27)))</formula>
    </cfRule>
  </conditionalFormatting>
  <conditionalFormatting sqref="AC27">
    <cfRule type="containsText" dxfId="390" priority="91" operator="containsText" text="13Ø25">
      <formula>NOT(ISERROR(SEARCH("13Ø25",AC27)))</formula>
    </cfRule>
    <cfRule type="containsText" dxfId="389" priority="92" operator="containsText" text="12Ø25">
      <formula>NOT(ISERROR(SEARCH("12Ø25",AC27)))</formula>
    </cfRule>
    <cfRule type="containsText" dxfId="388" priority="93" operator="containsText" text="10Ø20">
      <formula>NOT(ISERROR(SEARCH("10Ø20",AC27)))</formula>
    </cfRule>
    <cfRule type="containsText" dxfId="387" priority="94" operator="containsText" text="8Ø18">
      <formula>NOT(ISERROR(SEARCH("8Ø18",AC27)))</formula>
    </cfRule>
  </conditionalFormatting>
  <conditionalFormatting sqref="AD28">
    <cfRule type="containsText" dxfId="386" priority="88" operator="containsText" text="Ø8@200">
      <formula>NOT(ISERROR(SEARCH("Ø8@200",AD28)))</formula>
    </cfRule>
    <cfRule type="containsText" dxfId="385" priority="89" operator="containsText" text="Ø12@200">
      <formula>NOT(ISERROR(SEARCH("Ø12@200",AD28)))</formula>
    </cfRule>
    <cfRule type="containsText" dxfId="384" priority="90" operator="containsText" text="Ø8@250">
      <formula>NOT(ISERROR(SEARCH("Ø8@250",AD28)))</formula>
    </cfRule>
  </conditionalFormatting>
  <conditionalFormatting sqref="AC28">
    <cfRule type="containsText" dxfId="383" priority="84" operator="containsText" text="13Ø25">
      <formula>NOT(ISERROR(SEARCH("13Ø25",AC28)))</formula>
    </cfRule>
    <cfRule type="containsText" dxfId="382" priority="85" operator="containsText" text="12Ø25">
      <formula>NOT(ISERROR(SEARCH("12Ø25",AC28)))</formula>
    </cfRule>
    <cfRule type="containsText" dxfId="381" priority="86" operator="containsText" text="10Ø20">
      <formula>NOT(ISERROR(SEARCH("10Ø20",AC28)))</formula>
    </cfRule>
    <cfRule type="containsText" dxfId="380" priority="87" operator="containsText" text="8Ø18">
      <formula>NOT(ISERROR(SEARCH("8Ø18",AC28)))</formula>
    </cfRule>
  </conditionalFormatting>
  <conditionalFormatting sqref="A25:B56 E25:F56">
    <cfRule type="expression" dxfId="379" priority="2504">
      <formula>$M26="NON DEFINED"</formula>
    </cfRule>
    <cfRule type="expression" dxfId="378" priority="2505">
      <formula>$AZ25="N.D."</formula>
    </cfRule>
    <cfRule type="expression" dxfId="377" priority="2506">
      <formula>$AY25="N.D."</formula>
    </cfRule>
  </conditionalFormatting>
  <conditionalFormatting sqref="A57:B87 E57:F87">
    <cfRule type="expression" dxfId="376" priority="2512">
      <formula>$M59="NON DEFINED"</formula>
    </cfRule>
    <cfRule type="expression" dxfId="375" priority="2513">
      <formula>$AZ57="N.D."</formula>
    </cfRule>
    <cfRule type="expression" dxfId="374" priority="2514">
      <formula>$AY57="N.D."</formula>
    </cfRule>
  </conditionalFormatting>
  <conditionalFormatting sqref="Y21">
    <cfRule type="cellIs" dxfId="373" priority="81" operator="equal">
      <formula>0.75</formula>
    </cfRule>
    <cfRule type="cellIs" dxfId="372" priority="82" operator="equal">
      <formula>1.2</formula>
    </cfRule>
    <cfRule type="cellIs" dxfId="371" priority="83" operator="equal">
      <formula>1</formula>
    </cfRule>
  </conditionalFormatting>
  <conditionalFormatting sqref="Z21">
    <cfRule type="cellIs" dxfId="370" priority="77" operator="equal">
      <formula>40</formula>
    </cfRule>
    <cfRule type="cellIs" dxfId="369" priority="78" operator="equal">
      <formula>32</formula>
    </cfRule>
    <cfRule type="cellIs" dxfId="368" priority="79" operator="equal">
      <formula>25</formula>
    </cfRule>
    <cfRule type="cellIs" dxfId="367" priority="80" operator="equal">
      <formula>16</formula>
    </cfRule>
  </conditionalFormatting>
  <conditionalFormatting sqref="AB21">
    <cfRule type="containsText" dxfId="366" priority="68" operator="containsText" text="200*200*200/300*300">
      <formula>NOT(ISERROR(SEARCH("200*200*200/300*300",AB21)))</formula>
    </cfRule>
    <cfRule type="containsText" dxfId="365" priority="69" operator="containsText" text="200/300">
      <formula>NOT(ISERROR(SEARCH("200/300",AB21)))</formula>
    </cfRule>
    <cfRule type="containsText" dxfId="364" priority="70" operator="containsText" text="200*200*200/520">
      <formula>NOT(ISERROR(SEARCH("200*200*200/520",AB21)))</formula>
    </cfRule>
    <cfRule type="containsText" dxfId="363" priority="71" operator="containsText" text="250*250/500">
      <formula>NOT(ISERROR(SEARCH("250*250/500",AB21)))</formula>
    </cfRule>
    <cfRule type="containsText" dxfId="362" priority="72" operator="containsText" text="200*200/500">
      <formula>NOT(ISERROR(SEARCH("200*200/500",AB21)))</formula>
    </cfRule>
    <cfRule type="containsText" dxfId="361" priority="73" operator="containsText" text="200*200*200/560">
      <formula>NOT(ISERROR(SEARCH("200*200*200/560",AB21)))</formula>
    </cfRule>
    <cfRule type="containsText" dxfId="360" priority="74" operator="containsText" text="600/300">
      <formula>NOT(ISERROR(SEARCH("600/300",AB21)))</formula>
    </cfRule>
    <cfRule type="containsText" dxfId="359" priority="75" operator="containsText" text="500/250">
      <formula>NOT(ISERROR(SEARCH("500/250",AB21)))</formula>
    </cfRule>
    <cfRule type="containsText" dxfId="358" priority="76" operator="containsText" text="500/200">
      <formula>NOT(ISERROR(SEARCH("500/200",AB21)))</formula>
    </cfRule>
  </conditionalFormatting>
  <conditionalFormatting sqref="AC21">
    <cfRule type="containsText" dxfId="357" priority="64" operator="containsText" text="13Ø25">
      <formula>NOT(ISERROR(SEARCH("13Ø25",AC21)))</formula>
    </cfRule>
    <cfRule type="containsText" dxfId="356" priority="65" operator="containsText" text="12Ø25">
      <formula>NOT(ISERROR(SEARCH("12Ø25",AC21)))</formula>
    </cfRule>
    <cfRule type="containsText" dxfId="355" priority="66" operator="containsText" text="10Ø20">
      <formula>NOT(ISERROR(SEARCH("10Ø20",AC21)))</formula>
    </cfRule>
    <cfRule type="containsText" dxfId="354" priority="67" operator="containsText" text="8Ø18">
      <formula>NOT(ISERROR(SEARCH("8Ø18",AC21)))</formula>
    </cfRule>
  </conditionalFormatting>
  <conditionalFormatting sqref="AD21">
    <cfRule type="containsText" dxfId="353" priority="61" operator="containsText" text="Ø8@200">
      <formula>NOT(ISERROR(SEARCH("Ø8@200",AD21)))</formula>
    </cfRule>
    <cfRule type="containsText" dxfId="352" priority="62" operator="containsText" text="Ø12@200">
      <formula>NOT(ISERROR(SEARCH("Ø12@200",AD21)))</formula>
    </cfRule>
    <cfRule type="containsText" dxfId="351" priority="63" operator="containsText" text="Ø8@250">
      <formula>NOT(ISERROR(SEARCH("Ø8@250",AD21)))</formula>
    </cfRule>
  </conditionalFormatting>
  <conditionalFormatting sqref="M118:R118 M117 O117:R117 M149:R149 M148 O148:R148 M79:R99 M120:R147">
    <cfRule type="containsText" dxfId="350" priority="60" operator="containsText" text="N.D.">
      <formula>NOT(ISERROR(SEARCH("N.D.",M79)))</formula>
    </cfRule>
  </conditionalFormatting>
  <conditionalFormatting sqref="M101:R112">
    <cfRule type="containsText" dxfId="349" priority="59" operator="containsText" text="N.D.">
      <formula>NOT(ISERROR(SEARCH("N.D.",M101)))</formula>
    </cfRule>
  </conditionalFormatting>
  <conditionalFormatting sqref="M100:R100">
    <cfRule type="containsText" dxfId="348" priority="58" operator="containsText" text="N.D.">
      <formula>NOT(ISERROR(SEARCH("N.D.",M100)))</formula>
    </cfRule>
  </conditionalFormatting>
  <conditionalFormatting sqref="M116:R116">
    <cfRule type="containsText" dxfId="347" priority="57" operator="containsText" text="N.D.">
      <formula>NOT(ISERROR(SEARCH("N.D.",M116)))</formula>
    </cfRule>
  </conditionalFormatting>
  <conditionalFormatting sqref="N117">
    <cfRule type="containsText" dxfId="346" priority="56" operator="containsText" text="N.D.">
      <formula>NOT(ISERROR(SEARCH("N.D.",N117)))</formula>
    </cfRule>
  </conditionalFormatting>
  <conditionalFormatting sqref="N148">
    <cfRule type="containsText" dxfId="345" priority="55" operator="containsText" text="N.D.">
      <formula>NOT(ISERROR(SEARCH("N.D.",N148)))</formula>
    </cfRule>
  </conditionalFormatting>
  <conditionalFormatting sqref="M119 O119:R119">
    <cfRule type="containsText" dxfId="344" priority="54" operator="containsText" text="N.D.">
      <formula>NOT(ISERROR(SEARCH("N.D.",M119)))</formula>
    </cfRule>
  </conditionalFormatting>
  <conditionalFormatting sqref="N119">
    <cfRule type="containsText" dxfId="343" priority="53" operator="containsText" text="N.D.">
      <formula>NOT(ISERROR(SEARCH("N.D.",N119)))</formula>
    </cfRule>
  </conditionalFormatting>
  <conditionalFormatting sqref="A20:B24">
    <cfRule type="expression" dxfId="342" priority="50">
      <formula>$M20="NON DEFINED"</formula>
    </cfRule>
    <cfRule type="expression" dxfId="341" priority="51">
      <formula>$AZ20="N.D."</formula>
    </cfRule>
    <cfRule type="expression" dxfId="340" priority="52">
      <formula>$AY20="N.D."</formula>
    </cfRule>
  </conditionalFormatting>
  <conditionalFormatting sqref="E20:F24">
    <cfRule type="expression" dxfId="339" priority="47">
      <formula>$M20="NON DEFINED"</formula>
    </cfRule>
    <cfRule type="expression" dxfId="338" priority="48">
      <formula>$AZ20="N.D."</formula>
    </cfRule>
    <cfRule type="expression" dxfId="337" priority="49">
      <formula>$AY20="N.D."</formula>
    </cfRule>
  </conditionalFormatting>
  <conditionalFormatting sqref="AD14">
    <cfRule type="containsText" dxfId="336" priority="24" operator="containsText" text="Ø8@200">
      <formula>NOT(ISERROR(SEARCH("Ø8@200",AD14)))</formula>
    </cfRule>
    <cfRule type="containsText" dxfId="335" priority="25" operator="containsText" text="Ø12@200">
      <formula>NOT(ISERROR(SEARCH("Ø12@200",AD14)))</formula>
    </cfRule>
    <cfRule type="containsText" dxfId="334" priority="26" operator="containsText" text="Ø8@250">
      <formula>NOT(ISERROR(SEARCH("Ø8@250",AD14)))</formula>
    </cfRule>
  </conditionalFormatting>
  <conditionalFormatting sqref="Y14">
    <cfRule type="cellIs" dxfId="333" priority="44" operator="equal">
      <formula>0.75</formula>
    </cfRule>
    <cfRule type="cellIs" dxfId="332" priority="45" operator="equal">
      <formula>1.2</formula>
    </cfRule>
    <cfRule type="cellIs" dxfId="331" priority="46" operator="equal">
      <formula>1</formula>
    </cfRule>
  </conditionalFormatting>
  <conditionalFormatting sqref="Z14">
    <cfRule type="cellIs" dxfId="330" priority="40" operator="equal">
      <formula>40</formula>
    </cfRule>
    <cfRule type="cellIs" dxfId="329" priority="41" operator="equal">
      <formula>32</formula>
    </cfRule>
    <cfRule type="cellIs" dxfId="328" priority="42" operator="equal">
      <formula>25</formula>
    </cfRule>
    <cfRule type="cellIs" dxfId="327" priority="43" operator="equal">
      <formula>16</formula>
    </cfRule>
  </conditionalFormatting>
  <conditionalFormatting sqref="AB14">
    <cfRule type="containsText" dxfId="326" priority="31" operator="containsText" text="200*200*200/300*300">
      <formula>NOT(ISERROR(SEARCH("200*200*200/300*300",AB14)))</formula>
    </cfRule>
    <cfRule type="containsText" dxfId="325" priority="32" operator="containsText" text="200/300">
      <formula>NOT(ISERROR(SEARCH("200/300",AB14)))</formula>
    </cfRule>
    <cfRule type="containsText" dxfId="324" priority="33" operator="containsText" text="200*200*200/520">
      <formula>NOT(ISERROR(SEARCH("200*200*200/520",AB14)))</formula>
    </cfRule>
    <cfRule type="containsText" dxfId="323" priority="34" operator="containsText" text="250*250/500">
      <formula>NOT(ISERROR(SEARCH("250*250/500",AB14)))</formula>
    </cfRule>
    <cfRule type="containsText" dxfId="322" priority="35" operator="containsText" text="200*200/500">
      <formula>NOT(ISERROR(SEARCH("200*200/500",AB14)))</formula>
    </cfRule>
    <cfRule type="containsText" dxfId="321" priority="36" operator="containsText" text="200*200*200/560">
      <formula>NOT(ISERROR(SEARCH("200*200*200/560",AB14)))</formula>
    </cfRule>
    <cfRule type="containsText" dxfId="320" priority="37" operator="containsText" text="600/300">
      <formula>NOT(ISERROR(SEARCH("600/300",AB14)))</formula>
    </cfRule>
    <cfRule type="containsText" dxfId="319" priority="38" operator="containsText" text="500/250">
      <formula>NOT(ISERROR(SEARCH("500/250",AB14)))</formula>
    </cfRule>
    <cfRule type="containsText" dxfId="318" priority="39" operator="containsText" text="500/200">
      <formula>NOT(ISERROR(SEARCH("500/200",AB14)))</formula>
    </cfRule>
  </conditionalFormatting>
  <conditionalFormatting sqref="AC14">
    <cfRule type="containsText" dxfId="317" priority="27" operator="containsText" text="13Ø25">
      <formula>NOT(ISERROR(SEARCH("13Ø25",AC14)))</formula>
    </cfRule>
    <cfRule type="containsText" dxfId="316" priority="28" operator="containsText" text="12Ø25">
      <formula>NOT(ISERROR(SEARCH("12Ø25",AC14)))</formula>
    </cfRule>
    <cfRule type="containsText" dxfId="315" priority="29" operator="containsText" text="10Ø20">
      <formula>NOT(ISERROR(SEARCH("10Ø20",AC14)))</formula>
    </cfRule>
    <cfRule type="containsText" dxfId="314" priority="30" operator="containsText" text="8Ø18">
      <formula>NOT(ISERROR(SEARCH("8Ø18",AC14)))</formula>
    </cfRule>
  </conditionalFormatting>
  <conditionalFormatting sqref="Y14">
    <cfRule type="cellIs" dxfId="313" priority="21" operator="equal">
      <formula>0.75</formula>
    </cfRule>
    <cfRule type="cellIs" dxfId="312" priority="22" operator="equal">
      <formula>1.2</formula>
    </cfRule>
    <cfRule type="cellIs" dxfId="311" priority="23" operator="equal">
      <formula>1</formula>
    </cfRule>
  </conditionalFormatting>
  <conditionalFormatting sqref="Z14">
    <cfRule type="cellIs" dxfId="310" priority="17" operator="equal">
      <formula>40</formula>
    </cfRule>
    <cfRule type="cellIs" dxfId="309" priority="18" operator="equal">
      <formula>32</formula>
    </cfRule>
    <cfRule type="cellIs" dxfId="308" priority="19" operator="equal">
      <formula>25</formula>
    </cfRule>
    <cfRule type="cellIs" dxfId="307" priority="20" operator="equal">
      <formula>16</formula>
    </cfRule>
  </conditionalFormatting>
  <conditionalFormatting sqref="AB14">
    <cfRule type="containsText" dxfId="306" priority="8" operator="containsText" text="200*200*200/300*300">
      <formula>NOT(ISERROR(SEARCH("200*200*200/300*300",AB14)))</formula>
    </cfRule>
    <cfRule type="containsText" dxfId="305" priority="9" operator="containsText" text="200/300">
      <formula>NOT(ISERROR(SEARCH("200/300",AB14)))</formula>
    </cfRule>
    <cfRule type="containsText" dxfId="304" priority="10" operator="containsText" text="200*200*200/520">
      <formula>NOT(ISERROR(SEARCH("200*200*200/520",AB14)))</formula>
    </cfRule>
    <cfRule type="containsText" dxfId="303" priority="11" operator="containsText" text="250*250/500">
      <formula>NOT(ISERROR(SEARCH("250*250/500",AB14)))</formula>
    </cfRule>
    <cfRule type="containsText" dxfId="302" priority="12" operator="containsText" text="200*200/500">
      <formula>NOT(ISERROR(SEARCH("200*200/500",AB14)))</formula>
    </cfRule>
    <cfRule type="containsText" dxfId="301" priority="13" operator="containsText" text="200*200*200/560">
      <formula>NOT(ISERROR(SEARCH("200*200*200/560",AB14)))</formula>
    </cfRule>
    <cfRule type="containsText" dxfId="300" priority="14" operator="containsText" text="600/300">
      <formula>NOT(ISERROR(SEARCH("600/300",AB14)))</formula>
    </cfRule>
    <cfRule type="containsText" dxfId="299" priority="15" operator="containsText" text="500/250">
      <formula>NOT(ISERROR(SEARCH("500/250",AB14)))</formula>
    </cfRule>
    <cfRule type="containsText" dxfId="298" priority="16" operator="containsText" text="500/200">
      <formula>NOT(ISERROR(SEARCH("500/200",AB14)))</formula>
    </cfRule>
  </conditionalFormatting>
  <conditionalFormatting sqref="AC14">
    <cfRule type="containsText" dxfId="297" priority="4" operator="containsText" text="13Ø25">
      <formula>NOT(ISERROR(SEARCH("13Ø25",AC14)))</formula>
    </cfRule>
    <cfRule type="containsText" dxfId="296" priority="5" operator="containsText" text="12Ø25">
      <formula>NOT(ISERROR(SEARCH("12Ø25",AC14)))</formula>
    </cfRule>
    <cfRule type="containsText" dxfId="295" priority="6" operator="containsText" text="10Ø20">
      <formula>NOT(ISERROR(SEARCH("10Ø20",AC14)))</formula>
    </cfRule>
    <cfRule type="containsText" dxfId="294" priority="7" operator="containsText" text="8Ø18">
      <formula>NOT(ISERROR(SEARCH("8Ø18",AC14)))</formula>
    </cfRule>
  </conditionalFormatting>
  <conditionalFormatting sqref="AD14">
    <cfRule type="containsText" dxfId="293" priority="1" operator="containsText" text="Ø8@200">
      <formula>NOT(ISERROR(SEARCH("Ø8@200",AD14)))</formula>
    </cfRule>
    <cfRule type="containsText" dxfId="292" priority="2" operator="containsText" text="Ø12@200">
      <formula>NOT(ISERROR(SEARCH("Ø12@200",AD14)))</formula>
    </cfRule>
    <cfRule type="containsText" dxfId="291" priority="3" operator="containsText" text="Ø8@250">
      <formula>NOT(ISERROR(SEARCH("Ø8@250",AD14)))</formula>
    </cfRule>
  </conditionalFormatting>
  <dataValidations disablePrompts="1" count="2">
    <dataValidation type="list" allowBlank="1" showInputMessage="1" showErrorMessage="1" sqref="C3:C87" xr:uid="{00000000-0002-0000-0900-000000000000}">
      <formula1>$I$3:$I$9</formula1>
    </dataValidation>
    <dataValidation type="list" allowBlank="1" showInputMessage="1" showErrorMessage="1" sqref="G3:G87" xr:uid="{00000000-0002-0000-0900-000001000000}">
      <formula1>$I$11:$I$13</formula1>
    </dataValidation>
  </dataValidations>
  <pageMargins left="0.7" right="0.7" top="0.75" bottom="0.75" header="0.3" footer="0.3"/>
  <pageSetup paperSize="9" scale="2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tabColor theme="8" tint="0.59999389629810485"/>
    <pageSetUpPr fitToPage="1"/>
  </sheetPr>
  <dimension ref="A1:L349"/>
  <sheetViews>
    <sheetView zoomScale="80" zoomScaleNormal="80" workbookViewId="0">
      <pane ySplit="1" topLeftCell="A2" activePane="bottomLeft" state="frozen"/>
      <selection activeCell="A4" sqref="A4"/>
      <selection pane="bottomLeft" activeCell="I24" sqref="I24"/>
    </sheetView>
  </sheetViews>
  <sheetFormatPr baseColWidth="10" defaultColWidth="11.44140625" defaultRowHeight="13.2"/>
  <cols>
    <col min="1" max="1" width="13.5546875" style="133" bestFit="1" customWidth="1"/>
    <col min="2" max="3" width="13.5546875" style="133" customWidth="1"/>
    <col min="4" max="11" width="11.44140625" style="133"/>
    <col min="12" max="12" width="39.109375" style="133" customWidth="1"/>
    <col min="13" max="16384" width="11.44140625" style="133"/>
  </cols>
  <sheetData>
    <row r="1" spans="1:12" ht="30.75" customHeight="1" thickBot="1">
      <c r="A1" s="327" t="s">
        <v>44</v>
      </c>
      <c r="B1" s="327" t="s">
        <v>1623</v>
      </c>
      <c r="C1" s="327" t="s">
        <v>1622</v>
      </c>
      <c r="D1" s="328" t="s">
        <v>1601</v>
      </c>
      <c r="E1" s="327" t="s">
        <v>1727</v>
      </c>
      <c r="F1" s="328" t="str">
        <f>'HR Track 1'!A1</f>
        <v>TRACK 1</v>
      </c>
      <c r="G1" s="328" t="str">
        <f>'HR Track 2'!A1</f>
        <v>TRACK 2</v>
      </c>
      <c r="H1" s="328" t="str">
        <f>'HR Track 1 MOM'!A1</f>
        <v>TRACK 1 MOM</v>
      </c>
      <c r="I1" s="328" t="str">
        <f>'HR Track 4 MOM'!A1</f>
        <v>TRACK 4 MOM</v>
      </c>
      <c r="J1" s="328" t="str">
        <f>'HR Track 4 PMO'!A1</f>
        <v>TRACK 4 PMO</v>
      </c>
      <c r="K1" s="328" t="str">
        <f>'HR Track 6 PMO'!A1</f>
        <v>TRACK 6 PMO</v>
      </c>
      <c r="L1" s="495" t="s">
        <v>1728</v>
      </c>
    </row>
    <row r="2" spans="1:12" ht="19.95" customHeight="1">
      <c r="A2" s="848" t="s">
        <v>673</v>
      </c>
      <c r="B2" s="850" t="s">
        <v>37</v>
      </c>
      <c r="C2" s="329" t="s">
        <v>1089</v>
      </c>
      <c r="D2" s="330" t="e">
        <f>VLOOKUP(B2,Foundation_Calc!$K$4:$R$37,3,FALSE)</f>
        <v>#N/A</v>
      </c>
      <c r="E2" s="331">
        <f>SUM(F2:K2)</f>
        <v>0</v>
      </c>
      <c r="F2" s="331">
        <f>COUNTIFS('HR Track 1'!$M$5:$M$406,$A$2,'HR Track 1'!$AW$5:$AW$406,$C2,'HR Track 1'!$AY$5:$AY$406,$D2)</f>
        <v>0</v>
      </c>
      <c r="G2" s="331">
        <f>COUNTIFS('HR Track 2'!$M$5:$M$406,$A$2,'HR Track 2'!$AW$5:$AW$406,$C2,'HR Track 2'!$AY$5:$AY$406,$D2)</f>
        <v>0</v>
      </c>
      <c r="H2" s="331">
        <f>COUNTIFS('HR Track 1 MOM'!$M$5:$M$800,$A$2,'HR Track 1 MOM'!$AW$5:$AW$800,$C2,'HR Track 1 MOM'!$AY$5:$AY$800,$D2)</f>
        <v>0</v>
      </c>
      <c r="I2" s="331">
        <f>COUNTIFS('HR Track 4 MOM'!$M$5:$M$800,$A$2,'HR Track 4 MOM'!$AW$5:$AW$800,$C2,'HR Track 4 MOM'!$AY$5:$AY$800,$D2)</f>
        <v>0</v>
      </c>
      <c r="J2" s="331">
        <f>COUNTIFS('HR Track 4 PMO'!$M$5:$M$800,$A$2,'HR Track 4 PMO'!$AW$5:$AW$800,$C2,'HR Track 4 PMO'!$AY$5:$AY$800,$D2)</f>
        <v>0</v>
      </c>
      <c r="K2" s="332">
        <f>COUNTIFS('HR Track 6 PMO'!$M$5:$M$800,$A$2,'HR Track 6 PMO'!$AW$5:$AW$800,$C2,'HR Track 6 PMO'!$AY$5:$AY$800,$D2)</f>
        <v>0</v>
      </c>
    </row>
    <row r="3" spans="1:12" ht="19.95" customHeight="1">
      <c r="A3" s="764"/>
      <c r="B3" s="753"/>
      <c r="C3" s="163" t="s">
        <v>1090</v>
      </c>
      <c r="D3" s="11" t="e">
        <f>VLOOKUP(B2,Foundation_Calc!$K$4:$R$37,4,FALSE)</f>
        <v>#N/A</v>
      </c>
      <c r="E3" s="7">
        <f t="shared" ref="E3:E7" si="0">SUM(F3:K3)</f>
        <v>0</v>
      </c>
      <c r="F3" s="7">
        <f>COUNTIFS('HR Track 1'!$M$5:$M$406,$A$2,'HR Track 1'!$AW$5:$AW$406,$C3,'HR Track 1'!$AY$5:$AY$406,$D3)</f>
        <v>0</v>
      </c>
      <c r="G3" s="7">
        <f>COUNTIFS('HR Track 2'!$M$5:$M$406,$A$2,'HR Track 2'!$AW$5:$AW$406,$C3,'HR Track 2'!$AY$5:$AY$406,$D3)</f>
        <v>0</v>
      </c>
      <c r="H3" s="7">
        <f>COUNTIFS('HR Track 1 MOM'!$M$5:$M$800,$A$2,'HR Track 1 MOM'!$AW$5:$AW$800,$C3,'HR Track 1 MOM'!$AY$5:$AY$800,$D3)</f>
        <v>0</v>
      </c>
      <c r="I3" s="7">
        <f>COUNTIFS('HR Track 4 MOM'!$M$5:$M$800,$A$2,'HR Track 4 MOM'!$AW$5:$AW$800,$C3,'HR Track 4 MOM'!$AY$5:$AY$800,$D3)</f>
        <v>0</v>
      </c>
      <c r="J3" s="7">
        <f>COUNTIFS('HR Track 4 PMO'!$M$5:$M$800,$A$2,'HR Track 4 PMO'!$AW$5:$AW$800,$C3,'HR Track 4 PMO'!$AY$5:$AY$800,$D3)</f>
        <v>0</v>
      </c>
      <c r="K3" s="333">
        <f>COUNTIFS('HR Track 6 PMO'!$M$5:$M$800,$A$2,'HR Track 6 PMO'!$AW$5:$AW$800,$C3,'HR Track 6 PMO'!$AY$5:$AY$800,$D3)</f>
        <v>0</v>
      </c>
    </row>
    <row r="4" spans="1:12" ht="19.95" customHeight="1">
      <c r="A4" s="764"/>
      <c r="B4" s="753"/>
      <c r="C4" s="163" t="s">
        <v>1091</v>
      </c>
      <c r="D4" s="11" t="e">
        <f>VLOOKUP(B2,Foundation_Calc!$K$4:$R$37,5,FALSE)</f>
        <v>#N/A</v>
      </c>
      <c r="E4" s="7">
        <f t="shared" si="0"/>
        <v>0</v>
      </c>
      <c r="F4" s="7">
        <f>COUNTIFS('HR Track 1'!$M$5:$M$406,$A$2,'HR Track 1'!$AW$5:$AW$406,$C4,'HR Track 1'!$AY$5:$AY$406,$D4)</f>
        <v>0</v>
      </c>
      <c r="G4" s="7">
        <f>COUNTIFS('HR Track 2'!$M$5:$M$406,$A$2,'HR Track 2'!$AW$5:$AW$406,$C4,'HR Track 2'!$AY$5:$AY$406,$D4)</f>
        <v>0</v>
      </c>
      <c r="H4" s="7">
        <f>COUNTIFS('HR Track 1 MOM'!$M$5:$M$800,$A$2,'HR Track 1 MOM'!$AW$5:$AW$800,$C4,'HR Track 1 MOM'!$AY$5:$AY$800,$D4)</f>
        <v>0</v>
      </c>
      <c r="I4" s="7">
        <f>COUNTIFS('HR Track 4 MOM'!$M$5:$M$800,$A$2,'HR Track 4 MOM'!$AW$5:$AW$800,$C4,'HR Track 4 MOM'!$AY$5:$AY$800,$D4)</f>
        <v>0</v>
      </c>
      <c r="J4" s="7">
        <f>COUNTIFS('HR Track 4 PMO'!$M$5:$M$800,$A$2,'HR Track 4 PMO'!$AW$5:$AW$800,$C4,'HR Track 4 PMO'!$AY$5:$AY$800,$D4)</f>
        <v>0</v>
      </c>
      <c r="K4" s="333">
        <f>COUNTIFS('HR Track 6 PMO'!$M$5:$M$800,$A$2,'HR Track 6 PMO'!$AW$5:$AW$800,$C4,'HR Track 6 PMO'!$AY$5:$AY$800,$D4)</f>
        <v>0</v>
      </c>
    </row>
    <row r="5" spans="1:12" ht="19.95" customHeight="1">
      <c r="A5" s="764"/>
      <c r="B5" s="753"/>
      <c r="C5" s="163" t="s">
        <v>1092</v>
      </c>
      <c r="D5" s="11" t="e">
        <f>VLOOKUP(B2,Foundation_Calc!$K$4:$R$37,6,FALSE)</f>
        <v>#N/A</v>
      </c>
      <c r="E5" s="7">
        <f t="shared" si="0"/>
        <v>0</v>
      </c>
      <c r="F5" s="7">
        <f>COUNTIFS('HR Track 1'!$M$5:$M$406,$A$2,'HR Track 1'!$AW$5:$AW$406,$C5,'HR Track 1'!$AY$5:$AY$406,$D5)</f>
        <v>0</v>
      </c>
      <c r="G5" s="7">
        <f>COUNTIFS('HR Track 2'!$M$5:$M$406,$A$2,'HR Track 2'!$AW$5:$AW$406,$C5,'HR Track 2'!$AY$5:$AY$406,$D5)</f>
        <v>0</v>
      </c>
      <c r="H5" s="7">
        <f>COUNTIFS('HR Track 1 MOM'!$M$5:$M$800,$A$2,'HR Track 1 MOM'!$AW$5:$AW$800,$C5,'HR Track 1 MOM'!$AY$5:$AY$800,$D5)</f>
        <v>0</v>
      </c>
      <c r="I5" s="7">
        <f>COUNTIFS('HR Track 4 MOM'!$M$5:$M$800,$A$2,'HR Track 4 MOM'!$AW$5:$AW$800,$C5,'HR Track 4 MOM'!$AY$5:$AY$800,$D5)</f>
        <v>0</v>
      </c>
      <c r="J5" s="7">
        <f>COUNTIFS('HR Track 4 PMO'!$M$5:$M$800,$A$2,'HR Track 4 PMO'!$AW$5:$AW$800,$C5,'HR Track 4 PMO'!$AY$5:$AY$800,$D5)</f>
        <v>0</v>
      </c>
      <c r="K5" s="333">
        <f>COUNTIFS('HR Track 6 PMO'!$M$5:$M$800,$A$2,'HR Track 6 PMO'!$AW$5:$AW$800,$C5,'HR Track 6 PMO'!$AY$5:$AY$800,$D5)</f>
        <v>0</v>
      </c>
    </row>
    <row r="6" spans="1:12" ht="19.95" customHeight="1">
      <c r="A6" s="764"/>
      <c r="B6" s="753"/>
      <c r="C6" s="163" t="s">
        <v>1093</v>
      </c>
      <c r="D6" s="11" t="e">
        <f>VLOOKUP(B2,Foundation_Calc!$K$4:$R$37,7,FALSE)</f>
        <v>#N/A</v>
      </c>
      <c r="E6" s="7">
        <f t="shared" si="0"/>
        <v>0</v>
      </c>
      <c r="F6" s="7">
        <f>COUNTIFS('HR Track 1'!$M$5:$M$406,$A$2,'HR Track 1'!$AW$5:$AW$406,$C6,'HR Track 1'!$AY$5:$AY$406,$D6)</f>
        <v>0</v>
      </c>
      <c r="G6" s="7">
        <f>COUNTIFS('HR Track 2'!$M$5:$M$406,$A$2,'HR Track 2'!$AW$5:$AW$406,$C6,'HR Track 2'!$AY$5:$AY$406,$D6)</f>
        <v>0</v>
      </c>
      <c r="H6" s="7">
        <f>COUNTIFS('HR Track 1 MOM'!$M$5:$M$800,$A$2,'HR Track 1 MOM'!$AW$5:$AW$800,$C6,'HR Track 1 MOM'!$AY$5:$AY$800,$D6)</f>
        <v>0</v>
      </c>
      <c r="I6" s="7">
        <f>COUNTIFS('HR Track 4 MOM'!$M$5:$M$800,$A$2,'HR Track 4 MOM'!$AW$5:$AW$800,$C6,'HR Track 4 MOM'!$AY$5:$AY$800,$D6)</f>
        <v>0</v>
      </c>
      <c r="J6" s="7">
        <f>COUNTIFS('HR Track 4 PMO'!$M$5:$M$800,$A$2,'HR Track 4 PMO'!$AW$5:$AW$800,$C6,'HR Track 4 PMO'!$AY$5:$AY$800,$D6)</f>
        <v>0</v>
      </c>
      <c r="K6" s="333">
        <f>COUNTIFS('HR Track 6 PMO'!$M$5:$M$800,$A$2,'HR Track 6 PMO'!$AW$5:$AW$800,$C6,'HR Track 6 PMO'!$AY$5:$AY$800,$D6)</f>
        <v>0</v>
      </c>
    </row>
    <row r="7" spans="1:12" ht="19.95" customHeight="1" thickBot="1">
      <c r="A7" s="765"/>
      <c r="B7" s="754"/>
      <c r="C7" s="334" t="s">
        <v>1094</v>
      </c>
      <c r="D7" s="335" t="e">
        <f>VLOOKUP(B2,Foundation_Calc!$K$4:$R$37,8,FALSE)</f>
        <v>#N/A</v>
      </c>
      <c r="E7" s="336">
        <f t="shared" si="0"/>
        <v>0</v>
      </c>
      <c r="F7" s="336">
        <f>COUNTIFS('HR Track 1'!$M$5:$M$406,$A$2,'HR Track 1'!$AW$5:$AW$406,$C7,'HR Track 1'!$AY$5:$AY$406,$D7)</f>
        <v>0</v>
      </c>
      <c r="G7" s="336">
        <f>COUNTIFS('HR Track 2'!$M$5:$M$406,$A$2,'HR Track 2'!$AW$5:$AW$406,$C7,'HR Track 2'!$AY$5:$AY$406,$D7)</f>
        <v>0</v>
      </c>
      <c r="H7" s="336">
        <f>COUNTIFS('HR Track 1 MOM'!$M$5:$M$800,$A$2,'HR Track 1 MOM'!$AW$5:$AW$800,$C7,'HR Track 1 MOM'!$AY$5:$AY$800,$D7)</f>
        <v>0</v>
      </c>
      <c r="I7" s="336">
        <f>COUNTIFS('HR Track 4 MOM'!$M$5:$M$800,$A$2,'HR Track 4 MOM'!$AW$5:$AW$800,$C7,'HR Track 4 MOM'!$AY$5:$AY$800,$D7)</f>
        <v>0</v>
      </c>
      <c r="J7" s="336">
        <f>COUNTIFS('HR Track 4 PMO'!$M$5:$M$800,$A$2,'HR Track 4 PMO'!$AW$5:$AW$800,$C7,'HR Track 4 PMO'!$AY$5:$AY$800,$D7)</f>
        <v>0</v>
      </c>
      <c r="K7" s="337">
        <f>COUNTIFS('HR Track 6 PMO'!$M$5:$M$800,$A$2,'HR Track 6 PMO'!$AW$5:$AW$800,$C7,'HR Track 6 PMO'!$AY$5:$AY$800,$D7)</f>
        <v>0</v>
      </c>
    </row>
    <row r="8" spans="1:12" ht="19.95" customHeight="1">
      <c r="A8" s="842" t="s">
        <v>688</v>
      </c>
      <c r="B8" s="851" t="s">
        <v>37</v>
      </c>
      <c r="C8" s="329" t="s">
        <v>1089</v>
      </c>
      <c r="D8" s="338" t="e">
        <f>VLOOKUP(B8,Foundation_Calc!$K$41:$R$74,3,FALSE)</f>
        <v>#N/A</v>
      </c>
      <c r="E8" s="331">
        <f t="shared" ref="E8:E66" si="1">SUM(F8:K8)</f>
        <v>0</v>
      </c>
      <c r="F8" s="331">
        <f>COUNTIFS('HR Track 1'!$M$5:$M$406,$A$8,'HR Track 1'!$AW$5:$AW$406,$C8,'HR Track 1'!$AY$5:$AY$406,$D8)</f>
        <v>0</v>
      </c>
      <c r="G8" s="331">
        <f>COUNTIFS('HR Track 2'!$M$5:$M$406,$A$8,'HR Track 2'!$AW$5:$AW$406,$C8,'HR Track 2'!$AY$5:$AY$406,$D8)</f>
        <v>0</v>
      </c>
      <c r="H8" s="331">
        <f>COUNTIFS('HR Track 1 MOM'!$M$5:$M$800,$A$8,'HR Track 1 MOM'!$AW$5:$AW$800,$C8,'HR Track 1 MOM'!$AY$5:$AY$800,$D8)</f>
        <v>0</v>
      </c>
      <c r="I8" s="331">
        <f>COUNTIFS('HR Track 4 MOM'!$M$5:$M$800,$A$8,'HR Track 4 MOM'!$AW$5:$AW$800,$C8,'HR Track 4 MOM'!$AY$5:$AY$800,$D8)</f>
        <v>0</v>
      </c>
      <c r="J8" s="331">
        <f>COUNTIFS('HR Track 4 PMO'!$M$5:$M$800,$A$8,'HR Track 4 PMO'!$AW$5:$AW$800,$C8,'HR Track 4 PMO'!$AY$5:$AY$800,$D8)</f>
        <v>0</v>
      </c>
      <c r="K8" s="332">
        <f>COUNTIFS('HR Track 6 PMO'!$M$5:$M$800,$A$8,'HR Track 6 PMO'!$AW$5:$AW$800,$C8,'HR Track 6 PMO'!$AY$5:$AY$800,$D8)</f>
        <v>0</v>
      </c>
    </row>
    <row r="9" spans="1:12" ht="19.95" customHeight="1">
      <c r="A9" s="843"/>
      <c r="B9" s="846"/>
      <c r="C9" s="163" t="s">
        <v>1090</v>
      </c>
      <c r="D9" s="307" t="e">
        <f>VLOOKUP(B8,Foundation_Calc!$K$41:$R$74,4,FALSE)</f>
        <v>#N/A</v>
      </c>
      <c r="E9" s="7">
        <f t="shared" si="1"/>
        <v>0</v>
      </c>
      <c r="F9" s="7">
        <f>COUNTIFS('HR Track 1'!$M$5:$M$406,$A$8,'HR Track 1'!$AW$5:$AW$406,$C9,'HR Track 1'!$AY$5:$AY$406,$D9)</f>
        <v>0</v>
      </c>
      <c r="G9" s="7">
        <f>COUNTIFS('HR Track 2'!$M$5:$M$406,$A$8,'HR Track 2'!$AW$5:$AW$406,$C9,'HR Track 2'!$AY$5:$AY$406,$D9)</f>
        <v>0</v>
      </c>
      <c r="H9" s="7">
        <f>COUNTIFS('HR Track 1 MOM'!$M$5:$M$800,$A$8,'HR Track 1 MOM'!$AW$5:$AW$800,$C9,'HR Track 1 MOM'!$AY$5:$AY$800,$D9)</f>
        <v>0</v>
      </c>
      <c r="I9" s="7">
        <f>COUNTIFS('HR Track 4 MOM'!$M$5:$M$800,$A$8,'HR Track 4 MOM'!$AW$5:$AW$800,$C9,'HR Track 4 MOM'!$AY$5:$AY$800,$D9)</f>
        <v>0</v>
      </c>
      <c r="J9" s="7">
        <f>COUNTIFS('HR Track 4 PMO'!$M$5:$M$800,$A$8,'HR Track 4 PMO'!$AW$5:$AW$800,$C9,'HR Track 4 PMO'!$AY$5:$AY$800,$D9)</f>
        <v>0</v>
      </c>
      <c r="K9" s="333">
        <f>COUNTIFS('HR Track 6 PMO'!$M$5:$M$800,$A$8,'HR Track 6 PMO'!$AW$5:$AW$800,$C9,'HR Track 6 PMO'!$AY$5:$AY$800,$D9)</f>
        <v>0</v>
      </c>
    </row>
    <row r="10" spans="1:12" ht="19.95" customHeight="1">
      <c r="A10" s="843"/>
      <c r="B10" s="846"/>
      <c r="C10" s="163" t="s">
        <v>1091</v>
      </c>
      <c r="D10" s="307" t="e">
        <f>VLOOKUP(B8,Foundation_Calc!$K$41:$R$74,5,FALSE)</f>
        <v>#N/A</v>
      </c>
      <c r="E10" s="7">
        <f t="shared" si="1"/>
        <v>0</v>
      </c>
      <c r="F10" s="7">
        <f>COUNTIFS('HR Track 1'!$M$5:$M$406,$A$8,'HR Track 1'!$AW$5:$AW$406,$C10,'HR Track 1'!$AY$5:$AY$406,$D10)</f>
        <v>0</v>
      </c>
      <c r="G10" s="7">
        <f>COUNTIFS('HR Track 2'!$M$5:$M$406,$A$8,'HR Track 2'!$AW$5:$AW$406,$C10,'HR Track 2'!$AY$5:$AY$406,$D10)</f>
        <v>0</v>
      </c>
      <c r="H10" s="7">
        <f>COUNTIFS('HR Track 1 MOM'!$M$5:$M$800,$A$8,'HR Track 1 MOM'!$AW$5:$AW$800,$C10,'HR Track 1 MOM'!$AY$5:$AY$800,$D10)</f>
        <v>0</v>
      </c>
      <c r="I10" s="7">
        <f>COUNTIFS('HR Track 4 MOM'!$M$5:$M$800,$A$8,'HR Track 4 MOM'!$AW$5:$AW$800,$C10,'HR Track 4 MOM'!$AY$5:$AY$800,$D10)</f>
        <v>0</v>
      </c>
      <c r="J10" s="7">
        <f>COUNTIFS('HR Track 4 PMO'!$M$5:$M$800,$A$8,'HR Track 4 PMO'!$AW$5:$AW$800,$C10,'HR Track 4 PMO'!$AY$5:$AY$800,$D10)</f>
        <v>0</v>
      </c>
      <c r="K10" s="333">
        <f>COUNTIFS('HR Track 6 PMO'!$M$5:$M$800,$A$8,'HR Track 6 PMO'!$AW$5:$AW$800,$C10,'HR Track 6 PMO'!$AY$5:$AY$800,$D10)</f>
        <v>0</v>
      </c>
    </row>
    <row r="11" spans="1:12" ht="19.95" customHeight="1">
      <c r="A11" s="843"/>
      <c r="B11" s="846"/>
      <c r="C11" s="163" t="s">
        <v>1092</v>
      </c>
      <c r="D11" s="307" t="e">
        <f>VLOOKUP(B8,Foundation_Calc!$K$41:$R$74,6,FALSE)</f>
        <v>#N/A</v>
      </c>
      <c r="E11" s="7">
        <f t="shared" si="1"/>
        <v>0</v>
      </c>
      <c r="F11" s="7">
        <f>COUNTIFS('HR Track 1'!$M$5:$M$406,$A$8,'HR Track 1'!$AW$5:$AW$406,$C11,'HR Track 1'!$AY$5:$AY$406,$D11)</f>
        <v>0</v>
      </c>
      <c r="G11" s="7">
        <f>COUNTIFS('HR Track 2'!$M$5:$M$406,$A$8,'HR Track 2'!$AW$5:$AW$406,$C11,'HR Track 2'!$AY$5:$AY$406,$D11)</f>
        <v>0</v>
      </c>
      <c r="H11" s="7">
        <f>COUNTIFS('HR Track 1 MOM'!$M$5:$M$800,$A$8,'HR Track 1 MOM'!$AW$5:$AW$800,$C11,'HR Track 1 MOM'!$AY$5:$AY$800,$D11)</f>
        <v>0</v>
      </c>
      <c r="I11" s="7">
        <f>COUNTIFS('HR Track 4 MOM'!$M$5:$M$800,$A$8,'HR Track 4 MOM'!$AW$5:$AW$800,$C11,'HR Track 4 MOM'!$AY$5:$AY$800,$D11)</f>
        <v>0</v>
      </c>
      <c r="J11" s="7">
        <f>COUNTIFS('HR Track 4 PMO'!$M$5:$M$800,$A$8,'HR Track 4 PMO'!$AW$5:$AW$800,$C11,'HR Track 4 PMO'!$AY$5:$AY$800,$D11)</f>
        <v>0</v>
      </c>
      <c r="K11" s="333">
        <f>COUNTIFS('HR Track 6 PMO'!$M$5:$M$800,$A$8,'HR Track 6 PMO'!$AW$5:$AW$800,$C11,'HR Track 6 PMO'!$AY$5:$AY$800,$D11)</f>
        <v>0</v>
      </c>
    </row>
    <row r="12" spans="1:12" ht="19.95" customHeight="1">
      <c r="A12" s="843"/>
      <c r="B12" s="846"/>
      <c r="C12" s="163" t="s">
        <v>1093</v>
      </c>
      <c r="D12" s="307" t="e">
        <f>VLOOKUP(B8,Foundation_Calc!$K$41:$R$74,7,FALSE)</f>
        <v>#N/A</v>
      </c>
      <c r="E12" s="7">
        <f t="shared" si="1"/>
        <v>0</v>
      </c>
      <c r="F12" s="7">
        <f>COUNTIFS('HR Track 1'!$M$5:$M$406,$A$8,'HR Track 1'!$AW$5:$AW$406,$C12,'HR Track 1'!$AY$5:$AY$406,$D12)</f>
        <v>0</v>
      </c>
      <c r="G12" s="7">
        <f>COUNTIFS('HR Track 2'!$M$5:$M$406,$A$8,'HR Track 2'!$AW$5:$AW$406,$C12,'HR Track 2'!$AY$5:$AY$406,$D12)</f>
        <v>0</v>
      </c>
      <c r="H12" s="7">
        <f>COUNTIFS('HR Track 1 MOM'!$M$5:$M$800,$A$8,'HR Track 1 MOM'!$AW$5:$AW$800,$C12,'HR Track 1 MOM'!$AY$5:$AY$800,$D12)</f>
        <v>0</v>
      </c>
      <c r="I12" s="7">
        <f>COUNTIFS('HR Track 4 MOM'!$M$5:$M$800,$A$8,'HR Track 4 MOM'!$AW$5:$AW$800,$C12,'HR Track 4 MOM'!$AY$5:$AY$800,$D12)</f>
        <v>0</v>
      </c>
      <c r="J12" s="7">
        <f>COUNTIFS('HR Track 4 PMO'!$M$5:$M$800,$A$8,'HR Track 4 PMO'!$AW$5:$AW$800,$C12,'HR Track 4 PMO'!$AY$5:$AY$800,$D12)</f>
        <v>0</v>
      </c>
      <c r="K12" s="333">
        <f>COUNTIFS('HR Track 6 PMO'!$M$5:$M$800,$A$8,'HR Track 6 PMO'!$AW$5:$AW$800,$C12,'HR Track 6 PMO'!$AY$5:$AY$800,$D12)</f>
        <v>0</v>
      </c>
    </row>
    <row r="13" spans="1:12" ht="19.95" customHeight="1" thickBot="1">
      <c r="A13" s="844"/>
      <c r="B13" s="847"/>
      <c r="C13" s="334" t="s">
        <v>1094</v>
      </c>
      <c r="D13" s="339" t="e">
        <f>VLOOKUP(B8,Foundation_Calc!$K$41:$R$74,8,FALSE)</f>
        <v>#N/A</v>
      </c>
      <c r="E13" s="336">
        <f t="shared" si="1"/>
        <v>0</v>
      </c>
      <c r="F13" s="336">
        <f>COUNTIFS('HR Track 1'!$M$5:$M$406,$A$8,'HR Track 1'!$AW$5:$AW$406,$C13,'HR Track 1'!$AY$5:$AY$406,$D13)</f>
        <v>0</v>
      </c>
      <c r="G13" s="336">
        <f>COUNTIFS('HR Track 2'!$M$5:$M$406,$A$8,'HR Track 2'!$AW$5:$AW$406,$C13,'HR Track 2'!$AY$5:$AY$406,$D13)</f>
        <v>0</v>
      </c>
      <c r="H13" s="336">
        <f>COUNTIFS('HR Track 1 MOM'!$M$5:$M$800,$A$8,'HR Track 1 MOM'!$AW$5:$AW$800,$C13,'HR Track 1 MOM'!$AY$5:$AY$800,$D13)</f>
        <v>0</v>
      </c>
      <c r="I13" s="336">
        <f>COUNTIFS('HR Track 4 MOM'!$M$5:$M$800,$A$8,'HR Track 4 MOM'!$AW$5:$AW$800,$C13,'HR Track 4 MOM'!$AY$5:$AY$800,$D13)</f>
        <v>0</v>
      </c>
      <c r="J13" s="336">
        <f>COUNTIFS('HR Track 4 PMO'!$M$5:$M$800,$A$8,'HR Track 4 PMO'!$AW$5:$AW$800,$C13,'HR Track 4 PMO'!$AY$5:$AY$800,$D13)</f>
        <v>0</v>
      </c>
      <c r="K13" s="337">
        <f>COUNTIFS('HR Track 6 PMO'!$M$5:$M$800,$A$8,'HR Track 6 PMO'!$AW$5:$AW$800,$C13,'HR Track 6 PMO'!$AY$5:$AY$800,$D13)</f>
        <v>0</v>
      </c>
    </row>
    <row r="14" spans="1:12" ht="19.95" customHeight="1">
      <c r="A14" s="848" t="s">
        <v>674</v>
      </c>
      <c r="B14" s="849" t="s">
        <v>38</v>
      </c>
      <c r="C14" s="329" t="s">
        <v>1089</v>
      </c>
      <c r="D14" s="330">
        <f>VLOOKUP(B14,Foundation_Calc!$K$4:$R$37,3,FALSE)</f>
        <v>3.7</v>
      </c>
      <c r="E14" s="331">
        <f t="shared" si="1"/>
        <v>0</v>
      </c>
      <c r="F14" s="331">
        <f>COUNTIFS('HR Track 1'!$M$5:$M$406,$A$14,'HR Track 1'!$AW$5:$AW$406,$C14,'HR Track 1'!$AY$5:$AY$406,$D14)</f>
        <v>0</v>
      </c>
      <c r="G14" s="331">
        <f>COUNTIFS('HR Track 2'!$M$5:$M$406,$A$14,'HR Track 2'!$AW$5:$AW$406,$C14,'HR Track 2'!$AY$5:$AY$406,$D14)</f>
        <v>0</v>
      </c>
      <c r="H14" s="331">
        <f>COUNTIFS('HR Track 1 MOM'!$M$5:$M$800,$A$14,'HR Track 1 MOM'!$AW$5:$AW$800,$C14,'HR Track 1 MOM'!$AY$5:$AY$800,$D14)</f>
        <v>0</v>
      </c>
      <c r="I14" s="331">
        <f>COUNTIFS('HR Track 4 MOM'!$M$5:$M$800,$A$14,'HR Track 4 MOM'!$AW$5:$AW$800,$C14,'HR Track 4 MOM'!$AY$5:$AY$800,$D14)</f>
        <v>0</v>
      </c>
      <c r="J14" s="331">
        <f>COUNTIFS('HR Track 4 PMO'!$M$5:$M$800,$A$14,'HR Track 4 PMO'!$AW$5:$AW$800,$C14,'HR Track 4 PMO'!$AY$5:$AY$800,$D14)</f>
        <v>0</v>
      </c>
      <c r="K14" s="332">
        <f>COUNTIFS('HR Track 6 PMO'!$M$5:$M$800,$A$14,'HR Track 6 PMO'!$AW$5:$AW$800,$C14,'HR Track 6 PMO'!$AY$5:$AY$800,$D14)</f>
        <v>0</v>
      </c>
      <c r="L14" s="836" t="s">
        <v>452</v>
      </c>
    </row>
    <row r="15" spans="1:12" ht="19.95" customHeight="1">
      <c r="A15" s="764"/>
      <c r="B15" s="753"/>
      <c r="C15" s="163" t="s">
        <v>1090</v>
      </c>
      <c r="D15" s="11" t="str">
        <f>VLOOKUP(B14,Foundation_Calc!$K$4:$R$37,4,FALSE)</f>
        <v>N.D.</v>
      </c>
      <c r="E15" s="7">
        <f t="shared" si="1"/>
        <v>0</v>
      </c>
      <c r="F15" s="7">
        <f>COUNTIFS('HR Track 1'!$M$5:$M$406,$A$14,'HR Track 1'!$AW$5:$AW$406,$C15,'HR Track 1'!$AY$5:$AY$406,$D15)</f>
        <v>0</v>
      </c>
      <c r="G15" s="7">
        <f>COUNTIFS('HR Track 2'!$M$5:$M$406,$A$14,'HR Track 2'!$AW$5:$AW$406,$C15,'HR Track 2'!$AY$5:$AY$406,$D15)</f>
        <v>0</v>
      </c>
      <c r="H15" s="7">
        <f>COUNTIFS('HR Track 1 MOM'!$M$5:$M$800,$A$14,'HR Track 1 MOM'!$AW$5:$AW$800,$C15,'HR Track 1 MOM'!$AY$5:$AY$800,$D15)</f>
        <v>0</v>
      </c>
      <c r="I15" s="7">
        <f>COUNTIFS('HR Track 4 MOM'!$M$5:$M$800,$A$14,'HR Track 4 MOM'!$AW$5:$AW$800,$C15,'HR Track 4 MOM'!$AY$5:$AY$800,$D15)</f>
        <v>0</v>
      </c>
      <c r="J15" s="7">
        <f>COUNTIFS('HR Track 4 PMO'!$M$5:$M$800,$A$14,'HR Track 4 PMO'!$AW$5:$AW$800,$C15,'HR Track 4 PMO'!$AY$5:$AY$800,$D15)</f>
        <v>0</v>
      </c>
      <c r="K15" s="333">
        <f>COUNTIFS('HR Track 6 PMO'!$M$5:$M$800,$A$14,'HR Track 6 PMO'!$AW$5:$AW$800,$C15,'HR Track 6 PMO'!$AY$5:$AY$800,$D15)</f>
        <v>0</v>
      </c>
      <c r="L15" s="837"/>
    </row>
    <row r="16" spans="1:12" ht="19.95" customHeight="1">
      <c r="A16" s="764"/>
      <c r="B16" s="753"/>
      <c r="C16" s="163" t="s">
        <v>1091</v>
      </c>
      <c r="D16" s="11" t="str">
        <f>VLOOKUP(B14,Foundation_Calc!$K$4:$R$37,5,FALSE)</f>
        <v>N.D.</v>
      </c>
      <c r="E16" s="7">
        <f t="shared" si="1"/>
        <v>0</v>
      </c>
      <c r="F16" s="7">
        <f>COUNTIFS('HR Track 1'!$M$5:$M$406,$A$14,'HR Track 1'!$AW$5:$AW$406,$C16,'HR Track 1'!$AY$5:$AY$406,$D16)</f>
        <v>0</v>
      </c>
      <c r="G16" s="7">
        <f>COUNTIFS('HR Track 2'!$M$5:$M$406,$A$14,'HR Track 2'!$AW$5:$AW$406,$C16,'HR Track 2'!$AY$5:$AY$406,$D16)</f>
        <v>0</v>
      </c>
      <c r="H16" s="7">
        <f>COUNTIFS('HR Track 1 MOM'!$M$5:$M$800,$A$14,'HR Track 1 MOM'!$AW$5:$AW$800,$C16,'HR Track 1 MOM'!$AY$5:$AY$800,$D16)</f>
        <v>0</v>
      </c>
      <c r="I16" s="7">
        <f>COUNTIFS('HR Track 4 MOM'!$M$5:$M$800,$A$14,'HR Track 4 MOM'!$AW$5:$AW$800,$C16,'HR Track 4 MOM'!$AY$5:$AY$800,$D16)</f>
        <v>0</v>
      </c>
      <c r="J16" s="7">
        <f>COUNTIFS('HR Track 4 PMO'!$M$5:$M$800,$A$14,'HR Track 4 PMO'!$AW$5:$AW$800,$C16,'HR Track 4 PMO'!$AY$5:$AY$800,$D16)</f>
        <v>0</v>
      </c>
      <c r="K16" s="333">
        <f>COUNTIFS('HR Track 6 PMO'!$M$5:$M$800,$A$14,'HR Track 6 PMO'!$AW$5:$AW$800,$C16,'HR Track 6 PMO'!$AY$5:$AY$800,$D16)</f>
        <v>0</v>
      </c>
      <c r="L16" s="837"/>
    </row>
    <row r="17" spans="1:12" ht="19.95" customHeight="1">
      <c r="A17" s="764"/>
      <c r="B17" s="753"/>
      <c r="C17" s="163" t="s">
        <v>1092</v>
      </c>
      <c r="D17" s="11" t="str">
        <f>VLOOKUP(B14,Foundation_Calc!$K$4:$R$37,6,FALSE)</f>
        <v>N.D.</v>
      </c>
      <c r="E17" s="7">
        <f t="shared" si="1"/>
        <v>0</v>
      </c>
      <c r="F17" s="7">
        <f>COUNTIFS('HR Track 1'!$M$5:$M$406,$A$14,'HR Track 1'!$AW$5:$AW$406,$C17,'HR Track 1'!$AY$5:$AY$406,$D17)</f>
        <v>0</v>
      </c>
      <c r="G17" s="7">
        <f>COUNTIFS('HR Track 2'!$M$5:$M$406,$A$14,'HR Track 2'!$AW$5:$AW$406,$C17,'HR Track 2'!$AY$5:$AY$406,$D17)</f>
        <v>0</v>
      </c>
      <c r="H17" s="7">
        <f>COUNTIFS('HR Track 1 MOM'!$M$5:$M$800,$A$14,'HR Track 1 MOM'!$AW$5:$AW$800,$C17,'HR Track 1 MOM'!$AY$5:$AY$800,$D17)</f>
        <v>0</v>
      </c>
      <c r="I17" s="7">
        <f>COUNTIFS('HR Track 4 MOM'!$M$5:$M$800,$A$14,'HR Track 4 MOM'!$AW$5:$AW$800,$C17,'HR Track 4 MOM'!$AY$5:$AY$800,$D17)</f>
        <v>0</v>
      </c>
      <c r="J17" s="7">
        <f>COUNTIFS('HR Track 4 PMO'!$M$5:$M$800,$A$14,'HR Track 4 PMO'!$AW$5:$AW$800,$C17,'HR Track 4 PMO'!$AY$5:$AY$800,$D17)</f>
        <v>0</v>
      </c>
      <c r="K17" s="333">
        <f>COUNTIFS('HR Track 6 PMO'!$M$5:$M$800,$A$14,'HR Track 6 PMO'!$AW$5:$AW$800,$C17,'HR Track 6 PMO'!$AY$5:$AY$800,$D17)</f>
        <v>0</v>
      </c>
      <c r="L17" s="837"/>
    </row>
    <row r="18" spans="1:12" ht="19.95" customHeight="1">
      <c r="A18" s="764"/>
      <c r="B18" s="753"/>
      <c r="C18" s="163" t="s">
        <v>1093</v>
      </c>
      <c r="D18" s="11" t="str">
        <f>VLOOKUP(B14,Foundation_Calc!$K$4:$R$37,7,FALSE)</f>
        <v>N.D.</v>
      </c>
      <c r="E18" s="7">
        <f t="shared" si="1"/>
        <v>0</v>
      </c>
      <c r="F18" s="7">
        <f>COUNTIFS('HR Track 1'!$M$5:$M$406,$A$14,'HR Track 1'!$AW$5:$AW$406,$C18,'HR Track 1'!$AY$5:$AY$406,$D18)</f>
        <v>0</v>
      </c>
      <c r="G18" s="7">
        <f>COUNTIFS('HR Track 2'!$M$5:$M$406,$A$14,'HR Track 2'!$AW$5:$AW$406,$C18,'HR Track 2'!$AY$5:$AY$406,$D18)</f>
        <v>0</v>
      </c>
      <c r="H18" s="7">
        <f>COUNTIFS('HR Track 1 MOM'!$M$5:$M$800,$A$14,'HR Track 1 MOM'!$AW$5:$AW$800,$C18,'HR Track 1 MOM'!$AY$5:$AY$800,$D18)</f>
        <v>0</v>
      </c>
      <c r="I18" s="7">
        <f>COUNTIFS('HR Track 4 MOM'!$M$5:$M$800,$A$14,'HR Track 4 MOM'!$AW$5:$AW$800,$C18,'HR Track 4 MOM'!$AY$5:$AY$800,$D18)</f>
        <v>0</v>
      </c>
      <c r="J18" s="7">
        <f>COUNTIFS('HR Track 4 PMO'!$M$5:$M$800,$A$14,'HR Track 4 PMO'!$AW$5:$AW$800,$C18,'HR Track 4 PMO'!$AY$5:$AY$800,$D18)</f>
        <v>0</v>
      </c>
      <c r="K18" s="333">
        <f>COUNTIFS('HR Track 6 PMO'!$M$5:$M$800,$A$14,'HR Track 6 PMO'!$AW$5:$AW$800,$C18,'HR Track 6 PMO'!$AY$5:$AY$800,$D18)</f>
        <v>0</v>
      </c>
      <c r="L18" s="837"/>
    </row>
    <row r="19" spans="1:12" ht="19.95" customHeight="1" thickBot="1">
      <c r="A19" s="765"/>
      <c r="B19" s="754"/>
      <c r="C19" s="334" t="s">
        <v>1094</v>
      </c>
      <c r="D19" s="335" t="str">
        <f>VLOOKUP(B14,Foundation_Calc!$K$4:$R$37,8,FALSE)</f>
        <v>N.D.</v>
      </c>
      <c r="E19" s="336">
        <f t="shared" si="1"/>
        <v>0</v>
      </c>
      <c r="F19" s="336">
        <f>COUNTIFS('HR Track 1'!$M$5:$M$406,$A$14,'HR Track 1'!$AW$5:$AW$406,$C19,'HR Track 1'!$AY$5:$AY$406,$D19)</f>
        <v>0</v>
      </c>
      <c r="G19" s="336">
        <f>COUNTIFS('HR Track 2'!$M$5:$M$406,$A$14,'HR Track 2'!$AW$5:$AW$406,$C19,'HR Track 2'!$AY$5:$AY$406,$D19)</f>
        <v>0</v>
      </c>
      <c r="H19" s="336">
        <f>COUNTIFS('HR Track 1 MOM'!$M$5:$M$800,$A$14,'HR Track 1 MOM'!$AW$5:$AW$800,$C19,'HR Track 1 MOM'!$AY$5:$AY$800,$D19)</f>
        <v>0</v>
      </c>
      <c r="I19" s="336">
        <f>COUNTIFS('HR Track 4 MOM'!$M$5:$M$800,$A$14,'HR Track 4 MOM'!$AW$5:$AW$800,$C19,'HR Track 4 MOM'!$AY$5:$AY$800,$D19)</f>
        <v>0</v>
      </c>
      <c r="J19" s="336">
        <f>COUNTIFS('HR Track 4 PMO'!$M$5:$M$800,$A$14,'HR Track 4 PMO'!$AW$5:$AW$800,$C19,'HR Track 4 PMO'!$AY$5:$AY$800,$D19)</f>
        <v>0</v>
      </c>
      <c r="K19" s="337">
        <f>COUNTIFS('HR Track 6 PMO'!$M$5:$M$800,$A$14,'HR Track 6 PMO'!$AW$5:$AW$800,$C19,'HR Track 6 PMO'!$AY$5:$AY$800,$D19)</f>
        <v>0</v>
      </c>
      <c r="L19" s="838"/>
    </row>
    <row r="20" spans="1:12" ht="19.95" customHeight="1">
      <c r="A20" s="842" t="s">
        <v>687</v>
      </c>
      <c r="B20" s="845" t="s">
        <v>38</v>
      </c>
      <c r="C20" s="329" t="s">
        <v>1089</v>
      </c>
      <c r="D20" s="338">
        <f>VLOOKUP(B20,Foundation_Calc!$K$41:$R$74,3,FALSE)</f>
        <v>4.5</v>
      </c>
      <c r="E20" s="331">
        <f t="shared" si="1"/>
        <v>0</v>
      </c>
      <c r="F20" s="331">
        <f>COUNTIFS('HR Track 1'!$M$5:$M$406,$A$20,'HR Track 1'!$AW$5:$AW$406,$C20,'HR Track 1'!$AY$5:$AY$406,$D20)</f>
        <v>0</v>
      </c>
      <c r="G20" s="331">
        <f>COUNTIFS('HR Track 2'!$M$5:$M$406,$A$20,'HR Track 2'!$AW$5:$AW$406,$C20,'HR Track 2'!$AY$5:$AY$406,$D20)</f>
        <v>0</v>
      </c>
      <c r="H20" s="331">
        <f>COUNTIFS('HR Track 1 MOM'!$M$5:$M$800,$A$20,'HR Track 1 MOM'!$AW$5:$AW$800,$C20,'HR Track 1 MOM'!$AY$5:$AY$800,$D20)</f>
        <v>0</v>
      </c>
      <c r="I20" s="331">
        <f>COUNTIFS('HR Track 4 MOM'!$M$5:$M$800,$A$20,'HR Track 4 MOM'!$AW$5:$AW$800,$C20,'HR Track 4 MOM'!$AY$5:$AY$800,$D20)</f>
        <v>0</v>
      </c>
      <c r="J20" s="331">
        <f>COUNTIFS('HR Track 4 PMO'!$M$5:$M$800,$A$20,'HR Track 4 PMO'!$AW$5:$AW$800,$C20,'HR Track 4 PMO'!$AY$5:$AY$800,$D20)</f>
        <v>0</v>
      </c>
      <c r="K20" s="332">
        <f>COUNTIFS('HR Track 6 PMO'!$M$5:$M$800,$A$20,'HR Track 6 PMO'!$AW$5:$AW$800,$C20,'HR Track 6 PMO'!$AY$5:$AY$800,$D20)</f>
        <v>0</v>
      </c>
      <c r="L20" s="839" t="s">
        <v>452</v>
      </c>
    </row>
    <row r="21" spans="1:12" ht="19.95" customHeight="1">
      <c r="A21" s="843"/>
      <c r="B21" s="846"/>
      <c r="C21" s="163" t="s">
        <v>1090</v>
      </c>
      <c r="D21" s="307" t="str">
        <f>VLOOKUP(B20,Foundation_Calc!$K$41:$R$74,4,FALSE)</f>
        <v>N.D.</v>
      </c>
      <c r="E21" s="7">
        <f t="shared" si="1"/>
        <v>0</v>
      </c>
      <c r="F21" s="7">
        <f>COUNTIFS('HR Track 1'!$M$5:$M$406,$A$20,'HR Track 1'!$AW$5:$AW$406,$C21,'HR Track 1'!$AY$5:$AY$406,$D21)</f>
        <v>0</v>
      </c>
      <c r="G21" s="7">
        <f>COUNTIFS('HR Track 2'!$M$5:$M$406,$A$20,'HR Track 2'!$AW$5:$AW$406,$C21,'HR Track 2'!$AY$5:$AY$406,$D21)</f>
        <v>0</v>
      </c>
      <c r="H21" s="7">
        <f>COUNTIFS('HR Track 1 MOM'!$M$5:$M$800,$A$20,'HR Track 1 MOM'!$AW$5:$AW$800,$C21,'HR Track 1 MOM'!$AY$5:$AY$800,$D21)</f>
        <v>0</v>
      </c>
      <c r="I21" s="7">
        <f>COUNTIFS('HR Track 4 MOM'!$M$5:$M$800,$A$20,'HR Track 4 MOM'!$AW$5:$AW$800,$C21,'HR Track 4 MOM'!$AY$5:$AY$800,$D21)</f>
        <v>0</v>
      </c>
      <c r="J21" s="7">
        <f>COUNTIFS('HR Track 4 PMO'!$M$5:$M$800,$A$20,'HR Track 4 PMO'!$AW$5:$AW$800,$C21,'HR Track 4 PMO'!$AY$5:$AY$800,$D21)</f>
        <v>0</v>
      </c>
      <c r="K21" s="333">
        <f>COUNTIFS('HR Track 6 PMO'!$M$5:$M$800,$A$20,'HR Track 6 PMO'!$AW$5:$AW$800,$C21,'HR Track 6 PMO'!$AY$5:$AY$800,$D21)</f>
        <v>0</v>
      </c>
      <c r="L21" s="840"/>
    </row>
    <row r="22" spans="1:12" ht="19.95" customHeight="1">
      <c r="A22" s="843"/>
      <c r="B22" s="846"/>
      <c r="C22" s="163" t="s">
        <v>1091</v>
      </c>
      <c r="D22" s="307" t="str">
        <f>VLOOKUP(B20,Foundation_Calc!$K$41:$R$74,5,FALSE)</f>
        <v>N.D.</v>
      </c>
      <c r="E22" s="7">
        <f t="shared" si="1"/>
        <v>0</v>
      </c>
      <c r="F22" s="7">
        <f>COUNTIFS('HR Track 1'!$M$5:$M$406,$A$20,'HR Track 1'!$AW$5:$AW$406,$C22,'HR Track 1'!$AY$5:$AY$406,$D22)</f>
        <v>0</v>
      </c>
      <c r="G22" s="7">
        <f>COUNTIFS('HR Track 2'!$M$5:$M$406,$A$20,'HR Track 2'!$AW$5:$AW$406,$C22,'HR Track 2'!$AY$5:$AY$406,$D22)</f>
        <v>0</v>
      </c>
      <c r="H22" s="7">
        <f>COUNTIFS('HR Track 1 MOM'!$M$5:$M$800,$A$20,'HR Track 1 MOM'!$AW$5:$AW$800,$C22,'HR Track 1 MOM'!$AY$5:$AY$800,$D22)</f>
        <v>0</v>
      </c>
      <c r="I22" s="7">
        <f>COUNTIFS('HR Track 4 MOM'!$M$5:$M$800,$A$20,'HR Track 4 MOM'!$AW$5:$AW$800,$C22,'HR Track 4 MOM'!$AY$5:$AY$800,$D22)</f>
        <v>0</v>
      </c>
      <c r="J22" s="7">
        <f>COUNTIFS('HR Track 4 PMO'!$M$5:$M$800,$A$20,'HR Track 4 PMO'!$AW$5:$AW$800,$C22,'HR Track 4 PMO'!$AY$5:$AY$800,$D22)</f>
        <v>0</v>
      </c>
      <c r="K22" s="333">
        <f>COUNTIFS('HR Track 6 PMO'!$M$5:$M$800,$A$20,'HR Track 6 PMO'!$AW$5:$AW$800,$C22,'HR Track 6 PMO'!$AY$5:$AY$800,$D22)</f>
        <v>0</v>
      </c>
      <c r="L22" s="840"/>
    </row>
    <row r="23" spans="1:12" ht="19.95" customHeight="1">
      <c r="A23" s="843"/>
      <c r="B23" s="846"/>
      <c r="C23" s="163" t="s">
        <v>1092</v>
      </c>
      <c r="D23" s="307" t="str">
        <f>VLOOKUP(B20,Foundation_Calc!$K$41:$R$74,6,FALSE)</f>
        <v>N.D.</v>
      </c>
      <c r="E23" s="7">
        <f t="shared" si="1"/>
        <v>0</v>
      </c>
      <c r="F23" s="7">
        <f>COUNTIFS('HR Track 1'!$M$5:$M$406,$A$20,'HR Track 1'!$AW$5:$AW$406,$C23,'HR Track 1'!$AY$5:$AY$406,$D23)</f>
        <v>0</v>
      </c>
      <c r="G23" s="7">
        <f>COUNTIFS('HR Track 2'!$M$5:$M$406,$A$20,'HR Track 2'!$AW$5:$AW$406,$C23,'HR Track 2'!$AY$5:$AY$406,$D23)</f>
        <v>0</v>
      </c>
      <c r="H23" s="7">
        <f>COUNTIFS('HR Track 1 MOM'!$M$5:$M$800,$A$20,'HR Track 1 MOM'!$AW$5:$AW$800,$C23,'HR Track 1 MOM'!$AY$5:$AY$800,$D23)</f>
        <v>0</v>
      </c>
      <c r="I23" s="7">
        <f>COUNTIFS('HR Track 4 MOM'!$M$5:$M$800,$A$20,'HR Track 4 MOM'!$AW$5:$AW$800,$C23,'HR Track 4 MOM'!$AY$5:$AY$800,$D23)</f>
        <v>0</v>
      </c>
      <c r="J23" s="7">
        <f>COUNTIFS('HR Track 4 PMO'!$M$5:$M$800,$A$20,'HR Track 4 PMO'!$AW$5:$AW$800,$C23,'HR Track 4 PMO'!$AY$5:$AY$800,$D23)</f>
        <v>0</v>
      </c>
      <c r="K23" s="333">
        <f>COUNTIFS('HR Track 6 PMO'!$M$5:$M$800,$A$20,'HR Track 6 PMO'!$AW$5:$AW$800,$C23,'HR Track 6 PMO'!$AY$5:$AY$800,$D23)</f>
        <v>0</v>
      </c>
      <c r="L23" s="840"/>
    </row>
    <row r="24" spans="1:12" ht="19.95" customHeight="1">
      <c r="A24" s="843"/>
      <c r="B24" s="846"/>
      <c r="C24" s="163" t="s">
        <v>1093</v>
      </c>
      <c r="D24" s="307" t="str">
        <f>VLOOKUP(B20,Foundation_Calc!$K$41:$R$74,7,FALSE)</f>
        <v>N.D.</v>
      </c>
      <c r="E24" s="7">
        <f t="shared" si="1"/>
        <v>0</v>
      </c>
      <c r="F24" s="7">
        <f>COUNTIFS('HR Track 1'!$M$5:$M$406,$A$20,'HR Track 1'!$AW$5:$AW$406,$C24,'HR Track 1'!$AY$5:$AY$406,$D24)</f>
        <v>0</v>
      </c>
      <c r="G24" s="7">
        <f>COUNTIFS('HR Track 2'!$M$5:$M$406,$A$20,'HR Track 2'!$AW$5:$AW$406,$C24,'HR Track 2'!$AY$5:$AY$406,$D24)</f>
        <v>0</v>
      </c>
      <c r="H24" s="7">
        <f>COUNTIFS('HR Track 1 MOM'!$M$5:$M$800,$A$20,'HR Track 1 MOM'!$AW$5:$AW$800,$C24,'HR Track 1 MOM'!$AY$5:$AY$800,$D24)</f>
        <v>0</v>
      </c>
      <c r="I24" s="7">
        <f>COUNTIFS('HR Track 4 MOM'!$M$5:$M$800,$A$20,'HR Track 4 MOM'!$AW$5:$AW$800,$C24,'HR Track 4 MOM'!$AY$5:$AY$800,$D24)</f>
        <v>0</v>
      </c>
      <c r="J24" s="7">
        <f>COUNTIFS('HR Track 4 PMO'!$M$5:$M$800,$A$20,'HR Track 4 PMO'!$AW$5:$AW$800,$C24,'HR Track 4 PMO'!$AY$5:$AY$800,$D24)</f>
        <v>0</v>
      </c>
      <c r="K24" s="333">
        <f>COUNTIFS('HR Track 6 PMO'!$M$5:$M$800,$A$20,'HR Track 6 PMO'!$AW$5:$AW$800,$C24,'HR Track 6 PMO'!$AY$5:$AY$800,$D24)</f>
        <v>0</v>
      </c>
      <c r="L24" s="840"/>
    </row>
    <row r="25" spans="1:12" ht="19.95" customHeight="1" thickBot="1">
      <c r="A25" s="844"/>
      <c r="B25" s="847"/>
      <c r="C25" s="334" t="s">
        <v>1094</v>
      </c>
      <c r="D25" s="339" t="str">
        <f>VLOOKUP(B20,Foundation_Calc!$K$41:$R$74,8,FALSE)</f>
        <v>N.D.</v>
      </c>
      <c r="E25" s="336">
        <f t="shared" si="1"/>
        <v>0</v>
      </c>
      <c r="F25" s="336">
        <f>COUNTIFS('HR Track 1'!$M$5:$M$406,$A$20,'HR Track 1'!$AW$5:$AW$406,$C25,'HR Track 1'!$AY$5:$AY$406,$D25)</f>
        <v>0</v>
      </c>
      <c r="G25" s="336">
        <f>COUNTIFS('HR Track 2'!$M$5:$M$406,$A$20,'HR Track 2'!$AW$5:$AW$406,$C25,'HR Track 2'!$AY$5:$AY$406,$D25)</f>
        <v>0</v>
      </c>
      <c r="H25" s="336">
        <f>COUNTIFS('HR Track 1 MOM'!$M$5:$M$800,$A$20,'HR Track 1 MOM'!$AW$5:$AW$800,$C25,'HR Track 1 MOM'!$AY$5:$AY$800,$D25)</f>
        <v>0</v>
      </c>
      <c r="I25" s="336">
        <f>COUNTIFS('HR Track 4 MOM'!$M$5:$M$800,$A$20,'HR Track 4 MOM'!$AW$5:$AW$800,$C25,'HR Track 4 MOM'!$AY$5:$AY$800,$D25)</f>
        <v>0</v>
      </c>
      <c r="J25" s="336">
        <f>COUNTIFS('HR Track 4 PMO'!$M$5:$M$800,$A$20,'HR Track 4 PMO'!$AW$5:$AW$800,$C25,'HR Track 4 PMO'!$AY$5:$AY$800,$D25)</f>
        <v>0</v>
      </c>
      <c r="K25" s="337">
        <f>COUNTIFS('HR Track 6 PMO'!$M$5:$M$800,$A$20,'HR Track 6 PMO'!$AW$5:$AW$800,$C25,'HR Track 6 PMO'!$AY$5:$AY$800,$D25)</f>
        <v>0</v>
      </c>
      <c r="L25" s="841"/>
    </row>
    <row r="26" spans="1:12" ht="19.95" customHeight="1">
      <c r="A26" s="848" t="s">
        <v>674</v>
      </c>
      <c r="B26" s="849" t="s">
        <v>322</v>
      </c>
      <c r="C26" s="329" t="s">
        <v>1089</v>
      </c>
      <c r="D26" s="330">
        <f>VLOOKUP(B26,Foundation_Calc!$K$4:$R$37,3,FALSE)</f>
        <v>3.8</v>
      </c>
      <c r="E26" s="331">
        <f t="shared" si="1"/>
        <v>0</v>
      </c>
      <c r="F26" s="331">
        <f>COUNTIFS('HR Track 1'!$M$5:$M$406,$A$26,'HR Track 1'!$AW$5:$AW$406,$C26,'HR Track 1'!$AY$5:$AY$406,$D26)</f>
        <v>0</v>
      </c>
      <c r="G26" s="331">
        <f>COUNTIFS('HR Track 2'!$M$5:$M$406,$A$26,'HR Track 2'!$AW$5:$AW$406,$C26,'HR Track 2'!$AY$5:$AY$406,$D26)</f>
        <v>0</v>
      </c>
      <c r="H26" s="331">
        <f>COUNTIFS('HR Track 1 MOM'!$M$5:$M$800,$A$26,'HR Track 1 MOM'!$AW$5:$AW$800,$C26,'HR Track 1 MOM'!$AY$5:$AY$800,$D26)</f>
        <v>0</v>
      </c>
      <c r="I26" s="331">
        <f>COUNTIFS('HR Track 4 MOM'!$M$5:$M$800,$A$26,'HR Track 4 MOM'!$AW$5:$AW$800,$C26,'HR Track 4 MOM'!$AY$5:$AY$800,$D26)</f>
        <v>0</v>
      </c>
      <c r="J26" s="331">
        <f>COUNTIFS('HR Track 4 PMO'!$M$5:$M$800,$A$26,'HR Track 4 PMO'!$AW$5:$AW$800,$C26,'HR Track 4 PMO'!$AY$5:$AY$800,$D26)</f>
        <v>0</v>
      </c>
      <c r="K26" s="332">
        <f>COUNTIFS('HR Track 6 PMO'!$M$5:$M$800,$A$26,'HR Track 6 PMO'!$AW$5:$AW$800,$C26,'HR Track 6 PMO'!$AY$5:$AY$800,$D26)</f>
        <v>0</v>
      </c>
    </row>
    <row r="27" spans="1:12" ht="19.95" customHeight="1">
      <c r="A27" s="764"/>
      <c r="B27" s="753"/>
      <c r="C27" s="163" t="s">
        <v>1090</v>
      </c>
      <c r="D27" s="11" t="str">
        <f>VLOOKUP(B26,Foundation_Calc!$K$4:$R$37,4,FALSE)</f>
        <v>N.D.</v>
      </c>
      <c r="E27" s="7">
        <f t="shared" si="1"/>
        <v>0</v>
      </c>
      <c r="F27" s="7">
        <f>COUNTIFS('HR Track 1'!$M$5:$M$406,$A$26,'HR Track 1'!$AW$5:$AW$406,$C27,'HR Track 1'!$AY$5:$AY$406,$D27)</f>
        <v>0</v>
      </c>
      <c r="G27" s="7">
        <f>COUNTIFS('HR Track 2'!$M$5:$M$406,$A$26,'HR Track 2'!$AW$5:$AW$406,$C27,'HR Track 2'!$AY$5:$AY$406,$D27)</f>
        <v>0</v>
      </c>
      <c r="H27" s="7">
        <f>COUNTIFS('HR Track 1 MOM'!$M$5:$M$800,$A$26,'HR Track 1 MOM'!$AW$5:$AW$800,$C27,'HR Track 1 MOM'!$AY$5:$AY$800,$D27)</f>
        <v>0</v>
      </c>
      <c r="I27" s="7">
        <f>COUNTIFS('HR Track 4 MOM'!$M$5:$M$800,$A$26,'HR Track 4 MOM'!$AW$5:$AW$800,$C27,'HR Track 4 MOM'!$AY$5:$AY$800,$D27)</f>
        <v>0</v>
      </c>
      <c r="J27" s="7">
        <f>COUNTIFS('HR Track 4 PMO'!$M$5:$M$800,$A$26,'HR Track 4 PMO'!$AW$5:$AW$800,$C27,'HR Track 4 PMO'!$AY$5:$AY$800,$D27)</f>
        <v>0</v>
      </c>
      <c r="K27" s="333">
        <f>COUNTIFS('HR Track 6 PMO'!$M$5:$M$800,$A$26,'HR Track 6 PMO'!$AW$5:$AW$800,$C27,'HR Track 6 PMO'!$AY$5:$AY$800,$D27)</f>
        <v>0</v>
      </c>
    </row>
    <row r="28" spans="1:12" ht="19.95" customHeight="1">
      <c r="A28" s="764"/>
      <c r="B28" s="753"/>
      <c r="C28" s="163" t="s">
        <v>1091</v>
      </c>
      <c r="D28" s="11" t="str">
        <f>VLOOKUP(B26,Foundation_Calc!$K$4:$R$37,5,FALSE)</f>
        <v>N.D.</v>
      </c>
      <c r="E28" s="7">
        <f t="shared" si="1"/>
        <v>0</v>
      </c>
      <c r="F28" s="7">
        <f>COUNTIFS('HR Track 1'!$M$5:$M$406,$A$26,'HR Track 1'!$AW$5:$AW$406,$C28,'HR Track 1'!$AY$5:$AY$406,$D28)</f>
        <v>0</v>
      </c>
      <c r="G28" s="7">
        <f>COUNTIFS('HR Track 2'!$M$5:$M$406,$A$26,'HR Track 2'!$AW$5:$AW$406,$C28,'HR Track 2'!$AY$5:$AY$406,$D28)</f>
        <v>0</v>
      </c>
      <c r="H28" s="7">
        <f>COUNTIFS('HR Track 1 MOM'!$M$5:$M$800,$A$26,'HR Track 1 MOM'!$AW$5:$AW$800,$C28,'HR Track 1 MOM'!$AY$5:$AY$800,$D28)</f>
        <v>0</v>
      </c>
      <c r="I28" s="7">
        <f>COUNTIFS('HR Track 4 MOM'!$M$5:$M$800,$A$26,'HR Track 4 MOM'!$AW$5:$AW$800,$C28,'HR Track 4 MOM'!$AY$5:$AY$800,$D28)</f>
        <v>0</v>
      </c>
      <c r="J28" s="7">
        <f>COUNTIFS('HR Track 4 PMO'!$M$5:$M$800,$A$26,'HR Track 4 PMO'!$AW$5:$AW$800,$C28,'HR Track 4 PMO'!$AY$5:$AY$800,$D28)</f>
        <v>0</v>
      </c>
      <c r="K28" s="333">
        <f>COUNTIFS('HR Track 6 PMO'!$M$5:$M$800,$A$26,'HR Track 6 PMO'!$AW$5:$AW$800,$C28,'HR Track 6 PMO'!$AY$5:$AY$800,$D28)</f>
        <v>0</v>
      </c>
    </row>
    <row r="29" spans="1:12" ht="19.95" customHeight="1">
      <c r="A29" s="764"/>
      <c r="B29" s="753"/>
      <c r="C29" s="163" t="s">
        <v>1092</v>
      </c>
      <c r="D29" s="11" t="str">
        <f>VLOOKUP(B26,Foundation_Calc!$K$4:$R$37,6,FALSE)</f>
        <v>N.D.</v>
      </c>
      <c r="E29" s="7">
        <f t="shared" si="1"/>
        <v>0</v>
      </c>
      <c r="F29" s="7">
        <f>COUNTIFS('HR Track 1'!$M$5:$M$406,$A$26,'HR Track 1'!$AW$5:$AW$406,$C29,'HR Track 1'!$AY$5:$AY$406,$D29)</f>
        <v>0</v>
      </c>
      <c r="G29" s="7">
        <f>COUNTIFS('HR Track 2'!$M$5:$M$406,$A$26,'HR Track 2'!$AW$5:$AW$406,$C29,'HR Track 2'!$AY$5:$AY$406,$D29)</f>
        <v>0</v>
      </c>
      <c r="H29" s="7">
        <f>COUNTIFS('HR Track 1 MOM'!$M$5:$M$800,$A$26,'HR Track 1 MOM'!$AW$5:$AW$800,$C29,'HR Track 1 MOM'!$AY$5:$AY$800,$D29)</f>
        <v>0</v>
      </c>
      <c r="I29" s="7">
        <f>COUNTIFS('HR Track 4 MOM'!$M$5:$M$800,$A$26,'HR Track 4 MOM'!$AW$5:$AW$800,$C29,'HR Track 4 MOM'!$AY$5:$AY$800,$D29)</f>
        <v>0</v>
      </c>
      <c r="J29" s="7">
        <f>COUNTIFS('HR Track 4 PMO'!$M$5:$M$800,$A$26,'HR Track 4 PMO'!$AW$5:$AW$800,$C29,'HR Track 4 PMO'!$AY$5:$AY$800,$D29)</f>
        <v>0</v>
      </c>
      <c r="K29" s="333">
        <f>COUNTIFS('HR Track 6 PMO'!$M$5:$M$800,$A$26,'HR Track 6 PMO'!$AW$5:$AW$800,$C29,'HR Track 6 PMO'!$AY$5:$AY$800,$D29)</f>
        <v>0</v>
      </c>
    </row>
    <row r="30" spans="1:12" ht="19.95" customHeight="1">
      <c r="A30" s="764"/>
      <c r="B30" s="753"/>
      <c r="C30" s="163" t="s">
        <v>1093</v>
      </c>
      <c r="D30" s="11" t="str">
        <f>VLOOKUP(B26,Foundation_Calc!$K$4:$R$37,7,FALSE)</f>
        <v>N.D.</v>
      </c>
      <c r="E30" s="7">
        <f t="shared" si="1"/>
        <v>0</v>
      </c>
      <c r="F30" s="7">
        <f>COUNTIFS('HR Track 1'!$M$5:$M$406,$A$26,'HR Track 1'!$AW$5:$AW$406,$C30,'HR Track 1'!$AY$5:$AY$406,$D30)</f>
        <v>0</v>
      </c>
      <c r="G30" s="7">
        <f>COUNTIFS('HR Track 2'!$M$5:$M$406,$A$26,'HR Track 2'!$AW$5:$AW$406,$C30,'HR Track 2'!$AY$5:$AY$406,$D30)</f>
        <v>0</v>
      </c>
      <c r="H30" s="7">
        <f>COUNTIFS('HR Track 1 MOM'!$M$5:$M$800,$A$26,'HR Track 1 MOM'!$AW$5:$AW$800,$C30,'HR Track 1 MOM'!$AY$5:$AY$800,$D30)</f>
        <v>0</v>
      </c>
      <c r="I30" s="7">
        <f>COUNTIFS('HR Track 4 MOM'!$M$5:$M$800,$A$26,'HR Track 4 MOM'!$AW$5:$AW$800,$C30,'HR Track 4 MOM'!$AY$5:$AY$800,$D30)</f>
        <v>0</v>
      </c>
      <c r="J30" s="7">
        <f>COUNTIFS('HR Track 4 PMO'!$M$5:$M$800,$A$26,'HR Track 4 PMO'!$AW$5:$AW$800,$C30,'HR Track 4 PMO'!$AY$5:$AY$800,$D30)</f>
        <v>0</v>
      </c>
      <c r="K30" s="333">
        <f>COUNTIFS('HR Track 6 PMO'!$M$5:$M$800,$A$26,'HR Track 6 PMO'!$AW$5:$AW$800,$C30,'HR Track 6 PMO'!$AY$5:$AY$800,$D30)</f>
        <v>0</v>
      </c>
    </row>
    <row r="31" spans="1:12" ht="19.95" customHeight="1" thickBot="1">
      <c r="A31" s="765"/>
      <c r="B31" s="754"/>
      <c r="C31" s="334" t="s">
        <v>1094</v>
      </c>
      <c r="D31" s="335" t="str">
        <f>VLOOKUP(B26,Foundation_Calc!$K$4:$R$37,8,FALSE)</f>
        <v>N.D.</v>
      </c>
      <c r="E31" s="336">
        <f t="shared" si="1"/>
        <v>0</v>
      </c>
      <c r="F31" s="336">
        <f>COUNTIFS('HR Track 1'!$M$5:$M$406,$A$26,'HR Track 1'!$AW$5:$AW$406,$C31,'HR Track 1'!$AY$5:$AY$406,$D31)</f>
        <v>0</v>
      </c>
      <c r="G31" s="336">
        <f>COUNTIFS('HR Track 2'!$M$5:$M$406,$A$26,'HR Track 2'!$AW$5:$AW$406,$C31,'HR Track 2'!$AY$5:$AY$406,$D31)</f>
        <v>0</v>
      </c>
      <c r="H31" s="336">
        <f>COUNTIFS('HR Track 1 MOM'!$M$5:$M$800,$A$26,'HR Track 1 MOM'!$AW$5:$AW$800,$C31,'HR Track 1 MOM'!$AY$5:$AY$800,$D31)</f>
        <v>0</v>
      </c>
      <c r="I31" s="336">
        <f>COUNTIFS('HR Track 4 MOM'!$M$5:$M$800,$A$26,'HR Track 4 MOM'!$AW$5:$AW$800,$C31,'HR Track 4 MOM'!$AY$5:$AY$800,$D31)</f>
        <v>0</v>
      </c>
      <c r="J31" s="336">
        <f>COUNTIFS('HR Track 4 PMO'!$M$5:$M$800,$A$26,'HR Track 4 PMO'!$AW$5:$AW$800,$C31,'HR Track 4 PMO'!$AY$5:$AY$800,$D31)</f>
        <v>0</v>
      </c>
      <c r="K31" s="337">
        <f>COUNTIFS('HR Track 6 PMO'!$M$5:$M$800,$A$26,'HR Track 6 PMO'!$AW$5:$AW$800,$C31,'HR Track 6 PMO'!$AY$5:$AY$800,$D31)</f>
        <v>0</v>
      </c>
    </row>
    <row r="32" spans="1:12" ht="19.95" customHeight="1">
      <c r="A32" s="842" t="s">
        <v>687</v>
      </c>
      <c r="B32" s="845" t="s">
        <v>322</v>
      </c>
      <c r="C32" s="329" t="s">
        <v>1089</v>
      </c>
      <c r="D32" s="338">
        <f>VLOOKUP(B32,Foundation_Calc!$K$41:$R$74,3,FALSE)</f>
        <v>5</v>
      </c>
      <c r="E32" s="331">
        <f t="shared" si="1"/>
        <v>0</v>
      </c>
      <c r="F32" s="331">
        <f>COUNTIFS('HR Track 1'!$M$5:$M$406,$A$32,'HR Track 1'!$AW$5:$AW$406,$C32,'HR Track 1'!$AY$5:$AY$406,$D32)</f>
        <v>0</v>
      </c>
      <c r="G32" s="331">
        <f>COUNTIFS('HR Track 2'!$M$5:$M$406,$A$32,'HR Track 2'!$AW$5:$AW$406,$C32,'HR Track 2'!$AY$5:$AY$406,$D32)</f>
        <v>0</v>
      </c>
      <c r="H32" s="331">
        <f>COUNTIFS('HR Track 1 MOM'!$M$5:$M$800,$A$32,'HR Track 1 MOM'!$AW$5:$AW$800,$C32,'HR Track 1 MOM'!$AY$5:$AY$800,$D32)</f>
        <v>0</v>
      </c>
      <c r="I32" s="331">
        <f>COUNTIFS('HR Track 4 MOM'!$M$5:$M$800,$A$32,'HR Track 4 MOM'!$AW$5:$AW$800,$C32,'HR Track 4 MOM'!$AY$5:$AY$800,$D32)</f>
        <v>0</v>
      </c>
      <c r="J32" s="331">
        <f>COUNTIFS('HR Track 4 PMO'!$M$5:$M$800,$A$32,'HR Track 4 PMO'!$AW$5:$AW$800,$C32,'HR Track 4 PMO'!$AY$5:$AY$800,$D32)</f>
        <v>0</v>
      </c>
      <c r="K32" s="332">
        <f>COUNTIFS('HR Track 6 PMO'!$M$5:$M$800,$A$32,'HR Track 6 PMO'!$AW$5:$AW$800,$C32,'HR Track 6 PMO'!$AY$5:$AY$800,$D32)</f>
        <v>0</v>
      </c>
    </row>
    <row r="33" spans="1:12" ht="19.95" customHeight="1">
      <c r="A33" s="843"/>
      <c r="B33" s="846"/>
      <c r="C33" s="163" t="s">
        <v>1090</v>
      </c>
      <c r="D33" s="307" t="str">
        <f>VLOOKUP(B32,Foundation_Calc!$K$41:$R$74,4,FALSE)</f>
        <v>N.D.</v>
      </c>
      <c r="E33" s="7">
        <f t="shared" si="1"/>
        <v>0</v>
      </c>
      <c r="F33" s="7">
        <f>COUNTIFS('HR Track 1'!$M$5:$M$406,$A$32,'HR Track 1'!$AW$5:$AW$406,$C33,'HR Track 1'!$AY$5:$AY$406,$D33)</f>
        <v>0</v>
      </c>
      <c r="G33" s="7">
        <f>COUNTIFS('HR Track 2'!$M$5:$M$406,$A$32,'HR Track 2'!$AW$5:$AW$406,$C33,'HR Track 2'!$AY$5:$AY$406,$D33)</f>
        <v>0</v>
      </c>
      <c r="H33" s="7">
        <f>COUNTIFS('HR Track 1 MOM'!$M$5:$M$800,$A$32,'HR Track 1 MOM'!$AW$5:$AW$800,$C33,'HR Track 1 MOM'!$AY$5:$AY$800,$D33)</f>
        <v>0</v>
      </c>
      <c r="I33" s="7">
        <f>COUNTIFS('HR Track 4 MOM'!$M$5:$M$800,$A$32,'HR Track 4 MOM'!$AW$5:$AW$800,$C33,'HR Track 4 MOM'!$AY$5:$AY$800,$D33)</f>
        <v>0</v>
      </c>
      <c r="J33" s="7">
        <f>COUNTIFS('HR Track 4 PMO'!$M$5:$M$800,$A$32,'HR Track 4 PMO'!$AW$5:$AW$800,$C33,'HR Track 4 PMO'!$AY$5:$AY$800,$D33)</f>
        <v>0</v>
      </c>
      <c r="K33" s="333">
        <f>COUNTIFS('HR Track 6 PMO'!$M$5:$M$800,$A$32,'HR Track 6 PMO'!$AW$5:$AW$800,$C33,'HR Track 6 PMO'!$AY$5:$AY$800,$D33)</f>
        <v>0</v>
      </c>
    </row>
    <row r="34" spans="1:12" ht="19.95" customHeight="1">
      <c r="A34" s="843"/>
      <c r="B34" s="846"/>
      <c r="C34" s="163" t="s">
        <v>1091</v>
      </c>
      <c r="D34" s="307" t="str">
        <f>VLOOKUP(B32,Foundation_Calc!$K$41:$R$74,5,FALSE)</f>
        <v>N.D.</v>
      </c>
      <c r="E34" s="7">
        <f t="shared" si="1"/>
        <v>0</v>
      </c>
      <c r="F34" s="7">
        <f>COUNTIFS('HR Track 1'!$M$5:$M$406,$A$32,'HR Track 1'!$AW$5:$AW$406,$C34,'HR Track 1'!$AY$5:$AY$406,$D34)</f>
        <v>0</v>
      </c>
      <c r="G34" s="7">
        <f>COUNTIFS('HR Track 2'!$M$5:$M$406,$A$32,'HR Track 2'!$AW$5:$AW$406,$C34,'HR Track 2'!$AY$5:$AY$406,$D34)</f>
        <v>0</v>
      </c>
      <c r="H34" s="7">
        <f>COUNTIFS('HR Track 1 MOM'!$M$5:$M$800,$A$32,'HR Track 1 MOM'!$AW$5:$AW$800,$C34,'HR Track 1 MOM'!$AY$5:$AY$800,$D34)</f>
        <v>0</v>
      </c>
      <c r="I34" s="7">
        <f>COUNTIFS('HR Track 4 MOM'!$M$5:$M$800,$A$32,'HR Track 4 MOM'!$AW$5:$AW$800,$C34,'HR Track 4 MOM'!$AY$5:$AY$800,$D34)</f>
        <v>0</v>
      </c>
      <c r="J34" s="7">
        <f>COUNTIFS('HR Track 4 PMO'!$M$5:$M$800,$A$32,'HR Track 4 PMO'!$AW$5:$AW$800,$C34,'HR Track 4 PMO'!$AY$5:$AY$800,$D34)</f>
        <v>0</v>
      </c>
      <c r="K34" s="333">
        <f>COUNTIFS('HR Track 6 PMO'!$M$5:$M$800,$A$32,'HR Track 6 PMO'!$AW$5:$AW$800,$C34,'HR Track 6 PMO'!$AY$5:$AY$800,$D34)</f>
        <v>0</v>
      </c>
    </row>
    <row r="35" spans="1:12" ht="19.95" customHeight="1">
      <c r="A35" s="843"/>
      <c r="B35" s="846"/>
      <c r="C35" s="163" t="s">
        <v>1092</v>
      </c>
      <c r="D35" s="307" t="str">
        <f>VLOOKUP(B32,Foundation_Calc!$K$41:$R$74,6,FALSE)</f>
        <v>N.D.</v>
      </c>
      <c r="E35" s="7">
        <f t="shared" si="1"/>
        <v>0</v>
      </c>
      <c r="F35" s="7">
        <f>COUNTIFS('HR Track 1'!$M$5:$M$406,$A$32,'HR Track 1'!$AW$5:$AW$406,$C35,'HR Track 1'!$AY$5:$AY$406,$D35)</f>
        <v>0</v>
      </c>
      <c r="G35" s="7">
        <f>COUNTIFS('HR Track 2'!$M$5:$M$406,$A$32,'HR Track 2'!$AW$5:$AW$406,$C35,'HR Track 2'!$AY$5:$AY$406,$D35)</f>
        <v>0</v>
      </c>
      <c r="H35" s="7">
        <f>COUNTIFS('HR Track 1 MOM'!$M$5:$M$800,$A$32,'HR Track 1 MOM'!$AW$5:$AW$800,$C35,'HR Track 1 MOM'!$AY$5:$AY$800,$D35)</f>
        <v>0</v>
      </c>
      <c r="I35" s="7">
        <f>COUNTIFS('HR Track 4 MOM'!$M$5:$M$800,$A$32,'HR Track 4 MOM'!$AW$5:$AW$800,$C35,'HR Track 4 MOM'!$AY$5:$AY$800,$D35)</f>
        <v>0</v>
      </c>
      <c r="J35" s="7">
        <f>COUNTIFS('HR Track 4 PMO'!$M$5:$M$800,$A$32,'HR Track 4 PMO'!$AW$5:$AW$800,$C35,'HR Track 4 PMO'!$AY$5:$AY$800,$D35)</f>
        <v>0</v>
      </c>
      <c r="K35" s="333">
        <f>COUNTIFS('HR Track 6 PMO'!$M$5:$M$800,$A$32,'HR Track 6 PMO'!$AW$5:$AW$800,$C35,'HR Track 6 PMO'!$AY$5:$AY$800,$D35)</f>
        <v>0</v>
      </c>
    </row>
    <row r="36" spans="1:12" ht="19.95" customHeight="1">
      <c r="A36" s="843"/>
      <c r="B36" s="846"/>
      <c r="C36" s="163" t="s">
        <v>1093</v>
      </c>
      <c r="D36" s="307" t="str">
        <f>VLOOKUP(B32,Foundation_Calc!$K$41:$R$74,7,FALSE)</f>
        <v>N.D.</v>
      </c>
      <c r="E36" s="7">
        <f t="shared" si="1"/>
        <v>0</v>
      </c>
      <c r="F36" s="7">
        <f>COUNTIFS('HR Track 1'!$M$5:$M$406,$A$32,'HR Track 1'!$AW$5:$AW$406,$C36,'HR Track 1'!$AY$5:$AY$406,$D36)</f>
        <v>0</v>
      </c>
      <c r="G36" s="7">
        <f>COUNTIFS('HR Track 2'!$M$5:$M$406,$A$32,'HR Track 2'!$AW$5:$AW$406,$C36,'HR Track 2'!$AY$5:$AY$406,$D36)</f>
        <v>0</v>
      </c>
      <c r="H36" s="7">
        <f>COUNTIFS('HR Track 1 MOM'!$M$5:$M$800,$A$32,'HR Track 1 MOM'!$AW$5:$AW$800,$C36,'HR Track 1 MOM'!$AY$5:$AY$800,$D36)</f>
        <v>0</v>
      </c>
      <c r="I36" s="7">
        <f>COUNTIFS('HR Track 4 MOM'!$M$5:$M$800,$A$32,'HR Track 4 MOM'!$AW$5:$AW$800,$C36,'HR Track 4 MOM'!$AY$5:$AY$800,$D36)</f>
        <v>0</v>
      </c>
      <c r="J36" s="7">
        <f>COUNTIFS('HR Track 4 PMO'!$M$5:$M$800,$A$32,'HR Track 4 PMO'!$AW$5:$AW$800,$C36,'HR Track 4 PMO'!$AY$5:$AY$800,$D36)</f>
        <v>0</v>
      </c>
      <c r="K36" s="333">
        <f>COUNTIFS('HR Track 6 PMO'!$M$5:$M$800,$A$32,'HR Track 6 PMO'!$AW$5:$AW$800,$C36,'HR Track 6 PMO'!$AY$5:$AY$800,$D36)</f>
        <v>0</v>
      </c>
    </row>
    <row r="37" spans="1:12" ht="19.95" customHeight="1" thickBot="1">
      <c r="A37" s="844"/>
      <c r="B37" s="847"/>
      <c r="C37" s="334" t="s">
        <v>1094</v>
      </c>
      <c r="D37" s="339" t="str">
        <f>VLOOKUP(B32,Foundation_Calc!$K$41:$R$74,8,FALSE)</f>
        <v>N.D.</v>
      </c>
      <c r="E37" s="336">
        <f t="shared" si="1"/>
        <v>0</v>
      </c>
      <c r="F37" s="336">
        <f>COUNTIFS('HR Track 1'!$M$5:$M$406,$A$32,'HR Track 1'!$AW$5:$AW$406,$C37,'HR Track 1'!$AY$5:$AY$406,$D37)</f>
        <v>0</v>
      </c>
      <c r="G37" s="336">
        <f>COUNTIFS('HR Track 2'!$M$5:$M$406,$A$32,'HR Track 2'!$AW$5:$AW$406,$C37,'HR Track 2'!$AY$5:$AY$406,$D37)</f>
        <v>0</v>
      </c>
      <c r="H37" s="336">
        <f>COUNTIFS('HR Track 1 MOM'!$M$5:$M$800,$A$32,'HR Track 1 MOM'!$AW$5:$AW$800,$C37,'HR Track 1 MOM'!$AY$5:$AY$800,$D37)</f>
        <v>0</v>
      </c>
      <c r="I37" s="336">
        <f>COUNTIFS('HR Track 4 MOM'!$M$5:$M$800,$A$32,'HR Track 4 MOM'!$AW$5:$AW$800,$C37,'HR Track 4 MOM'!$AY$5:$AY$800,$D37)</f>
        <v>0</v>
      </c>
      <c r="J37" s="336">
        <f>COUNTIFS('HR Track 4 PMO'!$M$5:$M$800,$A$32,'HR Track 4 PMO'!$AW$5:$AW$800,$C37,'HR Track 4 PMO'!$AY$5:$AY$800,$D37)</f>
        <v>0</v>
      </c>
      <c r="K37" s="337">
        <f>COUNTIFS('HR Track 6 PMO'!$M$5:$M$800,$A$32,'HR Track 6 PMO'!$AW$5:$AW$800,$C37,'HR Track 6 PMO'!$AY$5:$AY$800,$D37)</f>
        <v>0</v>
      </c>
    </row>
    <row r="38" spans="1:12" ht="19.95" customHeight="1">
      <c r="A38" s="848" t="s">
        <v>678</v>
      </c>
      <c r="B38" s="849" t="s">
        <v>40</v>
      </c>
      <c r="C38" s="329" t="s">
        <v>1089</v>
      </c>
      <c r="D38" s="330">
        <f>VLOOKUP(B38,Foundation_Calc!$K$4:$R$37,3,FALSE)</f>
        <v>3.7</v>
      </c>
      <c r="E38" s="331">
        <f t="shared" si="1"/>
        <v>0</v>
      </c>
      <c r="F38" s="331">
        <f>COUNTIFS('HR Track 1'!$M$5:$M$406,$A$38,'HR Track 1'!$AW$5:$AW$406,$C38,'HR Track 1'!$AY$5:$AY$406,$D38)</f>
        <v>0</v>
      </c>
      <c r="G38" s="331">
        <f>COUNTIFS('HR Track 2'!$M$5:$M$406,$A$38,'HR Track 2'!$AW$5:$AW$406,$C38,'HR Track 2'!$AY$5:$AY$406,$D38)</f>
        <v>0</v>
      </c>
      <c r="H38" s="331">
        <f>COUNTIFS('HR Track 1 MOM'!$M$5:$M$800,$A$38,'HR Track 1 MOM'!$AW$5:$AW$800,$C38,'HR Track 1 MOM'!$AY$5:$AY$800,$D38)</f>
        <v>0</v>
      </c>
      <c r="I38" s="331">
        <f>COUNTIFS('HR Track 4 MOM'!$M$5:$M$800,$A$38,'HR Track 4 MOM'!$AW$5:$AW$800,$C38,'HR Track 4 MOM'!$AY$5:$AY$800,$D38)</f>
        <v>0</v>
      </c>
      <c r="J38" s="331">
        <f>COUNTIFS('HR Track 4 PMO'!$M$5:$M$800,$A$38,'HR Track 4 PMO'!$AW$5:$AW$800,$C38,'HR Track 4 PMO'!$AY$5:$AY$800,$D38)</f>
        <v>0</v>
      </c>
      <c r="K38" s="332">
        <f>COUNTIFS('HR Track 6 PMO'!$M$5:$M$800,$A$38,'HR Track 6 PMO'!$AW$5:$AW$800,$C38,'HR Track 6 PMO'!$AY$5:$AY$800,$D38)</f>
        <v>0</v>
      </c>
      <c r="L38" s="836" t="s">
        <v>453</v>
      </c>
    </row>
    <row r="39" spans="1:12" ht="19.95" customHeight="1">
      <c r="A39" s="764"/>
      <c r="B39" s="753"/>
      <c r="C39" s="163" t="s">
        <v>1090</v>
      </c>
      <c r="D39" s="11" t="str">
        <f>VLOOKUP(B38,Foundation_Calc!$K$4:$R$37,4,FALSE)</f>
        <v>N.D.</v>
      </c>
      <c r="E39" s="7">
        <f t="shared" si="1"/>
        <v>0</v>
      </c>
      <c r="F39" s="7">
        <f>COUNTIFS('HR Track 1'!$M$5:$M$406,$A$38,'HR Track 1'!$AW$5:$AW$406,$C39,'HR Track 1'!$AY$5:$AY$406,$D39)</f>
        <v>0</v>
      </c>
      <c r="G39" s="7">
        <f>COUNTIFS('HR Track 2'!$M$5:$M$406,$A$38,'HR Track 2'!$AW$5:$AW$406,$C39,'HR Track 2'!$AY$5:$AY$406,$D39)</f>
        <v>0</v>
      </c>
      <c r="H39" s="7">
        <f>COUNTIFS('HR Track 1 MOM'!$M$5:$M$800,$A$38,'HR Track 1 MOM'!$AW$5:$AW$800,$C39,'HR Track 1 MOM'!$AY$5:$AY$800,$D39)</f>
        <v>0</v>
      </c>
      <c r="I39" s="7">
        <f>COUNTIFS('HR Track 4 MOM'!$M$5:$M$800,$A$38,'HR Track 4 MOM'!$AW$5:$AW$800,$C39,'HR Track 4 MOM'!$AY$5:$AY$800,$D39)</f>
        <v>0</v>
      </c>
      <c r="J39" s="7">
        <f>COUNTIFS('HR Track 4 PMO'!$M$5:$M$800,$A$38,'HR Track 4 PMO'!$AW$5:$AW$800,$C39,'HR Track 4 PMO'!$AY$5:$AY$800,$D39)</f>
        <v>0</v>
      </c>
      <c r="K39" s="333">
        <f>COUNTIFS('HR Track 6 PMO'!$M$5:$M$800,$A$38,'HR Track 6 PMO'!$AW$5:$AW$800,$C39,'HR Track 6 PMO'!$AY$5:$AY$800,$D39)</f>
        <v>0</v>
      </c>
      <c r="L39" s="837"/>
    </row>
    <row r="40" spans="1:12" ht="19.95" customHeight="1">
      <c r="A40" s="764"/>
      <c r="B40" s="753"/>
      <c r="C40" s="163" t="s">
        <v>1091</v>
      </c>
      <c r="D40" s="11" t="str">
        <f>VLOOKUP(B38,Foundation_Calc!$K$4:$R$37,5,FALSE)</f>
        <v>N.D.</v>
      </c>
      <c r="E40" s="7">
        <f t="shared" si="1"/>
        <v>0</v>
      </c>
      <c r="F40" s="7">
        <f>COUNTIFS('HR Track 1'!$M$5:$M$406,$A$38,'HR Track 1'!$AW$5:$AW$406,$C40,'HR Track 1'!$AY$5:$AY$406,$D40)</f>
        <v>0</v>
      </c>
      <c r="G40" s="7">
        <f>COUNTIFS('HR Track 2'!$M$5:$M$406,$A$38,'HR Track 2'!$AW$5:$AW$406,$C40,'HR Track 2'!$AY$5:$AY$406,$D40)</f>
        <v>0</v>
      </c>
      <c r="H40" s="7">
        <f>COUNTIFS('HR Track 1 MOM'!$M$5:$M$800,$A$38,'HR Track 1 MOM'!$AW$5:$AW$800,$C40,'HR Track 1 MOM'!$AY$5:$AY$800,$D40)</f>
        <v>0</v>
      </c>
      <c r="I40" s="7">
        <f>COUNTIFS('HR Track 4 MOM'!$M$5:$M$800,$A$38,'HR Track 4 MOM'!$AW$5:$AW$800,$C40,'HR Track 4 MOM'!$AY$5:$AY$800,$D40)</f>
        <v>0</v>
      </c>
      <c r="J40" s="7">
        <f>COUNTIFS('HR Track 4 PMO'!$M$5:$M$800,$A$38,'HR Track 4 PMO'!$AW$5:$AW$800,$C40,'HR Track 4 PMO'!$AY$5:$AY$800,$D40)</f>
        <v>0</v>
      </c>
      <c r="K40" s="333">
        <f>COUNTIFS('HR Track 6 PMO'!$M$5:$M$800,$A$38,'HR Track 6 PMO'!$AW$5:$AW$800,$C40,'HR Track 6 PMO'!$AY$5:$AY$800,$D40)</f>
        <v>0</v>
      </c>
      <c r="L40" s="837"/>
    </row>
    <row r="41" spans="1:12" ht="19.95" customHeight="1">
      <c r="A41" s="764"/>
      <c r="B41" s="753"/>
      <c r="C41" s="163" t="s">
        <v>1092</v>
      </c>
      <c r="D41" s="11" t="str">
        <f>VLOOKUP(B38,Foundation_Calc!$K$4:$R$37,6,FALSE)</f>
        <v>N.D.</v>
      </c>
      <c r="E41" s="7">
        <f t="shared" si="1"/>
        <v>0</v>
      </c>
      <c r="F41" s="7">
        <f>COUNTIFS('HR Track 1'!$M$5:$M$406,$A$38,'HR Track 1'!$AW$5:$AW$406,$C41,'HR Track 1'!$AY$5:$AY$406,$D41)</f>
        <v>0</v>
      </c>
      <c r="G41" s="7">
        <f>COUNTIFS('HR Track 2'!$M$5:$M$406,$A$38,'HR Track 2'!$AW$5:$AW$406,$C41,'HR Track 2'!$AY$5:$AY$406,$D41)</f>
        <v>0</v>
      </c>
      <c r="H41" s="7">
        <f>COUNTIFS('HR Track 1 MOM'!$M$5:$M$800,$A$38,'HR Track 1 MOM'!$AW$5:$AW$800,$C41,'HR Track 1 MOM'!$AY$5:$AY$800,$D41)</f>
        <v>0</v>
      </c>
      <c r="I41" s="7">
        <f>COUNTIFS('HR Track 4 MOM'!$M$5:$M$800,$A$38,'HR Track 4 MOM'!$AW$5:$AW$800,$C41,'HR Track 4 MOM'!$AY$5:$AY$800,$D41)</f>
        <v>0</v>
      </c>
      <c r="J41" s="7">
        <f>COUNTIFS('HR Track 4 PMO'!$M$5:$M$800,$A$38,'HR Track 4 PMO'!$AW$5:$AW$800,$C41,'HR Track 4 PMO'!$AY$5:$AY$800,$D41)</f>
        <v>0</v>
      </c>
      <c r="K41" s="333">
        <f>COUNTIFS('HR Track 6 PMO'!$M$5:$M$800,$A$38,'HR Track 6 PMO'!$AW$5:$AW$800,$C41,'HR Track 6 PMO'!$AY$5:$AY$800,$D41)</f>
        <v>0</v>
      </c>
      <c r="L41" s="837"/>
    </row>
    <row r="42" spans="1:12" ht="19.95" customHeight="1">
      <c r="A42" s="764"/>
      <c r="B42" s="753"/>
      <c r="C42" s="163" t="s">
        <v>1093</v>
      </c>
      <c r="D42" s="11" t="str">
        <f>VLOOKUP(B38,Foundation_Calc!$K$4:$R$37,7,FALSE)</f>
        <v>N.D.</v>
      </c>
      <c r="E42" s="7">
        <f t="shared" si="1"/>
        <v>0</v>
      </c>
      <c r="F42" s="7">
        <f>COUNTIFS('HR Track 1'!$M$5:$M$406,$A$38,'HR Track 1'!$AW$5:$AW$406,$C42,'HR Track 1'!$AY$5:$AY$406,$D42)</f>
        <v>0</v>
      </c>
      <c r="G42" s="7">
        <f>COUNTIFS('HR Track 2'!$M$5:$M$406,$A$38,'HR Track 2'!$AW$5:$AW$406,$C42,'HR Track 2'!$AY$5:$AY$406,$D42)</f>
        <v>0</v>
      </c>
      <c r="H42" s="7">
        <f>COUNTIFS('HR Track 1 MOM'!$M$5:$M$800,$A$38,'HR Track 1 MOM'!$AW$5:$AW$800,$C42,'HR Track 1 MOM'!$AY$5:$AY$800,$D42)</f>
        <v>0</v>
      </c>
      <c r="I42" s="7">
        <f>COUNTIFS('HR Track 4 MOM'!$M$5:$M$800,$A$38,'HR Track 4 MOM'!$AW$5:$AW$800,$C42,'HR Track 4 MOM'!$AY$5:$AY$800,$D42)</f>
        <v>0</v>
      </c>
      <c r="J42" s="7">
        <f>COUNTIFS('HR Track 4 PMO'!$M$5:$M$800,$A$38,'HR Track 4 PMO'!$AW$5:$AW$800,$C42,'HR Track 4 PMO'!$AY$5:$AY$800,$D42)</f>
        <v>0</v>
      </c>
      <c r="K42" s="333">
        <f>COUNTIFS('HR Track 6 PMO'!$M$5:$M$800,$A$38,'HR Track 6 PMO'!$AW$5:$AW$800,$C42,'HR Track 6 PMO'!$AY$5:$AY$800,$D42)</f>
        <v>0</v>
      </c>
      <c r="L42" s="837"/>
    </row>
    <row r="43" spans="1:12" ht="19.95" customHeight="1" thickBot="1">
      <c r="A43" s="765"/>
      <c r="B43" s="754"/>
      <c r="C43" s="334" t="s">
        <v>1094</v>
      </c>
      <c r="D43" s="335" t="str">
        <f>VLOOKUP(B38,Foundation_Calc!$K$4:$R$37,8,FALSE)</f>
        <v>N.D.</v>
      </c>
      <c r="E43" s="336">
        <f t="shared" si="1"/>
        <v>0</v>
      </c>
      <c r="F43" s="336">
        <f>COUNTIFS('HR Track 1'!$M$5:$M$406,$A$38,'HR Track 1'!$AW$5:$AW$406,$C43,'HR Track 1'!$AY$5:$AY$406,$D43)</f>
        <v>0</v>
      </c>
      <c r="G43" s="336">
        <f>COUNTIFS('HR Track 2'!$M$5:$M$406,$A$38,'HR Track 2'!$AW$5:$AW$406,$C43,'HR Track 2'!$AY$5:$AY$406,$D43)</f>
        <v>0</v>
      </c>
      <c r="H43" s="336">
        <f>COUNTIFS('HR Track 1 MOM'!$M$5:$M$800,$A$38,'HR Track 1 MOM'!$AW$5:$AW$800,$C43,'HR Track 1 MOM'!$AY$5:$AY$800,$D43)</f>
        <v>0</v>
      </c>
      <c r="I43" s="336">
        <f>COUNTIFS('HR Track 4 MOM'!$M$5:$M$800,$A$38,'HR Track 4 MOM'!$AW$5:$AW$800,$C43,'HR Track 4 MOM'!$AY$5:$AY$800,$D43)</f>
        <v>0</v>
      </c>
      <c r="J43" s="336">
        <f>COUNTIFS('HR Track 4 PMO'!$M$5:$M$800,$A$38,'HR Track 4 PMO'!$AW$5:$AW$800,$C43,'HR Track 4 PMO'!$AY$5:$AY$800,$D43)</f>
        <v>0</v>
      </c>
      <c r="K43" s="337">
        <f>COUNTIFS('HR Track 6 PMO'!$M$5:$M$800,$A$38,'HR Track 6 PMO'!$AW$5:$AW$800,$C43,'HR Track 6 PMO'!$AY$5:$AY$800,$D43)</f>
        <v>0</v>
      </c>
      <c r="L43" s="838"/>
    </row>
    <row r="44" spans="1:12" ht="19.95" customHeight="1">
      <c r="A44" s="842" t="s">
        <v>689</v>
      </c>
      <c r="B44" s="845" t="s">
        <v>40</v>
      </c>
      <c r="C44" s="329" t="s">
        <v>1089</v>
      </c>
      <c r="D44" s="338">
        <f>VLOOKUP(B44,Foundation_Calc!$K$41:$R$74,3,FALSE)</f>
        <v>4.5</v>
      </c>
      <c r="E44" s="331">
        <f t="shared" si="1"/>
        <v>0</v>
      </c>
      <c r="F44" s="331">
        <f>COUNTIFS('HR Track 1'!$M$5:$M$406,$A$44,'HR Track 1'!$AW$5:$AW$406,$C44,'HR Track 1'!$AY$5:$AY$406,$D44)</f>
        <v>0</v>
      </c>
      <c r="G44" s="331">
        <f>COUNTIFS('HR Track 2'!$M$5:$M$406,$A$44,'HR Track 2'!$AW$5:$AW$406,$C44,'HR Track 2'!$AY$5:$AY$406,$D44)</f>
        <v>0</v>
      </c>
      <c r="H44" s="331">
        <f>COUNTIFS('HR Track 1 MOM'!$M$5:$M$800,$A$44,'HR Track 1 MOM'!$AW$5:$AW$800,$C44,'HR Track 1 MOM'!$AY$5:$AY$800,$D44)</f>
        <v>0</v>
      </c>
      <c r="I44" s="331">
        <f>COUNTIFS('HR Track 4 MOM'!$M$5:$M$800,$A$44,'HR Track 4 MOM'!$AW$5:$AW$800,$C44,'HR Track 4 MOM'!$AY$5:$AY$800,$D44)</f>
        <v>0</v>
      </c>
      <c r="J44" s="331">
        <f>COUNTIFS('HR Track 4 PMO'!$M$5:$M$800,$A$44,'HR Track 4 PMO'!$AW$5:$AW$800,$C44,'HR Track 4 PMO'!$AY$5:$AY$800,$D44)</f>
        <v>0</v>
      </c>
      <c r="K44" s="332">
        <f>COUNTIFS('HR Track 6 PMO'!$M$5:$M$800,$A$44,'HR Track 6 PMO'!$AW$5:$AW$800,$C44,'HR Track 6 PMO'!$AY$5:$AY$800,$D44)</f>
        <v>0</v>
      </c>
      <c r="L44" s="839" t="s">
        <v>453</v>
      </c>
    </row>
    <row r="45" spans="1:12" ht="19.95" customHeight="1">
      <c r="A45" s="843"/>
      <c r="B45" s="846"/>
      <c r="C45" s="163" t="s">
        <v>1090</v>
      </c>
      <c r="D45" s="307" t="str">
        <f>VLOOKUP(B44,Foundation_Calc!$K$41:$R$74,4,FALSE)</f>
        <v>N.D.</v>
      </c>
      <c r="E45" s="7">
        <f t="shared" si="1"/>
        <v>0</v>
      </c>
      <c r="F45" s="7">
        <f>COUNTIFS('HR Track 1'!$M$5:$M$406,$A$44,'HR Track 1'!$AW$5:$AW$406,$C45,'HR Track 1'!$AY$5:$AY$406,$D45)</f>
        <v>0</v>
      </c>
      <c r="G45" s="7">
        <f>COUNTIFS('HR Track 2'!$M$5:$M$406,$A$44,'HR Track 2'!$AW$5:$AW$406,$C45,'HR Track 2'!$AY$5:$AY$406,$D45)</f>
        <v>0</v>
      </c>
      <c r="H45" s="7">
        <f>COUNTIFS('HR Track 1 MOM'!$M$5:$M$800,$A$44,'HR Track 1 MOM'!$AW$5:$AW$800,$C45,'HR Track 1 MOM'!$AY$5:$AY$800,$D45)</f>
        <v>0</v>
      </c>
      <c r="I45" s="7">
        <f>COUNTIFS('HR Track 4 MOM'!$M$5:$M$800,$A$44,'HR Track 4 MOM'!$AW$5:$AW$800,$C45,'HR Track 4 MOM'!$AY$5:$AY$800,$D45)</f>
        <v>0</v>
      </c>
      <c r="J45" s="7">
        <f>COUNTIFS('HR Track 4 PMO'!$M$5:$M$800,$A$44,'HR Track 4 PMO'!$AW$5:$AW$800,$C45,'HR Track 4 PMO'!$AY$5:$AY$800,$D45)</f>
        <v>0</v>
      </c>
      <c r="K45" s="333">
        <f>COUNTIFS('HR Track 6 PMO'!$M$5:$M$800,$A$44,'HR Track 6 PMO'!$AW$5:$AW$800,$C45,'HR Track 6 PMO'!$AY$5:$AY$800,$D45)</f>
        <v>0</v>
      </c>
      <c r="L45" s="840"/>
    </row>
    <row r="46" spans="1:12" ht="19.95" customHeight="1">
      <c r="A46" s="843"/>
      <c r="B46" s="846"/>
      <c r="C46" s="163" t="s">
        <v>1091</v>
      </c>
      <c r="D46" s="307" t="str">
        <f>VLOOKUP(B44,Foundation_Calc!$K$41:$R$74,5,FALSE)</f>
        <v>N.D.</v>
      </c>
      <c r="E46" s="7">
        <f t="shared" si="1"/>
        <v>0</v>
      </c>
      <c r="F46" s="7">
        <f>COUNTIFS('HR Track 1'!$M$5:$M$406,$A$44,'HR Track 1'!$AW$5:$AW$406,$C46,'HR Track 1'!$AY$5:$AY$406,$D46)</f>
        <v>0</v>
      </c>
      <c r="G46" s="7">
        <f>COUNTIFS('HR Track 2'!$M$5:$M$406,$A$44,'HR Track 2'!$AW$5:$AW$406,$C46,'HR Track 2'!$AY$5:$AY$406,$D46)</f>
        <v>0</v>
      </c>
      <c r="H46" s="7">
        <f>COUNTIFS('HR Track 1 MOM'!$M$5:$M$800,$A$44,'HR Track 1 MOM'!$AW$5:$AW$800,$C46,'HR Track 1 MOM'!$AY$5:$AY$800,$D46)</f>
        <v>0</v>
      </c>
      <c r="I46" s="7">
        <f>COUNTIFS('HR Track 4 MOM'!$M$5:$M$800,$A$44,'HR Track 4 MOM'!$AW$5:$AW$800,$C46,'HR Track 4 MOM'!$AY$5:$AY$800,$D46)</f>
        <v>0</v>
      </c>
      <c r="J46" s="7">
        <f>COUNTIFS('HR Track 4 PMO'!$M$5:$M$800,$A$44,'HR Track 4 PMO'!$AW$5:$AW$800,$C46,'HR Track 4 PMO'!$AY$5:$AY$800,$D46)</f>
        <v>0</v>
      </c>
      <c r="K46" s="333">
        <f>COUNTIFS('HR Track 6 PMO'!$M$5:$M$800,$A$44,'HR Track 6 PMO'!$AW$5:$AW$800,$C46,'HR Track 6 PMO'!$AY$5:$AY$800,$D46)</f>
        <v>0</v>
      </c>
      <c r="L46" s="840"/>
    </row>
    <row r="47" spans="1:12" ht="19.95" customHeight="1">
      <c r="A47" s="843"/>
      <c r="B47" s="846"/>
      <c r="C47" s="163" t="s">
        <v>1092</v>
      </c>
      <c r="D47" s="307" t="str">
        <f>VLOOKUP(B44,Foundation_Calc!$K$41:$R$74,6,FALSE)</f>
        <v>N.D.</v>
      </c>
      <c r="E47" s="7">
        <f t="shared" si="1"/>
        <v>0</v>
      </c>
      <c r="F47" s="7">
        <f>COUNTIFS('HR Track 1'!$M$5:$M$406,$A$44,'HR Track 1'!$AW$5:$AW$406,$C47,'HR Track 1'!$AY$5:$AY$406,$D47)</f>
        <v>0</v>
      </c>
      <c r="G47" s="7">
        <f>COUNTIFS('HR Track 2'!$M$5:$M$406,$A$44,'HR Track 2'!$AW$5:$AW$406,$C47,'HR Track 2'!$AY$5:$AY$406,$D47)</f>
        <v>0</v>
      </c>
      <c r="H47" s="7">
        <f>COUNTIFS('HR Track 1 MOM'!$M$5:$M$800,$A$44,'HR Track 1 MOM'!$AW$5:$AW$800,$C47,'HR Track 1 MOM'!$AY$5:$AY$800,$D47)</f>
        <v>0</v>
      </c>
      <c r="I47" s="7">
        <f>COUNTIFS('HR Track 4 MOM'!$M$5:$M$800,$A$44,'HR Track 4 MOM'!$AW$5:$AW$800,$C47,'HR Track 4 MOM'!$AY$5:$AY$800,$D47)</f>
        <v>0</v>
      </c>
      <c r="J47" s="7">
        <f>COUNTIFS('HR Track 4 PMO'!$M$5:$M$800,$A$44,'HR Track 4 PMO'!$AW$5:$AW$800,$C47,'HR Track 4 PMO'!$AY$5:$AY$800,$D47)</f>
        <v>0</v>
      </c>
      <c r="K47" s="333">
        <f>COUNTIFS('HR Track 6 PMO'!$M$5:$M$800,$A$44,'HR Track 6 PMO'!$AW$5:$AW$800,$C47,'HR Track 6 PMO'!$AY$5:$AY$800,$D47)</f>
        <v>0</v>
      </c>
      <c r="L47" s="840"/>
    </row>
    <row r="48" spans="1:12" ht="19.95" customHeight="1">
      <c r="A48" s="843"/>
      <c r="B48" s="846"/>
      <c r="C48" s="163" t="s">
        <v>1093</v>
      </c>
      <c r="D48" s="307" t="str">
        <f>VLOOKUP(B44,Foundation_Calc!$K$41:$R$74,7,FALSE)</f>
        <v>N.D.</v>
      </c>
      <c r="E48" s="7">
        <f t="shared" si="1"/>
        <v>0</v>
      </c>
      <c r="F48" s="7">
        <f>COUNTIFS('HR Track 1'!$M$5:$M$406,$A$44,'HR Track 1'!$AW$5:$AW$406,$C48,'HR Track 1'!$AY$5:$AY$406,$D48)</f>
        <v>0</v>
      </c>
      <c r="G48" s="7">
        <f>COUNTIFS('HR Track 2'!$M$5:$M$406,$A$44,'HR Track 2'!$AW$5:$AW$406,$C48,'HR Track 2'!$AY$5:$AY$406,$D48)</f>
        <v>0</v>
      </c>
      <c r="H48" s="7">
        <f>COUNTIFS('HR Track 1 MOM'!$M$5:$M$800,$A$44,'HR Track 1 MOM'!$AW$5:$AW$800,$C48,'HR Track 1 MOM'!$AY$5:$AY$800,$D48)</f>
        <v>0</v>
      </c>
      <c r="I48" s="7">
        <f>COUNTIFS('HR Track 4 MOM'!$M$5:$M$800,$A$44,'HR Track 4 MOM'!$AW$5:$AW$800,$C48,'HR Track 4 MOM'!$AY$5:$AY$800,$D48)</f>
        <v>0</v>
      </c>
      <c r="J48" s="7">
        <f>COUNTIFS('HR Track 4 PMO'!$M$5:$M$800,$A$44,'HR Track 4 PMO'!$AW$5:$AW$800,$C48,'HR Track 4 PMO'!$AY$5:$AY$800,$D48)</f>
        <v>0</v>
      </c>
      <c r="K48" s="333">
        <f>COUNTIFS('HR Track 6 PMO'!$M$5:$M$800,$A$44,'HR Track 6 PMO'!$AW$5:$AW$800,$C48,'HR Track 6 PMO'!$AY$5:$AY$800,$D48)</f>
        <v>0</v>
      </c>
      <c r="L48" s="840"/>
    </row>
    <row r="49" spans="1:12" ht="19.95" customHeight="1" thickBot="1">
      <c r="A49" s="844"/>
      <c r="B49" s="847"/>
      <c r="C49" s="334" t="s">
        <v>1094</v>
      </c>
      <c r="D49" s="339" t="str">
        <f>VLOOKUP(B44,Foundation_Calc!$K$41:$R$74,8,FALSE)</f>
        <v>N.D.</v>
      </c>
      <c r="E49" s="336">
        <f t="shared" si="1"/>
        <v>0</v>
      </c>
      <c r="F49" s="336">
        <f>COUNTIFS('HR Track 1'!$M$5:$M$406,$A$44,'HR Track 1'!$AW$5:$AW$406,$C49,'HR Track 1'!$AY$5:$AY$406,$D49)</f>
        <v>0</v>
      </c>
      <c r="G49" s="336">
        <f>COUNTIFS('HR Track 2'!$M$5:$M$406,$A$44,'HR Track 2'!$AW$5:$AW$406,$C49,'HR Track 2'!$AY$5:$AY$406,$D49)</f>
        <v>0</v>
      </c>
      <c r="H49" s="336">
        <f>COUNTIFS('HR Track 1 MOM'!$M$5:$M$800,$A$44,'HR Track 1 MOM'!$AW$5:$AW$800,$C49,'HR Track 1 MOM'!$AY$5:$AY$800,$D49)</f>
        <v>0</v>
      </c>
      <c r="I49" s="336">
        <f>COUNTIFS('HR Track 4 MOM'!$M$5:$M$800,$A$44,'HR Track 4 MOM'!$AW$5:$AW$800,$C49,'HR Track 4 MOM'!$AY$5:$AY$800,$D49)</f>
        <v>0</v>
      </c>
      <c r="J49" s="336">
        <f>COUNTIFS('HR Track 4 PMO'!$M$5:$M$800,$A$44,'HR Track 4 PMO'!$AW$5:$AW$800,$C49,'HR Track 4 PMO'!$AY$5:$AY$800,$D49)</f>
        <v>0</v>
      </c>
      <c r="K49" s="337">
        <f>COUNTIFS('HR Track 6 PMO'!$M$5:$M$800,$A$44,'HR Track 6 PMO'!$AW$5:$AW$800,$C49,'HR Track 6 PMO'!$AY$5:$AY$800,$D49)</f>
        <v>0</v>
      </c>
      <c r="L49" s="841"/>
    </row>
    <row r="50" spans="1:12" ht="19.95" customHeight="1">
      <c r="A50" s="848" t="s">
        <v>678</v>
      </c>
      <c r="B50" s="849" t="s">
        <v>323</v>
      </c>
      <c r="C50" s="329" t="s">
        <v>1089</v>
      </c>
      <c r="D50" s="330">
        <f>VLOOKUP(B50,Foundation_Calc!$K$4:$R$37,3,FALSE)</f>
        <v>3.9</v>
      </c>
      <c r="E50" s="331">
        <f t="shared" si="1"/>
        <v>0</v>
      </c>
      <c r="F50" s="331">
        <f>COUNTIFS('HR Track 1'!$M$5:$M$406,$A$50,'HR Track 1'!$AW$5:$AW$406,$C50,'HR Track 1'!$AY$5:$AY$406,$D50)</f>
        <v>0</v>
      </c>
      <c r="G50" s="331">
        <f>COUNTIFS('HR Track 2'!$M$5:$M$406,$A$50,'HR Track 2'!$AW$5:$AW$406,$C50,'HR Track 2'!$AY$5:$AY$406,$D50)</f>
        <v>0</v>
      </c>
      <c r="H50" s="331">
        <f>COUNTIFS('HR Track 1 MOM'!$M$5:$M$800,$A$50,'HR Track 1 MOM'!$AW$5:$AW$800,$C50,'HR Track 1 MOM'!$AY$5:$AY$800,$D50)</f>
        <v>0</v>
      </c>
      <c r="I50" s="331">
        <f>COUNTIFS('HR Track 4 MOM'!$M$5:$M$800,$A$50,'HR Track 4 MOM'!$AW$5:$AW$800,$C50,'HR Track 4 MOM'!$AY$5:$AY$800,$D50)</f>
        <v>0</v>
      </c>
      <c r="J50" s="331">
        <f>COUNTIFS('HR Track 4 PMO'!$M$5:$M$800,$A$50,'HR Track 4 PMO'!$AW$5:$AW$800,$C50,'HR Track 4 PMO'!$AY$5:$AY$800,$D50)</f>
        <v>0</v>
      </c>
      <c r="K50" s="332">
        <f>COUNTIFS('HR Track 6 PMO'!$M$5:$M$800,$A$50,'HR Track 6 PMO'!$AW$5:$AW$800,$C50,'HR Track 6 PMO'!$AY$5:$AY$800,$D50)</f>
        <v>0</v>
      </c>
    </row>
    <row r="51" spans="1:12" ht="19.95" customHeight="1">
      <c r="A51" s="764"/>
      <c r="B51" s="753"/>
      <c r="C51" s="163" t="s">
        <v>1090</v>
      </c>
      <c r="D51" s="11" t="str">
        <f>VLOOKUP(B50,Foundation_Calc!$K$4:$R$37,4,FALSE)</f>
        <v>N.D.</v>
      </c>
      <c r="E51" s="7">
        <f t="shared" si="1"/>
        <v>0</v>
      </c>
      <c r="F51" s="7">
        <f>COUNTIFS('HR Track 1'!$M$5:$M$406,$A$50,'HR Track 1'!$AW$5:$AW$406,$C51,'HR Track 1'!$AY$5:$AY$406,$D51)</f>
        <v>0</v>
      </c>
      <c r="G51" s="7">
        <f>COUNTIFS('HR Track 2'!$M$5:$M$406,$A$50,'HR Track 2'!$AW$5:$AW$406,$C51,'HR Track 2'!$AY$5:$AY$406,$D51)</f>
        <v>0</v>
      </c>
      <c r="H51" s="7">
        <f>COUNTIFS('HR Track 1 MOM'!$M$5:$M$800,$A$50,'HR Track 1 MOM'!$AW$5:$AW$800,$C51,'HR Track 1 MOM'!$AY$5:$AY$800,$D51)</f>
        <v>0</v>
      </c>
      <c r="I51" s="7">
        <f>COUNTIFS('HR Track 4 MOM'!$M$5:$M$800,$A$50,'HR Track 4 MOM'!$AW$5:$AW$800,$C51,'HR Track 4 MOM'!$AY$5:$AY$800,$D51)</f>
        <v>0</v>
      </c>
      <c r="J51" s="7">
        <f>COUNTIFS('HR Track 4 PMO'!$M$5:$M$800,$A$50,'HR Track 4 PMO'!$AW$5:$AW$800,$C51,'HR Track 4 PMO'!$AY$5:$AY$800,$D51)</f>
        <v>0</v>
      </c>
      <c r="K51" s="333">
        <f>COUNTIFS('HR Track 6 PMO'!$M$5:$M$800,$A$50,'HR Track 6 PMO'!$AW$5:$AW$800,$C51,'HR Track 6 PMO'!$AY$5:$AY$800,$D51)</f>
        <v>0</v>
      </c>
    </row>
    <row r="52" spans="1:12" ht="19.95" customHeight="1">
      <c r="A52" s="764"/>
      <c r="B52" s="753"/>
      <c r="C52" s="163" t="s">
        <v>1091</v>
      </c>
      <c r="D52" s="11" t="str">
        <f>VLOOKUP(B50,Foundation_Calc!$K$4:$R$37,5,FALSE)</f>
        <v>N.D.</v>
      </c>
      <c r="E52" s="7">
        <f t="shared" si="1"/>
        <v>0</v>
      </c>
      <c r="F52" s="7">
        <f>COUNTIFS('HR Track 1'!$M$5:$M$406,$A$50,'HR Track 1'!$AW$5:$AW$406,$C52,'HR Track 1'!$AY$5:$AY$406,$D52)</f>
        <v>0</v>
      </c>
      <c r="G52" s="7">
        <f>COUNTIFS('HR Track 2'!$M$5:$M$406,$A$50,'HR Track 2'!$AW$5:$AW$406,$C52,'HR Track 2'!$AY$5:$AY$406,$D52)</f>
        <v>0</v>
      </c>
      <c r="H52" s="7">
        <f>COUNTIFS('HR Track 1 MOM'!$M$5:$M$800,$A$50,'HR Track 1 MOM'!$AW$5:$AW$800,$C52,'HR Track 1 MOM'!$AY$5:$AY$800,$D52)</f>
        <v>0</v>
      </c>
      <c r="I52" s="7">
        <f>COUNTIFS('HR Track 4 MOM'!$M$5:$M$800,$A$50,'HR Track 4 MOM'!$AW$5:$AW$800,$C52,'HR Track 4 MOM'!$AY$5:$AY$800,$D52)</f>
        <v>0</v>
      </c>
      <c r="J52" s="7">
        <f>COUNTIFS('HR Track 4 PMO'!$M$5:$M$800,$A$50,'HR Track 4 PMO'!$AW$5:$AW$800,$C52,'HR Track 4 PMO'!$AY$5:$AY$800,$D52)</f>
        <v>0</v>
      </c>
      <c r="K52" s="333">
        <f>COUNTIFS('HR Track 6 PMO'!$M$5:$M$800,$A$50,'HR Track 6 PMO'!$AW$5:$AW$800,$C52,'HR Track 6 PMO'!$AY$5:$AY$800,$D52)</f>
        <v>0</v>
      </c>
    </row>
    <row r="53" spans="1:12" ht="19.95" customHeight="1">
      <c r="A53" s="764"/>
      <c r="B53" s="753"/>
      <c r="C53" s="163" t="s">
        <v>1092</v>
      </c>
      <c r="D53" s="11" t="str">
        <f>VLOOKUP(B50,Foundation_Calc!$K$4:$R$37,6,FALSE)</f>
        <v>N.D.</v>
      </c>
      <c r="E53" s="7">
        <f t="shared" si="1"/>
        <v>0</v>
      </c>
      <c r="F53" s="7">
        <f>COUNTIFS('HR Track 1'!$M$5:$M$406,$A$50,'HR Track 1'!$AW$5:$AW$406,$C53,'HR Track 1'!$AY$5:$AY$406,$D53)</f>
        <v>0</v>
      </c>
      <c r="G53" s="7">
        <f>COUNTIFS('HR Track 2'!$M$5:$M$406,$A$50,'HR Track 2'!$AW$5:$AW$406,$C53,'HR Track 2'!$AY$5:$AY$406,$D53)</f>
        <v>0</v>
      </c>
      <c r="H53" s="7">
        <f>COUNTIFS('HR Track 1 MOM'!$M$5:$M$800,$A$50,'HR Track 1 MOM'!$AW$5:$AW$800,$C53,'HR Track 1 MOM'!$AY$5:$AY$800,$D53)</f>
        <v>0</v>
      </c>
      <c r="I53" s="7">
        <f>COUNTIFS('HR Track 4 MOM'!$M$5:$M$800,$A$50,'HR Track 4 MOM'!$AW$5:$AW$800,$C53,'HR Track 4 MOM'!$AY$5:$AY$800,$D53)</f>
        <v>0</v>
      </c>
      <c r="J53" s="7">
        <f>COUNTIFS('HR Track 4 PMO'!$M$5:$M$800,$A$50,'HR Track 4 PMO'!$AW$5:$AW$800,$C53,'HR Track 4 PMO'!$AY$5:$AY$800,$D53)</f>
        <v>0</v>
      </c>
      <c r="K53" s="333">
        <f>COUNTIFS('HR Track 6 PMO'!$M$5:$M$800,$A$50,'HR Track 6 PMO'!$AW$5:$AW$800,$C53,'HR Track 6 PMO'!$AY$5:$AY$800,$D53)</f>
        <v>0</v>
      </c>
    </row>
    <row r="54" spans="1:12" ht="19.95" customHeight="1">
      <c r="A54" s="764"/>
      <c r="B54" s="753"/>
      <c r="C54" s="163" t="s">
        <v>1093</v>
      </c>
      <c r="D54" s="11" t="str">
        <f>VLOOKUP(B50,Foundation_Calc!$K$4:$R$37,7,FALSE)</f>
        <v>N.D.</v>
      </c>
      <c r="E54" s="7">
        <f t="shared" si="1"/>
        <v>0</v>
      </c>
      <c r="F54" s="7">
        <f>COUNTIFS('HR Track 1'!$M$5:$M$406,$A$50,'HR Track 1'!$AW$5:$AW$406,$C54,'HR Track 1'!$AY$5:$AY$406,$D54)</f>
        <v>0</v>
      </c>
      <c r="G54" s="7">
        <f>COUNTIFS('HR Track 2'!$M$5:$M$406,$A$50,'HR Track 2'!$AW$5:$AW$406,$C54,'HR Track 2'!$AY$5:$AY$406,$D54)</f>
        <v>0</v>
      </c>
      <c r="H54" s="7">
        <f>COUNTIFS('HR Track 1 MOM'!$M$5:$M$800,$A$50,'HR Track 1 MOM'!$AW$5:$AW$800,$C54,'HR Track 1 MOM'!$AY$5:$AY$800,$D54)</f>
        <v>0</v>
      </c>
      <c r="I54" s="7">
        <f>COUNTIFS('HR Track 4 MOM'!$M$5:$M$800,$A$50,'HR Track 4 MOM'!$AW$5:$AW$800,$C54,'HR Track 4 MOM'!$AY$5:$AY$800,$D54)</f>
        <v>0</v>
      </c>
      <c r="J54" s="7">
        <f>COUNTIFS('HR Track 4 PMO'!$M$5:$M$800,$A$50,'HR Track 4 PMO'!$AW$5:$AW$800,$C54,'HR Track 4 PMO'!$AY$5:$AY$800,$D54)</f>
        <v>0</v>
      </c>
      <c r="K54" s="333">
        <f>COUNTIFS('HR Track 6 PMO'!$M$5:$M$800,$A$50,'HR Track 6 PMO'!$AW$5:$AW$800,$C54,'HR Track 6 PMO'!$AY$5:$AY$800,$D54)</f>
        <v>0</v>
      </c>
    </row>
    <row r="55" spans="1:12" ht="19.95" customHeight="1" thickBot="1">
      <c r="A55" s="765"/>
      <c r="B55" s="754"/>
      <c r="C55" s="334" t="s">
        <v>1094</v>
      </c>
      <c r="D55" s="335" t="str">
        <f>VLOOKUP(B50,Foundation_Calc!$K$4:$R$37,8,FALSE)</f>
        <v>N.D.</v>
      </c>
      <c r="E55" s="336">
        <f t="shared" si="1"/>
        <v>0</v>
      </c>
      <c r="F55" s="336">
        <f>COUNTIFS('HR Track 1'!$M$5:$M$406,$A$50,'HR Track 1'!$AW$5:$AW$406,$C55,'HR Track 1'!$AY$5:$AY$406,$D55)</f>
        <v>0</v>
      </c>
      <c r="G55" s="336">
        <f>COUNTIFS('HR Track 2'!$M$5:$M$406,$A$50,'HR Track 2'!$AW$5:$AW$406,$C55,'HR Track 2'!$AY$5:$AY$406,$D55)</f>
        <v>0</v>
      </c>
      <c r="H55" s="336">
        <f>COUNTIFS('HR Track 1 MOM'!$M$5:$M$800,$A$50,'HR Track 1 MOM'!$AW$5:$AW$800,$C55,'HR Track 1 MOM'!$AY$5:$AY$800,$D55)</f>
        <v>0</v>
      </c>
      <c r="I55" s="336">
        <f>COUNTIFS('HR Track 4 MOM'!$M$5:$M$800,$A$50,'HR Track 4 MOM'!$AW$5:$AW$800,$C55,'HR Track 4 MOM'!$AY$5:$AY$800,$D55)</f>
        <v>0</v>
      </c>
      <c r="J55" s="336">
        <f>COUNTIFS('HR Track 4 PMO'!$M$5:$M$800,$A$50,'HR Track 4 PMO'!$AW$5:$AW$800,$C55,'HR Track 4 PMO'!$AY$5:$AY$800,$D55)</f>
        <v>0</v>
      </c>
      <c r="K55" s="337">
        <f>COUNTIFS('HR Track 6 PMO'!$M$5:$M$800,$A$50,'HR Track 6 PMO'!$AW$5:$AW$800,$C55,'HR Track 6 PMO'!$AY$5:$AY$800,$D55)</f>
        <v>0</v>
      </c>
    </row>
    <row r="56" spans="1:12" ht="19.95" customHeight="1">
      <c r="A56" s="842" t="s">
        <v>689</v>
      </c>
      <c r="B56" s="845" t="s">
        <v>323</v>
      </c>
      <c r="C56" s="329" t="s">
        <v>1089</v>
      </c>
      <c r="D56" s="338">
        <f>VLOOKUP(B56,Foundation_Calc!$K$41:$R$74,3,FALSE)</f>
        <v>4.5</v>
      </c>
      <c r="E56" s="331">
        <f t="shared" si="1"/>
        <v>0</v>
      </c>
      <c r="F56" s="331">
        <f>COUNTIFS('HR Track 1'!$M$5:$M$406,$A$56,'HR Track 1'!$AW$5:$AW$406,$C56,'HR Track 1'!$AY$5:$AY$406,$D56)</f>
        <v>0</v>
      </c>
      <c r="G56" s="331">
        <f>COUNTIFS('HR Track 2'!$M$5:$M$406,$A$56,'HR Track 2'!$AW$5:$AW$406,$C56,'HR Track 2'!$AY$5:$AY$406,$D56)</f>
        <v>0</v>
      </c>
      <c r="H56" s="331">
        <f>COUNTIFS('HR Track 1 MOM'!$M$5:$M$800,$A$56,'HR Track 1 MOM'!$AW$5:$AW$800,$C56,'HR Track 1 MOM'!$AY$5:$AY$800,$D56)</f>
        <v>0</v>
      </c>
      <c r="I56" s="331">
        <f>COUNTIFS('HR Track 4 MOM'!$M$5:$M$800,$A$56,'HR Track 4 MOM'!$AW$5:$AW$800,$C56,'HR Track 4 MOM'!$AY$5:$AY$800,$D56)</f>
        <v>0</v>
      </c>
      <c r="J56" s="331">
        <f>COUNTIFS('HR Track 4 PMO'!$M$5:$M$800,$A$56,'HR Track 4 PMO'!$AW$5:$AW$800,$C56,'HR Track 4 PMO'!$AY$5:$AY$800,$D56)</f>
        <v>0</v>
      </c>
      <c r="K56" s="332">
        <f>COUNTIFS('HR Track 6 PMO'!$M$5:$M$800,$A$56,'HR Track 6 PMO'!$AW$5:$AW$800,$C56,'HR Track 6 PMO'!$AY$5:$AY$800,$D56)</f>
        <v>0</v>
      </c>
    </row>
    <row r="57" spans="1:12" ht="19.95" customHeight="1">
      <c r="A57" s="843"/>
      <c r="B57" s="846"/>
      <c r="C57" s="163" t="s">
        <v>1090</v>
      </c>
      <c r="D57" s="307" t="str">
        <f>VLOOKUP(B56,Foundation_Calc!$K$41:$R$74,4,FALSE)</f>
        <v>N.D.</v>
      </c>
      <c r="E57" s="7">
        <f t="shared" si="1"/>
        <v>0</v>
      </c>
      <c r="F57" s="7">
        <f>COUNTIFS('HR Track 1'!$M$5:$M$406,$A$56,'HR Track 1'!$AW$5:$AW$406,$C57,'HR Track 1'!$AY$5:$AY$406,$D57)</f>
        <v>0</v>
      </c>
      <c r="G57" s="7">
        <f>COUNTIFS('HR Track 2'!$M$5:$M$406,$A$56,'HR Track 2'!$AW$5:$AW$406,$C57,'HR Track 2'!$AY$5:$AY$406,$D57)</f>
        <v>0</v>
      </c>
      <c r="H57" s="7">
        <f>COUNTIFS('HR Track 1 MOM'!$M$5:$M$800,$A$56,'HR Track 1 MOM'!$AW$5:$AW$800,$C57,'HR Track 1 MOM'!$AY$5:$AY$800,$D57)</f>
        <v>0</v>
      </c>
      <c r="I57" s="7">
        <f>COUNTIFS('HR Track 4 MOM'!$M$5:$M$800,$A$56,'HR Track 4 MOM'!$AW$5:$AW$800,$C57,'HR Track 4 MOM'!$AY$5:$AY$800,$D57)</f>
        <v>0</v>
      </c>
      <c r="J57" s="7">
        <f>COUNTIFS('HR Track 4 PMO'!$M$5:$M$800,$A$56,'HR Track 4 PMO'!$AW$5:$AW$800,$C57,'HR Track 4 PMO'!$AY$5:$AY$800,$D57)</f>
        <v>0</v>
      </c>
      <c r="K57" s="333">
        <f>COUNTIFS('HR Track 6 PMO'!$M$5:$M$800,$A$56,'HR Track 6 PMO'!$AW$5:$AW$800,$C57,'HR Track 6 PMO'!$AY$5:$AY$800,$D57)</f>
        <v>0</v>
      </c>
    </row>
    <row r="58" spans="1:12" ht="19.95" customHeight="1">
      <c r="A58" s="843"/>
      <c r="B58" s="846"/>
      <c r="C58" s="163" t="s">
        <v>1091</v>
      </c>
      <c r="D58" s="307" t="str">
        <f>VLOOKUP(B56,Foundation_Calc!$K$41:$R$74,5,FALSE)</f>
        <v>N.D.</v>
      </c>
      <c r="E58" s="7">
        <f t="shared" si="1"/>
        <v>0</v>
      </c>
      <c r="F58" s="7">
        <f>COUNTIFS('HR Track 1'!$M$5:$M$406,$A$56,'HR Track 1'!$AW$5:$AW$406,$C58,'HR Track 1'!$AY$5:$AY$406,$D58)</f>
        <v>0</v>
      </c>
      <c r="G58" s="7">
        <f>COUNTIFS('HR Track 2'!$M$5:$M$406,$A$56,'HR Track 2'!$AW$5:$AW$406,$C58,'HR Track 2'!$AY$5:$AY$406,$D58)</f>
        <v>0</v>
      </c>
      <c r="H58" s="7">
        <f>COUNTIFS('HR Track 1 MOM'!$M$5:$M$800,$A$56,'HR Track 1 MOM'!$AW$5:$AW$800,$C58,'HR Track 1 MOM'!$AY$5:$AY$800,$D58)</f>
        <v>0</v>
      </c>
      <c r="I58" s="7">
        <f>COUNTIFS('HR Track 4 MOM'!$M$5:$M$800,$A$56,'HR Track 4 MOM'!$AW$5:$AW$800,$C58,'HR Track 4 MOM'!$AY$5:$AY$800,$D58)</f>
        <v>0</v>
      </c>
      <c r="J58" s="7">
        <f>COUNTIFS('HR Track 4 PMO'!$M$5:$M$800,$A$56,'HR Track 4 PMO'!$AW$5:$AW$800,$C58,'HR Track 4 PMO'!$AY$5:$AY$800,$D58)</f>
        <v>0</v>
      </c>
      <c r="K58" s="333">
        <f>COUNTIFS('HR Track 6 PMO'!$M$5:$M$800,$A$56,'HR Track 6 PMO'!$AW$5:$AW$800,$C58,'HR Track 6 PMO'!$AY$5:$AY$800,$D58)</f>
        <v>0</v>
      </c>
    </row>
    <row r="59" spans="1:12" ht="19.95" customHeight="1">
      <c r="A59" s="843"/>
      <c r="B59" s="846"/>
      <c r="C59" s="163" t="s">
        <v>1092</v>
      </c>
      <c r="D59" s="307" t="str">
        <f>VLOOKUP(B56,Foundation_Calc!$K$41:$R$74,6,FALSE)</f>
        <v>N.D.</v>
      </c>
      <c r="E59" s="7">
        <f t="shared" si="1"/>
        <v>0</v>
      </c>
      <c r="F59" s="7">
        <f>COUNTIFS('HR Track 1'!$M$5:$M$406,$A$56,'HR Track 1'!$AW$5:$AW$406,$C59,'HR Track 1'!$AY$5:$AY$406,$D59)</f>
        <v>0</v>
      </c>
      <c r="G59" s="7">
        <f>COUNTIFS('HR Track 2'!$M$5:$M$406,$A$56,'HR Track 2'!$AW$5:$AW$406,$C59,'HR Track 2'!$AY$5:$AY$406,$D59)</f>
        <v>0</v>
      </c>
      <c r="H59" s="7">
        <f>COUNTIFS('HR Track 1 MOM'!$M$5:$M$800,$A$56,'HR Track 1 MOM'!$AW$5:$AW$800,$C59,'HR Track 1 MOM'!$AY$5:$AY$800,$D59)</f>
        <v>0</v>
      </c>
      <c r="I59" s="7">
        <f>COUNTIFS('HR Track 4 MOM'!$M$5:$M$800,$A$56,'HR Track 4 MOM'!$AW$5:$AW$800,$C59,'HR Track 4 MOM'!$AY$5:$AY$800,$D59)</f>
        <v>0</v>
      </c>
      <c r="J59" s="7">
        <f>COUNTIFS('HR Track 4 PMO'!$M$5:$M$800,$A$56,'HR Track 4 PMO'!$AW$5:$AW$800,$C59,'HR Track 4 PMO'!$AY$5:$AY$800,$D59)</f>
        <v>0</v>
      </c>
      <c r="K59" s="333">
        <f>COUNTIFS('HR Track 6 PMO'!$M$5:$M$800,$A$56,'HR Track 6 PMO'!$AW$5:$AW$800,$C59,'HR Track 6 PMO'!$AY$5:$AY$800,$D59)</f>
        <v>0</v>
      </c>
    </row>
    <row r="60" spans="1:12" ht="19.95" customHeight="1">
      <c r="A60" s="843"/>
      <c r="B60" s="846"/>
      <c r="C60" s="163" t="s">
        <v>1093</v>
      </c>
      <c r="D60" s="307" t="str">
        <f>VLOOKUP(B56,Foundation_Calc!$K$41:$R$74,7,FALSE)</f>
        <v>N.D.</v>
      </c>
      <c r="E60" s="7">
        <f t="shared" si="1"/>
        <v>0</v>
      </c>
      <c r="F60" s="7">
        <f>COUNTIFS('HR Track 1'!$M$5:$M$406,$A$56,'HR Track 1'!$AW$5:$AW$406,$C60,'HR Track 1'!$AY$5:$AY$406,$D60)</f>
        <v>0</v>
      </c>
      <c r="G60" s="7">
        <f>COUNTIFS('HR Track 2'!$M$5:$M$406,$A$56,'HR Track 2'!$AW$5:$AW$406,$C60,'HR Track 2'!$AY$5:$AY$406,$D60)</f>
        <v>0</v>
      </c>
      <c r="H60" s="7">
        <f>COUNTIFS('HR Track 1 MOM'!$M$5:$M$800,$A$56,'HR Track 1 MOM'!$AW$5:$AW$800,$C60,'HR Track 1 MOM'!$AY$5:$AY$800,$D60)</f>
        <v>0</v>
      </c>
      <c r="I60" s="7">
        <f>COUNTIFS('HR Track 4 MOM'!$M$5:$M$800,$A$56,'HR Track 4 MOM'!$AW$5:$AW$800,$C60,'HR Track 4 MOM'!$AY$5:$AY$800,$D60)</f>
        <v>0</v>
      </c>
      <c r="J60" s="7">
        <f>COUNTIFS('HR Track 4 PMO'!$M$5:$M$800,$A$56,'HR Track 4 PMO'!$AW$5:$AW$800,$C60,'HR Track 4 PMO'!$AY$5:$AY$800,$D60)</f>
        <v>0</v>
      </c>
      <c r="K60" s="333">
        <f>COUNTIFS('HR Track 6 PMO'!$M$5:$M$800,$A$56,'HR Track 6 PMO'!$AW$5:$AW$800,$C60,'HR Track 6 PMO'!$AY$5:$AY$800,$D60)</f>
        <v>0</v>
      </c>
    </row>
    <row r="61" spans="1:12" ht="19.95" customHeight="1" thickBot="1">
      <c r="A61" s="844"/>
      <c r="B61" s="847"/>
      <c r="C61" s="334" t="s">
        <v>1094</v>
      </c>
      <c r="D61" s="339" t="str">
        <f>VLOOKUP(B56,Foundation_Calc!$K$41:$R$74,8,FALSE)</f>
        <v>N.D.</v>
      </c>
      <c r="E61" s="336">
        <f t="shared" si="1"/>
        <v>0</v>
      </c>
      <c r="F61" s="336">
        <f>COUNTIFS('HR Track 1'!$M$5:$M$406,$A$56,'HR Track 1'!$AW$5:$AW$406,$C61,'HR Track 1'!$AY$5:$AY$406,$D61)</f>
        <v>0</v>
      </c>
      <c r="G61" s="336">
        <f>COUNTIFS('HR Track 2'!$M$5:$M$406,$A$56,'HR Track 2'!$AW$5:$AW$406,$C61,'HR Track 2'!$AY$5:$AY$406,$D61)</f>
        <v>0</v>
      </c>
      <c r="H61" s="336">
        <f>COUNTIFS('HR Track 1 MOM'!$M$5:$M$800,$A$56,'HR Track 1 MOM'!$AW$5:$AW$800,$C61,'HR Track 1 MOM'!$AY$5:$AY$800,$D61)</f>
        <v>0</v>
      </c>
      <c r="I61" s="336">
        <f>COUNTIFS('HR Track 4 MOM'!$M$5:$M$800,$A$56,'HR Track 4 MOM'!$AW$5:$AW$800,$C61,'HR Track 4 MOM'!$AY$5:$AY$800,$D61)</f>
        <v>0</v>
      </c>
      <c r="J61" s="336">
        <f>COUNTIFS('HR Track 4 PMO'!$M$5:$M$800,$A$56,'HR Track 4 PMO'!$AW$5:$AW$800,$C61,'HR Track 4 PMO'!$AY$5:$AY$800,$D61)</f>
        <v>0</v>
      </c>
      <c r="K61" s="337">
        <f>COUNTIFS('HR Track 6 PMO'!$M$5:$M$800,$A$56,'HR Track 6 PMO'!$AW$5:$AW$800,$C61,'HR Track 6 PMO'!$AY$5:$AY$800,$D61)</f>
        <v>0</v>
      </c>
    </row>
    <row r="62" spans="1:12" ht="19.95" customHeight="1">
      <c r="A62" s="848" t="s">
        <v>677</v>
      </c>
      <c r="B62" s="849" t="s">
        <v>39</v>
      </c>
      <c r="C62" s="329" t="s">
        <v>1089</v>
      </c>
      <c r="D62" s="330">
        <f>VLOOKUP(B62,Foundation_Calc!$K$4:$R$37,3,FALSE)</f>
        <v>3.9</v>
      </c>
      <c r="E62" s="331">
        <f t="shared" si="1"/>
        <v>0</v>
      </c>
      <c r="F62" s="331">
        <f>COUNTIFS('HR Track 1'!$M$5:$M$406,$A$62,'HR Track 1'!$AW$5:$AW$406,$C62,'HR Track 1'!$AY$5:$AY$406,$D62)</f>
        <v>0</v>
      </c>
      <c r="G62" s="331">
        <f>COUNTIFS('HR Track 2'!$M$5:$M$406,$A$62,'HR Track 2'!$AW$5:$AW$406,$C62,'HR Track 2'!$AY$5:$AY$406,$D62)</f>
        <v>0</v>
      </c>
      <c r="H62" s="331">
        <f>COUNTIFS('HR Track 1 MOM'!$M$5:$M$800,$A$62,'HR Track 1 MOM'!$AW$5:$AW$800,$C62,'HR Track 1 MOM'!$AY$5:$AY$800,$D62)</f>
        <v>0</v>
      </c>
      <c r="I62" s="331">
        <f>COUNTIFS('HR Track 4 MOM'!$M$5:$M$800,$A$62,'HR Track 4 MOM'!$AW$5:$AW$800,$C62,'HR Track 4 MOM'!$AY$5:$AY$800,$D62)</f>
        <v>0</v>
      </c>
      <c r="J62" s="331">
        <f>COUNTIFS('HR Track 4 PMO'!$M$5:$M$800,$A$62,'HR Track 4 PMO'!$AW$5:$AW$800,$C62,'HR Track 4 PMO'!$AY$5:$AY$800,$D62)</f>
        <v>0</v>
      </c>
      <c r="K62" s="332">
        <f>COUNTIFS('HR Track 6 PMO'!$M$5:$M$800,$A$62,'HR Track 6 PMO'!$AW$5:$AW$800,$C62,'HR Track 6 PMO'!$AY$5:$AY$800,$D62)</f>
        <v>0</v>
      </c>
      <c r="L62" s="836" t="s">
        <v>454</v>
      </c>
    </row>
    <row r="63" spans="1:12" ht="19.95" customHeight="1">
      <c r="A63" s="764"/>
      <c r="B63" s="753"/>
      <c r="C63" s="163" t="s">
        <v>1090</v>
      </c>
      <c r="D63" s="11" t="str">
        <f>VLOOKUP(B62,Foundation_Calc!$K$4:$R$37,4,FALSE)</f>
        <v>N.D.</v>
      </c>
      <c r="E63" s="7">
        <f t="shared" si="1"/>
        <v>0</v>
      </c>
      <c r="F63" s="7">
        <f>COUNTIFS('HR Track 1'!$M$5:$M$406,$A$62,'HR Track 1'!$AW$5:$AW$406,$C63,'HR Track 1'!$AY$5:$AY$406,$D63)</f>
        <v>0</v>
      </c>
      <c r="G63" s="7">
        <f>COUNTIFS('HR Track 2'!$M$5:$M$406,$A$62,'HR Track 2'!$AW$5:$AW$406,$C63,'HR Track 2'!$AY$5:$AY$406,$D63)</f>
        <v>0</v>
      </c>
      <c r="H63" s="7">
        <f>COUNTIFS('HR Track 1 MOM'!$M$5:$M$800,$A$62,'HR Track 1 MOM'!$AW$5:$AW$800,$C63,'HR Track 1 MOM'!$AY$5:$AY$800,$D63)</f>
        <v>0</v>
      </c>
      <c r="I63" s="7">
        <f>COUNTIFS('HR Track 4 MOM'!$M$5:$M$800,$A$62,'HR Track 4 MOM'!$AW$5:$AW$800,$C63,'HR Track 4 MOM'!$AY$5:$AY$800,$D63)</f>
        <v>0</v>
      </c>
      <c r="J63" s="7">
        <f>COUNTIFS('HR Track 4 PMO'!$M$5:$M$800,$A$62,'HR Track 4 PMO'!$AW$5:$AW$800,$C63,'HR Track 4 PMO'!$AY$5:$AY$800,$D63)</f>
        <v>0</v>
      </c>
      <c r="K63" s="333">
        <f>COUNTIFS('HR Track 6 PMO'!$M$5:$M$800,$A$62,'HR Track 6 PMO'!$AW$5:$AW$800,$C63,'HR Track 6 PMO'!$AY$5:$AY$800,$D63)</f>
        <v>0</v>
      </c>
      <c r="L63" s="837"/>
    </row>
    <row r="64" spans="1:12" ht="19.95" customHeight="1">
      <c r="A64" s="764"/>
      <c r="B64" s="753"/>
      <c r="C64" s="163" t="s">
        <v>1091</v>
      </c>
      <c r="D64" s="11" t="str">
        <f>VLOOKUP(B62,Foundation_Calc!$K$4:$R$37,5,FALSE)</f>
        <v>N.D.</v>
      </c>
      <c r="E64" s="7">
        <f t="shared" si="1"/>
        <v>0</v>
      </c>
      <c r="F64" s="7">
        <f>COUNTIFS('HR Track 1'!$M$5:$M$406,$A$62,'HR Track 1'!$AW$5:$AW$406,$C64,'HR Track 1'!$AY$5:$AY$406,$D64)</f>
        <v>0</v>
      </c>
      <c r="G64" s="7">
        <f>COUNTIFS('HR Track 2'!$M$5:$M$406,$A$62,'HR Track 2'!$AW$5:$AW$406,$C64,'HR Track 2'!$AY$5:$AY$406,$D64)</f>
        <v>0</v>
      </c>
      <c r="H64" s="7">
        <f>COUNTIFS('HR Track 1 MOM'!$M$5:$M$800,$A$62,'HR Track 1 MOM'!$AW$5:$AW$800,$C64,'HR Track 1 MOM'!$AY$5:$AY$800,$D64)</f>
        <v>0</v>
      </c>
      <c r="I64" s="7">
        <f>COUNTIFS('HR Track 4 MOM'!$M$5:$M$800,$A$62,'HR Track 4 MOM'!$AW$5:$AW$800,$C64,'HR Track 4 MOM'!$AY$5:$AY$800,$D64)</f>
        <v>0</v>
      </c>
      <c r="J64" s="7">
        <f>COUNTIFS('HR Track 4 PMO'!$M$5:$M$800,$A$62,'HR Track 4 PMO'!$AW$5:$AW$800,$C64,'HR Track 4 PMO'!$AY$5:$AY$800,$D64)</f>
        <v>0</v>
      </c>
      <c r="K64" s="333">
        <f>COUNTIFS('HR Track 6 PMO'!$M$5:$M$800,$A$62,'HR Track 6 PMO'!$AW$5:$AW$800,$C64,'HR Track 6 PMO'!$AY$5:$AY$800,$D64)</f>
        <v>0</v>
      </c>
      <c r="L64" s="837"/>
    </row>
    <row r="65" spans="1:12" ht="19.95" customHeight="1">
      <c r="A65" s="764"/>
      <c r="B65" s="753"/>
      <c r="C65" s="163" t="s">
        <v>1092</v>
      </c>
      <c r="D65" s="11" t="str">
        <f>VLOOKUP(B62,Foundation_Calc!$K$4:$R$37,6,FALSE)</f>
        <v>N.D.</v>
      </c>
      <c r="E65" s="7">
        <f t="shared" si="1"/>
        <v>0</v>
      </c>
      <c r="F65" s="7">
        <f>COUNTIFS('HR Track 1'!$M$5:$M$406,$A$62,'HR Track 1'!$AW$5:$AW$406,$C65,'HR Track 1'!$AY$5:$AY$406,$D65)</f>
        <v>0</v>
      </c>
      <c r="G65" s="7">
        <f>COUNTIFS('HR Track 2'!$M$5:$M$406,$A$62,'HR Track 2'!$AW$5:$AW$406,$C65,'HR Track 2'!$AY$5:$AY$406,$D65)</f>
        <v>0</v>
      </c>
      <c r="H65" s="7">
        <f>COUNTIFS('HR Track 1 MOM'!$M$5:$M$800,$A$62,'HR Track 1 MOM'!$AW$5:$AW$800,$C65,'HR Track 1 MOM'!$AY$5:$AY$800,$D65)</f>
        <v>0</v>
      </c>
      <c r="I65" s="7">
        <f>COUNTIFS('HR Track 4 MOM'!$M$5:$M$800,$A$62,'HR Track 4 MOM'!$AW$5:$AW$800,$C65,'HR Track 4 MOM'!$AY$5:$AY$800,$D65)</f>
        <v>0</v>
      </c>
      <c r="J65" s="7">
        <f>COUNTIFS('HR Track 4 PMO'!$M$5:$M$800,$A$62,'HR Track 4 PMO'!$AW$5:$AW$800,$C65,'HR Track 4 PMO'!$AY$5:$AY$800,$D65)</f>
        <v>0</v>
      </c>
      <c r="K65" s="333">
        <f>COUNTIFS('HR Track 6 PMO'!$M$5:$M$800,$A$62,'HR Track 6 PMO'!$AW$5:$AW$800,$C65,'HR Track 6 PMO'!$AY$5:$AY$800,$D65)</f>
        <v>0</v>
      </c>
      <c r="L65" s="837"/>
    </row>
    <row r="66" spans="1:12" ht="19.95" customHeight="1">
      <c r="A66" s="764"/>
      <c r="B66" s="753"/>
      <c r="C66" s="163" t="s">
        <v>1093</v>
      </c>
      <c r="D66" s="11" t="str">
        <f>VLOOKUP(B62,Foundation_Calc!$K$4:$R$37,7,FALSE)</f>
        <v>N.D.</v>
      </c>
      <c r="E66" s="7">
        <f t="shared" si="1"/>
        <v>0</v>
      </c>
      <c r="F66" s="7">
        <f>COUNTIFS('HR Track 1'!$M$5:$M$406,$A$62,'HR Track 1'!$AW$5:$AW$406,$C66,'HR Track 1'!$AY$5:$AY$406,$D66)</f>
        <v>0</v>
      </c>
      <c r="G66" s="7">
        <f>COUNTIFS('HR Track 2'!$M$5:$M$406,$A$62,'HR Track 2'!$AW$5:$AW$406,$C66,'HR Track 2'!$AY$5:$AY$406,$D66)</f>
        <v>0</v>
      </c>
      <c r="H66" s="7">
        <f>COUNTIFS('HR Track 1 MOM'!$M$5:$M$800,$A$62,'HR Track 1 MOM'!$AW$5:$AW$800,$C66,'HR Track 1 MOM'!$AY$5:$AY$800,$D66)</f>
        <v>0</v>
      </c>
      <c r="I66" s="7">
        <f>COUNTIFS('HR Track 4 MOM'!$M$5:$M$800,$A$62,'HR Track 4 MOM'!$AW$5:$AW$800,$C66,'HR Track 4 MOM'!$AY$5:$AY$800,$D66)</f>
        <v>0</v>
      </c>
      <c r="J66" s="7">
        <f>COUNTIFS('HR Track 4 PMO'!$M$5:$M$800,$A$62,'HR Track 4 PMO'!$AW$5:$AW$800,$C66,'HR Track 4 PMO'!$AY$5:$AY$800,$D66)</f>
        <v>0</v>
      </c>
      <c r="K66" s="333">
        <f>COUNTIFS('HR Track 6 PMO'!$M$5:$M$800,$A$62,'HR Track 6 PMO'!$AW$5:$AW$800,$C66,'HR Track 6 PMO'!$AY$5:$AY$800,$D66)</f>
        <v>0</v>
      </c>
      <c r="L66" s="837"/>
    </row>
    <row r="67" spans="1:12" ht="19.95" customHeight="1" thickBot="1">
      <c r="A67" s="765"/>
      <c r="B67" s="754"/>
      <c r="C67" s="334" t="s">
        <v>1094</v>
      </c>
      <c r="D67" s="335" t="str">
        <f>VLOOKUP(B62,Foundation_Calc!$K$4:$R$37,8,FALSE)</f>
        <v>N.D.</v>
      </c>
      <c r="E67" s="336">
        <f t="shared" ref="E67:E130" si="2">SUM(F67:K67)</f>
        <v>0</v>
      </c>
      <c r="F67" s="336">
        <f>COUNTIFS('HR Track 1'!$M$5:$M$406,$A$62,'HR Track 1'!$AW$5:$AW$406,$C67,'HR Track 1'!$AY$5:$AY$406,$D67)</f>
        <v>0</v>
      </c>
      <c r="G67" s="336">
        <f>COUNTIFS('HR Track 2'!$M$5:$M$406,$A$62,'HR Track 2'!$AW$5:$AW$406,$C67,'HR Track 2'!$AY$5:$AY$406,$D67)</f>
        <v>0</v>
      </c>
      <c r="H67" s="336">
        <f>COUNTIFS('HR Track 1 MOM'!$M$5:$M$800,$A$62,'HR Track 1 MOM'!$AW$5:$AW$800,$C67,'HR Track 1 MOM'!$AY$5:$AY$800,$D67)</f>
        <v>0</v>
      </c>
      <c r="I67" s="336">
        <f>COUNTIFS('HR Track 4 MOM'!$M$5:$M$800,$A$62,'HR Track 4 MOM'!$AW$5:$AW$800,$C67,'HR Track 4 MOM'!$AY$5:$AY$800,$D67)</f>
        <v>0</v>
      </c>
      <c r="J67" s="336">
        <f>COUNTIFS('HR Track 4 PMO'!$M$5:$M$800,$A$62,'HR Track 4 PMO'!$AW$5:$AW$800,$C67,'HR Track 4 PMO'!$AY$5:$AY$800,$D67)</f>
        <v>0</v>
      </c>
      <c r="K67" s="337">
        <f>COUNTIFS('HR Track 6 PMO'!$M$5:$M$800,$A$62,'HR Track 6 PMO'!$AW$5:$AW$800,$C67,'HR Track 6 PMO'!$AY$5:$AY$800,$D67)</f>
        <v>0</v>
      </c>
      <c r="L67" s="838"/>
    </row>
    <row r="68" spans="1:12" ht="19.95" customHeight="1">
      <c r="A68" s="842" t="s">
        <v>691</v>
      </c>
      <c r="B68" s="845" t="s">
        <v>39</v>
      </c>
      <c r="C68" s="329" t="s">
        <v>1089</v>
      </c>
      <c r="D68" s="338">
        <f>VLOOKUP(B68,Foundation_Calc!$K$41:$R$74,3,FALSE)</f>
        <v>4.5</v>
      </c>
      <c r="E68" s="331">
        <f t="shared" si="2"/>
        <v>0</v>
      </c>
      <c r="F68" s="331">
        <f>COUNTIFS('HR Track 1'!$M$5:$M$406,$A$68,'HR Track 1'!$AW$5:$AW$406,$C68,'HR Track 1'!$AY$5:$AY$406,$D68)</f>
        <v>0</v>
      </c>
      <c r="G68" s="331">
        <f>COUNTIFS('HR Track 2'!$M$5:$M$406,$A$68,'HR Track 2'!$AW$5:$AW$406,$C68,'HR Track 2'!$AY$5:$AY$406,$D68)</f>
        <v>0</v>
      </c>
      <c r="H68" s="331">
        <f>COUNTIFS('HR Track 1 MOM'!$M$5:$M$800,$A$68,'HR Track 1 MOM'!$AW$5:$AW$800,$C68,'HR Track 1 MOM'!$AY$5:$AY$800,$D68)</f>
        <v>0</v>
      </c>
      <c r="I68" s="331">
        <f>COUNTIFS('HR Track 4 MOM'!$M$5:$M$800,$A$68,'HR Track 4 MOM'!$AW$5:$AW$800,$C68,'HR Track 4 MOM'!$AY$5:$AY$800,$D68)</f>
        <v>0</v>
      </c>
      <c r="J68" s="331">
        <f>COUNTIFS('HR Track 4 PMO'!$M$5:$M$800,$A$68,'HR Track 4 PMO'!$AW$5:$AW$800,$C68,'HR Track 4 PMO'!$AY$5:$AY$800,$D68)</f>
        <v>0</v>
      </c>
      <c r="K68" s="332">
        <f>COUNTIFS('HR Track 6 PMO'!$M$5:$M$800,$A$68,'HR Track 6 PMO'!$AW$5:$AW$800,$C68,'HR Track 6 PMO'!$AY$5:$AY$800,$D68)</f>
        <v>0</v>
      </c>
      <c r="L68" s="839" t="s">
        <v>454</v>
      </c>
    </row>
    <row r="69" spans="1:12" ht="19.95" customHeight="1">
      <c r="A69" s="843"/>
      <c r="B69" s="846"/>
      <c r="C69" s="163" t="s">
        <v>1090</v>
      </c>
      <c r="D69" s="307" t="str">
        <f>VLOOKUP(B68,Foundation_Calc!$K$41:$R$74,4,FALSE)</f>
        <v>N.D.</v>
      </c>
      <c r="E69" s="7">
        <f t="shared" si="2"/>
        <v>0</v>
      </c>
      <c r="F69" s="7">
        <f>COUNTIFS('HR Track 1'!$M$5:$M$406,$A$68,'HR Track 1'!$AW$5:$AW$406,$C69,'HR Track 1'!$AY$5:$AY$406,$D69)</f>
        <v>0</v>
      </c>
      <c r="G69" s="7">
        <f>COUNTIFS('HR Track 2'!$M$5:$M$406,$A$68,'HR Track 2'!$AW$5:$AW$406,$C69,'HR Track 2'!$AY$5:$AY$406,$D69)</f>
        <v>0</v>
      </c>
      <c r="H69" s="7">
        <f>COUNTIFS('HR Track 1 MOM'!$M$5:$M$800,$A$68,'HR Track 1 MOM'!$AW$5:$AW$800,$C69,'HR Track 1 MOM'!$AY$5:$AY$800,$D69)</f>
        <v>0</v>
      </c>
      <c r="I69" s="7">
        <f>COUNTIFS('HR Track 4 MOM'!$M$5:$M$800,$A$68,'HR Track 4 MOM'!$AW$5:$AW$800,$C69,'HR Track 4 MOM'!$AY$5:$AY$800,$D69)</f>
        <v>0</v>
      </c>
      <c r="J69" s="7">
        <f>COUNTIFS('HR Track 4 PMO'!$M$5:$M$800,$A$68,'HR Track 4 PMO'!$AW$5:$AW$800,$C69,'HR Track 4 PMO'!$AY$5:$AY$800,$D69)</f>
        <v>0</v>
      </c>
      <c r="K69" s="333">
        <f>COUNTIFS('HR Track 6 PMO'!$M$5:$M$800,$A$68,'HR Track 6 PMO'!$AW$5:$AW$800,$C69,'HR Track 6 PMO'!$AY$5:$AY$800,$D69)</f>
        <v>0</v>
      </c>
      <c r="L69" s="840"/>
    </row>
    <row r="70" spans="1:12" ht="19.95" customHeight="1">
      <c r="A70" s="843"/>
      <c r="B70" s="846"/>
      <c r="C70" s="163" t="s">
        <v>1091</v>
      </c>
      <c r="D70" s="307" t="str">
        <f>VLOOKUP(B68,Foundation_Calc!$K$41:$R$74,5,FALSE)</f>
        <v>N.D.</v>
      </c>
      <c r="E70" s="7">
        <f t="shared" si="2"/>
        <v>0</v>
      </c>
      <c r="F70" s="7">
        <f>COUNTIFS('HR Track 1'!$M$5:$M$406,$A$68,'HR Track 1'!$AW$5:$AW$406,$C70,'HR Track 1'!$AY$5:$AY$406,$D70)</f>
        <v>0</v>
      </c>
      <c r="G70" s="7">
        <f>COUNTIFS('HR Track 2'!$M$5:$M$406,$A$68,'HR Track 2'!$AW$5:$AW$406,$C70,'HR Track 2'!$AY$5:$AY$406,$D70)</f>
        <v>0</v>
      </c>
      <c r="H70" s="7">
        <f>COUNTIFS('HR Track 1 MOM'!$M$5:$M$800,$A$68,'HR Track 1 MOM'!$AW$5:$AW$800,$C70,'HR Track 1 MOM'!$AY$5:$AY$800,$D70)</f>
        <v>0</v>
      </c>
      <c r="I70" s="7">
        <f>COUNTIFS('HR Track 4 MOM'!$M$5:$M$800,$A$68,'HR Track 4 MOM'!$AW$5:$AW$800,$C70,'HR Track 4 MOM'!$AY$5:$AY$800,$D70)</f>
        <v>0</v>
      </c>
      <c r="J70" s="7">
        <f>COUNTIFS('HR Track 4 PMO'!$M$5:$M$800,$A$68,'HR Track 4 PMO'!$AW$5:$AW$800,$C70,'HR Track 4 PMO'!$AY$5:$AY$800,$D70)</f>
        <v>0</v>
      </c>
      <c r="K70" s="333">
        <f>COUNTIFS('HR Track 6 PMO'!$M$5:$M$800,$A$68,'HR Track 6 PMO'!$AW$5:$AW$800,$C70,'HR Track 6 PMO'!$AY$5:$AY$800,$D70)</f>
        <v>0</v>
      </c>
      <c r="L70" s="840"/>
    </row>
    <row r="71" spans="1:12" ht="19.95" customHeight="1">
      <c r="A71" s="843"/>
      <c r="B71" s="846"/>
      <c r="C71" s="163" t="s">
        <v>1092</v>
      </c>
      <c r="D71" s="307" t="str">
        <f>VLOOKUP(B68,Foundation_Calc!$K$41:$R$74,6,FALSE)</f>
        <v>N.D.</v>
      </c>
      <c r="E71" s="7">
        <f t="shared" si="2"/>
        <v>0</v>
      </c>
      <c r="F71" s="7">
        <f>COUNTIFS('HR Track 1'!$M$5:$M$406,$A$68,'HR Track 1'!$AW$5:$AW$406,$C71,'HR Track 1'!$AY$5:$AY$406,$D71)</f>
        <v>0</v>
      </c>
      <c r="G71" s="7">
        <f>COUNTIFS('HR Track 2'!$M$5:$M$406,$A$68,'HR Track 2'!$AW$5:$AW$406,$C71,'HR Track 2'!$AY$5:$AY$406,$D71)</f>
        <v>0</v>
      </c>
      <c r="H71" s="7">
        <f>COUNTIFS('HR Track 1 MOM'!$M$5:$M$800,$A$68,'HR Track 1 MOM'!$AW$5:$AW$800,$C71,'HR Track 1 MOM'!$AY$5:$AY$800,$D71)</f>
        <v>0</v>
      </c>
      <c r="I71" s="7">
        <f>COUNTIFS('HR Track 4 MOM'!$M$5:$M$800,$A$68,'HR Track 4 MOM'!$AW$5:$AW$800,$C71,'HR Track 4 MOM'!$AY$5:$AY$800,$D71)</f>
        <v>0</v>
      </c>
      <c r="J71" s="7">
        <f>COUNTIFS('HR Track 4 PMO'!$M$5:$M$800,$A$68,'HR Track 4 PMO'!$AW$5:$AW$800,$C71,'HR Track 4 PMO'!$AY$5:$AY$800,$D71)</f>
        <v>0</v>
      </c>
      <c r="K71" s="333">
        <f>COUNTIFS('HR Track 6 PMO'!$M$5:$M$800,$A$68,'HR Track 6 PMO'!$AW$5:$AW$800,$C71,'HR Track 6 PMO'!$AY$5:$AY$800,$D71)</f>
        <v>0</v>
      </c>
      <c r="L71" s="840"/>
    </row>
    <row r="72" spans="1:12" ht="19.95" customHeight="1">
      <c r="A72" s="843"/>
      <c r="B72" s="846"/>
      <c r="C72" s="163" t="s">
        <v>1093</v>
      </c>
      <c r="D72" s="307" t="str">
        <f>VLOOKUP(B68,Foundation_Calc!$K$41:$R$74,7,FALSE)</f>
        <v>N.D.</v>
      </c>
      <c r="E72" s="7">
        <f t="shared" si="2"/>
        <v>0</v>
      </c>
      <c r="F72" s="7">
        <f>COUNTIFS('HR Track 1'!$M$5:$M$406,$A$68,'HR Track 1'!$AW$5:$AW$406,$C72,'HR Track 1'!$AY$5:$AY$406,$D72)</f>
        <v>0</v>
      </c>
      <c r="G72" s="7">
        <f>COUNTIFS('HR Track 2'!$M$5:$M$406,$A$68,'HR Track 2'!$AW$5:$AW$406,$C72,'HR Track 2'!$AY$5:$AY$406,$D72)</f>
        <v>0</v>
      </c>
      <c r="H72" s="7">
        <f>COUNTIFS('HR Track 1 MOM'!$M$5:$M$800,$A$68,'HR Track 1 MOM'!$AW$5:$AW$800,$C72,'HR Track 1 MOM'!$AY$5:$AY$800,$D72)</f>
        <v>0</v>
      </c>
      <c r="I72" s="7">
        <f>COUNTIFS('HR Track 4 MOM'!$M$5:$M$800,$A$68,'HR Track 4 MOM'!$AW$5:$AW$800,$C72,'HR Track 4 MOM'!$AY$5:$AY$800,$D72)</f>
        <v>0</v>
      </c>
      <c r="J72" s="7">
        <f>COUNTIFS('HR Track 4 PMO'!$M$5:$M$800,$A$68,'HR Track 4 PMO'!$AW$5:$AW$800,$C72,'HR Track 4 PMO'!$AY$5:$AY$800,$D72)</f>
        <v>0</v>
      </c>
      <c r="K72" s="333">
        <f>COUNTIFS('HR Track 6 PMO'!$M$5:$M$800,$A$68,'HR Track 6 PMO'!$AW$5:$AW$800,$C72,'HR Track 6 PMO'!$AY$5:$AY$800,$D72)</f>
        <v>0</v>
      </c>
      <c r="L72" s="840"/>
    </row>
    <row r="73" spans="1:12" ht="19.95" customHeight="1" thickBot="1">
      <c r="A73" s="844"/>
      <c r="B73" s="847"/>
      <c r="C73" s="334" t="s">
        <v>1094</v>
      </c>
      <c r="D73" s="339" t="str">
        <f>VLOOKUP(B68,Foundation_Calc!$K$41:$R$74,8,FALSE)</f>
        <v>N.D.</v>
      </c>
      <c r="E73" s="336">
        <f t="shared" si="2"/>
        <v>0</v>
      </c>
      <c r="F73" s="336">
        <f>COUNTIFS('HR Track 1'!$M$5:$M$406,$A$68,'HR Track 1'!$AW$5:$AW$406,$C73,'HR Track 1'!$AY$5:$AY$406,$D73)</f>
        <v>0</v>
      </c>
      <c r="G73" s="336">
        <f>COUNTIFS('HR Track 2'!$M$5:$M$406,$A$68,'HR Track 2'!$AW$5:$AW$406,$C73,'HR Track 2'!$AY$5:$AY$406,$D73)</f>
        <v>0</v>
      </c>
      <c r="H73" s="336">
        <f>COUNTIFS('HR Track 1 MOM'!$M$5:$M$800,$A$68,'HR Track 1 MOM'!$AW$5:$AW$800,$C73,'HR Track 1 MOM'!$AY$5:$AY$800,$D73)</f>
        <v>0</v>
      </c>
      <c r="I73" s="336">
        <f>COUNTIFS('HR Track 4 MOM'!$M$5:$M$800,$A$68,'HR Track 4 MOM'!$AW$5:$AW$800,$C73,'HR Track 4 MOM'!$AY$5:$AY$800,$D73)</f>
        <v>0</v>
      </c>
      <c r="J73" s="336">
        <f>COUNTIFS('HR Track 4 PMO'!$M$5:$M$800,$A$68,'HR Track 4 PMO'!$AW$5:$AW$800,$C73,'HR Track 4 PMO'!$AY$5:$AY$800,$D73)</f>
        <v>0</v>
      </c>
      <c r="K73" s="337">
        <f>COUNTIFS('HR Track 6 PMO'!$M$5:$M$800,$A$68,'HR Track 6 PMO'!$AW$5:$AW$800,$C73,'HR Track 6 PMO'!$AY$5:$AY$800,$D73)</f>
        <v>0</v>
      </c>
      <c r="L73" s="841"/>
    </row>
    <row r="74" spans="1:12" ht="19.95" customHeight="1">
      <c r="A74" s="848" t="s">
        <v>677</v>
      </c>
      <c r="B74" s="849" t="s">
        <v>324</v>
      </c>
      <c r="C74" s="329" t="s">
        <v>1089</v>
      </c>
      <c r="D74" s="330">
        <f>VLOOKUP(B74,Foundation_Calc!$K$4:$R$37,3,FALSE)</f>
        <v>3.8</v>
      </c>
      <c r="E74" s="331">
        <f t="shared" si="2"/>
        <v>0</v>
      </c>
      <c r="F74" s="331">
        <f>COUNTIFS('HR Track 1'!$M$5:$M$406,$A$74,'HR Track 1'!$AW$5:$AW$406,$C74,'HR Track 1'!$AY$5:$AY$406,$D74)</f>
        <v>0</v>
      </c>
      <c r="G74" s="331">
        <f>COUNTIFS('HR Track 2'!$M$5:$M$406,$A$74,'HR Track 2'!$AW$5:$AW$406,$C74,'HR Track 2'!$AY$5:$AY$406,$D74)</f>
        <v>0</v>
      </c>
      <c r="H74" s="331">
        <f>COUNTIFS('HR Track 1 MOM'!$M$5:$M$800,$A$74,'HR Track 1 MOM'!$AW$5:$AW$800,$C74,'HR Track 1 MOM'!$AY$5:$AY$800,$D74)</f>
        <v>0</v>
      </c>
      <c r="I74" s="331">
        <f>COUNTIFS('HR Track 4 MOM'!$M$5:$M$800,$A$74,'HR Track 4 MOM'!$AW$5:$AW$800,$C74,'HR Track 4 MOM'!$AY$5:$AY$800,$D74)</f>
        <v>0</v>
      </c>
      <c r="J74" s="331">
        <f>COUNTIFS('HR Track 4 PMO'!$M$5:$M$800,$A$74,'HR Track 4 PMO'!$AW$5:$AW$800,$C74,'HR Track 4 PMO'!$AY$5:$AY$800,$D74)</f>
        <v>0</v>
      </c>
      <c r="K74" s="332">
        <f>COUNTIFS('HR Track 6 PMO'!$M$5:$M$800,$A$74,'HR Track 6 PMO'!$AW$5:$AW$800,$C74,'HR Track 6 PMO'!$AY$5:$AY$800,$D74)</f>
        <v>0</v>
      </c>
    </row>
    <row r="75" spans="1:12" ht="19.95" customHeight="1">
      <c r="A75" s="764"/>
      <c r="B75" s="753"/>
      <c r="C75" s="163" t="s">
        <v>1090</v>
      </c>
      <c r="D75" s="11" t="str">
        <f>VLOOKUP(B74,Foundation_Calc!$K$4:$R$37,4,FALSE)</f>
        <v>N.D.</v>
      </c>
      <c r="E75" s="7">
        <f t="shared" si="2"/>
        <v>0</v>
      </c>
      <c r="F75" s="7">
        <f>COUNTIFS('HR Track 1'!$M$5:$M$406,$A$74,'HR Track 1'!$AW$5:$AW$406,$C75,'HR Track 1'!$AY$5:$AY$406,$D75)</f>
        <v>0</v>
      </c>
      <c r="G75" s="7">
        <f>COUNTIFS('HR Track 2'!$M$5:$M$406,$A$74,'HR Track 2'!$AW$5:$AW$406,$C75,'HR Track 2'!$AY$5:$AY$406,$D75)</f>
        <v>0</v>
      </c>
      <c r="H75" s="7">
        <f>COUNTIFS('HR Track 1 MOM'!$M$5:$M$800,$A$74,'HR Track 1 MOM'!$AW$5:$AW$800,$C75,'HR Track 1 MOM'!$AY$5:$AY$800,$D75)</f>
        <v>0</v>
      </c>
      <c r="I75" s="7">
        <f>COUNTIFS('HR Track 4 MOM'!$M$5:$M$800,$A$74,'HR Track 4 MOM'!$AW$5:$AW$800,$C75,'HR Track 4 MOM'!$AY$5:$AY$800,$D75)</f>
        <v>0</v>
      </c>
      <c r="J75" s="7">
        <f>COUNTIFS('HR Track 4 PMO'!$M$5:$M$800,$A$74,'HR Track 4 PMO'!$AW$5:$AW$800,$C75,'HR Track 4 PMO'!$AY$5:$AY$800,$D75)</f>
        <v>0</v>
      </c>
      <c r="K75" s="333">
        <f>COUNTIFS('HR Track 6 PMO'!$M$5:$M$800,$A$74,'HR Track 6 PMO'!$AW$5:$AW$800,$C75,'HR Track 6 PMO'!$AY$5:$AY$800,$D75)</f>
        <v>0</v>
      </c>
    </row>
    <row r="76" spans="1:12" ht="19.95" customHeight="1">
      <c r="A76" s="764"/>
      <c r="B76" s="753"/>
      <c r="C76" s="163" t="s">
        <v>1091</v>
      </c>
      <c r="D76" s="11" t="str">
        <f>VLOOKUP(B74,Foundation_Calc!$K$4:$R$37,5,FALSE)</f>
        <v>N.D.</v>
      </c>
      <c r="E76" s="7">
        <f t="shared" si="2"/>
        <v>0</v>
      </c>
      <c r="F76" s="7">
        <f>COUNTIFS('HR Track 1'!$M$5:$M$406,$A$74,'HR Track 1'!$AW$5:$AW$406,$C76,'HR Track 1'!$AY$5:$AY$406,$D76)</f>
        <v>0</v>
      </c>
      <c r="G76" s="7">
        <f>COUNTIFS('HR Track 2'!$M$5:$M$406,$A$74,'HR Track 2'!$AW$5:$AW$406,$C76,'HR Track 2'!$AY$5:$AY$406,$D76)</f>
        <v>0</v>
      </c>
      <c r="H76" s="7">
        <f>COUNTIFS('HR Track 1 MOM'!$M$5:$M$800,$A$74,'HR Track 1 MOM'!$AW$5:$AW$800,$C76,'HR Track 1 MOM'!$AY$5:$AY$800,$D76)</f>
        <v>0</v>
      </c>
      <c r="I76" s="7">
        <f>COUNTIFS('HR Track 4 MOM'!$M$5:$M$800,$A$74,'HR Track 4 MOM'!$AW$5:$AW$800,$C76,'HR Track 4 MOM'!$AY$5:$AY$800,$D76)</f>
        <v>0</v>
      </c>
      <c r="J76" s="7">
        <f>COUNTIFS('HR Track 4 PMO'!$M$5:$M$800,$A$74,'HR Track 4 PMO'!$AW$5:$AW$800,$C76,'HR Track 4 PMO'!$AY$5:$AY$800,$D76)</f>
        <v>0</v>
      </c>
      <c r="K76" s="333">
        <f>COUNTIFS('HR Track 6 PMO'!$M$5:$M$800,$A$74,'HR Track 6 PMO'!$AW$5:$AW$800,$C76,'HR Track 6 PMO'!$AY$5:$AY$800,$D76)</f>
        <v>0</v>
      </c>
    </row>
    <row r="77" spans="1:12" ht="19.95" customHeight="1">
      <c r="A77" s="764"/>
      <c r="B77" s="753"/>
      <c r="C77" s="163" t="s">
        <v>1092</v>
      </c>
      <c r="D77" s="11" t="str">
        <f>VLOOKUP(B74,Foundation_Calc!$K$4:$R$37,6,FALSE)</f>
        <v>N.D.</v>
      </c>
      <c r="E77" s="7">
        <f t="shared" si="2"/>
        <v>0</v>
      </c>
      <c r="F77" s="7">
        <f>COUNTIFS('HR Track 1'!$M$5:$M$406,$A$74,'HR Track 1'!$AW$5:$AW$406,$C77,'HR Track 1'!$AY$5:$AY$406,$D77)</f>
        <v>0</v>
      </c>
      <c r="G77" s="7">
        <f>COUNTIFS('HR Track 2'!$M$5:$M$406,$A$74,'HR Track 2'!$AW$5:$AW$406,$C77,'HR Track 2'!$AY$5:$AY$406,$D77)</f>
        <v>0</v>
      </c>
      <c r="H77" s="7">
        <f>COUNTIFS('HR Track 1 MOM'!$M$5:$M$800,$A$74,'HR Track 1 MOM'!$AW$5:$AW$800,$C77,'HR Track 1 MOM'!$AY$5:$AY$800,$D77)</f>
        <v>0</v>
      </c>
      <c r="I77" s="7">
        <f>COUNTIFS('HR Track 4 MOM'!$M$5:$M$800,$A$74,'HR Track 4 MOM'!$AW$5:$AW$800,$C77,'HR Track 4 MOM'!$AY$5:$AY$800,$D77)</f>
        <v>0</v>
      </c>
      <c r="J77" s="7">
        <f>COUNTIFS('HR Track 4 PMO'!$M$5:$M$800,$A$74,'HR Track 4 PMO'!$AW$5:$AW$800,$C77,'HR Track 4 PMO'!$AY$5:$AY$800,$D77)</f>
        <v>0</v>
      </c>
      <c r="K77" s="333">
        <f>COUNTIFS('HR Track 6 PMO'!$M$5:$M$800,$A$74,'HR Track 6 PMO'!$AW$5:$AW$800,$C77,'HR Track 6 PMO'!$AY$5:$AY$800,$D77)</f>
        <v>0</v>
      </c>
    </row>
    <row r="78" spans="1:12" ht="19.95" customHeight="1">
      <c r="A78" s="764"/>
      <c r="B78" s="753"/>
      <c r="C78" s="163" t="s">
        <v>1093</v>
      </c>
      <c r="D78" s="11" t="str">
        <f>VLOOKUP(B74,Foundation_Calc!$K$4:$R$37,7,FALSE)</f>
        <v>N.D.</v>
      </c>
      <c r="E78" s="7">
        <f t="shared" si="2"/>
        <v>0</v>
      </c>
      <c r="F78" s="7">
        <f>COUNTIFS('HR Track 1'!$M$5:$M$406,$A$74,'HR Track 1'!$AW$5:$AW$406,$C78,'HR Track 1'!$AY$5:$AY$406,$D78)</f>
        <v>0</v>
      </c>
      <c r="G78" s="7">
        <f>COUNTIFS('HR Track 2'!$M$5:$M$406,$A$74,'HR Track 2'!$AW$5:$AW$406,$C78,'HR Track 2'!$AY$5:$AY$406,$D78)</f>
        <v>0</v>
      </c>
      <c r="H78" s="7">
        <f>COUNTIFS('HR Track 1 MOM'!$M$5:$M$800,$A$74,'HR Track 1 MOM'!$AW$5:$AW$800,$C78,'HR Track 1 MOM'!$AY$5:$AY$800,$D78)</f>
        <v>0</v>
      </c>
      <c r="I78" s="7">
        <f>COUNTIFS('HR Track 4 MOM'!$M$5:$M$800,$A$74,'HR Track 4 MOM'!$AW$5:$AW$800,$C78,'HR Track 4 MOM'!$AY$5:$AY$800,$D78)</f>
        <v>0</v>
      </c>
      <c r="J78" s="7">
        <f>COUNTIFS('HR Track 4 PMO'!$M$5:$M$800,$A$74,'HR Track 4 PMO'!$AW$5:$AW$800,$C78,'HR Track 4 PMO'!$AY$5:$AY$800,$D78)</f>
        <v>0</v>
      </c>
      <c r="K78" s="333">
        <f>COUNTIFS('HR Track 6 PMO'!$M$5:$M$800,$A$74,'HR Track 6 PMO'!$AW$5:$AW$800,$C78,'HR Track 6 PMO'!$AY$5:$AY$800,$D78)</f>
        <v>0</v>
      </c>
    </row>
    <row r="79" spans="1:12" ht="19.95" customHeight="1" thickBot="1">
      <c r="A79" s="765"/>
      <c r="B79" s="754"/>
      <c r="C79" s="334" t="s">
        <v>1094</v>
      </c>
      <c r="D79" s="335" t="str">
        <f>VLOOKUP(B74,Foundation_Calc!$K$4:$R$37,8,FALSE)</f>
        <v>N.D.</v>
      </c>
      <c r="E79" s="336">
        <f t="shared" si="2"/>
        <v>0</v>
      </c>
      <c r="F79" s="336">
        <f>COUNTIFS('HR Track 1'!$M$5:$M$406,$A$74,'HR Track 1'!$AW$5:$AW$406,$C79,'HR Track 1'!$AY$5:$AY$406,$D79)</f>
        <v>0</v>
      </c>
      <c r="G79" s="336">
        <f>COUNTIFS('HR Track 2'!$M$5:$M$406,$A$74,'HR Track 2'!$AW$5:$AW$406,$C79,'HR Track 2'!$AY$5:$AY$406,$D79)</f>
        <v>0</v>
      </c>
      <c r="H79" s="336">
        <f>COUNTIFS('HR Track 1 MOM'!$M$5:$M$800,$A$74,'HR Track 1 MOM'!$AW$5:$AW$800,$C79,'HR Track 1 MOM'!$AY$5:$AY$800,$D79)</f>
        <v>0</v>
      </c>
      <c r="I79" s="336">
        <f>COUNTIFS('HR Track 4 MOM'!$M$5:$M$800,$A$74,'HR Track 4 MOM'!$AW$5:$AW$800,$C79,'HR Track 4 MOM'!$AY$5:$AY$800,$D79)</f>
        <v>0</v>
      </c>
      <c r="J79" s="336">
        <f>COUNTIFS('HR Track 4 PMO'!$M$5:$M$800,$A$74,'HR Track 4 PMO'!$AW$5:$AW$800,$C79,'HR Track 4 PMO'!$AY$5:$AY$800,$D79)</f>
        <v>0</v>
      </c>
      <c r="K79" s="337">
        <f>COUNTIFS('HR Track 6 PMO'!$M$5:$M$800,$A$74,'HR Track 6 PMO'!$AW$5:$AW$800,$C79,'HR Track 6 PMO'!$AY$5:$AY$800,$D79)</f>
        <v>0</v>
      </c>
    </row>
    <row r="80" spans="1:12" ht="19.95" customHeight="1">
      <c r="A80" s="842" t="s">
        <v>691</v>
      </c>
      <c r="B80" s="845" t="s">
        <v>324</v>
      </c>
      <c r="C80" s="329" t="s">
        <v>1089</v>
      </c>
      <c r="D80" s="338">
        <f>VLOOKUP(B80,Foundation_Calc!$K$41:$R$74,3,FALSE)</f>
        <v>4.5999999999999996</v>
      </c>
      <c r="E80" s="331">
        <f t="shared" si="2"/>
        <v>0</v>
      </c>
      <c r="F80" s="331">
        <f>COUNTIFS('HR Track 1'!$M$5:$M$406,$A$80,'HR Track 1'!$AW$5:$AW$406,$C80,'HR Track 1'!$AY$5:$AY$406,$D80)</f>
        <v>0</v>
      </c>
      <c r="G80" s="331">
        <f>COUNTIFS('HR Track 2'!$M$5:$M$406,$A$80,'HR Track 2'!$AW$5:$AW$406,$C80,'HR Track 2'!$AY$5:$AY$406,$D80)</f>
        <v>0</v>
      </c>
      <c r="H80" s="331">
        <f>COUNTIFS('HR Track 1 MOM'!$M$5:$M$800,$A$80,'HR Track 1 MOM'!$AW$5:$AW$800,$C80,'HR Track 1 MOM'!$AY$5:$AY$800,$D80)</f>
        <v>0</v>
      </c>
      <c r="I80" s="331">
        <f>COUNTIFS('HR Track 4 MOM'!$M$5:$M$800,$A$80,'HR Track 4 MOM'!$AW$5:$AW$800,$C80,'HR Track 4 MOM'!$AY$5:$AY$800,$D80)</f>
        <v>0</v>
      </c>
      <c r="J80" s="331">
        <f>COUNTIFS('HR Track 4 PMO'!$M$5:$M$800,$A$80,'HR Track 4 PMO'!$AW$5:$AW$800,$C80,'HR Track 4 PMO'!$AY$5:$AY$800,$D80)</f>
        <v>0</v>
      </c>
      <c r="K80" s="332">
        <f>COUNTIFS('HR Track 6 PMO'!$M$5:$M$800,$A$80,'HR Track 6 PMO'!$AW$5:$AW$800,$C80,'HR Track 6 PMO'!$AY$5:$AY$800,$D80)</f>
        <v>0</v>
      </c>
    </row>
    <row r="81" spans="1:11" ht="19.95" customHeight="1">
      <c r="A81" s="843"/>
      <c r="B81" s="846"/>
      <c r="C81" s="163" t="s">
        <v>1090</v>
      </c>
      <c r="D81" s="307" t="str">
        <f>VLOOKUP(B80,Foundation_Calc!$K$41:$R$74,4,FALSE)</f>
        <v>N.D.</v>
      </c>
      <c r="E81" s="7">
        <f t="shared" si="2"/>
        <v>0</v>
      </c>
      <c r="F81" s="7">
        <f>COUNTIFS('HR Track 1'!$M$5:$M$406,$A$80,'HR Track 1'!$AW$5:$AW$406,$C81,'HR Track 1'!$AY$5:$AY$406,$D81)</f>
        <v>0</v>
      </c>
      <c r="G81" s="7">
        <f>COUNTIFS('HR Track 2'!$M$5:$M$406,$A$80,'HR Track 2'!$AW$5:$AW$406,$C81,'HR Track 2'!$AY$5:$AY$406,$D81)</f>
        <v>0</v>
      </c>
      <c r="H81" s="7">
        <f>COUNTIFS('HR Track 1 MOM'!$M$5:$M$800,$A$80,'HR Track 1 MOM'!$AW$5:$AW$800,$C81,'HR Track 1 MOM'!$AY$5:$AY$800,$D81)</f>
        <v>0</v>
      </c>
      <c r="I81" s="7">
        <f>COUNTIFS('HR Track 4 MOM'!$M$5:$M$800,$A$80,'HR Track 4 MOM'!$AW$5:$AW$800,$C81,'HR Track 4 MOM'!$AY$5:$AY$800,$D81)</f>
        <v>0</v>
      </c>
      <c r="J81" s="7">
        <f>COUNTIFS('HR Track 4 PMO'!$M$5:$M$800,$A$80,'HR Track 4 PMO'!$AW$5:$AW$800,$C81,'HR Track 4 PMO'!$AY$5:$AY$800,$D81)</f>
        <v>0</v>
      </c>
      <c r="K81" s="333">
        <f>COUNTIFS('HR Track 6 PMO'!$M$5:$M$800,$A$80,'HR Track 6 PMO'!$AW$5:$AW$800,$C81,'HR Track 6 PMO'!$AY$5:$AY$800,$D81)</f>
        <v>0</v>
      </c>
    </row>
    <row r="82" spans="1:11" ht="19.95" customHeight="1">
      <c r="A82" s="843"/>
      <c r="B82" s="846"/>
      <c r="C82" s="163" t="s">
        <v>1091</v>
      </c>
      <c r="D82" s="307" t="str">
        <f>VLOOKUP(B80,Foundation_Calc!$K$41:$R$74,5,FALSE)</f>
        <v>N.D.</v>
      </c>
      <c r="E82" s="7">
        <f t="shared" si="2"/>
        <v>0</v>
      </c>
      <c r="F82" s="7">
        <f>COUNTIFS('HR Track 1'!$M$5:$M$406,$A$80,'HR Track 1'!$AW$5:$AW$406,$C82,'HR Track 1'!$AY$5:$AY$406,$D82)</f>
        <v>0</v>
      </c>
      <c r="G82" s="7">
        <f>COUNTIFS('HR Track 2'!$M$5:$M$406,$A$80,'HR Track 2'!$AW$5:$AW$406,$C82,'HR Track 2'!$AY$5:$AY$406,$D82)</f>
        <v>0</v>
      </c>
      <c r="H82" s="7">
        <f>COUNTIFS('HR Track 1 MOM'!$M$5:$M$800,$A$80,'HR Track 1 MOM'!$AW$5:$AW$800,$C82,'HR Track 1 MOM'!$AY$5:$AY$800,$D82)</f>
        <v>0</v>
      </c>
      <c r="I82" s="7">
        <f>COUNTIFS('HR Track 4 MOM'!$M$5:$M$800,$A$80,'HR Track 4 MOM'!$AW$5:$AW$800,$C82,'HR Track 4 MOM'!$AY$5:$AY$800,$D82)</f>
        <v>0</v>
      </c>
      <c r="J82" s="7">
        <f>COUNTIFS('HR Track 4 PMO'!$M$5:$M$800,$A$80,'HR Track 4 PMO'!$AW$5:$AW$800,$C82,'HR Track 4 PMO'!$AY$5:$AY$800,$D82)</f>
        <v>0</v>
      </c>
      <c r="K82" s="333">
        <f>COUNTIFS('HR Track 6 PMO'!$M$5:$M$800,$A$80,'HR Track 6 PMO'!$AW$5:$AW$800,$C82,'HR Track 6 PMO'!$AY$5:$AY$800,$D82)</f>
        <v>0</v>
      </c>
    </row>
    <row r="83" spans="1:11" ht="19.95" customHeight="1">
      <c r="A83" s="843"/>
      <c r="B83" s="846"/>
      <c r="C83" s="163" t="s">
        <v>1092</v>
      </c>
      <c r="D83" s="307" t="str">
        <f>VLOOKUP(B80,Foundation_Calc!$K$41:$R$74,6,FALSE)</f>
        <v>N.D.</v>
      </c>
      <c r="E83" s="7">
        <f t="shared" si="2"/>
        <v>0</v>
      </c>
      <c r="F83" s="7">
        <f>COUNTIFS('HR Track 1'!$M$5:$M$406,$A$80,'HR Track 1'!$AW$5:$AW$406,$C83,'HR Track 1'!$AY$5:$AY$406,$D83)</f>
        <v>0</v>
      </c>
      <c r="G83" s="7">
        <f>COUNTIFS('HR Track 2'!$M$5:$M$406,$A$80,'HR Track 2'!$AW$5:$AW$406,$C83,'HR Track 2'!$AY$5:$AY$406,$D83)</f>
        <v>0</v>
      </c>
      <c r="H83" s="7">
        <f>COUNTIFS('HR Track 1 MOM'!$M$5:$M$800,$A$80,'HR Track 1 MOM'!$AW$5:$AW$800,$C83,'HR Track 1 MOM'!$AY$5:$AY$800,$D83)</f>
        <v>0</v>
      </c>
      <c r="I83" s="7">
        <f>COUNTIFS('HR Track 4 MOM'!$M$5:$M$800,$A$80,'HR Track 4 MOM'!$AW$5:$AW$800,$C83,'HR Track 4 MOM'!$AY$5:$AY$800,$D83)</f>
        <v>0</v>
      </c>
      <c r="J83" s="7">
        <f>COUNTIFS('HR Track 4 PMO'!$M$5:$M$800,$A$80,'HR Track 4 PMO'!$AW$5:$AW$800,$C83,'HR Track 4 PMO'!$AY$5:$AY$800,$D83)</f>
        <v>0</v>
      </c>
      <c r="K83" s="333">
        <f>COUNTIFS('HR Track 6 PMO'!$M$5:$M$800,$A$80,'HR Track 6 PMO'!$AW$5:$AW$800,$C83,'HR Track 6 PMO'!$AY$5:$AY$800,$D83)</f>
        <v>0</v>
      </c>
    </row>
    <row r="84" spans="1:11" ht="19.95" customHeight="1">
      <c r="A84" s="843"/>
      <c r="B84" s="846"/>
      <c r="C84" s="163" t="s">
        <v>1093</v>
      </c>
      <c r="D84" s="307" t="str">
        <f>VLOOKUP(B80,Foundation_Calc!$K$41:$R$74,7,FALSE)</f>
        <v>N.D.</v>
      </c>
      <c r="E84" s="7">
        <f t="shared" si="2"/>
        <v>0</v>
      </c>
      <c r="F84" s="7">
        <f>COUNTIFS('HR Track 1'!$M$5:$M$406,$A$80,'HR Track 1'!$AW$5:$AW$406,$C84,'HR Track 1'!$AY$5:$AY$406,$D84)</f>
        <v>0</v>
      </c>
      <c r="G84" s="7">
        <f>COUNTIFS('HR Track 2'!$M$5:$M$406,$A$80,'HR Track 2'!$AW$5:$AW$406,$C84,'HR Track 2'!$AY$5:$AY$406,$D84)</f>
        <v>0</v>
      </c>
      <c r="H84" s="7">
        <f>COUNTIFS('HR Track 1 MOM'!$M$5:$M$800,$A$80,'HR Track 1 MOM'!$AW$5:$AW$800,$C84,'HR Track 1 MOM'!$AY$5:$AY$800,$D84)</f>
        <v>0</v>
      </c>
      <c r="I84" s="7">
        <f>COUNTIFS('HR Track 4 MOM'!$M$5:$M$800,$A$80,'HR Track 4 MOM'!$AW$5:$AW$800,$C84,'HR Track 4 MOM'!$AY$5:$AY$800,$D84)</f>
        <v>0</v>
      </c>
      <c r="J84" s="7">
        <f>COUNTIFS('HR Track 4 PMO'!$M$5:$M$800,$A$80,'HR Track 4 PMO'!$AW$5:$AW$800,$C84,'HR Track 4 PMO'!$AY$5:$AY$800,$D84)</f>
        <v>0</v>
      </c>
      <c r="K84" s="333">
        <f>COUNTIFS('HR Track 6 PMO'!$M$5:$M$800,$A$80,'HR Track 6 PMO'!$AW$5:$AW$800,$C84,'HR Track 6 PMO'!$AY$5:$AY$800,$D84)</f>
        <v>0</v>
      </c>
    </row>
    <row r="85" spans="1:11" ht="19.95" customHeight="1" thickBot="1">
      <c r="A85" s="844"/>
      <c r="B85" s="847"/>
      <c r="C85" s="334" t="s">
        <v>1094</v>
      </c>
      <c r="D85" s="339" t="str">
        <f>VLOOKUP(B80,Foundation_Calc!$K$41:$R$74,8,FALSE)</f>
        <v>N.D.</v>
      </c>
      <c r="E85" s="336">
        <f t="shared" si="2"/>
        <v>0</v>
      </c>
      <c r="F85" s="336">
        <f>COUNTIFS('HR Track 1'!$M$5:$M$406,$A$80,'HR Track 1'!$AW$5:$AW$406,$C85,'HR Track 1'!$AY$5:$AY$406,$D85)</f>
        <v>0</v>
      </c>
      <c r="G85" s="336">
        <f>COUNTIFS('HR Track 2'!$M$5:$M$406,$A$80,'HR Track 2'!$AW$5:$AW$406,$C85,'HR Track 2'!$AY$5:$AY$406,$D85)</f>
        <v>0</v>
      </c>
      <c r="H85" s="336">
        <f>COUNTIFS('HR Track 1 MOM'!$M$5:$M$800,$A$80,'HR Track 1 MOM'!$AW$5:$AW$800,$C85,'HR Track 1 MOM'!$AY$5:$AY$800,$D85)</f>
        <v>0</v>
      </c>
      <c r="I85" s="336">
        <f>COUNTIFS('HR Track 4 MOM'!$M$5:$M$800,$A$80,'HR Track 4 MOM'!$AW$5:$AW$800,$C85,'HR Track 4 MOM'!$AY$5:$AY$800,$D85)</f>
        <v>0</v>
      </c>
      <c r="J85" s="336">
        <f>COUNTIFS('HR Track 4 PMO'!$M$5:$M$800,$A$80,'HR Track 4 PMO'!$AW$5:$AW$800,$C85,'HR Track 4 PMO'!$AY$5:$AY$800,$D85)</f>
        <v>0</v>
      </c>
      <c r="K85" s="337">
        <f>COUNTIFS('HR Track 6 PMO'!$M$5:$M$800,$A$80,'HR Track 6 PMO'!$AW$5:$AW$800,$C85,'HR Track 6 PMO'!$AY$5:$AY$800,$D85)</f>
        <v>0</v>
      </c>
    </row>
    <row r="86" spans="1:11" ht="19.95" customHeight="1">
      <c r="A86" s="848" t="s">
        <v>677</v>
      </c>
      <c r="B86" s="849" t="s">
        <v>789</v>
      </c>
      <c r="C86" s="329" t="s">
        <v>1089</v>
      </c>
      <c r="D86" s="330" t="str">
        <f>VLOOKUP(B86,Foundation_Calc!$K$4:$R$37,3,FALSE)</f>
        <v>N.D.</v>
      </c>
      <c r="E86" s="331">
        <f t="shared" si="2"/>
        <v>0</v>
      </c>
      <c r="F86" s="331">
        <f>COUNTIFS('HR Track 1'!$M$5:$M$406,$A$86,'HR Track 1'!$AW$5:$AW$406,$C86,'HR Track 1'!$AY$5:$AY$406,$D86)</f>
        <v>0</v>
      </c>
      <c r="G86" s="331">
        <f>COUNTIFS('HR Track 2'!$M$5:$M$406,$A$86,'HR Track 2'!$AW$5:$AW$406,$C86,'HR Track 2'!$AY$5:$AY$406,$D86)</f>
        <v>0</v>
      </c>
      <c r="H86" s="331">
        <f>COUNTIFS('HR Track 1 MOM'!$M$5:$M$800,$A$86,'HR Track 1 MOM'!$AW$5:$AW$800,$C86,'HR Track 1 MOM'!$AY$5:$AY$800,$D86)</f>
        <v>0</v>
      </c>
      <c r="I86" s="331">
        <f>COUNTIFS('HR Track 4 MOM'!$M$5:$M$800,$A$86,'HR Track 4 MOM'!$AW$5:$AW$800,$C86,'HR Track 4 MOM'!$AY$5:$AY$800,$D86)</f>
        <v>0</v>
      </c>
      <c r="J86" s="331">
        <f>COUNTIFS('HR Track 4 PMO'!$M$5:$M$800,$A$86,'HR Track 4 PMO'!$AW$5:$AW$800,$C86,'HR Track 4 PMO'!$AY$5:$AY$800,$D86)</f>
        <v>0</v>
      </c>
      <c r="K86" s="332">
        <f>COUNTIFS('HR Track 6 PMO'!$M$5:$M$800,$A$86,'HR Track 6 PMO'!$AW$5:$AW$800,$C86,'HR Track 6 PMO'!$AY$5:$AY$800,$D86)</f>
        <v>0</v>
      </c>
    </row>
    <row r="87" spans="1:11" ht="19.95" customHeight="1">
      <c r="A87" s="764"/>
      <c r="B87" s="753"/>
      <c r="C87" s="163" t="s">
        <v>1090</v>
      </c>
      <c r="D87" s="11" t="str">
        <f>VLOOKUP(B86,Foundation_Calc!$K$4:$R$37,4,FALSE)</f>
        <v>N.D.</v>
      </c>
      <c r="E87" s="7">
        <f t="shared" si="2"/>
        <v>0</v>
      </c>
      <c r="F87" s="7">
        <f>COUNTIFS('HR Track 1'!$M$5:$M$406,$A$86,'HR Track 1'!$AW$5:$AW$406,$C87,'HR Track 1'!$AY$5:$AY$406,$D87)</f>
        <v>0</v>
      </c>
      <c r="G87" s="7">
        <f>COUNTIFS('HR Track 2'!$M$5:$M$406,$A$86,'HR Track 2'!$AW$5:$AW$406,$C87,'HR Track 2'!$AY$5:$AY$406,$D87)</f>
        <v>0</v>
      </c>
      <c r="H87" s="7">
        <f>COUNTIFS('HR Track 1 MOM'!$M$5:$M$800,$A$86,'HR Track 1 MOM'!$AW$5:$AW$800,$C87,'HR Track 1 MOM'!$AY$5:$AY$800,$D87)</f>
        <v>0</v>
      </c>
      <c r="I87" s="7">
        <f>COUNTIFS('HR Track 4 MOM'!$M$5:$M$800,$A$86,'HR Track 4 MOM'!$AW$5:$AW$800,$C87,'HR Track 4 MOM'!$AY$5:$AY$800,$D87)</f>
        <v>0</v>
      </c>
      <c r="J87" s="7">
        <f>COUNTIFS('HR Track 4 PMO'!$M$5:$M$800,$A$86,'HR Track 4 PMO'!$AW$5:$AW$800,$C87,'HR Track 4 PMO'!$AY$5:$AY$800,$D87)</f>
        <v>0</v>
      </c>
      <c r="K87" s="333">
        <f>COUNTIFS('HR Track 6 PMO'!$M$5:$M$800,$A$86,'HR Track 6 PMO'!$AW$5:$AW$800,$C87,'HR Track 6 PMO'!$AY$5:$AY$800,$D87)</f>
        <v>0</v>
      </c>
    </row>
    <row r="88" spans="1:11" ht="19.95" customHeight="1">
      <c r="A88" s="764"/>
      <c r="B88" s="753"/>
      <c r="C88" s="163" t="s">
        <v>1091</v>
      </c>
      <c r="D88" s="11" t="str">
        <f>VLOOKUP(B86,Foundation_Calc!$K$4:$R$37,5,FALSE)</f>
        <v>N.D.</v>
      </c>
      <c r="E88" s="7">
        <f t="shared" si="2"/>
        <v>0</v>
      </c>
      <c r="F88" s="7">
        <f>COUNTIFS('HR Track 1'!$M$5:$M$406,$A$86,'HR Track 1'!$AW$5:$AW$406,$C88,'HR Track 1'!$AY$5:$AY$406,$D88)</f>
        <v>0</v>
      </c>
      <c r="G88" s="7">
        <f>COUNTIFS('HR Track 2'!$M$5:$M$406,$A$86,'HR Track 2'!$AW$5:$AW$406,$C88,'HR Track 2'!$AY$5:$AY$406,$D88)</f>
        <v>0</v>
      </c>
      <c r="H88" s="7">
        <f>COUNTIFS('HR Track 1 MOM'!$M$5:$M$800,$A$86,'HR Track 1 MOM'!$AW$5:$AW$800,$C88,'HR Track 1 MOM'!$AY$5:$AY$800,$D88)</f>
        <v>0</v>
      </c>
      <c r="I88" s="7">
        <f>COUNTIFS('HR Track 4 MOM'!$M$5:$M$800,$A$86,'HR Track 4 MOM'!$AW$5:$AW$800,$C88,'HR Track 4 MOM'!$AY$5:$AY$800,$D88)</f>
        <v>0</v>
      </c>
      <c r="J88" s="7">
        <f>COUNTIFS('HR Track 4 PMO'!$M$5:$M$800,$A$86,'HR Track 4 PMO'!$AW$5:$AW$800,$C88,'HR Track 4 PMO'!$AY$5:$AY$800,$D88)</f>
        <v>0</v>
      </c>
      <c r="K88" s="333">
        <f>COUNTIFS('HR Track 6 PMO'!$M$5:$M$800,$A$86,'HR Track 6 PMO'!$AW$5:$AW$800,$C88,'HR Track 6 PMO'!$AY$5:$AY$800,$D88)</f>
        <v>0</v>
      </c>
    </row>
    <row r="89" spans="1:11" ht="19.95" customHeight="1">
      <c r="A89" s="764"/>
      <c r="B89" s="753"/>
      <c r="C89" s="163" t="s">
        <v>1092</v>
      </c>
      <c r="D89" s="11" t="str">
        <f>VLOOKUP(B86,Foundation_Calc!$K$4:$R$37,6,FALSE)</f>
        <v>N.D.</v>
      </c>
      <c r="E89" s="7">
        <f t="shared" si="2"/>
        <v>0</v>
      </c>
      <c r="F89" s="7">
        <f>COUNTIFS('HR Track 1'!$M$5:$M$406,$A$86,'HR Track 1'!$AW$5:$AW$406,$C89,'HR Track 1'!$AY$5:$AY$406,$D89)</f>
        <v>0</v>
      </c>
      <c r="G89" s="7">
        <f>COUNTIFS('HR Track 2'!$M$5:$M$406,$A$86,'HR Track 2'!$AW$5:$AW$406,$C89,'HR Track 2'!$AY$5:$AY$406,$D89)</f>
        <v>0</v>
      </c>
      <c r="H89" s="7">
        <f>COUNTIFS('HR Track 1 MOM'!$M$5:$M$800,$A$86,'HR Track 1 MOM'!$AW$5:$AW$800,$C89,'HR Track 1 MOM'!$AY$5:$AY$800,$D89)</f>
        <v>0</v>
      </c>
      <c r="I89" s="7">
        <f>COUNTIFS('HR Track 4 MOM'!$M$5:$M$800,$A$86,'HR Track 4 MOM'!$AW$5:$AW$800,$C89,'HR Track 4 MOM'!$AY$5:$AY$800,$D89)</f>
        <v>0</v>
      </c>
      <c r="J89" s="7">
        <f>COUNTIFS('HR Track 4 PMO'!$M$5:$M$800,$A$86,'HR Track 4 PMO'!$AW$5:$AW$800,$C89,'HR Track 4 PMO'!$AY$5:$AY$800,$D89)</f>
        <v>0</v>
      </c>
      <c r="K89" s="333">
        <f>COUNTIFS('HR Track 6 PMO'!$M$5:$M$800,$A$86,'HR Track 6 PMO'!$AW$5:$AW$800,$C89,'HR Track 6 PMO'!$AY$5:$AY$800,$D89)</f>
        <v>0</v>
      </c>
    </row>
    <row r="90" spans="1:11" ht="19.95" customHeight="1">
      <c r="A90" s="764"/>
      <c r="B90" s="753"/>
      <c r="C90" s="163" t="s">
        <v>1093</v>
      </c>
      <c r="D90" s="11" t="str">
        <f>VLOOKUP(B86,Foundation_Calc!$K$4:$R$37,7,FALSE)</f>
        <v>N.D.</v>
      </c>
      <c r="E90" s="7">
        <f t="shared" si="2"/>
        <v>0</v>
      </c>
      <c r="F90" s="7">
        <f>COUNTIFS('HR Track 1'!$M$5:$M$406,$A$86,'HR Track 1'!$AW$5:$AW$406,$C90,'HR Track 1'!$AY$5:$AY$406,$D90)</f>
        <v>0</v>
      </c>
      <c r="G90" s="7">
        <f>COUNTIFS('HR Track 2'!$M$5:$M$406,$A$86,'HR Track 2'!$AW$5:$AW$406,$C90,'HR Track 2'!$AY$5:$AY$406,$D90)</f>
        <v>0</v>
      </c>
      <c r="H90" s="7">
        <f>COUNTIFS('HR Track 1 MOM'!$M$5:$M$800,$A$86,'HR Track 1 MOM'!$AW$5:$AW$800,$C90,'HR Track 1 MOM'!$AY$5:$AY$800,$D90)</f>
        <v>0</v>
      </c>
      <c r="I90" s="7">
        <f>COUNTIFS('HR Track 4 MOM'!$M$5:$M$800,$A$86,'HR Track 4 MOM'!$AW$5:$AW$800,$C90,'HR Track 4 MOM'!$AY$5:$AY$800,$D90)</f>
        <v>0</v>
      </c>
      <c r="J90" s="7">
        <f>COUNTIFS('HR Track 4 PMO'!$M$5:$M$800,$A$86,'HR Track 4 PMO'!$AW$5:$AW$800,$C90,'HR Track 4 PMO'!$AY$5:$AY$800,$D90)</f>
        <v>0</v>
      </c>
      <c r="K90" s="333">
        <f>COUNTIFS('HR Track 6 PMO'!$M$5:$M$800,$A$86,'HR Track 6 PMO'!$AW$5:$AW$800,$C90,'HR Track 6 PMO'!$AY$5:$AY$800,$D90)</f>
        <v>0</v>
      </c>
    </row>
    <row r="91" spans="1:11" ht="19.95" customHeight="1" thickBot="1">
      <c r="A91" s="765"/>
      <c r="B91" s="754"/>
      <c r="C91" s="334" t="s">
        <v>1094</v>
      </c>
      <c r="D91" s="335" t="str">
        <f>VLOOKUP(B86,Foundation_Calc!$K$4:$R$37,8,FALSE)</f>
        <v>N.D.</v>
      </c>
      <c r="E91" s="336">
        <f t="shared" si="2"/>
        <v>0</v>
      </c>
      <c r="F91" s="336">
        <f>COUNTIFS('HR Track 1'!$M$5:$M$406,$A$86,'HR Track 1'!$AW$5:$AW$406,$C91,'HR Track 1'!$AY$5:$AY$406,$D91)</f>
        <v>0</v>
      </c>
      <c r="G91" s="336">
        <f>COUNTIFS('HR Track 2'!$M$5:$M$406,$A$86,'HR Track 2'!$AW$5:$AW$406,$C91,'HR Track 2'!$AY$5:$AY$406,$D91)</f>
        <v>0</v>
      </c>
      <c r="H91" s="336">
        <f>COUNTIFS('HR Track 1 MOM'!$M$5:$M$800,$A$86,'HR Track 1 MOM'!$AW$5:$AW$800,$C91,'HR Track 1 MOM'!$AY$5:$AY$800,$D91)</f>
        <v>0</v>
      </c>
      <c r="I91" s="336">
        <f>COUNTIFS('HR Track 4 MOM'!$M$5:$M$800,$A$86,'HR Track 4 MOM'!$AW$5:$AW$800,$C91,'HR Track 4 MOM'!$AY$5:$AY$800,$D91)</f>
        <v>0</v>
      </c>
      <c r="J91" s="336">
        <f>COUNTIFS('HR Track 4 PMO'!$M$5:$M$800,$A$86,'HR Track 4 PMO'!$AW$5:$AW$800,$C91,'HR Track 4 PMO'!$AY$5:$AY$800,$D91)</f>
        <v>0</v>
      </c>
      <c r="K91" s="337">
        <f>COUNTIFS('HR Track 6 PMO'!$M$5:$M$800,$A$86,'HR Track 6 PMO'!$AW$5:$AW$800,$C91,'HR Track 6 PMO'!$AY$5:$AY$800,$D91)</f>
        <v>0</v>
      </c>
    </row>
    <row r="92" spans="1:11" ht="19.95" customHeight="1">
      <c r="A92" s="842" t="s">
        <v>691</v>
      </c>
      <c r="B92" s="845" t="s">
        <v>789</v>
      </c>
      <c r="C92" s="329" t="s">
        <v>1089</v>
      </c>
      <c r="D92" s="338" t="str">
        <f>VLOOKUP(B92,Foundation_Calc!$K$41:$R$74,3,FALSE)</f>
        <v>N.D.</v>
      </c>
      <c r="E92" s="331">
        <f t="shared" si="2"/>
        <v>0</v>
      </c>
      <c r="F92" s="331">
        <f>COUNTIFS('HR Track 1'!$M$5:$M$406,$A$92,'HR Track 1'!$AW$5:$AW$406,$C92,'HR Track 1'!$AY$5:$AY$406,$D92)</f>
        <v>0</v>
      </c>
      <c r="G92" s="331">
        <f>COUNTIFS('HR Track 2'!$M$5:$M$406,$A$92,'HR Track 2'!$AW$5:$AW$406,$C92,'HR Track 2'!$AY$5:$AY$406,$D92)</f>
        <v>0</v>
      </c>
      <c r="H92" s="331">
        <f>COUNTIFS('HR Track 1 MOM'!$M$5:$M$800,$A$92,'HR Track 1 MOM'!$AW$5:$AW$800,$C92,'HR Track 1 MOM'!$AY$5:$AY$800,$D92)</f>
        <v>0</v>
      </c>
      <c r="I92" s="331">
        <f>COUNTIFS('HR Track 4 MOM'!$M$5:$M$800,$A$92,'HR Track 4 MOM'!$AW$5:$AW$800,$C92,'HR Track 4 MOM'!$AY$5:$AY$800,$D92)</f>
        <v>0</v>
      </c>
      <c r="J92" s="331">
        <f>COUNTIFS('HR Track 4 PMO'!$M$5:$M$800,$A$92,'HR Track 4 PMO'!$AW$5:$AW$800,$C92,'HR Track 4 PMO'!$AY$5:$AY$800,$D92)</f>
        <v>0</v>
      </c>
      <c r="K92" s="332">
        <f>COUNTIFS('HR Track 6 PMO'!$M$5:$M$800,$A$92,'HR Track 6 PMO'!$AW$5:$AW$800,$C92,'HR Track 6 PMO'!$AY$5:$AY$800,$D92)</f>
        <v>0</v>
      </c>
    </row>
    <row r="93" spans="1:11" ht="19.95" customHeight="1">
      <c r="A93" s="843"/>
      <c r="B93" s="846"/>
      <c r="C93" s="163" t="s">
        <v>1090</v>
      </c>
      <c r="D93" s="307" t="str">
        <f>VLOOKUP(B92,Foundation_Calc!$K$41:$R$74,4,FALSE)</f>
        <v>N.D.</v>
      </c>
      <c r="E93" s="7">
        <f t="shared" si="2"/>
        <v>0</v>
      </c>
      <c r="F93" s="7">
        <f>COUNTIFS('HR Track 1'!$M$5:$M$406,$A$92,'HR Track 1'!$AW$5:$AW$406,$C93,'HR Track 1'!$AY$5:$AY$406,$D93)</f>
        <v>0</v>
      </c>
      <c r="G93" s="7">
        <f>COUNTIFS('HR Track 2'!$M$5:$M$406,$A$92,'HR Track 2'!$AW$5:$AW$406,$C93,'HR Track 2'!$AY$5:$AY$406,$D93)</f>
        <v>0</v>
      </c>
      <c r="H93" s="7">
        <f>COUNTIFS('HR Track 1 MOM'!$M$5:$M$800,$A$92,'HR Track 1 MOM'!$AW$5:$AW$800,$C93,'HR Track 1 MOM'!$AY$5:$AY$800,$D93)</f>
        <v>0</v>
      </c>
      <c r="I93" s="7">
        <f>COUNTIFS('HR Track 4 MOM'!$M$5:$M$800,$A$92,'HR Track 4 MOM'!$AW$5:$AW$800,$C93,'HR Track 4 MOM'!$AY$5:$AY$800,$D93)</f>
        <v>0</v>
      </c>
      <c r="J93" s="7">
        <f>COUNTIFS('HR Track 4 PMO'!$M$5:$M$800,$A$92,'HR Track 4 PMO'!$AW$5:$AW$800,$C93,'HR Track 4 PMO'!$AY$5:$AY$800,$D93)</f>
        <v>0</v>
      </c>
      <c r="K93" s="333">
        <f>COUNTIFS('HR Track 6 PMO'!$M$5:$M$800,$A$92,'HR Track 6 PMO'!$AW$5:$AW$800,$C93,'HR Track 6 PMO'!$AY$5:$AY$800,$D93)</f>
        <v>0</v>
      </c>
    </row>
    <row r="94" spans="1:11" ht="19.95" customHeight="1">
      <c r="A94" s="843"/>
      <c r="B94" s="846"/>
      <c r="C94" s="163" t="s">
        <v>1091</v>
      </c>
      <c r="D94" s="307" t="str">
        <f>VLOOKUP(B92,Foundation_Calc!$K$41:$R$74,5,FALSE)</f>
        <v>N.D.</v>
      </c>
      <c r="E94" s="7">
        <f t="shared" si="2"/>
        <v>0</v>
      </c>
      <c r="F94" s="7">
        <f>COUNTIFS('HR Track 1'!$M$5:$M$406,$A$92,'HR Track 1'!$AW$5:$AW$406,$C94,'HR Track 1'!$AY$5:$AY$406,$D94)</f>
        <v>0</v>
      </c>
      <c r="G94" s="7">
        <f>COUNTIFS('HR Track 2'!$M$5:$M$406,$A$92,'HR Track 2'!$AW$5:$AW$406,$C94,'HR Track 2'!$AY$5:$AY$406,$D94)</f>
        <v>0</v>
      </c>
      <c r="H94" s="7">
        <f>COUNTIFS('HR Track 1 MOM'!$M$5:$M$800,$A$92,'HR Track 1 MOM'!$AW$5:$AW$800,$C94,'HR Track 1 MOM'!$AY$5:$AY$800,$D94)</f>
        <v>0</v>
      </c>
      <c r="I94" s="7">
        <f>COUNTIFS('HR Track 4 MOM'!$M$5:$M$800,$A$92,'HR Track 4 MOM'!$AW$5:$AW$800,$C94,'HR Track 4 MOM'!$AY$5:$AY$800,$D94)</f>
        <v>0</v>
      </c>
      <c r="J94" s="7">
        <f>COUNTIFS('HR Track 4 PMO'!$M$5:$M$800,$A$92,'HR Track 4 PMO'!$AW$5:$AW$800,$C94,'HR Track 4 PMO'!$AY$5:$AY$800,$D94)</f>
        <v>0</v>
      </c>
      <c r="K94" s="333">
        <f>COUNTIFS('HR Track 6 PMO'!$M$5:$M$800,$A$92,'HR Track 6 PMO'!$AW$5:$AW$800,$C94,'HR Track 6 PMO'!$AY$5:$AY$800,$D94)</f>
        <v>0</v>
      </c>
    </row>
    <row r="95" spans="1:11" ht="19.95" customHeight="1">
      <c r="A95" s="843"/>
      <c r="B95" s="846"/>
      <c r="C95" s="163" t="s">
        <v>1092</v>
      </c>
      <c r="D95" s="307" t="str">
        <f>VLOOKUP(B92,Foundation_Calc!$K$41:$R$74,6,FALSE)</f>
        <v>N.D.</v>
      </c>
      <c r="E95" s="7">
        <f t="shared" si="2"/>
        <v>0</v>
      </c>
      <c r="F95" s="7">
        <f>COUNTIFS('HR Track 1'!$M$5:$M$406,$A$92,'HR Track 1'!$AW$5:$AW$406,$C95,'HR Track 1'!$AY$5:$AY$406,$D95)</f>
        <v>0</v>
      </c>
      <c r="G95" s="7">
        <f>COUNTIFS('HR Track 2'!$M$5:$M$406,$A$92,'HR Track 2'!$AW$5:$AW$406,$C95,'HR Track 2'!$AY$5:$AY$406,$D95)</f>
        <v>0</v>
      </c>
      <c r="H95" s="7">
        <f>COUNTIFS('HR Track 1 MOM'!$M$5:$M$800,$A$92,'HR Track 1 MOM'!$AW$5:$AW$800,$C95,'HR Track 1 MOM'!$AY$5:$AY$800,$D95)</f>
        <v>0</v>
      </c>
      <c r="I95" s="7">
        <f>COUNTIFS('HR Track 4 MOM'!$M$5:$M$800,$A$92,'HR Track 4 MOM'!$AW$5:$AW$800,$C95,'HR Track 4 MOM'!$AY$5:$AY$800,$D95)</f>
        <v>0</v>
      </c>
      <c r="J95" s="7">
        <f>COUNTIFS('HR Track 4 PMO'!$M$5:$M$800,$A$92,'HR Track 4 PMO'!$AW$5:$AW$800,$C95,'HR Track 4 PMO'!$AY$5:$AY$800,$D95)</f>
        <v>0</v>
      </c>
      <c r="K95" s="333">
        <f>COUNTIFS('HR Track 6 PMO'!$M$5:$M$800,$A$92,'HR Track 6 PMO'!$AW$5:$AW$800,$C95,'HR Track 6 PMO'!$AY$5:$AY$800,$D95)</f>
        <v>0</v>
      </c>
    </row>
    <row r="96" spans="1:11" ht="19.95" customHeight="1">
      <c r="A96" s="843"/>
      <c r="B96" s="846"/>
      <c r="C96" s="163" t="s">
        <v>1093</v>
      </c>
      <c r="D96" s="307" t="str">
        <f>VLOOKUP(B92,Foundation_Calc!$K$41:$R$74,7,FALSE)</f>
        <v>N.D.</v>
      </c>
      <c r="E96" s="7">
        <f t="shared" si="2"/>
        <v>0</v>
      </c>
      <c r="F96" s="7">
        <f>COUNTIFS('HR Track 1'!$M$5:$M$406,$A$92,'HR Track 1'!$AW$5:$AW$406,$C96,'HR Track 1'!$AY$5:$AY$406,$D96)</f>
        <v>0</v>
      </c>
      <c r="G96" s="7">
        <f>COUNTIFS('HR Track 2'!$M$5:$M$406,$A$92,'HR Track 2'!$AW$5:$AW$406,$C96,'HR Track 2'!$AY$5:$AY$406,$D96)</f>
        <v>0</v>
      </c>
      <c r="H96" s="7">
        <f>COUNTIFS('HR Track 1 MOM'!$M$5:$M$800,$A$92,'HR Track 1 MOM'!$AW$5:$AW$800,$C96,'HR Track 1 MOM'!$AY$5:$AY$800,$D96)</f>
        <v>0</v>
      </c>
      <c r="I96" s="7">
        <f>COUNTIFS('HR Track 4 MOM'!$M$5:$M$800,$A$92,'HR Track 4 MOM'!$AW$5:$AW$800,$C96,'HR Track 4 MOM'!$AY$5:$AY$800,$D96)</f>
        <v>0</v>
      </c>
      <c r="J96" s="7">
        <f>COUNTIFS('HR Track 4 PMO'!$M$5:$M$800,$A$92,'HR Track 4 PMO'!$AW$5:$AW$800,$C96,'HR Track 4 PMO'!$AY$5:$AY$800,$D96)</f>
        <v>0</v>
      </c>
      <c r="K96" s="333">
        <f>COUNTIFS('HR Track 6 PMO'!$M$5:$M$800,$A$92,'HR Track 6 PMO'!$AW$5:$AW$800,$C96,'HR Track 6 PMO'!$AY$5:$AY$800,$D96)</f>
        <v>0</v>
      </c>
    </row>
    <row r="97" spans="1:12" ht="19.95" customHeight="1" thickBot="1">
      <c r="A97" s="844"/>
      <c r="B97" s="847"/>
      <c r="C97" s="334" t="s">
        <v>1094</v>
      </c>
      <c r="D97" s="339" t="str">
        <f>VLOOKUP(B92,Foundation_Calc!$K$41:$R$74,8,FALSE)</f>
        <v>N.D.</v>
      </c>
      <c r="E97" s="336">
        <f t="shared" si="2"/>
        <v>0</v>
      </c>
      <c r="F97" s="336">
        <f>COUNTIFS('HR Track 1'!$M$5:$M$406,$A$92,'HR Track 1'!$AW$5:$AW$406,$C97,'HR Track 1'!$AY$5:$AY$406,$D97)</f>
        <v>0</v>
      </c>
      <c r="G97" s="336">
        <f>COUNTIFS('HR Track 2'!$M$5:$M$406,$A$92,'HR Track 2'!$AW$5:$AW$406,$C97,'HR Track 2'!$AY$5:$AY$406,$D97)</f>
        <v>0</v>
      </c>
      <c r="H97" s="336">
        <f>COUNTIFS('HR Track 1 MOM'!$M$5:$M$800,$A$92,'HR Track 1 MOM'!$AW$5:$AW$800,$C97,'HR Track 1 MOM'!$AY$5:$AY$800,$D97)</f>
        <v>0</v>
      </c>
      <c r="I97" s="336">
        <f>COUNTIFS('HR Track 4 MOM'!$M$5:$M$800,$A$92,'HR Track 4 MOM'!$AW$5:$AW$800,$C97,'HR Track 4 MOM'!$AY$5:$AY$800,$D97)</f>
        <v>0</v>
      </c>
      <c r="J97" s="336">
        <f>COUNTIFS('HR Track 4 PMO'!$M$5:$M$800,$A$92,'HR Track 4 PMO'!$AW$5:$AW$800,$C97,'HR Track 4 PMO'!$AY$5:$AY$800,$D97)</f>
        <v>0</v>
      </c>
      <c r="K97" s="337">
        <f>COUNTIFS('HR Track 6 PMO'!$M$5:$M$800,$A$92,'HR Track 6 PMO'!$AW$5:$AW$800,$C97,'HR Track 6 PMO'!$AY$5:$AY$800,$D97)</f>
        <v>0</v>
      </c>
    </row>
    <row r="98" spans="1:12" ht="19.95" customHeight="1">
      <c r="A98" s="848" t="s">
        <v>677</v>
      </c>
      <c r="B98" s="849" t="s">
        <v>325</v>
      </c>
      <c r="C98" s="329" t="s">
        <v>1089</v>
      </c>
      <c r="D98" s="330">
        <f>VLOOKUP(B98,Foundation_Calc!$K$4:$R$37,3,FALSE)</f>
        <v>4</v>
      </c>
      <c r="E98" s="331">
        <f t="shared" si="2"/>
        <v>0</v>
      </c>
      <c r="F98" s="331">
        <f>COUNTIFS('HR Track 1'!$M$5:$M$406,$A$98,'HR Track 1'!$AW$5:$AW$406,$C98,'HR Track 1'!$AY$5:$AY$406,$D98)</f>
        <v>0</v>
      </c>
      <c r="G98" s="331">
        <f>COUNTIFS('HR Track 2'!$M$5:$M$406,$A$98,'HR Track 2'!$AW$5:$AW$406,$C98,'HR Track 2'!$AY$5:$AY$406,$D98)</f>
        <v>0</v>
      </c>
      <c r="H98" s="331">
        <f>COUNTIFS('HR Track 1 MOM'!$M$5:$M$800,$A$98,'HR Track 1 MOM'!$AW$5:$AW$800,$C98,'HR Track 1 MOM'!$AY$5:$AY$800,$D98)</f>
        <v>0</v>
      </c>
      <c r="I98" s="331">
        <f>COUNTIFS('HR Track 4 MOM'!$M$5:$M$800,$A$98,'HR Track 4 MOM'!$AW$5:$AW$800,$C98,'HR Track 4 MOM'!$AY$5:$AY$800,$D98)</f>
        <v>0</v>
      </c>
      <c r="J98" s="331">
        <f>COUNTIFS('HR Track 4 PMO'!$M$5:$M$800,$A$98,'HR Track 4 PMO'!$AW$5:$AW$800,$C98,'HR Track 4 PMO'!$AY$5:$AY$800,$D98)</f>
        <v>0</v>
      </c>
      <c r="K98" s="332">
        <f>COUNTIFS('HR Track 6 PMO'!$M$5:$M$800,$A$98,'HR Track 6 PMO'!$AW$5:$AW$800,$C98,'HR Track 6 PMO'!$AY$5:$AY$800,$D98)</f>
        <v>0</v>
      </c>
    </row>
    <row r="99" spans="1:12" ht="19.95" customHeight="1">
      <c r="A99" s="764"/>
      <c r="B99" s="753"/>
      <c r="C99" s="163" t="s">
        <v>1090</v>
      </c>
      <c r="D99" s="11" t="str">
        <f>VLOOKUP(B98,Foundation_Calc!$K$4:$R$37,4,FALSE)</f>
        <v>N.D.</v>
      </c>
      <c r="E99" s="7">
        <f t="shared" si="2"/>
        <v>0</v>
      </c>
      <c r="F99" s="7">
        <f>COUNTIFS('HR Track 1'!$M$5:$M$406,$A$98,'HR Track 1'!$AW$5:$AW$406,$C99,'HR Track 1'!$AY$5:$AY$406,$D99)</f>
        <v>0</v>
      </c>
      <c r="G99" s="7">
        <f>COUNTIFS('HR Track 2'!$M$5:$M$406,$A$98,'HR Track 2'!$AW$5:$AW$406,$C99,'HR Track 2'!$AY$5:$AY$406,$D99)</f>
        <v>0</v>
      </c>
      <c r="H99" s="7">
        <f>COUNTIFS('HR Track 1 MOM'!$M$5:$M$800,$A$98,'HR Track 1 MOM'!$AW$5:$AW$800,$C99,'HR Track 1 MOM'!$AY$5:$AY$800,$D99)</f>
        <v>0</v>
      </c>
      <c r="I99" s="7">
        <f>COUNTIFS('HR Track 4 MOM'!$M$5:$M$800,$A$98,'HR Track 4 MOM'!$AW$5:$AW$800,$C99,'HR Track 4 MOM'!$AY$5:$AY$800,$D99)</f>
        <v>0</v>
      </c>
      <c r="J99" s="7">
        <f>COUNTIFS('HR Track 4 PMO'!$M$5:$M$800,$A$98,'HR Track 4 PMO'!$AW$5:$AW$800,$C99,'HR Track 4 PMO'!$AY$5:$AY$800,$D99)</f>
        <v>0</v>
      </c>
      <c r="K99" s="333">
        <f>COUNTIFS('HR Track 6 PMO'!$M$5:$M$800,$A$98,'HR Track 6 PMO'!$AW$5:$AW$800,$C99,'HR Track 6 PMO'!$AY$5:$AY$800,$D99)</f>
        <v>0</v>
      </c>
    </row>
    <row r="100" spans="1:12" ht="19.95" customHeight="1">
      <c r="A100" s="764"/>
      <c r="B100" s="753"/>
      <c r="C100" s="163" t="s">
        <v>1091</v>
      </c>
      <c r="D100" s="11" t="str">
        <f>VLOOKUP(B98,Foundation_Calc!$K$4:$R$37,5,FALSE)</f>
        <v>N.D.</v>
      </c>
      <c r="E100" s="7">
        <f t="shared" si="2"/>
        <v>0</v>
      </c>
      <c r="F100" s="7">
        <f>COUNTIFS('HR Track 1'!$M$5:$M$406,$A$98,'HR Track 1'!$AW$5:$AW$406,$C100,'HR Track 1'!$AY$5:$AY$406,$D100)</f>
        <v>0</v>
      </c>
      <c r="G100" s="7">
        <f>COUNTIFS('HR Track 2'!$M$5:$M$406,$A$98,'HR Track 2'!$AW$5:$AW$406,$C100,'HR Track 2'!$AY$5:$AY$406,$D100)</f>
        <v>0</v>
      </c>
      <c r="H100" s="7">
        <f>COUNTIFS('HR Track 1 MOM'!$M$5:$M$800,$A$98,'HR Track 1 MOM'!$AW$5:$AW$800,$C100,'HR Track 1 MOM'!$AY$5:$AY$800,$D100)</f>
        <v>0</v>
      </c>
      <c r="I100" s="7">
        <f>COUNTIFS('HR Track 4 MOM'!$M$5:$M$800,$A$98,'HR Track 4 MOM'!$AW$5:$AW$800,$C100,'HR Track 4 MOM'!$AY$5:$AY$800,$D100)</f>
        <v>0</v>
      </c>
      <c r="J100" s="7">
        <f>COUNTIFS('HR Track 4 PMO'!$M$5:$M$800,$A$98,'HR Track 4 PMO'!$AW$5:$AW$800,$C100,'HR Track 4 PMO'!$AY$5:$AY$800,$D100)</f>
        <v>0</v>
      </c>
      <c r="K100" s="333">
        <f>COUNTIFS('HR Track 6 PMO'!$M$5:$M$800,$A$98,'HR Track 6 PMO'!$AW$5:$AW$800,$C100,'HR Track 6 PMO'!$AY$5:$AY$800,$D100)</f>
        <v>0</v>
      </c>
    </row>
    <row r="101" spans="1:12" ht="19.95" customHeight="1">
      <c r="A101" s="764"/>
      <c r="B101" s="753"/>
      <c r="C101" s="163" t="s">
        <v>1092</v>
      </c>
      <c r="D101" s="11" t="str">
        <f>VLOOKUP(B98,Foundation_Calc!$K$4:$R$37,6,FALSE)</f>
        <v>N.D.</v>
      </c>
      <c r="E101" s="7">
        <f t="shared" si="2"/>
        <v>0</v>
      </c>
      <c r="F101" s="7">
        <f>COUNTIFS('HR Track 1'!$M$5:$M$406,$A$98,'HR Track 1'!$AW$5:$AW$406,$C101,'HR Track 1'!$AY$5:$AY$406,$D101)</f>
        <v>0</v>
      </c>
      <c r="G101" s="7">
        <f>COUNTIFS('HR Track 2'!$M$5:$M$406,$A$98,'HR Track 2'!$AW$5:$AW$406,$C101,'HR Track 2'!$AY$5:$AY$406,$D101)</f>
        <v>0</v>
      </c>
      <c r="H101" s="7">
        <f>COUNTIFS('HR Track 1 MOM'!$M$5:$M$800,$A$98,'HR Track 1 MOM'!$AW$5:$AW$800,$C101,'HR Track 1 MOM'!$AY$5:$AY$800,$D101)</f>
        <v>0</v>
      </c>
      <c r="I101" s="7">
        <f>COUNTIFS('HR Track 4 MOM'!$M$5:$M$800,$A$98,'HR Track 4 MOM'!$AW$5:$AW$800,$C101,'HR Track 4 MOM'!$AY$5:$AY$800,$D101)</f>
        <v>0</v>
      </c>
      <c r="J101" s="7">
        <f>COUNTIFS('HR Track 4 PMO'!$M$5:$M$800,$A$98,'HR Track 4 PMO'!$AW$5:$AW$800,$C101,'HR Track 4 PMO'!$AY$5:$AY$800,$D101)</f>
        <v>0</v>
      </c>
      <c r="K101" s="333">
        <f>COUNTIFS('HR Track 6 PMO'!$M$5:$M$800,$A$98,'HR Track 6 PMO'!$AW$5:$AW$800,$C101,'HR Track 6 PMO'!$AY$5:$AY$800,$D101)</f>
        <v>0</v>
      </c>
    </row>
    <row r="102" spans="1:12" ht="19.95" customHeight="1">
      <c r="A102" s="764"/>
      <c r="B102" s="753"/>
      <c r="C102" s="163" t="s">
        <v>1093</v>
      </c>
      <c r="D102" s="11" t="str">
        <f>VLOOKUP(B98,Foundation_Calc!$K$4:$R$37,7,FALSE)</f>
        <v>N.D.</v>
      </c>
      <c r="E102" s="7">
        <f t="shared" si="2"/>
        <v>0</v>
      </c>
      <c r="F102" s="7">
        <f>COUNTIFS('HR Track 1'!$M$5:$M$406,$A$98,'HR Track 1'!$AW$5:$AW$406,$C102,'HR Track 1'!$AY$5:$AY$406,$D102)</f>
        <v>0</v>
      </c>
      <c r="G102" s="7">
        <f>COUNTIFS('HR Track 2'!$M$5:$M$406,$A$98,'HR Track 2'!$AW$5:$AW$406,$C102,'HR Track 2'!$AY$5:$AY$406,$D102)</f>
        <v>0</v>
      </c>
      <c r="H102" s="7">
        <f>COUNTIFS('HR Track 1 MOM'!$M$5:$M$800,$A$98,'HR Track 1 MOM'!$AW$5:$AW$800,$C102,'HR Track 1 MOM'!$AY$5:$AY$800,$D102)</f>
        <v>0</v>
      </c>
      <c r="I102" s="7">
        <f>COUNTIFS('HR Track 4 MOM'!$M$5:$M$800,$A$98,'HR Track 4 MOM'!$AW$5:$AW$800,$C102,'HR Track 4 MOM'!$AY$5:$AY$800,$D102)</f>
        <v>0</v>
      </c>
      <c r="J102" s="7">
        <f>COUNTIFS('HR Track 4 PMO'!$M$5:$M$800,$A$98,'HR Track 4 PMO'!$AW$5:$AW$800,$C102,'HR Track 4 PMO'!$AY$5:$AY$800,$D102)</f>
        <v>0</v>
      </c>
      <c r="K102" s="333">
        <f>COUNTIFS('HR Track 6 PMO'!$M$5:$M$800,$A$98,'HR Track 6 PMO'!$AW$5:$AW$800,$C102,'HR Track 6 PMO'!$AY$5:$AY$800,$D102)</f>
        <v>0</v>
      </c>
    </row>
    <row r="103" spans="1:12" ht="19.95" customHeight="1" thickBot="1">
      <c r="A103" s="765"/>
      <c r="B103" s="754"/>
      <c r="C103" s="334" t="s">
        <v>1094</v>
      </c>
      <c r="D103" s="335" t="str">
        <f>VLOOKUP(B98,Foundation_Calc!$K$4:$R$37,8,FALSE)</f>
        <v>N.D.</v>
      </c>
      <c r="E103" s="336">
        <f t="shared" si="2"/>
        <v>0</v>
      </c>
      <c r="F103" s="336">
        <f>COUNTIFS('HR Track 1'!$M$5:$M$406,$A$98,'HR Track 1'!$AW$5:$AW$406,$C103,'HR Track 1'!$AY$5:$AY$406,$D103)</f>
        <v>0</v>
      </c>
      <c r="G103" s="336">
        <f>COUNTIFS('HR Track 2'!$M$5:$M$406,$A$98,'HR Track 2'!$AW$5:$AW$406,$C103,'HR Track 2'!$AY$5:$AY$406,$D103)</f>
        <v>0</v>
      </c>
      <c r="H103" s="336">
        <f>COUNTIFS('HR Track 1 MOM'!$M$5:$M$800,$A$98,'HR Track 1 MOM'!$AW$5:$AW$800,$C103,'HR Track 1 MOM'!$AY$5:$AY$800,$D103)</f>
        <v>0</v>
      </c>
      <c r="I103" s="336">
        <f>COUNTIFS('HR Track 4 MOM'!$M$5:$M$800,$A$98,'HR Track 4 MOM'!$AW$5:$AW$800,$C103,'HR Track 4 MOM'!$AY$5:$AY$800,$D103)</f>
        <v>0</v>
      </c>
      <c r="J103" s="336">
        <f>COUNTIFS('HR Track 4 PMO'!$M$5:$M$800,$A$98,'HR Track 4 PMO'!$AW$5:$AW$800,$C103,'HR Track 4 PMO'!$AY$5:$AY$800,$D103)</f>
        <v>0</v>
      </c>
      <c r="K103" s="337">
        <f>COUNTIFS('HR Track 6 PMO'!$M$5:$M$800,$A$98,'HR Track 6 PMO'!$AW$5:$AW$800,$C103,'HR Track 6 PMO'!$AY$5:$AY$800,$D103)</f>
        <v>0</v>
      </c>
    </row>
    <row r="104" spans="1:12" ht="19.95" customHeight="1">
      <c r="A104" s="842" t="s">
        <v>691</v>
      </c>
      <c r="B104" s="845" t="s">
        <v>325</v>
      </c>
      <c r="C104" s="329" t="s">
        <v>1089</v>
      </c>
      <c r="D104" s="338">
        <f>VLOOKUP(B104,Foundation_Calc!$K$41:$R$74,3,FALSE)</f>
        <v>5</v>
      </c>
      <c r="E104" s="331">
        <f t="shared" si="2"/>
        <v>0</v>
      </c>
      <c r="F104" s="331">
        <f>COUNTIFS('HR Track 1'!$M$5:$M$406,$A$104,'HR Track 1'!$AW$5:$AW$406,$C104,'HR Track 1'!$AY$5:$AY$406,$D104)</f>
        <v>0</v>
      </c>
      <c r="G104" s="331">
        <f>COUNTIFS('HR Track 2'!$M$5:$M$406,$A$104,'HR Track 2'!$AW$5:$AW$406,$C104,'HR Track 2'!$AY$5:$AY$406,$D104)</f>
        <v>0</v>
      </c>
      <c r="H104" s="331">
        <f>COUNTIFS('HR Track 1 MOM'!$M$5:$M$800,$A$104,'HR Track 1 MOM'!$AW$5:$AW$800,$C104,'HR Track 1 MOM'!$AY$5:$AY$800,$D104)</f>
        <v>0</v>
      </c>
      <c r="I104" s="331">
        <f>COUNTIFS('HR Track 4 MOM'!$M$5:$M$800,$A$104,'HR Track 4 MOM'!$AW$5:$AW$800,$C104,'HR Track 4 MOM'!$AY$5:$AY$800,$D104)</f>
        <v>0</v>
      </c>
      <c r="J104" s="331">
        <f>COUNTIFS('HR Track 4 PMO'!$M$5:$M$800,$A$104,'HR Track 4 PMO'!$AW$5:$AW$800,$C104,'HR Track 4 PMO'!$AY$5:$AY$800,$D104)</f>
        <v>0</v>
      </c>
      <c r="K104" s="332">
        <f>COUNTIFS('HR Track 6 PMO'!$M$5:$M$800,$A$104,'HR Track 6 PMO'!$AW$5:$AW$800,$C104,'HR Track 6 PMO'!$AY$5:$AY$800,$D104)</f>
        <v>0</v>
      </c>
    </row>
    <row r="105" spans="1:12" ht="19.95" customHeight="1">
      <c r="A105" s="843"/>
      <c r="B105" s="846"/>
      <c r="C105" s="163" t="s">
        <v>1090</v>
      </c>
      <c r="D105" s="307" t="str">
        <f>VLOOKUP(B104,Foundation_Calc!$K$41:$R$74,4,FALSE)</f>
        <v>N.D.</v>
      </c>
      <c r="E105" s="7">
        <f t="shared" si="2"/>
        <v>0</v>
      </c>
      <c r="F105" s="7">
        <f>COUNTIFS('HR Track 1'!$M$5:$M$406,$A$104,'HR Track 1'!$AW$5:$AW$406,$C105,'HR Track 1'!$AY$5:$AY$406,$D105)</f>
        <v>0</v>
      </c>
      <c r="G105" s="7">
        <f>COUNTIFS('HR Track 2'!$M$5:$M$406,$A$104,'HR Track 2'!$AW$5:$AW$406,$C105,'HR Track 2'!$AY$5:$AY$406,$D105)</f>
        <v>0</v>
      </c>
      <c r="H105" s="7">
        <f>COUNTIFS('HR Track 1 MOM'!$M$5:$M$800,$A$104,'HR Track 1 MOM'!$AW$5:$AW$800,$C105,'HR Track 1 MOM'!$AY$5:$AY$800,$D105)</f>
        <v>0</v>
      </c>
      <c r="I105" s="7">
        <f>COUNTIFS('HR Track 4 MOM'!$M$5:$M$800,$A$104,'HR Track 4 MOM'!$AW$5:$AW$800,$C105,'HR Track 4 MOM'!$AY$5:$AY$800,$D105)</f>
        <v>0</v>
      </c>
      <c r="J105" s="7">
        <f>COUNTIFS('HR Track 4 PMO'!$M$5:$M$800,$A$104,'HR Track 4 PMO'!$AW$5:$AW$800,$C105,'HR Track 4 PMO'!$AY$5:$AY$800,$D105)</f>
        <v>0</v>
      </c>
      <c r="K105" s="333">
        <f>COUNTIFS('HR Track 6 PMO'!$M$5:$M$800,$A$104,'HR Track 6 PMO'!$AW$5:$AW$800,$C105,'HR Track 6 PMO'!$AY$5:$AY$800,$D105)</f>
        <v>0</v>
      </c>
    </row>
    <row r="106" spans="1:12" ht="19.95" customHeight="1">
      <c r="A106" s="843"/>
      <c r="B106" s="846"/>
      <c r="C106" s="163" t="s">
        <v>1091</v>
      </c>
      <c r="D106" s="307" t="str">
        <f>VLOOKUP(B104,Foundation_Calc!$K$41:$R$74,5,FALSE)</f>
        <v>N.D.</v>
      </c>
      <c r="E106" s="7">
        <f t="shared" si="2"/>
        <v>0</v>
      </c>
      <c r="F106" s="7">
        <f>COUNTIFS('HR Track 1'!$M$5:$M$406,$A$104,'HR Track 1'!$AW$5:$AW$406,$C106,'HR Track 1'!$AY$5:$AY$406,$D106)</f>
        <v>0</v>
      </c>
      <c r="G106" s="7">
        <f>COUNTIFS('HR Track 2'!$M$5:$M$406,$A$104,'HR Track 2'!$AW$5:$AW$406,$C106,'HR Track 2'!$AY$5:$AY$406,$D106)</f>
        <v>0</v>
      </c>
      <c r="H106" s="7">
        <f>COUNTIFS('HR Track 1 MOM'!$M$5:$M$800,$A$104,'HR Track 1 MOM'!$AW$5:$AW$800,$C106,'HR Track 1 MOM'!$AY$5:$AY$800,$D106)</f>
        <v>0</v>
      </c>
      <c r="I106" s="7">
        <f>COUNTIFS('HR Track 4 MOM'!$M$5:$M$800,$A$104,'HR Track 4 MOM'!$AW$5:$AW$800,$C106,'HR Track 4 MOM'!$AY$5:$AY$800,$D106)</f>
        <v>0</v>
      </c>
      <c r="J106" s="7">
        <f>COUNTIFS('HR Track 4 PMO'!$M$5:$M$800,$A$104,'HR Track 4 PMO'!$AW$5:$AW$800,$C106,'HR Track 4 PMO'!$AY$5:$AY$800,$D106)</f>
        <v>0</v>
      </c>
      <c r="K106" s="333">
        <f>COUNTIFS('HR Track 6 PMO'!$M$5:$M$800,$A$104,'HR Track 6 PMO'!$AW$5:$AW$800,$C106,'HR Track 6 PMO'!$AY$5:$AY$800,$D106)</f>
        <v>0</v>
      </c>
    </row>
    <row r="107" spans="1:12" ht="19.95" customHeight="1">
      <c r="A107" s="843"/>
      <c r="B107" s="846"/>
      <c r="C107" s="163" t="s">
        <v>1092</v>
      </c>
      <c r="D107" s="307" t="str">
        <f>VLOOKUP(B104,Foundation_Calc!$K$41:$R$74,6,FALSE)</f>
        <v>N.D.</v>
      </c>
      <c r="E107" s="7">
        <f t="shared" si="2"/>
        <v>0</v>
      </c>
      <c r="F107" s="7">
        <f>COUNTIFS('HR Track 1'!$M$5:$M$406,$A$104,'HR Track 1'!$AW$5:$AW$406,$C107,'HR Track 1'!$AY$5:$AY$406,$D107)</f>
        <v>0</v>
      </c>
      <c r="G107" s="7">
        <f>COUNTIFS('HR Track 2'!$M$5:$M$406,$A$104,'HR Track 2'!$AW$5:$AW$406,$C107,'HR Track 2'!$AY$5:$AY$406,$D107)</f>
        <v>0</v>
      </c>
      <c r="H107" s="7">
        <f>COUNTIFS('HR Track 1 MOM'!$M$5:$M$800,$A$104,'HR Track 1 MOM'!$AW$5:$AW$800,$C107,'HR Track 1 MOM'!$AY$5:$AY$800,$D107)</f>
        <v>0</v>
      </c>
      <c r="I107" s="7">
        <f>COUNTIFS('HR Track 4 MOM'!$M$5:$M$800,$A$104,'HR Track 4 MOM'!$AW$5:$AW$800,$C107,'HR Track 4 MOM'!$AY$5:$AY$800,$D107)</f>
        <v>0</v>
      </c>
      <c r="J107" s="7">
        <f>COUNTIFS('HR Track 4 PMO'!$M$5:$M$800,$A$104,'HR Track 4 PMO'!$AW$5:$AW$800,$C107,'HR Track 4 PMO'!$AY$5:$AY$800,$D107)</f>
        <v>0</v>
      </c>
      <c r="K107" s="333">
        <f>COUNTIFS('HR Track 6 PMO'!$M$5:$M$800,$A$104,'HR Track 6 PMO'!$AW$5:$AW$800,$C107,'HR Track 6 PMO'!$AY$5:$AY$800,$D107)</f>
        <v>0</v>
      </c>
    </row>
    <row r="108" spans="1:12" ht="19.95" customHeight="1">
      <c r="A108" s="843"/>
      <c r="B108" s="846"/>
      <c r="C108" s="163" t="s">
        <v>1093</v>
      </c>
      <c r="D108" s="307" t="str">
        <f>VLOOKUP(B104,Foundation_Calc!$K$41:$R$74,7,FALSE)</f>
        <v>N.D.</v>
      </c>
      <c r="E108" s="7">
        <f t="shared" si="2"/>
        <v>0</v>
      </c>
      <c r="F108" s="7">
        <f>COUNTIFS('HR Track 1'!$M$5:$M$406,$A$104,'HR Track 1'!$AW$5:$AW$406,$C108,'HR Track 1'!$AY$5:$AY$406,$D108)</f>
        <v>0</v>
      </c>
      <c r="G108" s="7">
        <f>COUNTIFS('HR Track 2'!$M$5:$M$406,$A$104,'HR Track 2'!$AW$5:$AW$406,$C108,'HR Track 2'!$AY$5:$AY$406,$D108)</f>
        <v>0</v>
      </c>
      <c r="H108" s="7">
        <f>COUNTIFS('HR Track 1 MOM'!$M$5:$M$800,$A$104,'HR Track 1 MOM'!$AW$5:$AW$800,$C108,'HR Track 1 MOM'!$AY$5:$AY$800,$D108)</f>
        <v>0</v>
      </c>
      <c r="I108" s="7">
        <f>COUNTIFS('HR Track 4 MOM'!$M$5:$M$800,$A$104,'HR Track 4 MOM'!$AW$5:$AW$800,$C108,'HR Track 4 MOM'!$AY$5:$AY$800,$D108)</f>
        <v>0</v>
      </c>
      <c r="J108" s="7">
        <f>COUNTIFS('HR Track 4 PMO'!$M$5:$M$800,$A$104,'HR Track 4 PMO'!$AW$5:$AW$800,$C108,'HR Track 4 PMO'!$AY$5:$AY$800,$D108)</f>
        <v>0</v>
      </c>
      <c r="K108" s="333">
        <f>COUNTIFS('HR Track 6 PMO'!$M$5:$M$800,$A$104,'HR Track 6 PMO'!$AW$5:$AW$800,$C108,'HR Track 6 PMO'!$AY$5:$AY$800,$D108)</f>
        <v>0</v>
      </c>
    </row>
    <row r="109" spans="1:12" ht="19.95" customHeight="1" thickBot="1">
      <c r="A109" s="844"/>
      <c r="B109" s="847"/>
      <c r="C109" s="334" t="s">
        <v>1094</v>
      </c>
      <c r="D109" s="339" t="str">
        <f>VLOOKUP(B104,Foundation_Calc!$K$41:$R$74,8,FALSE)</f>
        <v>N.D.</v>
      </c>
      <c r="E109" s="336">
        <f t="shared" si="2"/>
        <v>0</v>
      </c>
      <c r="F109" s="336">
        <f>COUNTIFS('HR Track 1'!$M$5:$M$406,$A$104,'HR Track 1'!$AW$5:$AW$406,$C109,'HR Track 1'!$AY$5:$AY$406,$D109)</f>
        <v>0</v>
      </c>
      <c r="G109" s="336">
        <f>COUNTIFS('HR Track 2'!$M$5:$M$406,$A$104,'HR Track 2'!$AW$5:$AW$406,$C109,'HR Track 2'!$AY$5:$AY$406,$D109)</f>
        <v>0</v>
      </c>
      <c r="H109" s="336">
        <f>COUNTIFS('HR Track 1 MOM'!$M$5:$M$800,$A$104,'HR Track 1 MOM'!$AW$5:$AW$800,$C109,'HR Track 1 MOM'!$AY$5:$AY$800,$D109)</f>
        <v>0</v>
      </c>
      <c r="I109" s="336">
        <f>COUNTIFS('HR Track 4 MOM'!$M$5:$M$800,$A$104,'HR Track 4 MOM'!$AW$5:$AW$800,$C109,'HR Track 4 MOM'!$AY$5:$AY$800,$D109)</f>
        <v>0</v>
      </c>
      <c r="J109" s="336">
        <f>COUNTIFS('HR Track 4 PMO'!$M$5:$M$800,$A$104,'HR Track 4 PMO'!$AW$5:$AW$800,$C109,'HR Track 4 PMO'!$AY$5:$AY$800,$D109)</f>
        <v>0</v>
      </c>
      <c r="K109" s="337">
        <f>COUNTIFS('HR Track 6 PMO'!$M$5:$M$800,$A$104,'HR Track 6 PMO'!$AW$5:$AW$800,$C109,'HR Track 6 PMO'!$AY$5:$AY$800,$D109)</f>
        <v>0</v>
      </c>
    </row>
    <row r="110" spans="1:12" ht="19.95" customHeight="1">
      <c r="A110" s="848" t="s">
        <v>1011</v>
      </c>
      <c r="B110" s="849" t="s">
        <v>747</v>
      </c>
      <c r="C110" s="329" t="s">
        <v>1089</v>
      </c>
      <c r="D110" s="330" t="str">
        <f>VLOOKUP(B110,Foundation_Calc!$K$4:$R$37,3,FALSE)</f>
        <v>N.D.</v>
      </c>
      <c r="E110" s="331">
        <f t="shared" si="2"/>
        <v>0</v>
      </c>
      <c r="F110" s="331">
        <f>COUNTIFS('HR Track 1'!$M$5:$M$406,$A$110,'HR Track 1'!$AW$5:$AW$406,$C110,'HR Track 1'!$AY$5:$AY$406,$D110)</f>
        <v>0</v>
      </c>
      <c r="G110" s="331">
        <f>COUNTIFS('HR Track 2'!$M$5:$M$406,$A$110,'HR Track 2'!$AW$5:$AW$406,$C110,'HR Track 2'!$AY$5:$AY$406,$D110)</f>
        <v>0</v>
      </c>
      <c r="H110" s="331">
        <f>COUNTIFS('HR Track 1 MOM'!$M$5:$M$800,$A$110,'HR Track 1 MOM'!$AW$5:$AW$800,$C110,'HR Track 1 MOM'!$AY$5:$AY$800,$D110)</f>
        <v>0</v>
      </c>
      <c r="I110" s="331">
        <f>COUNTIFS('HR Track 4 MOM'!$M$5:$M$800,$A$110,'HR Track 4 MOM'!$AW$5:$AW$800,$C110,'HR Track 4 MOM'!$AY$5:$AY$800,$D110)</f>
        <v>0</v>
      </c>
      <c r="J110" s="331">
        <f>COUNTIFS('HR Track 4 PMO'!$M$5:$M$800,$A$110,'HR Track 4 PMO'!$AW$5:$AW$800,$C110,'HR Track 4 PMO'!$AY$5:$AY$800,$D110)</f>
        <v>0</v>
      </c>
      <c r="K110" s="332">
        <f>COUNTIFS('HR Track 6 PMO'!$M$5:$M$800,$A$110,'HR Track 6 PMO'!$AW$5:$AW$800,$C110,'HR Track 6 PMO'!$AY$5:$AY$800,$D110)</f>
        <v>0</v>
      </c>
      <c r="L110" s="836" t="s">
        <v>326</v>
      </c>
    </row>
    <row r="111" spans="1:12" ht="19.95" customHeight="1">
      <c r="A111" s="764"/>
      <c r="B111" s="753"/>
      <c r="C111" s="163" t="s">
        <v>1090</v>
      </c>
      <c r="D111" s="11" t="str">
        <f>VLOOKUP(B110,Foundation_Calc!$K$4:$R$37,4,FALSE)</f>
        <v>N.D.</v>
      </c>
      <c r="E111" s="7">
        <f t="shared" si="2"/>
        <v>0</v>
      </c>
      <c r="F111" s="7">
        <f>COUNTIFS('HR Track 1'!$M$5:$M$406,$A$110,'HR Track 1'!$AW$5:$AW$406,$C111,'HR Track 1'!$AY$5:$AY$406,$D111)</f>
        <v>0</v>
      </c>
      <c r="G111" s="7">
        <f>COUNTIFS('HR Track 2'!$M$5:$M$406,$A$110,'HR Track 2'!$AW$5:$AW$406,$C111,'HR Track 2'!$AY$5:$AY$406,$D111)</f>
        <v>0</v>
      </c>
      <c r="H111" s="7">
        <f>COUNTIFS('HR Track 1 MOM'!$M$5:$M$800,$A$110,'HR Track 1 MOM'!$AW$5:$AW$800,$C111,'HR Track 1 MOM'!$AY$5:$AY$800,$D111)</f>
        <v>0</v>
      </c>
      <c r="I111" s="7">
        <f>COUNTIFS('HR Track 4 MOM'!$M$5:$M$800,$A$110,'HR Track 4 MOM'!$AW$5:$AW$800,$C111,'HR Track 4 MOM'!$AY$5:$AY$800,$D111)</f>
        <v>0</v>
      </c>
      <c r="J111" s="7">
        <f>COUNTIFS('HR Track 4 PMO'!$M$5:$M$800,$A$110,'HR Track 4 PMO'!$AW$5:$AW$800,$C111,'HR Track 4 PMO'!$AY$5:$AY$800,$D111)</f>
        <v>0</v>
      </c>
      <c r="K111" s="333">
        <f>COUNTIFS('HR Track 6 PMO'!$M$5:$M$800,$A$110,'HR Track 6 PMO'!$AW$5:$AW$800,$C111,'HR Track 6 PMO'!$AY$5:$AY$800,$D111)</f>
        <v>0</v>
      </c>
      <c r="L111" s="837"/>
    </row>
    <row r="112" spans="1:12" ht="19.95" customHeight="1">
      <c r="A112" s="764"/>
      <c r="B112" s="753"/>
      <c r="C112" s="163" t="s">
        <v>1091</v>
      </c>
      <c r="D112" s="11" t="str">
        <f>VLOOKUP(B110,Foundation_Calc!$K$4:$R$37,5,FALSE)</f>
        <v>N.D.</v>
      </c>
      <c r="E112" s="7">
        <f t="shared" si="2"/>
        <v>0</v>
      </c>
      <c r="F112" s="7">
        <f>COUNTIFS('HR Track 1'!$M$5:$M$406,$A$110,'HR Track 1'!$AW$5:$AW$406,$C112,'HR Track 1'!$AY$5:$AY$406,$D112)</f>
        <v>0</v>
      </c>
      <c r="G112" s="7">
        <f>COUNTIFS('HR Track 2'!$M$5:$M$406,$A$110,'HR Track 2'!$AW$5:$AW$406,$C112,'HR Track 2'!$AY$5:$AY$406,$D112)</f>
        <v>0</v>
      </c>
      <c r="H112" s="7">
        <f>COUNTIFS('HR Track 1 MOM'!$M$5:$M$800,$A$110,'HR Track 1 MOM'!$AW$5:$AW$800,$C112,'HR Track 1 MOM'!$AY$5:$AY$800,$D112)</f>
        <v>0</v>
      </c>
      <c r="I112" s="7">
        <f>COUNTIFS('HR Track 4 MOM'!$M$5:$M$800,$A$110,'HR Track 4 MOM'!$AW$5:$AW$800,$C112,'HR Track 4 MOM'!$AY$5:$AY$800,$D112)</f>
        <v>0</v>
      </c>
      <c r="J112" s="7">
        <f>COUNTIFS('HR Track 4 PMO'!$M$5:$M$800,$A$110,'HR Track 4 PMO'!$AW$5:$AW$800,$C112,'HR Track 4 PMO'!$AY$5:$AY$800,$D112)</f>
        <v>0</v>
      </c>
      <c r="K112" s="333">
        <f>COUNTIFS('HR Track 6 PMO'!$M$5:$M$800,$A$110,'HR Track 6 PMO'!$AW$5:$AW$800,$C112,'HR Track 6 PMO'!$AY$5:$AY$800,$D112)</f>
        <v>0</v>
      </c>
      <c r="L112" s="837"/>
    </row>
    <row r="113" spans="1:12" ht="19.95" customHeight="1">
      <c r="A113" s="764"/>
      <c r="B113" s="753"/>
      <c r="C113" s="163" t="s">
        <v>1092</v>
      </c>
      <c r="D113" s="11" t="str">
        <f>VLOOKUP(B110,Foundation_Calc!$K$4:$R$37,6,FALSE)</f>
        <v>N.D.</v>
      </c>
      <c r="E113" s="7">
        <f t="shared" si="2"/>
        <v>0</v>
      </c>
      <c r="F113" s="7">
        <f>COUNTIFS('HR Track 1'!$M$5:$M$406,$A$110,'HR Track 1'!$AW$5:$AW$406,$C113,'HR Track 1'!$AY$5:$AY$406,$D113)</f>
        <v>0</v>
      </c>
      <c r="G113" s="7">
        <f>COUNTIFS('HR Track 2'!$M$5:$M$406,$A$110,'HR Track 2'!$AW$5:$AW$406,$C113,'HR Track 2'!$AY$5:$AY$406,$D113)</f>
        <v>0</v>
      </c>
      <c r="H113" s="7">
        <f>COUNTIFS('HR Track 1 MOM'!$M$5:$M$800,$A$110,'HR Track 1 MOM'!$AW$5:$AW$800,$C113,'HR Track 1 MOM'!$AY$5:$AY$800,$D113)</f>
        <v>0</v>
      </c>
      <c r="I113" s="7">
        <f>COUNTIFS('HR Track 4 MOM'!$M$5:$M$800,$A$110,'HR Track 4 MOM'!$AW$5:$AW$800,$C113,'HR Track 4 MOM'!$AY$5:$AY$800,$D113)</f>
        <v>0</v>
      </c>
      <c r="J113" s="7">
        <f>COUNTIFS('HR Track 4 PMO'!$M$5:$M$800,$A$110,'HR Track 4 PMO'!$AW$5:$AW$800,$C113,'HR Track 4 PMO'!$AY$5:$AY$800,$D113)</f>
        <v>0</v>
      </c>
      <c r="K113" s="333">
        <f>COUNTIFS('HR Track 6 PMO'!$M$5:$M$800,$A$110,'HR Track 6 PMO'!$AW$5:$AW$800,$C113,'HR Track 6 PMO'!$AY$5:$AY$800,$D113)</f>
        <v>0</v>
      </c>
      <c r="L113" s="837"/>
    </row>
    <row r="114" spans="1:12" ht="19.95" customHeight="1">
      <c r="A114" s="764"/>
      <c r="B114" s="753"/>
      <c r="C114" s="163" t="s">
        <v>1093</v>
      </c>
      <c r="D114" s="11" t="str">
        <f>VLOOKUP(B110,Foundation_Calc!$K$4:$R$37,7,FALSE)</f>
        <v>N.D.</v>
      </c>
      <c r="E114" s="7">
        <f t="shared" si="2"/>
        <v>0</v>
      </c>
      <c r="F114" s="7">
        <f>COUNTIFS('HR Track 1'!$M$5:$M$406,$A$110,'HR Track 1'!$AW$5:$AW$406,$C114,'HR Track 1'!$AY$5:$AY$406,$D114)</f>
        <v>0</v>
      </c>
      <c r="G114" s="7">
        <f>COUNTIFS('HR Track 2'!$M$5:$M$406,$A$110,'HR Track 2'!$AW$5:$AW$406,$C114,'HR Track 2'!$AY$5:$AY$406,$D114)</f>
        <v>0</v>
      </c>
      <c r="H114" s="7">
        <f>COUNTIFS('HR Track 1 MOM'!$M$5:$M$800,$A$110,'HR Track 1 MOM'!$AW$5:$AW$800,$C114,'HR Track 1 MOM'!$AY$5:$AY$800,$D114)</f>
        <v>0</v>
      </c>
      <c r="I114" s="7">
        <f>COUNTIFS('HR Track 4 MOM'!$M$5:$M$800,$A$110,'HR Track 4 MOM'!$AW$5:$AW$800,$C114,'HR Track 4 MOM'!$AY$5:$AY$800,$D114)</f>
        <v>0</v>
      </c>
      <c r="J114" s="7">
        <f>COUNTIFS('HR Track 4 PMO'!$M$5:$M$800,$A$110,'HR Track 4 PMO'!$AW$5:$AW$800,$C114,'HR Track 4 PMO'!$AY$5:$AY$800,$D114)</f>
        <v>0</v>
      </c>
      <c r="K114" s="333">
        <f>COUNTIFS('HR Track 6 PMO'!$M$5:$M$800,$A$110,'HR Track 6 PMO'!$AW$5:$AW$800,$C114,'HR Track 6 PMO'!$AY$5:$AY$800,$D114)</f>
        <v>0</v>
      </c>
      <c r="L114" s="837"/>
    </row>
    <row r="115" spans="1:12" ht="19.95" customHeight="1" thickBot="1">
      <c r="A115" s="765"/>
      <c r="B115" s="754"/>
      <c r="C115" s="334" t="s">
        <v>1094</v>
      </c>
      <c r="D115" s="335" t="str">
        <f>VLOOKUP(B110,Foundation_Calc!$K$4:$R$37,8,FALSE)</f>
        <v>N.D.</v>
      </c>
      <c r="E115" s="336">
        <f t="shared" si="2"/>
        <v>0</v>
      </c>
      <c r="F115" s="336">
        <f>COUNTIFS('HR Track 1'!$M$5:$M$406,$A$110,'HR Track 1'!$AW$5:$AW$406,$C115,'HR Track 1'!$AY$5:$AY$406,$D115)</f>
        <v>0</v>
      </c>
      <c r="G115" s="336">
        <f>COUNTIFS('HR Track 2'!$M$5:$M$406,$A$110,'HR Track 2'!$AW$5:$AW$406,$C115,'HR Track 2'!$AY$5:$AY$406,$D115)</f>
        <v>0</v>
      </c>
      <c r="H115" s="336">
        <f>COUNTIFS('HR Track 1 MOM'!$M$5:$M$800,$A$110,'HR Track 1 MOM'!$AW$5:$AW$800,$C115,'HR Track 1 MOM'!$AY$5:$AY$800,$D115)</f>
        <v>0</v>
      </c>
      <c r="I115" s="336">
        <f>COUNTIFS('HR Track 4 MOM'!$M$5:$M$800,$A$110,'HR Track 4 MOM'!$AW$5:$AW$800,$C115,'HR Track 4 MOM'!$AY$5:$AY$800,$D115)</f>
        <v>0</v>
      </c>
      <c r="J115" s="336">
        <f>COUNTIFS('HR Track 4 PMO'!$M$5:$M$800,$A$110,'HR Track 4 PMO'!$AW$5:$AW$800,$C115,'HR Track 4 PMO'!$AY$5:$AY$800,$D115)</f>
        <v>0</v>
      </c>
      <c r="K115" s="337">
        <f>COUNTIFS('HR Track 6 PMO'!$M$5:$M$800,$A$110,'HR Track 6 PMO'!$AW$5:$AW$800,$C115,'HR Track 6 PMO'!$AY$5:$AY$800,$D115)</f>
        <v>0</v>
      </c>
      <c r="L115" s="838"/>
    </row>
    <row r="116" spans="1:12" ht="19.95" customHeight="1">
      <c r="A116" s="842" t="s">
        <v>1012</v>
      </c>
      <c r="B116" s="845" t="s">
        <v>747</v>
      </c>
      <c r="C116" s="329" t="s">
        <v>1089</v>
      </c>
      <c r="D116" s="338" t="str">
        <f>VLOOKUP(B116,Foundation_Calc!$K$41:$R$74,3,FALSE)</f>
        <v>N.D.</v>
      </c>
      <c r="E116" s="331">
        <f t="shared" si="2"/>
        <v>0</v>
      </c>
      <c r="F116" s="331">
        <f>COUNTIFS('HR Track 1'!$M$5:$M$406,$A$116,'HR Track 1'!$AW$5:$AW$406,$C116,'HR Track 1'!$AY$5:$AY$406,$D116)</f>
        <v>0</v>
      </c>
      <c r="G116" s="331">
        <f>COUNTIFS('HR Track 2'!$M$5:$M$406,$A$116,'HR Track 2'!$AW$5:$AW$406,$C116,'HR Track 2'!$AY$5:$AY$406,$D116)</f>
        <v>0</v>
      </c>
      <c r="H116" s="331">
        <f>COUNTIFS('HR Track 1 MOM'!$M$5:$M$800,$A$116,'HR Track 1 MOM'!$AW$5:$AW$800,$C116,'HR Track 1 MOM'!$AY$5:$AY$800,$D116)</f>
        <v>0</v>
      </c>
      <c r="I116" s="331">
        <f>COUNTIFS('HR Track 4 MOM'!$M$5:$M$800,$A$116,'HR Track 4 MOM'!$AW$5:$AW$800,$C116,'HR Track 4 MOM'!$AY$5:$AY$800,$D116)</f>
        <v>0</v>
      </c>
      <c r="J116" s="331">
        <f>COUNTIFS('HR Track 4 PMO'!$M$5:$M$800,$A$116,'HR Track 4 PMO'!$AW$5:$AW$800,$C116,'HR Track 4 PMO'!$AY$5:$AY$800,$D116)</f>
        <v>0</v>
      </c>
      <c r="K116" s="332">
        <f>COUNTIFS('HR Track 6 PMO'!$M$5:$M$800,$A$116,'HR Track 6 PMO'!$AW$5:$AW$800,$C116,'HR Track 6 PMO'!$AY$5:$AY$800,$D116)</f>
        <v>0</v>
      </c>
      <c r="L116" s="839" t="s">
        <v>326</v>
      </c>
    </row>
    <row r="117" spans="1:12" ht="19.95" customHeight="1">
      <c r="A117" s="843"/>
      <c r="B117" s="846"/>
      <c r="C117" s="163" t="s">
        <v>1090</v>
      </c>
      <c r="D117" s="307" t="str">
        <f>VLOOKUP(B116,Foundation_Calc!$K$41:$R$74,4,FALSE)</f>
        <v>N.D.</v>
      </c>
      <c r="E117" s="7">
        <f t="shared" si="2"/>
        <v>0</v>
      </c>
      <c r="F117" s="7">
        <f>COUNTIFS('HR Track 1'!$M$5:$M$406,$A$116,'HR Track 1'!$AW$5:$AW$406,$C117,'HR Track 1'!$AY$5:$AY$406,$D117)</f>
        <v>0</v>
      </c>
      <c r="G117" s="7">
        <f>COUNTIFS('HR Track 2'!$M$5:$M$406,$A$116,'HR Track 2'!$AW$5:$AW$406,$C117,'HR Track 2'!$AY$5:$AY$406,$D117)</f>
        <v>0</v>
      </c>
      <c r="H117" s="7">
        <f>COUNTIFS('HR Track 1 MOM'!$M$5:$M$800,$A$116,'HR Track 1 MOM'!$AW$5:$AW$800,$C117,'HR Track 1 MOM'!$AY$5:$AY$800,$D117)</f>
        <v>0</v>
      </c>
      <c r="I117" s="7">
        <f>COUNTIFS('HR Track 4 MOM'!$M$5:$M$800,$A$116,'HR Track 4 MOM'!$AW$5:$AW$800,$C117,'HR Track 4 MOM'!$AY$5:$AY$800,$D117)</f>
        <v>0</v>
      </c>
      <c r="J117" s="7">
        <f>COUNTIFS('HR Track 4 PMO'!$M$5:$M$800,$A$116,'HR Track 4 PMO'!$AW$5:$AW$800,$C117,'HR Track 4 PMO'!$AY$5:$AY$800,$D117)</f>
        <v>0</v>
      </c>
      <c r="K117" s="333">
        <f>COUNTIFS('HR Track 6 PMO'!$M$5:$M$800,$A$116,'HR Track 6 PMO'!$AW$5:$AW$800,$C117,'HR Track 6 PMO'!$AY$5:$AY$800,$D117)</f>
        <v>0</v>
      </c>
      <c r="L117" s="840"/>
    </row>
    <row r="118" spans="1:12" ht="19.95" customHeight="1">
      <c r="A118" s="843"/>
      <c r="B118" s="846"/>
      <c r="C118" s="163" t="s">
        <v>1091</v>
      </c>
      <c r="D118" s="307" t="str">
        <f>VLOOKUP(B116,Foundation_Calc!$K$41:$R$74,5,FALSE)</f>
        <v>N.D.</v>
      </c>
      <c r="E118" s="7">
        <f t="shared" si="2"/>
        <v>0</v>
      </c>
      <c r="F118" s="7">
        <f>COUNTIFS('HR Track 1'!$M$5:$M$406,$A$116,'HR Track 1'!$AW$5:$AW$406,$C118,'HR Track 1'!$AY$5:$AY$406,$D118)</f>
        <v>0</v>
      </c>
      <c r="G118" s="7">
        <f>COUNTIFS('HR Track 2'!$M$5:$M$406,$A$116,'HR Track 2'!$AW$5:$AW$406,$C118,'HR Track 2'!$AY$5:$AY$406,$D118)</f>
        <v>0</v>
      </c>
      <c r="H118" s="7">
        <f>COUNTIFS('HR Track 1 MOM'!$M$5:$M$800,$A$116,'HR Track 1 MOM'!$AW$5:$AW$800,$C118,'HR Track 1 MOM'!$AY$5:$AY$800,$D118)</f>
        <v>0</v>
      </c>
      <c r="I118" s="7">
        <f>COUNTIFS('HR Track 4 MOM'!$M$5:$M$800,$A$116,'HR Track 4 MOM'!$AW$5:$AW$800,$C118,'HR Track 4 MOM'!$AY$5:$AY$800,$D118)</f>
        <v>0</v>
      </c>
      <c r="J118" s="7">
        <f>COUNTIFS('HR Track 4 PMO'!$M$5:$M$800,$A$116,'HR Track 4 PMO'!$AW$5:$AW$800,$C118,'HR Track 4 PMO'!$AY$5:$AY$800,$D118)</f>
        <v>0</v>
      </c>
      <c r="K118" s="333">
        <f>COUNTIFS('HR Track 6 PMO'!$M$5:$M$800,$A$116,'HR Track 6 PMO'!$AW$5:$AW$800,$C118,'HR Track 6 PMO'!$AY$5:$AY$800,$D118)</f>
        <v>0</v>
      </c>
      <c r="L118" s="840"/>
    </row>
    <row r="119" spans="1:12" ht="19.95" customHeight="1">
      <c r="A119" s="843"/>
      <c r="B119" s="846"/>
      <c r="C119" s="163" t="s">
        <v>1092</v>
      </c>
      <c r="D119" s="307" t="str">
        <f>VLOOKUP(B116,Foundation_Calc!$K$41:$R$74,6,FALSE)</f>
        <v>N.D.</v>
      </c>
      <c r="E119" s="7">
        <f t="shared" si="2"/>
        <v>0</v>
      </c>
      <c r="F119" s="7">
        <f>COUNTIFS('HR Track 1'!$M$5:$M$406,$A$116,'HR Track 1'!$AW$5:$AW$406,$C119,'HR Track 1'!$AY$5:$AY$406,$D119)</f>
        <v>0</v>
      </c>
      <c r="G119" s="7">
        <f>COUNTIFS('HR Track 2'!$M$5:$M$406,$A$116,'HR Track 2'!$AW$5:$AW$406,$C119,'HR Track 2'!$AY$5:$AY$406,$D119)</f>
        <v>0</v>
      </c>
      <c r="H119" s="7">
        <f>COUNTIFS('HR Track 1 MOM'!$M$5:$M$800,$A$116,'HR Track 1 MOM'!$AW$5:$AW$800,$C119,'HR Track 1 MOM'!$AY$5:$AY$800,$D119)</f>
        <v>0</v>
      </c>
      <c r="I119" s="7">
        <f>COUNTIFS('HR Track 4 MOM'!$M$5:$M$800,$A$116,'HR Track 4 MOM'!$AW$5:$AW$800,$C119,'HR Track 4 MOM'!$AY$5:$AY$800,$D119)</f>
        <v>0</v>
      </c>
      <c r="J119" s="7">
        <f>COUNTIFS('HR Track 4 PMO'!$M$5:$M$800,$A$116,'HR Track 4 PMO'!$AW$5:$AW$800,$C119,'HR Track 4 PMO'!$AY$5:$AY$800,$D119)</f>
        <v>0</v>
      </c>
      <c r="K119" s="333">
        <f>COUNTIFS('HR Track 6 PMO'!$M$5:$M$800,$A$116,'HR Track 6 PMO'!$AW$5:$AW$800,$C119,'HR Track 6 PMO'!$AY$5:$AY$800,$D119)</f>
        <v>0</v>
      </c>
      <c r="L119" s="840"/>
    </row>
    <row r="120" spans="1:12" ht="19.95" customHeight="1">
      <c r="A120" s="843"/>
      <c r="B120" s="846"/>
      <c r="C120" s="163" t="s">
        <v>1093</v>
      </c>
      <c r="D120" s="307" t="str">
        <f>VLOOKUP(B116,Foundation_Calc!$K$41:$R$74,7,FALSE)</f>
        <v>N.D.</v>
      </c>
      <c r="E120" s="7">
        <f t="shared" si="2"/>
        <v>0</v>
      </c>
      <c r="F120" s="7">
        <f>COUNTIFS('HR Track 1'!$M$5:$M$406,$A$116,'HR Track 1'!$AW$5:$AW$406,$C120,'HR Track 1'!$AY$5:$AY$406,$D120)</f>
        <v>0</v>
      </c>
      <c r="G120" s="7">
        <f>COUNTIFS('HR Track 2'!$M$5:$M$406,$A$116,'HR Track 2'!$AW$5:$AW$406,$C120,'HR Track 2'!$AY$5:$AY$406,$D120)</f>
        <v>0</v>
      </c>
      <c r="H120" s="7">
        <f>COUNTIFS('HR Track 1 MOM'!$M$5:$M$800,$A$116,'HR Track 1 MOM'!$AW$5:$AW$800,$C120,'HR Track 1 MOM'!$AY$5:$AY$800,$D120)</f>
        <v>0</v>
      </c>
      <c r="I120" s="7">
        <f>COUNTIFS('HR Track 4 MOM'!$M$5:$M$800,$A$116,'HR Track 4 MOM'!$AW$5:$AW$800,$C120,'HR Track 4 MOM'!$AY$5:$AY$800,$D120)</f>
        <v>0</v>
      </c>
      <c r="J120" s="7">
        <f>COUNTIFS('HR Track 4 PMO'!$M$5:$M$800,$A$116,'HR Track 4 PMO'!$AW$5:$AW$800,$C120,'HR Track 4 PMO'!$AY$5:$AY$800,$D120)</f>
        <v>0</v>
      </c>
      <c r="K120" s="333">
        <f>COUNTIFS('HR Track 6 PMO'!$M$5:$M$800,$A$116,'HR Track 6 PMO'!$AW$5:$AW$800,$C120,'HR Track 6 PMO'!$AY$5:$AY$800,$D120)</f>
        <v>0</v>
      </c>
      <c r="L120" s="840"/>
    </row>
    <row r="121" spans="1:12" ht="19.95" customHeight="1" thickBot="1">
      <c r="A121" s="844"/>
      <c r="B121" s="847"/>
      <c r="C121" s="334" t="s">
        <v>1094</v>
      </c>
      <c r="D121" s="339" t="str">
        <f>VLOOKUP(B116,Foundation_Calc!$K$41:$R$74,8,FALSE)</f>
        <v>N.D.</v>
      </c>
      <c r="E121" s="336">
        <f t="shared" si="2"/>
        <v>0</v>
      </c>
      <c r="F121" s="336">
        <f>COUNTIFS('HR Track 1'!$M$5:$M$406,$A$116,'HR Track 1'!$AW$5:$AW$406,$C121,'HR Track 1'!$AY$5:$AY$406,$D121)</f>
        <v>0</v>
      </c>
      <c r="G121" s="336">
        <f>COUNTIFS('HR Track 2'!$M$5:$M$406,$A$116,'HR Track 2'!$AW$5:$AW$406,$C121,'HR Track 2'!$AY$5:$AY$406,$D121)</f>
        <v>0</v>
      </c>
      <c r="H121" s="336">
        <f>COUNTIFS('HR Track 1 MOM'!$M$5:$M$800,$A$116,'HR Track 1 MOM'!$AW$5:$AW$800,$C121,'HR Track 1 MOM'!$AY$5:$AY$800,$D121)</f>
        <v>0</v>
      </c>
      <c r="I121" s="336">
        <f>COUNTIFS('HR Track 4 MOM'!$M$5:$M$800,$A$116,'HR Track 4 MOM'!$AW$5:$AW$800,$C121,'HR Track 4 MOM'!$AY$5:$AY$800,$D121)</f>
        <v>0</v>
      </c>
      <c r="J121" s="336">
        <f>COUNTIFS('HR Track 4 PMO'!$M$5:$M$800,$A$116,'HR Track 4 PMO'!$AW$5:$AW$800,$C121,'HR Track 4 PMO'!$AY$5:$AY$800,$D121)</f>
        <v>0</v>
      </c>
      <c r="K121" s="337">
        <f>COUNTIFS('HR Track 6 PMO'!$M$5:$M$800,$A$116,'HR Track 6 PMO'!$AW$5:$AW$800,$C121,'HR Track 6 PMO'!$AY$5:$AY$800,$D121)</f>
        <v>0</v>
      </c>
      <c r="L121" s="841"/>
    </row>
    <row r="122" spans="1:12" ht="19.95" customHeight="1">
      <c r="A122" s="848" t="s">
        <v>1011</v>
      </c>
      <c r="B122" s="849" t="s">
        <v>663</v>
      </c>
      <c r="C122" s="329" t="s">
        <v>1089</v>
      </c>
      <c r="D122" s="330" t="str">
        <f>VLOOKUP(B122,Foundation_Calc!$K$4:$R$37,3,FALSE)</f>
        <v>N.D.</v>
      </c>
      <c r="E122" s="331">
        <f t="shared" si="2"/>
        <v>0</v>
      </c>
      <c r="F122" s="331">
        <f>COUNTIFS('HR Track 1'!$M$5:$M$406,$A$122,'HR Track 1'!$AW$5:$AW$406,$C122,'HR Track 1'!$AY$5:$AY$406,$D122)</f>
        <v>0</v>
      </c>
      <c r="G122" s="331">
        <f>COUNTIFS('HR Track 2'!$M$5:$M$406,$A$122,'HR Track 2'!$AW$5:$AW$406,$C122,'HR Track 2'!$AY$5:$AY$406,$D122)</f>
        <v>0</v>
      </c>
      <c r="H122" s="331">
        <f>COUNTIFS('HR Track 1 MOM'!$M$5:$M$800,$A$122,'HR Track 1 MOM'!$AW$5:$AW$800,$C122,'HR Track 1 MOM'!$AY$5:$AY$800,$D122)</f>
        <v>0</v>
      </c>
      <c r="I122" s="331">
        <f>COUNTIFS('HR Track 4 MOM'!$M$5:$M$800,$A$122,'HR Track 4 MOM'!$AW$5:$AW$800,$C122,'HR Track 4 MOM'!$AY$5:$AY$800,$D122)</f>
        <v>0</v>
      </c>
      <c r="J122" s="331">
        <f>COUNTIFS('HR Track 4 PMO'!$M$5:$M$800,$A$122,'HR Track 4 PMO'!$AW$5:$AW$800,$C122,'HR Track 4 PMO'!$AY$5:$AY$800,$D122)</f>
        <v>0</v>
      </c>
      <c r="K122" s="332">
        <f>COUNTIFS('HR Track 6 PMO'!$M$5:$M$800,$A$122,'HR Track 6 PMO'!$AW$5:$AW$800,$C122,'HR Track 6 PMO'!$AY$5:$AY$800,$D122)</f>
        <v>0</v>
      </c>
    </row>
    <row r="123" spans="1:12" ht="19.95" customHeight="1">
      <c r="A123" s="764"/>
      <c r="B123" s="753"/>
      <c r="C123" s="163" t="s">
        <v>1090</v>
      </c>
      <c r="D123" s="11" t="str">
        <f>VLOOKUP(B122,Foundation_Calc!$K$4:$R$37,4,FALSE)</f>
        <v>N.D.</v>
      </c>
      <c r="E123" s="7">
        <f t="shared" si="2"/>
        <v>0</v>
      </c>
      <c r="F123" s="7">
        <f>COUNTIFS('HR Track 1'!$M$5:$M$406,$A$122,'HR Track 1'!$AW$5:$AW$406,$C123,'HR Track 1'!$AY$5:$AY$406,$D123)</f>
        <v>0</v>
      </c>
      <c r="G123" s="7">
        <f>COUNTIFS('HR Track 2'!$M$5:$M$406,$A$122,'HR Track 2'!$AW$5:$AW$406,$C123,'HR Track 2'!$AY$5:$AY$406,$D123)</f>
        <v>0</v>
      </c>
      <c r="H123" s="7">
        <f>COUNTIFS('HR Track 1 MOM'!$M$5:$M$800,$A$122,'HR Track 1 MOM'!$AW$5:$AW$800,$C123,'HR Track 1 MOM'!$AY$5:$AY$800,$D123)</f>
        <v>0</v>
      </c>
      <c r="I123" s="7">
        <f>COUNTIFS('HR Track 4 MOM'!$M$5:$M$800,$A$122,'HR Track 4 MOM'!$AW$5:$AW$800,$C123,'HR Track 4 MOM'!$AY$5:$AY$800,$D123)</f>
        <v>0</v>
      </c>
      <c r="J123" s="7">
        <f>COUNTIFS('HR Track 4 PMO'!$M$5:$M$800,$A$122,'HR Track 4 PMO'!$AW$5:$AW$800,$C123,'HR Track 4 PMO'!$AY$5:$AY$800,$D123)</f>
        <v>0</v>
      </c>
      <c r="K123" s="333">
        <f>COUNTIFS('HR Track 6 PMO'!$M$5:$M$800,$A$122,'HR Track 6 PMO'!$AW$5:$AW$800,$C123,'HR Track 6 PMO'!$AY$5:$AY$800,$D123)</f>
        <v>0</v>
      </c>
    </row>
    <row r="124" spans="1:12" ht="19.95" customHeight="1">
      <c r="A124" s="764"/>
      <c r="B124" s="753"/>
      <c r="C124" s="163" t="s">
        <v>1091</v>
      </c>
      <c r="D124" s="11" t="str">
        <f>VLOOKUP(B122,Foundation_Calc!$K$4:$R$37,5,FALSE)</f>
        <v>N.D.</v>
      </c>
      <c r="E124" s="7">
        <f t="shared" si="2"/>
        <v>0</v>
      </c>
      <c r="F124" s="7">
        <f>COUNTIFS('HR Track 1'!$M$5:$M$406,$A$122,'HR Track 1'!$AW$5:$AW$406,$C124,'HR Track 1'!$AY$5:$AY$406,$D124)</f>
        <v>0</v>
      </c>
      <c r="G124" s="7">
        <f>COUNTIFS('HR Track 2'!$M$5:$M$406,$A$122,'HR Track 2'!$AW$5:$AW$406,$C124,'HR Track 2'!$AY$5:$AY$406,$D124)</f>
        <v>0</v>
      </c>
      <c r="H124" s="7">
        <f>COUNTIFS('HR Track 1 MOM'!$M$5:$M$800,$A$122,'HR Track 1 MOM'!$AW$5:$AW$800,$C124,'HR Track 1 MOM'!$AY$5:$AY$800,$D124)</f>
        <v>0</v>
      </c>
      <c r="I124" s="7">
        <f>COUNTIFS('HR Track 4 MOM'!$M$5:$M$800,$A$122,'HR Track 4 MOM'!$AW$5:$AW$800,$C124,'HR Track 4 MOM'!$AY$5:$AY$800,$D124)</f>
        <v>0</v>
      </c>
      <c r="J124" s="7">
        <f>COUNTIFS('HR Track 4 PMO'!$M$5:$M$800,$A$122,'HR Track 4 PMO'!$AW$5:$AW$800,$C124,'HR Track 4 PMO'!$AY$5:$AY$800,$D124)</f>
        <v>0</v>
      </c>
      <c r="K124" s="333">
        <f>COUNTIFS('HR Track 6 PMO'!$M$5:$M$800,$A$122,'HR Track 6 PMO'!$AW$5:$AW$800,$C124,'HR Track 6 PMO'!$AY$5:$AY$800,$D124)</f>
        <v>0</v>
      </c>
    </row>
    <row r="125" spans="1:12" ht="19.95" customHeight="1">
      <c r="A125" s="764"/>
      <c r="B125" s="753"/>
      <c r="C125" s="163" t="s">
        <v>1092</v>
      </c>
      <c r="D125" s="11" t="str">
        <f>VLOOKUP(B122,Foundation_Calc!$K$4:$R$37,6,FALSE)</f>
        <v>N.D.</v>
      </c>
      <c r="E125" s="7">
        <f t="shared" si="2"/>
        <v>0</v>
      </c>
      <c r="F125" s="7">
        <f>COUNTIFS('HR Track 1'!$M$5:$M$406,$A$122,'HR Track 1'!$AW$5:$AW$406,$C125,'HR Track 1'!$AY$5:$AY$406,$D125)</f>
        <v>0</v>
      </c>
      <c r="G125" s="7">
        <f>COUNTIFS('HR Track 2'!$M$5:$M$406,$A$122,'HR Track 2'!$AW$5:$AW$406,$C125,'HR Track 2'!$AY$5:$AY$406,$D125)</f>
        <v>0</v>
      </c>
      <c r="H125" s="7">
        <f>COUNTIFS('HR Track 1 MOM'!$M$5:$M$800,$A$122,'HR Track 1 MOM'!$AW$5:$AW$800,$C125,'HR Track 1 MOM'!$AY$5:$AY$800,$D125)</f>
        <v>0</v>
      </c>
      <c r="I125" s="7">
        <f>COUNTIFS('HR Track 4 MOM'!$M$5:$M$800,$A$122,'HR Track 4 MOM'!$AW$5:$AW$800,$C125,'HR Track 4 MOM'!$AY$5:$AY$800,$D125)</f>
        <v>0</v>
      </c>
      <c r="J125" s="7">
        <f>COUNTIFS('HR Track 4 PMO'!$M$5:$M$800,$A$122,'HR Track 4 PMO'!$AW$5:$AW$800,$C125,'HR Track 4 PMO'!$AY$5:$AY$800,$D125)</f>
        <v>0</v>
      </c>
      <c r="K125" s="333">
        <f>COUNTIFS('HR Track 6 PMO'!$M$5:$M$800,$A$122,'HR Track 6 PMO'!$AW$5:$AW$800,$C125,'HR Track 6 PMO'!$AY$5:$AY$800,$D125)</f>
        <v>0</v>
      </c>
    </row>
    <row r="126" spans="1:12" ht="19.95" customHeight="1">
      <c r="A126" s="764"/>
      <c r="B126" s="753"/>
      <c r="C126" s="163" t="s">
        <v>1093</v>
      </c>
      <c r="D126" s="11" t="str">
        <f>VLOOKUP(B122,Foundation_Calc!$K$4:$R$37,7,FALSE)</f>
        <v>N.D.</v>
      </c>
      <c r="E126" s="7">
        <f t="shared" si="2"/>
        <v>0</v>
      </c>
      <c r="F126" s="7">
        <f>COUNTIFS('HR Track 1'!$M$5:$M$406,$A$122,'HR Track 1'!$AW$5:$AW$406,$C126,'HR Track 1'!$AY$5:$AY$406,$D126)</f>
        <v>0</v>
      </c>
      <c r="G126" s="7">
        <f>COUNTIFS('HR Track 2'!$M$5:$M$406,$A$122,'HR Track 2'!$AW$5:$AW$406,$C126,'HR Track 2'!$AY$5:$AY$406,$D126)</f>
        <v>0</v>
      </c>
      <c r="H126" s="7">
        <f>COUNTIFS('HR Track 1 MOM'!$M$5:$M$800,$A$122,'HR Track 1 MOM'!$AW$5:$AW$800,$C126,'HR Track 1 MOM'!$AY$5:$AY$800,$D126)</f>
        <v>0</v>
      </c>
      <c r="I126" s="7">
        <f>COUNTIFS('HR Track 4 MOM'!$M$5:$M$800,$A$122,'HR Track 4 MOM'!$AW$5:$AW$800,$C126,'HR Track 4 MOM'!$AY$5:$AY$800,$D126)</f>
        <v>0</v>
      </c>
      <c r="J126" s="7">
        <f>COUNTIFS('HR Track 4 PMO'!$M$5:$M$800,$A$122,'HR Track 4 PMO'!$AW$5:$AW$800,$C126,'HR Track 4 PMO'!$AY$5:$AY$800,$D126)</f>
        <v>0</v>
      </c>
      <c r="K126" s="333">
        <f>COUNTIFS('HR Track 6 PMO'!$M$5:$M$800,$A$122,'HR Track 6 PMO'!$AW$5:$AW$800,$C126,'HR Track 6 PMO'!$AY$5:$AY$800,$D126)</f>
        <v>0</v>
      </c>
    </row>
    <row r="127" spans="1:12" ht="19.95" customHeight="1" thickBot="1">
      <c r="A127" s="765"/>
      <c r="B127" s="754"/>
      <c r="C127" s="334" t="s">
        <v>1094</v>
      </c>
      <c r="D127" s="335" t="str">
        <f>VLOOKUP(B122,Foundation_Calc!$K$4:$R$37,8,FALSE)</f>
        <v>N.D.</v>
      </c>
      <c r="E127" s="336">
        <f t="shared" si="2"/>
        <v>0</v>
      </c>
      <c r="F127" s="336">
        <f>COUNTIFS('HR Track 1'!$M$5:$M$406,$A$122,'HR Track 1'!$AW$5:$AW$406,$C127,'HR Track 1'!$AY$5:$AY$406,$D127)</f>
        <v>0</v>
      </c>
      <c r="G127" s="336">
        <f>COUNTIFS('HR Track 2'!$M$5:$M$406,$A$122,'HR Track 2'!$AW$5:$AW$406,$C127,'HR Track 2'!$AY$5:$AY$406,$D127)</f>
        <v>0</v>
      </c>
      <c r="H127" s="336">
        <f>COUNTIFS('HR Track 1 MOM'!$M$5:$M$800,$A$122,'HR Track 1 MOM'!$AW$5:$AW$800,$C127,'HR Track 1 MOM'!$AY$5:$AY$800,$D127)</f>
        <v>0</v>
      </c>
      <c r="I127" s="336">
        <f>COUNTIFS('HR Track 4 MOM'!$M$5:$M$800,$A$122,'HR Track 4 MOM'!$AW$5:$AW$800,$C127,'HR Track 4 MOM'!$AY$5:$AY$800,$D127)</f>
        <v>0</v>
      </c>
      <c r="J127" s="336">
        <f>COUNTIFS('HR Track 4 PMO'!$M$5:$M$800,$A$122,'HR Track 4 PMO'!$AW$5:$AW$800,$C127,'HR Track 4 PMO'!$AY$5:$AY$800,$D127)</f>
        <v>0</v>
      </c>
      <c r="K127" s="337">
        <f>COUNTIFS('HR Track 6 PMO'!$M$5:$M$800,$A$122,'HR Track 6 PMO'!$AW$5:$AW$800,$C127,'HR Track 6 PMO'!$AY$5:$AY$800,$D127)</f>
        <v>0</v>
      </c>
    </row>
    <row r="128" spans="1:12" ht="19.95" customHeight="1">
      <c r="A128" s="842" t="s">
        <v>1012</v>
      </c>
      <c r="B128" s="845" t="s">
        <v>663</v>
      </c>
      <c r="C128" s="329" t="s">
        <v>1089</v>
      </c>
      <c r="D128" s="338" t="str">
        <f>VLOOKUP(B128,Foundation_Calc!$K$41:$R$74,3,FALSE)</f>
        <v>N.D.</v>
      </c>
      <c r="E128" s="331">
        <f t="shared" si="2"/>
        <v>0</v>
      </c>
      <c r="F128" s="331">
        <f>COUNTIFS('HR Track 1'!$M$5:$M$406,$A$128,'HR Track 1'!$AW$5:$AW$406,$C128,'HR Track 1'!$AY$5:$AY$406,$D128)</f>
        <v>0</v>
      </c>
      <c r="G128" s="331">
        <f>COUNTIFS('HR Track 2'!$M$5:$M$406,$A$128,'HR Track 2'!$AW$5:$AW$406,$C128,'HR Track 2'!$AY$5:$AY$406,$D128)</f>
        <v>0</v>
      </c>
      <c r="H128" s="331">
        <f>COUNTIFS('HR Track 1 MOM'!$M$5:$M$800,$A$128,'HR Track 1 MOM'!$AW$5:$AW$800,$C128,'HR Track 1 MOM'!$AY$5:$AY$800,$D128)</f>
        <v>0</v>
      </c>
      <c r="I128" s="331">
        <f>COUNTIFS('HR Track 4 MOM'!$M$5:$M$800,$A$128,'HR Track 4 MOM'!$AW$5:$AW$800,$C128,'HR Track 4 MOM'!$AY$5:$AY$800,$D128)</f>
        <v>0</v>
      </c>
      <c r="J128" s="331">
        <f>COUNTIFS('HR Track 4 PMO'!$M$5:$M$800,$A$128,'HR Track 4 PMO'!$AW$5:$AW$800,$C128,'HR Track 4 PMO'!$AY$5:$AY$800,$D128)</f>
        <v>0</v>
      </c>
      <c r="K128" s="332">
        <f>COUNTIFS('HR Track 6 PMO'!$M$5:$M$800,$A$128,'HR Track 6 PMO'!$AW$5:$AW$800,$C128,'HR Track 6 PMO'!$AY$5:$AY$800,$D128)</f>
        <v>0</v>
      </c>
    </row>
    <row r="129" spans="1:11" ht="19.95" customHeight="1">
      <c r="A129" s="843"/>
      <c r="B129" s="846"/>
      <c r="C129" s="163" t="s">
        <v>1090</v>
      </c>
      <c r="D129" s="307" t="str">
        <f>VLOOKUP(B128,Foundation_Calc!$K$41:$R$74,4,FALSE)</f>
        <v>N.D.</v>
      </c>
      <c r="E129" s="7">
        <f t="shared" si="2"/>
        <v>0</v>
      </c>
      <c r="F129" s="7">
        <f>COUNTIFS('HR Track 1'!$M$5:$M$406,$A$128,'HR Track 1'!$AW$5:$AW$406,$C129,'HR Track 1'!$AY$5:$AY$406,$D129)</f>
        <v>0</v>
      </c>
      <c r="G129" s="7">
        <f>COUNTIFS('HR Track 2'!$M$5:$M$406,$A$128,'HR Track 2'!$AW$5:$AW$406,$C129,'HR Track 2'!$AY$5:$AY$406,$D129)</f>
        <v>0</v>
      </c>
      <c r="H129" s="7">
        <f>COUNTIFS('HR Track 1 MOM'!$M$5:$M$800,$A$128,'HR Track 1 MOM'!$AW$5:$AW$800,$C129,'HR Track 1 MOM'!$AY$5:$AY$800,$D129)</f>
        <v>0</v>
      </c>
      <c r="I129" s="7">
        <f>COUNTIFS('HR Track 4 MOM'!$M$5:$M$800,$A$128,'HR Track 4 MOM'!$AW$5:$AW$800,$C129,'HR Track 4 MOM'!$AY$5:$AY$800,$D129)</f>
        <v>0</v>
      </c>
      <c r="J129" s="7">
        <f>COUNTIFS('HR Track 4 PMO'!$M$5:$M$800,$A$128,'HR Track 4 PMO'!$AW$5:$AW$800,$C129,'HR Track 4 PMO'!$AY$5:$AY$800,$D129)</f>
        <v>0</v>
      </c>
      <c r="K129" s="333">
        <f>COUNTIFS('HR Track 6 PMO'!$M$5:$M$800,$A$128,'HR Track 6 PMO'!$AW$5:$AW$800,$C129,'HR Track 6 PMO'!$AY$5:$AY$800,$D129)</f>
        <v>0</v>
      </c>
    </row>
    <row r="130" spans="1:11" ht="19.95" customHeight="1">
      <c r="A130" s="843"/>
      <c r="B130" s="846"/>
      <c r="C130" s="163" t="s">
        <v>1091</v>
      </c>
      <c r="D130" s="307" t="str">
        <f>VLOOKUP(B128,Foundation_Calc!$K$41:$R$74,5,FALSE)</f>
        <v>N.D.</v>
      </c>
      <c r="E130" s="7">
        <f t="shared" si="2"/>
        <v>0</v>
      </c>
      <c r="F130" s="7">
        <f>COUNTIFS('HR Track 1'!$M$5:$M$406,$A$128,'HR Track 1'!$AW$5:$AW$406,$C130,'HR Track 1'!$AY$5:$AY$406,$D130)</f>
        <v>0</v>
      </c>
      <c r="G130" s="7">
        <f>COUNTIFS('HR Track 2'!$M$5:$M$406,$A$128,'HR Track 2'!$AW$5:$AW$406,$C130,'HR Track 2'!$AY$5:$AY$406,$D130)</f>
        <v>0</v>
      </c>
      <c r="H130" s="7">
        <f>COUNTIFS('HR Track 1 MOM'!$M$5:$M$800,$A$128,'HR Track 1 MOM'!$AW$5:$AW$800,$C130,'HR Track 1 MOM'!$AY$5:$AY$800,$D130)</f>
        <v>0</v>
      </c>
      <c r="I130" s="7">
        <f>COUNTIFS('HR Track 4 MOM'!$M$5:$M$800,$A$128,'HR Track 4 MOM'!$AW$5:$AW$800,$C130,'HR Track 4 MOM'!$AY$5:$AY$800,$D130)</f>
        <v>0</v>
      </c>
      <c r="J130" s="7">
        <f>COUNTIFS('HR Track 4 PMO'!$M$5:$M$800,$A$128,'HR Track 4 PMO'!$AW$5:$AW$800,$C130,'HR Track 4 PMO'!$AY$5:$AY$800,$D130)</f>
        <v>0</v>
      </c>
      <c r="K130" s="333">
        <f>COUNTIFS('HR Track 6 PMO'!$M$5:$M$800,$A$128,'HR Track 6 PMO'!$AW$5:$AW$800,$C130,'HR Track 6 PMO'!$AY$5:$AY$800,$D130)</f>
        <v>0</v>
      </c>
    </row>
    <row r="131" spans="1:11" ht="19.95" customHeight="1">
      <c r="A131" s="843"/>
      <c r="B131" s="846"/>
      <c r="C131" s="163" t="s">
        <v>1092</v>
      </c>
      <c r="D131" s="307" t="str">
        <f>VLOOKUP(B128,Foundation_Calc!$K$41:$R$74,6,FALSE)</f>
        <v>N.D.</v>
      </c>
      <c r="E131" s="7">
        <f t="shared" ref="E131:E194" si="3">SUM(F131:K131)</f>
        <v>0</v>
      </c>
      <c r="F131" s="7">
        <f>COUNTIFS('HR Track 1'!$M$5:$M$406,$A$128,'HR Track 1'!$AW$5:$AW$406,$C131,'HR Track 1'!$AY$5:$AY$406,$D131)</f>
        <v>0</v>
      </c>
      <c r="G131" s="7">
        <f>COUNTIFS('HR Track 2'!$M$5:$M$406,$A$128,'HR Track 2'!$AW$5:$AW$406,$C131,'HR Track 2'!$AY$5:$AY$406,$D131)</f>
        <v>0</v>
      </c>
      <c r="H131" s="7">
        <f>COUNTIFS('HR Track 1 MOM'!$M$5:$M$800,$A$128,'HR Track 1 MOM'!$AW$5:$AW$800,$C131,'HR Track 1 MOM'!$AY$5:$AY$800,$D131)</f>
        <v>0</v>
      </c>
      <c r="I131" s="7">
        <f>COUNTIFS('HR Track 4 MOM'!$M$5:$M$800,$A$128,'HR Track 4 MOM'!$AW$5:$AW$800,$C131,'HR Track 4 MOM'!$AY$5:$AY$800,$D131)</f>
        <v>0</v>
      </c>
      <c r="J131" s="7">
        <f>COUNTIFS('HR Track 4 PMO'!$M$5:$M$800,$A$128,'HR Track 4 PMO'!$AW$5:$AW$800,$C131,'HR Track 4 PMO'!$AY$5:$AY$800,$D131)</f>
        <v>0</v>
      </c>
      <c r="K131" s="333">
        <f>COUNTIFS('HR Track 6 PMO'!$M$5:$M$800,$A$128,'HR Track 6 PMO'!$AW$5:$AW$800,$C131,'HR Track 6 PMO'!$AY$5:$AY$800,$D131)</f>
        <v>0</v>
      </c>
    </row>
    <row r="132" spans="1:11" ht="19.95" customHeight="1">
      <c r="A132" s="843"/>
      <c r="B132" s="846"/>
      <c r="C132" s="163" t="s">
        <v>1093</v>
      </c>
      <c r="D132" s="307" t="str">
        <f>VLOOKUP(B128,Foundation_Calc!$K$41:$R$74,7,FALSE)</f>
        <v>N.D.</v>
      </c>
      <c r="E132" s="7">
        <f t="shared" si="3"/>
        <v>0</v>
      </c>
      <c r="F132" s="7">
        <f>COUNTIFS('HR Track 1'!$M$5:$M$406,$A$128,'HR Track 1'!$AW$5:$AW$406,$C132,'HR Track 1'!$AY$5:$AY$406,$D132)</f>
        <v>0</v>
      </c>
      <c r="G132" s="7">
        <f>COUNTIFS('HR Track 2'!$M$5:$M$406,$A$128,'HR Track 2'!$AW$5:$AW$406,$C132,'HR Track 2'!$AY$5:$AY$406,$D132)</f>
        <v>0</v>
      </c>
      <c r="H132" s="7">
        <f>COUNTIFS('HR Track 1 MOM'!$M$5:$M$800,$A$128,'HR Track 1 MOM'!$AW$5:$AW$800,$C132,'HR Track 1 MOM'!$AY$5:$AY$800,$D132)</f>
        <v>0</v>
      </c>
      <c r="I132" s="7">
        <f>COUNTIFS('HR Track 4 MOM'!$M$5:$M$800,$A$128,'HR Track 4 MOM'!$AW$5:$AW$800,$C132,'HR Track 4 MOM'!$AY$5:$AY$800,$D132)</f>
        <v>0</v>
      </c>
      <c r="J132" s="7">
        <f>COUNTIFS('HR Track 4 PMO'!$M$5:$M$800,$A$128,'HR Track 4 PMO'!$AW$5:$AW$800,$C132,'HR Track 4 PMO'!$AY$5:$AY$800,$D132)</f>
        <v>0</v>
      </c>
      <c r="K132" s="333">
        <f>COUNTIFS('HR Track 6 PMO'!$M$5:$M$800,$A$128,'HR Track 6 PMO'!$AW$5:$AW$800,$C132,'HR Track 6 PMO'!$AY$5:$AY$800,$D132)</f>
        <v>0</v>
      </c>
    </row>
    <row r="133" spans="1:11" ht="19.95" customHeight="1" thickBot="1">
      <c r="A133" s="844"/>
      <c r="B133" s="847"/>
      <c r="C133" s="334" t="s">
        <v>1094</v>
      </c>
      <c r="D133" s="339" t="str">
        <f>VLOOKUP(B128,Foundation_Calc!$K$41:$R$74,8,FALSE)</f>
        <v>N.D.</v>
      </c>
      <c r="E133" s="336">
        <f t="shared" si="3"/>
        <v>0</v>
      </c>
      <c r="F133" s="336">
        <f>COUNTIFS('HR Track 1'!$M$5:$M$406,$A$128,'HR Track 1'!$AW$5:$AW$406,$C133,'HR Track 1'!$AY$5:$AY$406,$D133)</f>
        <v>0</v>
      </c>
      <c r="G133" s="336">
        <f>COUNTIFS('HR Track 2'!$M$5:$M$406,$A$128,'HR Track 2'!$AW$5:$AW$406,$C133,'HR Track 2'!$AY$5:$AY$406,$D133)</f>
        <v>0</v>
      </c>
      <c r="H133" s="336">
        <f>COUNTIFS('HR Track 1 MOM'!$M$5:$M$800,$A$128,'HR Track 1 MOM'!$AW$5:$AW$800,$C133,'HR Track 1 MOM'!$AY$5:$AY$800,$D133)</f>
        <v>0</v>
      </c>
      <c r="I133" s="336">
        <f>COUNTIFS('HR Track 4 MOM'!$M$5:$M$800,$A$128,'HR Track 4 MOM'!$AW$5:$AW$800,$C133,'HR Track 4 MOM'!$AY$5:$AY$800,$D133)</f>
        <v>0</v>
      </c>
      <c r="J133" s="336">
        <f>COUNTIFS('HR Track 4 PMO'!$M$5:$M$800,$A$128,'HR Track 4 PMO'!$AW$5:$AW$800,$C133,'HR Track 4 PMO'!$AY$5:$AY$800,$D133)</f>
        <v>0</v>
      </c>
      <c r="K133" s="337">
        <f>COUNTIFS('HR Track 6 PMO'!$M$5:$M$800,$A$128,'HR Track 6 PMO'!$AW$5:$AW$800,$C133,'HR Track 6 PMO'!$AY$5:$AY$800,$D133)</f>
        <v>0</v>
      </c>
    </row>
    <row r="134" spans="1:11" ht="19.95" customHeight="1">
      <c r="A134" s="848" t="s">
        <v>1013</v>
      </c>
      <c r="B134" s="849" t="s">
        <v>1000</v>
      </c>
      <c r="C134" s="329" t="s">
        <v>1089</v>
      </c>
      <c r="D134" s="330">
        <f>VLOOKUP(B134,Foundation_Calc!$K$4:$R$37,3,FALSE)</f>
        <v>4.5</v>
      </c>
      <c r="E134" s="331">
        <f t="shared" si="3"/>
        <v>0</v>
      </c>
      <c r="F134" s="331">
        <f>COUNTIFS('HR Track 1'!$M$5:$M$406,$A$134,'HR Track 1'!$AW$5:$AW$406,$C134,'HR Track 1'!$AY$5:$AY$406,$D134)</f>
        <v>0</v>
      </c>
      <c r="G134" s="331">
        <f>COUNTIFS('HR Track 2'!$M$5:$M$406,$A$134,'HR Track 2'!$AW$5:$AW$406,$C134,'HR Track 2'!$AY$5:$AY$406,$D134)</f>
        <v>0</v>
      </c>
      <c r="H134" s="331">
        <f>COUNTIFS('HR Track 1 MOM'!$M$5:$M$800,$A$134,'HR Track 1 MOM'!$AW$5:$AW$800,$C134,'HR Track 1 MOM'!$AY$5:$AY$800,$D134)</f>
        <v>0</v>
      </c>
      <c r="I134" s="331">
        <f>COUNTIFS('HR Track 4 MOM'!$M$5:$M$800,$A$134,'HR Track 4 MOM'!$AW$5:$AW$800,$C134,'HR Track 4 MOM'!$AY$5:$AY$800,$D134)</f>
        <v>0</v>
      </c>
      <c r="J134" s="331">
        <f>COUNTIFS('HR Track 4 PMO'!$M$5:$M$800,$A$134,'HR Track 4 PMO'!$AW$5:$AW$800,$C134,'HR Track 4 PMO'!$AY$5:$AY$800,$D134)</f>
        <v>0</v>
      </c>
      <c r="K134" s="332">
        <f>COUNTIFS('HR Track 6 PMO'!$M$5:$M$800,$A$134,'HR Track 6 PMO'!$AW$5:$AW$800,$C134,'HR Track 6 PMO'!$AY$5:$AY$800,$D134)</f>
        <v>0</v>
      </c>
    </row>
    <row r="135" spans="1:11" ht="19.95" customHeight="1">
      <c r="A135" s="764"/>
      <c r="B135" s="753"/>
      <c r="C135" s="163" t="s">
        <v>1090</v>
      </c>
      <c r="D135" s="11" t="str">
        <f>VLOOKUP(B134,Foundation_Calc!$K$4:$R$37,4,FALSE)</f>
        <v>N.D.</v>
      </c>
      <c r="E135" s="7">
        <f t="shared" si="3"/>
        <v>0</v>
      </c>
      <c r="F135" s="7">
        <f>COUNTIFS('HR Track 1'!$M$5:$M$406,$A$134,'HR Track 1'!$AW$5:$AW$406,$C135,'HR Track 1'!$AY$5:$AY$406,$D135)</f>
        <v>0</v>
      </c>
      <c r="G135" s="7">
        <f>COUNTIFS('HR Track 2'!$M$5:$M$406,$A$134,'HR Track 2'!$AW$5:$AW$406,$C135,'HR Track 2'!$AY$5:$AY$406,$D135)</f>
        <v>0</v>
      </c>
      <c r="H135" s="7">
        <f>COUNTIFS('HR Track 1 MOM'!$M$5:$M$800,$A$134,'HR Track 1 MOM'!$AW$5:$AW$800,$C135,'HR Track 1 MOM'!$AY$5:$AY$800,$D135)</f>
        <v>0</v>
      </c>
      <c r="I135" s="7">
        <f>COUNTIFS('HR Track 4 MOM'!$M$5:$M$800,$A$134,'HR Track 4 MOM'!$AW$5:$AW$800,$C135,'HR Track 4 MOM'!$AY$5:$AY$800,$D135)</f>
        <v>0</v>
      </c>
      <c r="J135" s="7">
        <f>COUNTIFS('HR Track 4 PMO'!$M$5:$M$800,$A$134,'HR Track 4 PMO'!$AW$5:$AW$800,$C135,'HR Track 4 PMO'!$AY$5:$AY$800,$D135)</f>
        <v>0</v>
      </c>
      <c r="K135" s="333">
        <f>COUNTIFS('HR Track 6 PMO'!$M$5:$M$800,$A$134,'HR Track 6 PMO'!$AW$5:$AW$800,$C135,'HR Track 6 PMO'!$AY$5:$AY$800,$D135)</f>
        <v>0</v>
      </c>
    </row>
    <row r="136" spans="1:11" ht="19.95" customHeight="1">
      <c r="A136" s="764"/>
      <c r="B136" s="753"/>
      <c r="C136" s="163" t="s">
        <v>1091</v>
      </c>
      <c r="D136" s="11" t="str">
        <f>VLOOKUP(B134,Foundation_Calc!$K$4:$R$37,5,FALSE)</f>
        <v>N.D.</v>
      </c>
      <c r="E136" s="7">
        <f t="shared" si="3"/>
        <v>0</v>
      </c>
      <c r="F136" s="7">
        <f>COUNTIFS('HR Track 1'!$M$5:$M$406,$A$134,'HR Track 1'!$AW$5:$AW$406,$C136,'HR Track 1'!$AY$5:$AY$406,$D136)</f>
        <v>0</v>
      </c>
      <c r="G136" s="7">
        <f>COUNTIFS('HR Track 2'!$M$5:$M$406,$A$134,'HR Track 2'!$AW$5:$AW$406,$C136,'HR Track 2'!$AY$5:$AY$406,$D136)</f>
        <v>0</v>
      </c>
      <c r="H136" s="7">
        <f>COUNTIFS('HR Track 1 MOM'!$M$5:$M$800,$A$134,'HR Track 1 MOM'!$AW$5:$AW$800,$C136,'HR Track 1 MOM'!$AY$5:$AY$800,$D136)</f>
        <v>0</v>
      </c>
      <c r="I136" s="7">
        <f>COUNTIFS('HR Track 4 MOM'!$M$5:$M$800,$A$134,'HR Track 4 MOM'!$AW$5:$AW$800,$C136,'HR Track 4 MOM'!$AY$5:$AY$800,$D136)</f>
        <v>0</v>
      </c>
      <c r="J136" s="7">
        <f>COUNTIFS('HR Track 4 PMO'!$M$5:$M$800,$A$134,'HR Track 4 PMO'!$AW$5:$AW$800,$C136,'HR Track 4 PMO'!$AY$5:$AY$800,$D136)</f>
        <v>0</v>
      </c>
      <c r="K136" s="333">
        <f>COUNTIFS('HR Track 6 PMO'!$M$5:$M$800,$A$134,'HR Track 6 PMO'!$AW$5:$AW$800,$C136,'HR Track 6 PMO'!$AY$5:$AY$800,$D136)</f>
        <v>0</v>
      </c>
    </row>
    <row r="137" spans="1:11" ht="19.95" customHeight="1">
      <c r="A137" s="764"/>
      <c r="B137" s="753"/>
      <c r="C137" s="163" t="s">
        <v>1092</v>
      </c>
      <c r="D137" s="11" t="str">
        <f>VLOOKUP(B134,Foundation_Calc!$K$4:$R$37,6,FALSE)</f>
        <v>N.D.</v>
      </c>
      <c r="E137" s="7">
        <f t="shared" si="3"/>
        <v>0</v>
      </c>
      <c r="F137" s="7">
        <f>COUNTIFS('HR Track 1'!$M$5:$M$406,$A$134,'HR Track 1'!$AW$5:$AW$406,$C137,'HR Track 1'!$AY$5:$AY$406,$D137)</f>
        <v>0</v>
      </c>
      <c r="G137" s="7">
        <f>COUNTIFS('HR Track 2'!$M$5:$M$406,$A$134,'HR Track 2'!$AW$5:$AW$406,$C137,'HR Track 2'!$AY$5:$AY$406,$D137)</f>
        <v>0</v>
      </c>
      <c r="H137" s="7">
        <f>COUNTIFS('HR Track 1 MOM'!$M$5:$M$800,$A$134,'HR Track 1 MOM'!$AW$5:$AW$800,$C137,'HR Track 1 MOM'!$AY$5:$AY$800,$D137)</f>
        <v>0</v>
      </c>
      <c r="I137" s="7">
        <f>COUNTIFS('HR Track 4 MOM'!$M$5:$M$800,$A$134,'HR Track 4 MOM'!$AW$5:$AW$800,$C137,'HR Track 4 MOM'!$AY$5:$AY$800,$D137)</f>
        <v>0</v>
      </c>
      <c r="J137" s="7">
        <f>COUNTIFS('HR Track 4 PMO'!$M$5:$M$800,$A$134,'HR Track 4 PMO'!$AW$5:$AW$800,$C137,'HR Track 4 PMO'!$AY$5:$AY$800,$D137)</f>
        <v>0</v>
      </c>
      <c r="K137" s="333">
        <f>COUNTIFS('HR Track 6 PMO'!$M$5:$M$800,$A$134,'HR Track 6 PMO'!$AW$5:$AW$800,$C137,'HR Track 6 PMO'!$AY$5:$AY$800,$D137)</f>
        <v>0</v>
      </c>
    </row>
    <row r="138" spans="1:11" ht="19.95" customHeight="1">
      <c r="A138" s="764"/>
      <c r="B138" s="753"/>
      <c r="C138" s="163" t="s">
        <v>1093</v>
      </c>
      <c r="D138" s="11" t="str">
        <f>VLOOKUP(B134,Foundation_Calc!$K$4:$R$37,7,FALSE)</f>
        <v>N.D.</v>
      </c>
      <c r="E138" s="7">
        <f t="shared" si="3"/>
        <v>0</v>
      </c>
      <c r="F138" s="7">
        <f>COUNTIFS('HR Track 1'!$M$5:$M$406,$A$134,'HR Track 1'!$AW$5:$AW$406,$C138,'HR Track 1'!$AY$5:$AY$406,$D138)</f>
        <v>0</v>
      </c>
      <c r="G138" s="7">
        <f>COUNTIFS('HR Track 2'!$M$5:$M$406,$A$134,'HR Track 2'!$AW$5:$AW$406,$C138,'HR Track 2'!$AY$5:$AY$406,$D138)</f>
        <v>0</v>
      </c>
      <c r="H138" s="7">
        <f>COUNTIFS('HR Track 1 MOM'!$M$5:$M$800,$A$134,'HR Track 1 MOM'!$AW$5:$AW$800,$C138,'HR Track 1 MOM'!$AY$5:$AY$800,$D138)</f>
        <v>0</v>
      </c>
      <c r="I138" s="7">
        <f>COUNTIFS('HR Track 4 MOM'!$M$5:$M$800,$A$134,'HR Track 4 MOM'!$AW$5:$AW$800,$C138,'HR Track 4 MOM'!$AY$5:$AY$800,$D138)</f>
        <v>0</v>
      </c>
      <c r="J138" s="7">
        <f>COUNTIFS('HR Track 4 PMO'!$M$5:$M$800,$A$134,'HR Track 4 PMO'!$AW$5:$AW$800,$C138,'HR Track 4 PMO'!$AY$5:$AY$800,$D138)</f>
        <v>0</v>
      </c>
      <c r="K138" s="333">
        <f>COUNTIFS('HR Track 6 PMO'!$M$5:$M$800,$A$134,'HR Track 6 PMO'!$AW$5:$AW$800,$C138,'HR Track 6 PMO'!$AY$5:$AY$800,$D138)</f>
        <v>0</v>
      </c>
    </row>
    <row r="139" spans="1:11" ht="19.95" customHeight="1" thickBot="1">
      <c r="A139" s="765"/>
      <c r="B139" s="754"/>
      <c r="C139" s="334" t="s">
        <v>1094</v>
      </c>
      <c r="D139" s="335" t="str">
        <f>VLOOKUP(B134,Foundation_Calc!$K$4:$R$37,8,FALSE)</f>
        <v>N.D.</v>
      </c>
      <c r="E139" s="336">
        <f t="shared" si="3"/>
        <v>0</v>
      </c>
      <c r="F139" s="336">
        <f>COUNTIFS('HR Track 1'!$M$5:$M$406,$A$134,'HR Track 1'!$AW$5:$AW$406,$C139,'HR Track 1'!$AY$5:$AY$406,$D139)</f>
        <v>0</v>
      </c>
      <c r="G139" s="336">
        <f>COUNTIFS('HR Track 2'!$M$5:$M$406,$A$134,'HR Track 2'!$AW$5:$AW$406,$C139,'HR Track 2'!$AY$5:$AY$406,$D139)</f>
        <v>0</v>
      </c>
      <c r="H139" s="336">
        <f>COUNTIFS('HR Track 1 MOM'!$M$5:$M$800,$A$134,'HR Track 1 MOM'!$AW$5:$AW$800,$C139,'HR Track 1 MOM'!$AY$5:$AY$800,$D139)</f>
        <v>0</v>
      </c>
      <c r="I139" s="336">
        <f>COUNTIFS('HR Track 4 MOM'!$M$5:$M$800,$A$134,'HR Track 4 MOM'!$AW$5:$AW$800,$C139,'HR Track 4 MOM'!$AY$5:$AY$800,$D139)</f>
        <v>0</v>
      </c>
      <c r="J139" s="336">
        <f>COUNTIFS('HR Track 4 PMO'!$M$5:$M$800,$A$134,'HR Track 4 PMO'!$AW$5:$AW$800,$C139,'HR Track 4 PMO'!$AY$5:$AY$800,$D139)</f>
        <v>0</v>
      </c>
      <c r="K139" s="337">
        <f>COUNTIFS('HR Track 6 PMO'!$M$5:$M$800,$A$134,'HR Track 6 PMO'!$AW$5:$AW$800,$C139,'HR Track 6 PMO'!$AY$5:$AY$800,$D139)</f>
        <v>0</v>
      </c>
    </row>
    <row r="140" spans="1:11" ht="19.95" customHeight="1">
      <c r="A140" s="842" t="s">
        <v>1014</v>
      </c>
      <c r="B140" s="845" t="s">
        <v>1000</v>
      </c>
      <c r="C140" s="329" t="s">
        <v>1089</v>
      </c>
      <c r="D140" s="338">
        <f>VLOOKUP(B140,Foundation_Calc!$K$41:$R$74,3,FALSE)</f>
        <v>5</v>
      </c>
      <c r="E140" s="331">
        <f t="shared" si="3"/>
        <v>0</v>
      </c>
      <c r="F140" s="331">
        <f>COUNTIFS('HR Track 1'!$M$5:$M$406,$A$140,'HR Track 1'!$AW$5:$AW$406,$C140,'HR Track 1'!$AY$5:$AY$406,$D140)</f>
        <v>0</v>
      </c>
      <c r="G140" s="331">
        <f>COUNTIFS('HR Track 2'!$M$5:$M$406,$A$140,'HR Track 2'!$AW$5:$AW$406,$C140,'HR Track 2'!$AY$5:$AY$406,$D140)</f>
        <v>0</v>
      </c>
      <c r="H140" s="331">
        <f>COUNTIFS('HR Track 1 MOM'!$M$5:$M$800,$A$140,'HR Track 1 MOM'!$AW$5:$AW$800,$C140,'HR Track 1 MOM'!$AY$5:$AY$800,$D140)</f>
        <v>0</v>
      </c>
      <c r="I140" s="331">
        <f>COUNTIFS('HR Track 4 MOM'!$M$5:$M$800,$A$140,'HR Track 4 MOM'!$AW$5:$AW$800,$C140,'HR Track 4 MOM'!$AY$5:$AY$800,$D140)</f>
        <v>0</v>
      </c>
      <c r="J140" s="331">
        <f>COUNTIFS('HR Track 4 PMO'!$M$5:$M$800,$A$140,'HR Track 4 PMO'!$AW$5:$AW$800,$C140,'HR Track 4 PMO'!$AY$5:$AY$800,$D140)</f>
        <v>0</v>
      </c>
      <c r="K140" s="332">
        <f>COUNTIFS('HR Track 6 PMO'!$M$5:$M$800,$A$140,'HR Track 6 PMO'!$AW$5:$AW$800,$C140,'HR Track 6 PMO'!$AY$5:$AY$800,$D140)</f>
        <v>0</v>
      </c>
    </row>
    <row r="141" spans="1:11" ht="19.95" customHeight="1">
      <c r="A141" s="843"/>
      <c r="B141" s="846"/>
      <c r="C141" s="163" t="s">
        <v>1090</v>
      </c>
      <c r="D141" s="307" t="str">
        <f>VLOOKUP(B140,Foundation_Calc!$K$41:$R$74,4,FALSE)</f>
        <v>N.D.</v>
      </c>
      <c r="E141" s="7">
        <f t="shared" si="3"/>
        <v>0</v>
      </c>
      <c r="F141" s="7">
        <f>COUNTIFS('HR Track 1'!$M$5:$M$406,$A$140,'HR Track 1'!$AW$5:$AW$406,$C141,'HR Track 1'!$AY$5:$AY$406,$D141)</f>
        <v>0</v>
      </c>
      <c r="G141" s="7">
        <f>COUNTIFS('HR Track 2'!$M$5:$M$406,$A$140,'HR Track 2'!$AW$5:$AW$406,$C141,'HR Track 2'!$AY$5:$AY$406,$D141)</f>
        <v>0</v>
      </c>
      <c r="H141" s="7">
        <f>COUNTIFS('HR Track 1 MOM'!$M$5:$M$800,$A$140,'HR Track 1 MOM'!$AW$5:$AW$800,$C141,'HR Track 1 MOM'!$AY$5:$AY$800,$D141)</f>
        <v>0</v>
      </c>
      <c r="I141" s="7">
        <f>COUNTIFS('HR Track 4 MOM'!$M$5:$M$800,$A$140,'HR Track 4 MOM'!$AW$5:$AW$800,$C141,'HR Track 4 MOM'!$AY$5:$AY$800,$D141)</f>
        <v>0</v>
      </c>
      <c r="J141" s="7">
        <f>COUNTIFS('HR Track 4 PMO'!$M$5:$M$800,$A$140,'HR Track 4 PMO'!$AW$5:$AW$800,$C141,'HR Track 4 PMO'!$AY$5:$AY$800,$D141)</f>
        <v>0</v>
      </c>
      <c r="K141" s="333">
        <f>COUNTIFS('HR Track 6 PMO'!$M$5:$M$800,$A$140,'HR Track 6 PMO'!$AW$5:$AW$800,$C141,'HR Track 6 PMO'!$AY$5:$AY$800,$D141)</f>
        <v>0</v>
      </c>
    </row>
    <row r="142" spans="1:11" ht="19.95" customHeight="1">
      <c r="A142" s="843"/>
      <c r="B142" s="846"/>
      <c r="C142" s="163" t="s">
        <v>1091</v>
      </c>
      <c r="D142" s="307" t="str">
        <f>VLOOKUP(B140,Foundation_Calc!$K$41:$R$74,5,FALSE)</f>
        <v>N.D.</v>
      </c>
      <c r="E142" s="7">
        <f t="shared" si="3"/>
        <v>0</v>
      </c>
      <c r="F142" s="7">
        <f>COUNTIFS('HR Track 1'!$M$5:$M$406,$A$140,'HR Track 1'!$AW$5:$AW$406,$C142,'HR Track 1'!$AY$5:$AY$406,$D142)</f>
        <v>0</v>
      </c>
      <c r="G142" s="7">
        <f>COUNTIFS('HR Track 2'!$M$5:$M$406,$A$140,'HR Track 2'!$AW$5:$AW$406,$C142,'HR Track 2'!$AY$5:$AY$406,$D142)</f>
        <v>0</v>
      </c>
      <c r="H142" s="7">
        <f>COUNTIFS('HR Track 1 MOM'!$M$5:$M$800,$A$140,'HR Track 1 MOM'!$AW$5:$AW$800,$C142,'HR Track 1 MOM'!$AY$5:$AY$800,$D142)</f>
        <v>0</v>
      </c>
      <c r="I142" s="7">
        <f>COUNTIFS('HR Track 4 MOM'!$M$5:$M$800,$A$140,'HR Track 4 MOM'!$AW$5:$AW$800,$C142,'HR Track 4 MOM'!$AY$5:$AY$800,$D142)</f>
        <v>0</v>
      </c>
      <c r="J142" s="7">
        <f>COUNTIFS('HR Track 4 PMO'!$M$5:$M$800,$A$140,'HR Track 4 PMO'!$AW$5:$AW$800,$C142,'HR Track 4 PMO'!$AY$5:$AY$800,$D142)</f>
        <v>0</v>
      </c>
      <c r="K142" s="333">
        <f>COUNTIFS('HR Track 6 PMO'!$M$5:$M$800,$A$140,'HR Track 6 PMO'!$AW$5:$AW$800,$C142,'HR Track 6 PMO'!$AY$5:$AY$800,$D142)</f>
        <v>0</v>
      </c>
    </row>
    <row r="143" spans="1:11" ht="19.95" customHeight="1">
      <c r="A143" s="843"/>
      <c r="B143" s="846"/>
      <c r="C143" s="163" t="s">
        <v>1092</v>
      </c>
      <c r="D143" s="307" t="str">
        <f>VLOOKUP(B140,Foundation_Calc!$K$41:$R$74,6,FALSE)</f>
        <v>N.D.</v>
      </c>
      <c r="E143" s="7">
        <f t="shared" si="3"/>
        <v>0</v>
      </c>
      <c r="F143" s="7">
        <f>COUNTIFS('HR Track 1'!$M$5:$M$406,$A$140,'HR Track 1'!$AW$5:$AW$406,$C143,'HR Track 1'!$AY$5:$AY$406,$D143)</f>
        <v>0</v>
      </c>
      <c r="G143" s="7">
        <f>COUNTIFS('HR Track 2'!$M$5:$M$406,$A$140,'HR Track 2'!$AW$5:$AW$406,$C143,'HR Track 2'!$AY$5:$AY$406,$D143)</f>
        <v>0</v>
      </c>
      <c r="H143" s="7">
        <f>COUNTIFS('HR Track 1 MOM'!$M$5:$M$800,$A$140,'HR Track 1 MOM'!$AW$5:$AW$800,$C143,'HR Track 1 MOM'!$AY$5:$AY$800,$D143)</f>
        <v>0</v>
      </c>
      <c r="I143" s="7">
        <f>COUNTIFS('HR Track 4 MOM'!$M$5:$M$800,$A$140,'HR Track 4 MOM'!$AW$5:$AW$800,$C143,'HR Track 4 MOM'!$AY$5:$AY$800,$D143)</f>
        <v>0</v>
      </c>
      <c r="J143" s="7">
        <f>COUNTIFS('HR Track 4 PMO'!$M$5:$M$800,$A$140,'HR Track 4 PMO'!$AW$5:$AW$800,$C143,'HR Track 4 PMO'!$AY$5:$AY$800,$D143)</f>
        <v>0</v>
      </c>
      <c r="K143" s="333">
        <f>COUNTIFS('HR Track 6 PMO'!$M$5:$M$800,$A$140,'HR Track 6 PMO'!$AW$5:$AW$800,$C143,'HR Track 6 PMO'!$AY$5:$AY$800,$D143)</f>
        <v>0</v>
      </c>
    </row>
    <row r="144" spans="1:11" ht="19.95" customHeight="1">
      <c r="A144" s="843"/>
      <c r="B144" s="846"/>
      <c r="C144" s="163" t="s">
        <v>1093</v>
      </c>
      <c r="D144" s="307" t="str">
        <f>VLOOKUP(B140,Foundation_Calc!$K$41:$R$74,7,FALSE)</f>
        <v>N.D.</v>
      </c>
      <c r="E144" s="7">
        <f t="shared" si="3"/>
        <v>0</v>
      </c>
      <c r="F144" s="7">
        <f>COUNTIFS('HR Track 1'!$M$5:$M$406,$A$140,'HR Track 1'!$AW$5:$AW$406,$C144,'HR Track 1'!$AY$5:$AY$406,$D144)</f>
        <v>0</v>
      </c>
      <c r="G144" s="7">
        <f>COUNTIFS('HR Track 2'!$M$5:$M$406,$A$140,'HR Track 2'!$AW$5:$AW$406,$C144,'HR Track 2'!$AY$5:$AY$406,$D144)</f>
        <v>0</v>
      </c>
      <c r="H144" s="7">
        <f>COUNTIFS('HR Track 1 MOM'!$M$5:$M$800,$A$140,'HR Track 1 MOM'!$AW$5:$AW$800,$C144,'HR Track 1 MOM'!$AY$5:$AY$800,$D144)</f>
        <v>0</v>
      </c>
      <c r="I144" s="7">
        <f>COUNTIFS('HR Track 4 MOM'!$M$5:$M$800,$A$140,'HR Track 4 MOM'!$AW$5:$AW$800,$C144,'HR Track 4 MOM'!$AY$5:$AY$800,$D144)</f>
        <v>0</v>
      </c>
      <c r="J144" s="7">
        <f>COUNTIFS('HR Track 4 PMO'!$M$5:$M$800,$A$140,'HR Track 4 PMO'!$AW$5:$AW$800,$C144,'HR Track 4 PMO'!$AY$5:$AY$800,$D144)</f>
        <v>0</v>
      </c>
      <c r="K144" s="333">
        <f>COUNTIFS('HR Track 6 PMO'!$M$5:$M$800,$A$140,'HR Track 6 PMO'!$AW$5:$AW$800,$C144,'HR Track 6 PMO'!$AY$5:$AY$800,$D144)</f>
        <v>0</v>
      </c>
    </row>
    <row r="145" spans="1:11" ht="19.95" customHeight="1" thickBot="1">
      <c r="A145" s="844"/>
      <c r="B145" s="847"/>
      <c r="C145" s="334" t="s">
        <v>1094</v>
      </c>
      <c r="D145" s="339" t="str">
        <f>VLOOKUP(B140,Foundation_Calc!$K$41:$R$74,8,FALSE)</f>
        <v>N.D.</v>
      </c>
      <c r="E145" s="336">
        <f t="shared" si="3"/>
        <v>0</v>
      </c>
      <c r="F145" s="336">
        <f>COUNTIFS('HR Track 1'!$M$5:$M$406,$A$140,'HR Track 1'!$AW$5:$AW$406,$C145,'HR Track 1'!$AY$5:$AY$406,$D145)</f>
        <v>0</v>
      </c>
      <c r="G145" s="336">
        <f>COUNTIFS('HR Track 2'!$M$5:$M$406,$A$140,'HR Track 2'!$AW$5:$AW$406,$C145,'HR Track 2'!$AY$5:$AY$406,$D145)</f>
        <v>0</v>
      </c>
      <c r="H145" s="336">
        <f>COUNTIFS('HR Track 1 MOM'!$M$5:$M$800,$A$140,'HR Track 1 MOM'!$AW$5:$AW$800,$C145,'HR Track 1 MOM'!$AY$5:$AY$800,$D145)</f>
        <v>0</v>
      </c>
      <c r="I145" s="336">
        <f>COUNTIFS('HR Track 4 MOM'!$M$5:$M$800,$A$140,'HR Track 4 MOM'!$AW$5:$AW$800,$C145,'HR Track 4 MOM'!$AY$5:$AY$800,$D145)</f>
        <v>0</v>
      </c>
      <c r="J145" s="336">
        <f>COUNTIFS('HR Track 4 PMO'!$M$5:$M$800,$A$140,'HR Track 4 PMO'!$AW$5:$AW$800,$C145,'HR Track 4 PMO'!$AY$5:$AY$800,$D145)</f>
        <v>0</v>
      </c>
      <c r="K145" s="337">
        <f>COUNTIFS('HR Track 6 PMO'!$M$5:$M$800,$A$140,'HR Track 6 PMO'!$AW$5:$AW$800,$C145,'HR Track 6 PMO'!$AY$5:$AY$800,$D145)</f>
        <v>0</v>
      </c>
    </row>
    <row r="146" spans="1:11" ht="19.95" customHeight="1">
      <c r="A146" s="848" t="s">
        <v>1013</v>
      </c>
      <c r="B146" s="849" t="s">
        <v>975</v>
      </c>
      <c r="C146" s="329" t="s">
        <v>1089</v>
      </c>
      <c r="D146" s="330">
        <f>VLOOKUP(B146,Foundation_Calc!$K$4:$R$37,3,FALSE)</f>
        <v>4.5999999999999996</v>
      </c>
      <c r="E146" s="331">
        <f t="shared" si="3"/>
        <v>0</v>
      </c>
      <c r="F146" s="331">
        <f>COUNTIFS('HR Track 1'!$M$5:$M$406,$A$146,'HR Track 1'!$AW$5:$AW$406,$C146,'HR Track 1'!$AY$5:$AY$406,$D146)</f>
        <v>0</v>
      </c>
      <c r="G146" s="331">
        <f>COUNTIFS('HR Track 2'!$M$5:$M$406,$A$146,'HR Track 2'!$AW$5:$AW$406,$C146,'HR Track 2'!$AY$5:$AY$406,$D146)</f>
        <v>0</v>
      </c>
      <c r="H146" s="331">
        <f>COUNTIFS('HR Track 1 MOM'!$M$5:$M$800,$A$146,'HR Track 1 MOM'!$AW$5:$AW$800,$C146,'HR Track 1 MOM'!$AY$5:$AY$800,$D146)</f>
        <v>0</v>
      </c>
      <c r="I146" s="331">
        <f>COUNTIFS('HR Track 4 MOM'!$M$5:$M$800,$A$146,'HR Track 4 MOM'!$AW$5:$AW$800,$C146,'HR Track 4 MOM'!$AY$5:$AY$800,$D146)</f>
        <v>0</v>
      </c>
      <c r="J146" s="331">
        <f>COUNTIFS('HR Track 4 PMO'!$M$5:$M$800,$A$146,'HR Track 4 PMO'!$AW$5:$AW$800,$C146,'HR Track 4 PMO'!$AY$5:$AY$800,$D146)</f>
        <v>0</v>
      </c>
      <c r="K146" s="332">
        <f>COUNTIFS('HR Track 6 PMO'!$M$5:$M$800,$A$146,'HR Track 6 PMO'!$AW$5:$AW$800,$C146,'HR Track 6 PMO'!$AY$5:$AY$800,$D146)</f>
        <v>0</v>
      </c>
    </row>
    <row r="147" spans="1:11" ht="19.95" customHeight="1">
      <c r="A147" s="764"/>
      <c r="B147" s="753"/>
      <c r="C147" s="163" t="s">
        <v>1090</v>
      </c>
      <c r="D147" s="11" t="str">
        <f>VLOOKUP(B146,Foundation_Calc!$K$4:$R$37,4,FALSE)</f>
        <v>N.D.</v>
      </c>
      <c r="E147" s="7">
        <f t="shared" si="3"/>
        <v>0</v>
      </c>
      <c r="F147" s="7">
        <f>COUNTIFS('HR Track 1'!$M$5:$M$406,$A$146,'HR Track 1'!$AW$5:$AW$406,$C147,'HR Track 1'!$AY$5:$AY$406,$D147)</f>
        <v>0</v>
      </c>
      <c r="G147" s="7">
        <f>COUNTIFS('HR Track 2'!$M$5:$M$406,$A$146,'HR Track 2'!$AW$5:$AW$406,$C147,'HR Track 2'!$AY$5:$AY$406,$D147)</f>
        <v>0</v>
      </c>
      <c r="H147" s="7">
        <f>COUNTIFS('HR Track 1 MOM'!$M$5:$M$800,$A$146,'HR Track 1 MOM'!$AW$5:$AW$800,$C147,'HR Track 1 MOM'!$AY$5:$AY$800,$D147)</f>
        <v>0</v>
      </c>
      <c r="I147" s="7">
        <f>COUNTIFS('HR Track 4 MOM'!$M$5:$M$800,$A$146,'HR Track 4 MOM'!$AW$5:$AW$800,$C147,'HR Track 4 MOM'!$AY$5:$AY$800,$D147)</f>
        <v>0</v>
      </c>
      <c r="J147" s="7">
        <f>COUNTIFS('HR Track 4 PMO'!$M$5:$M$800,$A$146,'HR Track 4 PMO'!$AW$5:$AW$800,$C147,'HR Track 4 PMO'!$AY$5:$AY$800,$D147)</f>
        <v>0</v>
      </c>
      <c r="K147" s="333">
        <f>COUNTIFS('HR Track 6 PMO'!$M$5:$M$800,$A$146,'HR Track 6 PMO'!$AW$5:$AW$800,$C147,'HR Track 6 PMO'!$AY$5:$AY$800,$D147)</f>
        <v>0</v>
      </c>
    </row>
    <row r="148" spans="1:11" ht="19.95" customHeight="1">
      <c r="A148" s="764"/>
      <c r="B148" s="753"/>
      <c r="C148" s="163" t="s">
        <v>1091</v>
      </c>
      <c r="D148" s="11" t="str">
        <f>VLOOKUP(B146,Foundation_Calc!$K$4:$R$37,5,FALSE)</f>
        <v>N.D.</v>
      </c>
      <c r="E148" s="7">
        <f t="shared" si="3"/>
        <v>0</v>
      </c>
      <c r="F148" s="7">
        <f>COUNTIFS('HR Track 1'!$M$5:$M$406,$A$146,'HR Track 1'!$AW$5:$AW$406,$C148,'HR Track 1'!$AY$5:$AY$406,$D148)</f>
        <v>0</v>
      </c>
      <c r="G148" s="7">
        <f>COUNTIFS('HR Track 2'!$M$5:$M$406,$A$146,'HR Track 2'!$AW$5:$AW$406,$C148,'HR Track 2'!$AY$5:$AY$406,$D148)</f>
        <v>0</v>
      </c>
      <c r="H148" s="7">
        <f>COUNTIFS('HR Track 1 MOM'!$M$5:$M$800,$A$146,'HR Track 1 MOM'!$AW$5:$AW$800,$C148,'HR Track 1 MOM'!$AY$5:$AY$800,$D148)</f>
        <v>0</v>
      </c>
      <c r="I148" s="7">
        <f>COUNTIFS('HR Track 4 MOM'!$M$5:$M$800,$A$146,'HR Track 4 MOM'!$AW$5:$AW$800,$C148,'HR Track 4 MOM'!$AY$5:$AY$800,$D148)</f>
        <v>0</v>
      </c>
      <c r="J148" s="7">
        <f>COUNTIFS('HR Track 4 PMO'!$M$5:$M$800,$A$146,'HR Track 4 PMO'!$AW$5:$AW$800,$C148,'HR Track 4 PMO'!$AY$5:$AY$800,$D148)</f>
        <v>0</v>
      </c>
      <c r="K148" s="333">
        <f>COUNTIFS('HR Track 6 PMO'!$M$5:$M$800,$A$146,'HR Track 6 PMO'!$AW$5:$AW$800,$C148,'HR Track 6 PMO'!$AY$5:$AY$800,$D148)</f>
        <v>0</v>
      </c>
    </row>
    <row r="149" spans="1:11" ht="19.95" customHeight="1">
      <c r="A149" s="764"/>
      <c r="B149" s="753"/>
      <c r="C149" s="163" t="s">
        <v>1092</v>
      </c>
      <c r="D149" s="11" t="str">
        <f>VLOOKUP(B146,Foundation_Calc!$K$4:$R$37,6,FALSE)</f>
        <v>N.D.</v>
      </c>
      <c r="E149" s="7">
        <f t="shared" si="3"/>
        <v>0</v>
      </c>
      <c r="F149" s="7">
        <f>COUNTIFS('HR Track 1'!$M$5:$M$406,$A$146,'HR Track 1'!$AW$5:$AW$406,$C149,'HR Track 1'!$AY$5:$AY$406,$D149)</f>
        <v>0</v>
      </c>
      <c r="G149" s="7">
        <f>COUNTIFS('HR Track 2'!$M$5:$M$406,$A$146,'HR Track 2'!$AW$5:$AW$406,$C149,'HR Track 2'!$AY$5:$AY$406,$D149)</f>
        <v>0</v>
      </c>
      <c r="H149" s="7">
        <f>COUNTIFS('HR Track 1 MOM'!$M$5:$M$800,$A$146,'HR Track 1 MOM'!$AW$5:$AW$800,$C149,'HR Track 1 MOM'!$AY$5:$AY$800,$D149)</f>
        <v>0</v>
      </c>
      <c r="I149" s="7">
        <f>COUNTIFS('HR Track 4 MOM'!$M$5:$M$800,$A$146,'HR Track 4 MOM'!$AW$5:$AW$800,$C149,'HR Track 4 MOM'!$AY$5:$AY$800,$D149)</f>
        <v>0</v>
      </c>
      <c r="J149" s="7">
        <f>COUNTIFS('HR Track 4 PMO'!$M$5:$M$800,$A$146,'HR Track 4 PMO'!$AW$5:$AW$800,$C149,'HR Track 4 PMO'!$AY$5:$AY$800,$D149)</f>
        <v>0</v>
      </c>
      <c r="K149" s="333">
        <f>COUNTIFS('HR Track 6 PMO'!$M$5:$M$800,$A$146,'HR Track 6 PMO'!$AW$5:$AW$800,$C149,'HR Track 6 PMO'!$AY$5:$AY$800,$D149)</f>
        <v>0</v>
      </c>
    </row>
    <row r="150" spans="1:11" ht="19.95" customHeight="1">
      <c r="A150" s="764"/>
      <c r="B150" s="753"/>
      <c r="C150" s="163" t="s">
        <v>1093</v>
      </c>
      <c r="D150" s="11" t="str">
        <f>VLOOKUP(B146,Foundation_Calc!$K$4:$R$37,7,FALSE)</f>
        <v>N.D.</v>
      </c>
      <c r="E150" s="7">
        <f t="shared" si="3"/>
        <v>0</v>
      </c>
      <c r="F150" s="7">
        <f>COUNTIFS('HR Track 1'!$M$5:$M$406,$A$146,'HR Track 1'!$AW$5:$AW$406,$C150,'HR Track 1'!$AY$5:$AY$406,$D150)</f>
        <v>0</v>
      </c>
      <c r="G150" s="7">
        <f>COUNTIFS('HR Track 2'!$M$5:$M$406,$A$146,'HR Track 2'!$AW$5:$AW$406,$C150,'HR Track 2'!$AY$5:$AY$406,$D150)</f>
        <v>0</v>
      </c>
      <c r="H150" s="7">
        <f>COUNTIFS('HR Track 1 MOM'!$M$5:$M$800,$A$146,'HR Track 1 MOM'!$AW$5:$AW$800,$C150,'HR Track 1 MOM'!$AY$5:$AY$800,$D150)</f>
        <v>0</v>
      </c>
      <c r="I150" s="7">
        <f>COUNTIFS('HR Track 4 MOM'!$M$5:$M$800,$A$146,'HR Track 4 MOM'!$AW$5:$AW$800,$C150,'HR Track 4 MOM'!$AY$5:$AY$800,$D150)</f>
        <v>0</v>
      </c>
      <c r="J150" s="7">
        <f>COUNTIFS('HR Track 4 PMO'!$M$5:$M$800,$A$146,'HR Track 4 PMO'!$AW$5:$AW$800,$C150,'HR Track 4 PMO'!$AY$5:$AY$800,$D150)</f>
        <v>0</v>
      </c>
      <c r="K150" s="333">
        <f>COUNTIFS('HR Track 6 PMO'!$M$5:$M$800,$A$146,'HR Track 6 PMO'!$AW$5:$AW$800,$C150,'HR Track 6 PMO'!$AY$5:$AY$800,$D150)</f>
        <v>0</v>
      </c>
    </row>
    <row r="151" spans="1:11" ht="19.95" customHeight="1" thickBot="1">
      <c r="A151" s="765"/>
      <c r="B151" s="754"/>
      <c r="C151" s="334" t="s">
        <v>1094</v>
      </c>
      <c r="D151" s="335" t="str">
        <f>VLOOKUP(B146,Foundation_Calc!$K$4:$R$37,8,FALSE)</f>
        <v>N.D.</v>
      </c>
      <c r="E151" s="336">
        <f t="shared" si="3"/>
        <v>0</v>
      </c>
      <c r="F151" s="336">
        <f>COUNTIFS('HR Track 1'!$M$5:$M$406,$A$146,'HR Track 1'!$AW$5:$AW$406,$C151,'HR Track 1'!$AY$5:$AY$406,$D151)</f>
        <v>0</v>
      </c>
      <c r="G151" s="336">
        <f>COUNTIFS('HR Track 2'!$M$5:$M$406,$A$146,'HR Track 2'!$AW$5:$AW$406,$C151,'HR Track 2'!$AY$5:$AY$406,$D151)</f>
        <v>0</v>
      </c>
      <c r="H151" s="336">
        <f>COUNTIFS('HR Track 1 MOM'!$M$5:$M$800,$A$146,'HR Track 1 MOM'!$AW$5:$AW$800,$C151,'HR Track 1 MOM'!$AY$5:$AY$800,$D151)</f>
        <v>0</v>
      </c>
      <c r="I151" s="336">
        <f>COUNTIFS('HR Track 4 MOM'!$M$5:$M$800,$A$146,'HR Track 4 MOM'!$AW$5:$AW$800,$C151,'HR Track 4 MOM'!$AY$5:$AY$800,$D151)</f>
        <v>0</v>
      </c>
      <c r="J151" s="336">
        <f>COUNTIFS('HR Track 4 PMO'!$M$5:$M$800,$A$146,'HR Track 4 PMO'!$AW$5:$AW$800,$C151,'HR Track 4 PMO'!$AY$5:$AY$800,$D151)</f>
        <v>0</v>
      </c>
      <c r="K151" s="337">
        <f>COUNTIFS('HR Track 6 PMO'!$M$5:$M$800,$A$146,'HR Track 6 PMO'!$AW$5:$AW$800,$C151,'HR Track 6 PMO'!$AY$5:$AY$800,$D151)</f>
        <v>0</v>
      </c>
    </row>
    <row r="152" spans="1:11" ht="19.95" customHeight="1">
      <c r="A152" s="842" t="s">
        <v>1014</v>
      </c>
      <c r="B152" s="845" t="s">
        <v>975</v>
      </c>
      <c r="C152" s="329" t="s">
        <v>1089</v>
      </c>
      <c r="D152" s="338">
        <f>VLOOKUP(B152,Foundation_Calc!$K$41:$R$74,3,FALSE)</f>
        <v>5.4</v>
      </c>
      <c r="E152" s="331">
        <f t="shared" si="3"/>
        <v>0</v>
      </c>
      <c r="F152" s="331">
        <f>COUNTIFS('HR Track 1'!$M$5:$M$406,$A$152,'HR Track 1'!$AW$5:$AW$406,$C152,'HR Track 1'!$AY$5:$AY$406,$D152)</f>
        <v>0</v>
      </c>
      <c r="G152" s="331">
        <f>COUNTIFS('HR Track 2'!$M$5:$M$406,$A$152,'HR Track 2'!$AW$5:$AW$406,$C152,'HR Track 2'!$AY$5:$AY$406,$D152)</f>
        <v>0</v>
      </c>
      <c r="H152" s="331">
        <f>COUNTIFS('HR Track 1 MOM'!$M$5:$M$800,$A$152,'HR Track 1 MOM'!$AW$5:$AW$800,$C152,'HR Track 1 MOM'!$AY$5:$AY$800,$D152)</f>
        <v>0</v>
      </c>
      <c r="I152" s="331">
        <f>COUNTIFS('HR Track 4 MOM'!$M$5:$M$800,$A$152,'HR Track 4 MOM'!$AW$5:$AW$800,$C152,'HR Track 4 MOM'!$AY$5:$AY$800,$D152)</f>
        <v>0</v>
      </c>
      <c r="J152" s="331">
        <f>COUNTIFS('HR Track 4 PMO'!$M$5:$M$800,$A$152,'HR Track 4 PMO'!$AW$5:$AW$800,$C152,'HR Track 4 PMO'!$AY$5:$AY$800,$D152)</f>
        <v>0</v>
      </c>
      <c r="K152" s="332">
        <f>COUNTIFS('HR Track 6 PMO'!$M$5:$M$800,$A$152,'HR Track 6 PMO'!$AW$5:$AW$800,$C152,'HR Track 6 PMO'!$AY$5:$AY$800,$D152)</f>
        <v>0</v>
      </c>
    </row>
    <row r="153" spans="1:11" ht="19.95" customHeight="1">
      <c r="A153" s="843"/>
      <c r="B153" s="846"/>
      <c r="C153" s="163" t="s">
        <v>1090</v>
      </c>
      <c r="D153" s="307" t="str">
        <f>VLOOKUP(B152,Foundation_Calc!$K$41:$R$74,4,FALSE)</f>
        <v>N.D.</v>
      </c>
      <c r="E153" s="7">
        <f t="shared" si="3"/>
        <v>0</v>
      </c>
      <c r="F153" s="7">
        <f>COUNTIFS('HR Track 1'!$M$5:$M$406,$A$152,'HR Track 1'!$AW$5:$AW$406,$C153,'HR Track 1'!$AY$5:$AY$406,$D153)</f>
        <v>0</v>
      </c>
      <c r="G153" s="7">
        <f>COUNTIFS('HR Track 2'!$M$5:$M$406,$A$152,'HR Track 2'!$AW$5:$AW$406,$C153,'HR Track 2'!$AY$5:$AY$406,$D153)</f>
        <v>0</v>
      </c>
      <c r="H153" s="7">
        <f>COUNTIFS('HR Track 1 MOM'!$M$5:$M$800,$A$152,'HR Track 1 MOM'!$AW$5:$AW$800,$C153,'HR Track 1 MOM'!$AY$5:$AY$800,$D153)</f>
        <v>0</v>
      </c>
      <c r="I153" s="7">
        <f>COUNTIFS('HR Track 4 MOM'!$M$5:$M$800,$A$152,'HR Track 4 MOM'!$AW$5:$AW$800,$C153,'HR Track 4 MOM'!$AY$5:$AY$800,$D153)</f>
        <v>0</v>
      </c>
      <c r="J153" s="7">
        <f>COUNTIFS('HR Track 4 PMO'!$M$5:$M$800,$A$152,'HR Track 4 PMO'!$AW$5:$AW$800,$C153,'HR Track 4 PMO'!$AY$5:$AY$800,$D153)</f>
        <v>0</v>
      </c>
      <c r="K153" s="333">
        <f>COUNTIFS('HR Track 6 PMO'!$M$5:$M$800,$A$152,'HR Track 6 PMO'!$AW$5:$AW$800,$C153,'HR Track 6 PMO'!$AY$5:$AY$800,$D153)</f>
        <v>0</v>
      </c>
    </row>
    <row r="154" spans="1:11" ht="19.95" customHeight="1">
      <c r="A154" s="843"/>
      <c r="B154" s="846"/>
      <c r="C154" s="163" t="s">
        <v>1091</v>
      </c>
      <c r="D154" s="307" t="str">
        <f>VLOOKUP(B152,Foundation_Calc!$K$41:$R$74,5,FALSE)</f>
        <v>N.D.</v>
      </c>
      <c r="E154" s="7">
        <f t="shared" si="3"/>
        <v>0</v>
      </c>
      <c r="F154" s="7">
        <f>COUNTIFS('HR Track 1'!$M$5:$M$406,$A$152,'HR Track 1'!$AW$5:$AW$406,$C154,'HR Track 1'!$AY$5:$AY$406,$D154)</f>
        <v>0</v>
      </c>
      <c r="G154" s="7">
        <f>COUNTIFS('HR Track 2'!$M$5:$M$406,$A$152,'HR Track 2'!$AW$5:$AW$406,$C154,'HR Track 2'!$AY$5:$AY$406,$D154)</f>
        <v>0</v>
      </c>
      <c r="H154" s="7">
        <f>COUNTIFS('HR Track 1 MOM'!$M$5:$M$800,$A$152,'HR Track 1 MOM'!$AW$5:$AW$800,$C154,'HR Track 1 MOM'!$AY$5:$AY$800,$D154)</f>
        <v>0</v>
      </c>
      <c r="I154" s="7">
        <f>COUNTIFS('HR Track 4 MOM'!$M$5:$M$800,$A$152,'HR Track 4 MOM'!$AW$5:$AW$800,$C154,'HR Track 4 MOM'!$AY$5:$AY$800,$D154)</f>
        <v>0</v>
      </c>
      <c r="J154" s="7">
        <f>COUNTIFS('HR Track 4 PMO'!$M$5:$M$800,$A$152,'HR Track 4 PMO'!$AW$5:$AW$800,$C154,'HR Track 4 PMO'!$AY$5:$AY$800,$D154)</f>
        <v>0</v>
      </c>
      <c r="K154" s="333">
        <f>COUNTIFS('HR Track 6 PMO'!$M$5:$M$800,$A$152,'HR Track 6 PMO'!$AW$5:$AW$800,$C154,'HR Track 6 PMO'!$AY$5:$AY$800,$D154)</f>
        <v>0</v>
      </c>
    </row>
    <row r="155" spans="1:11" ht="19.95" customHeight="1">
      <c r="A155" s="843"/>
      <c r="B155" s="846"/>
      <c r="C155" s="163" t="s">
        <v>1092</v>
      </c>
      <c r="D155" s="307" t="str">
        <f>VLOOKUP(B152,Foundation_Calc!$K$41:$R$74,6,FALSE)</f>
        <v>N.D.</v>
      </c>
      <c r="E155" s="7">
        <f t="shared" si="3"/>
        <v>0</v>
      </c>
      <c r="F155" s="7">
        <f>COUNTIFS('HR Track 1'!$M$5:$M$406,$A$152,'HR Track 1'!$AW$5:$AW$406,$C155,'HR Track 1'!$AY$5:$AY$406,$D155)</f>
        <v>0</v>
      </c>
      <c r="G155" s="7">
        <f>COUNTIFS('HR Track 2'!$M$5:$M$406,$A$152,'HR Track 2'!$AW$5:$AW$406,$C155,'HR Track 2'!$AY$5:$AY$406,$D155)</f>
        <v>0</v>
      </c>
      <c r="H155" s="7">
        <f>COUNTIFS('HR Track 1 MOM'!$M$5:$M$800,$A$152,'HR Track 1 MOM'!$AW$5:$AW$800,$C155,'HR Track 1 MOM'!$AY$5:$AY$800,$D155)</f>
        <v>0</v>
      </c>
      <c r="I155" s="7">
        <f>COUNTIFS('HR Track 4 MOM'!$M$5:$M$800,$A$152,'HR Track 4 MOM'!$AW$5:$AW$800,$C155,'HR Track 4 MOM'!$AY$5:$AY$800,$D155)</f>
        <v>0</v>
      </c>
      <c r="J155" s="7">
        <f>COUNTIFS('HR Track 4 PMO'!$M$5:$M$800,$A$152,'HR Track 4 PMO'!$AW$5:$AW$800,$C155,'HR Track 4 PMO'!$AY$5:$AY$800,$D155)</f>
        <v>0</v>
      </c>
      <c r="K155" s="333">
        <f>COUNTIFS('HR Track 6 PMO'!$M$5:$M$800,$A$152,'HR Track 6 PMO'!$AW$5:$AW$800,$C155,'HR Track 6 PMO'!$AY$5:$AY$800,$D155)</f>
        <v>0</v>
      </c>
    </row>
    <row r="156" spans="1:11" ht="19.95" customHeight="1">
      <c r="A156" s="843"/>
      <c r="B156" s="846"/>
      <c r="C156" s="163" t="s">
        <v>1093</v>
      </c>
      <c r="D156" s="307" t="str">
        <f>VLOOKUP(B152,Foundation_Calc!$K$41:$R$74,7,FALSE)</f>
        <v>N.D.</v>
      </c>
      <c r="E156" s="7">
        <f t="shared" si="3"/>
        <v>0</v>
      </c>
      <c r="F156" s="7">
        <f>COUNTIFS('HR Track 1'!$M$5:$M$406,$A$152,'HR Track 1'!$AW$5:$AW$406,$C156,'HR Track 1'!$AY$5:$AY$406,$D156)</f>
        <v>0</v>
      </c>
      <c r="G156" s="7">
        <f>COUNTIFS('HR Track 2'!$M$5:$M$406,$A$152,'HR Track 2'!$AW$5:$AW$406,$C156,'HR Track 2'!$AY$5:$AY$406,$D156)</f>
        <v>0</v>
      </c>
      <c r="H156" s="7">
        <f>COUNTIFS('HR Track 1 MOM'!$M$5:$M$800,$A$152,'HR Track 1 MOM'!$AW$5:$AW$800,$C156,'HR Track 1 MOM'!$AY$5:$AY$800,$D156)</f>
        <v>0</v>
      </c>
      <c r="I156" s="7">
        <f>COUNTIFS('HR Track 4 MOM'!$M$5:$M$800,$A$152,'HR Track 4 MOM'!$AW$5:$AW$800,$C156,'HR Track 4 MOM'!$AY$5:$AY$800,$D156)</f>
        <v>0</v>
      </c>
      <c r="J156" s="7">
        <f>COUNTIFS('HR Track 4 PMO'!$M$5:$M$800,$A$152,'HR Track 4 PMO'!$AW$5:$AW$800,$C156,'HR Track 4 PMO'!$AY$5:$AY$800,$D156)</f>
        <v>0</v>
      </c>
      <c r="K156" s="333">
        <f>COUNTIFS('HR Track 6 PMO'!$M$5:$M$800,$A$152,'HR Track 6 PMO'!$AW$5:$AW$800,$C156,'HR Track 6 PMO'!$AY$5:$AY$800,$D156)</f>
        <v>0</v>
      </c>
    </row>
    <row r="157" spans="1:11" ht="19.95" customHeight="1" thickBot="1">
      <c r="A157" s="844"/>
      <c r="B157" s="847"/>
      <c r="C157" s="334" t="s">
        <v>1094</v>
      </c>
      <c r="D157" s="339" t="str">
        <f>VLOOKUP(B152,Foundation_Calc!$K$41:$R$74,8,FALSE)</f>
        <v>N.D.</v>
      </c>
      <c r="E157" s="336">
        <f t="shared" si="3"/>
        <v>0</v>
      </c>
      <c r="F157" s="336">
        <f>COUNTIFS('HR Track 1'!$M$5:$M$406,$A$152,'HR Track 1'!$AW$5:$AW$406,$C157,'HR Track 1'!$AY$5:$AY$406,$D157)</f>
        <v>0</v>
      </c>
      <c r="G157" s="336">
        <f>COUNTIFS('HR Track 2'!$M$5:$M$406,$A$152,'HR Track 2'!$AW$5:$AW$406,$C157,'HR Track 2'!$AY$5:$AY$406,$D157)</f>
        <v>0</v>
      </c>
      <c r="H157" s="336">
        <f>COUNTIFS('HR Track 1 MOM'!$M$5:$M$800,$A$152,'HR Track 1 MOM'!$AW$5:$AW$800,$C157,'HR Track 1 MOM'!$AY$5:$AY$800,$D157)</f>
        <v>0</v>
      </c>
      <c r="I157" s="336">
        <f>COUNTIFS('HR Track 4 MOM'!$M$5:$M$800,$A$152,'HR Track 4 MOM'!$AW$5:$AW$800,$C157,'HR Track 4 MOM'!$AY$5:$AY$800,$D157)</f>
        <v>0</v>
      </c>
      <c r="J157" s="336">
        <f>COUNTIFS('HR Track 4 PMO'!$M$5:$M$800,$A$152,'HR Track 4 PMO'!$AW$5:$AW$800,$C157,'HR Track 4 PMO'!$AY$5:$AY$800,$D157)</f>
        <v>0</v>
      </c>
      <c r="K157" s="337">
        <f>COUNTIFS('HR Track 6 PMO'!$M$5:$M$800,$A$152,'HR Track 6 PMO'!$AW$5:$AW$800,$C157,'HR Track 6 PMO'!$AY$5:$AY$800,$D157)</f>
        <v>0</v>
      </c>
    </row>
    <row r="158" spans="1:11" ht="19.95" customHeight="1">
      <c r="A158" s="848" t="s">
        <v>1013</v>
      </c>
      <c r="B158" s="849" t="s">
        <v>190</v>
      </c>
      <c r="C158" s="329" t="s">
        <v>1089</v>
      </c>
      <c r="D158" s="330">
        <f>VLOOKUP(B158,Foundation_Calc!$K$4:$R$37,3,FALSE)</f>
        <v>4.4000000000000004</v>
      </c>
      <c r="E158" s="331">
        <f t="shared" si="3"/>
        <v>0</v>
      </c>
      <c r="F158" s="331">
        <f>COUNTIFS('HR Track 1'!$M$5:$M$406,$A$158,'HR Track 1'!$AW$5:$AW$406,$C158,'HR Track 1'!$AY$5:$AY$406,$D158)</f>
        <v>0</v>
      </c>
      <c r="G158" s="331">
        <f>COUNTIFS('HR Track 2'!$M$5:$M$406,$A$158,'HR Track 2'!$AW$5:$AW$406,$C158,'HR Track 2'!$AY$5:$AY$406,$D158)</f>
        <v>0</v>
      </c>
      <c r="H158" s="331">
        <f>COUNTIFS('HR Track 1 MOM'!$M$5:$M$800,$A$158,'HR Track 1 MOM'!$AW$5:$AW$800,$C158,'HR Track 1 MOM'!$AY$5:$AY$800,$D158)</f>
        <v>0</v>
      </c>
      <c r="I158" s="331">
        <f>COUNTIFS('HR Track 4 MOM'!$M$5:$M$800,$A$158,'HR Track 4 MOM'!$AW$5:$AW$800,$C158,'HR Track 4 MOM'!$AY$5:$AY$800,$D158)</f>
        <v>0</v>
      </c>
      <c r="J158" s="331">
        <f>COUNTIFS('HR Track 4 PMO'!$M$5:$M$800,$A$158,'HR Track 4 PMO'!$AW$5:$AW$800,$C158,'HR Track 4 PMO'!$AY$5:$AY$800,$D158)</f>
        <v>0</v>
      </c>
      <c r="K158" s="332">
        <f>COUNTIFS('HR Track 6 PMO'!$M$5:$M$800,$A$158,'HR Track 6 PMO'!$AW$5:$AW$800,$C158,'HR Track 6 PMO'!$AY$5:$AY$800,$D158)</f>
        <v>0</v>
      </c>
    </row>
    <row r="159" spans="1:11" ht="19.95" customHeight="1">
      <c r="A159" s="764"/>
      <c r="B159" s="753"/>
      <c r="C159" s="163" t="s">
        <v>1090</v>
      </c>
      <c r="D159" s="11" t="str">
        <f>VLOOKUP(B158,Foundation_Calc!$K$4:$R$37,4,FALSE)</f>
        <v>N.D.</v>
      </c>
      <c r="E159" s="7">
        <f t="shared" si="3"/>
        <v>0</v>
      </c>
      <c r="F159" s="7">
        <f>COUNTIFS('HR Track 1'!$M$5:$M$406,$A$158,'HR Track 1'!$AW$5:$AW$406,$C159,'HR Track 1'!$AY$5:$AY$406,$D159)</f>
        <v>0</v>
      </c>
      <c r="G159" s="7">
        <f>COUNTIFS('HR Track 2'!$M$5:$M$406,$A$158,'HR Track 2'!$AW$5:$AW$406,$C159,'HR Track 2'!$AY$5:$AY$406,$D159)</f>
        <v>0</v>
      </c>
      <c r="H159" s="7">
        <f>COUNTIFS('HR Track 1 MOM'!$M$5:$M$800,$A$158,'HR Track 1 MOM'!$AW$5:$AW$800,$C159,'HR Track 1 MOM'!$AY$5:$AY$800,$D159)</f>
        <v>0</v>
      </c>
      <c r="I159" s="7">
        <f>COUNTIFS('HR Track 4 MOM'!$M$5:$M$800,$A$158,'HR Track 4 MOM'!$AW$5:$AW$800,$C159,'HR Track 4 MOM'!$AY$5:$AY$800,$D159)</f>
        <v>0</v>
      </c>
      <c r="J159" s="7">
        <f>COUNTIFS('HR Track 4 PMO'!$M$5:$M$800,$A$158,'HR Track 4 PMO'!$AW$5:$AW$800,$C159,'HR Track 4 PMO'!$AY$5:$AY$800,$D159)</f>
        <v>0</v>
      </c>
      <c r="K159" s="333">
        <f>COUNTIFS('HR Track 6 PMO'!$M$5:$M$800,$A$158,'HR Track 6 PMO'!$AW$5:$AW$800,$C159,'HR Track 6 PMO'!$AY$5:$AY$800,$D159)</f>
        <v>0</v>
      </c>
    </row>
    <row r="160" spans="1:11" ht="19.95" customHeight="1">
      <c r="A160" s="764"/>
      <c r="B160" s="753"/>
      <c r="C160" s="163" t="s">
        <v>1091</v>
      </c>
      <c r="D160" s="11" t="str">
        <f>VLOOKUP(B158,Foundation_Calc!$K$4:$R$37,5,FALSE)</f>
        <v>N.D.</v>
      </c>
      <c r="E160" s="7">
        <f t="shared" si="3"/>
        <v>0</v>
      </c>
      <c r="F160" s="7">
        <f>COUNTIFS('HR Track 1'!$M$5:$M$406,$A$158,'HR Track 1'!$AW$5:$AW$406,$C160,'HR Track 1'!$AY$5:$AY$406,$D160)</f>
        <v>0</v>
      </c>
      <c r="G160" s="7">
        <f>COUNTIFS('HR Track 2'!$M$5:$M$406,$A$158,'HR Track 2'!$AW$5:$AW$406,$C160,'HR Track 2'!$AY$5:$AY$406,$D160)</f>
        <v>0</v>
      </c>
      <c r="H160" s="7">
        <f>COUNTIFS('HR Track 1 MOM'!$M$5:$M$800,$A$158,'HR Track 1 MOM'!$AW$5:$AW$800,$C160,'HR Track 1 MOM'!$AY$5:$AY$800,$D160)</f>
        <v>0</v>
      </c>
      <c r="I160" s="7">
        <f>COUNTIFS('HR Track 4 MOM'!$M$5:$M$800,$A$158,'HR Track 4 MOM'!$AW$5:$AW$800,$C160,'HR Track 4 MOM'!$AY$5:$AY$800,$D160)</f>
        <v>0</v>
      </c>
      <c r="J160" s="7">
        <f>COUNTIFS('HR Track 4 PMO'!$M$5:$M$800,$A$158,'HR Track 4 PMO'!$AW$5:$AW$800,$C160,'HR Track 4 PMO'!$AY$5:$AY$800,$D160)</f>
        <v>0</v>
      </c>
      <c r="K160" s="333">
        <f>COUNTIFS('HR Track 6 PMO'!$M$5:$M$800,$A$158,'HR Track 6 PMO'!$AW$5:$AW$800,$C160,'HR Track 6 PMO'!$AY$5:$AY$800,$D160)</f>
        <v>0</v>
      </c>
    </row>
    <row r="161" spans="1:11" ht="19.95" customHeight="1">
      <c r="A161" s="764"/>
      <c r="B161" s="753"/>
      <c r="C161" s="163" t="s">
        <v>1092</v>
      </c>
      <c r="D161" s="11" t="str">
        <f>VLOOKUP(B158,Foundation_Calc!$K$4:$R$37,6,FALSE)</f>
        <v>N.D.</v>
      </c>
      <c r="E161" s="7">
        <f t="shared" si="3"/>
        <v>0</v>
      </c>
      <c r="F161" s="7">
        <f>COUNTIFS('HR Track 1'!$M$5:$M$406,$A$158,'HR Track 1'!$AW$5:$AW$406,$C161,'HR Track 1'!$AY$5:$AY$406,$D161)</f>
        <v>0</v>
      </c>
      <c r="G161" s="7">
        <f>COUNTIFS('HR Track 2'!$M$5:$M$406,$A$158,'HR Track 2'!$AW$5:$AW$406,$C161,'HR Track 2'!$AY$5:$AY$406,$D161)</f>
        <v>0</v>
      </c>
      <c r="H161" s="7">
        <f>COUNTIFS('HR Track 1 MOM'!$M$5:$M$800,$A$158,'HR Track 1 MOM'!$AW$5:$AW$800,$C161,'HR Track 1 MOM'!$AY$5:$AY$800,$D161)</f>
        <v>0</v>
      </c>
      <c r="I161" s="7">
        <f>COUNTIFS('HR Track 4 MOM'!$M$5:$M$800,$A$158,'HR Track 4 MOM'!$AW$5:$AW$800,$C161,'HR Track 4 MOM'!$AY$5:$AY$800,$D161)</f>
        <v>0</v>
      </c>
      <c r="J161" s="7">
        <f>COUNTIFS('HR Track 4 PMO'!$M$5:$M$800,$A$158,'HR Track 4 PMO'!$AW$5:$AW$800,$C161,'HR Track 4 PMO'!$AY$5:$AY$800,$D161)</f>
        <v>0</v>
      </c>
      <c r="K161" s="333">
        <f>COUNTIFS('HR Track 6 PMO'!$M$5:$M$800,$A$158,'HR Track 6 PMO'!$AW$5:$AW$800,$C161,'HR Track 6 PMO'!$AY$5:$AY$800,$D161)</f>
        <v>0</v>
      </c>
    </row>
    <row r="162" spans="1:11" ht="19.95" customHeight="1">
      <c r="A162" s="764"/>
      <c r="B162" s="753"/>
      <c r="C162" s="163" t="s">
        <v>1093</v>
      </c>
      <c r="D162" s="11" t="str">
        <f>VLOOKUP(B158,Foundation_Calc!$K$4:$R$37,7,FALSE)</f>
        <v>N.D.</v>
      </c>
      <c r="E162" s="7">
        <f t="shared" si="3"/>
        <v>0</v>
      </c>
      <c r="F162" s="7">
        <f>COUNTIFS('HR Track 1'!$M$5:$M$406,$A$158,'HR Track 1'!$AW$5:$AW$406,$C162,'HR Track 1'!$AY$5:$AY$406,$D162)</f>
        <v>0</v>
      </c>
      <c r="G162" s="7">
        <f>COUNTIFS('HR Track 2'!$M$5:$M$406,$A$158,'HR Track 2'!$AW$5:$AW$406,$C162,'HR Track 2'!$AY$5:$AY$406,$D162)</f>
        <v>0</v>
      </c>
      <c r="H162" s="7">
        <f>COUNTIFS('HR Track 1 MOM'!$M$5:$M$800,$A$158,'HR Track 1 MOM'!$AW$5:$AW$800,$C162,'HR Track 1 MOM'!$AY$5:$AY$800,$D162)</f>
        <v>0</v>
      </c>
      <c r="I162" s="7">
        <f>COUNTIFS('HR Track 4 MOM'!$M$5:$M$800,$A$158,'HR Track 4 MOM'!$AW$5:$AW$800,$C162,'HR Track 4 MOM'!$AY$5:$AY$800,$D162)</f>
        <v>0</v>
      </c>
      <c r="J162" s="7">
        <f>COUNTIFS('HR Track 4 PMO'!$M$5:$M$800,$A$158,'HR Track 4 PMO'!$AW$5:$AW$800,$C162,'HR Track 4 PMO'!$AY$5:$AY$800,$D162)</f>
        <v>0</v>
      </c>
      <c r="K162" s="333">
        <f>COUNTIFS('HR Track 6 PMO'!$M$5:$M$800,$A$158,'HR Track 6 PMO'!$AW$5:$AW$800,$C162,'HR Track 6 PMO'!$AY$5:$AY$800,$D162)</f>
        <v>0</v>
      </c>
    </row>
    <row r="163" spans="1:11" ht="19.95" customHeight="1" thickBot="1">
      <c r="A163" s="765"/>
      <c r="B163" s="754"/>
      <c r="C163" s="334" t="s">
        <v>1094</v>
      </c>
      <c r="D163" s="335" t="str">
        <f>VLOOKUP(B158,Foundation_Calc!$K$4:$R$37,8,FALSE)</f>
        <v>N.D.</v>
      </c>
      <c r="E163" s="336">
        <f t="shared" si="3"/>
        <v>0</v>
      </c>
      <c r="F163" s="336">
        <f>COUNTIFS('HR Track 1'!$M$5:$M$406,$A$158,'HR Track 1'!$AW$5:$AW$406,$C163,'HR Track 1'!$AY$5:$AY$406,$D163)</f>
        <v>0</v>
      </c>
      <c r="G163" s="336">
        <f>COUNTIFS('HR Track 2'!$M$5:$M$406,$A$158,'HR Track 2'!$AW$5:$AW$406,$C163,'HR Track 2'!$AY$5:$AY$406,$D163)</f>
        <v>0</v>
      </c>
      <c r="H163" s="336">
        <f>COUNTIFS('HR Track 1 MOM'!$M$5:$M$800,$A$158,'HR Track 1 MOM'!$AW$5:$AW$800,$C163,'HR Track 1 MOM'!$AY$5:$AY$800,$D163)</f>
        <v>0</v>
      </c>
      <c r="I163" s="336">
        <f>COUNTIFS('HR Track 4 MOM'!$M$5:$M$800,$A$158,'HR Track 4 MOM'!$AW$5:$AW$800,$C163,'HR Track 4 MOM'!$AY$5:$AY$800,$D163)</f>
        <v>0</v>
      </c>
      <c r="J163" s="336">
        <f>COUNTIFS('HR Track 4 PMO'!$M$5:$M$800,$A$158,'HR Track 4 PMO'!$AW$5:$AW$800,$C163,'HR Track 4 PMO'!$AY$5:$AY$800,$D163)</f>
        <v>0</v>
      </c>
      <c r="K163" s="337">
        <f>COUNTIFS('HR Track 6 PMO'!$M$5:$M$800,$A$158,'HR Track 6 PMO'!$AW$5:$AW$800,$C163,'HR Track 6 PMO'!$AY$5:$AY$800,$D163)</f>
        <v>0</v>
      </c>
    </row>
    <row r="164" spans="1:11" ht="19.95" customHeight="1">
      <c r="A164" s="842" t="s">
        <v>1014</v>
      </c>
      <c r="B164" s="845" t="s">
        <v>190</v>
      </c>
      <c r="C164" s="329" t="s">
        <v>1089</v>
      </c>
      <c r="D164" s="338">
        <f>VLOOKUP(B164,Foundation_Calc!$K$41:$R$74,3,FALSE)</f>
        <v>5</v>
      </c>
      <c r="E164" s="331">
        <f t="shared" si="3"/>
        <v>0</v>
      </c>
      <c r="F164" s="331">
        <f>COUNTIFS('HR Track 1'!$M$5:$M$406,$A$164,'HR Track 1'!$AW$5:$AW$406,$C164,'HR Track 1'!$AY$5:$AY$406,$D164)</f>
        <v>0</v>
      </c>
      <c r="G164" s="331">
        <f>COUNTIFS('HR Track 2'!$M$5:$M$406,$A$164,'HR Track 2'!$AW$5:$AW$406,$C164,'HR Track 2'!$AY$5:$AY$406,$D164)</f>
        <v>0</v>
      </c>
      <c r="H164" s="331">
        <f>COUNTIFS('HR Track 1 MOM'!$M$5:$M$800,$A$164,'HR Track 1 MOM'!$AW$5:$AW$800,$C164,'HR Track 1 MOM'!$AY$5:$AY$800,$D164)</f>
        <v>0</v>
      </c>
      <c r="I164" s="331">
        <f>COUNTIFS('HR Track 4 MOM'!$M$5:$M$800,$A$164,'HR Track 4 MOM'!$AW$5:$AW$800,$C164,'HR Track 4 MOM'!$AY$5:$AY$800,$D164)</f>
        <v>0</v>
      </c>
      <c r="J164" s="331">
        <f>COUNTIFS('HR Track 4 PMO'!$M$5:$M$800,$A$164,'HR Track 4 PMO'!$AW$5:$AW$800,$C164,'HR Track 4 PMO'!$AY$5:$AY$800,$D164)</f>
        <v>0</v>
      </c>
      <c r="K164" s="332">
        <f>COUNTIFS('HR Track 6 PMO'!$M$5:$M$800,$A$164,'HR Track 6 PMO'!$AW$5:$AW$800,$C164,'HR Track 6 PMO'!$AY$5:$AY$800,$D164)</f>
        <v>0</v>
      </c>
    </row>
    <row r="165" spans="1:11" ht="19.95" customHeight="1">
      <c r="A165" s="843"/>
      <c r="B165" s="846"/>
      <c r="C165" s="163" t="s">
        <v>1090</v>
      </c>
      <c r="D165" s="307" t="str">
        <f>VLOOKUP(B164,Foundation_Calc!$K$41:$R$74,4,FALSE)</f>
        <v>N.D.</v>
      </c>
      <c r="E165" s="7">
        <f t="shared" si="3"/>
        <v>0</v>
      </c>
      <c r="F165" s="7">
        <f>COUNTIFS('HR Track 1'!$M$5:$M$406,$A$164,'HR Track 1'!$AW$5:$AW$406,$C165,'HR Track 1'!$AY$5:$AY$406,$D165)</f>
        <v>0</v>
      </c>
      <c r="G165" s="7">
        <f>COUNTIFS('HR Track 2'!$M$5:$M$406,$A$164,'HR Track 2'!$AW$5:$AW$406,$C165,'HR Track 2'!$AY$5:$AY$406,$D165)</f>
        <v>0</v>
      </c>
      <c r="H165" s="7">
        <f>COUNTIFS('HR Track 1 MOM'!$M$5:$M$800,$A$164,'HR Track 1 MOM'!$AW$5:$AW$800,$C165,'HR Track 1 MOM'!$AY$5:$AY$800,$D165)</f>
        <v>0</v>
      </c>
      <c r="I165" s="7">
        <f>COUNTIFS('HR Track 4 MOM'!$M$5:$M$800,$A$164,'HR Track 4 MOM'!$AW$5:$AW$800,$C165,'HR Track 4 MOM'!$AY$5:$AY$800,$D165)</f>
        <v>0</v>
      </c>
      <c r="J165" s="7">
        <f>COUNTIFS('HR Track 4 PMO'!$M$5:$M$800,$A$164,'HR Track 4 PMO'!$AW$5:$AW$800,$C165,'HR Track 4 PMO'!$AY$5:$AY$800,$D165)</f>
        <v>0</v>
      </c>
      <c r="K165" s="333">
        <f>COUNTIFS('HR Track 6 PMO'!$M$5:$M$800,$A$164,'HR Track 6 PMO'!$AW$5:$AW$800,$C165,'HR Track 6 PMO'!$AY$5:$AY$800,$D165)</f>
        <v>0</v>
      </c>
    </row>
    <row r="166" spans="1:11" ht="19.95" customHeight="1">
      <c r="A166" s="843"/>
      <c r="B166" s="846"/>
      <c r="C166" s="163" t="s">
        <v>1091</v>
      </c>
      <c r="D166" s="307" t="str">
        <f>VLOOKUP(B164,Foundation_Calc!$K$41:$R$74,5,FALSE)</f>
        <v>N.D.</v>
      </c>
      <c r="E166" s="7">
        <f t="shared" si="3"/>
        <v>0</v>
      </c>
      <c r="F166" s="7">
        <f>COUNTIFS('HR Track 1'!$M$5:$M$406,$A$164,'HR Track 1'!$AW$5:$AW$406,$C166,'HR Track 1'!$AY$5:$AY$406,$D166)</f>
        <v>0</v>
      </c>
      <c r="G166" s="7">
        <f>COUNTIFS('HR Track 2'!$M$5:$M$406,$A$164,'HR Track 2'!$AW$5:$AW$406,$C166,'HR Track 2'!$AY$5:$AY$406,$D166)</f>
        <v>0</v>
      </c>
      <c r="H166" s="7">
        <f>COUNTIFS('HR Track 1 MOM'!$M$5:$M$800,$A$164,'HR Track 1 MOM'!$AW$5:$AW$800,$C166,'HR Track 1 MOM'!$AY$5:$AY$800,$D166)</f>
        <v>0</v>
      </c>
      <c r="I166" s="7">
        <f>COUNTIFS('HR Track 4 MOM'!$M$5:$M$800,$A$164,'HR Track 4 MOM'!$AW$5:$AW$800,$C166,'HR Track 4 MOM'!$AY$5:$AY$800,$D166)</f>
        <v>0</v>
      </c>
      <c r="J166" s="7">
        <f>COUNTIFS('HR Track 4 PMO'!$M$5:$M$800,$A$164,'HR Track 4 PMO'!$AW$5:$AW$800,$C166,'HR Track 4 PMO'!$AY$5:$AY$800,$D166)</f>
        <v>0</v>
      </c>
      <c r="K166" s="333">
        <f>COUNTIFS('HR Track 6 PMO'!$M$5:$M$800,$A$164,'HR Track 6 PMO'!$AW$5:$AW$800,$C166,'HR Track 6 PMO'!$AY$5:$AY$800,$D166)</f>
        <v>0</v>
      </c>
    </row>
    <row r="167" spans="1:11" ht="19.95" customHeight="1">
      <c r="A167" s="843"/>
      <c r="B167" s="846"/>
      <c r="C167" s="163" t="s">
        <v>1092</v>
      </c>
      <c r="D167" s="307" t="str">
        <f>VLOOKUP(B164,Foundation_Calc!$K$41:$R$74,6,FALSE)</f>
        <v>N.D.</v>
      </c>
      <c r="E167" s="7">
        <f t="shared" si="3"/>
        <v>0</v>
      </c>
      <c r="F167" s="7">
        <f>COUNTIFS('HR Track 1'!$M$5:$M$406,$A$164,'HR Track 1'!$AW$5:$AW$406,$C167,'HR Track 1'!$AY$5:$AY$406,$D167)</f>
        <v>0</v>
      </c>
      <c r="G167" s="7">
        <f>COUNTIFS('HR Track 2'!$M$5:$M$406,$A$164,'HR Track 2'!$AW$5:$AW$406,$C167,'HR Track 2'!$AY$5:$AY$406,$D167)</f>
        <v>0</v>
      </c>
      <c r="H167" s="7">
        <f>COUNTIFS('HR Track 1 MOM'!$M$5:$M$800,$A$164,'HR Track 1 MOM'!$AW$5:$AW$800,$C167,'HR Track 1 MOM'!$AY$5:$AY$800,$D167)</f>
        <v>0</v>
      </c>
      <c r="I167" s="7">
        <f>COUNTIFS('HR Track 4 MOM'!$M$5:$M$800,$A$164,'HR Track 4 MOM'!$AW$5:$AW$800,$C167,'HR Track 4 MOM'!$AY$5:$AY$800,$D167)</f>
        <v>0</v>
      </c>
      <c r="J167" s="7">
        <f>COUNTIFS('HR Track 4 PMO'!$M$5:$M$800,$A$164,'HR Track 4 PMO'!$AW$5:$AW$800,$C167,'HR Track 4 PMO'!$AY$5:$AY$800,$D167)</f>
        <v>0</v>
      </c>
      <c r="K167" s="333">
        <f>COUNTIFS('HR Track 6 PMO'!$M$5:$M$800,$A$164,'HR Track 6 PMO'!$AW$5:$AW$800,$C167,'HR Track 6 PMO'!$AY$5:$AY$800,$D167)</f>
        <v>0</v>
      </c>
    </row>
    <row r="168" spans="1:11" ht="19.95" customHeight="1">
      <c r="A168" s="843"/>
      <c r="B168" s="846"/>
      <c r="C168" s="163" t="s">
        <v>1093</v>
      </c>
      <c r="D168" s="307" t="str">
        <f>VLOOKUP(B164,Foundation_Calc!$K$41:$R$74,7,FALSE)</f>
        <v>N.D.</v>
      </c>
      <c r="E168" s="7">
        <f t="shared" si="3"/>
        <v>0</v>
      </c>
      <c r="F168" s="7">
        <f>COUNTIFS('HR Track 1'!$M$5:$M$406,$A$164,'HR Track 1'!$AW$5:$AW$406,$C168,'HR Track 1'!$AY$5:$AY$406,$D168)</f>
        <v>0</v>
      </c>
      <c r="G168" s="7">
        <f>COUNTIFS('HR Track 2'!$M$5:$M$406,$A$164,'HR Track 2'!$AW$5:$AW$406,$C168,'HR Track 2'!$AY$5:$AY$406,$D168)</f>
        <v>0</v>
      </c>
      <c r="H168" s="7">
        <f>COUNTIFS('HR Track 1 MOM'!$M$5:$M$800,$A$164,'HR Track 1 MOM'!$AW$5:$AW$800,$C168,'HR Track 1 MOM'!$AY$5:$AY$800,$D168)</f>
        <v>0</v>
      </c>
      <c r="I168" s="7">
        <f>COUNTIFS('HR Track 4 MOM'!$M$5:$M$800,$A$164,'HR Track 4 MOM'!$AW$5:$AW$800,$C168,'HR Track 4 MOM'!$AY$5:$AY$800,$D168)</f>
        <v>0</v>
      </c>
      <c r="J168" s="7">
        <f>COUNTIFS('HR Track 4 PMO'!$M$5:$M$800,$A$164,'HR Track 4 PMO'!$AW$5:$AW$800,$C168,'HR Track 4 PMO'!$AY$5:$AY$800,$D168)</f>
        <v>0</v>
      </c>
      <c r="K168" s="333">
        <f>COUNTIFS('HR Track 6 PMO'!$M$5:$M$800,$A$164,'HR Track 6 PMO'!$AW$5:$AW$800,$C168,'HR Track 6 PMO'!$AY$5:$AY$800,$D168)</f>
        <v>0</v>
      </c>
    </row>
    <row r="169" spans="1:11" ht="19.95" customHeight="1" thickBot="1">
      <c r="A169" s="844"/>
      <c r="B169" s="847"/>
      <c r="C169" s="334" t="s">
        <v>1094</v>
      </c>
      <c r="D169" s="339" t="str">
        <f>VLOOKUP(B164,Foundation_Calc!$K$41:$R$74,8,FALSE)</f>
        <v>N.D.</v>
      </c>
      <c r="E169" s="336">
        <f t="shared" si="3"/>
        <v>0</v>
      </c>
      <c r="F169" s="336">
        <f>COUNTIFS('HR Track 1'!$M$5:$M$406,$A$164,'HR Track 1'!$AW$5:$AW$406,$C169,'HR Track 1'!$AY$5:$AY$406,$D169)</f>
        <v>0</v>
      </c>
      <c r="G169" s="336">
        <f>COUNTIFS('HR Track 2'!$M$5:$M$406,$A$164,'HR Track 2'!$AW$5:$AW$406,$C169,'HR Track 2'!$AY$5:$AY$406,$D169)</f>
        <v>0</v>
      </c>
      <c r="H169" s="336">
        <f>COUNTIFS('HR Track 1 MOM'!$M$5:$M$800,$A$164,'HR Track 1 MOM'!$AW$5:$AW$800,$C169,'HR Track 1 MOM'!$AY$5:$AY$800,$D169)</f>
        <v>0</v>
      </c>
      <c r="I169" s="336">
        <f>COUNTIFS('HR Track 4 MOM'!$M$5:$M$800,$A$164,'HR Track 4 MOM'!$AW$5:$AW$800,$C169,'HR Track 4 MOM'!$AY$5:$AY$800,$D169)</f>
        <v>0</v>
      </c>
      <c r="J169" s="336">
        <f>COUNTIFS('HR Track 4 PMO'!$M$5:$M$800,$A$164,'HR Track 4 PMO'!$AW$5:$AW$800,$C169,'HR Track 4 PMO'!$AY$5:$AY$800,$D169)</f>
        <v>0</v>
      </c>
      <c r="K169" s="337">
        <f>COUNTIFS('HR Track 6 PMO'!$M$5:$M$800,$A$164,'HR Track 6 PMO'!$AW$5:$AW$800,$C169,'HR Track 6 PMO'!$AY$5:$AY$800,$D169)</f>
        <v>0</v>
      </c>
    </row>
    <row r="170" spans="1:11" ht="19.95" customHeight="1">
      <c r="A170" s="848" t="s">
        <v>1015</v>
      </c>
      <c r="B170" s="849" t="s">
        <v>754</v>
      </c>
      <c r="C170" s="329" t="s">
        <v>1089</v>
      </c>
      <c r="D170" s="330">
        <f>VLOOKUP(B170,Foundation_Calc!$K$4:$R$37,3,FALSE)</f>
        <v>5.5</v>
      </c>
      <c r="E170" s="331">
        <f t="shared" si="3"/>
        <v>0</v>
      </c>
      <c r="F170" s="331">
        <f>COUNTIFS('HR Track 1'!$M$5:$M$406,$A$170,'HR Track 1'!$AW$5:$AW$406,$C170,'HR Track 1'!$AY$5:$AY$406,$D170)</f>
        <v>0</v>
      </c>
      <c r="G170" s="331">
        <f>COUNTIFS('HR Track 2'!$M$5:$M$406,$A$170,'HR Track 2'!$AW$5:$AW$406,$C170,'HR Track 2'!$AY$5:$AY$406,$D170)</f>
        <v>0</v>
      </c>
      <c r="H170" s="331">
        <f>COUNTIFS('HR Track 1 MOM'!$M$5:$M$800,$A$170,'HR Track 1 MOM'!$AW$5:$AW$800,$C170,'HR Track 1 MOM'!$AY$5:$AY$800,$D170)</f>
        <v>0</v>
      </c>
      <c r="I170" s="331">
        <f>COUNTIFS('HR Track 4 MOM'!$M$5:$M$800,$A$170,'HR Track 4 MOM'!$AW$5:$AW$800,$C170,'HR Track 4 MOM'!$AY$5:$AY$800,$D170)</f>
        <v>0</v>
      </c>
      <c r="J170" s="331">
        <f>COUNTIFS('HR Track 4 PMO'!$M$5:$M$800,$A$170,'HR Track 4 PMO'!$AW$5:$AW$800,$C170,'HR Track 4 PMO'!$AY$5:$AY$800,$D170)</f>
        <v>0</v>
      </c>
      <c r="K170" s="332">
        <f>COUNTIFS('HR Track 6 PMO'!$M$5:$M$800,$A$170,'HR Track 6 PMO'!$AW$5:$AW$800,$C170,'HR Track 6 PMO'!$AY$5:$AY$800,$D170)</f>
        <v>0</v>
      </c>
    </row>
    <row r="171" spans="1:11" ht="19.95" customHeight="1">
      <c r="A171" s="764"/>
      <c r="B171" s="753"/>
      <c r="C171" s="163" t="s">
        <v>1090</v>
      </c>
      <c r="D171" s="11" t="str">
        <f>VLOOKUP(B170,Foundation_Calc!$K$4:$R$37,4,FALSE)</f>
        <v>N.D.</v>
      </c>
      <c r="E171" s="7">
        <f t="shared" si="3"/>
        <v>0</v>
      </c>
      <c r="F171" s="7">
        <f>COUNTIFS('HR Track 1'!$M$5:$M$406,$A$170,'HR Track 1'!$AW$5:$AW$406,$C171,'HR Track 1'!$AY$5:$AY$406,$D171)</f>
        <v>0</v>
      </c>
      <c r="G171" s="7">
        <f>COUNTIFS('HR Track 2'!$M$5:$M$406,$A$170,'HR Track 2'!$AW$5:$AW$406,$C171,'HR Track 2'!$AY$5:$AY$406,$D171)</f>
        <v>0</v>
      </c>
      <c r="H171" s="7">
        <f>COUNTIFS('HR Track 1 MOM'!$M$5:$M$800,$A$170,'HR Track 1 MOM'!$AW$5:$AW$800,$C171,'HR Track 1 MOM'!$AY$5:$AY$800,$D171)</f>
        <v>0</v>
      </c>
      <c r="I171" s="7">
        <f>COUNTIFS('HR Track 4 MOM'!$M$5:$M$800,$A$170,'HR Track 4 MOM'!$AW$5:$AW$800,$C171,'HR Track 4 MOM'!$AY$5:$AY$800,$D171)</f>
        <v>0</v>
      </c>
      <c r="J171" s="7">
        <f>COUNTIFS('HR Track 4 PMO'!$M$5:$M$800,$A$170,'HR Track 4 PMO'!$AW$5:$AW$800,$C171,'HR Track 4 PMO'!$AY$5:$AY$800,$D171)</f>
        <v>0</v>
      </c>
      <c r="K171" s="333">
        <f>COUNTIFS('HR Track 6 PMO'!$M$5:$M$800,$A$170,'HR Track 6 PMO'!$AW$5:$AW$800,$C171,'HR Track 6 PMO'!$AY$5:$AY$800,$D171)</f>
        <v>0</v>
      </c>
    </row>
    <row r="172" spans="1:11" ht="19.95" customHeight="1">
      <c r="A172" s="764"/>
      <c r="B172" s="753"/>
      <c r="C172" s="163" t="s">
        <v>1091</v>
      </c>
      <c r="D172" s="11" t="str">
        <f>VLOOKUP(B170,Foundation_Calc!$K$4:$R$37,5,FALSE)</f>
        <v>N.D.</v>
      </c>
      <c r="E172" s="7">
        <f t="shared" si="3"/>
        <v>0</v>
      </c>
      <c r="F172" s="7">
        <f>COUNTIFS('HR Track 1'!$M$5:$M$406,$A$170,'HR Track 1'!$AW$5:$AW$406,$C172,'HR Track 1'!$AY$5:$AY$406,$D172)</f>
        <v>0</v>
      </c>
      <c r="G172" s="7">
        <f>COUNTIFS('HR Track 2'!$M$5:$M$406,$A$170,'HR Track 2'!$AW$5:$AW$406,$C172,'HR Track 2'!$AY$5:$AY$406,$D172)</f>
        <v>0</v>
      </c>
      <c r="H172" s="7">
        <f>COUNTIFS('HR Track 1 MOM'!$M$5:$M$800,$A$170,'HR Track 1 MOM'!$AW$5:$AW$800,$C172,'HR Track 1 MOM'!$AY$5:$AY$800,$D172)</f>
        <v>0</v>
      </c>
      <c r="I172" s="7">
        <f>COUNTIFS('HR Track 4 MOM'!$M$5:$M$800,$A$170,'HR Track 4 MOM'!$AW$5:$AW$800,$C172,'HR Track 4 MOM'!$AY$5:$AY$800,$D172)</f>
        <v>0</v>
      </c>
      <c r="J172" s="7">
        <f>COUNTIFS('HR Track 4 PMO'!$M$5:$M$800,$A$170,'HR Track 4 PMO'!$AW$5:$AW$800,$C172,'HR Track 4 PMO'!$AY$5:$AY$800,$D172)</f>
        <v>0</v>
      </c>
      <c r="K172" s="333">
        <f>COUNTIFS('HR Track 6 PMO'!$M$5:$M$800,$A$170,'HR Track 6 PMO'!$AW$5:$AW$800,$C172,'HR Track 6 PMO'!$AY$5:$AY$800,$D172)</f>
        <v>0</v>
      </c>
    </row>
    <row r="173" spans="1:11" ht="19.95" customHeight="1">
      <c r="A173" s="764"/>
      <c r="B173" s="753"/>
      <c r="C173" s="163" t="s">
        <v>1092</v>
      </c>
      <c r="D173" s="11" t="str">
        <f>VLOOKUP(B170,Foundation_Calc!$K$4:$R$37,6,FALSE)</f>
        <v>N.D.</v>
      </c>
      <c r="E173" s="7">
        <f t="shared" si="3"/>
        <v>0</v>
      </c>
      <c r="F173" s="7">
        <f>COUNTIFS('HR Track 1'!$M$5:$M$406,$A$170,'HR Track 1'!$AW$5:$AW$406,$C173,'HR Track 1'!$AY$5:$AY$406,$D173)</f>
        <v>0</v>
      </c>
      <c r="G173" s="7">
        <f>COUNTIFS('HR Track 2'!$M$5:$M$406,$A$170,'HR Track 2'!$AW$5:$AW$406,$C173,'HR Track 2'!$AY$5:$AY$406,$D173)</f>
        <v>0</v>
      </c>
      <c r="H173" s="7">
        <f>COUNTIFS('HR Track 1 MOM'!$M$5:$M$800,$A$170,'HR Track 1 MOM'!$AW$5:$AW$800,$C173,'HR Track 1 MOM'!$AY$5:$AY$800,$D173)</f>
        <v>0</v>
      </c>
      <c r="I173" s="7">
        <f>COUNTIFS('HR Track 4 MOM'!$M$5:$M$800,$A$170,'HR Track 4 MOM'!$AW$5:$AW$800,$C173,'HR Track 4 MOM'!$AY$5:$AY$800,$D173)</f>
        <v>0</v>
      </c>
      <c r="J173" s="7">
        <f>COUNTIFS('HR Track 4 PMO'!$M$5:$M$800,$A$170,'HR Track 4 PMO'!$AW$5:$AW$800,$C173,'HR Track 4 PMO'!$AY$5:$AY$800,$D173)</f>
        <v>0</v>
      </c>
      <c r="K173" s="333">
        <f>COUNTIFS('HR Track 6 PMO'!$M$5:$M$800,$A$170,'HR Track 6 PMO'!$AW$5:$AW$800,$C173,'HR Track 6 PMO'!$AY$5:$AY$800,$D173)</f>
        <v>0</v>
      </c>
    </row>
    <row r="174" spans="1:11" ht="19.95" customHeight="1">
      <c r="A174" s="764"/>
      <c r="B174" s="753"/>
      <c r="C174" s="163" t="s">
        <v>1093</v>
      </c>
      <c r="D174" s="11" t="str">
        <f>VLOOKUP(B170,Foundation_Calc!$K$4:$R$37,7,FALSE)</f>
        <v>N.D.</v>
      </c>
      <c r="E174" s="7">
        <f t="shared" si="3"/>
        <v>0</v>
      </c>
      <c r="F174" s="7">
        <f>COUNTIFS('HR Track 1'!$M$5:$M$406,$A$170,'HR Track 1'!$AW$5:$AW$406,$C174,'HR Track 1'!$AY$5:$AY$406,$D174)</f>
        <v>0</v>
      </c>
      <c r="G174" s="7">
        <f>COUNTIFS('HR Track 2'!$M$5:$M$406,$A$170,'HR Track 2'!$AW$5:$AW$406,$C174,'HR Track 2'!$AY$5:$AY$406,$D174)</f>
        <v>0</v>
      </c>
      <c r="H174" s="7">
        <f>COUNTIFS('HR Track 1 MOM'!$M$5:$M$800,$A$170,'HR Track 1 MOM'!$AW$5:$AW$800,$C174,'HR Track 1 MOM'!$AY$5:$AY$800,$D174)</f>
        <v>0</v>
      </c>
      <c r="I174" s="7">
        <f>COUNTIFS('HR Track 4 MOM'!$M$5:$M$800,$A$170,'HR Track 4 MOM'!$AW$5:$AW$800,$C174,'HR Track 4 MOM'!$AY$5:$AY$800,$D174)</f>
        <v>0</v>
      </c>
      <c r="J174" s="7">
        <f>COUNTIFS('HR Track 4 PMO'!$M$5:$M$800,$A$170,'HR Track 4 PMO'!$AW$5:$AW$800,$C174,'HR Track 4 PMO'!$AY$5:$AY$800,$D174)</f>
        <v>0</v>
      </c>
      <c r="K174" s="333">
        <f>COUNTIFS('HR Track 6 PMO'!$M$5:$M$800,$A$170,'HR Track 6 PMO'!$AW$5:$AW$800,$C174,'HR Track 6 PMO'!$AY$5:$AY$800,$D174)</f>
        <v>0</v>
      </c>
    </row>
    <row r="175" spans="1:11" ht="19.95" customHeight="1" thickBot="1">
      <c r="A175" s="765"/>
      <c r="B175" s="754"/>
      <c r="C175" s="334" t="s">
        <v>1094</v>
      </c>
      <c r="D175" s="335" t="str">
        <f>VLOOKUP(B170,Foundation_Calc!$K$4:$R$37,8,FALSE)</f>
        <v>N.D.</v>
      </c>
      <c r="E175" s="336">
        <f t="shared" si="3"/>
        <v>0</v>
      </c>
      <c r="F175" s="336">
        <f>COUNTIFS('HR Track 1'!$M$5:$M$406,$A$170,'HR Track 1'!$AW$5:$AW$406,$C175,'HR Track 1'!$AY$5:$AY$406,$D175)</f>
        <v>0</v>
      </c>
      <c r="G175" s="336">
        <f>COUNTIFS('HR Track 2'!$M$5:$M$406,$A$170,'HR Track 2'!$AW$5:$AW$406,$C175,'HR Track 2'!$AY$5:$AY$406,$D175)</f>
        <v>0</v>
      </c>
      <c r="H175" s="336">
        <f>COUNTIFS('HR Track 1 MOM'!$M$5:$M$800,$A$170,'HR Track 1 MOM'!$AW$5:$AW$800,$C175,'HR Track 1 MOM'!$AY$5:$AY$800,$D175)</f>
        <v>0</v>
      </c>
      <c r="I175" s="336">
        <f>COUNTIFS('HR Track 4 MOM'!$M$5:$M$800,$A$170,'HR Track 4 MOM'!$AW$5:$AW$800,$C175,'HR Track 4 MOM'!$AY$5:$AY$800,$D175)</f>
        <v>0</v>
      </c>
      <c r="J175" s="336">
        <f>COUNTIFS('HR Track 4 PMO'!$M$5:$M$800,$A$170,'HR Track 4 PMO'!$AW$5:$AW$800,$C175,'HR Track 4 PMO'!$AY$5:$AY$800,$D175)</f>
        <v>0</v>
      </c>
      <c r="K175" s="337">
        <f>COUNTIFS('HR Track 6 PMO'!$M$5:$M$800,$A$170,'HR Track 6 PMO'!$AW$5:$AW$800,$C175,'HR Track 6 PMO'!$AY$5:$AY$800,$D175)</f>
        <v>0</v>
      </c>
    </row>
    <row r="176" spans="1:11" ht="19.95" customHeight="1">
      <c r="A176" s="842" t="s">
        <v>1016</v>
      </c>
      <c r="B176" s="845" t="s">
        <v>754</v>
      </c>
      <c r="C176" s="329" t="s">
        <v>1089</v>
      </c>
      <c r="D176" s="338">
        <f>VLOOKUP(B176,Foundation_Calc!$K$41:$R$74,3,FALSE)</f>
        <v>6.8</v>
      </c>
      <c r="E176" s="331">
        <f t="shared" si="3"/>
        <v>0</v>
      </c>
      <c r="F176" s="331">
        <f>COUNTIFS('HR Track 1'!$M$5:$M$406,$A$176,'HR Track 1'!$AW$5:$AW$406,$C176,'HR Track 1'!$AY$5:$AY$406,$D176)</f>
        <v>0</v>
      </c>
      <c r="G176" s="331">
        <f>COUNTIFS('HR Track 2'!$M$5:$M$406,$A$176,'HR Track 2'!$AW$5:$AW$406,$C176,'HR Track 2'!$AY$5:$AY$406,$D176)</f>
        <v>0</v>
      </c>
      <c r="H176" s="331">
        <f>COUNTIFS('HR Track 1 MOM'!$M$5:$M$800,$A$176,'HR Track 1 MOM'!$AW$5:$AW$800,$C176,'HR Track 1 MOM'!$AY$5:$AY$800,$D176)</f>
        <v>0</v>
      </c>
      <c r="I176" s="331">
        <f>COUNTIFS('HR Track 4 MOM'!$M$5:$M$800,$A$176,'HR Track 4 MOM'!$AW$5:$AW$800,$C176,'HR Track 4 MOM'!$AY$5:$AY$800,$D176)</f>
        <v>0</v>
      </c>
      <c r="J176" s="331">
        <f>COUNTIFS('HR Track 4 PMO'!$M$5:$M$800,$A$176,'HR Track 4 PMO'!$AW$5:$AW$800,$C176,'HR Track 4 PMO'!$AY$5:$AY$800,$D176)</f>
        <v>0</v>
      </c>
      <c r="K176" s="332">
        <f>COUNTIFS('HR Track 6 PMO'!$M$5:$M$800,$A$176,'HR Track 6 PMO'!$AW$5:$AW$800,$C176,'HR Track 6 PMO'!$AY$5:$AY$800,$D176)</f>
        <v>0</v>
      </c>
    </row>
    <row r="177" spans="1:11" ht="19.95" customHeight="1">
      <c r="A177" s="843"/>
      <c r="B177" s="846"/>
      <c r="C177" s="163" t="s">
        <v>1090</v>
      </c>
      <c r="D177" s="307" t="str">
        <f>VLOOKUP(B176,Foundation_Calc!$K$41:$R$74,4,FALSE)</f>
        <v>N.D.</v>
      </c>
      <c r="E177" s="7">
        <f t="shared" si="3"/>
        <v>0</v>
      </c>
      <c r="F177" s="7">
        <f>COUNTIFS('HR Track 1'!$M$5:$M$406,$A$176,'HR Track 1'!$AW$5:$AW$406,$C177,'HR Track 1'!$AY$5:$AY$406,$D177)</f>
        <v>0</v>
      </c>
      <c r="G177" s="7">
        <f>COUNTIFS('HR Track 2'!$M$5:$M$406,$A$176,'HR Track 2'!$AW$5:$AW$406,$C177,'HR Track 2'!$AY$5:$AY$406,$D177)</f>
        <v>0</v>
      </c>
      <c r="H177" s="7">
        <f>COUNTIFS('HR Track 1 MOM'!$M$5:$M$800,$A$176,'HR Track 1 MOM'!$AW$5:$AW$800,$C177,'HR Track 1 MOM'!$AY$5:$AY$800,$D177)</f>
        <v>0</v>
      </c>
      <c r="I177" s="7">
        <f>COUNTIFS('HR Track 4 MOM'!$M$5:$M$800,$A$176,'HR Track 4 MOM'!$AW$5:$AW$800,$C177,'HR Track 4 MOM'!$AY$5:$AY$800,$D177)</f>
        <v>0</v>
      </c>
      <c r="J177" s="7">
        <f>COUNTIFS('HR Track 4 PMO'!$M$5:$M$800,$A$176,'HR Track 4 PMO'!$AW$5:$AW$800,$C177,'HR Track 4 PMO'!$AY$5:$AY$800,$D177)</f>
        <v>0</v>
      </c>
      <c r="K177" s="333">
        <f>COUNTIFS('HR Track 6 PMO'!$M$5:$M$800,$A$176,'HR Track 6 PMO'!$AW$5:$AW$800,$C177,'HR Track 6 PMO'!$AY$5:$AY$800,$D177)</f>
        <v>0</v>
      </c>
    </row>
    <row r="178" spans="1:11" ht="19.95" customHeight="1">
      <c r="A178" s="843"/>
      <c r="B178" s="846"/>
      <c r="C178" s="163" t="s">
        <v>1091</v>
      </c>
      <c r="D178" s="307" t="str">
        <f>VLOOKUP(B176,Foundation_Calc!$K$41:$R$74,5,FALSE)</f>
        <v>N.D.</v>
      </c>
      <c r="E178" s="7">
        <f t="shared" si="3"/>
        <v>0</v>
      </c>
      <c r="F178" s="7">
        <f>COUNTIFS('HR Track 1'!$M$5:$M$406,$A$176,'HR Track 1'!$AW$5:$AW$406,$C178,'HR Track 1'!$AY$5:$AY$406,$D178)</f>
        <v>0</v>
      </c>
      <c r="G178" s="7">
        <f>COUNTIFS('HR Track 2'!$M$5:$M$406,$A$176,'HR Track 2'!$AW$5:$AW$406,$C178,'HR Track 2'!$AY$5:$AY$406,$D178)</f>
        <v>0</v>
      </c>
      <c r="H178" s="7">
        <f>COUNTIFS('HR Track 1 MOM'!$M$5:$M$800,$A$176,'HR Track 1 MOM'!$AW$5:$AW$800,$C178,'HR Track 1 MOM'!$AY$5:$AY$800,$D178)</f>
        <v>0</v>
      </c>
      <c r="I178" s="7">
        <f>COUNTIFS('HR Track 4 MOM'!$M$5:$M$800,$A$176,'HR Track 4 MOM'!$AW$5:$AW$800,$C178,'HR Track 4 MOM'!$AY$5:$AY$800,$D178)</f>
        <v>0</v>
      </c>
      <c r="J178" s="7">
        <f>COUNTIFS('HR Track 4 PMO'!$M$5:$M$800,$A$176,'HR Track 4 PMO'!$AW$5:$AW$800,$C178,'HR Track 4 PMO'!$AY$5:$AY$800,$D178)</f>
        <v>0</v>
      </c>
      <c r="K178" s="333">
        <f>COUNTIFS('HR Track 6 PMO'!$M$5:$M$800,$A$176,'HR Track 6 PMO'!$AW$5:$AW$800,$C178,'HR Track 6 PMO'!$AY$5:$AY$800,$D178)</f>
        <v>0</v>
      </c>
    </row>
    <row r="179" spans="1:11" ht="19.95" customHeight="1">
      <c r="A179" s="843"/>
      <c r="B179" s="846"/>
      <c r="C179" s="163" t="s">
        <v>1092</v>
      </c>
      <c r="D179" s="307" t="str">
        <f>VLOOKUP(B176,Foundation_Calc!$K$41:$R$74,6,FALSE)</f>
        <v>N.D.</v>
      </c>
      <c r="E179" s="7">
        <f t="shared" si="3"/>
        <v>0</v>
      </c>
      <c r="F179" s="7">
        <f>COUNTIFS('HR Track 1'!$M$5:$M$406,$A$176,'HR Track 1'!$AW$5:$AW$406,$C179,'HR Track 1'!$AY$5:$AY$406,$D179)</f>
        <v>0</v>
      </c>
      <c r="G179" s="7">
        <f>COUNTIFS('HR Track 2'!$M$5:$M$406,$A$176,'HR Track 2'!$AW$5:$AW$406,$C179,'HR Track 2'!$AY$5:$AY$406,$D179)</f>
        <v>0</v>
      </c>
      <c r="H179" s="7">
        <f>COUNTIFS('HR Track 1 MOM'!$M$5:$M$800,$A$176,'HR Track 1 MOM'!$AW$5:$AW$800,$C179,'HR Track 1 MOM'!$AY$5:$AY$800,$D179)</f>
        <v>0</v>
      </c>
      <c r="I179" s="7">
        <f>COUNTIFS('HR Track 4 MOM'!$M$5:$M$800,$A$176,'HR Track 4 MOM'!$AW$5:$AW$800,$C179,'HR Track 4 MOM'!$AY$5:$AY$800,$D179)</f>
        <v>0</v>
      </c>
      <c r="J179" s="7">
        <f>COUNTIFS('HR Track 4 PMO'!$M$5:$M$800,$A$176,'HR Track 4 PMO'!$AW$5:$AW$800,$C179,'HR Track 4 PMO'!$AY$5:$AY$800,$D179)</f>
        <v>0</v>
      </c>
      <c r="K179" s="333">
        <f>COUNTIFS('HR Track 6 PMO'!$M$5:$M$800,$A$176,'HR Track 6 PMO'!$AW$5:$AW$800,$C179,'HR Track 6 PMO'!$AY$5:$AY$800,$D179)</f>
        <v>0</v>
      </c>
    </row>
    <row r="180" spans="1:11" ht="19.95" customHeight="1">
      <c r="A180" s="843"/>
      <c r="B180" s="846"/>
      <c r="C180" s="163" t="s">
        <v>1093</v>
      </c>
      <c r="D180" s="307" t="str">
        <f>VLOOKUP(B176,Foundation_Calc!$K$41:$R$74,7,FALSE)</f>
        <v>N.D.</v>
      </c>
      <c r="E180" s="7">
        <f t="shared" si="3"/>
        <v>0</v>
      </c>
      <c r="F180" s="7">
        <f>COUNTIFS('HR Track 1'!$M$5:$M$406,$A$176,'HR Track 1'!$AW$5:$AW$406,$C180,'HR Track 1'!$AY$5:$AY$406,$D180)</f>
        <v>0</v>
      </c>
      <c r="G180" s="7">
        <f>COUNTIFS('HR Track 2'!$M$5:$M$406,$A$176,'HR Track 2'!$AW$5:$AW$406,$C180,'HR Track 2'!$AY$5:$AY$406,$D180)</f>
        <v>0</v>
      </c>
      <c r="H180" s="7">
        <f>COUNTIFS('HR Track 1 MOM'!$M$5:$M$800,$A$176,'HR Track 1 MOM'!$AW$5:$AW$800,$C180,'HR Track 1 MOM'!$AY$5:$AY$800,$D180)</f>
        <v>0</v>
      </c>
      <c r="I180" s="7">
        <f>COUNTIFS('HR Track 4 MOM'!$M$5:$M$800,$A$176,'HR Track 4 MOM'!$AW$5:$AW$800,$C180,'HR Track 4 MOM'!$AY$5:$AY$800,$D180)</f>
        <v>0</v>
      </c>
      <c r="J180" s="7">
        <f>COUNTIFS('HR Track 4 PMO'!$M$5:$M$800,$A$176,'HR Track 4 PMO'!$AW$5:$AW$800,$C180,'HR Track 4 PMO'!$AY$5:$AY$800,$D180)</f>
        <v>0</v>
      </c>
      <c r="K180" s="333">
        <f>COUNTIFS('HR Track 6 PMO'!$M$5:$M$800,$A$176,'HR Track 6 PMO'!$AW$5:$AW$800,$C180,'HR Track 6 PMO'!$AY$5:$AY$800,$D180)</f>
        <v>0</v>
      </c>
    </row>
    <row r="181" spans="1:11" ht="19.95" customHeight="1" thickBot="1">
      <c r="A181" s="844"/>
      <c r="B181" s="847"/>
      <c r="C181" s="334" t="s">
        <v>1094</v>
      </c>
      <c r="D181" s="339" t="str">
        <f>VLOOKUP(B176,Foundation_Calc!$K$41:$R$74,8,FALSE)</f>
        <v>N.D.</v>
      </c>
      <c r="E181" s="336">
        <f t="shared" si="3"/>
        <v>0</v>
      </c>
      <c r="F181" s="336">
        <f>COUNTIFS('HR Track 1'!$M$5:$M$406,$A$176,'HR Track 1'!$AW$5:$AW$406,$C181,'HR Track 1'!$AY$5:$AY$406,$D181)</f>
        <v>0</v>
      </c>
      <c r="G181" s="336">
        <f>COUNTIFS('HR Track 2'!$M$5:$M$406,$A$176,'HR Track 2'!$AW$5:$AW$406,$C181,'HR Track 2'!$AY$5:$AY$406,$D181)</f>
        <v>0</v>
      </c>
      <c r="H181" s="336">
        <f>COUNTIFS('HR Track 1 MOM'!$M$5:$M$800,$A$176,'HR Track 1 MOM'!$AW$5:$AW$800,$C181,'HR Track 1 MOM'!$AY$5:$AY$800,$D181)</f>
        <v>0</v>
      </c>
      <c r="I181" s="336">
        <f>COUNTIFS('HR Track 4 MOM'!$M$5:$M$800,$A$176,'HR Track 4 MOM'!$AW$5:$AW$800,$C181,'HR Track 4 MOM'!$AY$5:$AY$800,$D181)</f>
        <v>0</v>
      </c>
      <c r="J181" s="336">
        <f>COUNTIFS('HR Track 4 PMO'!$M$5:$M$800,$A$176,'HR Track 4 PMO'!$AW$5:$AW$800,$C181,'HR Track 4 PMO'!$AY$5:$AY$800,$D181)</f>
        <v>0</v>
      </c>
      <c r="K181" s="337">
        <f>COUNTIFS('HR Track 6 PMO'!$M$5:$M$800,$A$176,'HR Track 6 PMO'!$AW$5:$AW$800,$C181,'HR Track 6 PMO'!$AY$5:$AY$800,$D181)</f>
        <v>0</v>
      </c>
    </row>
    <row r="182" spans="1:11" ht="19.95" customHeight="1">
      <c r="A182" s="848" t="s">
        <v>1017</v>
      </c>
      <c r="B182" s="849" t="s">
        <v>1192</v>
      </c>
      <c r="C182" s="329" t="s">
        <v>1089</v>
      </c>
      <c r="D182" s="330">
        <f>VLOOKUP(B182,Foundation_Calc!$K$4:$R$37,3,FALSE)</f>
        <v>4.7</v>
      </c>
      <c r="E182" s="331">
        <f t="shared" si="3"/>
        <v>0</v>
      </c>
      <c r="F182" s="331">
        <f>COUNTIFS('HR Track 1'!$M$5:$M$406,$A$182,'HR Track 1'!$AW$5:$AW$406,$C182,'HR Track 1'!$AY$5:$AY$406,$D182)</f>
        <v>0</v>
      </c>
      <c r="G182" s="331">
        <f>COUNTIFS('HR Track 2'!$M$5:$M$406,$A$182,'HR Track 2'!$AW$5:$AW$406,$C182,'HR Track 2'!$AY$5:$AY$406,$D182)</f>
        <v>0</v>
      </c>
      <c r="H182" s="331">
        <f>COUNTIFS('HR Track 1 MOM'!$M$5:$M$800,$A$182,'HR Track 1 MOM'!$AW$5:$AW$800,$C182,'HR Track 1 MOM'!$AY$5:$AY$800,$D182)</f>
        <v>0</v>
      </c>
      <c r="I182" s="331">
        <f>COUNTIFS('HR Track 4 MOM'!$M$5:$M$800,$A$182,'HR Track 4 MOM'!$AW$5:$AW$800,$C182,'HR Track 4 MOM'!$AY$5:$AY$800,$D182)</f>
        <v>0</v>
      </c>
      <c r="J182" s="331">
        <f>COUNTIFS('HR Track 4 PMO'!$M$5:$M$800,$A$182,'HR Track 4 PMO'!$AW$5:$AW$800,$C182,'HR Track 4 PMO'!$AY$5:$AY$800,$D182)</f>
        <v>0</v>
      </c>
      <c r="K182" s="332">
        <f>COUNTIFS('HR Track 6 PMO'!$M$5:$M$800,$A$182,'HR Track 6 PMO'!$AW$5:$AW$800,$C182,'HR Track 6 PMO'!$AY$5:$AY$800,$D182)</f>
        <v>0</v>
      </c>
    </row>
    <row r="183" spans="1:11" ht="19.95" customHeight="1">
      <c r="A183" s="764"/>
      <c r="B183" s="753"/>
      <c r="C183" s="163" t="s">
        <v>1090</v>
      </c>
      <c r="D183" s="11" t="str">
        <f>VLOOKUP(B182,Foundation_Calc!$K$4:$R$37,4,FALSE)</f>
        <v>N.D.</v>
      </c>
      <c r="E183" s="7">
        <f t="shared" si="3"/>
        <v>0</v>
      </c>
      <c r="F183" s="7">
        <f>COUNTIFS('HR Track 1'!$M$5:$M$406,$A$182,'HR Track 1'!$AW$5:$AW$406,$C183,'HR Track 1'!$AY$5:$AY$406,$D183)</f>
        <v>0</v>
      </c>
      <c r="G183" s="7">
        <f>COUNTIFS('HR Track 2'!$M$5:$M$406,$A$182,'HR Track 2'!$AW$5:$AW$406,$C183,'HR Track 2'!$AY$5:$AY$406,$D183)</f>
        <v>0</v>
      </c>
      <c r="H183" s="7">
        <f>COUNTIFS('HR Track 1 MOM'!$M$5:$M$800,$A$182,'HR Track 1 MOM'!$AW$5:$AW$800,$C183,'HR Track 1 MOM'!$AY$5:$AY$800,$D183)</f>
        <v>0</v>
      </c>
      <c r="I183" s="7">
        <f>COUNTIFS('HR Track 4 MOM'!$M$5:$M$800,$A$182,'HR Track 4 MOM'!$AW$5:$AW$800,$C183,'HR Track 4 MOM'!$AY$5:$AY$800,$D183)</f>
        <v>0</v>
      </c>
      <c r="J183" s="7">
        <f>COUNTIFS('HR Track 4 PMO'!$M$5:$M$800,$A$182,'HR Track 4 PMO'!$AW$5:$AW$800,$C183,'HR Track 4 PMO'!$AY$5:$AY$800,$D183)</f>
        <v>0</v>
      </c>
      <c r="K183" s="333">
        <f>COUNTIFS('HR Track 6 PMO'!$M$5:$M$800,$A$182,'HR Track 6 PMO'!$AW$5:$AW$800,$C183,'HR Track 6 PMO'!$AY$5:$AY$800,$D183)</f>
        <v>0</v>
      </c>
    </row>
    <row r="184" spans="1:11" ht="19.95" customHeight="1">
      <c r="A184" s="764"/>
      <c r="B184" s="753"/>
      <c r="C184" s="163" t="s">
        <v>1091</v>
      </c>
      <c r="D184" s="11" t="str">
        <f>VLOOKUP(B182,Foundation_Calc!$K$4:$R$37,5,FALSE)</f>
        <v>N.D.</v>
      </c>
      <c r="E184" s="7">
        <f t="shared" si="3"/>
        <v>0</v>
      </c>
      <c r="F184" s="7">
        <f>COUNTIFS('HR Track 1'!$M$5:$M$406,$A$182,'HR Track 1'!$AW$5:$AW$406,$C184,'HR Track 1'!$AY$5:$AY$406,$D184)</f>
        <v>0</v>
      </c>
      <c r="G184" s="7">
        <f>COUNTIFS('HR Track 2'!$M$5:$M$406,$A$182,'HR Track 2'!$AW$5:$AW$406,$C184,'HR Track 2'!$AY$5:$AY$406,$D184)</f>
        <v>0</v>
      </c>
      <c r="H184" s="7">
        <f>COUNTIFS('HR Track 1 MOM'!$M$5:$M$800,$A$182,'HR Track 1 MOM'!$AW$5:$AW$800,$C184,'HR Track 1 MOM'!$AY$5:$AY$800,$D184)</f>
        <v>0</v>
      </c>
      <c r="I184" s="7">
        <f>COUNTIFS('HR Track 4 MOM'!$M$5:$M$800,$A$182,'HR Track 4 MOM'!$AW$5:$AW$800,$C184,'HR Track 4 MOM'!$AY$5:$AY$800,$D184)</f>
        <v>0</v>
      </c>
      <c r="J184" s="7">
        <f>COUNTIFS('HR Track 4 PMO'!$M$5:$M$800,$A$182,'HR Track 4 PMO'!$AW$5:$AW$800,$C184,'HR Track 4 PMO'!$AY$5:$AY$800,$D184)</f>
        <v>0</v>
      </c>
      <c r="K184" s="333">
        <f>COUNTIFS('HR Track 6 PMO'!$M$5:$M$800,$A$182,'HR Track 6 PMO'!$AW$5:$AW$800,$C184,'HR Track 6 PMO'!$AY$5:$AY$800,$D184)</f>
        <v>0</v>
      </c>
    </row>
    <row r="185" spans="1:11" ht="19.95" customHeight="1">
      <c r="A185" s="764"/>
      <c r="B185" s="753"/>
      <c r="C185" s="163" t="s">
        <v>1092</v>
      </c>
      <c r="D185" s="11" t="str">
        <f>VLOOKUP(B182,Foundation_Calc!$K$4:$R$37,6,FALSE)</f>
        <v>N.D.</v>
      </c>
      <c r="E185" s="7">
        <f t="shared" si="3"/>
        <v>0</v>
      </c>
      <c r="F185" s="7">
        <f>COUNTIFS('HR Track 1'!$M$5:$M$406,$A$182,'HR Track 1'!$AW$5:$AW$406,$C185,'HR Track 1'!$AY$5:$AY$406,$D185)</f>
        <v>0</v>
      </c>
      <c r="G185" s="7">
        <f>COUNTIFS('HR Track 2'!$M$5:$M$406,$A$182,'HR Track 2'!$AW$5:$AW$406,$C185,'HR Track 2'!$AY$5:$AY$406,$D185)</f>
        <v>0</v>
      </c>
      <c r="H185" s="7">
        <f>COUNTIFS('HR Track 1 MOM'!$M$5:$M$800,$A$182,'HR Track 1 MOM'!$AW$5:$AW$800,$C185,'HR Track 1 MOM'!$AY$5:$AY$800,$D185)</f>
        <v>0</v>
      </c>
      <c r="I185" s="7">
        <f>COUNTIFS('HR Track 4 MOM'!$M$5:$M$800,$A$182,'HR Track 4 MOM'!$AW$5:$AW$800,$C185,'HR Track 4 MOM'!$AY$5:$AY$800,$D185)</f>
        <v>0</v>
      </c>
      <c r="J185" s="7">
        <f>COUNTIFS('HR Track 4 PMO'!$M$5:$M$800,$A$182,'HR Track 4 PMO'!$AW$5:$AW$800,$C185,'HR Track 4 PMO'!$AY$5:$AY$800,$D185)</f>
        <v>0</v>
      </c>
      <c r="K185" s="333">
        <f>COUNTIFS('HR Track 6 PMO'!$M$5:$M$800,$A$182,'HR Track 6 PMO'!$AW$5:$AW$800,$C185,'HR Track 6 PMO'!$AY$5:$AY$800,$D185)</f>
        <v>0</v>
      </c>
    </row>
    <row r="186" spans="1:11" ht="19.95" customHeight="1">
      <c r="A186" s="764"/>
      <c r="B186" s="753"/>
      <c r="C186" s="163" t="s">
        <v>1093</v>
      </c>
      <c r="D186" s="11" t="str">
        <f>VLOOKUP(B182,Foundation_Calc!$K$4:$R$37,7,FALSE)</f>
        <v>N.D.</v>
      </c>
      <c r="E186" s="7">
        <f t="shared" si="3"/>
        <v>0</v>
      </c>
      <c r="F186" s="7">
        <f>COUNTIFS('HR Track 1'!$M$5:$M$406,$A$182,'HR Track 1'!$AW$5:$AW$406,$C186,'HR Track 1'!$AY$5:$AY$406,$D186)</f>
        <v>0</v>
      </c>
      <c r="G186" s="7">
        <f>COUNTIFS('HR Track 2'!$M$5:$M$406,$A$182,'HR Track 2'!$AW$5:$AW$406,$C186,'HR Track 2'!$AY$5:$AY$406,$D186)</f>
        <v>0</v>
      </c>
      <c r="H186" s="7">
        <f>COUNTIFS('HR Track 1 MOM'!$M$5:$M$800,$A$182,'HR Track 1 MOM'!$AW$5:$AW$800,$C186,'HR Track 1 MOM'!$AY$5:$AY$800,$D186)</f>
        <v>0</v>
      </c>
      <c r="I186" s="7">
        <f>COUNTIFS('HR Track 4 MOM'!$M$5:$M$800,$A$182,'HR Track 4 MOM'!$AW$5:$AW$800,$C186,'HR Track 4 MOM'!$AY$5:$AY$800,$D186)</f>
        <v>0</v>
      </c>
      <c r="J186" s="7">
        <f>COUNTIFS('HR Track 4 PMO'!$M$5:$M$800,$A$182,'HR Track 4 PMO'!$AW$5:$AW$800,$C186,'HR Track 4 PMO'!$AY$5:$AY$800,$D186)</f>
        <v>0</v>
      </c>
      <c r="K186" s="333">
        <f>COUNTIFS('HR Track 6 PMO'!$M$5:$M$800,$A$182,'HR Track 6 PMO'!$AW$5:$AW$800,$C186,'HR Track 6 PMO'!$AY$5:$AY$800,$D186)</f>
        <v>0</v>
      </c>
    </row>
    <row r="187" spans="1:11" ht="19.95" customHeight="1" thickBot="1">
      <c r="A187" s="765"/>
      <c r="B187" s="754"/>
      <c r="C187" s="334" t="s">
        <v>1094</v>
      </c>
      <c r="D187" s="335" t="str">
        <f>VLOOKUP(B182,Foundation_Calc!$K$4:$R$37,8,FALSE)</f>
        <v>N.D.</v>
      </c>
      <c r="E187" s="336">
        <f t="shared" si="3"/>
        <v>0</v>
      </c>
      <c r="F187" s="336">
        <f>COUNTIFS('HR Track 1'!$M$5:$M$406,$A$182,'HR Track 1'!$AW$5:$AW$406,$C187,'HR Track 1'!$AY$5:$AY$406,$D187)</f>
        <v>0</v>
      </c>
      <c r="G187" s="336">
        <f>COUNTIFS('HR Track 2'!$M$5:$M$406,$A$182,'HR Track 2'!$AW$5:$AW$406,$C187,'HR Track 2'!$AY$5:$AY$406,$D187)</f>
        <v>0</v>
      </c>
      <c r="H187" s="336">
        <f>COUNTIFS('HR Track 1 MOM'!$M$5:$M$800,$A$182,'HR Track 1 MOM'!$AW$5:$AW$800,$C187,'HR Track 1 MOM'!$AY$5:$AY$800,$D187)</f>
        <v>0</v>
      </c>
      <c r="I187" s="336">
        <f>COUNTIFS('HR Track 4 MOM'!$M$5:$M$800,$A$182,'HR Track 4 MOM'!$AW$5:$AW$800,$C187,'HR Track 4 MOM'!$AY$5:$AY$800,$D187)</f>
        <v>0</v>
      </c>
      <c r="J187" s="336">
        <f>COUNTIFS('HR Track 4 PMO'!$M$5:$M$800,$A$182,'HR Track 4 PMO'!$AW$5:$AW$800,$C187,'HR Track 4 PMO'!$AY$5:$AY$800,$D187)</f>
        <v>0</v>
      </c>
      <c r="K187" s="337">
        <f>COUNTIFS('HR Track 6 PMO'!$M$5:$M$800,$A$182,'HR Track 6 PMO'!$AW$5:$AW$800,$C187,'HR Track 6 PMO'!$AY$5:$AY$800,$D187)</f>
        <v>0</v>
      </c>
    </row>
    <row r="188" spans="1:11" ht="19.95" customHeight="1">
      <c r="A188" s="842" t="s">
        <v>1018</v>
      </c>
      <c r="B188" s="845" t="s">
        <v>1192</v>
      </c>
      <c r="C188" s="329" t="s">
        <v>1089</v>
      </c>
      <c r="D188" s="338">
        <f>VLOOKUP(B188,Foundation_Calc!$K$41:$R$74,3,FALSE)</f>
        <v>6.1</v>
      </c>
      <c r="E188" s="331">
        <f t="shared" si="3"/>
        <v>0</v>
      </c>
      <c r="F188" s="331">
        <f>COUNTIFS('HR Track 1'!$M$5:$M$406,$A$188,'HR Track 1'!$AW$5:$AW$406,$C188,'HR Track 1'!$AY$5:$AY$406,$D188)</f>
        <v>0</v>
      </c>
      <c r="G188" s="331">
        <f>COUNTIFS('HR Track 2'!$M$5:$M$406,$A$188,'HR Track 2'!$AW$5:$AW$406,$C188,'HR Track 2'!$AY$5:$AY$406,$D188)</f>
        <v>0</v>
      </c>
      <c r="H188" s="331">
        <f>COUNTIFS('HR Track 1 MOM'!$M$5:$M$800,$A$188,'HR Track 1 MOM'!$AW$5:$AW$800,$C188,'HR Track 1 MOM'!$AY$5:$AY$800,$D188)</f>
        <v>0</v>
      </c>
      <c r="I188" s="331">
        <f>COUNTIFS('HR Track 4 MOM'!$M$5:$M$800,$A$188,'HR Track 4 MOM'!$AW$5:$AW$800,$C188,'HR Track 4 MOM'!$AY$5:$AY$800,$D188)</f>
        <v>0</v>
      </c>
      <c r="J188" s="331">
        <f>COUNTIFS('HR Track 4 PMO'!$M$5:$M$800,$A$188,'HR Track 4 PMO'!$AW$5:$AW$800,$C188,'HR Track 4 PMO'!$AY$5:$AY$800,$D188)</f>
        <v>0</v>
      </c>
      <c r="K188" s="332">
        <f>COUNTIFS('HR Track 6 PMO'!$M$5:$M$800,$A$188,'HR Track 6 PMO'!$AW$5:$AW$800,$C188,'HR Track 6 PMO'!$AY$5:$AY$800,$D188)</f>
        <v>0</v>
      </c>
    </row>
    <row r="189" spans="1:11" ht="19.95" customHeight="1">
      <c r="A189" s="843"/>
      <c r="B189" s="846"/>
      <c r="C189" s="163" t="s">
        <v>1090</v>
      </c>
      <c r="D189" s="307" t="str">
        <f>VLOOKUP(B188,Foundation_Calc!$K$41:$R$74,4,FALSE)</f>
        <v>N.D.</v>
      </c>
      <c r="E189" s="7">
        <f t="shared" si="3"/>
        <v>0</v>
      </c>
      <c r="F189" s="7">
        <f>COUNTIFS('HR Track 1'!$M$5:$M$406,$A$188,'HR Track 1'!$AW$5:$AW$406,$C189,'HR Track 1'!$AY$5:$AY$406,$D189)</f>
        <v>0</v>
      </c>
      <c r="G189" s="7">
        <f>COUNTIFS('HR Track 2'!$M$5:$M$406,$A$188,'HR Track 2'!$AW$5:$AW$406,$C189,'HR Track 2'!$AY$5:$AY$406,$D189)</f>
        <v>0</v>
      </c>
      <c r="H189" s="7">
        <f>COUNTIFS('HR Track 1 MOM'!$M$5:$M$800,$A$188,'HR Track 1 MOM'!$AW$5:$AW$800,$C189,'HR Track 1 MOM'!$AY$5:$AY$800,$D189)</f>
        <v>0</v>
      </c>
      <c r="I189" s="7">
        <f>COUNTIFS('HR Track 4 MOM'!$M$5:$M$800,$A$188,'HR Track 4 MOM'!$AW$5:$AW$800,$C189,'HR Track 4 MOM'!$AY$5:$AY$800,$D189)</f>
        <v>0</v>
      </c>
      <c r="J189" s="7">
        <f>COUNTIFS('HR Track 4 PMO'!$M$5:$M$800,$A$188,'HR Track 4 PMO'!$AW$5:$AW$800,$C189,'HR Track 4 PMO'!$AY$5:$AY$800,$D189)</f>
        <v>0</v>
      </c>
      <c r="K189" s="333">
        <f>COUNTIFS('HR Track 6 PMO'!$M$5:$M$800,$A$188,'HR Track 6 PMO'!$AW$5:$AW$800,$C189,'HR Track 6 PMO'!$AY$5:$AY$800,$D189)</f>
        <v>0</v>
      </c>
    </row>
    <row r="190" spans="1:11" ht="19.95" customHeight="1">
      <c r="A190" s="843"/>
      <c r="B190" s="846"/>
      <c r="C190" s="163" t="s">
        <v>1091</v>
      </c>
      <c r="D190" s="307" t="str">
        <f>VLOOKUP(B188,Foundation_Calc!$K$41:$R$74,5,FALSE)</f>
        <v>N.D.</v>
      </c>
      <c r="E190" s="7">
        <f t="shared" si="3"/>
        <v>0</v>
      </c>
      <c r="F190" s="7">
        <f>COUNTIFS('HR Track 1'!$M$5:$M$406,$A$188,'HR Track 1'!$AW$5:$AW$406,$C190,'HR Track 1'!$AY$5:$AY$406,$D190)</f>
        <v>0</v>
      </c>
      <c r="G190" s="7">
        <f>COUNTIFS('HR Track 2'!$M$5:$M$406,$A$188,'HR Track 2'!$AW$5:$AW$406,$C190,'HR Track 2'!$AY$5:$AY$406,$D190)</f>
        <v>0</v>
      </c>
      <c r="H190" s="7">
        <f>COUNTIFS('HR Track 1 MOM'!$M$5:$M$800,$A$188,'HR Track 1 MOM'!$AW$5:$AW$800,$C190,'HR Track 1 MOM'!$AY$5:$AY$800,$D190)</f>
        <v>0</v>
      </c>
      <c r="I190" s="7">
        <f>COUNTIFS('HR Track 4 MOM'!$M$5:$M$800,$A$188,'HR Track 4 MOM'!$AW$5:$AW$800,$C190,'HR Track 4 MOM'!$AY$5:$AY$800,$D190)</f>
        <v>0</v>
      </c>
      <c r="J190" s="7">
        <f>COUNTIFS('HR Track 4 PMO'!$M$5:$M$800,$A$188,'HR Track 4 PMO'!$AW$5:$AW$800,$C190,'HR Track 4 PMO'!$AY$5:$AY$800,$D190)</f>
        <v>0</v>
      </c>
      <c r="K190" s="333">
        <f>COUNTIFS('HR Track 6 PMO'!$M$5:$M$800,$A$188,'HR Track 6 PMO'!$AW$5:$AW$800,$C190,'HR Track 6 PMO'!$AY$5:$AY$800,$D190)</f>
        <v>0</v>
      </c>
    </row>
    <row r="191" spans="1:11" ht="19.95" customHeight="1">
      <c r="A191" s="843"/>
      <c r="B191" s="846"/>
      <c r="C191" s="163" t="s">
        <v>1092</v>
      </c>
      <c r="D191" s="307" t="str">
        <f>VLOOKUP(B188,Foundation_Calc!$K$41:$R$74,6,FALSE)</f>
        <v>N.D.</v>
      </c>
      <c r="E191" s="7">
        <f t="shared" si="3"/>
        <v>0</v>
      </c>
      <c r="F191" s="7">
        <f>COUNTIFS('HR Track 1'!$M$5:$M$406,$A$188,'HR Track 1'!$AW$5:$AW$406,$C191,'HR Track 1'!$AY$5:$AY$406,$D191)</f>
        <v>0</v>
      </c>
      <c r="G191" s="7">
        <f>COUNTIFS('HR Track 2'!$M$5:$M$406,$A$188,'HR Track 2'!$AW$5:$AW$406,$C191,'HR Track 2'!$AY$5:$AY$406,$D191)</f>
        <v>0</v>
      </c>
      <c r="H191" s="7">
        <f>COUNTIFS('HR Track 1 MOM'!$M$5:$M$800,$A$188,'HR Track 1 MOM'!$AW$5:$AW$800,$C191,'HR Track 1 MOM'!$AY$5:$AY$800,$D191)</f>
        <v>0</v>
      </c>
      <c r="I191" s="7">
        <f>COUNTIFS('HR Track 4 MOM'!$M$5:$M$800,$A$188,'HR Track 4 MOM'!$AW$5:$AW$800,$C191,'HR Track 4 MOM'!$AY$5:$AY$800,$D191)</f>
        <v>0</v>
      </c>
      <c r="J191" s="7">
        <f>COUNTIFS('HR Track 4 PMO'!$M$5:$M$800,$A$188,'HR Track 4 PMO'!$AW$5:$AW$800,$C191,'HR Track 4 PMO'!$AY$5:$AY$800,$D191)</f>
        <v>0</v>
      </c>
      <c r="K191" s="333">
        <f>COUNTIFS('HR Track 6 PMO'!$M$5:$M$800,$A$188,'HR Track 6 PMO'!$AW$5:$AW$800,$C191,'HR Track 6 PMO'!$AY$5:$AY$800,$D191)</f>
        <v>0</v>
      </c>
    </row>
    <row r="192" spans="1:11" ht="19.95" customHeight="1">
      <c r="A192" s="843"/>
      <c r="B192" s="846"/>
      <c r="C192" s="163" t="s">
        <v>1093</v>
      </c>
      <c r="D192" s="307" t="str">
        <f>VLOOKUP(B188,Foundation_Calc!$K$41:$R$74,7,FALSE)</f>
        <v>N.D.</v>
      </c>
      <c r="E192" s="7">
        <f t="shared" si="3"/>
        <v>0</v>
      </c>
      <c r="F192" s="7">
        <f>COUNTIFS('HR Track 1'!$M$5:$M$406,$A$188,'HR Track 1'!$AW$5:$AW$406,$C192,'HR Track 1'!$AY$5:$AY$406,$D192)</f>
        <v>0</v>
      </c>
      <c r="G192" s="7">
        <f>COUNTIFS('HR Track 2'!$M$5:$M$406,$A$188,'HR Track 2'!$AW$5:$AW$406,$C192,'HR Track 2'!$AY$5:$AY$406,$D192)</f>
        <v>0</v>
      </c>
      <c r="H192" s="7">
        <f>COUNTIFS('HR Track 1 MOM'!$M$5:$M$800,$A$188,'HR Track 1 MOM'!$AW$5:$AW$800,$C192,'HR Track 1 MOM'!$AY$5:$AY$800,$D192)</f>
        <v>0</v>
      </c>
      <c r="I192" s="7">
        <f>COUNTIFS('HR Track 4 MOM'!$M$5:$M$800,$A$188,'HR Track 4 MOM'!$AW$5:$AW$800,$C192,'HR Track 4 MOM'!$AY$5:$AY$800,$D192)</f>
        <v>0</v>
      </c>
      <c r="J192" s="7">
        <f>COUNTIFS('HR Track 4 PMO'!$M$5:$M$800,$A$188,'HR Track 4 PMO'!$AW$5:$AW$800,$C192,'HR Track 4 PMO'!$AY$5:$AY$800,$D192)</f>
        <v>0</v>
      </c>
      <c r="K192" s="333">
        <f>COUNTIFS('HR Track 6 PMO'!$M$5:$M$800,$A$188,'HR Track 6 PMO'!$AW$5:$AW$800,$C192,'HR Track 6 PMO'!$AY$5:$AY$800,$D192)</f>
        <v>0</v>
      </c>
    </row>
    <row r="193" spans="1:11" ht="19.95" customHeight="1" thickBot="1">
      <c r="A193" s="844"/>
      <c r="B193" s="847"/>
      <c r="C193" s="334" t="s">
        <v>1094</v>
      </c>
      <c r="D193" s="339" t="str">
        <f>VLOOKUP(B188,Foundation_Calc!$K$41:$R$74,8,FALSE)</f>
        <v>N.D.</v>
      </c>
      <c r="E193" s="336">
        <f t="shared" si="3"/>
        <v>0</v>
      </c>
      <c r="F193" s="336">
        <f>COUNTIFS('HR Track 1'!$M$5:$M$406,$A$188,'HR Track 1'!$AW$5:$AW$406,$C193,'HR Track 1'!$AY$5:$AY$406,$D193)</f>
        <v>0</v>
      </c>
      <c r="G193" s="336">
        <f>COUNTIFS('HR Track 2'!$M$5:$M$406,$A$188,'HR Track 2'!$AW$5:$AW$406,$C193,'HR Track 2'!$AY$5:$AY$406,$D193)</f>
        <v>0</v>
      </c>
      <c r="H193" s="336">
        <f>COUNTIFS('HR Track 1 MOM'!$M$5:$M$800,$A$188,'HR Track 1 MOM'!$AW$5:$AW$800,$C193,'HR Track 1 MOM'!$AY$5:$AY$800,$D193)</f>
        <v>0</v>
      </c>
      <c r="I193" s="336">
        <f>COUNTIFS('HR Track 4 MOM'!$M$5:$M$800,$A$188,'HR Track 4 MOM'!$AW$5:$AW$800,$C193,'HR Track 4 MOM'!$AY$5:$AY$800,$D193)</f>
        <v>0</v>
      </c>
      <c r="J193" s="336">
        <f>COUNTIFS('HR Track 4 PMO'!$M$5:$M$800,$A$188,'HR Track 4 PMO'!$AW$5:$AW$800,$C193,'HR Track 4 PMO'!$AY$5:$AY$800,$D193)</f>
        <v>0</v>
      </c>
      <c r="K193" s="337">
        <f>COUNTIFS('HR Track 6 PMO'!$M$5:$M$800,$A$188,'HR Track 6 PMO'!$AW$5:$AW$800,$C193,'HR Track 6 PMO'!$AY$5:$AY$800,$D193)</f>
        <v>0</v>
      </c>
    </row>
    <row r="194" spans="1:11" ht="19.95" customHeight="1">
      <c r="A194" s="848" t="s">
        <v>1017</v>
      </c>
      <c r="B194" s="849" t="s">
        <v>1289</v>
      </c>
      <c r="C194" s="329" t="s">
        <v>1089</v>
      </c>
      <c r="D194" s="330">
        <f>VLOOKUP(B194,Foundation_Calc!$K$4:$R$37,3,FALSE)</f>
        <v>4.5999999999999996</v>
      </c>
      <c r="E194" s="331">
        <f t="shared" si="3"/>
        <v>0</v>
      </c>
      <c r="F194" s="331">
        <f>COUNTIFS('HR Track 1'!$M$5:$M$406,$A$194,'HR Track 1'!$AW$5:$AW$406,$C194,'HR Track 1'!$AY$5:$AY$406,$D194)</f>
        <v>0</v>
      </c>
      <c r="G194" s="331">
        <f>COUNTIFS('HR Track 2'!$M$5:$M$406,$A$194,'HR Track 2'!$AW$5:$AW$406,$C194,'HR Track 2'!$AY$5:$AY$406,$D194)</f>
        <v>0</v>
      </c>
      <c r="H194" s="331">
        <f>COUNTIFS('HR Track 1 MOM'!$M$5:$M$800,$A$194,'HR Track 1 MOM'!$AW$5:$AW$800,$C194,'HR Track 1 MOM'!$AY$5:$AY$800,$D194)</f>
        <v>0</v>
      </c>
      <c r="I194" s="331">
        <f>COUNTIFS('HR Track 4 MOM'!$M$5:$M$800,$A$194,'HR Track 4 MOM'!$AW$5:$AW$800,$C194,'HR Track 4 MOM'!$AY$5:$AY$800,$D194)</f>
        <v>0</v>
      </c>
      <c r="J194" s="331">
        <f>COUNTIFS('HR Track 4 PMO'!$M$5:$M$800,$A$194,'HR Track 4 PMO'!$AW$5:$AW$800,$C194,'HR Track 4 PMO'!$AY$5:$AY$800,$D194)</f>
        <v>0</v>
      </c>
      <c r="K194" s="332">
        <f>COUNTIFS('HR Track 6 PMO'!$M$5:$M$800,$A$194,'HR Track 6 PMO'!$AW$5:$AW$800,$C194,'HR Track 6 PMO'!$AY$5:$AY$800,$D194)</f>
        <v>0</v>
      </c>
    </row>
    <row r="195" spans="1:11" ht="19.95" customHeight="1">
      <c r="A195" s="764"/>
      <c r="B195" s="753"/>
      <c r="C195" s="163" t="s">
        <v>1090</v>
      </c>
      <c r="D195" s="11" t="str">
        <f>VLOOKUP(B194,Foundation_Calc!$K$4:$R$37,4,FALSE)</f>
        <v>N.D.</v>
      </c>
      <c r="E195" s="7">
        <f t="shared" ref="E195:E258" si="4">SUM(F195:K195)</f>
        <v>0</v>
      </c>
      <c r="F195" s="7">
        <f>COUNTIFS('HR Track 1'!$M$5:$M$406,$A$194,'HR Track 1'!$AW$5:$AW$406,$C195,'HR Track 1'!$AY$5:$AY$406,$D195)</f>
        <v>0</v>
      </c>
      <c r="G195" s="7">
        <f>COUNTIFS('HR Track 2'!$M$5:$M$406,$A$194,'HR Track 2'!$AW$5:$AW$406,$C195,'HR Track 2'!$AY$5:$AY$406,$D195)</f>
        <v>0</v>
      </c>
      <c r="H195" s="7">
        <f>COUNTIFS('HR Track 1 MOM'!$M$5:$M$800,$A$194,'HR Track 1 MOM'!$AW$5:$AW$800,$C195,'HR Track 1 MOM'!$AY$5:$AY$800,$D195)</f>
        <v>0</v>
      </c>
      <c r="I195" s="7">
        <f>COUNTIFS('HR Track 4 MOM'!$M$5:$M$800,$A$194,'HR Track 4 MOM'!$AW$5:$AW$800,$C195,'HR Track 4 MOM'!$AY$5:$AY$800,$D195)</f>
        <v>0</v>
      </c>
      <c r="J195" s="7">
        <f>COUNTIFS('HR Track 4 PMO'!$M$5:$M$800,$A$194,'HR Track 4 PMO'!$AW$5:$AW$800,$C195,'HR Track 4 PMO'!$AY$5:$AY$800,$D195)</f>
        <v>0</v>
      </c>
      <c r="K195" s="333">
        <f>COUNTIFS('HR Track 6 PMO'!$M$5:$M$800,$A$194,'HR Track 6 PMO'!$AW$5:$AW$800,$C195,'HR Track 6 PMO'!$AY$5:$AY$800,$D195)</f>
        <v>0</v>
      </c>
    </row>
    <row r="196" spans="1:11" ht="19.95" customHeight="1">
      <c r="A196" s="764"/>
      <c r="B196" s="753"/>
      <c r="C196" s="163" t="s">
        <v>1091</v>
      </c>
      <c r="D196" s="11" t="str">
        <f>VLOOKUP(B194,Foundation_Calc!$K$4:$R$37,5,FALSE)</f>
        <v>N.D.</v>
      </c>
      <c r="E196" s="7">
        <f t="shared" si="4"/>
        <v>0</v>
      </c>
      <c r="F196" s="7">
        <f>COUNTIFS('HR Track 1'!$M$5:$M$406,$A$194,'HR Track 1'!$AW$5:$AW$406,$C196,'HR Track 1'!$AY$5:$AY$406,$D196)</f>
        <v>0</v>
      </c>
      <c r="G196" s="7">
        <f>COUNTIFS('HR Track 2'!$M$5:$M$406,$A$194,'HR Track 2'!$AW$5:$AW$406,$C196,'HR Track 2'!$AY$5:$AY$406,$D196)</f>
        <v>0</v>
      </c>
      <c r="H196" s="7">
        <f>COUNTIFS('HR Track 1 MOM'!$M$5:$M$800,$A$194,'HR Track 1 MOM'!$AW$5:$AW$800,$C196,'HR Track 1 MOM'!$AY$5:$AY$800,$D196)</f>
        <v>0</v>
      </c>
      <c r="I196" s="7">
        <f>COUNTIFS('HR Track 4 MOM'!$M$5:$M$800,$A$194,'HR Track 4 MOM'!$AW$5:$AW$800,$C196,'HR Track 4 MOM'!$AY$5:$AY$800,$D196)</f>
        <v>0</v>
      </c>
      <c r="J196" s="7">
        <f>COUNTIFS('HR Track 4 PMO'!$M$5:$M$800,$A$194,'HR Track 4 PMO'!$AW$5:$AW$800,$C196,'HR Track 4 PMO'!$AY$5:$AY$800,$D196)</f>
        <v>0</v>
      </c>
      <c r="K196" s="333">
        <f>COUNTIFS('HR Track 6 PMO'!$M$5:$M$800,$A$194,'HR Track 6 PMO'!$AW$5:$AW$800,$C196,'HR Track 6 PMO'!$AY$5:$AY$800,$D196)</f>
        <v>0</v>
      </c>
    </row>
    <row r="197" spans="1:11" ht="19.95" customHeight="1">
      <c r="A197" s="764"/>
      <c r="B197" s="753"/>
      <c r="C197" s="163" t="s">
        <v>1092</v>
      </c>
      <c r="D197" s="11" t="str">
        <f>VLOOKUP(B194,Foundation_Calc!$K$4:$R$37,6,FALSE)</f>
        <v>N.D.</v>
      </c>
      <c r="E197" s="7">
        <f t="shared" si="4"/>
        <v>0</v>
      </c>
      <c r="F197" s="7">
        <f>COUNTIFS('HR Track 1'!$M$5:$M$406,$A$194,'HR Track 1'!$AW$5:$AW$406,$C197,'HR Track 1'!$AY$5:$AY$406,$D197)</f>
        <v>0</v>
      </c>
      <c r="G197" s="7">
        <f>COUNTIFS('HR Track 2'!$M$5:$M$406,$A$194,'HR Track 2'!$AW$5:$AW$406,$C197,'HR Track 2'!$AY$5:$AY$406,$D197)</f>
        <v>0</v>
      </c>
      <c r="H197" s="7">
        <f>COUNTIFS('HR Track 1 MOM'!$M$5:$M$800,$A$194,'HR Track 1 MOM'!$AW$5:$AW$800,$C197,'HR Track 1 MOM'!$AY$5:$AY$800,$D197)</f>
        <v>0</v>
      </c>
      <c r="I197" s="7">
        <f>COUNTIFS('HR Track 4 MOM'!$M$5:$M$800,$A$194,'HR Track 4 MOM'!$AW$5:$AW$800,$C197,'HR Track 4 MOM'!$AY$5:$AY$800,$D197)</f>
        <v>0</v>
      </c>
      <c r="J197" s="7">
        <f>COUNTIFS('HR Track 4 PMO'!$M$5:$M$800,$A$194,'HR Track 4 PMO'!$AW$5:$AW$800,$C197,'HR Track 4 PMO'!$AY$5:$AY$800,$D197)</f>
        <v>0</v>
      </c>
      <c r="K197" s="333">
        <f>COUNTIFS('HR Track 6 PMO'!$M$5:$M$800,$A$194,'HR Track 6 PMO'!$AW$5:$AW$800,$C197,'HR Track 6 PMO'!$AY$5:$AY$800,$D197)</f>
        <v>0</v>
      </c>
    </row>
    <row r="198" spans="1:11" ht="19.95" customHeight="1">
      <c r="A198" s="764"/>
      <c r="B198" s="753"/>
      <c r="C198" s="163" t="s">
        <v>1093</v>
      </c>
      <c r="D198" s="11" t="str">
        <f>VLOOKUP(B194,Foundation_Calc!$K$4:$R$37,7,FALSE)</f>
        <v>N.D.</v>
      </c>
      <c r="E198" s="7">
        <f t="shared" si="4"/>
        <v>0</v>
      </c>
      <c r="F198" s="7">
        <f>COUNTIFS('HR Track 1'!$M$5:$M$406,$A$194,'HR Track 1'!$AW$5:$AW$406,$C198,'HR Track 1'!$AY$5:$AY$406,$D198)</f>
        <v>0</v>
      </c>
      <c r="G198" s="7">
        <f>COUNTIFS('HR Track 2'!$M$5:$M$406,$A$194,'HR Track 2'!$AW$5:$AW$406,$C198,'HR Track 2'!$AY$5:$AY$406,$D198)</f>
        <v>0</v>
      </c>
      <c r="H198" s="7">
        <f>COUNTIFS('HR Track 1 MOM'!$M$5:$M$800,$A$194,'HR Track 1 MOM'!$AW$5:$AW$800,$C198,'HR Track 1 MOM'!$AY$5:$AY$800,$D198)</f>
        <v>0</v>
      </c>
      <c r="I198" s="7">
        <f>COUNTIFS('HR Track 4 MOM'!$M$5:$M$800,$A$194,'HR Track 4 MOM'!$AW$5:$AW$800,$C198,'HR Track 4 MOM'!$AY$5:$AY$800,$D198)</f>
        <v>0</v>
      </c>
      <c r="J198" s="7">
        <f>COUNTIFS('HR Track 4 PMO'!$M$5:$M$800,$A$194,'HR Track 4 PMO'!$AW$5:$AW$800,$C198,'HR Track 4 PMO'!$AY$5:$AY$800,$D198)</f>
        <v>0</v>
      </c>
      <c r="K198" s="333">
        <f>COUNTIFS('HR Track 6 PMO'!$M$5:$M$800,$A$194,'HR Track 6 PMO'!$AW$5:$AW$800,$C198,'HR Track 6 PMO'!$AY$5:$AY$800,$D198)</f>
        <v>0</v>
      </c>
    </row>
    <row r="199" spans="1:11" ht="19.95" customHeight="1" thickBot="1">
      <c r="A199" s="765"/>
      <c r="B199" s="754"/>
      <c r="C199" s="334" t="s">
        <v>1094</v>
      </c>
      <c r="D199" s="335" t="str">
        <f>VLOOKUP(B194,Foundation_Calc!$K$4:$R$37,8,FALSE)</f>
        <v>N.D.</v>
      </c>
      <c r="E199" s="336">
        <f t="shared" si="4"/>
        <v>0</v>
      </c>
      <c r="F199" s="336">
        <f>COUNTIFS('HR Track 1'!$M$5:$M$406,$A$194,'HR Track 1'!$AW$5:$AW$406,$C199,'HR Track 1'!$AY$5:$AY$406,$D199)</f>
        <v>0</v>
      </c>
      <c r="G199" s="336">
        <f>COUNTIFS('HR Track 2'!$M$5:$M$406,$A$194,'HR Track 2'!$AW$5:$AW$406,$C199,'HR Track 2'!$AY$5:$AY$406,$D199)</f>
        <v>0</v>
      </c>
      <c r="H199" s="336">
        <f>COUNTIFS('HR Track 1 MOM'!$M$5:$M$800,$A$194,'HR Track 1 MOM'!$AW$5:$AW$800,$C199,'HR Track 1 MOM'!$AY$5:$AY$800,$D199)</f>
        <v>0</v>
      </c>
      <c r="I199" s="336">
        <f>COUNTIFS('HR Track 4 MOM'!$M$5:$M$800,$A$194,'HR Track 4 MOM'!$AW$5:$AW$800,$C199,'HR Track 4 MOM'!$AY$5:$AY$800,$D199)</f>
        <v>0</v>
      </c>
      <c r="J199" s="336">
        <f>COUNTIFS('HR Track 4 PMO'!$M$5:$M$800,$A$194,'HR Track 4 PMO'!$AW$5:$AW$800,$C199,'HR Track 4 PMO'!$AY$5:$AY$800,$D199)</f>
        <v>0</v>
      </c>
      <c r="K199" s="337">
        <f>COUNTIFS('HR Track 6 PMO'!$M$5:$M$800,$A$194,'HR Track 6 PMO'!$AW$5:$AW$800,$C199,'HR Track 6 PMO'!$AY$5:$AY$800,$D199)</f>
        <v>0</v>
      </c>
    </row>
    <row r="200" spans="1:11" ht="19.95" customHeight="1">
      <c r="A200" s="842" t="s">
        <v>1018</v>
      </c>
      <c r="B200" s="845" t="s">
        <v>1289</v>
      </c>
      <c r="C200" s="329" t="s">
        <v>1089</v>
      </c>
      <c r="D200" s="338">
        <f>VLOOKUP(B200,Foundation_Calc!$K$41:$R$74,3,FALSE)</f>
        <v>6</v>
      </c>
      <c r="E200" s="331">
        <f t="shared" si="4"/>
        <v>0</v>
      </c>
      <c r="F200" s="331">
        <f>COUNTIFS('HR Track 1'!$M$5:$M$406,$A$200,'HR Track 1'!$AW$5:$AW$406,$C200,'HR Track 1'!$AY$5:$AY$406,$D200)</f>
        <v>0</v>
      </c>
      <c r="G200" s="331">
        <f>COUNTIFS('HR Track 2'!$M$5:$M$406,$A$200,'HR Track 2'!$AW$5:$AW$406,$C200,'HR Track 2'!$AY$5:$AY$406,$D200)</f>
        <v>0</v>
      </c>
      <c r="H200" s="331">
        <f>COUNTIFS('HR Track 1 MOM'!$M$5:$M$800,$A$200,'HR Track 1 MOM'!$AW$5:$AW$800,$C200,'HR Track 1 MOM'!$AY$5:$AY$800,$D200)</f>
        <v>0</v>
      </c>
      <c r="I200" s="331">
        <f>COUNTIFS('HR Track 4 MOM'!$M$5:$M$800,$A$200,'HR Track 4 MOM'!$AW$5:$AW$800,$C200,'HR Track 4 MOM'!$AY$5:$AY$800,$D200)</f>
        <v>0</v>
      </c>
      <c r="J200" s="331">
        <f>COUNTIFS('HR Track 4 PMO'!$M$5:$M$800,$A$200,'HR Track 4 PMO'!$AW$5:$AW$800,$C200,'HR Track 4 PMO'!$AY$5:$AY$800,$D200)</f>
        <v>0</v>
      </c>
      <c r="K200" s="332">
        <f>COUNTIFS('HR Track 6 PMO'!$M$5:$M$800,$A$200,'HR Track 6 PMO'!$AW$5:$AW$800,$C200,'HR Track 6 PMO'!$AY$5:$AY$800,$D200)</f>
        <v>0</v>
      </c>
    </row>
    <row r="201" spans="1:11" ht="19.95" customHeight="1">
      <c r="A201" s="843"/>
      <c r="B201" s="846"/>
      <c r="C201" s="163" t="s">
        <v>1090</v>
      </c>
      <c r="D201" s="307" t="str">
        <f>VLOOKUP(B200,Foundation_Calc!$K$41:$R$74,4,FALSE)</f>
        <v>N.D.</v>
      </c>
      <c r="E201" s="7">
        <f t="shared" si="4"/>
        <v>0</v>
      </c>
      <c r="F201" s="7">
        <f>COUNTIFS('HR Track 1'!$M$5:$M$406,$A$200,'HR Track 1'!$AW$5:$AW$406,$C201,'HR Track 1'!$AY$5:$AY$406,$D201)</f>
        <v>0</v>
      </c>
      <c r="G201" s="7">
        <f>COUNTIFS('HR Track 2'!$M$5:$M$406,$A$200,'HR Track 2'!$AW$5:$AW$406,$C201,'HR Track 2'!$AY$5:$AY$406,$D201)</f>
        <v>0</v>
      </c>
      <c r="H201" s="7">
        <f>COUNTIFS('HR Track 1 MOM'!$M$5:$M$800,$A$200,'HR Track 1 MOM'!$AW$5:$AW$800,$C201,'HR Track 1 MOM'!$AY$5:$AY$800,$D201)</f>
        <v>0</v>
      </c>
      <c r="I201" s="7">
        <f>COUNTIFS('HR Track 4 MOM'!$M$5:$M$800,$A$200,'HR Track 4 MOM'!$AW$5:$AW$800,$C201,'HR Track 4 MOM'!$AY$5:$AY$800,$D201)</f>
        <v>0</v>
      </c>
      <c r="J201" s="7">
        <f>COUNTIFS('HR Track 4 PMO'!$M$5:$M$800,$A$200,'HR Track 4 PMO'!$AW$5:$AW$800,$C201,'HR Track 4 PMO'!$AY$5:$AY$800,$D201)</f>
        <v>0</v>
      </c>
      <c r="K201" s="333">
        <f>COUNTIFS('HR Track 6 PMO'!$M$5:$M$800,$A$200,'HR Track 6 PMO'!$AW$5:$AW$800,$C201,'HR Track 6 PMO'!$AY$5:$AY$800,$D201)</f>
        <v>0</v>
      </c>
    </row>
    <row r="202" spans="1:11" ht="19.95" customHeight="1">
      <c r="A202" s="843"/>
      <c r="B202" s="846"/>
      <c r="C202" s="163" t="s">
        <v>1091</v>
      </c>
      <c r="D202" s="307" t="str">
        <f>VLOOKUP(B200,Foundation_Calc!$K$41:$R$74,5,FALSE)</f>
        <v>N.D.</v>
      </c>
      <c r="E202" s="7">
        <f t="shared" si="4"/>
        <v>0</v>
      </c>
      <c r="F202" s="7">
        <f>COUNTIFS('HR Track 1'!$M$5:$M$406,$A$200,'HR Track 1'!$AW$5:$AW$406,$C202,'HR Track 1'!$AY$5:$AY$406,$D202)</f>
        <v>0</v>
      </c>
      <c r="G202" s="7">
        <f>COUNTIFS('HR Track 2'!$M$5:$M$406,$A$200,'HR Track 2'!$AW$5:$AW$406,$C202,'HR Track 2'!$AY$5:$AY$406,$D202)</f>
        <v>0</v>
      </c>
      <c r="H202" s="7">
        <f>COUNTIFS('HR Track 1 MOM'!$M$5:$M$800,$A$200,'HR Track 1 MOM'!$AW$5:$AW$800,$C202,'HR Track 1 MOM'!$AY$5:$AY$800,$D202)</f>
        <v>0</v>
      </c>
      <c r="I202" s="7">
        <f>COUNTIFS('HR Track 4 MOM'!$M$5:$M$800,$A$200,'HR Track 4 MOM'!$AW$5:$AW$800,$C202,'HR Track 4 MOM'!$AY$5:$AY$800,$D202)</f>
        <v>0</v>
      </c>
      <c r="J202" s="7">
        <f>COUNTIFS('HR Track 4 PMO'!$M$5:$M$800,$A$200,'HR Track 4 PMO'!$AW$5:$AW$800,$C202,'HR Track 4 PMO'!$AY$5:$AY$800,$D202)</f>
        <v>0</v>
      </c>
      <c r="K202" s="333">
        <f>COUNTIFS('HR Track 6 PMO'!$M$5:$M$800,$A$200,'HR Track 6 PMO'!$AW$5:$AW$800,$C202,'HR Track 6 PMO'!$AY$5:$AY$800,$D202)</f>
        <v>0</v>
      </c>
    </row>
    <row r="203" spans="1:11" ht="19.95" customHeight="1">
      <c r="A203" s="843"/>
      <c r="B203" s="846"/>
      <c r="C203" s="163" t="s">
        <v>1092</v>
      </c>
      <c r="D203" s="307" t="str">
        <f>VLOOKUP(B200,Foundation_Calc!$K$41:$R$74,6,FALSE)</f>
        <v>N.D.</v>
      </c>
      <c r="E203" s="7">
        <f t="shared" si="4"/>
        <v>0</v>
      </c>
      <c r="F203" s="7">
        <f>COUNTIFS('HR Track 1'!$M$5:$M$406,$A$200,'HR Track 1'!$AW$5:$AW$406,$C203,'HR Track 1'!$AY$5:$AY$406,$D203)</f>
        <v>0</v>
      </c>
      <c r="G203" s="7">
        <f>COUNTIFS('HR Track 2'!$M$5:$M$406,$A$200,'HR Track 2'!$AW$5:$AW$406,$C203,'HR Track 2'!$AY$5:$AY$406,$D203)</f>
        <v>0</v>
      </c>
      <c r="H203" s="7">
        <f>COUNTIFS('HR Track 1 MOM'!$M$5:$M$800,$A$200,'HR Track 1 MOM'!$AW$5:$AW$800,$C203,'HR Track 1 MOM'!$AY$5:$AY$800,$D203)</f>
        <v>0</v>
      </c>
      <c r="I203" s="7">
        <f>COUNTIFS('HR Track 4 MOM'!$M$5:$M$800,$A$200,'HR Track 4 MOM'!$AW$5:$AW$800,$C203,'HR Track 4 MOM'!$AY$5:$AY$800,$D203)</f>
        <v>0</v>
      </c>
      <c r="J203" s="7">
        <f>COUNTIFS('HR Track 4 PMO'!$M$5:$M$800,$A$200,'HR Track 4 PMO'!$AW$5:$AW$800,$C203,'HR Track 4 PMO'!$AY$5:$AY$800,$D203)</f>
        <v>0</v>
      </c>
      <c r="K203" s="333">
        <f>COUNTIFS('HR Track 6 PMO'!$M$5:$M$800,$A$200,'HR Track 6 PMO'!$AW$5:$AW$800,$C203,'HR Track 6 PMO'!$AY$5:$AY$800,$D203)</f>
        <v>0</v>
      </c>
    </row>
    <row r="204" spans="1:11" ht="19.95" customHeight="1">
      <c r="A204" s="843"/>
      <c r="B204" s="846"/>
      <c r="C204" s="163" t="s">
        <v>1093</v>
      </c>
      <c r="D204" s="307" t="str">
        <f>VLOOKUP(B200,Foundation_Calc!$K$41:$R$74,7,FALSE)</f>
        <v>N.D.</v>
      </c>
      <c r="E204" s="7">
        <f t="shared" si="4"/>
        <v>0</v>
      </c>
      <c r="F204" s="7">
        <f>COUNTIFS('HR Track 1'!$M$5:$M$406,$A$200,'HR Track 1'!$AW$5:$AW$406,$C204,'HR Track 1'!$AY$5:$AY$406,$D204)</f>
        <v>0</v>
      </c>
      <c r="G204" s="7">
        <f>COUNTIFS('HR Track 2'!$M$5:$M$406,$A$200,'HR Track 2'!$AW$5:$AW$406,$C204,'HR Track 2'!$AY$5:$AY$406,$D204)</f>
        <v>0</v>
      </c>
      <c r="H204" s="7">
        <f>COUNTIFS('HR Track 1 MOM'!$M$5:$M$800,$A$200,'HR Track 1 MOM'!$AW$5:$AW$800,$C204,'HR Track 1 MOM'!$AY$5:$AY$800,$D204)</f>
        <v>0</v>
      </c>
      <c r="I204" s="7">
        <f>COUNTIFS('HR Track 4 MOM'!$M$5:$M$800,$A$200,'HR Track 4 MOM'!$AW$5:$AW$800,$C204,'HR Track 4 MOM'!$AY$5:$AY$800,$D204)</f>
        <v>0</v>
      </c>
      <c r="J204" s="7">
        <f>COUNTIFS('HR Track 4 PMO'!$M$5:$M$800,$A$200,'HR Track 4 PMO'!$AW$5:$AW$800,$C204,'HR Track 4 PMO'!$AY$5:$AY$800,$D204)</f>
        <v>0</v>
      </c>
      <c r="K204" s="333">
        <f>COUNTIFS('HR Track 6 PMO'!$M$5:$M$800,$A$200,'HR Track 6 PMO'!$AW$5:$AW$800,$C204,'HR Track 6 PMO'!$AY$5:$AY$800,$D204)</f>
        <v>0</v>
      </c>
    </row>
    <row r="205" spans="1:11" ht="19.95" customHeight="1" thickBot="1">
      <c r="A205" s="844"/>
      <c r="B205" s="847"/>
      <c r="C205" s="334" t="s">
        <v>1094</v>
      </c>
      <c r="D205" s="339" t="str">
        <f>VLOOKUP(B200,Foundation_Calc!$K$41:$R$74,8,FALSE)</f>
        <v>N.D.</v>
      </c>
      <c r="E205" s="336">
        <f t="shared" si="4"/>
        <v>0</v>
      </c>
      <c r="F205" s="336">
        <f>COUNTIFS('HR Track 1'!$M$5:$M$406,$A$200,'HR Track 1'!$AW$5:$AW$406,$C205,'HR Track 1'!$AY$5:$AY$406,$D205)</f>
        <v>0</v>
      </c>
      <c r="G205" s="336">
        <f>COUNTIFS('HR Track 2'!$M$5:$M$406,$A$200,'HR Track 2'!$AW$5:$AW$406,$C205,'HR Track 2'!$AY$5:$AY$406,$D205)</f>
        <v>0</v>
      </c>
      <c r="H205" s="336">
        <f>COUNTIFS('HR Track 1 MOM'!$M$5:$M$800,$A$200,'HR Track 1 MOM'!$AW$5:$AW$800,$C205,'HR Track 1 MOM'!$AY$5:$AY$800,$D205)</f>
        <v>0</v>
      </c>
      <c r="I205" s="336">
        <f>COUNTIFS('HR Track 4 MOM'!$M$5:$M$800,$A$200,'HR Track 4 MOM'!$AW$5:$AW$800,$C205,'HR Track 4 MOM'!$AY$5:$AY$800,$D205)</f>
        <v>0</v>
      </c>
      <c r="J205" s="336">
        <f>COUNTIFS('HR Track 4 PMO'!$M$5:$M$800,$A$200,'HR Track 4 PMO'!$AW$5:$AW$800,$C205,'HR Track 4 PMO'!$AY$5:$AY$800,$D205)</f>
        <v>0</v>
      </c>
      <c r="K205" s="337">
        <f>COUNTIFS('HR Track 6 PMO'!$M$5:$M$800,$A$200,'HR Track 6 PMO'!$AW$5:$AW$800,$C205,'HR Track 6 PMO'!$AY$5:$AY$800,$D205)</f>
        <v>0</v>
      </c>
    </row>
    <row r="206" spans="1:11" ht="19.95" customHeight="1">
      <c r="A206" s="848" t="s">
        <v>1362</v>
      </c>
      <c r="B206" s="849" t="s">
        <v>1290</v>
      </c>
      <c r="C206" s="329" t="s">
        <v>1089</v>
      </c>
      <c r="D206" s="330">
        <f>VLOOKUP(B206,Foundation_Calc!$K$4:$R$37,3,FALSE)</f>
        <v>6.1</v>
      </c>
      <c r="E206" s="331">
        <f t="shared" si="4"/>
        <v>0</v>
      </c>
      <c r="F206" s="331">
        <f>COUNTIFS('HR Track 1'!$M$5:$M$406,$A$206,'HR Track 1'!$AW$5:$AW$406,$C206,'HR Track 1'!$AY$5:$AY$406,$D206)</f>
        <v>0</v>
      </c>
      <c r="G206" s="331">
        <f>COUNTIFS('HR Track 2'!$M$5:$M$406,$A$206,'HR Track 2'!$AW$5:$AW$406,$C206,'HR Track 2'!$AY$5:$AY$406,$D206)</f>
        <v>0</v>
      </c>
      <c r="H206" s="331">
        <f>COUNTIFS('HR Track 1 MOM'!$M$5:$M$800,$A$206,'HR Track 1 MOM'!$AW$5:$AW$800,$C206,'HR Track 1 MOM'!$AY$5:$AY$800,$D206)</f>
        <v>0</v>
      </c>
      <c r="I206" s="331">
        <f>COUNTIFS('HR Track 4 MOM'!$M$5:$M$800,$A$206,'HR Track 4 MOM'!$AW$5:$AW$800,$C206,'HR Track 4 MOM'!$AY$5:$AY$800,$D206)</f>
        <v>0</v>
      </c>
      <c r="J206" s="331">
        <f>COUNTIFS('HR Track 4 PMO'!$M$5:$M$800,$A$206,'HR Track 4 PMO'!$AW$5:$AW$800,$C206,'HR Track 4 PMO'!$AY$5:$AY$800,$D206)</f>
        <v>0</v>
      </c>
      <c r="K206" s="332">
        <f>COUNTIFS('HR Track 6 PMO'!$M$5:$M$800,$A$206,'HR Track 6 PMO'!$AW$5:$AW$800,$C206,'HR Track 6 PMO'!$AY$5:$AY$800,$D206)</f>
        <v>0</v>
      </c>
    </row>
    <row r="207" spans="1:11" ht="19.95" customHeight="1">
      <c r="A207" s="764"/>
      <c r="B207" s="753"/>
      <c r="C207" s="163" t="s">
        <v>1090</v>
      </c>
      <c r="D207" s="11" t="str">
        <f>VLOOKUP(B206,Foundation_Calc!$K$4:$R$37,4,FALSE)</f>
        <v>N.D.</v>
      </c>
      <c r="E207" s="7">
        <f t="shared" si="4"/>
        <v>0</v>
      </c>
      <c r="F207" s="7">
        <f>COUNTIFS('HR Track 1'!$M$5:$M$406,$A$206,'HR Track 1'!$AW$5:$AW$406,$C207,'HR Track 1'!$AY$5:$AY$406,$D207)</f>
        <v>0</v>
      </c>
      <c r="G207" s="7">
        <f>COUNTIFS('HR Track 2'!$M$5:$M$406,$A$206,'HR Track 2'!$AW$5:$AW$406,$C207,'HR Track 2'!$AY$5:$AY$406,$D207)</f>
        <v>0</v>
      </c>
      <c r="H207" s="7">
        <f>COUNTIFS('HR Track 1 MOM'!$M$5:$M$800,$A$206,'HR Track 1 MOM'!$AW$5:$AW$800,$C207,'HR Track 1 MOM'!$AY$5:$AY$800,$D207)</f>
        <v>0</v>
      </c>
      <c r="I207" s="7">
        <f>COUNTIFS('HR Track 4 MOM'!$M$5:$M$800,$A$206,'HR Track 4 MOM'!$AW$5:$AW$800,$C207,'HR Track 4 MOM'!$AY$5:$AY$800,$D207)</f>
        <v>0</v>
      </c>
      <c r="J207" s="7">
        <f>COUNTIFS('HR Track 4 PMO'!$M$5:$M$800,$A$206,'HR Track 4 PMO'!$AW$5:$AW$800,$C207,'HR Track 4 PMO'!$AY$5:$AY$800,$D207)</f>
        <v>0</v>
      </c>
      <c r="K207" s="333">
        <f>COUNTIFS('HR Track 6 PMO'!$M$5:$M$800,$A$206,'HR Track 6 PMO'!$AW$5:$AW$800,$C207,'HR Track 6 PMO'!$AY$5:$AY$800,$D207)</f>
        <v>0</v>
      </c>
    </row>
    <row r="208" spans="1:11" ht="19.95" customHeight="1">
      <c r="A208" s="764"/>
      <c r="B208" s="753"/>
      <c r="C208" s="163" t="s">
        <v>1091</v>
      </c>
      <c r="D208" s="11" t="str">
        <f>VLOOKUP(B206,Foundation_Calc!$K$4:$R$37,5,FALSE)</f>
        <v>N.D.</v>
      </c>
      <c r="E208" s="7">
        <f t="shared" si="4"/>
        <v>0</v>
      </c>
      <c r="F208" s="7">
        <f>COUNTIFS('HR Track 1'!$M$5:$M$406,$A$206,'HR Track 1'!$AW$5:$AW$406,$C208,'HR Track 1'!$AY$5:$AY$406,$D208)</f>
        <v>0</v>
      </c>
      <c r="G208" s="7">
        <f>COUNTIFS('HR Track 2'!$M$5:$M$406,$A$206,'HR Track 2'!$AW$5:$AW$406,$C208,'HR Track 2'!$AY$5:$AY$406,$D208)</f>
        <v>0</v>
      </c>
      <c r="H208" s="7">
        <f>COUNTIFS('HR Track 1 MOM'!$M$5:$M$800,$A$206,'HR Track 1 MOM'!$AW$5:$AW$800,$C208,'HR Track 1 MOM'!$AY$5:$AY$800,$D208)</f>
        <v>0</v>
      </c>
      <c r="I208" s="7">
        <f>COUNTIFS('HR Track 4 MOM'!$M$5:$M$800,$A$206,'HR Track 4 MOM'!$AW$5:$AW$800,$C208,'HR Track 4 MOM'!$AY$5:$AY$800,$D208)</f>
        <v>0</v>
      </c>
      <c r="J208" s="7">
        <f>COUNTIFS('HR Track 4 PMO'!$M$5:$M$800,$A$206,'HR Track 4 PMO'!$AW$5:$AW$800,$C208,'HR Track 4 PMO'!$AY$5:$AY$800,$D208)</f>
        <v>0</v>
      </c>
      <c r="K208" s="333">
        <f>COUNTIFS('HR Track 6 PMO'!$M$5:$M$800,$A$206,'HR Track 6 PMO'!$AW$5:$AW$800,$C208,'HR Track 6 PMO'!$AY$5:$AY$800,$D208)</f>
        <v>0</v>
      </c>
    </row>
    <row r="209" spans="1:11" ht="19.95" customHeight="1">
      <c r="A209" s="764"/>
      <c r="B209" s="753"/>
      <c r="C209" s="163" t="s">
        <v>1092</v>
      </c>
      <c r="D209" s="11" t="str">
        <f>VLOOKUP(B206,Foundation_Calc!$K$4:$R$37,6,FALSE)</f>
        <v>N.D.</v>
      </c>
      <c r="E209" s="7">
        <f t="shared" si="4"/>
        <v>0</v>
      </c>
      <c r="F209" s="7">
        <f>COUNTIFS('HR Track 1'!$M$5:$M$406,$A$206,'HR Track 1'!$AW$5:$AW$406,$C209,'HR Track 1'!$AY$5:$AY$406,$D209)</f>
        <v>0</v>
      </c>
      <c r="G209" s="7">
        <f>COUNTIFS('HR Track 2'!$M$5:$M$406,$A$206,'HR Track 2'!$AW$5:$AW$406,$C209,'HR Track 2'!$AY$5:$AY$406,$D209)</f>
        <v>0</v>
      </c>
      <c r="H209" s="7">
        <f>COUNTIFS('HR Track 1 MOM'!$M$5:$M$800,$A$206,'HR Track 1 MOM'!$AW$5:$AW$800,$C209,'HR Track 1 MOM'!$AY$5:$AY$800,$D209)</f>
        <v>0</v>
      </c>
      <c r="I209" s="7">
        <f>COUNTIFS('HR Track 4 MOM'!$M$5:$M$800,$A$206,'HR Track 4 MOM'!$AW$5:$AW$800,$C209,'HR Track 4 MOM'!$AY$5:$AY$800,$D209)</f>
        <v>0</v>
      </c>
      <c r="J209" s="7">
        <f>COUNTIFS('HR Track 4 PMO'!$M$5:$M$800,$A$206,'HR Track 4 PMO'!$AW$5:$AW$800,$C209,'HR Track 4 PMO'!$AY$5:$AY$800,$D209)</f>
        <v>0</v>
      </c>
      <c r="K209" s="333">
        <f>COUNTIFS('HR Track 6 PMO'!$M$5:$M$800,$A$206,'HR Track 6 PMO'!$AW$5:$AW$800,$C209,'HR Track 6 PMO'!$AY$5:$AY$800,$D209)</f>
        <v>0</v>
      </c>
    </row>
    <row r="210" spans="1:11" ht="19.95" customHeight="1">
      <c r="A210" s="764"/>
      <c r="B210" s="753"/>
      <c r="C210" s="163" t="s">
        <v>1093</v>
      </c>
      <c r="D210" s="11" t="str">
        <f>VLOOKUP(B206,Foundation_Calc!$K$4:$R$37,7,FALSE)</f>
        <v>N.D.</v>
      </c>
      <c r="E210" s="7">
        <f t="shared" si="4"/>
        <v>0</v>
      </c>
      <c r="F210" s="7">
        <f>COUNTIFS('HR Track 1'!$M$5:$M$406,$A$206,'HR Track 1'!$AW$5:$AW$406,$C210,'HR Track 1'!$AY$5:$AY$406,$D210)</f>
        <v>0</v>
      </c>
      <c r="G210" s="7">
        <f>COUNTIFS('HR Track 2'!$M$5:$M$406,$A$206,'HR Track 2'!$AW$5:$AW$406,$C210,'HR Track 2'!$AY$5:$AY$406,$D210)</f>
        <v>0</v>
      </c>
      <c r="H210" s="7">
        <f>COUNTIFS('HR Track 1 MOM'!$M$5:$M$800,$A$206,'HR Track 1 MOM'!$AW$5:$AW$800,$C210,'HR Track 1 MOM'!$AY$5:$AY$800,$D210)</f>
        <v>0</v>
      </c>
      <c r="I210" s="7">
        <f>COUNTIFS('HR Track 4 MOM'!$M$5:$M$800,$A$206,'HR Track 4 MOM'!$AW$5:$AW$800,$C210,'HR Track 4 MOM'!$AY$5:$AY$800,$D210)</f>
        <v>0</v>
      </c>
      <c r="J210" s="7">
        <f>COUNTIFS('HR Track 4 PMO'!$M$5:$M$800,$A$206,'HR Track 4 PMO'!$AW$5:$AW$800,$C210,'HR Track 4 PMO'!$AY$5:$AY$800,$D210)</f>
        <v>0</v>
      </c>
      <c r="K210" s="333">
        <f>COUNTIFS('HR Track 6 PMO'!$M$5:$M$800,$A$206,'HR Track 6 PMO'!$AW$5:$AW$800,$C210,'HR Track 6 PMO'!$AY$5:$AY$800,$D210)</f>
        <v>0</v>
      </c>
    </row>
    <row r="211" spans="1:11" ht="19.95" customHeight="1" thickBot="1">
      <c r="A211" s="765"/>
      <c r="B211" s="754"/>
      <c r="C211" s="334" t="s">
        <v>1094</v>
      </c>
      <c r="D211" s="335" t="str">
        <f>VLOOKUP(B206,Foundation_Calc!$K$4:$R$37,8,FALSE)</f>
        <v>N.D.</v>
      </c>
      <c r="E211" s="336">
        <f t="shared" si="4"/>
        <v>0</v>
      </c>
      <c r="F211" s="336">
        <f>COUNTIFS('HR Track 1'!$M$5:$M$406,$A$206,'HR Track 1'!$AW$5:$AW$406,$C211,'HR Track 1'!$AY$5:$AY$406,$D211)</f>
        <v>0</v>
      </c>
      <c r="G211" s="336">
        <f>COUNTIFS('HR Track 2'!$M$5:$M$406,$A$206,'HR Track 2'!$AW$5:$AW$406,$C211,'HR Track 2'!$AY$5:$AY$406,$D211)</f>
        <v>0</v>
      </c>
      <c r="H211" s="336">
        <f>COUNTIFS('HR Track 1 MOM'!$M$5:$M$800,$A$206,'HR Track 1 MOM'!$AW$5:$AW$800,$C211,'HR Track 1 MOM'!$AY$5:$AY$800,$D211)</f>
        <v>0</v>
      </c>
      <c r="I211" s="336">
        <f>COUNTIFS('HR Track 4 MOM'!$M$5:$M$800,$A$206,'HR Track 4 MOM'!$AW$5:$AW$800,$C211,'HR Track 4 MOM'!$AY$5:$AY$800,$D211)</f>
        <v>0</v>
      </c>
      <c r="J211" s="336">
        <f>COUNTIFS('HR Track 4 PMO'!$M$5:$M$800,$A$206,'HR Track 4 PMO'!$AW$5:$AW$800,$C211,'HR Track 4 PMO'!$AY$5:$AY$800,$D211)</f>
        <v>0</v>
      </c>
      <c r="K211" s="337">
        <f>COUNTIFS('HR Track 6 PMO'!$M$5:$M$800,$A$206,'HR Track 6 PMO'!$AW$5:$AW$800,$C211,'HR Track 6 PMO'!$AY$5:$AY$800,$D211)</f>
        <v>0</v>
      </c>
    </row>
    <row r="212" spans="1:11" ht="19.95" customHeight="1">
      <c r="A212" s="842" t="s">
        <v>1343</v>
      </c>
      <c r="B212" s="845" t="s">
        <v>1290</v>
      </c>
      <c r="C212" s="329" t="s">
        <v>1089</v>
      </c>
      <c r="D212" s="338">
        <f>VLOOKUP(B212,Foundation_Calc!$K$41:$R$74,3,FALSE)</f>
        <v>8.4</v>
      </c>
      <c r="E212" s="331">
        <f t="shared" si="4"/>
        <v>0</v>
      </c>
      <c r="F212" s="331">
        <f>COUNTIFS('HR Track 1'!$M$5:$M$406,$A$212,'HR Track 1'!$AW$5:$AW$406,$C212,'HR Track 1'!$AY$5:$AY$406,$D212)</f>
        <v>0</v>
      </c>
      <c r="G212" s="331">
        <f>COUNTIFS('HR Track 2'!$M$5:$M$406,$A$212,'HR Track 2'!$AW$5:$AW$406,$C212,'HR Track 2'!$AY$5:$AY$406,$D212)</f>
        <v>0</v>
      </c>
      <c r="H212" s="331">
        <f>COUNTIFS('HR Track 1 MOM'!$M$5:$M$800,$A$212,'HR Track 1 MOM'!$AW$5:$AW$800,$C212,'HR Track 1 MOM'!$AY$5:$AY$800,$D212)</f>
        <v>0</v>
      </c>
      <c r="I212" s="331">
        <f>COUNTIFS('HR Track 4 MOM'!$M$5:$M$800,$A$212,'HR Track 4 MOM'!$AW$5:$AW$800,$C212,'HR Track 4 MOM'!$AY$5:$AY$800,$D212)</f>
        <v>0</v>
      </c>
      <c r="J212" s="331">
        <f>COUNTIFS('HR Track 4 PMO'!$M$5:$M$800,$A$212,'HR Track 4 PMO'!$AW$5:$AW$800,$C212,'HR Track 4 PMO'!$AY$5:$AY$800,$D212)</f>
        <v>0</v>
      </c>
      <c r="K212" s="332">
        <f>COUNTIFS('HR Track 6 PMO'!$M$5:$M$800,$A$212,'HR Track 6 PMO'!$AW$5:$AW$800,$C212,'HR Track 6 PMO'!$AY$5:$AY$800,$D212)</f>
        <v>0</v>
      </c>
    </row>
    <row r="213" spans="1:11" ht="19.95" customHeight="1">
      <c r="A213" s="843"/>
      <c r="B213" s="846"/>
      <c r="C213" s="163" t="s">
        <v>1090</v>
      </c>
      <c r="D213" s="307" t="str">
        <f>VLOOKUP(B212,Foundation_Calc!$K$41:$R$74,4,FALSE)</f>
        <v>N.D.</v>
      </c>
      <c r="E213" s="7">
        <f t="shared" si="4"/>
        <v>0</v>
      </c>
      <c r="F213" s="7">
        <f>COUNTIFS('HR Track 1'!$M$5:$M$406,$A$212,'HR Track 1'!$AW$5:$AW$406,$C213,'HR Track 1'!$AY$5:$AY$406,$D213)</f>
        <v>0</v>
      </c>
      <c r="G213" s="7">
        <f>COUNTIFS('HR Track 2'!$M$5:$M$406,$A$212,'HR Track 2'!$AW$5:$AW$406,$C213,'HR Track 2'!$AY$5:$AY$406,$D213)</f>
        <v>0</v>
      </c>
      <c r="H213" s="7">
        <f>COUNTIFS('HR Track 1 MOM'!$M$5:$M$800,$A$212,'HR Track 1 MOM'!$AW$5:$AW$800,$C213,'HR Track 1 MOM'!$AY$5:$AY$800,$D213)</f>
        <v>0</v>
      </c>
      <c r="I213" s="7">
        <f>COUNTIFS('HR Track 4 MOM'!$M$5:$M$800,$A$212,'HR Track 4 MOM'!$AW$5:$AW$800,$C213,'HR Track 4 MOM'!$AY$5:$AY$800,$D213)</f>
        <v>0</v>
      </c>
      <c r="J213" s="7">
        <f>COUNTIFS('HR Track 4 PMO'!$M$5:$M$800,$A$212,'HR Track 4 PMO'!$AW$5:$AW$800,$C213,'HR Track 4 PMO'!$AY$5:$AY$800,$D213)</f>
        <v>0</v>
      </c>
      <c r="K213" s="333">
        <f>COUNTIFS('HR Track 6 PMO'!$M$5:$M$800,$A$212,'HR Track 6 PMO'!$AW$5:$AW$800,$C213,'HR Track 6 PMO'!$AY$5:$AY$800,$D213)</f>
        <v>0</v>
      </c>
    </row>
    <row r="214" spans="1:11" ht="19.95" customHeight="1">
      <c r="A214" s="843"/>
      <c r="B214" s="846"/>
      <c r="C214" s="163" t="s">
        <v>1091</v>
      </c>
      <c r="D214" s="307" t="str">
        <f>VLOOKUP(B212,Foundation_Calc!$K$41:$R$74,5,FALSE)</f>
        <v>N.D.</v>
      </c>
      <c r="E214" s="7">
        <f t="shared" si="4"/>
        <v>0</v>
      </c>
      <c r="F214" s="7">
        <f>COUNTIFS('HR Track 1'!$M$5:$M$406,$A$212,'HR Track 1'!$AW$5:$AW$406,$C214,'HR Track 1'!$AY$5:$AY$406,$D214)</f>
        <v>0</v>
      </c>
      <c r="G214" s="7">
        <f>COUNTIFS('HR Track 2'!$M$5:$M$406,$A$212,'HR Track 2'!$AW$5:$AW$406,$C214,'HR Track 2'!$AY$5:$AY$406,$D214)</f>
        <v>0</v>
      </c>
      <c r="H214" s="7">
        <f>COUNTIFS('HR Track 1 MOM'!$M$5:$M$800,$A$212,'HR Track 1 MOM'!$AW$5:$AW$800,$C214,'HR Track 1 MOM'!$AY$5:$AY$800,$D214)</f>
        <v>0</v>
      </c>
      <c r="I214" s="7">
        <f>COUNTIFS('HR Track 4 MOM'!$M$5:$M$800,$A$212,'HR Track 4 MOM'!$AW$5:$AW$800,$C214,'HR Track 4 MOM'!$AY$5:$AY$800,$D214)</f>
        <v>0</v>
      </c>
      <c r="J214" s="7">
        <f>COUNTIFS('HR Track 4 PMO'!$M$5:$M$800,$A$212,'HR Track 4 PMO'!$AW$5:$AW$800,$C214,'HR Track 4 PMO'!$AY$5:$AY$800,$D214)</f>
        <v>0</v>
      </c>
      <c r="K214" s="333">
        <f>COUNTIFS('HR Track 6 PMO'!$M$5:$M$800,$A$212,'HR Track 6 PMO'!$AW$5:$AW$800,$C214,'HR Track 6 PMO'!$AY$5:$AY$800,$D214)</f>
        <v>0</v>
      </c>
    </row>
    <row r="215" spans="1:11" ht="19.95" customHeight="1">
      <c r="A215" s="843"/>
      <c r="B215" s="846"/>
      <c r="C215" s="163" t="s">
        <v>1092</v>
      </c>
      <c r="D215" s="307" t="str">
        <f>VLOOKUP(B212,Foundation_Calc!$K$41:$R$74,6,FALSE)</f>
        <v>N.D.</v>
      </c>
      <c r="E215" s="7">
        <f t="shared" si="4"/>
        <v>0</v>
      </c>
      <c r="F215" s="7">
        <f>COUNTIFS('HR Track 1'!$M$5:$M$406,$A$212,'HR Track 1'!$AW$5:$AW$406,$C215,'HR Track 1'!$AY$5:$AY$406,$D215)</f>
        <v>0</v>
      </c>
      <c r="G215" s="7">
        <f>COUNTIFS('HR Track 2'!$M$5:$M$406,$A$212,'HR Track 2'!$AW$5:$AW$406,$C215,'HR Track 2'!$AY$5:$AY$406,$D215)</f>
        <v>0</v>
      </c>
      <c r="H215" s="7">
        <f>COUNTIFS('HR Track 1 MOM'!$M$5:$M$800,$A$212,'HR Track 1 MOM'!$AW$5:$AW$800,$C215,'HR Track 1 MOM'!$AY$5:$AY$800,$D215)</f>
        <v>0</v>
      </c>
      <c r="I215" s="7">
        <f>COUNTIFS('HR Track 4 MOM'!$M$5:$M$800,$A$212,'HR Track 4 MOM'!$AW$5:$AW$800,$C215,'HR Track 4 MOM'!$AY$5:$AY$800,$D215)</f>
        <v>0</v>
      </c>
      <c r="J215" s="7">
        <f>COUNTIFS('HR Track 4 PMO'!$M$5:$M$800,$A$212,'HR Track 4 PMO'!$AW$5:$AW$800,$C215,'HR Track 4 PMO'!$AY$5:$AY$800,$D215)</f>
        <v>0</v>
      </c>
      <c r="K215" s="333">
        <f>COUNTIFS('HR Track 6 PMO'!$M$5:$M$800,$A$212,'HR Track 6 PMO'!$AW$5:$AW$800,$C215,'HR Track 6 PMO'!$AY$5:$AY$800,$D215)</f>
        <v>0</v>
      </c>
    </row>
    <row r="216" spans="1:11" ht="19.95" customHeight="1">
      <c r="A216" s="843"/>
      <c r="B216" s="846"/>
      <c r="C216" s="163" t="s">
        <v>1093</v>
      </c>
      <c r="D216" s="307" t="str">
        <f>VLOOKUP(B212,Foundation_Calc!$K$41:$R$74,7,FALSE)</f>
        <v>N.D.</v>
      </c>
      <c r="E216" s="7">
        <f t="shared" si="4"/>
        <v>0</v>
      </c>
      <c r="F216" s="7">
        <f>COUNTIFS('HR Track 1'!$M$5:$M$406,$A$212,'HR Track 1'!$AW$5:$AW$406,$C216,'HR Track 1'!$AY$5:$AY$406,$D216)</f>
        <v>0</v>
      </c>
      <c r="G216" s="7">
        <f>COUNTIFS('HR Track 2'!$M$5:$M$406,$A$212,'HR Track 2'!$AW$5:$AW$406,$C216,'HR Track 2'!$AY$5:$AY$406,$D216)</f>
        <v>0</v>
      </c>
      <c r="H216" s="7">
        <f>COUNTIFS('HR Track 1 MOM'!$M$5:$M$800,$A$212,'HR Track 1 MOM'!$AW$5:$AW$800,$C216,'HR Track 1 MOM'!$AY$5:$AY$800,$D216)</f>
        <v>0</v>
      </c>
      <c r="I216" s="7">
        <f>COUNTIFS('HR Track 4 MOM'!$M$5:$M$800,$A$212,'HR Track 4 MOM'!$AW$5:$AW$800,$C216,'HR Track 4 MOM'!$AY$5:$AY$800,$D216)</f>
        <v>0</v>
      </c>
      <c r="J216" s="7">
        <f>COUNTIFS('HR Track 4 PMO'!$M$5:$M$800,$A$212,'HR Track 4 PMO'!$AW$5:$AW$800,$C216,'HR Track 4 PMO'!$AY$5:$AY$800,$D216)</f>
        <v>0</v>
      </c>
      <c r="K216" s="333">
        <f>COUNTIFS('HR Track 6 PMO'!$M$5:$M$800,$A$212,'HR Track 6 PMO'!$AW$5:$AW$800,$C216,'HR Track 6 PMO'!$AY$5:$AY$800,$D216)</f>
        <v>0</v>
      </c>
    </row>
    <row r="217" spans="1:11" ht="19.95" customHeight="1" thickBot="1">
      <c r="A217" s="844"/>
      <c r="B217" s="847"/>
      <c r="C217" s="334" t="s">
        <v>1094</v>
      </c>
      <c r="D217" s="339" t="str">
        <f>VLOOKUP(B212,Foundation_Calc!$K$41:$R$74,8,FALSE)</f>
        <v>N.D.</v>
      </c>
      <c r="E217" s="336">
        <f t="shared" si="4"/>
        <v>0</v>
      </c>
      <c r="F217" s="336">
        <f>COUNTIFS('HR Track 1'!$M$5:$M$406,$A$212,'HR Track 1'!$AW$5:$AW$406,$C217,'HR Track 1'!$AY$5:$AY$406,$D217)</f>
        <v>0</v>
      </c>
      <c r="G217" s="336">
        <f>COUNTIFS('HR Track 2'!$M$5:$M$406,$A$212,'HR Track 2'!$AW$5:$AW$406,$C217,'HR Track 2'!$AY$5:$AY$406,$D217)</f>
        <v>0</v>
      </c>
      <c r="H217" s="336">
        <f>COUNTIFS('HR Track 1 MOM'!$M$5:$M$800,$A$212,'HR Track 1 MOM'!$AW$5:$AW$800,$C217,'HR Track 1 MOM'!$AY$5:$AY$800,$D217)</f>
        <v>0</v>
      </c>
      <c r="I217" s="336">
        <f>COUNTIFS('HR Track 4 MOM'!$M$5:$M$800,$A$212,'HR Track 4 MOM'!$AW$5:$AW$800,$C217,'HR Track 4 MOM'!$AY$5:$AY$800,$D217)</f>
        <v>0</v>
      </c>
      <c r="J217" s="336">
        <f>COUNTIFS('HR Track 4 PMO'!$M$5:$M$800,$A$212,'HR Track 4 PMO'!$AW$5:$AW$800,$C217,'HR Track 4 PMO'!$AY$5:$AY$800,$D217)</f>
        <v>0</v>
      </c>
      <c r="K217" s="337">
        <f>COUNTIFS('HR Track 6 PMO'!$M$5:$M$800,$A$212,'HR Track 6 PMO'!$AW$5:$AW$800,$C217,'HR Track 6 PMO'!$AY$5:$AY$800,$D217)</f>
        <v>0</v>
      </c>
    </row>
    <row r="218" spans="1:11" ht="19.95" customHeight="1">
      <c r="A218" s="848" t="s">
        <v>1292</v>
      </c>
      <c r="B218" s="849" t="s">
        <v>1291</v>
      </c>
      <c r="C218" s="329" t="s">
        <v>1089</v>
      </c>
      <c r="D218" s="330">
        <f>VLOOKUP(B218,Foundation_Calc!$K$4:$R$37,3,FALSE)</f>
        <v>7.1</v>
      </c>
      <c r="E218" s="331">
        <f t="shared" si="4"/>
        <v>0</v>
      </c>
      <c r="F218" s="331">
        <f>COUNTIFS('HR Track 1'!$M$5:$M$406,$A$218,'HR Track 1'!$AW$5:$AW$406,$C218,'HR Track 1'!$AY$5:$AY$406,$D218)</f>
        <v>0</v>
      </c>
      <c r="G218" s="331">
        <f>COUNTIFS('HR Track 2'!$M$5:$M$406,$A$218,'HR Track 2'!$AW$5:$AW$406,$C218,'HR Track 2'!$AY$5:$AY$406,$D218)</f>
        <v>0</v>
      </c>
      <c r="H218" s="331">
        <f>COUNTIFS('HR Track 1 MOM'!$M$5:$M$800,$A$218,'HR Track 1 MOM'!$AW$5:$AW$800,$C218,'HR Track 1 MOM'!$AY$5:$AY$800,$D218)</f>
        <v>0</v>
      </c>
      <c r="I218" s="331">
        <f>COUNTIFS('HR Track 4 MOM'!$M$5:$M$800,$A$218,'HR Track 4 MOM'!$AW$5:$AW$800,$C218,'HR Track 4 MOM'!$AY$5:$AY$800,$D218)</f>
        <v>0</v>
      </c>
      <c r="J218" s="331">
        <f>COUNTIFS('HR Track 4 PMO'!$M$5:$M$800,$A$218,'HR Track 4 PMO'!$AW$5:$AW$800,$C218,'HR Track 4 PMO'!$AY$5:$AY$800,$D218)</f>
        <v>0</v>
      </c>
      <c r="K218" s="332">
        <f>COUNTIFS('HR Track 6 PMO'!$M$5:$M$800,$A$218,'HR Track 6 PMO'!$AW$5:$AW$800,$C218,'HR Track 6 PMO'!$AY$5:$AY$800,$D218)</f>
        <v>0</v>
      </c>
    </row>
    <row r="219" spans="1:11" ht="19.95" customHeight="1">
      <c r="A219" s="764"/>
      <c r="B219" s="753"/>
      <c r="C219" s="163" t="s">
        <v>1090</v>
      </c>
      <c r="D219" s="11" t="str">
        <f>VLOOKUP(B218,Foundation_Calc!$K$4:$R$37,4,FALSE)</f>
        <v>N.D.</v>
      </c>
      <c r="E219" s="7">
        <f t="shared" si="4"/>
        <v>0</v>
      </c>
      <c r="F219" s="7">
        <f>COUNTIFS('HR Track 1'!$M$5:$M$406,$A$218,'HR Track 1'!$AW$5:$AW$406,$C219,'HR Track 1'!$AY$5:$AY$406,$D219)</f>
        <v>0</v>
      </c>
      <c r="G219" s="7">
        <f>COUNTIFS('HR Track 2'!$M$5:$M$406,$A$218,'HR Track 2'!$AW$5:$AW$406,$C219,'HR Track 2'!$AY$5:$AY$406,$D219)</f>
        <v>0</v>
      </c>
      <c r="H219" s="7">
        <f>COUNTIFS('HR Track 1 MOM'!$M$5:$M$800,$A$218,'HR Track 1 MOM'!$AW$5:$AW$800,$C219,'HR Track 1 MOM'!$AY$5:$AY$800,$D219)</f>
        <v>0</v>
      </c>
      <c r="I219" s="7">
        <f>COUNTIFS('HR Track 4 MOM'!$M$5:$M$800,$A$218,'HR Track 4 MOM'!$AW$5:$AW$800,$C219,'HR Track 4 MOM'!$AY$5:$AY$800,$D219)</f>
        <v>0</v>
      </c>
      <c r="J219" s="7">
        <f>COUNTIFS('HR Track 4 PMO'!$M$5:$M$800,$A$218,'HR Track 4 PMO'!$AW$5:$AW$800,$C219,'HR Track 4 PMO'!$AY$5:$AY$800,$D219)</f>
        <v>0</v>
      </c>
      <c r="K219" s="333">
        <f>COUNTIFS('HR Track 6 PMO'!$M$5:$M$800,$A$218,'HR Track 6 PMO'!$AW$5:$AW$800,$C219,'HR Track 6 PMO'!$AY$5:$AY$800,$D219)</f>
        <v>0</v>
      </c>
    </row>
    <row r="220" spans="1:11" ht="19.95" customHeight="1">
      <c r="A220" s="764"/>
      <c r="B220" s="753"/>
      <c r="C220" s="163" t="s">
        <v>1091</v>
      </c>
      <c r="D220" s="11" t="str">
        <f>VLOOKUP(B218,Foundation_Calc!$K$4:$R$37,5,FALSE)</f>
        <v>N.D.</v>
      </c>
      <c r="E220" s="7">
        <f t="shared" si="4"/>
        <v>0</v>
      </c>
      <c r="F220" s="7">
        <f>COUNTIFS('HR Track 1'!$M$5:$M$406,$A$218,'HR Track 1'!$AW$5:$AW$406,$C220,'HR Track 1'!$AY$5:$AY$406,$D220)</f>
        <v>0</v>
      </c>
      <c r="G220" s="7">
        <f>COUNTIFS('HR Track 2'!$M$5:$M$406,$A$218,'HR Track 2'!$AW$5:$AW$406,$C220,'HR Track 2'!$AY$5:$AY$406,$D220)</f>
        <v>0</v>
      </c>
      <c r="H220" s="7">
        <f>COUNTIFS('HR Track 1 MOM'!$M$5:$M$800,$A$218,'HR Track 1 MOM'!$AW$5:$AW$800,$C220,'HR Track 1 MOM'!$AY$5:$AY$800,$D220)</f>
        <v>0</v>
      </c>
      <c r="I220" s="7">
        <f>COUNTIFS('HR Track 4 MOM'!$M$5:$M$800,$A$218,'HR Track 4 MOM'!$AW$5:$AW$800,$C220,'HR Track 4 MOM'!$AY$5:$AY$800,$D220)</f>
        <v>0</v>
      </c>
      <c r="J220" s="7">
        <f>COUNTIFS('HR Track 4 PMO'!$M$5:$M$800,$A$218,'HR Track 4 PMO'!$AW$5:$AW$800,$C220,'HR Track 4 PMO'!$AY$5:$AY$800,$D220)</f>
        <v>0</v>
      </c>
      <c r="K220" s="333">
        <f>COUNTIFS('HR Track 6 PMO'!$M$5:$M$800,$A$218,'HR Track 6 PMO'!$AW$5:$AW$800,$C220,'HR Track 6 PMO'!$AY$5:$AY$800,$D220)</f>
        <v>0</v>
      </c>
    </row>
    <row r="221" spans="1:11" ht="19.95" customHeight="1">
      <c r="A221" s="764"/>
      <c r="B221" s="753"/>
      <c r="C221" s="163" t="s">
        <v>1092</v>
      </c>
      <c r="D221" s="11" t="str">
        <f>VLOOKUP(B218,Foundation_Calc!$K$4:$R$37,6,FALSE)</f>
        <v>N.D.</v>
      </c>
      <c r="E221" s="7">
        <f t="shared" si="4"/>
        <v>0</v>
      </c>
      <c r="F221" s="7">
        <f>COUNTIFS('HR Track 1'!$M$5:$M$406,$A$218,'HR Track 1'!$AW$5:$AW$406,$C221,'HR Track 1'!$AY$5:$AY$406,$D221)</f>
        <v>0</v>
      </c>
      <c r="G221" s="7">
        <f>COUNTIFS('HR Track 2'!$M$5:$M$406,$A$218,'HR Track 2'!$AW$5:$AW$406,$C221,'HR Track 2'!$AY$5:$AY$406,$D221)</f>
        <v>0</v>
      </c>
      <c r="H221" s="7">
        <f>COUNTIFS('HR Track 1 MOM'!$M$5:$M$800,$A$218,'HR Track 1 MOM'!$AW$5:$AW$800,$C221,'HR Track 1 MOM'!$AY$5:$AY$800,$D221)</f>
        <v>0</v>
      </c>
      <c r="I221" s="7">
        <f>COUNTIFS('HR Track 4 MOM'!$M$5:$M$800,$A$218,'HR Track 4 MOM'!$AW$5:$AW$800,$C221,'HR Track 4 MOM'!$AY$5:$AY$800,$D221)</f>
        <v>0</v>
      </c>
      <c r="J221" s="7">
        <f>COUNTIFS('HR Track 4 PMO'!$M$5:$M$800,$A$218,'HR Track 4 PMO'!$AW$5:$AW$800,$C221,'HR Track 4 PMO'!$AY$5:$AY$800,$D221)</f>
        <v>0</v>
      </c>
      <c r="K221" s="333">
        <f>COUNTIFS('HR Track 6 PMO'!$M$5:$M$800,$A$218,'HR Track 6 PMO'!$AW$5:$AW$800,$C221,'HR Track 6 PMO'!$AY$5:$AY$800,$D221)</f>
        <v>0</v>
      </c>
    </row>
    <row r="222" spans="1:11" ht="19.95" customHeight="1">
      <c r="A222" s="764"/>
      <c r="B222" s="753"/>
      <c r="C222" s="163" t="s">
        <v>1093</v>
      </c>
      <c r="D222" s="11" t="str">
        <f>VLOOKUP(B218,Foundation_Calc!$K$4:$R$37,7,FALSE)</f>
        <v>N.D.</v>
      </c>
      <c r="E222" s="7">
        <f t="shared" si="4"/>
        <v>0</v>
      </c>
      <c r="F222" s="7">
        <f>COUNTIFS('HR Track 1'!$M$5:$M$406,$A$218,'HR Track 1'!$AW$5:$AW$406,$C222,'HR Track 1'!$AY$5:$AY$406,$D222)</f>
        <v>0</v>
      </c>
      <c r="G222" s="7">
        <f>COUNTIFS('HR Track 2'!$M$5:$M$406,$A$218,'HR Track 2'!$AW$5:$AW$406,$C222,'HR Track 2'!$AY$5:$AY$406,$D222)</f>
        <v>0</v>
      </c>
      <c r="H222" s="7">
        <f>COUNTIFS('HR Track 1 MOM'!$M$5:$M$800,$A$218,'HR Track 1 MOM'!$AW$5:$AW$800,$C222,'HR Track 1 MOM'!$AY$5:$AY$800,$D222)</f>
        <v>0</v>
      </c>
      <c r="I222" s="7">
        <f>COUNTIFS('HR Track 4 MOM'!$M$5:$M$800,$A$218,'HR Track 4 MOM'!$AW$5:$AW$800,$C222,'HR Track 4 MOM'!$AY$5:$AY$800,$D222)</f>
        <v>0</v>
      </c>
      <c r="J222" s="7">
        <f>COUNTIFS('HR Track 4 PMO'!$M$5:$M$800,$A$218,'HR Track 4 PMO'!$AW$5:$AW$800,$C222,'HR Track 4 PMO'!$AY$5:$AY$800,$D222)</f>
        <v>0</v>
      </c>
      <c r="K222" s="333">
        <f>COUNTIFS('HR Track 6 PMO'!$M$5:$M$800,$A$218,'HR Track 6 PMO'!$AW$5:$AW$800,$C222,'HR Track 6 PMO'!$AY$5:$AY$800,$D222)</f>
        <v>0</v>
      </c>
    </row>
    <row r="223" spans="1:11" ht="19.95" customHeight="1" thickBot="1">
      <c r="A223" s="765"/>
      <c r="B223" s="754"/>
      <c r="C223" s="334" t="s">
        <v>1094</v>
      </c>
      <c r="D223" s="335" t="str">
        <f>VLOOKUP(B218,Foundation_Calc!$K$4:$R$37,8,FALSE)</f>
        <v>N.D.</v>
      </c>
      <c r="E223" s="336">
        <f t="shared" si="4"/>
        <v>0</v>
      </c>
      <c r="F223" s="336">
        <f>COUNTIFS('HR Track 1'!$M$5:$M$406,$A$218,'HR Track 1'!$AW$5:$AW$406,$C223,'HR Track 1'!$AY$5:$AY$406,$D223)</f>
        <v>0</v>
      </c>
      <c r="G223" s="336">
        <f>COUNTIFS('HR Track 2'!$M$5:$M$406,$A$218,'HR Track 2'!$AW$5:$AW$406,$C223,'HR Track 2'!$AY$5:$AY$406,$D223)</f>
        <v>0</v>
      </c>
      <c r="H223" s="336">
        <f>COUNTIFS('HR Track 1 MOM'!$M$5:$M$800,$A$218,'HR Track 1 MOM'!$AW$5:$AW$800,$C223,'HR Track 1 MOM'!$AY$5:$AY$800,$D223)</f>
        <v>0</v>
      </c>
      <c r="I223" s="336">
        <f>COUNTIFS('HR Track 4 MOM'!$M$5:$M$800,$A$218,'HR Track 4 MOM'!$AW$5:$AW$800,$C223,'HR Track 4 MOM'!$AY$5:$AY$800,$D223)</f>
        <v>0</v>
      </c>
      <c r="J223" s="336">
        <f>COUNTIFS('HR Track 4 PMO'!$M$5:$M$800,$A$218,'HR Track 4 PMO'!$AW$5:$AW$800,$C223,'HR Track 4 PMO'!$AY$5:$AY$800,$D223)</f>
        <v>0</v>
      </c>
      <c r="K223" s="337">
        <f>COUNTIFS('HR Track 6 PMO'!$M$5:$M$800,$A$218,'HR Track 6 PMO'!$AW$5:$AW$800,$C223,'HR Track 6 PMO'!$AY$5:$AY$800,$D223)</f>
        <v>0</v>
      </c>
    </row>
    <row r="224" spans="1:11" ht="19.95" customHeight="1">
      <c r="A224" s="842" t="s">
        <v>1295</v>
      </c>
      <c r="B224" s="845" t="s">
        <v>1291</v>
      </c>
      <c r="C224" s="329" t="s">
        <v>1089</v>
      </c>
      <c r="D224" s="338">
        <f>VLOOKUP(B224,Foundation_Calc!$K$41:$R$74,3,FALSE)</f>
        <v>11</v>
      </c>
      <c r="E224" s="331">
        <f t="shared" si="4"/>
        <v>0</v>
      </c>
      <c r="F224" s="331">
        <f>COUNTIFS('HR Track 1'!$M$5:$M$406,$A$224,'HR Track 1'!$AW$5:$AW$406,$C224,'HR Track 1'!$AY$5:$AY$406,$D224)</f>
        <v>0</v>
      </c>
      <c r="G224" s="331">
        <f>COUNTIFS('HR Track 2'!$M$5:$M$406,$A$224,'HR Track 2'!$AW$5:$AW$406,$C224,'HR Track 2'!$AY$5:$AY$406,$D224)</f>
        <v>0</v>
      </c>
      <c r="H224" s="331">
        <f>COUNTIFS('HR Track 1 MOM'!$M$5:$M$800,$A$224,'HR Track 1 MOM'!$AW$5:$AW$800,$C224,'HR Track 1 MOM'!$AY$5:$AY$800,$D224)</f>
        <v>0</v>
      </c>
      <c r="I224" s="331">
        <f>COUNTIFS('HR Track 4 MOM'!$M$5:$M$800,$A$224,'HR Track 4 MOM'!$AW$5:$AW$800,$C224,'HR Track 4 MOM'!$AY$5:$AY$800,$D224)</f>
        <v>0</v>
      </c>
      <c r="J224" s="331">
        <f>COUNTIFS('HR Track 4 PMO'!$M$5:$M$800,$A$224,'HR Track 4 PMO'!$AW$5:$AW$800,$C224,'HR Track 4 PMO'!$AY$5:$AY$800,$D224)</f>
        <v>0</v>
      </c>
      <c r="K224" s="332">
        <f>COUNTIFS('HR Track 6 PMO'!$M$5:$M$800,$A$224,'HR Track 6 PMO'!$AW$5:$AW$800,$C224,'HR Track 6 PMO'!$AY$5:$AY$800,$D224)</f>
        <v>0</v>
      </c>
    </row>
    <row r="225" spans="1:11" ht="19.95" customHeight="1">
      <c r="A225" s="843"/>
      <c r="B225" s="846"/>
      <c r="C225" s="163" t="s">
        <v>1090</v>
      </c>
      <c r="D225" s="307" t="str">
        <f>VLOOKUP(B224,Foundation_Calc!$K$41:$R$74,4,FALSE)</f>
        <v>N.D.</v>
      </c>
      <c r="E225" s="7">
        <f t="shared" si="4"/>
        <v>0</v>
      </c>
      <c r="F225" s="7">
        <f>COUNTIFS('HR Track 1'!$M$5:$M$406,$A$224,'HR Track 1'!$AW$5:$AW$406,$C225,'HR Track 1'!$AY$5:$AY$406,$D225)</f>
        <v>0</v>
      </c>
      <c r="G225" s="7">
        <f>COUNTIFS('HR Track 2'!$M$5:$M$406,$A$224,'HR Track 2'!$AW$5:$AW$406,$C225,'HR Track 2'!$AY$5:$AY$406,$D225)</f>
        <v>0</v>
      </c>
      <c r="H225" s="7">
        <f>COUNTIFS('HR Track 1 MOM'!$M$5:$M$800,$A$224,'HR Track 1 MOM'!$AW$5:$AW$800,$C225,'HR Track 1 MOM'!$AY$5:$AY$800,$D225)</f>
        <v>0</v>
      </c>
      <c r="I225" s="7">
        <f>COUNTIFS('HR Track 4 MOM'!$M$5:$M$800,$A$224,'HR Track 4 MOM'!$AW$5:$AW$800,$C225,'HR Track 4 MOM'!$AY$5:$AY$800,$D225)</f>
        <v>0</v>
      </c>
      <c r="J225" s="7">
        <f>COUNTIFS('HR Track 4 PMO'!$M$5:$M$800,$A$224,'HR Track 4 PMO'!$AW$5:$AW$800,$C225,'HR Track 4 PMO'!$AY$5:$AY$800,$D225)</f>
        <v>0</v>
      </c>
      <c r="K225" s="333">
        <f>COUNTIFS('HR Track 6 PMO'!$M$5:$M$800,$A$224,'HR Track 6 PMO'!$AW$5:$AW$800,$C225,'HR Track 6 PMO'!$AY$5:$AY$800,$D225)</f>
        <v>0</v>
      </c>
    </row>
    <row r="226" spans="1:11" ht="19.95" customHeight="1">
      <c r="A226" s="843"/>
      <c r="B226" s="846"/>
      <c r="C226" s="163" t="s">
        <v>1091</v>
      </c>
      <c r="D226" s="307" t="str">
        <f>VLOOKUP(B224,Foundation_Calc!$K$41:$R$74,5,FALSE)</f>
        <v>N.D.</v>
      </c>
      <c r="E226" s="7">
        <f t="shared" si="4"/>
        <v>0</v>
      </c>
      <c r="F226" s="7">
        <f>COUNTIFS('HR Track 1'!$M$5:$M$406,$A$224,'HR Track 1'!$AW$5:$AW$406,$C226,'HR Track 1'!$AY$5:$AY$406,$D226)</f>
        <v>0</v>
      </c>
      <c r="G226" s="7">
        <f>COUNTIFS('HR Track 2'!$M$5:$M$406,$A$224,'HR Track 2'!$AW$5:$AW$406,$C226,'HR Track 2'!$AY$5:$AY$406,$D226)</f>
        <v>0</v>
      </c>
      <c r="H226" s="7">
        <f>COUNTIFS('HR Track 1 MOM'!$M$5:$M$800,$A$224,'HR Track 1 MOM'!$AW$5:$AW$800,$C226,'HR Track 1 MOM'!$AY$5:$AY$800,$D226)</f>
        <v>0</v>
      </c>
      <c r="I226" s="7">
        <f>COUNTIFS('HR Track 4 MOM'!$M$5:$M$800,$A$224,'HR Track 4 MOM'!$AW$5:$AW$800,$C226,'HR Track 4 MOM'!$AY$5:$AY$800,$D226)</f>
        <v>0</v>
      </c>
      <c r="J226" s="7">
        <f>COUNTIFS('HR Track 4 PMO'!$M$5:$M$800,$A$224,'HR Track 4 PMO'!$AW$5:$AW$800,$C226,'HR Track 4 PMO'!$AY$5:$AY$800,$D226)</f>
        <v>0</v>
      </c>
      <c r="K226" s="333">
        <f>COUNTIFS('HR Track 6 PMO'!$M$5:$M$800,$A$224,'HR Track 6 PMO'!$AW$5:$AW$800,$C226,'HR Track 6 PMO'!$AY$5:$AY$800,$D226)</f>
        <v>0</v>
      </c>
    </row>
    <row r="227" spans="1:11" ht="19.95" customHeight="1">
      <c r="A227" s="843"/>
      <c r="B227" s="846"/>
      <c r="C227" s="163" t="s">
        <v>1092</v>
      </c>
      <c r="D227" s="307" t="str">
        <f>VLOOKUP(B224,Foundation_Calc!$K$41:$R$74,6,FALSE)</f>
        <v>N.D.</v>
      </c>
      <c r="E227" s="7">
        <f t="shared" si="4"/>
        <v>0</v>
      </c>
      <c r="F227" s="7">
        <f>COUNTIFS('HR Track 1'!$M$5:$M$406,$A$224,'HR Track 1'!$AW$5:$AW$406,$C227,'HR Track 1'!$AY$5:$AY$406,$D227)</f>
        <v>0</v>
      </c>
      <c r="G227" s="7">
        <f>COUNTIFS('HR Track 2'!$M$5:$M$406,$A$224,'HR Track 2'!$AW$5:$AW$406,$C227,'HR Track 2'!$AY$5:$AY$406,$D227)</f>
        <v>0</v>
      </c>
      <c r="H227" s="7">
        <f>COUNTIFS('HR Track 1 MOM'!$M$5:$M$800,$A$224,'HR Track 1 MOM'!$AW$5:$AW$800,$C227,'HR Track 1 MOM'!$AY$5:$AY$800,$D227)</f>
        <v>0</v>
      </c>
      <c r="I227" s="7">
        <f>COUNTIFS('HR Track 4 MOM'!$M$5:$M$800,$A$224,'HR Track 4 MOM'!$AW$5:$AW$800,$C227,'HR Track 4 MOM'!$AY$5:$AY$800,$D227)</f>
        <v>0</v>
      </c>
      <c r="J227" s="7">
        <f>COUNTIFS('HR Track 4 PMO'!$M$5:$M$800,$A$224,'HR Track 4 PMO'!$AW$5:$AW$800,$C227,'HR Track 4 PMO'!$AY$5:$AY$800,$D227)</f>
        <v>0</v>
      </c>
      <c r="K227" s="333">
        <f>COUNTIFS('HR Track 6 PMO'!$M$5:$M$800,$A$224,'HR Track 6 PMO'!$AW$5:$AW$800,$C227,'HR Track 6 PMO'!$AY$5:$AY$800,$D227)</f>
        <v>0</v>
      </c>
    </row>
    <row r="228" spans="1:11" ht="19.95" customHeight="1">
      <c r="A228" s="843"/>
      <c r="B228" s="846"/>
      <c r="C228" s="163" t="s">
        <v>1093</v>
      </c>
      <c r="D228" s="307" t="str">
        <f>VLOOKUP(B224,Foundation_Calc!$K$41:$R$74,7,FALSE)</f>
        <v>N.D.</v>
      </c>
      <c r="E228" s="7">
        <f t="shared" si="4"/>
        <v>0</v>
      </c>
      <c r="F228" s="7">
        <f>COUNTIFS('HR Track 1'!$M$5:$M$406,$A$224,'HR Track 1'!$AW$5:$AW$406,$C228,'HR Track 1'!$AY$5:$AY$406,$D228)</f>
        <v>0</v>
      </c>
      <c r="G228" s="7">
        <f>COUNTIFS('HR Track 2'!$M$5:$M$406,$A$224,'HR Track 2'!$AW$5:$AW$406,$C228,'HR Track 2'!$AY$5:$AY$406,$D228)</f>
        <v>0</v>
      </c>
      <c r="H228" s="7">
        <f>COUNTIFS('HR Track 1 MOM'!$M$5:$M$800,$A$224,'HR Track 1 MOM'!$AW$5:$AW$800,$C228,'HR Track 1 MOM'!$AY$5:$AY$800,$D228)</f>
        <v>0</v>
      </c>
      <c r="I228" s="7">
        <f>COUNTIFS('HR Track 4 MOM'!$M$5:$M$800,$A$224,'HR Track 4 MOM'!$AW$5:$AW$800,$C228,'HR Track 4 MOM'!$AY$5:$AY$800,$D228)</f>
        <v>0</v>
      </c>
      <c r="J228" s="7">
        <f>COUNTIFS('HR Track 4 PMO'!$M$5:$M$800,$A$224,'HR Track 4 PMO'!$AW$5:$AW$800,$C228,'HR Track 4 PMO'!$AY$5:$AY$800,$D228)</f>
        <v>0</v>
      </c>
      <c r="K228" s="333">
        <f>COUNTIFS('HR Track 6 PMO'!$M$5:$M$800,$A$224,'HR Track 6 PMO'!$AW$5:$AW$800,$C228,'HR Track 6 PMO'!$AY$5:$AY$800,$D228)</f>
        <v>0</v>
      </c>
    </row>
    <row r="229" spans="1:11" ht="19.95" customHeight="1" thickBot="1">
      <c r="A229" s="844"/>
      <c r="B229" s="847"/>
      <c r="C229" s="334" t="s">
        <v>1094</v>
      </c>
      <c r="D229" s="339" t="str">
        <f>VLOOKUP(B224,Foundation_Calc!$K$41:$R$74,8,FALSE)</f>
        <v>N.D.</v>
      </c>
      <c r="E229" s="336">
        <f t="shared" si="4"/>
        <v>0</v>
      </c>
      <c r="F229" s="336">
        <f>COUNTIFS('HR Track 1'!$M$5:$M$406,$A$224,'HR Track 1'!$AW$5:$AW$406,$C229,'HR Track 1'!$AY$5:$AY$406,$D229)</f>
        <v>0</v>
      </c>
      <c r="G229" s="336">
        <f>COUNTIFS('HR Track 2'!$M$5:$M$406,$A$224,'HR Track 2'!$AW$5:$AW$406,$C229,'HR Track 2'!$AY$5:$AY$406,$D229)</f>
        <v>0</v>
      </c>
      <c r="H229" s="336">
        <f>COUNTIFS('HR Track 1 MOM'!$M$5:$M$800,$A$224,'HR Track 1 MOM'!$AW$5:$AW$800,$C229,'HR Track 1 MOM'!$AY$5:$AY$800,$D229)</f>
        <v>0</v>
      </c>
      <c r="I229" s="336">
        <f>COUNTIFS('HR Track 4 MOM'!$M$5:$M$800,$A$224,'HR Track 4 MOM'!$AW$5:$AW$800,$C229,'HR Track 4 MOM'!$AY$5:$AY$800,$D229)</f>
        <v>0</v>
      </c>
      <c r="J229" s="336">
        <f>COUNTIFS('HR Track 4 PMO'!$M$5:$M$800,$A$224,'HR Track 4 PMO'!$AW$5:$AW$800,$C229,'HR Track 4 PMO'!$AY$5:$AY$800,$D229)</f>
        <v>0</v>
      </c>
      <c r="K229" s="337">
        <f>COUNTIFS('HR Track 6 PMO'!$M$5:$M$800,$A$224,'HR Track 6 PMO'!$AW$5:$AW$800,$C229,'HR Track 6 PMO'!$AY$5:$AY$800,$D229)</f>
        <v>0</v>
      </c>
    </row>
    <row r="230" spans="1:11" ht="19.95" customHeight="1">
      <c r="A230" s="848" t="s">
        <v>1007</v>
      </c>
      <c r="B230" s="849" t="s">
        <v>448</v>
      </c>
      <c r="C230" s="329" t="s">
        <v>1089</v>
      </c>
      <c r="D230" s="330">
        <f>VLOOKUP(B230,Foundation_Calc!$K$4:$R$37,3,FALSE)</f>
        <v>3.9</v>
      </c>
      <c r="E230" s="331">
        <f t="shared" si="4"/>
        <v>0</v>
      </c>
      <c r="F230" s="331">
        <f>COUNTIFS('HR Track 1'!$M$5:$M$406,$A$230,'HR Track 1'!$AW$5:$AW$406,$C230,'HR Track 1'!$AY$5:$AY$406,$D230)</f>
        <v>0</v>
      </c>
      <c r="G230" s="331">
        <f>COUNTIFS('HR Track 2'!$M$5:$M$406,$A$230,'HR Track 2'!$AW$5:$AW$406,$C230,'HR Track 2'!$AY$5:$AY$406,$D230)</f>
        <v>0</v>
      </c>
      <c r="H230" s="331">
        <f>COUNTIFS('HR Track 1 MOM'!$M$5:$M$800,$A$230,'HR Track 1 MOM'!$AW$5:$AW$800,$C230,'HR Track 1 MOM'!$AY$5:$AY$800,$D230)</f>
        <v>0</v>
      </c>
      <c r="I230" s="331">
        <f>COUNTIFS('HR Track 4 MOM'!$M$5:$M$800,$A$230,'HR Track 4 MOM'!$AW$5:$AW$800,$C230,'HR Track 4 MOM'!$AY$5:$AY$800,$D230)</f>
        <v>0</v>
      </c>
      <c r="J230" s="331">
        <f>COUNTIFS('HR Track 4 PMO'!$M$5:$M$800,$A$230,'HR Track 4 PMO'!$AW$5:$AW$800,$C230,'HR Track 4 PMO'!$AY$5:$AY$800,$D230)</f>
        <v>0</v>
      </c>
      <c r="K230" s="332">
        <f>COUNTIFS('HR Track 6 PMO'!$M$5:$M$800,$A$230,'HR Track 6 PMO'!$AW$5:$AW$800,$C230,'HR Track 6 PMO'!$AY$5:$AY$800,$D230)</f>
        <v>0</v>
      </c>
    </row>
    <row r="231" spans="1:11" ht="19.95" customHeight="1">
      <c r="A231" s="764"/>
      <c r="B231" s="753"/>
      <c r="C231" s="163" t="s">
        <v>1090</v>
      </c>
      <c r="D231" s="11" t="str">
        <f>VLOOKUP(B230,Foundation_Calc!$K$4:$R$37,4,FALSE)</f>
        <v>N.D.</v>
      </c>
      <c r="E231" s="7">
        <f t="shared" si="4"/>
        <v>0</v>
      </c>
      <c r="F231" s="7">
        <f>COUNTIFS('HR Track 1'!$M$5:$M$406,$A$230,'HR Track 1'!$AW$5:$AW$406,$C231,'HR Track 1'!$AY$5:$AY$406,$D231)</f>
        <v>0</v>
      </c>
      <c r="G231" s="7">
        <f>COUNTIFS('HR Track 2'!$M$5:$M$406,$A$230,'HR Track 2'!$AW$5:$AW$406,$C231,'HR Track 2'!$AY$5:$AY$406,$D231)</f>
        <v>0</v>
      </c>
      <c r="H231" s="7">
        <f>COUNTIFS('HR Track 1 MOM'!$M$5:$M$800,$A$230,'HR Track 1 MOM'!$AW$5:$AW$800,$C231,'HR Track 1 MOM'!$AY$5:$AY$800,$D231)</f>
        <v>0</v>
      </c>
      <c r="I231" s="7">
        <f>COUNTIFS('HR Track 4 MOM'!$M$5:$M$800,$A$230,'HR Track 4 MOM'!$AW$5:$AW$800,$C231,'HR Track 4 MOM'!$AY$5:$AY$800,$D231)</f>
        <v>0</v>
      </c>
      <c r="J231" s="7">
        <f>COUNTIFS('HR Track 4 PMO'!$M$5:$M$800,$A$230,'HR Track 4 PMO'!$AW$5:$AW$800,$C231,'HR Track 4 PMO'!$AY$5:$AY$800,$D231)</f>
        <v>0</v>
      </c>
      <c r="K231" s="333">
        <f>COUNTIFS('HR Track 6 PMO'!$M$5:$M$800,$A$230,'HR Track 6 PMO'!$AW$5:$AW$800,$C231,'HR Track 6 PMO'!$AY$5:$AY$800,$D231)</f>
        <v>0</v>
      </c>
    </row>
    <row r="232" spans="1:11" ht="19.95" customHeight="1">
      <c r="A232" s="764"/>
      <c r="B232" s="753"/>
      <c r="C232" s="163" t="s">
        <v>1091</v>
      </c>
      <c r="D232" s="11" t="str">
        <f>VLOOKUP(B230,Foundation_Calc!$K$4:$R$37,5,FALSE)</f>
        <v>N.D.</v>
      </c>
      <c r="E232" s="7">
        <f t="shared" si="4"/>
        <v>0</v>
      </c>
      <c r="F232" s="7">
        <f>COUNTIFS('HR Track 1'!$M$5:$M$406,$A$230,'HR Track 1'!$AW$5:$AW$406,$C232,'HR Track 1'!$AY$5:$AY$406,$D232)</f>
        <v>0</v>
      </c>
      <c r="G232" s="7">
        <f>COUNTIFS('HR Track 2'!$M$5:$M$406,$A$230,'HR Track 2'!$AW$5:$AW$406,$C232,'HR Track 2'!$AY$5:$AY$406,$D232)</f>
        <v>0</v>
      </c>
      <c r="H232" s="7">
        <f>COUNTIFS('HR Track 1 MOM'!$M$5:$M$800,$A$230,'HR Track 1 MOM'!$AW$5:$AW$800,$C232,'HR Track 1 MOM'!$AY$5:$AY$800,$D232)</f>
        <v>0</v>
      </c>
      <c r="I232" s="7">
        <f>COUNTIFS('HR Track 4 MOM'!$M$5:$M$800,$A$230,'HR Track 4 MOM'!$AW$5:$AW$800,$C232,'HR Track 4 MOM'!$AY$5:$AY$800,$D232)</f>
        <v>0</v>
      </c>
      <c r="J232" s="7">
        <f>COUNTIFS('HR Track 4 PMO'!$M$5:$M$800,$A$230,'HR Track 4 PMO'!$AW$5:$AW$800,$C232,'HR Track 4 PMO'!$AY$5:$AY$800,$D232)</f>
        <v>0</v>
      </c>
      <c r="K232" s="333">
        <f>COUNTIFS('HR Track 6 PMO'!$M$5:$M$800,$A$230,'HR Track 6 PMO'!$AW$5:$AW$800,$C232,'HR Track 6 PMO'!$AY$5:$AY$800,$D232)</f>
        <v>0</v>
      </c>
    </row>
    <row r="233" spans="1:11" ht="19.95" customHeight="1">
      <c r="A233" s="764"/>
      <c r="B233" s="753"/>
      <c r="C233" s="163" t="s">
        <v>1092</v>
      </c>
      <c r="D233" s="11" t="str">
        <f>VLOOKUP(B230,Foundation_Calc!$K$4:$R$37,6,FALSE)</f>
        <v>N.D.</v>
      </c>
      <c r="E233" s="7">
        <f t="shared" si="4"/>
        <v>0</v>
      </c>
      <c r="F233" s="7">
        <f>COUNTIFS('HR Track 1'!$M$5:$M$406,$A$230,'HR Track 1'!$AW$5:$AW$406,$C233,'HR Track 1'!$AY$5:$AY$406,$D233)</f>
        <v>0</v>
      </c>
      <c r="G233" s="7">
        <f>COUNTIFS('HR Track 2'!$M$5:$M$406,$A$230,'HR Track 2'!$AW$5:$AW$406,$C233,'HR Track 2'!$AY$5:$AY$406,$D233)</f>
        <v>0</v>
      </c>
      <c r="H233" s="7">
        <f>COUNTIFS('HR Track 1 MOM'!$M$5:$M$800,$A$230,'HR Track 1 MOM'!$AW$5:$AW$800,$C233,'HR Track 1 MOM'!$AY$5:$AY$800,$D233)</f>
        <v>0</v>
      </c>
      <c r="I233" s="7">
        <f>COUNTIFS('HR Track 4 MOM'!$M$5:$M$800,$A$230,'HR Track 4 MOM'!$AW$5:$AW$800,$C233,'HR Track 4 MOM'!$AY$5:$AY$800,$D233)</f>
        <v>0</v>
      </c>
      <c r="J233" s="7">
        <f>COUNTIFS('HR Track 4 PMO'!$M$5:$M$800,$A$230,'HR Track 4 PMO'!$AW$5:$AW$800,$C233,'HR Track 4 PMO'!$AY$5:$AY$800,$D233)</f>
        <v>0</v>
      </c>
      <c r="K233" s="333">
        <f>COUNTIFS('HR Track 6 PMO'!$M$5:$M$800,$A$230,'HR Track 6 PMO'!$AW$5:$AW$800,$C233,'HR Track 6 PMO'!$AY$5:$AY$800,$D233)</f>
        <v>0</v>
      </c>
    </row>
    <row r="234" spans="1:11" ht="19.95" customHeight="1">
      <c r="A234" s="764"/>
      <c r="B234" s="753"/>
      <c r="C234" s="163" t="s">
        <v>1093</v>
      </c>
      <c r="D234" s="11" t="str">
        <f>VLOOKUP(B230,Foundation_Calc!$K$4:$R$37,7,FALSE)</f>
        <v>N.D.</v>
      </c>
      <c r="E234" s="7">
        <f t="shared" si="4"/>
        <v>0</v>
      </c>
      <c r="F234" s="7">
        <f>COUNTIFS('HR Track 1'!$M$5:$M$406,$A$230,'HR Track 1'!$AW$5:$AW$406,$C234,'HR Track 1'!$AY$5:$AY$406,$D234)</f>
        <v>0</v>
      </c>
      <c r="G234" s="7">
        <f>COUNTIFS('HR Track 2'!$M$5:$M$406,$A$230,'HR Track 2'!$AW$5:$AW$406,$C234,'HR Track 2'!$AY$5:$AY$406,$D234)</f>
        <v>0</v>
      </c>
      <c r="H234" s="7">
        <f>COUNTIFS('HR Track 1 MOM'!$M$5:$M$800,$A$230,'HR Track 1 MOM'!$AW$5:$AW$800,$C234,'HR Track 1 MOM'!$AY$5:$AY$800,$D234)</f>
        <v>0</v>
      </c>
      <c r="I234" s="7">
        <f>COUNTIFS('HR Track 4 MOM'!$M$5:$M$800,$A$230,'HR Track 4 MOM'!$AW$5:$AW$800,$C234,'HR Track 4 MOM'!$AY$5:$AY$800,$D234)</f>
        <v>0</v>
      </c>
      <c r="J234" s="7">
        <f>COUNTIFS('HR Track 4 PMO'!$M$5:$M$800,$A$230,'HR Track 4 PMO'!$AW$5:$AW$800,$C234,'HR Track 4 PMO'!$AY$5:$AY$800,$D234)</f>
        <v>0</v>
      </c>
      <c r="K234" s="333">
        <f>COUNTIFS('HR Track 6 PMO'!$M$5:$M$800,$A$230,'HR Track 6 PMO'!$AW$5:$AW$800,$C234,'HR Track 6 PMO'!$AY$5:$AY$800,$D234)</f>
        <v>0</v>
      </c>
    </row>
    <row r="235" spans="1:11" ht="19.95" customHeight="1" thickBot="1">
      <c r="A235" s="765"/>
      <c r="B235" s="754"/>
      <c r="C235" s="334" t="s">
        <v>1094</v>
      </c>
      <c r="D235" s="335" t="str">
        <f>VLOOKUP(B230,Foundation_Calc!$K$4:$R$37,8,FALSE)</f>
        <v>N.D.</v>
      </c>
      <c r="E235" s="336">
        <f t="shared" si="4"/>
        <v>0</v>
      </c>
      <c r="F235" s="336">
        <f>COUNTIFS('HR Track 1'!$M$5:$M$406,$A$230,'HR Track 1'!$AW$5:$AW$406,$C235,'HR Track 1'!$AY$5:$AY$406,$D235)</f>
        <v>0</v>
      </c>
      <c r="G235" s="336">
        <f>COUNTIFS('HR Track 2'!$M$5:$M$406,$A$230,'HR Track 2'!$AW$5:$AW$406,$C235,'HR Track 2'!$AY$5:$AY$406,$D235)</f>
        <v>0</v>
      </c>
      <c r="H235" s="336">
        <f>COUNTIFS('HR Track 1 MOM'!$M$5:$M$800,$A$230,'HR Track 1 MOM'!$AW$5:$AW$800,$C235,'HR Track 1 MOM'!$AY$5:$AY$800,$D235)</f>
        <v>0</v>
      </c>
      <c r="I235" s="336">
        <f>COUNTIFS('HR Track 4 MOM'!$M$5:$M$800,$A$230,'HR Track 4 MOM'!$AW$5:$AW$800,$C235,'HR Track 4 MOM'!$AY$5:$AY$800,$D235)</f>
        <v>0</v>
      </c>
      <c r="J235" s="336">
        <f>COUNTIFS('HR Track 4 PMO'!$M$5:$M$800,$A$230,'HR Track 4 PMO'!$AW$5:$AW$800,$C235,'HR Track 4 PMO'!$AY$5:$AY$800,$D235)</f>
        <v>0</v>
      </c>
      <c r="K235" s="337">
        <f>COUNTIFS('HR Track 6 PMO'!$M$5:$M$800,$A$230,'HR Track 6 PMO'!$AW$5:$AW$800,$C235,'HR Track 6 PMO'!$AY$5:$AY$800,$D235)</f>
        <v>0</v>
      </c>
    </row>
    <row r="236" spans="1:11" ht="19.95" customHeight="1">
      <c r="A236" s="842" t="s">
        <v>1008</v>
      </c>
      <c r="B236" s="845" t="s">
        <v>448</v>
      </c>
      <c r="C236" s="329" t="s">
        <v>1089</v>
      </c>
      <c r="D236" s="338">
        <f>VLOOKUP(B236,Foundation_Calc!$K$41:$R$74,3,FALSE)</f>
        <v>4.5</v>
      </c>
      <c r="E236" s="331">
        <f t="shared" si="4"/>
        <v>0</v>
      </c>
      <c r="F236" s="331">
        <f>COUNTIFS('HR Track 1'!$M$5:$M$406,$A$236,'HR Track 1'!$AW$5:$AW$406,$C236,'HR Track 1'!$AY$5:$AY$406,$D236)</f>
        <v>0</v>
      </c>
      <c r="G236" s="331">
        <f>COUNTIFS('HR Track 2'!$M$5:$M$406,$A$236,'HR Track 2'!$AW$5:$AW$406,$C236,'HR Track 2'!$AY$5:$AY$406,$D236)</f>
        <v>0</v>
      </c>
      <c r="H236" s="331">
        <f>COUNTIFS('HR Track 1 MOM'!$M$5:$M$800,$A$236,'HR Track 1 MOM'!$AW$5:$AW$800,$C236,'HR Track 1 MOM'!$AY$5:$AY$800,$D236)</f>
        <v>0</v>
      </c>
      <c r="I236" s="331">
        <f>COUNTIFS('HR Track 4 MOM'!$M$5:$M$800,$A$236,'HR Track 4 MOM'!$AW$5:$AW$800,$C236,'HR Track 4 MOM'!$AY$5:$AY$800,$D236)</f>
        <v>0</v>
      </c>
      <c r="J236" s="331">
        <f>COUNTIFS('HR Track 4 PMO'!$M$5:$M$800,$A$236,'HR Track 4 PMO'!$AW$5:$AW$800,$C236,'HR Track 4 PMO'!$AY$5:$AY$800,$D236)</f>
        <v>0</v>
      </c>
      <c r="K236" s="332">
        <f>COUNTIFS('HR Track 6 PMO'!$M$5:$M$800,$A$236,'HR Track 6 PMO'!$AW$5:$AW$800,$C236,'HR Track 6 PMO'!$AY$5:$AY$800,$D236)</f>
        <v>0</v>
      </c>
    </row>
    <row r="237" spans="1:11" ht="19.95" customHeight="1">
      <c r="A237" s="843"/>
      <c r="B237" s="846"/>
      <c r="C237" s="163" t="s">
        <v>1090</v>
      </c>
      <c r="D237" s="307" t="str">
        <f>VLOOKUP(B236,Foundation_Calc!$K$41:$R$74,4,FALSE)</f>
        <v>N.D.</v>
      </c>
      <c r="E237" s="7">
        <f t="shared" si="4"/>
        <v>0</v>
      </c>
      <c r="F237" s="7">
        <f>COUNTIFS('HR Track 1'!$M$5:$M$406,$A$236,'HR Track 1'!$AW$5:$AW$406,$C237,'HR Track 1'!$AY$5:$AY$406,$D237)</f>
        <v>0</v>
      </c>
      <c r="G237" s="7">
        <f>COUNTIFS('HR Track 2'!$M$5:$M$406,$A$236,'HR Track 2'!$AW$5:$AW$406,$C237,'HR Track 2'!$AY$5:$AY$406,$D237)</f>
        <v>0</v>
      </c>
      <c r="H237" s="7">
        <f>COUNTIFS('HR Track 1 MOM'!$M$5:$M$800,$A$236,'HR Track 1 MOM'!$AW$5:$AW$800,$C237,'HR Track 1 MOM'!$AY$5:$AY$800,$D237)</f>
        <v>0</v>
      </c>
      <c r="I237" s="7">
        <f>COUNTIFS('HR Track 4 MOM'!$M$5:$M$800,$A$236,'HR Track 4 MOM'!$AW$5:$AW$800,$C237,'HR Track 4 MOM'!$AY$5:$AY$800,$D237)</f>
        <v>0</v>
      </c>
      <c r="J237" s="7">
        <f>COUNTIFS('HR Track 4 PMO'!$M$5:$M$800,$A$236,'HR Track 4 PMO'!$AW$5:$AW$800,$C237,'HR Track 4 PMO'!$AY$5:$AY$800,$D237)</f>
        <v>0</v>
      </c>
      <c r="K237" s="333">
        <f>COUNTIFS('HR Track 6 PMO'!$M$5:$M$800,$A$236,'HR Track 6 PMO'!$AW$5:$AW$800,$C237,'HR Track 6 PMO'!$AY$5:$AY$800,$D237)</f>
        <v>0</v>
      </c>
    </row>
    <row r="238" spans="1:11" ht="19.95" customHeight="1">
      <c r="A238" s="843"/>
      <c r="B238" s="846"/>
      <c r="C238" s="163" t="s">
        <v>1091</v>
      </c>
      <c r="D238" s="307" t="str">
        <f>VLOOKUP(B236,Foundation_Calc!$K$41:$R$74,5,FALSE)</f>
        <v>N.D.</v>
      </c>
      <c r="E238" s="7">
        <f t="shared" si="4"/>
        <v>0</v>
      </c>
      <c r="F238" s="7">
        <f>COUNTIFS('HR Track 1'!$M$5:$M$406,$A$236,'HR Track 1'!$AW$5:$AW$406,$C238,'HR Track 1'!$AY$5:$AY$406,$D238)</f>
        <v>0</v>
      </c>
      <c r="G238" s="7">
        <f>COUNTIFS('HR Track 2'!$M$5:$M$406,$A$236,'HR Track 2'!$AW$5:$AW$406,$C238,'HR Track 2'!$AY$5:$AY$406,$D238)</f>
        <v>0</v>
      </c>
      <c r="H238" s="7">
        <f>COUNTIFS('HR Track 1 MOM'!$M$5:$M$800,$A$236,'HR Track 1 MOM'!$AW$5:$AW$800,$C238,'HR Track 1 MOM'!$AY$5:$AY$800,$D238)</f>
        <v>0</v>
      </c>
      <c r="I238" s="7">
        <f>COUNTIFS('HR Track 4 MOM'!$M$5:$M$800,$A$236,'HR Track 4 MOM'!$AW$5:$AW$800,$C238,'HR Track 4 MOM'!$AY$5:$AY$800,$D238)</f>
        <v>0</v>
      </c>
      <c r="J238" s="7">
        <f>COUNTIFS('HR Track 4 PMO'!$M$5:$M$800,$A$236,'HR Track 4 PMO'!$AW$5:$AW$800,$C238,'HR Track 4 PMO'!$AY$5:$AY$800,$D238)</f>
        <v>0</v>
      </c>
      <c r="K238" s="333">
        <f>COUNTIFS('HR Track 6 PMO'!$M$5:$M$800,$A$236,'HR Track 6 PMO'!$AW$5:$AW$800,$C238,'HR Track 6 PMO'!$AY$5:$AY$800,$D238)</f>
        <v>0</v>
      </c>
    </row>
    <row r="239" spans="1:11" ht="19.95" customHeight="1">
      <c r="A239" s="843"/>
      <c r="B239" s="846"/>
      <c r="C239" s="163" t="s">
        <v>1092</v>
      </c>
      <c r="D239" s="307" t="str">
        <f>VLOOKUP(B236,Foundation_Calc!$K$41:$R$74,6,FALSE)</f>
        <v>N.D.</v>
      </c>
      <c r="E239" s="7">
        <f t="shared" si="4"/>
        <v>0</v>
      </c>
      <c r="F239" s="7">
        <f>COUNTIFS('HR Track 1'!$M$5:$M$406,$A$236,'HR Track 1'!$AW$5:$AW$406,$C239,'HR Track 1'!$AY$5:$AY$406,$D239)</f>
        <v>0</v>
      </c>
      <c r="G239" s="7">
        <f>COUNTIFS('HR Track 2'!$M$5:$M$406,$A$236,'HR Track 2'!$AW$5:$AW$406,$C239,'HR Track 2'!$AY$5:$AY$406,$D239)</f>
        <v>0</v>
      </c>
      <c r="H239" s="7">
        <f>COUNTIFS('HR Track 1 MOM'!$M$5:$M$800,$A$236,'HR Track 1 MOM'!$AW$5:$AW$800,$C239,'HR Track 1 MOM'!$AY$5:$AY$800,$D239)</f>
        <v>0</v>
      </c>
      <c r="I239" s="7">
        <f>COUNTIFS('HR Track 4 MOM'!$M$5:$M$800,$A$236,'HR Track 4 MOM'!$AW$5:$AW$800,$C239,'HR Track 4 MOM'!$AY$5:$AY$800,$D239)</f>
        <v>0</v>
      </c>
      <c r="J239" s="7">
        <f>COUNTIFS('HR Track 4 PMO'!$M$5:$M$800,$A$236,'HR Track 4 PMO'!$AW$5:$AW$800,$C239,'HR Track 4 PMO'!$AY$5:$AY$800,$D239)</f>
        <v>0</v>
      </c>
      <c r="K239" s="333">
        <f>COUNTIFS('HR Track 6 PMO'!$M$5:$M$800,$A$236,'HR Track 6 PMO'!$AW$5:$AW$800,$C239,'HR Track 6 PMO'!$AY$5:$AY$800,$D239)</f>
        <v>0</v>
      </c>
    </row>
    <row r="240" spans="1:11" ht="19.95" customHeight="1">
      <c r="A240" s="843"/>
      <c r="B240" s="846"/>
      <c r="C240" s="163" t="s">
        <v>1093</v>
      </c>
      <c r="D240" s="307" t="str">
        <f>VLOOKUP(B236,Foundation_Calc!$K$41:$R$74,7,FALSE)</f>
        <v>N.D.</v>
      </c>
      <c r="E240" s="7">
        <f t="shared" si="4"/>
        <v>0</v>
      </c>
      <c r="F240" s="7">
        <f>COUNTIFS('HR Track 1'!$M$5:$M$406,$A$236,'HR Track 1'!$AW$5:$AW$406,$C240,'HR Track 1'!$AY$5:$AY$406,$D240)</f>
        <v>0</v>
      </c>
      <c r="G240" s="7">
        <f>COUNTIFS('HR Track 2'!$M$5:$M$406,$A$236,'HR Track 2'!$AW$5:$AW$406,$C240,'HR Track 2'!$AY$5:$AY$406,$D240)</f>
        <v>0</v>
      </c>
      <c r="H240" s="7">
        <f>COUNTIFS('HR Track 1 MOM'!$M$5:$M$800,$A$236,'HR Track 1 MOM'!$AW$5:$AW$800,$C240,'HR Track 1 MOM'!$AY$5:$AY$800,$D240)</f>
        <v>0</v>
      </c>
      <c r="I240" s="7">
        <f>COUNTIFS('HR Track 4 MOM'!$M$5:$M$800,$A$236,'HR Track 4 MOM'!$AW$5:$AW$800,$C240,'HR Track 4 MOM'!$AY$5:$AY$800,$D240)</f>
        <v>0</v>
      </c>
      <c r="J240" s="7">
        <f>COUNTIFS('HR Track 4 PMO'!$M$5:$M$800,$A$236,'HR Track 4 PMO'!$AW$5:$AW$800,$C240,'HR Track 4 PMO'!$AY$5:$AY$800,$D240)</f>
        <v>0</v>
      </c>
      <c r="K240" s="333">
        <f>COUNTIFS('HR Track 6 PMO'!$M$5:$M$800,$A$236,'HR Track 6 PMO'!$AW$5:$AW$800,$C240,'HR Track 6 PMO'!$AY$5:$AY$800,$D240)</f>
        <v>0</v>
      </c>
    </row>
    <row r="241" spans="1:11" ht="19.95" customHeight="1" thickBot="1">
      <c r="A241" s="844"/>
      <c r="B241" s="847"/>
      <c r="C241" s="334" t="s">
        <v>1094</v>
      </c>
      <c r="D241" s="339" t="str">
        <f>VLOOKUP(B236,Foundation_Calc!$K$41:$R$74,8,FALSE)</f>
        <v>N.D.</v>
      </c>
      <c r="E241" s="336">
        <f t="shared" si="4"/>
        <v>0</v>
      </c>
      <c r="F241" s="336">
        <f>COUNTIFS('HR Track 1'!$M$5:$M$406,$A$236,'HR Track 1'!$AW$5:$AW$406,$C241,'HR Track 1'!$AY$5:$AY$406,$D241)</f>
        <v>0</v>
      </c>
      <c r="G241" s="336">
        <f>COUNTIFS('HR Track 2'!$M$5:$M$406,$A$236,'HR Track 2'!$AW$5:$AW$406,$C241,'HR Track 2'!$AY$5:$AY$406,$D241)</f>
        <v>0</v>
      </c>
      <c r="H241" s="336">
        <f>COUNTIFS('HR Track 1 MOM'!$M$5:$M$800,$A$236,'HR Track 1 MOM'!$AW$5:$AW$800,$C241,'HR Track 1 MOM'!$AY$5:$AY$800,$D241)</f>
        <v>0</v>
      </c>
      <c r="I241" s="336">
        <f>COUNTIFS('HR Track 4 MOM'!$M$5:$M$800,$A$236,'HR Track 4 MOM'!$AW$5:$AW$800,$C241,'HR Track 4 MOM'!$AY$5:$AY$800,$D241)</f>
        <v>0</v>
      </c>
      <c r="J241" s="336">
        <f>COUNTIFS('HR Track 4 PMO'!$M$5:$M$800,$A$236,'HR Track 4 PMO'!$AW$5:$AW$800,$C241,'HR Track 4 PMO'!$AY$5:$AY$800,$D241)</f>
        <v>0</v>
      </c>
      <c r="K241" s="337">
        <f>COUNTIFS('HR Track 6 PMO'!$M$5:$M$800,$A$236,'HR Track 6 PMO'!$AW$5:$AW$800,$C241,'HR Track 6 PMO'!$AY$5:$AY$800,$D241)</f>
        <v>0</v>
      </c>
    </row>
    <row r="242" spans="1:11" ht="19.95" customHeight="1">
      <c r="A242" s="848" t="s">
        <v>1007</v>
      </c>
      <c r="B242" s="849" t="s">
        <v>787</v>
      </c>
      <c r="C242" s="329" t="s">
        <v>1089</v>
      </c>
      <c r="D242" s="330">
        <f>VLOOKUP(B242,Foundation_Calc!$K$4:$R$37,3,FALSE)</f>
        <v>4</v>
      </c>
      <c r="E242" s="331">
        <f t="shared" si="4"/>
        <v>0</v>
      </c>
      <c r="F242" s="331">
        <f>COUNTIFS('HR Track 1'!$M$5:$M$406,$A$242,'HR Track 1'!$AW$5:$AW$406,$C242,'HR Track 1'!$AY$5:$AY$406,$D242)</f>
        <v>0</v>
      </c>
      <c r="G242" s="331">
        <f>COUNTIFS('HR Track 2'!$M$5:$M$406,$A$242,'HR Track 2'!$AW$5:$AW$406,$C242,'HR Track 2'!$AY$5:$AY$406,$D242)</f>
        <v>0</v>
      </c>
      <c r="H242" s="331">
        <f>COUNTIFS('HR Track 1 MOM'!$M$5:$M$800,$A$242,'HR Track 1 MOM'!$AW$5:$AW$800,$C242,'HR Track 1 MOM'!$AY$5:$AY$800,$D242)</f>
        <v>0</v>
      </c>
      <c r="I242" s="331">
        <f>COUNTIFS('HR Track 4 MOM'!$M$5:$M$800,$A$242,'HR Track 4 MOM'!$AW$5:$AW$800,$C242,'HR Track 4 MOM'!$AY$5:$AY$800,$D242)</f>
        <v>0</v>
      </c>
      <c r="J242" s="331">
        <f>COUNTIFS('HR Track 4 PMO'!$M$5:$M$800,$A$242,'HR Track 4 PMO'!$AW$5:$AW$800,$C242,'HR Track 4 PMO'!$AY$5:$AY$800,$D242)</f>
        <v>0</v>
      </c>
      <c r="K242" s="332">
        <f>COUNTIFS('HR Track 6 PMO'!$M$5:$M$800,$A$242,'HR Track 6 PMO'!$AW$5:$AW$800,$C242,'HR Track 6 PMO'!$AY$5:$AY$800,$D242)</f>
        <v>0</v>
      </c>
    </row>
    <row r="243" spans="1:11" ht="19.95" customHeight="1">
      <c r="A243" s="764"/>
      <c r="B243" s="753"/>
      <c r="C243" s="163" t="s">
        <v>1090</v>
      </c>
      <c r="D243" s="11" t="str">
        <f>VLOOKUP(B242,Foundation_Calc!$K$4:$R$37,4,FALSE)</f>
        <v>N.D.</v>
      </c>
      <c r="E243" s="7">
        <f t="shared" si="4"/>
        <v>0</v>
      </c>
      <c r="F243" s="7">
        <f>COUNTIFS('HR Track 1'!$M$5:$M$406,$A$242,'HR Track 1'!$AW$5:$AW$406,$C243,'HR Track 1'!$AY$5:$AY$406,$D243)</f>
        <v>0</v>
      </c>
      <c r="G243" s="7">
        <f>COUNTIFS('HR Track 2'!$M$5:$M$406,$A$242,'HR Track 2'!$AW$5:$AW$406,$C243,'HR Track 2'!$AY$5:$AY$406,$D243)</f>
        <v>0</v>
      </c>
      <c r="H243" s="7">
        <f>COUNTIFS('HR Track 1 MOM'!$M$5:$M$800,$A$242,'HR Track 1 MOM'!$AW$5:$AW$800,$C243,'HR Track 1 MOM'!$AY$5:$AY$800,$D243)</f>
        <v>0</v>
      </c>
      <c r="I243" s="7">
        <f>COUNTIFS('HR Track 4 MOM'!$M$5:$M$800,$A$242,'HR Track 4 MOM'!$AW$5:$AW$800,$C243,'HR Track 4 MOM'!$AY$5:$AY$800,$D243)</f>
        <v>0</v>
      </c>
      <c r="J243" s="7">
        <f>COUNTIFS('HR Track 4 PMO'!$M$5:$M$800,$A$242,'HR Track 4 PMO'!$AW$5:$AW$800,$C243,'HR Track 4 PMO'!$AY$5:$AY$800,$D243)</f>
        <v>0</v>
      </c>
      <c r="K243" s="333">
        <f>COUNTIFS('HR Track 6 PMO'!$M$5:$M$800,$A$242,'HR Track 6 PMO'!$AW$5:$AW$800,$C243,'HR Track 6 PMO'!$AY$5:$AY$800,$D243)</f>
        <v>0</v>
      </c>
    </row>
    <row r="244" spans="1:11" ht="19.95" customHeight="1">
      <c r="A244" s="764"/>
      <c r="B244" s="753"/>
      <c r="C244" s="163" t="s">
        <v>1091</v>
      </c>
      <c r="D244" s="11" t="str">
        <f>VLOOKUP(B242,Foundation_Calc!$K$4:$R$37,5,FALSE)</f>
        <v>N.D.</v>
      </c>
      <c r="E244" s="7">
        <f t="shared" si="4"/>
        <v>0</v>
      </c>
      <c r="F244" s="7">
        <f>COUNTIFS('HR Track 1'!$M$5:$M$406,$A$242,'HR Track 1'!$AW$5:$AW$406,$C244,'HR Track 1'!$AY$5:$AY$406,$D244)</f>
        <v>0</v>
      </c>
      <c r="G244" s="7">
        <f>COUNTIFS('HR Track 2'!$M$5:$M$406,$A$242,'HR Track 2'!$AW$5:$AW$406,$C244,'HR Track 2'!$AY$5:$AY$406,$D244)</f>
        <v>0</v>
      </c>
      <c r="H244" s="7">
        <f>COUNTIFS('HR Track 1 MOM'!$M$5:$M$800,$A$242,'HR Track 1 MOM'!$AW$5:$AW$800,$C244,'HR Track 1 MOM'!$AY$5:$AY$800,$D244)</f>
        <v>0</v>
      </c>
      <c r="I244" s="7">
        <f>COUNTIFS('HR Track 4 MOM'!$M$5:$M$800,$A$242,'HR Track 4 MOM'!$AW$5:$AW$800,$C244,'HR Track 4 MOM'!$AY$5:$AY$800,$D244)</f>
        <v>0</v>
      </c>
      <c r="J244" s="7">
        <f>COUNTIFS('HR Track 4 PMO'!$M$5:$M$800,$A$242,'HR Track 4 PMO'!$AW$5:$AW$800,$C244,'HR Track 4 PMO'!$AY$5:$AY$800,$D244)</f>
        <v>0</v>
      </c>
      <c r="K244" s="333">
        <f>COUNTIFS('HR Track 6 PMO'!$M$5:$M$800,$A$242,'HR Track 6 PMO'!$AW$5:$AW$800,$C244,'HR Track 6 PMO'!$AY$5:$AY$800,$D244)</f>
        <v>0</v>
      </c>
    </row>
    <row r="245" spans="1:11" ht="19.95" customHeight="1">
      <c r="A245" s="764"/>
      <c r="B245" s="753"/>
      <c r="C245" s="163" t="s">
        <v>1092</v>
      </c>
      <c r="D245" s="11" t="str">
        <f>VLOOKUP(B242,Foundation_Calc!$K$4:$R$37,6,FALSE)</f>
        <v>N.D.</v>
      </c>
      <c r="E245" s="7">
        <f t="shared" si="4"/>
        <v>0</v>
      </c>
      <c r="F245" s="7">
        <f>COUNTIFS('HR Track 1'!$M$5:$M$406,$A$242,'HR Track 1'!$AW$5:$AW$406,$C245,'HR Track 1'!$AY$5:$AY$406,$D245)</f>
        <v>0</v>
      </c>
      <c r="G245" s="7">
        <f>COUNTIFS('HR Track 2'!$M$5:$M$406,$A$242,'HR Track 2'!$AW$5:$AW$406,$C245,'HR Track 2'!$AY$5:$AY$406,$D245)</f>
        <v>0</v>
      </c>
      <c r="H245" s="7">
        <f>COUNTIFS('HR Track 1 MOM'!$M$5:$M$800,$A$242,'HR Track 1 MOM'!$AW$5:$AW$800,$C245,'HR Track 1 MOM'!$AY$5:$AY$800,$D245)</f>
        <v>0</v>
      </c>
      <c r="I245" s="7">
        <f>COUNTIFS('HR Track 4 MOM'!$M$5:$M$800,$A$242,'HR Track 4 MOM'!$AW$5:$AW$800,$C245,'HR Track 4 MOM'!$AY$5:$AY$800,$D245)</f>
        <v>0</v>
      </c>
      <c r="J245" s="7">
        <f>COUNTIFS('HR Track 4 PMO'!$M$5:$M$800,$A$242,'HR Track 4 PMO'!$AW$5:$AW$800,$C245,'HR Track 4 PMO'!$AY$5:$AY$800,$D245)</f>
        <v>0</v>
      </c>
      <c r="K245" s="333">
        <f>COUNTIFS('HR Track 6 PMO'!$M$5:$M$800,$A$242,'HR Track 6 PMO'!$AW$5:$AW$800,$C245,'HR Track 6 PMO'!$AY$5:$AY$800,$D245)</f>
        <v>0</v>
      </c>
    </row>
    <row r="246" spans="1:11" ht="19.95" customHeight="1">
      <c r="A246" s="764"/>
      <c r="B246" s="753"/>
      <c r="C246" s="163" t="s">
        <v>1093</v>
      </c>
      <c r="D246" s="11" t="str">
        <f>VLOOKUP(B242,Foundation_Calc!$K$4:$R$37,7,FALSE)</f>
        <v>N.D.</v>
      </c>
      <c r="E246" s="7">
        <f t="shared" si="4"/>
        <v>0</v>
      </c>
      <c r="F246" s="7">
        <f>COUNTIFS('HR Track 1'!$M$5:$M$406,$A$242,'HR Track 1'!$AW$5:$AW$406,$C246,'HR Track 1'!$AY$5:$AY$406,$D246)</f>
        <v>0</v>
      </c>
      <c r="G246" s="7">
        <f>COUNTIFS('HR Track 2'!$M$5:$M$406,$A$242,'HR Track 2'!$AW$5:$AW$406,$C246,'HR Track 2'!$AY$5:$AY$406,$D246)</f>
        <v>0</v>
      </c>
      <c r="H246" s="7">
        <f>COUNTIFS('HR Track 1 MOM'!$M$5:$M$800,$A$242,'HR Track 1 MOM'!$AW$5:$AW$800,$C246,'HR Track 1 MOM'!$AY$5:$AY$800,$D246)</f>
        <v>0</v>
      </c>
      <c r="I246" s="7">
        <f>COUNTIFS('HR Track 4 MOM'!$M$5:$M$800,$A$242,'HR Track 4 MOM'!$AW$5:$AW$800,$C246,'HR Track 4 MOM'!$AY$5:$AY$800,$D246)</f>
        <v>0</v>
      </c>
      <c r="J246" s="7">
        <f>COUNTIFS('HR Track 4 PMO'!$M$5:$M$800,$A$242,'HR Track 4 PMO'!$AW$5:$AW$800,$C246,'HR Track 4 PMO'!$AY$5:$AY$800,$D246)</f>
        <v>0</v>
      </c>
      <c r="K246" s="333">
        <f>COUNTIFS('HR Track 6 PMO'!$M$5:$M$800,$A$242,'HR Track 6 PMO'!$AW$5:$AW$800,$C246,'HR Track 6 PMO'!$AY$5:$AY$800,$D246)</f>
        <v>0</v>
      </c>
    </row>
    <row r="247" spans="1:11" ht="19.95" customHeight="1" thickBot="1">
      <c r="A247" s="765"/>
      <c r="B247" s="754"/>
      <c r="C247" s="334" t="s">
        <v>1094</v>
      </c>
      <c r="D247" s="335" t="str">
        <f>VLOOKUP(B242,Foundation_Calc!$K$4:$R$37,8,FALSE)</f>
        <v>N.D.</v>
      </c>
      <c r="E247" s="336">
        <f t="shared" si="4"/>
        <v>0</v>
      </c>
      <c r="F247" s="336">
        <f>COUNTIFS('HR Track 1'!$M$5:$M$406,$A$242,'HR Track 1'!$AW$5:$AW$406,$C247,'HR Track 1'!$AY$5:$AY$406,$D247)</f>
        <v>0</v>
      </c>
      <c r="G247" s="336">
        <f>COUNTIFS('HR Track 2'!$M$5:$M$406,$A$242,'HR Track 2'!$AW$5:$AW$406,$C247,'HR Track 2'!$AY$5:$AY$406,$D247)</f>
        <v>0</v>
      </c>
      <c r="H247" s="336">
        <f>COUNTIFS('HR Track 1 MOM'!$M$5:$M$800,$A$242,'HR Track 1 MOM'!$AW$5:$AW$800,$C247,'HR Track 1 MOM'!$AY$5:$AY$800,$D247)</f>
        <v>0</v>
      </c>
      <c r="I247" s="336">
        <f>COUNTIFS('HR Track 4 MOM'!$M$5:$M$800,$A$242,'HR Track 4 MOM'!$AW$5:$AW$800,$C247,'HR Track 4 MOM'!$AY$5:$AY$800,$D247)</f>
        <v>0</v>
      </c>
      <c r="J247" s="336">
        <f>COUNTIFS('HR Track 4 PMO'!$M$5:$M$800,$A$242,'HR Track 4 PMO'!$AW$5:$AW$800,$C247,'HR Track 4 PMO'!$AY$5:$AY$800,$D247)</f>
        <v>0</v>
      </c>
      <c r="K247" s="337">
        <f>COUNTIFS('HR Track 6 PMO'!$M$5:$M$800,$A$242,'HR Track 6 PMO'!$AW$5:$AW$800,$C247,'HR Track 6 PMO'!$AY$5:$AY$800,$D247)</f>
        <v>0</v>
      </c>
    </row>
    <row r="248" spans="1:11" ht="19.95" customHeight="1">
      <c r="A248" s="842" t="s">
        <v>1008</v>
      </c>
      <c r="B248" s="845" t="s">
        <v>787</v>
      </c>
      <c r="C248" s="329" t="s">
        <v>1089</v>
      </c>
      <c r="D248" s="338">
        <f>VLOOKUP(B248,Foundation_Calc!$K$41:$R$74,3,FALSE)</f>
        <v>5</v>
      </c>
      <c r="E248" s="331">
        <f t="shared" si="4"/>
        <v>0</v>
      </c>
      <c r="F248" s="331">
        <f>COUNTIFS('HR Track 1'!$M$5:$M$406,$A$248,'HR Track 1'!$AW$5:$AW$406,$C248,'HR Track 1'!$AY$5:$AY$406,$D248)</f>
        <v>0</v>
      </c>
      <c r="G248" s="331">
        <f>COUNTIFS('HR Track 2'!$M$5:$M$406,$A$248,'HR Track 2'!$AW$5:$AW$406,$C248,'HR Track 2'!$AY$5:$AY$406,$D248)</f>
        <v>0</v>
      </c>
      <c r="H248" s="331">
        <f>COUNTIFS('HR Track 1 MOM'!$M$5:$M$800,$A$248,'HR Track 1 MOM'!$AW$5:$AW$800,$C248,'HR Track 1 MOM'!$AY$5:$AY$800,$D248)</f>
        <v>0</v>
      </c>
      <c r="I248" s="331">
        <f>COUNTIFS('HR Track 4 MOM'!$M$5:$M$800,$A$248,'HR Track 4 MOM'!$AW$5:$AW$800,$C248,'HR Track 4 MOM'!$AY$5:$AY$800,$D248)</f>
        <v>0</v>
      </c>
      <c r="J248" s="331">
        <f>COUNTIFS('HR Track 4 PMO'!$M$5:$M$800,$A$248,'HR Track 4 PMO'!$AW$5:$AW$800,$C248,'HR Track 4 PMO'!$AY$5:$AY$800,$D248)</f>
        <v>0</v>
      </c>
      <c r="K248" s="332">
        <f>COUNTIFS('HR Track 6 PMO'!$M$5:$M$800,$A$248,'HR Track 6 PMO'!$AW$5:$AW$800,$C248,'HR Track 6 PMO'!$AY$5:$AY$800,$D248)</f>
        <v>0</v>
      </c>
    </row>
    <row r="249" spans="1:11" ht="19.95" customHeight="1">
      <c r="A249" s="843"/>
      <c r="B249" s="846"/>
      <c r="C249" s="163" t="s">
        <v>1090</v>
      </c>
      <c r="D249" s="307" t="str">
        <f>VLOOKUP(B248,Foundation_Calc!$K$41:$R$74,4,FALSE)</f>
        <v>N.D.</v>
      </c>
      <c r="E249" s="7">
        <f t="shared" si="4"/>
        <v>0</v>
      </c>
      <c r="F249" s="7">
        <f>COUNTIFS('HR Track 1'!$M$5:$M$406,$A$248,'HR Track 1'!$AW$5:$AW$406,$C249,'HR Track 1'!$AY$5:$AY$406,$D249)</f>
        <v>0</v>
      </c>
      <c r="G249" s="7">
        <f>COUNTIFS('HR Track 2'!$M$5:$M$406,$A$248,'HR Track 2'!$AW$5:$AW$406,$C249,'HR Track 2'!$AY$5:$AY$406,$D249)</f>
        <v>0</v>
      </c>
      <c r="H249" s="7">
        <f>COUNTIFS('HR Track 1 MOM'!$M$5:$M$800,$A$248,'HR Track 1 MOM'!$AW$5:$AW$800,$C249,'HR Track 1 MOM'!$AY$5:$AY$800,$D249)</f>
        <v>0</v>
      </c>
      <c r="I249" s="7">
        <f>COUNTIFS('HR Track 4 MOM'!$M$5:$M$800,$A$248,'HR Track 4 MOM'!$AW$5:$AW$800,$C249,'HR Track 4 MOM'!$AY$5:$AY$800,$D249)</f>
        <v>0</v>
      </c>
      <c r="J249" s="7">
        <f>COUNTIFS('HR Track 4 PMO'!$M$5:$M$800,$A$248,'HR Track 4 PMO'!$AW$5:$AW$800,$C249,'HR Track 4 PMO'!$AY$5:$AY$800,$D249)</f>
        <v>0</v>
      </c>
      <c r="K249" s="333">
        <f>COUNTIFS('HR Track 6 PMO'!$M$5:$M$800,$A$248,'HR Track 6 PMO'!$AW$5:$AW$800,$C249,'HR Track 6 PMO'!$AY$5:$AY$800,$D249)</f>
        <v>0</v>
      </c>
    </row>
    <row r="250" spans="1:11" ht="19.95" customHeight="1">
      <c r="A250" s="843"/>
      <c r="B250" s="846"/>
      <c r="C250" s="163" t="s">
        <v>1091</v>
      </c>
      <c r="D250" s="307" t="str">
        <f>VLOOKUP(B248,Foundation_Calc!$K$41:$R$74,5,FALSE)</f>
        <v>N.D.</v>
      </c>
      <c r="E250" s="7">
        <f t="shared" si="4"/>
        <v>0</v>
      </c>
      <c r="F250" s="7">
        <f>COUNTIFS('HR Track 1'!$M$5:$M$406,$A$248,'HR Track 1'!$AW$5:$AW$406,$C250,'HR Track 1'!$AY$5:$AY$406,$D250)</f>
        <v>0</v>
      </c>
      <c r="G250" s="7">
        <f>COUNTIFS('HR Track 2'!$M$5:$M$406,$A$248,'HR Track 2'!$AW$5:$AW$406,$C250,'HR Track 2'!$AY$5:$AY$406,$D250)</f>
        <v>0</v>
      </c>
      <c r="H250" s="7">
        <f>COUNTIFS('HR Track 1 MOM'!$M$5:$M$800,$A$248,'HR Track 1 MOM'!$AW$5:$AW$800,$C250,'HR Track 1 MOM'!$AY$5:$AY$800,$D250)</f>
        <v>0</v>
      </c>
      <c r="I250" s="7">
        <f>COUNTIFS('HR Track 4 MOM'!$M$5:$M$800,$A$248,'HR Track 4 MOM'!$AW$5:$AW$800,$C250,'HR Track 4 MOM'!$AY$5:$AY$800,$D250)</f>
        <v>0</v>
      </c>
      <c r="J250" s="7">
        <f>COUNTIFS('HR Track 4 PMO'!$M$5:$M$800,$A$248,'HR Track 4 PMO'!$AW$5:$AW$800,$C250,'HR Track 4 PMO'!$AY$5:$AY$800,$D250)</f>
        <v>0</v>
      </c>
      <c r="K250" s="333">
        <f>COUNTIFS('HR Track 6 PMO'!$M$5:$M$800,$A$248,'HR Track 6 PMO'!$AW$5:$AW$800,$C250,'HR Track 6 PMO'!$AY$5:$AY$800,$D250)</f>
        <v>0</v>
      </c>
    </row>
    <row r="251" spans="1:11" ht="19.95" customHeight="1">
      <c r="A251" s="843"/>
      <c r="B251" s="846"/>
      <c r="C251" s="163" t="s">
        <v>1092</v>
      </c>
      <c r="D251" s="307" t="str">
        <f>VLOOKUP(B248,Foundation_Calc!$K$41:$R$74,6,FALSE)</f>
        <v>N.D.</v>
      </c>
      <c r="E251" s="7">
        <f t="shared" si="4"/>
        <v>0</v>
      </c>
      <c r="F251" s="7">
        <f>COUNTIFS('HR Track 1'!$M$5:$M$406,$A$248,'HR Track 1'!$AW$5:$AW$406,$C251,'HR Track 1'!$AY$5:$AY$406,$D251)</f>
        <v>0</v>
      </c>
      <c r="G251" s="7">
        <f>COUNTIFS('HR Track 2'!$M$5:$M$406,$A$248,'HR Track 2'!$AW$5:$AW$406,$C251,'HR Track 2'!$AY$5:$AY$406,$D251)</f>
        <v>0</v>
      </c>
      <c r="H251" s="7">
        <f>COUNTIFS('HR Track 1 MOM'!$M$5:$M$800,$A$248,'HR Track 1 MOM'!$AW$5:$AW$800,$C251,'HR Track 1 MOM'!$AY$5:$AY$800,$D251)</f>
        <v>0</v>
      </c>
      <c r="I251" s="7">
        <f>COUNTIFS('HR Track 4 MOM'!$M$5:$M$800,$A$248,'HR Track 4 MOM'!$AW$5:$AW$800,$C251,'HR Track 4 MOM'!$AY$5:$AY$800,$D251)</f>
        <v>0</v>
      </c>
      <c r="J251" s="7">
        <f>COUNTIFS('HR Track 4 PMO'!$M$5:$M$800,$A$248,'HR Track 4 PMO'!$AW$5:$AW$800,$C251,'HR Track 4 PMO'!$AY$5:$AY$800,$D251)</f>
        <v>0</v>
      </c>
      <c r="K251" s="333">
        <f>COUNTIFS('HR Track 6 PMO'!$M$5:$M$800,$A$248,'HR Track 6 PMO'!$AW$5:$AW$800,$C251,'HR Track 6 PMO'!$AY$5:$AY$800,$D251)</f>
        <v>0</v>
      </c>
    </row>
    <row r="252" spans="1:11" ht="19.95" customHeight="1">
      <c r="A252" s="843"/>
      <c r="B252" s="846"/>
      <c r="C252" s="163" t="s">
        <v>1093</v>
      </c>
      <c r="D252" s="307" t="str">
        <f>VLOOKUP(B248,Foundation_Calc!$K$41:$R$74,7,FALSE)</f>
        <v>N.D.</v>
      </c>
      <c r="E252" s="7">
        <f t="shared" si="4"/>
        <v>0</v>
      </c>
      <c r="F252" s="7">
        <f>COUNTIFS('HR Track 1'!$M$5:$M$406,$A$248,'HR Track 1'!$AW$5:$AW$406,$C252,'HR Track 1'!$AY$5:$AY$406,$D252)</f>
        <v>0</v>
      </c>
      <c r="G252" s="7">
        <f>COUNTIFS('HR Track 2'!$M$5:$M$406,$A$248,'HR Track 2'!$AW$5:$AW$406,$C252,'HR Track 2'!$AY$5:$AY$406,$D252)</f>
        <v>0</v>
      </c>
      <c r="H252" s="7">
        <f>COUNTIFS('HR Track 1 MOM'!$M$5:$M$800,$A$248,'HR Track 1 MOM'!$AW$5:$AW$800,$C252,'HR Track 1 MOM'!$AY$5:$AY$800,$D252)</f>
        <v>0</v>
      </c>
      <c r="I252" s="7">
        <f>COUNTIFS('HR Track 4 MOM'!$M$5:$M$800,$A$248,'HR Track 4 MOM'!$AW$5:$AW$800,$C252,'HR Track 4 MOM'!$AY$5:$AY$800,$D252)</f>
        <v>0</v>
      </c>
      <c r="J252" s="7">
        <f>COUNTIFS('HR Track 4 PMO'!$M$5:$M$800,$A$248,'HR Track 4 PMO'!$AW$5:$AW$800,$C252,'HR Track 4 PMO'!$AY$5:$AY$800,$D252)</f>
        <v>0</v>
      </c>
      <c r="K252" s="333">
        <f>COUNTIFS('HR Track 6 PMO'!$M$5:$M$800,$A$248,'HR Track 6 PMO'!$AW$5:$AW$800,$C252,'HR Track 6 PMO'!$AY$5:$AY$800,$D252)</f>
        <v>0</v>
      </c>
    </row>
    <row r="253" spans="1:11" ht="19.95" customHeight="1" thickBot="1">
      <c r="A253" s="844"/>
      <c r="B253" s="847"/>
      <c r="C253" s="334" t="s">
        <v>1094</v>
      </c>
      <c r="D253" s="339" t="str">
        <f>VLOOKUP(B248,Foundation_Calc!$K$41:$R$74,8,FALSE)</f>
        <v>N.D.</v>
      </c>
      <c r="E253" s="336">
        <f t="shared" si="4"/>
        <v>0</v>
      </c>
      <c r="F253" s="336">
        <f>COUNTIFS('HR Track 1'!$M$5:$M$406,$A$248,'HR Track 1'!$AW$5:$AW$406,$C253,'HR Track 1'!$AY$5:$AY$406,$D253)</f>
        <v>0</v>
      </c>
      <c r="G253" s="336">
        <f>COUNTIFS('HR Track 2'!$M$5:$M$406,$A$248,'HR Track 2'!$AW$5:$AW$406,$C253,'HR Track 2'!$AY$5:$AY$406,$D253)</f>
        <v>0</v>
      </c>
      <c r="H253" s="336">
        <f>COUNTIFS('HR Track 1 MOM'!$M$5:$M$800,$A$248,'HR Track 1 MOM'!$AW$5:$AW$800,$C253,'HR Track 1 MOM'!$AY$5:$AY$800,$D253)</f>
        <v>0</v>
      </c>
      <c r="I253" s="336">
        <f>COUNTIFS('HR Track 4 MOM'!$M$5:$M$800,$A$248,'HR Track 4 MOM'!$AW$5:$AW$800,$C253,'HR Track 4 MOM'!$AY$5:$AY$800,$D253)</f>
        <v>0</v>
      </c>
      <c r="J253" s="336">
        <f>COUNTIFS('HR Track 4 PMO'!$M$5:$M$800,$A$248,'HR Track 4 PMO'!$AW$5:$AW$800,$C253,'HR Track 4 PMO'!$AY$5:$AY$800,$D253)</f>
        <v>0</v>
      </c>
      <c r="K253" s="337">
        <f>COUNTIFS('HR Track 6 PMO'!$M$5:$M$800,$A$248,'HR Track 6 PMO'!$AW$5:$AW$800,$C253,'HR Track 6 PMO'!$AY$5:$AY$800,$D253)</f>
        <v>0</v>
      </c>
    </row>
    <row r="254" spans="1:11" ht="19.95" customHeight="1">
      <c r="A254" s="848" t="s">
        <v>1009</v>
      </c>
      <c r="B254" s="849" t="s">
        <v>998</v>
      </c>
      <c r="C254" s="329" t="s">
        <v>1089</v>
      </c>
      <c r="D254" s="330">
        <f>VLOOKUP(B254,Foundation_Calc!$K$4:$R$37,3,FALSE)</f>
        <v>5.6</v>
      </c>
      <c r="E254" s="331">
        <f t="shared" si="4"/>
        <v>0</v>
      </c>
      <c r="F254" s="331">
        <f>COUNTIFS('HR Track 1'!$M$5:$M$406,$A$254,'HR Track 1'!$AW$5:$AW$406,$C254,'HR Track 1'!$AY$5:$AY$406,$D254)</f>
        <v>0</v>
      </c>
      <c r="G254" s="331">
        <f>COUNTIFS('HR Track 2'!$M$5:$M$406,$A$254,'HR Track 2'!$AW$5:$AW$406,$C254,'HR Track 2'!$AY$5:$AY$406,$D254)</f>
        <v>0</v>
      </c>
      <c r="H254" s="331">
        <f>COUNTIFS('HR Track 1 MOM'!$M$5:$M$800,$A$254,'HR Track 1 MOM'!$AW$5:$AW$800,$C254,'HR Track 1 MOM'!$AY$5:$AY$800,$D254)</f>
        <v>0</v>
      </c>
      <c r="I254" s="331">
        <f>COUNTIFS('HR Track 4 MOM'!$M$5:$M$800,$A$254,'HR Track 4 MOM'!$AW$5:$AW$800,$C254,'HR Track 4 MOM'!$AY$5:$AY$800,$D254)</f>
        <v>0</v>
      </c>
      <c r="J254" s="331">
        <f>COUNTIFS('HR Track 4 PMO'!$M$5:$M$800,$A$254,'HR Track 4 PMO'!$AW$5:$AW$800,$C254,'HR Track 4 PMO'!$AY$5:$AY$800,$D254)</f>
        <v>0</v>
      </c>
      <c r="K254" s="332">
        <f>COUNTIFS('HR Track 6 PMO'!$M$5:$M$800,$A$254,'HR Track 6 PMO'!$AW$5:$AW$800,$C254,'HR Track 6 PMO'!$AY$5:$AY$800,$D254)</f>
        <v>0</v>
      </c>
    </row>
    <row r="255" spans="1:11" ht="19.95" customHeight="1">
      <c r="A255" s="764"/>
      <c r="B255" s="753"/>
      <c r="C255" s="163" t="s">
        <v>1090</v>
      </c>
      <c r="D255" s="11" t="str">
        <f>VLOOKUP(B254,Foundation_Calc!$K$4:$R$37,4,FALSE)</f>
        <v>N.D.</v>
      </c>
      <c r="E255" s="7">
        <f t="shared" si="4"/>
        <v>0</v>
      </c>
      <c r="F255" s="7">
        <f>COUNTIFS('HR Track 1'!$M$5:$M$406,$A$254,'HR Track 1'!$AW$5:$AW$406,$C255,'HR Track 1'!$AY$5:$AY$406,$D255)</f>
        <v>0</v>
      </c>
      <c r="G255" s="7">
        <f>COUNTIFS('HR Track 2'!$M$5:$M$406,$A$254,'HR Track 2'!$AW$5:$AW$406,$C255,'HR Track 2'!$AY$5:$AY$406,$D255)</f>
        <v>0</v>
      </c>
      <c r="H255" s="7">
        <f>COUNTIFS('HR Track 1 MOM'!$M$5:$M$800,$A$254,'HR Track 1 MOM'!$AW$5:$AW$800,$C255,'HR Track 1 MOM'!$AY$5:$AY$800,$D255)</f>
        <v>0</v>
      </c>
      <c r="I255" s="7">
        <f>COUNTIFS('HR Track 4 MOM'!$M$5:$M$800,$A$254,'HR Track 4 MOM'!$AW$5:$AW$800,$C255,'HR Track 4 MOM'!$AY$5:$AY$800,$D255)</f>
        <v>0</v>
      </c>
      <c r="J255" s="7">
        <f>COUNTIFS('HR Track 4 PMO'!$M$5:$M$800,$A$254,'HR Track 4 PMO'!$AW$5:$AW$800,$C255,'HR Track 4 PMO'!$AY$5:$AY$800,$D255)</f>
        <v>0</v>
      </c>
      <c r="K255" s="333">
        <f>COUNTIFS('HR Track 6 PMO'!$M$5:$M$800,$A$254,'HR Track 6 PMO'!$AW$5:$AW$800,$C255,'HR Track 6 PMO'!$AY$5:$AY$800,$D255)</f>
        <v>0</v>
      </c>
    </row>
    <row r="256" spans="1:11" ht="19.95" customHeight="1">
      <c r="A256" s="764"/>
      <c r="B256" s="753"/>
      <c r="C256" s="163" t="s">
        <v>1091</v>
      </c>
      <c r="D256" s="11" t="str">
        <f>VLOOKUP(B254,Foundation_Calc!$K$4:$R$37,5,FALSE)</f>
        <v>N.D.</v>
      </c>
      <c r="E256" s="7">
        <f t="shared" si="4"/>
        <v>0</v>
      </c>
      <c r="F256" s="7">
        <f>COUNTIFS('HR Track 1'!$M$5:$M$406,$A$254,'HR Track 1'!$AW$5:$AW$406,$C256,'HR Track 1'!$AY$5:$AY$406,$D256)</f>
        <v>0</v>
      </c>
      <c r="G256" s="7">
        <f>COUNTIFS('HR Track 2'!$M$5:$M$406,$A$254,'HR Track 2'!$AW$5:$AW$406,$C256,'HR Track 2'!$AY$5:$AY$406,$D256)</f>
        <v>0</v>
      </c>
      <c r="H256" s="7">
        <f>COUNTIFS('HR Track 1 MOM'!$M$5:$M$800,$A$254,'HR Track 1 MOM'!$AW$5:$AW$800,$C256,'HR Track 1 MOM'!$AY$5:$AY$800,$D256)</f>
        <v>0</v>
      </c>
      <c r="I256" s="7">
        <f>COUNTIFS('HR Track 4 MOM'!$M$5:$M$800,$A$254,'HR Track 4 MOM'!$AW$5:$AW$800,$C256,'HR Track 4 MOM'!$AY$5:$AY$800,$D256)</f>
        <v>0</v>
      </c>
      <c r="J256" s="7">
        <f>COUNTIFS('HR Track 4 PMO'!$M$5:$M$800,$A$254,'HR Track 4 PMO'!$AW$5:$AW$800,$C256,'HR Track 4 PMO'!$AY$5:$AY$800,$D256)</f>
        <v>0</v>
      </c>
      <c r="K256" s="333">
        <f>COUNTIFS('HR Track 6 PMO'!$M$5:$M$800,$A$254,'HR Track 6 PMO'!$AW$5:$AW$800,$C256,'HR Track 6 PMO'!$AY$5:$AY$800,$D256)</f>
        <v>0</v>
      </c>
    </row>
    <row r="257" spans="1:11" ht="19.95" customHeight="1">
      <c r="A257" s="764"/>
      <c r="B257" s="753"/>
      <c r="C257" s="163" t="s">
        <v>1092</v>
      </c>
      <c r="D257" s="11" t="str">
        <f>VLOOKUP(B254,Foundation_Calc!$K$4:$R$37,6,FALSE)</f>
        <v>N.D.</v>
      </c>
      <c r="E257" s="7">
        <f t="shared" si="4"/>
        <v>0</v>
      </c>
      <c r="F257" s="7">
        <f>COUNTIFS('HR Track 1'!$M$5:$M$406,$A$254,'HR Track 1'!$AW$5:$AW$406,$C257,'HR Track 1'!$AY$5:$AY$406,$D257)</f>
        <v>0</v>
      </c>
      <c r="G257" s="7">
        <f>COUNTIFS('HR Track 2'!$M$5:$M$406,$A$254,'HR Track 2'!$AW$5:$AW$406,$C257,'HR Track 2'!$AY$5:$AY$406,$D257)</f>
        <v>0</v>
      </c>
      <c r="H257" s="7">
        <f>COUNTIFS('HR Track 1 MOM'!$M$5:$M$800,$A$254,'HR Track 1 MOM'!$AW$5:$AW$800,$C257,'HR Track 1 MOM'!$AY$5:$AY$800,$D257)</f>
        <v>0</v>
      </c>
      <c r="I257" s="7">
        <f>COUNTIFS('HR Track 4 MOM'!$M$5:$M$800,$A$254,'HR Track 4 MOM'!$AW$5:$AW$800,$C257,'HR Track 4 MOM'!$AY$5:$AY$800,$D257)</f>
        <v>0</v>
      </c>
      <c r="J257" s="7">
        <f>COUNTIFS('HR Track 4 PMO'!$M$5:$M$800,$A$254,'HR Track 4 PMO'!$AW$5:$AW$800,$C257,'HR Track 4 PMO'!$AY$5:$AY$800,$D257)</f>
        <v>0</v>
      </c>
      <c r="K257" s="333">
        <f>COUNTIFS('HR Track 6 PMO'!$M$5:$M$800,$A$254,'HR Track 6 PMO'!$AW$5:$AW$800,$C257,'HR Track 6 PMO'!$AY$5:$AY$800,$D257)</f>
        <v>0</v>
      </c>
    </row>
    <row r="258" spans="1:11" ht="19.95" customHeight="1">
      <c r="A258" s="764"/>
      <c r="B258" s="753"/>
      <c r="C258" s="163" t="s">
        <v>1093</v>
      </c>
      <c r="D258" s="11" t="str">
        <f>VLOOKUP(B254,Foundation_Calc!$K$4:$R$37,7,FALSE)</f>
        <v>N.D.</v>
      </c>
      <c r="E258" s="7">
        <f t="shared" si="4"/>
        <v>0</v>
      </c>
      <c r="F258" s="7">
        <f>COUNTIFS('HR Track 1'!$M$5:$M$406,$A$254,'HR Track 1'!$AW$5:$AW$406,$C258,'HR Track 1'!$AY$5:$AY$406,$D258)</f>
        <v>0</v>
      </c>
      <c r="G258" s="7">
        <f>COUNTIFS('HR Track 2'!$M$5:$M$406,$A$254,'HR Track 2'!$AW$5:$AW$406,$C258,'HR Track 2'!$AY$5:$AY$406,$D258)</f>
        <v>0</v>
      </c>
      <c r="H258" s="7">
        <f>COUNTIFS('HR Track 1 MOM'!$M$5:$M$800,$A$254,'HR Track 1 MOM'!$AW$5:$AW$800,$C258,'HR Track 1 MOM'!$AY$5:$AY$800,$D258)</f>
        <v>0</v>
      </c>
      <c r="I258" s="7">
        <f>COUNTIFS('HR Track 4 MOM'!$M$5:$M$800,$A$254,'HR Track 4 MOM'!$AW$5:$AW$800,$C258,'HR Track 4 MOM'!$AY$5:$AY$800,$D258)</f>
        <v>0</v>
      </c>
      <c r="J258" s="7">
        <f>COUNTIFS('HR Track 4 PMO'!$M$5:$M$800,$A$254,'HR Track 4 PMO'!$AW$5:$AW$800,$C258,'HR Track 4 PMO'!$AY$5:$AY$800,$D258)</f>
        <v>0</v>
      </c>
      <c r="K258" s="333">
        <f>COUNTIFS('HR Track 6 PMO'!$M$5:$M$800,$A$254,'HR Track 6 PMO'!$AW$5:$AW$800,$C258,'HR Track 6 PMO'!$AY$5:$AY$800,$D258)</f>
        <v>0</v>
      </c>
    </row>
    <row r="259" spans="1:11" ht="19.95" customHeight="1" thickBot="1">
      <c r="A259" s="765"/>
      <c r="B259" s="754"/>
      <c r="C259" s="334" t="s">
        <v>1094</v>
      </c>
      <c r="D259" s="335" t="str">
        <f>VLOOKUP(B254,Foundation_Calc!$K$4:$R$37,8,FALSE)</f>
        <v>N.D.</v>
      </c>
      <c r="E259" s="336">
        <f t="shared" ref="E259:E322" si="5">SUM(F259:K259)</f>
        <v>0</v>
      </c>
      <c r="F259" s="336">
        <f>COUNTIFS('HR Track 1'!$M$5:$M$406,$A$254,'HR Track 1'!$AW$5:$AW$406,$C259,'HR Track 1'!$AY$5:$AY$406,$D259)</f>
        <v>0</v>
      </c>
      <c r="G259" s="336">
        <f>COUNTIFS('HR Track 2'!$M$5:$M$406,$A$254,'HR Track 2'!$AW$5:$AW$406,$C259,'HR Track 2'!$AY$5:$AY$406,$D259)</f>
        <v>0</v>
      </c>
      <c r="H259" s="336">
        <f>COUNTIFS('HR Track 1 MOM'!$M$5:$M$800,$A$254,'HR Track 1 MOM'!$AW$5:$AW$800,$C259,'HR Track 1 MOM'!$AY$5:$AY$800,$D259)</f>
        <v>0</v>
      </c>
      <c r="I259" s="336">
        <f>COUNTIFS('HR Track 4 MOM'!$M$5:$M$800,$A$254,'HR Track 4 MOM'!$AW$5:$AW$800,$C259,'HR Track 4 MOM'!$AY$5:$AY$800,$D259)</f>
        <v>0</v>
      </c>
      <c r="J259" s="336">
        <f>COUNTIFS('HR Track 4 PMO'!$M$5:$M$800,$A$254,'HR Track 4 PMO'!$AW$5:$AW$800,$C259,'HR Track 4 PMO'!$AY$5:$AY$800,$D259)</f>
        <v>0</v>
      </c>
      <c r="K259" s="337">
        <f>COUNTIFS('HR Track 6 PMO'!$M$5:$M$800,$A$254,'HR Track 6 PMO'!$AW$5:$AW$800,$C259,'HR Track 6 PMO'!$AY$5:$AY$800,$D259)</f>
        <v>0</v>
      </c>
    </row>
    <row r="260" spans="1:11" ht="19.95" customHeight="1">
      <c r="A260" s="842" t="s">
        <v>1010</v>
      </c>
      <c r="B260" s="845" t="s">
        <v>998</v>
      </c>
      <c r="C260" s="329" t="s">
        <v>1089</v>
      </c>
      <c r="D260" s="338">
        <f>VLOOKUP(B260,Foundation_Calc!$K$41:$R$74,3,FALSE)</f>
        <v>7.4</v>
      </c>
      <c r="E260" s="331">
        <f t="shared" si="5"/>
        <v>0</v>
      </c>
      <c r="F260" s="331">
        <f>COUNTIFS('HR Track 1'!$M$5:$M$406,$A$260,'HR Track 1'!$AW$5:$AW$406,$C260,'HR Track 1'!$AY$5:$AY$406,$D260)</f>
        <v>0</v>
      </c>
      <c r="G260" s="331">
        <f>COUNTIFS('HR Track 2'!$M$5:$M$406,$A$260,'HR Track 2'!$AW$5:$AW$406,$C260,'HR Track 2'!$AY$5:$AY$406,$D260)</f>
        <v>0</v>
      </c>
      <c r="H260" s="331">
        <f>COUNTIFS('HR Track 1 MOM'!$M$5:$M$800,$A$260,'HR Track 1 MOM'!$AW$5:$AW$800,$C260,'HR Track 1 MOM'!$AY$5:$AY$800,$D260)</f>
        <v>0</v>
      </c>
      <c r="I260" s="331">
        <f>COUNTIFS('HR Track 4 MOM'!$M$5:$M$800,$A$260,'HR Track 4 MOM'!$AW$5:$AW$800,$C260,'HR Track 4 MOM'!$AY$5:$AY$800,$D260)</f>
        <v>0</v>
      </c>
      <c r="J260" s="331">
        <f>COUNTIFS('HR Track 4 PMO'!$M$5:$M$800,$A$260,'HR Track 4 PMO'!$AW$5:$AW$800,$C260,'HR Track 4 PMO'!$AY$5:$AY$800,$D260)</f>
        <v>0</v>
      </c>
      <c r="K260" s="332">
        <f>COUNTIFS('HR Track 6 PMO'!$M$5:$M$800,$A$260,'HR Track 6 PMO'!$AW$5:$AW$800,$C260,'HR Track 6 PMO'!$AY$5:$AY$800,$D260)</f>
        <v>0</v>
      </c>
    </row>
    <row r="261" spans="1:11" ht="19.95" customHeight="1">
      <c r="A261" s="843"/>
      <c r="B261" s="846"/>
      <c r="C261" s="163" t="s">
        <v>1090</v>
      </c>
      <c r="D261" s="307" t="str">
        <f>VLOOKUP(B260,Foundation_Calc!$K$41:$R$74,4,FALSE)</f>
        <v>N.D.</v>
      </c>
      <c r="E261" s="7">
        <f t="shared" si="5"/>
        <v>0</v>
      </c>
      <c r="F261" s="7">
        <f>COUNTIFS('HR Track 1'!$M$5:$M$406,$A$260,'HR Track 1'!$AW$5:$AW$406,$C261,'HR Track 1'!$AY$5:$AY$406,$D261)</f>
        <v>0</v>
      </c>
      <c r="G261" s="7">
        <f>COUNTIFS('HR Track 2'!$M$5:$M$406,$A$260,'HR Track 2'!$AW$5:$AW$406,$C261,'HR Track 2'!$AY$5:$AY$406,$D261)</f>
        <v>0</v>
      </c>
      <c r="H261" s="7">
        <f>COUNTIFS('HR Track 1 MOM'!$M$5:$M$800,$A$260,'HR Track 1 MOM'!$AW$5:$AW$800,$C261,'HR Track 1 MOM'!$AY$5:$AY$800,$D261)</f>
        <v>0</v>
      </c>
      <c r="I261" s="7">
        <f>COUNTIFS('HR Track 4 MOM'!$M$5:$M$800,$A$260,'HR Track 4 MOM'!$AW$5:$AW$800,$C261,'HR Track 4 MOM'!$AY$5:$AY$800,$D261)</f>
        <v>0</v>
      </c>
      <c r="J261" s="7">
        <f>COUNTIFS('HR Track 4 PMO'!$M$5:$M$800,$A$260,'HR Track 4 PMO'!$AW$5:$AW$800,$C261,'HR Track 4 PMO'!$AY$5:$AY$800,$D261)</f>
        <v>0</v>
      </c>
      <c r="K261" s="333">
        <f>COUNTIFS('HR Track 6 PMO'!$M$5:$M$800,$A$260,'HR Track 6 PMO'!$AW$5:$AW$800,$C261,'HR Track 6 PMO'!$AY$5:$AY$800,$D261)</f>
        <v>0</v>
      </c>
    </row>
    <row r="262" spans="1:11" ht="19.95" customHeight="1">
      <c r="A262" s="843"/>
      <c r="B262" s="846"/>
      <c r="C262" s="163" t="s">
        <v>1091</v>
      </c>
      <c r="D262" s="307" t="str">
        <f>VLOOKUP(B260,Foundation_Calc!$K$41:$R$74,5,FALSE)</f>
        <v>N.D.</v>
      </c>
      <c r="E262" s="7">
        <f t="shared" si="5"/>
        <v>0</v>
      </c>
      <c r="F262" s="7">
        <f>COUNTIFS('HR Track 1'!$M$5:$M$406,$A$260,'HR Track 1'!$AW$5:$AW$406,$C262,'HR Track 1'!$AY$5:$AY$406,$D262)</f>
        <v>0</v>
      </c>
      <c r="G262" s="7">
        <f>COUNTIFS('HR Track 2'!$M$5:$M$406,$A$260,'HR Track 2'!$AW$5:$AW$406,$C262,'HR Track 2'!$AY$5:$AY$406,$D262)</f>
        <v>0</v>
      </c>
      <c r="H262" s="7">
        <f>COUNTIFS('HR Track 1 MOM'!$M$5:$M$800,$A$260,'HR Track 1 MOM'!$AW$5:$AW$800,$C262,'HR Track 1 MOM'!$AY$5:$AY$800,$D262)</f>
        <v>0</v>
      </c>
      <c r="I262" s="7">
        <f>COUNTIFS('HR Track 4 MOM'!$M$5:$M$800,$A$260,'HR Track 4 MOM'!$AW$5:$AW$800,$C262,'HR Track 4 MOM'!$AY$5:$AY$800,$D262)</f>
        <v>0</v>
      </c>
      <c r="J262" s="7">
        <f>COUNTIFS('HR Track 4 PMO'!$M$5:$M$800,$A$260,'HR Track 4 PMO'!$AW$5:$AW$800,$C262,'HR Track 4 PMO'!$AY$5:$AY$800,$D262)</f>
        <v>0</v>
      </c>
      <c r="K262" s="333">
        <f>COUNTIFS('HR Track 6 PMO'!$M$5:$M$800,$A$260,'HR Track 6 PMO'!$AW$5:$AW$800,$C262,'HR Track 6 PMO'!$AY$5:$AY$800,$D262)</f>
        <v>0</v>
      </c>
    </row>
    <row r="263" spans="1:11" ht="19.95" customHeight="1">
      <c r="A263" s="843"/>
      <c r="B263" s="846"/>
      <c r="C263" s="163" t="s">
        <v>1092</v>
      </c>
      <c r="D263" s="307" t="str">
        <f>VLOOKUP(B260,Foundation_Calc!$K$41:$R$74,6,FALSE)</f>
        <v>N.D.</v>
      </c>
      <c r="E263" s="7">
        <f t="shared" si="5"/>
        <v>0</v>
      </c>
      <c r="F263" s="7">
        <f>COUNTIFS('HR Track 1'!$M$5:$M$406,$A$260,'HR Track 1'!$AW$5:$AW$406,$C263,'HR Track 1'!$AY$5:$AY$406,$D263)</f>
        <v>0</v>
      </c>
      <c r="G263" s="7">
        <f>COUNTIFS('HR Track 2'!$M$5:$M$406,$A$260,'HR Track 2'!$AW$5:$AW$406,$C263,'HR Track 2'!$AY$5:$AY$406,$D263)</f>
        <v>0</v>
      </c>
      <c r="H263" s="7">
        <f>COUNTIFS('HR Track 1 MOM'!$M$5:$M$800,$A$260,'HR Track 1 MOM'!$AW$5:$AW$800,$C263,'HR Track 1 MOM'!$AY$5:$AY$800,$D263)</f>
        <v>0</v>
      </c>
      <c r="I263" s="7">
        <f>COUNTIFS('HR Track 4 MOM'!$M$5:$M$800,$A$260,'HR Track 4 MOM'!$AW$5:$AW$800,$C263,'HR Track 4 MOM'!$AY$5:$AY$800,$D263)</f>
        <v>0</v>
      </c>
      <c r="J263" s="7">
        <f>COUNTIFS('HR Track 4 PMO'!$M$5:$M$800,$A$260,'HR Track 4 PMO'!$AW$5:$AW$800,$C263,'HR Track 4 PMO'!$AY$5:$AY$800,$D263)</f>
        <v>0</v>
      </c>
      <c r="K263" s="333">
        <f>COUNTIFS('HR Track 6 PMO'!$M$5:$M$800,$A$260,'HR Track 6 PMO'!$AW$5:$AW$800,$C263,'HR Track 6 PMO'!$AY$5:$AY$800,$D263)</f>
        <v>0</v>
      </c>
    </row>
    <row r="264" spans="1:11" ht="19.95" customHeight="1">
      <c r="A264" s="843"/>
      <c r="B264" s="846"/>
      <c r="C264" s="163" t="s">
        <v>1093</v>
      </c>
      <c r="D264" s="307" t="str">
        <f>VLOOKUP(B260,Foundation_Calc!$K$41:$R$74,7,FALSE)</f>
        <v>N.D.</v>
      </c>
      <c r="E264" s="7">
        <f t="shared" si="5"/>
        <v>0</v>
      </c>
      <c r="F264" s="7">
        <f>COUNTIFS('HR Track 1'!$M$5:$M$406,$A$260,'HR Track 1'!$AW$5:$AW$406,$C264,'HR Track 1'!$AY$5:$AY$406,$D264)</f>
        <v>0</v>
      </c>
      <c r="G264" s="7">
        <f>COUNTIFS('HR Track 2'!$M$5:$M$406,$A$260,'HR Track 2'!$AW$5:$AW$406,$C264,'HR Track 2'!$AY$5:$AY$406,$D264)</f>
        <v>0</v>
      </c>
      <c r="H264" s="7">
        <f>COUNTIFS('HR Track 1 MOM'!$M$5:$M$800,$A$260,'HR Track 1 MOM'!$AW$5:$AW$800,$C264,'HR Track 1 MOM'!$AY$5:$AY$800,$D264)</f>
        <v>0</v>
      </c>
      <c r="I264" s="7">
        <f>COUNTIFS('HR Track 4 MOM'!$M$5:$M$800,$A$260,'HR Track 4 MOM'!$AW$5:$AW$800,$C264,'HR Track 4 MOM'!$AY$5:$AY$800,$D264)</f>
        <v>0</v>
      </c>
      <c r="J264" s="7">
        <f>COUNTIFS('HR Track 4 PMO'!$M$5:$M$800,$A$260,'HR Track 4 PMO'!$AW$5:$AW$800,$C264,'HR Track 4 PMO'!$AY$5:$AY$800,$D264)</f>
        <v>0</v>
      </c>
      <c r="K264" s="333">
        <f>COUNTIFS('HR Track 6 PMO'!$M$5:$M$800,$A$260,'HR Track 6 PMO'!$AW$5:$AW$800,$C264,'HR Track 6 PMO'!$AY$5:$AY$800,$D264)</f>
        <v>0</v>
      </c>
    </row>
    <row r="265" spans="1:11" ht="19.95" customHeight="1" thickBot="1">
      <c r="A265" s="844"/>
      <c r="B265" s="847"/>
      <c r="C265" s="334" t="s">
        <v>1094</v>
      </c>
      <c r="D265" s="339" t="str">
        <f>VLOOKUP(B260,Foundation_Calc!$K$41:$R$74,8,FALSE)</f>
        <v>N.D.</v>
      </c>
      <c r="E265" s="336">
        <f t="shared" si="5"/>
        <v>0</v>
      </c>
      <c r="F265" s="336">
        <f>COUNTIFS('HR Track 1'!$M$5:$M$406,$A$260,'HR Track 1'!$AW$5:$AW$406,$C265,'HR Track 1'!$AY$5:$AY$406,$D265)</f>
        <v>0</v>
      </c>
      <c r="G265" s="336">
        <f>COUNTIFS('HR Track 2'!$M$5:$M$406,$A$260,'HR Track 2'!$AW$5:$AW$406,$C265,'HR Track 2'!$AY$5:$AY$406,$D265)</f>
        <v>0</v>
      </c>
      <c r="H265" s="336">
        <f>COUNTIFS('HR Track 1 MOM'!$M$5:$M$800,$A$260,'HR Track 1 MOM'!$AW$5:$AW$800,$C265,'HR Track 1 MOM'!$AY$5:$AY$800,$D265)</f>
        <v>0</v>
      </c>
      <c r="I265" s="336">
        <f>COUNTIFS('HR Track 4 MOM'!$M$5:$M$800,$A$260,'HR Track 4 MOM'!$AW$5:$AW$800,$C265,'HR Track 4 MOM'!$AY$5:$AY$800,$D265)</f>
        <v>0</v>
      </c>
      <c r="J265" s="336">
        <f>COUNTIFS('HR Track 4 PMO'!$M$5:$M$800,$A$260,'HR Track 4 PMO'!$AW$5:$AW$800,$C265,'HR Track 4 PMO'!$AY$5:$AY$800,$D265)</f>
        <v>0</v>
      </c>
      <c r="K265" s="337">
        <f>COUNTIFS('HR Track 6 PMO'!$M$5:$M$800,$A$260,'HR Track 6 PMO'!$AW$5:$AW$800,$C265,'HR Track 6 PMO'!$AY$5:$AY$800,$D265)</f>
        <v>0</v>
      </c>
    </row>
    <row r="266" spans="1:11" ht="19.95" customHeight="1">
      <c r="A266" s="848" t="s">
        <v>1009</v>
      </c>
      <c r="B266" s="849" t="s">
        <v>449</v>
      </c>
      <c r="C266" s="329" t="s">
        <v>1089</v>
      </c>
      <c r="D266" s="330">
        <f>VLOOKUP(B266,Foundation_Calc!$K$4:$R$37,3,FALSE)</f>
        <v>4.3</v>
      </c>
      <c r="E266" s="331">
        <f t="shared" si="5"/>
        <v>0</v>
      </c>
      <c r="F266" s="331">
        <f>COUNTIFS('HR Track 1'!$M$5:$M$406,$A$266,'HR Track 1'!$AW$5:$AW$406,$C266,'HR Track 1'!$AY$5:$AY$406,$D266)</f>
        <v>0</v>
      </c>
      <c r="G266" s="331">
        <f>COUNTIFS('HR Track 2'!$M$5:$M$406,$A$266,'HR Track 2'!$AW$5:$AW$406,$C266,'HR Track 2'!$AY$5:$AY$406,$D266)</f>
        <v>0</v>
      </c>
      <c r="H266" s="331">
        <f>COUNTIFS('HR Track 1 MOM'!$M$5:$M$800,$A$266,'HR Track 1 MOM'!$AW$5:$AW$800,$C266,'HR Track 1 MOM'!$AY$5:$AY$800,$D266)</f>
        <v>0</v>
      </c>
      <c r="I266" s="331">
        <f>COUNTIFS('HR Track 4 MOM'!$M$5:$M$800,$A$266,'HR Track 4 MOM'!$AW$5:$AW$800,$C266,'HR Track 4 MOM'!$AY$5:$AY$800,$D266)</f>
        <v>0</v>
      </c>
      <c r="J266" s="331">
        <f>COUNTIFS('HR Track 4 PMO'!$M$5:$M$800,$A$266,'HR Track 4 PMO'!$AW$5:$AW$800,$C266,'HR Track 4 PMO'!$AY$5:$AY$800,$D266)</f>
        <v>0</v>
      </c>
      <c r="K266" s="332">
        <f>COUNTIFS('HR Track 6 PMO'!$M$5:$M$800,$A$266,'HR Track 6 PMO'!$AW$5:$AW$800,$C266,'HR Track 6 PMO'!$AY$5:$AY$800,$D266)</f>
        <v>0</v>
      </c>
    </row>
    <row r="267" spans="1:11" ht="19.95" customHeight="1">
      <c r="A267" s="764"/>
      <c r="B267" s="753"/>
      <c r="C267" s="163" t="s">
        <v>1090</v>
      </c>
      <c r="D267" s="11" t="str">
        <f>VLOOKUP(B266,Foundation_Calc!$K$4:$R$37,4,FALSE)</f>
        <v>N.D.</v>
      </c>
      <c r="E267" s="7">
        <f t="shared" si="5"/>
        <v>0</v>
      </c>
      <c r="F267" s="7">
        <f>COUNTIFS('HR Track 1'!$M$5:$M$406,$A$266,'HR Track 1'!$AW$5:$AW$406,$C267,'HR Track 1'!$AY$5:$AY$406,$D267)</f>
        <v>0</v>
      </c>
      <c r="G267" s="7">
        <f>COUNTIFS('HR Track 2'!$M$5:$M$406,$A$266,'HR Track 2'!$AW$5:$AW$406,$C267,'HR Track 2'!$AY$5:$AY$406,$D267)</f>
        <v>0</v>
      </c>
      <c r="H267" s="7">
        <f>COUNTIFS('HR Track 1 MOM'!$M$5:$M$800,$A$266,'HR Track 1 MOM'!$AW$5:$AW$800,$C267,'HR Track 1 MOM'!$AY$5:$AY$800,$D267)</f>
        <v>0</v>
      </c>
      <c r="I267" s="7">
        <f>COUNTIFS('HR Track 4 MOM'!$M$5:$M$800,$A$266,'HR Track 4 MOM'!$AW$5:$AW$800,$C267,'HR Track 4 MOM'!$AY$5:$AY$800,$D267)</f>
        <v>0</v>
      </c>
      <c r="J267" s="7">
        <f>COUNTIFS('HR Track 4 PMO'!$M$5:$M$800,$A$266,'HR Track 4 PMO'!$AW$5:$AW$800,$C267,'HR Track 4 PMO'!$AY$5:$AY$800,$D267)</f>
        <v>0</v>
      </c>
      <c r="K267" s="333">
        <f>COUNTIFS('HR Track 6 PMO'!$M$5:$M$800,$A$266,'HR Track 6 PMO'!$AW$5:$AW$800,$C267,'HR Track 6 PMO'!$AY$5:$AY$800,$D267)</f>
        <v>0</v>
      </c>
    </row>
    <row r="268" spans="1:11" ht="19.95" customHeight="1">
      <c r="A268" s="764"/>
      <c r="B268" s="753"/>
      <c r="C268" s="163" t="s">
        <v>1091</v>
      </c>
      <c r="D268" s="11" t="str">
        <f>VLOOKUP(B266,Foundation_Calc!$K$4:$R$37,5,FALSE)</f>
        <v>N.D.</v>
      </c>
      <c r="E268" s="7">
        <f t="shared" si="5"/>
        <v>0</v>
      </c>
      <c r="F268" s="7">
        <f>COUNTIFS('HR Track 1'!$M$5:$M$406,$A$266,'HR Track 1'!$AW$5:$AW$406,$C268,'HR Track 1'!$AY$5:$AY$406,$D268)</f>
        <v>0</v>
      </c>
      <c r="G268" s="7">
        <f>COUNTIFS('HR Track 2'!$M$5:$M$406,$A$266,'HR Track 2'!$AW$5:$AW$406,$C268,'HR Track 2'!$AY$5:$AY$406,$D268)</f>
        <v>0</v>
      </c>
      <c r="H268" s="7">
        <f>COUNTIFS('HR Track 1 MOM'!$M$5:$M$800,$A$266,'HR Track 1 MOM'!$AW$5:$AW$800,$C268,'HR Track 1 MOM'!$AY$5:$AY$800,$D268)</f>
        <v>0</v>
      </c>
      <c r="I268" s="7">
        <f>COUNTIFS('HR Track 4 MOM'!$M$5:$M$800,$A$266,'HR Track 4 MOM'!$AW$5:$AW$800,$C268,'HR Track 4 MOM'!$AY$5:$AY$800,$D268)</f>
        <v>0</v>
      </c>
      <c r="J268" s="7">
        <f>COUNTIFS('HR Track 4 PMO'!$M$5:$M$800,$A$266,'HR Track 4 PMO'!$AW$5:$AW$800,$C268,'HR Track 4 PMO'!$AY$5:$AY$800,$D268)</f>
        <v>0</v>
      </c>
      <c r="K268" s="333">
        <f>COUNTIFS('HR Track 6 PMO'!$M$5:$M$800,$A$266,'HR Track 6 PMO'!$AW$5:$AW$800,$C268,'HR Track 6 PMO'!$AY$5:$AY$800,$D268)</f>
        <v>0</v>
      </c>
    </row>
    <row r="269" spans="1:11" ht="19.95" customHeight="1">
      <c r="A269" s="764"/>
      <c r="B269" s="753"/>
      <c r="C269" s="163" t="s">
        <v>1092</v>
      </c>
      <c r="D269" s="11" t="str">
        <f>VLOOKUP(B266,Foundation_Calc!$K$4:$R$37,6,FALSE)</f>
        <v>N.D.</v>
      </c>
      <c r="E269" s="7">
        <f t="shared" si="5"/>
        <v>0</v>
      </c>
      <c r="F269" s="7">
        <f>COUNTIFS('HR Track 1'!$M$5:$M$406,$A$266,'HR Track 1'!$AW$5:$AW$406,$C269,'HR Track 1'!$AY$5:$AY$406,$D269)</f>
        <v>0</v>
      </c>
      <c r="G269" s="7">
        <f>COUNTIFS('HR Track 2'!$M$5:$M$406,$A$266,'HR Track 2'!$AW$5:$AW$406,$C269,'HR Track 2'!$AY$5:$AY$406,$D269)</f>
        <v>0</v>
      </c>
      <c r="H269" s="7">
        <f>COUNTIFS('HR Track 1 MOM'!$M$5:$M$800,$A$266,'HR Track 1 MOM'!$AW$5:$AW$800,$C269,'HR Track 1 MOM'!$AY$5:$AY$800,$D269)</f>
        <v>0</v>
      </c>
      <c r="I269" s="7">
        <f>COUNTIFS('HR Track 4 MOM'!$M$5:$M$800,$A$266,'HR Track 4 MOM'!$AW$5:$AW$800,$C269,'HR Track 4 MOM'!$AY$5:$AY$800,$D269)</f>
        <v>0</v>
      </c>
      <c r="J269" s="7">
        <f>COUNTIFS('HR Track 4 PMO'!$M$5:$M$800,$A$266,'HR Track 4 PMO'!$AW$5:$AW$800,$C269,'HR Track 4 PMO'!$AY$5:$AY$800,$D269)</f>
        <v>0</v>
      </c>
      <c r="K269" s="333">
        <f>COUNTIFS('HR Track 6 PMO'!$M$5:$M$800,$A$266,'HR Track 6 PMO'!$AW$5:$AW$800,$C269,'HR Track 6 PMO'!$AY$5:$AY$800,$D269)</f>
        <v>0</v>
      </c>
    </row>
    <row r="270" spans="1:11" ht="19.95" customHeight="1">
      <c r="A270" s="764"/>
      <c r="B270" s="753"/>
      <c r="C270" s="163" t="s">
        <v>1093</v>
      </c>
      <c r="D270" s="11" t="str">
        <f>VLOOKUP(B266,Foundation_Calc!$K$4:$R$37,7,FALSE)</f>
        <v>N.D.</v>
      </c>
      <c r="E270" s="7">
        <f t="shared" si="5"/>
        <v>0</v>
      </c>
      <c r="F270" s="7">
        <f>COUNTIFS('HR Track 1'!$M$5:$M$406,$A$266,'HR Track 1'!$AW$5:$AW$406,$C270,'HR Track 1'!$AY$5:$AY$406,$D270)</f>
        <v>0</v>
      </c>
      <c r="G270" s="7">
        <f>COUNTIFS('HR Track 2'!$M$5:$M$406,$A$266,'HR Track 2'!$AW$5:$AW$406,$C270,'HR Track 2'!$AY$5:$AY$406,$D270)</f>
        <v>0</v>
      </c>
      <c r="H270" s="7">
        <f>COUNTIFS('HR Track 1 MOM'!$M$5:$M$800,$A$266,'HR Track 1 MOM'!$AW$5:$AW$800,$C270,'HR Track 1 MOM'!$AY$5:$AY$800,$D270)</f>
        <v>0</v>
      </c>
      <c r="I270" s="7">
        <f>COUNTIFS('HR Track 4 MOM'!$M$5:$M$800,$A$266,'HR Track 4 MOM'!$AW$5:$AW$800,$C270,'HR Track 4 MOM'!$AY$5:$AY$800,$D270)</f>
        <v>0</v>
      </c>
      <c r="J270" s="7">
        <f>COUNTIFS('HR Track 4 PMO'!$M$5:$M$800,$A$266,'HR Track 4 PMO'!$AW$5:$AW$800,$C270,'HR Track 4 PMO'!$AY$5:$AY$800,$D270)</f>
        <v>0</v>
      </c>
      <c r="K270" s="333">
        <f>COUNTIFS('HR Track 6 PMO'!$M$5:$M$800,$A$266,'HR Track 6 PMO'!$AW$5:$AW$800,$C270,'HR Track 6 PMO'!$AY$5:$AY$800,$D270)</f>
        <v>0</v>
      </c>
    </row>
    <row r="271" spans="1:11" ht="19.95" customHeight="1" thickBot="1">
      <c r="A271" s="765"/>
      <c r="B271" s="754"/>
      <c r="C271" s="334" t="s">
        <v>1094</v>
      </c>
      <c r="D271" s="335" t="str">
        <f>VLOOKUP(B266,Foundation_Calc!$K$4:$R$37,8,FALSE)</f>
        <v>N.D.</v>
      </c>
      <c r="E271" s="336">
        <f t="shared" si="5"/>
        <v>0</v>
      </c>
      <c r="F271" s="336">
        <f>COUNTIFS('HR Track 1'!$M$5:$M$406,$A$266,'HR Track 1'!$AW$5:$AW$406,$C271,'HR Track 1'!$AY$5:$AY$406,$D271)</f>
        <v>0</v>
      </c>
      <c r="G271" s="336">
        <f>COUNTIFS('HR Track 2'!$M$5:$M$406,$A$266,'HR Track 2'!$AW$5:$AW$406,$C271,'HR Track 2'!$AY$5:$AY$406,$D271)</f>
        <v>0</v>
      </c>
      <c r="H271" s="336">
        <f>COUNTIFS('HR Track 1 MOM'!$M$5:$M$800,$A$266,'HR Track 1 MOM'!$AW$5:$AW$800,$C271,'HR Track 1 MOM'!$AY$5:$AY$800,$D271)</f>
        <v>0</v>
      </c>
      <c r="I271" s="336">
        <f>COUNTIFS('HR Track 4 MOM'!$M$5:$M$800,$A$266,'HR Track 4 MOM'!$AW$5:$AW$800,$C271,'HR Track 4 MOM'!$AY$5:$AY$800,$D271)</f>
        <v>0</v>
      </c>
      <c r="J271" s="336">
        <f>COUNTIFS('HR Track 4 PMO'!$M$5:$M$800,$A$266,'HR Track 4 PMO'!$AW$5:$AW$800,$C271,'HR Track 4 PMO'!$AY$5:$AY$800,$D271)</f>
        <v>0</v>
      </c>
      <c r="K271" s="337">
        <f>COUNTIFS('HR Track 6 PMO'!$M$5:$M$800,$A$266,'HR Track 6 PMO'!$AW$5:$AW$800,$C271,'HR Track 6 PMO'!$AY$5:$AY$800,$D271)</f>
        <v>0</v>
      </c>
    </row>
    <row r="272" spans="1:11" ht="19.95" customHeight="1">
      <c r="A272" s="842" t="s">
        <v>1010</v>
      </c>
      <c r="B272" s="845" t="s">
        <v>449</v>
      </c>
      <c r="C272" s="329" t="s">
        <v>1089</v>
      </c>
      <c r="D272" s="338">
        <f>VLOOKUP(B272,Foundation_Calc!$K$41:$R$74,3,FALSE)</f>
        <v>5</v>
      </c>
      <c r="E272" s="331">
        <f t="shared" si="5"/>
        <v>0</v>
      </c>
      <c r="F272" s="331">
        <f>COUNTIFS('HR Track 1'!$M$5:$M$406,$A$272,'HR Track 1'!$AW$5:$AW$406,$C272,'HR Track 1'!$AY$5:$AY$406,$D272)</f>
        <v>0</v>
      </c>
      <c r="G272" s="331">
        <f>COUNTIFS('HR Track 2'!$M$5:$M$406,$A$272,'HR Track 2'!$AW$5:$AW$406,$C272,'HR Track 2'!$AY$5:$AY$406,$D272)</f>
        <v>0</v>
      </c>
      <c r="H272" s="331">
        <f>COUNTIFS('HR Track 1 MOM'!$M$5:$M$800,$A$272,'HR Track 1 MOM'!$AW$5:$AW$800,$C272,'HR Track 1 MOM'!$AY$5:$AY$800,$D272)</f>
        <v>0</v>
      </c>
      <c r="I272" s="331">
        <f>COUNTIFS('HR Track 4 MOM'!$M$5:$M$800,$A$272,'HR Track 4 MOM'!$AW$5:$AW$800,$C272,'HR Track 4 MOM'!$AY$5:$AY$800,$D272)</f>
        <v>0</v>
      </c>
      <c r="J272" s="331">
        <f>COUNTIFS('HR Track 4 PMO'!$M$5:$M$800,$A$272,'HR Track 4 PMO'!$AW$5:$AW$800,$C272,'HR Track 4 PMO'!$AY$5:$AY$800,$D272)</f>
        <v>0</v>
      </c>
      <c r="K272" s="332">
        <f>COUNTIFS('HR Track 6 PMO'!$M$5:$M$800,$A$272,'HR Track 6 PMO'!$AW$5:$AW$800,$C272,'HR Track 6 PMO'!$AY$5:$AY$800,$D272)</f>
        <v>0</v>
      </c>
    </row>
    <row r="273" spans="1:11" ht="19.95" customHeight="1">
      <c r="A273" s="843"/>
      <c r="B273" s="846"/>
      <c r="C273" s="163" t="s">
        <v>1090</v>
      </c>
      <c r="D273" s="307" t="str">
        <f>VLOOKUP(B272,Foundation_Calc!$K$41:$R$74,4,FALSE)</f>
        <v>N.D.</v>
      </c>
      <c r="E273" s="7">
        <f t="shared" si="5"/>
        <v>0</v>
      </c>
      <c r="F273" s="7">
        <f>COUNTIFS('HR Track 1'!$M$5:$M$406,$A$272,'HR Track 1'!$AW$5:$AW$406,$C273,'HR Track 1'!$AY$5:$AY$406,$D273)</f>
        <v>0</v>
      </c>
      <c r="G273" s="7">
        <f>COUNTIFS('HR Track 2'!$M$5:$M$406,$A$272,'HR Track 2'!$AW$5:$AW$406,$C273,'HR Track 2'!$AY$5:$AY$406,$D273)</f>
        <v>0</v>
      </c>
      <c r="H273" s="7">
        <f>COUNTIFS('HR Track 1 MOM'!$M$5:$M$800,$A$272,'HR Track 1 MOM'!$AW$5:$AW$800,$C273,'HR Track 1 MOM'!$AY$5:$AY$800,$D273)</f>
        <v>0</v>
      </c>
      <c r="I273" s="7">
        <f>COUNTIFS('HR Track 4 MOM'!$M$5:$M$800,$A$272,'HR Track 4 MOM'!$AW$5:$AW$800,$C273,'HR Track 4 MOM'!$AY$5:$AY$800,$D273)</f>
        <v>0</v>
      </c>
      <c r="J273" s="7">
        <f>COUNTIFS('HR Track 4 PMO'!$M$5:$M$800,$A$272,'HR Track 4 PMO'!$AW$5:$AW$800,$C273,'HR Track 4 PMO'!$AY$5:$AY$800,$D273)</f>
        <v>0</v>
      </c>
      <c r="K273" s="333">
        <f>COUNTIFS('HR Track 6 PMO'!$M$5:$M$800,$A$272,'HR Track 6 PMO'!$AW$5:$AW$800,$C273,'HR Track 6 PMO'!$AY$5:$AY$800,$D273)</f>
        <v>0</v>
      </c>
    </row>
    <row r="274" spans="1:11" ht="19.95" customHeight="1">
      <c r="A274" s="843"/>
      <c r="B274" s="846"/>
      <c r="C274" s="163" t="s">
        <v>1091</v>
      </c>
      <c r="D274" s="307" t="str">
        <f>VLOOKUP(B272,Foundation_Calc!$K$41:$R$74,5,FALSE)</f>
        <v>N.D.</v>
      </c>
      <c r="E274" s="7">
        <f t="shared" si="5"/>
        <v>0</v>
      </c>
      <c r="F274" s="7">
        <f>COUNTIFS('HR Track 1'!$M$5:$M$406,$A$272,'HR Track 1'!$AW$5:$AW$406,$C274,'HR Track 1'!$AY$5:$AY$406,$D274)</f>
        <v>0</v>
      </c>
      <c r="G274" s="7">
        <f>COUNTIFS('HR Track 2'!$M$5:$M$406,$A$272,'HR Track 2'!$AW$5:$AW$406,$C274,'HR Track 2'!$AY$5:$AY$406,$D274)</f>
        <v>0</v>
      </c>
      <c r="H274" s="7">
        <f>COUNTIFS('HR Track 1 MOM'!$M$5:$M$800,$A$272,'HR Track 1 MOM'!$AW$5:$AW$800,$C274,'HR Track 1 MOM'!$AY$5:$AY$800,$D274)</f>
        <v>0</v>
      </c>
      <c r="I274" s="7">
        <f>COUNTIFS('HR Track 4 MOM'!$M$5:$M$800,$A$272,'HR Track 4 MOM'!$AW$5:$AW$800,$C274,'HR Track 4 MOM'!$AY$5:$AY$800,$D274)</f>
        <v>0</v>
      </c>
      <c r="J274" s="7">
        <f>COUNTIFS('HR Track 4 PMO'!$M$5:$M$800,$A$272,'HR Track 4 PMO'!$AW$5:$AW$800,$C274,'HR Track 4 PMO'!$AY$5:$AY$800,$D274)</f>
        <v>0</v>
      </c>
      <c r="K274" s="333">
        <f>COUNTIFS('HR Track 6 PMO'!$M$5:$M$800,$A$272,'HR Track 6 PMO'!$AW$5:$AW$800,$C274,'HR Track 6 PMO'!$AY$5:$AY$800,$D274)</f>
        <v>0</v>
      </c>
    </row>
    <row r="275" spans="1:11" ht="19.95" customHeight="1">
      <c r="A275" s="843"/>
      <c r="B275" s="846"/>
      <c r="C275" s="163" t="s">
        <v>1092</v>
      </c>
      <c r="D275" s="307" t="str">
        <f>VLOOKUP(B272,Foundation_Calc!$K$41:$R$74,6,FALSE)</f>
        <v>N.D.</v>
      </c>
      <c r="E275" s="7">
        <f t="shared" si="5"/>
        <v>0</v>
      </c>
      <c r="F275" s="7">
        <f>COUNTIFS('HR Track 1'!$M$5:$M$406,$A$272,'HR Track 1'!$AW$5:$AW$406,$C275,'HR Track 1'!$AY$5:$AY$406,$D275)</f>
        <v>0</v>
      </c>
      <c r="G275" s="7">
        <f>COUNTIFS('HR Track 2'!$M$5:$M$406,$A$272,'HR Track 2'!$AW$5:$AW$406,$C275,'HR Track 2'!$AY$5:$AY$406,$D275)</f>
        <v>0</v>
      </c>
      <c r="H275" s="7">
        <f>COUNTIFS('HR Track 1 MOM'!$M$5:$M$800,$A$272,'HR Track 1 MOM'!$AW$5:$AW$800,$C275,'HR Track 1 MOM'!$AY$5:$AY$800,$D275)</f>
        <v>0</v>
      </c>
      <c r="I275" s="7">
        <f>COUNTIFS('HR Track 4 MOM'!$M$5:$M$800,$A$272,'HR Track 4 MOM'!$AW$5:$AW$800,$C275,'HR Track 4 MOM'!$AY$5:$AY$800,$D275)</f>
        <v>0</v>
      </c>
      <c r="J275" s="7">
        <f>COUNTIFS('HR Track 4 PMO'!$M$5:$M$800,$A$272,'HR Track 4 PMO'!$AW$5:$AW$800,$C275,'HR Track 4 PMO'!$AY$5:$AY$800,$D275)</f>
        <v>0</v>
      </c>
      <c r="K275" s="333">
        <f>COUNTIFS('HR Track 6 PMO'!$M$5:$M$800,$A$272,'HR Track 6 PMO'!$AW$5:$AW$800,$C275,'HR Track 6 PMO'!$AY$5:$AY$800,$D275)</f>
        <v>0</v>
      </c>
    </row>
    <row r="276" spans="1:11" ht="19.95" customHeight="1">
      <c r="A276" s="843"/>
      <c r="B276" s="846"/>
      <c r="C276" s="163" t="s">
        <v>1093</v>
      </c>
      <c r="D276" s="307" t="str">
        <f>VLOOKUP(B272,Foundation_Calc!$K$41:$R$74,7,FALSE)</f>
        <v>N.D.</v>
      </c>
      <c r="E276" s="7">
        <f t="shared" si="5"/>
        <v>0</v>
      </c>
      <c r="F276" s="7">
        <f>COUNTIFS('HR Track 1'!$M$5:$M$406,$A$272,'HR Track 1'!$AW$5:$AW$406,$C276,'HR Track 1'!$AY$5:$AY$406,$D276)</f>
        <v>0</v>
      </c>
      <c r="G276" s="7">
        <f>COUNTIFS('HR Track 2'!$M$5:$M$406,$A$272,'HR Track 2'!$AW$5:$AW$406,$C276,'HR Track 2'!$AY$5:$AY$406,$D276)</f>
        <v>0</v>
      </c>
      <c r="H276" s="7">
        <f>COUNTIFS('HR Track 1 MOM'!$M$5:$M$800,$A$272,'HR Track 1 MOM'!$AW$5:$AW$800,$C276,'HR Track 1 MOM'!$AY$5:$AY$800,$D276)</f>
        <v>0</v>
      </c>
      <c r="I276" s="7">
        <f>COUNTIFS('HR Track 4 MOM'!$M$5:$M$800,$A$272,'HR Track 4 MOM'!$AW$5:$AW$800,$C276,'HR Track 4 MOM'!$AY$5:$AY$800,$D276)</f>
        <v>0</v>
      </c>
      <c r="J276" s="7">
        <f>COUNTIFS('HR Track 4 PMO'!$M$5:$M$800,$A$272,'HR Track 4 PMO'!$AW$5:$AW$800,$C276,'HR Track 4 PMO'!$AY$5:$AY$800,$D276)</f>
        <v>0</v>
      </c>
      <c r="K276" s="333">
        <f>COUNTIFS('HR Track 6 PMO'!$M$5:$M$800,$A$272,'HR Track 6 PMO'!$AW$5:$AW$800,$C276,'HR Track 6 PMO'!$AY$5:$AY$800,$D276)</f>
        <v>0</v>
      </c>
    </row>
    <row r="277" spans="1:11" ht="19.95" customHeight="1" thickBot="1">
      <c r="A277" s="844"/>
      <c r="B277" s="847"/>
      <c r="C277" s="334" t="s">
        <v>1094</v>
      </c>
      <c r="D277" s="339" t="str">
        <f>VLOOKUP(B272,Foundation_Calc!$K$41:$R$74,8,FALSE)</f>
        <v>N.D.</v>
      </c>
      <c r="E277" s="336">
        <f t="shared" si="5"/>
        <v>0</v>
      </c>
      <c r="F277" s="336">
        <f>COUNTIFS('HR Track 1'!$M$5:$M$406,$A$272,'HR Track 1'!$AW$5:$AW$406,$C277,'HR Track 1'!$AY$5:$AY$406,$D277)</f>
        <v>0</v>
      </c>
      <c r="G277" s="336">
        <f>COUNTIFS('HR Track 2'!$M$5:$M$406,$A$272,'HR Track 2'!$AW$5:$AW$406,$C277,'HR Track 2'!$AY$5:$AY$406,$D277)</f>
        <v>0</v>
      </c>
      <c r="H277" s="336">
        <f>COUNTIFS('HR Track 1 MOM'!$M$5:$M$800,$A$272,'HR Track 1 MOM'!$AW$5:$AW$800,$C277,'HR Track 1 MOM'!$AY$5:$AY$800,$D277)</f>
        <v>0</v>
      </c>
      <c r="I277" s="336">
        <f>COUNTIFS('HR Track 4 MOM'!$M$5:$M$800,$A$272,'HR Track 4 MOM'!$AW$5:$AW$800,$C277,'HR Track 4 MOM'!$AY$5:$AY$800,$D277)</f>
        <v>0</v>
      </c>
      <c r="J277" s="336">
        <f>COUNTIFS('HR Track 4 PMO'!$M$5:$M$800,$A$272,'HR Track 4 PMO'!$AW$5:$AW$800,$C277,'HR Track 4 PMO'!$AY$5:$AY$800,$D277)</f>
        <v>0</v>
      </c>
      <c r="K277" s="337">
        <f>COUNTIFS('HR Track 6 PMO'!$M$5:$M$800,$A$272,'HR Track 6 PMO'!$AW$5:$AW$800,$C277,'HR Track 6 PMO'!$AY$5:$AY$800,$D277)</f>
        <v>0</v>
      </c>
    </row>
    <row r="278" spans="1:11" ht="19.95" customHeight="1">
      <c r="A278" s="848" t="s">
        <v>1009</v>
      </c>
      <c r="B278" s="849" t="s">
        <v>788</v>
      </c>
      <c r="C278" s="329" t="s">
        <v>1089</v>
      </c>
      <c r="D278" s="330" t="str">
        <f>VLOOKUP(B278,Foundation_Calc!$K$4:$R$37,3,FALSE)</f>
        <v>N.D.</v>
      </c>
      <c r="E278" s="331">
        <f t="shared" si="5"/>
        <v>0</v>
      </c>
      <c r="F278" s="331">
        <f>COUNTIFS('HR Track 1'!$M$5:$M$406,$A$278,'HR Track 1'!$AW$5:$AW$406,$C278,'HR Track 1'!$AY$5:$AY$406,$D278)</f>
        <v>0</v>
      </c>
      <c r="G278" s="331">
        <f>COUNTIFS('HR Track 2'!$M$5:$M$406,$A$278,'HR Track 2'!$AW$5:$AW$406,$C278,'HR Track 2'!$AY$5:$AY$406,$D278)</f>
        <v>0</v>
      </c>
      <c r="H278" s="331">
        <f>COUNTIFS('HR Track 1 MOM'!$M$5:$M$800,$A$278,'HR Track 1 MOM'!$AW$5:$AW$800,$C278,'HR Track 1 MOM'!$AY$5:$AY$800,$D278)</f>
        <v>0</v>
      </c>
      <c r="I278" s="331">
        <f>COUNTIFS('HR Track 4 MOM'!$M$5:$M$800,$A$278,'HR Track 4 MOM'!$AW$5:$AW$800,$C278,'HR Track 4 MOM'!$AY$5:$AY$800,$D278)</f>
        <v>0</v>
      </c>
      <c r="J278" s="331">
        <f>COUNTIFS('HR Track 4 PMO'!$M$5:$M$800,$A$278,'HR Track 4 PMO'!$AW$5:$AW$800,$C278,'HR Track 4 PMO'!$AY$5:$AY$800,$D278)</f>
        <v>0</v>
      </c>
      <c r="K278" s="332">
        <f>COUNTIFS('HR Track 6 PMO'!$M$5:$M$800,$A$278,'HR Track 6 PMO'!$AW$5:$AW$800,$C278,'HR Track 6 PMO'!$AY$5:$AY$800,$D278)</f>
        <v>0</v>
      </c>
    </row>
    <row r="279" spans="1:11" ht="19.95" customHeight="1">
      <c r="A279" s="764"/>
      <c r="B279" s="753"/>
      <c r="C279" s="163" t="s">
        <v>1090</v>
      </c>
      <c r="D279" s="11" t="str">
        <f>VLOOKUP(B278,Foundation_Calc!$K$4:$R$37,4,FALSE)</f>
        <v>N.D.</v>
      </c>
      <c r="E279" s="7">
        <f t="shared" si="5"/>
        <v>0</v>
      </c>
      <c r="F279" s="7">
        <f>COUNTIFS('HR Track 1'!$M$5:$M$406,$A$278,'HR Track 1'!$AW$5:$AW$406,$C279,'HR Track 1'!$AY$5:$AY$406,$D279)</f>
        <v>0</v>
      </c>
      <c r="G279" s="7">
        <f>COUNTIFS('HR Track 2'!$M$5:$M$406,$A$278,'HR Track 2'!$AW$5:$AW$406,$C279,'HR Track 2'!$AY$5:$AY$406,$D279)</f>
        <v>0</v>
      </c>
      <c r="H279" s="7">
        <f>COUNTIFS('HR Track 1 MOM'!$M$5:$M$800,$A$278,'HR Track 1 MOM'!$AW$5:$AW$800,$C279,'HR Track 1 MOM'!$AY$5:$AY$800,$D279)</f>
        <v>0</v>
      </c>
      <c r="I279" s="7">
        <f>COUNTIFS('HR Track 4 MOM'!$M$5:$M$800,$A$278,'HR Track 4 MOM'!$AW$5:$AW$800,$C279,'HR Track 4 MOM'!$AY$5:$AY$800,$D279)</f>
        <v>0</v>
      </c>
      <c r="J279" s="7">
        <f>COUNTIFS('HR Track 4 PMO'!$M$5:$M$800,$A$278,'HR Track 4 PMO'!$AW$5:$AW$800,$C279,'HR Track 4 PMO'!$AY$5:$AY$800,$D279)</f>
        <v>0</v>
      </c>
      <c r="K279" s="333">
        <f>COUNTIFS('HR Track 6 PMO'!$M$5:$M$800,$A$278,'HR Track 6 PMO'!$AW$5:$AW$800,$C279,'HR Track 6 PMO'!$AY$5:$AY$800,$D279)</f>
        <v>0</v>
      </c>
    </row>
    <row r="280" spans="1:11" ht="19.95" customHeight="1">
      <c r="A280" s="764"/>
      <c r="B280" s="753"/>
      <c r="C280" s="163" t="s">
        <v>1091</v>
      </c>
      <c r="D280" s="11" t="str">
        <f>VLOOKUP(B278,Foundation_Calc!$K$4:$R$37,5,FALSE)</f>
        <v>N.D.</v>
      </c>
      <c r="E280" s="7">
        <f t="shared" si="5"/>
        <v>0</v>
      </c>
      <c r="F280" s="7">
        <f>COUNTIFS('HR Track 1'!$M$5:$M$406,$A$278,'HR Track 1'!$AW$5:$AW$406,$C280,'HR Track 1'!$AY$5:$AY$406,$D280)</f>
        <v>0</v>
      </c>
      <c r="G280" s="7">
        <f>COUNTIFS('HR Track 2'!$M$5:$M$406,$A$278,'HR Track 2'!$AW$5:$AW$406,$C280,'HR Track 2'!$AY$5:$AY$406,$D280)</f>
        <v>0</v>
      </c>
      <c r="H280" s="7">
        <f>COUNTIFS('HR Track 1 MOM'!$M$5:$M$800,$A$278,'HR Track 1 MOM'!$AW$5:$AW$800,$C280,'HR Track 1 MOM'!$AY$5:$AY$800,$D280)</f>
        <v>0</v>
      </c>
      <c r="I280" s="7">
        <f>COUNTIFS('HR Track 4 MOM'!$M$5:$M$800,$A$278,'HR Track 4 MOM'!$AW$5:$AW$800,$C280,'HR Track 4 MOM'!$AY$5:$AY$800,$D280)</f>
        <v>0</v>
      </c>
      <c r="J280" s="7">
        <f>COUNTIFS('HR Track 4 PMO'!$M$5:$M$800,$A$278,'HR Track 4 PMO'!$AW$5:$AW$800,$C280,'HR Track 4 PMO'!$AY$5:$AY$800,$D280)</f>
        <v>0</v>
      </c>
      <c r="K280" s="333">
        <f>COUNTIFS('HR Track 6 PMO'!$M$5:$M$800,$A$278,'HR Track 6 PMO'!$AW$5:$AW$800,$C280,'HR Track 6 PMO'!$AY$5:$AY$800,$D280)</f>
        <v>0</v>
      </c>
    </row>
    <row r="281" spans="1:11" ht="19.95" customHeight="1">
      <c r="A281" s="764"/>
      <c r="B281" s="753"/>
      <c r="C281" s="163" t="s">
        <v>1092</v>
      </c>
      <c r="D281" s="11" t="str">
        <f>VLOOKUP(B278,Foundation_Calc!$K$4:$R$37,6,FALSE)</f>
        <v>N.D.</v>
      </c>
      <c r="E281" s="7">
        <f t="shared" si="5"/>
        <v>0</v>
      </c>
      <c r="F281" s="7">
        <f>COUNTIFS('HR Track 1'!$M$5:$M$406,$A$278,'HR Track 1'!$AW$5:$AW$406,$C281,'HR Track 1'!$AY$5:$AY$406,$D281)</f>
        <v>0</v>
      </c>
      <c r="G281" s="7">
        <f>COUNTIFS('HR Track 2'!$M$5:$M$406,$A$278,'HR Track 2'!$AW$5:$AW$406,$C281,'HR Track 2'!$AY$5:$AY$406,$D281)</f>
        <v>0</v>
      </c>
      <c r="H281" s="7">
        <f>COUNTIFS('HR Track 1 MOM'!$M$5:$M$800,$A$278,'HR Track 1 MOM'!$AW$5:$AW$800,$C281,'HR Track 1 MOM'!$AY$5:$AY$800,$D281)</f>
        <v>0</v>
      </c>
      <c r="I281" s="7">
        <f>COUNTIFS('HR Track 4 MOM'!$M$5:$M$800,$A$278,'HR Track 4 MOM'!$AW$5:$AW$800,$C281,'HR Track 4 MOM'!$AY$5:$AY$800,$D281)</f>
        <v>0</v>
      </c>
      <c r="J281" s="7">
        <f>COUNTIFS('HR Track 4 PMO'!$M$5:$M$800,$A$278,'HR Track 4 PMO'!$AW$5:$AW$800,$C281,'HR Track 4 PMO'!$AY$5:$AY$800,$D281)</f>
        <v>0</v>
      </c>
      <c r="K281" s="333">
        <f>COUNTIFS('HR Track 6 PMO'!$M$5:$M$800,$A$278,'HR Track 6 PMO'!$AW$5:$AW$800,$C281,'HR Track 6 PMO'!$AY$5:$AY$800,$D281)</f>
        <v>0</v>
      </c>
    </row>
    <row r="282" spans="1:11" ht="19.95" customHeight="1">
      <c r="A282" s="764"/>
      <c r="B282" s="753"/>
      <c r="C282" s="163" t="s">
        <v>1093</v>
      </c>
      <c r="D282" s="11" t="str">
        <f>VLOOKUP(B278,Foundation_Calc!$K$4:$R$37,7,FALSE)</f>
        <v>N.D.</v>
      </c>
      <c r="E282" s="7">
        <f t="shared" si="5"/>
        <v>0</v>
      </c>
      <c r="F282" s="7">
        <f>COUNTIFS('HR Track 1'!$M$5:$M$406,$A$278,'HR Track 1'!$AW$5:$AW$406,$C282,'HR Track 1'!$AY$5:$AY$406,$D282)</f>
        <v>0</v>
      </c>
      <c r="G282" s="7">
        <f>COUNTIFS('HR Track 2'!$M$5:$M$406,$A$278,'HR Track 2'!$AW$5:$AW$406,$C282,'HR Track 2'!$AY$5:$AY$406,$D282)</f>
        <v>0</v>
      </c>
      <c r="H282" s="7">
        <f>COUNTIFS('HR Track 1 MOM'!$M$5:$M$800,$A$278,'HR Track 1 MOM'!$AW$5:$AW$800,$C282,'HR Track 1 MOM'!$AY$5:$AY$800,$D282)</f>
        <v>0</v>
      </c>
      <c r="I282" s="7">
        <f>COUNTIFS('HR Track 4 MOM'!$M$5:$M$800,$A$278,'HR Track 4 MOM'!$AW$5:$AW$800,$C282,'HR Track 4 MOM'!$AY$5:$AY$800,$D282)</f>
        <v>0</v>
      </c>
      <c r="J282" s="7">
        <f>COUNTIFS('HR Track 4 PMO'!$M$5:$M$800,$A$278,'HR Track 4 PMO'!$AW$5:$AW$800,$C282,'HR Track 4 PMO'!$AY$5:$AY$800,$D282)</f>
        <v>0</v>
      </c>
      <c r="K282" s="333">
        <f>COUNTIFS('HR Track 6 PMO'!$M$5:$M$800,$A$278,'HR Track 6 PMO'!$AW$5:$AW$800,$C282,'HR Track 6 PMO'!$AY$5:$AY$800,$D282)</f>
        <v>0</v>
      </c>
    </row>
    <row r="283" spans="1:11" ht="19.95" customHeight="1" thickBot="1">
      <c r="A283" s="765"/>
      <c r="B283" s="754"/>
      <c r="C283" s="334" t="s">
        <v>1094</v>
      </c>
      <c r="D283" s="335" t="str">
        <f>VLOOKUP(B278,Foundation_Calc!$K$4:$R$37,8,FALSE)</f>
        <v>N.D.</v>
      </c>
      <c r="E283" s="336">
        <f t="shared" si="5"/>
        <v>0</v>
      </c>
      <c r="F283" s="336">
        <f>COUNTIFS('HR Track 1'!$M$5:$M$406,$A$278,'HR Track 1'!$AW$5:$AW$406,$C283,'HR Track 1'!$AY$5:$AY$406,$D283)</f>
        <v>0</v>
      </c>
      <c r="G283" s="336">
        <f>COUNTIFS('HR Track 2'!$M$5:$M$406,$A$278,'HR Track 2'!$AW$5:$AW$406,$C283,'HR Track 2'!$AY$5:$AY$406,$D283)</f>
        <v>0</v>
      </c>
      <c r="H283" s="336">
        <f>COUNTIFS('HR Track 1 MOM'!$M$5:$M$800,$A$278,'HR Track 1 MOM'!$AW$5:$AW$800,$C283,'HR Track 1 MOM'!$AY$5:$AY$800,$D283)</f>
        <v>0</v>
      </c>
      <c r="I283" s="336">
        <f>COUNTIFS('HR Track 4 MOM'!$M$5:$M$800,$A$278,'HR Track 4 MOM'!$AW$5:$AW$800,$C283,'HR Track 4 MOM'!$AY$5:$AY$800,$D283)</f>
        <v>0</v>
      </c>
      <c r="J283" s="336">
        <f>COUNTIFS('HR Track 4 PMO'!$M$5:$M$800,$A$278,'HR Track 4 PMO'!$AW$5:$AW$800,$C283,'HR Track 4 PMO'!$AY$5:$AY$800,$D283)</f>
        <v>0</v>
      </c>
      <c r="K283" s="337">
        <f>COUNTIFS('HR Track 6 PMO'!$M$5:$M$800,$A$278,'HR Track 6 PMO'!$AW$5:$AW$800,$C283,'HR Track 6 PMO'!$AY$5:$AY$800,$D283)</f>
        <v>0</v>
      </c>
    </row>
    <row r="284" spans="1:11" ht="19.95" customHeight="1">
      <c r="A284" s="842" t="s">
        <v>1010</v>
      </c>
      <c r="B284" s="845" t="s">
        <v>788</v>
      </c>
      <c r="C284" s="329" t="s">
        <v>1089</v>
      </c>
      <c r="D284" s="338" t="str">
        <f>VLOOKUP(B284,Foundation_Calc!$K$41:$R$74,3,FALSE)</f>
        <v>N.D.</v>
      </c>
      <c r="E284" s="331">
        <f t="shared" si="5"/>
        <v>0</v>
      </c>
      <c r="F284" s="331">
        <f>COUNTIFS('HR Track 1'!$M$5:$M$406,$A$284,'HR Track 1'!$AW$5:$AW$406,$C284,'HR Track 1'!$AY$5:$AY$406,$D284)</f>
        <v>0</v>
      </c>
      <c r="G284" s="331">
        <f>COUNTIFS('HR Track 2'!$M$5:$M$406,$A$284,'HR Track 2'!$AW$5:$AW$406,$C284,'HR Track 2'!$AY$5:$AY$406,$D284)</f>
        <v>0</v>
      </c>
      <c r="H284" s="331">
        <f>COUNTIFS('HR Track 1 MOM'!$M$5:$M$800,$A$284,'HR Track 1 MOM'!$AW$5:$AW$800,$C284,'HR Track 1 MOM'!$AY$5:$AY$800,$D284)</f>
        <v>0</v>
      </c>
      <c r="I284" s="331">
        <f>COUNTIFS('HR Track 4 MOM'!$M$5:$M$800,$A$284,'HR Track 4 MOM'!$AW$5:$AW$800,$C284,'HR Track 4 MOM'!$AY$5:$AY$800,$D284)</f>
        <v>0</v>
      </c>
      <c r="J284" s="331">
        <f>COUNTIFS('HR Track 4 PMO'!$M$5:$M$800,$A$284,'HR Track 4 PMO'!$AW$5:$AW$800,$C284,'HR Track 4 PMO'!$AY$5:$AY$800,$D284)</f>
        <v>0</v>
      </c>
      <c r="K284" s="332">
        <f>COUNTIFS('HR Track 6 PMO'!$M$5:$M$800,$A$284,'HR Track 6 PMO'!$AW$5:$AW$800,$C284,'HR Track 6 PMO'!$AY$5:$AY$800,$D284)</f>
        <v>0</v>
      </c>
    </row>
    <row r="285" spans="1:11" ht="19.95" customHeight="1">
      <c r="A285" s="843"/>
      <c r="B285" s="846"/>
      <c r="C285" s="163" t="s">
        <v>1090</v>
      </c>
      <c r="D285" s="307" t="str">
        <f>VLOOKUP(B284,Foundation_Calc!$K$41:$R$74,4,FALSE)</f>
        <v>N.D.</v>
      </c>
      <c r="E285" s="7">
        <f t="shared" si="5"/>
        <v>0</v>
      </c>
      <c r="F285" s="7">
        <f>COUNTIFS('HR Track 1'!$M$5:$M$406,$A$284,'HR Track 1'!$AW$5:$AW$406,$C285,'HR Track 1'!$AY$5:$AY$406,$D285)</f>
        <v>0</v>
      </c>
      <c r="G285" s="7">
        <f>COUNTIFS('HR Track 2'!$M$5:$M$406,$A$284,'HR Track 2'!$AW$5:$AW$406,$C285,'HR Track 2'!$AY$5:$AY$406,$D285)</f>
        <v>0</v>
      </c>
      <c r="H285" s="7">
        <f>COUNTIFS('HR Track 1 MOM'!$M$5:$M$800,$A$284,'HR Track 1 MOM'!$AW$5:$AW$800,$C285,'HR Track 1 MOM'!$AY$5:$AY$800,$D285)</f>
        <v>0</v>
      </c>
      <c r="I285" s="7">
        <f>COUNTIFS('HR Track 4 MOM'!$M$5:$M$800,$A$284,'HR Track 4 MOM'!$AW$5:$AW$800,$C285,'HR Track 4 MOM'!$AY$5:$AY$800,$D285)</f>
        <v>0</v>
      </c>
      <c r="J285" s="7">
        <f>COUNTIFS('HR Track 4 PMO'!$M$5:$M$800,$A$284,'HR Track 4 PMO'!$AW$5:$AW$800,$C285,'HR Track 4 PMO'!$AY$5:$AY$800,$D285)</f>
        <v>0</v>
      </c>
      <c r="K285" s="333">
        <f>COUNTIFS('HR Track 6 PMO'!$M$5:$M$800,$A$284,'HR Track 6 PMO'!$AW$5:$AW$800,$C285,'HR Track 6 PMO'!$AY$5:$AY$800,$D285)</f>
        <v>0</v>
      </c>
    </row>
    <row r="286" spans="1:11" ht="19.95" customHeight="1">
      <c r="A286" s="843"/>
      <c r="B286" s="846"/>
      <c r="C286" s="163" t="s">
        <v>1091</v>
      </c>
      <c r="D286" s="307" t="str">
        <f>VLOOKUP(B284,Foundation_Calc!$K$41:$R$74,5,FALSE)</f>
        <v>N.D.</v>
      </c>
      <c r="E286" s="7">
        <f t="shared" si="5"/>
        <v>0</v>
      </c>
      <c r="F286" s="7">
        <f>COUNTIFS('HR Track 1'!$M$5:$M$406,$A$284,'HR Track 1'!$AW$5:$AW$406,$C286,'HR Track 1'!$AY$5:$AY$406,$D286)</f>
        <v>0</v>
      </c>
      <c r="G286" s="7">
        <f>COUNTIFS('HR Track 2'!$M$5:$M$406,$A$284,'HR Track 2'!$AW$5:$AW$406,$C286,'HR Track 2'!$AY$5:$AY$406,$D286)</f>
        <v>0</v>
      </c>
      <c r="H286" s="7">
        <f>COUNTIFS('HR Track 1 MOM'!$M$5:$M$800,$A$284,'HR Track 1 MOM'!$AW$5:$AW$800,$C286,'HR Track 1 MOM'!$AY$5:$AY$800,$D286)</f>
        <v>0</v>
      </c>
      <c r="I286" s="7">
        <f>COUNTIFS('HR Track 4 MOM'!$M$5:$M$800,$A$284,'HR Track 4 MOM'!$AW$5:$AW$800,$C286,'HR Track 4 MOM'!$AY$5:$AY$800,$D286)</f>
        <v>0</v>
      </c>
      <c r="J286" s="7">
        <f>COUNTIFS('HR Track 4 PMO'!$M$5:$M$800,$A$284,'HR Track 4 PMO'!$AW$5:$AW$800,$C286,'HR Track 4 PMO'!$AY$5:$AY$800,$D286)</f>
        <v>0</v>
      </c>
      <c r="K286" s="333">
        <f>COUNTIFS('HR Track 6 PMO'!$M$5:$M$800,$A$284,'HR Track 6 PMO'!$AW$5:$AW$800,$C286,'HR Track 6 PMO'!$AY$5:$AY$800,$D286)</f>
        <v>0</v>
      </c>
    </row>
    <row r="287" spans="1:11" ht="19.95" customHeight="1">
      <c r="A287" s="843"/>
      <c r="B287" s="846"/>
      <c r="C287" s="163" t="s">
        <v>1092</v>
      </c>
      <c r="D287" s="307" t="str">
        <f>VLOOKUP(B284,Foundation_Calc!$K$41:$R$74,6,FALSE)</f>
        <v>N.D.</v>
      </c>
      <c r="E287" s="7">
        <f t="shared" si="5"/>
        <v>0</v>
      </c>
      <c r="F287" s="7">
        <f>COUNTIFS('HR Track 1'!$M$5:$M$406,$A$284,'HR Track 1'!$AW$5:$AW$406,$C287,'HR Track 1'!$AY$5:$AY$406,$D287)</f>
        <v>0</v>
      </c>
      <c r="G287" s="7">
        <f>COUNTIFS('HR Track 2'!$M$5:$M$406,$A$284,'HR Track 2'!$AW$5:$AW$406,$C287,'HR Track 2'!$AY$5:$AY$406,$D287)</f>
        <v>0</v>
      </c>
      <c r="H287" s="7">
        <f>COUNTIFS('HR Track 1 MOM'!$M$5:$M$800,$A$284,'HR Track 1 MOM'!$AW$5:$AW$800,$C287,'HR Track 1 MOM'!$AY$5:$AY$800,$D287)</f>
        <v>0</v>
      </c>
      <c r="I287" s="7">
        <f>COUNTIFS('HR Track 4 MOM'!$M$5:$M$800,$A$284,'HR Track 4 MOM'!$AW$5:$AW$800,$C287,'HR Track 4 MOM'!$AY$5:$AY$800,$D287)</f>
        <v>0</v>
      </c>
      <c r="J287" s="7">
        <f>COUNTIFS('HR Track 4 PMO'!$M$5:$M$800,$A$284,'HR Track 4 PMO'!$AW$5:$AW$800,$C287,'HR Track 4 PMO'!$AY$5:$AY$800,$D287)</f>
        <v>0</v>
      </c>
      <c r="K287" s="333">
        <f>COUNTIFS('HR Track 6 PMO'!$M$5:$M$800,$A$284,'HR Track 6 PMO'!$AW$5:$AW$800,$C287,'HR Track 6 PMO'!$AY$5:$AY$800,$D287)</f>
        <v>0</v>
      </c>
    </row>
    <row r="288" spans="1:11" ht="19.95" customHeight="1">
      <c r="A288" s="843"/>
      <c r="B288" s="846"/>
      <c r="C288" s="163" t="s">
        <v>1093</v>
      </c>
      <c r="D288" s="307" t="str">
        <f>VLOOKUP(B284,Foundation_Calc!$K$41:$R$74,7,FALSE)</f>
        <v>N.D.</v>
      </c>
      <c r="E288" s="7">
        <f t="shared" si="5"/>
        <v>0</v>
      </c>
      <c r="F288" s="7">
        <f>COUNTIFS('HR Track 1'!$M$5:$M$406,$A$284,'HR Track 1'!$AW$5:$AW$406,$C288,'HR Track 1'!$AY$5:$AY$406,$D288)</f>
        <v>0</v>
      </c>
      <c r="G288" s="7">
        <f>COUNTIFS('HR Track 2'!$M$5:$M$406,$A$284,'HR Track 2'!$AW$5:$AW$406,$C288,'HR Track 2'!$AY$5:$AY$406,$D288)</f>
        <v>0</v>
      </c>
      <c r="H288" s="7">
        <f>COUNTIFS('HR Track 1 MOM'!$M$5:$M$800,$A$284,'HR Track 1 MOM'!$AW$5:$AW$800,$C288,'HR Track 1 MOM'!$AY$5:$AY$800,$D288)</f>
        <v>0</v>
      </c>
      <c r="I288" s="7">
        <f>COUNTIFS('HR Track 4 MOM'!$M$5:$M$800,$A$284,'HR Track 4 MOM'!$AW$5:$AW$800,$C288,'HR Track 4 MOM'!$AY$5:$AY$800,$D288)</f>
        <v>0</v>
      </c>
      <c r="J288" s="7">
        <f>COUNTIFS('HR Track 4 PMO'!$M$5:$M$800,$A$284,'HR Track 4 PMO'!$AW$5:$AW$800,$C288,'HR Track 4 PMO'!$AY$5:$AY$800,$D288)</f>
        <v>0</v>
      </c>
      <c r="K288" s="333">
        <f>COUNTIFS('HR Track 6 PMO'!$M$5:$M$800,$A$284,'HR Track 6 PMO'!$AW$5:$AW$800,$C288,'HR Track 6 PMO'!$AY$5:$AY$800,$D288)</f>
        <v>0</v>
      </c>
    </row>
    <row r="289" spans="1:11" ht="19.95" customHeight="1" thickBot="1">
      <c r="A289" s="844"/>
      <c r="B289" s="847"/>
      <c r="C289" s="334" t="s">
        <v>1094</v>
      </c>
      <c r="D289" s="339" t="str">
        <f>VLOOKUP(B284,Foundation_Calc!$K$41:$R$74,8,FALSE)</f>
        <v>N.D.</v>
      </c>
      <c r="E289" s="336">
        <f t="shared" si="5"/>
        <v>0</v>
      </c>
      <c r="F289" s="336">
        <f>COUNTIFS('HR Track 1'!$M$5:$M$406,$A$284,'HR Track 1'!$AW$5:$AW$406,$C289,'HR Track 1'!$AY$5:$AY$406,$D289)</f>
        <v>0</v>
      </c>
      <c r="G289" s="336">
        <f>COUNTIFS('HR Track 2'!$M$5:$M$406,$A$284,'HR Track 2'!$AW$5:$AW$406,$C289,'HR Track 2'!$AY$5:$AY$406,$D289)</f>
        <v>0</v>
      </c>
      <c r="H289" s="336">
        <f>COUNTIFS('HR Track 1 MOM'!$M$5:$M$800,$A$284,'HR Track 1 MOM'!$AW$5:$AW$800,$C289,'HR Track 1 MOM'!$AY$5:$AY$800,$D289)</f>
        <v>0</v>
      </c>
      <c r="I289" s="336">
        <f>COUNTIFS('HR Track 4 MOM'!$M$5:$M$800,$A$284,'HR Track 4 MOM'!$AW$5:$AW$800,$C289,'HR Track 4 MOM'!$AY$5:$AY$800,$D289)</f>
        <v>0</v>
      </c>
      <c r="J289" s="336">
        <f>COUNTIFS('HR Track 4 PMO'!$M$5:$M$800,$A$284,'HR Track 4 PMO'!$AW$5:$AW$800,$C289,'HR Track 4 PMO'!$AY$5:$AY$800,$D289)</f>
        <v>0</v>
      </c>
      <c r="K289" s="337">
        <f>COUNTIFS('HR Track 6 PMO'!$M$5:$M$800,$A$284,'HR Track 6 PMO'!$AW$5:$AW$800,$C289,'HR Track 6 PMO'!$AY$5:$AY$800,$D289)</f>
        <v>0</v>
      </c>
    </row>
    <row r="290" spans="1:11" ht="19.95" customHeight="1">
      <c r="A290" s="848" t="s">
        <v>1293</v>
      </c>
      <c r="B290" s="849" t="s">
        <v>1263</v>
      </c>
      <c r="C290" s="329" t="s">
        <v>1089</v>
      </c>
      <c r="D290" s="330" t="str">
        <f>VLOOKUP(B290,Foundation_Calc!$K$4:$R$37,3,FALSE)</f>
        <v>N.D.</v>
      </c>
      <c r="E290" s="331">
        <f t="shared" si="5"/>
        <v>0</v>
      </c>
      <c r="F290" s="331">
        <f>COUNTIFS('HR Track 1'!$M$5:$M$406,$A$290,'HR Track 1'!$AW$5:$AW$406,$C290,'HR Track 1'!$AY$5:$AY$406,$D290)</f>
        <v>0</v>
      </c>
      <c r="G290" s="331">
        <f>COUNTIFS('HR Track 2'!$M$5:$M$406,$A$290,'HR Track 2'!$AW$5:$AW$406,$C290,'HR Track 2'!$AY$5:$AY$406,$D290)</f>
        <v>0</v>
      </c>
      <c r="H290" s="331">
        <f>COUNTIFS('HR Track 1 MOM'!$M$5:$M$800,$A$290,'HR Track 1 MOM'!$AW$5:$AW$800,$C290,'HR Track 1 MOM'!$AY$5:$AY$800,$D290)</f>
        <v>0</v>
      </c>
      <c r="I290" s="331">
        <f>COUNTIFS('HR Track 4 MOM'!$M$5:$M$800,$A$290,'HR Track 4 MOM'!$AW$5:$AW$800,$C290,'HR Track 4 MOM'!$AY$5:$AY$800,$D290)</f>
        <v>0</v>
      </c>
      <c r="J290" s="331">
        <f>COUNTIFS('HR Track 4 PMO'!$M$5:$M$800,$A$290,'HR Track 4 PMO'!$AW$5:$AW$800,$C290,'HR Track 4 PMO'!$AY$5:$AY$800,$D290)</f>
        <v>0</v>
      </c>
      <c r="K290" s="332">
        <f>COUNTIFS('HR Track 6 PMO'!$M$5:$M$800,$A$290,'HR Track 6 PMO'!$AW$5:$AW$800,$C290,'HR Track 6 PMO'!$AY$5:$AY$800,$D290)</f>
        <v>0</v>
      </c>
    </row>
    <row r="291" spans="1:11" ht="19.95" customHeight="1">
      <c r="A291" s="764"/>
      <c r="B291" s="753"/>
      <c r="C291" s="163" t="s">
        <v>1090</v>
      </c>
      <c r="D291" s="11" t="str">
        <f>VLOOKUP(B290,Foundation_Calc!$K$4:$R$37,4,FALSE)</f>
        <v>N.D.</v>
      </c>
      <c r="E291" s="7">
        <f t="shared" si="5"/>
        <v>0</v>
      </c>
      <c r="F291" s="7">
        <f>COUNTIFS('HR Track 1'!$M$5:$M$406,$A$290,'HR Track 1'!$AW$5:$AW$406,$C291,'HR Track 1'!$AY$5:$AY$406,$D291)</f>
        <v>0</v>
      </c>
      <c r="G291" s="7">
        <f>COUNTIFS('HR Track 2'!$M$5:$M$406,$A$290,'HR Track 2'!$AW$5:$AW$406,$C291,'HR Track 2'!$AY$5:$AY$406,$D291)</f>
        <v>0</v>
      </c>
      <c r="H291" s="7">
        <f>COUNTIFS('HR Track 1 MOM'!$M$5:$M$800,$A$290,'HR Track 1 MOM'!$AW$5:$AW$800,$C291,'HR Track 1 MOM'!$AY$5:$AY$800,$D291)</f>
        <v>0</v>
      </c>
      <c r="I291" s="7">
        <f>COUNTIFS('HR Track 4 MOM'!$M$5:$M$800,$A$290,'HR Track 4 MOM'!$AW$5:$AW$800,$C291,'HR Track 4 MOM'!$AY$5:$AY$800,$D291)</f>
        <v>0</v>
      </c>
      <c r="J291" s="7">
        <f>COUNTIFS('HR Track 4 PMO'!$M$5:$M$800,$A$290,'HR Track 4 PMO'!$AW$5:$AW$800,$C291,'HR Track 4 PMO'!$AY$5:$AY$800,$D291)</f>
        <v>0</v>
      </c>
      <c r="K291" s="333">
        <f>COUNTIFS('HR Track 6 PMO'!$M$5:$M$800,$A$290,'HR Track 6 PMO'!$AW$5:$AW$800,$C291,'HR Track 6 PMO'!$AY$5:$AY$800,$D291)</f>
        <v>0</v>
      </c>
    </row>
    <row r="292" spans="1:11" ht="19.95" customHeight="1">
      <c r="A292" s="764"/>
      <c r="B292" s="753"/>
      <c r="C292" s="163" t="s">
        <v>1091</v>
      </c>
      <c r="D292" s="11" t="str">
        <f>VLOOKUP(B290,Foundation_Calc!$K$4:$R$37,5,FALSE)</f>
        <v>N.D.</v>
      </c>
      <c r="E292" s="7">
        <f t="shared" si="5"/>
        <v>0</v>
      </c>
      <c r="F292" s="7">
        <f>COUNTIFS('HR Track 1'!$M$5:$M$406,$A$290,'HR Track 1'!$AW$5:$AW$406,$C292,'HR Track 1'!$AY$5:$AY$406,$D292)</f>
        <v>0</v>
      </c>
      <c r="G292" s="7">
        <f>COUNTIFS('HR Track 2'!$M$5:$M$406,$A$290,'HR Track 2'!$AW$5:$AW$406,$C292,'HR Track 2'!$AY$5:$AY$406,$D292)</f>
        <v>0</v>
      </c>
      <c r="H292" s="7">
        <f>COUNTIFS('HR Track 1 MOM'!$M$5:$M$800,$A$290,'HR Track 1 MOM'!$AW$5:$AW$800,$C292,'HR Track 1 MOM'!$AY$5:$AY$800,$D292)</f>
        <v>0</v>
      </c>
      <c r="I292" s="7">
        <f>COUNTIFS('HR Track 4 MOM'!$M$5:$M$800,$A$290,'HR Track 4 MOM'!$AW$5:$AW$800,$C292,'HR Track 4 MOM'!$AY$5:$AY$800,$D292)</f>
        <v>0</v>
      </c>
      <c r="J292" s="7">
        <f>COUNTIFS('HR Track 4 PMO'!$M$5:$M$800,$A$290,'HR Track 4 PMO'!$AW$5:$AW$800,$C292,'HR Track 4 PMO'!$AY$5:$AY$800,$D292)</f>
        <v>0</v>
      </c>
      <c r="K292" s="333">
        <f>COUNTIFS('HR Track 6 PMO'!$M$5:$M$800,$A$290,'HR Track 6 PMO'!$AW$5:$AW$800,$C292,'HR Track 6 PMO'!$AY$5:$AY$800,$D292)</f>
        <v>0</v>
      </c>
    </row>
    <row r="293" spans="1:11" ht="19.95" customHeight="1">
      <c r="A293" s="764"/>
      <c r="B293" s="753"/>
      <c r="C293" s="163" t="s">
        <v>1092</v>
      </c>
      <c r="D293" s="11" t="str">
        <f>VLOOKUP(B290,Foundation_Calc!$K$4:$R$37,6,FALSE)</f>
        <v>N.D.</v>
      </c>
      <c r="E293" s="7">
        <f t="shared" si="5"/>
        <v>0</v>
      </c>
      <c r="F293" s="7">
        <f>COUNTIFS('HR Track 1'!$M$5:$M$406,$A$290,'HR Track 1'!$AW$5:$AW$406,$C293,'HR Track 1'!$AY$5:$AY$406,$D293)</f>
        <v>0</v>
      </c>
      <c r="G293" s="7">
        <f>COUNTIFS('HR Track 2'!$M$5:$M$406,$A$290,'HR Track 2'!$AW$5:$AW$406,$C293,'HR Track 2'!$AY$5:$AY$406,$D293)</f>
        <v>0</v>
      </c>
      <c r="H293" s="7">
        <f>COUNTIFS('HR Track 1 MOM'!$M$5:$M$800,$A$290,'HR Track 1 MOM'!$AW$5:$AW$800,$C293,'HR Track 1 MOM'!$AY$5:$AY$800,$D293)</f>
        <v>0</v>
      </c>
      <c r="I293" s="7">
        <f>COUNTIFS('HR Track 4 MOM'!$M$5:$M$800,$A$290,'HR Track 4 MOM'!$AW$5:$AW$800,$C293,'HR Track 4 MOM'!$AY$5:$AY$800,$D293)</f>
        <v>0</v>
      </c>
      <c r="J293" s="7">
        <f>COUNTIFS('HR Track 4 PMO'!$M$5:$M$800,$A$290,'HR Track 4 PMO'!$AW$5:$AW$800,$C293,'HR Track 4 PMO'!$AY$5:$AY$800,$D293)</f>
        <v>0</v>
      </c>
      <c r="K293" s="333">
        <f>COUNTIFS('HR Track 6 PMO'!$M$5:$M$800,$A$290,'HR Track 6 PMO'!$AW$5:$AW$800,$C293,'HR Track 6 PMO'!$AY$5:$AY$800,$D293)</f>
        <v>0</v>
      </c>
    </row>
    <row r="294" spans="1:11" ht="19.95" customHeight="1">
      <c r="A294" s="764"/>
      <c r="B294" s="753"/>
      <c r="C294" s="163" t="s">
        <v>1093</v>
      </c>
      <c r="D294" s="11" t="str">
        <f>VLOOKUP(B290,Foundation_Calc!$K$4:$R$37,7,FALSE)</f>
        <v>N.D.</v>
      </c>
      <c r="E294" s="7">
        <f t="shared" si="5"/>
        <v>0</v>
      </c>
      <c r="F294" s="7">
        <f>COUNTIFS('HR Track 1'!$M$5:$M$406,$A$290,'HR Track 1'!$AW$5:$AW$406,$C294,'HR Track 1'!$AY$5:$AY$406,$D294)</f>
        <v>0</v>
      </c>
      <c r="G294" s="7">
        <f>COUNTIFS('HR Track 2'!$M$5:$M$406,$A$290,'HR Track 2'!$AW$5:$AW$406,$C294,'HR Track 2'!$AY$5:$AY$406,$D294)</f>
        <v>0</v>
      </c>
      <c r="H294" s="7">
        <f>COUNTIFS('HR Track 1 MOM'!$M$5:$M$800,$A$290,'HR Track 1 MOM'!$AW$5:$AW$800,$C294,'HR Track 1 MOM'!$AY$5:$AY$800,$D294)</f>
        <v>0</v>
      </c>
      <c r="I294" s="7">
        <f>COUNTIFS('HR Track 4 MOM'!$M$5:$M$800,$A$290,'HR Track 4 MOM'!$AW$5:$AW$800,$C294,'HR Track 4 MOM'!$AY$5:$AY$800,$D294)</f>
        <v>0</v>
      </c>
      <c r="J294" s="7">
        <f>COUNTIFS('HR Track 4 PMO'!$M$5:$M$800,$A$290,'HR Track 4 PMO'!$AW$5:$AW$800,$C294,'HR Track 4 PMO'!$AY$5:$AY$800,$D294)</f>
        <v>0</v>
      </c>
      <c r="K294" s="333">
        <f>COUNTIFS('HR Track 6 PMO'!$M$5:$M$800,$A$290,'HR Track 6 PMO'!$AW$5:$AW$800,$C294,'HR Track 6 PMO'!$AY$5:$AY$800,$D294)</f>
        <v>0</v>
      </c>
    </row>
    <row r="295" spans="1:11" ht="19.95" customHeight="1" thickBot="1">
      <c r="A295" s="765"/>
      <c r="B295" s="754"/>
      <c r="C295" s="334" t="s">
        <v>1094</v>
      </c>
      <c r="D295" s="335" t="str">
        <f>VLOOKUP(B290,Foundation_Calc!$K$4:$R$37,8,FALSE)</f>
        <v>N.D.</v>
      </c>
      <c r="E295" s="336">
        <f t="shared" si="5"/>
        <v>0</v>
      </c>
      <c r="F295" s="336">
        <f>COUNTIFS('HR Track 1'!$M$5:$M$406,$A$290,'HR Track 1'!$AW$5:$AW$406,$C295,'HR Track 1'!$AY$5:$AY$406,$D295)</f>
        <v>0</v>
      </c>
      <c r="G295" s="336">
        <f>COUNTIFS('HR Track 2'!$M$5:$M$406,$A$290,'HR Track 2'!$AW$5:$AW$406,$C295,'HR Track 2'!$AY$5:$AY$406,$D295)</f>
        <v>0</v>
      </c>
      <c r="H295" s="336">
        <f>COUNTIFS('HR Track 1 MOM'!$M$5:$M$800,$A$290,'HR Track 1 MOM'!$AW$5:$AW$800,$C295,'HR Track 1 MOM'!$AY$5:$AY$800,$D295)</f>
        <v>0</v>
      </c>
      <c r="I295" s="336">
        <f>COUNTIFS('HR Track 4 MOM'!$M$5:$M$800,$A$290,'HR Track 4 MOM'!$AW$5:$AW$800,$C295,'HR Track 4 MOM'!$AY$5:$AY$800,$D295)</f>
        <v>0</v>
      </c>
      <c r="J295" s="336">
        <f>COUNTIFS('HR Track 4 PMO'!$M$5:$M$800,$A$290,'HR Track 4 PMO'!$AW$5:$AW$800,$C295,'HR Track 4 PMO'!$AY$5:$AY$800,$D295)</f>
        <v>0</v>
      </c>
      <c r="K295" s="337">
        <f>COUNTIFS('HR Track 6 PMO'!$M$5:$M$800,$A$290,'HR Track 6 PMO'!$AW$5:$AW$800,$C295,'HR Track 6 PMO'!$AY$5:$AY$800,$D295)</f>
        <v>0</v>
      </c>
    </row>
    <row r="296" spans="1:11" ht="19.95" customHeight="1">
      <c r="A296" s="842" t="s">
        <v>1294</v>
      </c>
      <c r="B296" s="845" t="s">
        <v>1263</v>
      </c>
      <c r="C296" s="329" t="s">
        <v>1089</v>
      </c>
      <c r="D296" s="338" t="str">
        <f>VLOOKUP(B296,Foundation_Calc!$K$41:$R$74,3,FALSE)</f>
        <v>N.D.</v>
      </c>
      <c r="E296" s="331">
        <f t="shared" si="5"/>
        <v>0</v>
      </c>
      <c r="F296" s="331">
        <f>COUNTIFS('HR Track 1'!$M$5:$M$406,$A$296,'HR Track 1'!$AW$5:$AW$406,$C296,'HR Track 1'!$AY$5:$AY$406,$D296)</f>
        <v>0</v>
      </c>
      <c r="G296" s="331">
        <f>COUNTIFS('HR Track 2'!$M$5:$M$406,$A$296,'HR Track 2'!$AW$5:$AW$406,$C296,'HR Track 2'!$AY$5:$AY$406,$D296)</f>
        <v>0</v>
      </c>
      <c r="H296" s="331">
        <f>COUNTIFS('HR Track 1 MOM'!$M$5:$M$800,$A$296,'HR Track 1 MOM'!$AW$5:$AW$800,$C296,'HR Track 1 MOM'!$AY$5:$AY$800,$D296)</f>
        <v>0</v>
      </c>
      <c r="I296" s="331">
        <f>COUNTIFS('HR Track 4 MOM'!$M$5:$M$800,$A$296,'HR Track 4 MOM'!$AW$5:$AW$800,$C296,'HR Track 4 MOM'!$AY$5:$AY$800,$D296)</f>
        <v>0</v>
      </c>
      <c r="J296" s="331">
        <f>COUNTIFS('HR Track 4 PMO'!$M$5:$M$800,$A$296,'HR Track 4 PMO'!$AW$5:$AW$800,$C296,'HR Track 4 PMO'!$AY$5:$AY$800,$D296)</f>
        <v>0</v>
      </c>
      <c r="K296" s="332">
        <f>COUNTIFS('HR Track 6 PMO'!$M$5:$M$800,$A$296,'HR Track 6 PMO'!$AW$5:$AW$800,$C296,'HR Track 6 PMO'!$AY$5:$AY$800,$D296)</f>
        <v>0</v>
      </c>
    </row>
    <row r="297" spans="1:11" ht="19.95" customHeight="1">
      <c r="A297" s="843"/>
      <c r="B297" s="846"/>
      <c r="C297" s="163" t="s">
        <v>1090</v>
      </c>
      <c r="D297" s="307" t="str">
        <f>VLOOKUP(B296,Foundation_Calc!$K$41:$R$74,4,FALSE)</f>
        <v>N.D.</v>
      </c>
      <c r="E297" s="7">
        <f t="shared" si="5"/>
        <v>0</v>
      </c>
      <c r="F297" s="7">
        <f>COUNTIFS('HR Track 1'!$M$5:$M$406,$A$296,'HR Track 1'!$AW$5:$AW$406,$C297,'HR Track 1'!$AY$5:$AY$406,$D297)</f>
        <v>0</v>
      </c>
      <c r="G297" s="7">
        <f>COUNTIFS('HR Track 2'!$M$5:$M$406,$A$296,'HR Track 2'!$AW$5:$AW$406,$C297,'HR Track 2'!$AY$5:$AY$406,$D297)</f>
        <v>0</v>
      </c>
      <c r="H297" s="7">
        <f>COUNTIFS('HR Track 1 MOM'!$M$5:$M$800,$A$296,'HR Track 1 MOM'!$AW$5:$AW$800,$C297,'HR Track 1 MOM'!$AY$5:$AY$800,$D297)</f>
        <v>0</v>
      </c>
      <c r="I297" s="7">
        <f>COUNTIFS('HR Track 4 MOM'!$M$5:$M$800,$A$296,'HR Track 4 MOM'!$AW$5:$AW$800,$C297,'HR Track 4 MOM'!$AY$5:$AY$800,$D297)</f>
        <v>0</v>
      </c>
      <c r="J297" s="7">
        <f>COUNTIFS('HR Track 4 PMO'!$M$5:$M$800,$A$296,'HR Track 4 PMO'!$AW$5:$AW$800,$C297,'HR Track 4 PMO'!$AY$5:$AY$800,$D297)</f>
        <v>0</v>
      </c>
      <c r="K297" s="333">
        <f>COUNTIFS('HR Track 6 PMO'!$M$5:$M$800,$A$296,'HR Track 6 PMO'!$AW$5:$AW$800,$C297,'HR Track 6 PMO'!$AY$5:$AY$800,$D297)</f>
        <v>0</v>
      </c>
    </row>
    <row r="298" spans="1:11" ht="19.95" customHeight="1">
      <c r="A298" s="843"/>
      <c r="B298" s="846"/>
      <c r="C298" s="163" t="s">
        <v>1091</v>
      </c>
      <c r="D298" s="307" t="str">
        <f>VLOOKUP(B296,Foundation_Calc!$K$41:$R$74,5,FALSE)</f>
        <v>N.D.</v>
      </c>
      <c r="E298" s="7">
        <f t="shared" si="5"/>
        <v>0</v>
      </c>
      <c r="F298" s="7">
        <f>COUNTIFS('HR Track 1'!$M$5:$M$406,$A$296,'HR Track 1'!$AW$5:$AW$406,$C298,'HR Track 1'!$AY$5:$AY$406,$D298)</f>
        <v>0</v>
      </c>
      <c r="G298" s="7">
        <f>COUNTIFS('HR Track 2'!$M$5:$M$406,$A$296,'HR Track 2'!$AW$5:$AW$406,$C298,'HR Track 2'!$AY$5:$AY$406,$D298)</f>
        <v>0</v>
      </c>
      <c r="H298" s="7">
        <f>COUNTIFS('HR Track 1 MOM'!$M$5:$M$800,$A$296,'HR Track 1 MOM'!$AW$5:$AW$800,$C298,'HR Track 1 MOM'!$AY$5:$AY$800,$D298)</f>
        <v>0</v>
      </c>
      <c r="I298" s="7">
        <f>COUNTIFS('HR Track 4 MOM'!$M$5:$M$800,$A$296,'HR Track 4 MOM'!$AW$5:$AW$800,$C298,'HR Track 4 MOM'!$AY$5:$AY$800,$D298)</f>
        <v>0</v>
      </c>
      <c r="J298" s="7">
        <f>COUNTIFS('HR Track 4 PMO'!$M$5:$M$800,$A$296,'HR Track 4 PMO'!$AW$5:$AW$800,$C298,'HR Track 4 PMO'!$AY$5:$AY$800,$D298)</f>
        <v>0</v>
      </c>
      <c r="K298" s="333">
        <f>COUNTIFS('HR Track 6 PMO'!$M$5:$M$800,$A$296,'HR Track 6 PMO'!$AW$5:$AW$800,$C298,'HR Track 6 PMO'!$AY$5:$AY$800,$D298)</f>
        <v>0</v>
      </c>
    </row>
    <row r="299" spans="1:11" ht="19.95" customHeight="1">
      <c r="A299" s="843"/>
      <c r="B299" s="846"/>
      <c r="C299" s="163" t="s">
        <v>1092</v>
      </c>
      <c r="D299" s="307" t="str">
        <f>VLOOKUP(B296,Foundation_Calc!$K$41:$R$74,6,FALSE)</f>
        <v>N.D.</v>
      </c>
      <c r="E299" s="7">
        <f t="shared" si="5"/>
        <v>0</v>
      </c>
      <c r="F299" s="7">
        <f>COUNTIFS('HR Track 1'!$M$5:$M$406,$A$296,'HR Track 1'!$AW$5:$AW$406,$C299,'HR Track 1'!$AY$5:$AY$406,$D299)</f>
        <v>0</v>
      </c>
      <c r="G299" s="7">
        <f>COUNTIFS('HR Track 2'!$M$5:$M$406,$A$296,'HR Track 2'!$AW$5:$AW$406,$C299,'HR Track 2'!$AY$5:$AY$406,$D299)</f>
        <v>0</v>
      </c>
      <c r="H299" s="7">
        <f>COUNTIFS('HR Track 1 MOM'!$M$5:$M$800,$A$296,'HR Track 1 MOM'!$AW$5:$AW$800,$C299,'HR Track 1 MOM'!$AY$5:$AY$800,$D299)</f>
        <v>0</v>
      </c>
      <c r="I299" s="7">
        <f>COUNTIFS('HR Track 4 MOM'!$M$5:$M$800,$A$296,'HR Track 4 MOM'!$AW$5:$AW$800,$C299,'HR Track 4 MOM'!$AY$5:$AY$800,$D299)</f>
        <v>0</v>
      </c>
      <c r="J299" s="7">
        <f>COUNTIFS('HR Track 4 PMO'!$M$5:$M$800,$A$296,'HR Track 4 PMO'!$AW$5:$AW$800,$C299,'HR Track 4 PMO'!$AY$5:$AY$800,$D299)</f>
        <v>0</v>
      </c>
      <c r="K299" s="333">
        <f>COUNTIFS('HR Track 6 PMO'!$M$5:$M$800,$A$296,'HR Track 6 PMO'!$AW$5:$AW$800,$C299,'HR Track 6 PMO'!$AY$5:$AY$800,$D299)</f>
        <v>0</v>
      </c>
    </row>
    <row r="300" spans="1:11" ht="19.95" customHeight="1">
      <c r="A300" s="843"/>
      <c r="B300" s="846"/>
      <c r="C300" s="163" t="s">
        <v>1093</v>
      </c>
      <c r="D300" s="307" t="str">
        <f>VLOOKUP(B296,Foundation_Calc!$K$41:$R$74,7,FALSE)</f>
        <v>N.D.</v>
      </c>
      <c r="E300" s="7">
        <f t="shared" si="5"/>
        <v>0</v>
      </c>
      <c r="F300" s="7">
        <f>COUNTIFS('HR Track 1'!$M$5:$M$406,$A$296,'HR Track 1'!$AW$5:$AW$406,$C300,'HR Track 1'!$AY$5:$AY$406,$D300)</f>
        <v>0</v>
      </c>
      <c r="G300" s="7">
        <f>COUNTIFS('HR Track 2'!$M$5:$M$406,$A$296,'HR Track 2'!$AW$5:$AW$406,$C300,'HR Track 2'!$AY$5:$AY$406,$D300)</f>
        <v>0</v>
      </c>
      <c r="H300" s="7">
        <f>COUNTIFS('HR Track 1 MOM'!$M$5:$M$800,$A$296,'HR Track 1 MOM'!$AW$5:$AW$800,$C300,'HR Track 1 MOM'!$AY$5:$AY$800,$D300)</f>
        <v>0</v>
      </c>
      <c r="I300" s="7">
        <f>COUNTIFS('HR Track 4 MOM'!$M$5:$M$800,$A$296,'HR Track 4 MOM'!$AW$5:$AW$800,$C300,'HR Track 4 MOM'!$AY$5:$AY$800,$D300)</f>
        <v>0</v>
      </c>
      <c r="J300" s="7">
        <f>COUNTIFS('HR Track 4 PMO'!$M$5:$M$800,$A$296,'HR Track 4 PMO'!$AW$5:$AW$800,$C300,'HR Track 4 PMO'!$AY$5:$AY$800,$D300)</f>
        <v>0</v>
      </c>
      <c r="K300" s="333">
        <f>COUNTIFS('HR Track 6 PMO'!$M$5:$M$800,$A$296,'HR Track 6 PMO'!$AW$5:$AW$800,$C300,'HR Track 6 PMO'!$AY$5:$AY$800,$D300)</f>
        <v>0</v>
      </c>
    </row>
    <row r="301" spans="1:11" ht="19.95" customHeight="1" thickBot="1">
      <c r="A301" s="844"/>
      <c r="B301" s="847"/>
      <c r="C301" s="334" t="s">
        <v>1094</v>
      </c>
      <c r="D301" s="339" t="str">
        <f>VLOOKUP(B296,Foundation_Calc!$K$41:$R$74,8,FALSE)</f>
        <v>N.D.</v>
      </c>
      <c r="E301" s="336">
        <f t="shared" si="5"/>
        <v>0</v>
      </c>
      <c r="F301" s="336">
        <f>COUNTIFS('HR Track 1'!$M$5:$M$406,$A$296,'HR Track 1'!$AW$5:$AW$406,$C301,'HR Track 1'!$AY$5:$AY$406,$D301)</f>
        <v>0</v>
      </c>
      <c r="G301" s="336">
        <f>COUNTIFS('HR Track 2'!$M$5:$M$406,$A$296,'HR Track 2'!$AW$5:$AW$406,$C301,'HR Track 2'!$AY$5:$AY$406,$D301)</f>
        <v>0</v>
      </c>
      <c r="H301" s="336">
        <f>COUNTIFS('HR Track 1 MOM'!$M$5:$M$800,$A$296,'HR Track 1 MOM'!$AW$5:$AW$800,$C301,'HR Track 1 MOM'!$AY$5:$AY$800,$D301)</f>
        <v>0</v>
      </c>
      <c r="I301" s="336">
        <f>COUNTIFS('HR Track 4 MOM'!$M$5:$M$800,$A$296,'HR Track 4 MOM'!$AW$5:$AW$800,$C301,'HR Track 4 MOM'!$AY$5:$AY$800,$D301)</f>
        <v>0</v>
      </c>
      <c r="J301" s="336">
        <f>COUNTIFS('HR Track 4 PMO'!$M$5:$M$800,$A$296,'HR Track 4 PMO'!$AW$5:$AW$800,$C301,'HR Track 4 PMO'!$AY$5:$AY$800,$D301)</f>
        <v>0</v>
      </c>
      <c r="K301" s="337">
        <f>COUNTIFS('HR Track 6 PMO'!$M$5:$M$800,$A$296,'HR Track 6 PMO'!$AW$5:$AW$800,$C301,'HR Track 6 PMO'!$AY$5:$AY$800,$D301)</f>
        <v>0</v>
      </c>
    </row>
    <row r="302" spans="1:11" ht="19.95" customHeight="1">
      <c r="A302" s="848" t="s">
        <v>1023</v>
      </c>
      <c r="B302" s="849" t="s">
        <v>1005</v>
      </c>
      <c r="C302" s="329" t="s">
        <v>1089</v>
      </c>
      <c r="D302" s="330">
        <f>VLOOKUP(B302,Foundation_Calc!$K$4:$R$37,3,FALSE)</f>
        <v>4.3</v>
      </c>
      <c r="E302" s="331">
        <f t="shared" si="5"/>
        <v>0</v>
      </c>
      <c r="F302" s="331">
        <f>COUNTIFS('HR Track 1'!$M$5:$M$406,$A$302,'HR Track 1'!$AW$5:$AW$406,$C302,'HR Track 1'!$AY$5:$AY$406,$D302)</f>
        <v>0</v>
      </c>
      <c r="G302" s="331">
        <f>COUNTIFS('HR Track 2'!$M$5:$M$406,$A$302,'HR Track 2'!$AW$5:$AW$406,$C302,'HR Track 2'!$AY$5:$AY$406,$D302)</f>
        <v>0</v>
      </c>
      <c r="H302" s="331">
        <f>COUNTIFS('HR Track 1 MOM'!$M$5:$M$800,$A$302,'HR Track 1 MOM'!$AW$5:$AW$800,$C302,'HR Track 1 MOM'!$AY$5:$AY$800,$D302)</f>
        <v>0</v>
      </c>
      <c r="I302" s="331">
        <f>COUNTIFS('HR Track 4 MOM'!$M$5:$M$800,$A$302,'HR Track 4 MOM'!$AW$5:$AW$800,$C302,'HR Track 4 MOM'!$AY$5:$AY$800,$D302)</f>
        <v>0</v>
      </c>
      <c r="J302" s="331">
        <f>COUNTIFS('HR Track 4 PMO'!$M$5:$M$800,$A$302,'HR Track 4 PMO'!$AW$5:$AW$800,$C302,'HR Track 4 PMO'!$AY$5:$AY$800,$D302)</f>
        <v>0</v>
      </c>
      <c r="K302" s="332">
        <f>COUNTIFS('HR Track 6 PMO'!$M$5:$M$800,$A$302,'HR Track 6 PMO'!$AW$5:$AW$800,$C302,'HR Track 6 PMO'!$AY$5:$AY$800,$D302)</f>
        <v>0</v>
      </c>
    </row>
    <row r="303" spans="1:11" ht="19.95" customHeight="1">
      <c r="A303" s="764"/>
      <c r="B303" s="753"/>
      <c r="C303" s="163" t="s">
        <v>1090</v>
      </c>
      <c r="D303" s="11" t="str">
        <f>VLOOKUP(B302,Foundation_Calc!$K$4:$R$37,4,FALSE)</f>
        <v>N.D.</v>
      </c>
      <c r="E303" s="7">
        <f t="shared" si="5"/>
        <v>0</v>
      </c>
      <c r="F303" s="7">
        <f>COUNTIFS('HR Track 1'!$M$5:$M$406,$A$302,'HR Track 1'!$AW$5:$AW$406,$C303,'HR Track 1'!$AY$5:$AY$406,$D303)</f>
        <v>0</v>
      </c>
      <c r="G303" s="7">
        <f>COUNTIFS('HR Track 2'!$M$5:$M$406,$A$302,'HR Track 2'!$AW$5:$AW$406,$C303,'HR Track 2'!$AY$5:$AY$406,$D303)</f>
        <v>0</v>
      </c>
      <c r="H303" s="7">
        <f>COUNTIFS('HR Track 1 MOM'!$M$5:$M$800,$A$302,'HR Track 1 MOM'!$AW$5:$AW$800,$C303,'HR Track 1 MOM'!$AY$5:$AY$800,$D303)</f>
        <v>0</v>
      </c>
      <c r="I303" s="7">
        <f>COUNTIFS('HR Track 4 MOM'!$M$5:$M$800,$A$302,'HR Track 4 MOM'!$AW$5:$AW$800,$C303,'HR Track 4 MOM'!$AY$5:$AY$800,$D303)</f>
        <v>0</v>
      </c>
      <c r="J303" s="7">
        <f>COUNTIFS('HR Track 4 PMO'!$M$5:$M$800,$A$302,'HR Track 4 PMO'!$AW$5:$AW$800,$C303,'HR Track 4 PMO'!$AY$5:$AY$800,$D303)</f>
        <v>0</v>
      </c>
      <c r="K303" s="333">
        <f>COUNTIFS('HR Track 6 PMO'!$M$5:$M$800,$A$302,'HR Track 6 PMO'!$AW$5:$AW$800,$C303,'HR Track 6 PMO'!$AY$5:$AY$800,$D303)</f>
        <v>0</v>
      </c>
    </row>
    <row r="304" spans="1:11" ht="19.95" customHeight="1">
      <c r="A304" s="764"/>
      <c r="B304" s="753"/>
      <c r="C304" s="163" t="s">
        <v>1091</v>
      </c>
      <c r="D304" s="11" t="str">
        <f>VLOOKUP(B302,Foundation_Calc!$K$4:$R$37,5,FALSE)</f>
        <v>N.D.</v>
      </c>
      <c r="E304" s="7">
        <f t="shared" si="5"/>
        <v>0</v>
      </c>
      <c r="F304" s="7">
        <f>COUNTIFS('HR Track 1'!$M$5:$M$406,$A$302,'HR Track 1'!$AW$5:$AW$406,$C304,'HR Track 1'!$AY$5:$AY$406,$D304)</f>
        <v>0</v>
      </c>
      <c r="G304" s="7">
        <f>COUNTIFS('HR Track 2'!$M$5:$M$406,$A$302,'HR Track 2'!$AW$5:$AW$406,$C304,'HR Track 2'!$AY$5:$AY$406,$D304)</f>
        <v>0</v>
      </c>
      <c r="H304" s="7">
        <f>COUNTIFS('HR Track 1 MOM'!$M$5:$M$800,$A$302,'HR Track 1 MOM'!$AW$5:$AW$800,$C304,'HR Track 1 MOM'!$AY$5:$AY$800,$D304)</f>
        <v>0</v>
      </c>
      <c r="I304" s="7">
        <f>COUNTIFS('HR Track 4 MOM'!$M$5:$M$800,$A$302,'HR Track 4 MOM'!$AW$5:$AW$800,$C304,'HR Track 4 MOM'!$AY$5:$AY$800,$D304)</f>
        <v>0</v>
      </c>
      <c r="J304" s="7">
        <f>COUNTIFS('HR Track 4 PMO'!$M$5:$M$800,$A$302,'HR Track 4 PMO'!$AW$5:$AW$800,$C304,'HR Track 4 PMO'!$AY$5:$AY$800,$D304)</f>
        <v>0</v>
      </c>
      <c r="K304" s="333">
        <f>COUNTIFS('HR Track 6 PMO'!$M$5:$M$800,$A$302,'HR Track 6 PMO'!$AW$5:$AW$800,$C304,'HR Track 6 PMO'!$AY$5:$AY$800,$D304)</f>
        <v>0</v>
      </c>
    </row>
    <row r="305" spans="1:11" ht="19.95" customHeight="1">
      <c r="A305" s="764"/>
      <c r="B305" s="753"/>
      <c r="C305" s="163" t="s">
        <v>1092</v>
      </c>
      <c r="D305" s="11" t="str">
        <f>VLOOKUP(B302,Foundation_Calc!$K$4:$R$37,6,FALSE)</f>
        <v>N.D.</v>
      </c>
      <c r="E305" s="7">
        <f t="shared" si="5"/>
        <v>0</v>
      </c>
      <c r="F305" s="7">
        <f>COUNTIFS('HR Track 1'!$M$5:$M$406,$A$302,'HR Track 1'!$AW$5:$AW$406,$C305,'HR Track 1'!$AY$5:$AY$406,$D305)</f>
        <v>0</v>
      </c>
      <c r="G305" s="7">
        <f>COUNTIFS('HR Track 2'!$M$5:$M$406,$A$302,'HR Track 2'!$AW$5:$AW$406,$C305,'HR Track 2'!$AY$5:$AY$406,$D305)</f>
        <v>0</v>
      </c>
      <c r="H305" s="7">
        <f>COUNTIFS('HR Track 1 MOM'!$M$5:$M$800,$A$302,'HR Track 1 MOM'!$AW$5:$AW$800,$C305,'HR Track 1 MOM'!$AY$5:$AY$800,$D305)</f>
        <v>0</v>
      </c>
      <c r="I305" s="7">
        <f>COUNTIFS('HR Track 4 MOM'!$M$5:$M$800,$A$302,'HR Track 4 MOM'!$AW$5:$AW$800,$C305,'HR Track 4 MOM'!$AY$5:$AY$800,$D305)</f>
        <v>0</v>
      </c>
      <c r="J305" s="7">
        <f>COUNTIFS('HR Track 4 PMO'!$M$5:$M$800,$A$302,'HR Track 4 PMO'!$AW$5:$AW$800,$C305,'HR Track 4 PMO'!$AY$5:$AY$800,$D305)</f>
        <v>0</v>
      </c>
      <c r="K305" s="333">
        <f>COUNTIFS('HR Track 6 PMO'!$M$5:$M$800,$A$302,'HR Track 6 PMO'!$AW$5:$AW$800,$C305,'HR Track 6 PMO'!$AY$5:$AY$800,$D305)</f>
        <v>0</v>
      </c>
    </row>
    <row r="306" spans="1:11" ht="19.95" customHeight="1">
      <c r="A306" s="764"/>
      <c r="B306" s="753"/>
      <c r="C306" s="163" t="s">
        <v>1093</v>
      </c>
      <c r="D306" s="11" t="str">
        <f>VLOOKUP(B302,Foundation_Calc!$K$4:$R$37,7,FALSE)</f>
        <v>N.D.</v>
      </c>
      <c r="E306" s="7">
        <f t="shared" si="5"/>
        <v>0</v>
      </c>
      <c r="F306" s="7">
        <f>COUNTIFS('HR Track 1'!$M$5:$M$406,$A$302,'HR Track 1'!$AW$5:$AW$406,$C306,'HR Track 1'!$AY$5:$AY$406,$D306)</f>
        <v>0</v>
      </c>
      <c r="G306" s="7">
        <f>COUNTIFS('HR Track 2'!$M$5:$M$406,$A$302,'HR Track 2'!$AW$5:$AW$406,$C306,'HR Track 2'!$AY$5:$AY$406,$D306)</f>
        <v>0</v>
      </c>
      <c r="H306" s="7">
        <f>COUNTIFS('HR Track 1 MOM'!$M$5:$M$800,$A$302,'HR Track 1 MOM'!$AW$5:$AW$800,$C306,'HR Track 1 MOM'!$AY$5:$AY$800,$D306)</f>
        <v>0</v>
      </c>
      <c r="I306" s="7">
        <f>COUNTIFS('HR Track 4 MOM'!$M$5:$M$800,$A$302,'HR Track 4 MOM'!$AW$5:$AW$800,$C306,'HR Track 4 MOM'!$AY$5:$AY$800,$D306)</f>
        <v>0</v>
      </c>
      <c r="J306" s="7">
        <f>COUNTIFS('HR Track 4 PMO'!$M$5:$M$800,$A$302,'HR Track 4 PMO'!$AW$5:$AW$800,$C306,'HR Track 4 PMO'!$AY$5:$AY$800,$D306)</f>
        <v>0</v>
      </c>
      <c r="K306" s="333">
        <f>COUNTIFS('HR Track 6 PMO'!$M$5:$M$800,$A$302,'HR Track 6 PMO'!$AW$5:$AW$800,$C306,'HR Track 6 PMO'!$AY$5:$AY$800,$D306)</f>
        <v>0</v>
      </c>
    </row>
    <row r="307" spans="1:11" ht="19.95" customHeight="1" thickBot="1">
      <c r="A307" s="765"/>
      <c r="B307" s="754"/>
      <c r="C307" s="334" t="s">
        <v>1094</v>
      </c>
      <c r="D307" s="335" t="str">
        <f>VLOOKUP(B302,Foundation_Calc!$K$4:$R$37,8,FALSE)</f>
        <v>N.D.</v>
      </c>
      <c r="E307" s="336">
        <f t="shared" si="5"/>
        <v>0</v>
      </c>
      <c r="F307" s="336">
        <f>COUNTIFS('HR Track 1'!$M$5:$M$406,$A$302,'HR Track 1'!$AW$5:$AW$406,$C307,'HR Track 1'!$AY$5:$AY$406,$D307)</f>
        <v>0</v>
      </c>
      <c r="G307" s="336">
        <f>COUNTIFS('HR Track 2'!$M$5:$M$406,$A$302,'HR Track 2'!$AW$5:$AW$406,$C307,'HR Track 2'!$AY$5:$AY$406,$D307)</f>
        <v>0</v>
      </c>
      <c r="H307" s="336">
        <f>COUNTIFS('HR Track 1 MOM'!$M$5:$M$800,$A$302,'HR Track 1 MOM'!$AW$5:$AW$800,$C307,'HR Track 1 MOM'!$AY$5:$AY$800,$D307)</f>
        <v>0</v>
      </c>
      <c r="I307" s="336">
        <f>COUNTIFS('HR Track 4 MOM'!$M$5:$M$800,$A$302,'HR Track 4 MOM'!$AW$5:$AW$800,$C307,'HR Track 4 MOM'!$AY$5:$AY$800,$D307)</f>
        <v>0</v>
      </c>
      <c r="J307" s="336">
        <f>COUNTIFS('HR Track 4 PMO'!$M$5:$M$800,$A$302,'HR Track 4 PMO'!$AW$5:$AW$800,$C307,'HR Track 4 PMO'!$AY$5:$AY$800,$D307)</f>
        <v>0</v>
      </c>
      <c r="K307" s="337">
        <f>COUNTIFS('HR Track 6 PMO'!$M$5:$M$800,$A$302,'HR Track 6 PMO'!$AW$5:$AW$800,$C307,'HR Track 6 PMO'!$AY$5:$AY$800,$D307)</f>
        <v>0</v>
      </c>
    </row>
    <row r="308" spans="1:11" ht="19.95" customHeight="1">
      <c r="A308" s="842" t="s">
        <v>1025</v>
      </c>
      <c r="B308" s="845" t="s">
        <v>1005</v>
      </c>
      <c r="C308" s="329" t="s">
        <v>1089</v>
      </c>
      <c r="D308" s="338">
        <f>VLOOKUP(B308,Foundation_Calc!$K$41:$R$74,3,FALSE)</f>
        <v>5.7</v>
      </c>
      <c r="E308" s="331">
        <f t="shared" si="5"/>
        <v>0</v>
      </c>
      <c r="F308" s="331">
        <f>COUNTIFS('HR Track 1'!$M$5:$M$406,$A$308,'HR Track 1'!$AW$5:$AW$406,$C308,'HR Track 1'!$AY$5:$AY$406,$D308)</f>
        <v>0</v>
      </c>
      <c r="G308" s="331">
        <f>COUNTIFS('HR Track 2'!$M$5:$M$406,$A$308,'HR Track 2'!$AW$5:$AW$406,$C308,'HR Track 2'!$AY$5:$AY$406,$D308)</f>
        <v>0</v>
      </c>
      <c r="H308" s="331">
        <f>COUNTIFS('HR Track 1 MOM'!$M$5:$M$800,$A$308,'HR Track 1 MOM'!$AW$5:$AW$800,$C308,'HR Track 1 MOM'!$AY$5:$AY$800,$D308)</f>
        <v>0</v>
      </c>
      <c r="I308" s="331">
        <f>COUNTIFS('HR Track 4 MOM'!$M$5:$M$800,$A$308,'HR Track 4 MOM'!$AW$5:$AW$800,$C308,'HR Track 4 MOM'!$AY$5:$AY$800,$D308)</f>
        <v>0</v>
      </c>
      <c r="J308" s="331">
        <f>COUNTIFS('HR Track 4 PMO'!$M$5:$M$800,$A$308,'HR Track 4 PMO'!$AW$5:$AW$800,$C308,'HR Track 4 PMO'!$AY$5:$AY$800,$D308)</f>
        <v>0</v>
      </c>
      <c r="K308" s="332">
        <f>COUNTIFS('HR Track 6 PMO'!$M$5:$M$800,$A$308,'HR Track 6 PMO'!$AW$5:$AW$800,$C308,'HR Track 6 PMO'!$AY$5:$AY$800,$D308)</f>
        <v>0</v>
      </c>
    </row>
    <row r="309" spans="1:11" ht="19.95" customHeight="1">
      <c r="A309" s="843"/>
      <c r="B309" s="846"/>
      <c r="C309" s="163" t="s">
        <v>1090</v>
      </c>
      <c r="D309" s="307" t="str">
        <f>VLOOKUP(B308,Foundation_Calc!$K$41:$R$74,4,FALSE)</f>
        <v>N.D.</v>
      </c>
      <c r="E309" s="7">
        <f t="shared" si="5"/>
        <v>0</v>
      </c>
      <c r="F309" s="7">
        <f>COUNTIFS('HR Track 1'!$M$5:$M$406,$A$308,'HR Track 1'!$AW$5:$AW$406,$C309,'HR Track 1'!$AY$5:$AY$406,$D309)</f>
        <v>0</v>
      </c>
      <c r="G309" s="7">
        <f>COUNTIFS('HR Track 2'!$M$5:$M$406,$A$308,'HR Track 2'!$AW$5:$AW$406,$C309,'HR Track 2'!$AY$5:$AY$406,$D309)</f>
        <v>0</v>
      </c>
      <c r="H309" s="7">
        <f>COUNTIFS('HR Track 1 MOM'!$M$5:$M$800,$A$308,'HR Track 1 MOM'!$AW$5:$AW$800,$C309,'HR Track 1 MOM'!$AY$5:$AY$800,$D309)</f>
        <v>0</v>
      </c>
      <c r="I309" s="7">
        <f>COUNTIFS('HR Track 4 MOM'!$M$5:$M$800,$A$308,'HR Track 4 MOM'!$AW$5:$AW$800,$C309,'HR Track 4 MOM'!$AY$5:$AY$800,$D309)</f>
        <v>0</v>
      </c>
      <c r="J309" s="7">
        <f>COUNTIFS('HR Track 4 PMO'!$M$5:$M$800,$A$308,'HR Track 4 PMO'!$AW$5:$AW$800,$C309,'HR Track 4 PMO'!$AY$5:$AY$800,$D309)</f>
        <v>0</v>
      </c>
      <c r="K309" s="333">
        <f>COUNTIFS('HR Track 6 PMO'!$M$5:$M$800,$A$308,'HR Track 6 PMO'!$AW$5:$AW$800,$C309,'HR Track 6 PMO'!$AY$5:$AY$800,$D309)</f>
        <v>0</v>
      </c>
    </row>
    <row r="310" spans="1:11" ht="19.95" customHeight="1">
      <c r="A310" s="843"/>
      <c r="B310" s="846"/>
      <c r="C310" s="163" t="s">
        <v>1091</v>
      </c>
      <c r="D310" s="307" t="str">
        <f>VLOOKUP(B308,Foundation_Calc!$K$41:$R$74,5,FALSE)</f>
        <v>N.D.</v>
      </c>
      <c r="E310" s="7">
        <f t="shared" si="5"/>
        <v>0</v>
      </c>
      <c r="F310" s="7">
        <f>COUNTIFS('HR Track 1'!$M$5:$M$406,$A$308,'HR Track 1'!$AW$5:$AW$406,$C310,'HR Track 1'!$AY$5:$AY$406,$D310)</f>
        <v>0</v>
      </c>
      <c r="G310" s="7">
        <f>COUNTIFS('HR Track 2'!$M$5:$M$406,$A$308,'HR Track 2'!$AW$5:$AW$406,$C310,'HR Track 2'!$AY$5:$AY$406,$D310)</f>
        <v>0</v>
      </c>
      <c r="H310" s="7">
        <f>COUNTIFS('HR Track 1 MOM'!$M$5:$M$800,$A$308,'HR Track 1 MOM'!$AW$5:$AW$800,$C310,'HR Track 1 MOM'!$AY$5:$AY$800,$D310)</f>
        <v>0</v>
      </c>
      <c r="I310" s="7">
        <f>COUNTIFS('HR Track 4 MOM'!$M$5:$M$800,$A$308,'HR Track 4 MOM'!$AW$5:$AW$800,$C310,'HR Track 4 MOM'!$AY$5:$AY$800,$D310)</f>
        <v>0</v>
      </c>
      <c r="J310" s="7">
        <f>COUNTIFS('HR Track 4 PMO'!$M$5:$M$800,$A$308,'HR Track 4 PMO'!$AW$5:$AW$800,$C310,'HR Track 4 PMO'!$AY$5:$AY$800,$D310)</f>
        <v>0</v>
      </c>
      <c r="K310" s="333">
        <f>COUNTIFS('HR Track 6 PMO'!$M$5:$M$800,$A$308,'HR Track 6 PMO'!$AW$5:$AW$800,$C310,'HR Track 6 PMO'!$AY$5:$AY$800,$D310)</f>
        <v>0</v>
      </c>
    </row>
    <row r="311" spans="1:11" ht="19.95" customHeight="1">
      <c r="A311" s="843"/>
      <c r="B311" s="846"/>
      <c r="C311" s="163" t="s">
        <v>1092</v>
      </c>
      <c r="D311" s="307" t="str">
        <f>VLOOKUP(B308,Foundation_Calc!$K$41:$R$74,6,FALSE)</f>
        <v>N.D.</v>
      </c>
      <c r="E311" s="7">
        <f t="shared" si="5"/>
        <v>0</v>
      </c>
      <c r="F311" s="7">
        <f>COUNTIFS('HR Track 1'!$M$5:$M$406,$A$308,'HR Track 1'!$AW$5:$AW$406,$C311,'HR Track 1'!$AY$5:$AY$406,$D311)</f>
        <v>0</v>
      </c>
      <c r="G311" s="7">
        <f>COUNTIFS('HR Track 2'!$M$5:$M$406,$A$308,'HR Track 2'!$AW$5:$AW$406,$C311,'HR Track 2'!$AY$5:$AY$406,$D311)</f>
        <v>0</v>
      </c>
      <c r="H311" s="7">
        <f>COUNTIFS('HR Track 1 MOM'!$M$5:$M$800,$A$308,'HR Track 1 MOM'!$AW$5:$AW$800,$C311,'HR Track 1 MOM'!$AY$5:$AY$800,$D311)</f>
        <v>0</v>
      </c>
      <c r="I311" s="7">
        <f>COUNTIFS('HR Track 4 MOM'!$M$5:$M$800,$A$308,'HR Track 4 MOM'!$AW$5:$AW$800,$C311,'HR Track 4 MOM'!$AY$5:$AY$800,$D311)</f>
        <v>0</v>
      </c>
      <c r="J311" s="7">
        <f>COUNTIFS('HR Track 4 PMO'!$M$5:$M$800,$A$308,'HR Track 4 PMO'!$AW$5:$AW$800,$C311,'HR Track 4 PMO'!$AY$5:$AY$800,$D311)</f>
        <v>0</v>
      </c>
      <c r="K311" s="333">
        <f>COUNTIFS('HR Track 6 PMO'!$M$5:$M$800,$A$308,'HR Track 6 PMO'!$AW$5:$AW$800,$C311,'HR Track 6 PMO'!$AY$5:$AY$800,$D311)</f>
        <v>0</v>
      </c>
    </row>
    <row r="312" spans="1:11" ht="19.95" customHeight="1">
      <c r="A312" s="843"/>
      <c r="B312" s="846"/>
      <c r="C312" s="163" t="s">
        <v>1093</v>
      </c>
      <c r="D312" s="307" t="str">
        <f>VLOOKUP(B308,Foundation_Calc!$K$41:$R$74,7,FALSE)</f>
        <v>N.D.</v>
      </c>
      <c r="E312" s="7">
        <f t="shared" si="5"/>
        <v>0</v>
      </c>
      <c r="F312" s="7">
        <f>COUNTIFS('HR Track 1'!$M$5:$M$406,$A$308,'HR Track 1'!$AW$5:$AW$406,$C312,'HR Track 1'!$AY$5:$AY$406,$D312)</f>
        <v>0</v>
      </c>
      <c r="G312" s="7">
        <f>COUNTIFS('HR Track 2'!$M$5:$M$406,$A$308,'HR Track 2'!$AW$5:$AW$406,$C312,'HR Track 2'!$AY$5:$AY$406,$D312)</f>
        <v>0</v>
      </c>
      <c r="H312" s="7">
        <f>COUNTIFS('HR Track 1 MOM'!$M$5:$M$800,$A$308,'HR Track 1 MOM'!$AW$5:$AW$800,$C312,'HR Track 1 MOM'!$AY$5:$AY$800,$D312)</f>
        <v>0</v>
      </c>
      <c r="I312" s="7">
        <f>COUNTIFS('HR Track 4 MOM'!$M$5:$M$800,$A$308,'HR Track 4 MOM'!$AW$5:$AW$800,$C312,'HR Track 4 MOM'!$AY$5:$AY$800,$D312)</f>
        <v>0</v>
      </c>
      <c r="J312" s="7">
        <f>COUNTIFS('HR Track 4 PMO'!$M$5:$M$800,$A$308,'HR Track 4 PMO'!$AW$5:$AW$800,$C312,'HR Track 4 PMO'!$AY$5:$AY$800,$D312)</f>
        <v>0</v>
      </c>
      <c r="K312" s="333">
        <f>COUNTIFS('HR Track 6 PMO'!$M$5:$M$800,$A$308,'HR Track 6 PMO'!$AW$5:$AW$800,$C312,'HR Track 6 PMO'!$AY$5:$AY$800,$D312)</f>
        <v>0</v>
      </c>
    </row>
    <row r="313" spans="1:11" ht="19.95" customHeight="1" thickBot="1">
      <c r="A313" s="844"/>
      <c r="B313" s="847"/>
      <c r="C313" s="334" t="s">
        <v>1094</v>
      </c>
      <c r="D313" s="339" t="str">
        <f>VLOOKUP(B308,Foundation_Calc!$K$41:$R$74,8,FALSE)</f>
        <v>N.D.</v>
      </c>
      <c r="E313" s="336">
        <f t="shared" si="5"/>
        <v>0</v>
      </c>
      <c r="F313" s="336">
        <f>COUNTIFS('HR Track 1'!$M$5:$M$406,$A$308,'HR Track 1'!$AW$5:$AW$406,$C313,'HR Track 1'!$AY$5:$AY$406,$D313)</f>
        <v>0</v>
      </c>
      <c r="G313" s="336">
        <f>COUNTIFS('HR Track 2'!$M$5:$M$406,$A$308,'HR Track 2'!$AW$5:$AW$406,$C313,'HR Track 2'!$AY$5:$AY$406,$D313)</f>
        <v>0</v>
      </c>
      <c r="H313" s="336">
        <f>COUNTIFS('HR Track 1 MOM'!$M$5:$M$800,$A$308,'HR Track 1 MOM'!$AW$5:$AW$800,$C313,'HR Track 1 MOM'!$AY$5:$AY$800,$D313)</f>
        <v>0</v>
      </c>
      <c r="I313" s="336">
        <f>COUNTIFS('HR Track 4 MOM'!$M$5:$M$800,$A$308,'HR Track 4 MOM'!$AW$5:$AW$800,$C313,'HR Track 4 MOM'!$AY$5:$AY$800,$D313)</f>
        <v>0</v>
      </c>
      <c r="J313" s="336">
        <f>COUNTIFS('HR Track 4 PMO'!$M$5:$M$800,$A$308,'HR Track 4 PMO'!$AW$5:$AW$800,$C313,'HR Track 4 PMO'!$AY$5:$AY$800,$D313)</f>
        <v>0</v>
      </c>
      <c r="K313" s="337">
        <f>COUNTIFS('HR Track 6 PMO'!$M$5:$M$800,$A$308,'HR Track 6 PMO'!$AW$5:$AW$800,$C313,'HR Track 6 PMO'!$AY$5:$AY$800,$D313)</f>
        <v>0</v>
      </c>
    </row>
    <row r="314" spans="1:11" ht="19.95" customHeight="1">
      <c r="A314" s="848" t="s">
        <v>1019</v>
      </c>
      <c r="B314" s="849" t="s">
        <v>1006</v>
      </c>
      <c r="C314" s="329" t="s">
        <v>1089</v>
      </c>
      <c r="D314" s="330">
        <f>VLOOKUP(B314,Foundation_Calc!$K$4:$R$37,3,FALSE)</f>
        <v>5.7</v>
      </c>
      <c r="E314" s="331">
        <f t="shared" si="5"/>
        <v>0</v>
      </c>
      <c r="F314" s="331">
        <f>COUNTIFS('HR Track 1'!$M$5:$M$406,$A$314,'HR Track 1'!$AW$5:$AW$406,$C314,'HR Track 1'!$AY$5:$AY$406,$D314)</f>
        <v>0</v>
      </c>
      <c r="G314" s="331">
        <f>COUNTIFS('HR Track 2'!$M$5:$M$406,$A$314,'HR Track 2'!$AW$5:$AW$406,$C314,'HR Track 2'!$AY$5:$AY$406,$D314)</f>
        <v>0</v>
      </c>
      <c r="H314" s="331">
        <f>COUNTIFS('HR Track 1 MOM'!$M$5:$M$800,$A$314,'HR Track 1 MOM'!$AW$5:$AW$800,$C314,'HR Track 1 MOM'!$AY$5:$AY$800,$D314)</f>
        <v>0</v>
      </c>
      <c r="I314" s="331">
        <f>COUNTIFS('HR Track 4 MOM'!$M$5:$M$800,$A$314,'HR Track 4 MOM'!$AW$5:$AW$800,$C314,'HR Track 4 MOM'!$AY$5:$AY$800,$D314)</f>
        <v>0</v>
      </c>
      <c r="J314" s="331">
        <f>COUNTIFS('HR Track 4 PMO'!$M$5:$M$800,$A$314,'HR Track 4 PMO'!$AW$5:$AW$800,$C314,'HR Track 4 PMO'!$AY$5:$AY$800,$D314)</f>
        <v>0</v>
      </c>
      <c r="K314" s="332">
        <f>COUNTIFS('HR Track 6 PMO'!$M$5:$M$800,$A$314,'HR Track 6 PMO'!$AW$5:$AW$800,$C314,'HR Track 6 PMO'!$AY$5:$AY$800,$D314)</f>
        <v>0</v>
      </c>
    </row>
    <row r="315" spans="1:11" ht="19.95" customHeight="1">
      <c r="A315" s="764"/>
      <c r="B315" s="753"/>
      <c r="C315" s="163" t="s">
        <v>1090</v>
      </c>
      <c r="D315" s="11" t="str">
        <f>VLOOKUP(B314,Foundation_Calc!$K$4:$R$37,4,FALSE)</f>
        <v>N.D.</v>
      </c>
      <c r="E315" s="7">
        <f t="shared" si="5"/>
        <v>0</v>
      </c>
      <c r="F315" s="7">
        <f>COUNTIFS('HR Track 1'!$M$5:$M$406,$A$314,'HR Track 1'!$AW$5:$AW$406,$C315,'HR Track 1'!$AY$5:$AY$406,$D315)</f>
        <v>0</v>
      </c>
      <c r="G315" s="7">
        <f>COUNTIFS('HR Track 2'!$M$5:$M$406,$A$314,'HR Track 2'!$AW$5:$AW$406,$C315,'HR Track 2'!$AY$5:$AY$406,$D315)</f>
        <v>0</v>
      </c>
      <c r="H315" s="7">
        <f>COUNTIFS('HR Track 1 MOM'!$M$5:$M$800,$A$314,'HR Track 1 MOM'!$AW$5:$AW$800,$C315,'HR Track 1 MOM'!$AY$5:$AY$800,$D315)</f>
        <v>0</v>
      </c>
      <c r="I315" s="7">
        <f>COUNTIFS('HR Track 4 MOM'!$M$5:$M$800,$A$314,'HR Track 4 MOM'!$AW$5:$AW$800,$C315,'HR Track 4 MOM'!$AY$5:$AY$800,$D315)</f>
        <v>0</v>
      </c>
      <c r="J315" s="7">
        <f>COUNTIFS('HR Track 4 PMO'!$M$5:$M$800,$A$314,'HR Track 4 PMO'!$AW$5:$AW$800,$C315,'HR Track 4 PMO'!$AY$5:$AY$800,$D315)</f>
        <v>0</v>
      </c>
      <c r="K315" s="333">
        <f>COUNTIFS('HR Track 6 PMO'!$M$5:$M$800,$A$314,'HR Track 6 PMO'!$AW$5:$AW$800,$C315,'HR Track 6 PMO'!$AY$5:$AY$800,$D315)</f>
        <v>0</v>
      </c>
    </row>
    <row r="316" spans="1:11" ht="19.95" customHeight="1">
      <c r="A316" s="764"/>
      <c r="B316" s="753"/>
      <c r="C316" s="163" t="s">
        <v>1091</v>
      </c>
      <c r="D316" s="11" t="str">
        <f>VLOOKUP(B314,Foundation_Calc!$K$4:$R$37,5,FALSE)</f>
        <v>N.D.</v>
      </c>
      <c r="E316" s="7">
        <f t="shared" si="5"/>
        <v>0</v>
      </c>
      <c r="F316" s="7">
        <f>COUNTIFS('HR Track 1'!$M$5:$M$406,$A$314,'HR Track 1'!$AW$5:$AW$406,$C316,'HR Track 1'!$AY$5:$AY$406,$D316)</f>
        <v>0</v>
      </c>
      <c r="G316" s="7">
        <f>COUNTIFS('HR Track 2'!$M$5:$M$406,$A$314,'HR Track 2'!$AW$5:$AW$406,$C316,'HR Track 2'!$AY$5:$AY$406,$D316)</f>
        <v>0</v>
      </c>
      <c r="H316" s="7">
        <f>COUNTIFS('HR Track 1 MOM'!$M$5:$M$800,$A$314,'HR Track 1 MOM'!$AW$5:$AW$800,$C316,'HR Track 1 MOM'!$AY$5:$AY$800,$D316)</f>
        <v>0</v>
      </c>
      <c r="I316" s="7">
        <f>COUNTIFS('HR Track 4 MOM'!$M$5:$M$800,$A$314,'HR Track 4 MOM'!$AW$5:$AW$800,$C316,'HR Track 4 MOM'!$AY$5:$AY$800,$D316)</f>
        <v>0</v>
      </c>
      <c r="J316" s="7">
        <f>COUNTIFS('HR Track 4 PMO'!$M$5:$M$800,$A$314,'HR Track 4 PMO'!$AW$5:$AW$800,$C316,'HR Track 4 PMO'!$AY$5:$AY$800,$D316)</f>
        <v>0</v>
      </c>
      <c r="K316" s="333">
        <f>COUNTIFS('HR Track 6 PMO'!$M$5:$M$800,$A$314,'HR Track 6 PMO'!$AW$5:$AW$800,$C316,'HR Track 6 PMO'!$AY$5:$AY$800,$D316)</f>
        <v>0</v>
      </c>
    </row>
    <row r="317" spans="1:11" ht="19.95" customHeight="1">
      <c r="A317" s="764"/>
      <c r="B317" s="753"/>
      <c r="C317" s="163" t="s">
        <v>1092</v>
      </c>
      <c r="D317" s="11" t="str">
        <f>VLOOKUP(B314,Foundation_Calc!$K$4:$R$37,6,FALSE)</f>
        <v>N.D.</v>
      </c>
      <c r="E317" s="7">
        <f t="shared" si="5"/>
        <v>0</v>
      </c>
      <c r="F317" s="7">
        <f>COUNTIFS('HR Track 1'!$M$5:$M$406,$A$314,'HR Track 1'!$AW$5:$AW$406,$C317,'HR Track 1'!$AY$5:$AY$406,$D317)</f>
        <v>0</v>
      </c>
      <c r="G317" s="7">
        <f>COUNTIFS('HR Track 2'!$M$5:$M$406,$A$314,'HR Track 2'!$AW$5:$AW$406,$C317,'HR Track 2'!$AY$5:$AY$406,$D317)</f>
        <v>0</v>
      </c>
      <c r="H317" s="7">
        <f>COUNTIFS('HR Track 1 MOM'!$M$5:$M$800,$A$314,'HR Track 1 MOM'!$AW$5:$AW$800,$C317,'HR Track 1 MOM'!$AY$5:$AY$800,$D317)</f>
        <v>0</v>
      </c>
      <c r="I317" s="7">
        <f>COUNTIFS('HR Track 4 MOM'!$M$5:$M$800,$A$314,'HR Track 4 MOM'!$AW$5:$AW$800,$C317,'HR Track 4 MOM'!$AY$5:$AY$800,$D317)</f>
        <v>0</v>
      </c>
      <c r="J317" s="7">
        <f>COUNTIFS('HR Track 4 PMO'!$M$5:$M$800,$A$314,'HR Track 4 PMO'!$AW$5:$AW$800,$C317,'HR Track 4 PMO'!$AY$5:$AY$800,$D317)</f>
        <v>0</v>
      </c>
      <c r="K317" s="333">
        <f>COUNTIFS('HR Track 6 PMO'!$M$5:$M$800,$A$314,'HR Track 6 PMO'!$AW$5:$AW$800,$C317,'HR Track 6 PMO'!$AY$5:$AY$800,$D317)</f>
        <v>0</v>
      </c>
    </row>
    <row r="318" spans="1:11" ht="19.95" customHeight="1">
      <c r="A318" s="764"/>
      <c r="B318" s="753"/>
      <c r="C318" s="163" t="s">
        <v>1093</v>
      </c>
      <c r="D318" s="11" t="str">
        <f>VLOOKUP(B314,Foundation_Calc!$K$4:$R$37,7,FALSE)</f>
        <v>N.D.</v>
      </c>
      <c r="E318" s="7">
        <f t="shared" si="5"/>
        <v>0</v>
      </c>
      <c r="F318" s="7">
        <f>COUNTIFS('HR Track 1'!$M$5:$M$406,$A$314,'HR Track 1'!$AW$5:$AW$406,$C318,'HR Track 1'!$AY$5:$AY$406,$D318)</f>
        <v>0</v>
      </c>
      <c r="G318" s="7">
        <f>COUNTIFS('HR Track 2'!$M$5:$M$406,$A$314,'HR Track 2'!$AW$5:$AW$406,$C318,'HR Track 2'!$AY$5:$AY$406,$D318)</f>
        <v>0</v>
      </c>
      <c r="H318" s="7">
        <f>COUNTIFS('HR Track 1 MOM'!$M$5:$M$800,$A$314,'HR Track 1 MOM'!$AW$5:$AW$800,$C318,'HR Track 1 MOM'!$AY$5:$AY$800,$D318)</f>
        <v>0</v>
      </c>
      <c r="I318" s="7">
        <f>COUNTIFS('HR Track 4 MOM'!$M$5:$M$800,$A$314,'HR Track 4 MOM'!$AW$5:$AW$800,$C318,'HR Track 4 MOM'!$AY$5:$AY$800,$D318)</f>
        <v>0</v>
      </c>
      <c r="J318" s="7">
        <f>COUNTIFS('HR Track 4 PMO'!$M$5:$M$800,$A$314,'HR Track 4 PMO'!$AW$5:$AW$800,$C318,'HR Track 4 PMO'!$AY$5:$AY$800,$D318)</f>
        <v>0</v>
      </c>
      <c r="K318" s="333">
        <f>COUNTIFS('HR Track 6 PMO'!$M$5:$M$800,$A$314,'HR Track 6 PMO'!$AW$5:$AW$800,$C318,'HR Track 6 PMO'!$AY$5:$AY$800,$D318)</f>
        <v>0</v>
      </c>
    </row>
    <row r="319" spans="1:11" ht="19.95" customHeight="1" thickBot="1">
      <c r="A319" s="765"/>
      <c r="B319" s="754"/>
      <c r="C319" s="334" t="s">
        <v>1094</v>
      </c>
      <c r="D319" s="335" t="str">
        <f>VLOOKUP(B314,Foundation_Calc!$K$4:$R$37,8,FALSE)</f>
        <v>N.D.</v>
      </c>
      <c r="E319" s="336">
        <f t="shared" si="5"/>
        <v>0</v>
      </c>
      <c r="F319" s="336">
        <f>COUNTIFS('HR Track 1'!$M$5:$M$406,$A$314,'HR Track 1'!$AW$5:$AW$406,$C319,'HR Track 1'!$AY$5:$AY$406,$D319)</f>
        <v>0</v>
      </c>
      <c r="G319" s="336">
        <f>COUNTIFS('HR Track 2'!$M$5:$M$406,$A$314,'HR Track 2'!$AW$5:$AW$406,$C319,'HR Track 2'!$AY$5:$AY$406,$D319)</f>
        <v>0</v>
      </c>
      <c r="H319" s="336">
        <f>COUNTIFS('HR Track 1 MOM'!$M$5:$M$800,$A$314,'HR Track 1 MOM'!$AW$5:$AW$800,$C319,'HR Track 1 MOM'!$AY$5:$AY$800,$D319)</f>
        <v>0</v>
      </c>
      <c r="I319" s="336">
        <f>COUNTIFS('HR Track 4 MOM'!$M$5:$M$800,$A$314,'HR Track 4 MOM'!$AW$5:$AW$800,$C319,'HR Track 4 MOM'!$AY$5:$AY$800,$D319)</f>
        <v>0</v>
      </c>
      <c r="J319" s="336">
        <f>COUNTIFS('HR Track 4 PMO'!$M$5:$M$800,$A$314,'HR Track 4 PMO'!$AW$5:$AW$800,$C319,'HR Track 4 PMO'!$AY$5:$AY$800,$D319)</f>
        <v>0</v>
      </c>
      <c r="K319" s="337">
        <f>COUNTIFS('HR Track 6 PMO'!$M$5:$M$800,$A$314,'HR Track 6 PMO'!$AW$5:$AW$800,$C319,'HR Track 6 PMO'!$AY$5:$AY$800,$D319)</f>
        <v>0</v>
      </c>
    </row>
    <row r="320" spans="1:11" ht="19.95" customHeight="1">
      <c r="A320" s="842" t="s">
        <v>1021</v>
      </c>
      <c r="B320" s="845" t="s">
        <v>1006</v>
      </c>
      <c r="C320" s="329" t="s">
        <v>1089</v>
      </c>
      <c r="D320" s="338">
        <f>VLOOKUP(B320,Foundation_Calc!$K$41:$R$74,3,FALSE)</f>
        <v>7.8</v>
      </c>
      <c r="E320" s="331">
        <f t="shared" si="5"/>
        <v>0</v>
      </c>
      <c r="F320" s="331">
        <f>COUNTIFS('HR Track 1'!$M$5:$M$406,$A$320,'HR Track 1'!$AW$5:$AW$406,$C320,'HR Track 1'!$AY$5:$AY$406,$D320)</f>
        <v>0</v>
      </c>
      <c r="G320" s="331">
        <f>COUNTIFS('HR Track 2'!$M$5:$M$406,$A$320,'HR Track 2'!$AW$5:$AW$406,$C320,'HR Track 2'!$AY$5:$AY$406,$D320)</f>
        <v>0</v>
      </c>
      <c r="H320" s="331">
        <f>COUNTIFS('HR Track 1 MOM'!$M$5:$M$800,$A$320,'HR Track 1 MOM'!$AW$5:$AW$800,$C320,'HR Track 1 MOM'!$AY$5:$AY$800,$D320)</f>
        <v>0</v>
      </c>
      <c r="I320" s="331">
        <f>COUNTIFS('HR Track 4 MOM'!$M$5:$M$800,$A$320,'HR Track 4 MOM'!$AW$5:$AW$800,$C320,'HR Track 4 MOM'!$AY$5:$AY$800,$D320)</f>
        <v>0</v>
      </c>
      <c r="J320" s="331">
        <f>COUNTIFS('HR Track 4 PMO'!$M$5:$M$800,$A$320,'HR Track 4 PMO'!$AW$5:$AW$800,$C320,'HR Track 4 PMO'!$AY$5:$AY$800,$D320)</f>
        <v>0</v>
      </c>
      <c r="K320" s="332">
        <f>COUNTIFS('HR Track 6 PMO'!$M$5:$M$800,$A$320,'HR Track 6 PMO'!$AW$5:$AW$800,$C320,'HR Track 6 PMO'!$AY$5:$AY$800,$D320)</f>
        <v>0</v>
      </c>
    </row>
    <row r="321" spans="1:11" ht="19.95" customHeight="1">
      <c r="A321" s="843"/>
      <c r="B321" s="846"/>
      <c r="C321" s="163" t="s">
        <v>1090</v>
      </c>
      <c r="D321" s="307" t="str">
        <f>VLOOKUP(B320,Foundation_Calc!$K$41:$R$74,4,FALSE)</f>
        <v>N.D.</v>
      </c>
      <c r="E321" s="7">
        <f t="shared" si="5"/>
        <v>0</v>
      </c>
      <c r="F321" s="7">
        <f>COUNTIFS('HR Track 1'!$M$5:$M$406,$A$320,'HR Track 1'!$AW$5:$AW$406,$C321,'HR Track 1'!$AY$5:$AY$406,$D321)</f>
        <v>0</v>
      </c>
      <c r="G321" s="7">
        <f>COUNTIFS('HR Track 2'!$M$5:$M$406,$A$320,'HR Track 2'!$AW$5:$AW$406,$C321,'HR Track 2'!$AY$5:$AY$406,$D321)</f>
        <v>0</v>
      </c>
      <c r="H321" s="7">
        <f>COUNTIFS('HR Track 1 MOM'!$M$5:$M$800,$A$320,'HR Track 1 MOM'!$AW$5:$AW$800,$C321,'HR Track 1 MOM'!$AY$5:$AY$800,$D321)</f>
        <v>0</v>
      </c>
      <c r="I321" s="7">
        <f>COUNTIFS('HR Track 4 MOM'!$M$5:$M$800,$A$320,'HR Track 4 MOM'!$AW$5:$AW$800,$C321,'HR Track 4 MOM'!$AY$5:$AY$800,$D321)</f>
        <v>0</v>
      </c>
      <c r="J321" s="7">
        <f>COUNTIFS('HR Track 4 PMO'!$M$5:$M$800,$A$320,'HR Track 4 PMO'!$AW$5:$AW$800,$C321,'HR Track 4 PMO'!$AY$5:$AY$800,$D321)</f>
        <v>0</v>
      </c>
      <c r="K321" s="333">
        <f>COUNTIFS('HR Track 6 PMO'!$M$5:$M$800,$A$320,'HR Track 6 PMO'!$AW$5:$AW$800,$C321,'HR Track 6 PMO'!$AY$5:$AY$800,$D321)</f>
        <v>0</v>
      </c>
    </row>
    <row r="322" spans="1:11" ht="19.95" customHeight="1">
      <c r="A322" s="843"/>
      <c r="B322" s="846"/>
      <c r="C322" s="163" t="s">
        <v>1091</v>
      </c>
      <c r="D322" s="307" t="str">
        <f>VLOOKUP(B320,Foundation_Calc!$K$41:$R$74,5,FALSE)</f>
        <v>N.D.</v>
      </c>
      <c r="E322" s="7">
        <f t="shared" si="5"/>
        <v>0</v>
      </c>
      <c r="F322" s="7">
        <f>COUNTIFS('HR Track 1'!$M$5:$M$406,$A$320,'HR Track 1'!$AW$5:$AW$406,$C322,'HR Track 1'!$AY$5:$AY$406,$D322)</f>
        <v>0</v>
      </c>
      <c r="G322" s="7">
        <f>COUNTIFS('HR Track 2'!$M$5:$M$406,$A$320,'HR Track 2'!$AW$5:$AW$406,$C322,'HR Track 2'!$AY$5:$AY$406,$D322)</f>
        <v>0</v>
      </c>
      <c r="H322" s="7">
        <f>COUNTIFS('HR Track 1 MOM'!$M$5:$M$800,$A$320,'HR Track 1 MOM'!$AW$5:$AW$800,$C322,'HR Track 1 MOM'!$AY$5:$AY$800,$D322)</f>
        <v>0</v>
      </c>
      <c r="I322" s="7">
        <f>COUNTIFS('HR Track 4 MOM'!$M$5:$M$800,$A$320,'HR Track 4 MOM'!$AW$5:$AW$800,$C322,'HR Track 4 MOM'!$AY$5:$AY$800,$D322)</f>
        <v>0</v>
      </c>
      <c r="J322" s="7">
        <f>COUNTIFS('HR Track 4 PMO'!$M$5:$M$800,$A$320,'HR Track 4 PMO'!$AW$5:$AW$800,$C322,'HR Track 4 PMO'!$AY$5:$AY$800,$D322)</f>
        <v>0</v>
      </c>
      <c r="K322" s="333">
        <f>COUNTIFS('HR Track 6 PMO'!$M$5:$M$800,$A$320,'HR Track 6 PMO'!$AW$5:$AW$800,$C322,'HR Track 6 PMO'!$AY$5:$AY$800,$D322)</f>
        <v>0</v>
      </c>
    </row>
    <row r="323" spans="1:11" ht="19.95" customHeight="1">
      <c r="A323" s="843"/>
      <c r="B323" s="846"/>
      <c r="C323" s="163" t="s">
        <v>1092</v>
      </c>
      <c r="D323" s="307" t="str">
        <f>VLOOKUP(B320,Foundation_Calc!$K$41:$R$74,6,FALSE)</f>
        <v>N.D.</v>
      </c>
      <c r="E323" s="7">
        <f t="shared" ref="E323:E349" si="6">SUM(F323:K323)</f>
        <v>0</v>
      </c>
      <c r="F323" s="7">
        <f>COUNTIFS('HR Track 1'!$M$5:$M$406,$A$320,'HR Track 1'!$AW$5:$AW$406,$C323,'HR Track 1'!$AY$5:$AY$406,$D323)</f>
        <v>0</v>
      </c>
      <c r="G323" s="7">
        <f>COUNTIFS('HR Track 2'!$M$5:$M$406,$A$320,'HR Track 2'!$AW$5:$AW$406,$C323,'HR Track 2'!$AY$5:$AY$406,$D323)</f>
        <v>0</v>
      </c>
      <c r="H323" s="7">
        <f>COUNTIFS('HR Track 1 MOM'!$M$5:$M$800,$A$320,'HR Track 1 MOM'!$AW$5:$AW$800,$C323,'HR Track 1 MOM'!$AY$5:$AY$800,$D323)</f>
        <v>0</v>
      </c>
      <c r="I323" s="7">
        <f>COUNTIFS('HR Track 4 MOM'!$M$5:$M$800,$A$320,'HR Track 4 MOM'!$AW$5:$AW$800,$C323,'HR Track 4 MOM'!$AY$5:$AY$800,$D323)</f>
        <v>0</v>
      </c>
      <c r="J323" s="7">
        <f>COUNTIFS('HR Track 4 PMO'!$M$5:$M$800,$A$320,'HR Track 4 PMO'!$AW$5:$AW$800,$C323,'HR Track 4 PMO'!$AY$5:$AY$800,$D323)</f>
        <v>0</v>
      </c>
      <c r="K323" s="333">
        <f>COUNTIFS('HR Track 6 PMO'!$M$5:$M$800,$A$320,'HR Track 6 PMO'!$AW$5:$AW$800,$C323,'HR Track 6 PMO'!$AY$5:$AY$800,$D323)</f>
        <v>0</v>
      </c>
    </row>
    <row r="324" spans="1:11" ht="19.95" customHeight="1">
      <c r="A324" s="843"/>
      <c r="B324" s="846"/>
      <c r="C324" s="163" t="s">
        <v>1093</v>
      </c>
      <c r="D324" s="307" t="str">
        <f>VLOOKUP(B320,Foundation_Calc!$K$41:$R$74,7,FALSE)</f>
        <v>N.D.</v>
      </c>
      <c r="E324" s="7">
        <f t="shared" si="6"/>
        <v>0</v>
      </c>
      <c r="F324" s="7">
        <f>COUNTIFS('HR Track 1'!$M$5:$M$406,$A$320,'HR Track 1'!$AW$5:$AW$406,$C324,'HR Track 1'!$AY$5:$AY$406,$D324)</f>
        <v>0</v>
      </c>
      <c r="G324" s="7">
        <f>COUNTIFS('HR Track 2'!$M$5:$M$406,$A$320,'HR Track 2'!$AW$5:$AW$406,$C324,'HR Track 2'!$AY$5:$AY$406,$D324)</f>
        <v>0</v>
      </c>
      <c r="H324" s="7">
        <f>COUNTIFS('HR Track 1 MOM'!$M$5:$M$800,$A$320,'HR Track 1 MOM'!$AW$5:$AW$800,$C324,'HR Track 1 MOM'!$AY$5:$AY$800,$D324)</f>
        <v>0</v>
      </c>
      <c r="I324" s="7">
        <f>COUNTIFS('HR Track 4 MOM'!$M$5:$M$800,$A$320,'HR Track 4 MOM'!$AW$5:$AW$800,$C324,'HR Track 4 MOM'!$AY$5:$AY$800,$D324)</f>
        <v>0</v>
      </c>
      <c r="J324" s="7">
        <f>COUNTIFS('HR Track 4 PMO'!$M$5:$M$800,$A$320,'HR Track 4 PMO'!$AW$5:$AW$800,$C324,'HR Track 4 PMO'!$AY$5:$AY$800,$D324)</f>
        <v>0</v>
      </c>
      <c r="K324" s="333">
        <f>COUNTIFS('HR Track 6 PMO'!$M$5:$M$800,$A$320,'HR Track 6 PMO'!$AW$5:$AW$800,$C324,'HR Track 6 PMO'!$AY$5:$AY$800,$D324)</f>
        <v>0</v>
      </c>
    </row>
    <row r="325" spans="1:11" ht="19.95" customHeight="1" thickBot="1">
      <c r="A325" s="844"/>
      <c r="B325" s="847"/>
      <c r="C325" s="334" t="s">
        <v>1094</v>
      </c>
      <c r="D325" s="339" t="str">
        <f>VLOOKUP(B320,Foundation_Calc!$K$41:$R$74,8,FALSE)</f>
        <v>N.D.</v>
      </c>
      <c r="E325" s="336">
        <f t="shared" si="6"/>
        <v>0</v>
      </c>
      <c r="F325" s="336">
        <f>COUNTIFS('HR Track 1'!$M$5:$M$406,$A$320,'HR Track 1'!$AW$5:$AW$406,$C325,'HR Track 1'!$AY$5:$AY$406,$D325)</f>
        <v>0</v>
      </c>
      <c r="G325" s="336">
        <f>COUNTIFS('HR Track 2'!$M$5:$M$406,$A$320,'HR Track 2'!$AW$5:$AW$406,$C325,'HR Track 2'!$AY$5:$AY$406,$D325)</f>
        <v>0</v>
      </c>
      <c r="H325" s="336">
        <f>COUNTIFS('HR Track 1 MOM'!$M$5:$M$800,$A$320,'HR Track 1 MOM'!$AW$5:$AW$800,$C325,'HR Track 1 MOM'!$AY$5:$AY$800,$D325)</f>
        <v>0</v>
      </c>
      <c r="I325" s="336">
        <f>COUNTIFS('HR Track 4 MOM'!$M$5:$M$800,$A$320,'HR Track 4 MOM'!$AW$5:$AW$800,$C325,'HR Track 4 MOM'!$AY$5:$AY$800,$D325)</f>
        <v>0</v>
      </c>
      <c r="J325" s="336">
        <f>COUNTIFS('HR Track 4 PMO'!$M$5:$M$800,$A$320,'HR Track 4 PMO'!$AW$5:$AW$800,$C325,'HR Track 4 PMO'!$AY$5:$AY$800,$D325)</f>
        <v>0</v>
      </c>
      <c r="K325" s="337">
        <f>COUNTIFS('HR Track 6 PMO'!$M$5:$M$800,$A$320,'HR Track 6 PMO'!$AW$5:$AW$800,$C325,'HR Track 6 PMO'!$AY$5:$AY$800,$D325)</f>
        <v>0</v>
      </c>
    </row>
    <row r="326" spans="1:11" ht="19.95" customHeight="1">
      <c r="A326" s="848" t="s">
        <v>1096</v>
      </c>
      <c r="B326" s="849"/>
      <c r="C326" s="329" t="s">
        <v>1089</v>
      </c>
      <c r="D326" s="330">
        <f>VLOOKUP(A326,Foundation_Calc!$K$4:$R$37,3,FALSE)</f>
        <v>2.8</v>
      </c>
      <c r="E326" s="331">
        <f t="shared" si="6"/>
        <v>0</v>
      </c>
      <c r="F326" s="331">
        <f>COUNTIFS('HR Track 1'!$K$5:$K$406,$A$326,'HR Track 1'!$AW$5:$AW$406,$C326,'HR Track 1'!$AZ$5:$AZ$406,$D326)</f>
        <v>0</v>
      </c>
      <c r="G326" s="331">
        <f>COUNTIFS('HR Track 2'!$K$5:$K$406,$A$326,'HR Track 2'!$AW$5:$AW$406,$C326,'HR Track 2'!$AZ$5:$AZ$406,$D326)</f>
        <v>0</v>
      </c>
      <c r="H326" s="331">
        <f>COUNTIFS('HR Track 1 MOM'!$K$5:$K$800,$A$326,'HR Track 1 MOM'!$AW$5:$AW$800,$C326,'HR Track 1 MOM'!$AZ$5:$AZ$800,$D326)</f>
        <v>0</v>
      </c>
      <c r="I326" s="331">
        <f>COUNTIFS('HR Track 4 MOM'!$K$5:$K$800,$A$326,'HR Track 4 MOM'!$AW$5:$AW$800,$C326,'HR Track 4 MOM'!$AZ$5:$AZ$800,$D326)</f>
        <v>0</v>
      </c>
      <c r="J326" s="331">
        <f>COUNTIFS('HR Track 4 PMO'!$K$5:$K$800,$A$326,'HR Track 4 PMO'!$AW$5:$AW$800,$C326,'HR Track 4 PMO'!$AZ$5:$AZ$800,$D326)</f>
        <v>0</v>
      </c>
      <c r="K326" s="332">
        <f>COUNTIFS('HR Track 6 PMO'!$K$5:$K$800,$A$326,'HR Track 6 PMO'!$AW$5:$AW$800,$C326,'HR Track 6 PMO'!$AZ$5:$AZ$800,$D326)</f>
        <v>0</v>
      </c>
    </row>
    <row r="327" spans="1:11" ht="19.95" customHeight="1">
      <c r="A327" s="764"/>
      <c r="B327" s="753"/>
      <c r="C327" s="163" t="s">
        <v>1090</v>
      </c>
      <c r="D327" s="11" t="str">
        <f>VLOOKUP(A326,Foundation_Calc!$K$4:$R$37,4,FALSE)</f>
        <v>N.D.</v>
      </c>
      <c r="E327" s="7">
        <f t="shared" si="6"/>
        <v>0</v>
      </c>
      <c r="F327" s="7">
        <f>COUNTIFS('HR Track 1'!$K$5:$K$406,$A$326,'HR Track 1'!$AW$5:$AW$406,$C327,'HR Track 1'!$AZ$5:$AZ$406,$D327)</f>
        <v>0</v>
      </c>
      <c r="G327" s="7">
        <f>COUNTIFS('HR Track 2'!$K$5:$K$406,$A$326,'HR Track 2'!$AW$5:$AW$406,$C327,'HR Track 2'!$AZ$5:$AZ$406,$D327)</f>
        <v>0</v>
      </c>
      <c r="H327" s="7">
        <f>COUNTIFS('HR Track 1 MOM'!$K$5:$K$800,$A$326,'HR Track 1 MOM'!$AW$5:$AW$800,$C327,'HR Track 1 MOM'!$AZ$5:$AZ$800,$D327)</f>
        <v>0</v>
      </c>
      <c r="I327" s="7">
        <f>COUNTIFS('HR Track 4 MOM'!$K$5:$K$800,$A$326,'HR Track 4 MOM'!$AW$5:$AW$800,$C327,'HR Track 4 MOM'!$AZ$5:$AZ$800,$D327)</f>
        <v>0</v>
      </c>
      <c r="J327" s="7">
        <f>COUNTIFS('HR Track 4 PMO'!$K$5:$K$800,$A$326,'HR Track 4 PMO'!$AW$5:$AW$800,$C327,'HR Track 4 PMO'!$AZ$5:$AZ$800,$D327)</f>
        <v>0</v>
      </c>
      <c r="K327" s="333">
        <f>COUNTIFS('HR Track 6 PMO'!$K$5:$K$800,$A$326,'HR Track 6 PMO'!$AW$5:$AW$800,$C327,'HR Track 6 PMO'!$AZ$5:$AZ$800,$D327)</f>
        <v>0</v>
      </c>
    </row>
    <row r="328" spans="1:11" ht="19.95" customHeight="1">
      <c r="A328" s="764"/>
      <c r="B328" s="753"/>
      <c r="C328" s="163" t="s">
        <v>1091</v>
      </c>
      <c r="D328" s="11" t="str">
        <f>VLOOKUP(A326,Foundation_Calc!$K$4:$R$37,5,FALSE)</f>
        <v>N.D.</v>
      </c>
      <c r="E328" s="7">
        <f t="shared" si="6"/>
        <v>0</v>
      </c>
      <c r="F328" s="7">
        <f>COUNTIFS('HR Track 1'!$K$5:$K$406,$A$326,'HR Track 1'!$AW$5:$AW$406,$C328,'HR Track 1'!$AZ$5:$AZ$406,$D328)</f>
        <v>0</v>
      </c>
      <c r="G328" s="7">
        <f>COUNTIFS('HR Track 2'!$K$5:$K$406,$A$326,'HR Track 2'!$AW$5:$AW$406,$C328,'HR Track 2'!$AZ$5:$AZ$406,$D328)</f>
        <v>0</v>
      </c>
      <c r="H328" s="7">
        <f>COUNTIFS('HR Track 1 MOM'!$K$5:$K$800,$A$326,'HR Track 1 MOM'!$AW$5:$AW$800,$C328,'HR Track 1 MOM'!$AZ$5:$AZ$800,$D328)</f>
        <v>0</v>
      </c>
      <c r="I328" s="7">
        <f>COUNTIFS('HR Track 4 MOM'!$K$5:$K$800,$A$326,'HR Track 4 MOM'!$AW$5:$AW$800,$C328,'HR Track 4 MOM'!$AZ$5:$AZ$800,$D328)</f>
        <v>0</v>
      </c>
      <c r="J328" s="7">
        <f>COUNTIFS('HR Track 4 PMO'!$K$5:$K$800,$A$326,'HR Track 4 PMO'!$AW$5:$AW$800,$C328,'HR Track 4 PMO'!$AZ$5:$AZ$800,$D328)</f>
        <v>0</v>
      </c>
      <c r="K328" s="333">
        <f>COUNTIFS('HR Track 6 PMO'!$K$5:$K$800,$A$326,'HR Track 6 PMO'!$AW$5:$AW$800,$C328,'HR Track 6 PMO'!$AZ$5:$AZ$800,$D328)</f>
        <v>0</v>
      </c>
    </row>
    <row r="329" spans="1:11" ht="19.95" customHeight="1">
      <c r="A329" s="764"/>
      <c r="B329" s="753"/>
      <c r="C329" s="163" t="s">
        <v>1092</v>
      </c>
      <c r="D329" s="11" t="str">
        <f>VLOOKUP(A326,Foundation_Calc!$K$4:$R$37,6,FALSE)</f>
        <v>N.D.</v>
      </c>
      <c r="E329" s="7">
        <f t="shared" si="6"/>
        <v>0</v>
      </c>
      <c r="F329" s="7">
        <f>COUNTIFS('HR Track 1'!$K$5:$K$406,$A$326,'HR Track 1'!$AW$5:$AW$406,$C329,'HR Track 1'!$AZ$5:$AZ$406,$D329)</f>
        <v>0</v>
      </c>
      <c r="G329" s="7">
        <f>COUNTIFS('HR Track 2'!$K$5:$K$406,$A$326,'HR Track 2'!$AW$5:$AW$406,$C329,'HR Track 2'!$AZ$5:$AZ$406,$D329)</f>
        <v>0</v>
      </c>
      <c r="H329" s="7">
        <f>COUNTIFS('HR Track 1 MOM'!$K$5:$K$800,$A$326,'HR Track 1 MOM'!$AW$5:$AW$800,$C329,'HR Track 1 MOM'!$AZ$5:$AZ$800,$D329)</f>
        <v>0</v>
      </c>
      <c r="I329" s="7">
        <f>COUNTIFS('HR Track 4 MOM'!$K$5:$K$800,$A$326,'HR Track 4 MOM'!$AW$5:$AW$800,$C329,'HR Track 4 MOM'!$AZ$5:$AZ$800,$D329)</f>
        <v>0</v>
      </c>
      <c r="J329" s="7">
        <f>COUNTIFS('HR Track 4 PMO'!$K$5:$K$800,$A$326,'HR Track 4 PMO'!$AW$5:$AW$800,$C329,'HR Track 4 PMO'!$AZ$5:$AZ$800,$D329)</f>
        <v>0</v>
      </c>
      <c r="K329" s="333">
        <f>COUNTIFS('HR Track 6 PMO'!$K$5:$K$800,$A$326,'HR Track 6 PMO'!$AW$5:$AW$800,$C329,'HR Track 6 PMO'!$AZ$5:$AZ$800,$D329)</f>
        <v>0</v>
      </c>
    </row>
    <row r="330" spans="1:11" ht="19.95" customHeight="1">
      <c r="A330" s="764"/>
      <c r="B330" s="753"/>
      <c r="C330" s="163" t="s">
        <v>1093</v>
      </c>
      <c r="D330" s="11" t="str">
        <f>VLOOKUP(A326,Foundation_Calc!$K$4:$R$37,7,FALSE)</f>
        <v>N.D.</v>
      </c>
      <c r="E330" s="7">
        <f t="shared" si="6"/>
        <v>0</v>
      </c>
      <c r="F330" s="7">
        <f>COUNTIFS('HR Track 1'!$K$5:$K$406,$A$326,'HR Track 1'!$AW$5:$AW$406,$C330,'HR Track 1'!$AZ$5:$AZ$406,$D330)</f>
        <v>0</v>
      </c>
      <c r="G330" s="7">
        <f>COUNTIFS('HR Track 2'!$K$5:$K$406,$A$326,'HR Track 2'!$AW$5:$AW$406,$C330,'HR Track 2'!$AZ$5:$AZ$406,$D330)</f>
        <v>0</v>
      </c>
      <c r="H330" s="7">
        <f>COUNTIFS('HR Track 1 MOM'!$K$5:$K$800,$A$326,'HR Track 1 MOM'!$AW$5:$AW$800,$C330,'HR Track 1 MOM'!$AZ$5:$AZ$800,$D330)</f>
        <v>0</v>
      </c>
      <c r="I330" s="7">
        <f>COUNTIFS('HR Track 4 MOM'!$K$5:$K$800,$A$326,'HR Track 4 MOM'!$AW$5:$AW$800,$C330,'HR Track 4 MOM'!$AZ$5:$AZ$800,$D330)</f>
        <v>0</v>
      </c>
      <c r="J330" s="7">
        <f>COUNTIFS('HR Track 4 PMO'!$K$5:$K$800,$A$326,'HR Track 4 PMO'!$AW$5:$AW$800,$C330,'HR Track 4 PMO'!$AZ$5:$AZ$800,$D330)</f>
        <v>0</v>
      </c>
      <c r="K330" s="333">
        <f>COUNTIFS('HR Track 6 PMO'!$K$5:$K$800,$A$326,'HR Track 6 PMO'!$AW$5:$AW$800,$C330,'HR Track 6 PMO'!$AZ$5:$AZ$800,$D330)</f>
        <v>0</v>
      </c>
    </row>
    <row r="331" spans="1:11" ht="19.95" customHeight="1" thickBot="1">
      <c r="A331" s="765"/>
      <c r="B331" s="754"/>
      <c r="C331" s="334" t="s">
        <v>1094</v>
      </c>
      <c r="D331" s="335" t="str">
        <f>VLOOKUP(A326,Foundation_Calc!$K$4:$R$37,8,FALSE)</f>
        <v>N.D.</v>
      </c>
      <c r="E331" s="336">
        <f t="shared" si="6"/>
        <v>0</v>
      </c>
      <c r="F331" s="336">
        <f>COUNTIFS('HR Track 1'!$K$5:$K$406,$A$326,'HR Track 1'!$AW$5:$AW$406,$C331,'HR Track 1'!$AZ$5:$AZ$406,$D331)</f>
        <v>0</v>
      </c>
      <c r="G331" s="336">
        <f>COUNTIFS('HR Track 2'!$K$5:$K$406,$A$326,'HR Track 2'!$AW$5:$AW$406,$C331,'HR Track 2'!$AZ$5:$AZ$406,$D331)</f>
        <v>0</v>
      </c>
      <c r="H331" s="336">
        <f>COUNTIFS('HR Track 1 MOM'!$K$5:$K$800,$A$326,'HR Track 1 MOM'!$AW$5:$AW$800,$C331,'HR Track 1 MOM'!$AZ$5:$AZ$800,$D331)</f>
        <v>0</v>
      </c>
      <c r="I331" s="336">
        <f>COUNTIFS('HR Track 4 MOM'!$K$5:$K$800,$A$326,'HR Track 4 MOM'!$AW$5:$AW$800,$C331,'HR Track 4 MOM'!$AZ$5:$AZ$800,$D331)</f>
        <v>0</v>
      </c>
      <c r="J331" s="336">
        <f>COUNTIFS('HR Track 4 PMO'!$K$5:$K$800,$A$326,'HR Track 4 PMO'!$AW$5:$AW$800,$C331,'HR Track 4 PMO'!$AZ$5:$AZ$800,$D331)</f>
        <v>0</v>
      </c>
      <c r="K331" s="337">
        <f>COUNTIFS('HR Track 6 PMO'!$K$5:$K$800,$A$326,'HR Track 6 PMO'!$AW$5:$AW$800,$C331,'HR Track 6 PMO'!$AZ$5:$AZ$800,$D331)</f>
        <v>0</v>
      </c>
    </row>
    <row r="332" spans="1:11" ht="19.95" customHeight="1">
      <c r="A332" s="842" t="s">
        <v>746</v>
      </c>
      <c r="B332" s="845"/>
      <c r="C332" s="329" t="s">
        <v>1089</v>
      </c>
      <c r="D332" s="338">
        <f>VLOOKUP(A332,Foundation_Calc!$K$41:$R$74,3,FALSE)</f>
        <v>2.8</v>
      </c>
      <c r="E332" s="331">
        <f t="shared" si="6"/>
        <v>0</v>
      </c>
      <c r="F332" s="331">
        <f>COUNTIFS('HR Track 1'!$K$5:$K$406,$A$332,'HR Track 1'!$AW$5:$AW$406,$C332,'HR Track 1'!$AZ$5:$AZ$406,$D332)</f>
        <v>0</v>
      </c>
      <c r="G332" s="331">
        <f>COUNTIFS('HR Track 2'!$K$5:$K$406,$A$332,'HR Track 2'!$AW$5:$AW$406,$C332,'HR Track 2'!$AZ$5:$AZ$406,$D332)</f>
        <v>0</v>
      </c>
      <c r="H332" s="331">
        <f>COUNTIFS('HR Track 1 MOM'!$K$5:$K$800,$A$332,'HR Track 1 MOM'!$AW$5:$AW$800,$C332,'HR Track 1 MOM'!$AZ$5:$AZ$800,$D332)</f>
        <v>0</v>
      </c>
      <c r="I332" s="331">
        <f>COUNTIFS('HR Track 4 MOM'!$K$5:$K$800,$A$332,'HR Track 4 MOM'!$AW$5:$AW$800,$C332,'HR Track 4 MOM'!$AZ$5:$AZ$800,$D332)</f>
        <v>0</v>
      </c>
      <c r="J332" s="331">
        <f>COUNTIFS('HR Track 4 PMO'!$K$5:$K$800,$A$332,'HR Track 4 PMO'!$AW$5:$AW$800,$C332,'HR Track 4 PMO'!$AZ$5:$AZ$800,$D332)</f>
        <v>0</v>
      </c>
      <c r="K332" s="332">
        <f>COUNTIFS('HR Track 6 PMO'!$K$5:$K$800,$A$332,'HR Track 6 PMO'!$AW$5:$AW$800,$C332,'HR Track 6 PMO'!$AZ$5:$AZ$800,$D332)</f>
        <v>0</v>
      </c>
    </row>
    <row r="333" spans="1:11" ht="19.95" customHeight="1">
      <c r="A333" s="843"/>
      <c r="B333" s="846"/>
      <c r="C333" s="163" t="s">
        <v>1090</v>
      </c>
      <c r="D333" s="307" t="str">
        <f>VLOOKUP(A332,Foundation_Calc!$K$41:$R$74,4,FALSE)</f>
        <v>N.D.</v>
      </c>
      <c r="E333" s="7">
        <f t="shared" si="6"/>
        <v>0</v>
      </c>
      <c r="F333" s="7">
        <f>COUNTIFS('HR Track 1'!$K$5:$K$406,$A$332,'HR Track 1'!$AW$5:$AW$406,$C333,'HR Track 1'!$AZ$5:$AZ$406,$D333)</f>
        <v>0</v>
      </c>
      <c r="G333" s="7">
        <f>COUNTIFS('HR Track 2'!$K$5:$K$406,$A$332,'HR Track 2'!$AW$5:$AW$406,$C333,'HR Track 2'!$AZ$5:$AZ$406,$D333)</f>
        <v>0</v>
      </c>
      <c r="H333" s="7">
        <f>COUNTIFS('HR Track 1 MOM'!$K$5:$K$800,$A$332,'HR Track 1 MOM'!$AW$5:$AW$800,$C333,'HR Track 1 MOM'!$AZ$5:$AZ$800,$D333)</f>
        <v>0</v>
      </c>
      <c r="I333" s="7">
        <f>COUNTIFS('HR Track 4 MOM'!$K$5:$K$800,$A$332,'HR Track 4 MOM'!$AW$5:$AW$800,$C333,'HR Track 4 MOM'!$AZ$5:$AZ$800,$D333)</f>
        <v>0</v>
      </c>
      <c r="J333" s="7">
        <f>COUNTIFS('HR Track 4 PMO'!$K$5:$K$800,$A$332,'HR Track 4 PMO'!$AW$5:$AW$800,$C333,'HR Track 4 PMO'!$AZ$5:$AZ$800,$D333)</f>
        <v>0</v>
      </c>
      <c r="K333" s="333">
        <f>COUNTIFS('HR Track 6 PMO'!$K$5:$K$800,$A$332,'HR Track 6 PMO'!$AW$5:$AW$800,$C333,'HR Track 6 PMO'!$AZ$5:$AZ$800,$D333)</f>
        <v>0</v>
      </c>
    </row>
    <row r="334" spans="1:11" ht="19.95" customHeight="1">
      <c r="A334" s="843"/>
      <c r="B334" s="846"/>
      <c r="C334" s="163" t="s">
        <v>1091</v>
      </c>
      <c r="D334" s="307" t="str">
        <f>VLOOKUP(A332,Foundation_Calc!$K$41:$R$74,5,FALSE)</f>
        <v>N.D.</v>
      </c>
      <c r="E334" s="7">
        <f t="shared" si="6"/>
        <v>0</v>
      </c>
      <c r="F334" s="7">
        <f>COUNTIFS('HR Track 1'!$K$5:$K$406,$A$332,'HR Track 1'!$AW$5:$AW$406,$C334,'HR Track 1'!$AZ$5:$AZ$406,$D334)</f>
        <v>0</v>
      </c>
      <c r="G334" s="7">
        <f>COUNTIFS('HR Track 2'!$K$5:$K$406,$A$332,'HR Track 2'!$AW$5:$AW$406,$C334,'HR Track 2'!$AZ$5:$AZ$406,$D334)</f>
        <v>0</v>
      </c>
      <c r="H334" s="7">
        <f>COUNTIFS('HR Track 1 MOM'!$K$5:$K$800,$A$332,'HR Track 1 MOM'!$AW$5:$AW$800,$C334,'HR Track 1 MOM'!$AZ$5:$AZ$800,$D334)</f>
        <v>0</v>
      </c>
      <c r="I334" s="7">
        <f>COUNTIFS('HR Track 4 MOM'!$K$5:$K$800,$A$332,'HR Track 4 MOM'!$AW$5:$AW$800,$C334,'HR Track 4 MOM'!$AZ$5:$AZ$800,$D334)</f>
        <v>0</v>
      </c>
      <c r="J334" s="7">
        <f>COUNTIFS('HR Track 4 PMO'!$K$5:$K$800,$A$332,'HR Track 4 PMO'!$AW$5:$AW$800,$C334,'HR Track 4 PMO'!$AZ$5:$AZ$800,$D334)</f>
        <v>0</v>
      </c>
      <c r="K334" s="333">
        <f>COUNTIFS('HR Track 6 PMO'!$K$5:$K$800,$A$332,'HR Track 6 PMO'!$AW$5:$AW$800,$C334,'HR Track 6 PMO'!$AZ$5:$AZ$800,$D334)</f>
        <v>0</v>
      </c>
    </row>
    <row r="335" spans="1:11" ht="19.95" customHeight="1">
      <c r="A335" s="843"/>
      <c r="B335" s="846"/>
      <c r="C335" s="163" t="s">
        <v>1092</v>
      </c>
      <c r="D335" s="307" t="str">
        <f>VLOOKUP(A332,Foundation_Calc!$K$41:$R$74,6,FALSE)</f>
        <v>N.D.</v>
      </c>
      <c r="E335" s="7">
        <f t="shared" si="6"/>
        <v>0</v>
      </c>
      <c r="F335" s="7">
        <f>COUNTIFS('HR Track 1'!$K$5:$K$406,$A$332,'HR Track 1'!$AW$5:$AW$406,$C335,'HR Track 1'!$AZ$5:$AZ$406,$D335)</f>
        <v>0</v>
      </c>
      <c r="G335" s="7">
        <f>COUNTIFS('HR Track 2'!$K$5:$K$406,$A$332,'HR Track 2'!$AW$5:$AW$406,$C335,'HR Track 2'!$AZ$5:$AZ$406,$D335)</f>
        <v>0</v>
      </c>
      <c r="H335" s="7">
        <f>COUNTIFS('HR Track 1 MOM'!$K$5:$K$800,$A$332,'HR Track 1 MOM'!$AW$5:$AW$800,$C335,'HR Track 1 MOM'!$AZ$5:$AZ$800,$D335)</f>
        <v>0</v>
      </c>
      <c r="I335" s="7">
        <f>COUNTIFS('HR Track 4 MOM'!$K$5:$K$800,$A$332,'HR Track 4 MOM'!$AW$5:$AW$800,$C335,'HR Track 4 MOM'!$AZ$5:$AZ$800,$D335)</f>
        <v>0</v>
      </c>
      <c r="J335" s="7">
        <f>COUNTIFS('HR Track 4 PMO'!$K$5:$K$800,$A$332,'HR Track 4 PMO'!$AW$5:$AW$800,$C335,'HR Track 4 PMO'!$AZ$5:$AZ$800,$D335)</f>
        <v>0</v>
      </c>
      <c r="K335" s="333">
        <f>COUNTIFS('HR Track 6 PMO'!$K$5:$K$800,$A$332,'HR Track 6 PMO'!$AW$5:$AW$800,$C335,'HR Track 6 PMO'!$AZ$5:$AZ$800,$D335)</f>
        <v>0</v>
      </c>
    </row>
    <row r="336" spans="1:11" ht="19.95" customHeight="1">
      <c r="A336" s="843"/>
      <c r="B336" s="846"/>
      <c r="C336" s="163" t="s">
        <v>1093</v>
      </c>
      <c r="D336" s="307" t="str">
        <f>VLOOKUP(A332,Foundation_Calc!$K$41:$R$74,7,FALSE)</f>
        <v>N.D.</v>
      </c>
      <c r="E336" s="7">
        <f t="shared" si="6"/>
        <v>0</v>
      </c>
      <c r="F336" s="7">
        <f>COUNTIFS('HR Track 1'!$K$5:$K$406,$A$332,'HR Track 1'!$AW$5:$AW$406,$C336,'HR Track 1'!$AZ$5:$AZ$406,$D336)</f>
        <v>0</v>
      </c>
      <c r="G336" s="7">
        <f>COUNTIFS('HR Track 2'!$K$5:$K$406,$A$332,'HR Track 2'!$AW$5:$AW$406,$C336,'HR Track 2'!$AZ$5:$AZ$406,$D336)</f>
        <v>0</v>
      </c>
      <c r="H336" s="7">
        <f>COUNTIFS('HR Track 1 MOM'!$K$5:$K$800,$A$332,'HR Track 1 MOM'!$AW$5:$AW$800,$C336,'HR Track 1 MOM'!$AZ$5:$AZ$800,$D336)</f>
        <v>0</v>
      </c>
      <c r="I336" s="7">
        <f>COUNTIFS('HR Track 4 MOM'!$K$5:$K$800,$A$332,'HR Track 4 MOM'!$AW$5:$AW$800,$C336,'HR Track 4 MOM'!$AZ$5:$AZ$800,$D336)</f>
        <v>0</v>
      </c>
      <c r="J336" s="7">
        <f>COUNTIFS('HR Track 4 PMO'!$K$5:$K$800,$A$332,'HR Track 4 PMO'!$AW$5:$AW$800,$C336,'HR Track 4 PMO'!$AZ$5:$AZ$800,$D336)</f>
        <v>0</v>
      </c>
      <c r="K336" s="333">
        <f>COUNTIFS('HR Track 6 PMO'!$K$5:$K$800,$A$332,'HR Track 6 PMO'!$AW$5:$AW$800,$C336,'HR Track 6 PMO'!$AZ$5:$AZ$800,$D336)</f>
        <v>0</v>
      </c>
    </row>
    <row r="337" spans="1:11" ht="19.95" customHeight="1" thickBot="1">
      <c r="A337" s="844"/>
      <c r="B337" s="847"/>
      <c r="C337" s="334" t="s">
        <v>1094</v>
      </c>
      <c r="D337" s="339" t="str">
        <f>VLOOKUP(A332,Foundation_Calc!$K$41:$R$74,8,FALSE)</f>
        <v>N.D.</v>
      </c>
      <c r="E337" s="336">
        <f t="shared" si="6"/>
        <v>0</v>
      </c>
      <c r="F337" s="336">
        <f>COUNTIFS('HR Track 1'!$K$5:$K$406,$A$332,'HR Track 1'!$AW$5:$AW$406,$C337,'HR Track 1'!$AZ$5:$AZ$406,$D337)</f>
        <v>0</v>
      </c>
      <c r="G337" s="336">
        <f>COUNTIFS('HR Track 2'!$K$5:$K$406,$A$332,'HR Track 2'!$AW$5:$AW$406,$C337,'HR Track 2'!$AZ$5:$AZ$406,$D337)</f>
        <v>0</v>
      </c>
      <c r="H337" s="336">
        <f>COUNTIFS('HR Track 1 MOM'!$K$5:$K$800,$A$332,'HR Track 1 MOM'!$AW$5:$AW$800,$C337,'HR Track 1 MOM'!$AZ$5:$AZ$800,$D337)</f>
        <v>0</v>
      </c>
      <c r="I337" s="336">
        <f>COUNTIFS('HR Track 4 MOM'!$K$5:$K$800,$A$332,'HR Track 4 MOM'!$AW$5:$AW$800,$C337,'HR Track 4 MOM'!$AZ$5:$AZ$800,$D337)</f>
        <v>0</v>
      </c>
      <c r="J337" s="336">
        <f>COUNTIFS('HR Track 4 PMO'!$K$5:$K$800,$A$332,'HR Track 4 PMO'!$AW$5:$AW$800,$C337,'HR Track 4 PMO'!$AZ$5:$AZ$800,$D337)</f>
        <v>0</v>
      </c>
      <c r="K337" s="337">
        <f>COUNTIFS('HR Track 6 PMO'!$K$5:$K$800,$A$332,'HR Track 6 PMO'!$AW$5:$AW$800,$C337,'HR Track 6 PMO'!$AZ$5:$AZ$800,$D337)</f>
        <v>0</v>
      </c>
    </row>
    <row r="338" spans="1:11" ht="19.95" customHeight="1">
      <c r="A338" s="848" t="s">
        <v>1095</v>
      </c>
      <c r="B338" s="849"/>
      <c r="C338" s="329" t="s">
        <v>1089</v>
      </c>
      <c r="D338" s="330">
        <f>VLOOKUP(A338,Foundation_Calc!$K$4:$R$37,3,FALSE)</f>
        <v>3.9</v>
      </c>
      <c r="E338" s="331">
        <f t="shared" si="6"/>
        <v>0</v>
      </c>
      <c r="F338" s="331">
        <f>COUNTIFS('HR Track 1'!$K$5:$K$406,$A$338,'HR Track 1'!$AW$5:$AW$406,$C338,'HR Track 1'!$AZ$5:$AZ$406,$D338)</f>
        <v>0</v>
      </c>
      <c r="G338" s="331">
        <f>COUNTIFS('HR Track 2'!$K$5:$K$406,$A$338,'HR Track 2'!$AW$5:$AW$406,$C338,'HR Track 2'!$AZ$5:$AZ$406,$D338)</f>
        <v>0</v>
      </c>
      <c r="H338" s="331">
        <f>COUNTIFS('HR Track 1 MOM'!$K$5:$K$800,$A$338,'HR Track 1 MOM'!$AW$5:$AW$800,$C338,'HR Track 1 MOM'!$AZ$5:$AZ$800,$D338)</f>
        <v>0</v>
      </c>
      <c r="I338" s="331">
        <f>COUNTIFS('HR Track 4 MOM'!$K$5:$K$800,$A$338,'HR Track 4 MOM'!$AW$5:$AW$800,$C338,'HR Track 4 MOM'!$AZ$5:$AZ$800,$D338)</f>
        <v>0</v>
      </c>
      <c r="J338" s="331">
        <f>COUNTIFS('HR Track 4 PMO'!$K$5:$K$800,$A$338,'HR Track 4 PMO'!$AW$5:$AW$800,$C338,'HR Track 4 PMO'!$AZ$5:$AZ$800,$D338)</f>
        <v>0</v>
      </c>
      <c r="K338" s="332">
        <f>COUNTIFS('HR Track 6 PMO'!$K$5:$K$800,$A$338,'HR Track 6 PMO'!$AW$5:$AW$800,$C338,'HR Track 6 PMO'!$AZ$5:$AZ$800,$D338)</f>
        <v>0</v>
      </c>
    </row>
    <row r="339" spans="1:11" ht="19.95" customHeight="1">
      <c r="A339" s="764"/>
      <c r="B339" s="753"/>
      <c r="C339" s="163" t="s">
        <v>1090</v>
      </c>
      <c r="D339" s="11" t="str">
        <f>VLOOKUP(A338,Foundation_Calc!$K$4:$R$37,4,FALSE)</f>
        <v>N.D.</v>
      </c>
      <c r="E339" s="7">
        <f t="shared" si="6"/>
        <v>0</v>
      </c>
      <c r="F339" s="7">
        <f>COUNTIFS('HR Track 1'!$K$5:$K$406,$A$338,'HR Track 1'!$AW$5:$AW$406,$C339,'HR Track 1'!$AZ$5:$AZ$406,$D339)</f>
        <v>0</v>
      </c>
      <c r="G339" s="7">
        <f>COUNTIFS('HR Track 2'!$K$5:$K$406,$A$338,'HR Track 2'!$AW$5:$AW$406,$C339,'HR Track 2'!$AZ$5:$AZ$406,$D339)</f>
        <v>0</v>
      </c>
      <c r="H339" s="7">
        <f>COUNTIFS('HR Track 1 MOM'!$K$5:$K$800,$A$338,'HR Track 1 MOM'!$AW$5:$AW$800,$C339,'HR Track 1 MOM'!$AZ$5:$AZ$800,$D339)</f>
        <v>0</v>
      </c>
      <c r="I339" s="7">
        <f>COUNTIFS('HR Track 4 MOM'!$K$5:$K$800,$A$338,'HR Track 4 MOM'!$AW$5:$AW$800,$C339,'HR Track 4 MOM'!$AZ$5:$AZ$800,$D339)</f>
        <v>0</v>
      </c>
      <c r="J339" s="7">
        <f>COUNTIFS('HR Track 4 PMO'!$K$5:$K$800,$A$338,'HR Track 4 PMO'!$AW$5:$AW$800,$C339,'HR Track 4 PMO'!$AZ$5:$AZ$800,$D339)</f>
        <v>0</v>
      </c>
      <c r="K339" s="333">
        <f>COUNTIFS('HR Track 6 PMO'!$K$5:$K$800,$A$338,'HR Track 6 PMO'!$AW$5:$AW$800,$C339,'HR Track 6 PMO'!$AZ$5:$AZ$800,$D339)</f>
        <v>0</v>
      </c>
    </row>
    <row r="340" spans="1:11" ht="19.95" customHeight="1">
      <c r="A340" s="764"/>
      <c r="B340" s="753"/>
      <c r="C340" s="163" t="s">
        <v>1091</v>
      </c>
      <c r="D340" s="11" t="str">
        <f>VLOOKUP(A338,Foundation_Calc!$K$4:$R$37,5,FALSE)</f>
        <v>N.D.</v>
      </c>
      <c r="E340" s="7">
        <f t="shared" si="6"/>
        <v>0</v>
      </c>
      <c r="F340" s="7">
        <f>COUNTIFS('HR Track 1'!$K$5:$K$406,$A$338,'HR Track 1'!$AW$5:$AW$406,$C340,'HR Track 1'!$AZ$5:$AZ$406,$D340)</f>
        <v>0</v>
      </c>
      <c r="G340" s="7">
        <f>COUNTIFS('HR Track 2'!$K$5:$K$406,$A$338,'HR Track 2'!$AW$5:$AW$406,$C340,'HR Track 2'!$AZ$5:$AZ$406,$D340)</f>
        <v>0</v>
      </c>
      <c r="H340" s="7">
        <f>COUNTIFS('HR Track 1 MOM'!$K$5:$K$800,$A$338,'HR Track 1 MOM'!$AW$5:$AW$800,$C340,'HR Track 1 MOM'!$AZ$5:$AZ$800,$D340)</f>
        <v>0</v>
      </c>
      <c r="I340" s="7">
        <f>COUNTIFS('HR Track 4 MOM'!$K$5:$K$800,$A$338,'HR Track 4 MOM'!$AW$5:$AW$800,$C340,'HR Track 4 MOM'!$AZ$5:$AZ$800,$D340)</f>
        <v>0</v>
      </c>
      <c r="J340" s="7">
        <f>COUNTIFS('HR Track 4 PMO'!$K$5:$K$800,$A$338,'HR Track 4 PMO'!$AW$5:$AW$800,$C340,'HR Track 4 PMO'!$AZ$5:$AZ$800,$D340)</f>
        <v>0</v>
      </c>
      <c r="K340" s="333">
        <f>COUNTIFS('HR Track 6 PMO'!$K$5:$K$800,$A$338,'HR Track 6 PMO'!$AW$5:$AW$800,$C340,'HR Track 6 PMO'!$AZ$5:$AZ$800,$D340)</f>
        <v>0</v>
      </c>
    </row>
    <row r="341" spans="1:11" ht="19.95" customHeight="1">
      <c r="A341" s="764"/>
      <c r="B341" s="753"/>
      <c r="C341" s="163" t="s">
        <v>1092</v>
      </c>
      <c r="D341" s="11" t="str">
        <f>VLOOKUP(A338,Foundation_Calc!$K$4:$R$37,6,FALSE)</f>
        <v>N.D.</v>
      </c>
      <c r="E341" s="7">
        <f t="shared" si="6"/>
        <v>0</v>
      </c>
      <c r="F341" s="7">
        <f>COUNTIFS('HR Track 1'!$K$5:$K$406,$A$338,'HR Track 1'!$AW$5:$AW$406,$C341,'HR Track 1'!$AZ$5:$AZ$406,$D341)</f>
        <v>0</v>
      </c>
      <c r="G341" s="7">
        <f>COUNTIFS('HR Track 2'!$K$5:$K$406,$A$338,'HR Track 2'!$AW$5:$AW$406,$C341,'HR Track 2'!$AZ$5:$AZ$406,$D341)</f>
        <v>0</v>
      </c>
      <c r="H341" s="7">
        <f>COUNTIFS('HR Track 1 MOM'!$K$5:$K$800,$A$338,'HR Track 1 MOM'!$AW$5:$AW$800,$C341,'HR Track 1 MOM'!$AZ$5:$AZ$800,$D341)</f>
        <v>0</v>
      </c>
      <c r="I341" s="7">
        <f>COUNTIFS('HR Track 4 MOM'!$K$5:$K$800,$A$338,'HR Track 4 MOM'!$AW$5:$AW$800,$C341,'HR Track 4 MOM'!$AZ$5:$AZ$800,$D341)</f>
        <v>0</v>
      </c>
      <c r="J341" s="7">
        <f>COUNTIFS('HR Track 4 PMO'!$K$5:$K$800,$A$338,'HR Track 4 PMO'!$AW$5:$AW$800,$C341,'HR Track 4 PMO'!$AZ$5:$AZ$800,$D341)</f>
        <v>0</v>
      </c>
      <c r="K341" s="333">
        <f>COUNTIFS('HR Track 6 PMO'!$K$5:$K$800,$A$338,'HR Track 6 PMO'!$AW$5:$AW$800,$C341,'HR Track 6 PMO'!$AZ$5:$AZ$800,$D341)</f>
        <v>0</v>
      </c>
    </row>
    <row r="342" spans="1:11" ht="19.95" customHeight="1">
      <c r="A342" s="764"/>
      <c r="B342" s="753"/>
      <c r="C342" s="163" t="s">
        <v>1093</v>
      </c>
      <c r="D342" s="11" t="str">
        <f>VLOOKUP(A338,Foundation_Calc!$K$4:$R$37,7,FALSE)</f>
        <v>N.D.</v>
      </c>
      <c r="E342" s="7">
        <f t="shared" si="6"/>
        <v>0</v>
      </c>
      <c r="F342" s="7">
        <f>COUNTIFS('HR Track 1'!$K$5:$K$406,$A$338,'HR Track 1'!$AW$5:$AW$406,$C342,'HR Track 1'!$AZ$5:$AZ$406,$D342)</f>
        <v>0</v>
      </c>
      <c r="G342" s="7">
        <f>COUNTIFS('HR Track 2'!$K$5:$K$406,$A$338,'HR Track 2'!$AW$5:$AW$406,$C342,'HR Track 2'!$AZ$5:$AZ$406,$D342)</f>
        <v>0</v>
      </c>
      <c r="H342" s="7">
        <f>COUNTIFS('HR Track 1 MOM'!$K$5:$K$800,$A$338,'HR Track 1 MOM'!$AW$5:$AW$800,$C342,'HR Track 1 MOM'!$AZ$5:$AZ$800,$D342)</f>
        <v>0</v>
      </c>
      <c r="I342" s="7">
        <f>COUNTIFS('HR Track 4 MOM'!$K$5:$K$800,$A$338,'HR Track 4 MOM'!$AW$5:$AW$800,$C342,'HR Track 4 MOM'!$AZ$5:$AZ$800,$D342)</f>
        <v>0</v>
      </c>
      <c r="J342" s="7">
        <f>COUNTIFS('HR Track 4 PMO'!$K$5:$K$800,$A$338,'HR Track 4 PMO'!$AW$5:$AW$800,$C342,'HR Track 4 PMO'!$AZ$5:$AZ$800,$D342)</f>
        <v>0</v>
      </c>
      <c r="K342" s="333">
        <f>COUNTIFS('HR Track 6 PMO'!$K$5:$K$800,$A$338,'HR Track 6 PMO'!$AW$5:$AW$800,$C342,'HR Track 6 PMO'!$AZ$5:$AZ$800,$D342)</f>
        <v>0</v>
      </c>
    </row>
    <row r="343" spans="1:11" ht="19.95" customHeight="1" thickBot="1">
      <c r="A343" s="765"/>
      <c r="B343" s="754"/>
      <c r="C343" s="334" t="s">
        <v>1094</v>
      </c>
      <c r="D343" s="335" t="str">
        <f>VLOOKUP(A338,Foundation_Calc!$K$4:$R$37,8,FALSE)</f>
        <v>N.D.</v>
      </c>
      <c r="E343" s="336">
        <f t="shared" si="6"/>
        <v>0</v>
      </c>
      <c r="F343" s="336">
        <f>COUNTIFS('HR Track 1'!$K$5:$K$406,$A$338,'HR Track 1'!$AW$5:$AW$406,$C343,'HR Track 1'!$AZ$5:$AZ$406,$D343)</f>
        <v>0</v>
      </c>
      <c r="G343" s="336">
        <f>COUNTIFS('HR Track 2'!$K$5:$K$406,$A$338,'HR Track 2'!$AW$5:$AW$406,$C343,'HR Track 2'!$AZ$5:$AZ$406,$D343)</f>
        <v>0</v>
      </c>
      <c r="H343" s="336">
        <f>COUNTIFS('HR Track 1 MOM'!$K$5:$K$800,$A$338,'HR Track 1 MOM'!$AW$5:$AW$800,$C343,'HR Track 1 MOM'!$AZ$5:$AZ$800,$D343)</f>
        <v>0</v>
      </c>
      <c r="I343" s="336">
        <f>COUNTIFS('HR Track 4 MOM'!$K$5:$K$800,$A$338,'HR Track 4 MOM'!$AW$5:$AW$800,$C343,'HR Track 4 MOM'!$AZ$5:$AZ$800,$D343)</f>
        <v>0</v>
      </c>
      <c r="J343" s="336">
        <f>COUNTIFS('HR Track 4 PMO'!$K$5:$K$800,$A$338,'HR Track 4 PMO'!$AW$5:$AW$800,$C343,'HR Track 4 PMO'!$AZ$5:$AZ$800,$D343)</f>
        <v>0</v>
      </c>
      <c r="K343" s="337">
        <f>COUNTIFS('HR Track 6 PMO'!$K$5:$K$800,$A$338,'HR Track 6 PMO'!$AW$5:$AW$800,$C343,'HR Track 6 PMO'!$AZ$5:$AZ$800,$D343)</f>
        <v>0</v>
      </c>
    </row>
    <row r="344" spans="1:11" ht="19.95" customHeight="1">
      <c r="A344" s="842" t="s">
        <v>723</v>
      </c>
      <c r="B344" s="845"/>
      <c r="C344" s="329" t="s">
        <v>1089</v>
      </c>
      <c r="D344" s="338">
        <f>VLOOKUP(A344,Foundation_Calc!$K$41:$R$74,3,FALSE)</f>
        <v>3.9</v>
      </c>
      <c r="E344" s="331">
        <f t="shared" si="6"/>
        <v>0</v>
      </c>
      <c r="F344" s="331">
        <f>COUNTIFS('HR Track 1'!$K$5:$K$406,$A$344,'HR Track 1'!$AW$5:$AW$406,$C344,'HR Track 1'!$AZ$5:$AZ$406,$D344)</f>
        <v>0</v>
      </c>
      <c r="G344" s="331">
        <f>COUNTIFS('HR Track 2'!$K$5:$K$406,$A$344,'HR Track 2'!$AW$5:$AW$406,$C344,'HR Track 2'!$AZ$5:$AZ$406,$D344)</f>
        <v>0</v>
      </c>
      <c r="H344" s="331">
        <f>COUNTIFS('HR Track 1 MOM'!$K$5:$K$800,$A$344,'HR Track 1 MOM'!$AW$5:$AW$800,$C344,'HR Track 1 MOM'!$AZ$5:$AZ$800,$D344)</f>
        <v>0</v>
      </c>
      <c r="I344" s="331">
        <f>COUNTIFS('HR Track 4 MOM'!$K$5:$K$800,$A$344,'HR Track 4 MOM'!$AW$5:$AW$800,$C344,'HR Track 4 MOM'!$AZ$5:$AZ$800,$D344)</f>
        <v>0</v>
      </c>
      <c r="J344" s="331">
        <f>COUNTIFS('HR Track 4 PMO'!$K$5:$K$800,$A$344,'HR Track 4 PMO'!$AW$5:$AW$800,$C344,'HR Track 4 PMO'!$AZ$5:$AZ$800,$D344)</f>
        <v>0</v>
      </c>
      <c r="K344" s="332">
        <f>COUNTIFS('HR Track 6 PMO'!$K$5:$K$800,$A$344,'HR Track 6 PMO'!$AW$5:$AW$800,$C344,'HR Track 6 PMO'!$AZ$5:$AZ$800,$D344)</f>
        <v>0</v>
      </c>
    </row>
    <row r="345" spans="1:11" ht="19.95" customHeight="1">
      <c r="A345" s="843"/>
      <c r="B345" s="846"/>
      <c r="C345" s="163" t="s">
        <v>1090</v>
      </c>
      <c r="D345" s="307" t="str">
        <f>VLOOKUP(A344,Foundation_Calc!$K$41:$R$74,4,FALSE)</f>
        <v>N.D.</v>
      </c>
      <c r="E345" s="7">
        <f t="shared" si="6"/>
        <v>0</v>
      </c>
      <c r="F345" s="7">
        <f>COUNTIFS('HR Track 1'!$K$5:$K$406,$A$344,'HR Track 1'!$AW$5:$AW$406,$C345,'HR Track 1'!$AZ$5:$AZ$406,$D345)</f>
        <v>0</v>
      </c>
      <c r="G345" s="7">
        <f>COUNTIFS('HR Track 2'!$K$5:$K$406,$A$344,'HR Track 2'!$AW$5:$AW$406,$C345,'HR Track 2'!$AZ$5:$AZ$406,$D345)</f>
        <v>0</v>
      </c>
      <c r="H345" s="7">
        <f>COUNTIFS('HR Track 1 MOM'!$K$5:$K$800,$A$344,'HR Track 1 MOM'!$AW$5:$AW$800,$C345,'HR Track 1 MOM'!$AZ$5:$AZ$800,$D345)</f>
        <v>0</v>
      </c>
      <c r="I345" s="7">
        <f>COUNTIFS('HR Track 4 MOM'!$K$5:$K$800,$A$344,'HR Track 4 MOM'!$AW$5:$AW$800,$C345,'HR Track 4 MOM'!$AZ$5:$AZ$800,$D345)</f>
        <v>0</v>
      </c>
      <c r="J345" s="7">
        <f>COUNTIFS('HR Track 4 PMO'!$K$5:$K$800,$A$344,'HR Track 4 PMO'!$AW$5:$AW$800,$C345,'HR Track 4 PMO'!$AZ$5:$AZ$800,$D345)</f>
        <v>0</v>
      </c>
      <c r="K345" s="333">
        <f>COUNTIFS('HR Track 6 PMO'!$K$5:$K$800,$A$344,'HR Track 6 PMO'!$AW$5:$AW$800,$C345,'HR Track 6 PMO'!$AZ$5:$AZ$800,$D345)</f>
        <v>0</v>
      </c>
    </row>
    <row r="346" spans="1:11" ht="19.95" customHeight="1">
      <c r="A346" s="843"/>
      <c r="B346" s="846"/>
      <c r="C346" s="163" t="s">
        <v>1091</v>
      </c>
      <c r="D346" s="307" t="str">
        <f>VLOOKUP(A344,Foundation_Calc!$K$41:$R$74,5,FALSE)</f>
        <v>N.D.</v>
      </c>
      <c r="E346" s="7">
        <f t="shared" si="6"/>
        <v>0</v>
      </c>
      <c r="F346" s="7">
        <f>COUNTIFS('HR Track 1'!$K$5:$K$406,$A$344,'HR Track 1'!$AW$5:$AW$406,$C346,'HR Track 1'!$AZ$5:$AZ$406,$D346)</f>
        <v>0</v>
      </c>
      <c r="G346" s="7">
        <f>COUNTIFS('HR Track 2'!$K$5:$K$406,$A$344,'HR Track 2'!$AW$5:$AW$406,$C346,'HR Track 2'!$AZ$5:$AZ$406,$D346)</f>
        <v>0</v>
      </c>
      <c r="H346" s="7">
        <f>COUNTIFS('HR Track 1 MOM'!$K$5:$K$800,$A$344,'HR Track 1 MOM'!$AW$5:$AW$800,$C346,'HR Track 1 MOM'!$AZ$5:$AZ$800,$D346)</f>
        <v>0</v>
      </c>
      <c r="I346" s="7">
        <f>COUNTIFS('HR Track 4 MOM'!$K$5:$K$800,$A$344,'HR Track 4 MOM'!$AW$5:$AW$800,$C346,'HR Track 4 MOM'!$AZ$5:$AZ$800,$D346)</f>
        <v>0</v>
      </c>
      <c r="J346" s="7">
        <f>COUNTIFS('HR Track 4 PMO'!$K$5:$K$800,$A$344,'HR Track 4 PMO'!$AW$5:$AW$800,$C346,'HR Track 4 PMO'!$AZ$5:$AZ$800,$D346)</f>
        <v>0</v>
      </c>
      <c r="K346" s="333">
        <f>COUNTIFS('HR Track 6 PMO'!$K$5:$K$800,$A$344,'HR Track 6 PMO'!$AW$5:$AW$800,$C346,'HR Track 6 PMO'!$AZ$5:$AZ$800,$D346)</f>
        <v>0</v>
      </c>
    </row>
    <row r="347" spans="1:11" ht="19.95" customHeight="1">
      <c r="A347" s="843"/>
      <c r="B347" s="846"/>
      <c r="C347" s="163" t="s">
        <v>1092</v>
      </c>
      <c r="D347" s="307" t="str">
        <f>VLOOKUP(A344,Foundation_Calc!$K$41:$R$74,6,FALSE)</f>
        <v>N.D.</v>
      </c>
      <c r="E347" s="7">
        <f t="shared" si="6"/>
        <v>0</v>
      </c>
      <c r="F347" s="7">
        <f>COUNTIFS('HR Track 1'!$K$5:$K$406,$A$344,'HR Track 1'!$AW$5:$AW$406,$C347,'HR Track 1'!$AZ$5:$AZ$406,$D347)</f>
        <v>0</v>
      </c>
      <c r="G347" s="7">
        <f>COUNTIFS('HR Track 2'!$K$5:$K$406,$A$344,'HR Track 2'!$AW$5:$AW$406,$C347,'HR Track 2'!$AZ$5:$AZ$406,$D347)</f>
        <v>0</v>
      </c>
      <c r="H347" s="7">
        <f>COUNTIFS('HR Track 1 MOM'!$K$5:$K$800,$A$344,'HR Track 1 MOM'!$AW$5:$AW$800,$C347,'HR Track 1 MOM'!$AZ$5:$AZ$800,$D347)</f>
        <v>0</v>
      </c>
      <c r="I347" s="7">
        <f>COUNTIFS('HR Track 4 MOM'!$K$5:$K$800,$A$344,'HR Track 4 MOM'!$AW$5:$AW$800,$C347,'HR Track 4 MOM'!$AZ$5:$AZ$800,$D347)</f>
        <v>0</v>
      </c>
      <c r="J347" s="7">
        <f>COUNTIFS('HR Track 4 PMO'!$K$5:$K$800,$A$344,'HR Track 4 PMO'!$AW$5:$AW$800,$C347,'HR Track 4 PMO'!$AZ$5:$AZ$800,$D347)</f>
        <v>0</v>
      </c>
      <c r="K347" s="333">
        <f>COUNTIFS('HR Track 6 PMO'!$K$5:$K$800,$A$344,'HR Track 6 PMO'!$AW$5:$AW$800,$C347,'HR Track 6 PMO'!$AZ$5:$AZ$800,$D347)</f>
        <v>0</v>
      </c>
    </row>
    <row r="348" spans="1:11" ht="19.95" customHeight="1">
      <c r="A348" s="843"/>
      <c r="B348" s="846"/>
      <c r="C348" s="163" t="s">
        <v>1093</v>
      </c>
      <c r="D348" s="307" t="str">
        <f>VLOOKUP(A344,Foundation_Calc!$K$41:$R$74,7,FALSE)</f>
        <v>N.D.</v>
      </c>
      <c r="E348" s="7">
        <f t="shared" si="6"/>
        <v>0</v>
      </c>
      <c r="F348" s="7">
        <f>COUNTIFS('HR Track 1'!$K$5:$K$406,$A$344,'HR Track 1'!$AW$5:$AW$406,$C348,'HR Track 1'!$AZ$5:$AZ$406,$D348)</f>
        <v>0</v>
      </c>
      <c r="G348" s="7">
        <f>COUNTIFS('HR Track 2'!$K$5:$K$406,$A$344,'HR Track 2'!$AW$5:$AW$406,$C348,'HR Track 2'!$AZ$5:$AZ$406,$D348)</f>
        <v>0</v>
      </c>
      <c r="H348" s="7">
        <f>COUNTIFS('HR Track 1 MOM'!$K$5:$K$800,$A$344,'HR Track 1 MOM'!$AW$5:$AW$800,$C348,'HR Track 1 MOM'!$AZ$5:$AZ$800,$D348)</f>
        <v>0</v>
      </c>
      <c r="I348" s="7">
        <f>COUNTIFS('HR Track 4 MOM'!$K$5:$K$800,$A$344,'HR Track 4 MOM'!$AW$5:$AW$800,$C348,'HR Track 4 MOM'!$AZ$5:$AZ$800,$D348)</f>
        <v>0</v>
      </c>
      <c r="J348" s="7">
        <f>COUNTIFS('HR Track 4 PMO'!$K$5:$K$800,$A$344,'HR Track 4 PMO'!$AW$5:$AW$800,$C348,'HR Track 4 PMO'!$AZ$5:$AZ$800,$D348)</f>
        <v>0</v>
      </c>
      <c r="K348" s="333">
        <f>COUNTIFS('HR Track 6 PMO'!$K$5:$K$800,$A$344,'HR Track 6 PMO'!$AW$5:$AW$800,$C348,'HR Track 6 PMO'!$AZ$5:$AZ$800,$D348)</f>
        <v>0</v>
      </c>
    </row>
    <row r="349" spans="1:11" ht="19.95" customHeight="1" thickBot="1">
      <c r="A349" s="844"/>
      <c r="B349" s="847"/>
      <c r="C349" s="334" t="s">
        <v>1094</v>
      </c>
      <c r="D349" s="339" t="str">
        <f>VLOOKUP(A344,Foundation_Calc!$K$41:$R$74,8,FALSE)</f>
        <v>N.D.</v>
      </c>
      <c r="E349" s="336">
        <f t="shared" si="6"/>
        <v>0</v>
      </c>
      <c r="F349" s="336">
        <f>COUNTIFS('HR Track 1'!$K$5:$K$406,$A$344,'HR Track 1'!$AW$5:$AW$406,$C349,'HR Track 1'!$AZ$5:$AZ$406,$D349)</f>
        <v>0</v>
      </c>
      <c r="G349" s="336">
        <f>COUNTIFS('HR Track 2'!$K$5:$K$406,$A$344,'HR Track 2'!$AW$5:$AW$406,$C349,'HR Track 2'!$AZ$5:$AZ$406,$D349)</f>
        <v>0</v>
      </c>
      <c r="H349" s="336">
        <f>COUNTIFS('HR Track 1 MOM'!$K$5:$K$800,$A$344,'HR Track 1 MOM'!$AW$5:$AW$800,$C349,'HR Track 1 MOM'!$AZ$5:$AZ$800,$D349)</f>
        <v>0</v>
      </c>
      <c r="I349" s="336">
        <f>COUNTIFS('HR Track 4 MOM'!$K$5:$K$800,$A$344,'HR Track 4 MOM'!$AW$5:$AW$800,$C349,'HR Track 4 MOM'!$AZ$5:$AZ$800,$D349)</f>
        <v>0</v>
      </c>
      <c r="J349" s="336">
        <f>COUNTIFS('HR Track 4 PMO'!$K$5:$K$800,$A$344,'HR Track 4 PMO'!$AW$5:$AW$800,$C349,'HR Track 4 PMO'!$AZ$5:$AZ$800,$D349)</f>
        <v>0</v>
      </c>
      <c r="K349" s="337">
        <f>COUNTIFS('HR Track 6 PMO'!$K$5:$K$800,$A$344,'HR Track 6 PMO'!$AW$5:$AW$800,$C349,'HR Track 6 PMO'!$AZ$5:$AZ$800,$D349)</f>
        <v>0</v>
      </c>
    </row>
  </sheetData>
  <mergeCells count="124">
    <mergeCell ref="A32:A37"/>
    <mergeCell ref="B32:B37"/>
    <mergeCell ref="A56:A61"/>
    <mergeCell ref="B56:B61"/>
    <mergeCell ref="A38:A43"/>
    <mergeCell ref="B38:B43"/>
    <mergeCell ref="A44:A49"/>
    <mergeCell ref="B44:B49"/>
    <mergeCell ref="A50:A55"/>
    <mergeCell ref="B50:B55"/>
    <mergeCell ref="A2:A7"/>
    <mergeCell ref="A8:A13"/>
    <mergeCell ref="B2:B7"/>
    <mergeCell ref="B8:B13"/>
    <mergeCell ref="A14:A19"/>
    <mergeCell ref="B14:B19"/>
    <mergeCell ref="A20:A25"/>
    <mergeCell ref="B20:B25"/>
    <mergeCell ref="A26:A31"/>
    <mergeCell ref="B26:B31"/>
    <mergeCell ref="A80:A85"/>
    <mergeCell ref="B80:B85"/>
    <mergeCell ref="A86:A91"/>
    <mergeCell ref="B86:B91"/>
    <mergeCell ref="A92:A97"/>
    <mergeCell ref="B92:B97"/>
    <mergeCell ref="A62:A67"/>
    <mergeCell ref="B62:B67"/>
    <mergeCell ref="A68:A73"/>
    <mergeCell ref="B68:B73"/>
    <mergeCell ref="A74:A79"/>
    <mergeCell ref="B74:B79"/>
    <mergeCell ref="A116:A121"/>
    <mergeCell ref="B116:B121"/>
    <mergeCell ref="A122:A127"/>
    <mergeCell ref="B122:B127"/>
    <mergeCell ref="A128:A133"/>
    <mergeCell ref="B128:B133"/>
    <mergeCell ref="A98:A103"/>
    <mergeCell ref="B98:B103"/>
    <mergeCell ref="A104:A109"/>
    <mergeCell ref="B104:B109"/>
    <mergeCell ref="A110:A115"/>
    <mergeCell ref="B110:B115"/>
    <mergeCell ref="A152:A157"/>
    <mergeCell ref="B152:B157"/>
    <mergeCell ref="A158:A163"/>
    <mergeCell ref="B158:B163"/>
    <mergeCell ref="A164:A169"/>
    <mergeCell ref="B164:B169"/>
    <mergeCell ref="A134:A139"/>
    <mergeCell ref="B134:B139"/>
    <mergeCell ref="A140:A145"/>
    <mergeCell ref="B140:B145"/>
    <mergeCell ref="A146:A151"/>
    <mergeCell ref="B146:B151"/>
    <mergeCell ref="A188:A193"/>
    <mergeCell ref="B188:B193"/>
    <mergeCell ref="A194:A199"/>
    <mergeCell ref="B194:B199"/>
    <mergeCell ref="A200:A205"/>
    <mergeCell ref="B200:B205"/>
    <mergeCell ref="A170:A175"/>
    <mergeCell ref="B170:B175"/>
    <mergeCell ref="A176:A181"/>
    <mergeCell ref="B176:B181"/>
    <mergeCell ref="A182:A187"/>
    <mergeCell ref="B182:B187"/>
    <mergeCell ref="A224:A229"/>
    <mergeCell ref="B224:B229"/>
    <mergeCell ref="A230:A235"/>
    <mergeCell ref="B230:B235"/>
    <mergeCell ref="A236:A241"/>
    <mergeCell ref="B236:B241"/>
    <mergeCell ref="A206:A211"/>
    <mergeCell ref="B206:B211"/>
    <mergeCell ref="A212:A217"/>
    <mergeCell ref="B212:B217"/>
    <mergeCell ref="A218:A223"/>
    <mergeCell ref="B218:B223"/>
    <mergeCell ref="A266:A271"/>
    <mergeCell ref="B266:B271"/>
    <mergeCell ref="A272:A277"/>
    <mergeCell ref="B272:B277"/>
    <mergeCell ref="A242:A247"/>
    <mergeCell ref="B242:B247"/>
    <mergeCell ref="A248:A253"/>
    <mergeCell ref="B248:B253"/>
    <mergeCell ref="A254:A259"/>
    <mergeCell ref="B254:B259"/>
    <mergeCell ref="A338:A343"/>
    <mergeCell ref="B338:B343"/>
    <mergeCell ref="A344:A349"/>
    <mergeCell ref="B344:B349"/>
    <mergeCell ref="A314:A319"/>
    <mergeCell ref="B314:B319"/>
    <mergeCell ref="A320:A325"/>
    <mergeCell ref="B320:B325"/>
    <mergeCell ref="A326:A331"/>
    <mergeCell ref="B326:B331"/>
    <mergeCell ref="L14:L19"/>
    <mergeCell ref="L20:L25"/>
    <mergeCell ref="L38:L43"/>
    <mergeCell ref="L44:L49"/>
    <mergeCell ref="L62:L67"/>
    <mergeCell ref="L68:L73"/>
    <mergeCell ref="L110:L115"/>
    <mergeCell ref="L116:L121"/>
    <mergeCell ref="A332:A337"/>
    <mergeCell ref="B332:B337"/>
    <mergeCell ref="A296:A301"/>
    <mergeCell ref="B296:B301"/>
    <mergeCell ref="A302:A307"/>
    <mergeCell ref="B302:B307"/>
    <mergeCell ref="A308:A313"/>
    <mergeCell ref="B308:B313"/>
    <mergeCell ref="A278:A283"/>
    <mergeCell ref="B278:B283"/>
    <mergeCell ref="A284:A289"/>
    <mergeCell ref="B284:B289"/>
    <mergeCell ref="A290:A295"/>
    <mergeCell ref="B290:B295"/>
    <mergeCell ref="A260:A265"/>
    <mergeCell ref="B260:B265"/>
  </mergeCells>
  <conditionalFormatting sqref="D2:K2 F3:K7">
    <cfRule type="containsText" dxfId="290" priority="510" operator="containsText" text="N.D.">
      <formula>NOT(ISERROR(SEARCH("N.D.",D2)))</formula>
    </cfRule>
  </conditionalFormatting>
  <conditionalFormatting sqref="D3:E7">
    <cfRule type="containsText" dxfId="289" priority="291" operator="containsText" text="N.D.">
      <formula>NOT(ISERROR(SEARCH("N.D.",D3)))</formula>
    </cfRule>
  </conditionalFormatting>
  <conditionalFormatting sqref="D8:J8">
    <cfRule type="containsText" dxfId="288" priority="290" operator="containsText" text="N.D.">
      <formula>NOT(ISERROR(SEARCH("N.D.",D8)))</formula>
    </cfRule>
  </conditionalFormatting>
  <conditionalFormatting sqref="K8">
    <cfRule type="containsText" dxfId="287" priority="289" operator="containsText" text="N.D.">
      <formula>NOT(ISERROR(SEARCH("N.D.",K8)))</formula>
    </cfRule>
  </conditionalFormatting>
  <conditionalFormatting sqref="F9:J13">
    <cfRule type="containsText" dxfId="286" priority="288" operator="containsText" text="N.D.">
      <formula>NOT(ISERROR(SEARCH("N.D.",F9)))</formula>
    </cfRule>
  </conditionalFormatting>
  <conditionalFormatting sqref="K9:K13">
    <cfRule type="containsText" dxfId="285" priority="287" operator="containsText" text="N.D.">
      <formula>NOT(ISERROR(SEARCH("N.D.",K9)))</formula>
    </cfRule>
  </conditionalFormatting>
  <conditionalFormatting sqref="D9:E13">
    <cfRule type="containsText" dxfId="284" priority="286" operator="containsText" text="N.D.">
      <formula>NOT(ISERROR(SEARCH("N.D.",D9)))</formula>
    </cfRule>
  </conditionalFormatting>
  <conditionalFormatting sqref="F14:J14">
    <cfRule type="containsText" dxfId="283" priority="284" operator="containsText" text="N.D.">
      <formula>NOT(ISERROR(SEARCH("N.D.",F14)))</formula>
    </cfRule>
  </conditionalFormatting>
  <conditionalFormatting sqref="K14">
    <cfRule type="containsText" dxfId="282" priority="283" operator="containsText" text="N.D.">
      <formula>NOT(ISERROR(SEARCH("N.D.",K14)))</formula>
    </cfRule>
  </conditionalFormatting>
  <conditionalFormatting sqref="F15:J19">
    <cfRule type="containsText" dxfId="281" priority="282" operator="containsText" text="N.D.">
      <formula>NOT(ISERROR(SEARCH("N.D.",F15)))</formula>
    </cfRule>
  </conditionalFormatting>
  <conditionalFormatting sqref="K15:K19">
    <cfRule type="containsText" dxfId="280" priority="281" operator="containsText" text="N.D.">
      <formula>NOT(ISERROR(SEARCH("N.D.",K15)))</formula>
    </cfRule>
  </conditionalFormatting>
  <conditionalFormatting sqref="D15:E19">
    <cfRule type="containsText" dxfId="279" priority="280" operator="containsText" text="N.D.">
      <formula>NOT(ISERROR(SEARCH("N.D.",D15)))</formula>
    </cfRule>
  </conditionalFormatting>
  <conditionalFormatting sqref="D20:J20">
    <cfRule type="containsText" dxfId="278" priority="279" operator="containsText" text="N.D.">
      <formula>NOT(ISERROR(SEARCH("N.D.",D20)))</formula>
    </cfRule>
  </conditionalFormatting>
  <conditionalFormatting sqref="K20">
    <cfRule type="containsText" dxfId="277" priority="278" operator="containsText" text="N.D.">
      <formula>NOT(ISERROR(SEARCH("N.D.",K20)))</formula>
    </cfRule>
  </conditionalFormatting>
  <conditionalFormatting sqref="F21:J25">
    <cfRule type="containsText" dxfId="276" priority="277" operator="containsText" text="N.D.">
      <formula>NOT(ISERROR(SEARCH("N.D.",F21)))</formula>
    </cfRule>
  </conditionalFormatting>
  <conditionalFormatting sqref="K21:K25">
    <cfRule type="containsText" dxfId="275" priority="276" operator="containsText" text="N.D.">
      <formula>NOT(ISERROR(SEARCH("N.D.",K21)))</formula>
    </cfRule>
  </conditionalFormatting>
  <conditionalFormatting sqref="D21:E25">
    <cfRule type="containsText" dxfId="274" priority="275" operator="containsText" text="N.D.">
      <formula>NOT(ISERROR(SEARCH("N.D.",D21)))</formula>
    </cfRule>
  </conditionalFormatting>
  <conditionalFormatting sqref="D26:J26">
    <cfRule type="containsText" dxfId="273" priority="274" operator="containsText" text="N.D.">
      <formula>NOT(ISERROR(SEARCH("N.D.",D26)))</formula>
    </cfRule>
  </conditionalFormatting>
  <conditionalFormatting sqref="K26">
    <cfRule type="containsText" dxfId="272" priority="273" operator="containsText" text="N.D.">
      <formula>NOT(ISERROR(SEARCH("N.D.",K26)))</formula>
    </cfRule>
  </conditionalFormatting>
  <conditionalFormatting sqref="F27:J31">
    <cfRule type="containsText" dxfId="271" priority="272" operator="containsText" text="N.D.">
      <formula>NOT(ISERROR(SEARCH("N.D.",F27)))</formula>
    </cfRule>
  </conditionalFormatting>
  <conditionalFormatting sqref="K27:K31">
    <cfRule type="containsText" dxfId="270" priority="271" operator="containsText" text="N.D.">
      <formula>NOT(ISERROR(SEARCH("N.D.",K27)))</formula>
    </cfRule>
  </conditionalFormatting>
  <conditionalFormatting sqref="D27:E31">
    <cfRule type="containsText" dxfId="269" priority="270" operator="containsText" text="N.D.">
      <formula>NOT(ISERROR(SEARCH("N.D.",D27)))</formula>
    </cfRule>
  </conditionalFormatting>
  <conditionalFormatting sqref="D32:J32">
    <cfRule type="containsText" dxfId="268" priority="269" operator="containsText" text="N.D.">
      <formula>NOT(ISERROR(SEARCH("N.D.",D32)))</formula>
    </cfRule>
  </conditionalFormatting>
  <conditionalFormatting sqref="K32">
    <cfRule type="containsText" dxfId="267" priority="268" operator="containsText" text="N.D.">
      <formula>NOT(ISERROR(SEARCH("N.D.",K32)))</formula>
    </cfRule>
  </conditionalFormatting>
  <conditionalFormatting sqref="F33:J37">
    <cfRule type="containsText" dxfId="266" priority="267" operator="containsText" text="N.D.">
      <formula>NOT(ISERROR(SEARCH("N.D.",F33)))</formula>
    </cfRule>
  </conditionalFormatting>
  <conditionalFormatting sqref="K33:K37">
    <cfRule type="containsText" dxfId="265" priority="266" operator="containsText" text="N.D.">
      <formula>NOT(ISERROR(SEARCH("N.D.",K33)))</formula>
    </cfRule>
  </conditionalFormatting>
  <conditionalFormatting sqref="D33:E37">
    <cfRule type="containsText" dxfId="264" priority="265" operator="containsText" text="N.D.">
      <formula>NOT(ISERROR(SEARCH("N.D.",D33)))</formula>
    </cfRule>
  </conditionalFormatting>
  <conditionalFormatting sqref="D38:J38">
    <cfRule type="containsText" dxfId="263" priority="264" operator="containsText" text="N.D.">
      <formula>NOT(ISERROR(SEARCH("N.D.",D38)))</formula>
    </cfRule>
  </conditionalFormatting>
  <conditionalFormatting sqref="K38">
    <cfRule type="containsText" dxfId="262" priority="263" operator="containsText" text="N.D.">
      <formula>NOT(ISERROR(SEARCH("N.D.",K38)))</formula>
    </cfRule>
  </conditionalFormatting>
  <conditionalFormatting sqref="F39:J43">
    <cfRule type="containsText" dxfId="261" priority="262" operator="containsText" text="N.D.">
      <formula>NOT(ISERROR(SEARCH("N.D.",F39)))</formula>
    </cfRule>
  </conditionalFormatting>
  <conditionalFormatting sqref="K39:K43">
    <cfRule type="containsText" dxfId="260" priority="261" operator="containsText" text="N.D.">
      <formula>NOT(ISERROR(SEARCH("N.D.",K39)))</formula>
    </cfRule>
  </conditionalFormatting>
  <conditionalFormatting sqref="D39:E43">
    <cfRule type="containsText" dxfId="259" priority="260" operator="containsText" text="N.D.">
      <formula>NOT(ISERROR(SEARCH("N.D.",D39)))</formula>
    </cfRule>
  </conditionalFormatting>
  <conditionalFormatting sqref="D44:J44">
    <cfRule type="containsText" dxfId="258" priority="259" operator="containsText" text="N.D.">
      <formula>NOT(ISERROR(SEARCH("N.D.",D44)))</formula>
    </cfRule>
  </conditionalFormatting>
  <conditionalFormatting sqref="K44">
    <cfRule type="containsText" dxfId="257" priority="258" operator="containsText" text="N.D.">
      <formula>NOT(ISERROR(SEARCH("N.D.",K44)))</formula>
    </cfRule>
  </conditionalFormatting>
  <conditionalFormatting sqref="F45:J49">
    <cfRule type="containsText" dxfId="256" priority="257" operator="containsText" text="N.D.">
      <formula>NOT(ISERROR(SEARCH("N.D.",F45)))</formula>
    </cfRule>
  </conditionalFormatting>
  <conditionalFormatting sqref="K45:K49">
    <cfRule type="containsText" dxfId="255" priority="256" operator="containsText" text="N.D.">
      <formula>NOT(ISERROR(SEARCH("N.D.",K45)))</formula>
    </cfRule>
  </conditionalFormatting>
  <conditionalFormatting sqref="D45:E49">
    <cfRule type="containsText" dxfId="254" priority="255" operator="containsText" text="N.D.">
      <formula>NOT(ISERROR(SEARCH("N.D.",D45)))</formula>
    </cfRule>
  </conditionalFormatting>
  <conditionalFormatting sqref="D50:J50">
    <cfRule type="containsText" dxfId="253" priority="254" operator="containsText" text="N.D.">
      <formula>NOT(ISERROR(SEARCH("N.D.",D50)))</formula>
    </cfRule>
  </conditionalFormatting>
  <conditionalFormatting sqref="K50">
    <cfRule type="containsText" dxfId="252" priority="253" operator="containsText" text="N.D.">
      <formula>NOT(ISERROR(SEARCH("N.D.",K50)))</formula>
    </cfRule>
  </conditionalFormatting>
  <conditionalFormatting sqref="F51:J55">
    <cfRule type="containsText" dxfId="251" priority="252" operator="containsText" text="N.D.">
      <formula>NOT(ISERROR(SEARCH("N.D.",F51)))</formula>
    </cfRule>
  </conditionalFormatting>
  <conditionalFormatting sqref="K51:K55">
    <cfRule type="containsText" dxfId="250" priority="251" operator="containsText" text="N.D.">
      <formula>NOT(ISERROR(SEARCH("N.D.",K51)))</formula>
    </cfRule>
  </conditionalFormatting>
  <conditionalFormatting sqref="D51:E55">
    <cfRule type="containsText" dxfId="249" priority="250" operator="containsText" text="N.D.">
      <formula>NOT(ISERROR(SEARCH("N.D.",D51)))</formula>
    </cfRule>
  </conditionalFormatting>
  <conditionalFormatting sqref="D56:J56">
    <cfRule type="containsText" dxfId="248" priority="249" operator="containsText" text="N.D.">
      <formula>NOT(ISERROR(SEARCH("N.D.",D56)))</formula>
    </cfRule>
  </conditionalFormatting>
  <conditionalFormatting sqref="K56">
    <cfRule type="containsText" dxfId="247" priority="248" operator="containsText" text="N.D.">
      <formula>NOT(ISERROR(SEARCH("N.D.",K56)))</formula>
    </cfRule>
  </conditionalFormatting>
  <conditionalFormatting sqref="F57:J61">
    <cfRule type="containsText" dxfId="246" priority="247" operator="containsText" text="N.D.">
      <formula>NOT(ISERROR(SEARCH("N.D.",F57)))</formula>
    </cfRule>
  </conditionalFormatting>
  <conditionalFormatting sqref="K57:K61">
    <cfRule type="containsText" dxfId="245" priority="246" operator="containsText" text="N.D.">
      <formula>NOT(ISERROR(SEARCH("N.D.",K57)))</formula>
    </cfRule>
  </conditionalFormatting>
  <conditionalFormatting sqref="D57:E61">
    <cfRule type="containsText" dxfId="244" priority="245" operator="containsText" text="N.D.">
      <formula>NOT(ISERROR(SEARCH("N.D.",D57)))</formula>
    </cfRule>
  </conditionalFormatting>
  <conditionalFormatting sqref="D62:J62">
    <cfRule type="containsText" dxfId="243" priority="244" operator="containsText" text="N.D.">
      <formula>NOT(ISERROR(SEARCH("N.D.",D62)))</formula>
    </cfRule>
  </conditionalFormatting>
  <conditionalFormatting sqref="K62">
    <cfRule type="containsText" dxfId="242" priority="243" operator="containsText" text="N.D.">
      <formula>NOT(ISERROR(SEARCH("N.D.",K62)))</formula>
    </cfRule>
  </conditionalFormatting>
  <conditionalFormatting sqref="F63:J67">
    <cfRule type="containsText" dxfId="241" priority="242" operator="containsText" text="N.D.">
      <formula>NOT(ISERROR(SEARCH("N.D.",F63)))</formula>
    </cfRule>
  </conditionalFormatting>
  <conditionalFormatting sqref="K63:K67">
    <cfRule type="containsText" dxfId="240" priority="241" operator="containsText" text="N.D.">
      <formula>NOT(ISERROR(SEARCH("N.D.",K63)))</formula>
    </cfRule>
  </conditionalFormatting>
  <conditionalFormatting sqref="D63:E67">
    <cfRule type="containsText" dxfId="239" priority="240" operator="containsText" text="N.D.">
      <formula>NOT(ISERROR(SEARCH("N.D.",D63)))</formula>
    </cfRule>
  </conditionalFormatting>
  <conditionalFormatting sqref="D68:J68">
    <cfRule type="containsText" dxfId="238" priority="239" operator="containsText" text="N.D.">
      <formula>NOT(ISERROR(SEARCH("N.D.",D68)))</formula>
    </cfRule>
  </conditionalFormatting>
  <conditionalFormatting sqref="K68">
    <cfRule type="containsText" dxfId="237" priority="238" operator="containsText" text="N.D.">
      <formula>NOT(ISERROR(SEARCH("N.D.",K68)))</formula>
    </cfRule>
  </conditionalFormatting>
  <conditionalFormatting sqref="F69:J73">
    <cfRule type="containsText" dxfId="236" priority="237" operator="containsText" text="N.D.">
      <formula>NOT(ISERROR(SEARCH("N.D.",F69)))</formula>
    </cfRule>
  </conditionalFormatting>
  <conditionalFormatting sqref="K69:K73">
    <cfRule type="containsText" dxfId="235" priority="236" operator="containsText" text="N.D.">
      <formula>NOT(ISERROR(SEARCH("N.D.",K69)))</formula>
    </cfRule>
  </conditionalFormatting>
  <conditionalFormatting sqref="D69:E73">
    <cfRule type="containsText" dxfId="234" priority="235" operator="containsText" text="N.D.">
      <formula>NOT(ISERROR(SEARCH("N.D.",D69)))</formula>
    </cfRule>
  </conditionalFormatting>
  <conditionalFormatting sqref="D74:J74">
    <cfRule type="containsText" dxfId="233" priority="234" operator="containsText" text="N.D.">
      <formula>NOT(ISERROR(SEARCH("N.D.",D74)))</formula>
    </cfRule>
  </conditionalFormatting>
  <conditionalFormatting sqref="K74">
    <cfRule type="containsText" dxfId="232" priority="233" operator="containsText" text="N.D.">
      <formula>NOT(ISERROR(SEARCH("N.D.",K74)))</formula>
    </cfRule>
  </conditionalFormatting>
  <conditionalFormatting sqref="F75:J79">
    <cfRule type="containsText" dxfId="231" priority="232" operator="containsText" text="N.D.">
      <formula>NOT(ISERROR(SEARCH("N.D.",F75)))</formula>
    </cfRule>
  </conditionalFormatting>
  <conditionalFormatting sqref="K75:K79">
    <cfRule type="containsText" dxfId="230" priority="231" operator="containsText" text="N.D.">
      <formula>NOT(ISERROR(SEARCH("N.D.",K75)))</formula>
    </cfRule>
  </conditionalFormatting>
  <conditionalFormatting sqref="D75:E79">
    <cfRule type="containsText" dxfId="229" priority="230" operator="containsText" text="N.D.">
      <formula>NOT(ISERROR(SEARCH("N.D.",D75)))</formula>
    </cfRule>
  </conditionalFormatting>
  <conditionalFormatting sqref="D80:J80">
    <cfRule type="containsText" dxfId="228" priority="229" operator="containsText" text="N.D.">
      <formula>NOT(ISERROR(SEARCH("N.D.",D80)))</formula>
    </cfRule>
  </conditionalFormatting>
  <conditionalFormatting sqref="K80">
    <cfRule type="containsText" dxfId="227" priority="228" operator="containsText" text="N.D.">
      <formula>NOT(ISERROR(SEARCH("N.D.",K80)))</formula>
    </cfRule>
  </conditionalFormatting>
  <conditionalFormatting sqref="F81:J85">
    <cfRule type="containsText" dxfId="226" priority="227" operator="containsText" text="N.D.">
      <formula>NOT(ISERROR(SEARCH("N.D.",F81)))</formula>
    </cfRule>
  </conditionalFormatting>
  <conditionalFormatting sqref="K81:K85">
    <cfRule type="containsText" dxfId="225" priority="226" operator="containsText" text="N.D.">
      <formula>NOT(ISERROR(SEARCH("N.D.",K81)))</formula>
    </cfRule>
  </conditionalFormatting>
  <conditionalFormatting sqref="D81:E85">
    <cfRule type="containsText" dxfId="224" priority="225" operator="containsText" text="N.D.">
      <formula>NOT(ISERROR(SEARCH("N.D.",D81)))</formula>
    </cfRule>
  </conditionalFormatting>
  <conditionalFormatting sqref="D86:J86">
    <cfRule type="containsText" dxfId="223" priority="224" operator="containsText" text="N.D.">
      <formula>NOT(ISERROR(SEARCH("N.D.",D86)))</formula>
    </cfRule>
  </conditionalFormatting>
  <conditionalFormatting sqref="K86">
    <cfRule type="containsText" dxfId="222" priority="223" operator="containsText" text="N.D.">
      <formula>NOT(ISERROR(SEARCH("N.D.",K86)))</formula>
    </cfRule>
  </conditionalFormatting>
  <conditionalFormatting sqref="F87:J91">
    <cfRule type="containsText" dxfId="221" priority="222" operator="containsText" text="N.D.">
      <formula>NOT(ISERROR(SEARCH("N.D.",F87)))</formula>
    </cfRule>
  </conditionalFormatting>
  <conditionalFormatting sqref="K87:K91">
    <cfRule type="containsText" dxfId="220" priority="221" operator="containsText" text="N.D.">
      <formula>NOT(ISERROR(SEARCH("N.D.",K87)))</formula>
    </cfRule>
  </conditionalFormatting>
  <conditionalFormatting sqref="D87:E91">
    <cfRule type="containsText" dxfId="219" priority="220" operator="containsText" text="N.D.">
      <formula>NOT(ISERROR(SEARCH("N.D.",D87)))</formula>
    </cfRule>
  </conditionalFormatting>
  <conditionalFormatting sqref="D92:J92">
    <cfRule type="containsText" dxfId="218" priority="219" operator="containsText" text="N.D.">
      <formula>NOT(ISERROR(SEARCH("N.D.",D92)))</formula>
    </cfRule>
  </conditionalFormatting>
  <conditionalFormatting sqref="K92">
    <cfRule type="containsText" dxfId="217" priority="218" operator="containsText" text="N.D.">
      <formula>NOT(ISERROR(SEARCH("N.D.",K92)))</formula>
    </cfRule>
  </conditionalFormatting>
  <conditionalFormatting sqref="F93:J97">
    <cfRule type="containsText" dxfId="216" priority="217" operator="containsText" text="N.D.">
      <formula>NOT(ISERROR(SEARCH("N.D.",F93)))</formula>
    </cfRule>
  </conditionalFormatting>
  <conditionalFormatting sqref="K93:K97">
    <cfRule type="containsText" dxfId="215" priority="216" operator="containsText" text="N.D.">
      <formula>NOT(ISERROR(SEARCH("N.D.",K93)))</formula>
    </cfRule>
  </conditionalFormatting>
  <conditionalFormatting sqref="D93:E97">
    <cfRule type="containsText" dxfId="214" priority="215" operator="containsText" text="N.D.">
      <formula>NOT(ISERROR(SEARCH("N.D.",D93)))</formula>
    </cfRule>
  </conditionalFormatting>
  <conditionalFormatting sqref="D98:J98">
    <cfRule type="containsText" dxfId="213" priority="214" operator="containsText" text="N.D.">
      <formula>NOT(ISERROR(SEARCH("N.D.",D98)))</formula>
    </cfRule>
  </conditionalFormatting>
  <conditionalFormatting sqref="K98">
    <cfRule type="containsText" dxfId="212" priority="213" operator="containsText" text="N.D.">
      <formula>NOT(ISERROR(SEARCH("N.D.",K98)))</formula>
    </cfRule>
  </conditionalFormatting>
  <conditionalFormatting sqref="F99:J103">
    <cfRule type="containsText" dxfId="211" priority="212" operator="containsText" text="N.D.">
      <formula>NOT(ISERROR(SEARCH("N.D.",F99)))</formula>
    </cfRule>
  </conditionalFormatting>
  <conditionalFormatting sqref="K99:K103">
    <cfRule type="containsText" dxfId="210" priority="211" operator="containsText" text="N.D.">
      <formula>NOT(ISERROR(SEARCH("N.D.",K99)))</formula>
    </cfRule>
  </conditionalFormatting>
  <conditionalFormatting sqref="D99:E103">
    <cfRule type="containsText" dxfId="209" priority="210" operator="containsText" text="N.D.">
      <formula>NOT(ISERROR(SEARCH("N.D.",D99)))</formula>
    </cfRule>
  </conditionalFormatting>
  <conditionalFormatting sqref="D104:J104">
    <cfRule type="containsText" dxfId="208" priority="209" operator="containsText" text="N.D.">
      <formula>NOT(ISERROR(SEARCH("N.D.",D104)))</formula>
    </cfRule>
  </conditionalFormatting>
  <conditionalFormatting sqref="K104">
    <cfRule type="containsText" dxfId="207" priority="208" operator="containsText" text="N.D.">
      <formula>NOT(ISERROR(SEARCH("N.D.",K104)))</formula>
    </cfRule>
  </conditionalFormatting>
  <conditionalFormatting sqref="F105:J109">
    <cfRule type="containsText" dxfId="206" priority="207" operator="containsText" text="N.D.">
      <formula>NOT(ISERROR(SEARCH("N.D.",F105)))</formula>
    </cfRule>
  </conditionalFormatting>
  <conditionalFormatting sqref="K105:K109">
    <cfRule type="containsText" dxfId="205" priority="206" operator="containsText" text="N.D.">
      <formula>NOT(ISERROR(SEARCH("N.D.",K105)))</formula>
    </cfRule>
  </conditionalFormatting>
  <conditionalFormatting sqref="D105:E109">
    <cfRule type="containsText" dxfId="204" priority="205" operator="containsText" text="N.D.">
      <formula>NOT(ISERROR(SEARCH("N.D.",D105)))</formula>
    </cfRule>
  </conditionalFormatting>
  <conditionalFormatting sqref="D110:J110">
    <cfRule type="containsText" dxfId="203" priority="204" operator="containsText" text="N.D.">
      <formula>NOT(ISERROR(SEARCH("N.D.",D110)))</formula>
    </cfRule>
  </conditionalFormatting>
  <conditionalFormatting sqref="K110">
    <cfRule type="containsText" dxfId="202" priority="203" operator="containsText" text="N.D.">
      <formula>NOT(ISERROR(SEARCH("N.D.",K110)))</formula>
    </cfRule>
  </conditionalFormatting>
  <conditionalFormatting sqref="F111:J115">
    <cfRule type="containsText" dxfId="201" priority="202" operator="containsText" text="N.D.">
      <formula>NOT(ISERROR(SEARCH("N.D.",F111)))</formula>
    </cfRule>
  </conditionalFormatting>
  <conditionalFormatting sqref="K111:K115">
    <cfRule type="containsText" dxfId="200" priority="201" operator="containsText" text="N.D.">
      <formula>NOT(ISERROR(SEARCH("N.D.",K111)))</formula>
    </cfRule>
  </conditionalFormatting>
  <conditionalFormatting sqref="D111:E115">
    <cfRule type="containsText" dxfId="199" priority="200" operator="containsText" text="N.D.">
      <formula>NOT(ISERROR(SEARCH("N.D.",D111)))</formula>
    </cfRule>
  </conditionalFormatting>
  <conditionalFormatting sqref="D116:J116">
    <cfRule type="containsText" dxfId="198" priority="199" operator="containsText" text="N.D.">
      <formula>NOT(ISERROR(SEARCH("N.D.",D116)))</formula>
    </cfRule>
  </conditionalFormatting>
  <conditionalFormatting sqref="K116">
    <cfRule type="containsText" dxfId="197" priority="198" operator="containsText" text="N.D.">
      <formula>NOT(ISERROR(SEARCH("N.D.",K116)))</formula>
    </cfRule>
  </conditionalFormatting>
  <conditionalFormatting sqref="F117:J121">
    <cfRule type="containsText" dxfId="196" priority="197" operator="containsText" text="N.D.">
      <formula>NOT(ISERROR(SEARCH("N.D.",F117)))</formula>
    </cfRule>
  </conditionalFormatting>
  <conditionalFormatting sqref="K117:K121">
    <cfRule type="containsText" dxfId="195" priority="196" operator="containsText" text="N.D.">
      <formula>NOT(ISERROR(SEARCH("N.D.",K117)))</formula>
    </cfRule>
  </conditionalFormatting>
  <conditionalFormatting sqref="D117:E121">
    <cfRule type="containsText" dxfId="194" priority="195" operator="containsText" text="N.D.">
      <formula>NOT(ISERROR(SEARCH("N.D.",D117)))</formula>
    </cfRule>
  </conditionalFormatting>
  <conditionalFormatting sqref="D122:J122">
    <cfRule type="containsText" dxfId="193" priority="194" operator="containsText" text="N.D.">
      <formula>NOT(ISERROR(SEARCH("N.D.",D122)))</formula>
    </cfRule>
  </conditionalFormatting>
  <conditionalFormatting sqref="K122">
    <cfRule type="containsText" dxfId="192" priority="193" operator="containsText" text="N.D.">
      <formula>NOT(ISERROR(SEARCH("N.D.",K122)))</formula>
    </cfRule>
  </conditionalFormatting>
  <conditionalFormatting sqref="F123:J127">
    <cfRule type="containsText" dxfId="191" priority="192" operator="containsText" text="N.D.">
      <formula>NOT(ISERROR(SEARCH("N.D.",F123)))</formula>
    </cfRule>
  </conditionalFormatting>
  <conditionalFormatting sqref="K123:K127">
    <cfRule type="containsText" dxfId="190" priority="191" operator="containsText" text="N.D.">
      <formula>NOT(ISERROR(SEARCH("N.D.",K123)))</formula>
    </cfRule>
  </conditionalFormatting>
  <conditionalFormatting sqref="D123:E127">
    <cfRule type="containsText" dxfId="189" priority="190" operator="containsText" text="N.D.">
      <formula>NOT(ISERROR(SEARCH("N.D.",D123)))</formula>
    </cfRule>
  </conditionalFormatting>
  <conditionalFormatting sqref="D128:J128">
    <cfRule type="containsText" dxfId="188" priority="189" operator="containsText" text="N.D.">
      <formula>NOT(ISERROR(SEARCH("N.D.",D128)))</formula>
    </cfRule>
  </conditionalFormatting>
  <conditionalFormatting sqref="K128">
    <cfRule type="containsText" dxfId="187" priority="188" operator="containsText" text="N.D.">
      <formula>NOT(ISERROR(SEARCH("N.D.",K128)))</formula>
    </cfRule>
  </conditionalFormatting>
  <conditionalFormatting sqref="F129:J133">
    <cfRule type="containsText" dxfId="186" priority="187" operator="containsText" text="N.D.">
      <formula>NOT(ISERROR(SEARCH("N.D.",F129)))</formula>
    </cfRule>
  </conditionalFormatting>
  <conditionalFormatting sqref="K129:K133">
    <cfRule type="containsText" dxfId="185" priority="186" operator="containsText" text="N.D.">
      <formula>NOT(ISERROR(SEARCH("N.D.",K129)))</formula>
    </cfRule>
  </conditionalFormatting>
  <conditionalFormatting sqref="D129:E133">
    <cfRule type="containsText" dxfId="184" priority="185" operator="containsText" text="N.D.">
      <formula>NOT(ISERROR(SEARCH("N.D.",D129)))</formula>
    </cfRule>
  </conditionalFormatting>
  <conditionalFormatting sqref="D134:J134">
    <cfRule type="containsText" dxfId="183" priority="184" operator="containsText" text="N.D.">
      <formula>NOT(ISERROR(SEARCH("N.D.",D134)))</formula>
    </cfRule>
  </conditionalFormatting>
  <conditionalFormatting sqref="K134">
    <cfRule type="containsText" dxfId="182" priority="183" operator="containsText" text="N.D.">
      <formula>NOT(ISERROR(SEARCH("N.D.",K134)))</formula>
    </cfRule>
  </conditionalFormatting>
  <conditionalFormatting sqref="F135:J139">
    <cfRule type="containsText" dxfId="181" priority="182" operator="containsText" text="N.D.">
      <formula>NOT(ISERROR(SEARCH("N.D.",F135)))</formula>
    </cfRule>
  </conditionalFormatting>
  <conditionalFormatting sqref="K135:K139">
    <cfRule type="containsText" dxfId="180" priority="181" operator="containsText" text="N.D.">
      <formula>NOT(ISERROR(SEARCH("N.D.",K135)))</formula>
    </cfRule>
  </conditionalFormatting>
  <conditionalFormatting sqref="D135:E139">
    <cfRule type="containsText" dxfId="179" priority="180" operator="containsText" text="N.D.">
      <formula>NOT(ISERROR(SEARCH("N.D.",D135)))</formula>
    </cfRule>
  </conditionalFormatting>
  <conditionalFormatting sqref="D140:J140">
    <cfRule type="containsText" dxfId="178" priority="179" operator="containsText" text="N.D.">
      <formula>NOT(ISERROR(SEARCH("N.D.",D140)))</formula>
    </cfRule>
  </conditionalFormatting>
  <conditionalFormatting sqref="K140">
    <cfRule type="containsText" dxfId="177" priority="178" operator="containsText" text="N.D.">
      <formula>NOT(ISERROR(SEARCH("N.D.",K140)))</formula>
    </cfRule>
  </conditionalFormatting>
  <conditionalFormatting sqref="F141:J145">
    <cfRule type="containsText" dxfId="176" priority="177" operator="containsText" text="N.D.">
      <formula>NOT(ISERROR(SEARCH("N.D.",F141)))</formula>
    </cfRule>
  </conditionalFormatting>
  <conditionalFormatting sqref="K141:K145">
    <cfRule type="containsText" dxfId="175" priority="176" operator="containsText" text="N.D.">
      <formula>NOT(ISERROR(SEARCH("N.D.",K141)))</formula>
    </cfRule>
  </conditionalFormatting>
  <conditionalFormatting sqref="D141:E145">
    <cfRule type="containsText" dxfId="174" priority="175" operator="containsText" text="N.D.">
      <formula>NOT(ISERROR(SEARCH("N.D.",D141)))</formula>
    </cfRule>
  </conditionalFormatting>
  <conditionalFormatting sqref="D146:J146">
    <cfRule type="containsText" dxfId="173" priority="174" operator="containsText" text="N.D.">
      <formula>NOT(ISERROR(SEARCH("N.D.",D146)))</formula>
    </cfRule>
  </conditionalFormatting>
  <conditionalFormatting sqref="K146">
    <cfRule type="containsText" dxfId="172" priority="173" operator="containsText" text="N.D.">
      <formula>NOT(ISERROR(SEARCH("N.D.",K146)))</formula>
    </cfRule>
  </conditionalFormatting>
  <conditionalFormatting sqref="F147:J151">
    <cfRule type="containsText" dxfId="171" priority="172" operator="containsText" text="N.D.">
      <formula>NOT(ISERROR(SEARCH("N.D.",F147)))</formula>
    </cfRule>
  </conditionalFormatting>
  <conditionalFormatting sqref="K147:K151">
    <cfRule type="containsText" dxfId="170" priority="171" operator="containsText" text="N.D.">
      <formula>NOT(ISERROR(SEARCH("N.D.",K147)))</formula>
    </cfRule>
  </conditionalFormatting>
  <conditionalFormatting sqref="D147:E151">
    <cfRule type="containsText" dxfId="169" priority="170" operator="containsText" text="N.D.">
      <formula>NOT(ISERROR(SEARCH("N.D.",D147)))</formula>
    </cfRule>
  </conditionalFormatting>
  <conditionalFormatting sqref="D152:J152">
    <cfRule type="containsText" dxfId="168" priority="169" operator="containsText" text="N.D.">
      <formula>NOT(ISERROR(SEARCH("N.D.",D152)))</formula>
    </cfRule>
  </conditionalFormatting>
  <conditionalFormatting sqref="K152">
    <cfRule type="containsText" dxfId="167" priority="168" operator="containsText" text="N.D.">
      <formula>NOT(ISERROR(SEARCH("N.D.",K152)))</formula>
    </cfRule>
  </conditionalFormatting>
  <conditionalFormatting sqref="F153:J157">
    <cfRule type="containsText" dxfId="166" priority="167" operator="containsText" text="N.D.">
      <formula>NOT(ISERROR(SEARCH("N.D.",F153)))</formula>
    </cfRule>
  </conditionalFormatting>
  <conditionalFormatting sqref="K153:K157">
    <cfRule type="containsText" dxfId="165" priority="166" operator="containsText" text="N.D.">
      <formula>NOT(ISERROR(SEARCH("N.D.",K153)))</formula>
    </cfRule>
  </conditionalFormatting>
  <conditionalFormatting sqref="D153:E157">
    <cfRule type="containsText" dxfId="164" priority="165" operator="containsText" text="N.D.">
      <formula>NOT(ISERROR(SEARCH("N.D.",D153)))</formula>
    </cfRule>
  </conditionalFormatting>
  <conditionalFormatting sqref="D158:J158">
    <cfRule type="containsText" dxfId="163" priority="164" operator="containsText" text="N.D.">
      <formula>NOT(ISERROR(SEARCH("N.D.",D158)))</formula>
    </cfRule>
  </conditionalFormatting>
  <conditionalFormatting sqref="K158">
    <cfRule type="containsText" dxfId="162" priority="163" operator="containsText" text="N.D.">
      <formula>NOT(ISERROR(SEARCH("N.D.",K158)))</formula>
    </cfRule>
  </conditionalFormatting>
  <conditionalFormatting sqref="F159:J163">
    <cfRule type="containsText" dxfId="161" priority="162" operator="containsText" text="N.D.">
      <formula>NOT(ISERROR(SEARCH("N.D.",F159)))</formula>
    </cfRule>
  </conditionalFormatting>
  <conditionalFormatting sqref="K159:K163">
    <cfRule type="containsText" dxfId="160" priority="161" operator="containsText" text="N.D.">
      <formula>NOT(ISERROR(SEARCH("N.D.",K159)))</formula>
    </cfRule>
  </conditionalFormatting>
  <conditionalFormatting sqref="D159:E163">
    <cfRule type="containsText" dxfId="159" priority="160" operator="containsText" text="N.D.">
      <formula>NOT(ISERROR(SEARCH("N.D.",D159)))</formula>
    </cfRule>
  </conditionalFormatting>
  <conditionalFormatting sqref="D164:J164">
    <cfRule type="containsText" dxfId="158" priority="159" operator="containsText" text="N.D.">
      <formula>NOT(ISERROR(SEARCH("N.D.",D164)))</formula>
    </cfRule>
  </conditionalFormatting>
  <conditionalFormatting sqref="K164">
    <cfRule type="containsText" dxfId="157" priority="158" operator="containsText" text="N.D.">
      <formula>NOT(ISERROR(SEARCH("N.D.",K164)))</formula>
    </cfRule>
  </conditionalFormatting>
  <conditionalFormatting sqref="F165:J169">
    <cfRule type="containsText" dxfId="156" priority="157" operator="containsText" text="N.D.">
      <formula>NOT(ISERROR(SEARCH("N.D.",F165)))</formula>
    </cfRule>
  </conditionalFormatting>
  <conditionalFormatting sqref="K165:K169">
    <cfRule type="containsText" dxfId="155" priority="156" operator="containsText" text="N.D.">
      <formula>NOT(ISERROR(SEARCH("N.D.",K165)))</formula>
    </cfRule>
  </conditionalFormatting>
  <conditionalFormatting sqref="D165:E169">
    <cfRule type="containsText" dxfId="154" priority="155" operator="containsText" text="N.D.">
      <formula>NOT(ISERROR(SEARCH("N.D.",D165)))</formula>
    </cfRule>
  </conditionalFormatting>
  <conditionalFormatting sqref="D170:J170">
    <cfRule type="containsText" dxfId="153" priority="154" operator="containsText" text="N.D.">
      <formula>NOT(ISERROR(SEARCH("N.D.",D170)))</formula>
    </cfRule>
  </conditionalFormatting>
  <conditionalFormatting sqref="K170">
    <cfRule type="containsText" dxfId="152" priority="153" operator="containsText" text="N.D.">
      <formula>NOT(ISERROR(SEARCH("N.D.",K170)))</formula>
    </cfRule>
  </conditionalFormatting>
  <conditionalFormatting sqref="F171:J175">
    <cfRule type="containsText" dxfId="151" priority="152" operator="containsText" text="N.D.">
      <formula>NOT(ISERROR(SEARCH("N.D.",F171)))</formula>
    </cfRule>
  </conditionalFormatting>
  <conditionalFormatting sqref="K171:K175">
    <cfRule type="containsText" dxfId="150" priority="151" operator="containsText" text="N.D.">
      <formula>NOT(ISERROR(SEARCH("N.D.",K171)))</formula>
    </cfRule>
  </conditionalFormatting>
  <conditionalFormatting sqref="D171:E175">
    <cfRule type="containsText" dxfId="149" priority="150" operator="containsText" text="N.D.">
      <formula>NOT(ISERROR(SEARCH("N.D.",D171)))</formula>
    </cfRule>
  </conditionalFormatting>
  <conditionalFormatting sqref="D176:J176">
    <cfRule type="containsText" dxfId="148" priority="149" operator="containsText" text="N.D.">
      <formula>NOT(ISERROR(SEARCH("N.D.",D176)))</formula>
    </cfRule>
  </conditionalFormatting>
  <conditionalFormatting sqref="K176">
    <cfRule type="containsText" dxfId="147" priority="148" operator="containsText" text="N.D.">
      <formula>NOT(ISERROR(SEARCH("N.D.",K176)))</formula>
    </cfRule>
  </conditionalFormatting>
  <conditionalFormatting sqref="F177:J181">
    <cfRule type="containsText" dxfId="146" priority="147" operator="containsText" text="N.D.">
      <formula>NOT(ISERROR(SEARCH("N.D.",F177)))</formula>
    </cfRule>
  </conditionalFormatting>
  <conditionalFormatting sqref="K177:K181">
    <cfRule type="containsText" dxfId="145" priority="146" operator="containsText" text="N.D.">
      <formula>NOT(ISERROR(SEARCH("N.D.",K177)))</formula>
    </cfRule>
  </conditionalFormatting>
  <conditionalFormatting sqref="D177:E181">
    <cfRule type="containsText" dxfId="144" priority="145" operator="containsText" text="N.D.">
      <formula>NOT(ISERROR(SEARCH("N.D.",D177)))</formula>
    </cfRule>
  </conditionalFormatting>
  <conditionalFormatting sqref="D182:J182">
    <cfRule type="containsText" dxfId="143" priority="144" operator="containsText" text="N.D.">
      <formula>NOT(ISERROR(SEARCH("N.D.",D182)))</formula>
    </cfRule>
  </conditionalFormatting>
  <conditionalFormatting sqref="K182">
    <cfRule type="containsText" dxfId="142" priority="143" operator="containsText" text="N.D.">
      <formula>NOT(ISERROR(SEARCH("N.D.",K182)))</formula>
    </cfRule>
  </conditionalFormatting>
  <conditionalFormatting sqref="F183:J187">
    <cfRule type="containsText" dxfId="141" priority="142" operator="containsText" text="N.D.">
      <formula>NOT(ISERROR(SEARCH("N.D.",F183)))</formula>
    </cfRule>
  </conditionalFormatting>
  <conditionalFormatting sqref="K183:K187">
    <cfRule type="containsText" dxfId="140" priority="141" operator="containsText" text="N.D.">
      <formula>NOT(ISERROR(SEARCH("N.D.",K183)))</formula>
    </cfRule>
  </conditionalFormatting>
  <conditionalFormatting sqref="D183:E187">
    <cfRule type="containsText" dxfId="139" priority="140" operator="containsText" text="N.D.">
      <formula>NOT(ISERROR(SEARCH("N.D.",D183)))</formula>
    </cfRule>
  </conditionalFormatting>
  <conditionalFormatting sqref="D188:J188">
    <cfRule type="containsText" dxfId="138" priority="139" operator="containsText" text="N.D.">
      <formula>NOT(ISERROR(SEARCH("N.D.",D188)))</formula>
    </cfRule>
  </conditionalFormatting>
  <conditionalFormatting sqref="K188">
    <cfRule type="containsText" dxfId="137" priority="138" operator="containsText" text="N.D.">
      <formula>NOT(ISERROR(SEARCH("N.D.",K188)))</formula>
    </cfRule>
  </conditionalFormatting>
  <conditionalFormatting sqref="F189:J193">
    <cfRule type="containsText" dxfId="136" priority="137" operator="containsText" text="N.D.">
      <formula>NOT(ISERROR(SEARCH("N.D.",F189)))</formula>
    </cfRule>
  </conditionalFormatting>
  <conditionalFormatting sqref="K189:K193">
    <cfRule type="containsText" dxfId="135" priority="136" operator="containsText" text="N.D.">
      <formula>NOT(ISERROR(SEARCH("N.D.",K189)))</formula>
    </cfRule>
  </conditionalFormatting>
  <conditionalFormatting sqref="D189:E193">
    <cfRule type="containsText" dxfId="134" priority="135" operator="containsText" text="N.D.">
      <formula>NOT(ISERROR(SEARCH("N.D.",D189)))</formula>
    </cfRule>
  </conditionalFormatting>
  <conditionalFormatting sqref="D194:J194">
    <cfRule type="containsText" dxfId="133" priority="134" operator="containsText" text="N.D.">
      <formula>NOT(ISERROR(SEARCH("N.D.",D194)))</formula>
    </cfRule>
  </conditionalFormatting>
  <conditionalFormatting sqref="K194">
    <cfRule type="containsText" dxfId="132" priority="133" operator="containsText" text="N.D.">
      <formula>NOT(ISERROR(SEARCH("N.D.",K194)))</formula>
    </cfRule>
  </conditionalFormatting>
  <conditionalFormatting sqref="F195:J199">
    <cfRule type="containsText" dxfId="131" priority="132" operator="containsText" text="N.D.">
      <formula>NOT(ISERROR(SEARCH("N.D.",F195)))</formula>
    </cfRule>
  </conditionalFormatting>
  <conditionalFormatting sqref="K195:K199">
    <cfRule type="containsText" dxfId="130" priority="131" operator="containsText" text="N.D.">
      <formula>NOT(ISERROR(SEARCH("N.D.",K195)))</formula>
    </cfRule>
  </conditionalFormatting>
  <conditionalFormatting sqref="D195:E199">
    <cfRule type="containsText" dxfId="129" priority="130" operator="containsText" text="N.D.">
      <formula>NOT(ISERROR(SEARCH("N.D.",D195)))</formula>
    </cfRule>
  </conditionalFormatting>
  <conditionalFormatting sqref="D200:J200">
    <cfRule type="containsText" dxfId="128" priority="129" operator="containsText" text="N.D.">
      <formula>NOT(ISERROR(SEARCH("N.D.",D200)))</formula>
    </cfRule>
  </conditionalFormatting>
  <conditionalFormatting sqref="K200">
    <cfRule type="containsText" dxfId="127" priority="128" operator="containsText" text="N.D.">
      <formula>NOT(ISERROR(SEARCH("N.D.",K200)))</formula>
    </cfRule>
  </conditionalFormatting>
  <conditionalFormatting sqref="F201:J205">
    <cfRule type="containsText" dxfId="126" priority="127" operator="containsText" text="N.D.">
      <formula>NOT(ISERROR(SEARCH("N.D.",F201)))</formula>
    </cfRule>
  </conditionalFormatting>
  <conditionalFormatting sqref="K201:K205">
    <cfRule type="containsText" dxfId="125" priority="126" operator="containsText" text="N.D.">
      <formula>NOT(ISERROR(SEARCH("N.D.",K201)))</formula>
    </cfRule>
  </conditionalFormatting>
  <conditionalFormatting sqref="D201:E205">
    <cfRule type="containsText" dxfId="124" priority="125" operator="containsText" text="N.D.">
      <formula>NOT(ISERROR(SEARCH("N.D.",D201)))</formula>
    </cfRule>
  </conditionalFormatting>
  <conditionalFormatting sqref="D206:J206">
    <cfRule type="containsText" dxfId="123" priority="124" operator="containsText" text="N.D.">
      <formula>NOT(ISERROR(SEARCH("N.D.",D206)))</formula>
    </cfRule>
  </conditionalFormatting>
  <conditionalFormatting sqref="K206">
    <cfRule type="containsText" dxfId="122" priority="123" operator="containsText" text="N.D.">
      <formula>NOT(ISERROR(SEARCH("N.D.",K206)))</formula>
    </cfRule>
  </conditionalFormatting>
  <conditionalFormatting sqref="F207:J211">
    <cfRule type="containsText" dxfId="121" priority="122" operator="containsText" text="N.D.">
      <formula>NOT(ISERROR(SEARCH("N.D.",F207)))</formula>
    </cfRule>
  </conditionalFormatting>
  <conditionalFormatting sqref="K207:K211">
    <cfRule type="containsText" dxfId="120" priority="121" operator="containsText" text="N.D.">
      <formula>NOT(ISERROR(SEARCH("N.D.",K207)))</formula>
    </cfRule>
  </conditionalFormatting>
  <conditionalFormatting sqref="D207:E211">
    <cfRule type="containsText" dxfId="119" priority="120" operator="containsText" text="N.D.">
      <formula>NOT(ISERROR(SEARCH("N.D.",D207)))</formula>
    </cfRule>
  </conditionalFormatting>
  <conditionalFormatting sqref="D212:J212">
    <cfRule type="containsText" dxfId="118" priority="119" operator="containsText" text="N.D.">
      <formula>NOT(ISERROR(SEARCH("N.D.",D212)))</formula>
    </cfRule>
  </conditionalFormatting>
  <conditionalFormatting sqref="K212">
    <cfRule type="containsText" dxfId="117" priority="118" operator="containsText" text="N.D.">
      <formula>NOT(ISERROR(SEARCH("N.D.",K212)))</formula>
    </cfRule>
  </conditionalFormatting>
  <conditionalFormatting sqref="F213:J217">
    <cfRule type="containsText" dxfId="116" priority="117" operator="containsText" text="N.D.">
      <formula>NOT(ISERROR(SEARCH("N.D.",F213)))</formula>
    </cfRule>
  </conditionalFormatting>
  <conditionalFormatting sqref="K213:K217">
    <cfRule type="containsText" dxfId="115" priority="116" operator="containsText" text="N.D.">
      <formula>NOT(ISERROR(SEARCH("N.D.",K213)))</formula>
    </cfRule>
  </conditionalFormatting>
  <conditionalFormatting sqref="D213:E217">
    <cfRule type="containsText" dxfId="114" priority="115" operator="containsText" text="N.D.">
      <formula>NOT(ISERROR(SEARCH("N.D.",D213)))</formula>
    </cfRule>
  </conditionalFormatting>
  <conditionalFormatting sqref="D218:J218">
    <cfRule type="containsText" dxfId="113" priority="114" operator="containsText" text="N.D.">
      <formula>NOT(ISERROR(SEARCH("N.D.",D218)))</formula>
    </cfRule>
  </conditionalFormatting>
  <conditionalFormatting sqref="K218">
    <cfRule type="containsText" dxfId="112" priority="113" operator="containsText" text="N.D.">
      <formula>NOT(ISERROR(SEARCH("N.D.",K218)))</formula>
    </cfRule>
  </conditionalFormatting>
  <conditionalFormatting sqref="F219:J223">
    <cfRule type="containsText" dxfId="111" priority="112" operator="containsText" text="N.D.">
      <formula>NOT(ISERROR(SEARCH("N.D.",F219)))</formula>
    </cfRule>
  </conditionalFormatting>
  <conditionalFormatting sqref="K219:K223">
    <cfRule type="containsText" dxfId="110" priority="111" operator="containsText" text="N.D.">
      <formula>NOT(ISERROR(SEARCH("N.D.",K219)))</formula>
    </cfRule>
  </conditionalFormatting>
  <conditionalFormatting sqref="D219:E223">
    <cfRule type="containsText" dxfId="109" priority="110" operator="containsText" text="N.D.">
      <formula>NOT(ISERROR(SEARCH("N.D.",D219)))</formula>
    </cfRule>
  </conditionalFormatting>
  <conditionalFormatting sqref="D224:J224">
    <cfRule type="containsText" dxfId="108" priority="109" operator="containsText" text="N.D.">
      <formula>NOT(ISERROR(SEARCH("N.D.",D224)))</formula>
    </cfRule>
  </conditionalFormatting>
  <conditionalFormatting sqref="K224">
    <cfRule type="containsText" dxfId="107" priority="108" operator="containsText" text="N.D.">
      <formula>NOT(ISERROR(SEARCH("N.D.",K224)))</formula>
    </cfRule>
  </conditionalFormatting>
  <conditionalFormatting sqref="F225:J229">
    <cfRule type="containsText" dxfId="106" priority="107" operator="containsText" text="N.D.">
      <formula>NOT(ISERROR(SEARCH("N.D.",F225)))</formula>
    </cfRule>
  </conditionalFormatting>
  <conditionalFormatting sqref="K225:K229">
    <cfRule type="containsText" dxfId="105" priority="106" operator="containsText" text="N.D.">
      <formula>NOT(ISERROR(SEARCH("N.D.",K225)))</formula>
    </cfRule>
  </conditionalFormatting>
  <conditionalFormatting sqref="D225:E229">
    <cfRule type="containsText" dxfId="104" priority="105" operator="containsText" text="N.D.">
      <formula>NOT(ISERROR(SEARCH("N.D.",D225)))</formula>
    </cfRule>
  </conditionalFormatting>
  <conditionalFormatting sqref="D230:J230">
    <cfRule type="containsText" dxfId="103" priority="104" operator="containsText" text="N.D.">
      <formula>NOT(ISERROR(SEARCH("N.D.",D230)))</formula>
    </cfRule>
  </conditionalFormatting>
  <conditionalFormatting sqref="K230">
    <cfRule type="containsText" dxfId="102" priority="103" operator="containsText" text="N.D.">
      <formula>NOT(ISERROR(SEARCH("N.D.",K230)))</formula>
    </cfRule>
  </conditionalFormatting>
  <conditionalFormatting sqref="F231:J235">
    <cfRule type="containsText" dxfId="101" priority="102" operator="containsText" text="N.D.">
      <formula>NOT(ISERROR(SEARCH("N.D.",F231)))</formula>
    </cfRule>
  </conditionalFormatting>
  <conditionalFormatting sqref="K231:K235">
    <cfRule type="containsText" dxfId="100" priority="101" operator="containsText" text="N.D.">
      <formula>NOT(ISERROR(SEARCH("N.D.",K231)))</formula>
    </cfRule>
  </conditionalFormatting>
  <conditionalFormatting sqref="D231:E235">
    <cfRule type="containsText" dxfId="99" priority="100" operator="containsText" text="N.D.">
      <formula>NOT(ISERROR(SEARCH("N.D.",D231)))</formula>
    </cfRule>
  </conditionalFormatting>
  <conditionalFormatting sqref="D236:J236">
    <cfRule type="containsText" dxfId="98" priority="99" operator="containsText" text="N.D.">
      <formula>NOT(ISERROR(SEARCH("N.D.",D236)))</formula>
    </cfRule>
  </conditionalFormatting>
  <conditionalFormatting sqref="K236">
    <cfRule type="containsText" dxfId="97" priority="98" operator="containsText" text="N.D.">
      <formula>NOT(ISERROR(SEARCH("N.D.",K236)))</formula>
    </cfRule>
  </conditionalFormatting>
  <conditionalFormatting sqref="F237:J241">
    <cfRule type="containsText" dxfId="96" priority="97" operator="containsText" text="N.D.">
      <formula>NOT(ISERROR(SEARCH("N.D.",F237)))</formula>
    </cfRule>
  </conditionalFormatting>
  <conditionalFormatting sqref="K237:K241">
    <cfRule type="containsText" dxfId="95" priority="96" operator="containsText" text="N.D.">
      <formula>NOT(ISERROR(SEARCH("N.D.",K237)))</formula>
    </cfRule>
  </conditionalFormatting>
  <conditionalFormatting sqref="D237:E241">
    <cfRule type="containsText" dxfId="94" priority="95" operator="containsText" text="N.D.">
      <formula>NOT(ISERROR(SEARCH("N.D.",D237)))</formula>
    </cfRule>
  </conditionalFormatting>
  <conditionalFormatting sqref="D242:J242">
    <cfRule type="containsText" dxfId="93" priority="94" operator="containsText" text="N.D.">
      <formula>NOT(ISERROR(SEARCH("N.D.",D242)))</formula>
    </cfRule>
  </conditionalFormatting>
  <conditionalFormatting sqref="K242">
    <cfRule type="containsText" dxfId="92" priority="93" operator="containsText" text="N.D.">
      <formula>NOT(ISERROR(SEARCH("N.D.",K242)))</formula>
    </cfRule>
  </conditionalFormatting>
  <conditionalFormatting sqref="F243:J247">
    <cfRule type="containsText" dxfId="91" priority="92" operator="containsText" text="N.D.">
      <formula>NOT(ISERROR(SEARCH("N.D.",F243)))</formula>
    </cfRule>
  </conditionalFormatting>
  <conditionalFormatting sqref="K243:K247">
    <cfRule type="containsText" dxfId="90" priority="91" operator="containsText" text="N.D.">
      <formula>NOT(ISERROR(SEARCH("N.D.",K243)))</formula>
    </cfRule>
  </conditionalFormatting>
  <conditionalFormatting sqref="D243:E247">
    <cfRule type="containsText" dxfId="89" priority="90" operator="containsText" text="N.D.">
      <formula>NOT(ISERROR(SEARCH("N.D.",D243)))</formula>
    </cfRule>
  </conditionalFormatting>
  <conditionalFormatting sqref="D248:J248">
    <cfRule type="containsText" dxfId="88" priority="89" operator="containsText" text="N.D.">
      <formula>NOT(ISERROR(SEARCH("N.D.",D248)))</formula>
    </cfRule>
  </conditionalFormatting>
  <conditionalFormatting sqref="K248">
    <cfRule type="containsText" dxfId="87" priority="88" operator="containsText" text="N.D.">
      <formula>NOT(ISERROR(SEARCH("N.D.",K248)))</formula>
    </cfRule>
  </conditionalFormatting>
  <conditionalFormatting sqref="F249:J253">
    <cfRule type="containsText" dxfId="86" priority="87" operator="containsText" text="N.D.">
      <formula>NOT(ISERROR(SEARCH("N.D.",F249)))</formula>
    </cfRule>
  </conditionalFormatting>
  <conditionalFormatting sqref="K249:K253">
    <cfRule type="containsText" dxfId="85" priority="86" operator="containsText" text="N.D.">
      <formula>NOT(ISERROR(SEARCH("N.D.",K249)))</formula>
    </cfRule>
  </conditionalFormatting>
  <conditionalFormatting sqref="D249:E253">
    <cfRule type="containsText" dxfId="84" priority="85" operator="containsText" text="N.D.">
      <formula>NOT(ISERROR(SEARCH("N.D.",D249)))</formula>
    </cfRule>
  </conditionalFormatting>
  <conditionalFormatting sqref="D254:J254">
    <cfRule type="containsText" dxfId="83" priority="84" operator="containsText" text="N.D.">
      <formula>NOT(ISERROR(SEARCH("N.D.",D254)))</formula>
    </cfRule>
  </conditionalFormatting>
  <conditionalFormatting sqref="K254">
    <cfRule type="containsText" dxfId="82" priority="83" operator="containsText" text="N.D.">
      <formula>NOT(ISERROR(SEARCH("N.D.",K254)))</formula>
    </cfRule>
  </conditionalFormatting>
  <conditionalFormatting sqref="F255:J259">
    <cfRule type="containsText" dxfId="81" priority="82" operator="containsText" text="N.D.">
      <formula>NOT(ISERROR(SEARCH("N.D.",F255)))</formula>
    </cfRule>
  </conditionalFormatting>
  <conditionalFormatting sqref="K255:K259">
    <cfRule type="containsText" dxfId="80" priority="81" operator="containsText" text="N.D.">
      <formula>NOT(ISERROR(SEARCH("N.D.",K255)))</formula>
    </cfRule>
  </conditionalFormatting>
  <conditionalFormatting sqref="D255:E259">
    <cfRule type="containsText" dxfId="79" priority="80" operator="containsText" text="N.D.">
      <formula>NOT(ISERROR(SEARCH("N.D.",D255)))</formula>
    </cfRule>
  </conditionalFormatting>
  <conditionalFormatting sqref="D260:J260">
    <cfRule type="containsText" dxfId="78" priority="79" operator="containsText" text="N.D.">
      <formula>NOT(ISERROR(SEARCH("N.D.",D260)))</formula>
    </cfRule>
  </conditionalFormatting>
  <conditionalFormatting sqref="K260">
    <cfRule type="containsText" dxfId="77" priority="78" operator="containsText" text="N.D.">
      <formula>NOT(ISERROR(SEARCH("N.D.",K260)))</formula>
    </cfRule>
  </conditionalFormatting>
  <conditionalFormatting sqref="F261:J265">
    <cfRule type="containsText" dxfId="76" priority="77" operator="containsText" text="N.D.">
      <formula>NOT(ISERROR(SEARCH("N.D.",F261)))</formula>
    </cfRule>
  </conditionalFormatting>
  <conditionalFormatting sqref="K261:K265">
    <cfRule type="containsText" dxfId="75" priority="76" operator="containsText" text="N.D.">
      <formula>NOT(ISERROR(SEARCH("N.D.",K261)))</formula>
    </cfRule>
  </conditionalFormatting>
  <conditionalFormatting sqref="D261:E265">
    <cfRule type="containsText" dxfId="74" priority="75" operator="containsText" text="N.D.">
      <formula>NOT(ISERROR(SEARCH("N.D.",D261)))</formula>
    </cfRule>
  </conditionalFormatting>
  <conditionalFormatting sqref="D266:J266">
    <cfRule type="containsText" dxfId="73" priority="74" operator="containsText" text="N.D.">
      <formula>NOT(ISERROR(SEARCH("N.D.",D266)))</formula>
    </cfRule>
  </conditionalFormatting>
  <conditionalFormatting sqref="K266">
    <cfRule type="containsText" dxfId="72" priority="73" operator="containsText" text="N.D.">
      <formula>NOT(ISERROR(SEARCH("N.D.",K266)))</formula>
    </cfRule>
  </conditionalFormatting>
  <conditionalFormatting sqref="F267:J271">
    <cfRule type="containsText" dxfId="71" priority="72" operator="containsText" text="N.D.">
      <formula>NOT(ISERROR(SEARCH("N.D.",F267)))</formula>
    </cfRule>
  </conditionalFormatting>
  <conditionalFormatting sqref="K267:K271">
    <cfRule type="containsText" dxfId="70" priority="71" operator="containsText" text="N.D.">
      <formula>NOT(ISERROR(SEARCH("N.D.",K267)))</formula>
    </cfRule>
  </conditionalFormatting>
  <conditionalFormatting sqref="D267:E271">
    <cfRule type="containsText" dxfId="69" priority="70" operator="containsText" text="N.D.">
      <formula>NOT(ISERROR(SEARCH("N.D.",D267)))</formula>
    </cfRule>
  </conditionalFormatting>
  <conditionalFormatting sqref="D272:J272">
    <cfRule type="containsText" dxfId="68" priority="69" operator="containsText" text="N.D.">
      <formula>NOT(ISERROR(SEARCH("N.D.",D272)))</formula>
    </cfRule>
  </conditionalFormatting>
  <conditionalFormatting sqref="K272">
    <cfRule type="containsText" dxfId="67" priority="68" operator="containsText" text="N.D.">
      <formula>NOT(ISERROR(SEARCH("N.D.",K272)))</formula>
    </cfRule>
  </conditionalFormatting>
  <conditionalFormatting sqref="F273:J277">
    <cfRule type="containsText" dxfId="66" priority="67" operator="containsText" text="N.D.">
      <formula>NOT(ISERROR(SEARCH("N.D.",F273)))</formula>
    </cfRule>
  </conditionalFormatting>
  <conditionalFormatting sqref="K273:K277">
    <cfRule type="containsText" dxfId="65" priority="66" operator="containsText" text="N.D.">
      <formula>NOT(ISERROR(SEARCH("N.D.",K273)))</formula>
    </cfRule>
  </conditionalFormatting>
  <conditionalFormatting sqref="D273:E277">
    <cfRule type="containsText" dxfId="64" priority="65" operator="containsText" text="N.D.">
      <formula>NOT(ISERROR(SEARCH("N.D.",D273)))</formula>
    </cfRule>
  </conditionalFormatting>
  <conditionalFormatting sqref="D278:J278">
    <cfRule type="containsText" dxfId="63" priority="64" operator="containsText" text="N.D.">
      <formula>NOT(ISERROR(SEARCH("N.D.",D278)))</formula>
    </cfRule>
  </conditionalFormatting>
  <conditionalFormatting sqref="K278">
    <cfRule type="containsText" dxfId="62" priority="63" operator="containsText" text="N.D.">
      <formula>NOT(ISERROR(SEARCH("N.D.",K278)))</formula>
    </cfRule>
  </conditionalFormatting>
  <conditionalFormatting sqref="F279:J283">
    <cfRule type="containsText" dxfId="61" priority="62" operator="containsText" text="N.D.">
      <formula>NOT(ISERROR(SEARCH("N.D.",F279)))</formula>
    </cfRule>
  </conditionalFormatting>
  <conditionalFormatting sqref="K279:K283">
    <cfRule type="containsText" dxfId="60" priority="61" operator="containsText" text="N.D.">
      <formula>NOT(ISERROR(SEARCH("N.D.",K279)))</formula>
    </cfRule>
  </conditionalFormatting>
  <conditionalFormatting sqref="D279:E283">
    <cfRule type="containsText" dxfId="59" priority="60" operator="containsText" text="N.D.">
      <formula>NOT(ISERROR(SEARCH("N.D.",D279)))</formula>
    </cfRule>
  </conditionalFormatting>
  <conditionalFormatting sqref="D284:J284">
    <cfRule type="containsText" dxfId="58" priority="59" operator="containsText" text="N.D.">
      <formula>NOT(ISERROR(SEARCH("N.D.",D284)))</formula>
    </cfRule>
  </conditionalFormatting>
  <conditionalFormatting sqref="K284">
    <cfRule type="containsText" dxfId="57" priority="58" operator="containsText" text="N.D.">
      <formula>NOT(ISERROR(SEARCH("N.D.",K284)))</formula>
    </cfRule>
  </conditionalFormatting>
  <conditionalFormatting sqref="F285:J289">
    <cfRule type="containsText" dxfId="56" priority="57" operator="containsText" text="N.D.">
      <formula>NOT(ISERROR(SEARCH("N.D.",F285)))</formula>
    </cfRule>
  </conditionalFormatting>
  <conditionalFormatting sqref="K285:K289">
    <cfRule type="containsText" dxfId="55" priority="56" operator="containsText" text="N.D.">
      <formula>NOT(ISERROR(SEARCH("N.D.",K285)))</formula>
    </cfRule>
  </conditionalFormatting>
  <conditionalFormatting sqref="D285:E289">
    <cfRule type="containsText" dxfId="54" priority="55" operator="containsText" text="N.D.">
      <formula>NOT(ISERROR(SEARCH("N.D.",D285)))</formula>
    </cfRule>
  </conditionalFormatting>
  <conditionalFormatting sqref="D290:J290">
    <cfRule type="containsText" dxfId="53" priority="54" operator="containsText" text="N.D.">
      <formula>NOT(ISERROR(SEARCH("N.D.",D290)))</formula>
    </cfRule>
  </conditionalFormatting>
  <conditionalFormatting sqref="K290">
    <cfRule type="containsText" dxfId="52" priority="53" operator="containsText" text="N.D.">
      <formula>NOT(ISERROR(SEARCH("N.D.",K290)))</formula>
    </cfRule>
  </conditionalFormatting>
  <conditionalFormatting sqref="F291:J295">
    <cfRule type="containsText" dxfId="51" priority="52" operator="containsText" text="N.D.">
      <formula>NOT(ISERROR(SEARCH("N.D.",F291)))</formula>
    </cfRule>
  </conditionalFormatting>
  <conditionalFormatting sqref="K291:K295">
    <cfRule type="containsText" dxfId="50" priority="51" operator="containsText" text="N.D.">
      <formula>NOT(ISERROR(SEARCH("N.D.",K291)))</formula>
    </cfRule>
  </conditionalFormatting>
  <conditionalFormatting sqref="D291:E295">
    <cfRule type="containsText" dxfId="49" priority="50" operator="containsText" text="N.D.">
      <formula>NOT(ISERROR(SEARCH("N.D.",D291)))</formula>
    </cfRule>
  </conditionalFormatting>
  <conditionalFormatting sqref="D296:J296">
    <cfRule type="containsText" dxfId="48" priority="49" operator="containsText" text="N.D.">
      <formula>NOT(ISERROR(SEARCH("N.D.",D296)))</formula>
    </cfRule>
  </conditionalFormatting>
  <conditionalFormatting sqref="K296">
    <cfRule type="containsText" dxfId="47" priority="48" operator="containsText" text="N.D.">
      <formula>NOT(ISERROR(SEARCH("N.D.",K296)))</formula>
    </cfRule>
  </conditionalFormatting>
  <conditionalFormatting sqref="F297:J301">
    <cfRule type="containsText" dxfId="46" priority="47" operator="containsText" text="N.D.">
      <formula>NOT(ISERROR(SEARCH("N.D.",F297)))</formula>
    </cfRule>
  </conditionalFormatting>
  <conditionalFormatting sqref="K297:K301">
    <cfRule type="containsText" dxfId="45" priority="46" operator="containsText" text="N.D.">
      <formula>NOT(ISERROR(SEARCH("N.D.",K297)))</formula>
    </cfRule>
  </conditionalFormatting>
  <conditionalFormatting sqref="D297:E301">
    <cfRule type="containsText" dxfId="44" priority="45" operator="containsText" text="N.D.">
      <formula>NOT(ISERROR(SEARCH("N.D.",D297)))</formula>
    </cfRule>
  </conditionalFormatting>
  <conditionalFormatting sqref="D302:J302">
    <cfRule type="containsText" dxfId="43" priority="44" operator="containsText" text="N.D.">
      <formula>NOT(ISERROR(SEARCH("N.D.",D302)))</formula>
    </cfRule>
  </conditionalFormatting>
  <conditionalFormatting sqref="K302">
    <cfRule type="containsText" dxfId="42" priority="43" operator="containsText" text="N.D.">
      <formula>NOT(ISERROR(SEARCH("N.D.",K302)))</formula>
    </cfRule>
  </conditionalFormatting>
  <conditionalFormatting sqref="F303:J307">
    <cfRule type="containsText" dxfId="41" priority="42" operator="containsText" text="N.D.">
      <formula>NOT(ISERROR(SEARCH("N.D.",F303)))</formula>
    </cfRule>
  </conditionalFormatting>
  <conditionalFormatting sqref="K303:K307">
    <cfRule type="containsText" dxfId="40" priority="41" operator="containsText" text="N.D.">
      <formula>NOT(ISERROR(SEARCH("N.D.",K303)))</formula>
    </cfRule>
  </conditionalFormatting>
  <conditionalFormatting sqref="D303:E307">
    <cfRule type="containsText" dxfId="39" priority="40" operator="containsText" text="N.D.">
      <formula>NOT(ISERROR(SEARCH("N.D.",D303)))</formula>
    </cfRule>
  </conditionalFormatting>
  <conditionalFormatting sqref="D308:J308">
    <cfRule type="containsText" dxfId="38" priority="39" operator="containsText" text="N.D.">
      <formula>NOT(ISERROR(SEARCH("N.D.",D308)))</formula>
    </cfRule>
  </conditionalFormatting>
  <conditionalFormatting sqref="K308">
    <cfRule type="containsText" dxfId="37" priority="38" operator="containsText" text="N.D.">
      <formula>NOT(ISERROR(SEARCH("N.D.",K308)))</formula>
    </cfRule>
  </conditionalFormatting>
  <conditionalFormatting sqref="F309:J313">
    <cfRule type="containsText" dxfId="36" priority="37" operator="containsText" text="N.D.">
      <formula>NOT(ISERROR(SEARCH("N.D.",F309)))</formula>
    </cfRule>
  </conditionalFormatting>
  <conditionalFormatting sqref="K309:K313">
    <cfRule type="containsText" dxfId="35" priority="36" operator="containsText" text="N.D.">
      <formula>NOT(ISERROR(SEARCH("N.D.",K309)))</formula>
    </cfRule>
  </conditionalFormatting>
  <conditionalFormatting sqref="D309:E313">
    <cfRule type="containsText" dxfId="34" priority="35" operator="containsText" text="N.D.">
      <formula>NOT(ISERROR(SEARCH("N.D.",D309)))</formula>
    </cfRule>
  </conditionalFormatting>
  <conditionalFormatting sqref="D314:J314">
    <cfRule type="containsText" dxfId="33" priority="34" operator="containsText" text="N.D.">
      <formula>NOT(ISERROR(SEARCH("N.D.",D314)))</formula>
    </cfRule>
  </conditionalFormatting>
  <conditionalFormatting sqref="K314">
    <cfRule type="containsText" dxfId="32" priority="33" operator="containsText" text="N.D.">
      <formula>NOT(ISERROR(SEARCH("N.D.",K314)))</formula>
    </cfRule>
  </conditionalFormatting>
  <conditionalFormatting sqref="F315:J319">
    <cfRule type="containsText" dxfId="31" priority="32" operator="containsText" text="N.D.">
      <formula>NOT(ISERROR(SEARCH("N.D.",F315)))</formula>
    </cfRule>
  </conditionalFormatting>
  <conditionalFormatting sqref="K315:K319">
    <cfRule type="containsText" dxfId="30" priority="31" operator="containsText" text="N.D.">
      <formula>NOT(ISERROR(SEARCH("N.D.",K315)))</formula>
    </cfRule>
  </conditionalFormatting>
  <conditionalFormatting sqref="D315:E319">
    <cfRule type="containsText" dxfId="29" priority="30" operator="containsText" text="N.D.">
      <formula>NOT(ISERROR(SEARCH("N.D.",D315)))</formula>
    </cfRule>
  </conditionalFormatting>
  <conditionalFormatting sqref="D320:J320">
    <cfRule type="containsText" dxfId="28" priority="29" operator="containsText" text="N.D.">
      <formula>NOT(ISERROR(SEARCH("N.D.",D320)))</formula>
    </cfRule>
  </conditionalFormatting>
  <conditionalFormatting sqref="K320">
    <cfRule type="containsText" dxfId="27" priority="28" operator="containsText" text="N.D.">
      <formula>NOT(ISERROR(SEARCH("N.D.",K320)))</formula>
    </cfRule>
  </conditionalFormatting>
  <conditionalFormatting sqref="F321:J325">
    <cfRule type="containsText" dxfId="26" priority="27" operator="containsText" text="N.D.">
      <formula>NOT(ISERROR(SEARCH("N.D.",F321)))</formula>
    </cfRule>
  </conditionalFormatting>
  <conditionalFormatting sqref="K321:K325">
    <cfRule type="containsText" dxfId="25" priority="26" operator="containsText" text="N.D.">
      <formula>NOT(ISERROR(SEARCH("N.D.",K321)))</formula>
    </cfRule>
  </conditionalFormatting>
  <conditionalFormatting sqref="D321:E325">
    <cfRule type="containsText" dxfId="24" priority="25" operator="containsText" text="N.D.">
      <formula>NOT(ISERROR(SEARCH("N.D.",D321)))</formula>
    </cfRule>
  </conditionalFormatting>
  <conditionalFormatting sqref="D326:J326">
    <cfRule type="containsText" dxfId="23" priority="24" operator="containsText" text="N.D.">
      <formula>NOT(ISERROR(SEARCH("N.D.",D326)))</formula>
    </cfRule>
  </conditionalFormatting>
  <conditionalFormatting sqref="K326">
    <cfRule type="containsText" dxfId="22" priority="23" operator="containsText" text="N.D.">
      <formula>NOT(ISERROR(SEARCH("N.D.",K326)))</formula>
    </cfRule>
  </conditionalFormatting>
  <conditionalFormatting sqref="F327:J331">
    <cfRule type="containsText" dxfId="21" priority="22" operator="containsText" text="N.D.">
      <formula>NOT(ISERROR(SEARCH("N.D.",F327)))</formula>
    </cfRule>
  </conditionalFormatting>
  <conditionalFormatting sqref="K327:K331">
    <cfRule type="containsText" dxfId="20" priority="21" operator="containsText" text="N.D.">
      <formula>NOT(ISERROR(SEARCH("N.D.",K327)))</formula>
    </cfRule>
  </conditionalFormatting>
  <conditionalFormatting sqref="D327:E331">
    <cfRule type="containsText" dxfId="19" priority="20" operator="containsText" text="N.D.">
      <formula>NOT(ISERROR(SEARCH("N.D.",D327)))</formula>
    </cfRule>
  </conditionalFormatting>
  <conditionalFormatting sqref="D332:J332">
    <cfRule type="containsText" dxfId="18" priority="19" operator="containsText" text="N.D.">
      <formula>NOT(ISERROR(SEARCH("N.D.",D332)))</formula>
    </cfRule>
  </conditionalFormatting>
  <conditionalFormatting sqref="K332">
    <cfRule type="containsText" dxfId="17" priority="18" operator="containsText" text="N.D.">
      <formula>NOT(ISERROR(SEARCH("N.D.",K332)))</formula>
    </cfRule>
  </conditionalFormatting>
  <conditionalFormatting sqref="F333:J337">
    <cfRule type="containsText" dxfId="16" priority="17" operator="containsText" text="N.D.">
      <formula>NOT(ISERROR(SEARCH("N.D.",F333)))</formula>
    </cfRule>
  </conditionalFormatting>
  <conditionalFormatting sqref="K333:K337">
    <cfRule type="containsText" dxfId="15" priority="16" operator="containsText" text="N.D.">
      <formula>NOT(ISERROR(SEARCH("N.D.",K333)))</formula>
    </cfRule>
  </conditionalFormatting>
  <conditionalFormatting sqref="D333:E337">
    <cfRule type="containsText" dxfId="14" priority="15" operator="containsText" text="N.D.">
      <formula>NOT(ISERROR(SEARCH("N.D.",D333)))</formula>
    </cfRule>
  </conditionalFormatting>
  <conditionalFormatting sqref="D338:J338">
    <cfRule type="containsText" dxfId="13" priority="14" operator="containsText" text="N.D.">
      <formula>NOT(ISERROR(SEARCH("N.D.",D338)))</formula>
    </cfRule>
  </conditionalFormatting>
  <conditionalFormatting sqref="K338">
    <cfRule type="containsText" dxfId="12" priority="13" operator="containsText" text="N.D.">
      <formula>NOT(ISERROR(SEARCH("N.D.",K338)))</formula>
    </cfRule>
  </conditionalFormatting>
  <conditionalFormatting sqref="F339:J343">
    <cfRule type="containsText" dxfId="11" priority="12" operator="containsText" text="N.D.">
      <formula>NOT(ISERROR(SEARCH("N.D.",F339)))</formula>
    </cfRule>
  </conditionalFormatting>
  <conditionalFormatting sqref="K339:K343">
    <cfRule type="containsText" dxfId="10" priority="11" operator="containsText" text="N.D.">
      <formula>NOT(ISERROR(SEARCH("N.D.",K339)))</formula>
    </cfRule>
  </conditionalFormatting>
  <conditionalFormatting sqref="D339:E343">
    <cfRule type="containsText" dxfId="9" priority="10" operator="containsText" text="N.D.">
      <formula>NOT(ISERROR(SEARCH("N.D.",D339)))</formula>
    </cfRule>
  </conditionalFormatting>
  <conditionalFormatting sqref="D344:J344">
    <cfRule type="containsText" dxfId="8" priority="9" operator="containsText" text="N.D.">
      <formula>NOT(ISERROR(SEARCH("N.D.",D344)))</formula>
    </cfRule>
  </conditionalFormatting>
  <conditionalFormatting sqref="K344">
    <cfRule type="containsText" dxfId="7" priority="8" operator="containsText" text="N.D.">
      <formula>NOT(ISERROR(SEARCH("N.D.",K344)))</formula>
    </cfRule>
  </conditionalFormatting>
  <conditionalFormatting sqref="F345:J349">
    <cfRule type="containsText" dxfId="6" priority="7" operator="containsText" text="N.D.">
      <formula>NOT(ISERROR(SEARCH("N.D.",F345)))</formula>
    </cfRule>
  </conditionalFormatting>
  <conditionalFormatting sqref="K345:K349">
    <cfRule type="containsText" dxfId="5" priority="6" operator="containsText" text="N.D.">
      <formula>NOT(ISERROR(SEARCH("N.D.",K345)))</formula>
    </cfRule>
  </conditionalFormatting>
  <conditionalFormatting sqref="D345:E349">
    <cfRule type="containsText" dxfId="4" priority="5" operator="containsText" text="N.D.">
      <formula>NOT(ISERROR(SEARCH("N.D.",D345)))</formula>
    </cfRule>
  </conditionalFormatting>
  <conditionalFormatting sqref="F2:K349">
    <cfRule type="cellIs" dxfId="3" priority="2" operator="equal">
      <formula>0</formula>
    </cfRule>
    <cfRule type="expression" dxfId="2" priority="4">
      <formula>$D2="N.D."</formula>
    </cfRule>
  </conditionalFormatting>
  <conditionalFormatting sqref="D14:E14">
    <cfRule type="containsText" dxfId="1" priority="3" operator="containsText" text="N.D.">
      <formula>NOT(ISERROR(SEARCH("N.D.",D14)))</formula>
    </cfRule>
  </conditionalFormatting>
  <conditionalFormatting sqref="E2:E349">
    <cfRule type="cellIs" dxfId="0" priority="1" operator="equal">
      <formula>0</formula>
    </cfRule>
  </conditionalFormatting>
  <printOptions horizontalCentered="1" gridLines="1"/>
  <pageMargins left="0.39370078740157483" right="0.39370078740157483" top="0.98425196850393704" bottom="0.59055118110236227" header="0.31496062992125984" footer="0.31496062992125984"/>
  <pageSetup paperSize="9" scale="80" fitToHeight="0" orientation="portrait" r:id="rId1"/>
  <headerFooter alignWithMargins="0">
    <oddHeader>&amp;L&amp;G&amp;C
LAYOUT AND EQUIPMENT
EP XX BOQ FOUNDATIONS
KP XX-XXX to XX+XXX&amp;R&amp;G</oddHeader>
    <oddFooter>&amp;L&amp;F&amp;C&amp;D&amp;RPag &amp;P of &amp;N</oddFooter>
  </headerFooter>
  <rowBreaks count="8" manualBreakCount="8">
    <brk id="43" max="9" man="1"/>
    <brk id="85" max="9" man="1"/>
    <brk id="127" max="9" man="1"/>
    <brk id="169" max="9" man="1"/>
    <brk id="211" max="9" man="1"/>
    <brk id="253" max="9" man="1"/>
    <brk id="295" max="9" man="1"/>
    <brk id="337" max="9" man="1"/>
  </rowBreaks>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6">
    <tabColor theme="9" tint="0.39997558519241921"/>
    <pageSetUpPr fitToPage="1"/>
  </sheetPr>
  <dimension ref="A1:N1134"/>
  <sheetViews>
    <sheetView showZeros="0" zoomScale="70" zoomScaleNormal="70" workbookViewId="0">
      <pane ySplit="2" topLeftCell="A216" activePane="bottomLeft" state="frozen"/>
      <selection sqref="A1:A1048576"/>
      <selection pane="bottomLeft" activeCell="H230" sqref="H230"/>
    </sheetView>
  </sheetViews>
  <sheetFormatPr baseColWidth="10" defaultColWidth="11.44140625" defaultRowHeight="18"/>
  <cols>
    <col min="1" max="1" width="9.6640625" style="139" customWidth="1"/>
    <col min="2" max="2" width="8.33203125" style="172" customWidth="1"/>
    <col min="3" max="3" width="40.6640625" style="152" bestFit="1" customWidth="1"/>
    <col min="4" max="4" width="16.88671875" style="139" hidden="1" customWidth="1"/>
    <col min="5" max="5" width="73.5546875" style="153" customWidth="1"/>
    <col min="6" max="6" width="12.88671875" style="139" hidden="1" customWidth="1"/>
    <col min="7" max="7" width="11.44140625" style="149" customWidth="1"/>
    <col min="8" max="9" width="16.6640625" style="139" customWidth="1"/>
    <col min="10" max="10" width="16.6640625" style="136" customWidth="1"/>
    <col min="11" max="11" width="16.6640625" style="139" customWidth="1"/>
    <col min="12" max="13" width="16.6640625" style="136" customWidth="1"/>
    <col min="14" max="14" width="130.6640625" style="152" hidden="1" customWidth="1"/>
    <col min="15" max="16384" width="11.44140625" style="136"/>
  </cols>
  <sheetData>
    <row r="1" spans="1:14" ht="24" customHeight="1">
      <c r="A1" s="168"/>
      <c r="B1" s="173" t="s">
        <v>1508</v>
      </c>
      <c r="C1" s="150"/>
      <c r="E1" s="150"/>
      <c r="F1" s="166"/>
      <c r="N1" s="150"/>
    </row>
    <row r="2" spans="1:14" s="149" customFormat="1" ht="19.95" customHeight="1">
      <c r="A2" s="21" t="s">
        <v>1504</v>
      </c>
      <c r="B2" s="21" t="s">
        <v>1505</v>
      </c>
      <c r="C2" s="21" t="s">
        <v>1506</v>
      </c>
      <c r="D2" s="21" t="s">
        <v>1507</v>
      </c>
      <c r="E2" s="21" t="s">
        <v>590</v>
      </c>
      <c r="F2" s="21" t="s">
        <v>1512</v>
      </c>
      <c r="G2" s="21" t="s">
        <v>1513</v>
      </c>
      <c r="H2" s="60" t="str">
        <f>'HR Track 1'!A1</f>
        <v>TRACK 1</v>
      </c>
      <c r="I2" s="61" t="str">
        <f>'HR Track 2'!A1</f>
        <v>TRACK 2</v>
      </c>
      <c r="J2" s="62" t="str">
        <f>'HR Track 1 MOM'!A1</f>
        <v>TRACK 1 MOM</v>
      </c>
      <c r="K2" s="63" t="str">
        <f>'HR Track 4 MOM'!A1</f>
        <v>TRACK 4 MOM</v>
      </c>
      <c r="L2" s="64" t="str">
        <f>'HR Track 4 PMO'!A1</f>
        <v>TRACK 4 PMO</v>
      </c>
      <c r="M2" s="65" t="str">
        <f>'HR Track 6 PMO'!A1</f>
        <v>TRACK 6 PMO</v>
      </c>
      <c r="N2" s="21" t="s">
        <v>590</v>
      </c>
    </row>
    <row r="3" spans="1:14" s="137" customFormat="1" ht="32.1" customHeight="1">
      <c r="A3" s="855" t="s">
        <v>317</v>
      </c>
      <c r="B3" s="852" t="s">
        <v>2481</v>
      </c>
      <c r="C3" s="23" t="s">
        <v>673</v>
      </c>
      <c r="D3" s="26" t="s">
        <v>673</v>
      </c>
      <c r="E3" s="23" t="s">
        <v>1377</v>
      </c>
      <c r="F3" s="26" t="str">
        <f>F33</f>
        <v>DW6901</v>
      </c>
      <c r="G3" s="190">
        <f t="shared" ref="G3:G67" si="0">SUM(H3:M3)</f>
        <v>30</v>
      </c>
      <c r="H3" s="177">
        <f t="shared" ref="H3:H63" si="1">COUNTIF(Area_v1,$C3)</f>
        <v>7</v>
      </c>
      <c r="I3" s="178">
        <f t="shared" ref="I3:I63" si="2">COUNTIF(Area_v2,$C3)</f>
        <v>13</v>
      </c>
      <c r="J3" s="178">
        <f t="shared" ref="J3:J63" si="3">COUNTIF(Area_v1MOM,$C3)</f>
        <v>0</v>
      </c>
      <c r="K3" s="178">
        <f t="shared" ref="K3:K63" si="4">COUNTIF(Area_v4MOM,$C3)</f>
        <v>0</v>
      </c>
      <c r="L3" s="178">
        <f t="shared" ref="L3:L63" si="5">COUNTIF(Area_v4PMO,$C3)</f>
        <v>8</v>
      </c>
      <c r="M3" s="179">
        <f t="shared" ref="M3:M63" si="6">COUNTIF(Area_v6PMO,$C3)</f>
        <v>2</v>
      </c>
      <c r="N3" s="23" t="s">
        <v>1399</v>
      </c>
    </row>
    <row r="4" spans="1:14" ht="32.1" customHeight="1">
      <c r="A4" s="856"/>
      <c r="B4" s="853"/>
      <c r="C4" s="23" t="s">
        <v>688</v>
      </c>
      <c r="D4" s="26" t="s">
        <v>688</v>
      </c>
      <c r="E4" s="23" t="s">
        <v>1378</v>
      </c>
      <c r="F4" s="26" t="str">
        <f>F34</f>
        <v>DW6901</v>
      </c>
      <c r="G4" s="190">
        <f t="shared" si="0"/>
        <v>0</v>
      </c>
      <c r="H4" s="180">
        <f t="shared" si="1"/>
        <v>0</v>
      </c>
      <c r="I4" s="181">
        <f t="shared" si="2"/>
        <v>0</v>
      </c>
      <c r="J4" s="181">
        <f t="shared" si="3"/>
        <v>0</v>
      </c>
      <c r="K4" s="181">
        <f t="shared" si="4"/>
        <v>0</v>
      </c>
      <c r="L4" s="181">
        <f t="shared" si="5"/>
        <v>0</v>
      </c>
      <c r="M4" s="182">
        <f t="shared" si="6"/>
        <v>0</v>
      </c>
      <c r="N4" s="23" t="s">
        <v>1400</v>
      </c>
    </row>
    <row r="5" spans="1:14" ht="32.1" customHeight="1">
      <c r="A5" s="856"/>
      <c r="B5" s="853"/>
      <c r="C5" s="23" t="s">
        <v>674</v>
      </c>
      <c r="D5" s="26" t="s">
        <v>674</v>
      </c>
      <c r="E5" s="23" t="s">
        <v>1379</v>
      </c>
      <c r="F5" s="26" t="str">
        <f t="shared" ref="F5:F32" si="7">F35</f>
        <v>DW6901</v>
      </c>
      <c r="G5" s="190">
        <f t="shared" si="0"/>
        <v>50</v>
      </c>
      <c r="H5" s="180">
        <f t="shared" si="1"/>
        <v>5</v>
      </c>
      <c r="I5" s="181">
        <f t="shared" si="2"/>
        <v>33</v>
      </c>
      <c r="J5" s="181">
        <f t="shared" si="3"/>
        <v>0</v>
      </c>
      <c r="K5" s="181">
        <f t="shared" si="4"/>
        <v>0</v>
      </c>
      <c r="L5" s="181">
        <f t="shared" si="5"/>
        <v>5</v>
      </c>
      <c r="M5" s="182">
        <f t="shared" si="6"/>
        <v>7</v>
      </c>
      <c r="N5" s="23" t="s">
        <v>1401</v>
      </c>
    </row>
    <row r="6" spans="1:14" ht="32.1" customHeight="1">
      <c r="A6" s="856"/>
      <c r="B6" s="853"/>
      <c r="C6" s="23" t="s">
        <v>687</v>
      </c>
      <c r="D6" s="26" t="s">
        <v>687</v>
      </c>
      <c r="E6" s="23" t="s">
        <v>1380</v>
      </c>
      <c r="F6" s="26" t="str">
        <f t="shared" si="7"/>
        <v>DW6901</v>
      </c>
      <c r="G6" s="190">
        <f t="shared" si="0"/>
        <v>0</v>
      </c>
      <c r="H6" s="180">
        <f t="shared" si="1"/>
        <v>0</v>
      </c>
      <c r="I6" s="181">
        <f t="shared" si="2"/>
        <v>0</v>
      </c>
      <c r="J6" s="181">
        <f t="shared" si="3"/>
        <v>0</v>
      </c>
      <c r="K6" s="181">
        <f t="shared" si="4"/>
        <v>0</v>
      </c>
      <c r="L6" s="181">
        <f t="shared" si="5"/>
        <v>0</v>
      </c>
      <c r="M6" s="182">
        <f t="shared" si="6"/>
        <v>0</v>
      </c>
      <c r="N6" s="23" t="s">
        <v>1402</v>
      </c>
    </row>
    <row r="7" spans="1:14" ht="32.1" customHeight="1">
      <c r="A7" s="856"/>
      <c r="B7" s="853"/>
      <c r="C7" s="23" t="s">
        <v>678</v>
      </c>
      <c r="D7" s="26" t="s">
        <v>678</v>
      </c>
      <c r="E7" s="23" t="s">
        <v>1381</v>
      </c>
      <c r="F7" s="26" t="str">
        <f t="shared" si="7"/>
        <v>DW6901</v>
      </c>
      <c r="G7" s="190">
        <f t="shared" si="0"/>
        <v>12</v>
      </c>
      <c r="H7" s="180">
        <f t="shared" si="1"/>
        <v>1</v>
      </c>
      <c r="I7" s="181">
        <f t="shared" si="2"/>
        <v>5</v>
      </c>
      <c r="J7" s="181">
        <f t="shared" si="3"/>
        <v>0</v>
      </c>
      <c r="K7" s="181">
        <f t="shared" si="4"/>
        <v>0</v>
      </c>
      <c r="L7" s="181">
        <f t="shared" si="5"/>
        <v>3</v>
      </c>
      <c r="M7" s="182">
        <f t="shared" si="6"/>
        <v>3</v>
      </c>
      <c r="N7" s="23" t="s">
        <v>1403</v>
      </c>
    </row>
    <row r="8" spans="1:14" ht="32.1" customHeight="1">
      <c r="A8" s="856"/>
      <c r="B8" s="853"/>
      <c r="C8" s="23" t="s">
        <v>689</v>
      </c>
      <c r="D8" s="26" t="s">
        <v>689</v>
      </c>
      <c r="E8" s="23" t="s">
        <v>1382</v>
      </c>
      <c r="F8" s="26" t="str">
        <f t="shared" si="7"/>
        <v>DW6901</v>
      </c>
      <c r="G8" s="190">
        <f t="shared" si="0"/>
        <v>0</v>
      </c>
      <c r="H8" s="180">
        <f t="shared" si="1"/>
        <v>0</v>
      </c>
      <c r="I8" s="181">
        <f t="shared" si="2"/>
        <v>0</v>
      </c>
      <c r="J8" s="181">
        <f t="shared" si="3"/>
        <v>0</v>
      </c>
      <c r="K8" s="181">
        <f t="shared" si="4"/>
        <v>0</v>
      </c>
      <c r="L8" s="181">
        <f t="shared" si="5"/>
        <v>0</v>
      </c>
      <c r="M8" s="182">
        <f t="shared" si="6"/>
        <v>0</v>
      </c>
      <c r="N8" s="23" t="s">
        <v>1404</v>
      </c>
    </row>
    <row r="9" spans="1:14" ht="32.1" customHeight="1">
      <c r="A9" s="856"/>
      <c r="B9" s="853"/>
      <c r="C9" s="23" t="s">
        <v>677</v>
      </c>
      <c r="D9" s="26" t="s">
        <v>677</v>
      </c>
      <c r="E9" s="23" t="s">
        <v>1383</v>
      </c>
      <c r="F9" s="26" t="str">
        <f t="shared" si="7"/>
        <v>DW6901</v>
      </c>
      <c r="G9" s="190">
        <f t="shared" si="0"/>
        <v>11</v>
      </c>
      <c r="H9" s="180">
        <f t="shared" si="1"/>
        <v>2</v>
      </c>
      <c r="I9" s="181">
        <f t="shared" si="2"/>
        <v>5</v>
      </c>
      <c r="J9" s="181">
        <f t="shared" si="3"/>
        <v>0</v>
      </c>
      <c r="K9" s="181">
        <f t="shared" si="4"/>
        <v>0</v>
      </c>
      <c r="L9" s="181">
        <f t="shared" si="5"/>
        <v>0</v>
      </c>
      <c r="M9" s="182">
        <f t="shared" si="6"/>
        <v>4</v>
      </c>
      <c r="N9" s="23" t="s">
        <v>1405</v>
      </c>
    </row>
    <row r="10" spans="1:14" ht="32.1" customHeight="1">
      <c r="A10" s="856"/>
      <c r="B10" s="853"/>
      <c r="C10" s="23" t="s">
        <v>691</v>
      </c>
      <c r="D10" s="26" t="s">
        <v>691</v>
      </c>
      <c r="E10" s="23" t="s">
        <v>1384</v>
      </c>
      <c r="F10" s="26" t="str">
        <f t="shared" si="7"/>
        <v>DW6901</v>
      </c>
      <c r="G10" s="190">
        <f t="shared" si="0"/>
        <v>0</v>
      </c>
      <c r="H10" s="180">
        <f t="shared" si="1"/>
        <v>0</v>
      </c>
      <c r="I10" s="181">
        <f t="shared" si="2"/>
        <v>0</v>
      </c>
      <c r="J10" s="181">
        <f t="shared" si="3"/>
        <v>0</v>
      </c>
      <c r="K10" s="181">
        <f t="shared" si="4"/>
        <v>0</v>
      </c>
      <c r="L10" s="181">
        <f t="shared" si="5"/>
        <v>0</v>
      </c>
      <c r="M10" s="182">
        <f t="shared" si="6"/>
        <v>0</v>
      </c>
      <c r="N10" s="23" t="s">
        <v>1406</v>
      </c>
    </row>
    <row r="11" spans="1:14" ht="32.1" customHeight="1">
      <c r="A11" s="856"/>
      <c r="B11" s="853"/>
      <c r="C11" s="23" t="s">
        <v>1011</v>
      </c>
      <c r="D11" s="26" t="s">
        <v>1011</v>
      </c>
      <c r="E11" s="23" t="s">
        <v>1385</v>
      </c>
      <c r="F11" s="26" t="str">
        <f t="shared" si="7"/>
        <v>DW6910</v>
      </c>
      <c r="G11" s="190">
        <f t="shared" si="0"/>
        <v>1</v>
      </c>
      <c r="H11" s="180">
        <f t="shared" si="1"/>
        <v>0</v>
      </c>
      <c r="I11" s="181">
        <f t="shared" si="2"/>
        <v>0</v>
      </c>
      <c r="J11" s="181">
        <f t="shared" si="3"/>
        <v>0</v>
      </c>
      <c r="K11" s="181">
        <f t="shared" si="4"/>
        <v>0</v>
      </c>
      <c r="L11" s="181">
        <f t="shared" si="5"/>
        <v>0</v>
      </c>
      <c r="M11" s="182">
        <f t="shared" si="6"/>
        <v>1</v>
      </c>
      <c r="N11" s="23" t="s">
        <v>1407</v>
      </c>
    </row>
    <row r="12" spans="1:14" ht="32.1" customHeight="1">
      <c r="A12" s="856"/>
      <c r="B12" s="853"/>
      <c r="C12" s="23" t="s">
        <v>1012</v>
      </c>
      <c r="D12" s="26" t="s">
        <v>1012</v>
      </c>
      <c r="E12" s="23" t="s">
        <v>1386</v>
      </c>
      <c r="F12" s="26" t="str">
        <f t="shared" si="7"/>
        <v>DW6910</v>
      </c>
      <c r="G12" s="190">
        <f t="shared" si="0"/>
        <v>0</v>
      </c>
      <c r="H12" s="180">
        <f t="shared" si="1"/>
        <v>0</v>
      </c>
      <c r="I12" s="181">
        <f t="shared" si="2"/>
        <v>0</v>
      </c>
      <c r="J12" s="181">
        <f t="shared" si="3"/>
        <v>0</v>
      </c>
      <c r="K12" s="181">
        <f t="shared" si="4"/>
        <v>0</v>
      </c>
      <c r="L12" s="181">
        <f t="shared" si="5"/>
        <v>0</v>
      </c>
      <c r="M12" s="182">
        <f t="shared" si="6"/>
        <v>0</v>
      </c>
      <c r="N12" s="23" t="s">
        <v>1408</v>
      </c>
    </row>
    <row r="13" spans="1:14" ht="32.1" customHeight="1">
      <c r="A13" s="856"/>
      <c r="B13" s="853"/>
      <c r="C13" s="23" t="s">
        <v>1013</v>
      </c>
      <c r="D13" s="26" t="s">
        <v>1013</v>
      </c>
      <c r="E13" s="23" t="s">
        <v>1387</v>
      </c>
      <c r="F13" s="26" t="str">
        <f t="shared" si="7"/>
        <v>DW6912</v>
      </c>
      <c r="G13" s="190">
        <f t="shared" si="0"/>
        <v>0</v>
      </c>
      <c r="H13" s="180">
        <f t="shared" si="1"/>
        <v>0</v>
      </c>
      <c r="I13" s="181">
        <f t="shared" si="2"/>
        <v>0</v>
      </c>
      <c r="J13" s="181">
        <f t="shared" si="3"/>
        <v>0</v>
      </c>
      <c r="K13" s="181">
        <f t="shared" si="4"/>
        <v>0</v>
      </c>
      <c r="L13" s="181">
        <f t="shared" si="5"/>
        <v>0</v>
      </c>
      <c r="M13" s="182">
        <f t="shared" si="6"/>
        <v>0</v>
      </c>
      <c r="N13" s="23" t="s">
        <v>1409</v>
      </c>
    </row>
    <row r="14" spans="1:14" ht="32.1" customHeight="1">
      <c r="A14" s="856"/>
      <c r="B14" s="853"/>
      <c r="C14" s="23" t="s">
        <v>1014</v>
      </c>
      <c r="D14" s="26" t="s">
        <v>1014</v>
      </c>
      <c r="E14" s="23" t="s">
        <v>1388</v>
      </c>
      <c r="F14" s="26" t="str">
        <f t="shared" si="7"/>
        <v>DW6912</v>
      </c>
      <c r="G14" s="190">
        <f t="shared" si="0"/>
        <v>0</v>
      </c>
      <c r="H14" s="180">
        <f t="shared" si="1"/>
        <v>0</v>
      </c>
      <c r="I14" s="181">
        <f t="shared" si="2"/>
        <v>0</v>
      </c>
      <c r="J14" s="181">
        <f t="shared" si="3"/>
        <v>0</v>
      </c>
      <c r="K14" s="181">
        <f t="shared" si="4"/>
        <v>0</v>
      </c>
      <c r="L14" s="181">
        <f t="shared" si="5"/>
        <v>0</v>
      </c>
      <c r="M14" s="182">
        <f t="shared" si="6"/>
        <v>0</v>
      </c>
      <c r="N14" s="23" t="s">
        <v>1410</v>
      </c>
    </row>
    <row r="15" spans="1:14" ht="32.1" customHeight="1">
      <c r="A15" s="856"/>
      <c r="B15" s="853"/>
      <c r="C15" s="33" t="s">
        <v>1015</v>
      </c>
      <c r="D15" s="34" t="s">
        <v>1015</v>
      </c>
      <c r="E15" s="33" t="s">
        <v>1389</v>
      </c>
      <c r="F15" s="26" t="str">
        <f t="shared" si="7"/>
        <v>DW6965</v>
      </c>
      <c r="G15" s="190">
        <f t="shared" si="0"/>
        <v>1</v>
      </c>
      <c r="H15" s="180">
        <f t="shared" si="1"/>
        <v>0</v>
      </c>
      <c r="I15" s="181">
        <f t="shared" si="2"/>
        <v>0</v>
      </c>
      <c r="J15" s="181">
        <f t="shared" si="3"/>
        <v>0</v>
      </c>
      <c r="K15" s="181">
        <f t="shared" si="4"/>
        <v>0</v>
      </c>
      <c r="L15" s="181">
        <f t="shared" si="5"/>
        <v>1</v>
      </c>
      <c r="M15" s="182">
        <f t="shared" si="6"/>
        <v>0</v>
      </c>
      <c r="N15" s="33" t="s">
        <v>1411</v>
      </c>
    </row>
    <row r="16" spans="1:14" ht="32.1" customHeight="1">
      <c r="A16" s="856"/>
      <c r="B16" s="853"/>
      <c r="C16" s="33" t="s">
        <v>1016</v>
      </c>
      <c r="D16" s="34" t="s">
        <v>1016</v>
      </c>
      <c r="E16" s="33" t="s">
        <v>1390</v>
      </c>
      <c r="F16" s="26" t="str">
        <f t="shared" si="7"/>
        <v>DW6965</v>
      </c>
      <c r="G16" s="190">
        <f t="shared" si="0"/>
        <v>0</v>
      </c>
      <c r="H16" s="180">
        <f t="shared" si="1"/>
        <v>0</v>
      </c>
      <c r="I16" s="181">
        <f t="shared" si="2"/>
        <v>0</v>
      </c>
      <c r="J16" s="181">
        <f t="shared" si="3"/>
        <v>0</v>
      </c>
      <c r="K16" s="181">
        <f t="shared" si="4"/>
        <v>0</v>
      </c>
      <c r="L16" s="181">
        <f t="shared" si="5"/>
        <v>0</v>
      </c>
      <c r="M16" s="182">
        <f t="shared" si="6"/>
        <v>0</v>
      </c>
      <c r="N16" s="33" t="s">
        <v>1412</v>
      </c>
    </row>
    <row r="17" spans="1:14" ht="32.1" customHeight="1">
      <c r="A17" s="856"/>
      <c r="B17" s="853"/>
      <c r="C17" s="33" t="s">
        <v>1017</v>
      </c>
      <c r="D17" s="34" t="s">
        <v>1017</v>
      </c>
      <c r="E17" s="33" t="s">
        <v>1391</v>
      </c>
      <c r="F17" s="26" t="str">
        <f t="shared" si="7"/>
        <v>DW6929</v>
      </c>
      <c r="G17" s="190">
        <f t="shared" si="0"/>
        <v>1</v>
      </c>
      <c r="H17" s="180">
        <f t="shared" si="1"/>
        <v>0</v>
      </c>
      <c r="I17" s="181">
        <f t="shared" si="2"/>
        <v>1</v>
      </c>
      <c r="J17" s="181">
        <f t="shared" si="3"/>
        <v>0</v>
      </c>
      <c r="K17" s="181">
        <f t="shared" si="4"/>
        <v>0</v>
      </c>
      <c r="L17" s="181">
        <f t="shared" si="5"/>
        <v>0</v>
      </c>
      <c r="M17" s="182">
        <f t="shared" si="6"/>
        <v>0</v>
      </c>
      <c r="N17" s="33" t="s">
        <v>1413</v>
      </c>
    </row>
    <row r="18" spans="1:14" ht="32.1" customHeight="1">
      <c r="A18" s="856"/>
      <c r="B18" s="853"/>
      <c r="C18" s="33" t="s">
        <v>1018</v>
      </c>
      <c r="D18" s="34" t="s">
        <v>1018</v>
      </c>
      <c r="E18" s="33" t="s">
        <v>1392</v>
      </c>
      <c r="F18" s="26" t="str">
        <f t="shared" si="7"/>
        <v>DW6929</v>
      </c>
      <c r="G18" s="190">
        <f t="shared" si="0"/>
        <v>0</v>
      </c>
      <c r="H18" s="180">
        <f t="shared" si="1"/>
        <v>0</v>
      </c>
      <c r="I18" s="181">
        <f t="shared" si="2"/>
        <v>0</v>
      </c>
      <c r="J18" s="181">
        <f t="shared" si="3"/>
        <v>0</v>
      </c>
      <c r="K18" s="181">
        <f t="shared" si="4"/>
        <v>0</v>
      </c>
      <c r="L18" s="181">
        <f t="shared" si="5"/>
        <v>0</v>
      </c>
      <c r="M18" s="182">
        <f t="shared" si="6"/>
        <v>0</v>
      </c>
      <c r="N18" s="33" t="s">
        <v>1414</v>
      </c>
    </row>
    <row r="19" spans="1:14" ht="32.1" customHeight="1">
      <c r="A19" s="856"/>
      <c r="B19" s="853"/>
      <c r="C19" s="33" t="s">
        <v>1362</v>
      </c>
      <c r="D19" s="34" t="s">
        <v>1362</v>
      </c>
      <c r="E19" s="33" t="s">
        <v>1393</v>
      </c>
      <c r="F19" s="26" t="str">
        <f t="shared" si="7"/>
        <v>DW6963</v>
      </c>
      <c r="G19" s="190">
        <f t="shared" si="0"/>
        <v>1</v>
      </c>
      <c r="H19" s="180">
        <f t="shared" si="1"/>
        <v>0</v>
      </c>
      <c r="I19" s="181">
        <f t="shared" si="2"/>
        <v>1</v>
      </c>
      <c r="J19" s="181">
        <f t="shared" si="3"/>
        <v>0</v>
      </c>
      <c r="K19" s="181">
        <f t="shared" si="4"/>
        <v>0</v>
      </c>
      <c r="L19" s="181">
        <f t="shared" si="5"/>
        <v>0</v>
      </c>
      <c r="M19" s="182">
        <f t="shared" si="6"/>
        <v>0</v>
      </c>
      <c r="N19" s="33" t="s">
        <v>1415</v>
      </c>
    </row>
    <row r="20" spans="1:14" ht="32.1" customHeight="1">
      <c r="A20" s="856"/>
      <c r="B20" s="853"/>
      <c r="C20" s="33" t="s">
        <v>1343</v>
      </c>
      <c r="D20" s="34" t="s">
        <v>1343</v>
      </c>
      <c r="E20" s="33" t="s">
        <v>1393</v>
      </c>
      <c r="F20" s="26" t="str">
        <f t="shared" si="7"/>
        <v>DW6963</v>
      </c>
      <c r="G20" s="190">
        <f t="shared" si="0"/>
        <v>0</v>
      </c>
      <c r="H20" s="180">
        <f t="shared" si="1"/>
        <v>0</v>
      </c>
      <c r="I20" s="181">
        <f t="shared" si="2"/>
        <v>0</v>
      </c>
      <c r="J20" s="181">
        <f t="shared" si="3"/>
        <v>0</v>
      </c>
      <c r="K20" s="181">
        <f t="shared" si="4"/>
        <v>0</v>
      </c>
      <c r="L20" s="181">
        <f t="shared" si="5"/>
        <v>0</v>
      </c>
      <c r="M20" s="182">
        <f t="shared" si="6"/>
        <v>0</v>
      </c>
      <c r="N20" s="33" t="s">
        <v>1415</v>
      </c>
    </row>
    <row r="21" spans="1:14" ht="32.1" customHeight="1">
      <c r="A21" s="856"/>
      <c r="B21" s="853"/>
      <c r="C21" s="33" t="s">
        <v>1292</v>
      </c>
      <c r="D21" s="34" t="s">
        <v>1292</v>
      </c>
      <c r="E21" s="33" t="s">
        <v>1394</v>
      </c>
      <c r="F21" s="26" t="str">
        <f t="shared" si="7"/>
        <v>DW6964</v>
      </c>
      <c r="G21" s="190">
        <f t="shared" si="0"/>
        <v>0</v>
      </c>
      <c r="H21" s="180">
        <f t="shared" si="1"/>
        <v>0</v>
      </c>
      <c r="I21" s="181">
        <f t="shared" si="2"/>
        <v>0</v>
      </c>
      <c r="J21" s="181">
        <f t="shared" si="3"/>
        <v>0</v>
      </c>
      <c r="K21" s="181">
        <f t="shared" si="4"/>
        <v>0</v>
      </c>
      <c r="L21" s="181">
        <f t="shared" si="5"/>
        <v>0</v>
      </c>
      <c r="M21" s="182">
        <f t="shared" si="6"/>
        <v>0</v>
      </c>
      <c r="N21" s="33" t="s">
        <v>1416</v>
      </c>
    </row>
    <row r="22" spans="1:14" ht="32.1" customHeight="1">
      <c r="A22" s="856"/>
      <c r="B22" s="853"/>
      <c r="C22" s="33" t="s">
        <v>1295</v>
      </c>
      <c r="D22" s="34" t="s">
        <v>1295</v>
      </c>
      <c r="E22" s="33" t="s">
        <v>1394</v>
      </c>
      <c r="F22" s="34" t="str">
        <f t="shared" si="7"/>
        <v>DW6964</v>
      </c>
      <c r="G22" s="290">
        <f t="shared" si="0"/>
        <v>0</v>
      </c>
      <c r="H22" s="183">
        <f t="shared" si="1"/>
        <v>0</v>
      </c>
      <c r="I22" s="184">
        <f t="shared" si="2"/>
        <v>0</v>
      </c>
      <c r="J22" s="184">
        <f t="shared" si="3"/>
        <v>0</v>
      </c>
      <c r="K22" s="184">
        <f t="shared" si="4"/>
        <v>0</v>
      </c>
      <c r="L22" s="184">
        <f t="shared" si="5"/>
        <v>0</v>
      </c>
      <c r="M22" s="185">
        <f t="shared" si="6"/>
        <v>0</v>
      </c>
      <c r="N22" s="33" t="s">
        <v>1416</v>
      </c>
    </row>
    <row r="23" spans="1:14" ht="32.1" customHeight="1">
      <c r="A23" s="856"/>
      <c r="B23" s="853"/>
      <c r="C23" s="23" t="s">
        <v>1007</v>
      </c>
      <c r="D23" s="26" t="s">
        <v>1007</v>
      </c>
      <c r="E23" s="23" t="s">
        <v>1395</v>
      </c>
      <c r="F23" s="34" t="str">
        <f t="shared" si="7"/>
        <v>DW6902</v>
      </c>
      <c r="G23" s="290">
        <f t="shared" si="0"/>
        <v>28</v>
      </c>
      <c r="H23" s="183">
        <f t="shared" si="1"/>
        <v>4</v>
      </c>
      <c r="I23" s="184">
        <f t="shared" si="2"/>
        <v>16</v>
      </c>
      <c r="J23" s="184">
        <f t="shared" si="3"/>
        <v>0</v>
      </c>
      <c r="K23" s="184">
        <f t="shared" si="4"/>
        <v>0</v>
      </c>
      <c r="L23" s="184">
        <f t="shared" si="5"/>
        <v>2</v>
      </c>
      <c r="M23" s="185">
        <f t="shared" si="6"/>
        <v>6</v>
      </c>
      <c r="N23" s="23" t="s">
        <v>1417</v>
      </c>
    </row>
    <row r="24" spans="1:14" ht="32.1" customHeight="1">
      <c r="A24" s="856"/>
      <c r="B24" s="853"/>
      <c r="C24" s="23" t="s">
        <v>1008</v>
      </c>
      <c r="D24" s="26" t="s">
        <v>1008</v>
      </c>
      <c r="E24" s="23" t="s">
        <v>1396</v>
      </c>
      <c r="F24" s="34" t="str">
        <f t="shared" si="7"/>
        <v>DW6902</v>
      </c>
      <c r="G24" s="290">
        <f t="shared" si="0"/>
        <v>0</v>
      </c>
      <c r="H24" s="183">
        <f t="shared" si="1"/>
        <v>0</v>
      </c>
      <c r="I24" s="184">
        <f t="shared" si="2"/>
        <v>0</v>
      </c>
      <c r="J24" s="184">
        <f t="shared" si="3"/>
        <v>0</v>
      </c>
      <c r="K24" s="184">
        <f t="shared" si="4"/>
        <v>0</v>
      </c>
      <c r="L24" s="184">
        <f t="shared" si="5"/>
        <v>0</v>
      </c>
      <c r="M24" s="185">
        <f t="shared" si="6"/>
        <v>0</v>
      </c>
      <c r="N24" s="23" t="s">
        <v>1418</v>
      </c>
    </row>
    <row r="25" spans="1:14" ht="32.1" customHeight="1">
      <c r="A25" s="856"/>
      <c r="B25" s="853"/>
      <c r="C25" s="23" t="s">
        <v>1009</v>
      </c>
      <c r="D25" s="26" t="s">
        <v>1009</v>
      </c>
      <c r="E25" s="23" t="s">
        <v>1397</v>
      </c>
      <c r="F25" s="34" t="str">
        <f t="shared" si="7"/>
        <v>DW6915</v>
      </c>
      <c r="G25" s="290">
        <f t="shared" si="0"/>
        <v>6</v>
      </c>
      <c r="H25" s="183">
        <f t="shared" si="1"/>
        <v>0</v>
      </c>
      <c r="I25" s="184">
        <f t="shared" si="2"/>
        <v>6</v>
      </c>
      <c r="J25" s="184">
        <f t="shared" si="3"/>
        <v>0</v>
      </c>
      <c r="K25" s="184">
        <f t="shared" si="4"/>
        <v>0</v>
      </c>
      <c r="L25" s="184">
        <f t="shared" si="5"/>
        <v>0</v>
      </c>
      <c r="M25" s="185">
        <f t="shared" si="6"/>
        <v>0</v>
      </c>
      <c r="N25" s="23" t="s">
        <v>1419</v>
      </c>
    </row>
    <row r="26" spans="1:14" ht="32.1" customHeight="1">
      <c r="A26" s="856"/>
      <c r="B26" s="853"/>
      <c r="C26" s="23" t="s">
        <v>1010</v>
      </c>
      <c r="D26" s="26" t="s">
        <v>1010</v>
      </c>
      <c r="E26" s="23" t="s">
        <v>1398</v>
      </c>
      <c r="F26" s="34" t="str">
        <f t="shared" si="7"/>
        <v>DW6915</v>
      </c>
      <c r="G26" s="290">
        <f t="shared" si="0"/>
        <v>0</v>
      </c>
      <c r="H26" s="183">
        <f t="shared" si="1"/>
        <v>0</v>
      </c>
      <c r="I26" s="184">
        <f t="shared" si="2"/>
        <v>0</v>
      </c>
      <c r="J26" s="184">
        <f t="shared" si="3"/>
        <v>0</v>
      </c>
      <c r="K26" s="184">
        <f t="shared" si="4"/>
        <v>0</v>
      </c>
      <c r="L26" s="184">
        <f t="shared" si="5"/>
        <v>0</v>
      </c>
      <c r="M26" s="185">
        <f t="shared" si="6"/>
        <v>0</v>
      </c>
      <c r="N26" s="23" t="s">
        <v>1420</v>
      </c>
    </row>
    <row r="27" spans="1:14" ht="32.1" customHeight="1">
      <c r="A27" s="856"/>
      <c r="B27" s="853"/>
      <c r="C27" s="23" t="s">
        <v>1293</v>
      </c>
      <c r="D27" s="26" t="s">
        <v>1293</v>
      </c>
      <c r="E27" s="23" t="s">
        <v>1296</v>
      </c>
      <c r="F27" s="34" t="str">
        <f t="shared" si="7"/>
        <v>NEW</v>
      </c>
      <c r="G27" s="290">
        <f t="shared" si="0"/>
        <v>0</v>
      </c>
      <c r="H27" s="183">
        <f t="shared" si="1"/>
        <v>0</v>
      </c>
      <c r="I27" s="184">
        <f t="shared" si="2"/>
        <v>0</v>
      </c>
      <c r="J27" s="184">
        <f t="shared" si="3"/>
        <v>0</v>
      </c>
      <c r="K27" s="184">
        <f t="shared" si="4"/>
        <v>0</v>
      </c>
      <c r="L27" s="184">
        <f t="shared" si="5"/>
        <v>0</v>
      </c>
      <c r="M27" s="185">
        <f t="shared" si="6"/>
        <v>0</v>
      </c>
      <c r="N27" s="23" t="s">
        <v>1296</v>
      </c>
    </row>
    <row r="28" spans="1:14" ht="32.1" customHeight="1">
      <c r="A28" s="856"/>
      <c r="B28" s="853"/>
      <c r="C28" s="23" t="s">
        <v>1294</v>
      </c>
      <c r="D28" s="26" t="s">
        <v>1294</v>
      </c>
      <c r="E28" s="23" t="s">
        <v>1297</v>
      </c>
      <c r="F28" s="34" t="str">
        <f t="shared" si="7"/>
        <v>NEW</v>
      </c>
      <c r="G28" s="290">
        <f t="shared" si="0"/>
        <v>0</v>
      </c>
      <c r="H28" s="183">
        <f t="shared" si="1"/>
        <v>0</v>
      </c>
      <c r="I28" s="184">
        <f t="shared" si="2"/>
        <v>0</v>
      </c>
      <c r="J28" s="184">
        <f t="shared" si="3"/>
        <v>0</v>
      </c>
      <c r="K28" s="184">
        <f t="shared" si="4"/>
        <v>0</v>
      </c>
      <c r="L28" s="184">
        <f t="shared" si="5"/>
        <v>0</v>
      </c>
      <c r="M28" s="185">
        <f t="shared" si="6"/>
        <v>0</v>
      </c>
      <c r="N28" s="23" t="s">
        <v>1297</v>
      </c>
    </row>
    <row r="29" spans="1:14" ht="32.1" customHeight="1">
      <c r="A29" s="856"/>
      <c r="B29" s="853"/>
      <c r="C29" s="33" t="s">
        <v>1023</v>
      </c>
      <c r="D29" s="34" t="s">
        <v>1023</v>
      </c>
      <c r="E29" s="33" t="s">
        <v>1024</v>
      </c>
      <c r="F29" s="34" t="str">
        <f t="shared" si="7"/>
        <v>DW6905</v>
      </c>
      <c r="G29" s="290">
        <f t="shared" si="0"/>
        <v>0</v>
      </c>
      <c r="H29" s="183">
        <f t="shared" si="1"/>
        <v>0</v>
      </c>
      <c r="I29" s="184">
        <f t="shared" si="2"/>
        <v>0</v>
      </c>
      <c r="J29" s="184">
        <f t="shared" si="3"/>
        <v>0</v>
      </c>
      <c r="K29" s="184">
        <f t="shared" si="4"/>
        <v>0</v>
      </c>
      <c r="L29" s="184">
        <f t="shared" si="5"/>
        <v>0</v>
      </c>
      <c r="M29" s="185">
        <f t="shared" si="6"/>
        <v>0</v>
      </c>
      <c r="N29" s="33" t="s">
        <v>1029</v>
      </c>
    </row>
    <row r="30" spans="1:14" ht="32.1" customHeight="1">
      <c r="A30" s="856"/>
      <c r="B30" s="853"/>
      <c r="C30" s="33" t="s">
        <v>1025</v>
      </c>
      <c r="D30" s="34" t="s">
        <v>1025</v>
      </c>
      <c r="E30" s="33" t="s">
        <v>1026</v>
      </c>
      <c r="F30" s="34" t="str">
        <f t="shared" si="7"/>
        <v>DW6905</v>
      </c>
      <c r="G30" s="290">
        <f t="shared" si="0"/>
        <v>0</v>
      </c>
      <c r="H30" s="183">
        <f t="shared" si="1"/>
        <v>0</v>
      </c>
      <c r="I30" s="184">
        <f t="shared" si="2"/>
        <v>0</v>
      </c>
      <c r="J30" s="184">
        <f t="shared" si="3"/>
        <v>0</v>
      </c>
      <c r="K30" s="184">
        <f t="shared" si="4"/>
        <v>0</v>
      </c>
      <c r="L30" s="184">
        <f t="shared" si="5"/>
        <v>0</v>
      </c>
      <c r="M30" s="185">
        <f t="shared" si="6"/>
        <v>0</v>
      </c>
      <c r="N30" s="33" t="s">
        <v>1030</v>
      </c>
    </row>
    <row r="31" spans="1:14" ht="32.1" customHeight="1">
      <c r="A31" s="856"/>
      <c r="B31" s="853"/>
      <c r="C31" s="33" t="s">
        <v>1019</v>
      </c>
      <c r="D31" s="34" t="s">
        <v>1019</v>
      </c>
      <c r="E31" s="33" t="s">
        <v>1020</v>
      </c>
      <c r="F31" s="34" t="str">
        <f t="shared" si="7"/>
        <v>DW6906</v>
      </c>
      <c r="G31" s="290">
        <f t="shared" si="0"/>
        <v>0</v>
      </c>
      <c r="H31" s="183">
        <f t="shared" si="1"/>
        <v>0</v>
      </c>
      <c r="I31" s="184">
        <f t="shared" si="2"/>
        <v>0</v>
      </c>
      <c r="J31" s="184">
        <f t="shared" si="3"/>
        <v>0</v>
      </c>
      <c r="K31" s="184">
        <f t="shared" si="4"/>
        <v>0</v>
      </c>
      <c r="L31" s="184">
        <f t="shared" si="5"/>
        <v>0</v>
      </c>
      <c r="M31" s="185">
        <f t="shared" si="6"/>
        <v>0</v>
      </c>
      <c r="N31" s="33" t="s">
        <v>1027</v>
      </c>
    </row>
    <row r="32" spans="1:14" ht="32.1" customHeight="1">
      <c r="A32" s="856"/>
      <c r="B32" s="854"/>
      <c r="C32" s="24" t="s">
        <v>1021</v>
      </c>
      <c r="D32" s="27" t="s">
        <v>1021</v>
      </c>
      <c r="E32" s="24" t="s">
        <v>1022</v>
      </c>
      <c r="F32" s="27" t="str">
        <f t="shared" si="7"/>
        <v>DW6906</v>
      </c>
      <c r="G32" s="191">
        <f t="shared" si="0"/>
        <v>0</v>
      </c>
      <c r="H32" s="186">
        <f t="shared" si="1"/>
        <v>0</v>
      </c>
      <c r="I32" s="187">
        <f t="shared" si="2"/>
        <v>0</v>
      </c>
      <c r="J32" s="187">
        <f t="shared" si="3"/>
        <v>0</v>
      </c>
      <c r="K32" s="187">
        <f t="shared" si="4"/>
        <v>0</v>
      </c>
      <c r="L32" s="187">
        <f t="shared" si="5"/>
        <v>0</v>
      </c>
      <c r="M32" s="188">
        <f t="shared" si="6"/>
        <v>0</v>
      </c>
      <c r="N32" s="24" t="s">
        <v>1028</v>
      </c>
    </row>
    <row r="33" spans="1:14" s="137" customFormat="1" ht="32.1" customHeight="1">
      <c r="A33" s="856"/>
      <c r="B33" s="852" t="s">
        <v>2482</v>
      </c>
      <c r="C33" s="32" t="s">
        <v>2418</v>
      </c>
      <c r="D33" s="35" t="s">
        <v>673</v>
      </c>
      <c r="E33" s="32" t="s">
        <v>1377</v>
      </c>
      <c r="F33" s="35" t="str">
        <f>VLOOKUP(C33,Foundation_Calc!$W$4:$AE$37,9,FALSE)</f>
        <v>DW6901</v>
      </c>
      <c r="G33" s="291">
        <f t="shared" ref="G33:G62" si="8">SUM(H33:M33)</f>
        <v>0</v>
      </c>
      <c r="H33" s="192">
        <f t="shared" si="1"/>
        <v>0</v>
      </c>
      <c r="I33" s="193">
        <f t="shared" si="2"/>
        <v>0</v>
      </c>
      <c r="J33" s="193">
        <f t="shared" si="3"/>
        <v>0</v>
      </c>
      <c r="K33" s="193">
        <f t="shared" si="4"/>
        <v>0</v>
      </c>
      <c r="L33" s="193">
        <f t="shared" si="5"/>
        <v>0</v>
      </c>
      <c r="M33" s="194">
        <f t="shared" si="6"/>
        <v>0</v>
      </c>
      <c r="N33" s="32" t="s">
        <v>2483</v>
      </c>
    </row>
    <row r="34" spans="1:14" ht="32.1" customHeight="1">
      <c r="A34" s="856"/>
      <c r="B34" s="853"/>
      <c r="C34" s="23" t="s">
        <v>2433</v>
      </c>
      <c r="D34" s="26" t="s">
        <v>688</v>
      </c>
      <c r="E34" s="23" t="s">
        <v>1378</v>
      </c>
      <c r="F34" s="26" t="str">
        <f>F33</f>
        <v>DW6901</v>
      </c>
      <c r="G34" s="190">
        <f t="shared" si="8"/>
        <v>0</v>
      </c>
      <c r="H34" s="180">
        <f t="shared" si="1"/>
        <v>0</v>
      </c>
      <c r="I34" s="181">
        <f t="shared" si="2"/>
        <v>0</v>
      </c>
      <c r="J34" s="181">
        <f t="shared" si="3"/>
        <v>0</v>
      </c>
      <c r="K34" s="181">
        <f t="shared" si="4"/>
        <v>0</v>
      </c>
      <c r="L34" s="181">
        <f t="shared" si="5"/>
        <v>0</v>
      </c>
      <c r="M34" s="182">
        <f t="shared" si="6"/>
        <v>0</v>
      </c>
      <c r="N34" s="23" t="s">
        <v>2484</v>
      </c>
    </row>
    <row r="35" spans="1:14" ht="32.1" customHeight="1">
      <c r="A35" s="856"/>
      <c r="B35" s="853"/>
      <c r="C35" s="23" t="s">
        <v>2419</v>
      </c>
      <c r="D35" s="26" t="s">
        <v>674</v>
      </c>
      <c r="E35" s="23" t="s">
        <v>1379</v>
      </c>
      <c r="F35" s="26" t="str">
        <f>VLOOKUP(C35,Foundation_Calc!$W$4:$AE$37,9,FALSE)</f>
        <v>DW6901</v>
      </c>
      <c r="G35" s="190">
        <f t="shared" si="8"/>
        <v>16</v>
      </c>
      <c r="H35" s="180">
        <f t="shared" si="1"/>
        <v>16</v>
      </c>
      <c r="I35" s="181">
        <f t="shared" si="2"/>
        <v>0</v>
      </c>
      <c r="J35" s="181">
        <f t="shared" si="3"/>
        <v>0</v>
      </c>
      <c r="K35" s="181">
        <f t="shared" si="4"/>
        <v>0</v>
      </c>
      <c r="L35" s="181">
        <f t="shared" si="5"/>
        <v>0</v>
      </c>
      <c r="M35" s="182">
        <f t="shared" si="6"/>
        <v>0</v>
      </c>
      <c r="N35" s="23" t="s">
        <v>2485</v>
      </c>
    </row>
    <row r="36" spans="1:14" ht="32.1" customHeight="1">
      <c r="A36" s="856"/>
      <c r="B36" s="853"/>
      <c r="C36" s="23" t="s">
        <v>2434</v>
      </c>
      <c r="D36" s="26" t="s">
        <v>687</v>
      </c>
      <c r="E36" s="23" t="s">
        <v>1380</v>
      </c>
      <c r="F36" s="26" t="str">
        <f t="shared" ref="F36" si="9">F35</f>
        <v>DW6901</v>
      </c>
      <c r="G36" s="190">
        <f t="shared" si="8"/>
        <v>0</v>
      </c>
      <c r="H36" s="180">
        <f t="shared" si="1"/>
        <v>0</v>
      </c>
      <c r="I36" s="181">
        <f t="shared" si="2"/>
        <v>0</v>
      </c>
      <c r="J36" s="181">
        <f t="shared" si="3"/>
        <v>0</v>
      </c>
      <c r="K36" s="181">
        <f t="shared" si="4"/>
        <v>0</v>
      </c>
      <c r="L36" s="181">
        <f t="shared" si="5"/>
        <v>0</v>
      </c>
      <c r="M36" s="182">
        <f t="shared" si="6"/>
        <v>0</v>
      </c>
      <c r="N36" s="23" t="s">
        <v>2486</v>
      </c>
    </row>
    <row r="37" spans="1:14" ht="32.1" customHeight="1">
      <c r="A37" s="856"/>
      <c r="B37" s="853"/>
      <c r="C37" s="23" t="s">
        <v>2420</v>
      </c>
      <c r="D37" s="26" t="s">
        <v>678</v>
      </c>
      <c r="E37" s="23" t="s">
        <v>1381</v>
      </c>
      <c r="F37" s="26" t="str">
        <f>VLOOKUP(C37,Foundation_Calc!$W$4:$AE$37,9,FALSE)</f>
        <v>DW6901</v>
      </c>
      <c r="G37" s="190">
        <f t="shared" si="8"/>
        <v>39</v>
      </c>
      <c r="H37" s="180">
        <f t="shared" si="1"/>
        <v>27</v>
      </c>
      <c r="I37" s="181">
        <f t="shared" si="2"/>
        <v>0</v>
      </c>
      <c r="J37" s="181">
        <f t="shared" si="3"/>
        <v>6</v>
      </c>
      <c r="K37" s="181">
        <f t="shared" si="4"/>
        <v>6</v>
      </c>
      <c r="L37" s="181">
        <f t="shared" si="5"/>
        <v>0</v>
      </c>
      <c r="M37" s="182">
        <f t="shared" si="6"/>
        <v>0</v>
      </c>
      <c r="N37" s="23" t="s">
        <v>2487</v>
      </c>
    </row>
    <row r="38" spans="1:14" ht="32.1" customHeight="1">
      <c r="A38" s="856"/>
      <c r="B38" s="853"/>
      <c r="C38" s="23" t="s">
        <v>2435</v>
      </c>
      <c r="D38" s="26" t="s">
        <v>689</v>
      </c>
      <c r="E38" s="23" t="s">
        <v>1382</v>
      </c>
      <c r="F38" s="26" t="str">
        <f t="shared" ref="F38" si="10">F37</f>
        <v>DW6901</v>
      </c>
      <c r="G38" s="190">
        <f t="shared" si="8"/>
        <v>0</v>
      </c>
      <c r="H38" s="180">
        <f t="shared" si="1"/>
        <v>0</v>
      </c>
      <c r="I38" s="181">
        <f t="shared" si="2"/>
        <v>0</v>
      </c>
      <c r="J38" s="181">
        <f t="shared" si="3"/>
        <v>0</v>
      </c>
      <c r="K38" s="181">
        <f t="shared" si="4"/>
        <v>0</v>
      </c>
      <c r="L38" s="181">
        <f t="shared" si="5"/>
        <v>0</v>
      </c>
      <c r="M38" s="182">
        <f t="shared" si="6"/>
        <v>0</v>
      </c>
      <c r="N38" s="23" t="s">
        <v>2488</v>
      </c>
    </row>
    <row r="39" spans="1:14" ht="32.1" customHeight="1">
      <c r="A39" s="856"/>
      <c r="B39" s="853"/>
      <c r="C39" s="23" t="s">
        <v>2421</v>
      </c>
      <c r="D39" s="26" t="s">
        <v>677</v>
      </c>
      <c r="E39" s="23" t="s">
        <v>1383</v>
      </c>
      <c r="F39" s="26" t="str">
        <f>VLOOKUP(C39,Foundation_Calc!$W$4:$AE$37,9,FALSE)</f>
        <v>DW6901</v>
      </c>
      <c r="G39" s="190">
        <f t="shared" si="8"/>
        <v>6</v>
      </c>
      <c r="H39" s="180">
        <f t="shared" si="1"/>
        <v>5</v>
      </c>
      <c r="I39" s="181">
        <f t="shared" si="2"/>
        <v>0</v>
      </c>
      <c r="J39" s="181">
        <f t="shared" si="3"/>
        <v>0</v>
      </c>
      <c r="K39" s="181">
        <f t="shared" si="4"/>
        <v>0</v>
      </c>
      <c r="L39" s="181">
        <f t="shared" si="5"/>
        <v>0</v>
      </c>
      <c r="M39" s="182">
        <f t="shared" si="6"/>
        <v>1</v>
      </c>
      <c r="N39" s="23" t="s">
        <v>2489</v>
      </c>
    </row>
    <row r="40" spans="1:14" ht="32.1" customHeight="1">
      <c r="A40" s="856"/>
      <c r="B40" s="853"/>
      <c r="C40" s="23" t="s">
        <v>2436</v>
      </c>
      <c r="D40" s="26" t="s">
        <v>691</v>
      </c>
      <c r="E40" s="23" t="s">
        <v>1384</v>
      </c>
      <c r="F40" s="26" t="str">
        <f t="shared" ref="F40" si="11">F39</f>
        <v>DW6901</v>
      </c>
      <c r="G40" s="190">
        <f t="shared" si="8"/>
        <v>0</v>
      </c>
      <c r="H40" s="180">
        <f t="shared" si="1"/>
        <v>0</v>
      </c>
      <c r="I40" s="181">
        <f t="shared" si="2"/>
        <v>0</v>
      </c>
      <c r="J40" s="181">
        <f t="shared" si="3"/>
        <v>0</v>
      </c>
      <c r="K40" s="181">
        <f t="shared" si="4"/>
        <v>0</v>
      </c>
      <c r="L40" s="181">
        <f t="shared" si="5"/>
        <v>0</v>
      </c>
      <c r="M40" s="182">
        <f t="shared" si="6"/>
        <v>0</v>
      </c>
      <c r="N40" s="23" t="s">
        <v>2490</v>
      </c>
    </row>
    <row r="41" spans="1:14" ht="32.1" customHeight="1">
      <c r="A41" s="856"/>
      <c r="B41" s="853"/>
      <c r="C41" s="23" t="s">
        <v>2423</v>
      </c>
      <c r="D41" s="26" t="s">
        <v>1011</v>
      </c>
      <c r="E41" s="23" t="s">
        <v>1385</v>
      </c>
      <c r="F41" s="26" t="str">
        <f>VLOOKUP(C41,Foundation_Calc!$W$4:$AE$37,9,FALSE)</f>
        <v>DW6910</v>
      </c>
      <c r="G41" s="190">
        <f t="shared" si="8"/>
        <v>1</v>
      </c>
      <c r="H41" s="180">
        <f t="shared" si="1"/>
        <v>0</v>
      </c>
      <c r="I41" s="181">
        <f t="shared" si="2"/>
        <v>0</v>
      </c>
      <c r="J41" s="181">
        <f t="shared" si="3"/>
        <v>1</v>
      </c>
      <c r="K41" s="181">
        <f t="shared" si="4"/>
        <v>0</v>
      </c>
      <c r="L41" s="181">
        <f t="shared" si="5"/>
        <v>0</v>
      </c>
      <c r="M41" s="182">
        <f t="shared" si="6"/>
        <v>0</v>
      </c>
      <c r="N41" s="23" t="s">
        <v>2491</v>
      </c>
    </row>
    <row r="42" spans="1:14" ht="32.1" customHeight="1">
      <c r="A42" s="856"/>
      <c r="B42" s="853"/>
      <c r="C42" s="23" t="s">
        <v>2438</v>
      </c>
      <c r="D42" s="26" t="s">
        <v>1012</v>
      </c>
      <c r="E42" s="23" t="s">
        <v>1386</v>
      </c>
      <c r="F42" s="26" t="str">
        <f t="shared" ref="F42" si="12">F41</f>
        <v>DW6910</v>
      </c>
      <c r="G42" s="190">
        <f t="shared" si="8"/>
        <v>0</v>
      </c>
      <c r="H42" s="180">
        <f t="shared" si="1"/>
        <v>0</v>
      </c>
      <c r="I42" s="181">
        <f t="shared" si="2"/>
        <v>0</v>
      </c>
      <c r="J42" s="181">
        <f t="shared" si="3"/>
        <v>0</v>
      </c>
      <c r="K42" s="181">
        <f t="shared" si="4"/>
        <v>0</v>
      </c>
      <c r="L42" s="181">
        <f t="shared" si="5"/>
        <v>0</v>
      </c>
      <c r="M42" s="182">
        <f t="shared" si="6"/>
        <v>0</v>
      </c>
      <c r="N42" s="23" t="s">
        <v>2492</v>
      </c>
    </row>
    <row r="43" spans="1:14" ht="32.1" customHeight="1">
      <c r="A43" s="856"/>
      <c r="B43" s="853"/>
      <c r="C43" s="23" t="s">
        <v>2424</v>
      </c>
      <c r="D43" s="26" t="s">
        <v>1013</v>
      </c>
      <c r="E43" s="23" t="s">
        <v>1387</v>
      </c>
      <c r="F43" s="26" t="str">
        <f>VLOOKUP(C43,Foundation_Calc!$W$4:$AE$37,9,FALSE)</f>
        <v>DW6912</v>
      </c>
      <c r="G43" s="190">
        <f t="shared" si="8"/>
        <v>1</v>
      </c>
      <c r="H43" s="180">
        <f t="shared" si="1"/>
        <v>0</v>
      </c>
      <c r="I43" s="181">
        <f t="shared" si="2"/>
        <v>0</v>
      </c>
      <c r="J43" s="181">
        <f t="shared" si="3"/>
        <v>0</v>
      </c>
      <c r="K43" s="181">
        <f t="shared" si="4"/>
        <v>0</v>
      </c>
      <c r="L43" s="181">
        <f t="shared" si="5"/>
        <v>0</v>
      </c>
      <c r="M43" s="182">
        <f t="shared" si="6"/>
        <v>1</v>
      </c>
      <c r="N43" s="23" t="s">
        <v>2493</v>
      </c>
    </row>
    <row r="44" spans="1:14" ht="32.1" customHeight="1">
      <c r="A44" s="856"/>
      <c r="B44" s="853"/>
      <c r="C44" s="23" t="s">
        <v>2439</v>
      </c>
      <c r="D44" s="26" t="s">
        <v>1014</v>
      </c>
      <c r="E44" s="23" t="s">
        <v>1388</v>
      </c>
      <c r="F44" s="26" t="str">
        <f t="shared" ref="F44" si="13">F43</f>
        <v>DW6912</v>
      </c>
      <c r="G44" s="190">
        <f t="shared" si="8"/>
        <v>0</v>
      </c>
      <c r="H44" s="180">
        <f t="shared" si="1"/>
        <v>0</v>
      </c>
      <c r="I44" s="181">
        <f t="shared" si="2"/>
        <v>0</v>
      </c>
      <c r="J44" s="181">
        <f t="shared" si="3"/>
        <v>0</v>
      </c>
      <c r="K44" s="181">
        <f t="shared" si="4"/>
        <v>0</v>
      </c>
      <c r="L44" s="181">
        <f t="shared" si="5"/>
        <v>0</v>
      </c>
      <c r="M44" s="182">
        <f t="shared" si="6"/>
        <v>0</v>
      </c>
      <c r="N44" s="23" t="s">
        <v>2494</v>
      </c>
    </row>
    <row r="45" spans="1:14" ht="32.1" customHeight="1">
      <c r="A45" s="856"/>
      <c r="B45" s="853"/>
      <c r="C45" s="33" t="s">
        <v>2425</v>
      </c>
      <c r="D45" s="34" t="s">
        <v>1015</v>
      </c>
      <c r="E45" s="33" t="s">
        <v>1389</v>
      </c>
      <c r="F45" s="26" t="str">
        <f>VLOOKUP(C45,Foundation_Calc!$W$4:$AE$37,9,FALSE)</f>
        <v>DW6965</v>
      </c>
      <c r="G45" s="190">
        <f t="shared" si="8"/>
        <v>0</v>
      </c>
      <c r="H45" s="180">
        <f t="shared" si="1"/>
        <v>0</v>
      </c>
      <c r="I45" s="181">
        <f t="shared" si="2"/>
        <v>0</v>
      </c>
      <c r="J45" s="181">
        <f t="shared" si="3"/>
        <v>0</v>
      </c>
      <c r="K45" s="181">
        <f t="shared" si="4"/>
        <v>0</v>
      </c>
      <c r="L45" s="181">
        <f t="shared" si="5"/>
        <v>0</v>
      </c>
      <c r="M45" s="182">
        <f t="shared" si="6"/>
        <v>0</v>
      </c>
      <c r="N45" s="33" t="s">
        <v>2495</v>
      </c>
    </row>
    <row r="46" spans="1:14" ht="32.1" customHeight="1">
      <c r="A46" s="856"/>
      <c r="B46" s="853"/>
      <c r="C46" s="33" t="s">
        <v>2440</v>
      </c>
      <c r="D46" s="34" t="s">
        <v>1016</v>
      </c>
      <c r="E46" s="33" t="s">
        <v>1390</v>
      </c>
      <c r="F46" s="26" t="str">
        <f t="shared" ref="F46" si="14">F45</f>
        <v>DW6965</v>
      </c>
      <c r="G46" s="190">
        <f t="shared" si="8"/>
        <v>0</v>
      </c>
      <c r="H46" s="180">
        <f t="shared" si="1"/>
        <v>0</v>
      </c>
      <c r="I46" s="181">
        <f t="shared" si="2"/>
        <v>0</v>
      </c>
      <c r="J46" s="181">
        <f t="shared" si="3"/>
        <v>0</v>
      </c>
      <c r="K46" s="181">
        <f t="shared" si="4"/>
        <v>0</v>
      </c>
      <c r="L46" s="181">
        <f t="shared" si="5"/>
        <v>0</v>
      </c>
      <c r="M46" s="182">
        <f t="shared" si="6"/>
        <v>0</v>
      </c>
      <c r="N46" s="33" t="s">
        <v>2496</v>
      </c>
    </row>
    <row r="47" spans="1:14" ht="32.1" customHeight="1">
      <c r="A47" s="856"/>
      <c r="B47" s="853"/>
      <c r="C47" s="33" t="s">
        <v>2426</v>
      </c>
      <c r="D47" s="34" t="s">
        <v>1017</v>
      </c>
      <c r="E47" s="33" t="s">
        <v>1391</v>
      </c>
      <c r="F47" s="26" t="str">
        <f>VLOOKUP(C47,Foundation_Calc!$W$4:$AE$37,9,FALSE)</f>
        <v>DW6929</v>
      </c>
      <c r="G47" s="190">
        <f t="shared" si="8"/>
        <v>2</v>
      </c>
      <c r="H47" s="180">
        <f t="shared" si="1"/>
        <v>1</v>
      </c>
      <c r="I47" s="181">
        <f t="shared" si="2"/>
        <v>0</v>
      </c>
      <c r="J47" s="181">
        <f t="shared" si="3"/>
        <v>0</v>
      </c>
      <c r="K47" s="181">
        <f t="shared" si="4"/>
        <v>0</v>
      </c>
      <c r="L47" s="181">
        <f t="shared" si="5"/>
        <v>0</v>
      </c>
      <c r="M47" s="182">
        <f t="shared" si="6"/>
        <v>1</v>
      </c>
      <c r="N47" s="33" t="s">
        <v>2497</v>
      </c>
    </row>
    <row r="48" spans="1:14" ht="32.1" customHeight="1">
      <c r="A48" s="856"/>
      <c r="B48" s="853"/>
      <c r="C48" s="33" t="s">
        <v>2441</v>
      </c>
      <c r="D48" s="34" t="s">
        <v>1018</v>
      </c>
      <c r="E48" s="33" t="s">
        <v>1392</v>
      </c>
      <c r="F48" s="26" t="str">
        <f t="shared" ref="F48" si="15">F47</f>
        <v>DW6929</v>
      </c>
      <c r="G48" s="190">
        <f t="shared" si="8"/>
        <v>0</v>
      </c>
      <c r="H48" s="180">
        <f t="shared" si="1"/>
        <v>0</v>
      </c>
      <c r="I48" s="181">
        <f t="shared" si="2"/>
        <v>0</v>
      </c>
      <c r="J48" s="181">
        <f t="shared" si="3"/>
        <v>0</v>
      </c>
      <c r="K48" s="181">
        <f t="shared" si="4"/>
        <v>0</v>
      </c>
      <c r="L48" s="181">
        <f t="shared" si="5"/>
        <v>0</v>
      </c>
      <c r="M48" s="182">
        <f t="shared" si="6"/>
        <v>0</v>
      </c>
      <c r="N48" s="33" t="s">
        <v>2498</v>
      </c>
    </row>
    <row r="49" spans="1:14" ht="32.1" customHeight="1">
      <c r="A49" s="856"/>
      <c r="B49" s="853"/>
      <c r="C49" s="33" t="s">
        <v>2427</v>
      </c>
      <c r="D49" s="34" t="s">
        <v>1362</v>
      </c>
      <c r="E49" s="33" t="s">
        <v>1393</v>
      </c>
      <c r="F49" s="26" t="str">
        <f>VLOOKUP(C49,Foundation_Calc!$W$4:$AE$37,9,FALSE)</f>
        <v>DW6963</v>
      </c>
      <c r="G49" s="190">
        <f t="shared" si="8"/>
        <v>0</v>
      </c>
      <c r="H49" s="180">
        <f t="shared" si="1"/>
        <v>0</v>
      </c>
      <c r="I49" s="181">
        <f t="shared" si="2"/>
        <v>0</v>
      </c>
      <c r="J49" s="181">
        <f t="shared" si="3"/>
        <v>0</v>
      </c>
      <c r="K49" s="181">
        <f t="shared" si="4"/>
        <v>0</v>
      </c>
      <c r="L49" s="181">
        <f t="shared" si="5"/>
        <v>0</v>
      </c>
      <c r="M49" s="182">
        <f t="shared" si="6"/>
        <v>0</v>
      </c>
      <c r="N49" s="33" t="s">
        <v>2499</v>
      </c>
    </row>
    <row r="50" spans="1:14" ht="32.1" customHeight="1">
      <c r="A50" s="856"/>
      <c r="B50" s="853"/>
      <c r="C50" s="33" t="s">
        <v>2442</v>
      </c>
      <c r="D50" s="34" t="s">
        <v>1343</v>
      </c>
      <c r="E50" s="33" t="s">
        <v>1393</v>
      </c>
      <c r="F50" s="26" t="str">
        <f t="shared" ref="F50" si="16">F49</f>
        <v>DW6963</v>
      </c>
      <c r="G50" s="190">
        <f t="shared" si="8"/>
        <v>0</v>
      </c>
      <c r="H50" s="180">
        <f t="shared" si="1"/>
        <v>0</v>
      </c>
      <c r="I50" s="181">
        <f t="shared" si="2"/>
        <v>0</v>
      </c>
      <c r="J50" s="181">
        <f t="shared" si="3"/>
        <v>0</v>
      </c>
      <c r="K50" s="181">
        <f t="shared" si="4"/>
        <v>0</v>
      </c>
      <c r="L50" s="181">
        <f t="shared" si="5"/>
        <v>0</v>
      </c>
      <c r="M50" s="182">
        <f t="shared" si="6"/>
        <v>0</v>
      </c>
      <c r="N50" s="33" t="s">
        <v>2499</v>
      </c>
    </row>
    <row r="51" spans="1:14" ht="32.1" customHeight="1">
      <c r="A51" s="856"/>
      <c r="B51" s="853"/>
      <c r="C51" s="33" t="s">
        <v>2428</v>
      </c>
      <c r="D51" s="34" t="s">
        <v>1292</v>
      </c>
      <c r="E51" s="33" t="s">
        <v>1394</v>
      </c>
      <c r="F51" s="26" t="str">
        <f>VLOOKUP(C51,Foundation_Calc!$W$4:$AE$37,9,FALSE)</f>
        <v>DW6964</v>
      </c>
      <c r="G51" s="190">
        <f t="shared" si="8"/>
        <v>0</v>
      </c>
      <c r="H51" s="180">
        <f t="shared" si="1"/>
        <v>0</v>
      </c>
      <c r="I51" s="181">
        <f t="shared" si="2"/>
        <v>0</v>
      </c>
      <c r="J51" s="181">
        <f t="shared" si="3"/>
        <v>0</v>
      </c>
      <c r="K51" s="181">
        <f t="shared" si="4"/>
        <v>0</v>
      </c>
      <c r="L51" s="181">
        <f t="shared" si="5"/>
        <v>0</v>
      </c>
      <c r="M51" s="182">
        <f t="shared" si="6"/>
        <v>0</v>
      </c>
      <c r="N51" s="33" t="s">
        <v>2500</v>
      </c>
    </row>
    <row r="52" spans="1:14" ht="32.1" customHeight="1">
      <c r="A52" s="856"/>
      <c r="B52" s="853"/>
      <c r="C52" s="33" t="s">
        <v>2443</v>
      </c>
      <c r="D52" s="34" t="s">
        <v>1295</v>
      </c>
      <c r="E52" s="33" t="s">
        <v>1394</v>
      </c>
      <c r="F52" s="34" t="str">
        <f t="shared" ref="F52" si="17">F51</f>
        <v>DW6964</v>
      </c>
      <c r="G52" s="290">
        <f t="shared" si="8"/>
        <v>0</v>
      </c>
      <c r="H52" s="183">
        <f t="shared" si="1"/>
        <v>0</v>
      </c>
      <c r="I52" s="184">
        <f t="shared" si="2"/>
        <v>0</v>
      </c>
      <c r="J52" s="184">
        <f t="shared" si="3"/>
        <v>0</v>
      </c>
      <c r="K52" s="184">
        <f t="shared" si="4"/>
        <v>0</v>
      </c>
      <c r="L52" s="184">
        <f t="shared" si="5"/>
        <v>0</v>
      </c>
      <c r="M52" s="185">
        <f t="shared" si="6"/>
        <v>0</v>
      </c>
      <c r="N52" s="33" t="s">
        <v>2500</v>
      </c>
    </row>
    <row r="53" spans="1:14" ht="32.1" customHeight="1">
      <c r="A53" s="856"/>
      <c r="B53" s="853"/>
      <c r="C53" s="23" t="s">
        <v>2429</v>
      </c>
      <c r="D53" s="26" t="s">
        <v>1007</v>
      </c>
      <c r="E53" s="23" t="s">
        <v>1395</v>
      </c>
      <c r="F53" s="34" t="str">
        <f>VLOOKUP(C53,Foundation_Calc!$W$4:$AE$37,9,FALSE)</f>
        <v>DW6902</v>
      </c>
      <c r="G53" s="290">
        <f t="shared" si="8"/>
        <v>12</v>
      </c>
      <c r="H53" s="183">
        <f t="shared" si="1"/>
        <v>12</v>
      </c>
      <c r="I53" s="184">
        <f t="shared" si="2"/>
        <v>0</v>
      </c>
      <c r="J53" s="184">
        <f t="shared" si="3"/>
        <v>0</v>
      </c>
      <c r="K53" s="184">
        <f t="shared" si="4"/>
        <v>0</v>
      </c>
      <c r="L53" s="184">
        <f t="shared" si="5"/>
        <v>0</v>
      </c>
      <c r="M53" s="185">
        <f t="shared" si="6"/>
        <v>0</v>
      </c>
      <c r="N53" s="23" t="s">
        <v>2501</v>
      </c>
    </row>
    <row r="54" spans="1:14" ht="32.1" customHeight="1">
      <c r="A54" s="856"/>
      <c r="B54" s="853"/>
      <c r="C54" s="23" t="s">
        <v>2444</v>
      </c>
      <c r="D54" s="26" t="s">
        <v>1008</v>
      </c>
      <c r="E54" s="23" t="s">
        <v>1396</v>
      </c>
      <c r="F54" s="34" t="str">
        <f t="shared" ref="F54" si="18">F53</f>
        <v>DW6902</v>
      </c>
      <c r="G54" s="290">
        <f t="shared" si="8"/>
        <v>0</v>
      </c>
      <c r="H54" s="183">
        <f t="shared" si="1"/>
        <v>0</v>
      </c>
      <c r="I54" s="184">
        <f t="shared" si="2"/>
        <v>0</v>
      </c>
      <c r="J54" s="184">
        <f t="shared" si="3"/>
        <v>0</v>
      </c>
      <c r="K54" s="184">
        <f t="shared" si="4"/>
        <v>0</v>
      </c>
      <c r="L54" s="184">
        <f t="shared" si="5"/>
        <v>0</v>
      </c>
      <c r="M54" s="185">
        <f t="shared" si="6"/>
        <v>0</v>
      </c>
      <c r="N54" s="23" t="s">
        <v>2502</v>
      </c>
    </row>
    <row r="55" spans="1:14" ht="32.1" customHeight="1">
      <c r="A55" s="856"/>
      <c r="B55" s="853"/>
      <c r="C55" s="23" t="s">
        <v>2422</v>
      </c>
      <c r="D55" s="26" t="s">
        <v>1009</v>
      </c>
      <c r="E55" s="23" t="s">
        <v>1397</v>
      </c>
      <c r="F55" s="34" t="str">
        <f>VLOOKUP(C55,Foundation_Calc!$W$4:$AE$37,9,FALSE)</f>
        <v>DW6915</v>
      </c>
      <c r="G55" s="290">
        <f t="shared" si="8"/>
        <v>9</v>
      </c>
      <c r="H55" s="183">
        <f t="shared" si="1"/>
        <v>5</v>
      </c>
      <c r="I55" s="184">
        <f t="shared" si="2"/>
        <v>0</v>
      </c>
      <c r="J55" s="184">
        <f t="shared" si="3"/>
        <v>2</v>
      </c>
      <c r="K55" s="184">
        <f t="shared" si="4"/>
        <v>2</v>
      </c>
      <c r="L55" s="184">
        <f t="shared" si="5"/>
        <v>0</v>
      </c>
      <c r="M55" s="185">
        <f t="shared" si="6"/>
        <v>0</v>
      </c>
      <c r="N55" s="23" t="s">
        <v>2503</v>
      </c>
    </row>
    <row r="56" spans="1:14" ht="32.1" customHeight="1">
      <c r="A56" s="856"/>
      <c r="B56" s="853"/>
      <c r="C56" s="23" t="s">
        <v>2437</v>
      </c>
      <c r="D56" s="26" t="s">
        <v>1010</v>
      </c>
      <c r="E56" s="23" t="s">
        <v>1398</v>
      </c>
      <c r="F56" s="34" t="str">
        <f t="shared" ref="F56" si="19">F55</f>
        <v>DW6915</v>
      </c>
      <c r="G56" s="290">
        <f t="shared" si="8"/>
        <v>0</v>
      </c>
      <c r="H56" s="183">
        <f t="shared" si="1"/>
        <v>0</v>
      </c>
      <c r="I56" s="184">
        <f t="shared" si="2"/>
        <v>0</v>
      </c>
      <c r="J56" s="184">
        <f t="shared" si="3"/>
        <v>0</v>
      </c>
      <c r="K56" s="184">
        <f t="shared" si="4"/>
        <v>0</v>
      </c>
      <c r="L56" s="184">
        <f t="shared" si="5"/>
        <v>0</v>
      </c>
      <c r="M56" s="185">
        <f t="shared" si="6"/>
        <v>0</v>
      </c>
      <c r="N56" s="23" t="s">
        <v>2504</v>
      </c>
    </row>
    <row r="57" spans="1:14" ht="32.1" customHeight="1">
      <c r="A57" s="856"/>
      <c r="B57" s="853"/>
      <c r="C57" s="23" t="s">
        <v>2430</v>
      </c>
      <c r="D57" s="26" t="s">
        <v>1293</v>
      </c>
      <c r="E57" s="23" t="s">
        <v>1296</v>
      </c>
      <c r="F57" s="34" t="str">
        <f>VLOOKUP(C57,Foundation_Calc!$W$4:$AE$37,9,FALSE)</f>
        <v>NEW</v>
      </c>
      <c r="G57" s="290">
        <f t="shared" si="8"/>
        <v>0</v>
      </c>
      <c r="H57" s="183">
        <f t="shared" si="1"/>
        <v>0</v>
      </c>
      <c r="I57" s="184">
        <f t="shared" si="2"/>
        <v>0</v>
      </c>
      <c r="J57" s="184">
        <f t="shared" si="3"/>
        <v>0</v>
      </c>
      <c r="K57" s="184">
        <f t="shared" si="4"/>
        <v>0</v>
      </c>
      <c r="L57" s="184">
        <f t="shared" si="5"/>
        <v>0</v>
      </c>
      <c r="M57" s="185">
        <f t="shared" si="6"/>
        <v>0</v>
      </c>
      <c r="N57" s="23" t="s">
        <v>2505</v>
      </c>
    </row>
    <row r="58" spans="1:14" ht="32.1" customHeight="1">
      <c r="A58" s="856"/>
      <c r="B58" s="853"/>
      <c r="C58" s="23" t="s">
        <v>2445</v>
      </c>
      <c r="D58" s="26" t="s">
        <v>1294</v>
      </c>
      <c r="E58" s="23" t="s">
        <v>1297</v>
      </c>
      <c r="F58" s="34" t="str">
        <f t="shared" ref="F58" si="20">F57</f>
        <v>NEW</v>
      </c>
      <c r="G58" s="290">
        <f t="shared" si="8"/>
        <v>0</v>
      </c>
      <c r="H58" s="183">
        <f t="shared" si="1"/>
        <v>0</v>
      </c>
      <c r="I58" s="184">
        <f t="shared" si="2"/>
        <v>0</v>
      </c>
      <c r="J58" s="184">
        <f t="shared" si="3"/>
        <v>0</v>
      </c>
      <c r="K58" s="184">
        <f t="shared" si="4"/>
        <v>0</v>
      </c>
      <c r="L58" s="184">
        <f t="shared" si="5"/>
        <v>0</v>
      </c>
      <c r="M58" s="185">
        <f t="shared" si="6"/>
        <v>0</v>
      </c>
      <c r="N58" s="23" t="s">
        <v>2506</v>
      </c>
    </row>
    <row r="59" spans="1:14" ht="32.1" customHeight="1">
      <c r="A59" s="856"/>
      <c r="B59" s="853"/>
      <c r="C59" s="33" t="s">
        <v>2431</v>
      </c>
      <c r="D59" s="34" t="s">
        <v>1023</v>
      </c>
      <c r="E59" s="33" t="s">
        <v>1024</v>
      </c>
      <c r="F59" s="34" t="str">
        <f>VLOOKUP(C59,Foundation_Calc!$W$4:$AE$37,9,FALSE)</f>
        <v>DW6905</v>
      </c>
      <c r="G59" s="290">
        <f t="shared" si="8"/>
        <v>0</v>
      </c>
      <c r="H59" s="183">
        <f t="shared" si="1"/>
        <v>0</v>
      </c>
      <c r="I59" s="184">
        <f t="shared" si="2"/>
        <v>0</v>
      </c>
      <c r="J59" s="184">
        <f t="shared" si="3"/>
        <v>0</v>
      </c>
      <c r="K59" s="184">
        <f t="shared" si="4"/>
        <v>0</v>
      </c>
      <c r="L59" s="184">
        <f t="shared" si="5"/>
        <v>0</v>
      </c>
      <c r="M59" s="185">
        <f t="shared" si="6"/>
        <v>0</v>
      </c>
      <c r="N59" s="33" t="s">
        <v>2507</v>
      </c>
    </row>
    <row r="60" spans="1:14" ht="32.1" customHeight="1">
      <c r="A60" s="856"/>
      <c r="B60" s="853"/>
      <c r="C60" s="33" t="s">
        <v>2446</v>
      </c>
      <c r="D60" s="34" t="s">
        <v>1025</v>
      </c>
      <c r="E60" s="33" t="s">
        <v>1026</v>
      </c>
      <c r="F60" s="34" t="str">
        <f t="shared" ref="F60" si="21">F59</f>
        <v>DW6905</v>
      </c>
      <c r="G60" s="290">
        <f t="shared" si="8"/>
        <v>0</v>
      </c>
      <c r="H60" s="183">
        <f t="shared" si="1"/>
        <v>0</v>
      </c>
      <c r="I60" s="184">
        <f t="shared" si="2"/>
        <v>0</v>
      </c>
      <c r="J60" s="184">
        <f t="shared" si="3"/>
        <v>0</v>
      </c>
      <c r="K60" s="184">
        <f t="shared" si="4"/>
        <v>0</v>
      </c>
      <c r="L60" s="184">
        <f t="shared" si="5"/>
        <v>0</v>
      </c>
      <c r="M60" s="185">
        <f t="shared" si="6"/>
        <v>0</v>
      </c>
      <c r="N60" s="33" t="s">
        <v>2508</v>
      </c>
    </row>
    <row r="61" spans="1:14" ht="32.1" customHeight="1">
      <c r="A61" s="856"/>
      <c r="B61" s="853"/>
      <c r="C61" s="33" t="s">
        <v>2432</v>
      </c>
      <c r="D61" s="34" t="s">
        <v>1019</v>
      </c>
      <c r="E61" s="33" t="s">
        <v>1020</v>
      </c>
      <c r="F61" s="34" t="str">
        <f>VLOOKUP(C61,Foundation_Calc!$W$4:$AE$37,9,FALSE)</f>
        <v>DW6906</v>
      </c>
      <c r="G61" s="290">
        <f t="shared" si="8"/>
        <v>0</v>
      </c>
      <c r="H61" s="183">
        <f t="shared" si="1"/>
        <v>0</v>
      </c>
      <c r="I61" s="184">
        <f t="shared" si="2"/>
        <v>0</v>
      </c>
      <c r="J61" s="184">
        <f t="shared" si="3"/>
        <v>0</v>
      </c>
      <c r="K61" s="184">
        <f t="shared" si="4"/>
        <v>0</v>
      </c>
      <c r="L61" s="184">
        <f t="shared" si="5"/>
        <v>0</v>
      </c>
      <c r="M61" s="185">
        <f t="shared" si="6"/>
        <v>0</v>
      </c>
      <c r="N61" s="33" t="s">
        <v>2509</v>
      </c>
    </row>
    <row r="62" spans="1:14" ht="32.1" customHeight="1">
      <c r="A62" s="856"/>
      <c r="B62" s="853"/>
      <c r="C62" s="33" t="s">
        <v>2447</v>
      </c>
      <c r="D62" s="34" t="s">
        <v>1021</v>
      </c>
      <c r="E62" s="33" t="s">
        <v>1022</v>
      </c>
      <c r="F62" s="34" t="str">
        <f t="shared" ref="F62" si="22">F61</f>
        <v>DW6906</v>
      </c>
      <c r="G62" s="290">
        <f t="shared" si="8"/>
        <v>0</v>
      </c>
      <c r="H62" s="183">
        <f t="shared" si="1"/>
        <v>0</v>
      </c>
      <c r="I62" s="184">
        <f t="shared" si="2"/>
        <v>0</v>
      </c>
      <c r="J62" s="184">
        <f t="shared" si="3"/>
        <v>0</v>
      </c>
      <c r="K62" s="184">
        <f t="shared" si="4"/>
        <v>0</v>
      </c>
      <c r="L62" s="184">
        <f t="shared" si="5"/>
        <v>0</v>
      </c>
      <c r="M62" s="185">
        <f t="shared" si="6"/>
        <v>0</v>
      </c>
      <c r="N62" s="33" t="s">
        <v>2510</v>
      </c>
    </row>
    <row r="63" spans="1:14" ht="32.1" customHeight="1">
      <c r="A63" s="857"/>
      <c r="B63" s="646"/>
      <c r="C63" s="24" t="s">
        <v>1031</v>
      </c>
      <c r="D63" s="27" t="s">
        <v>1031</v>
      </c>
      <c r="E63" s="24" t="s">
        <v>1032</v>
      </c>
      <c r="F63" s="27"/>
      <c r="G63" s="191">
        <f t="shared" si="0"/>
        <v>0</v>
      </c>
      <c r="H63" s="186">
        <f t="shared" si="1"/>
        <v>0</v>
      </c>
      <c r="I63" s="187">
        <f t="shared" si="2"/>
        <v>0</v>
      </c>
      <c r="J63" s="187">
        <f t="shared" si="3"/>
        <v>0</v>
      </c>
      <c r="K63" s="187">
        <f t="shared" si="4"/>
        <v>0</v>
      </c>
      <c r="L63" s="187">
        <f t="shared" si="5"/>
        <v>0</v>
      </c>
      <c r="M63" s="188">
        <f t="shared" si="6"/>
        <v>0</v>
      </c>
      <c r="N63" s="24" t="s">
        <v>1421</v>
      </c>
    </row>
    <row r="64" spans="1:14" ht="32.1" customHeight="1">
      <c r="A64" s="855" t="s">
        <v>1502</v>
      </c>
      <c r="B64" s="878"/>
      <c r="C64" s="138" t="s">
        <v>1095</v>
      </c>
      <c r="D64" s="25" t="s">
        <v>57</v>
      </c>
      <c r="E64" s="22" t="s">
        <v>1033</v>
      </c>
      <c r="F64" s="25" t="str">
        <f>VLOOKUP(C64,Foundation_Calc!$W$4:$AE$37,9,FALSE)</f>
        <v>DW6903</v>
      </c>
      <c r="G64" s="189">
        <f t="shared" si="0"/>
        <v>46</v>
      </c>
      <c r="H64" s="177">
        <f>COUNTIF(Area_v1_AncFound,$C64)</f>
        <v>17</v>
      </c>
      <c r="I64" s="178">
        <f>COUNTIF(Area_v2_AncFound,$C64)</f>
        <v>17</v>
      </c>
      <c r="J64" s="178">
        <f>COUNTIF(Area_v1MOM_AncFound,$C64)</f>
        <v>3</v>
      </c>
      <c r="K64" s="178">
        <f>COUNTIF(Area_v4_AncFound,$C64)</f>
        <v>2</v>
      </c>
      <c r="L64" s="178">
        <f>COUNTIF(Area_v4PMO_AncFound,$C64)</f>
        <v>4</v>
      </c>
      <c r="M64" s="179">
        <f>COUNTIF(Area_v6PMO_AncFound,$C64)</f>
        <v>3</v>
      </c>
      <c r="N64" s="138" t="s">
        <v>1422</v>
      </c>
    </row>
    <row r="65" spans="1:14" ht="32.1" customHeight="1">
      <c r="A65" s="856"/>
      <c r="B65" s="883"/>
      <c r="C65" s="69" t="s">
        <v>723</v>
      </c>
      <c r="D65" s="26" t="s">
        <v>57</v>
      </c>
      <c r="E65" s="23" t="s">
        <v>1034</v>
      </c>
      <c r="F65" s="26" t="str">
        <f t="shared" ref="F65:F67" si="23">F64</f>
        <v>DW6903</v>
      </c>
      <c r="G65" s="190">
        <f t="shared" si="0"/>
        <v>0</v>
      </c>
      <c r="H65" s="180">
        <f>COUNTIF(Area_v1_AncFound,$C65)</f>
        <v>0</v>
      </c>
      <c r="I65" s="181">
        <f>COUNTIF(Area_v2_AncFound,$C65)</f>
        <v>0</v>
      </c>
      <c r="J65" s="181">
        <f>COUNTIF(Area_v1MOM_AncFound,$C65)</f>
        <v>0</v>
      </c>
      <c r="K65" s="181">
        <f>COUNTIF(Area_v4_AncFound,$C65)</f>
        <v>0</v>
      </c>
      <c r="L65" s="181">
        <f>COUNTIF(Area_v4PMO_AncFound,$C65)</f>
        <v>0</v>
      </c>
      <c r="M65" s="182">
        <f>COUNTIF(Area_v6PMO_AncFound,$C65)</f>
        <v>0</v>
      </c>
      <c r="N65" s="69" t="s">
        <v>1423</v>
      </c>
    </row>
    <row r="66" spans="1:14" ht="32.1" customHeight="1">
      <c r="A66" s="856"/>
      <c r="B66" s="883"/>
      <c r="C66" s="69" t="s">
        <v>1096</v>
      </c>
      <c r="D66" s="26" t="s">
        <v>58</v>
      </c>
      <c r="E66" s="23" t="s">
        <v>1035</v>
      </c>
      <c r="F66" s="26" t="str">
        <f>VLOOKUP(C66,Foundation_Calc!$W$4:$AE$37,9,FALSE)</f>
        <v>DW6903</v>
      </c>
      <c r="G66" s="190">
        <f t="shared" si="0"/>
        <v>37</v>
      </c>
      <c r="H66" s="180">
        <f>COUNTIF(Area_v1_AncFound,$C66)</f>
        <v>14</v>
      </c>
      <c r="I66" s="181">
        <f>COUNTIF(Area_v2_AncFound,$C66)</f>
        <v>14</v>
      </c>
      <c r="J66" s="181">
        <f>COUNTIF(Area_v1MOM_AncFound,$C66)</f>
        <v>0</v>
      </c>
      <c r="K66" s="181">
        <f>COUNTIF(Area_v4_AncFound,$C66)</f>
        <v>0</v>
      </c>
      <c r="L66" s="181">
        <f>COUNTIF(Area_v4PMO_AncFound,$C66)</f>
        <v>3</v>
      </c>
      <c r="M66" s="182">
        <f>COUNTIF(Area_v6PMO_AncFound,$C66)</f>
        <v>6</v>
      </c>
      <c r="N66" s="69" t="s">
        <v>1424</v>
      </c>
    </row>
    <row r="67" spans="1:14" ht="32.1" customHeight="1">
      <c r="A67" s="877"/>
      <c r="B67" s="879"/>
      <c r="C67" s="167" t="s">
        <v>746</v>
      </c>
      <c r="D67" s="27" t="s">
        <v>58</v>
      </c>
      <c r="E67" s="24" t="s">
        <v>1036</v>
      </c>
      <c r="F67" s="27" t="str">
        <f t="shared" si="23"/>
        <v>DW6903</v>
      </c>
      <c r="G67" s="191">
        <f t="shared" si="0"/>
        <v>0</v>
      </c>
      <c r="H67" s="186">
        <f>COUNTIF(Area_v1_AncFound,$C67)</f>
        <v>0</v>
      </c>
      <c r="I67" s="187">
        <f>COUNTIF(Area_v2_AncFound,$C67)</f>
        <v>0</v>
      </c>
      <c r="J67" s="187">
        <f>COUNTIF(Area_v1MOM_AncFound,$C67)</f>
        <v>0</v>
      </c>
      <c r="K67" s="187">
        <f>COUNTIF(Area_v4_AncFound,$C67)</f>
        <v>0</v>
      </c>
      <c r="L67" s="187">
        <f>COUNTIF(Area_v4PMO_AncFound,$C67)</f>
        <v>0</v>
      </c>
      <c r="M67" s="188">
        <f>COUNTIF(Area_v6PMO_AncFound,$C67)</f>
        <v>0</v>
      </c>
      <c r="N67" s="167" t="s">
        <v>1425</v>
      </c>
    </row>
    <row r="68" spans="1:14" ht="32.1" customHeight="1">
      <c r="A68" s="859" t="s">
        <v>1530</v>
      </c>
      <c r="B68" s="170"/>
      <c r="C68" s="32" t="s">
        <v>676</v>
      </c>
      <c r="D68" s="35" t="s">
        <v>676</v>
      </c>
      <c r="E68" s="32" t="s">
        <v>1426</v>
      </c>
      <c r="F68" s="35"/>
      <c r="G68" s="291">
        <f t="shared" ref="G68" si="24">SUM(H68:M68)</f>
        <v>0</v>
      </c>
      <c r="H68" s="192">
        <f t="shared" ref="H68:H153" si="25">COUNTIF(Area_v1,$C68)</f>
        <v>0</v>
      </c>
      <c r="I68" s="193">
        <f t="shared" ref="I68:I153" si="26">COUNTIF(Area_v2,$C68)</f>
        <v>0</v>
      </c>
      <c r="J68" s="193">
        <f t="shared" ref="J68:J153" si="27">COUNTIF(Area_v1MOM,$C68)</f>
        <v>0</v>
      </c>
      <c r="K68" s="193">
        <f t="shared" ref="K68:K153" si="28">COUNTIF(Area_v4MOM,$C68)</f>
        <v>0</v>
      </c>
      <c r="L68" s="193">
        <f t="shared" ref="L68:L153" si="29">COUNTIF(Area_v4PMO,$C68)</f>
        <v>0</v>
      </c>
      <c r="M68" s="194">
        <f t="shared" ref="M68:M153" si="30">COUNTIF(Area_v6PMO,$C68)</f>
        <v>0</v>
      </c>
      <c r="N68" s="32" t="s">
        <v>1461</v>
      </c>
    </row>
    <row r="69" spans="1:14" ht="32.1" customHeight="1">
      <c r="A69" s="860"/>
      <c r="B69" s="170"/>
      <c r="C69" s="23" t="s">
        <v>1037</v>
      </c>
      <c r="D69" s="26" t="s">
        <v>1037</v>
      </c>
      <c r="E69" s="23" t="s">
        <v>1427</v>
      </c>
      <c r="F69" s="26"/>
      <c r="G69" s="190">
        <f t="shared" ref="G69:G97" si="31">SUM(H69:M69)</f>
        <v>0</v>
      </c>
      <c r="H69" s="180">
        <f t="shared" si="25"/>
        <v>0</v>
      </c>
      <c r="I69" s="181">
        <f t="shared" si="26"/>
        <v>0</v>
      </c>
      <c r="J69" s="181">
        <f t="shared" si="27"/>
        <v>0</v>
      </c>
      <c r="K69" s="181">
        <f t="shared" si="28"/>
        <v>0</v>
      </c>
      <c r="L69" s="181">
        <f t="shared" si="29"/>
        <v>0</v>
      </c>
      <c r="M69" s="182">
        <f t="shared" si="30"/>
        <v>0</v>
      </c>
      <c r="N69" s="23" t="s">
        <v>1462</v>
      </c>
    </row>
    <row r="70" spans="1:14" ht="32.1" customHeight="1">
      <c r="A70" s="860"/>
      <c r="B70" s="170"/>
      <c r="C70" s="23" t="s">
        <v>675</v>
      </c>
      <c r="D70" s="26" t="s">
        <v>675</v>
      </c>
      <c r="E70" s="23" t="s">
        <v>1428</v>
      </c>
      <c r="F70" s="26"/>
      <c r="G70" s="190">
        <f t="shared" si="31"/>
        <v>0</v>
      </c>
      <c r="H70" s="180">
        <f t="shared" si="25"/>
        <v>0</v>
      </c>
      <c r="I70" s="181">
        <f t="shared" si="26"/>
        <v>0</v>
      </c>
      <c r="J70" s="181">
        <f t="shared" si="27"/>
        <v>0</v>
      </c>
      <c r="K70" s="181">
        <f t="shared" si="28"/>
        <v>0</v>
      </c>
      <c r="L70" s="181">
        <f t="shared" si="29"/>
        <v>0</v>
      </c>
      <c r="M70" s="182">
        <f t="shared" si="30"/>
        <v>0</v>
      </c>
      <c r="N70" s="23" t="s">
        <v>1463</v>
      </c>
    </row>
    <row r="71" spans="1:14" ht="32.1" customHeight="1">
      <c r="A71" s="860"/>
      <c r="B71" s="170"/>
      <c r="C71" s="23" t="s">
        <v>1038</v>
      </c>
      <c r="D71" s="26" t="s">
        <v>1038</v>
      </c>
      <c r="E71" s="23" t="s">
        <v>1429</v>
      </c>
      <c r="F71" s="26"/>
      <c r="G71" s="190">
        <f t="shared" si="31"/>
        <v>0</v>
      </c>
      <c r="H71" s="180">
        <f t="shared" si="25"/>
        <v>0</v>
      </c>
      <c r="I71" s="181">
        <f t="shared" si="26"/>
        <v>0</v>
      </c>
      <c r="J71" s="181">
        <f t="shared" si="27"/>
        <v>0</v>
      </c>
      <c r="K71" s="181">
        <f t="shared" si="28"/>
        <v>0</v>
      </c>
      <c r="L71" s="181">
        <f t="shared" si="29"/>
        <v>0</v>
      </c>
      <c r="M71" s="182">
        <f t="shared" si="30"/>
        <v>0</v>
      </c>
      <c r="N71" s="23" t="s">
        <v>1464</v>
      </c>
    </row>
    <row r="72" spans="1:14" ht="32.1" customHeight="1">
      <c r="A72" s="860"/>
      <c r="B72" s="170"/>
      <c r="C72" s="23" t="s">
        <v>680</v>
      </c>
      <c r="D72" s="26" t="s">
        <v>680</v>
      </c>
      <c r="E72" s="23" t="s">
        <v>1430</v>
      </c>
      <c r="F72" s="26"/>
      <c r="G72" s="190">
        <f t="shared" si="31"/>
        <v>0</v>
      </c>
      <c r="H72" s="180">
        <f t="shared" si="25"/>
        <v>0</v>
      </c>
      <c r="I72" s="181">
        <f t="shared" si="26"/>
        <v>0</v>
      </c>
      <c r="J72" s="181">
        <f t="shared" si="27"/>
        <v>0</v>
      </c>
      <c r="K72" s="181">
        <f t="shared" si="28"/>
        <v>0</v>
      </c>
      <c r="L72" s="181">
        <f t="shared" si="29"/>
        <v>0</v>
      </c>
      <c r="M72" s="182">
        <f t="shared" si="30"/>
        <v>0</v>
      </c>
      <c r="N72" s="23" t="s">
        <v>1465</v>
      </c>
    </row>
    <row r="73" spans="1:14" ht="32.1" customHeight="1">
      <c r="A73" s="860"/>
      <c r="B73" s="170"/>
      <c r="C73" s="23" t="s">
        <v>1431</v>
      </c>
      <c r="D73" s="26" t="s">
        <v>1431</v>
      </c>
      <c r="E73" s="23" t="s">
        <v>1432</v>
      </c>
      <c r="F73" s="26"/>
      <c r="G73" s="190">
        <f t="shared" si="31"/>
        <v>0</v>
      </c>
      <c r="H73" s="180">
        <f t="shared" si="25"/>
        <v>0</v>
      </c>
      <c r="I73" s="181">
        <f t="shared" si="26"/>
        <v>0</v>
      </c>
      <c r="J73" s="181">
        <f t="shared" si="27"/>
        <v>0</v>
      </c>
      <c r="K73" s="181">
        <f t="shared" si="28"/>
        <v>0</v>
      </c>
      <c r="L73" s="181">
        <f t="shared" si="29"/>
        <v>0</v>
      </c>
      <c r="M73" s="182">
        <f t="shared" si="30"/>
        <v>0</v>
      </c>
      <c r="N73" s="23" t="s">
        <v>1466</v>
      </c>
    </row>
    <row r="74" spans="1:14" ht="32.1" customHeight="1">
      <c r="A74" s="860"/>
      <c r="B74" s="170"/>
      <c r="C74" s="23" t="s">
        <v>679</v>
      </c>
      <c r="D74" s="26" t="s">
        <v>679</v>
      </c>
      <c r="E74" s="23" t="s">
        <v>1433</v>
      </c>
      <c r="F74" s="26"/>
      <c r="G74" s="190">
        <f t="shared" si="31"/>
        <v>0</v>
      </c>
      <c r="H74" s="180">
        <f t="shared" si="25"/>
        <v>0</v>
      </c>
      <c r="I74" s="181">
        <f t="shared" si="26"/>
        <v>0</v>
      </c>
      <c r="J74" s="181">
        <f t="shared" si="27"/>
        <v>0</v>
      </c>
      <c r="K74" s="181">
        <f t="shared" si="28"/>
        <v>0</v>
      </c>
      <c r="L74" s="181">
        <f t="shared" si="29"/>
        <v>0</v>
      </c>
      <c r="M74" s="182">
        <f t="shared" si="30"/>
        <v>0</v>
      </c>
      <c r="N74" s="23" t="s">
        <v>1467</v>
      </c>
    </row>
    <row r="75" spans="1:14" ht="32.1" customHeight="1">
      <c r="A75" s="860"/>
      <c r="B75" s="170"/>
      <c r="C75" s="23" t="s">
        <v>1039</v>
      </c>
      <c r="D75" s="26" t="s">
        <v>1039</v>
      </c>
      <c r="E75" s="23" t="s">
        <v>1434</v>
      </c>
      <c r="F75" s="26"/>
      <c r="G75" s="190">
        <f t="shared" si="31"/>
        <v>0</v>
      </c>
      <c r="H75" s="180">
        <f t="shared" si="25"/>
        <v>0</v>
      </c>
      <c r="I75" s="181">
        <f t="shared" si="26"/>
        <v>0</v>
      </c>
      <c r="J75" s="181">
        <f t="shared" si="27"/>
        <v>0</v>
      </c>
      <c r="K75" s="181">
        <f t="shared" si="28"/>
        <v>0</v>
      </c>
      <c r="L75" s="181">
        <f t="shared" si="29"/>
        <v>0</v>
      </c>
      <c r="M75" s="182">
        <f t="shared" si="30"/>
        <v>0</v>
      </c>
      <c r="N75" s="23" t="s">
        <v>1468</v>
      </c>
    </row>
    <row r="76" spans="1:14" ht="32.1" customHeight="1">
      <c r="A76" s="860"/>
      <c r="B76" s="170"/>
      <c r="C76" s="23" t="s">
        <v>1040</v>
      </c>
      <c r="D76" s="26" t="s">
        <v>1040</v>
      </c>
      <c r="E76" s="23" t="s">
        <v>1435</v>
      </c>
      <c r="F76" s="26"/>
      <c r="G76" s="190">
        <f t="shared" si="31"/>
        <v>0</v>
      </c>
      <c r="H76" s="180">
        <f t="shared" si="25"/>
        <v>0</v>
      </c>
      <c r="I76" s="181">
        <f t="shared" si="26"/>
        <v>0</v>
      </c>
      <c r="J76" s="181">
        <f t="shared" si="27"/>
        <v>0</v>
      </c>
      <c r="K76" s="181">
        <f t="shared" si="28"/>
        <v>0</v>
      </c>
      <c r="L76" s="181">
        <f t="shared" si="29"/>
        <v>0</v>
      </c>
      <c r="M76" s="182">
        <f t="shared" si="30"/>
        <v>0</v>
      </c>
      <c r="N76" s="23" t="s">
        <v>1469</v>
      </c>
    </row>
    <row r="77" spans="1:14" ht="32.1" customHeight="1">
      <c r="A77" s="860"/>
      <c r="B77" s="170"/>
      <c r="C77" s="23" t="s">
        <v>1041</v>
      </c>
      <c r="D77" s="26" t="s">
        <v>1041</v>
      </c>
      <c r="E77" s="23" t="s">
        <v>1436</v>
      </c>
      <c r="F77" s="26"/>
      <c r="G77" s="190">
        <f t="shared" si="31"/>
        <v>0</v>
      </c>
      <c r="H77" s="180">
        <f t="shared" si="25"/>
        <v>0</v>
      </c>
      <c r="I77" s="181">
        <f t="shared" si="26"/>
        <v>0</v>
      </c>
      <c r="J77" s="181">
        <f t="shared" si="27"/>
        <v>0</v>
      </c>
      <c r="K77" s="181">
        <f t="shared" si="28"/>
        <v>0</v>
      </c>
      <c r="L77" s="181">
        <f t="shared" si="29"/>
        <v>0</v>
      </c>
      <c r="M77" s="182">
        <f t="shared" si="30"/>
        <v>0</v>
      </c>
      <c r="N77" s="23" t="s">
        <v>1470</v>
      </c>
    </row>
    <row r="78" spans="1:14" ht="32.1" customHeight="1">
      <c r="A78" s="860"/>
      <c r="B78" s="170"/>
      <c r="C78" s="23" t="s">
        <v>1298</v>
      </c>
      <c r="D78" s="26" t="s">
        <v>1298</v>
      </c>
      <c r="E78" s="23" t="s">
        <v>1437</v>
      </c>
      <c r="F78" s="26"/>
      <c r="G78" s="190">
        <f t="shared" si="31"/>
        <v>0</v>
      </c>
      <c r="H78" s="180">
        <f t="shared" si="25"/>
        <v>0</v>
      </c>
      <c r="I78" s="181">
        <f t="shared" si="26"/>
        <v>0</v>
      </c>
      <c r="J78" s="181">
        <f t="shared" si="27"/>
        <v>0</v>
      </c>
      <c r="K78" s="181">
        <f t="shared" si="28"/>
        <v>0</v>
      </c>
      <c r="L78" s="181">
        <f t="shared" si="29"/>
        <v>0</v>
      </c>
      <c r="M78" s="182">
        <f t="shared" si="30"/>
        <v>0</v>
      </c>
      <c r="N78" s="23" t="s">
        <v>1471</v>
      </c>
    </row>
    <row r="79" spans="1:14" ht="32.1" customHeight="1">
      <c r="A79" s="860"/>
      <c r="B79" s="170"/>
      <c r="C79" s="23" t="s">
        <v>1299</v>
      </c>
      <c r="D79" s="26" t="s">
        <v>1299</v>
      </c>
      <c r="E79" s="23" t="s">
        <v>1438</v>
      </c>
      <c r="F79" s="26"/>
      <c r="G79" s="190">
        <f t="shared" si="31"/>
        <v>0</v>
      </c>
      <c r="H79" s="180">
        <f t="shared" si="25"/>
        <v>0</v>
      </c>
      <c r="I79" s="181">
        <f t="shared" si="26"/>
        <v>0</v>
      </c>
      <c r="J79" s="181">
        <f t="shared" si="27"/>
        <v>0</v>
      </c>
      <c r="K79" s="181">
        <f t="shared" si="28"/>
        <v>0</v>
      </c>
      <c r="L79" s="181">
        <f t="shared" si="29"/>
        <v>0</v>
      </c>
      <c r="M79" s="182">
        <f t="shared" si="30"/>
        <v>0</v>
      </c>
      <c r="N79" s="23" t="s">
        <v>1472</v>
      </c>
    </row>
    <row r="80" spans="1:14" ht="32.1" customHeight="1">
      <c r="A80" s="860"/>
      <c r="B80" s="170"/>
      <c r="C80" s="23" t="s">
        <v>1300</v>
      </c>
      <c r="D80" s="26" t="s">
        <v>1300</v>
      </c>
      <c r="E80" s="23" t="s">
        <v>1439</v>
      </c>
      <c r="F80" s="26"/>
      <c r="G80" s="190">
        <f t="shared" si="31"/>
        <v>0</v>
      </c>
      <c r="H80" s="180">
        <f t="shared" si="25"/>
        <v>0</v>
      </c>
      <c r="I80" s="181">
        <f t="shared" si="26"/>
        <v>0</v>
      </c>
      <c r="J80" s="181">
        <f t="shared" si="27"/>
        <v>0</v>
      </c>
      <c r="K80" s="181">
        <f t="shared" si="28"/>
        <v>0</v>
      </c>
      <c r="L80" s="181">
        <f t="shared" si="29"/>
        <v>0</v>
      </c>
      <c r="M80" s="182">
        <f t="shared" si="30"/>
        <v>0</v>
      </c>
      <c r="N80" s="23" t="s">
        <v>1473</v>
      </c>
    </row>
    <row r="81" spans="1:14" ht="32.1" customHeight="1">
      <c r="A81" s="860"/>
      <c r="B81" s="170"/>
      <c r="C81" s="23" t="s">
        <v>1301</v>
      </c>
      <c r="D81" s="26" t="s">
        <v>1301</v>
      </c>
      <c r="E81" s="23" t="s">
        <v>1440</v>
      </c>
      <c r="F81" s="26"/>
      <c r="G81" s="190">
        <f t="shared" si="31"/>
        <v>0</v>
      </c>
      <c r="H81" s="180">
        <f t="shared" si="25"/>
        <v>0</v>
      </c>
      <c r="I81" s="181">
        <f t="shared" si="26"/>
        <v>0</v>
      </c>
      <c r="J81" s="181">
        <f t="shared" si="27"/>
        <v>0</v>
      </c>
      <c r="K81" s="181">
        <f t="shared" si="28"/>
        <v>0</v>
      </c>
      <c r="L81" s="181">
        <f t="shared" si="29"/>
        <v>0</v>
      </c>
      <c r="M81" s="182">
        <f t="shared" si="30"/>
        <v>0</v>
      </c>
      <c r="N81" s="23" t="s">
        <v>1474</v>
      </c>
    </row>
    <row r="82" spans="1:14" ht="32.1" customHeight="1">
      <c r="A82" s="860"/>
      <c r="B82" s="170"/>
      <c r="C82" s="23" t="s">
        <v>1302</v>
      </c>
      <c r="D82" s="26" t="s">
        <v>1302</v>
      </c>
      <c r="E82" s="23" t="s">
        <v>1441</v>
      </c>
      <c r="F82" s="26"/>
      <c r="G82" s="190">
        <f t="shared" si="31"/>
        <v>0</v>
      </c>
      <c r="H82" s="180">
        <f t="shared" si="25"/>
        <v>0</v>
      </c>
      <c r="I82" s="181">
        <f t="shared" si="26"/>
        <v>0</v>
      </c>
      <c r="J82" s="181">
        <f t="shared" si="27"/>
        <v>0</v>
      </c>
      <c r="K82" s="181">
        <f t="shared" si="28"/>
        <v>0</v>
      </c>
      <c r="L82" s="181">
        <f t="shared" si="29"/>
        <v>0</v>
      </c>
      <c r="M82" s="182">
        <f t="shared" si="30"/>
        <v>0</v>
      </c>
      <c r="N82" s="23" t="s">
        <v>1475</v>
      </c>
    </row>
    <row r="83" spans="1:14" ht="32.1" customHeight="1">
      <c r="A83" s="860"/>
      <c r="B83" s="170"/>
      <c r="C83" s="23" t="s">
        <v>1303</v>
      </c>
      <c r="D83" s="26" t="s">
        <v>1303</v>
      </c>
      <c r="E83" s="23" t="s">
        <v>1442</v>
      </c>
      <c r="F83" s="26"/>
      <c r="G83" s="190">
        <f t="shared" si="31"/>
        <v>0</v>
      </c>
      <c r="H83" s="180">
        <f t="shared" si="25"/>
        <v>0</v>
      </c>
      <c r="I83" s="181">
        <f t="shared" si="26"/>
        <v>0</v>
      </c>
      <c r="J83" s="181">
        <f t="shared" si="27"/>
        <v>0</v>
      </c>
      <c r="K83" s="181">
        <f t="shared" si="28"/>
        <v>0</v>
      </c>
      <c r="L83" s="181">
        <f t="shared" si="29"/>
        <v>0</v>
      </c>
      <c r="M83" s="182">
        <f t="shared" si="30"/>
        <v>0</v>
      </c>
      <c r="N83" s="23" t="s">
        <v>1476</v>
      </c>
    </row>
    <row r="84" spans="1:14" ht="32.1" customHeight="1">
      <c r="A84" s="860"/>
      <c r="B84" s="170"/>
      <c r="C84" s="23" t="s">
        <v>1304</v>
      </c>
      <c r="D84" s="26" t="s">
        <v>1304</v>
      </c>
      <c r="E84" s="23" t="s">
        <v>1443</v>
      </c>
      <c r="F84" s="26"/>
      <c r="G84" s="190">
        <f t="shared" si="31"/>
        <v>0</v>
      </c>
      <c r="H84" s="180">
        <f t="shared" si="25"/>
        <v>0</v>
      </c>
      <c r="I84" s="181">
        <f t="shared" si="26"/>
        <v>0</v>
      </c>
      <c r="J84" s="181">
        <f t="shared" si="27"/>
        <v>0</v>
      </c>
      <c r="K84" s="181">
        <f t="shared" si="28"/>
        <v>0</v>
      </c>
      <c r="L84" s="181">
        <f t="shared" si="29"/>
        <v>0</v>
      </c>
      <c r="M84" s="182">
        <f t="shared" si="30"/>
        <v>0</v>
      </c>
      <c r="N84" s="23" t="s">
        <v>1477</v>
      </c>
    </row>
    <row r="85" spans="1:14" ht="32.1" customHeight="1">
      <c r="A85" s="860"/>
      <c r="B85" s="170"/>
      <c r="C85" s="32" t="s">
        <v>1305</v>
      </c>
      <c r="D85" s="35" t="s">
        <v>1305</v>
      </c>
      <c r="E85" s="32" t="s">
        <v>1443</v>
      </c>
      <c r="F85" s="35"/>
      <c r="G85" s="291">
        <f t="shared" si="31"/>
        <v>0</v>
      </c>
      <c r="H85" s="192">
        <f t="shared" si="25"/>
        <v>0</v>
      </c>
      <c r="I85" s="193">
        <f t="shared" si="26"/>
        <v>0</v>
      </c>
      <c r="J85" s="193">
        <f t="shared" si="27"/>
        <v>0</v>
      </c>
      <c r="K85" s="193">
        <f t="shared" si="28"/>
        <v>0</v>
      </c>
      <c r="L85" s="193">
        <f t="shared" si="29"/>
        <v>0</v>
      </c>
      <c r="M85" s="194">
        <f t="shared" si="30"/>
        <v>0</v>
      </c>
      <c r="N85" s="32" t="s">
        <v>1477</v>
      </c>
    </row>
    <row r="86" spans="1:14" ht="32.1" customHeight="1">
      <c r="A86" s="860"/>
      <c r="B86" s="170"/>
      <c r="C86" s="23" t="s">
        <v>1306</v>
      </c>
      <c r="D86" s="26" t="s">
        <v>1306</v>
      </c>
      <c r="E86" s="23" t="s">
        <v>1444</v>
      </c>
      <c r="F86" s="35"/>
      <c r="G86" s="291">
        <f t="shared" si="31"/>
        <v>0</v>
      </c>
      <c r="H86" s="192">
        <f t="shared" si="25"/>
        <v>0</v>
      </c>
      <c r="I86" s="193">
        <f t="shared" si="26"/>
        <v>0</v>
      </c>
      <c r="J86" s="193">
        <f t="shared" si="27"/>
        <v>0</v>
      </c>
      <c r="K86" s="193">
        <f t="shared" si="28"/>
        <v>0</v>
      </c>
      <c r="L86" s="193">
        <f t="shared" si="29"/>
        <v>0</v>
      </c>
      <c r="M86" s="194">
        <f t="shared" si="30"/>
        <v>0</v>
      </c>
      <c r="N86" s="23" t="s">
        <v>1478</v>
      </c>
    </row>
    <row r="87" spans="1:14" ht="32.1" customHeight="1">
      <c r="A87" s="860"/>
      <c r="B87" s="170"/>
      <c r="C87" s="23" t="s">
        <v>1307</v>
      </c>
      <c r="D87" s="26" t="s">
        <v>1307</v>
      </c>
      <c r="E87" s="23" t="s">
        <v>1444</v>
      </c>
      <c r="F87" s="35"/>
      <c r="G87" s="291">
        <f t="shared" si="31"/>
        <v>0</v>
      </c>
      <c r="H87" s="192">
        <f t="shared" si="25"/>
        <v>0</v>
      </c>
      <c r="I87" s="193">
        <f t="shared" si="26"/>
        <v>0</v>
      </c>
      <c r="J87" s="193">
        <f t="shared" si="27"/>
        <v>0</v>
      </c>
      <c r="K87" s="193">
        <f t="shared" si="28"/>
        <v>0</v>
      </c>
      <c r="L87" s="193">
        <f t="shared" si="29"/>
        <v>0</v>
      </c>
      <c r="M87" s="194">
        <f t="shared" si="30"/>
        <v>0</v>
      </c>
      <c r="N87" s="23" t="s">
        <v>1478</v>
      </c>
    </row>
    <row r="88" spans="1:14" ht="32.1" customHeight="1">
      <c r="A88" s="860"/>
      <c r="B88" s="170"/>
      <c r="C88" s="32" t="s">
        <v>1042</v>
      </c>
      <c r="D88" s="35" t="s">
        <v>1042</v>
      </c>
      <c r="E88" s="32" t="s">
        <v>1445</v>
      </c>
      <c r="F88" s="35"/>
      <c r="G88" s="291">
        <f t="shared" si="31"/>
        <v>0</v>
      </c>
      <c r="H88" s="192">
        <f t="shared" si="25"/>
        <v>0</v>
      </c>
      <c r="I88" s="193">
        <f t="shared" si="26"/>
        <v>0</v>
      </c>
      <c r="J88" s="193">
        <f t="shared" si="27"/>
        <v>0</v>
      </c>
      <c r="K88" s="193">
        <f t="shared" si="28"/>
        <v>0</v>
      </c>
      <c r="L88" s="193">
        <f t="shared" si="29"/>
        <v>0</v>
      </c>
      <c r="M88" s="194">
        <f t="shared" si="30"/>
        <v>0</v>
      </c>
      <c r="N88" s="32" t="s">
        <v>1479</v>
      </c>
    </row>
    <row r="89" spans="1:14" ht="32.1" customHeight="1">
      <c r="A89" s="860"/>
      <c r="B89" s="170"/>
      <c r="C89" s="23" t="s">
        <v>1308</v>
      </c>
      <c r="D89" s="26" t="s">
        <v>1308</v>
      </c>
      <c r="E89" s="23" t="s">
        <v>1446</v>
      </c>
      <c r="F89" s="35"/>
      <c r="G89" s="291">
        <f t="shared" si="31"/>
        <v>0</v>
      </c>
      <c r="H89" s="192">
        <f t="shared" si="25"/>
        <v>0</v>
      </c>
      <c r="I89" s="193">
        <f t="shared" si="26"/>
        <v>0</v>
      </c>
      <c r="J89" s="193">
        <f t="shared" si="27"/>
        <v>0</v>
      </c>
      <c r="K89" s="193">
        <f t="shared" si="28"/>
        <v>0</v>
      </c>
      <c r="L89" s="193">
        <f t="shared" si="29"/>
        <v>0</v>
      </c>
      <c r="M89" s="194">
        <f t="shared" si="30"/>
        <v>0</v>
      </c>
      <c r="N89" s="23" t="s">
        <v>1480</v>
      </c>
    </row>
    <row r="90" spans="1:14" ht="32.1" customHeight="1">
      <c r="A90" s="860"/>
      <c r="B90" s="170"/>
      <c r="C90" s="23" t="s">
        <v>1309</v>
      </c>
      <c r="D90" s="26" t="s">
        <v>1309</v>
      </c>
      <c r="E90" s="23" t="s">
        <v>1447</v>
      </c>
      <c r="F90" s="35"/>
      <c r="G90" s="291">
        <f t="shared" si="31"/>
        <v>0</v>
      </c>
      <c r="H90" s="192">
        <f t="shared" si="25"/>
        <v>0</v>
      </c>
      <c r="I90" s="193">
        <f t="shared" si="26"/>
        <v>0</v>
      </c>
      <c r="J90" s="193">
        <f t="shared" si="27"/>
        <v>0</v>
      </c>
      <c r="K90" s="193">
        <f t="shared" si="28"/>
        <v>0</v>
      </c>
      <c r="L90" s="193">
        <f t="shared" si="29"/>
        <v>0</v>
      </c>
      <c r="M90" s="194">
        <f t="shared" si="30"/>
        <v>0</v>
      </c>
      <c r="N90" s="23" t="s">
        <v>1481</v>
      </c>
    </row>
    <row r="91" spans="1:14" ht="32.1" customHeight="1">
      <c r="A91" s="860"/>
      <c r="B91" s="170"/>
      <c r="C91" s="32" t="s">
        <v>1310</v>
      </c>
      <c r="D91" s="35" t="s">
        <v>1310</v>
      </c>
      <c r="E91" s="32" t="s">
        <v>1448</v>
      </c>
      <c r="F91" s="35"/>
      <c r="G91" s="291">
        <f t="shared" si="31"/>
        <v>0</v>
      </c>
      <c r="H91" s="192">
        <f t="shared" si="25"/>
        <v>0</v>
      </c>
      <c r="I91" s="193">
        <f t="shared" si="26"/>
        <v>0</v>
      </c>
      <c r="J91" s="193">
        <f t="shared" si="27"/>
        <v>0</v>
      </c>
      <c r="K91" s="193">
        <f t="shared" si="28"/>
        <v>0</v>
      </c>
      <c r="L91" s="193">
        <f t="shared" si="29"/>
        <v>0</v>
      </c>
      <c r="M91" s="194">
        <f t="shared" si="30"/>
        <v>0</v>
      </c>
      <c r="N91" s="32" t="s">
        <v>1482</v>
      </c>
    </row>
    <row r="92" spans="1:14" ht="32.1" customHeight="1">
      <c r="A92" s="860"/>
      <c r="B92" s="170"/>
      <c r="C92" s="23" t="s">
        <v>1449</v>
      </c>
      <c r="D92" s="26" t="s">
        <v>1449</v>
      </c>
      <c r="E92" s="23" t="s">
        <v>1450</v>
      </c>
      <c r="F92" s="35"/>
      <c r="G92" s="291">
        <f t="shared" si="31"/>
        <v>0</v>
      </c>
      <c r="H92" s="192">
        <f t="shared" si="25"/>
        <v>0</v>
      </c>
      <c r="I92" s="193">
        <f t="shared" si="26"/>
        <v>0</v>
      </c>
      <c r="J92" s="193">
        <f t="shared" si="27"/>
        <v>0</v>
      </c>
      <c r="K92" s="193">
        <f t="shared" si="28"/>
        <v>0</v>
      </c>
      <c r="L92" s="193">
        <f t="shared" si="29"/>
        <v>0</v>
      </c>
      <c r="M92" s="194">
        <f t="shared" si="30"/>
        <v>0</v>
      </c>
      <c r="N92" s="23" t="s">
        <v>1483</v>
      </c>
    </row>
    <row r="93" spans="1:14" ht="32.1" customHeight="1">
      <c r="A93" s="860"/>
      <c r="B93" s="170"/>
      <c r="C93" s="23" t="s">
        <v>1451</v>
      </c>
      <c r="D93" s="26" t="s">
        <v>1451</v>
      </c>
      <c r="E93" s="23" t="s">
        <v>1452</v>
      </c>
      <c r="F93" s="35"/>
      <c r="G93" s="291">
        <f t="shared" si="31"/>
        <v>0</v>
      </c>
      <c r="H93" s="192">
        <f t="shared" si="25"/>
        <v>0</v>
      </c>
      <c r="I93" s="193">
        <f t="shared" si="26"/>
        <v>0</v>
      </c>
      <c r="J93" s="193">
        <f t="shared" si="27"/>
        <v>0</v>
      </c>
      <c r="K93" s="193">
        <f t="shared" si="28"/>
        <v>0</v>
      </c>
      <c r="L93" s="193">
        <f t="shared" si="29"/>
        <v>0</v>
      </c>
      <c r="M93" s="194">
        <f t="shared" si="30"/>
        <v>0</v>
      </c>
      <c r="N93" s="23" t="s">
        <v>1484</v>
      </c>
    </row>
    <row r="94" spans="1:14" ht="32.1" customHeight="1">
      <c r="A94" s="860"/>
      <c r="B94" s="170"/>
      <c r="C94" s="32" t="s">
        <v>1453</v>
      </c>
      <c r="D94" s="35" t="s">
        <v>1453</v>
      </c>
      <c r="E94" s="32" t="s">
        <v>1454</v>
      </c>
      <c r="F94" s="35"/>
      <c r="G94" s="291">
        <f t="shared" si="31"/>
        <v>0</v>
      </c>
      <c r="H94" s="192">
        <f t="shared" si="25"/>
        <v>0</v>
      </c>
      <c r="I94" s="193">
        <f t="shared" si="26"/>
        <v>0</v>
      </c>
      <c r="J94" s="193">
        <f t="shared" si="27"/>
        <v>0</v>
      </c>
      <c r="K94" s="193">
        <f t="shared" si="28"/>
        <v>0</v>
      </c>
      <c r="L94" s="193">
        <f t="shared" si="29"/>
        <v>0</v>
      </c>
      <c r="M94" s="194">
        <f t="shared" si="30"/>
        <v>0</v>
      </c>
      <c r="N94" s="32" t="s">
        <v>1485</v>
      </c>
    </row>
    <row r="95" spans="1:14" ht="32.1" customHeight="1">
      <c r="A95" s="860"/>
      <c r="B95" s="170"/>
      <c r="C95" s="23" t="s">
        <v>1455</v>
      </c>
      <c r="D95" s="26" t="s">
        <v>1455</v>
      </c>
      <c r="E95" s="23" t="s">
        <v>1456</v>
      </c>
      <c r="F95" s="35"/>
      <c r="G95" s="291">
        <f t="shared" si="31"/>
        <v>0</v>
      </c>
      <c r="H95" s="192">
        <f t="shared" si="25"/>
        <v>0</v>
      </c>
      <c r="I95" s="193">
        <f t="shared" si="26"/>
        <v>0</v>
      </c>
      <c r="J95" s="193">
        <f t="shared" si="27"/>
        <v>0</v>
      </c>
      <c r="K95" s="193">
        <f t="shared" si="28"/>
        <v>0</v>
      </c>
      <c r="L95" s="193">
        <f t="shared" si="29"/>
        <v>0</v>
      </c>
      <c r="M95" s="194">
        <f t="shared" si="30"/>
        <v>0</v>
      </c>
      <c r="N95" s="23" t="s">
        <v>1486</v>
      </c>
    </row>
    <row r="96" spans="1:14" ht="32.1" customHeight="1">
      <c r="A96" s="860"/>
      <c r="B96" s="170"/>
      <c r="C96" s="23" t="s">
        <v>1457</v>
      </c>
      <c r="D96" s="26" t="s">
        <v>1457</v>
      </c>
      <c r="E96" s="23" t="s">
        <v>1458</v>
      </c>
      <c r="F96" s="35"/>
      <c r="G96" s="291">
        <f t="shared" si="31"/>
        <v>0</v>
      </c>
      <c r="H96" s="192">
        <f t="shared" si="25"/>
        <v>0</v>
      </c>
      <c r="I96" s="193">
        <f t="shared" si="26"/>
        <v>0</v>
      </c>
      <c r="J96" s="193">
        <f t="shared" si="27"/>
        <v>0</v>
      </c>
      <c r="K96" s="193">
        <f t="shared" si="28"/>
        <v>0</v>
      </c>
      <c r="L96" s="193">
        <f t="shared" si="29"/>
        <v>0</v>
      </c>
      <c r="M96" s="194">
        <f t="shared" si="30"/>
        <v>0</v>
      </c>
      <c r="N96" s="23" t="s">
        <v>1487</v>
      </c>
    </row>
    <row r="97" spans="1:14" ht="32.1" customHeight="1">
      <c r="A97" s="861"/>
      <c r="B97" s="171"/>
      <c r="C97" s="154" t="s">
        <v>1459</v>
      </c>
      <c r="D97" s="155" t="s">
        <v>1459</v>
      </c>
      <c r="E97" s="154" t="s">
        <v>1460</v>
      </c>
      <c r="F97" s="155"/>
      <c r="G97" s="292">
        <f t="shared" si="31"/>
        <v>0</v>
      </c>
      <c r="H97" s="195">
        <f t="shared" si="25"/>
        <v>0</v>
      </c>
      <c r="I97" s="196">
        <f t="shared" si="26"/>
        <v>0</v>
      </c>
      <c r="J97" s="196">
        <f t="shared" si="27"/>
        <v>0</v>
      </c>
      <c r="K97" s="196">
        <f t="shared" si="28"/>
        <v>0</v>
      </c>
      <c r="L97" s="196">
        <f t="shared" si="29"/>
        <v>0</v>
      </c>
      <c r="M97" s="197">
        <f t="shared" si="30"/>
        <v>0</v>
      </c>
      <c r="N97" s="154" t="s">
        <v>1488</v>
      </c>
    </row>
    <row r="98" spans="1:14" ht="32.1" customHeight="1">
      <c r="A98" s="859" t="s">
        <v>1514</v>
      </c>
      <c r="B98" s="170"/>
      <c r="C98" s="32" t="s">
        <v>1058</v>
      </c>
      <c r="D98" s="35" t="s">
        <v>671</v>
      </c>
      <c r="E98" s="32" t="s">
        <v>816</v>
      </c>
      <c r="F98" s="35"/>
      <c r="G98" s="291">
        <f>SUM(H98:M98)</f>
        <v>0</v>
      </c>
      <c r="H98" s="192">
        <f>COUNTIF(Area_v1_AncFound,$C98)</f>
        <v>0</v>
      </c>
      <c r="I98" s="193">
        <f>COUNTIF(Area_v2_AncFound,$C98)</f>
        <v>0</v>
      </c>
      <c r="J98" s="193">
        <f>COUNTIF(Area_v1MOM_AncFound,$C98)</f>
        <v>0</v>
      </c>
      <c r="K98" s="193">
        <f>COUNTIF(Area_v4_AncFound,$C98)</f>
        <v>0</v>
      </c>
      <c r="L98" s="193">
        <f>COUNTIF(Area_v4PMO_AncFound,$C98)</f>
        <v>0</v>
      </c>
      <c r="M98" s="194">
        <f>COUNTIF(Area_v6PMO_AncFound,$C98)</f>
        <v>0</v>
      </c>
      <c r="N98" s="32"/>
    </row>
    <row r="99" spans="1:14" ht="32.1" customHeight="1">
      <c r="A99" s="860"/>
      <c r="B99" s="170"/>
      <c r="C99" s="23" t="s">
        <v>1543</v>
      </c>
      <c r="D99" s="26" t="s">
        <v>1056</v>
      </c>
      <c r="E99" s="23" t="s">
        <v>1545</v>
      </c>
      <c r="F99" s="35"/>
      <c r="G99" s="291">
        <f>SUM(H99:M99)</f>
        <v>0</v>
      </c>
      <c r="H99" s="192">
        <f>COUNTIF(Area_v1_AncFound,$C99)</f>
        <v>0</v>
      </c>
      <c r="I99" s="193">
        <f>COUNTIF(Area_v2_AncFound,$C99)</f>
        <v>0</v>
      </c>
      <c r="J99" s="193">
        <f>COUNTIF(Area_v1MOM_AncFound,$C99)</f>
        <v>0</v>
      </c>
      <c r="K99" s="193">
        <f>COUNTIF(Area_v4_AncFound,$C99)</f>
        <v>0</v>
      </c>
      <c r="L99" s="193">
        <f>COUNTIF(Area_v4PMO_AncFound,$C99)</f>
        <v>0</v>
      </c>
      <c r="M99" s="194">
        <f>COUNTIF(Area_v6PMO_AncFound,$C99)</f>
        <v>0</v>
      </c>
      <c r="N99" s="23"/>
    </row>
    <row r="100" spans="1:14" ht="32.1" customHeight="1">
      <c r="A100" s="860"/>
      <c r="B100" s="170"/>
      <c r="C100" s="23" t="s">
        <v>1057</v>
      </c>
      <c r="D100" s="26" t="s">
        <v>672</v>
      </c>
      <c r="E100" s="23" t="s">
        <v>817</v>
      </c>
      <c r="F100" s="35"/>
      <c r="G100" s="291">
        <f>SUM(H100:M100)</f>
        <v>0</v>
      </c>
      <c r="H100" s="192">
        <f>COUNTIF(Area_v1_AncFound,$C100)</f>
        <v>0</v>
      </c>
      <c r="I100" s="193">
        <f>COUNTIF(Area_v2_AncFound,$C100)</f>
        <v>0</v>
      </c>
      <c r="J100" s="193">
        <f>COUNTIF(Area_v1MOM_AncFound,$C100)</f>
        <v>0</v>
      </c>
      <c r="K100" s="193">
        <f>COUNTIF(Area_v4_AncFound,$C100)</f>
        <v>0</v>
      </c>
      <c r="L100" s="193">
        <f>COUNTIF(Area_v4PMO_AncFound,$C100)</f>
        <v>0</v>
      </c>
      <c r="M100" s="194">
        <f>COUNTIF(Area_v6PMO_AncFound,$C100)</f>
        <v>0</v>
      </c>
      <c r="N100" s="23"/>
    </row>
    <row r="101" spans="1:14" ht="32.1" customHeight="1">
      <c r="A101" s="861"/>
      <c r="B101" s="171"/>
      <c r="C101" s="154" t="s">
        <v>1544</v>
      </c>
      <c r="D101" s="155" t="s">
        <v>1057</v>
      </c>
      <c r="E101" s="154" t="s">
        <v>1546</v>
      </c>
      <c r="F101" s="155"/>
      <c r="G101" s="292">
        <f>SUM(H101:M101)</f>
        <v>0</v>
      </c>
      <c r="H101" s="195">
        <f>COUNTIF(Area_v1_AncFound,$C101)</f>
        <v>0</v>
      </c>
      <c r="I101" s="196">
        <f>COUNTIF(Area_v2_AncFound,$C101)</f>
        <v>0</v>
      </c>
      <c r="J101" s="196">
        <f>COUNTIF(Area_v1MOM_AncFound,$C101)</f>
        <v>0</v>
      </c>
      <c r="K101" s="196">
        <f>COUNTIF(Area_v4_AncFound,$C101)</f>
        <v>0</v>
      </c>
      <c r="L101" s="196">
        <f>COUNTIF(Area_v4PMO_AncFound,$C101)</f>
        <v>0</v>
      </c>
      <c r="M101" s="197">
        <f>COUNTIF(Area_v6PMO_AncFound,$C101)</f>
        <v>0</v>
      </c>
      <c r="N101" s="154"/>
    </row>
    <row r="102" spans="1:14" ht="32.1" customHeight="1">
      <c r="A102" s="859" t="s">
        <v>1533</v>
      </c>
      <c r="B102" s="170"/>
      <c r="C102" s="32" t="s">
        <v>175</v>
      </c>
      <c r="D102" s="35" t="s">
        <v>175</v>
      </c>
      <c r="E102" s="32" t="s">
        <v>855</v>
      </c>
      <c r="F102" s="35"/>
      <c r="G102" s="291">
        <f t="shared" ref="G102:G108" si="32">SUM(H102:M102)</f>
        <v>0</v>
      </c>
      <c r="H102" s="192">
        <f t="shared" si="25"/>
        <v>0</v>
      </c>
      <c r="I102" s="193">
        <f t="shared" si="26"/>
        <v>0</v>
      </c>
      <c r="J102" s="193">
        <f t="shared" si="27"/>
        <v>0</v>
      </c>
      <c r="K102" s="193">
        <f t="shared" si="28"/>
        <v>0</v>
      </c>
      <c r="L102" s="193">
        <f t="shared" si="29"/>
        <v>0</v>
      </c>
      <c r="M102" s="194">
        <f t="shared" si="30"/>
        <v>0</v>
      </c>
      <c r="N102" s="32"/>
    </row>
    <row r="103" spans="1:14" ht="32.1" customHeight="1">
      <c r="A103" s="860"/>
      <c r="B103" s="170"/>
      <c r="C103" s="32" t="s">
        <v>771</v>
      </c>
      <c r="D103" s="35" t="s">
        <v>771</v>
      </c>
      <c r="E103" s="32" t="s">
        <v>856</v>
      </c>
      <c r="F103" s="35"/>
      <c r="G103" s="291">
        <f t="shared" si="32"/>
        <v>0</v>
      </c>
      <c r="H103" s="180">
        <f t="shared" si="25"/>
        <v>0</v>
      </c>
      <c r="I103" s="181">
        <f t="shared" si="26"/>
        <v>0</v>
      </c>
      <c r="J103" s="181">
        <f t="shared" si="27"/>
        <v>0</v>
      </c>
      <c r="K103" s="181">
        <f t="shared" si="28"/>
        <v>0</v>
      </c>
      <c r="L103" s="181">
        <f t="shared" si="29"/>
        <v>0</v>
      </c>
      <c r="M103" s="182">
        <f t="shared" si="30"/>
        <v>0</v>
      </c>
      <c r="N103" s="32"/>
    </row>
    <row r="104" spans="1:14" ht="32.1" customHeight="1">
      <c r="A104" s="860"/>
      <c r="B104" s="170"/>
      <c r="C104" s="23" t="s">
        <v>704</v>
      </c>
      <c r="D104" s="26" t="s">
        <v>704</v>
      </c>
      <c r="E104" s="23" t="s">
        <v>857</v>
      </c>
      <c r="F104" s="26"/>
      <c r="G104" s="190">
        <f t="shared" si="32"/>
        <v>0</v>
      </c>
      <c r="H104" s="180">
        <f t="shared" si="25"/>
        <v>0</v>
      </c>
      <c r="I104" s="181">
        <f t="shared" si="26"/>
        <v>0</v>
      </c>
      <c r="J104" s="181">
        <f t="shared" si="27"/>
        <v>0</v>
      </c>
      <c r="K104" s="181">
        <f t="shared" si="28"/>
        <v>0</v>
      </c>
      <c r="L104" s="181">
        <f t="shared" si="29"/>
        <v>0</v>
      </c>
      <c r="M104" s="182">
        <f t="shared" si="30"/>
        <v>0</v>
      </c>
      <c r="N104" s="23"/>
    </row>
    <row r="105" spans="1:14" ht="32.1" customHeight="1">
      <c r="A105" s="860"/>
      <c r="B105" s="170"/>
      <c r="C105" s="23" t="s">
        <v>798</v>
      </c>
      <c r="D105" s="26" t="s">
        <v>798</v>
      </c>
      <c r="E105" s="23" t="s">
        <v>858</v>
      </c>
      <c r="F105" s="26"/>
      <c r="G105" s="190">
        <f t="shared" si="32"/>
        <v>0</v>
      </c>
      <c r="H105" s="180">
        <f t="shared" si="25"/>
        <v>0</v>
      </c>
      <c r="I105" s="181">
        <f t="shared" si="26"/>
        <v>0</v>
      </c>
      <c r="J105" s="181">
        <f t="shared" si="27"/>
        <v>0</v>
      </c>
      <c r="K105" s="181">
        <f t="shared" si="28"/>
        <v>0</v>
      </c>
      <c r="L105" s="181">
        <f t="shared" si="29"/>
        <v>0</v>
      </c>
      <c r="M105" s="182">
        <f t="shared" si="30"/>
        <v>0</v>
      </c>
      <c r="N105" s="23"/>
    </row>
    <row r="106" spans="1:14" ht="32.1" customHeight="1">
      <c r="A106" s="860"/>
      <c r="B106" s="170"/>
      <c r="C106" s="23" t="s">
        <v>705</v>
      </c>
      <c r="D106" s="26" t="s">
        <v>705</v>
      </c>
      <c r="E106" s="23" t="s">
        <v>859</v>
      </c>
      <c r="F106" s="26"/>
      <c r="G106" s="190">
        <f t="shared" si="32"/>
        <v>0</v>
      </c>
      <c r="H106" s="180">
        <f t="shared" si="25"/>
        <v>0</v>
      </c>
      <c r="I106" s="181">
        <f t="shared" si="26"/>
        <v>0</v>
      </c>
      <c r="J106" s="181">
        <f t="shared" si="27"/>
        <v>0</v>
      </c>
      <c r="K106" s="181">
        <f t="shared" si="28"/>
        <v>0</v>
      </c>
      <c r="L106" s="181">
        <f t="shared" si="29"/>
        <v>0</v>
      </c>
      <c r="M106" s="182">
        <f t="shared" si="30"/>
        <v>0</v>
      </c>
      <c r="N106" s="23"/>
    </row>
    <row r="107" spans="1:14" ht="32.1" customHeight="1">
      <c r="A107" s="860"/>
      <c r="B107" s="170"/>
      <c r="C107" s="23" t="s">
        <v>772</v>
      </c>
      <c r="D107" s="26" t="s">
        <v>772</v>
      </c>
      <c r="E107" s="23" t="s">
        <v>1498</v>
      </c>
      <c r="F107" s="26"/>
      <c r="G107" s="190">
        <f t="shared" si="32"/>
        <v>0</v>
      </c>
      <c r="H107" s="180">
        <f t="shared" si="25"/>
        <v>0</v>
      </c>
      <c r="I107" s="181">
        <f t="shared" si="26"/>
        <v>0</v>
      </c>
      <c r="J107" s="181">
        <f t="shared" si="27"/>
        <v>0</v>
      </c>
      <c r="K107" s="181">
        <f t="shared" si="28"/>
        <v>0</v>
      </c>
      <c r="L107" s="181">
        <f t="shared" si="29"/>
        <v>0</v>
      </c>
      <c r="M107" s="182">
        <f t="shared" si="30"/>
        <v>0</v>
      </c>
      <c r="N107" s="23"/>
    </row>
    <row r="108" spans="1:14" ht="32.1" customHeight="1">
      <c r="A108" s="860"/>
      <c r="B108" s="170"/>
      <c r="C108" s="23" t="s">
        <v>799</v>
      </c>
      <c r="D108" s="26" t="s">
        <v>799</v>
      </c>
      <c r="E108" s="23" t="s">
        <v>860</v>
      </c>
      <c r="F108" s="26"/>
      <c r="G108" s="190">
        <f t="shared" si="32"/>
        <v>0</v>
      </c>
      <c r="H108" s="180">
        <f t="shared" si="25"/>
        <v>0</v>
      </c>
      <c r="I108" s="181">
        <f t="shared" si="26"/>
        <v>0</v>
      </c>
      <c r="J108" s="181">
        <f t="shared" si="27"/>
        <v>0</v>
      </c>
      <c r="K108" s="181">
        <f t="shared" si="28"/>
        <v>0</v>
      </c>
      <c r="L108" s="181">
        <f t="shared" si="29"/>
        <v>0</v>
      </c>
      <c r="M108" s="182">
        <f t="shared" si="30"/>
        <v>0</v>
      </c>
      <c r="N108" s="23"/>
    </row>
    <row r="109" spans="1:14" ht="32.1" customHeight="1">
      <c r="A109" s="860"/>
      <c r="B109" s="170"/>
      <c r="C109" s="32" t="s">
        <v>1043</v>
      </c>
      <c r="D109" s="35" t="s">
        <v>1043</v>
      </c>
      <c r="E109" s="32" t="s">
        <v>1044</v>
      </c>
      <c r="F109" s="35">
        <v>6988</v>
      </c>
      <c r="G109" s="291">
        <f t="shared" ref="G109:G116" si="33">SUM(H109:M109)</f>
        <v>0</v>
      </c>
      <c r="H109" s="192">
        <f t="shared" si="25"/>
        <v>0</v>
      </c>
      <c r="I109" s="193">
        <f t="shared" si="26"/>
        <v>0</v>
      </c>
      <c r="J109" s="193">
        <f t="shared" si="27"/>
        <v>0</v>
      </c>
      <c r="K109" s="193">
        <f t="shared" si="28"/>
        <v>0</v>
      </c>
      <c r="L109" s="193">
        <f t="shared" si="29"/>
        <v>0</v>
      </c>
      <c r="M109" s="194">
        <f t="shared" si="30"/>
        <v>0</v>
      </c>
      <c r="N109" s="32"/>
    </row>
    <row r="110" spans="1:14" ht="32.1" customHeight="1">
      <c r="A110" s="860"/>
      <c r="B110" s="170"/>
      <c r="C110" s="32" t="s">
        <v>1045</v>
      </c>
      <c r="D110" s="35" t="s">
        <v>1045</v>
      </c>
      <c r="E110" s="32" t="s">
        <v>1500</v>
      </c>
      <c r="F110" s="35">
        <v>6987</v>
      </c>
      <c r="G110" s="291">
        <f t="shared" si="33"/>
        <v>0</v>
      </c>
      <c r="H110" s="192">
        <f t="shared" si="25"/>
        <v>0</v>
      </c>
      <c r="I110" s="193">
        <f t="shared" si="26"/>
        <v>0</v>
      </c>
      <c r="J110" s="193">
        <f t="shared" si="27"/>
        <v>0</v>
      </c>
      <c r="K110" s="193">
        <f t="shared" si="28"/>
        <v>0</v>
      </c>
      <c r="L110" s="193">
        <f t="shared" si="29"/>
        <v>0</v>
      </c>
      <c r="M110" s="194">
        <f t="shared" si="30"/>
        <v>0</v>
      </c>
      <c r="N110" s="32"/>
    </row>
    <row r="111" spans="1:14" ht="32.1" customHeight="1">
      <c r="A111" s="860"/>
      <c r="B111" s="170"/>
      <c r="C111" s="32" t="s">
        <v>1046</v>
      </c>
      <c r="D111" s="35" t="s">
        <v>1046</v>
      </c>
      <c r="E111" s="32" t="s">
        <v>1500</v>
      </c>
      <c r="F111" s="35">
        <v>6986</v>
      </c>
      <c r="G111" s="291">
        <f t="shared" si="33"/>
        <v>0</v>
      </c>
      <c r="H111" s="192">
        <f t="shared" si="25"/>
        <v>0</v>
      </c>
      <c r="I111" s="193">
        <f t="shared" si="26"/>
        <v>0</v>
      </c>
      <c r="J111" s="193">
        <f t="shared" si="27"/>
        <v>0</v>
      </c>
      <c r="K111" s="193">
        <f t="shared" si="28"/>
        <v>0</v>
      </c>
      <c r="L111" s="193">
        <f t="shared" si="29"/>
        <v>0</v>
      </c>
      <c r="M111" s="194">
        <f t="shared" si="30"/>
        <v>0</v>
      </c>
      <c r="N111" s="32"/>
    </row>
    <row r="112" spans="1:14" ht="32.1" customHeight="1">
      <c r="A112" s="860"/>
      <c r="B112" s="170"/>
      <c r="C112" s="32" t="s">
        <v>1047</v>
      </c>
      <c r="D112" s="35" t="s">
        <v>1047</v>
      </c>
      <c r="E112" s="32" t="s">
        <v>1048</v>
      </c>
      <c r="F112" s="35">
        <v>6973</v>
      </c>
      <c r="G112" s="291">
        <f t="shared" si="33"/>
        <v>0</v>
      </c>
      <c r="H112" s="192">
        <f t="shared" si="25"/>
        <v>0</v>
      </c>
      <c r="I112" s="193">
        <f t="shared" si="26"/>
        <v>0</v>
      </c>
      <c r="J112" s="193">
        <f t="shared" si="27"/>
        <v>0</v>
      </c>
      <c r="K112" s="193">
        <f t="shared" si="28"/>
        <v>0</v>
      </c>
      <c r="L112" s="193">
        <f t="shared" si="29"/>
        <v>0</v>
      </c>
      <c r="M112" s="194">
        <f t="shared" si="30"/>
        <v>0</v>
      </c>
      <c r="N112" s="32"/>
    </row>
    <row r="113" spans="1:14" ht="32.1" customHeight="1">
      <c r="A113" s="860"/>
      <c r="B113" s="170"/>
      <c r="C113" s="32" t="s">
        <v>1049</v>
      </c>
      <c r="D113" s="35" t="s">
        <v>1049</v>
      </c>
      <c r="E113" s="32" t="s">
        <v>1050</v>
      </c>
      <c r="F113" s="35">
        <v>6974</v>
      </c>
      <c r="G113" s="291">
        <f t="shared" si="33"/>
        <v>0</v>
      </c>
      <c r="H113" s="192">
        <f t="shared" si="25"/>
        <v>0</v>
      </c>
      <c r="I113" s="193">
        <f t="shared" si="26"/>
        <v>0</v>
      </c>
      <c r="J113" s="193">
        <f t="shared" si="27"/>
        <v>0</v>
      </c>
      <c r="K113" s="193">
        <f t="shared" si="28"/>
        <v>0</v>
      </c>
      <c r="L113" s="193">
        <f t="shared" si="29"/>
        <v>0</v>
      </c>
      <c r="M113" s="194">
        <f t="shared" si="30"/>
        <v>0</v>
      </c>
      <c r="N113" s="32"/>
    </row>
    <row r="114" spans="1:14" ht="32.1" customHeight="1">
      <c r="A114" s="860"/>
      <c r="B114" s="170"/>
      <c r="C114" s="32" t="s">
        <v>1051</v>
      </c>
      <c r="D114" s="35" t="s">
        <v>1051</v>
      </c>
      <c r="E114" s="32" t="s">
        <v>1499</v>
      </c>
      <c r="F114" s="35">
        <v>6976</v>
      </c>
      <c r="G114" s="291">
        <f t="shared" si="33"/>
        <v>0</v>
      </c>
      <c r="H114" s="192">
        <f t="shared" si="25"/>
        <v>0</v>
      </c>
      <c r="I114" s="193">
        <f t="shared" si="26"/>
        <v>0</v>
      </c>
      <c r="J114" s="193">
        <f t="shared" si="27"/>
        <v>0</v>
      </c>
      <c r="K114" s="193">
        <f t="shared" si="28"/>
        <v>0</v>
      </c>
      <c r="L114" s="193">
        <f t="shared" si="29"/>
        <v>0</v>
      </c>
      <c r="M114" s="194">
        <f t="shared" si="30"/>
        <v>0</v>
      </c>
      <c r="N114" s="32"/>
    </row>
    <row r="115" spans="1:14" ht="32.1" customHeight="1">
      <c r="A115" s="860"/>
      <c r="B115" s="170"/>
      <c r="C115" s="32" t="s">
        <v>1052</v>
      </c>
      <c r="D115" s="35" t="s">
        <v>1052</v>
      </c>
      <c r="E115" s="32" t="s">
        <v>1053</v>
      </c>
      <c r="F115" s="35">
        <v>6977</v>
      </c>
      <c r="G115" s="291">
        <f t="shared" si="33"/>
        <v>0</v>
      </c>
      <c r="H115" s="192">
        <f t="shared" si="25"/>
        <v>0</v>
      </c>
      <c r="I115" s="193">
        <f t="shared" si="26"/>
        <v>0</v>
      </c>
      <c r="J115" s="193">
        <f t="shared" si="27"/>
        <v>0</v>
      </c>
      <c r="K115" s="193">
        <f t="shared" si="28"/>
        <v>0</v>
      </c>
      <c r="L115" s="193">
        <f t="shared" si="29"/>
        <v>0</v>
      </c>
      <c r="M115" s="194">
        <f t="shared" si="30"/>
        <v>0</v>
      </c>
      <c r="N115" s="32"/>
    </row>
    <row r="116" spans="1:14" ht="32.1" customHeight="1">
      <c r="A116" s="861"/>
      <c r="B116" s="171"/>
      <c r="C116" s="154" t="s">
        <v>1054</v>
      </c>
      <c r="D116" s="155" t="s">
        <v>1054</v>
      </c>
      <c r="E116" s="154" t="s">
        <v>1055</v>
      </c>
      <c r="F116" s="155">
        <v>6978</v>
      </c>
      <c r="G116" s="292">
        <f t="shared" si="33"/>
        <v>0</v>
      </c>
      <c r="H116" s="195">
        <f t="shared" si="25"/>
        <v>0</v>
      </c>
      <c r="I116" s="196">
        <f t="shared" si="26"/>
        <v>0</v>
      </c>
      <c r="J116" s="196">
        <f t="shared" si="27"/>
        <v>0</v>
      </c>
      <c r="K116" s="196">
        <f t="shared" si="28"/>
        <v>0</v>
      </c>
      <c r="L116" s="196">
        <f t="shared" si="29"/>
        <v>0</v>
      </c>
      <c r="M116" s="197">
        <f t="shared" si="30"/>
        <v>0</v>
      </c>
      <c r="N116" s="154"/>
    </row>
    <row r="117" spans="1:14" ht="32.1" customHeight="1">
      <c r="A117" s="859" t="s">
        <v>1515</v>
      </c>
      <c r="B117" s="170"/>
      <c r="C117" s="32" t="s">
        <v>770</v>
      </c>
      <c r="D117" s="35" t="s">
        <v>770</v>
      </c>
      <c r="E117" s="32" t="s">
        <v>828</v>
      </c>
      <c r="F117" s="35"/>
      <c r="G117" s="291">
        <f>SUM(H117:M117)</f>
        <v>0</v>
      </c>
      <c r="H117" s="192">
        <f>COUNTIF(Area_v1,$C117)</f>
        <v>0</v>
      </c>
      <c r="I117" s="193">
        <f>COUNTIF(Area_v2,$C117)</f>
        <v>0</v>
      </c>
      <c r="J117" s="193">
        <f>COUNTIF(Area_v1MOM,$C117)</f>
        <v>0</v>
      </c>
      <c r="K117" s="193">
        <f>COUNTIF(Area_v4MOM,$C117)</f>
        <v>0</v>
      </c>
      <c r="L117" s="193">
        <f>COUNTIF(Area_v4PMO,$C117)</f>
        <v>0</v>
      </c>
      <c r="M117" s="194">
        <f>COUNTIF(Area_v6PMO,$C117)</f>
        <v>0</v>
      </c>
      <c r="N117" s="32"/>
    </row>
    <row r="118" spans="1:14" ht="32.1" customHeight="1">
      <c r="A118" s="860"/>
      <c r="B118" s="170"/>
      <c r="C118" s="32" t="s">
        <v>769</v>
      </c>
      <c r="D118" s="35" t="s">
        <v>769</v>
      </c>
      <c r="E118" s="32" t="s">
        <v>828</v>
      </c>
      <c r="F118" s="35"/>
      <c r="G118" s="291">
        <f>SUM(H118:M118)</f>
        <v>0</v>
      </c>
      <c r="H118" s="192">
        <f>COUNTIF(Area_v1,$C118)</f>
        <v>0</v>
      </c>
      <c r="I118" s="193">
        <f>COUNTIF(Area_v2,$C118)</f>
        <v>0</v>
      </c>
      <c r="J118" s="193">
        <f>COUNTIF(Area_v1MOM,$C118)</f>
        <v>0</v>
      </c>
      <c r="K118" s="193">
        <f>COUNTIF(Area_v4MOM,$C118)</f>
        <v>0</v>
      </c>
      <c r="L118" s="193">
        <f>COUNTIF(Area_v4PMO,$C118)</f>
        <v>0</v>
      </c>
      <c r="M118" s="194">
        <f>COUNTIF(Area_v6PMO,$C118)</f>
        <v>0</v>
      </c>
      <c r="N118" s="32"/>
    </row>
    <row r="119" spans="1:14" ht="32.1" customHeight="1">
      <c r="A119" s="861"/>
      <c r="B119" s="171"/>
      <c r="C119" s="154" t="s">
        <v>777</v>
      </c>
      <c r="D119" s="155" t="s">
        <v>777</v>
      </c>
      <c r="E119" s="154" t="s">
        <v>803</v>
      </c>
      <c r="F119" s="155"/>
      <c r="G119" s="292">
        <f t="shared" ref="G119:G128" si="34">SUM(H119:M119)</f>
        <v>0</v>
      </c>
      <c r="H119" s="195">
        <f t="shared" si="25"/>
        <v>0</v>
      </c>
      <c r="I119" s="196">
        <f t="shared" si="26"/>
        <v>0</v>
      </c>
      <c r="J119" s="196">
        <f t="shared" si="27"/>
        <v>0</v>
      </c>
      <c r="K119" s="196">
        <f t="shared" si="28"/>
        <v>0</v>
      </c>
      <c r="L119" s="196">
        <f t="shared" si="29"/>
        <v>0</v>
      </c>
      <c r="M119" s="197">
        <f t="shared" si="30"/>
        <v>0</v>
      </c>
      <c r="N119" s="154"/>
    </row>
    <row r="120" spans="1:14" ht="32.1" customHeight="1">
      <c r="A120" s="859" t="s">
        <v>1532</v>
      </c>
      <c r="B120" s="170"/>
      <c r="C120" s="32" t="s">
        <v>800</v>
      </c>
      <c r="D120" s="35" t="s">
        <v>800</v>
      </c>
      <c r="E120" s="32" t="s">
        <v>801</v>
      </c>
      <c r="F120" s="35"/>
      <c r="G120" s="291">
        <f t="shared" si="34"/>
        <v>0</v>
      </c>
      <c r="H120" s="192">
        <f t="shared" si="25"/>
        <v>0</v>
      </c>
      <c r="I120" s="193">
        <f t="shared" si="26"/>
        <v>0</v>
      </c>
      <c r="J120" s="193">
        <f t="shared" si="27"/>
        <v>0</v>
      </c>
      <c r="K120" s="193">
        <f t="shared" si="28"/>
        <v>0</v>
      </c>
      <c r="L120" s="193">
        <f t="shared" si="29"/>
        <v>0</v>
      </c>
      <c r="M120" s="194">
        <f t="shared" si="30"/>
        <v>0</v>
      </c>
      <c r="N120" s="32"/>
    </row>
    <row r="121" spans="1:14" ht="32.1" customHeight="1">
      <c r="A121" s="860"/>
      <c r="B121" s="170"/>
      <c r="C121" s="23" t="s">
        <v>778</v>
      </c>
      <c r="D121" s="26" t="s">
        <v>778</v>
      </c>
      <c r="E121" s="23" t="s">
        <v>804</v>
      </c>
      <c r="F121" s="26"/>
      <c r="G121" s="190">
        <f t="shared" si="34"/>
        <v>0</v>
      </c>
      <c r="H121" s="180">
        <f t="shared" si="25"/>
        <v>0</v>
      </c>
      <c r="I121" s="181">
        <f t="shared" si="26"/>
        <v>0</v>
      </c>
      <c r="J121" s="181">
        <f t="shared" si="27"/>
        <v>0</v>
      </c>
      <c r="K121" s="181">
        <f t="shared" si="28"/>
        <v>0</v>
      </c>
      <c r="L121" s="181">
        <f t="shared" si="29"/>
        <v>0</v>
      </c>
      <c r="M121" s="182">
        <f t="shared" si="30"/>
        <v>0</v>
      </c>
      <c r="N121" s="23"/>
    </row>
    <row r="122" spans="1:14" ht="32.1" customHeight="1">
      <c r="A122" s="860"/>
      <c r="B122" s="170"/>
      <c r="C122" s="23" t="s">
        <v>802</v>
      </c>
      <c r="D122" s="26" t="s">
        <v>802</v>
      </c>
      <c r="E122" s="23" t="s">
        <v>805</v>
      </c>
      <c r="F122" s="26"/>
      <c r="G122" s="190">
        <f t="shared" si="34"/>
        <v>0</v>
      </c>
      <c r="H122" s="180">
        <f t="shared" si="25"/>
        <v>0</v>
      </c>
      <c r="I122" s="181">
        <f t="shared" si="26"/>
        <v>0</v>
      </c>
      <c r="J122" s="181">
        <f t="shared" si="27"/>
        <v>0</v>
      </c>
      <c r="K122" s="181">
        <f t="shared" si="28"/>
        <v>0</v>
      </c>
      <c r="L122" s="181">
        <f t="shared" si="29"/>
        <v>0</v>
      </c>
      <c r="M122" s="182">
        <f t="shared" si="30"/>
        <v>0</v>
      </c>
      <c r="N122" s="23"/>
    </row>
    <row r="123" spans="1:14" ht="32.1" customHeight="1">
      <c r="A123" s="860"/>
      <c r="B123" s="170"/>
      <c r="C123" s="23" t="s">
        <v>779</v>
      </c>
      <c r="D123" s="26" t="s">
        <v>779</v>
      </c>
      <c r="E123" s="23" t="s">
        <v>806</v>
      </c>
      <c r="F123" s="26"/>
      <c r="G123" s="190">
        <f t="shared" si="34"/>
        <v>0</v>
      </c>
      <c r="H123" s="180">
        <f t="shared" si="25"/>
        <v>0</v>
      </c>
      <c r="I123" s="181">
        <f t="shared" si="26"/>
        <v>0</v>
      </c>
      <c r="J123" s="181">
        <f t="shared" si="27"/>
        <v>0</v>
      </c>
      <c r="K123" s="181">
        <f t="shared" si="28"/>
        <v>0</v>
      </c>
      <c r="L123" s="181">
        <f t="shared" si="29"/>
        <v>0</v>
      </c>
      <c r="M123" s="182">
        <f t="shared" si="30"/>
        <v>0</v>
      </c>
      <c r="N123" s="23"/>
    </row>
    <row r="124" spans="1:14" ht="32.1" customHeight="1">
      <c r="A124" s="860"/>
      <c r="B124" s="170"/>
      <c r="C124" s="23" t="s">
        <v>807</v>
      </c>
      <c r="D124" s="26" t="s">
        <v>807</v>
      </c>
      <c r="E124" s="23" t="s">
        <v>1501</v>
      </c>
      <c r="F124" s="26"/>
      <c r="G124" s="190">
        <f t="shared" si="34"/>
        <v>0</v>
      </c>
      <c r="H124" s="180">
        <f t="shared" si="25"/>
        <v>0</v>
      </c>
      <c r="I124" s="181">
        <f t="shared" si="26"/>
        <v>0</v>
      </c>
      <c r="J124" s="181">
        <f t="shared" si="27"/>
        <v>0</v>
      </c>
      <c r="K124" s="181">
        <f t="shared" si="28"/>
        <v>0</v>
      </c>
      <c r="L124" s="181">
        <f t="shared" si="29"/>
        <v>0</v>
      </c>
      <c r="M124" s="182">
        <f t="shared" si="30"/>
        <v>0</v>
      </c>
      <c r="N124" s="23"/>
    </row>
    <row r="125" spans="1:14" ht="32.1" customHeight="1">
      <c r="A125" s="861"/>
      <c r="B125" s="171"/>
      <c r="C125" s="24" t="s">
        <v>808</v>
      </c>
      <c r="D125" s="27" t="s">
        <v>808</v>
      </c>
      <c r="E125" s="24" t="s">
        <v>809</v>
      </c>
      <c r="F125" s="27"/>
      <c r="G125" s="191">
        <f t="shared" si="34"/>
        <v>0</v>
      </c>
      <c r="H125" s="186">
        <f t="shared" si="25"/>
        <v>0</v>
      </c>
      <c r="I125" s="187">
        <f t="shared" si="26"/>
        <v>0</v>
      </c>
      <c r="J125" s="187">
        <f t="shared" si="27"/>
        <v>0</v>
      </c>
      <c r="K125" s="187">
        <f t="shared" si="28"/>
        <v>0</v>
      </c>
      <c r="L125" s="187">
        <f t="shared" si="29"/>
        <v>0</v>
      </c>
      <c r="M125" s="188">
        <f t="shared" si="30"/>
        <v>0</v>
      </c>
      <c r="N125" s="24"/>
    </row>
    <row r="126" spans="1:14" ht="32.1" customHeight="1">
      <c r="A126" s="865" t="s">
        <v>1516</v>
      </c>
      <c r="B126" s="170"/>
      <c r="C126" s="22" t="s">
        <v>820</v>
      </c>
      <c r="D126" s="25" t="s">
        <v>820</v>
      </c>
      <c r="E126" s="22" t="s">
        <v>819</v>
      </c>
      <c r="F126" s="25"/>
      <c r="G126" s="189">
        <f>SUM(H126:M126)</f>
        <v>0</v>
      </c>
      <c r="H126" s="177">
        <f>COUNTIF(Area_v1,$C126)</f>
        <v>0</v>
      </c>
      <c r="I126" s="178">
        <f>COUNTIF(Area_v2,$C126)</f>
        <v>0</v>
      </c>
      <c r="J126" s="178">
        <f>COUNTIF(Area_v1MOM,$C126)</f>
        <v>0</v>
      </c>
      <c r="K126" s="178">
        <f>COUNTIF(Area_v4MOM,$C126)</f>
        <v>0</v>
      </c>
      <c r="L126" s="178">
        <f>COUNTIF(Area_v4PMO,$C126)</f>
        <v>0</v>
      </c>
      <c r="M126" s="179">
        <f>COUNTIF(Area_v6PMO,$C126)</f>
        <v>0</v>
      </c>
      <c r="N126" s="22"/>
    </row>
    <row r="127" spans="1:14" ht="32.1" customHeight="1">
      <c r="A127" s="866"/>
      <c r="B127" s="171"/>
      <c r="C127" s="154" t="s">
        <v>821</v>
      </c>
      <c r="D127" s="155" t="s">
        <v>821</v>
      </c>
      <c r="E127" s="154" t="s">
        <v>819</v>
      </c>
      <c r="F127" s="155"/>
      <c r="G127" s="292">
        <f>SUM(H127:M127)</f>
        <v>0</v>
      </c>
      <c r="H127" s="195">
        <f>COUNTIF(Area_v1,$C127)</f>
        <v>0</v>
      </c>
      <c r="I127" s="196">
        <f>COUNTIF(Area_v2,$C127)</f>
        <v>0</v>
      </c>
      <c r="J127" s="196">
        <f>COUNTIF(Area_v1MOM,$C127)</f>
        <v>0</v>
      </c>
      <c r="K127" s="196">
        <f>COUNTIF(Area_v4MOM,$C127)</f>
        <v>0</v>
      </c>
      <c r="L127" s="196">
        <f>COUNTIF(Area_v4PMO,$C127)</f>
        <v>0</v>
      </c>
      <c r="M127" s="197">
        <f>COUNTIF(Area_v6PMO,$C127)</f>
        <v>0</v>
      </c>
      <c r="N127" s="154"/>
    </row>
    <row r="128" spans="1:14" ht="32.1" customHeight="1">
      <c r="A128" s="859" t="s">
        <v>1531</v>
      </c>
      <c r="B128" s="170"/>
      <c r="C128" s="32" t="s">
        <v>706</v>
      </c>
      <c r="D128" s="35" t="s">
        <v>706</v>
      </c>
      <c r="E128" s="32" t="s">
        <v>707</v>
      </c>
      <c r="F128" s="35"/>
      <c r="G128" s="291">
        <f t="shared" si="34"/>
        <v>0</v>
      </c>
      <c r="H128" s="192">
        <f t="shared" si="25"/>
        <v>0</v>
      </c>
      <c r="I128" s="193">
        <f t="shared" si="26"/>
        <v>0</v>
      </c>
      <c r="J128" s="193">
        <f t="shared" si="27"/>
        <v>0</v>
      </c>
      <c r="K128" s="193">
        <f t="shared" si="28"/>
        <v>0</v>
      </c>
      <c r="L128" s="193">
        <f t="shared" si="29"/>
        <v>0</v>
      </c>
      <c r="M128" s="194">
        <f t="shared" si="30"/>
        <v>0</v>
      </c>
      <c r="N128" s="32"/>
    </row>
    <row r="129" spans="1:14" ht="32.1" customHeight="1">
      <c r="A129" s="860"/>
      <c r="B129" s="170"/>
      <c r="C129" s="32" t="s">
        <v>810</v>
      </c>
      <c r="D129" s="35" t="s">
        <v>810</v>
      </c>
      <c r="E129" s="32" t="s">
        <v>797</v>
      </c>
      <c r="F129" s="35"/>
      <c r="G129" s="291">
        <f t="shared" ref="G129:G153" si="35">SUM(H129:M129)</f>
        <v>0</v>
      </c>
      <c r="H129" s="180">
        <f t="shared" si="25"/>
        <v>0</v>
      </c>
      <c r="I129" s="181">
        <f t="shared" si="26"/>
        <v>0</v>
      </c>
      <c r="J129" s="181">
        <f t="shared" si="27"/>
        <v>0</v>
      </c>
      <c r="K129" s="181">
        <f t="shared" si="28"/>
        <v>0</v>
      </c>
      <c r="L129" s="181">
        <f t="shared" si="29"/>
        <v>0</v>
      </c>
      <c r="M129" s="182">
        <f t="shared" si="30"/>
        <v>0</v>
      </c>
      <c r="N129" s="32"/>
    </row>
    <row r="130" spans="1:14" ht="32.1" customHeight="1">
      <c r="A130" s="860"/>
      <c r="B130" s="170"/>
      <c r="C130" s="23" t="s">
        <v>708</v>
      </c>
      <c r="D130" s="26" t="s">
        <v>708</v>
      </c>
      <c r="E130" s="23" t="s">
        <v>709</v>
      </c>
      <c r="F130" s="26"/>
      <c r="G130" s="190">
        <f t="shared" si="35"/>
        <v>0</v>
      </c>
      <c r="H130" s="180">
        <f t="shared" si="25"/>
        <v>0</v>
      </c>
      <c r="I130" s="181">
        <f t="shared" si="26"/>
        <v>0</v>
      </c>
      <c r="J130" s="181">
        <f t="shared" si="27"/>
        <v>0</v>
      </c>
      <c r="K130" s="181">
        <f t="shared" si="28"/>
        <v>0</v>
      </c>
      <c r="L130" s="181">
        <f t="shared" si="29"/>
        <v>0</v>
      </c>
      <c r="M130" s="182">
        <f t="shared" si="30"/>
        <v>0</v>
      </c>
      <c r="N130" s="23"/>
    </row>
    <row r="131" spans="1:14" ht="32.1" customHeight="1">
      <c r="A131" s="860"/>
      <c r="B131" s="170"/>
      <c r="C131" s="23" t="s">
        <v>812</v>
      </c>
      <c r="D131" s="26" t="s">
        <v>812</v>
      </c>
      <c r="E131" s="23" t="s">
        <v>811</v>
      </c>
      <c r="F131" s="26"/>
      <c r="G131" s="190">
        <f t="shared" si="35"/>
        <v>0</v>
      </c>
      <c r="H131" s="180">
        <f t="shared" si="25"/>
        <v>0</v>
      </c>
      <c r="I131" s="181">
        <f t="shared" si="26"/>
        <v>0</v>
      </c>
      <c r="J131" s="181">
        <f t="shared" si="27"/>
        <v>0</v>
      </c>
      <c r="K131" s="181">
        <f t="shared" si="28"/>
        <v>0</v>
      </c>
      <c r="L131" s="181">
        <f t="shared" si="29"/>
        <v>0</v>
      </c>
      <c r="M131" s="182">
        <f t="shared" si="30"/>
        <v>0</v>
      </c>
      <c r="N131" s="23"/>
    </row>
    <row r="132" spans="1:14" ht="32.1" customHeight="1">
      <c r="A132" s="860"/>
      <c r="B132" s="170"/>
      <c r="C132" s="23" t="s">
        <v>710</v>
      </c>
      <c r="D132" s="26" t="s">
        <v>710</v>
      </c>
      <c r="E132" s="23" t="s">
        <v>711</v>
      </c>
      <c r="F132" s="26"/>
      <c r="G132" s="190">
        <f t="shared" si="35"/>
        <v>0</v>
      </c>
      <c r="H132" s="180">
        <f t="shared" si="25"/>
        <v>0</v>
      </c>
      <c r="I132" s="181">
        <f t="shared" si="26"/>
        <v>0</v>
      </c>
      <c r="J132" s="181">
        <f t="shared" si="27"/>
        <v>0</v>
      </c>
      <c r="K132" s="181">
        <f t="shared" si="28"/>
        <v>0</v>
      </c>
      <c r="L132" s="181">
        <f t="shared" si="29"/>
        <v>0</v>
      </c>
      <c r="M132" s="182">
        <f t="shared" si="30"/>
        <v>0</v>
      </c>
      <c r="N132" s="23"/>
    </row>
    <row r="133" spans="1:14" ht="32.1" customHeight="1">
      <c r="A133" s="860"/>
      <c r="B133" s="170"/>
      <c r="C133" s="23" t="s">
        <v>813</v>
      </c>
      <c r="D133" s="26" t="s">
        <v>813</v>
      </c>
      <c r="E133" s="23" t="s">
        <v>1517</v>
      </c>
      <c r="F133" s="26"/>
      <c r="G133" s="190">
        <f t="shared" si="35"/>
        <v>0</v>
      </c>
      <c r="H133" s="180">
        <f t="shared" si="25"/>
        <v>0</v>
      </c>
      <c r="I133" s="181">
        <f t="shared" si="26"/>
        <v>0</v>
      </c>
      <c r="J133" s="181">
        <f t="shared" si="27"/>
        <v>0</v>
      </c>
      <c r="K133" s="181">
        <f t="shared" si="28"/>
        <v>0</v>
      </c>
      <c r="L133" s="181">
        <f t="shared" si="29"/>
        <v>0</v>
      </c>
      <c r="M133" s="182">
        <f t="shared" si="30"/>
        <v>0</v>
      </c>
      <c r="N133" s="23"/>
    </row>
    <row r="134" spans="1:14" ht="32.1" customHeight="1">
      <c r="A134" s="860"/>
      <c r="B134" s="170"/>
      <c r="C134" s="33" t="s">
        <v>815</v>
      </c>
      <c r="D134" s="34" t="s">
        <v>815</v>
      </c>
      <c r="E134" s="33" t="s">
        <v>814</v>
      </c>
      <c r="F134" s="34"/>
      <c r="G134" s="290">
        <f t="shared" si="35"/>
        <v>0</v>
      </c>
      <c r="H134" s="183">
        <f t="shared" si="25"/>
        <v>0</v>
      </c>
      <c r="I134" s="184">
        <f t="shared" si="26"/>
        <v>0</v>
      </c>
      <c r="J134" s="184">
        <f t="shared" si="27"/>
        <v>0</v>
      </c>
      <c r="K134" s="184">
        <f t="shared" si="28"/>
        <v>0</v>
      </c>
      <c r="L134" s="184">
        <f t="shared" si="29"/>
        <v>0</v>
      </c>
      <c r="M134" s="185">
        <f t="shared" si="30"/>
        <v>0</v>
      </c>
      <c r="N134" s="33"/>
    </row>
    <row r="135" spans="1:14" ht="32.1" customHeight="1">
      <c r="A135" s="860"/>
      <c r="B135" s="170"/>
      <c r="C135" s="32" t="s">
        <v>822</v>
      </c>
      <c r="D135" s="35" t="s">
        <v>822</v>
      </c>
      <c r="E135" s="32" t="s">
        <v>818</v>
      </c>
      <c r="F135" s="35"/>
      <c r="G135" s="291">
        <f t="shared" ref="G135:G150" si="36">SUM(H135:M135)</f>
        <v>0</v>
      </c>
      <c r="H135" s="192">
        <f>COUNTIF(Area_v1,$C135)</f>
        <v>0</v>
      </c>
      <c r="I135" s="193">
        <f>COUNTIF(Area_v2,$C135)</f>
        <v>0</v>
      </c>
      <c r="J135" s="193">
        <f>COUNTIF(Area_v1MOM,$C135)</f>
        <v>0</v>
      </c>
      <c r="K135" s="193">
        <f>COUNTIF(Area_v4MOM,$C135)</f>
        <v>0</v>
      </c>
      <c r="L135" s="193">
        <f>COUNTIF(Area_v4PMO,$C135)</f>
        <v>0</v>
      </c>
      <c r="M135" s="194">
        <f>COUNTIF(Area_v6PMO,$C135)</f>
        <v>0</v>
      </c>
      <c r="N135" s="32"/>
    </row>
    <row r="136" spans="1:14" ht="32.1" customHeight="1">
      <c r="A136" s="861"/>
      <c r="B136" s="171"/>
      <c r="C136" s="24" t="s">
        <v>823</v>
      </c>
      <c r="D136" s="27" t="s">
        <v>823</v>
      </c>
      <c r="E136" s="24" t="s">
        <v>818</v>
      </c>
      <c r="F136" s="27"/>
      <c r="G136" s="191">
        <f t="shared" si="36"/>
        <v>0</v>
      </c>
      <c r="H136" s="186">
        <f>COUNTIF(Area_v1,$C136)</f>
        <v>0</v>
      </c>
      <c r="I136" s="187">
        <f>COUNTIF(Area_v2,$C136)</f>
        <v>0</v>
      </c>
      <c r="J136" s="187">
        <f>COUNTIF(Area_v1MOM,$C136)</f>
        <v>0</v>
      </c>
      <c r="K136" s="187">
        <f>COUNTIF(Area_v4MOM,$C136)</f>
        <v>0</v>
      </c>
      <c r="L136" s="187">
        <f>COUNTIF(Area_v4PMO,$C136)</f>
        <v>0</v>
      </c>
      <c r="M136" s="188">
        <f>COUNTIF(Area_v6PMO,$C136)</f>
        <v>0</v>
      </c>
      <c r="N136" s="24"/>
    </row>
    <row r="137" spans="1:14" ht="32.1" customHeight="1">
      <c r="A137" s="862" t="s">
        <v>1542</v>
      </c>
      <c r="B137" s="867" t="s">
        <v>320</v>
      </c>
      <c r="C137" s="31" t="s">
        <v>607</v>
      </c>
      <c r="D137" s="261" t="s">
        <v>59</v>
      </c>
      <c r="E137" s="28" t="s">
        <v>715</v>
      </c>
      <c r="F137" s="261"/>
      <c r="G137" s="198">
        <f t="shared" si="36"/>
        <v>0</v>
      </c>
      <c r="H137" s="199"/>
      <c r="I137" s="200"/>
      <c r="J137" s="200">
        <f>COUNTIF(Area_v1MOM,"PL*")+COUNTIF(Area_v1MOM,"M3*")+COUNTIF(Area_v1MOM,"M5*")+COUNTIF(Area_v1MOM,"M6*")-J138-J139</f>
        <v>0</v>
      </c>
      <c r="K137" s="200">
        <f>COUNTIF(Area_v4MOM,"PL*")+COUNTIF(Area_v4MOM,"M3")+COUNTIF(Area_v4MOM,"M5")+COUNTIF(Area_v4MOM,"M6")-K138-K139</f>
        <v>0</v>
      </c>
      <c r="L137" s="200">
        <f>COUNTIF(Area_v4PMO,"PL*")+COUNTIF(Area_v4PMO,"M3")+COUNTIF(Area_v4PMO,"M5")+COUNTIF(Area_v4PMO,"M6")-L138-L139</f>
        <v>0</v>
      </c>
      <c r="M137" s="201">
        <f>COUNTIF(Area_v6PMO,"PL*")+COUNTIF(Area_v6PMO,"M3")+COUNTIF(Area_v6PMO,"M5")+COUNTIF(Area_v6PMO,"M6")-M138-M139</f>
        <v>0</v>
      </c>
      <c r="N137" s="28" t="s">
        <v>489</v>
      </c>
    </row>
    <row r="138" spans="1:14" ht="32.1" customHeight="1">
      <c r="A138" s="863"/>
      <c r="B138" s="868"/>
      <c r="C138" s="31"/>
      <c r="D138" s="262" t="s">
        <v>60</v>
      </c>
      <c r="E138" s="31" t="s">
        <v>716</v>
      </c>
      <c r="F138" s="296"/>
      <c r="G138" s="202">
        <f t="shared" si="36"/>
        <v>0</v>
      </c>
      <c r="H138" s="203"/>
      <c r="I138" s="204"/>
      <c r="J138" s="204"/>
      <c r="K138" s="204"/>
      <c r="L138" s="204"/>
      <c r="M138" s="205"/>
      <c r="N138" s="295" t="s">
        <v>490</v>
      </c>
    </row>
    <row r="139" spans="1:14" ht="32.1" customHeight="1">
      <c r="A139" s="863"/>
      <c r="B139" s="869"/>
      <c r="C139" s="31"/>
      <c r="D139" s="262" t="s">
        <v>61</v>
      </c>
      <c r="E139" s="31" t="s">
        <v>717</v>
      </c>
      <c r="F139" s="262"/>
      <c r="G139" s="202">
        <f t="shared" si="36"/>
        <v>0</v>
      </c>
      <c r="H139" s="203"/>
      <c r="I139" s="204"/>
      <c r="J139" s="204"/>
      <c r="K139" s="204"/>
      <c r="L139" s="204"/>
      <c r="M139" s="205"/>
      <c r="N139" s="31" t="s">
        <v>491</v>
      </c>
    </row>
    <row r="140" spans="1:14" ht="32.1" customHeight="1">
      <c r="A140" s="863"/>
      <c r="B140" s="310"/>
      <c r="C140" s="31" t="s">
        <v>692</v>
      </c>
      <c r="D140" s="262" t="s">
        <v>692</v>
      </c>
      <c r="E140" s="31" t="s">
        <v>693</v>
      </c>
      <c r="F140" s="262"/>
      <c r="G140" s="202">
        <f t="shared" si="36"/>
        <v>0</v>
      </c>
      <c r="H140" s="203">
        <f t="shared" ref="H140:H148" si="37">COUNTIF(Area_v1,$C140)</f>
        <v>0</v>
      </c>
      <c r="I140" s="204">
        <f t="shared" ref="I140:I148" si="38">COUNTIF(Area_v2,$C140)</f>
        <v>0</v>
      </c>
      <c r="J140" s="204">
        <f t="shared" ref="J140:J148" si="39">COUNTIF(Area_v1MOM,$C140)</f>
        <v>0</v>
      </c>
      <c r="K140" s="204">
        <f t="shared" ref="K140:K148" si="40">COUNTIF(Area_v4MOM,$C140)</f>
        <v>0</v>
      </c>
      <c r="L140" s="204">
        <f t="shared" ref="L140:L148" si="41">COUNTIF(Area_v4PMO,$C140)</f>
        <v>0</v>
      </c>
      <c r="M140" s="205">
        <f t="shared" ref="M140:M148" si="42">COUNTIF(Area_v6PMO,$C140)</f>
        <v>0</v>
      </c>
      <c r="N140" s="31"/>
    </row>
    <row r="141" spans="1:14" ht="32.1" customHeight="1">
      <c r="A141" s="863"/>
      <c r="B141" s="310"/>
      <c r="C141" s="31" t="s">
        <v>694</v>
      </c>
      <c r="D141" s="262" t="s">
        <v>694</v>
      </c>
      <c r="E141" s="31" t="s">
        <v>695</v>
      </c>
      <c r="F141" s="262"/>
      <c r="G141" s="202">
        <f t="shared" si="36"/>
        <v>0</v>
      </c>
      <c r="H141" s="203">
        <f t="shared" si="37"/>
        <v>0</v>
      </c>
      <c r="I141" s="204">
        <f t="shared" si="38"/>
        <v>0</v>
      </c>
      <c r="J141" s="204">
        <f t="shared" si="39"/>
        <v>0</v>
      </c>
      <c r="K141" s="204">
        <f t="shared" si="40"/>
        <v>0</v>
      </c>
      <c r="L141" s="204">
        <f t="shared" si="41"/>
        <v>0</v>
      </c>
      <c r="M141" s="205">
        <f t="shared" si="42"/>
        <v>0</v>
      </c>
      <c r="N141" s="31"/>
    </row>
    <row r="142" spans="1:14" ht="32.1" customHeight="1">
      <c r="A142" s="863"/>
      <c r="B142" s="310"/>
      <c r="C142" s="31" t="s">
        <v>696</v>
      </c>
      <c r="D142" s="262" t="s">
        <v>696</v>
      </c>
      <c r="E142" s="31" t="s">
        <v>697</v>
      </c>
      <c r="F142" s="262"/>
      <c r="G142" s="202">
        <f t="shared" si="36"/>
        <v>0</v>
      </c>
      <c r="H142" s="203">
        <f t="shared" si="37"/>
        <v>0</v>
      </c>
      <c r="I142" s="204">
        <f t="shared" si="38"/>
        <v>0</v>
      </c>
      <c r="J142" s="204">
        <f t="shared" si="39"/>
        <v>0</v>
      </c>
      <c r="K142" s="204">
        <f t="shared" si="40"/>
        <v>0</v>
      </c>
      <c r="L142" s="204">
        <f t="shared" si="41"/>
        <v>0</v>
      </c>
      <c r="M142" s="205">
        <f t="shared" si="42"/>
        <v>0</v>
      </c>
      <c r="N142" s="31"/>
    </row>
    <row r="143" spans="1:14" ht="32.1" customHeight="1">
      <c r="A143" s="863"/>
      <c r="B143" s="310"/>
      <c r="C143" s="31" t="s">
        <v>698</v>
      </c>
      <c r="D143" s="262" t="s">
        <v>698</v>
      </c>
      <c r="E143" s="31" t="s">
        <v>699</v>
      </c>
      <c r="F143" s="262"/>
      <c r="G143" s="202">
        <f t="shared" si="36"/>
        <v>0</v>
      </c>
      <c r="H143" s="203">
        <f t="shared" si="37"/>
        <v>0</v>
      </c>
      <c r="I143" s="204">
        <f t="shared" si="38"/>
        <v>0</v>
      </c>
      <c r="J143" s="204">
        <f t="shared" si="39"/>
        <v>0</v>
      </c>
      <c r="K143" s="204">
        <f t="shared" si="40"/>
        <v>0</v>
      </c>
      <c r="L143" s="204">
        <f t="shared" si="41"/>
        <v>0</v>
      </c>
      <c r="M143" s="205">
        <f t="shared" si="42"/>
        <v>0</v>
      </c>
      <c r="N143" s="31"/>
    </row>
    <row r="144" spans="1:14" ht="32.1" customHeight="1">
      <c r="A144" s="863"/>
      <c r="B144" s="310"/>
      <c r="C144" s="31" t="s">
        <v>836</v>
      </c>
      <c r="D144" s="262" t="s">
        <v>700</v>
      </c>
      <c r="E144" s="31" t="s">
        <v>837</v>
      </c>
      <c r="F144" s="262"/>
      <c r="G144" s="202">
        <f t="shared" si="36"/>
        <v>0</v>
      </c>
      <c r="H144" s="203">
        <f t="shared" si="37"/>
        <v>0</v>
      </c>
      <c r="I144" s="204">
        <f t="shared" si="38"/>
        <v>0</v>
      </c>
      <c r="J144" s="204">
        <f t="shared" si="39"/>
        <v>0</v>
      </c>
      <c r="K144" s="204">
        <f t="shared" si="40"/>
        <v>0</v>
      </c>
      <c r="L144" s="204">
        <f t="shared" si="41"/>
        <v>0</v>
      </c>
      <c r="M144" s="205">
        <f t="shared" si="42"/>
        <v>0</v>
      </c>
      <c r="N144" s="31"/>
    </row>
    <row r="145" spans="1:14" ht="32.1" customHeight="1">
      <c r="A145" s="863"/>
      <c r="B145" s="310"/>
      <c r="C145" s="31" t="s">
        <v>700</v>
      </c>
      <c r="D145" s="262" t="s">
        <v>700</v>
      </c>
      <c r="E145" s="31" t="s">
        <v>701</v>
      </c>
      <c r="F145" s="262"/>
      <c r="G145" s="202">
        <f t="shared" si="36"/>
        <v>0</v>
      </c>
      <c r="H145" s="203">
        <f t="shared" si="37"/>
        <v>0</v>
      </c>
      <c r="I145" s="204">
        <f t="shared" si="38"/>
        <v>0</v>
      </c>
      <c r="J145" s="204">
        <f t="shared" si="39"/>
        <v>0</v>
      </c>
      <c r="K145" s="204">
        <f t="shared" si="40"/>
        <v>0</v>
      </c>
      <c r="L145" s="204">
        <f t="shared" si="41"/>
        <v>0</v>
      </c>
      <c r="M145" s="205">
        <f t="shared" si="42"/>
        <v>0</v>
      </c>
      <c r="N145" s="31"/>
    </row>
    <row r="146" spans="1:14" ht="32.1" customHeight="1">
      <c r="A146" s="863"/>
      <c r="B146" s="310"/>
      <c r="C146" s="31" t="s">
        <v>702</v>
      </c>
      <c r="D146" s="262" t="s">
        <v>702</v>
      </c>
      <c r="E146" s="31" t="s">
        <v>703</v>
      </c>
      <c r="F146" s="262"/>
      <c r="G146" s="202">
        <f t="shared" si="36"/>
        <v>0</v>
      </c>
      <c r="H146" s="203">
        <f t="shared" si="37"/>
        <v>0</v>
      </c>
      <c r="I146" s="204">
        <f t="shared" si="38"/>
        <v>0</v>
      </c>
      <c r="J146" s="204">
        <f t="shared" si="39"/>
        <v>0</v>
      </c>
      <c r="K146" s="204">
        <f t="shared" si="40"/>
        <v>0</v>
      </c>
      <c r="L146" s="204">
        <f t="shared" si="41"/>
        <v>0</v>
      </c>
      <c r="M146" s="205">
        <f t="shared" si="42"/>
        <v>0</v>
      </c>
      <c r="N146" s="31"/>
    </row>
    <row r="147" spans="1:14" ht="32.1" customHeight="1">
      <c r="A147" s="863"/>
      <c r="B147" s="310"/>
      <c r="C147" s="39" t="s">
        <v>184</v>
      </c>
      <c r="D147" s="263" t="s">
        <v>62</v>
      </c>
      <c r="E147" s="39" t="s">
        <v>194</v>
      </c>
      <c r="F147" s="263"/>
      <c r="G147" s="206">
        <f t="shared" si="36"/>
        <v>0</v>
      </c>
      <c r="H147" s="207">
        <f t="shared" si="37"/>
        <v>0</v>
      </c>
      <c r="I147" s="208">
        <f t="shared" si="38"/>
        <v>0</v>
      </c>
      <c r="J147" s="208">
        <f t="shared" si="39"/>
        <v>0</v>
      </c>
      <c r="K147" s="208">
        <f t="shared" si="40"/>
        <v>0</v>
      </c>
      <c r="L147" s="208">
        <f t="shared" si="41"/>
        <v>0</v>
      </c>
      <c r="M147" s="209">
        <f t="shared" si="42"/>
        <v>0</v>
      </c>
      <c r="N147" s="39"/>
    </row>
    <row r="148" spans="1:14" ht="32.1" customHeight="1">
      <c r="A148" s="864"/>
      <c r="B148" s="311"/>
      <c r="C148" s="29" t="s">
        <v>181</v>
      </c>
      <c r="D148" s="165" t="s">
        <v>62</v>
      </c>
      <c r="E148" s="29" t="s">
        <v>194</v>
      </c>
      <c r="F148" s="165"/>
      <c r="G148" s="210">
        <f t="shared" si="36"/>
        <v>0</v>
      </c>
      <c r="H148" s="211">
        <f t="shared" si="37"/>
        <v>0</v>
      </c>
      <c r="I148" s="212">
        <f t="shared" si="38"/>
        <v>0</v>
      </c>
      <c r="J148" s="212">
        <f t="shared" si="39"/>
        <v>0</v>
      </c>
      <c r="K148" s="212">
        <f t="shared" si="40"/>
        <v>0</v>
      </c>
      <c r="L148" s="212">
        <f t="shared" si="41"/>
        <v>0</v>
      </c>
      <c r="M148" s="213">
        <f t="shared" si="42"/>
        <v>0</v>
      </c>
      <c r="N148" s="29"/>
    </row>
    <row r="149" spans="1:14" ht="32.1" customHeight="1">
      <c r="A149" s="870" t="s">
        <v>1518</v>
      </c>
      <c r="B149" s="871"/>
      <c r="C149" s="158" t="s">
        <v>1311</v>
      </c>
      <c r="D149" s="159"/>
      <c r="E149" s="158" t="s">
        <v>1312</v>
      </c>
      <c r="F149" s="75"/>
      <c r="G149" s="293">
        <f t="shared" si="36"/>
        <v>0</v>
      </c>
      <c r="H149" s="214">
        <f t="shared" si="25"/>
        <v>0</v>
      </c>
      <c r="I149" s="215">
        <f t="shared" si="26"/>
        <v>0</v>
      </c>
      <c r="J149" s="215">
        <f t="shared" si="27"/>
        <v>0</v>
      </c>
      <c r="K149" s="215">
        <f t="shared" si="28"/>
        <v>0</v>
      </c>
      <c r="L149" s="215">
        <f t="shared" si="29"/>
        <v>0</v>
      </c>
      <c r="M149" s="216">
        <f t="shared" si="30"/>
        <v>0</v>
      </c>
      <c r="N149" s="158"/>
    </row>
    <row r="150" spans="1:14" ht="32.1" customHeight="1">
      <c r="A150" s="872"/>
      <c r="B150" s="873"/>
      <c r="C150" s="156" t="s">
        <v>1313</v>
      </c>
      <c r="D150" s="157"/>
      <c r="E150" s="156" t="s">
        <v>1314</v>
      </c>
      <c r="F150" s="157"/>
      <c r="G150" s="294">
        <f t="shared" si="36"/>
        <v>0</v>
      </c>
      <c r="H150" s="217">
        <f t="shared" si="25"/>
        <v>0</v>
      </c>
      <c r="I150" s="218">
        <f t="shared" si="26"/>
        <v>0</v>
      </c>
      <c r="J150" s="218">
        <f t="shared" si="27"/>
        <v>0</v>
      </c>
      <c r="K150" s="218">
        <f t="shared" si="28"/>
        <v>0</v>
      </c>
      <c r="L150" s="218">
        <f t="shared" si="29"/>
        <v>0</v>
      </c>
      <c r="M150" s="219">
        <f t="shared" si="30"/>
        <v>0</v>
      </c>
      <c r="N150" s="156"/>
    </row>
    <row r="151" spans="1:14" ht="32.1" customHeight="1">
      <c r="A151" s="874" t="s">
        <v>1519</v>
      </c>
      <c r="B151" s="273" t="s">
        <v>1520</v>
      </c>
      <c r="C151" s="138" t="s">
        <v>451</v>
      </c>
      <c r="D151" s="25" t="s">
        <v>451</v>
      </c>
      <c r="E151" s="22" t="s">
        <v>827</v>
      </c>
      <c r="F151" s="25"/>
      <c r="G151" s="189">
        <f t="shared" si="35"/>
        <v>22</v>
      </c>
      <c r="H151" s="177">
        <f t="shared" si="25"/>
        <v>7</v>
      </c>
      <c r="I151" s="178">
        <f t="shared" si="26"/>
        <v>8</v>
      </c>
      <c r="J151" s="178">
        <f t="shared" si="27"/>
        <v>3</v>
      </c>
      <c r="K151" s="178">
        <f t="shared" si="28"/>
        <v>2</v>
      </c>
      <c r="L151" s="178">
        <f t="shared" si="29"/>
        <v>2</v>
      </c>
      <c r="M151" s="179">
        <f t="shared" si="30"/>
        <v>0</v>
      </c>
      <c r="N151" s="138"/>
    </row>
    <row r="152" spans="1:14" ht="32.1" customHeight="1">
      <c r="A152" s="875"/>
      <c r="B152" s="274" t="s">
        <v>1520</v>
      </c>
      <c r="C152" s="69" t="s">
        <v>447</v>
      </c>
      <c r="D152" s="26" t="s">
        <v>447</v>
      </c>
      <c r="E152" s="23" t="s">
        <v>826</v>
      </c>
      <c r="F152" s="26"/>
      <c r="G152" s="190">
        <f t="shared" si="35"/>
        <v>29</v>
      </c>
      <c r="H152" s="180">
        <f t="shared" si="25"/>
        <v>11</v>
      </c>
      <c r="I152" s="181">
        <f t="shared" si="26"/>
        <v>9</v>
      </c>
      <c r="J152" s="181">
        <f t="shared" si="27"/>
        <v>4</v>
      </c>
      <c r="K152" s="181">
        <f t="shared" si="28"/>
        <v>5</v>
      </c>
      <c r="L152" s="181">
        <f t="shared" si="29"/>
        <v>0</v>
      </c>
      <c r="M152" s="182">
        <f t="shared" si="30"/>
        <v>0</v>
      </c>
      <c r="N152" s="69"/>
    </row>
    <row r="153" spans="1:14" ht="32.1" customHeight="1">
      <c r="A153" s="876"/>
      <c r="B153" s="275" t="s">
        <v>1520</v>
      </c>
      <c r="C153" s="140" t="s">
        <v>824</v>
      </c>
      <c r="D153" s="34" t="s">
        <v>824</v>
      </c>
      <c r="E153" s="40" t="s">
        <v>825</v>
      </c>
      <c r="F153" s="34"/>
      <c r="G153" s="290">
        <f t="shared" si="35"/>
        <v>0</v>
      </c>
      <c r="H153" s="183">
        <f t="shared" si="25"/>
        <v>0</v>
      </c>
      <c r="I153" s="184">
        <f t="shared" si="26"/>
        <v>0</v>
      </c>
      <c r="J153" s="184">
        <f t="shared" si="27"/>
        <v>0</v>
      </c>
      <c r="K153" s="184">
        <f t="shared" si="28"/>
        <v>0</v>
      </c>
      <c r="L153" s="184">
        <f t="shared" si="29"/>
        <v>0</v>
      </c>
      <c r="M153" s="185">
        <f t="shared" si="30"/>
        <v>0</v>
      </c>
      <c r="N153" s="140"/>
    </row>
    <row r="154" spans="1:14" ht="32.1" customHeight="1">
      <c r="A154" s="859" t="s">
        <v>1534</v>
      </c>
      <c r="B154" s="170"/>
      <c r="C154" s="141" t="s">
        <v>37</v>
      </c>
      <c r="D154" s="264" t="s">
        <v>63</v>
      </c>
      <c r="E154" s="141" t="s">
        <v>1197</v>
      </c>
      <c r="F154" s="264">
        <v>6601</v>
      </c>
      <c r="G154" s="220">
        <f t="shared" ref="G154:G167" si="43">SUM(H154:M154)</f>
        <v>34</v>
      </c>
      <c r="H154" s="221">
        <f t="shared" ref="H154:H180" si="44">COUNTIF(Area_v1,$C154)</f>
        <v>9</v>
      </c>
      <c r="I154" s="222">
        <f t="shared" ref="I154:I180" si="45">COUNTIF(Area_v2,$C154)</f>
        <v>15</v>
      </c>
      <c r="J154" s="222">
        <f t="shared" ref="J154:J180" si="46">COUNTIF(Area_v1MOM,$C154)</f>
        <v>0</v>
      </c>
      <c r="K154" s="222">
        <f t="shared" ref="K154:K180" si="47">COUNTIF(Area_v4MOM,$C154)</f>
        <v>0</v>
      </c>
      <c r="L154" s="222">
        <f t="shared" ref="L154:L180" si="48">COUNTIF(Area_v4PMO,$C154)</f>
        <v>8</v>
      </c>
      <c r="M154" s="223">
        <f t="shared" ref="M154:M180" si="49">COUNTIF(Area_v6PMO,$C154)</f>
        <v>2</v>
      </c>
      <c r="N154" s="141" t="s">
        <v>1198</v>
      </c>
    </row>
    <row r="155" spans="1:14" ht="32.1" customHeight="1">
      <c r="A155" s="860"/>
      <c r="B155" s="170"/>
      <c r="C155" s="74" t="s">
        <v>458</v>
      </c>
      <c r="D155" s="265" t="s">
        <v>469</v>
      </c>
      <c r="E155" s="74" t="s">
        <v>1202</v>
      </c>
      <c r="F155" s="265">
        <v>6603</v>
      </c>
      <c r="G155" s="224">
        <f t="shared" si="43"/>
        <v>0</v>
      </c>
      <c r="H155" s="225">
        <f t="shared" si="44"/>
        <v>0</v>
      </c>
      <c r="I155" s="226">
        <f t="shared" si="45"/>
        <v>0</v>
      </c>
      <c r="J155" s="226">
        <f t="shared" si="46"/>
        <v>0</v>
      </c>
      <c r="K155" s="226">
        <f t="shared" si="47"/>
        <v>0</v>
      </c>
      <c r="L155" s="226">
        <f t="shared" si="48"/>
        <v>0</v>
      </c>
      <c r="M155" s="227">
        <f t="shared" si="49"/>
        <v>0</v>
      </c>
      <c r="N155" s="74" t="s">
        <v>1199</v>
      </c>
    </row>
    <row r="156" spans="1:14" ht="32.1" customHeight="1">
      <c r="A156" s="860"/>
      <c r="B156" s="170"/>
      <c r="C156" s="142" t="s">
        <v>38</v>
      </c>
      <c r="D156" s="266" t="s">
        <v>64</v>
      </c>
      <c r="E156" s="142" t="s">
        <v>1200</v>
      </c>
      <c r="F156" s="266">
        <v>6601</v>
      </c>
      <c r="G156" s="228">
        <f t="shared" si="43"/>
        <v>118</v>
      </c>
      <c r="H156" s="229">
        <f t="shared" si="44"/>
        <v>34</v>
      </c>
      <c r="I156" s="230">
        <f t="shared" si="45"/>
        <v>50</v>
      </c>
      <c r="J156" s="230">
        <f t="shared" si="46"/>
        <v>0</v>
      </c>
      <c r="K156" s="230">
        <f t="shared" si="47"/>
        <v>0</v>
      </c>
      <c r="L156" s="230">
        <f t="shared" si="48"/>
        <v>14</v>
      </c>
      <c r="M156" s="231">
        <f t="shared" si="49"/>
        <v>20</v>
      </c>
      <c r="N156" s="142" t="s">
        <v>1201</v>
      </c>
    </row>
    <row r="157" spans="1:14" ht="32.1" customHeight="1">
      <c r="A157" s="860"/>
      <c r="B157" s="170"/>
      <c r="C157" s="143" t="s">
        <v>452</v>
      </c>
      <c r="D157" s="267" t="s">
        <v>464</v>
      </c>
      <c r="E157" s="143" t="s">
        <v>1203</v>
      </c>
      <c r="F157" s="267">
        <v>6600</v>
      </c>
      <c r="G157" s="232">
        <f t="shared" si="43"/>
        <v>21</v>
      </c>
      <c r="H157" s="233">
        <f t="shared" si="44"/>
        <v>8</v>
      </c>
      <c r="I157" s="234">
        <f t="shared" si="45"/>
        <v>7</v>
      </c>
      <c r="J157" s="234">
        <f t="shared" si="46"/>
        <v>0</v>
      </c>
      <c r="K157" s="234">
        <f t="shared" si="47"/>
        <v>0</v>
      </c>
      <c r="L157" s="234">
        <f t="shared" si="48"/>
        <v>4</v>
      </c>
      <c r="M157" s="235">
        <f t="shared" si="49"/>
        <v>2</v>
      </c>
      <c r="N157" s="143" t="s">
        <v>1209</v>
      </c>
    </row>
    <row r="158" spans="1:14" ht="32.1" customHeight="1">
      <c r="A158" s="860"/>
      <c r="B158" s="170"/>
      <c r="C158" s="74" t="s">
        <v>455</v>
      </c>
      <c r="D158" s="265" t="s">
        <v>481</v>
      </c>
      <c r="E158" s="74" t="s">
        <v>1204</v>
      </c>
      <c r="F158" s="265">
        <v>6603</v>
      </c>
      <c r="G158" s="224">
        <f t="shared" si="43"/>
        <v>0</v>
      </c>
      <c r="H158" s="225">
        <f t="shared" si="44"/>
        <v>0</v>
      </c>
      <c r="I158" s="226">
        <f t="shared" si="45"/>
        <v>0</v>
      </c>
      <c r="J158" s="226">
        <f t="shared" si="46"/>
        <v>0</v>
      </c>
      <c r="K158" s="226">
        <f t="shared" si="47"/>
        <v>0</v>
      </c>
      <c r="L158" s="226">
        <f t="shared" si="48"/>
        <v>0</v>
      </c>
      <c r="M158" s="227">
        <f t="shared" si="49"/>
        <v>0</v>
      </c>
      <c r="N158" s="74" t="s">
        <v>1205</v>
      </c>
    </row>
    <row r="159" spans="1:14" ht="32.1" customHeight="1">
      <c r="A159" s="860"/>
      <c r="B159" s="170"/>
      <c r="C159" s="142" t="s">
        <v>40</v>
      </c>
      <c r="D159" s="266" t="s">
        <v>65</v>
      </c>
      <c r="E159" s="142" t="s">
        <v>1206</v>
      </c>
      <c r="F159" s="266">
        <v>6601</v>
      </c>
      <c r="G159" s="228">
        <f t="shared" si="43"/>
        <v>41</v>
      </c>
      <c r="H159" s="229">
        <f t="shared" si="44"/>
        <v>27</v>
      </c>
      <c r="I159" s="230">
        <f t="shared" si="45"/>
        <v>4</v>
      </c>
      <c r="J159" s="230">
        <f t="shared" si="46"/>
        <v>0</v>
      </c>
      <c r="K159" s="230">
        <f t="shared" si="47"/>
        <v>0</v>
      </c>
      <c r="L159" s="230">
        <f t="shared" si="48"/>
        <v>6</v>
      </c>
      <c r="M159" s="231">
        <f t="shared" si="49"/>
        <v>4</v>
      </c>
      <c r="N159" s="142" t="s">
        <v>1207</v>
      </c>
    </row>
    <row r="160" spans="1:14" ht="32.1" customHeight="1">
      <c r="A160" s="860"/>
      <c r="B160" s="170"/>
      <c r="C160" s="143" t="s">
        <v>453</v>
      </c>
      <c r="D160" s="267" t="s">
        <v>470</v>
      </c>
      <c r="E160" s="143" t="s">
        <v>1208</v>
      </c>
      <c r="F160" s="267">
        <v>6600</v>
      </c>
      <c r="G160" s="232">
        <f t="shared" si="43"/>
        <v>6</v>
      </c>
      <c r="H160" s="233">
        <f t="shared" si="44"/>
        <v>3</v>
      </c>
      <c r="I160" s="234">
        <f t="shared" si="45"/>
        <v>2</v>
      </c>
      <c r="J160" s="234">
        <f t="shared" si="46"/>
        <v>0</v>
      </c>
      <c r="K160" s="234">
        <f t="shared" si="47"/>
        <v>0</v>
      </c>
      <c r="L160" s="234">
        <f t="shared" si="48"/>
        <v>0</v>
      </c>
      <c r="M160" s="235">
        <f t="shared" si="49"/>
        <v>1</v>
      </c>
      <c r="N160" s="143" t="s">
        <v>1210</v>
      </c>
    </row>
    <row r="161" spans="1:14" ht="32.1" customHeight="1">
      <c r="A161" s="860"/>
      <c r="B161" s="170"/>
      <c r="C161" s="74" t="s">
        <v>456</v>
      </c>
      <c r="D161" s="265" t="s">
        <v>471</v>
      </c>
      <c r="E161" s="74" t="s">
        <v>1211</v>
      </c>
      <c r="F161" s="265">
        <v>6603</v>
      </c>
      <c r="G161" s="224">
        <f t="shared" si="43"/>
        <v>0</v>
      </c>
      <c r="H161" s="225">
        <f t="shared" si="44"/>
        <v>0</v>
      </c>
      <c r="I161" s="226">
        <f t="shared" si="45"/>
        <v>0</v>
      </c>
      <c r="J161" s="226">
        <f t="shared" si="46"/>
        <v>0</v>
      </c>
      <c r="K161" s="226">
        <f t="shared" si="47"/>
        <v>0</v>
      </c>
      <c r="L161" s="226">
        <f t="shared" si="48"/>
        <v>0</v>
      </c>
      <c r="M161" s="227">
        <f t="shared" si="49"/>
        <v>0</v>
      </c>
      <c r="N161" s="74" t="s">
        <v>1212</v>
      </c>
    </row>
    <row r="162" spans="1:14" ht="32.1" customHeight="1">
      <c r="A162" s="860"/>
      <c r="B162" s="170"/>
      <c r="C162" s="142" t="s">
        <v>39</v>
      </c>
      <c r="D162" s="266" t="s">
        <v>66</v>
      </c>
      <c r="E162" s="142" t="s">
        <v>1213</v>
      </c>
      <c r="F162" s="266">
        <v>6601</v>
      </c>
      <c r="G162" s="228">
        <f t="shared" si="43"/>
        <v>13</v>
      </c>
      <c r="H162" s="229">
        <f t="shared" si="44"/>
        <v>4</v>
      </c>
      <c r="I162" s="230">
        <f t="shared" si="45"/>
        <v>3</v>
      </c>
      <c r="J162" s="230">
        <f t="shared" si="46"/>
        <v>0</v>
      </c>
      <c r="K162" s="230">
        <f t="shared" si="47"/>
        <v>0</v>
      </c>
      <c r="L162" s="230">
        <f t="shared" si="48"/>
        <v>2</v>
      </c>
      <c r="M162" s="231">
        <f t="shared" si="49"/>
        <v>4</v>
      </c>
      <c r="N162" s="142" t="s">
        <v>1214</v>
      </c>
    </row>
    <row r="163" spans="1:14" ht="32.1" customHeight="1">
      <c r="A163" s="860"/>
      <c r="B163" s="170"/>
      <c r="C163" s="143" t="s">
        <v>454</v>
      </c>
      <c r="D163" s="267" t="s">
        <v>472</v>
      </c>
      <c r="E163" s="143" t="s">
        <v>1215</v>
      </c>
      <c r="F163" s="267">
        <v>6600</v>
      </c>
      <c r="G163" s="232">
        <f t="shared" si="43"/>
        <v>7</v>
      </c>
      <c r="H163" s="233">
        <f t="shared" si="44"/>
        <v>1</v>
      </c>
      <c r="I163" s="234">
        <f t="shared" si="45"/>
        <v>1</v>
      </c>
      <c r="J163" s="234">
        <f t="shared" si="46"/>
        <v>0</v>
      </c>
      <c r="K163" s="234">
        <f t="shared" si="47"/>
        <v>0</v>
      </c>
      <c r="L163" s="234">
        <f t="shared" si="48"/>
        <v>2</v>
      </c>
      <c r="M163" s="235">
        <f t="shared" si="49"/>
        <v>3</v>
      </c>
      <c r="N163" s="143" t="s">
        <v>1216</v>
      </c>
    </row>
    <row r="164" spans="1:14" ht="32.1" customHeight="1">
      <c r="A164" s="860"/>
      <c r="B164" s="170"/>
      <c r="C164" s="74" t="s">
        <v>459</v>
      </c>
      <c r="D164" s="265" t="s">
        <v>473</v>
      </c>
      <c r="E164" s="74" t="s">
        <v>1217</v>
      </c>
      <c r="F164" s="265">
        <v>6603</v>
      </c>
      <c r="G164" s="224">
        <f t="shared" si="43"/>
        <v>0</v>
      </c>
      <c r="H164" s="225">
        <f t="shared" si="44"/>
        <v>0</v>
      </c>
      <c r="I164" s="226">
        <f t="shared" si="45"/>
        <v>0</v>
      </c>
      <c r="J164" s="226">
        <f t="shared" si="46"/>
        <v>0</v>
      </c>
      <c r="K164" s="226">
        <f t="shared" si="47"/>
        <v>0</v>
      </c>
      <c r="L164" s="226">
        <f t="shared" si="48"/>
        <v>0</v>
      </c>
      <c r="M164" s="227">
        <f t="shared" si="49"/>
        <v>0</v>
      </c>
      <c r="N164" s="74" t="s">
        <v>1218</v>
      </c>
    </row>
    <row r="165" spans="1:14" ht="32.1" customHeight="1">
      <c r="A165" s="860"/>
      <c r="B165" s="170"/>
      <c r="C165" s="142" t="s">
        <v>321</v>
      </c>
      <c r="D165" s="266" t="s">
        <v>67</v>
      </c>
      <c r="E165" s="142" t="s">
        <v>1219</v>
      </c>
      <c r="F165" s="266">
        <v>6609</v>
      </c>
      <c r="G165" s="228">
        <f t="shared" si="43"/>
        <v>0</v>
      </c>
      <c r="H165" s="229">
        <f t="shared" si="44"/>
        <v>0</v>
      </c>
      <c r="I165" s="230">
        <f t="shared" si="45"/>
        <v>0</v>
      </c>
      <c r="J165" s="230">
        <f t="shared" si="46"/>
        <v>0</v>
      </c>
      <c r="K165" s="230">
        <f t="shared" si="47"/>
        <v>0</v>
      </c>
      <c r="L165" s="230">
        <f t="shared" si="48"/>
        <v>0</v>
      </c>
      <c r="M165" s="231">
        <f t="shared" si="49"/>
        <v>0</v>
      </c>
      <c r="N165" s="142" t="s">
        <v>1220</v>
      </c>
    </row>
    <row r="166" spans="1:14" ht="32.1" customHeight="1">
      <c r="A166" s="860"/>
      <c r="B166" s="170"/>
      <c r="C166" s="142" t="s">
        <v>322</v>
      </c>
      <c r="D166" s="266" t="s">
        <v>68</v>
      </c>
      <c r="E166" s="142" t="s">
        <v>1221</v>
      </c>
      <c r="F166" s="266">
        <v>6609</v>
      </c>
      <c r="G166" s="228">
        <f t="shared" si="43"/>
        <v>3</v>
      </c>
      <c r="H166" s="229">
        <f t="shared" si="44"/>
        <v>0</v>
      </c>
      <c r="I166" s="230">
        <f t="shared" si="45"/>
        <v>0</v>
      </c>
      <c r="J166" s="230">
        <f t="shared" si="46"/>
        <v>0</v>
      </c>
      <c r="K166" s="230">
        <f t="shared" si="47"/>
        <v>0</v>
      </c>
      <c r="L166" s="230">
        <f t="shared" si="48"/>
        <v>2</v>
      </c>
      <c r="M166" s="231">
        <f t="shared" si="49"/>
        <v>1</v>
      </c>
      <c r="N166" s="142" t="s">
        <v>1222</v>
      </c>
    </row>
    <row r="167" spans="1:14" ht="32.1" customHeight="1">
      <c r="A167" s="860"/>
      <c r="B167" s="170"/>
      <c r="C167" s="142" t="s">
        <v>323</v>
      </c>
      <c r="D167" s="266" t="s">
        <v>69</v>
      </c>
      <c r="E167" s="142" t="s">
        <v>1223</v>
      </c>
      <c r="F167" s="266">
        <v>6609</v>
      </c>
      <c r="G167" s="228">
        <f t="shared" si="43"/>
        <v>14</v>
      </c>
      <c r="H167" s="229">
        <f t="shared" si="44"/>
        <v>0</v>
      </c>
      <c r="I167" s="230">
        <f t="shared" si="45"/>
        <v>1</v>
      </c>
      <c r="J167" s="230">
        <f t="shared" si="46"/>
        <v>6</v>
      </c>
      <c r="K167" s="230">
        <f t="shared" si="47"/>
        <v>6</v>
      </c>
      <c r="L167" s="230">
        <f t="shared" si="48"/>
        <v>0</v>
      </c>
      <c r="M167" s="231">
        <f t="shared" si="49"/>
        <v>1</v>
      </c>
      <c r="N167" s="142" t="s">
        <v>1227</v>
      </c>
    </row>
    <row r="168" spans="1:14" ht="32.1" customHeight="1">
      <c r="A168" s="860"/>
      <c r="B168" s="170"/>
      <c r="C168" s="143" t="s">
        <v>970</v>
      </c>
      <c r="D168" s="267"/>
      <c r="E168" s="143" t="s">
        <v>2511</v>
      </c>
      <c r="F168" s="267">
        <v>6606</v>
      </c>
      <c r="G168" s="232">
        <f t="shared" ref="G168" si="50">SUM(H168:M168)</f>
        <v>0</v>
      </c>
      <c r="H168" s="233">
        <f t="shared" si="44"/>
        <v>0</v>
      </c>
      <c r="I168" s="234">
        <f t="shared" si="45"/>
        <v>0</v>
      </c>
      <c r="J168" s="234">
        <f t="shared" si="46"/>
        <v>0</v>
      </c>
      <c r="K168" s="234">
        <f t="shared" si="47"/>
        <v>0</v>
      </c>
      <c r="L168" s="234">
        <f t="shared" si="48"/>
        <v>0</v>
      </c>
      <c r="M168" s="235">
        <f t="shared" si="49"/>
        <v>0</v>
      </c>
      <c r="N168" s="143" t="s">
        <v>2511</v>
      </c>
    </row>
    <row r="169" spans="1:14" ht="32.1" customHeight="1">
      <c r="A169" s="860"/>
      <c r="B169" s="170"/>
      <c r="C169" s="142" t="s">
        <v>324</v>
      </c>
      <c r="D169" s="266" t="s">
        <v>70</v>
      </c>
      <c r="E169" s="142" t="s">
        <v>1224</v>
      </c>
      <c r="F169" s="266">
        <v>6609</v>
      </c>
      <c r="G169" s="228">
        <f t="shared" ref="G169:G199" si="51">SUM(H169:M169)</f>
        <v>0</v>
      </c>
      <c r="H169" s="229">
        <f t="shared" si="44"/>
        <v>0</v>
      </c>
      <c r="I169" s="230">
        <f t="shared" si="45"/>
        <v>0</v>
      </c>
      <c r="J169" s="230">
        <f t="shared" si="46"/>
        <v>0</v>
      </c>
      <c r="K169" s="230">
        <f t="shared" si="47"/>
        <v>0</v>
      </c>
      <c r="L169" s="230">
        <f t="shared" si="48"/>
        <v>0</v>
      </c>
      <c r="M169" s="231">
        <f t="shared" si="49"/>
        <v>0</v>
      </c>
      <c r="N169" s="142" t="s">
        <v>1228</v>
      </c>
    </row>
    <row r="170" spans="1:14" ht="32.1" customHeight="1">
      <c r="A170" s="860"/>
      <c r="B170" s="170"/>
      <c r="C170" s="143" t="s">
        <v>789</v>
      </c>
      <c r="D170" s="267" t="s">
        <v>790</v>
      </c>
      <c r="E170" s="143" t="s">
        <v>1231</v>
      </c>
      <c r="F170" s="267">
        <v>6606</v>
      </c>
      <c r="G170" s="232">
        <f t="shared" si="51"/>
        <v>0</v>
      </c>
      <c r="H170" s="233">
        <f t="shared" si="44"/>
        <v>0</v>
      </c>
      <c r="I170" s="234">
        <f t="shared" si="45"/>
        <v>0</v>
      </c>
      <c r="J170" s="234">
        <f t="shared" si="46"/>
        <v>0</v>
      </c>
      <c r="K170" s="234">
        <f t="shared" si="47"/>
        <v>0</v>
      </c>
      <c r="L170" s="234">
        <f t="shared" si="48"/>
        <v>0</v>
      </c>
      <c r="M170" s="235">
        <f t="shared" si="49"/>
        <v>0</v>
      </c>
      <c r="N170" s="143" t="s">
        <v>1233</v>
      </c>
    </row>
    <row r="171" spans="1:14" ht="32.1" customHeight="1">
      <c r="A171" s="860"/>
      <c r="B171" s="170"/>
      <c r="C171" s="144" t="s">
        <v>325</v>
      </c>
      <c r="D171" s="268" t="s">
        <v>71</v>
      </c>
      <c r="E171" s="144" t="s">
        <v>1225</v>
      </c>
      <c r="F171" s="268">
        <v>6609</v>
      </c>
      <c r="G171" s="236">
        <f t="shared" si="51"/>
        <v>11</v>
      </c>
      <c r="H171" s="229">
        <f t="shared" si="44"/>
        <v>2</v>
      </c>
      <c r="I171" s="230">
        <f t="shared" si="45"/>
        <v>1</v>
      </c>
      <c r="J171" s="230">
        <f t="shared" si="46"/>
        <v>0</v>
      </c>
      <c r="K171" s="230">
        <f t="shared" si="47"/>
        <v>0</v>
      </c>
      <c r="L171" s="230">
        <f t="shared" si="48"/>
        <v>3</v>
      </c>
      <c r="M171" s="231">
        <f t="shared" si="49"/>
        <v>5</v>
      </c>
      <c r="N171" s="144" t="s">
        <v>1229</v>
      </c>
    </row>
    <row r="172" spans="1:14" ht="32.1" customHeight="1">
      <c r="A172" s="860"/>
      <c r="B172" s="170"/>
      <c r="C172" s="144" t="s">
        <v>998</v>
      </c>
      <c r="D172" s="268"/>
      <c r="E172" s="144" t="s">
        <v>1226</v>
      </c>
      <c r="F172" s="268">
        <v>6609</v>
      </c>
      <c r="G172" s="236">
        <f t="shared" si="51"/>
        <v>4</v>
      </c>
      <c r="H172" s="229">
        <f t="shared" si="44"/>
        <v>0</v>
      </c>
      <c r="I172" s="230">
        <f t="shared" si="45"/>
        <v>0</v>
      </c>
      <c r="J172" s="230">
        <f t="shared" si="46"/>
        <v>2</v>
      </c>
      <c r="K172" s="230">
        <f t="shared" si="47"/>
        <v>2</v>
      </c>
      <c r="L172" s="230">
        <f t="shared" si="48"/>
        <v>0</v>
      </c>
      <c r="M172" s="231">
        <f t="shared" si="49"/>
        <v>0</v>
      </c>
      <c r="N172" s="144" t="s">
        <v>1230</v>
      </c>
    </row>
    <row r="173" spans="1:14" ht="32.1" customHeight="1">
      <c r="A173" s="860"/>
      <c r="B173" s="170"/>
      <c r="C173" s="143" t="s">
        <v>190</v>
      </c>
      <c r="D173" s="267" t="s">
        <v>72</v>
      </c>
      <c r="E173" s="143" t="s">
        <v>1232</v>
      </c>
      <c r="F173" s="267">
        <v>6606</v>
      </c>
      <c r="G173" s="232">
        <f t="shared" si="51"/>
        <v>0</v>
      </c>
      <c r="H173" s="233">
        <f t="shared" si="44"/>
        <v>0</v>
      </c>
      <c r="I173" s="234">
        <f t="shared" si="45"/>
        <v>0</v>
      </c>
      <c r="J173" s="234">
        <f t="shared" si="46"/>
        <v>0</v>
      </c>
      <c r="K173" s="234">
        <f t="shared" si="47"/>
        <v>0</v>
      </c>
      <c r="L173" s="234">
        <f t="shared" si="48"/>
        <v>0</v>
      </c>
      <c r="M173" s="235">
        <f t="shared" si="49"/>
        <v>0</v>
      </c>
      <c r="N173" s="143" t="s">
        <v>1234</v>
      </c>
    </row>
    <row r="174" spans="1:14" ht="32.1" customHeight="1">
      <c r="A174" s="860"/>
      <c r="B174" s="170"/>
      <c r="C174" s="144" t="s">
        <v>1000</v>
      </c>
      <c r="D174" s="268"/>
      <c r="E174" s="144" t="s">
        <v>1235</v>
      </c>
      <c r="F174" s="268">
        <v>6609</v>
      </c>
      <c r="G174" s="236">
        <f t="shared" si="51"/>
        <v>0</v>
      </c>
      <c r="H174" s="229">
        <f t="shared" si="44"/>
        <v>0</v>
      </c>
      <c r="I174" s="230">
        <f t="shared" si="45"/>
        <v>0</v>
      </c>
      <c r="J174" s="230">
        <f t="shared" si="46"/>
        <v>0</v>
      </c>
      <c r="K174" s="230">
        <f t="shared" si="47"/>
        <v>0</v>
      </c>
      <c r="L174" s="230">
        <f t="shared" si="48"/>
        <v>0</v>
      </c>
      <c r="M174" s="231">
        <f t="shared" si="49"/>
        <v>0</v>
      </c>
      <c r="N174" s="144" t="s">
        <v>1237</v>
      </c>
    </row>
    <row r="175" spans="1:14" ht="32.1" customHeight="1">
      <c r="A175" s="860"/>
      <c r="B175" s="170"/>
      <c r="C175" s="144" t="s">
        <v>1192</v>
      </c>
      <c r="D175" s="268"/>
      <c r="E175" s="144" t="s">
        <v>1236</v>
      </c>
      <c r="F175" s="268">
        <v>6609</v>
      </c>
      <c r="G175" s="236">
        <f t="shared" si="51"/>
        <v>6</v>
      </c>
      <c r="H175" s="229">
        <f t="shared" si="44"/>
        <v>1</v>
      </c>
      <c r="I175" s="230">
        <f t="shared" si="45"/>
        <v>2</v>
      </c>
      <c r="J175" s="230">
        <f t="shared" si="46"/>
        <v>0</v>
      </c>
      <c r="K175" s="230">
        <f t="shared" si="47"/>
        <v>0</v>
      </c>
      <c r="L175" s="230">
        <f t="shared" si="48"/>
        <v>0</v>
      </c>
      <c r="M175" s="231">
        <f t="shared" si="49"/>
        <v>3</v>
      </c>
      <c r="N175" s="144" t="s">
        <v>1238</v>
      </c>
    </row>
    <row r="176" spans="1:14" ht="32.1" customHeight="1">
      <c r="A176" s="860"/>
      <c r="B176" s="170"/>
      <c r="C176" s="144" t="s">
        <v>1289</v>
      </c>
      <c r="D176" s="268"/>
      <c r="E176" s="144" t="s">
        <v>1315</v>
      </c>
      <c r="F176" s="268">
        <v>6609</v>
      </c>
      <c r="G176" s="236">
        <f t="shared" si="51"/>
        <v>4</v>
      </c>
      <c r="H176" s="229">
        <f t="shared" si="44"/>
        <v>2</v>
      </c>
      <c r="I176" s="230">
        <f t="shared" si="45"/>
        <v>0</v>
      </c>
      <c r="J176" s="230">
        <f t="shared" si="46"/>
        <v>0</v>
      </c>
      <c r="K176" s="230">
        <f t="shared" si="47"/>
        <v>0</v>
      </c>
      <c r="L176" s="230">
        <f t="shared" si="48"/>
        <v>0</v>
      </c>
      <c r="M176" s="231">
        <f t="shared" si="49"/>
        <v>2</v>
      </c>
      <c r="N176" s="144" t="s">
        <v>1318</v>
      </c>
    </row>
    <row r="177" spans="1:14" ht="32.1" customHeight="1">
      <c r="A177" s="860"/>
      <c r="B177" s="170"/>
      <c r="C177" s="144" t="s">
        <v>1290</v>
      </c>
      <c r="D177" s="268"/>
      <c r="E177" s="144" t="s">
        <v>1316</v>
      </c>
      <c r="F177" s="268">
        <v>6609</v>
      </c>
      <c r="G177" s="236">
        <f t="shared" si="51"/>
        <v>5</v>
      </c>
      <c r="H177" s="229">
        <f t="shared" si="44"/>
        <v>0</v>
      </c>
      <c r="I177" s="230">
        <f t="shared" si="45"/>
        <v>2</v>
      </c>
      <c r="J177" s="230">
        <f t="shared" si="46"/>
        <v>0</v>
      </c>
      <c r="K177" s="230">
        <f t="shared" si="47"/>
        <v>0</v>
      </c>
      <c r="L177" s="230">
        <f t="shared" si="48"/>
        <v>1</v>
      </c>
      <c r="M177" s="231">
        <f t="shared" si="49"/>
        <v>2</v>
      </c>
      <c r="N177" s="144" t="s">
        <v>1319</v>
      </c>
    </row>
    <row r="178" spans="1:14" ht="32.1" customHeight="1">
      <c r="A178" s="860"/>
      <c r="B178" s="170"/>
      <c r="C178" s="144" t="s">
        <v>1291</v>
      </c>
      <c r="D178" s="268"/>
      <c r="E178" s="144" t="s">
        <v>1317</v>
      </c>
      <c r="F178" s="268">
        <v>6609</v>
      </c>
      <c r="G178" s="236">
        <f t="shared" si="51"/>
        <v>0</v>
      </c>
      <c r="H178" s="229">
        <f t="shared" si="44"/>
        <v>0</v>
      </c>
      <c r="I178" s="230">
        <f t="shared" si="45"/>
        <v>0</v>
      </c>
      <c r="J178" s="230">
        <f t="shared" si="46"/>
        <v>0</v>
      </c>
      <c r="K178" s="230">
        <f t="shared" si="47"/>
        <v>0</v>
      </c>
      <c r="L178" s="230">
        <f t="shared" si="48"/>
        <v>0</v>
      </c>
      <c r="M178" s="231">
        <f t="shared" si="49"/>
        <v>0</v>
      </c>
      <c r="N178" s="144" t="s">
        <v>1320</v>
      </c>
    </row>
    <row r="179" spans="1:14" ht="32.1" customHeight="1">
      <c r="A179" s="860"/>
      <c r="B179" s="170"/>
      <c r="C179" s="144" t="s">
        <v>975</v>
      </c>
      <c r="D179" s="268" t="s">
        <v>670</v>
      </c>
      <c r="E179" s="144" t="s">
        <v>1253</v>
      </c>
      <c r="F179" s="268">
        <v>6606</v>
      </c>
      <c r="G179" s="236">
        <f t="shared" si="51"/>
        <v>1</v>
      </c>
      <c r="H179" s="229">
        <f t="shared" si="44"/>
        <v>0</v>
      </c>
      <c r="I179" s="230">
        <f t="shared" si="45"/>
        <v>0</v>
      </c>
      <c r="J179" s="230">
        <f t="shared" si="46"/>
        <v>0</v>
      </c>
      <c r="K179" s="230">
        <f t="shared" si="47"/>
        <v>0</v>
      </c>
      <c r="L179" s="230">
        <f t="shared" si="48"/>
        <v>0</v>
      </c>
      <c r="M179" s="231">
        <f t="shared" si="49"/>
        <v>1</v>
      </c>
      <c r="N179" s="144" t="s">
        <v>1254</v>
      </c>
    </row>
    <row r="180" spans="1:14" ht="32.1" customHeight="1">
      <c r="A180" s="860"/>
      <c r="B180" s="170"/>
      <c r="C180" s="145" t="s">
        <v>754</v>
      </c>
      <c r="D180" s="269" t="s">
        <v>867</v>
      </c>
      <c r="E180" s="145" t="s">
        <v>1239</v>
      </c>
      <c r="F180" s="269">
        <v>6606</v>
      </c>
      <c r="G180" s="237">
        <f t="shared" ref="G180" si="52">SUM(H180:M180)</f>
        <v>1</v>
      </c>
      <c r="H180" s="238">
        <f t="shared" si="44"/>
        <v>0</v>
      </c>
      <c r="I180" s="239">
        <f t="shared" si="45"/>
        <v>0</v>
      </c>
      <c r="J180" s="239">
        <f t="shared" si="46"/>
        <v>0</v>
      </c>
      <c r="K180" s="239">
        <f t="shared" si="47"/>
        <v>0</v>
      </c>
      <c r="L180" s="239">
        <f t="shared" si="48"/>
        <v>1</v>
      </c>
      <c r="M180" s="240">
        <f t="shared" si="49"/>
        <v>0</v>
      </c>
      <c r="N180" s="145" t="s">
        <v>1240</v>
      </c>
    </row>
    <row r="181" spans="1:14" ht="32.1" customHeight="1">
      <c r="A181" s="860"/>
      <c r="B181" s="170"/>
      <c r="C181" s="144" t="s">
        <v>448</v>
      </c>
      <c r="D181" s="268" t="s">
        <v>474</v>
      </c>
      <c r="E181" s="144" t="s">
        <v>1241</v>
      </c>
      <c r="F181" s="268">
        <v>6602</v>
      </c>
      <c r="G181" s="236">
        <f t="shared" si="51"/>
        <v>60</v>
      </c>
      <c r="H181" s="229">
        <f t="shared" ref="H181:H193" si="53">COUNTIF(Area_v1,$C181)</f>
        <v>19</v>
      </c>
      <c r="I181" s="230">
        <f t="shared" ref="I181:I193" si="54">COUNTIF(Area_v2,$C181)</f>
        <v>19</v>
      </c>
      <c r="J181" s="230">
        <f t="shared" ref="J181:J193" si="55">COUNTIF(Area_v1MOM,$C181)</f>
        <v>0</v>
      </c>
      <c r="K181" s="230">
        <f t="shared" ref="K181:K193" si="56">COUNTIF(Area_v4MOM,$C181)</f>
        <v>0</v>
      </c>
      <c r="L181" s="230">
        <f t="shared" ref="L181:L193" si="57">COUNTIF(Area_v4PMO,$C181)</f>
        <v>11</v>
      </c>
      <c r="M181" s="231">
        <f t="shared" ref="M181:M193" si="58">COUNTIF(Area_v6PMO,$C181)</f>
        <v>11</v>
      </c>
      <c r="N181" s="144" t="s">
        <v>1242</v>
      </c>
    </row>
    <row r="182" spans="1:14" ht="32.1" customHeight="1">
      <c r="A182" s="860"/>
      <c r="B182" s="170"/>
      <c r="C182" s="74" t="s">
        <v>460</v>
      </c>
      <c r="D182" s="265" t="s">
        <v>475</v>
      </c>
      <c r="E182" s="74" t="s">
        <v>1243</v>
      </c>
      <c r="F182" s="265">
        <v>6605</v>
      </c>
      <c r="G182" s="224">
        <f t="shared" si="51"/>
        <v>0</v>
      </c>
      <c r="H182" s="225">
        <f t="shared" si="53"/>
        <v>0</v>
      </c>
      <c r="I182" s="226">
        <f t="shared" si="54"/>
        <v>0</v>
      </c>
      <c r="J182" s="226">
        <f t="shared" si="55"/>
        <v>0</v>
      </c>
      <c r="K182" s="226">
        <f t="shared" si="56"/>
        <v>0</v>
      </c>
      <c r="L182" s="226">
        <f t="shared" si="57"/>
        <v>0</v>
      </c>
      <c r="M182" s="227">
        <f t="shared" si="58"/>
        <v>0</v>
      </c>
      <c r="N182" s="74" t="s">
        <v>1244</v>
      </c>
    </row>
    <row r="183" spans="1:14" ht="32.1" customHeight="1">
      <c r="A183" s="860"/>
      <c r="B183" s="170"/>
      <c r="C183" s="144" t="s">
        <v>787</v>
      </c>
      <c r="D183" s="268" t="s">
        <v>786</v>
      </c>
      <c r="E183" s="144" t="s">
        <v>1245</v>
      </c>
      <c r="F183" s="268">
        <v>6608</v>
      </c>
      <c r="G183" s="236">
        <f t="shared" si="51"/>
        <v>4</v>
      </c>
      <c r="H183" s="229">
        <f t="shared" si="53"/>
        <v>1</v>
      </c>
      <c r="I183" s="230">
        <f t="shared" si="54"/>
        <v>1</v>
      </c>
      <c r="J183" s="230">
        <f t="shared" si="55"/>
        <v>0</v>
      </c>
      <c r="K183" s="230">
        <f t="shared" si="56"/>
        <v>0</v>
      </c>
      <c r="L183" s="230">
        <f t="shared" si="57"/>
        <v>1</v>
      </c>
      <c r="M183" s="231">
        <f t="shared" si="58"/>
        <v>1</v>
      </c>
      <c r="N183" s="144" t="s">
        <v>1246</v>
      </c>
    </row>
    <row r="184" spans="1:14" ht="32.1" customHeight="1">
      <c r="A184" s="860"/>
      <c r="B184" s="170"/>
      <c r="C184" s="144" t="s">
        <v>449</v>
      </c>
      <c r="D184" s="268" t="s">
        <v>476</v>
      </c>
      <c r="E184" s="144" t="s">
        <v>1247</v>
      </c>
      <c r="F184" s="268">
        <v>6602</v>
      </c>
      <c r="G184" s="236">
        <f t="shared" si="51"/>
        <v>26</v>
      </c>
      <c r="H184" s="229">
        <f t="shared" si="53"/>
        <v>10</v>
      </c>
      <c r="I184" s="230">
        <f t="shared" si="54"/>
        <v>12</v>
      </c>
      <c r="J184" s="230">
        <f t="shared" si="55"/>
        <v>0</v>
      </c>
      <c r="K184" s="230">
        <f t="shared" si="56"/>
        <v>0</v>
      </c>
      <c r="L184" s="230">
        <f t="shared" si="57"/>
        <v>0</v>
      </c>
      <c r="M184" s="231">
        <f t="shared" si="58"/>
        <v>4</v>
      </c>
      <c r="N184" s="144" t="s">
        <v>1250</v>
      </c>
    </row>
    <row r="185" spans="1:14" ht="32.1" customHeight="1">
      <c r="A185" s="860"/>
      <c r="B185" s="170"/>
      <c r="C185" s="74" t="s">
        <v>457</v>
      </c>
      <c r="D185" s="265" t="s">
        <v>477</v>
      </c>
      <c r="E185" s="74" t="s">
        <v>1248</v>
      </c>
      <c r="F185" s="265">
        <v>6605</v>
      </c>
      <c r="G185" s="224">
        <f t="shared" si="51"/>
        <v>0</v>
      </c>
      <c r="H185" s="225">
        <f t="shared" si="53"/>
        <v>0</v>
      </c>
      <c r="I185" s="226">
        <f t="shared" si="54"/>
        <v>0</v>
      </c>
      <c r="J185" s="226">
        <f t="shared" si="55"/>
        <v>0</v>
      </c>
      <c r="K185" s="226">
        <f t="shared" si="56"/>
        <v>0</v>
      </c>
      <c r="L185" s="226">
        <f t="shared" si="57"/>
        <v>0</v>
      </c>
      <c r="M185" s="227">
        <f t="shared" si="58"/>
        <v>0</v>
      </c>
      <c r="N185" s="74" t="s">
        <v>1251</v>
      </c>
    </row>
    <row r="186" spans="1:14" ht="32.1" customHeight="1">
      <c r="A186" s="860"/>
      <c r="B186" s="170"/>
      <c r="C186" s="144" t="s">
        <v>788</v>
      </c>
      <c r="D186" s="268" t="s">
        <v>757</v>
      </c>
      <c r="E186" s="144" t="s">
        <v>1249</v>
      </c>
      <c r="F186" s="268">
        <v>6608</v>
      </c>
      <c r="G186" s="236">
        <f t="shared" si="51"/>
        <v>0</v>
      </c>
      <c r="H186" s="229">
        <f t="shared" si="53"/>
        <v>0</v>
      </c>
      <c r="I186" s="230">
        <f t="shared" si="54"/>
        <v>0</v>
      </c>
      <c r="J186" s="230">
        <f t="shared" si="55"/>
        <v>0</v>
      </c>
      <c r="K186" s="230">
        <f t="shared" si="56"/>
        <v>0</v>
      </c>
      <c r="L186" s="230">
        <f t="shared" si="57"/>
        <v>0</v>
      </c>
      <c r="M186" s="231">
        <f t="shared" si="58"/>
        <v>0</v>
      </c>
      <c r="N186" s="144" t="s">
        <v>1252</v>
      </c>
    </row>
    <row r="187" spans="1:14" ht="32.1" customHeight="1">
      <c r="A187" s="860"/>
      <c r="B187" s="170"/>
      <c r="C187" s="144" t="s">
        <v>755</v>
      </c>
      <c r="D187" s="268" t="s">
        <v>756</v>
      </c>
      <c r="E187" s="144" t="s">
        <v>1255</v>
      </c>
      <c r="F187" s="268">
        <v>6602</v>
      </c>
      <c r="G187" s="236">
        <f t="shared" si="51"/>
        <v>0</v>
      </c>
      <c r="H187" s="229">
        <f t="shared" si="53"/>
        <v>0</v>
      </c>
      <c r="I187" s="230">
        <f t="shared" si="54"/>
        <v>0</v>
      </c>
      <c r="J187" s="230">
        <f t="shared" si="55"/>
        <v>0</v>
      </c>
      <c r="K187" s="230">
        <f t="shared" si="56"/>
        <v>0</v>
      </c>
      <c r="L187" s="230">
        <f t="shared" si="57"/>
        <v>0</v>
      </c>
      <c r="M187" s="231">
        <f t="shared" si="58"/>
        <v>0</v>
      </c>
      <c r="N187" s="144" t="s">
        <v>1256</v>
      </c>
    </row>
    <row r="188" spans="1:14" ht="32.1" customHeight="1">
      <c r="A188" s="860"/>
      <c r="B188" s="170"/>
      <c r="C188" s="74" t="s">
        <v>665</v>
      </c>
      <c r="D188" s="265" t="s">
        <v>668</v>
      </c>
      <c r="E188" s="74" t="s">
        <v>1257</v>
      </c>
      <c r="F188" s="265">
        <v>6605</v>
      </c>
      <c r="G188" s="224">
        <f t="shared" si="51"/>
        <v>0</v>
      </c>
      <c r="H188" s="225">
        <f t="shared" si="53"/>
        <v>0</v>
      </c>
      <c r="I188" s="226">
        <f t="shared" si="54"/>
        <v>0</v>
      </c>
      <c r="J188" s="226">
        <f t="shared" si="55"/>
        <v>0</v>
      </c>
      <c r="K188" s="226">
        <f t="shared" si="56"/>
        <v>0</v>
      </c>
      <c r="L188" s="226">
        <f t="shared" si="57"/>
        <v>0</v>
      </c>
      <c r="M188" s="227">
        <f t="shared" si="58"/>
        <v>0</v>
      </c>
      <c r="N188" s="74" t="s">
        <v>1258</v>
      </c>
    </row>
    <row r="189" spans="1:14" ht="32.1" customHeight="1">
      <c r="A189" s="860"/>
      <c r="B189" s="170"/>
      <c r="C189" s="144" t="s">
        <v>902</v>
      </c>
      <c r="D189" s="268" t="s">
        <v>834</v>
      </c>
      <c r="E189" s="144" t="s">
        <v>1261</v>
      </c>
      <c r="F189" s="268">
        <v>6602</v>
      </c>
      <c r="G189" s="236">
        <f t="shared" si="51"/>
        <v>0</v>
      </c>
      <c r="H189" s="229">
        <f t="shared" si="53"/>
        <v>0</v>
      </c>
      <c r="I189" s="230">
        <f t="shared" si="54"/>
        <v>0</v>
      </c>
      <c r="J189" s="230">
        <f t="shared" si="55"/>
        <v>0</v>
      </c>
      <c r="K189" s="230">
        <f t="shared" si="56"/>
        <v>0</v>
      </c>
      <c r="L189" s="230">
        <f t="shared" si="57"/>
        <v>0</v>
      </c>
      <c r="M189" s="231">
        <f t="shared" si="58"/>
        <v>0</v>
      </c>
      <c r="N189" s="144" t="s">
        <v>1262</v>
      </c>
    </row>
    <row r="190" spans="1:14" ht="32.1" customHeight="1">
      <c r="A190" s="860"/>
      <c r="B190" s="170"/>
      <c r="C190" s="143" t="s">
        <v>667</v>
      </c>
      <c r="D190" s="267" t="s">
        <v>669</v>
      </c>
      <c r="E190" s="143" t="s">
        <v>1259</v>
      </c>
      <c r="F190" s="267">
        <v>6605</v>
      </c>
      <c r="G190" s="232">
        <f t="shared" si="51"/>
        <v>0</v>
      </c>
      <c r="H190" s="233">
        <f t="shared" si="53"/>
        <v>0</v>
      </c>
      <c r="I190" s="234">
        <f t="shared" si="54"/>
        <v>0</v>
      </c>
      <c r="J190" s="234">
        <f t="shared" si="55"/>
        <v>0</v>
      </c>
      <c r="K190" s="234">
        <f t="shared" si="56"/>
        <v>0</v>
      </c>
      <c r="L190" s="234">
        <f t="shared" si="57"/>
        <v>0</v>
      </c>
      <c r="M190" s="235">
        <f t="shared" si="58"/>
        <v>0</v>
      </c>
      <c r="N190" s="143" t="s">
        <v>1260</v>
      </c>
    </row>
    <row r="191" spans="1:14" ht="32.1" customHeight="1">
      <c r="A191" s="860"/>
      <c r="B191" s="170"/>
      <c r="C191" s="144" t="s">
        <v>326</v>
      </c>
      <c r="D191" s="268" t="s">
        <v>478</v>
      </c>
      <c r="E191" s="144" t="s">
        <v>1268</v>
      </c>
      <c r="F191" s="268">
        <v>6602</v>
      </c>
      <c r="G191" s="236">
        <f t="shared" si="51"/>
        <v>1</v>
      </c>
      <c r="H191" s="229">
        <f t="shared" si="53"/>
        <v>0</v>
      </c>
      <c r="I191" s="230">
        <f t="shared" si="54"/>
        <v>0</v>
      </c>
      <c r="J191" s="230">
        <f t="shared" si="55"/>
        <v>0</v>
      </c>
      <c r="K191" s="230">
        <f t="shared" si="56"/>
        <v>0</v>
      </c>
      <c r="L191" s="230">
        <f t="shared" si="57"/>
        <v>0</v>
      </c>
      <c r="M191" s="231">
        <f t="shared" si="58"/>
        <v>1</v>
      </c>
      <c r="N191" s="144" t="s">
        <v>1269</v>
      </c>
    </row>
    <row r="192" spans="1:14" ht="32.1" customHeight="1">
      <c r="A192" s="860"/>
      <c r="B192" s="170"/>
      <c r="C192" s="144" t="s">
        <v>663</v>
      </c>
      <c r="D192" s="268" t="s">
        <v>479</v>
      </c>
      <c r="E192" s="144" t="s">
        <v>1267</v>
      </c>
      <c r="F192" s="268">
        <v>6608</v>
      </c>
      <c r="G192" s="236">
        <f t="shared" si="51"/>
        <v>0</v>
      </c>
      <c r="H192" s="229">
        <f t="shared" si="53"/>
        <v>0</v>
      </c>
      <c r="I192" s="230">
        <f t="shared" si="54"/>
        <v>0</v>
      </c>
      <c r="J192" s="230">
        <f t="shared" si="55"/>
        <v>0</v>
      </c>
      <c r="K192" s="230">
        <f t="shared" si="56"/>
        <v>0</v>
      </c>
      <c r="L192" s="230">
        <f t="shared" si="57"/>
        <v>0</v>
      </c>
      <c r="M192" s="231">
        <f t="shared" si="58"/>
        <v>0</v>
      </c>
      <c r="N192" s="144" t="s">
        <v>1266</v>
      </c>
    </row>
    <row r="193" spans="1:14" ht="32.1" customHeight="1">
      <c r="A193" s="860"/>
      <c r="B193" s="170"/>
      <c r="C193" s="145" t="s">
        <v>1263</v>
      </c>
      <c r="D193" s="269"/>
      <c r="E193" s="145" t="s">
        <v>1264</v>
      </c>
      <c r="F193" s="269">
        <v>6598</v>
      </c>
      <c r="G193" s="237">
        <f t="shared" ref="G193" si="59">SUM(H193:M193)</f>
        <v>0</v>
      </c>
      <c r="H193" s="238">
        <f t="shared" si="53"/>
        <v>0</v>
      </c>
      <c r="I193" s="239">
        <f t="shared" si="54"/>
        <v>0</v>
      </c>
      <c r="J193" s="239">
        <f t="shared" si="55"/>
        <v>0</v>
      </c>
      <c r="K193" s="239">
        <f t="shared" si="56"/>
        <v>0</v>
      </c>
      <c r="L193" s="239">
        <f t="shared" si="57"/>
        <v>0</v>
      </c>
      <c r="M193" s="240">
        <f t="shared" si="58"/>
        <v>0</v>
      </c>
      <c r="N193" s="145" t="s">
        <v>1265</v>
      </c>
    </row>
    <row r="194" spans="1:14" ht="32.1" customHeight="1">
      <c r="A194" s="860"/>
      <c r="B194" s="170"/>
      <c r="C194" s="144" t="s">
        <v>1270</v>
      </c>
      <c r="D194" s="268" t="s">
        <v>480</v>
      </c>
      <c r="E194" s="144" t="s">
        <v>1284</v>
      </c>
      <c r="F194" s="268">
        <v>6598</v>
      </c>
      <c r="G194" s="236">
        <f t="shared" si="51"/>
        <v>0</v>
      </c>
      <c r="H194" s="229">
        <f t="shared" ref="H194:H200" si="60">COUNTIF(Area_v1,$C194)</f>
        <v>0</v>
      </c>
      <c r="I194" s="230">
        <f t="shared" ref="I194:I200" si="61">COUNTIF(Area_v2,$C194)</f>
        <v>0</v>
      </c>
      <c r="J194" s="230">
        <f t="shared" ref="J194:J200" si="62">COUNTIF(Area_v1MOM,$C194)</f>
        <v>0</v>
      </c>
      <c r="K194" s="230">
        <f t="shared" ref="K194:K200" si="63">COUNTIF(Area_v4MOM,$C194)</f>
        <v>0</v>
      </c>
      <c r="L194" s="230">
        <f t="shared" ref="L194:L200" si="64">COUNTIF(Area_v4PMO,$C194)</f>
        <v>0</v>
      </c>
      <c r="M194" s="231">
        <f t="shared" ref="M194:M200" si="65">COUNTIF(Area_v6PMO,$C194)</f>
        <v>0</v>
      </c>
      <c r="N194" s="144" t="s">
        <v>1271</v>
      </c>
    </row>
    <row r="195" spans="1:14" ht="32.1" customHeight="1">
      <c r="A195" s="860"/>
      <c r="B195" s="170"/>
      <c r="C195" s="144" t="s">
        <v>1005</v>
      </c>
      <c r="D195" s="268"/>
      <c r="E195" s="144" t="s">
        <v>1272</v>
      </c>
      <c r="F195" s="268">
        <v>6599</v>
      </c>
      <c r="G195" s="236">
        <f t="shared" si="51"/>
        <v>0</v>
      </c>
      <c r="H195" s="229">
        <f t="shared" si="60"/>
        <v>0</v>
      </c>
      <c r="I195" s="230">
        <f t="shared" si="61"/>
        <v>0</v>
      </c>
      <c r="J195" s="230">
        <f t="shared" si="62"/>
        <v>0</v>
      </c>
      <c r="K195" s="230">
        <f t="shared" si="63"/>
        <v>0</v>
      </c>
      <c r="L195" s="230">
        <f t="shared" si="64"/>
        <v>0</v>
      </c>
      <c r="M195" s="231">
        <f t="shared" si="65"/>
        <v>0</v>
      </c>
      <c r="N195" s="144" t="s">
        <v>1274</v>
      </c>
    </row>
    <row r="196" spans="1:14" ht="32.1" customHeight="1">
      <c r="A196" s="860"/>
      <c r="B196" s="170"/>
      <c r="C196" s="144" t="s">
        <v>1006</v>
      </c>
      <c r="D196" s="268"/>
      <c r="E196" s="144" t="s">
        <v>1273</v>
      </c>
      <c r="F196" s="268">
        <v>6599</v>
      </c>
      <c r="G196" s="236">
        <f t="shared" si="51"/>
        <v>0</v>
      </c>
      <c r="H196" s="229">
        <f t="shared" si="60"/>
        <v>0</v>
      </c>
      <c r="I196" s="230">
        <f t="shared" si="61"/>
        <v>0</v>
      </c>
      <c r="J196" s="230">
        <f t="shared" si="62"/>
        <v>0</v>
      </c>
      <c r="K196" s="230">
        <f t="shared" si="63"/>
        <v>0</v>
      </c>
      <c r="L196" s="230">
        <f t="shared" si="64"/>
        <v>0</v>
      </c>
      <c r="M196" s="231">
        <f t="shared" si="65"/>
        <v>0</v>
      </c>
      <c r="N196" s="144" t="s">
        <v>1275</v>
      </c>
    </row>
    <row r="197" spans="1:14" ht="32.1" customHeight="1">
      <c r="A197" s="860"/>
      <c r="B197" s="170"/>
      <c r="C197" s="144" t="s">
        <v>1276</v>
      </c>
      <c r="D197" s="268"/>
      <c r="E197" s="144" t="s">
        <v>1277</v>
      </c>
      <c r="F197" s="268">
        <v>6625</v>
      </c>
      <c r="G197" s="236">
        <f t="shared" si="51"/>
        <v>0</v>
      </c>
      <c r="H197" s="229">
        <f t="shared" si="60"/>
        <v>0</v>
      </c>
      <c r="I197" s="230">
        <f t="shared" si="61"/>
        <v>0</v>
      </c>
      <c r="J197" s="230">
        <f t="shared" si="62"/>
        <v>0</v>
      </c>
      <c r="K197" s="230">
        <f t="shared" si="63"/>
        <v>0</v>
      </c>
      <c r="L197" s="230">
        <f t="shared" si="64"/>
        <v>0</v>
      </c>
      <c r="M197" s="231">
        <f t="shared" si="65"/>
        <v>0</v>
      </c>
      <c r="N197" s="144" t="s">
        <v>1278</v>
      </c>
    </row>
    <row r="198" spans="1:14" ht="32.1" customHeight="1">
      <c r="A198" s="860"/>
      <c r="B198" s="170"/>
      <c r="C198" s="144" t="s">
        <v>1280</v>
      </c>
      <c r="D198" s="268"/>
      <c r="E198" s="144" t="s">
        <v>1283</v>
      </c>
      <c r="F198" s="268">
        <v>6607</v>
      </c>
      <c r="G198" s="236">
        <f t="shared" si="51"/>
        <v>0</v>
      </c>
      <c r="H198" s="229">
        <f t="shared" si="60"/>
        <v>0</v>
      </c>
      <c r="I198" s="230">
        <f t="shared" si="61"/>
        <v>0</v>
      </c>
      <c r="J198" s="230">
        <f t="shared" si="62"/>
        <v>0</v>
      </c>
      <c r="K198" s="230">
        <f t="shared" si="63"/>
        <v>0</v>
      </c>
      <c r="L198" s="230">
        <f t="shared" si="64"/>
        <v>0</v>
      </c>
      <c r="M198" s="231">
        <f t="shared" si="65"/>
        <v>0</v>
      </c>
      <c r="N198" s="144" t="s">
        <v>1281</v>
      </c>
    </row>
    <row r="199" spans="1:14" ht="32.1" customHeight="1">
      <c r="A199" s="860"/>
      <c r="B199" s="170"/>
      <c r="C199" s="144" t="s">
        <v>1279</v>
      </c>
      <c r="D199" s="268"/>
      <c r="E199" s="144" t="s">
        <v>1282</v>
      </c>
      <c r="F199" s="268">
        <v>6607</v>
      </c>
      <c r="G199" s="236">
        <f t="shared" si="51"/>
        <v>0</v>
      </c>
      <c r="H199" s="229">
        <f t="shared" si="60"/>
        <v>0</v>
      </c>
      <c r="I199" s="230">
        <f t="shared" si="61"/>
        <v>0</v>
      </c>
      <c r="J199" s="230">
        <f t="shared" si="62"/>
        <v>0</v>
      </c>
      <c r="K199" s="230">
        <f t="shared" si="63"/>
        <v>0</v>
      </c>
      <c r="L199" s="230">
        <f t="shared" si="64"/>
        <v>0</v>
      </c>
      <c r="M199" s="231">
        <f t="shared" si="65"/>
        <v>0</v>
      </c>
      <c r="N199" s="144" t="s">
        <v>1279</v>
      </c>
    </row>
    <row r="200" spans="1:14" ht="32.1" customHeight="1">
      <c r="A200" s="861"/>
      <c r="B200" s="170"/>
      <c r="C200" s="146" t="s">
        <v>1190</v>
      </c>
      <c r="D200" s="270"/>
      <c r="E200" s="146" t="s">
        <v>1191</v>
      </c>
      <c r="F200" s="270">
        <v>6607</v>
      </c>
      <c r="G200" s="241">
        <f t="shared" ref="G200" si="66">SUM(H200:M200)</f>
        <v>0</v>
      </c>
      <c r="H200" s="229">
        <f t="shared" si="60"/>
        <v>0</v>
      </c>
      <c r="I200" s="230">
        <f t="shared" si="61"/>
        <v>0</v>
      </c>
      <c r="J200" s="230">
        <f t="shared" si="62"/>
        <v>0</v>
      </c>
      <c r="K200" s="230">
        <f t="shared" si="63"/>
        <v>0</v>
      </c>
      <c r="L200" s="230">
        <f t="shared" si="64"/>
        <v>0</v>
      </c>
      <c r="M200" s="231">
        <f t="shared" si="65"/>
        <v>0</v>
      </c>
      <c r="N200" s="146" t="s">
        <v>1190</v>
      </c>
    </row>
    <row r="201" spans="1:14" ht="32.1" customHeight="1">
      <c r="A201" s="855" t="s">
        <v>1521</v>
      </c>
      <c r="B201" s="878" t="s">
        <v>195</v>
      </c>
      <c r="C201" s="299"/>
      <c r="D201" s="271" t="s">
        <v>73</v>
      </c>
      <c r="E201" s="147" t="s">
        <v>75</v>
      </c>
      <c r="F201" s="271"/>
      <c r="G201" s="242">
        <f t="shared" ref="G201:G262" si="67">SUM(H201:M201)</f>
        <v>380</v>
      </c>
      <c r="H201" s="243">
        <f t="shared" ref="H201:M201" si="68">SUM(H154:H198)</f>
        <v>121</v>
      </c>
      <c r="I201" s="244">
        <f t="shared" si="68"/>
        <v>120</v>
      </c>
      <c r="J201" s="244">
        <f t="shared" si="68"/>
        <v>8</v>
      </c>
      <c r="K201" s="244">
        <f t="shared" si="68"/>
        <v>8</v>
      </c>
      <c r="L201" s="244">
        <f t="shared" si="68"/>
        <v>55</v>
      </c>
      <c r="M201" s="245">
        <f t="shared" si="68"/>
        <v>68</v>
      </c>
      <c r="N201" s="147" t="s">
        <v>492</v>
      </c>
    </row>
    <row r="202" spans="1:14" ht="32.1" customHeight="1">
      <c r="A202" s="877"/>
      <c r="B202" s="879"/>
      <c r="C202" s="300"/>
      <c r="D202" s="270" t="s">
        <v>74</v>
      </c>
      <c r="E202" s="146" t="s">
        <v>76</v>
      </c>
      <c r="F202" s="270" t="s">
        <v>195</v>
      </c>
      <c r="G202" s="241">
        <f t="shared" si="67"/>
        <v>380</v>
      </c>
      <c r="H202" s="246">
        <f t="shared" ref="H202:M202" si="69">+H201</f>
        <v>121</v>
      </c>
      <c r="I202" s="247">
        <f t="shared" si="69"/>
        <v>120</v>
      </c>
      <c r="J202" s="247">
        <f t="shared" si="69"/>
        <v>8</v>
      </c>
      <c r="K202" s="247">
        <f t="shared" si="69"/>
        <v>8</v>
      </c>
      <c r="L202" s="247">
        <f t="shared" si="69"/>
        <v>55</v>
      </c>
      <c r="M202" s="248">
        <f t="shared" si="69"/>
        <v>68</v>
      </c>
      <c r="N202" s="146" t="s">
        <v>493</v>
      </c>
    </row>
    <row r="203" spans="1:14" ht="32.1" customHeight="1">
      <c r="A203" s="859" t="s">
        <v>328</v>
      </c>
      <c r="B203" s="170" t="s">
        <v>331</v>
      </c>
      <c r="C203" s="160" t="s">
        <v>1109</v>
      </c>
      <c r="D203" s="272" t="s">
        <v>77</v>
      </c>
      <c r="E203" s="160" t="s">
        <v>1110</v>
      </c>
      <c r="F203" s="272" t="s">
        <v>196</v>
      </c>
      <c r="G203" s="249">
        <f t="shared" ref="G203" si="70">ROUND(SUM(H203:M203)/2,0)</f>
        <v>0</v>
      </c>
      <c r="H203" s="250">
        <f t="shared" ref="H203:H213" si="71">COUNTIF(Area_v1,$C203)</f>
        <v>0</v>
      </c>
      <c r="I203" s="251">
        <f t="shared" ref="I203:I213" si="72">COUNTIF(Area_v2,$C203)</f>
        <v>0</v>
      </c>
      <c r="J203" s="251">
        <f t="shared" ref="J203:J213" si="73">COUNTIF(Area_v1MOM,$C203)</f>
        <v>0</v>
      </c>
      <c r="K203" s="251">
        <f t="shared" ref="K203:K213" si="74">COUNTIF(Area_v4MOM,$C203)</f>
        <v>0</v>
      </c>
      <c r="L203" s="251">
        <f t="shared" ref="L203:L213" si="75">COUNTIF(Area_v4PMO,$C203)</f>
        <v>0</v>
      </c>
      <c r="M203" s="252">
        <f t="shared" ref="M203:M213" si="76">COUNTIF(Area_v6PMO,$C203)</f>
        <v>0</v>
      </c>
      <c r="N203" s="160" t="s">
        <v>1124</v>
      </c>
    </row>
    <row r="204" spans="1:14" ht="32.1" customHeight="1">
      <c r="A204" s="860"/>
      <c r="B204" s="170" t="s">
        <v>331</v>
      </c>
      <c r="C204" s="144" t="s">
        <v>1111</v>
      </c>
      <c r="D204" s="268" t="s">
        <v>78</v>
      </c>
      <c r="E204" s="144" t="s">
        <v>1112</v>
      </c>
      <c r="F204" s="268"/>
      <c r="G204" s="236">
        <f>ROUND(SUM(H204:M204)/2,0)</f>
        <v>9</v>
      </c>
      <c r="H204" s="253">
        <f t="shared" si="71"/>
        <v>0</v>
      </c>
      <c r="I204" s="254">
        <f t="shared" si="72"/>
        <v>1</v>
      </c>
      <c r="J204" s="254">
        <f t="shared" si="73"/>
        <v>8</v>
      </c>
      <c r="K204" s="254">
        <f t="shared" si="74"/>
        <v>8</v>
      </c>
      <c r="L204" s="254">
        <f t="shared" si="75"/>
        <v>0</v>
      </c>
      <c r="M204" s="255">
        <f t="shared" si="76"/>
        <v>1</v>
      </c>
      <c r="N204" s="144" t="s">
        <v>1125</v>
      </c>
    </row>
    <row r="205" spans="1:14" ht="32.1" customHeight="1">
      <c r="A205" s="860"/>
      <c r="B205" s="170" t="s">
        <v>331</v>
      </c>
      <c r="C205" s="144" t="s">
        <v>1113</v>
      </c>
      <c r="D205" s="268" t="s">
        <v>79</v>
      </c>
      <c r="E205" s="144" t="s">
        <v>1114</v>
      </c>
      <c r="F205" s="268" t="s">
        <v>196</v>
      </c>
      <c r="G205" s="236">
        <f t="shared" ref="G205:G210" si="77">ROUND(SUM(H205:M205)/2,0)</f>
        <v>7</v>
      </c>
      <c r="H205" s="253">
        <f t="shared" si="71"/>
        <v>2</v>
      </c>
      <c r="I205" s="254">
        <f t="shared" si="72"/>
        <v>1</v>
      </c>
      <c r="J205" s="254">
        <f t="shared" si="73"/>
        <v>0</v>
      </c>
      <c r="K205" s="254">
        <f t="shared" si="74"/>
        <v>0</v>
      </c>
      <c r="L205" s="254">
        <f t="shared" si="75"/>
        <v>4</v>
      </c>
      <c r="M205" s="255">
        <f t="shared" si="76"/>
        <v>6</v>
      </c>
      <c r="N205" s="144" t="s">
        <v>1126</v>
      </c>
    </row>
    <row r="206" spans="1:14" ht="32.1" customHeight="1">
      <c r="A206" s="860"/>
      <c r="B206" s="170" t="s">
        <v>331</v>
      </c>
      <c r="C206" s="144" t="s">
        <v>1115</v>
      </c>
      <c r="D206" s="268" t="s">
        <v>80</v>
      </c>
      <c r="E206" s="144" t="s">
        <v>1116</v>
      </c>
      <c r="F206" s="268" t="s">
        <v>196</v>
      </c>
      <c r="G206" s="236">
        <f t="shared" si="77"/>
        <v>4</v>
      </c>
      <c r="H206" s="253">
        <f t="shared" si="71"/>
        <v>0</v>
      </c>
      <c r="I206" s="254">
        <f t="shared" si="72"/>
        <v>4</v>
      </c>
      <c r="J206" s="254">
        <f t="shared" si="73"/>
        <v>0</v>
      </c>
      <c r="K206" s="254">
        <f t="shared" si="74"/>
        <v>0</v>
      </c>
      <c r="L206" s="254">
        <f t="shared" si="75"/>
        <v>0</v>
      </c>
      <c r="M206" s="255">
        <f t="shared" si="76"/>
        <v>4</v>
      </c>
      <c r="N206" s="144" t="s">
        <v>1127</v>
      </c>
    </row>
    <row r="207" spans="1:14" ht="32.1" customHeight="1">
      <c r="A207" s="860"/>
      <c r="B207" s="170" t="s">
        <v>1193</v>
      </c>
      <c r="C207" s="144" t="s">
        <v>1194</v>
      </c>
      <c r="D207" s="268"/>
      <c r="E207" s="144" t="s">
        <v>1195</v>
      </c>
      <c r="F207" s="268"/>
      <c r="G207" s="236">
        <f>ROUND(SUM(H207:M207)/3,0)</f>
        <v>0</v>
      </c>
      <c r="H207" s="253">
        <f t="shared" si="71"/>
        <v>0</v>
      </c>
      <c r="I207" s="254">
        <f t="shared" si="72"/>
        <v>0</v>
      </c>
      <c r="J207" s="254">
        <f t="shared" si="73"/>
        <v>0</v>
      </c>
      <c r="K207" s="254">
        <f t="shared" si="74"/>
        <v>0</v>
      </c>
      <c r="L207" s="254">
        <f t="shared" si="75"/>
        <v>0</v>
      </c>
      <c r="M207" s="255">
        <f t="shared" si="76"/>
        <v>0</v>
      </c>
      <c r="N207" s="144" t="s">
        <v>1196</v>
      </c>
    </row>
    <row r="208" spans="1:14" ht="32.1" customHeight="1">
      <c r="A208" s="860"/>
      <c r="B208" s="170" t="s">
        <v>331</v>
      </c>
      <c r="C208" s="144" t="s">
        <v>1117</v>
      </c>
      <c r="D208" s="268" t="s">
        <v>81</v>
      </c>
      <c r="E208" s="144" t="s">
        <v>1118</v>
      </c>
      <c r="F208" s="268" t="s">
        <v>195</v>
      </c>
      <c r="G208" s="236">
        <f t="shared" si="77"/>
        <v>2</v>
      </c>
      <c r="H208" s="253">
        <f t="shared" si="71"/>
        <v>2</v>
      </c>
      <c r="I208" s="254">
        <f t="shared" si="72"/>
        <v>0</v>
      </c>
      <c r="J208" s="254">
        <f t="shared" si="73"/>
        <v>0</v>
      </c>
      <c r="K208" s="254">
        <f t="shared" si="74"/>
        <v>0</v>
      </c>
      <c r="L208" s="254">
        <f t="shared" si="75"/>
        <v>0</v>
      </c>
      <c r="M208" s="255">
        <f t="shared" si="76"/>
        <v>2</v>
      </c>
      <c r="N208" s="144" t="s">
        <v>1128</v>
      </c>
    </row>
    <row r="209" spans="1:14" ht="32.1" customHeight="1">
      <c r="A209" s="861"/>
      <c r="B209" s="171" t="s">
        <v>331</v>
      </c>
      <c r="C209" s="146" t="s">
        <v>1119</v>
      </c>
      <c r="D209" s="270" t="s">
        <v>83</v>
      </c>
      <c r="E209" s="146" t="s">
        <v>1120</v>
      </c>
      <c r="F209" s="270" t="s">
        <v>195</v>
      </c>
      <c r="G209" s="241">
        <f t="shared" si="77"/>
        <v>0</v>
      </c>
      <c r="H209" s="246">
        <f t="shared" si="71"/>
        <v>0</v>
      </c>
      <c r="I209" s="247">
        <f t="shared" si="72"/>
        <v>0</v>
      </c>
      <c r="J209" s="247">
        <f t="shared" si="73"/>
        <v>0</v>
      </c>
      <c r="K209" s="247">
        <f t="shared" si="74"/>
        <v>0</v>
      </c>
      <c r="L209" s="247">
        <f t="shared" si="75"/>
        <v>0</v>
      </c>
      <c r="M209" s="248">
        <f t="shared" si="76"/>
        <v>0</v>
      </c>
      <c r="N209" s="146" t="s">
        <v>1129</v>
      </c>
    </row>
    <row r="210" spans="1:14" ht="32.1" customHeight="1">
      <c r="A210" s="880" t="s">
        <v>1522</v>
      </c>
      <c r="B210" s="169" t="s">
        <v>331</v>
      </c>
      <c r="C210" s="147" t="s">
        <v>1121</v>
      </c>
      <c r="D210" s="271" t="s">
        <v>82</v>
      </c>
      <c r="E210" s="147" t="s">
        <v>1122</v>
      </c>
      <c r="F210" s="271"/>
      <c r="G210" s="242">
        <f t="shared" si="77"/>
        <v>0</v>
      </c>
      <c r="H210" s="243">
        <f t="shared" si="71"/>
        <v>0</v>
      </c>
      <c r="I210" s="244">
        <f t="shared" si="72"/>
        <v>0</v>
      </c>
      <c r="J210" s="244">
        <f t="shared" si="73"/>
        <v>0</v>
      </c>
      <c r="K210" s="244">
        <f t="shared" si="74"/>
        <v>0</v>
      </c>
      <c r="L210" s="244">
        <f t="shared" si="75"/>
        <v>0</v>
      </c>
      <c r="M210" s="245">
        <f t="shared" si="76"/>
        <v>0</v>
      </c>
      <c r="N210" s="147" t="s">
        <v>1130</v>
      </c>
    </row>
    <row r="211" spans="1:14" ht="32.1" customHeight="1">
      <c r="A211" s="881"/>
      <c r="B211" s="170"/>
      <c r="C211" s="144" t="s">
        <v>329</v>
      </c>
      <c r="D211" s="268" t="s">
        <v>198</v>
      </c>
      <c r="E211" s="144" t="s">
        <v>84</v>
      </c>
      <c r="F211" s="268" t="s">
        <v>197</v>
      </c>
      <c r="G211" s="236">
        <f t="shared" si="67"/>
        <v>5</v>
      </c>
      <c r="H211" s="253">
        <f t="shared" si="71"/>
        <v>4</v>
      </c>
      <c r="I211" s="254">
        <f t="shared" si="72"/>
        <v>0</v>
      </c>
      <c r="J211" s="254">
        <f t="shared" si="73"/>
        <v>0</v>
      </c>
      <c r="K211" s="254">
        <f t="shared" si="74"/>
        <v>0</v>
      </c>
      <c r="L211" s="254">
        <f t="shared" si="75"/>
        <v>0</v>
      </c>
      <c r="M211" s="255">
        <f t="shared" si="76"/>
        <v>1</v>
      </c>
      <c r="N211" s="144" t="s">
        <v>494</v>
      </c>
    </row>
    <row r="212" spans="1:14" ht="32.1" customHeight="1">
      <c r="A212" s="882"/>
      <c r="B212" s="171"/>
      <c r="C212" s="146" t="s">
        <v>1611</v>
      </c>
      <c r="D212" s="270" t="s">
        <v>200</v>
      </c>
      <c r="E212" s="146" t="s">
        <v>1123</v>
      </c>
      <c r="F212" s="270" t="s">
        <v>199</v>
      </c>
      <c r="G212" s="241">
        <f t="shared" si="67"/>
        <v>1</v>
      </c>
      <c r="H212" s="246">
        <f t="shared" si="71"/>
        <v>0</v>
      </c>
      <c r="I212" s="247">
        <f t="shared" si="72"/>
        <v>0</v>
      </c>
      <c r="J212" s="247">
        <f t="shared" si="73"/>
        <v>0</v>
      </c>
      <c r="K212" s="247">
        <f t="shared" si="74"/>
        <v>0</v>
      </c>
      <c r="L212" s="247">
        <f t="shared" si="75"/>
        <v>1</v>
      </c>
      <c r="M212" s="248">
        <f t="shared" si="76"/>
        <v>0</v>
      </c>
      <c r="N212" s="146" t="s">
        <v>1131</v>
      </c>
    </row>
    <row r="213" spans="1:14" ht="32.1" customHeight="1">
      <c r="A213" s="860" t="s">
        <v>1523</v>
      </c>
      <c r="B213" s="170"/>
      <c r="C213" s="160" t="s">
        <v>332</v>
      </c>
      <c r="D213" s="272" t="s">
        <v>85</v>
      </c>
      <c r="E213" s="160" t="s">
        <v>202</v>
      </c>
      <c r="F213" s="272" t="s">
        <v>201</v>
      </c>
      <c r="G213" s="249">
        <f t="shared" si="67"/>
        <v>0</v>
      </c>
      <c r="H213" s="250">
        <f t="shared" si="71"/>
        <v>0</v>
      </c>
      <c r="I213" s="251">
        <f t="shared" si="72"/>
        <v>0</v>
      </c>
      <c r="J213" s="251">
        <f t="shared" si="73"/>
        <v>0</v>
      </c>
      <c r="K213" s="251">
        <f t="shared" si="74"/>
        <v>0</v>
      </c>
      <c r="L213" s="251">
        <f t="shared" si="75"/>
        <v>0</v>
      </c>
      <c r="M213" s="252">
        <f t="shared" si="76"/>
        <v>0</v>
      </c>
      <c r="N213" s="160" t="s">
        <v>656</v>
      </c>
    </row>
    <row r="214" spans="1:14" ht="32.1" customHeight="1">
      <c r="A214" s="860"/>
      <c r="B214" s="174" t="s">
        <v>1524</v>
      </c>
      <c r="C214" s="144"/>
      <c r="D214" s="268" t="s">
        <v>86</v>
      </c>
      <c r="E214" s="144" t="s">
        <v>203</v>
      </c>
      <c r="F214" s="268" t="s">
        <v>201</v>
      </c>
      <c r="G214" s="236">
        <f t="shared" si="67"/>
        <v>0</v>
      </c>
      <c r="H214" s="253">
        <f t="shared" ref="H214:M214" si="78">+H213</f>
        <v>0</v>
      </c>
      <c r="I214" s="254">
        <f t="shared" si="78"/>
        <v>0</v>
      </c>
      <c r="J214" s="254">
        <f t="shared" si="78"/>
        <v>0</v>
      </c>
      <c r="K214" s="254">
        <f t="shared" si="78"/>
        <v>0</v>
      </c>
      <c r="L214" s="254">
        <f t="shared" si="78"/>
        <v>0</v>
      </c>
      <c r="M214" s="255">
        <f t="shared" si="78"/>
        <v>0</v>
      </c>
      <c r="N214" s="144" t="s">
        <v>657</v>
      </c>
    </row>
    <row r="215" spans="1:14" ht="32.1" customHeight="1">
      <c r="A215" s="860"/>
      <c r="B215" s="170"/>
      <c r="C215" s="144" t="s">
        <v>333</v>
      </c>
      <c r="D215" s="268" t="s">
        <v>87</v>
      </c>
      <c r="E215" s="144" t="s">
        <v>205</v>
      </c>
      <c r="F215" s="268" t="s">
        <v>204</v>
      </c>
      <c r="G215" s="236">
        <f t="shared" si="67"/>
        <v>0</v>
      </c>
      <c r="H215" s="253">
        <f>COUNTIF(Area_v1,$C215)</f>
        <v>0</v>
      </c>
      <c r="I215" s="254">
        <f>COUNTIF(Area_v2,$C215)</f>
        <v>0</v>
      </c>
      <c r="J215" s="254">
        <f>COUNTIF(Area_v1MOM,$C215)</f>
        <v>0</v>
      </c>
      <c r="K215" s="254">
        <f>COUNTIF(Area_v4MOM,$C215)</f>
        <v>0</v>
      </c>
      <c r="L215" s="254">
        <f>COUNTIF(Area_v4PMO,$C215)</f>
        <v>0</v>
      </c>
      <c r="M215" s="255">
        <f>COUNTIF(Area_v6PMO,$C215)</f>
        <v>0</v>
      </c>
      <c r="N215" s="144" t="s">
        <v>658</v>
      </c>
    </row>
    <row r="216" spans="1:14" ht="32.1" customHeight="1">
      <c r="A216" s="861"/>
      <c r="B216" s="175" t="s">
        <v>1524</v>
      </c>
      <c r="C216" s="146"/>
      <c r="D216" s="270" t="s">
        <v>88</v>
      </c>
      <c r="E216" s="146" t="s">
        <v>206</v>
      </c>
      <c r="F216" s="270" t="s">
        <v>204</v>
      </c>
      <c r="G216" s="241">
        <f t="shared" si="67"/>
        <v>0</v>
      </c>
      <c r="H216" s="246">
        <f t="shared" ref="H216:M216" si="79">+H215</f>
        <v>0</v>
      </c>
      <c r="I216" s="247">
        <f t="shared" si="79"/>
        <v>0</v>
      </c>
      <c r="J216" s="247">
        <f t="shared" si="79"/>
        <v>0</v>
      </c>
      <c r="K216" s="247">
        <f t="shared" si="79"/>
        <v>0</v>
      </c>
      <c r="L216" s="247">
        <f t="shared" si="79"/>
        <v>0</v>
      </c>
      <c r="M216" s="248">
        <f t="shared" si="79"/>
        <v>0</v>
      </c>
      <c r="N216" s="146" t="s">
        <v>659</v>
      </c>
    </row>
    <row r="217" spans="1:14" ht="32.1" customHeight="1">
      <c r="A217" s="859" t="s">
        <v>1535</v>
      </c>
      <c r="B217" s="169"/>
      <c r="C217" s="147" t="s">
        <v>27</v>
      </c>
      <c r="D217" s="271" t="s">
        <v>89</v>
      </c>
      <c r="E217" s="147" t="s">
        <v>1565</v>
      </c>
      <c r="F217" s="271" t="s">
        <v>207</v>
      </c>
      <c r="G217" s="242">
        <f>SUM(H217:M217)</f>
        <v>28</v>
      </c>
      <c r="H217" s="243">
        <f t="shared" ref="H217:H222" si="80">COUNTIF(Area_v1,$C217)</f>
        <v>5</v>
      </c>
      <c r="I217" s="244">
        <f t="shared" ref="I217:I222" si="81">COUNTIF(Area_v2,$C217)</f>
        <v>3</v>
      </c>
      <c r="J217" s="244">
        <f t="shared" ref="J217:J222" si="82">COUNTIF(Area_v1MOM,$C217)</f>
        <v>0</v>
      </c>
      <c r="K217" s="244">
        <f t="shared" ref="K217:K222" si="83">COUNTIF(Area_v4MOM,$C217)</f>
        <v>0</v>
      </c>
      <c r="L217" s="244">
        <f t="shared" ref="L217:L222" si="84">COUNTIF(Area_v4PMO,$C217)</f>
        <v>12</v>
      </c>
      <c r="M217" s="245">
        <f t="shared" ref="M217:M222" si="85">COUNTIF(Area_v6PMO,$C217)</f>
        <v>8</v>
      </c>
      <c r="N217" s="147" t="s">
        <v>543</v>
      </c>
    </row>
    <row r="218" spans="1:14" ht="32.1" customHeight="1">
      <c r="A218" s="860"/>
      <c r="B218" s="170"/>
      <c r="C218" s="144" t="s">
        <v>36</v>
      </c>
      <c r="D218" s="268" t="s">
        <v>90</v>
      </c>
      <c r="E218" s="144" t="s">
        <v>1567</v>
      </c>
      <c r="F218" s="268" t="s">
        <v>208</v>
      </c>
      <c r="G218" s="256">
        <f>SUM(H218:M218)</f>
        <v>9</v>
      </c>
      <c r="H218" s="253">
        <f t="shared" si="80"/>
        <v>4</v>
      </c>
      <c r="I218" s="254">
        <f t="shared" si="81"/>
        <v>4</v>
      </c>
      <c r="J218" s="254">
        <f t="shared" si="82"/>
        <v>0</v>
      </c>
      <c r="K218" s="254">
        <f t="shared" si="83"/>
        <v>0</v>
      </c>
      <c r="L218" s="254">
        <f t="shared" si="84"/>
        <v>1</v>
      </c>
      <c r="M218" s="255">
        <f t="shared" si="85"/>
        <v>0</v>
      </c>
      <c r="N218" s="144" t="s">
        <v>542</v>
      </c>
    </row>
    <row r="219" spans="1:14" ht="32.1" customHeight="1">
      <c r="A219" s="860"/>
      <c r="B219" s="170"/>
      <c r="C219" s="144" t="s">
        <v>1132</v>
      </c>
      <c r="D219" s="268" t="s">
        <v>90</v>
      </c>
      <c r="E219" s="144" t="s">
        <v>1566</v>
      </c>
      <c r="F219" s="268" t="s">
        <v>208</v>
      </c>
      <c r="G219" s="236">
        <f>SUM(H219:M219)</f>
        <v>1</v>
      </c>
      <c r="H219" s="253">
        <f t="shared" si="80"/>
        <v>0</v>
      </c>
      <c r="I219" s="254">
        <f t="shared" si="81"/>
        <v>1</v>
      </c>
      <c r="J219" s="254">
        <f t="shared" si="82"/>
        <v>0</v>
      </c>
      <c r="K219" s="254">
        <f t="shared" si="83"/>
        <v>0</v>
      </c>
      <c r="L219" s="254">
        <f t="shared" si="84"/>
        <v>0</v>
      </c>
      <c r="M219" s="255">
        <f t="shared" si="85"/>
        <v>0</v>
      </c>
      <c r="N219" s="144" t="s">
        <v>1562</v>
      </c>
    </row>
    <row r="220" spans="1:14" ht="32.1" customHeight="1">
      <c r="A220" s="860"/>
      <c r="B220" s="170"/>
      <c r="C220" s="144" t="s">
        <v>1563</v>
      </c>
      <c r="D220" s="268" t="s">
        <v>91</v>
      </c>
      <c r="E220" s="144" t="s">
        <v>92</v>
      </c>
      <c r="F220" s="268" t="s">
        <v>207</v>
      </c>
      <c r="G220" s="236">
        <f t="shared" si="67"/>
        <v>9</v>
      </c>
      <c r="H220" s="253">
        <f t="shared" si="80"/>
        <v>4</v>
      </c>
      <c r="I220" s="254">
        <f t="shared" si="81"/>
        <v>4</v>
      </c>
      <c r="J220" s="254">
        <f t="shared" si="82"/>
        <v>0</v>
      </c>
      <c r="K220" s="254">
        <f t="shared" si="83"/>
        <v>0</v>
      </c>
      <c r="L220" s="254">
        <f t="shared" si="84"/>
        <v>0</v>
      </c>
      <c r="M220" s="255">
        <f t="shared" si="85"/>
        <v>1</v>
      </c>
      <c r="N220" s="144" t="s">
        <v>495</v>
      </c>
    </row>
    <row r="221" spans="1:14" ht="32.1" customHeight="1">
      <c r="A221" s="860"/>
      <c r="B221" s="170"/>
      <c r="C221" s="144" t="s">
        <v>1564</v>
      </c>
      <c r="D221" s="268" t="s">
        <v>93</v>
      </c>
      <c r="E221" s="144" t="s">
        <v>94</v>
      </c>
      <c r="F221" s="268" t="s">
        <v>208</v>
      </c>
      <c r="G221" s="236">
        <f t="shared" si="67"/>
        <v>0</v>
      </c>
      <c r="H221" s="253">
        <f t="shared" si="80"/>
        <v>0</v>
      </c>
      <c r="I221" s="254">
        <f t="shared" si="81"/>
        <v>0</v>
      </c>
      <c r="J221" s="254">
        <f t="shared" si="82"/>
        <v>0</v>
      </c>
      <c r="K221" s="254">
        <f t="shared" si="83"/>
        <v>0</v>
      </c>
      <c r="L221" s="254">
        <f t="shared" si="84"/>
        <v>0</v>
      </c>
      <c r="M221" s="255">
        <f t="shared" si="85"/>
        <v>0</v>
      </c>
      <c r="N221" s="144" t="s">
        <v>496</v>
      </c>
    </row>
    <row r="222" spans="1:14" ht="32.1" customHeight="1">
      <c r="A222" s="860"/>
      <c r="B222" s="170"/>
      <c r="C222" s="144" t="s">
        <v>41</v>
      </c>
      <c r="D222" s="268" t="s">
        <v>95</v>
      </c>
      <c r="E222" s="144" t="s">
        <v>96</v>
      </c>
      <c r="F222" s="268" t="s">
        <v>209</v>
      </c>
      <c r="G222" s="236">
        <f t="shared" si="67"/>
        <v>84</v>
      </c>
      <c r="H222" s="253">
        <f t="shared" si="80"/>
        <v>38</v>
      </c>
      <c r="I222" s="254">
        <f t="shared" si="81"/>
        <v>38</v>
      </c>
      <c r="J222" s="254">
        <f t="shared" si="82"/>
        <v>4</v>
      </c>
      <c r="K222" s="254">
        <f t="shared" si="83"/>
        <v>4</v>
      </c>
      <c r="L222" s="254">
        <f t="shared" si="84"/>
        <v>0</v>
      </c>
      <c r="M222" s="255">
        <f t="shared" si="85"/>
        <v>0</v>
      </c>
      <c r="N222" s="144" t="s">
        <v>497</v>
      </c>
    </row>
    <row r="223" spans="1:14" ht="32.1" customHeight="1">
      <c r="A223" s="860"/>
      <c r="B223" s="170" t="s">
        <v>330</v>
      </c>
      <c r="C223" s="144" t="s">
        <v>42</v>
      </c>
      <c r="D223" s="268" t="s">
        <v>95</v>
      </c>
      <c r="E223" s="144" t="s">
        <v>712</v>
      </c>
      <c r="F223" s="268" t="s">
        <v>209</v>
      </c>
      <c r="G223" s="236">
        <f t="shared" si="67"/>
        <v>88</v>
      </c>
      <c r="H223" s="253">
        <f>COUNTIF(Area_v1,$C223)*2</f>
        <v>30</v>
      </c>
      <c r="I223" s="254">
        <f>COUNTIF(Area_v2,$C223)*2</f>
        <v>30</v>
      </c>
      <c r="J223" s="254">
        <f>COUNTIF(Area_v1MOM,$C223)*2</f>
        <v>14</v>
      </c>
      <c r="K223" s="254">
        <f>COUNTIF(Area_v4MOM,$C223)*2</f>
        <v>14</v>
      </c>
      <c r="L223" s="254">
        <f>COUNTIF(Area_v4PMO,$C223)*2</f>
        <v>0</v>
      </c>
      <c r="M223" s="255">
        <f>COUNTIF(Area_v6PMO,$C223)*2</f>
        <v>0</v>
      </c>
      <c r="N223" s="144" t="s">
        <v>498</v>
      </c>
    </row>
    <row r="224" spans="1:14" ht="32.1" customHeight="1">
      <c r="A224" s="860"/>
      <c r="B224" s="170"/>
      <c r="C224" s="144" t="s">
        <v>763</v>
      </c>
      <c r="D224" s="268" t="s">
        <v>833</v>
      </c>
      <c r="E224" s="144" t="s">
        <v>861</v>
      </c>
      <c r="F224" s="268">
        <v>6655</v>
      </c>
      <c r="G224" s="236">
        <f t="shared" si="67"/>
        <v>11</v>
      </c>
      <c r="H224" s="253">
        <f>COUNTIF(Area_v1,$C224)</f>
        <v>0</v>
      </c>
      <c r="I224" s="254">
        <f>COUNTIF(Area_v2,$C224)</f>
        <v>0</v>
      </c>
      <c r="J224" s="254">
        <f>COUNTIF(Area_v1MOM,$C224)</f>
        <v>5</v>
      </c>
      <c r="K224" s="254">
        <f>COUNTIF(Area_v4MOM,$C224)</f>
        <v>0</v>
      </c>
      <c r="L224" s="254">
        <f>COUNTIF(Area_v4PMO,$C224)</f>
        <v>6</v>
      </c>
      <c r="M224" s="255">
        <f>COUNTIF(Area_v6PMO,$C224)</f>
        <v>0</v>
      </c>
      <c r="N224" s="144"/>
    </row>
    <row r="225" spans="1:14" ht="32.1" customHeight="1">
      <c r="A225" s="860"/>
      <c r="B225" s="170" t="s">
        <v>330</v>
      </c>
      <c r="C225" s="144" t="s">
        <v>764</v>
      </c>
      <c r="D225" s="268" t="s">
        <v>833</v>
      </c>
      <c r="E225" s="144" t="s">
        <v>862</v>
      </c>
      <c r="F225" s="268">
        <v>6655</v>
      </c>
      <c r="G225" s="236">
        <f t="shared" si="67"/>
        <v>0</v>
      </c>
      <c r="H225" s="253">
        <f>COUNTIF(Area_v1,$C225)*2</f>
        <v>0</v>
      </c>
      <c r="I225" s="254">
        <f>COUNTIF(Area_v2,$C225)*2</f>
        <v>0</v>
      </c>
      <c r="J225" s="254">
        <f>COUNTIF(Area_v1MOM,$C225)*2</f>
        <v>0</v>
      </c>
      <c r="K225" s="254">
        <f>COUNTIF(Area_v4MOM,$C225)*2</f>
        <v>0</v>
      </c>
      <c r="L225" s="254">
        <f>COUNTIF(Area_v4PMO,$C225)*2</f>
        <v>0</v>
      </c>
      <c r="M225" s="255">
        <f>COUNTIF(Area_v6PMO,$C225)*2</f>
        <v>0</v>
      </c>
      <c r="N225" s="144"/>
    </row>
    <row r="226" spans="1:14" ht="32.1" customHeight="1">
      <c r="A226" s="860"/>
      <c r="B226" s="170"/>
      <c r="C226" s="144" t="s">
        <v>773</v>
      </c>
      <c r="D226" s="268" t="s">
        <v>832</v>
      </c>
      <c r="E226" s="144" t="s">
        <v>866</v>
      </c>
      <c r="F226" s="268"/>
      <c r="G226" s="236">
        <f t="shared" si="67"/>
        <v>14</v>
      </c>
      <c r="H226" s="253">
        <f>COUNTIF(Area_v1,$C226)</f>
        <v>4</v>
      </c>
      <c r="I226" s="254">
        <f>COUNTIF(Area_v2,$C226)</f>
        <v>5</v>
      </c>
      <c r="J226" s="254">
        <f>COUNTIF(Area_v1MOM,$C226)</f>
        <v>2</v>
      </c>
      <c r="K226" s="254">
        <f>COUNTIF(Area_v4MOM,$C226)</f>
        <v>3</v>
      </c>
      <c r="L226" s="254">
        <f>COUNTIF(Area_v4PMO,$C226)</f>
        <v>0</v>
      </c>
      <c r="M226" s="255">
        <f>COUNTIF(Area_v6PMO,$C226)</f>
        <v>0</v>
      </c>
      <c r="N226" s="144"/>
    </row>
    <row r="227" spans="1:14" ht="32.1" customHeight="1">
      <c r="A227" s="860"/>
      <c r="B227" s="170" t="s">
        <v>330</v>
      </c>
      <c r="C227" s="144" t="s">
        <v>774</v>
      </c>
      <c r="D227" s="268" t="s">
        <v>832</v>
      </c>
      <c r="E227" s="144" t="s">
        <v>865</v>
      </c>
      <c r="F227" s="268"/>
      <c r="G227" s="236">
        <f t="shared" si="67"/>
        <v>0</v>
      </c>
      <c r="H227" s="253">
        <f>COUNTIF(Area_v1,$C227)*2</f>
        <v>0</v>
      </c>
      <c r="I227" s="254">
        <f>COUNTIF(Area_v2,$C227)*2</f>
        <v>0</v>
      </c>
      <c r="J227" s="254">
        <f>COUNTIF(Area_v1MOM,$C227)*2</f>
        <v>0</v>
      </c>
      <c r="K227" s="254">
        <f>COUNTIF(Area_v4MOM,$C227)*2</f>
        <v>0</v>
      </c>
      <c r="L227" s="254">
        <f>COUNTIF(Area_v4PMO,$C227)*2</f>
        <v>0</v>
      </c>
      <c r="M227" s="255">
        <f>COUNTIF(Area_v6PMO,$C227)*2</f>
        <v>0</v>
      </c>
      <c r="N227" s="144"/>
    </row>
    <row r="228" spans="1:14" ht="32.1" customHeight="1">
      <c r="A228" s="860"/>
      <c r="B228" s="170"/>
      <c r="C228" s="144" t="s">
        <v>767</v>
      </c>
      <c r="D228" s="268" t="s">
        <v>831</v>
      </c>
      <c r="E228" s="144" t="s">
        <v>864</v>
      </c>
      <c r="F228" s="268"/>
      <c r="G228" s="236">
        <f t="shared" si="67"/>
        <v>0</v>
      </c>
      <c r="H228" s="253">
        <f>COUNTIF(Area_v1,$C228)</f>
        <v>0</v>
      </c>
      <c r="I228" s="254">
        <f>COUNTIF(Area_v2,$C228)</f>
        <v>0</v>
      </c>
      <c r="J228" s="254">
        <f>COUNTIF(Area_v1MOM,$C228)</f>
        <v>0</v>
      </c>
      <c r="K228" s="254">
        <f>COUNTIF(Area_v4MOM,$C228)</f>
        <v>0</v>
      </c>
      <c r="L228" s="254">
        <f>COUNTIF(Area_v4PMO,$C228)</f>
        <v>0</v>
      </c>
      <c r="M228" s="255">
        <f>COUNTIF(Area_v6PMO,$C228)</f>
        <v>0</v>
      </c>
      <c r="N228" s="144"/>
    </row>
    <row r="229" spans="1:14" ht="32.1" customHeight="1">
      <c r="A229" s="860"/>
      <c r="B229" s="170" t="s">
        <v>330</v>
      </c>
      <c r="C229" s="144" t="s">
        <v>768</v>
      </c>
      <c r="D229" s="268" t="s">
        <v>831</v>
      </c>
      <c r="E229" s="144" t="s">
        <v>863</v>
      </c>
      <c r="F229" s="268"/>
      <c r="G229" s="236">
        <f t="shared" si="67"/>
        <v>0</v>
      </c>
      <c r="H229" s="253">
        <f>COUNTIF(Area_v1,$C229)*2</f>
        <v>0</v>
      </c>
      <c r="I229" s="254">
        <f>COUNTIF(Area_v2,$C229)*2</f>
        <v>0</v>
      </c>
      <c r="J229" s="254">
        <f>COUNTIF(Area_v1MOM,$C229)*2</f>
        <v>0</v>
      </c>
      <c r="K229" s="254">
        <f>COUNTIF(Area_v4MOM,$C229)*2</f>
        <v>0</v>
      </c>
      <c r="L229" s="254">
        <f>COUNTIF(Area_v4PMO,$C229)*2</f>
        <v>0</v>
      </c>
      <c r="M229" s="255">
        <f>COUNTIF(Area_v6PMO,$C229)*2</f>
        <v>0</v>
      </c>
      <c r="N229" s="144"/>
    </row>
    <row r="230" spans="1:14" ht="32.1" customHeight="1">
      <c r="A230" s="860"/>
      <c r="B230" s="170"/>
      <c r="C230" s="144" t="s">
        <v>1098</v>
      </c>
      <c r="D230" s="268"/>
      <c r="E230" s="144" t="s">
        <v>1547</v>
      </c>
      <c r="F230" s="268"/>
      <c r="G230" s="236">
        <f t="shared" ref="G230:G232" si="86">SUM(H230:M230)</f>
        <v>0</v>
      </c>
      <c r="H230" s="253">
        <f>COUNTIF(Area_v1,$C230)</f>
        <v>0</v>
      </c>
      <c r="I230" s="254">
        <f>COUNTIF(Area_v2,$C230)</f>
        <v>0</v>
      </c>
      <c r="J230" s="254">
        <f>COUNTIF(Area_v1MOM,$C230)</f>
        <v>0</v>
      </c>
      <c r="K230" s="254">
        <f>COUNTIF(Area_v4MOM,$C230)</f>
        <v>0</v>
      </c>
      <c r="L230" s="254">
        <f>COUNTIF(Area_v4PMO,$C230)</f>
        <v>0</v>
      </c>
      <c r="M230" s="255">
        <f>COUNTIF(Area_v6PMO,$C230)</f>
        <v>0</v>
      </c>
      <c r="N230" s="144"/>
    </row>
    <row r="231" spans="1:14" ht="32.1" customHeight="1">
      <c r="A231" s="860"/>
      <c r="B231" s="170"/>
      <c r="C231" s="144" t="s">
        <v>1099</v>
      </c>
      <c r="D231" s="268"/>
      <c r="E231" s="144" t="s">
        <v>1548</v>
      </c>
      <c r="F231" s="268"/>
      <c r="G231" s="236">
        <f t="shared" si="86"/>
        <v>0</v>
      </c>
      <c r="H231" s="253">
        <f>COUNTIF(Area_v1,$C231)</f>
        <v>0</v>
      </c>
      <c r="I231" s="254">
        <f>COUNTIF(Area_v2,$C231)</f>
        <v>0</v>
      </c>
      <c r="J231" s="254">
        <f>COUNTIF(Area_v1MOM,$C231)</f>
        <v>0</v>
      </c>
      <c r="K231" s="254">
        <f>COUNTIF(Area_v4MOM,$C231)</f>
        <v>0</v>
      </c>
      <c r="L231" s="254">
        <f>COUNTIF(Area_v4PMO,$C231)</f>
        <v>0</v>
      </c>
      <c r="M231" s="255">
        <f>COUNTIF(Area_v6PMO,$C231)</f>
        <v>0</v>
      </c>
      <c r="N231" s="144"/>
    </row>
    <row r="232" spans="1:14" ht="32.1" customHeight="1">
      <c r="A232" s="860"/>
      <c r="B232" s="170"/>
      <c r="C232" s="144" t="s">
        <v>1100</v>
      </c>
      <c r="D232" s="268"/>
      <c r="E232" s="144" t="s">
        <v>1549</v>
      </c>
      <c r="F232" s="268"/>
      <c r="G232" s="236">
        <f t="shared" si="86"/>
        <v>0</v>
      </c>
      <c r="H232" s="253">
        <f>COUNTIF(Area_v1,$C232)</f>
        <v>0</v>
      </c>
      <c r="I232" s="254">
        <f>COUNTIF(Area_v2,$C232)</f>
        <v>0</v>
      </c>
      <c r="J232" s="254">
        <f>COUNTIF(Area_v1MOM,$C232)</f>
        <v>0</v>
      </c>
      <c r="K232" s="254">
        <f>COUNTIF(Area_v4MOM,$C232)</f>
        <v>0</v>
      </c>
      <c r="L232" s="254">
        <f>COUNTIF(Area_v4PMO,$C232)</f>
        <v>0</v>
      </c>
      <c r="M232" s="255">
        <f>COUNTIF(Area_v6PMO,$C232)</f>
        <v>0</v>
      </c>
      <c r="N232" s="144"/>
    </row>
    <row r="233" spans="1:14" ht="32.1" customHeight="1">
      <c r="A233" s="861"/>
      <c r="B233" s="171"/>
      <c r="C233" s="146" t="s">
        <v>2567</v>
      </c>
      <c r="D233" s="270" t="s">
        <v>341</v>
      </c>
      <c r="E233" s="146" t="s">
        <v>211</v>
      </c>
      <c r="F233" s="270" t="s">
        <v>210</v>
      </c>
      <c r="G233" s="241">
        <f t="shared" si="67"/>
        <v>6</v>
      </c>
      <c r="H233" s="246">
        <f>COUNTIF(Area_v1,$C233)</f>
        <v>0</v>
      </c>
      <c r="I233" s="247">
        <f>COUNTIF(Area_v2,$C233)</f>
        <v>0</v>
      </c>
      <c r="J233" s="247">
        <f>COUNTIF(Area_v1MOM,$C233)</f>
        <v>0</v>
      </c>
      <c r="K233" s="247">
        <f>COUNTIF(Area_v4MOM,$C233)</f>
        <v>5</v>
      </c>
      <c r="L233" s="247">
        <f>COUNTIF(Area_v4PMO,$C233)</f>
        <v>1</v>
      </c>
      <c r="M233" s="248">
        <f>COUNTIF(Area_v6PMO,$C233)</f>
        <v>0</v>
      </c>
      <c r="N233" s="146" t="s">
        <v>499</v>
      </c>
    </row>
    <row r="234" spans="1:14" ht="32.1" customHeight="1">
      <c r="A234" s="859" t="s">
        <v>318</v>
      </c>
      <c r="B234" s="170"/>
      <c r="C234" s="160" t="s">
        <v>32</v>
      </c>
      <c r="D234" s="272" t="s">
        <v>104</v>
      </c>
      <c r="E234" s="160" t="s">
        <v>105</v>
      </c>
      <c r="F234" s="272" t="s">
        <v>213</v>
      </c>
      <c r="G234" s="249">
        <f>SUM(H234:M234)</f>
        <v>188</v>
      </c>
      <c r="H234" s="250">
        <f t="shared" ref="H234:H252" si="87">COUNTIF(Area_v1,$C234)</f>
        <v>49</v>
      </c>
      <c r="I234" s="251">
        <f t="shared" ref="I234:I252" si="88">COUNTIF(Area_v2,$C234)</f>
        <v>78</v>
      </c>
      <c r="J234" s="251">
        <f t="shared" ref="J234:J252" si="89">COUNTIF(Area_v1MOM,$C234)</f>
        <v>0</v>
      </c>
      <c r="K234" s="251">
        <f t="shared" ref="K234:K252" si="90">COUNTIF(Area_v4MOM,$C234)</f>
        <v>3</v>
      </c>
      <c r="L234" s="251">
        <f t="shared" ref="L234:L252" si="91">COUNTIF(Area_v4PMO,$C234)</f>
        <v>43</v>
      </c>
      <c r="M234" s="252">
        <f t="shared" ref="M234:M252" si="92">COUNTIF(Area_v6PMO,$C234)</f>
        <v>15</v>
      </c>
      <c r="N234" s="160" t="s">
        <v>506</v>
      </c>
    </row>
    <row r="235" spans="1:14" ht="32.1" customHeight="1">
      <c r="A235" s="860"/>
      <c r="B235" s="170"/>
      <c r="C235" s="144" t="s">
        <v>33</v>
      </c>
      <c r="D235" s="268" t="s">
        <v>106</v>
      </c>
      <c r="E235" s="144" t="s">
        <v>108</v>
      </c>
      <c r="F235" s="268" t="s">
        <v>214</v>
      </c>
      <c r="G235" s="236">
        <f t="shared" ref="G235:G252" si="93">SUM(H235:M235)</f>
        <v>208</v>
      </c>
      <c r="H235" s="253">
        <f t="shared" si="87"/>
        <v>74</v>
      </c>
      <c r="I235" s="254">
        <f t="shared" si="88"/>
        <v>49</v>
      </c>
      <c r="J235" s="254">
        <f t="shared" si="89"/>
        <v>9</v>
      </c>
      <c r="K235" s="254">
        <f t="shared" si="90"/>
        <v>10</v>
      </c>
      <c r="L235" s="254">
        <f t="shared" si="91"/>
        <v>14</v>
      </c>
      <c r="M235" s="255">
        <f t="shared" si="92"/>
        <v>52</v>
      </c>
      <c r="N235" s="144" t="s">
        <v>507</v>
      </c>
    </row>
    <row r="236" spans="1:14" ht="32.1" customHeight="1">
      <c r="A236" s="860"/>
      <c r="B236" s="170"/>
      <c r="C236" s="144" t="s">
        <v>1135</v>
      </c>
      <c r="D236" s="268"/>
      <c r="E236" s="144" t="s">
        <v>1136</v>
      </c>
      <c r="F236" s="268"/>
      <c r="G236" s="236">
        <f t="shared" si="93"/>
        <v>0</v>
      </c>
      <c r="H236" s="253">
        <f t="shared" si="87"/>
        <v>0</v>
      </c>
      <c r="I236" s="254">
        <f t="shared" si="88"/>
        <v>0</v>
      </c>
      <c r="J236" s="254">
        <f t="shared" si="89"/>
        <v>0</v>
      </c>
      <c r="K236" s="254">
        <f t="shared" si="90"/>
        <v>0</v>
      </c>
      <c r="L236" s="254">
        <f t="shared" si="91"/>
        <v>0</v>
      </c>
      <c r="M236" s="255">
        <f t="shared" si="92"/>
        <v>0</v>
      </c>
      <c r="N236" s="144"/>
    </row>
    <row r="237" spans="1:14" ht="32.1" customHeight="1">
      <c r="A237" s="860"/>
      <c r="B237" s="170"/>
      <c r="C237" s="144" t="s">
        <v>28</v>
      </c>
      <c r="D237" s="268" t="s">
        <v>107</v>
      </c>
      <c r="E237" s="144" t="s">
        <v>113</v>
      </c>
      <c r="F237" s="268" t="s">
        <v>215</v>
      </c>
      <c r="G237" s="236">
        <f t="shared" si="93"/>
        <v>71</v>
      </c>
      <c r="H237" s="253">
        <f t="shared" si="87"/>
        <v>23</v>
      </c>
      <c r="I237" s="254">
        <f t="shared" si="88"/>
        <v>23</v>
      </c>
      <c r="J237" s="254">
        <f t="shared" si="89"/>
        <v>2</v>
      </c>
      <c r="K237" s="254">
        <f t="shared" si="90"/>
        <v>0</v>
      </c>
      <c r="L237" s="254">
        <f t="shared" si="91"/>
        <v>12</v>
      </c>
      <c r="M237" s="255">
        <f t="shared" si="92"/>
        <v>11</v>
      </c>
      <c r="N237" s="144" t="s">
        <v>508</v>
      </c>
    </row>
    <row r="238" spans="1:14" ht="32.1" customHeight="1">
      <c r="A238" s="860"/>
      <c r="B238" s="170"/>
      <c r="C238" s="144" t="s">
        <v>1137</v>
      </c>
      <c r="D238" s="268"/>
      <c r="E238" s="144" t="s">
        <v>1138</v>
      </c>
      <c r="F238" s="268"/>
      <c r="G238" s="236">
        <f t="shared" si="93"/>
        <v>0</v>
      </c>
      <c r="H238" s="253">
        <f t="shared" si="87"/>
        <v>0</v>
      </c>
      <c r="I238" s="254">
        <f t="shared" si="88"/>
        <v>0</v>
      </c>
      <c r="J238" s="254">
        <f t="shared" si="89"/>
        <v>0</v>
      </c>
      <c r="K238" s="254">
        <f t="shared" si="90"/>
        <v>0</v>
      </c>
      <c r="L238" s="254">
        <f t="shared" si="91"/>
        <v>0</v>
      </c>
      <c r="M238" s="255">
        <f t="shared" si="92"/>
        <v>0</v>
      </c>
      <c r="N238" s="144"/>
    </row>
    <row r="239" spans="1:14" ht="32.1" customHeight="1">
      <c r="A239" s="860"/>
      <c r="B239" s="170"/>
      <c r="C239" s="144" t="s">
        <v>191</v>
      </c>
      <c r="D239" s="268" t="s">
        <v>109</v>
      </c>
      <c r="E239" s="144" t="s">
        <v>217</v>
      </c>
      <c r="F239" s="268" t="s">
        <v>216</v>
      </c>
      <c r="G239" s="236">
        <f t="shared" si="93"/>
        <v>106</v>
      </c>
      <c r="H239" s="253">
        <f t="shared" si="87"/>
        <v>39</v>
      </c>
      <c r="I239" s="254">
        <f t="shared" si="88"/>
        <v>36</v>
      </c>
      <c r="J239" s="254">
        <f t="shared" si="89"/>
        <v>10</v>
      </c>
      <c r="K239" s="254">
        <f t="shared" si="90"/>
        <v>14</v>
      </c>
      <c r="L239" s="254">
        <f t="shared" si="91"/>
        <v>7</v>
      </c>
      <c r="M239" s="255">
        <f t="shared" si="92"/>
        <v>0</v>
      </c>
      <c r="N239" s="144" t="s">
        <v>509</v>
      </c>
    </row>
    <row r="240" spans="1:14" ht="32.1" customHeight="1">
      <c r="A240" s="860"/>
      <c r="B240" s="170"/>
      <c r="C240" s="144" t="s">
        <v>192</v>
      </c>
      <c r="D240" s="268" t="s">
        <v>110</v>
      </c>
      <c r="E240" s="144" t="s">
        <v>219</v>
      </c>
      <c r="F240" s="268" t="s">
        <v>218</v>
      </c>
      <c r="G240" s="236">
        <f t="shared" si="93"/>
        <v>87</v>
      </c>
      <c r="H240" s="253">
        <f t="shared" si="87"/>
        <v>35</v>
      </c>
      <c r="I240" s="254">
        <f t="shared" si="88"/>
        <v>38</v>
      </c>
      <c r="J240" s="254">
        <f t="shared" si="89"/>
        <v>11</v>
      </c>
      <c r="K240" s="254">
        <f t="shared" si="90"/>
        <v>3</v>
      </c>
      <c r="L240" s="254">
        <f t="shared" si="91"/>
        <v>0</v>
      </c>
      <c r="M240" s="255">
        <f t="shared" si="92"/>
        <v>0</v>
      </c>
      <c r="N240" s="144" t="s">
        <v>510</v>
      </c>
    </row>
    <row r="241" spans="1:14" ht="32.1" customHeight="1">
      <c r="A241" s="860"/>
      <c r="B241" s="170"/>
      <c r="C241" s="144" t="s">
        <v>193</v>
      </c>
      <c r="D241" s="268" t="s">
        <v>111</v>
      </c>
      <c r="E241" s="144" t="s">
        <v>221</v>
      </c>
      <c r="F241" s="268" t="s">
        <v>220</v>
      </c>
      <c r="G241" s="236">
        <f t="shared" si="93"/>
        <v>29</v>
      </c>
      <c r="H241" s="253">
        <f t="shared" si="87"/>
        <v>10</v>
      </c>
      <c r="I241" s="254">
        <f t="shared" si="88"/>
        <v>11</v>
      </c>
      <c r="J241" s="254">
        <f t="shared" si="89"/>
        <v>4</v>
      </c>
      <c r="K241" s="254">
        <f t="shared" si="90"/>
        <v>4</v>
      </c>
      <c r="L241" s="254">
        <f t="shared" si="91"/>
        <v>0</v>
      </c>
      <c r="M241" s="255">
        <f t="shared" si="92"/>
        <v>0</v>
      </c>
      <c r="N241" s="144" t="s">
        <v>511</v>
      </c>
    </row>
    <row r="242" spans="1:14" ht="32.1" customHeight="1">
      <c r="A242" s="860"/>
      <c r="B242" s="170"/>
      <c r="C242" s="144" t="s">
        <v>1139</v>
      </c>
      <c r="D242" s="268"/>
      <c r="E242" s="144" t="s">
        <v>1140</v>
      </c>
      <c r="F242" s="268"/>
      <c r="G242" s="236">
        <f t="shared" si="93"/>
        <v>0</v>
      </c>
      <c r="H242" s="253">
        <f t="shared" si="87"/>
        <v>0</v>
      </c>
      <c r="I242" s="254">
        <f t="shared" si="88"/>
        <v>0</v>
      </c>
      <c r="J242" s="254">
        <f t="shared" si="89"/>
        <v>0</v>
      </c>
      <c r="K242" s="254">
        <f t="shared" si="90"/>
        <v>0</v>
      </c>
      <c r="L242" s="254">
        <f t="shared" si="91"/>
        <v>0</v>
      </c>
      <c r="M242" s="255">
        <f t="shared" si="92"/>
        <v>0</v>
      </c>
      <c r="N242" s="144"/>
    </row>
    <row r="243" spans="1:14" ht="32.1" customHeight="1">
      <c r="A243" s="860"/>
      <c r="B243" s="170"/>
      <c r="C243" s="144" t="s">
        <v>342</v>
      </c>
      <c r="D243" s="268" t="s">
        <v>112</v>
      </c>
      <c r="E243" s="144" t="s">
        <v>222</v>
      </c>
      <c r="F243" s="268" t="s">
        <v>195</v>
      </c>
      <c r="G243" s="236">
        <f t="shared" si="93"/>
        <v>22</v>
      </c>
      <c r="H243" s="253">
        <f t="shared" si="87"/>
        <v>1</v>
      </c>
      <c r="I243" s="254">
        <f t="shared" si="88"/>
        <v>10</v>
      </c>
      <c r="J243" s="254">
        <f t="shared" si="89"/>
        <v>0</v>
      </c>
      <c r="K243" s="254">
        <f t="shared" si="90"/>
        <v>0</v>
      </c>
      <c r="L243" s="254">
        <f t="shared" si="91"/>
        <v>7</v>
      </c>
      <c r="M243" s="255">
        <f t="shared" si="92"/>
        <v>4</v>
      </c>
      <c r="N243" s="144" t="s">
        <v>512</v>
      </c>
    </row>
    <row r="244" spans="1:14" ht="32.1" customHeight="1">
      <c r="A244" s="860"/>
      <c r="B244" s="170"/>
      <c r="C244" s="144" t="s">
        <v>343</v>
      </c>
      <c r="D244" s="268" t="s">
        <v>114</v>
      </c>
      <c r="E244" s="144" t="s">
        <v>223</v>
      </c>
      <c r="F244" s="268" t="s">
        <v>195</v>
      </c>
      <c r="G244" s="236">
        <f t="shared" si="93"/>
        <v>29</v>
      </c>
      <c r="H244" s="253">
        <f t="shared" si="87"/>
        <v>14</v>
      </c>
      <c r="I244" s="254">
        <f t="shared" si="88"/>
        <v>5</v>
      </c>
      <c r="J244" s="254">
        <f t="shared" si="89"/>
        <v>0</v>
      </c>
      <c r="K244" s="254">
        <f t="shared" si="90"/>
        <v>0</v>
      </c>
      <c r="L244" s="254">
        <f t="shared" si="91"/>
        <v>6</v>
      </c>
      <c r="M244" s="255">
        <f t="shared" si="92"/>
        <v>4</v>
      </c>
      <c r="N244" s="144" t="s">
        <v>513</v>
      </c>
    </row>
    <row r="245" spans="1:14" ht="32.1" customHeight="1">
      <c r="A245" s="860"/>
      <c r="B245" s="170"/>
      <c r="C245" s="144" t="s">
        <v>1141</v>
      </c>
      <c r="D245" s="268"/>
      <c r="E245" s="144" t="s">
        <v>1142</v>
      </c>
      <c r="F245" s="268"/>
      <c r="G245" s="236">
        <f t="shared" si="93"/>
        <v>0</v>
      </c>
      <c r="H245" s="253">
        <f t="shared" si="87"/>
        <v>0</v>
      </c>
      <c r="I245" s="254">
        <f t="shared" si="88"/>
        <v>0</v>
      </c>
      <c r="J245" s="254">
        <f t="shared" si="89"/>
        <v>0</v>
      </c>
      <c r="K245" s="254">
        <f t="shared" si="90"/>
        <v>0</v>
      </c>
      <c r="L245" s="254">
        <f t="shared" si="91"/>
        <v>0</v>
      </c>
      <c r="M245" s="255">
        <f t="shared" si="92"/>
        <v>0</v>
      </c>
      <c r="N245" s="144"/>
    </row>
    <row r="246" spans="1:14" ht="32.1" customHeight="1">
      <c r="A246" s="860"/>
      <c r="B246" s="170"/>
      <c r="C246" s="144" t="s">
        <v>344</v>
      </c>
      <c r="D246" s="268" t="s">
        <v>115</v>
      </c>
      <c r="E246" s="144" t="s">
        <v>224</v>
      </c>
      <c r="F246" s="268" t="s">
        <v>195</v>
      </c>
      <c r="G246" s="236">
        <f t="shared" si="93"/>
        <v>5</v>
      </c>
      <c r="H246" s="253">
        <f t="shared" si="87"/>
        <v>2</v>
      </c>
      <c r="I246" s="254">
        <f t="shared" si="88"/>
        <v>3</v>
      </c>
      <c r="J246" s="254">
        <f t="shared" si="89"/>
        <v>0</v>
      </c>
      <c r="K246" s="254">
        <f t="shared" si="90"/>
        <v>0</v>
      </c>
      <c r="L246" s="254">
        <f t="shared" si="91"/>
        <v>0</v>
      </c>
      <c r="M246" s="255">
        <f t="shared" si="92"/>
        <v>0</v>
      </c>
      <c r="N246" s="144" t="s">
        <v>514</v>
      </c>
    </row>
    <row r="247" spans="1:14" ht="32.1" customHeight="1">
      <c r="A247" s="860"/>
      <c r="B247" s="170"/>
      <c r="C247" s="144" t="s">
        <v>1143</v>
      </c>
      <c r="D247" s="268"/>
      <c r="E247" s="144" t="s">
        <v>1144</v>
      </c>
      <c r="F247" s="268"/>
      <c r="G247" s="236">
        <f t="shared" si="93"/>
        <v>0</v>
      </c>
      <c r="H247" s="253">
        <f t="shared" si="87"/>
        <v>0</v>
      </c>
      <c r="I247" s="254">
        <f t="shared" si="88"/>
        <v>0</v>
      </c>
      <c r="J247" s="254">
        <f t="shared" si="89"/>
        <v>0</v>
      </c>
      <c r="K247" s="254">
        <f t="shared" si="90"/>
        <v>0</v>
      </c>
      <c r="L247" s="254">
        <f t="shared" si="91"/>
        <v>0</v>
      </c>
      <c r="M247" s="255">
        <f t="shared" si="92"/>
        <v>0</v>
      </c>
      <c r="N247" s="144"/>
    </row>
    <row r="248" spans="1:14" ht="32.1" customHeight="1">
      <c r="A248" s="860"/>
      <c r="B248" s="170"/>
      <c r="C248" s="144" t="s">
        <v>1145</v>
      </c>
      <c r="D248" s="268"/>
      <c r="E248" s="144" t="s">
        <v>1146</v>
      </c>
      <c r="F248" s="268"/>
      <c r="G248" s="236">
        <f t="shared" si="93"/>
        <v>0</v>
      </c>
      <c r="H248" s="253">
        <f t="shared" si="87"/>
        <v>0</v>
      </c>
      <c r="I248" s="254">
        <f t="shared" si="88"/>
        <v>0</v>
      </c>
      <c r="J248" s="254">
        <f t="shared" si="89"/>
        <v>0</v>
      </c>
      <c r="K248" s="254">
        <f t="shared" si="90"/>
        <v>0</v>
      </c>
      <c r="L248" s="254">
        <f t="shared" si="91"/>
        <v>0</v>
      </c>
      <c r="M248" s="255">
        <f t="shared" si="92"/>
        <v>0</v>
      </c>
      <c r="N248" s="144"/>
    </row>
    <row r="249" spans="1:14" ht="32.1" customHeight="1">
      <c r="A249" s="860"/>
      <c r="B249" s="170"/>
      <c r="C249" s="144" t="s">
        <v>1147</v>
      </c>
      <c r="D249" s="268"/>
      <c r="E249" s="144" t="s">
        <v>1148</v>
      </c>
      <c r="F249" s="268"/>
      <c r="G249" s="236">
        <f t="shared" si="93"/>
        <v>0</v>
      </c>
      <c r="H249" s="253">
        <f t="shared" si="87"/>
        <v>0</v>
      </c>
      <c r="I249" s="254">
        <f t="shared" si="88"/>
        <v>0</v>
      </c>
      <c r="J249" s="254">
        <f t="shared" si="89"/>
        <v>0</v>
      </c>
      <c r="K249" s="254">
        <f t="shared" si="90"/>
        <v>0</v>
      </c>
      <c r="L249" s="254">
        <f t="shared" si="91"/>
        <v>0</v>
      </c>
      <c r="M249" s="255">
        <f t="shared" si="92"/>
        <v>0</v>
      </c>
      <c r="N249" s="144"/>
    </row>
    <row r="250" spans="1:14" ht="32.1" customHeight="1">
      <c r="A250" s="860"/>
      <c r="B250" s="170"/>
      <c r="C250" s="144" t="s">
        <v>1149</v>
      </c>
      <c r="D250" s="268"/>
      <c r="E250" s="144" t="s">
        <v>1150</v>
      </c>
      <c r="F250" s="268"/>
      <c r="G250" s="236">
        <f t="shared" si="93"/>
        <v>0</v>
      </c>
      <c r="H250" s="253">
        <f t="shared" si="87"/>
        <v>0</v>
      </c>
      <c r="I250" s="254">
        <f t="shared" si="88"/>
        <v>0</v>
      </c>
      <c r="J250" s="254">
        <f t="shared" si="89"/>
        <v>0</v>
      </c>
      <c r="K250" s="254">
        <f t="shared" si="90"/>
        <v>0</v>
      </c>
      <c r="L250" s="254">
        <f t="shared" si="91"/>
        <v>0</v>
      </c>
      <c r="M250" s="255">
        <f t="shared" si="92"/>
        <v>0</v>
      </c>
      <c r="N250" s="144"/>
    </row>
    <row r="251" spans="1:14" ht="32.1" customHeight="1">
      <c r="A251" s="860"/>
      <c r="B251" s="170"/>
      <c r="C251" s="144" t="s">
        <v>1151</v>
      </c>
      <c r="D251" s="268"/>
      <c r="E251" s="144" t="s">
        <v>1152</v>
      </c>
      <c r="F251" s="268"/>
      <c r="G251" s="236">
        <f t="shared" si="93"/>
        <v>0</v>
      </c>
      <c r="H251" s="253">
        <f t="shared" si="87"/>
        <v>0</v>
      </c>
      <c r="I251" s="254">
        <f t="shared" si="88"/>
        <v>0</v>
      </c>
      <c r="J251" s="254">
        <f t="shared" si="89"/>
        <v>0</v>
      </c>
      <c r="K251" s="254">
        <f t="shared" si="90"/>
        <v>0</v>
      </c>
      <c r="L251" s="254">
        <f t="shared" si="91"/>
        <v>0</v>
      </c>
      <c r="M251" s="255">
        <f t="shared" si="92"/>
        <v>0</v>
      </c>
      <c r="N251" s="144"/>
    </row>
    <row r="252" spans="1:14" ht="32.1" customHeight="1">
      <c r="A252" s="861"/>
      <c r="B252" s="171"/>
      <c r="C252" s="146" t="s">
        <v>1153</v>
      </c>
      <c r="D252" s="270"/>
      <c r="E252" s="146" t="s">
        <v>1154</v>
      </c>
      <c r="F252" s="270"/>
      <c r="G252" s="241">
        <f t="shared" si="93"/>
        <v>0</v>
      </c>
      <c r="H252" s="246">
        <f t="shared" si="87"/>
        <v>0</v>
      </c>
      <c r="I252" s="247">
        <f t="shared" si="88"/>
        <v>0</v>
      </c>
      <c r="J252" s="247">
        <f t="shared" si="89"/>
        <v>0</v>
      </c>
      <c r="K252" s="247">
        <f t="shared" si="90"/>
        <v>0</v>
      </c>
      <c r="L252" s="247">
        <f t="shared" si="91"/>
        <v>0</v>
      </c>
      <c r="M252" s="248">
        <f t="shared" si="92"/>
        <v>0</v>
      </c>
      <c r="N252" s="146"/>
    </row>
    <row r="253" spans="1:14" ht="32.1" customHeight="1">
      <c r="A253" s="884" t="s">
        <v>1525</v>
      </c>
      <c r="B253" s="274" t="s">
        <v>347</v>
      </c>
      <c r="C253" s="300"/>
      <c r="D253" s="272" t="s">
        <v>116</v>
      </c>
      <c r="E253" s="160" t="s">
        <v>226</v>
      </c>
      <c r="F253" s="272" t="s">
        <v>225</v>
      </c>
      <c r="G253" s="249">
        <f t="shared" ref="G253:G261" si="94">SUM(H253:M253)</f>
        <v>95</v>
      </c>
      <c r="H253" s="250">
        <f>COUNTIF(m2_v1,$C$234)+COUNTIF(m2_v1,$C$235)+COUNTIF(m2_v1,$C$237)</f>
        <v>29</v>
      </c>
      <c r="I253" s="251">
        <f>COUNTIF(m2_v2,$C$234)+COUNTIF(m2_v2,$C$235)+COUNTIF(m2_v2,$C$237)</f>
        <v>29</v>
      </c>
      <c r="J253" s="251">
        <f>COUNTIF(m2_v1MOM,$C$234)+COUNTIF(m2_v1MOM,$C$235)+COUNTIF(m2_v1MOM,$C$237)</f>
        <v>2</v>
      </c>
      <c r="K253" s="251">
        <f>COUNTIF(m2_v4MOM,$C$234)+COUNTIF(m2_v4MOM,$C$235)+COUNTIF(m2_v4MOM,$C$237)</f>
        <v>0</v>
      </c>
      <c r="L253" s="251">
        <f>COUNTIF(m2_v4PMO,$C$234)+COUNTIF(m2_v4PMO,$C$235)+COUNTIF(m2_v4PMO,$C$237)</f>
        <v>17</v>
      </c>
      <c r="M253" s="252">
        <f>COUNTIF(m2_v6PMO,$C$234)+COUNTIF(m2_v6PMO,$C$235)+COUNTIF(m2_v6PMO,$C$237)</f>
        <v>18</v>
      </c>
      <c r="N253" s="160" t="s">
        <v>515</v>
      </c>
    </row>
    <row r="254" spans="1:14" ht="32.1" customHeight="1">
      <c r="A254" s="885"/>
      <c r="B254" s="170"/>
      <c r="C254" s="300"/>
      <c r="D254" s="268" t="s">
        <v>117</v>
      </c>
      <c r="E254" s="144" t="s">
        <v>345</v>
      </c>
      <c r="F254" s="268" t="s">
        <v>225</v>
      </c>
      <c r="G254" s="236">
        <f t="shared" ref="G254" si="95">SUM(H254:M254)</f>
        <v>50</v>
      </c>
      <c r="H254" s="253">
        <f>COUNTIF(m2_v1,$C$239)+COUNTIF(m2_v1,$C$240)+COUNTIF(m2_v1,$C$241)</f>
        <v>18</v>
      </c>
      <c r="I254" s="254">
        <f>COUNTIF(m2_v2,$C$239)+COUNTIF(m2_v2,$C$240)+COUNTIF(m2_v2,$C$241)</f>
        <v>18</v>
      </c>
      <c r="J254" s="254">
        <f>COUNTIF(m2_v1MOM,$C$239)+COUNTIF(m2_v1MOM,$C$240)+COUNTIF(m2_v1MOM,$C$241)</f>
        <v>7</v>
      </c>
      <c r="K254" s="254">
        <f>COUNTIF(m2_v4MOM,$C$239)+COUNTIF(m2_v4MOM,$C$240)+COUNTIF(m2_v4MOM,$C$241)</f>
        <v>7</v>
      </c>
      <c r="L254" s="254">
        <f>COUNTIF(m2_v4PMO,$C$239)+COUNTIF(m2_v4PMO,$C$240)+COUNTIF(m2_v4PMO,$C$241)</f>
        <v>0</v>
      </c>
      <c r="M254" s="255">
        <f>COUNTIF(m2_v6PMO,$C$239)+COUNTIF(m2_v6PMO,$C$240)+COUNTIF(m2_v6PMO,$C$241)</f>
        <v>0</v>
      </c>
      <c r="N254" s="298" t="s">
        <v>516</v>
      </c>
    </row>
    <row r="255" spans="1:14" ht="32.1" customHeight="1">
      <c r="A255" s="886"/>
      <c r="B255" s="171"/>
      <c r="C255" s="300"/>
      <c r="D255" s="270" t="s">
        <v>117</v>
      </c>
      <c r="E255" s="146" t="s">
        <v>346</v>
      </c>
      <c r="F255" s="270" t="s">
        <v>225</v>
      </c>
      <c r="G255" s="241">
        <f t="shared" si="94"/>
        <v>9</v>
      </c>
      <c r="H255" s="246">
        <f>COUNTIF(m2_v1,$C$243)+COUNTIF(m2_v1,$C$244)+COUNTIF(m2_v1,$C$246)</f>
        <v>4</v>
      </c>
      <c r="I255" s="247">
        <f>COUNTIF(m2_v2,$C$243)+COUNTIF(m2_v2,$C$244)+COUNTIF(m2_v2,$C$246)</f>
        <v>5</v>
      </c>
      <c r="J255" s="247">
        <f>COUNTIF(m2_v1MOM,$C$243)+COUNTIF(m2_v1MOM,$C$244)+COUNTIF(m2_v1MOM,$C$246)</f>
        <v>0</v>
      </c>
      <c r="K255" s="247">
        <f>COUNTIF(m2_v4MOM,$C$243)+COUNTIF(m2_v4MOM,$C$244)+COUNTIF(m2_v4MOM,$C$246)</f>
        <v>0</v>
      </c>
      <c r="L255" s="247">
        <f>COUNTIF(m2_v4PMO,$C$243)+COUNTIF(m2_v4PMO,$C$244)+COUNTIF(m2_v4PMO,$C$246)</f>
        <v>0</v>
      </c>
      <c r="M255" s="248">
        <f>COUNTIF(m2_v6PMO,$C$243)+COUNTIF(m2_v6PMO,$C$244)+COUNTIF(m2_v6PMO,$C$246)</f>
        <v>0</v>
      </c>
      <c r="N255" s="146" t="s">
        <v>517</v>
      </c>
    </row>
    <row r="256" spans="1:14" ht="32.1" customHeight="1">
      <c r="A256" s="859" t="s">
        <v>1536</v>
      </c>
      <c r="B256" s="170"/>
      <c r="C256" s="160" t="s">
        <v>630</v>
      </c>
      <c r="D256" s="272" t="s">
        <v>227</v>
      </c>
      <c r="E256" s="160" t="s">
        <v>1550</v>
      </c>
      <c r="F256" s="272" t="s">
        <v>195</v>
      </c>
      <c r="G256" s="249">
        <f t="shared" si="94"/>
        <v>168</v>
      </c>
      <c r="H256" s="250">
        <f>COUNTIF(Area_v1,$C256)</f>
        <v>61</v>
      </c>
      <c r="I256" s="251">
        <f>COUNTIF(Area_v2,$C256)</f>
        <v>54</v>
      </c>
      <c r="J256" s="251">
        <f>COUNTIF(Area_v1MOM,$C256)</f>
        <v>1</v>
      </c>
      <c r="K256" s="251">
        <f>COUNTIF(Area_v4MOM,$C256)</f>
        <v>11</v>
      </c>
      <c r="L256" s="251">
        <f>COUNTIF(Area_v4PMO,$C256)</f>
        <v>23</v>
      </c>
      <c r="M256" s="252">
        <f>COUNTIF(Area_v6PMO,$C256)</f>
        <v>18</v>
      </c>
      <c r="N256" s="160" t="s">
        <v>1551</v>
      </c>
    </row>
    <row r="257" spans="1:14" ht="32.1" customHeight="1">
      <c r="A257" s="860"/>
      <c r="B257" s="170"/>
      <c r="C257" s="160" t="s">
        <v>1340</v>
      </c>
      <c r="D257" s="272" t="s">
        <v>227</v>
      </c>
      <c r="E257" s="160" t="s">
        <v>228</v>
      </c>
      <c r="F257" s="272" t="s">
        <v>195</v>
      </c>
      <c r="G257" s="249">
        <f t="shared" si="94"/>
        <v>113</v>
      </c>
      <c r="H257" s="250">
        <f>COUNTIF(Area_v1,$C257)</f>
        <v>36</v>
      </c>
      <c r="I257" s="251">
        <f>COUNTIF(Area_v2,$C257)</f>
        <v>47</v>
      </c>
      <c r="J257" s="251">
        <f>COUNTIF(Area_v1MOM,$C257)</f>
        <v>9</v>
      </c>
      <c r="K257" s="251">
        <f>COUNTIF(Area_v4MOM,$C257)</f>
        <v>0</v>
      </c>
      <c r="L257" s="251">
        <f>COUNTIF(Area_v4PMO,$C257)</f>
        <v>13</v>
      </c>
      <c r="M257" s="252">
        <f>COUNTIF(Area_v6PMO,$C257)</f>
        <v>8</v>
      </c>
      <c r="N257" s="160" t="s">
        <v>518</v>
      </c>
    </row>
    <row r="258" spans="1:14" ht="32.1" customHeight="1">
      <c r="A258" s="860"/>
      <c r="B258" s="170"/>
      <c r="C258" s="144" t="s">
        <v>1341</v>
      </c>
      <c r="D258" s="268" t="s">
        <v>229</v>
      </c>
      <c r="E258" s="144" t="s">
        <v>230</v>
      </c>
      <c r="F258" s="268" t="s">
        <v>195</v>
      </c>
      <c r="G258" s="236">
        <f t="shared" si="94"/>
        <v>183</v>
      </c>
      <c r="H258" s="253">
        <f>COUNTIF(Area_v1,$C258)</f>
        <v>53</v>
      </c>
      <c r="I258" s="254">
        <f>COUNTIF(Area_v2,$C258)</f>
        <v>51</v>
      </c>
      <c r="J258" s="254">
        <f>COUNTIF(Area_v1MOM,$C258)</f>
        <v>13</v>
      </c>
      <c r="K258" s="254">
        <f>COUNTIF(Area_v4MOM,$C258)</f>
        <v>12</v>
      </c>
      <c r="L258" s="254">
        <f>COUNTIF(Area_v4PMO,$C258)</f>
        <v>29</v>
      </c>
      <c r="M258" s="255">
        <f>COUNTIF(Area_v6PMO,$C258)</f>
        <v>25</v>
      </c>
      <c r="N258" s="144" t="s">
        <v>519</v>
      </c>
    </row>
    <row r="259" spans="1:14" ht="32.1" customHeight="1">
      <c r="A259" s="860"/>
      <c r="B259" s="890" t="s">
        <v>320</v>
      </c>
      <c r="C259" s="31" t="s">
        <v>631</v>
      </c>
      <c r="D259" s="262" t="s">
        <v>231</v>
      </c>
      <c r="E259" s="31" t="s">
        <v>232</v>
      </c>
      <c r="F259" s="262" t="s">
        <v>195</v>
      </c>
      <c r="G259" s="202">
        <f t="shared" si="94"/>
        <v>0</v>
      </c>
      <c r="H259" s="203"/>
      <c r="I259" s="204"/>
      <c r="J259" s="204"/>
      <c r="K259" s="204"/>
      <c r="L259" s="204"/>
      <c r="M259" s="205"/>
      <c r="N259" s="31" t="s">
        <v>520</v>
      </c>
    </row>
    <row r="260" spans="1:14" ht="32.1" customHeight="1">
      <c r="A260" s="860"/>
      <c r="B260" s="890"/>
      <c r="C260" s="31" t="s">
        <v>1552</v>
      </c>
      <c r="D260" s="262" t="s">
        <v>233</v>
      </c>
      <c r="E260" s="31" t="s">
        <v>1554</v>
      </c>
      <c r="F260" s="262" t="s">
        <v>195</v>
      </c>
      <c r="G260" s="202">
        <f t="shared" si="94"/>
        <v>26</v>
      </c>
      <c r="H260" s="203">
        <f>COUNTIF(Area_v1,"*CS*")+COUNTIF(Area_v1,"*TgS*")</f>
        <v>8</v>
      </c>
      <c r="I260" s="204">
        <f>COUNTIF(Area_v2,"*CS*")+COUNTIF(Area_v2,"*TgS*")</f>
        <v>10</v>
      </c>
      <c r="J260" s="204">
        <f>COUNTIF(Area_v1MOM,"*CS*")+COUNTIF(Area_v1MOM,"*TgS*")</f>
        <v>1</v>
      </c>
      <c r="K260" s="204">
        <f>COUNTIF(Area_v4MOM,"*CS*")+COUNTIF(Area_v4MOM,"*TgS*")</f>
        <v>1</v>
      </c>
      <c r="L260" s="204">
        <f>COUNTIF(Area_v4PMO,"*CS*")+COUNTIF(Area_v4PMO,"*TgS*")</f>
        <v>3</v>
      </c>
      <c r="M260" s="205">
        <f>COUNTIF(Area_v6PMO,"*CS*")+COUNTIF(Area_v6PMO,"*TgS*")</f>
        <v>3</v>
      </c>
      <c r="N260" s="31" t="s">
        <v>1555</v>
      </c>
    </row>
    <row r="261" spans="1:14" ht="32.1" customHeight="1">
      <c r="A261" s="861"/>
      <c r="B261" s="891"/>
      <c r="C261" s="29" t="s">
        <v>1553</v>
      </c>
      <c r="D261" s="165" t="s">
        <v>233</v>
      </c>
      <c r="E261" s="29" t="s">
        <v>234</v>
      </c>
      <c r="F261" s="165" t="s">
        <v>195</v>
      </c>
      <c r="G261" s="210">
        <f t="shared" si="94"/>
        <v>26</v>
      </c>
      <c r="H261" s="211">
        <f>COUNTIF(Area_v1,"*CS*")+COUNTIF(Area_v1,"*TgS*")</f>
        <v>8</v>
      </c>
      <c r="I261" s="212">
        <f>COUNTIF(Area_v2,"*CS*")+COUNTIF(Area_v2,"*TgS*")</f>
        <v>10</v>
      </c>
      <c r="J261" s="212">
        <f>COUNTIF(Area_v1MOM,"*CS*")+COUNTIF(Area_v1MOM,"*TgS*")</f>
        <v>1</v>
      </c>
      <c r="K261" s="212">
        <f>COUNTIF(Area_v4MOM,"*CS*")+COUNTIF(Area_v4MOM,"*TgS*")</f>
        <v>1</v>
      </c>
      <c r="L261" s="212">
        <f>COUNTIF(Area_v4PMO,"*CS*")+COUNTIF(Area_v4PMO,"*TgS*")</f>
        <v>3</v>
      </c>
      <c r="M261" s="213">
        <f>COUNTIF(Area_v6PMO,"*CS*")+COUNTIF(Area_v6PMO,"*TgS*")</f>
        <v>3</v>
      </c>
      <c r="N261" s="29" t="s">
        <v>521</v>
      </c>
    </row>
    <row r="262" spans="1:14" ht="32.1" customHeight="1">
      <c r="A262" s="859" t="s">
        <v>1526</v>
      </c>
      <c r="B262" s="276"/>
      <c r="C262" s="160"/>
      <c r="D262" s="272" t="s">
        <v>97</v>
      </c>
      <c r="E262" s="160" t="s">
        <v>98</v>
      </c>
      <c r="F262" s="272" t="s">
        <v>212</v>
      </c>
      <c r="G262" s="249">
        <f t="shared" si="67"/>
        <v>199</v>
      </c>
      <c r="H262" s="250">
        <f t="shared" ref="H262:M262" si="96">SUM(H263:H267)</f>
        <v>59</v>
      </c>
      <c r="I262" s="251">
        <f t="shared" si="96"/>
        <v>65</v>
      </c>
      <c r="J262" s="251">
        <f t="shared" si="96"/>
        <v>6</v>
      </c>
      <c r="K262" s="251">
        <f t="shared" si="96"/>
        <v>4</v>
      </c>
      <c r="L262" s="251">
        <f t="shared" si="96"/>
        <v>34</v>
      </c>
      <c r="M262" s="252">
        <f t="shared" si="96"/>
        <v>31</v>
      </c>
      <c r="N262" s="160" t="s">
        <v>500</v>
      </c>
    </row>
    <row r="263" spans="1:14" ht="32.1" customHeight="1">
      <c r="A263" s="860"/>
      <c r="B263" s="174" t="s">
        <v>327</v>
      </c>
      <c r="C263" s="144" t="s">
        <v>1133</v>
      </c>
      <c r="D263" s="268" t="s">
        <v>99</v>
      </c>
      <c r="E263" s="144" t="s">
        <v>335</v>
      </c>
      <c r="F263" s="268" t="s">
        <v>212</v>
      </c>
      <c r="G263" s="236">
        <f t="shared" ref="G263:G279" si="97">SUM(H263:M263)</f>
        <v>71</v>
      </c>
      <c r="H263" s="253">
        <f>COUNTIF(Area_v1,"CP+AnMC")+COUNTIF(Area_v1,"FP+AnMC")+COUNTIF(Area_v1,"CP/TX-P**")</f>
        <v>22</v>
      </c>
      <c r="I263" s="254">
        <f>COUNTIF(Area_v2,"CP+AnMC")+COUNTIF(Area_v2,"FP+AnMC")+COUNTIF(Area_v2,"CP/TX-P**")</f>
        <v>23</v>
      </c>
      <c r="J263" s="254">
        <f>COUNTIF(Area_v1MOM,"CP+AnMC")+COUNTIF(Area_v1MOM,"FP+AnMC")+COUNTIF(Area_v1MOM,"CP/TX-P**")</f>
        <v>3</v>
      </c>
      <c r="K263" s="254">
        <f>COUNTIF(Area_v4MOM,"CP+AnMC")+COUNTIF(Area_v4MOM,"FP+AnMC")+COUNTIF(Area_v4MOM,"CP/TX-P**")</f>
        <v>2</v>
      </c>
      <c r="L263" s="254">
        <f>COUNTIF(Area_v4PMO,"CP+AnMC")+COUNTIF(Area_v4PMO,"FP+AnMC")+COUNTIF(Area_v4PMO,"CP/TX-P**")</f>
        <v>11</v>
      </c>
      <c r="M263" s="255">
        <f>COUNTIF(Area_v6PMO,"CP+AnMC")+COUNTIF(Area_v6PMO,"FP+AnMC")+COUNTIF(Area_v6PMO,"CP/TX-P**")</f>
        <v>10</v>
      </c>
      <c r="N263" s="144" t="s">
        <v>501</v>
      </c>
    </row>
    <row r="264" spans="1:14" ht="32.1" customHeight="1">
      <c r="A264" s="860"/>
      <c r="B264" s="174" t="s">
        <v>608</v>
      </c>
      <c r="C264" s="144" t="s">
        <v>681</v>
      </c>
      <c r="D264" s="268" t="s">
        <v>100</v>
      </c>
      <c r="E264" s="144" t="s">
        <v>336</v>
      </c>
      <c r="F264" s="268" t="s">
        <v>212</v>
      </c>
      <c r="G264" s="236">
        <f t="shared" si="97"/>
        <v>31</v>
      </c>
      <c r="H264" s="253">
        <f>COUNTIF(Area_v1,"AnRW")+COUNTIF(Area_v1,"AnRW2")</f>
        <v>9</v>
      </c>
      <c r="I264" s="254">
        <f>COUNTIF(Area_v2,"AnRW")+COUNTIF(Area_v2,"AnRW2")</f>
        <v>13</v>
      </c>
      <c r="J264" s="254">
        <f>COUNTIF(Area_v1MOM,"AnRW")+COUNTIF(Area_v1MOM,"AnRW2")</f>
        <v>0</v>
      </c>
      <c r="K264" s="254">
        <f>COUNTIF(Area_v4MOM,"AnRW")+COUNTIF(Area_v4MOM,"AnRW2")</f>
        <v>0</v>
      </c>
      <c r="L264" s="254">
        <f>COUNTIF(Area_v4PMO,"AnRW")+COUNTIF(Area_v4PMO,"AnRW2")</f>
        <v>4</v>
      </c>
      <c r="M264" s="255">
        <f>COUNTIF(Area_v6PMO,"AnRW")+COUNTIF(Area_v6PMO,"AnRW2")</f>
        <v>5</v>
      </c>
      <c r="N264" s="144" t="s">
        <v>502</v>
      </c>
    </row>
    <row r="265" spans="1:14" ht="32.1" customHeight="1">
      <c r="A265" s="860"/>
      <c r="B265" s="176"/>
      <c r="C265" s="144" t="s">
        <v>1134</v>
      </c>
      <c r="D265" s="268" t="s">
        <v>101</v>
      </c>
      <c r="E265" s="144" t="s">
        <v>337</v>
      </c>
      <c r="F265" s="268" t="s">
        <v>212</v>
      </c>
      <c r="G265" s="236">
        <f t="shared" si="97"/>
        <v>97</v>
      </c>
      <c r="H265" s="253">
        <f>COUNTIF(Area_v1,"CP+AnMC")+COUNTIF(Area_v1,"FP+AnMC")+COUNTIF(Area_v1,"AnMP")+COUNTIF(Area_v1,"CP/TX-P*")</f>
        <v>28</v>
      </c>
      <c r="I265" s="254">
        <f>COUNTIF(Area_v2,"CP+AnMC")+COUNTIF(Area_v2,"FP+AnMC")+COUNTIF(Area_v2,"AnMP")+COUNTIF(Area_v2,"CP/TX-P*")</f>
        <v>29</v>
      </c>
      <c r="J265" s="254">
        <f>COUNTIF(Area_v1MOM,"CP+AnMC")+COUNTIF(Area_v1MOM,"FP+AnMC")+COUNTIF(Area_v1MOM,"*AnMP*")+COUNTIF(Area_v1MOM,"CP/TX-P*")</f>
        <v>3</v>
      </c>
      <c r="K265" s="254">
        <f>COUNTIF(Area_v4MOM,"CP+AnMC")+COUNTIF(Area_v4MOM,"FP+AnMC")+COUNTIF(Area_v4MOM,"*AnMP*")+COUNTIF(Area_v4MOM,"CP/TX-P*")</f>
        <v>2</v>
      </c>
      <c r="L265" s="254">
        <f>COUNTIF(Area_v4PMO,"CP+AnMC")+COUNTIF(Area_v4PMO,"FP+AnMC")+COUNTIF(Area_v4PMO,"*AnMP*")+COUNTIF(Area_v4PMO,"CP/TX-P*")</f>
        <v>19</v>
      </c>
      <c r="M265" s="255">
        <f>COUNTIF(Area_v6PMO,"CP+AnMC")+COUNTIF(Area_v6PMO,"FP+AnMC")+COUNTIF(Area_v6PMO,"*AnMP*")+COUNTIF(Area_v6PMO,"CP/TX-P*")</f>
        <v>16</v>
      </c>
      <c r="N265" s="144" t="s">
        <v>503</v>
      </c>
    </row>
    <row r="266" spans="1:14" ht="32.1" customHeight="1">
      <c r="A266" s="860"/>
      <c r="B266" s="174" t="s">
        <v>608</v>
      </c>
      <c r="C266" s="144" t="s">
        <v>483</v>
      </c>
      <c r="D266" s="268" t="s">
        <v>102</v>
      </c>
      <c r="E266" s="144" t="s">
        <v>338</v>
      </c>
      <c r="F266" s="268" t="s">
        <v>212</v>
      </c>
      <c r="G266" s="236">
        <f t="shared" si="97"/>
        <v>0</v>
      </c>
      <c r="H266" s="253">
        <f>COUNTIF(Area_v1,$C266)</f>
        <v>0</v>
      </c>
      <c r="I266" s="254">
        <f>COUNTIF(Area_v2,$C266)</f>
        <v>0</v>
      </c>
      <c r="J266" s="254">
        <f>COUNTIF(Area_v1MOM,$C266)</f>
        <v>0</v>
      </c>
      <c r="K266" s="254">
        <f>COUNTIF(Area_v4MOM,$C266)</f>
        <v>0</v>
      </c>
      <c r="L266" s="254">
        <f>COUNTIF(Area_v4PMO,$C266)</f>
        <v>0</v>
      </c>
      <c r="M266" s="255">
        <f>COUNTIF(Area_v6PMO,$C266)</f>
        <v>0</v>
      </c>
      <c r="N266" s="144" t="s">
        <v>504</v>
      </c>
    </row>
    <row r="267" spans="1:14" ht="32.1" customHeight="1">
      <c r="A267" s="861"/>
      <c r="B267" s="277" t="s">
        <v>320</v>
      </c>
      <c r="C267" s="29"/>
      <c r="D267" s="165" t="s">
        <v>103</v>
      </c>
      <c r="E267" s="29" t="s">
        <v>829</v>
      </c>
      <c r="F267" s="165" t="s">
        <v>212</v>
      </c>
      <c r="G267" s="210">
        <f t="shared" si="97"/>
        <v>0</v>
      </c>
      <c r="H267" s="211"/>
      <c r="I267" s="212"/>
      <c r="J267" s="212"/>
      <c r="K267" s="212"/>
      <c r="L267" s="212"/>
      <c r="M267" s="213"/>
      <c r="N267" s="29" t="s">
        <v>505</v>
      </c>
    </row>
    <row r="268" spans="1:14" ht="32.1" customHeight="1">
      <c r="A268" s="859" t="s">
        <v>1537</v>
      </c>
      <c r="B268" s="169"/>
      <c r="C268" s="147" t="s">
        <v>348</v>
      </c>
      <c r="D268" s="271" t="s">
        <v>120</v>
      </c>
      <c r="E268" s="147" t="s">
        <v>34</v>
      </c>
      <c r="F268" s="271" t="s">
        <v>237</v>
      </c>
      <c r="G268" s="242">
        <f t="shared" si="97"/>
        <v>47</v>
      </c>
      <c r="H268" s="243">
        <f t="shared" ref="H268:H279" si="98">COUNTIF(Area_v1,$C268)</f>
        <v>17</v>
      </c>
      <c r="I268" s="244">
        <f t="shared" ref="I268:I273" si="99">COUNTIF(Area_v2,$C268)</f>
        <v>18</v>
      </c>
      <c r="J268" s="244">
        <f t="shared" ref="J268:J279" si="100">COUNTIF(Area_v1MOM,$C268)</f>
        <v>2</v>
      </c>
      <c r="K268" s="244">
        <f t="shared" ref="K268:K279" si="101">COUNTIF(Area_v4MOM,$C268)</f>
        <v>1</v>
      </c>
      <c r="L268" s="244">
        <f t="shared" ref="L268:L279" si="102">COUNTIF(Area_v4PMO,$C268)</f>
        <v>5</v>
      </c>
      <c r="M268" s="245">
        <f t="shared" ref="M268:M279" si="103">COUNTIF(Area_v6PMO,$C268)</f>
        <v>4</v>
      </c>
      <c r="N268" s="147" t="s">
        <v>524</v>
      </c>
    </row>
    <row r="269" spans="1:14" ht="32.1" customHeight="1">
      <c r="A269" s="860"/>
      <c r="B269" s="170"/>
      <c r="C269" s="144" t="s">
        <v>349</v>
      </c>
      <c r="D269" s="268" t="s">
        <v>121</v>
      </c>
      <c r="E269" s="144" t="s">
        <v>122</v>
      </c>
      <c r="F269" s="268" t="s">
        <v>238</v>
      </c>
      <c r="G269" s="236">
        <f t="shared" si="97"/>
        <v>18</v>
      </c>
      <c r="H269" s="253">
        <f t="shared" si="98"/>
        <v>6</v>
      </c>
      <c r="I269" s="254">
        <f t="shared" si="99"/>
        <v>6</v>
      </c>
      <c r="J269" s="254">
        <f t="shared" si="100"/>
        <v>0</v>
      </c>
      <c r="K269" s="254">
        <f t="shared" si="101"/>
        <v>0</v>
      </c>
      <c r="L269" s="254">
        <f t="shared" si="102"/>
        <v>3</v>
      </c>
      <c r="M269" s="255">
        <f t="shared" si="103"/>
        <v>3</v>
      </c>
      <c r="N269" s="144" t="s">
        <v>525</v>
      </c>
    </row>
    <row r="270" spans="1:14" ht="32.1" customHeight="1">
      <c r="A270" s="860"/>
      <c r="B270" s="170"/>
      <c r="C270" s="144" t="s">
        <v>366</v>
      </c>
      <c r="D270" s="268" t="s">
        <v>123</v>
      </c>
      <c r="E270" s="144" t="s">
        <v>2</v>
      </c>
      <c r="F270" s="268" t="s">
        <v>239</v>
      </c>
      <c r="G270" s="236">
        <f t="shared" si="97"/>
        <v>14</v>
      </c>
      <c r="H270" s="253">
        <f t="shared" si="98"/>
        <v>3</v>
      </c>
      <c r="I270" s="254">
        <f t="shared" si="99"/>
        <v>4</v>
      </c>
      <c r="J270" s="254">
        <f>COUNTIF(Area_v1MOM,$C270)</f>
        <v>0</v>
      </c>
      <c r="K270" s="254">
        <f t="shared" si="101"/>
        <v>0</v>
      </c>
      <c r="L270" s="254">
        <f t="shared" si="102"/>
        <v>4</v>
      </c>
      <c r="M270" s="255">
        <f t="shared" si="103"/>
        <v>3</v>
      </c>
      <c r="N270" s="144" t="s">
        <v>394</v>
      </c>
    </row>
    <row r="271" spans="1:14" ht="32.1" customHeight="1">
      <c r="A271" s="860"/>
      <c r="B271" s="170"/>
      <c r="C271" s="144" t="s">
        <v>340</v>
      </c>
      <c r="D271" s="268" t="s">
        <v>124</v>
      </c>
      <c r="E271" s="144" t="s">
        <v>3</v>
      </c>
      <c r="F271" s="268" t="s">
        <v>240</v>
      </c>
      <c r="G271" s="236">
        <f t="shared" si="97"/>
        <v>0</v>
      </c>
      <c r="H271" s="253">
        <f t="shared" si="98"/>
        <v>0</v>
      </c>
      <c r="I271" s="254">
        <f t="shared" si="99"/>
        <v>0</v>
      </c>
      <c r="J271" s="254">
        <f t="shared" si="100"/>
        <v>0</v>
      </c>
      <c r="K271" s="254">
        <f t="shared" si="101"/>
        <v>0</v>
      </c>
      <c r="L271" s="254">
        <f t="shared" si="102"/>
        <v>0</v>
      </c>
      <c r="M271" s="255">
        <f t="shared" si="103"/>
        <v>0</v>
      </c>
      <c r="N271" s="144" t="s">
        <v>526</v>
      </c>
    </row>
    <row r="272" spans="1:14" ht="32.1" customHeight="1">
      <c r="A272" s="860"/>
      <c r="B272" s="170"/>
      <c r="C272" s="144" t="s">
        <v>339</v>
      </c>
      <c r="D272" s="268" t="s">
        <v>125</v>
      </c>
      <c r="E272" s="144" t="s">
        <v>4</v>
      </c>
      <c r="F272" s="268" t="s">
        <v>241</v>
      </c>
      <c r="G272" s="236">
        <f t="shared" si="97"/>
        <v>16</v>
      </c>
      <c r="H272" s="253">
        <f t="shared" si="98"/>
        <v>7</v>
      </c>
      <c r="I272" s="254">
        <f t="shared" si="99"/>
        <v>5</v>
      </c>
      <c r="J272" s="254">
        <f t="shared" si="100"/>
        <v>2</v>
      </c>
      <c r="K272" s="254">
        <f t="shared" si="101"/>
        <v>2</v>
      </c>
      <c r="L272" s="254">
        <f t="shared" si="102"/>
        <v>0</v>
      </c>
      <c r="M272" s="255">
        <f t="shared" si="103"/>
        <v>0</v>
      </c>
      <c r="N272" s="144" t="s">
        <v>527</v>
      </c>
    </row>
    <row r="273" spans="1:14" ht="32.1" customHeight="1">
      <c r="A273" s="860"/>
      <c r="B273" s="170"/>
      <c r="C273" s="144" t="s">
        <v>367</v>
      </c>
      <c r="D273" s="268" t="s">
        <v>126</v>
      </c>
      <c r="E273" s="144" t="s">
        <v>5</v>
      </c>
      <c r="F273" s="268" t="s">
        <v>242</v>
      </c>
      <c r="G273" s="236">
        <f t="shared" si="97"/>
        <v>2</v>
      </c>
      <c r="H273" s="253">
        <f t="shared" si="98"/>
        <v>1</v>
      </c>
      <c r="I273" s="254">
        <f t="shared" si="99"/>
        <v>1</v>
      </c>
      <c r="J273" s="254">
        <f t="shared" si="100"/>
        <v>0</v>
      </c>
      <c r="K273" s="254">
        <f t="shared" si="101"/>
        <v>0</v>
      </c>
      <c r="L273" s="254">
        <f t="shared" si="102"/>
        <v>0</v>
      </c>
      <c r="M273" s="255">
        <f t="shared" si="103"/>
        <v>0</v>
      </c>
      <c r="N273" s="144" t="s">
        <v>528</v>
      </c>
    </row>
    <row r="274" spans="1:14" ht="32.1" customHeight="1">
      <c r="A274" s="860"/>
      <c r="B274" s="170"/>
      <c r="C274" s="144" t="s">
        <v>1155</v>
      </c>
      <c r="D274" s="268" t="s">
        <v>127</v>
      </c>
      <c r="E274" s="144" t="s">
        <v>128</v>
      </c>
      <c r="F274" s="268" t="s">
        <v>243</v>
      </c>
      <c r="G274" s="236">
        <f t="shared" si="97"/>
        <v>13</v>
      </c>
      <c r="H274" s="253">
        <f t="shared" si="98"/>
        <v>4</v>
      </c>
      <c r="I274" s="254">
        <f t="shared" ref="I274:I279" si="104">COUNTIF(Area_v2,$C274)</f>
        <v>4</v>
      </c>
      <c r="J274" s="254">
        <f t="shared" si="100"/>
        <v>2</v>
      </c>
      <c r="K274" s="254">
        <f t="shared" si="101"/>
        <v>3</v>
      </c>
      <c r="L274" s="254">
        <f t="shared" si="102"/>
        <v>0</v>
      </c>
      <c r="M274" s="255">
        <f t="shared" si="103"/>
        <v>0</v>
      </c>
      <c r="N274" s="144"/>
    </row>
    <row r="275" spans="1:14" ht="32.1" customHeight="1">
      <c r="A275" s="860"/>
      <c r="B275" s="170"/>
      <c r="C275" s="144" t="s">
        <v>1156</v>
      </c>
      <c r="D275" s="268" t="s">
        <v>127</v>
      </c>
      <c r="E275" s="144" t="s">
        <v>128</v>
      </c>
      <c r="F275" s="268" t="s">
        <v>243</v>
      </c>
      <c r="G275" s="236">
        <f t="shared" si="97"/>
        <v>0</v>
      </c>
      <c r="H275" s="253">
        <f t="shared" si="98"/>
        <v>0</v>
      </c>
      <c r="I275" s="254">
        <f t="shared" si="104"/>
        <v>0</v>
      </c>
      <c r="J275" s="254">
        <f t="shared" si="100"/>
        <v>0</v>
      </c>
      <c r="K275" s="254">
        <f t="shared" si="101"/>
        <v>0</v>
      </c>
      <c r="L275" s="254">
        <f t="shared" si="102"/>
        <v>0</v>
      </c>
      <c r="M275" s="255">
        <f t="shared" si="103"/>
        <v>0</v>
      </c>
      <c r="N275" s="144"/>
    </row>
    <row r="276" spans="1:14" ht="32.1" customHeight="1">
      <c r="A276" s="860"/>
      <c r="B276" s="170"/>
      <c r="C276" s="144" t="s">
        <v>1157</v>
      </c>
      <c r="D276" s="268" t="s">
        <v>713</v>
      </c>
      <c r="E276" s="144" t="s">
        <v>714</v>
      </c>
      <c r="F276" s="268" t="s">
        <v>243</v>
      </c>
      <c r="G276" s="236">
        <f t="shared" si="97"/>
        <v>0</v>
      </c>
      <c r="H276" s="253">
        <f t="shared" si="98"/>
        <v>0</v>
      </c>
      <c r="I276" s="254">
        <f t="shared" si="104"/>
        <v>0</v>
      </c>
      <c r="J276" s="254">
        <f t="shared" si="100"/>
        <v>0</v>
      </c>
      <c r="K276" s="254">
        <f t="shared" si="101"/>
        <v>0</v>
      </c>
      <c r="L276" s="254">
        <f t="shared" si="102"/>
        <v>0</v>
      </c>
      <c r="M276" s="255">
        <f t="shared" si="103"/>
        <v>0</v>
      </c>
      <c r="N276" s="144"/>
    </row>
    <row r="277" spans="1:14" ht="32.1" customHeight="1">
      <c r="A277" s="860"/>
      <c r="B277" s="170"/>
      <c r="C277" s="144" t="s">
        <v>1158</v>
      </c>
      <c r="D277" s="268" t="s">
        <v>713</v>
      </c>
      <c r="E277" s="144" t="s">
        <v>714</v>
      </c>
      <c r="F277" s="268" t="s">
        <v>243</v>
      </c>
      <c r="G277" s="236">
        <f t="shared" si="97"/>
        <v>0</v>
      </c>
      <c r="H277" s="253">
        <f t="shared" si="98"/>
        <v>0</v>
      </c>
      <c r="I277" s="254">
        <f t="shared" si="104"/>
        <v>0</v>
      </c>
      <c r="J277" s="254">
        <f t="shared" si="100"/>
        <v>0</v>
      </c>
      <c r="K277" s="254">
        <f t="shared" si="101"/>
        <v>0</v>
      </c>
      <c r="L277" s="254">
        <f t="shared" si="102"/>
        <v>0</v>
      </c>
      <c r="M277" s="255">
        <f t="shared" si="103"/>
        <v>0</v>
      </c>
      <c r="N277" s="144"/>
    </row>
    <row r="278" spans="1:14" ht="32.1" customHeight="1">
      <c r="A278" s="860"/>
      <c r="B278" s="170"/>
      <c r="C278" s="144" t="s">
        <v>1159</v>
      </c>
      <c r="D278" s="268" t="s">
        <v>682</v>
      </c>
      <c r="E278" s="144" t="s">
        <v>686</v>
      </c>
      <c r="F278" s="268" t="s">
        <v>243</v>
      </c>
      <c r="G278" s="236">
        <f t="shared" si="97"/>
        <v>10</v>
      </c>
      <c r="H278" s="253">
        <f t="shared" si="98"/>
        <v>0</v>
      </c>
      <c r="I278" s="254">
        <f t="shared" si="104"/>
        <v>0</v>
      </c>
      <c r="J278" s="254">
        <f t="shared" si="100"/>
        <v>1</v>
      </c>
      <c r="K278" s="254">
        <f t="shared" si="101"/>
        <v>1</v>
      </c>
      <c r="L278" s="254">
        <f t="shared" si="102"/>
        <v>4</v>
      </c>
      <c r="M278" s="255">
        <f t="shared" si="103"/>
        <v>4</v>
      </c>
      <c r="N278" s="144"/>
    </row>
    <row r="279" spans="1:14" ht="32.1" customHeight="1">
      <c r="A279" s="861"/>
      <c r="B279" s="171"/>
      <c r="C279" s="146" t="s">
        <v>1160</v>
      </c>
      <c r="D279" s="270" t="s">
        <v>682</v>
      </c>
      <c r="E279" s="146" t="s">
        <v>686</v>
      </c>
      <c r="F279" s="270" t="s">
        <v>243</v>
      </c>
      <c r="G279" s="241">
        <f t="shared" si="97"/>
        <v>0</v>
      </c>
      <c r="H279" s="246">
        <f t="shared" si="98"/>
        <v>0</v>
      </c>
      <c r="I279" s="247">
        <f t="shared" si="104"/>
        <v>0</v>
      </c>
      <c r="J279" s="247">
        <f t="shared" si="100"/>
        <v>0</v>
      </c>
      <c r="K279" s="247">
        <f t="shared" si="101"/>
        <v>0</v>
      </c>
      <c r="L279" s="247">
        <f t="shared" si="102"/>
        <v>0</v>
      </c>
      <c r="M279" s="248">
        <f t="shared" si="103"/>
        <v>0</v>
      </c>
      <c r="N279" s="146"/>
    </row>
    <row r="280" spans="1:14" ht="32.1" customHeight="1">
      <c r="A280" s="860" t="s">
        <v>1540</v>
      </c>
      <c r="B280" s="170"/>
      <c r="C280" s="160" t="s">
        <v>364</v>
      </c>
      <c r="D280" s="272" t="s">
        <v>157</v>
      </c>
      <c r="E280" s="160" t="s">
        <v>465</v>
      </c>
      <c r="F280" s="272" t="s">
        <v>279</v>
      </c>
      <c r="G280" s="249">
        <f t="shared" ref="G280:G283" si="105">SUM(H280:M280)</f>
        <v>12</v>
      </c>
      <c r="H280" s="250">
        <f>COUNTIF(Area_v1,$C280)</f>
        <v>1</v>
      </c>
      <c r="I280" s="251">
        <f>COUNTIF(Area_v2,$C280)</f>
        <v>5</v>
      </c>
      <c r="J280" s="251">
        <f>COUNTIF(Area_v1MOM,$C280)</f>
        <v>1</v>
      </c>
      <c r="K280" s="251">
        <f>COUNTIF(Area_v4MOM,$C280)</f>
        <v>1</v>
      </c>
      <c r="L280" s="251">
        <f>COUNTIF(Area_v4PMO,$C280)</f>
        <v>3</v>
      </c>
      <c r="M280" s="252">
        <f>COUNTIF(Area_v6PMO,$C280)</f>
        <v>1</v>
      </c>
      <c r="N280" s="160" t="s">
        <v>559</v>
      </c>
    </row>
    <row r="281" spans="1:14" ht="32.1" customHeight="1">
      <c r="A281" s="861"/>
      <c r="B281" s="170"/>
      <c r="C281" s="282" t="s">
        <v>1184</v>
      </c>
      <c r="D281" s="283" t="s">
        <v>158</v>
      </c>
      <c r="E281" s="282" t="s">
        <v>280</v>
      </c>
      <c r="F281" s="283" t="s">
        <v>195</v>
      </c>
      <c r="G281" s="284">
        <f t="shared" si="105"/>
        <v>0</v>
      </c>
      <c r="H281" s="285">
        <f>COUNTIF(Area_v1,$C281)</f>
        <v>0</v>
      </c>
      <c r="I281" s="286">
        <f>COUNTIF(Area_v2,$C281)</f>
        <v>0</v>
      </c>
      <c r="J281" s="286">
        <f>COUNTIF(Area_v1MOM,$C281)</f>
        <v>0</v>
      </c>
      <c r="K281" s="286">
        <f>COUNTIF(Area_v4MOM,$C281)</f>
        <v>0</v>
      </c>
      <c r="L281" s="286">
        <f>COUNTIF(Area_v4PMO,$C281)</f>
        <v>0</v>
      </c>
      <c r="M281" s="287">
        <f>COUNTIF(Area_v6PMO,$C281)</f>
        <v>0</v>
      </c>
      <c r="N281" s="282" t="s">
        <v>1185</v>
      </c>
    </row>
    <row r="282" spans="1:14" ht="32.1" customHeight="1">
      <c r="A282" s="859" t="s">
        <v>1527</v>
      </c>
      <c r="B282" s="169"/>
      <c r="C282" s="147"/>
      <c r="D282" s="271" t="s">
        <v>118</v>
      </c>
      <c r="E282" s="147" t="s">
        <v>235</v>
      </c>
      <c r="F282" s="271" t="s">
        <v>195</v>
      </c>
      <c r="G282" s="278">
        <f t="shared" si="105"/>
        <v>31.601010000000002</v>
      </c>
      <c r="H282" s="279">
        <f>+SUM(cantones_v1)/1000</f>
        <v>11.37331</v>
      </c>
      <c r="I282" s="280">
        <f>+SUM(cantones_v2)/1000</f>
        <v>10.703899999999999</v>
      </c>
      <c r="J282" s="280">
        <f>+SUM(cantones_v1MOM)/1000</f>
        <v>1.0729</v>
      </c>
      <c r="K282" s="280">
        <f>+SUM(cantones_v4MOM)/1000</f>
        <v>1.0851</v>
      </c>
      <c r="L282" s="280">
        <f>+SUM(cantones_v4PMO)/1000</f>
        <v>4.1589999999999989</v>
      </c>
      <c r="M282" s="281">
        <f>+SUM(cantones_v6PMO)/1000</f>
        <v>3.2068000000000003</v>
      </c>
      <c r="N282" s="147" t="s">
        <v>522</v>
      </c>
    </row>
    <row r="283" spans="1:14" ht="32.1" customHeight="1">
      <c r="A283" s="860"/>
      <c r="B283" s="174" t="s">
        <v>327</v>
      </c>
      <c r="C283" s="144"/>
      <c r="D283" s="268" t="s">
        <v>119</v>
      </c>
      <c r="E283" s="144" t="s">
        <v>1</v>
      </c>
      <c r="F283" s="268" t="s">
        <v>236</v>
      </c>
      <c r="G283" s="236">
        <f t="shared" si="105"/>
        <v>4424</v>
      </c>
      <c r="H283" s="253">
        <f t="shared" ref="H283:M283" si="106">+ROUND(140*H282,0)</f>
        <v>1592</v>
      </c>
      <c r="I283" s="254">
        <f t="shared" si="106"/>
        <v>1499</v>
      </c>
      <c r="J283" s="254">
        <f t="shared" si="106"/>
        <v>150</v>
      </c>
      <c r="K283" s="254">
        <f t="shared" si="106"/>
        <v>152</v>
      </c>
      <c r="L283" s="254">
        <f t="shared" si="106"/>
        <v>582</v>
      </c>
      <c r="M283" s="255">
        <f t="shared" si="106"/>
        <v>449</v>
      </c>
      <c r="N283" s="144" t="s">
        <v>523</v>
      </c>
    </row>
    <row r="284" spans="1:14" ht="32.1" customHeight="1">
      <c r="A284" s="860"/>
      <c r="B284" s="890" t="s">
        <v>320</v>
      </c>
      <c r="C284" s="30"/>
      <c r="D284" s="164" t="s">
        <v>244</v>
      </c>
      <c r="E284" s="30" t="s">
        <v>245</v>
      </c>
      <c r="F284" s="164" t="s">
        <v>195</v>
      </c>
      <c r="G284" s="257">
        <f t="shared" ref="G284:G310" si="107">SUM(H284:M284)</f>
        <v>0</v>
      </c>
      <c r="H284" s="258"/>
      <c r="I284" s="259"/>
      <c r="J284" s="259"/>
      <c r="K284" s="259"/>
      <c r="L284" s="259"/>
      <c r="M284" s="260"/>
      <c r="N284" s="30" t="s">
        <v>532</v>
      </c>
    </row>
    <row r="285" spans="1:14" ht="32.1" customHeight="1">
      <c r="A285" s="860"/>
      <c r="B285" s="890"/>
      <c r="C285" s="31"/>
      <c r="D285" s="262" t="s">
        <v>246</v>
      </c>
      <c r="E285" s="31" t="s">
        <v>247</v>
      </c>
      <c r="F285" s="262" t="s">
        <v>236</v>
      </c>
      <c r="G285" s="202">
        <f t="shared" si="107"/>
        <v>0</v>
      </c>
      <c r="H285" s="203"/>
      <c r="I285" s="204"/>
      <c r="J285" s="204"/>
      <c r="K285" s="204"/>
      <c r="L285" s="204"/>
      <c r="M285" s="205"/>
      <c r="N285" s="31" t="s">
        <v>531</v>
      </c>
    </row>
    <row r="286" spans="1:14" ht="32.1" customHeight="1">
      <c r="A286" s="860"/>
      <c r="B286" s="890"/>
      <c r="C286" s="31"/>
      <c r="D286" s="262" t="s">
        <v>248</v>
      </c>
      <c r="E286" s="31" t="s">
        <v>249</v>
      </c>
      <c r="F286" s="262" t="s">
        <v>199</v>
      </c>
      <c r="G286" s="202">
        <f t="shared" si="107"/>
        <v>0</v>
      </c>
      <c r="H286" s="203"/>
      <c r="I286" s="204"/>
      <c r="J286" s="204"/>
      <c r="K286" s="204"/>
      <c r="L286" s="204"/>
      <c r="M286" s="205"/>
      <c r="N286" s="31" t="s">
        <v>530</v>
      </c>
    </row>
    <row r="287" spans="1:14" ht="32.1" customHeight="1">
      <c r="A287" s="860"/>
      <c r="B287" s="890"/>
      <c r="C287" s="31"/>
      <c r="D287" s="262" t="s">
        <v>250</v>
      </c>
      <c r="E287" s="31" t="s">
        <v>251</v>
      </c>
      <c r="F287" s="262" t="s">
        <v>199</v>
      </c>
      <c r="G287" s="202">
        <f t="shared" si="107"/>
        <v>0</v>
      </c>
      <c r="H287" s="203"/>
      <c r="I287" s="204"/>
      <c r="J287" s="204"/>
      <c r="K287" s="204"/>
      <c r="L287" s="204"/>
      <c r="M287" s="205"/>
      <c r="N287" s="31" t="s">
        <v>529</v>
      </c>
    </row>
    <row r="288" spans="1:14" ht="32.1" customHeight="1">
      <c r="A288" s="860"/>
      <c r="B288" s="890"/>
      <c r="C288" s="31"/>
      <c r="D288" s="262" t="s">
        <v>252</v>
      </c>
      <c r="E288" s="31" t="s">
        <v>253</v>
      </c>
      <c r="F288" s="262" t="s">
        <v>199</v>
      </c>
      <c r="G288" s="202">
        <f t="shared" si="107"/>
        <v>0</v>
      </c>
      <c r="H288" s="203"/>
      <c r="I288" s="204"/>
      <c r="J288" s="204"/>
      <c r="K288" s="204"/>
      <c r="L288" s="204"/>
      <c r="M288" s="205"/>
      <c r="N288" s="31" t="s">
        <v>533</v>
      </c>
    </row>
    <row r="289" spans="1:14" ht="32.1" customHeight="1">
      <c r="A289" s="860"/>
      <c r="B289" s="170"/>
      <c r="C289" s="144"/>
      <c r="D289" s="268" t="s">
        <v>129</v>
      </c>
      <c r="E289" s="144" t="s">
        <v>130</v>
      </c>
      <c r="F289" s="268" t="s">
        <v>195</v>
      </c>
      <c r="G289" s="236">
        <f t="shared" si="107"/>
        <v>0</v>
      </c>
      <c r="H289" s="253">
        <f>+Legend!$K$10</f>
        <v>0</v>
      </c>
      <c r="I289" s="254">
        <f>+Legend!$Q$10</f>
        <v>0</v>
      </c>
      <c r="J289" s="254">
        <f>+Legend!$W$10</f>
        <v>0</v>
      </c>
      <c r="K289" s="254">
        <f>+Legend!$AC$10</f>
        <v>0</v>
      </c>
      <c r="L289" s="254">
        <f>+Legend!$AI$10</f>
        <v>0</v>
      </c>
      <c r="M289" s="255">
        <f>+Legend!$AO$10</f>
        <v>0</v>
      </c>
      <c r="N289" s="144" t="s">
        <v>534</v>
      </c>
    </row>
    <row r="290" spans="1:14" ht="32.1" customHeight="1">
      <c r="A290" s="860"/>
      <c r="B290" s="274" t="s">
        <v>353</v>
      </c>
      <c r="C290" s="297"/>
      <c r="D290" s="268" t="s">
        <v>142</v>
      </c>
      <c r="E290" s="144" t="s">
        <v>266</v>
      </c>
      <c r="F290" s="268" t="s">
        <v>195</v>
      </c>
      <c r="G290" s="236">
        <f>SUM(H290:M290)</f>
        <v>0</v>
      </c>
      <c r="H290" s="253">
        <f>+Legend!$K$22</f>
        <v>0</v>
      </c>
      <c r="I290" s="254">
        <f>+Legend!$Q$22</f>
        <v>0</v>
      </c>
      <c r="J290" s="254">
        <f>+Legend!$W$22</f>
        <v>0</v>
      </c>
      <c r="K290" s="254">
        <f>+Legend!$AC$22</f>
        <v>0</v>
      </c>
      <c r="L290" s="254">
        <f>+Legend!$AI$22</f>
        <v>0</v>
      </c>
      <c r="M290" s="255">
        <f>+Legend!$AO$22</f>
        <v>0</v>
      </c>
      <c r="N290" s="298" t="s">
        <v>544</v>
      </c>
    </row>
    <row r="291" spans="1:14" ht="32.1" customHeight="1">
      <c r="A291" s="860"/>
      <c r="B291" s="890" t="s">
        <v>320</v>
      </c>
      <c r="C291" s="31"/>
      <c r="D291" s="262" t="s">
        <v>131</v>
      </c>
      <c r="E291" s="31" t="s">
        <v>254</v>
      </c>
      <c r="F291" s="262" t="s">
        <v>195</v>
      </c>
      <c r="G291" s="202">
        <f t="shared" si="107"/>
        <v>0</v>
      </c>
      <c r="H291" s="203"/>
      <c r="I291" s="204"/>
      <c r="J291" s="204"/>
      <c r="K291" s="204"/>
      <c r="L291" s="204"/>
      <c r="M291" s="205"/>
      <c r="N291" s="31" t="s">
        <v>535</v>
      </c>
    </row>
    <row r="292" spans="1:14" ht="32.1" customHeight="1">
      <c r="A292" s="860"/>
      <c r="B292" s="890"/>
      <c r="C292" s="31"/>
      <c r="D292" s="262" t="s">
        <v>255</v>
      </c>
      <c r="E292" s="31" t="s">
        <v>256</v>
      </c>
      <c r="F292" s="262" t="s">
        <v>195</v>
      </c>
      <c r="G292" s="202">
        <f t="shared" si="107"/>
        <v>0</v>
      </c>
      <c r="H292" s="203"/>
      <c r="I292" s="204"/>
      <c r="J292" s="204"/>
      <c r="K292" s="204"/>
      <c r="L292" s="204"/>
      <c r="M292" s="205"/>
      <c r="N292" s="31" t="s">
        <v>591</v>
      </c>
    </row>
    <row r="293" spans="1:14" ht="32.1" customHeight="1">
      <c r="A293" s="860"/>
      <c r="B293" s="890"/>
      <c r="C293" s="31"/>
      <c r="D293" s="262" t="s">
        <v>257</v>
      </c>
      <c r="E293" s="31" t="s">
        <v>258</v>
      </c>
      <c r="F293" s="262" t="s">
        <v>195</v>
      </c>
      <c r="G293" s="202">
        <f t="shared" si="107"/>
        <v>0</v>
      </c>
      <c r="H293" s="203"/>
      <c r="I293" s="204"/>
      <c r="J293" s="204"/>
      <c r="K293" s="204"/>
      <c r="L293" s="204"/>
      <c r="M293" s="205"/>
      <c r="N293" s="31" t="s">
        <v>536</v>
      </c>
    </row>
    <row r="294" spans="1:14" ht="32.1" customHeight="1">
      <c r="A294" s="861"/>
      <c r="B294" s="891"/>
      <c r="C294" s="29"/>
      <c r="D294" s="165" t="s">
        <v>143</v>
      </c>
      <c r="E294" s="29" t="s">
        <v>144</v>
      </c>
      <c r="F294" s="165" t="s">
        <v>195</v>
      </c>
      <c r="G294" s="210">
        <f t="shared" ref="G294:G307" si="108">SUM(H294:M294)</f>
        <v>0</v>
      </c>
      <c r="H294" s="211"/>
      <c r="I294" s="212"/>
      <c r="J294" s="212"/>
      <c r="K294" s="212"/>
      <c r="L294" s="212"/>
      <c r="M294" s="213"/>
      <c r="N294" s="29" t="s">
        <v>545</v>
      </c>
    </row>
    <row r="295" spans="1:14" ht="32.1" customHeight="1">
      <c r="A295" s="859" t="s">
        <v>1541</v>
      </c>
      <c r="B295" s="170"/>
      <c r="C295" s="144" t="s">
        <v>357</v>
      </c>
      <c r="D295" s="268" t="s">
        <v>150</v>
      </c>
      <c r="E295" s="144" t="s">
        <v>6</v>
      </c>
      <c r="F295" s="268" t="s">
        <v>272</v>
      </c>
      <c r="G295" s="236">
        <f t="shared" si="108"/>
        <v>76</v>
      </c>
      <c r="H295" s="253">
        <f>COUNTIF(Area_v1,$C295)-H296</f>
        <v>22</v>
      </c>
      <c r="I295" s="254">
        <f>COUNTIF(Area_v2,$C295)-I296</f>
        <v>26</v>
      </c>
      <c r="J295" s="254">
        <f>COUNTIF(Area_v1MOM,$C295)-J296</f>
        <v>6</v>
      </c>
      <c r="K295" s="254">
        <f>COUNTIF(Area_v4MOM,$C295)-K296</f>
        <v>4</v>
      </c>
      <c r="L295" s="254">
        <f>COUNTIF(Area_v4PMO,$C295)-L296</f>
        <v>10</v>
      </c>
      <c r="M295" s="255">
        <f>COUNTIF(Area_v6PMO,$C295)-M296</f>
        <v>8</v>
      </c>
      <c r="N295" s="144" t="s">
        <v>554</v>
      </c>
    </row>
    <row r="296" spans="1:14" ht="32.1" customHeight="1">
      <c r="A296" s="860"/>
      <c r="B296" s="170" t="s">
        <v>361</v>
      </c>
      <c r="C296" s="144" t="s">
        <v>363</v>
      </c>
      <c r="D296" s="268" t="s">
        <v>151</v>
      </c>
      <c r="E296" s="144" t="s">
        <v>10</v>
      </c>
      <c r="F296" s="268" t="s">
        <v>273</v>
      </c>
      <c r="G296" s="236">
        <f t="shared" si="108"/>
        <v>28</v>
      </c>
      <c r="H296" s="253">
        <f>COUNTIF(Area_v1,$C296)*2</f>
        <v>12</v>
      </c>
      <c r="I296" s="254">
        <f>COUNTIF(Area_v2,$C296)*2</f>
        <v>10</v>
      </c>
      <c r="J296" s="254">
        <f>COUNTIF(Area_v1MOM,$C296)*2</f>
        <v>0</v>
      </c>
      <c r="K296" s="254">
        <f>COUNTIF(Area_v4MOM,$C296)*2</f>
        <v>0</v>
      </c>
      <c r="L296" s="254">
        <f>COUNTIF(Area_v4PMO,$C296)*2</f>
        <v>2</v>
      </c>
      <c r="M296" s="255">
        <f>COUNTIF(Area_v6PMO,$C296)*2</f>
        <v>4</v>
      </c>
      <c r="N296" s="144" t="s">
        <v>555</v>
      </c>
    </row>
    <row r="297" spans="1:14" ht="32.1" customHeight="1">
      <c r="A297" s="860"/>
      <c r="B297" s="170" t="s">
        <v>361</v>
      </c>
      <c r="C297" s="144" t="s">
        <v>363</v>
      </c>
      <c r="D297" s="268" t="s">
        <v>154</v>
      </c>
      <c r="E297" s="144" t="s">
        <v>276</v>
      </c>
      <c r="F297" s="268" t="s">
        <v>275</v>
      </c>
      <c r="G297" s="236">
        <f t="shared" si="108"/>
        <v>28</v>
      </c>
      <c r="H297" s="253">
        <f t="shared" ref="H297:M297" si="109">+H296</f>
        <v>12</v>
      </c>
      <c r="I297" s="254">
        <f t="shared" si="109"/>
        <v>10</v>
      </c>
      <c r="J297" s="254">
        <f t="shared" si="109"/>
        <v>0</v>
      </c>
      <c r="K297" s="254">
        <f t="shared" si="109"/>
        <v>0</v>
      </c>
      <c r="L297" s="254">
        <f t="shared" si="109"/>
        <v>2</v>
      </c>
      <c r="M297" s="255">
        <f t="shared" si="109"/>
        <v>4</v>
      </c>
      <c r="N297" s="144" t="s">
        <v>556</v>
      </c>
    </row>
    <row r="298" spans="1:14" ht="32.1" customHeight="1">
      <c r="A298" s="860"/>
      <c r="B298" s="170" t="s">
        <v>361</v>
      </c>
      <c r="C298" s="144" t="s">
        <v>363</v>
      </c>
      <c r="D298" s="268" t="s">
        <v>155</v>
      </c>
      <c r="E298" s="144" t="s">
        <v>277</v>
      </c>
      <c r="F298" s="268" t="s">
        <v>275</v>
      </c>
      <c r="G298" s="236">
        <f t="shared" si="108"/>
        <v>28</v>
      </c>
      <c r="H298" s="253">
        <f t="shared" ref="H298:M298" si="110">+H297</f>
        <v>12</v>
      </c>
      <c r="I298" s="254">
        <f t="shared" si="110"/>
        <v>10</v>
      </c>
      <c r="J298" s="254">
        <f t="shared" si="110"/>
        <v>0</v>
      </c>
      <c r="K298" s="254">
        <f t="shared" si="110"/>
        <v>0</v>
      </c>
      <c r="L298" s="254">
        <f t="shared" si="110"/>
        <v>2</v>
      </c>
      <c r="M298" s="255">
        <f t="shared" si="110"/>
        <v>4</v>
      </c>
      <c r="N298" s="144" t="s">
        <v>557</v>
      </c>
    </row>
    <row r="299" spans="1:14" ht="32.1" customHeight="1">
      <c r="A299" s="860"/>
      <c r="B299" s="170"/>
      <c r="C299" s="144" t="s">
        <v>2374</v>
      </c>
      <c r="D299" s="268"/>
      <c r="E299" s="144" t="s">
        <v>2376</v>
      </c>
      <c r="F299" s="268"/>
      <c r="G299" s="236">
        <f t="shared" ref="G299:G300" si="111">SUM(H299:M299)</f>
        <v>1</v>
      </c>
      <c r="H299" s="253">
        <f t="shared" ref="H299:H300" si="112">COUNTIF(Area_v1,$C299)</f>
        <v>0</v>
      </c>
      <c r="I299" s="254">
        <f t="shared" ref="I299:I300" si="113">COUNTIF(Area_v2,$C299)</f>
        <v>1</v>
      </c>
      <c r="J299" s="254">
        <f t="shared" ref="J299:J300" si="114">COUNTIF(Area_v1MOM,$C299)</f>
        <v>0</v>
      </c>
      <c r="K299" s="254">
        <f t="shared" ref="K299:K300" si="115">COUNTIF(Area_v4MOM,$C299)</f>
        <v>0</v>
      </c>
      <c r="L299" s="254">
        <f t="shared" ref="L299:L300" si="116">COUNTIF(Area_v4PMO,$C299)</f>
        <v>0</v>
      </c>
      <c r="M299" s="255">
        <f t="shared" ref="M299:M300" si="117">COUNTIF(Area_v6PMO,$C299)</f>
        <v>0</v>
      </c>
      <c r="N299" s="144"/>
    </row>
    <row r="300" spans="1:14" ht="32.1" customHeight="1">
      <c r="A300" s="860"/>
      <c r="B300" s="170"/>
      <c r="C300" s="144" t="s">
        <v>2375</v>
      </c>
      <c r="D300" s="268"/>
      <c r="E300" s="144" t="s">
        <v>2377</v>
      </c>
      <c r="F300" s="268"/>
      <c r="G300" s="236">
        <f t="shared" si="111"/>
        <v>0</v>
      </c>
      <c r="H300" s="253">
        <f t="shared" si="112"/>
        <v>0</v>
      </c>
      <c r="I300" s="254">
        <f t="shared" si="113"/>
        <v>0</v>
      </c>
      <c r="J300" s="254">
        <f t="shared" si="114"/>
        <v>0</v>
      </c>
      <c r="K300" s="254">
        <f t="shared" si="115"/>
        <v>0</v>
      </c>
      <c r="L300" s="254">
        <f t="shared" si="116"/>
        <v>0</v>
      </c>
      <c r="M300" s="255">
        <f t="shared" si="117"/>
        <v>0</v>
      </c>
      <c r="N300" s="144"/>
    </row>
    <row r="301" spans="1:14" ht="32.1" customHeight="1">
      <c r="A301" s="860"/>
      <c r="B301" s="887" t="s">
        <v>320</v>
      </c>
      <c r="C301" s="31"/>
      <c r="D301" s="262" t="s">
        <v>152</v>
      </c>
      <c r="E301" s="31" t="s">
        <v>153</v>
      </c>
      <c r="F301" s="262" t="s">
        <v>274</v>
      </c>
      <c r="G301" s="202">
        <f t="shared" si="108"/>
        <v>0</v>
      </c>
      <c r="H301" s="203"/>
      <c r="I301" s="204"/>
      <c r="J301" s="204"/>
      <c r="K301" s="204"/>
      <c r="L301" s="204"/>
      <c r="M301" s="205"/>
      <c r="N301" s="31" t="s">
        <v>553</v>
      </c>
    </row>
    <row r="302" spans="1:14" ht="32.1" customHeight="1">
      <c r="A302" s="860"/>
      <c r="B302" s="887"/>
      <c r="C302" s="31"/>
      <c r="D302" s="262" t="s">
        <v>271</v>
      </c>
      <c r="E302" s="31" t="s">
        <v>0</v>
      </c>
      <c r="F302" s="262" t="s">
        <v>195</v>
      </c>
      <c r="G302" s="202">
        <f t="shared" si="108"/>
        <v>0</v>
      </c>
      <c r="H302" s="203"/>
      <c r="I302" s="204"/>
      <c r="J302" s="204"/>
      <c r="K302" s="204"/>
      <c r="L302" s="204"/>
      <c r="M302" s="205"/>
      <c r="N302" s="31" t="s">
        <v>552</v>
      </c>
    </row>
    <row r="303" spans="1:14" ht="32.1" customHeight="1">
      <c r="A303" s="860"/>
      <c r="B303" s="887"/>
      <c r="C303" s="31"/>
      <c r="D303" s="262" t="s">
        <v>156</v>
      </c>
      <c r="E303" s="31" t="s">
        <v>278</v>
      </c>
      <c r="F303" s="262" t="s">
        <v>195</v>
      </c>
      <c r="G303" s="202">
        <f t="shared" si="108"/>
        <v>0</v>
      </c>
      <c r="H303" s="203"/>
      <c r="I303" s="204"/>
      <c r="J303" s="204"/>
      <c r="K303" s="204"/>
      <c r="L303" s="204"/>
      <c r="M303" s="205"/>
      <c r="N303" s="31" t="s">
        <v>558</v>
      </c>
    </row>
    <row r="304" spans="1:14" ht="32.1" customHeight="1">
      <c r="A304" s="860"/>
      <c r="B304" s="170"/>
      <c r="C304" s="300"/>
      <c r="D304" s="268" t="s">
        <v>305</v>
      </c>
      <c r="E304" s="144" t="s">
        <v>169</v>
      </c>
      <c r="F304" s="268" t="s">
        <v>304</v>
      </c>
      <c r="G304" s="236">
        <f t="shared" si="108"/>
        <v>128</v>
      </c>
      <c r="H304" s="253">
        <f>COUNTIF(Area_v1,"S1T")+COUNTIF(Area_v1,"S2T")</f>
        <v>53</v>
      </c>
      <c r="I304" s="254">
        <f>COUNTIF(Area_v2,"S1T")+COUNTIF(Area_v2,"S2T")</f>
        <v>53</v>
      </c>
      <c r="J304" s="254">
        <f>COUNTIF(Area_v1MOM,"S1T")+COUNTIF(Area_v1MOM,"S2T")</f>
        <v>11</v>
      </c>
      <c r="K304" s="254">
        <f>COUNTIF(Area_v4MOM,"S1T")+COUNTIF(Area_v4MOM,"S2T")</f>
        <v>11</v>
      </c>
      <c r="L304" s="254">
        <f>COUNTIF(Area_v4PMO,"S1T")+COUNTIF(Area_v4PMO,"S2T")</f>
        <v>0</v>
      </c>
      <c r="M304" s="255">
        <f>COUNTIF(Area_v6PMO,"S1T")+COUNTIF(Area_v6PMO,"S2T")</f>
        <v>0</v>
      </c>
      <c r="N304" s="148" t="s">
        <v>579</v>
      </c>
    </row>
    <row r="305" spans="1:14" ht="32.1" customHeight="1">
      <c r="A305" s="860"/>
      <c r="B305" s="170"/>
      <c r="C305" s="148" t="s">
        <v>1628</v>
      </c>
      <c r="D305" s="268" t="s">
        <v>306</v>
      </c>
      <c r="E305" s="144" t="s">
        <v>170</v>
      </c>
      <c r="F305" s="268" t="s">
        <v>195</v>
      </c>
      <c r="G305" s="236">
        <f t="shared" si="108"/>
        <v>13</v>
      </c>
      <c r="H305" s="253">
        <f>COUNTIF(Area_v1,"CP/Tunnel")+COUNTIF(Area_v1,"CP/TX-T*")</f>
        <v>4</v>
      </c>
      <c r="I305" s="254">
        <f>COUNTIF(Area_v2,"CP/Tunnel")+COUNTIF(Area_v2,"CP/TX-T*")</f>
        <v>4</v>
      </c>
      <c r="J305" s="254">
        <f>COUNTIF(Area_v1MOM,"CP/Tunnel")+COUNTIF(Area_v1MOM,"CP/TX-T*")</f>
        <v>2</v>
      </c>
      <c r="K305" s="254">
        <f>COUNTIF(Area_v4MOM,"CP/Tunnel")+COUNTIF(Area_v4MOM,"CP/TX-T*")</f>
        <v>3</v>
      </c>
      <c r="L305" s="254">
        <f>COUNTIF(Area_v4PMO,"CP/Tunnel")+COUNTIF(Area_v4PMO,"CP/TX-T*")</f>
        <v>0</v>
      </c>
      <c r="M305" s="255">
        <f>COUNTIF(Area_v6PMO,"CP/Tunnel")+COUNTIF(Area_v6PMO,"CP/TX-T*")</f>
        <v>0</v>
      </c>
      <c r="N305" s="148" t="s">
        <v>580</v>
      </c>
    </row>
    <row r="306" spans="1:14" ht="32.1" customHeight="1">
      <c r="A306" s="860"/>
      <c r="B306" s="170"/>
      <c r="C306" s="148" t="s">
        <v>339</v>
      </c>
      <c r="D306" s="268" t="s">
        <v>307</v>
      </c>
      <c r="E306" s="144" t="s">
        <v>171</v>
      </c>
      <c r="F306" s="268" t="s">
        <v>195</v>
      </c>
      <c r="G306" s="236">
        <f t="shared" si="108"/>
        <v>16</v>
      </c>
      <c r="H306" s="253">
        <f>COUNTIF(Area_v1,$C306)</f>
        <v>7</v>
      </c>
      <c r="I306" s="254">
        <f>COUNTIF(Area_v2,$C306)</f>
        <v>5</v>
      </c>
      <c r="J306" s="254">
        <f>COUNTIF(Area_v1MOM,$C306)</f>
        <v>2</v>
      </c>
      <c r="K306" s="254">
        <f>COUNTIF(Area_v4MOM,$C306)</f>
        <v>2</v>
      </c>
      <c r="L306" s="254">
        <f>COUNTIF(Area_v4PMO,$C306)</f>
        <v>0</v>
      </c>
      <c r="M306" s="255">
        <f>COUNTIF(Area_v6PMO,$C306)</f>
        <v>0</v>
      </c>
      <c r="N306" s="148" t="s">
        <v>581</v>
      </c>
    </row>
    <row r="307" spans="1:14" ht="32.1" customHeight="1">
      <c r="A307" s="860"/>
      <c r="B307" s="170"/>
      <c r="C307" s="148" t="s">
        <v>367</v>
      </c>
      <c r="D307" s="268" t="s">
        <v>308</v>
      </c>
      <c r="E307" s="144" t="s">
        <v>172</v>
      </c>
      <c r="F307" s="268" t="s">
        <v>195</v>
      </c>
      <c r="G307" s="236">
        <f t="shared" si="108"/>
        <v>2</v>
      </c>
      <c r="H307" s="253">
        <f>COUNTIF(Area_v1,$C307)</f>
        <v>1</v>
      </c>
      <c r="I307" s="254">
        <f>COUNTIF(Area_v2,$C307)</f>
        <v>1</v>
      </c>
      <c r="J307" s="254">
        <f>COUNTIF(Area_v1MOM,$C307)</f>
        <v>0</v>
      </c>
      <c r="K307" s="254">
        <f>COUNTIF(Area_v4MOM,$C307)</f>
        <v>0</v>
      </c>
      <c r="L307" s="254">
        <f>COUNTIF(Area_v4PMO,$C307)</f>
        <v>0</v>
      </c>
      <c r="M307" s="255">
        <f>COUNTIF(Area_v6PMO,$C307)</f>
        <v>0</v>
      </c>
      <c r="N307" s="148" t="s">
        <v>582</v>
      </c>
    </row>
    <row r="308" spans="1:14" ht="32.1" customHeight="1">
      <c r="A308" s="859" t="s">
        <v>1528</v>
      </c>
      <c r="B308" s="169"/>
      <c r="C308" s="147"/>
      <c r="D308" s="271" t="s">
        <v>133</v>
      </c>
      <c r="E308" s="147" t="s">
        <v>132</v>
      </c>
      <c r="F308" s="271" t="s">
        <v>259</v>
      </c>
      <c r="G308" s="242">
        <f t="shared" si="107"/>
        <v>0</v>
      </c>
      <c r="H308" s="243">
        <f>H310</f>
        <v>0</v>
      </c>
      <c r="I308" s="244">
        <f t="shared" ref="I308:M308" si="118">I310</f>
        <v>0</v>
      </c>
      <c r="J308" s="244">
        <f t="shared" si="118"/>
        <v>0</v>
      </c>
      <c r="K308" s="244">
        <f t="shared" si="118"/>
        <v>0</v>
      </c>
      <c r="L308" s="244">
        <f t="shared" si="118"/>
        <v>0</v>
      </c>
      <c r="M308" s="245">
        <f t="shared" si="118"/>
        <v>0</v>
      </c>
      <c r="N308" s="147" t="s">
        <v>538</v>
      </c>
    </row>
    <row r="309" spans="1:14" ht="32.1" customHeight="1">
      <c r="A309" s="860"/>
      <c r="B309" s="170"/>
      <c r="C309" s="160"/>
      <c r="D309" s="268" t="s">
        <v>134</v>
      </c>
      <c r="E309" s="160" t="s">
        <v>1569</v>
      </c>
      <c r="F309" s="272"/>
      <c r="G309" s="242">
        <f t="shared" si="107"/>
        <v>0</v>
      </c>
      <c r="H309" s="250">
        <f>H311</f>
        <v>0</v>
      </c>
      <c r="I309" s="251">
        <f t="shared" ref="I309:M309" si="119">I311</f>
        <v>0</v>
      </c>
      <c r="J309" s="251">
        <f t="shared" si="119"/>
        <v>0</v>
      </c>
      <c r="K309" s="251">
        <f t="shared" si="119"/>
        <v>0</v>
      </c>
      <c r="L309" s="251">
        <f t="shared" si="119"/>
        <v>0</v>
      </c>
      <c r="M309" s="252">
        <f t="shared" si="119"/>
        <v>0</v>
      </c>
      <c r="N309" s="160" t="s">
        <v>1584</v>
      </c>
    </row>
    <row r="310" spans="1:14" ht="32.1" customHeight="1">
      <c r="A310" s="860"/>
      <c r="B310" s="170"/>
      <c r="C310" s="144" t="s">
        <v>1585</v>
      </c>
      <c r="D310" s="268" t="s">
        <v>133</v>
      </c>
      <c r="E310" s="144" t="s">
        <v>260</v>
      </c>
      <c r="F310" s="268" t="s">
        <v>259</v>
      </c>
      <c r="G310" s="236">
        <f t="shared" si="107"/>
        <v>0</v>
      </c>
      <c r="H310" s="253">
        <f t="shared" ref="H310" si="120">COUNTIF(Area_v1,$C310)</f>
        <v>0</v>
      </c>
      <c r="I310" s="254">
        <f>COUNTIF(Area_v2,$C310)</f>
        <v>0</v>
      </c>
      <c r="J310" s="254">
        <f>COUNTIF(Area_v1MOM,$C310)</f>
        <v>0</v>
      </c>
      <c r="K310" s="254">
        <f>COUNTIF(Area_v4MOM,$C310)</f>
        <v>0</v>
      </c>
      <c r="L310" s="254">
        <f>COUNTIF(Area_v4PMO,$C310)</f>
        <v>0</v>
      </c>
      <c r="M310" s="255">
        <f>COUNTIF(Area_v6PMO,$C310)</f>
        <v>0</v>
      </c>
      <c r="N310" s="144" t="s">
        <v>537</v>
      </c>
    </row>
    <row r="311" spans="1:14" ht="32.1" customHeight="1">
      <c r="A311" s="860"/>
      <c r="B311" s="170"/>
      <c r="C311" s="144" t="s">
        <v>1586</v>
      </c>
      <c r="D311" s="268" t="s">
        <v>134</v>
      </c>
      <c r="E311" s="144" t="s">
        <v>1568</v>
      </c>
      <c r="F311" s="268" t="s">
        <v>195</v>
      </c>
      <c r="G311" s="236">
        <f t="shared" ref="G311:G347" si="121">SUM(H311:M311)</f>
        <v>0</v>
      </c>
      <c r="H311" s="253">
        <f t="shared" ref="H311:H318" si="122">COUNTIF(Area_v1,$C311)</f>
        <v>0</v>
      </c>
      <c r="I311" s="254">
        <f t="shared" ref="I311:I318" si="123">COUNTIF(Area_v2,$C311)</f>
        <v>0</v>
      </c>
      <c r="J311" s="254">
        <f t="shared" ref="J311:J318" si="124">COUNTIF(Area_v1MOM,$C311)</f>
        <v>0</v>
      </c>
      <c r="K311" s="254">
        <f t="shared" ref="K311:K318" si="125">COUNTIF(Area_v4MOM,$C311)</f>
        <v>0</v>
      </c>
      <c r="L311" s="254">
        <f t="shared" ref="L311:L318" si="126">COUNTIF(Area_v4PMO,$C311)</f>
        <v>0</v>
      </c>
      <c r="M311" s="255">
        <f t="shared" ref="M311:M318" si="127">COUNTIF(Area_v6PMO,$C311)</f>
        <v>0</v>
      </c>
      <c r="N311" s="144" t="s">
        <v>539</v>
      </c>
    </row>
    <row r="312" spans="1:14" ht="32.1" customHeight="1">
      <c r="A312" s="860"/>
      <c r="B312" s="170"/>
      <c r="C312" s="144" t="s">
        <v>483</v>
      </c>
      <c r="D312" s="268" t="s">
        <v>135</v>
      </c>
      <c r="E312" s="144" t="s">
        <v>262</v>
      </c>
      <c r="F312" s="268" t="s">
        <v>261</v>
      </c>
      <c r="G312" s="236">
        <f t="shared" si="121"/>
        <v>0</v>
      </c>
      <c r="H312" s="253">
        <f t="shared" si="122"/>
        <v>0</v>
      </c>
      <c r="I312" s="254">
        <f t="shared" si="123"/>
        <v>0</v>
      </c>
      <c r="J312" s="254">
        <f t="shared" si="124"/>
        <v>0</v>
      </c>
      <c r="K312" s="254">
        <f t="shared" si="125"/>
        <v>0</v>
      </c>
      <c r="L312" s="254">
        <f t="shared" si="126"/>
        <v>0</v>
      </c>
      <c r="M312" s="255">
        <f t="shared" si="127"/>
        <v>0</v>
      </c>
      <c r="N312" s="144" t="s">
        <v>548</v>
      </c>
    </row>
    <row r="313" spans="1:14" ht="32.1" customHeight="1">
      <c r="A313" s="860"/>
      <c r="B313" s="170"/>
      <c r="C313" s="144" t="s">
        <v>1587</v>
      </c>
      <c r="D313" s="268" t="s">
        <v>136</v>
      </c>
      <c r="E313" s="144" t="s">
        <v>1570</v>
      </c>
      <c r="F313" s="268" t="s">
        <v>263</v>
      </c>
      <c r="G313" s="236">
        <f t="shared" si="121"/>
        <v>0</v>
      </c>
      <c r="H313" s="253">
        <f t="shared" si="122"/>
        <v>0</v>
      </c>
      <c r="I313" s="254">
        <f t="shared" si="123"/>
        <v>0</v>
      </c>
      <c r="J313" s="254">
        <f t="shared" si="124"/>
        <v>0</v>
      </c>
      <c r="K313" s="254">
        <f t="shared" si="125"/>
        <v>0</v>
      </c>
      <c r="L313" s="254">
        <f t="shared" si="126"/>
        <v>0</v>
      </c>
      <c r="M313" s="255">
        <f t="shared" si="127"/>
        <v>0</v>
      </c>
      <c r="N313" s="144" t="s">
        <v>541</v>
      </c>
    </row>
    <row r="314" spans="1:14" ht="32.1" customHeight="1">
      <c r="A314" s="860"/>
      <c r="B314" s="170"/>
      <c r="C314" s="144" t="s">
        <v>1588</v>
      </c>
      <c r="D314" s="268" t="s">
        <v>137</v>
      </c>
      <c r="E314" s="144" t="s">
        <v>1571</v>
      </c>
      <c r="F314" s="268" t="s">
        <v>263</v>
      </c>
      <c r="G314" s="236">
        <f t="shared" si="121"/>
        <v>0</v>
      </c>
      <c r="H314" s="253">
        <f t="shared" si="122"/>
        <v>0</v>
      </c>
      <c r="I314" s="254">
        <f t="shared" si="123"/>
        <v>0</v>
      </c>
      <c r="J314" s="254">
        <f t="shared" si="124"/>
        <v>0</v>
      </c>
      <c r="K314" s="254">
        <f t="shared" si="125"/>
        <v>0</v>
      </c>
      <c r="L314" s="254">
        <f t="shared" si="126"/>
        <v>0</v>
      </c>
      <c r="M314" s="255">
        <f t="shared" si="127"/>
        <v>0</v>
      </c>
      <c r="N314" s="144" t="s">
        <v>540</v>
      </c>
    </row>
    <row r="315" spans="1:14" ht="32.1" customHeight="1">
      <c r="A315" s="860"/>
      <c r="B315" s="170"/>
      <c r="C315" s="144" t="s">
        <v>1589</v>
      </c>
      <c r="D315" s="268" t="s">
        <v>138</v>
      </c>
      <c r="E315" s="144" t="s">
        <v>1572</v>
      </c>
      <c r="F315" s="268" t="s">
        <v>264</v>
      </c>
      <c r="G315" s="236">
        <f t="shared" si="121"/>
        <v>0</v>
      </c>
      <c r="H315" s="253">
        <f>COUNTIF(Area_v1,$C315)</f>
        <v>0</v>
      </c>
      <c r="I315" s="254">
        <f t="shared" si="123"/>
        <v>0</v>
      </c>
      <c r="J315" s="254">
        <f t="shared" si="124"/>
        <v>0</v>
      </c>
      <c r="K315" s="254">
        <f t="shared" si="125"/>
        <v>0</v>
      </c>
      <c r="L315" s="254">
        <f t="shared" si="126"/>
        <v>0</v>
      </c>
      <c r="M315" s="255">
        <f t="shared" si="127"/>
        <v>0</v>
      </c>
      <c r="N315" s="144" t="s">
        <v>1591</v>
      </c>
    </row>
    <row r="316" spans="1:14" ht="32.1" customHeight="1">
      <c r="A316" s="860"/>
      <c r="B316" s="170"/>
      <c r="C316" s="144" t="s">
        <v>1590</v>
      </c>
      <c r="D316" s="268" t="s">
        <v>139</v>
      </c>
      <c r="E316" s="144" t="s">
        <v>1573</v>
      </c>
      <c r="F316" s="268" t="s">
        <v>195</v>
      </c>
      <c r="G316" s="236">
        <f t="shared" si="121"/>
        <v>0</v>
      </c>
      <c r="H316" s="253">
        <f t="shared" si="122"/>
        <v>0</v>
      </c>
      <c r="I316" s="254">
        <f t="shared" si="123"/>
        <v>0</v>
      </c>
      <c r="J316" s="254">
        <f t="shared" si="124"/>
        <v>0</v>
      </c>
      <c r="K316" s="254">
        <f t="shared" si="125"/>
        <v>0</v>
      </c>
      <c r="L316" s="254">
        <f t="shared" si="126"/>
        <v>0</v>
      </c>
      <c r="M316" s="255">
        <f t="shared" si="127"/>
        <v>0</v>
      </c>
      <c r="N316" s="144" t="s">
        <v>1592</v>
      </c>
    </row>
    <row r="317" spans="1:14" ht="32.1" customHeight="1">
      <c r="A317" s="861"/>
      <c r="B317" s="171"/>
      <c r="C317" s="146" t="s">
        <v>484</v>
      </c>
      <c r="D317" s="270" t="s">
        <v>140</v>
      </c>
      <c r="E317" s="146" t="s">
        <v>141</v>
      </c>
      <c r="F317" s="270" t="s">
        <v>265</v>
      </c>
      <c r="G317" s="241">
        <f t="shared" si="121"/>
        <v>0</v>
      </c>
      <c r="H317" s="246">
        <f t="shared" si="122"/>
        <v>0</v>
      </c>
      <c r="I317" s="247">
        <f t="shared" si="123"/>
        <v>0</v>
      </c>
      <c r="J317" s="247">
        <f t="shared" si="124"/>
        <v>0</v>
      </c>
      <c r="K317" s="247">
        <f t="shared" si="125"/>
        <v>0</v>
      </c>
      <c r="L317" s="247">
        <f t="shared" si="126"/>
        <v>0</v>
      </c>
      <c r="M317" s="248">
        <f t="shared" si="127"/>
        <v>0</v>
      </c>
      <c r="N317" s="146" t="s">
        <v>549</v>
      </c>
    </row>
    <row r="318" spans="1:14" ht="32.1" customHeight="1">
      <c r="A318" s="859" t="s">
        <v>1538</v>
      </c>
      <c r="B318" s="169"/>
      <c r="C318" s="147" t="s">
        <v>359</v>
      </c>
      <c r="D318" s="271" t="s">
        <v>145</v>
      </c>
      <c r="E318" s="147" t="s">
        <v>358</v>
      </c>
      <c r="F318" s="271" t="s">
        <v>195</v>
      </c>
      <c r="G318" s="242">
        <f t="shared" si="121"/>
        <v>0</v>
      </c>
      <c r="H318" s="243">
        <f t="shared" si="122"/>
        <v>0</v>
      </c>
      <c r="I318" s="244">
        <f t="shared" si="123"/>
        <v>0</v>
      </c>
      <c r="J318" s="244">
        <f t="shared" si="124"/>
        <v>0</v>
      </c>
      <c r="K318" s="244">
        <f t="shared" si="125"/>
        <v>0</v>
      </c>
      <c r="L318" s="244">
        <f t="shared" si="126"/>
        <v>0</v>
      </c>
      <c r="M318" s="245">
        <f t="shared" si="127"/>
        <v>0</v>
      </c>
      <c r="N318" s="147" t="s">
        <v>546</v>
      </c>
    </row>
    <row r="319" spans="1:14" ht="32.1" customHeight="1">
      <c r="A319" s="860"/>
      <c r="B319" s="170"/>
      <c r="C319" s="144" t="s">
        <v>488</v>
      </c>
      <c r="D319" s="268" t="s">
        <v>146</v>
      </c>
      <c r="E319" s="144" t="s">
        <v>268</v>
      </c>
      <c r="F319" s="268" t="s">
        <v>267</v>
      </c>
      <c r="G319" s="236">
        <f t="shared" si="121"/>
        <v>277</v>
      </c>
      <c r="H319" s="253">
        <f>COUNTIF(Area_v1,"RW1")+COUNTIF(Area_v1,"RW2")*2</f>
        <v>118</v>
      </c>
      <c r="I319" s="254">
        <f>COUNTIF(Area_v2,"RW1")+COUNTIF(Area_v2,"RW2")*2</f>
        <v>116</v>
      </c>
      <c r="J319" s="254">
        <f>COUNTIF(Area_v1MOM,"RW1")+COUNTIF(Area_v1MOM,"RW2")*2</f>
        <v>9</v>
      </c>
      <c r="K319" s="254">
        <f>COUNTIF(Area_v4MOM,"RW1")+COUNTIF(Area_v4MOM,"RW2")*2</f>
        <v>8</v>
      </c>
      <c r="L319" s="254">
        <f>COUNTIF(Area_v4PMO,"RW1")+COUNTIF(Area_v4PMO,"RW2")*2</f>
        <v>16</v>
      </c>
      <c r="M319" s="255">
        <f>COUNTIF(Area_v6PMO,"RW1")+COUNTIF(Area_v6PMO,"RW2")*2</f>
        <v>10</v>
      </c>
      <c r="N319" s="144" t="s">
        <v>547</v>
      </c>
    </row>
    <row r="320" spans="1:14" ht="32.1" customHeight="1">
      <c r="A320" s="860"/>
      <c r="B320" s="174" t="s">
        <v>622</v>
      </c>
      <c r="C320" s="144" t="s">
        <v>482</v>
      </c>
      <c r="D320" s="268" t="s">
        <v>147</v>
      </c>
      <c r="E320" s="144" t="s">
        <v>360</v>
      </c>
      <c r="F320" s="268" t="s">
        <v>269</v>
      </c>
      <c r="G320" s="236">
        <f t="shared" si="121"/>
        <v>30</v>
      </c>
      <c r="H320" s="253">
        <f>COUNTIF(Area_v1,$C320)</f>
        <v>9</v>
      </c>
      <c r="I320" s="254">
        <f>COUNTIF(Area_v2,$C320)</f>
        <v>13</v>
      </c>
      <c r="J320" s="254">
        <f>COUNTIF(Area_v1MOM,$C320)</f>
        <v>0</v>
      </c>
      <c r="K320" s="254">
        <f>COUNTIF(Area_v4MOM,$C320)</f>
        <v>0</v>
      </c>
      <c r="L320" s="254">
        <f>COUNTIF(Area_v4PMO,$C320)</f>
        <v>4</v>
      </c>
      <c r="M320" s="255">
        <f>COUNTIF(Area_v6PMO,$C320)</f>
        <v>4</v>
      </c>
      <c r="N320" s="144" t="s">
        <v>550</v>
      </c>
    </row>
    <row r="321" spans="1:14" ht="32.1" customHeight="1">
      <c r="A321" s="860"/>
      <c r="B321" s="170"/>
      <c r="C321" s="144" t="s">
        <v>620</v>
      </c>
      <c r="D321" s="268" t="s">
        <v>148</v>
      </c>
      <c r="E321" s="144" t="s">
        <v>619</v>
      </c>
      <c r="F321" s="268" t="s">
        <v>267</v>
      </c>
      <c r="G321" s="236">
        <f t="shared" si="121"/>
        <v>154</v>
      </c>
      <c r="H321" s="253">
        <f>COUNTIF(Area_v1,"RW1T-S")+COUNTIF(Area_v1,"RW2T-SC")+COUNTIF(Area_v1,"RW2T-S")*2</f>
        <v>59</v>
      </c>
      <c r="I321" s="254">
        <f>COUNTIF(Area_v2,"RW1T-S")+COUNTIF(Area_v2,"RW2T-SC")+COUNTIF(Area_v2,"RW2T-S")*2</f>
        <v>65</v>
      </c>
      <c r="J321" s="254">
        <f>COUNTIF(Area_v1MOM,"RW1T-S")+COUNTIF(Area_v1MOM,"RW2T-SC")+COUNTIF(Area_v1MOM,"RW2T-S")*2</f>
        <v>5</v>
      </c>
      <c r="K321" s="254">
        <f>COUNTIF(Area_v4MOM,"RW1T-S")+COUNTIF(Area_v4MOM,"RW2T-SC")+COUNTIF(Area_v4MOM,"RW2T-S")*2</f>
        <v>19</v>
      </c>
      <c r="L321" s="254">
        <f>COUNTIF(Area_v4PMO,"RW1T-S")+COUNTIF(Area_v4PMO,"RW2T-SC")+COUNTIF(Area_v4PMO,"RW2T-S")*2</f>
        <v>6</v>
      </c>
      <c r="M321" s="255">
        <f>COUNTIF(Area_v6PMO,"RW1T-S")+COUNTIF(Area_v6PMO,"RW2T-SC")+COUNTIF(Area_v6PMO,"RW2T-S")*2</f>
        <v>0</v>
      </c>
      <c r="N321" s="144" t="s">
        <v>639</v>
      </c>
    </row>
    <row r="322" spans="1:14" ht="32.1" customHeight="1">
      <c r="A322" s="860"/>
      <c r="B322" s="170"/>
      <c r="C322" s="144" t="s">
        <v>1629</v>
      </c>
      <c r="D322" s="268" t="s">
        <v>621</v>
      </c>
      <c r="E322" s="144" t="s">
        <v>618</v>
      </c>
      <c r="F322" s="268"/>
      <c r="G322" s="236">
        <f>SUM(H322:M322)</f>
        <v>0</v>
      </c>
      <c r="H322" s="253">
        <f>COUNTIF(Area_v1,"RW1T-C")+COUNTIF(Area_v1,"RW2T-SC")+COUNTIF(Area_v1,"RW2T-C")*2</f>
        <v>0</v>
      </c>
      <c r="I322" s="254">
        <f>COUNTIF(Area_v2,"RW1T-C")+COUNTIF(Area_v2,"RW2T-SC")+COUNTIF(Area_v2,"RW2T-C")*2</f>
        <v>0</v>
      </c>
      <c r="J322" s="254">
        <f>COUNTIF(Area_v1MOM,"RW1T-C")+COUNTIF(Area_v1MOM,"RW2T-SC")+COUNTIF(Area_v1MOM,"RW2T-C")*2</f>
        <v>0</v>
      </c>
      <c r="K322" s="254">
        <f>COUNTIF(Area_v4MOM,"RW1T-C")+COUNTIF(Area_v4MOM,"RW2T-SC")+COUNTIF(Area_v4MOM,"RW2T-C")*2</f>
        <v>0</v>
      </c>
      <c r="L322" s="254">
        <f>COUNTIF(Area_v4PMO,"RW1T-C")+COUNTIF(Area_v4PMO,"RW2T-SC")+COUNTIF(Area_v4PMO,"RW2T-C")*2</f>
        <v>0</v>
      </c>
      <c r="M322" s="255">
        <f>COUNTIF(Area_v6PMO,"RW1T-C")+COUNTIF(Area_v6PMO,"RW2T-SC")+COUNTIF(Area_v6PMO,"RW2T-C")*2</f>
        <v>0</v>
      </c>
      <c r="N322" s="144" t="s">
        <v>640</v>
      </c>
    </row>
    <row r="323" spans="1:14" ht="32.1" customHeight="1">
      <c r="A323" s="860"/>
      <c r="B323" s="170"/>
      <c r="C323" s="282" t="s">
        <v>1705</v>
      </c>
      <c r="D323" s="283"/>
      <c r="E323" s="144" t="s">
        <v>1630</v>
      </c>
      <c r="F323" s="283"/>
      <c r="G323" s="236">
        <f>SUM(H323:M323)</f>
        <v>29</v>
      </c>
      <c r="H323" s="285">
        <f>COUNTIF(Area_v1,"RW1-P")+COUNTIF(Area_v1,"RW2-P")*2</f>
        <v>6</v>
      </c>
      <c r="I323" s="286">
        <f>COUNTIF(Area_v2,"RW1-P")+COUNTIF(Area_v2,"RW2-P")*2</f>
        <v>6</v>
      </c>
      <c r="J323" s="286">
        <f>COUNTIF(Area_v1MOM,"RW1-P")+COUNTIF(Area_v1MOM,"RW-P")*2</f>
        <v>0</v>
      </c>
      <c r="K323" s="286">
        <f>COUNTIF(Area_v4MOM,"RW1-P")+COUNTIF(Area_v4MOM,"RW2-P")*2</f>
        <v>0</v>
      </c>
      <c r="L323" s="286">
        <f>COUNTIF(Area_v4PMO,"RW1-P")+COUNTIF(Area_v4PMO,"RW2-P")*2</f>
        <v>9</v>
      </c>
      <c r="M323" s="287">
        <f>COUNTIF(Area_v6PMO,"RW1-P")+COUNTIF(Area_v6PMO,"RW2-P")*2</f>
        <v>8</v>
      </c>
      <c r="N323" s="144" t="s">
        <v>1631</v>
      </c>
    </row>
    <row r="324" spans="1:14" ht="32.1" customHeight="1">
      <c r="A324" s="861"/>
      <c r="B324" s="175" t="s">
        <v>623</v>
      </c>
      <c r="C324" s="146" t="s">
        <v>485</v>
      </c>
      <c r="D324" s="270" t="s">
        <v>149</v>
      </c>
      <c r="E324" s="146" t="s">
        <v>362</v>
      </c>
      <c r="F324" s="270" t="s">
        <v>270</v>
      </c>
      <c r="G324" s="241">
        <f t="shared" si="121"/>
        <v>32</v>
      </c>
      <c r="H324" s="246">
        <f>COUNTIF(Area_v1,$C324)*2</f>
        <v>10</v>
      </c>
      <c r="I324" s="247">
        <f>COUNTIF(Area_v2,$C324)*2</f>
        <v>12</v>
      </c>
      <c r="J324" s="247">
        <f>COUNTIF(Area_v1MOM,$C324)*2</f>
        <v>6</v>
      </c>
      <c r="K324" s="247">
        <f>COUNTIF(Area_v4MOM,$C324)*2</f>
        <v>4</v>
      </c>
      <c r="L324" s="247">
        <f>COUNTIF(Area_v4PMO,$C324)*2</f>
        <v>0</v>
      </c>
      <c r="M324" s="248">
        <f>COUNTIF(Area_v6PMO,$C324)*2</f>
        <v>0</v>
      </c>
      <c r="N324" s="146" t="s">
        <v>551</v>
      </c>
    </row>
    <row r="325" spans="1:14" ht="32.1" customHeight="1">
      <c r="A325" s="888" t="s">
        <v>1529</v>
      </c>
      <c r="B325" s="289" t="s">
        <v>830</v>
      </c>
      <c r="C325" s="147" t="s">
        <v>1632</v>
      </c>
      <c r="D325" s="271" t="s">
        <v>159</v>
      </c>
      <c r="E325" s="147" t="s">
        <v>7</v>
      </c>
      <c r="F325" s="271">
        <v>6680</v>
      </c>
      <c r="G325" s="242">
        <f t="shared" si="121"/>
        <v>2</v>
      </c>
      <c r="H325" s="243">
        <f>COUNTIF(Area_S1,"DISC/NS")+COUNTIF(Area_S1,"DISC/IO*")+COUNTIF(Area_S1,"DISC/PP*")+COUNTIF(Area_S1,"DISC/SI*")</f>
        <v>0</v>
      </c>
      <c r="I325" s="244">
        <f>COUNTIF(Area_S2,"DISC/NS")+COUNTIF(Area_S2,"DISC/IO*")+COUNTIF(Area_S2,"DISC/PP*")+COUNTIF(Area_S2,"DISC/SI*")</f>
        <v>0</v>
      </c>
      <c r="J325" s="244">
        <f>COUNTIF(Area_S1MOM,"DISC/NS")+COUNTIF(Area_S1MOM,"DISC/IO*")+COUNTIF(Area_S1MOM,"DISC/PP*")+COUNTIF(Area_S1MOM,"DISC/SI*")</f>
        <v>0</v>
      </c>
      <c r="K325" s="244">
        <f>COUNTIF(Area_S4MOM,"DISC/NS")+COUNTIF(Area_S4MOM,"DISC/IO*")+COUNTIF(Area_S4MOM,"DISC/PP*")+COUNTIF(Area_S4MOM,"DISC/SI*")</f>
        <v>0</v>
      </c>
      <c r="L325" s="244">
        <f>COUNTIF(Area_S4PMO,"DISC/NS")+COUNTIF(Area_S4PMO,"DISC/IO*")+COUNTIF(Area_S4PMO,"DISC/PP*")+COUNTIF(Area_S4PMO,"DISC/SI*")</f>
        <v>1</v>
      </c>
      <c r="M325" s="245">
        <f>COUNTIF(Area_S6PMO,"DISC/NS")+COUNTIF(Area_S6PMO,"DISC/IO*")+COUNTIF(Area_S6PMO,"DISC/PP*")+COUNTIF(Area_S6PMO,"DISC/SI*")</f>
        <v>1</v>
      </c>
      <c r="N325" s="147" t="s">
        <v>560</v>
      </c>
    </row>
    <row r="326" spans="1:14" ht="32.1" customHeight="1">
      <c r="A326" s="889"/>
      <c r="B326" s="174" t="s">
        <v>373</v>
      </c>
      <c r="C326" s="144" t="s">
        <v>718</v>
      </c>
      <c r="D326" s="268" t="s">
        <v>159</v>
      </c>
      <c r="E326" s="144" t="s">
        <v>7</v>
      </c>
      <c r="F326" s="268">
        <v>6680</v>
      </c>
      <c r="G326" s="236">
        <f t="shared" si="121"/>
        <v>0</v>
      </c>
      <c r="H326" s="253">
        <f>COUNTIF(Area_S1,"FS-1")+COUNTIF(Area_S1,"FS/PP-2")*2+COUNTIF(Area_S1,"FS/PP-3")*2</f>
        <v>0</v>
      </c>
      <c r="I326" s="254">
        <f>COUNTIF(Area_S2,"FS-1")+COUNTIF(Area_S2,"FS/PP-2")*2+COUNTIF(Area_S2,"FS/PP-3")*2</f>
        <v>0</v>
      </c>
      <c r="J326" s="254">
        <f>COUNTIF(Area_S1MOM,"FS-1")+COUNTIF(Area_S1MOM,"FS/PP-2")*2+COUNTIF(Area_S1MOM,"FS/PP-3")*2</f>
        <v>0</v>
      </c>
      <c r="K326" s="254">
        <f>COUNTIF(Area_S4MOM,"FS-1")+COUNTIF(Area_S4MOM,"FS/PP-2")*2+COUNTIF(Area_S4MOM,"FS/PP-3")*2</f>
        <v>0</v>
      </c>
      <c r="L326" s="254">
        <f>COUNTIF(Area_S4PMO,"FS-1")+COUNTIF(Area_S4PMO,"FS/PP-2")*2+COUNTIF(Area_S4PMO,"FS/PP-3")*2</f>
        <v>0</v>
      </c>
      <c r="M326" s="255">
        <f>COUNTIF(Area_S6PMO,"FS-1")+COUNTIF(Area_S6PMO,"FS/PP-2")*2+COUNTIF(Area_S6PMO,"FS/PP-3")*2</f>
        <v>0</v>
      </c>
      <c r="N326" s="144"/>
    </row>
    <row r="327" spans="1:14" ht="32.1" customHeight="1">
      <c r="A327" s="889"/>
      <c r="B327" s="170"/>
      <c r="C327" s="144" t="s">
        <v>1633</v>
      </c>
      <c r="D327" s="268" t="s">
        <v>160</v>
      </c>
      <c r="E327" s="144" t="s">
        <v>8</v>
      </c>
      <c r="F327" s="268">
        <v>6682</v>
      </c>
      <c r="G327" s="236">
        <f t="shared" si="121"/>
        <v>15</v>
      </c>
      <c r="H327" s="253">
        <f>COUNTIF(Area_S1,"LoadB")+COUNTIF(Area_S1,"LoadB/t*")+COUNTIF(Area_S1,"LoadB/IO*")+COUNTIF(Area_S1,"LoadB/NS*")</f>
        <v>6</v>
      </c>
      <c r="I327" s="254">
        <f>COUNTIF(Area_S2,"LoadB")+COUNTIF(Area_S2,"LoadB/t*")+COUNTIF(Area_S2,"LoadB/IO*")+COUNTIF(Area_S2,"LoadB/NS*")</f>
        <v>5</v>
      </c>
      <c r="J327" s="254">
        <f>COUNTIF(Area_S1MOM,"LoadB")+COUNTIF(Area_S1MOM,"LoadB/t*")+COUNTIF(Area_S1MOM,"LoadB/IO*")+COUNTIF(Area_S1MOM,"LoadB/NS*")</f>
        <v>1</v>
      </c>
      <c r="K327" s="254">
        <f>COUNTIF(Area_S4MOM,"LoadB")+COUNTIF(Area_S4MOM,"LoadB/t*")+COUNTIF(Area_S4MOM,"LoadB/IO*")+COUNTIF(Area_S4MOM,"LoadB/NS*")</f>
        <v>1</v>
      </c>
      <c r="L327" s="254">
        <f>COUNTIF(Area_S4PMO,"LoadB")+COUNTIF(Area_S4PMO,"LoadB/t*")+COUNTIF(Area_S4PMO,"LoadB/IO*")+COUNTIF(Area_S4PMO,"LoadB/NS*")</f>
        <v>1</v>
      </c>
      <c r="M327" s="255">
        <f>COUNTIF(Area_S6PMO,"LoadB")+COUNTIF(Area_S6PMO,"LoadB/t*")+COUNTIF(Area_S6PMO,"LoadB/IO*")+COUNTIF(Area_S6PMO,"LoadB/NS*")</f>
        <v>1</v>
      </c>
      <c r="N327" s="144" t="s">
        <v>564</v>
      </c>
    </row>
    <row r="328" spans="1:14" ht="32.1" customHeight="1">
      <c r="A328" s="889"/>
      <c r="B328" s="174" t="s">
        <v>373</v>
      </c>
      <c r="C328" s="144" t="s">
        <v>848</v>
      </c>
      <c r="D328" s="268" t="s">
        <v>160</v>
      </c>
      <c r="E328" s="144" t="s">
        <v>8</v>
      </c>
      <c r="F328" s="268">
        <v>6682</v>
      </c>
      <c r="G328" s="236">
        <f t="shared" si="121"/>
        <v>0</v>
      </c>
      <c r="H328" s="253">
        <f>COUNTIF(Area_S1,"LoadB/PP*")+COUNTIF(Area_S1,"PP-2")+COUNTIF(Area_S1,"PP-4")*5+COUNTIF(Area_S1,"FS/PP-2")+COUNTIF(Area_S1,"FS/PP-3")*3</f>
        <v>0</v>
      </c>
      <c r="I328" s="254">
        <f>COUNTIF(Area_S2,"LoadB/PP*")+COUNTIF(Area_S2,"PP-2")+COUNTIF(Area_S2,"PP-4")*5+COUNTIF(Area_S2,"FS/PP-2")+COUNTIF(Area_S2,"FS/PP-3")*3</f>
        <v>0</v>
      </c>
      <c r="J328" s="254">
        <f>COUNTIF(Area_S1MOM,"LoadB/PP*")+COUNTIF(Area_S1MOM,"PP-2")+COUNTIF(Area_S1MOM,"PP-4")*5+COUNTIF(Area_S1MOM,"FS/PP-2")+COUNTIF(Area_S1MOM,"FS/PP-3")*3</f>
        <v>0</v>
      </c>
      <c r="K328" s="254">
        <f>COUNTIF(Area_S4MOM,"LoadB/PP*")+COUNTIF(Area_S4MOM,"PP-2")+COUNTIF(Area_S4MOM,"PP-4")*5+COUNTIF(Area_S4MOM,"FS/PP-2")+COUNTIF(Area_S4MOM,"FS/PP-3")*3</f>
        <v>0</v>
      </c>
      <c r="L328" s="254">
        <f>COUNTIF(Area_S4PMO,"LoadB/PP*")+COUNTIF(Area_S4PMO,"PP-2")+COUNTIF(Area_S4PMO,"PP-4")*5+COUNTIF(Area_S4PMO,"FS/PP-2")+COUNTIF(Area_S4PMO,"FS/PP-3")*3</f>
        <v>0</v>
      </c>
      <c r="M328" s="255">
        <f>COUNTIF(Area_S6PMO,"LoadB/PP*")+COUNTIF(Area_S6PMO,"PP-2")+COUNTIF(Area_S6PMO,"PP-4")*5+COUNTIF(Area_S6PMO,"FS/PP-2")+COUNTIF(Area_S6PMO,"FS/PP-3")*3</f>
        <v>0</v>
      </c>
      <c r="N328" s="144"/>
    </row>
    <row r="329" spans="1:14" ht="32.1" customHeight="1">
      <c r="A329" s="889"/>
      <c r="B329" s="170"/>
      <c r="C329" s="144" t="s">
        <v>372</v>
      </c>
      <c r="D329" s="268" t="s">
        <v>161</v>
      </c>
      <c r="E329" s="144" t="s">
        <v>281</v>
      </c>
      <c r="F329" s="268" t="s">
        <v>195</v>
      </c>
      <c r="G329" s="236">
        <f t="shared" si="121"/>
        <v>0</v>
      </c>
      <c r="H329" s="253">
        <f>COUNTIF(Area_S1,$C329)</f>
        <v>0</v>
      </c>
      <c r="I329" s="254">
        <f>COUNTIF(Area_S2,$C329)</f>
        <v>0</v>
      </c>
      <c r="J329" s="254">
        <f>COUNTIF(Area_S1MOM,$C329)</f>
        <v>0</v>
      </c>
      <c r="K329" s="254">
        <f>COUNTIF(Area_S4MOM,$C329)</f>
        <v>0</v>
      </c>
      <c r="L329" s="254">
        <f>COUNTIF(Area_S4PMO,$C329)</f>
        <v>0</v>
      </c>
      <c r="M329" s="255">
        <f>COUNTIF(Area_S6PMO,$C329)</f>
        <v>0</v>
      </c>
      <c r="N329" s="144" t="s">
        <v>565</v>
      </c>
    </row>
    <row r="330" spans="1:14" ht="32.1" customHeight="1">
      <c r="A330" s="889"/>
      <c r="B330" s="170"/>
      <c r="C330" s="144" t="s">
        <v>748</v>
      </c>
      <c r="D330" s="268" t="s">
        <v>162</v>
      </c>
      <c r="E330" s="144" t="s">
        <v>625</v>
      </c>
      <c r="F330" s="268">
        <v>6173</v>
      </c>
      <c r="G330" s="236">
        <f t="shared" si="121"/>
        <v>6</v>
      </c>
      <c r="H330" s="253">
        <f>COUNTIF(Area_S1,"ED")+COUNTIF(Area_S1,"ED/T")</f>
        <v>2</v>
      </c>
      <c r="I330" s="254">
        <f>COUNTIF(Area_S2,"ED")+COUNTIF(Area_S2,"ED/T")</f>
        <v>2</v>
      </c>
      <c r="J330" s="254">
        <f>COUNTIF(Area_S1MOM,"ED")+COUNTIF(Area_S1MOM,"ED/T")</f>
        <v>1</v>
      </c>
      <c r="K330" s="254">
        <f>COUNTIF(Area_S4MOM,"ED")+COUNTIF(Area_S4MOM,"ED/T")</f>
        <v>1</v>
      </c>
      <c r="L330" s="254">
        <f>COUNTIF(Area_S4PMO,"ED")+COUNTIF(Area_S4PMO,"ED/T")</f>
        <v>0</v>
      </c>
      <c r="M330" s="255">
        <f>COUNTIF(Area_S6PMO,"ED")+COUNTIF(Area_S6PMO,"ED/T")</f>
        <v>0</v>
      </c>
      <c r="N330" s="144" t="s">
        <v>638</v>
      </c>
    </row>
    <row r="331" spans="1:14" ht="32.1" customHeight="1">
      <c r="A331" s="889"/>
      <c r="B331" s="170"/>
      <c r="C331" s="288" t="s">
        <v>592</v>
      </c>
      <c r="D331" s="272" t="s">
        <v>301</v>
      </c>
      <c r="E331" s="160" t="s">
        <v>9</v>
      </c>
      <c r="F331" s="272">
        <v>6684</v>
      </c>
      <c r="G331" s="249">
        <f>SUM(H331:M331)</f>
        <v>0</v>
      </c>
      <c r="H331" s="250">
        <f>+COUNTIF(Area_S1,$C331)</f>
        <v>0</v>
      </c>
      <c r="I331" s="251">
        <f>COUNTIF(Area_S2,$C331)</f>
        <v>0</v>
      </c>
      <c r="J331" s="251">
        <f>COUNTIF(Area_S1MOM,$C331)</f>
        <v>0</v>
      </c>
      <c r="K331" s="251">
        <f>COUNTIF(Area_S4MOM,$C331)</f>
        <v>0</v>
      </c>
      <c r="L331" s="251">
        <f>COUNTIF(Area_S4PMO,$C331)</f>
        <v>0</v>
      </c>
      <c r="M331" s="252">
        <f>COUNTIF(Area_S6PMO,$C331)</f>
        <v>0</v>
      </c>
      <c r="N331" s="288" t="s">
        <v>562</v>
      </c>
    </row>
    <row r="332" spans="1:14" ht="32.1" customHeight="1">
      <c r="A332" s="889"/>
      <c r="B332" s="170"/>
      <c r="C332" s="144" t="s">
        <v>595</v>
      </c>
      <c r="D332" s="268" t="s">
        <v>302</v>
      </c>
      <c r="E332" s="144" t="s">
        <v>303</v>
      </c>
      <c r="F332" s="268"/>
      <c r="G332" s="236">
        <f>SUM(H332:M332)</f>
        <v>6</v>
      </c>
      <c r="H332" s="253">
        <f>COUNTIF(Area_S1,$C332)</f>
        <v>3</v>
      </c>
      <c r="I332" s="254">
        <f>COUNTIF(Area_S2,$C332)</f>
        <v>1</v>
      </c>
      <c r="J332" s="254">
        <f>COUNTIF(Area_S1MOM,$C332)</f>
        <v>1</v>
      </c>
      <c r="K332" s="254">
        <f>COUNTIF(Area_S4MOM,$C332)</f>
        <v>1</v>
      </c>
      <c r="L332" s="254">
        <f>COUNTIF(Area_S4PMO,$C332)</f>
        <v>0</v>
      </c>
      <c r="M332" s="255">
        <f>COUNTIF(Area_S6PMO,$C332)</f>
        <v>0</v>
      </c>
      <c r="N332" s="144" t="s">
        <v>563</v>
      </c>
    </row>
    <row r="333" spans="1:14" ht="32.1" customHeight="1">
      <c r="A333" s="889"/>
      <c r="B333" s="170"/>
      <c r="C333" s="144" t="s">
        <v>730</v>
      </c>
      <c r="D333" s="268" t="s">
        <v>835</v>
      </c>
      <c r="E333" s="144" t="s">
        <v>785</v>
      </c>
      <c r="F333" s="268"/>
      <c r="G333" s="236">
        <f>SUM(H333:M333)</f>
        <v>2</v>
      </c>
      <c r="H333" s="253">
        <f>COUNTIF(Area_S1,$C333)</f>
        <v>1</v>
      </c>
      <c r="I333" s="254">
        <f>COUNTIF(Area_S2,$C333)</f>
        <v>1</v>
      </c>
      <c r="J333" s="254">
        <f>COUNTIF(Area_S1MOM,$C333)</f>
        <v>0</v>
      </c>
      <c r="K333" s="254">
        <f>COUNTIF(Area_S4MOM,$C333)</f>
        <v>0</v>
      </c>
      <c r="L333" s="254">
        <f>COUNTIF(Area_S4PMO,$C333)</f>
        <v>0</v>
      </c>
      <c r="M333" s="255">
        <f>COUNTIF(Area_S6PMO,$C333)</f>
        <v>0</v>
      </c>
      <c r="N333" s="144" t="s">
        <v>729</v>
      </c>
    </row>
    <row r="334" spans="1:14" ht="32.1" customHeight="1">
      <c r="A334" s="889"/>
      <c r="B334" s="170"/>
      <c r="C334" s="144" t="s">
        <v>371</v>
      </c>
      <c r="D334" s="268" t="s">
        <v>466</v>
      </c>
      <c r="E334" s="144" t="s">
        <v>853</v>
      </c>
      <c r="F334" s="268">
        <v>6172</v>
      </c>
      <c r="G334" s="236">
        <f t="shared" si="121"/>
        <v>0</v>
      </c>
      <c r="H334" s="253">
        <f>COUNTIF(Area_S1,$C334)</f>
        <v>0</v>
      </c>
      <c r="I334" s="254">
        <f>COUNTIF(Area_S2,$C334)</f>
        <v>0</v>
      </c>
      <c r="J334" s="254">
        <f>COUNTIF(Area_S1MOM,$C334)</f>
        <v>0</v>
      </c>
      <c r="K334" s="254">
        <f>COUNTIF(Area_S4MOM,$C334)</f>
        <v>0</v>
      </c>
      <c r="L334" s="254">
        <f>COUNTIF(Area_S4PMO,$C334)</f>
        <v>0</v>
      </c>
      <c r="M334" s="255">
        <f>COUNTIF(Area_S6PMO,$C334)</f>
        <v>0</v>
      </c>
      <c r="N334" s="144" t="s">
        <v>561</v>
      </c>
    </row>
    <row r="335" spans="1:14" ht="32.1" customHeight="1">
      <c r="A335" s="889"/>
      <c r="B335" s="170"/>
      <c r="C335" s="144" t="s">
        <v>1634</v>
      </c>
      <c r="D335" s="268" t="s">
        <v>164</v>
      </c>
      <c r="E335" s="144" t="s">
        <v>840</v>
      </c>
      <c r="F335" s="268" t="s">
        <v>282</v>
      </c>
      <c r="G335" s="236">
        <f t="shared" si="121"/>
        <v>2</v>
      </c>
      <c r="H335" s="253">
        <f>COUNTIF(Area_S1,"DISC/NS")+COUNTIF(Area_S1,"DISC/IO*")+COUNTIF(Area_S1,"DISC/PP*")+COUNTIF(Area_S1,"DISC/SI*")</f>
        <v>0</v>
      </c>
      <c r="I335" s="254">
        <f>COUNTIF(Area_S2,"DISC/NS")+COUNTIF(Area_S2,"DISC/IO*")+COUNTIF(Area_S2,"DISC/PP*")+COUNTIF(Area_S2,"DISC/SI*")</f>
        <v>0</v>
      </c>
      <c r="J335" s="254">
        <f>COUNTIF(Area_S1MOM,"DISC/NS")+COUNTIF(Area_S1MOM,"DISC/IO*")+COUNTIF(Area_S1MOM,"DISC/PP*")+COUNTIF(Area_S1MOM,"DISC/SI*")</f>
        <v>0</v>
      </c>
      <c r="K335" s="254">
        <f>COUNTIF(Area_S4MOM,"DISC/NS")+COUNTIF(Area_S4MOM,"DISC/IO*")+COUNTIF(Area_S4MOM,"DISC/PP*")+COUNTIF(Area_S4MOM,"DISC/SI*")</f>
        <v>0</v>
      </c>
      <c r="L335" s="254">
        <f>COUNTIF(Area_S4PMO,"DISC/NS")+COUNTIF(Area_S4PMO,"DISC/IO*")+COUNTIF(Area_S4PMO,"DISC/PP*")+COUNTIF(Area_S4PMO,"DISC/SI*")</f>
        <v>1</v>
      </c>
      <c r="M335" s="255">
        <f>COUNTIF(Area_S6PMO,"DISC/NS")+COUNTIF(Area_S6PMO,"DISC/IO*")+COUNTIF(Area_S6PMO,"DISC/PP*")+COUNTIF(Area_S6PMO,"DISC/SI*")</f>
        <v>1</v>
      </c>
      <c r="N335" s="144" t="s">
        <v>566</v>
      </c>
    </row>
    <row r="336" spans="1:14" ht="32.1" customHeight="1">
      <c r="A336" s="889"/>
      <c r="B336" s="170"/>
      <c r="C336" s="144" t="s">
        <v>1161</v>
      </c>
      <c r="D336" s="268" t="s">
        <v>849</v>
      </c>
      <c r="E336" s="144" t="s">
        <v>841</v>
      </c>
      <c r="F336" s="268"/>
      <c r="G336" s="236">
        <f t="shared" si="121"/>
        <v>2</v>
      </c>
      <c r="H336" s="253">
        <f>+COUNTIF(Area_S1,"DISC/IO-pr")+COUNTIF(Area_S1,"DISC/PP-pr")+COUNTIF(Area_S1,"DISC-pr")</f>
        <v>0</v>
      </c>
      <c r="I336" s="254">
        <f>+COUNTIF(Area_S2,"DISC/IO-pr")+COUNTIF(Area_S2,"DISC/PP-pr")+COUNTIF(Area_S2,"DISC-pr")</f>
        <v>0</v>
      </c>
      <c r="J336" s="254">
        <f>+COUNTIF(Area_S1MOM,"DISC/IO-pr")+COUNTIF(Area_S1MOM,"DISC/PP-pr")+COUNTIF(Area_S1MOM,"DISC-pr")</f>
        <v>0</v>
      </c>
      <c r="K336" s="254">
        <f>+COUNTIF(Area_S4MOM,"DISC/IO-pr")+COUNTIF(Area_S4MOM,"DISC/PP-pr")+COUNTIF(Area_S4MOM,"DISC-pr")</f>
        <v>0</v>
      </c>
      <c r="L336" s="254">
        <f>+COUNTIF(Area_S4PMO,"DISC/IO-pr")+COUNTIF(Area_S4PMO,"DISC/PP-pr")+COUNTIF(Area_S4PMO,"DISC-pr")</f>
        <v>1</v>
      </c>
      <c r="M336" s="255">
        <f>+COUNTIF(Area_S6PMO,"DISC/IO-pr")+COUNTIF(Area_S6PMO,"DISC/PP-pr")+COUNTIF(Area_S6PMO,"DISC-pr")</f>
        <v>1</v>
      </c>
      <c r="N336" s="144" t="s">
        <v>846</v>
      </c>
    </row>
    <row r="337" spans="1:14" ht="32.1" customHeight="1">
      <c r="A337" s="889"/>
      <c r="B337" s="170"/>
      <c r="C337" s="144" t="s">
        <v>750</v>
      </c>
      <c r="D337" s="268" t="s">
        <v>850</v>
      </c>
      <c r="E337" s="144" t="s">
        <v>842</v>
      </c>
      <c r="F337" s="268"/>
      <c r="G337" s="236">
        <f t="shared" si="121"/>
        <v>0</v>
      </c>
      <c r="H337" s="253">
        <f>COUNTIF(Area_S1,$C337)</f>
        <v>0</v>
      </c>
      <c r="I337" s="254">
        <f>COUNTIF(Area_S2,$C337)</f>
        <v>0</v>
      </c>
      <c r="J337" s="254">
        <f>COUNTIF(Area_S1MOM,$C337)</f>
        <v>0</v>
      </c>
      <c r="K337" s="254">
        <f>COUNTIF(Area_S4MOM,$C337)</f>
        <v>0</v>
      </c>
      <c r="L337" s="254">
        <f>COUNTIF(Area_S4PMO,$C337)</f>
        <v>0</v>
      </c>
      <c r="M337" s="255">
        <f>COUNTIF(Area_S6PMO,$C337)</f>
        <v>0</v>
      </c>
      <c r="N337" s="144" t="s">
        <v>844</v>
      </c>
    </row>
    <row r="338" spans="1:14" ht="32.1" customHeight="1">
      <c r="A338" s="889"/>
      <c r="B338" s="170"/>
      <c r="C338" s="144" t="s">
        <v>1162</v>
      </c>
      <c r="D338" s="268"/>
      <c r="E338" s="144" t="s">
        <v>1163</v>
      </c>
      <c r="F338" s="268"/>
      <c r="G338" s="236">
        <f t="shared" si="121"/>
        <v>11</v>
      </c>
      <c r="H338" s="253">
        <f>COUNTIF(Area_S1,$C338)</f>
        <v>5</v>
      </c>
      <c r="I338" s="254">
        <f>COUNTIF(Area_S2,$C338)</f>
        <v>4</v>
      </c>
      <c r="J338" s="254">
        <f>COUNTIF(Area_S1MOM,$C338)</f>
        <v>0</v>
      </c>
      <c r="K338" s="254">
        <f>COUNTIF(Area_S4MOM,$C338)</f>
        <v>0</v>
      </c>
      <c r="L338" s="254">
        <f>COUNTIF(Area_S4PMO,$C338)</f>
        <v>1</v>
      </c>
      <c r="M338" s="255">
        <f>COUNTIF(Area_S6PMO,$C338)</f>
        <v>1</v>
      </c>
      <c r="N338" s="144"/>
    </row>
    <row r="339" spans="1:14" ht="32.1" customHeight="1">
      <c r="A339" s="889"/>
      <c r="B339" s="170"/>
      <c r="C339" s="144" t="s">
        <v>1164</v>
      </c>
      <c r="D339" s="268"/>
      <c r="E339" s="144" t="s">
        <v>1165</v>
      </c>
      <c r="F339" s="268"/>
      <c r="G339" s="236">
        <f t="shared" si="121"/>
        <v>0</v>
      </c>
      <c r="H339" s="253">
        <f>COUNTIF(Area_S1,$C339)</f>
        <v>0</v>
      </c>
      <c r="I339" s="254">
        <f>COUNTIF(Area_S2,$C339)</f>
        <v>0</v>
      </c>
      <c r="J339" s="254">
        <f>COUNTIF(Area_S1MOM,$C339)</f>
        <v>0</v>
      </c>
      <c r="K339" s="254">
        <f>COUNTIF(Area_S4MOM,$C339)</f>
        <v>0</v>
      </c>
      <c r="L339" s="254">
        <f>COUNTIF(Area_S4PMO,$C339)</f>
        <v>0</v>
      </c>
      <c r="M339" s="255">
        <f>COUNTIF(Area_S6PMO,$C339)</f>
        <v>0</v>
      </c>
      <c r="N339" s="144"/>
    </row>
    <row r="340" spans="1:14" ht="32.1" customHeight="1">
      <c r="A340" s="889"/>
      <c r="B340" s="170"/>
      <c r="C340" s="144" t="s">
        <v>839</v>
      </c>
      <c r="D340" s="268" t="s">
        <v>854</v>
      </c>
      <c r="E340" s="144" t="s">
        <v>843</v>
      </c>
      <c r="F340" s="268"/>
      <c r="G340" s="236">
        <f t="shared" si="121"/>
        <v>0</v>
      </c>
      <c r="H340" s="253">
        <f>COUNTIF(Area_S1,$C340)</f>
        <v>0</v>
      </c>
      <c r="I340" s="254">
        <f>COUNTIF(Area_S2,$C340)</f>
        <v>0</v>
      </c>
      <c r="J340" s="254">
        <f>COUNTIF(Area_S1MOM,$C340)</f>
        <v>0</v>
      </c>
      <c r="K340" s="254">
        <f>COUNTIF(Area_S4MOM,$C340)</f>
        <v>0</v>
      </c>
      <c r="L340" s="254">
        <f>COUNTIF(Area_S4PMO,$C340)</f>
        <v>0</v>
      </c>
      <c r="M340" s="255">
        <f>COUNTIF(Area_S6PMO,$C340)</f>
        <v>0</v>
      </c>
      <c r="N340" s="144" t="s">
        <v>847</v>
      </c>
    </row>
    <row r="341" spans="1:14" ht="32.1" customHeight="1">
      <c r="A341" s="889"/>
      <c r="B341" s="170"/>
      <c r="C341" s="144" t="s">
        <v>1166</v>
      </c>
      <c r="D341" s="268"/>
      <c r="E341" s="144" t="s">
        <v>1167</v>
      </c>
      <c r="F341" s="268"/>
      <c r="G341" s="236">
        <f t="shared" si="121"/>
        <v>2</v>
      </c>
      <c r="H341" s="253">
        <f>COUNTIF(Area_S1,$C341)</f>
        <v>1</v>
      </c>
      <c r="I341" s="254">
        <f>COUNTIF(Area_S2,$C341)</f>
        <v>1</v>
      </c>
      <c r="J341" s="254">
        <f>COUNTIF(Area_S1MOM,$C341)</f>
        <v>0</v>
      </c>
      <c r="K341" s="254">
        <f>COUNTIF(Area_S4MOM,$C341)</f>
        <v>0</v>
      </c>
      <c r="L341" s="254">
        <f>COUNTIF(Area_S4PMO,$C341)</f>
        <v>0</v>
      </c>
      <c r="M341" s="255">
        <f>COUNTIF(Area_S6PMO,$C341)</f>
        <v>0</v>
      </c>
      <c r="N341" s="144"/>
    </row>
    <row r="342" spans="1:14" ht="32.1" customHeight="1">
      <c r="A342" s="889"/>
      <c r="B342" s="170"/>
      <c r="C342" s="144"/>
      <c r="D342" s="268" t="s">
        <v>165</v>
      </c>
      <c r="E342" s="144" t="s">
        <v>1574</v>
      </c>
      <c r="F342" s="268" t="s">
        <v>282</v>
      </c>
      <c r="G342" s="236">
        <f t="shared" si="121"/>
        <v>0</v>
      </c>
      <c r="H342" s="253"/>
      <c r="I342" s="254"/>
      <c r="J342" s="254"/>
      <c r="K342" s="254"/>
      <c r="L342" s="254"/>
      <c r="M342" s="255"/>
      <c r="N342" s="144" t="s">
        <v>1575</v>
      </c>
    </row>
    <row r="343" spans="1:14" ht="32.1" customHeight="1">
      <c r="A343" s="889"/>
      <c r="B343" s="170"/>
      <c r="C343" s="144" t="s">
        <v>375</v>
      </c>
      <c r="D343" s="268" t="s">
        <v>166</v>
      </c>
      <c r="E343" s="144" t="s">
        <v>654</v>
      </c>
      <c r="F343" s="268">
        <v>6175</v>
      </c>
      <c r="G343" s="236">
        <f t="shared" si="121"/>
        <v>0</v>
      </c>
      <c r="H343" s="253">
        <f>COUNTIF(Area_S1,$C343)</f>
        <v>0</v>
      </c>
      <c r="I343" s="254">
        <f>COUNTIF(Area_S2,$C343)</f>
        <v>0</v>
      </c>
      <c r="J343" s="254">
        <f>COUNTIF(Area_S1MOM,$C343)</f>
        <v>0</v>
      </c>
      <c r="K343" s="254">
        <f>COUNTIF(Area_S4MOM,$C343)</f>
        <v>0</v>
      </c>
      <c r="L343" s="254">
        <f>COUNTIF(Area_S4PMO,$C343)</f>
        <v>0</v>
      </c>
      <c r="M343" s="255">
        <f>COUNTIF(Area_S6PMO,$C343)</f>
        <v>0</v>
      </c>
      <c r="N343" s="144" t="s">
        <v>570</v>
      </c>
    </row>
    <row r="344" spans="1:14" ht="32.1" customHeight="1">
      <c r="A344" s="889"/>
      <c r="B344" s="170"/>
      <c r="C344" s="144" t="s">
        <v>376</v>
      </c>
      <c r="D344" s="268" t="s">
        <v>167</v>
      </c>
      <c r="E344" s="144" t="s">
        <v>655</v>
      </c>
      <c r="F344" s="268" t="s">
        <v>195</v>
      </c>
      <c r="G344" s="236">
        <f t="shared" si="121"/>
        <v>0</v>
      </c>
      <c r="H344" s="253">
        <f>COUNTIF(Area_S1,$C344)</f>
        <v>0</v>
      </c>
      <c r="I344" s="254">
        <f>COUNTIF(Area_S2,$C344)</f>
        <v>0</v>
      </c>
      <c r="J344" s="254">
        <f>COUNTIF(Area_S1MOM,$C344)</f>
        <v>0</v>
      </c>
      <c r="K344" s="254">
        <f>COUNTIF(Area_S4MOM,$C344)</f>
        <v>0</v>
      </c>
      <c r="L344" s="254">
        <f>COUNTIF(Area_S4PMO,$C344)</f>
        <v>0</v>
      </c>
      <c r="M344" s="255">
        <f>COUNTIF(Area_S6PMO,$C344)</f>
        <v>0</v>
      </c>
      <c r="N344" s="144" t="s">
        <v>567</v>
      </c>
    </row>
    <row r="345" spans="1:14" ht="32.1" customHeight="1">
      <c r="A345" s="889"/>
      <c r="B345" s="170"/>
      <c r="C345" s="144" t="s">
        <v>852</v>
      </c>
      <c r="D345" s="268" t="s">
        <v>168</v>
      </c>
      <c r="E345" s="144" t="s">
        <v>284</v>
      </c>
      <c r="F345" s="268">
        <v>6172</v>
      </c>
      <c r="G345" s="236">
        <f t="shared" si="121"/>
        <v>0</v>
      </c>
      <c r="H345" s="253">
        <f>COUNTIF(Area_S1,"Disc/t")+COUNTIF(Area_S1,"LoadB/t")</f>
        <v>0</v>
      </c>
      <c r="I345" s="254">
        <f>COUNTIF(Area_S2,"Disc/t")+COUNTIF(Area_S2,"LoadB/t")</f>
        <v>0</v>
      </c>
      <c r="J345" s="254">
        <f>COUNTIF(Area_S1MOM,"Disc/t")+COUNTIF(Area_S1MOM,"LoadB/t")</f>
        <v>0</v>
      </c>
      <c r="K345" s="254">
        <f>COUNTIF(Area_S4MOM,"Disc/t")+COUNTIF(Area_S4MOM,"LoadB/t")</f>
        <v>0</v>
      </c>
      <c r="L345" s="254">
        <f>COUNTIF(Area_S4PMO,"Disc/t")+COUNTIF(Area_S4PMO,"LoadB/t")</f>
        <v>0</v>
      </c>
      <c r="M345" s="255">
        <f>COUNTIF(Area_S6PMO,"Disc/t")+COUNTIF(Area_S6PMO,"LoadB/t")</f>
        <v>0</v>
      </c>
      <c r="N345" s="144" t="s">
        <v>568</v>
      </c>
    </row>
    <row r="346" spans="1:14" ht="32.1" customHeight="1">
      <c r="A346" s="889"/>
      <c r="B346" s="170"/>
      <c r="C346" s="144" t="s">
        <v>369</v>
      </c>
      <c r="D346" s="268" t="s">
        <v>285</v>
      </c>
      <c r="E346" s="144" t="s">
        <v>286</v>
      </c>
      <c r="F346" s="268">
        <v>6173</v>
      </c>
      <c r="G346" s="236">
        <f t="shared" si="121"/>
        <v>6</v>
      </c>
      <c r="H346" s="253">
        <f>COUNTIF(Area_S1,$C346)</f>
        <v>2</v>
      </c>
      <c r="I346" s="254">
        <f>COUNTIF(Area_S2,$C346)</f>
        <v>2</v>
      </c>
      <c r="J346" s="254">
        <f>COUNTIF(Area_S1MOM,$C346)</f>
        <v>1</v>
      </c>
      <c r="K346" s="254">
        <f>COUNTIF(Area_S4MOM,$C346)</f>
        <v>1</v>
      </c>
      <c r="L346" s="254">
        <f>COUNTIF(Area_S4PMO,$C346)</f>
        <v>0</v>
      </c>
      <c r="M346" s="255">
        <f>COUNTIF(Area_S6PMO,$C346)</f>
        <v>0</v>
      </c>
      <c r="N346" s="144" t="s">
        <v>569</v>
      </c>
    </row>
    <row r="347" spans="1:14" ht="32.1" customHeight="1">
      <c r="A347" s="889"/>
      <c r="B347" s="170"/>
      <c r="C347" s="144" t="s">
        <v>597</v>
      </c>
      <c r="D347" s="268" t="s">
        <v>719</v>
      </c>
      <c r="E347" s="144" t="s">
        <v>720</v>
      </c>
      <c r="F347" s="268"/>
      <c r="G347" s="236">
        <f t="shared" si="121"/>
        <v>0</v>
      </c>
      <c r="H347" s="253">
        <f>COUNTIF(Area_S1,$C347)-H348</f>
        <v>0</v>
      </c>
      <c r="I347" s="254">
        <f>COUNTIF(Area_S2,$C347)-I348</f>
        <v>0</v>
      </c>
      <c r="J347" s="254">
        <f>COUNTIF(Area_S1MOM,$C347)-J348</f>
        <v>0</v>
      </c>
      <c r="K347" s="254">
        <f>COUNTIF(Area_S4MOM,$C347)-K348</f>
        <v>0</v>
      </c>
      <c r="L347" s="254">
        <f>COUNTIF(Area_S4PMO,$C347)-L348</f>
        <v>0</v>
      </c>
      <c r="M347" s="255">
        <f>COUNTIF(Area_S6PMO,$C347)-M348</f>
        <v>0</v>
      </c>
      <c r="N347" s="144"/>
    </row>
    <row r="348" spans="1:14" ht="32.1" customHeight="1">
      <c r="A348" s="889"/>
      <c r="B348" s="170"/>
      <c r="C348" s="144" t="s">
        <v>721</v>
      </c>
      <c r="D348" s="268" t="s">
        <v>722</v>
      </c>
      <c r="E348" s="144" t="s">
        <v>624</v>
      </c>
      <c r="F348" s="268"/>
      <c r="G348" s="236">
        <f>SUM(H348:M348)</f>
        <v>0</v>
      </c>
      <c r="H348" s="253">
        <f t="shared" ref="H348:H353" si="128">COUNTIF(Area_S1,$C348)</f>
        <v>0</v>
      </c>
      <c r="I348" s="254">
        <f t="shared" ref="I348:I353" si="129">COUNTIF(Area_S2,$C348)</f>
        <v>0</v>
      </c>
      <c r="J348" s="254">
        <f t="shared" ref="J348:J353" si="130">COUNTIF(Area_S1MOM,$C348)</f>
        <v>0</v>
      </c>
      <c r="K348" s="254">
        <f t="shared" ref="K348:K353" si="131">COUNTIF(Area_S4MOM,$C348)</f>
        <v>0</v>
      </c>
      <c r="L348" s="254">
        <f t="shared" ref="L348:L353" si="132">COUNTIF(Area_S4PMO,$C348)</f>
        <v>0</v>
      </c>
      <c r="M348" s="255">
        <f t="shared" ref="M348:M353" si="133">COUNTIF(Area_S6PMO,$C348)</f>
        <v>0</v>
      </c>
      <c r="N348" s="144" t="s">
        <v>637</v>
      </c>
    </row>
    <row r="349" spans="1:14" ht="32.1" customHeight="1">
      <c r="A349" s="889"/>
      <c r="B349" s="170"/>
      <c r="C349" s="144" t="s">
        <v>1576</v>
      </c>
      <c r="D349" s="268" t="s">
        <v>467</v>
      </c>
      <c r="E349" s="144" t="s">
        <v>468</v>
      </c>
      <c r="F349" s="268"/>
      <c r="G349" s="236">
        <f>SUM(H349:M349)</f>
        <v>0</v>
      </c>
      <c r="H349" s="253">
        <f t="shared" si="128"/>
        <v>0</v>
      </c>
      <c r="I349" s="254">
        <f t="shared" si="129"/>
        <v>0</v>
      </c>
      <c r="J349" s="254">
        <f t="shared" si="130"/>
        <v>0</v>
      </c>
      <c r="K349" s="254">
        <f t="shared" si="131"/>
        <v>0</v>
      </c>
      <c r="L349" s="254">
        <f t="shared" si="132"/>
        <v>0</v>
      </c>
      <c r="M349" s="255">
        <f t="shared" si="133"/>
        <v>0</v>
      </c>
      <c r="N349" s="144" t="s">
        <v>571</v>
      </c>
    </row>
    <row r="350" spans="1:14" ht="32.1" customHeight="1">
      <c r="A350" s="889"/>
      <c r="B350" s="170"/>
      <c r="C350" s="144" t="s">
        <v>370</v>
      </c>
      <c r="D350" s="268" t="s">
        <v>287</v>
      </c>
      <c r="E350" s="144" t="s">
        <v>288</v>
      </c>
      <c r="F350" s="268" t="s">
        <v>283</v>
      </c>
      <c r="G350" s="236">
        <f t="shared" ref="G350:G374" si="134">SUM(H350:M350)</f>
        <v>0</v>
      </c>
      <c r="H350" s="253">
        <f t="shared" si="128"/>
        <v>0</v>
      </c>
      <c r="I350" s="254">
        <f t="shared" si="129"/>
        <v>0</v>
      </c>
      <c r="J350" s="254">
        <f t="shared" si="130"/>
        <v>0</v>
      </c>
      <c r="K350" s="254">
        <f t="shared" si="131"/>
        <v>0</v>
      </c>
      <c r="L350" s="254">
        <f t="shared" si="132"/>
        <v>0</v>
      </c>
      <c r="M350" s="255">
        <f t="shared" si="133"/>
        <v>0</v>
      </c>
      <c r="N350" s="144" t="s">
        <v>572</v>
      </c>
    </row>
    <row r="351" spans="1:14" ht="32.1" customHeight="1">
      <c r="A351" s="889"/>
      <c r="B351" s="170"/>
      <c r="C351" s="144" t="s">
        <v>379</v>
      </c>
      <c r="D351" s="268" t="s">
        <v>292</v>
      </c>
      <c r="E351" s="144" t="s">
        <v>293</v>
      </c>
      <c r="F351" s="268" t="s">
        <v>291</v>
      </c>
      <c r="G351" s="236">
        <f t="shared" si="134"/>
        <v>0</v>
      </c>
      <c r="H351" s="253">
        <f t="shared" si="128"/>
        <v>0</v>
      </c>
      <c r="I351" s="254">
        <f t="shared" si="129"/>
        <v>0</v>
      </c>
      <c r="J351" s="254">
        <f t="shared" si="130"/>
        <v>0</v>
      </c>
      <c r="K351" s="254">
        <f t="shared" si="131"/>
        <v>0</v>
      </c>
      <c r="L351" s="254">
        <f t="shared" si="132"/>
        <v>0</v>
      </c>
      <c r="M351" s="255">
        <f t="shared" si="133"/>
        <v>0</v>
      </c>
      <c r="N351" s="144" t="s">
        <v>573</v>
      </c>
    </row>
    <row r="352" spans="1:14" ht="32.1" customHeight="1">
      <c r="A352" s="889"/>
      <c r="B352" s="170"/>
      <c r="C352" s="144" t="s">
        <v>374</v>
      </c>
      <c r="D352" s="268" t="s">
        <v>289</v>
      </c>
      <c r="E352" s="144" t="s">
        <v>290</v>
      </c>
      <c r="F352" s="268">
        <v>6179</v>
      </c>
      <c r="G352" s="236">
        <f t="shared" si="134"/>
        <v>0</v>
      </c>
      <c r="H352" s="253">
        <f t="shared" si="128"/>
        <v>0</v>
      </c>
      <c r="I352" s="254">
        <f t="shared" si="129"/>
        <v>0</v>
      </c>
      <c r="J352" s="254">
        <f t="shared" si="130"/>
        <v>0</v>
      </c>
      <c r="K352" s="254">
        <f t="shared" si="131"/>
        <v>0</v>
      </c>
      <c r="L352" s="254">
        <f t="shared" si="132"/>
        <v>0</v>
      </c>
      <c r="M352" s="255">
        <f t="shared" si="133"/>
        <v>0</v>
      </c>
      <c r="N352" s="144" t="s">
        <v>574</v>
      </c>
    </row>
    <row r="353" spans="1:14" ht="32.1" customHeight="1">
      <c r="A353" s="889"/>
      <c r="B353" s="170"/>
      <c r="C353" s="144" t="s">
        <v>378</v>
      </c>
      <c r="D353" s="268" t="s">
        <v>295</v>
      </c>
      <c r="E353" s="144" t="s">
        <v>377</v>
      </c>
      <c r="F353" s="268" t="s">
        <v>294</v>
      </c>
      <c r="G353" s="236">
        <f t="shared" si="134"/>
        <v>0</v>
      </c>
      <c r="H353" s="253">
        <f t="shared" si="128"/>
        <v>0</v>
      </c>
      <c r="I353" s="254">
        <f t="shared" si="129"/>
        <v>0</v>
      </c>
      <c r="J353" s="254">
        <f t="shared" si="130"/>
        <v>0</v>
      </c>
      <c r="K353" s="254">
        <f t="shared" si="131"/>
        <v>0</v>
      </c>
      <c r="L353" s="254">
        <f t="shared" si="132"/>
        <v>0</v>
      </c>
      <c r="M353" s="255">
        <f t="shared" si="133"/>
        <v>0</v>
      </c>
      <c r="N353" s="144" t="s">
        <v>575</v>
      </c>
    </row>
    <row r="354" spans="1:14" ht="32.1" customHeight="1">
      <c r="A354" s="889"/>
      <c r="B354" s="170"/>
      <c r="C354" s="148"/>
      <c r="D354" s="268" t="s">
        <v>296</v>
      </c>
      <c r="E354" s="144" t="s">
        <v>163</v>
      </c>
      <c r="F354" s="268" t="s">
        <v>195</v>
      </c>
      <c r="G354" s="236">
        <f t="shared" si="134"/>
        <v>13</v>
      </c>
      <c r="H354" s="253">
        <f>+H335+H337+H338+H339+H342+H343+H344+H347+H348*2</f>
        <v>5</v>
      </c>
      <c r="I354" s="254">
        <f t="shared" ref="I354:M354" si="135">+I335+I337+I338+I339+I342+I343+I344+I347+I348*2</f>
        <v>4</v>
      </c>
      <c r="J354" s="254">
        <f t="shared" si="135"/>
        <v>0</v>
      </c>
      <c r="K354" s="254">
        <f t="shared" si="135"/>
        <v>0</v>
      </c>
      <c r="L354" s="254">
        <f t="shared" si="135"/>
        <v>2</v>
      </c>
      <c r="M354" s="255">
        <f t="shared" si="135"/>
        <v>2</v>
      </c>
      <c r="N354" s="148" t="s">
        <v>576</v>
      </c>
    </row>
    <row r="355" spans="1:14" ht="32.1" customHeight="1">
      <c r="A355" s="889"/>
      <c r="B355" s="170"/>
      <c r="C355" s="148"/>
      <c r="D355" s="268" t="s">
        <v>851</v>
      </c>
      <c r="E355" s="144" t="s">
        <v>838</v>
      </c>
      <c r="F355" s="268"/>
      <c r="G355" s="236">
        <f>SUM(H355:M355)</f>
        <v>5</v>
      </c>
      <c r="H355" s="253">
        <f>COUNTIF(Area_S1,"*-pr*")</f>
        <v>2</v>
      </c>
      <c r="I355" s="254">
        <f>COUNTIF(Area_S2,"*-pr")</f>
        <v>1</v>
      </c>
      <c r="J355" s="254">
        <f>COUNTIF(Area_S1MOM,"*-pr*")</f>
        <v>0</v>
      </c>
      <c r="K355" s="254">
        <f>COUNTIF(Area_S4MOM,"*-pr*")</f>
        <v>0</v>
      </c>
      <c r="L355" s="254">
        <f>COUNTIF(Area_S4PMO,"*-pr*")</f>
        <v>1</v>
      </c>
      <c r="M355" s="255">
        <f>COUNTIF(Area_S6PMO,"*-pr*")</f>
        <v>1</v>
      </c>
      <c r="N355" s="148" t="s">
        <v>845</v>
      </c>
    </row>
    <row r="356" spans="1:14" ht="32.1" customHeight="1">
      <c r="A356" s="889"/>
      <c r="B356" s="170"/>
      <c r="C356" s="144"/>
      <c r="D356" s="268" t="s">
        <v>297</v>
      </c>
      <c r="E356" s="144" t="s">
        <v>298</v>
      </c>
      <c r="F356" s="268" t="s">
        <v>195</v>
      </c>
      <c r="G356" s="236">
        <f t="shared" si="134"/>
        <v>0</v>
      </c>
      <c r="H356" s="253">
        <f t="shared" ref="H356:M356" si="136">+H350*3+H351*5+H352+H353*5</f>
        <v>0</v>
      </c>
      <c r="I356" s="254">
        <f t="shared" si="136"/>
        <v>0</v>
      </c>
      <c r="J356" s="254">
        <f t="shared" si="136"/>
        <v>0</v>
      </c>
      <c r="K356" s="254">
        <f t="shared" si="136"/>
        <v>0</v>
      </c>
      <c r="L356" s="254">
        <f t="shared" si="136"/>
        <v>0</v>
      </c>
      <c r="M356" s="255">
        <f t="shared" si="136"/>
        <v>0</v>
      </c>
      <c r="N356" s="144" t="s">
        <v>577</v>
      </c>
    </row>
    <row r="357" spans="1:14" ht="32.1" customHeight="1">
      <c r="A357" s="889"/>
      <c r="B357" s="170"/>
      <c r="C357" s="144"/>
      <c r="D357" s="268" t="s">
        <v>299</v>
      </c>
      <c r="E357" s="144" t="s">
        <v>300</v>
      </c>
      <c r="F357" s="268" t="s">
        <v>195</v>
      </c>
      <c r="G357" s="236">
        <f t="shared" si="134"/>
        <v>6</v>
      </c>
      <c r="H357" s="253">
        <f t="shared" ref="H357:M357" si="137">+H345+H346</f>
        <v>2</v>
      </c>
      <c r="I357" s="254">
        <f t="shared" si="137"/>
        <v>2</v>
      </c>
      <c r="J357" s="254">
        <f t="shared" si="137"/>
        <v>1</v>
      </c>
      <c r="K357" s="254">
        <f t="shared" si="137"/>
        <v>1</v>
      </c>
      <c r="L357" s="254">
        <f t="shared" si="137"/>
        <v>0</v>
      </c>
      <c r="M357" s="255">
        <f t="shared" si="137"/>
        <v>0</v>
      </c>
      <c r="N357" s="144" t="s">
        <v>578</v>
      </c>
    </row>
    <row r="358" spans="1:14" ht="32.1" customHeight="1">
      <c r="A358" s="859" t="s">
        <v>319</v>
      </c>
      <c r="B358" s="169"/>
      <c r="C358" s="147" t="s">
        <v>1101</v>
      </c>
      <c r="D358" s="271"/>
      <c r="E358" s="147" t="s">
        <v>1168</v>
      </c>
      <c r="F358" s="271"/>
      <c r="G358" s="242">
        <f t="shared" ref="G358:G364" si="138">SUM(H358:M358)</f>
        <v>0</v>
      </c>
      <c r="H358" s="243">
        <f t="shared" ref="H358:H364" si="139">COUNTIF(Area_v1,$C358)</f>
        <v>0</v>
      </c>
      <c r="I358" s="244">
        <f t="shared" ref="I358:I364" si="140">COUNTIF(Area_v2,$C358)</f>
        <v>0</v>
      </c>
      <c r="J358" s="244">
        <f t="shared" ref="J358:J364" si="141">COUNTIF(Area_v1MOM,$C358)</f>
        <v>0</v>
      </c>
      <c r="K358" s="244">
        <f t="shared" ref="K358:K364" si="142">COUNTIF(Area_v4MOM,$C358)</f>
        <v>0</v>
      </c>
      <c r="L358" s="244">
        <f t="shared" ref="L358:L364" si="143">COUNTIF(Area_v4PMO,$C358)</f>
        <v>0</v>
      </c>
      <c r="M358" s="245">
        <f t="shared" ref="M358:M364" si="144">COUNTIF(Area_v6PMO,$C358)</f>
        <v>0</v>
      </c>
      <c r="N358" s="147" t="s">
        <v>1176</v>
      </c>
    </row>
    <row r="359" spans="1:14" ht="32.1" customHeight="1">
      <c r="A359" s="860"/>
      <c r="B359" s="170"/>
      <c r="C359" s="144" t="s">
        <v>1103</v>
      </c>
      <c r="D359" s="268"/>
      <c r="E359" s="144" t="s">
        <v>1169</v>
      </c>
      <c r="F359" s="268"/>
      <c r="G359" s="236">
        <f t="shared" si="138"/>
        <v>0</v>
      </c>
      <c r="H359" s="253">
        <f t="shared" si="139"/>
        <v>0</v>
      </c>
      <c r="I359" s="254">
        <f t="shared" si="140"/>
        <v>0</v>
      </c>
      <c r="J359" s="254">
        <f t="shared" si="141"/>
        <v>0</v>
      </c>
      <c r="K359" s="254">
        <f t="shared" si="142"/>
        <v>0</v>
      </c>
      <c r="L359" s="254">
        <f t="shared" si="143"/>
        <v>0</v>
      </c>
      <c r="M359" s="255">
        <f t="shared" si="144"/>
        <v>0</v>
      </c>
      <c r="N359" s="144" t="s">
        <v>1177</v>
      </c>
    </row>
    <row r="360" spans="1:14" ht="32.1" customHeight="1">
      <c r="A360" s="860"/>
      <c r="B360" s="170"/>
      <c r="C360" s="144" t="s">
        <v>1105</v>
      </c>
      <c r="D360" s="268"/>
      <c r="E360" s="144" t="s">
        <v>1170</v>
      </c>
      <c r="F360" s="268"/>
      <c r="G360" s="236">
        <f t="shared" si="138"/>
        <v>0</v>
      </c>
      <c r="H360" s="253">
        <f t="shared" si="139"/>
        <v>0</v>
      </c>
      <c r="I360" s="254">
        <f t="shared" si="140"/>
        <v>0</v>
      </c>
      <c r="J360" s="254">
        <f t="shared" si="141"/>
        <v>0</v>
      </c>
      <c r="K360" s="254">
        <f t="shared" si="142"/>
        <v>0</v>
      </c>
      <c r="L360" s="254">
        <f t="shared" si="143"/>
        <v>0</v>
      </c>
      <c r="M360" s="255">
        <f t="shared" si="144"/>
        <v>0</v>
      </c>
      <c r="N360" s="144" t="s">
        <v>1178</v>
      </c>
    </row>
    <row r="361" spans="1:14" ht="32.1" customHeight="1">
      <c r="A361" s="860"/>
      <c r="B361" s="170"/>
      <c r="C361" s="144" t="s">
        <v>1107</v>
      </c>
      <c r="D361" s="268"/>
      <c r="E361" s="144" t="s">
        <v>1171</v>
      </c>
      <c r="F361" s="268"/>
      <c r="G361" s="236">
        <f t="shared" ref="G361" si="145">SUM(H361:M361)</f>
        <v>0</v>
      </c>
      <c r="H361" s="253">
        <f t="shared" si="139"/>
        <v>0</v>
      </c>
      <c r="I361" s="254">
        <f t="shared" si="140"/>
        <v>0</v>
      </c>
      <c r="J361" s="254">
        <f t="shared" si="141"/>
        <v>0</v>
      </c>
      <c r="K361" s="254">
        <f t="shared" si="142"/>
        <v>0</v>
      </c>
      <c r="L361" s="254">
        <f t="shared" si="143"/>
        <v>0</v>
      </c>
      <c r="M361" s="255">
        <f t="shared" si="144"/>
        <v>0</v>
      </c>
      <c r="N361" s="144" t="s">
        <v>1179</v>
      </c>
    </row>
    <row r="362" spans="1:14" ht="32.1" customHeight="1">
      <c r="A362" s="860"/>
      <c r="B362" s="170"/>
      <c r="C362" s="144" t="s">
        <v>1556</v>
      </c>
      <c r="D362" s="268"/>
      <c r="E362" s="144" t="s">
        <v>1557</v>
      </c>
      <c r="F362" s="268"/>
      <c r="G362" s="236">
        <f t="shared" si="138"/>
        <v>0</v>
      </c>
      <c r="H362" s="253">
        <f t="shared" si="139"/>
        <v>0</v>
      </c>
      <c r="I362" s="254">
        <f t="shared" si="140"/>
        <v>0</v>
      </c>
      <c r="J362" s="254">
        <f t="shared" si="141"/>
        <v>0</v>
      </c>
      <c r="K362" s="254">
        <f t="shared" si="142"/>
        <v>0</v>
      </c>
      <c r="L362" s="254">
        <f t="shared" si="143"/>
        <v>0</v>
      </c>
      <c r="M362" s="255">
        <f t="shared" si="144"/>
        <v>0</v>
      </c>
      <c r="N362" s="144" t="s">
        <v>1561</v>
      </c>
    </row>
    <row r="363" spans="1:14" ht="32.1" customHeight="1">
      <c r="A363" s="860"/>
      <c r="B363" s="170"/>
      <c r="C363" s="144" t="s">
        <v>1102</v>
      </c>
      <c r="D363" s="268"/>
      <c r="E363" s="144" t="s">
        <v>1172</v>
      </c>
      <c r="F363" s="268"/>
      <c r="G363" s="236">
        <f t="shared" si="138"/>
        <v>0</v>
      </c>
      <c r="H363" s="253">
        <f t="shared" si="139"/>
        <v>0</v>
      </c>
      <c r="I363" s="254">
        <f t="shared" si="140"/>
        <v>0</v>
      </c>
      <c r="J363" s="254">
        <f t="shared" si="141"/>
        <v>0</v>
      </c>
      <c r="K363" s="254">
        <f t="shared" si="142"/>
        <v>0</v>
      </c>
      <c r="L363" s="254">
        <f t="shared" si="143"/>
        <v>0</v>
      </c>
      <c r="M363" s="255">
        <f t="shared" si="144"/>
        <v>0</v>
      </c>
      <c r="N363" s="144" t="s">
        <v>1180</v>
      </c>
    </row>
    <row r="364" spans="1:14" ht="32.1" customHeight="1">
      <c r="A364" s="860"/>
      <c r="B364" s="170"/>
      <c r="C364" s="144" t="s">
        <v>1104</v>
      </c>
      <c r="D364" s="268"/>
      <c r="E364" s="144" t="s">
        <v>1173</v>
      </c>
      <c r="F364" s="268"/>
      <c r="G364" s="236">
        <f t="shared" si="138"/>
        <v>0</v>
      </c>
      <c r="H364" s="253">
        <f t="shared" si="139"/>
        <v>0</v>
      </c>
      <c r="I364" s="254">
        <f t="shared" si="140"/>
        <v>0</v>
      </c>
      <c r="J364" s="254">
        <f t="shared" si="141"/>
        <v>0</v>
      </c>
      <c r="K364" s="254">
        <f t="shared" si="142"/>
        <v>0</v>
      </c>
      <c r="L364" s="254">
        <f t="shared" si="143"/>
        <v>0</v>
      </c>
      <c r="M364" s="255">
        <f t="shared" si="144"/>
        <v>0</v>
      </c>
      <c r="N364" s="144" t="s">
        <v>1181</v>
      </c>
    </row>
    <row r="365" spans="1:14" ht="32.1" customHeight="1">
      <c r="A365" s="860"/>
      <c r="B365" s="170"/>
      <c r="C365" s="144" t="s">
        <v>1106</v>
      </c>
      <c r="D365" s="268"/>
      <c r="E365" s="144" t="s">
        <v>1174</v>
      </c>
      <c r="F365" s="268"/>
      <c r="G365" s="236">
        <f>SUM(H365:M365)</f>
        <v>0</v>
      </c>
      <c r="H365" s="253">
        <f>COUNTIF(Area_v1,$C365)</f>
        <v>0</v>
      </c>
      <c r="I365" s="254">
        <f>COUNTIF(Area_v2,$C365)</f>
        <v>0</v>
      </c>
      <c r="J365" s="254">
        <f>COUNTIF(Area_v1MOM,$C365)</f>
        <v>0</v>
      </c>
      <c r="K365" s="254">
        <f>COUNTIF(Area_v4MOM,$C365)</f>
        <v>0</v>
      </c>
      <c r="L365" s="254">
        <f>COUNTIF(Area_v4PMO,$C365)</f>
        <v>0</v>
      </c>
      <c r="M365" s="255">
        <f>COUNTIF(Area_v6PMO,$C365)</f>
        <v>0</v>
      </c>
      <c r="N365" s="144" t="s">
        <v>1182</v>
      </c>
    </row>
    <row r="366" spans="1:14" ht="32.1" customHeight="1">
      <c r="A366" s="860"/>
      <c r="B366" s="170"/>
      <c r="C366" s="144" t="s">
        <v>1108</v>
      </c>
      <c r="D366" s="268"/>
      <c r="E366" s="144" t="s">
        <v>1175</v>
      </c>
      <c r="F366" s="268"/>
      <c r="G366" s="236">
        <f>SUM(H366:M366)</f>
        <v>0</v>
      </c>
      <c r="H366" s="253">
        <f>COUNTIF(Area_v1,$C366)</f>
        <v>0</v>
      </c>
      <c r="I366" s="254">
        <f>COUNTIF(Area_v2,$C366)</f>
        <v>0</v>
      </c>
      <c r="J366" s="254">
        <f>COUNTIF(Area_v1MOM,$C366)</f>
        <v>0</v>
      </c>
      <c r="K366" s="254">
        <f>COUNTIF(Area_v4MOM,$C366)</f>
        <v>0</v>
      </c>
      <c r="L366" s="254">
        <f>COUNTIF(Area_v4PMO,$C366)</f>
        <v>0</v>
      </c>
      <c r="M366" s="255">
        <f>COUNTIF(Area_v6PMO,$C366)</f>
        <v>0</v>
      </c>
      <c r="N366" s="144" t="s">
        <v>1183</v>
      </c>
    </row>
    <row r="367" spans="1:14" ht="32.1" customHeight="1">
      <c r="A367" s="860"/>
      <c r="B367" s="171"/>
      <c r="C367" s="144" t="s">
        <v>1559</v>
      </c>
      <c r="D367" s="268"/>
      <c r="E367" s="144" t="s">
        <v>1558</v>
      </c>
      <c r="F367" s="268"/>
      <c r="G367" s="236">
        <f>SUM(H367:M367)</f>
        <v>0</v>
      </c>
      <c r="H367" s="253">
        <f>COUNTIF(Area_v1,$C367)</f>
        <v>0</v>
      </c>
      <c r="I367" s="254">
        <f>COUNTIF(Area_v2,$C367)</f>
        <v>0</v>
      </c>
      <c r="J367" s="254">
        <f>COUNTIF(Area_v1MOM,$C367)</f>
        <v>0</v>
      </c>
      <c r="K367" s="254">
        <f>COUNTIF(Area_v4MOM,$C367)</f>
        <v>0</v>
      </c>
      <c r="L367" s="254">
        <f>COUNTIF(Area_v4PMO,$C367)</f>
        <v>0</v>
      </c>
      <c r="M367" s="255">
        <f>COUNTIF(Area_v6PMO,$C367)</f>
        <v>0</v>
      </c>
      <c r="N367" s="144" t="s">
        <v>1560</v>
      </c>
    </row>
    <row r="368" spans="1:14" ht="32.1" customHeight="1">
      <c r="A368" s="859" t="s">
        <v>1539</v>
      </c>
      <c r="B368" s="312"/>
      <c r="C368" s="319" t="s">
        <v>1577</v>
      </c>
      <c r="D368" s="320" t="s">
        <v>309</v>
      </c>
      <c r="E368" s="319" t="s">
        <v>310</v>
      </c>
      <c r="F368" s="320" t="s">
        <v>195</v>
      </c>
      <c r="G368" s="321">
        <f t="shared" si="134"/>
        <v>0</v>
      </c>
      <c r="H368" s="322"/>
      <c r="I368" s="323"/>
      <c r="J368" s="323"/>
      <c r="K368" s="323"/>
      <c r="L368" s="323"/>
      <c r="M368" s="324"/>
      <c r="N368" s="147" t="s">
        <v>583</v>
      </c>
    </row>
    <row r="369" spans="1:14" ht="32.1" customHeight="1">
      <c r="A369" s="860"/>
      <c r="B369" s="170"/>
      <c r="C369" s="144" t="s">
        <v>1578</v>
      </c>
      <c r="D369" s="268"/>
      <c r="E369" s="144" t="s">
        <v>311</v>
      </c>
      <c r="F369" s="268" t="s">
        <v>195</v>
      </c>
      <c r="G369" s="236">
        <f t="shared" si="134"/>
        <v>0</v>
      </c>
      <c r="H369" s="253">
        <f>+H374</f>
        <v>0</v>
      </c>
      <c r="I369" s="254">
        <f t="shared" ref="I369:M369" si="146">+I374</f>
        <v>0</v>
      </c>
      <c r="J369" s="254">
        <f t="shared" si="146"/>
        <v>0</v>
      </c>
      <c r="K369" s="254">
        <f t="shared" si="146"/>
        <v>0</v>
      </c>
      <c r="L369" s="254">
        <f t="shared" si="146"/>
        <v>0</v>
      </c>
      <c r="M369" s="255">
        <f t="shared" si="146"/>
        <v>0</v>
      </c>
      <c r="N369" s="144" t="s">
        <v>584</v>
      </c>
    </row>
    <row r="370" spans="1:14" ht="32.1" customHeight="1">
      <c r="A370" s="860"/>
      <c r="B370" s="858" t="s">
        <v>320</v>
      </c>
      <c r="C370" s="313" t="s">
        <v>1579</v>
      </c>
      <c r="D370" s="314"/>
      <c r="E370" s="313" t="s">
        <v>312</v>
      </c>
      <c r="F370" s="314" t="s">
        <v>195</v>
      </c>
      <c r="G370" s="315">
        <f t="shared" si="134"/>
        <v>0</v>
      </c>
      <c r="H370" s="316"/>
      <c r="I370" s="317"/>
      <c r="J370" s="317"/>
      <c r="K370" s="317"/>
      <c r="L370" s="317"/>
      <c r="M370" s="318"/>
      <c r="N370" s="144" t="s">
        <v>585</v>
      </c>
    </row>
    <row r="371" spans="1:14" ht="32.1" customHeight="1">
      <c r="A371" s="860"/>
      <c r="B371" s="858"/>
      <c r="C371" s="313" t="s">
        <v>1580</v>
      </c>
      <c r="D371" s="314"/>
      <c r="E371" s="313" t="s">
        <v>313</v>
      </c>
      <c r="F371" s="314" t="s">
        <v>195</v>
      </c>
      <c r="G371" s="315">
        <f t="shared" si="134"/>
        <v>0</v>
      </c>
      <c r="H371" s="316"/>
      <c r="I371" s="317"/>
      <c r="J371" s="317"/>
      <c r="K371" s="317"/>
      <c r="L371" s="317"/>
      <c r="M371" s="318"/>
      <c r="N371" s="144" t="s">
        <v>588</v>
      </c>
    </row>
    <row r="372" spans="1:14" ht="32.1" customHeight="1">
      <c r="A372" s="860"/>
      <c r="B372" s="170"/>
      <c r="C372" s="144" t="s">
        <v>1582</v>
      </c>
      <c r="D372" s="268"/>
      <c r="E372" s="144" t="s">
        <v>314</v>
      </c>
      <c r="F372" s="268" t="s">
        <v>195</v>
      </c>
      <c r="G372" s="236">
        <f t="shared" si="134"/>
        <v>0</v>
      </c>
      <c r="H372" s="253">
        <f>COUNTIF(Area_v1,$C372)</f>
        <v>0</v>
      </c>
      <c r="I372" s="254">
        <f>COUNTIF(Area_v2,$C372)</f>
        <v>0</v>
      </c>
      <c r="J372" s="254">
        <f>COUNTIF(Area_v1MOM,$C372)</f>
        <v>0</v>
      </c>
      <c r="K372" s="254">
        <f>COUNTIF(Area_v4MOM,$C372)</f>
        <v>0</v>
      </c>
      <c r="L372" s="254">
        <f>COUNTIF(Area_v4PMO,$C372)</f>
        <v>0</v>
      </c>
      <c r="M372" s="255">
        <f>COUNTIF(Area_v6PMO,$C372)</f>
        <v>0</v>
      </c>
      <c r="N372" s="144" t="s">
        <v>586</v>
      </c>
    </row>
    <row r="373" spans="1:14" ht="32.1" customHeight="1">
      <c r="A373" s="860"/>
      <c r="B373" s="170"/>
      <c r="C373" s="144" t="s">
        <v>1581</v>
      </c>
      <c r="D373" s="268"/>
      <c r="E373" s="144" t="s">
        <v>315</v>
      </c>
      <c r="F373" s="268" t="s">
        <v>195</v>
      </c>
      <c r="G373" s="236">
        <f t="shared" si="134"/>
        <v>0</v>
      </c>
      <c r="H373" s="253">
        <f>COUNTIF(Area_v1,$C373)</f>
        <v>0</v>
      </c>
      <c r="I373" s="254">
        <f>COUNTIF(Area_v2,$C373)</f>
        <v>0</v>
      </c>
      <c r="J373" s="254">
        <f>COUNTIF(Area_v1MOM,$C373)</f>
        <v>0</v>
      </c>
      <c r="K373" s="254">
        <f>COUNTIF(Area_v4MOM,$C373)</f>
        <v>0</v>
      </c>
      <c r="L373" s="254">
        <f>COUNTIF(Area_v4PMO,$C373)</f>
        <v>0</v>
      </c>
      <c r="M373" s="255">
        <f>COUNTIF(Area_v6PMO,$C373)</f>
        <v>0</v>
      </c>
      <c r="N373" s="144" t="s">
        <v>587</v>
      </c>
    </row>
    <row r="374" spans="1:14" ht="32.1" customHeight="1">
      <c r="A374" s="861"/>
      <c r="B374" s="171"/>
      <c r="C374" s="146" t="s">
        <v>1583</v>
      </c>
      <c r="D374" s="270"/>
      <c r="E374" s="146" t="s">
        <v>316</v>
      </c>
      <c r="F374" s="270" t="s">
        <v>195</v>
      </c>
      <c r="G374" s="241">
        <f t="shared" si="134"/>
        <v>0</v>
      </c>
      <c r="H374" s="246">
        <f>COUNTIF(Area_v1,$C374)</f>
        <v>0</v>
      </c>
      <c r="I374" s="247">
        <f>COUNTIF(Area_v2,$C374)</f>
        <v>0</v>
      </c>
      <c r="J374" s="247">
        <f>COUNTIF(Area_v1MOM,$C374)</f>
        <v>0</v>
      </c>
      <c r="K374" s="247">
        <f>COUNTIF(Area_v4MOM,$C374)</f>
        <v>0</v>
      </c>
      <c r="L374" s="247">
        <f>COUNTIF(Area_v4PMO,$C374)</f>
        <v>0</v>
      </c>
      <c r="M374" s="248">
        <f>COUNTIF(Area_v6PMO,$C374)</f>
        <v>0</v>
      </c>
      <c r="N374" s="146" t="s">
        <v>589</v>
      </c>
    </row>
    <row r="375" spans="1:14" ht="19.95" customHeight="1">
      <c r="C375" s="150"/>
      <c r="E375" s="150"/>
      <c r="J375" s="139"/>
      <c r="L375" s="139"/>
      <c r="M375" s="139"/>
      <c r="N375" s="150"/>
    </row>
    <row r="376" spans="1:14" ht="19.95" customHeight="1">
      <c r="C376" s="150"/>
      <c r="E376" s="150"/>
      <c r="J376" s="139"/>
      <c r="L376" s="139"/>
      <c r="M376" s="139"/>
      <c r="N376" s="150"/>
    </row>
    <row r="377" spans="1:14" ht="19.95" customHeight="1">
      <c r="C377" s="150"/>
      <c r="E377" s="150"/>
      <c r="N377" s="150"/>
    </row>
    <row r="378" spans="1:14" ht="19.95" customHeight="1">
      <c r="C378" s="150"/>
      <c r="E378" s="150"/>
      <c r="H378" s="151"/>
      <c r="N378" s="150"/>
    </row>
    <row r="379" spans="1:14" ht="19.95" customHeight="1">
      <c r="C379" s="150"/>
      <c r="E379" s="150"/>
      <c r="N379" s="150"/>
    </row>
    <row r="380" spans="1:14" ht="19.95" customHeight="1">
      <c r="C380" s="150"/>
      <c r="E380" s="150"/>
      <c r="N380" s="150"/>
    </row>
    <row r="381" spans="1:14" ht="19.95" customHeight="1">
      <c r="C381" s="150"/>
      <c r="E381" s="150"/>
      <c r="N381" s="150"/>
    </row>
    <row r="382" spans="1:14" ht="19.95" customHeight="1">
      <c r="C382" s="150"/>
      <c r="E382" s="150"/>
      <c r="N382" s="150"/>
    </row>
    <row r="383" spans="1:14" ht="19.95" customHeight="1">
      <c r="C383" s="150"/>
      <c r="E383" s="150"/>
      <c r="N383" s="150"/>
    </row>
    <row r="384" spans="1:14" ht="19.95" customHeight="1">
      <c r="C384" s="150"/>
      <c r="E384" s="150"/>
      <c r="N384" s="150"/>
    </row>
    <row r="385" spans="3:14" ht="19.95" customHeight="1">
      <c r="C385" s="150"/>
      <c r="E385" s="150"/>
      <c r="N385" s="150"/>
    </row>
    <row r="386" spans="3:14" ht="19.95" customHeight="1">
      <c r="C386" s="150"/>
      <c r="E386" s="150"/>
      <c r="N386" s="150"/>
    </row>
    <row r="387" spans="3:14" ht="19.95" customHeight="1">
      <c r="C387" s="150"/>
      <c r="E387" s="150"/>
      <c r="N387" s="150"/>
    </row>
    <row r="388" spans="3:14" ht="19.95" customHeight="1">
      <c r="C388" s="150"/>
      <c r="E388" s="150"/>
      <c r="N388" s="150"/>
    </row>
    <row r="389" spans="3:14" ht="19.95" customHeight="1">
      <c r="C389" s="150"/>
      <c r="E389" s="150"/>
      <c r="N389" s="150"/>
    </row>
    <row r="390" spans="3:14" ht="19.95" customHeight="1">
      <c r="C390" s="150"/>
      <c r="E390" s="150"/>
      <c r="N390" s="150"/>
    </row>
    <row r="391" spans="3:14" ht="19.95" customHeight="1">
      <c r="C391" s="150"/>
      <c r="E391" s="150"/>
      <c r="N391" s="150"/>
    </row>
    <row r="392" spans="3:14" ht="19.95" customHeight="1">
      <c r="C392" s="150"/>
      <c r="E392" s="150"/>
      <c r="N392" s="150"/>
    </row>
    <row r="393" spans="3:14" ht="19.95" customHeight="1">
      <c r="C393" s="150"/>
      <c r="E393" s="150"/>
      <c r="N393" s="150"/>
    </row>
    <row r="394" spans="3:14" ht="19.95" customHeight="1">
      <c r="C394" s="150"/>
      <c r="E394" s="150"/>
      <c r="N394" s="150"/>
    </row>
    <row r="395" spans="3:14" ht="19.95" customHeight="1">
      <c r="C395" s="150"/>
      <c r="E395" s="150"/>
      <c r="N395" s="150"/>
    </row>
    <row r="396" spans="3:14" ht="19.95" customHeight="1">
      <c r="C396" s="150"/>
      <c r="E396" s="150"/>
      <c r="N396" s="150"/>
    </row>
    <row r="397" spans="3:14" ht="19.95" customHeight="1">
      <c r="C397" s="150"/>
      <c r="E397" s="150"/>
      <c r="N397" s="150"/>
    </row>
    <row r="398" spans="3:14" ht="19.95" customHeight="1">
      <c r="C398" s="150"/>
      <c r="E398" s="150"/>
      <c r="N398" s="150"/>
    </row>
    <row r="399" spans="3:14" ht="19.95" customHeight="1">
      <c r="C399" s="150"/>
      <c r="E399" s="150"/>
      <c r="N399" s="150"/>
    </row>
    <row r="400" spans="3:14" ht="19.95" customHeight="1">
      <c r="C400" s="150"/>
      <c r="E400" s="150"/>
      <c r="N400" s="150"/>
    </row>
    <row r="401" spans="3:14" ht="19.95" customHeight="1">
      <c r="C401" s="150"/>
      <c r="E401" s="150"/>
      <c r="N401" s="150"/>
    </row>
    <row r="402" spans="3:14" ht="19.95" customHeight="1">
      <c r="C402" s="150"/>
      <c r="E402" s="150"/>
      <c r="N402" s="150"/>
    </row>
    <row r="403" spans="3:14" ht="19.95" customHeight="1">
      <c r="C403" s="150"/>
      <c r="E403" s="150"/>
      <c r="N403" s="150"/>
    </row>
    <row r="404" spans="3:14" ht="19.95" customHeight="1">
      <c r="C404" s="150"/>
      <c r="E404" s="150"/>
      <c r="N404" s="150"/>
    </row>
    <row r="405" spans="3:14" ht="19.95" customHeight="1">
      <c r="C405" s="150"/>
      <c r="E405" s="150"/>
      <c r="N405" s="150"/>
    </row>
    <row r="406" spans="3:14" ht="19.95" customHeight="1">
      <c r="C406" s="150"/>
      <c r="E406" s="150"/>
      <c r="N406" s="150"/>
    </row>
    <row r="407" spans="3:14" ht="19.95" customHeight="1">
      <c r="C407" s="150"/>
      <c r="E407" s="150"/>
      <c r="N407" s="150"/>
    </row>
    <row r="408" spans="3:14" ht="19.95" customHeight="1">
      <c r="C408" s="150"/>
      <c r="E408" s="150"/>
      <c r="N408" s="150"/>
    </row>
    <row r="409" spans="3:14" ht="19.95" customHeight="1">
      <c r="C409" s="150"/>
      <c r="E409" s="150"/>
      <c r="N409" s="150"/>
    </row>
    <row r="410" spans="3:14" ht="19.95" customHeight="1">
      <c r="C410" s="150"/>
      <c r="E410" s="150"/>
      <c r="N410" s="150"/>
    </row>
    <row r="411" spans="3:14" ht="19.95" customHeight="1">
      <c r="C411" s="150"/>
      <c r="E411" s="150"/>
      <c r="N411" s="150"/>
    </row>
    <row r="412" spans="3:14" ht="19.95" customHeight="1">
      <c r="C412" s="150"/>
      <c r="E412" s="150"/>
      <c r="N412" s="150"/>
    </row>
    <row r="413" spans="3:14" ht="19.95" customHeight="1">
      <c r="C413" s="150"/>
      <c r="E413" s="150"/>
      <c r="N413" s="150"/>
    </row>
    <row r="414" spans="3:14" ht="19.95" customHeight="1">
      <c r="C414" s="150"/>
      <c r="E414" s="150"/>
      <c r="N414" s="150"/>
    </row>
    <row r="415" spans="3:14" ht="19.95" customHeight="1">
      <c r="C415" s="150"/>
      <c r="E415" s="150"/>
      <c r="N415" s="150"/>
    </row>
    <row r="416" spans="3:14" ht="19.95" customHeight="1">
      <c r="C416" s="150"/>
      <c r="E416" s="150"/>
      <c r="N416" s="150"/>
    </row>
    <row r="417" spans="3:14" ht="19.95" customHeight="1">
      <c r="C417" s="150"/>
      <c r="E417" s="150"/>
      <c r="N417" s="150"/>
    </row>
    <row r="418" spans="3:14" ht="19.95" customHeight="1">
      <c r="C418" s="150"/>
      <c r="E418" s="150"/>
      <c r="N418" s="150"/>
    </row>
    <row r="419" spans="3:14" ht="19.95" customHeight="1">
      <c r="C419" s="150"/>
      <c r="E419" s="150"/>
      <c r="N419" s="150"/>
    </row>
    <row r="420" spans="3:14" ht="19.95" customHeight="1">
      <c r="C420" s="150"/>
      <c r="E420" s="150"/>
      <c r="N420" s="150"/>
    </row>
    <row r="421" spans="3:14" ht="19.95" customHeight="1">
      <c r="C421" s="150"/>
      <c r="E421" s="150"/>
      <c r="N421" s="150"/>
    </row>
    <row r="422" spans="3:14" ht="19.95" customHeight="1">
      <c r="C422" s="150"/>
      <c r="E422" s="150"/>
      <c r="N422" s="150"/>
    </row>
    <row r="423" spans="3:14" ht="19.95" customHeight="1">
      <c r="C423" s="150"/>
      <c r="E423" s="150"/>
      <c r="N423" s="150"/>
    </row>
    <row r="424" spans="3:14" ht="19.95" customHeight="1">
      <c r="C424" s="150"/>
      <c r="E424" s="150"/>
      <c r="N424" s="150"/>
    </row>
    <row r="425" spans="3:14" ht="19.95" customHeight="1">
      <c r="C425" s="150"/>
      <c r="E425" s="150"/>
      <c r="N425" s="150"/>
    </row>
    <row r="426" spans="3:14" ht="19.95" customHeight="1">
      <c r="C426" s="150"/>
      <c r="E426" s="150"/>
      <c r="N426" s="150"/>
    </row>
    <row r="427" spans="3:14" ht="19.95" customHeight="1">
      <c r="C427" s="150"/>
      <c r="E427" s="150"/>
      <c r="N427" s="150"/>
    </row>
    <row r="428" spans="3:14" ht="19.95" customHeight="1">
      <c r="C428" s="150"/>
      <c r="E428" s="150"/>
      <c r="N428" s="150"/>
    </row>
    <row r="429" spans="3:14" ht="19.95" customHeight="1">
      <c r="C429" s="150"/>
      <c r="E429" s="150"/>
      <c r="N429" s="150"/>
    </row>
    <row r="430" spans="3:14" ht="19.95" customHeight="1">
      <c r="C430" s="150"/>
      <c r="E430" s="150"/>
      <c r="N430" s="150"/>
    </row>
    <row r="431" spans="3:14" ht="19.95" customHeight="1">
      <c r="C431" s="150"/>
      <c r="E431" s="150"/>
      <c r="N431" s="150"/>
    </row>
    <row r="432" spans="3:14" ht="19.95" customHeight="1">
      <c r="C432" s="150"/>
      <c r="E432" s="150"/>
      <c r="N432" s="150"/>
    </row>
    <row r="433" spans="3:14" ht="19.95" customHeight="1">
      <c r="C433" s="150"/>
      <c r="E433" s="150"/>
      <c r="N433" s="150"/>
    </row>
    <row r="434" spans="3:14" ht="19.95" customHeight="1">
      <c r="C434" s="150"/>
      <c r="E434" s="150"/>
      <c r="N434" s="150"/>
    </row>
    <row r="435" spans="3:14" ht="19.95" customHeight="1">
      <c r="C435" s="150"/>
      <c r="E435" s="150"/>
      <c r="N435" s="150"/>
    </row>
    <row r="436" spans="3:14" ht="19.95" customHeight="1">
      <c r="C436" s="150"/>
      <c r="E436" s="150"/>
      <c r="N436" s="150"/>
    </row>
    <row r="437" spans="3:14" ht="19.95" customHeight="1">
      <c r="C437" s="150"/>
      <c r="E437" s="150"/>
      <c r="N437" s="150"/>
    </row>
    <row r="438" spans="3:14" ht="19.95" customHeight="1">
      <c r="C438" s="150"/>
      <c r="E438" s="150"/>
      <c r="N438" s="150"/>
    </row>
    <row r="439" spans="3:14" ht="19.95" customHeight="1">
      <c r="C439" s="150"/>
      <c r="E439" s="150"/>
      <c r="N439" s="150"/>
    </row>
    <row r="440" spans="3:14" ht="19.95" customHeight="1">
      <c r="C440" s="150"/>
      <c r="E440" s="150"/>
      <c r="N440" s="150"/>
    </row>
    <row r="441" spans="3:14" ht="19.95" customHeight="1">
      <c r="C441" s="150"/>
      <c r="E441" s="150"/>
      <c r="N441" s="150"/>
    </row>
    <row r="442" spans="3:14" ht="19.95" customHeight="1">
      <c r="C442" s="150"/>
      <c r="E442" s="150"/>
      <c r="N442" s="150"/>
    </row>
    <row r="443" spans="3:14" ht="19.95" customHeight="1">
      <c r="C443" s="150"/>
      <c r="E443" s="150"/>
      <c r="N443" s="150"/>
    </row>
    <row r="444" spans="3:14" ht="19.95" customHeight="1">
      <c r="C444" s="150"/>
      <c r="E444" s="150"/>
      <c r="N444" s="150"/>
    </row>
    <row r="445" spans="3:14" ht="19.95" customHeight="1">
      <c r="C445" s="150"/>
      <c r="E445" s="150"/>
      <c r="N445" s="150"/>
    </row>
    <row r="446" spans="3:14" ht="19.95" customHeight="1">
      <c r="C446" s="150"/>
      <c r="E446" s="150"/>
      <c r="N446" s="150"/>
    </row>
    <row r="447" spans="3:14" ht="19.95" customHeight="1">
      <c r="C447" s="150"/>
      <c r="E447" s="150"/>
      <c r="N447" s="150"/>
    </row>
    <row r="448" spans="3:14" ht="19.95" customHeight="1">
      <c r="C448" s="150"/>
      <c r="E448" s="150"/>
      <c r="N448" s="150"/>
    </row>
    <row r="449" spans="3:14" ht="19.95" customHeight="1">
      <c r="C449" s="150"/>
      <c r="E449" s="150"/>
      <c r="N449" s="150"/>
    </row>
    <row r="450" spans="3:14" ht="19.95" customHeight="1">
      <c r="C450" s="150"/>
      <c r="E450" s="150"/>
      <c r="N450" s="150"/>
    </row>
    <row r="451" spans="3:14" ht="19.95" customHeight="1">
      <c r="C451" s="150"/>
      <c r="E451" s="150"/>
      <c r="N451" s="150"/>
    </row>
    <row r="452" spans="3:14" ht="19.95" customHeight="1">
      <c r="C452" s="150"/>
      <c r="E452" s="150"/>
      <c r="N452" s="150"/>
    </row>
    <row r="453" spans="3:14" ht="19.95" customHeight="1">
      <c r="C453" s="150"/>
      <c r="E453" s="150"/>
      <c r="N453" s="150"/>
    </row>
    <row r="454" spans="3:14" ht="19.95" customHeight="1">
      <c r="C454" s="150"/>
      <c r="E454" s="150"/>
      <c r="N454" s="150"/>
    </row>
    <row r="455" spans="3:14" ht="19.95" customHeight="1">
      <c r="C455" s="150"/>
      <c r="E455" s="150"/>
      <c r="N455" s="150"/>
    </row>
    <row r="456" spans="3:14" ht="19.95" customHeight="1">
      <c r="C456" s="150"/>
      <c r="E456" s="150"/>
      <c r="N456" s="150"/>
    </row>
    <row r="457" spans="3:14" ht="19.95" customHeight="1">
      <c r="C457" s="150"/>
      <c r="E457" s="150"/>
      <c r="N457" s="150"/>
    </row>
    <row r="458" spans="3:14" ht="19.95" customHeight="1">
      <c r="C458" s="150"/>
      <c r="E458" s="150"/>
      <c r="N458" s="150"/>
    </row>
    <row r="459" spans="3:14" ht="19.95" customHeight="1">
      <c r="C459" s="150"/>
      <c r="E459" s="150"/>
      <c r="N459" s="150"/>
    </row>
    <row r="460" spans="3:14" ht="19.95" customHeight="1">
      <c r="C460" s="150"/>
      <c r="E460" s="150"/>
      <c r="N460" s="150"/>
    </row>
    <row r="461" spans="3:14" ht="19.95" customHeight="1">
      <c r="C461" s="150"/>
      <c r="E461" s="150"/>
      <c r="N461" s="150"/>
    </row>
    <row r="462" spans="3:14" ht="19.95" customHeight="1">
      <c r="C462" s="150"/>
      <c r="E462" s="150"/>
      <c r="N462" s="150"/>
    </row>
    <row r="463" spans="3:14" ht="19.95" customHeight="1">
      <c r="C463" s="150"/>
      <c r="E463" s="150"/>
      <c r="N463" s="150"/>
    </row>
    <row r="464" spans="3:14" ht="19.95" customHeight="1">
      <c r="C464" s="150"/>
      <c r="E464" s="150"/>
      <c r="N464" s="150"/>
    </row>
    <row r="465" spans="3:14" ht="19.95" customHeight="1">
      <c r="C465" s="150"/>
      <c r="E465" s="150"/>
      <c r="N465" s="150"/>
    </row>
    <row r="466" spans="3:14" ht="19.95" customHeight="1">
      <c r="C466" s="150"/>
      <c r="E466" s="150"/>
      <c r="N466" s="150"/>
    </row>
    <row r="467" spans="3:14" ht="19.95" customHeight="1">
      <c r="C467" s="150"/>
      <c r="E467" s="150"/>
      <c r="N467" s="150"/>
    </row>
    <row r="468" spans="3:14" ht="19.95" customHeight="1">
      <c r="C468" s="150"/>
      <c r="E468" s="150"/>
      <c r="N468" s="150"/>
    </row>
    <row r="469" spans="3:14" ht="19.95" customHeight="1">
      <c r="C469" s="150"/>
      <c r="E469" s="150"/>
      <c r="N469" s="150"/>
    </row>
    <row r="470" spans="3:14" ht="19.95" customHeight="1">
      <c r="C470" s="150"/>
      <c r="E470" s="150"/>
      <c r="N470" s="150"/>
    </row>
    <row r="471" spans="3:14" ht="19.95" customHeight="1">
      <c r="C471" s="150"/>
      <c r="E471" s="150"/>
      <c r="N471" s="150"/>
    </row>
    <row r="472" spans="3:14" ht="19.95" customHeight="1">
      <c r="C472" s="150"/>
      <c r="E472" s="150"/>
      <c r="N472" s="150"/>
    </row>
    <row r="473" spans="3:14" ht="19.95" customHeight="1">
      <c r="C473" s="150"/>
      <c r="E473" s="150"/>
      <c r="N473" s="150"/>
    </row>
    <row r="474" spans="3:14" ht="19.95" customHeight="1">
      <c r="C474" s="150"/>
      <c r="E474" s="150"/>
      <c r="N474" s="150"/>
    </row>
    <row r="475" spans="3:14" ht="19.95" customHeight="1">
      <c r="C475" s="150"/>
      <c r="E475" s="150"/>
      <c r="N475" s="150"/>
    </row>
    <row r="476" spans="3:14" ht="19.95" customHeight="1">
      <c r="C476" s="150"/>
      <c r="E476" s="150"/>
      <c r="N476" s="150"/>
    </row>
    <row r="477" spans="3:14" ht="19.95" customHeight="1">
      <c r="C477" s="150"/>
      <c r="E477" s="150"/>
      <c r="N477" s="150"/>
    </row>
    <row r="478" spans="3:14" ht="19.95" customHeight="1">
      <c r="C478" s="150"/>
      <c r="E478" s="150"/>
      <c r="N478" s="150"/>
    </row>
    <row r="479" spans="3:14" ht="19.95" customHeight="1">
      <c r="C479" s="150"/>
      <c r="E479" s="150"/>
      <c r="N479" s="150"/>
    </row>
    <row r="480" spans="3:14" ht="19.95" customHeight="1">
      <c r="C480" s="150"/>
      <c r="E480" s="150"/>
      <c r="N480" s="150"/>
    </row>
    <row r="481" spans="3:14" ht="19.95" customHeight="1">
      <c r="C481" s="150"/>
      <c r="E481" s="150"/>
      <c r="N481" s="150"/>
    </row>
    <row r="482" spans="3:14" ht="19.95" customHeight="1">
      <c r="C482" s="150"/>
      <c r="E482" s="150"/>
      <c r="N482" s="150"/>
    </row>
    <row r="483" spans="3:14" ht="19.95" customHeight="1">
      <c r="C483" s="150"/>
      <c r="E483" s="150"/>
      <c r="N483" s="150"/>
    </row>
    <row r="484" spans="3:14" ht="19.95" customHeight="1">
      <c r="C484" s="150"/>
      <c r="E484" s="150"/>
      <c r="N484" s="150"/>
    </row>
    <row r="485" spans="3:14" ht="19.95" customHeight="1">
      <c r="C485" s="150"/>
      <c r="E485" s="150"/>
      <c r="N485" s="150"/>
    </row>
    <row r="486" spans="3:14" ht="19.95" customHeight="1">
      <c r="C486" s="150"/>
      <c r="E486" s="150"/>
      <c r="N486" s="150"/>
    </row>
    <row r="487" spans="3:14" ht="19.95" customHeight="1">
      <c r="C487" s="150"/>
      <c r="E487" s="150"/>
      <c r="N487" s="150"/>
    </row>
    <row r="488" spans="3:14" ht="19.95" customHeight="1">
      <c r="C488" s="150"/>
      <c r="E488" s="150"/>
      <c r="N488" s="150"/>
    </row>
    <row r="489" spans="3:14" ht="19.95" customHeight="1">
      <c r="C489" s="150"/>
      <c r="E489" s="150"/>
      <c r="N489" s="150"/>
    </row>
    <row r="490" spans="3:14" ht="19.95" customHeight="1">
      <c r="C490" s="150"/>
      <c r="E490" s="150"/>
      <c r="N490" s="150"/>
    </row>
    <row r="491" spans="3:14" ht="19.95" customHeight="1">
      <c r="C491" s="150"/>
      <c r="E491" s="150"/>
      <c r="N491" s="150"/>
    </row>
    <row r="492" spans="3:14" ht="19.95" customHeight="1">
      <c r="C492" s="150"/>
      <c r="E492" s="150"/>
      <c r="N492" s="150"/>
    </row>
    <row r="493" spans="3:14" ht="19.95" customHeight="1">
      <c r="C493" s="150"/>
      <c r="E493" s="150"/>
      <c r="N493" s="150"/>
    </row>
    <row r="494" spans="3:14" ht="19.95" customHeight="1">
      <c r="C494" s="150"/>
      <c r="E494" s="150"/>
      <c r="N494" s="150"/>
    </row>
    <row r="495" spans="3:14" ht="19.95" customHeight="1">
      <c r="C495" s="150"/>
      <c r="E495" s="150"/>
      <c r="N495" s="150"/>
    </row>
    <row r="496" spans="3:14" ht="19.95" customHeight="1">
      <c r="C496" s="150"/>
      <c r="E496" s="150"/>
      <c r="N496" s="150"/>
    </row>
    <row r="497" spans="3:14" ht="19.95" customHeight="1">
      <c r="C497" s="150"/>
      <c r="E497" s="150"/>
      <c r="N497" s="150"/>
    </row>
    <row r="498" spans="3:14" ht="19.95" customHeight="1">
      <c r="C498" s="150"/>
      <c r="E498" s="150"/>
      <c r="N498" s="150"/>
    </row>
    <row r="499" spans="3:14" ht="19.95" customHeight="1">
      <c r="C499" s="150"/>
      <c r="E499" s="150"/>
      <c r="N499" s="150"/>
    </row>
    <row r="500" spans="3:14" ht="19.95" customHeight="1">
      <c r="C500" s="150"/>
      <c r="E500" s="150"/>
      <c r="N500" s="150"/>
    </row>
    <row r="501" spans="3:14" ht="19.95" customHeight="1">
      <c r="C501" s="150"/>
      <c r="E501" s="150"/>
      <c r="N501" s="150"/>
    </row>
    <row r="502" spans="3:14" ht="19.95" customHeight="1">
      <c r="C502" s="150"/>
      <c r="E502" s="150"/>
      <c r="N502" s="150"/>
    </row>
    <row r="503" spans="3:14" ht="19.95" customHeight="1">
      <c r="C503" s="150"/>
      <c r="E503" s="150"/>
      <c r="N503" s="150"/>
    </row>
    <row r="504" spans="3:14" ht="19.95" customHeight="1">
      <c r="C504" s="150"/>
      <c r="E504" s="150"/>
      <c r="N504" s="150"/>
    </row>
    <row r="505" spans="3:14" ht="19.95" customHeight="1">
      <c r="C505" s="150"/>
      <c r="E505" s="150"/>
      <c r="N505" s="150"/>
    </row>
    <row r="506" spans="3:14" ht="19.95" customHeight="1">
      <c r="C506" s="150"/>
      <c r="E506" s="150"/>
      <c r="N506" s="150"/>
    </row>
    <row r="507" spans="3:14" ht="19.95" customHeight="1">
      <c r="C507" s="150"/>
      <c r="E507" s="150"/>
      <c r="N507" s="150"/>
    </row>
    <row r="508" spans="3:14" ht="19.95" customHeight="1">
      <c r="C508" s="150"/>
      <c r="E508" s="150"/>
      <c r="N508" s="150"/>
    </row>
    <row r="509" spans="3:14" ht="19.95" customHeight="1">
      <c r="C509" s="150"/>
      <c r="E509" s="150"/>
      <c r="N509" s="150"/>
    </row>
    <row r="510" spans="3:14" ht="19.95" customHeight="1">
      <c r="C510" s="150"/>
      <c r="E510" s="150"/>
      <c r="N510" s="150"/>
    </row>
    <row r="511" spans="3:14" ht="19.95" customHeight="1">
      <c r="C511" s="150"/>
      <c r="E511" s="150"/>
      <c r="N511" s="150"/>
    </row>
    <row r="512" spans="3:14" ht="19.95" customHeight="1">
      <c r="C512" s="150"/>
      <c r="E512" s="150"/>
      <c r="N512" s="150"/>
    </row>
    <row r="513" spans="3:14" ht="19.95" customHeight="1">
      <c r="C513" s="150"/>
      <c r="E513" s="150"/>
      <c r="N513" s="150"/>
    </row>
    <row r="514" spans="3:14" ht="19.95" customHeight="1">
      <c r="C514" s="150"/>
      <c r="E514" s="150"/>
      <c r="N514" s="150"/>
    </row>
    <row r="515" spans="3:14" ht="19.95" customHeight="1">
      <c r="C515" s="150"/>
      <c r="E515" s="150"/>
      <c r="N515" s="150"/>
    </row>
    <row r="516" spans="3:14" ht="19.95" customHeight="1">
      <c r="C516" s="150"/>
      <c r="E516" s="150"/>
      <c r="N516" s="150"/>
    </row>
    <row r="517" spans="3:14" ht="19.95" customHeight="1">
      <c r="C517" s="150"/>
      <c r="E517" s="150"/>
      <c r="N517" s="150"/>
    </row>
    <row r="518" spans="3:14" ht="19.95" customHeight="1">
      <c r="C518" s="150"/>
      <c r="E518" s="150"/>
      <c r="N518" s="150"/>
    </row>
    <row r="519" spans="3:14" ht="19.95" customHeight="1">
      <c r="C519" s="150"/>
      <c r="E519" s="150"/>
      <c r="N519" s="150"/>
    </row>
    <row r="520" spans="3:14" ht="19.95" customHeight="1">
      <c r="C520" s="150"/>
      <c r="E520" s="150"/>
      <c r="N520" s="150"/>
    </row>
    <row r="521" spans="3:14" ht="19.95" customHeight="1">
      <c r="C521" s="150"/>
      <c r="E521" s="150"/>
      <c r="N521" s="150"/>
    </row>
    <row r="522" spans="3:14" ht="19.95" customHeight="1">
      <c r="C522" s="150"/>
      <c r="E522" s="150"/>
      <c r="N522" s="150"/>
    </row>
    <row r="523" spans="3:14" ht="19.95" customHeight="1">
      <c r="C523" s="150"/>
      <c r="E523" s="150"/>
      <c r="N523" s="150"/>
    </row>
    <row r="524" spans="3:14" ht="19.95" customHeight="1">
      <c r="C524" s="150"/>
      <c r="E524" s="150"/>
      <c r="N524" s="150"/>
    </row>
    <row r="525" spans="3:14" ht="19.95" customHeight="1">
      <c r="C525" s="150"/>
      <c r="E525" s="150"/>
      <c r="N525" s="150"/>
    </row>
    <row r="526" spans="3:14" ht="19.95" customHeight="1">
      <c r="C526" s="150"/>
      <c r="E526" s="150"/>
      <c r="N526" s="150"/>
    </row>
    <row r="527" spans="3:14" ht="19.95" customHeight="1">
      <c r="C527" s="150"/>
      <c r="E527" s="150"/>
      <c r="N527" s="150"/>
    </row>
    <row r="528" spans="3:14" ht="19.95" customHeight="1">
      <c r="C528" s="150"/>
      <c r="E528" s="150"/>
      <c r="N528" s="150"/>
    </row>
    <row r="529" spans="3:14" ht="19.95" customHeight="1">
      <c r="C529" s="150"/>
      <c r="E529" s="150"/>
      <c r="N529" s="150"/>
    </row>
    <row r="530" spans="3:14" ht="19.95" customHeight="1">
      <c r="C530" s="150"/>
      <c r="E530" s="150"/>
      <c r="N530" s="150"/>
    </row>
    <row r="531" spans="3:14" ht="19.95" customHeight="1">
      <c r="C531" s="150"/>
      <c r="E531" s="150"/>
      <c r="N531" s="150"/>
    </row>
    <row r="532" spans="3:14" ht="19.95" customHeight="1">
      <c r="C532" s="150"/>
      <c r="E532" s="150"/>
      <c r="N532" s="150"/>
    </row>
    <row r="533" spans="3:14" ht="19.95" customHeight="1">
      <c r="C533" s="150"/>
      <c r="E533" s="150"/>
      <c r="N533" s="150"/>
    </row>
    <row r="534" spans="3:14" ht="19.95" customHeight="1">
      <c r="C534" s="150"/>
      <c r="E534" s="150"/>
      <c r="N534" s="150"/>
    </row>
    <row r="535" spans="3:14" ht="19.95" customHeight="1">
      <c r="C535" s="150"/>
      <c r="E535" s="150"/>
      <c r="N535" s="150"/>
    </row>
    <row r="536" spans="3:14" ht="19.95" customHeight="1">
      <c r="C536" s="150"/>
      <c r="E536" s="150"/>
      <c r="N536" s="150"/>
    </row>
    <row r="537" spans="3:14" ht="19.95" customHeight="1">
      <c r="C537" s="150"/>
      <c r="E537" s="150"/>
      <c r="N537" s="150"/>
    </row>
    <row r="538" spans="3:14" ht="19.95" customHeight="1">
      <c r="C538" s="150"/>
      <c r="E538" s="150"/>
      <c r="N538" s="150"/>
    </row>
    <row r="539" spans="3:14" ht="19.95" customHeight="1">
      <c r="C539" s="150"/>
      <c r="E539" s="150"/>
      <c r="N539" s="150"/>
    </row>
    <row r="540" spans="3:14" ht="19.95" customHeight="1">
      <c r="C540" s="150"/>
      <c r="E540" s="150"/>
      <c r="N540" s="150"/>
    </row>
    <row r="541" spans="3:14" ht="19.95" customHeight="1">
      <c r="C541" s="150"/>
      <c r="E541" s="150"/>
      <c r="N541" s="150"/>
    </row>
    <row r="542" spans="3:14" ht="19.95" customHeight="1">
      <c r="C542" s="150"/>
      <c r="E542" s="150"/>
      <c r="N542" s="150"/>
    </row>
    <row r="543" spans="3:14" ht="19.95" customHeight="1">
      <c r="C543" s="150"/>
      <c r="E543" s="150"/>
      <c r="N543" s="150"/>
    </row>
    <row r="544" spans="3:14" ht="19.95" customHeight="1">
      <c r="C544" s="150"/>
      <c r="E544" s="150"/>
      <c r="N544" s="150"/>
    </row>
    <row r="545" spans="3:14" ht="19.95" customHeight="1">
      <c r="C545" s="150"/>
      <c r="E545" s="150"/>
      <c r="N545" s="150"/>
    </row>
    <row r="546" spans="3:14" ht="19.95" customHeight="1">
      <c r="C546" s="150"/>
      <c r="E546" s="150"/>
      <c r="N546" s="150"/>
    </row>
    <row r="547" spans="3:14" ht="19.95" customHeight="1">
      <c r="C547" s="150"/>
      <c r="E547" s="150"/>
      <c r="N547" s="150"/>
    </row>
    <row r="548" spans="3:14" ht="19.95" customHeight="1">
      <c r="C548" s="150"/>
      <c r="E548" s="150"/>
      <c r="N548" s="150"/>
    </row>
    <row r="549" spans="3:14" ht="19.95" customHeight="1">
      <c r="C549" s="150"/>
      <c r="E549" s="150"/>
      <c r="N549" s="150"/>
    </row>
    <row r="550" spans="3:14" ht="19.95" customHeight="1">
      <c r="C550" s="150"/>
      <c r="E550" s="150"/>
      <c r="N550" s="150"/>
    </row>
    <row r="551" spans="3:14" ht="19.95" customHeight="1">
      <c r="C551" s="150"/>
      <c r="E551" s="150"/>
      <c r="N551" s="150"/>
    </row>
    <row r="552" spans="3:14" ht="19.95" customHeight="1">
      <c r="C552" s="150"/>
      <c r="E552" s="150"/>
      <c r="N552" s="150"/>
    </row>
    <row r="553" spans="3:14" ht="19.95" customHeight="1">
      <c r="C553" s="150"/>
      <c r="E553" s="150"/>
      <c r="N553" s="150"/>
    </row>
    <row r="554" spans="3:14" ht="19.95" customHeight="1">
      <c r="C554" s="150"/>
      <c r="E554" s="150"/>
      <c r="N554" s="150"/>
    </row>
    <row r="555" spans="3:14" ht="19.95" customHeight="1">
      <c r="C555" s="150"/>
      <c r="E555" s="150"/>
      <c r="N555" s="150"/>
    </row>
    <row r="556" spans="3:14" ht="19.95" customHeight="1">
      <c r="C556" s="150"/>
      <c r="E556" s="150"/>
      <c r="N556" s="150"/>
    </row>
    <row r="557" spans="3:14" ht="19.95" customHeight="1">
      <c r="C557" s="150"/>
      <c r="E557" s="150"/>
      <c r="N557" s="150"/>
    </row>
    <row r="558" spans="3:14" ht="19.95" customHeight="1">
      <c r="C558" s="150"/>
      <c r="E558" s="150"/>
      <c r="N558" s="150"/>
    </row>
    <row r="559" spans="3:14" ht="19.95" customHeight="1">
      <c r="C559" s="150"/>
      <c r="E559" s="150"/>
      <c r="N559" s="150"/>
    </row>
    <row r="560" spans="3:14" ht="19.95" customHeight="1">
      <c r="C560" s="150"/>
      <c r="E560" s="150"/>
      <c r="N560" s="150"/>
    </row>
    <row r="561" spans="3:14" ht="19.95" customHeight="1">
      <c r="C561" s="150"/>
      <c r="E561" s="150"/>
      <c r="N561" s="150"/>
    </row>
    <row r="562" spans="3:14" ht="19.95" customHeight="1">
      <c r="C562" s="150"/>
      <c r="E562" s="150"/>
      <c r="N562" s="150"/>
    </row>
    <row r="563" spans="3:14" ht="19.95" customHeight="1">
      <c r="C563" s="150"/>
      <c r="E563" s="150"/>
      <c r="N563" s="150"/>
    </row>
    <row r="564" spans="3:14" ht="19.95" customHeight="1">
      <c r="C564" s="150"/>
      <c r="E564" s="150"/>
      <c r="N564" s="150"/>
    </row>
    <row r="565" spans="3:14" ht="19.95" customHeight="1">
      <c r="C565" s="150"/>
      <c r="E565" s="150"/>
      <c r="N565" s="150"/>
    </row>
    <row r="566" spans="3:14" ht="19.95" customHeight="1">
      <c r="C566" s="150"/>
      <c r="E566" s="150"/>
      <c r="N566" s="150"/>
    </row>
    <row r="567" spans="3:14" ht="19.95" customHeight="1">
      <c r="C567" s="150"/>
      <c r="E567" s="150"/>
      <c r="N567" s="150"/>
    </row>
    <row r="568" spans="3:14" ht="19.95" customHeight="1">
      <c r="C568" s="150"/>
      <c r="E568" s="150"/>
      <c r="N568" s="150"/>
    </row>
    <row r="569" spans="3:14" ht="19.95" customHeight="1">
      <c r="C569" s="150"/>
      <c r="E569" s="150"/>
      <c r="N569" s="150"/>
    </row>
    <row r="570" spans="3:14" ht="19.95" customHeight="1">
      <c r="C570" s="150"/>
      <c r="E570" s="150"/>
      <c r="N570" s="150"/>
    </row>
    <row r="571" spans="3:14" ht="19.95" customHeight="1">
      <c r="C571" s="150"/>
      <c r="E571" s="150"/>
      <c r="N571" s="150"/>
    </row>
    <row r="572" spans="3:14" ht="19.95" customHeight="1">
      <c r="C572" s="150"/>
      <c r="E572" s="150"/>
      <c r="N572" s="150"/>
    </row>
    <row r="573" spans="3:14" ht="19.95" customHeight="1">
      <c r="C573" s="150"/>
      <c r="E573" s="150"/>
      <c r="N573" s="150"/>
    </row>
    <row r="574" spans="3:14" ht="19.95" customHeight="1">
      <c r="C574" s="150"/>
      <c r="E574" s="150"/>
      <c r="N574" s="150"/>
    </row>
    <row r="575" spans="3:14" ht="19.95" customHeight="1">
      <c r="C575" s="150"/>
      <c r="E575" s="150"/>
      <c r="N575" s="150"/>
    </row>
    <row r="576" spans="3:14" ht="19.95" customHeight="1">
      <c r="C576" s="150"/>
      <c r="E576" s="150"/>
      <c r="N576" s="150"/>
    </row>
    <row r="577" spans="3:14" ht="19.95" customHeight="1">
      <c r="C577" s="150"/>
      <c r="E577" s="150"/>
      <c r="N577" s="150"/>
    </row>
    <row r="578" spans="3:14" ht="19.95" customHeight="1">
      <c r="C578" s="150"/>
      <c r="E578" s="150"/>
      <c r="N578" s="150"/>
    </row>
    <row r="579" spans="3:14" ht="19.95" customHeight="1">
      <c r="C579" s="150"/>
      <c r="E579" s="150"/>
      <c r="N579" s="150"/>
    </row>
    <row r="580" spans="3:14" ht="19.95" customHeight="1">
      <c r="C580" s="150"/>
      <c r="E580" s="150"/>
      <c r="N580" s="150"/>
    </row>
    <row r="581" spans="3:14" ht="19.95" customHeight="1">
      <c r="C581" s="150"/>
      <c r="E581" s="150"/>
      <c r="N581" s="150"/>
    </row>
    <row r="582" spans="3:14" ht="19.95" customHeight="1">
      <c r="C582" s="150"/>
      <c r="E582" s="150"/>
      <c r="N582" s="150"/>
    </row>
    <row r="583" spans="3:14" ht="19.95" customHeight="1">
      <c r="C583" s="150"/>
      <c r="E583" s="150"/>
      <c r="N583" s="150"/>
    </row>
    <row r="584" spans="3:14" ht="19.95" customHeight="1">
      <c r="C584" s="150"/>
      <c r="E584" s="150"/>
      <c r="N584" s="150"/>
    </row>
    <row r="585" spans="3:14" ht="19.95" customHeight="1">
      <c r="C585" s="150"/>
      <c r="E585" s="150"/>
      <c r="N585" s="150"/>
    </row>
    <row r="586" spans="3:14" ht="19.95" customHeight="1">
      <c r="C586" s="150"/>
      <c r="E586" s="150"/>
      <c r="N586" s="150"/>
    </row>
    <row r="587" spans="3:14" ht="19.95" customHeight="1">
      <c r="C587" s="150"/>
      <c r="E587" s="150"/>
      <c r="N587" s="150"/>
    </row>
    <row r="588" spans="3:14" ht="19.95" customHeight="1">
      <c r="C588" s="150"/>
      <c r="E588" s="150"/>
      <c r="N588" s="150"/>
    </row>
    <row r="589" spans="3:14" ht="19.95" customHeight="1">
      <c r="C589" s="150"/>
      <c r="E589" s="150"/>
      <c r="N589" s="150"/>
    </row>
    <row r="590" spans="3:14" ht="19.95" customHeight="1">
      <c r="C590" s="150"/>
      <c r="E590" s="150"/>
      <c r="N590" s="150"/>
    </row>
    <row r="591" spans="3:14" ht="19.95" customHeight="1">
      <c r="C591" s="150"/>
      <c r="E591" s="150"/>
      <c r="N591" s="150"/>
    </row>
    <row r="592" spans="3:14" ht="19.95" customHeight="1">
      <c r="C592" s="150"/>
      <c r="E592" s="150"/>
      <c r="N592" s="150"/>
    </row>
    <row r="593" spans="3:14" ht="19.95" customHeight="1">
      <c r="C593" s="150"/>
      <c r="E593" s="150"/>
      <c r="N593" s="150"/>
    </row>
    <row r="594" spans="3:14" ht="19.95" customHeight="1">
      <c r="C594" s="150"/>
      <c r="E594" s="150"/>
      <c r="N594" s="150"/>
    </row>
    <row r="595" spans="3:14" ht="19.95" customHeight="1">
      <c r="C595" s="150"/>
      <c r="E595" s="150"/>
      <c r="N595" s="150"/>
    </row>
    <row r="596" spans="3:14" ht="19.95" customHeight="1">
      <c r="C596" s="150"/>
      <c r="E596" s="150"/>
      <c r="N596" s="150"/>
    </row>
    <row r="597" spans="3:14" ht="19.95" customHeight="1">
      <c r="C597" s="150"/>
      <c r="E597" s="150"/>
      <c r="N597" s="150"/>
    </row>
    <row r="598" spans="3:14" ht="19.95" customHeight="1">
      <c r="C598" s="150"/>
      <c r="E598" s="150"/>
      <c r="N598" s="150"/>
    </row>
    <row r="599" spans="3:14" ht="19.95" customHeight="1">
      <c r="C599" s="150"/>
      <c r="E599" s="150"/>
      <c r="N599" s="150"/>
    </row>
    <row r="600" spans="3:14" ht="19.95" customHeight="1">
      <c r="C600" s="150"/>
      <c r="E600" s="150"/>
      <c r="N600" s="150"/>
    </row>
    <row r="601" spans="3:14" ht="19.95" customHeight="1">
      <c r="C601" s="150"/>
      <c r="E601" s="150"/>
      <c r="N601" s="150"/>
    </row>
    <row r="602" spans="3:14" ht="19.95" customHeight="1">
      <c r="C602" s="150"/>
      <c r="E602" s="150"/>
      <c r="N602" s="150"/>
    </row>
    <row r="603" spans="3:14" ht="19.95" customHeight="1">
      <c r="C603" s="150"/>
      <c r="E603" s="150"/>
      <c r="N603" s="150"/>
    </row>
    <row r="604" spans="3:14" ht="19.95" customHeight="1">
      <c r="C604" s="150"/>
      <c r="E604" s="150"/>
      <c r="N604" s="150"/>
    </row>
    <row r="605" spans="3:14" ht="19.95" customHeight="1">
      <c r="C605" s="150"/>
      <c r="E605" s="150"/>
      <c r="N605" s="150"/>
    </row>
    <row r="606" spans="3:14" ht="19.95" customHeight="1">
      <c r="C606" s="150"/>
      <c r="E606" s="150"/>
      <c r="N606" s="150"/>
    </row>
    <row r="607" spans="3:14" ht="19.95" customHeight="1">
      <c r="C607" s="150"/>
      <c r="E607" s="150"/>
      <c r="N607" s="150"/>
    </row>
    <row r="608" spans="3:14" ht="19.95" customHeight="1">
      <c r="C608" s="150"/>
      <c r="E608" s="150"/>
      <c r="N608" s="150"/>
    </row>
    <row r="609" spans="3:14" ht="19.95" customHeight="1">
      <c r="C609" s="150"/>
      <c r="E609" s="150"/>
      <c r="N609" s="150"/>
    </row>
    <row r="610" spans="3:14" ht="19.95" customHeight="1">
      <c r="C610" s="150"/>
      <c r="E610" s="150"/>
      <c r="N610" s="150"/>
    </row>
    <row r="611" spans="3:14" ht="19.95" customHeight="1">
      <c r="C611" s="150"/>
      <c r="E611" s="150"/>
      <c r="N611" s="150"/>
    </row>
    <row r="612" spans="3:14" ht="19.95" customHeight="1">
      <c r="C612" s="150"/>
      <c r="E612" s="150"/>
      <c r="N612" s="150"/>
    </row>
    <row r="613" spans="3:14" ht="19.95" customHeight="1">
      <c r="C613" s="150"/>
      <c r="E613" s="150"/>
      <c r="N613" s="150"/>
    </row>
    <row r="614" spans="3:14" ht="19.95" customHeight="1">
      <c r="C614" s="150"/>
      <c r="E614" s="150"/>
      <c r="N614" s="150"/>
    </row>
    <row r="615" spans="3:14" ht="19.95" customHeight="1">
      <c r="C615" s="150"/>
      <c r="E615" s="150"/>
      <c r="N615" s="150"/>
    </row>
    <row r="616" spans="3:14" ht="19.95" customHeight="1">
      <c r="C616" s="150"/>
      <c r="E616" s="150"/>
      <c r="N616" s="150"/>
    </row>
    <row r="617" spans="3:14" ht="19.95" customHeight="1">
      <c r="C617" s="150"/>
      <c r="E617" s="150"/>
      <c r="N617" s="150"/>
    </row>
    <row r="618" spans="3:14" ht="19.95" customHeight="1">
      <c r="C618" s="150"/>
      <c r="E618" s="150"/>
      <c r="N618" s="150"/>
    </row>
    <row r="619" spans="3:14" ht="19.95" customHeight="1">
      <c r="C619" s="150"/>
      <c r="E619" s="150"/>
      <c r="N619" s="150"/>
    </row>
    <row r="620" spans="3:14" ht="19.95" customHeight="1">
      <c r="C620" s="150"/>
      <c r="E620" s="150"/>
      <c r="N620" s="150"/>
    </row>
    <row r="621" spans="3:14" ht="19.95" customHeight="1">
      <c r="C621" s="150"/>
      <c r="E621" s="150"/>
      <c r="N621" s="150"/>
    </row>
    <row r="622" spans="3:14" ht="19.95" customHeight="1">
      <c r="C622" s="150"/>
      <c r="E622" s="150"/>
      <c r="N622" s="150"/>
    </row>
    <row r="623" spans="3:14" ht="19.95" customHeight="1">
      <c r="C623" s="150"/>
      <c r="E623" s="150"/>
      <c r="N623" s="150"/>
    </row>
    <row r="624" spans="3:14" ht="19.95" customHeight="1">
      <c r="C624" s="150"/>
      <c r="E624" s="150"/>
      <c r="N624" s="150"/>
    </row>
    <row r="625" spans="3:14" ht="19.95" customHeight="1">
      <c r="C625" s="150"/>
      <c r="E625" s="150"/>
      <c r="N625" s="150"/>
    </row>
    <row r="626" spans="3:14" ht="19.95" customHeight="1">
      <c r="C626" s="150"/>
      <c r="E626" s="150"/>
      <c r="N626" s="150"/>
    </row>
    <row r="627" spans="3:14" ht="19.95" customHeight="1">
      <c r="C627" s="150"/>
      <c r="E627" s="150"/>
      <c r="N627" s="150"/>
    </row>
    <row r="628" spans="3:14" ht="19.95" customHeight="1">
      <c r="C628" s="150"/>
      <c r="E628" s="150"/>
      <c r="N628" s="150"/>
    </row>
    <row r="629" spans="3:14" ht="19.95" customHeight="1">
      <c r="C629" s="150"/>
      <c r="E629" s="150"/>
      <c r="N629" s="150"/>
    </row>
    <row r="630" spans="3:14" ht="19.95" customHeight="1">
      <c r="C630" s="150"/>
      <c r="E630" s="150"/>
      <c r="N630" s="150"/>
    </row>
    <row r="631" spans="3:14" ht="19.95" customHeight="1">
      <c r="C631" s="150"/>
      <c r="E631" s="150"/>
      <c r="N631" s="150"/>
    </row>
    <row r="632" spans="3:14" ht="19.95" customHeight="1">
      <c r="C632" s="150"/>
      <c r="E632" s="150"/>
      <c r="N632" s="150"/>
    </row>
    <row r="633" spans="3:14" ht="19.95" customHeight="1">
      <c r="C633" s="150"/>
      <c r="E633" s="150"/>
      <c r="N633" s="150"/>
    </row>
    <row r="634" spans="3:14" ht="19.95" customHeight="1">
      <c r="C634" s="150"/>
      <c r="E634" s="150"/>
      <c r="N634" s="150"/>
    </row>
    <row r="635" spans="3:14" ht="19.95" customHeight="1">
      <c r="C635" s="150"/>
      <c r="E635" s="150"/>
      <c r="N635" s="150"/>
    </row>
    <row r="636" spans="3:14" ht="19.95" customHeight="1">
      <c r="C636" s="150"/>
      <c r="E636" s="150"/>
      <c r="N636" s="150"/>
    </row>
    <row r="637" spans="3:14" ht="19.95" customHeight="1">
      <c r="C637" s="150"/>
      <c r="E637" s="150"/>
      <c r="N637" s="150"/>
    </row>
    <row r="638" spans="3:14" ht="19.95" customHeight="1">
      <c r="C638" s="150"/>
      <c r="E638" s="150"/>
      <c r="N638" s="150"/>
    </row>
    <row r="639" spans="3:14" ht="19.95" customHeight="1">
      <c r="C639" s="150"/>
      <c r="E639" s="150"/>
      <c r="N639" s="150"/>
    </row>
    <row r="640" spans="3:14" ht="19.95" customHeight="1">
      <c r="C640" s="150"/>
      <c r="E640" s="150"/>
      <c r="N640" s="150"/>
    </row>
    <row r="641" spans="3:14" ht="19.95" customHeight="1">
      <c r="C641" s="150"/>
      <c r="E641" s="150"/>
      <c r="N641" s="150"/>
    </row>
    <row r="642" spans="3:14" ht="19.95" customHeight="1">
      <c r="C642" s="150"/>
      <c r="E642" s="150"/>
      <c r="N642" s="150"/>
    </row>
    <row r="643" spans="3:14" ht="19.95" customHeight="1">
      <c r="C643" s="150"/>
      <c r="E643" s="150"/>
      <c r="N643" s="150"/>
    </row>
    <row r="644" spans="3:14" ht="19.95" customHeight="1">
      <c r="C644" s="150"/>
      <c r="E644" s="150"/>
      <c r="N644" s="150"/>
    </row>
    <row r="645" spans="3:14" ht="19.95" customHeight="1">
      <c r="C645" s="150"/>
      <c r="E645" s="150"/>
      <c r="N645" s="150"/>
    </row>
    <row r="646" spans="3:14" ht="19.95" customHeight="1">
      <c r="C646" s="150"/>
      <c r="E646" s="150"/>
      <c r="N646" s="150"/>
    </row>
    <row r="647" spans="3:14" ht="19.95" customHeight="1">
      <c r="C647" s="150"/>
      <c r="E647" s="150"/>
      <c r="N647" s="150"/>
    </row>
    <row r="648" spans="3:14" ht="19.95" customHeight="1">
      <c r="C648" s="150"/>
      <c r="E648" s="150"/>
      <c r="N648" s="150"/>
    </row>
    <row r="649" spans="3:14" ht="19.95" customHeight="1">
      <c r="C649" s="150"/>
      <c r="E649" s="150"/>
      <c r="N649" s="150"/>
    </row>
    <row r="650" spans="3:14" ht="19.95" customHeight="1">
      <c r="C650" s="150"/>
      <c r="E650" s="150"/>
      <c r="N650" s="150"/>
    </row>
    <row r="651" spans="3:14" ht="19.95" customHeight="1">
      <c r="C651" s="150"/>
      <c r="E651" s="150"/>
      <c r="N651" s="150"/>
    </row>
    <row r="652" spans="3:14" ht="19.95" customHeight="1">
      <c r="C652" s="150"/>
      <c r="E652" s="150"/>
      <c r="N652" s="150"/>
    </row>
    <row r="653" spans="3:14" ht="19.95" customHeight="1">
      <c r="C653" s="150"/>
      <c r="E653" s="150"/>
      <c r="N653" s="150"/>
    </row>
    <row r="654" spans="3:14" ht="19.95" customHeight="1">
      <c r="C654" s="150"/>
      <c r="E654" s="150"/>
      <c r="N654" s="150"/>
    </row>
    <row r="655" spans="3:14" ht="19.95" customHeight="1">
      <c r="C655" s="150"/>
      <c r="E655" s="150"/>
      <c r="N655" s="150"/>
    </row>
    <row r="656" spans="3:14" ht="19.95" customHeight="1">
      <c r="C656" s="150"/>
      <c r="E656" s="150"/>
      <c r="N656" s="150"/>
    </row>
    <row r="657" spans="3:14" ht="19.95" customHeight="1">
      <c r="C657" s="150"/>
      <c r="E657" s="150"/>
      <c r="N657" s="150"/>
    </row>
    <row r="658" spans="3:14" ht="19.95" customHeight="1">
      <c r="C658" s="150"/>
      <c r="E658" s="150"/>
      <c r="N658" s="150"/>
    </row>
    <row r="659" spans="3:14" ht="19.95" customHeight="1">
      <c r="C659" s="150"/>
      <c r="E659" s="150"/>
      <c r="N659" s="150"/>
    </row>
    <row r="660" spans="3:14" ht="19.95" customHeight="1">
      <c r="C660" s="150"/>
      <c r="E660" s="150"/>
      <c r="N660" s="150"/>
    </row>
    <row r="661" spans="3:14" ht="19.95" customHeight="1">
      <c r="C661" s="150"/>
      <c r="E661" s="150"/>
      <c r="N661" s="150"/>
    </row>
    <row r="662" spans="3:14" ht="19.95" customHeight="1">
      <c r="C662" s="150"/>
      <c r="E662" s="150"/>
      <c r="N662" s="150"/>
    </row>
    <row r="663" spans="3:14" ht="19.95" customHeight="1">
      <c r="C663" s="150"/>
      <c r="E663" s="150"/>
      <c r="N663" s="150"/>
    </row>
    <row r="664" spans="3:14" ht="19.95" customHeight="1">
      <c r="C664" s="150"/>
      <c r="E664" s="150"/>
      <c r="N664" s="150"/>
    </row>
    <row r="665" spans="3:14" ht="19.95" customHeight="1">
      <c r="C665" s="150"/>
      <c r="E665" s="150"/>
      <c r="N665" s="150"/>
    </row>
    <row r="666" spans="3:14" ht="19.95" customHeight="1">
      <c r="C666" s="150"/>
      <c r="E666" s="150"/>
      <c r="N666" s="150"/>
    </row>
    <row r="667" spans="3:14" ht="19.95" customHeight="1">
      <c r="C667" s="150"/>
      <c r="E667" s="150"/>
      <c r="N667" s="150"/>
    </row>
    <row r="668" spans="3:14" ht="19.95" customHeight="1">
      <c r="C668" s="150"/>
      <c r="E668" s="150"/>
      <c r="N668" s="150"/>
    </row>
    <row r="669" spans="3:14" ht="19.95" customHeight="1">
      <c r="C669" s="150"/>
      <c r="E669" s="150"/>
      <c r="N669" s="150"/>
    </row>
    <row r="670" spans="3:14" ht="19.95" customHeight="1">
      <c r="C670" s="150"/>
      <c r="E670" s="150"/>
      <c r="N670" s="150"/>
    </row>
    <row r="671" spans="3:14" ht="19.95" customHeight="1">
      <c r="C671" s="150"/>
      <c r="E671" s="150"/>
      <c r="N671" s="150"/>
    </row>
    <row r="672" spans="3:14" ht="19.95" customHeight="1">
      <c r="C672" s="150"/>
      <c r="E672" s="150"/>
      <c r="N672" s="150"/>
    </row>
    <row r="673" spans="3:14" ht="19.95" customHeight="1">
      <c r="C673" s="150"/>
      <c r="E673" s="150"/>
      <c r="N673" s="150"/>
    </row>
    <row r="674" spans="3:14" ht="19.95" customHeight="1">
      <c r="C674" s="150"/>
      <c r="E674" s="150"/>
      <c r="N674" s="150"/>
    </row>
    <row r="675" spans="3:14" ht="19.95" customHeight="1">
      <c r="C675" s="150"/>
      <c r="E675" s="150"/>
      <c r="N675" s="150"/>
    </row>
    <row r="676" spans="3:14" ht="19.95" customHeight="1">
      <c r="C676" s="150"/>
      <c r="E676" s="150"/>
      <c r="N676" s="150"/>
    </row>
    <row r="677" spans="3:14" ht="19.95" customHeight="1">
      <c r="C677" s="150"/>
      <c r="E677" s="150"/>
      <c r="N677" s="150"/>
    </row>
    <row r="678" spans="3:14" ht="19.95" customHeight="1">
      <c r="C678" s="150"/>
      <c r="E678" s="150"/>
      <c r="N678" s="150"/>
    </row>
    <row r="679" spans="3:14" ht="19.95" customHeight="1">
      <c r="C679" s="150"/>
      <c r="E679" s="150"/>
      <c r="N679" s="150"/>
    </row>
    <row r="680" spans="3:14" ht="19.95" customHeight="1">
      <c r="C680" s="150"/>
      <c r="E680" s="150"/>
      <c r="N680" s="150"/>
    </row>
    <row r="681" spans="3:14" ht="19.95" customHeight="1">
      <c r="C681" s="150"/>
      <c r="E681" s="150"/>
      <c r="N681" s="150"/>
    </row>
    <row r="682" spans="3:14" ht="19.95" customHeight="1">
      <c r="C682" s="150"/>
      <c r="E682" s="150"/>
      <c r="N682" s="150"/>
    </row>
    <row r="683" spans="3:14" ht="19.95" customHeight="1">
      <c r="C683" s="150"/>
      <c r="E683" s="150"/>
      <c r="N683" s="150"/>
    </row>
    <row r="684" spans="3:14" ht="19.95" customHeight="1">
      <c r="C684" s="150"/>
      <c r="E684" s="150"/>
      <c r="N684" s="150"/>
    </row>
    <row r="685" spans="3:14" ht="19.95" customHeight="1">
      <c r="C685" s="150"/>
      <c r="E685" s="150"/>
      <c r="N685" s="150"/>
    </row>
    <row r="686" spans="3:14" ht="19.95" customHeight="1">
      <c r="C686" s="150"/>
      <c r="E686" s="150"/>
      <c r="N686" s="150"/>
    </row>
    <row r="687" spans="3:14" ht="19.95" customHeight="1">
      <c r="C687" s="150"/>
      <c r="E687" s="150"/>
      <c r="N687" s="150"/>
    </row>
    <row r="688" spans="3:14" ht="19.95" customHeight="1">
      <c r="C688" s="150"/>
      <c r="E688" s="150"/>
      <c r="N688" s="150"/>
    </row>
    <row r="689" spans="3:14" ht="19.95" customHeight="1">
      <c r="C689" s="150"/>
      <c r="E689" s="150"/>
      <c r="N689" s="150"/>
    </row>
    <row r="690" spans="3:14" ht="19.95" customHeight="1">
      <c r="C690" s="150"/>
      <c r="E690" s="150"/>
      <c r="N690" s="150"/>
    </row>
    <row r="691" spans="3:14" ht="19.95" customHeight="1">
      <c r="C691" s="150"/>
      <c r="E691" s="150"/>
      <c r="N691" s="150"/>
    </row>
    <row r="692" spans="3:14" ht="19.95" customHeight="1">
      <c r="C692" s="150"/>
      <c r="E692" s="150"/>
      <c r="N692" s="150"/>
    </row>
    <row r="693" spans="3:14" ht="19.95" customHeight="1">
      <c r="C693" s="150"/>
      <c r="E693" s="150"/>
      <c r="N693" s="150"/>
    </row>
    <row r="694" spans="3:14" ht="19.95" customHeight="1">
      <c r="C694" s="150"/>
      <c r="E694" s="150"/>
      <c r="N694" s="150"/>
    </row>
    <row r="695" spans="3:14" ht="19.95" customHeight="1">
      <c r="C695" s="150"/>
      <c r="E695" s="150"/>
      <c r="N695" s="150"/>
    </row>
    <row r="696" spans="3:14" ht="19.95" customHeight="1">
      <c r="C696" s="150"/>
      <c r="E696" s="150"/>
      <c r="N696" s="150"/>
    </row>
    <row r="697" spans="3:14" ht="19.95" customHeight="1">
      <c r="C697" s="150"/>
      <c r="E697" s="150"/>
      <c r="N697" s="150"/>
    </row>
    <row r="698" spans="3:14" ht="19.95" customHeight="1">
      <c r="C698" s="150"/>
      <c r="E698" s="150"/>
      <c r="N698" s="150"/>
    </row>
    <row r="699" spans="3:14" ht="19.95" customHeight="1">
      <c r="C699" s="150"/>
      <c r="E699" s="150"/>
      <c r="N699" s="150"/>
    </row>
    <row r="700" spans="3:14" ht="19.95" customHeight="1">
      <c r="C700" s="150"/>
      <c r="E700" s="150"/>
      <c r="N700" s="150"/>
    </row>
    <row r="701" spans="3:14" ht="19.95" customHeight="1">
      <c r="C701" s="150"/>
      <c r="E701" s="150"/>
      <c r="N701" s="150"/>
    </row>
    <row r="702" spans="3:14" ht="19.95" customHeight="1">
      <c r="C702" s="150"/>
      <c r="E702" s="150"/>
      <c r="N702" s="150"/>
    </row>
    <row r="703" spans="3:14" ht="19.95" customHeight="1">
      <c r="C703" s="150"/>
      <c r="E703" s="150"/>
      <c r="N703" s="150"/>
    </row>
    <row r="704" spans="3:14" ht="19.95" customHeight="1">
      <c r="C704" s="150"/>
      <c r="E704" s="150"/>
      <c r="N704" s="150"/>
    </row>
    <row r="705" spans="3:14" ht="19.95" customHeight="1">
      <c r="C705" s="150"/>
      <c r="E705" s="150"/>
      <c r="N705" s="150"/>
    </row>
    <row r="706" spans="3:14" ht="19.95" customHeight="1">
      <c r="C706" s="150"/>
      <c r="E706" s="150"/>
      <c r="N706" s="150"/>
    </row>
    <row r="707" spans="3:14" ht="19.95" customHeight="1">
      <c r="C707" s="150"/>
      <c r="E707" s="150"/>
      <c r="N707" s="150"/>
    </row>
    <row r="708" spans="3:14" ht="19.95" customHeight="1">
      <c r="C708" s="150"/>
      <c r="E708" s="150"/>
      <c r="N708" s="150"/>
    </row>
    <row r="709" spans="3:14" ht="19.95" customHeight="1">
      <c r="C709" s="150"/>
      <c r="E709" s="150"/>
      <c r="N709" s="150"/>
    </row>
    <row r="710" spans="3:14" ht="19.95" customHeight="1">
      <c r="C710" s="150"/>
      <c r="E710" s="150"/>
      <c r="N710" s="150"/>
    </row>
    <row r="711" spans="3:14" ht="19.95" customHeight="1">
      <c r="C711" s="150"/>
      <c r="E711" s="150"/>
      <c r="N711" s="150"/>
    </row>
    <row r="712" spans="3:14" ht="19.95" customHeight="1">
      <c r="C712" s="150"/>
      <c r="E712" s="150"/>
      <c r="N712" s="150"/>
    </row>
    <row r="713" spans="3:14" ht="19.95" customHeight="1">
      <c r="C713" s="150"/>
      <c r="E713" s="150"/>
      <c r="N713" s="150"/>
    </row>
    <row r="714" spans="3:14" ht="19.95" customHeight="1">
      <c r="C714" s="150"/>
      <c r="E714" s="150"/>
      <c r="N714" s="150"/>
    </row>
    <row r="715" spans="3:14" ht="19.95" customHeight="1">
      <c r="C715" s="150"/>
      <c r="E715" s="150"/>
      <c r="N715" s="150"/>
    </row>
    <row r="716" spans="3:14" ht="19.95" customHeight="1">
      <c r="C716" s="150"/>
      <c r="E716" s="150"/>
      <c r="N716" s="150"/>
    </row>
    <row r="717" spans="3:14" ht="19.95" customHeight="1">
      <c r="C717" s="150"/>
      <c r="E717" s="150"/>
      <c r="N717" s="150"/>
    </row>
    <row r="718" spans="3:14" ht="19.95" customHeight="1">
      <c r="C718" s="150"/>
      <c r="E718" s="150"/>
      <c r="N718" s="150"/>
    </row>
    <row r="719" spans="3:14" ht="19.95" customHeight="1">
      <c r="C719" s="150"/>
      <c r="E719" s="150"/>
      <c r="N719" s="150"/>
    </row>
    <row r="720" spans="3:14" ht="19.95" customHeight="1">
      <c r="C720" s="150"/>
      <c r="E720" s="150"/>
      <c r="N720" s="150"/>
    </row>
    <row r="721" spans="3:14" ht="19.95" customHeight="1">
      <c r="C721" s="150"/>
      <c r="E721" s="150"/>
      <c r="N721" s="150"/>
    </row>
    <row r="722" spans="3:14" ht="19.95" customHeight="1">
      <c r="C722" s="150"/>
      <c r="E722" s="150"/>
      <c r="N722" s="150"/>
    </row>
    <row r="723" spans="3:14" ht="19.95" customHeight="1">
      <c r="C723" s="150"/>
      <c r="E723" s="150"/>
      <c r="N723" s="150"/>
    </row>
    <row r="724" spans="3:14" ht="19.95" customHeight="1">
      <c r="C724" s="150"/>
      <c r="E724" s="150"/>
      <c r="N724" s="150"/>
    </row>
    <row r="725" spans="3:14" ht="19.95" customHeight="1">
      <c r="C725" s="150"/>
      <c r="E725" s="150"/>
      <c r="N725" s="150"/>
    </row>
    <row r="726" spans="3:14" ht="19.95" customHeight="1">
      <c r="C726" s="150"/>
      <c r="E726" s="150"/>
      <c r="N726" s="150"/>
    </row>
    <row r="727" spans="3:14" ht="19.95" customHeight="1">
      <c r="C727" s="150"/>
      <c r="E727" s="150"/>
      <c r="N727" s="150"/>
    </row>
    <row r="728" spans="3:14" ht="19.95" customHeight="1">
      <c r="C728" s="150"/>
      <c r="E728" s="150"/>
      <c r="N728" s="150"/>
    </row>
    <row r="729" spans="3:14" ht="19.95" customHeight="1">
      <c r="C729" s="150"/>
      <c r="E729" s="150"/>
      <c r="N729" s="150"/>
    </row>
    <row r="730" spans="3:14" ht="19.95" customHeight="1">
      <c r="C730" s="150"/>
      <c r="E730" s="150"/>
      <c r="N730" s="150"/>
    </row>
    <row r="731" spans="3:14" ht="19.95" customHeight="1">
      <c r="C731" s="150"/>
      <c r="E731" s="150"/>
      <c r="N731" s="150"/>
    </row>
    <row r="732" spans="3:14" ht="19.95" customHeight="1">
      <c r="C732" s="150"/>
      <c r="E732" s="150"/>
      <c r="N732" s="150"/>
    </row>
    <row r="733" spans="3:14" ht="19.95" customHeight="1">
      <c r="C733" s="150"/>
      <c r="E733" s="150"/>
      <c r="N733" s="150"/>
    </row>
    <row r="734" spans="3:14" ht="19.95" customHeight="1">
      <c r="C734" s="150"/>
      <c r="E734" s="150"/>
      <c r="N734" s="150"/>
    </row>
    <row r="735" spans="3:14" ht="19.95" customHeight="1">
      <c r="C735" s="150"/>
      <c r="E735" s="150"/>
      <c r="N735" s="150"/>
    </row>
    <row r="736" spans="3:14" ht="19.95" customHeight="1">
      <c r="C736" s="150"/>
      <c r="E736" s="150"/>
      <c r="N736" s="150"/>
    </row>
    <row r="737" spans="3:14" ht="19.95" customHeight="1">
      <c r="C737" s="150"/>
      <c r="E737" s="150"/>
      <c r="N737" s="150"/>
    </row>
    <row r="738" spans="3:14" ht="19.95" customHeight="1">
      <c r="C738" s="150"/>
      <c r="E738" s="150"/>
      <c r="N738" s="150"/>
    </row>
    <row r="739" spans="3:14" ht="19.95" customHeight="1">
      <c r="C739" s="150"/>
      <c r="E739" s="150"/>
      <c r="N739" s="150"/>
    </row>
    <row r="740" spans="3:14" ht="19.95" customHeight="1">
      <c r="C740" s="150"/>
      <c r="E740" s="150"/>
      <c r="N740" s="150"/>
    </row>
    <row r="741" spans="3:14" ht="19.95" customHeight="1">
      <c r="C741" s="150"/>
      <c r="E741" s="150"/>
      <c r="N741" s="150"/>
    </row>
    <row r="742" spans="3:14" ht="19.95" customHeight="1">
      <c r="C742" s="150"/>
      <c r="E742" s="150"/>
      <c r="N742" s="150"/>
    </row>
    <row r="743" spans="3:14" ht="19.95" customHeight="1">
      <c r="C743" s="150"/>
      <c r="E743" s="150"/>
      <c r="N743" s="150"/>
    </row>
    <row r="744" spans="3:14" ht="19.95" customHeight="1">
      <c r="C744" s="150"/>
      <c r="E744" s="150"/>
      <c r="N744" s="150"/>
    </row>
    <row r="745" spans="3:14" ht="19.95" customHeight="1">
      <c r="C745" s="150"/>
      <c r="E745" s="150"/>
      <c r="N745" s="150"/>
    </row>
    <row r="746" spans="3:14" ht="19.95" customHeight="1">
      <c r="C746" s="150"/>
      <c r="E746" s="150"/>
      <c r="N746" s="150"/>
    </row>
    <row r="747" spans="3:14" ht="19.95" customHeight="1">
      <c r="C747" s="150"/>
      <c r="E747" s="150"/>
      <c r="N747" s="150"/>
    </row>
    <row r="748" spans="3:14" ht="19.95" customHeight="1">
      <c r="C748" s="150"/>
      <c r="E748" s="150"/>
      <c r="N748" s="150"/>
    </row>
    <row r="749" spans="3:14" ht="19.95" customHeight="1">
      <c r="C749" s="150"/>
      <c r="E749" s="150"/>
      <c r="N749" s="150"/>
    </row>
    <row r="750" spans="3:14" ht="19.95" customHeight="1">
      <c r="C750" s="150"/>
      <c r="E750" s="150"/>
      <c r="N750" s="150"/>
    </row>
    <row r="751" spans="3:14" ht="19.95" customHeight="1">
      <c r="C751" s="150"/>
      <c r="E751" s="150"/>
      <c r="N751" s="150"/>
    </row>
    <row r="752" spans="3:14" ht="19.95" customHeight="1">
      <c r="C752" s="150"/>
      <c r="E752" s="150"/>
      <c r="N752" s="150"/>
    </row>
    <row r="753" spans="3:14" ht="19.95" customHeight="1">
      <c r="C753" s="150"/>
      <c r="E753" s="150"/>
      <c r="N753" s="150"/>
    </row>
    <row r="754" spans="3:14" ht="19.95" customHeight="1">
      <c r="C754" s="150"/>
      <c r="E754" s="150"/>
      <c r="N754" s="150"/>
    </row>
    <row r="755" spans="3:14" ht="19.95" customHeight="1">
      <c r="C755" s="150"/>
      <c r="E755" s="150"/>
      <c r="N755" s="150"/>
    </row>
    <row r="756" spans="3:14" ht="19.95" customHeight="1">
      <c r="C756" s="150"/>
      <c r="E756" s="150"/>
      <c r="N756" s="150"/>
    </row>
    <row r="757" spans="3:14" ht="19.95" customHeight="1">
      <c r="C757" s="150"/>
      <c r="E757" s="150"/>
      <c r="N757" s="150"/>
    </row>
    <row r="758" spans="3:14" ht="19.95" customHeight="1">
      <c r="C758" s="150"/>
      <c r="E758" s="150"/>
      <c r="N758" s="150"/>
    </row>
    <row r="759" spans="3:14" ht="19.95" customHeight="1">
      <c r="C759" s="150"/>
      <c r="E759" s="150"/>
      <c r="N759" s="150"/>
    </row>
    <row r="760" spans="3:14" ht="19.95" customHeight="1">
      <c r="C760" s="150"/>
      <c r="E760" s="150"/>
      <c r="N760" s="150"/>
    </row>
    <row r="761" spans="3:14" ht="19.95" customHeight="1">
      <c r="C761" s="150"/>
      <c r="E761" s="150"/>
      <c r="N761" s="150"/>
    </row>
    <row r="762" spans="3:14" ht="19.95" customHeight="1">
      <c r="C762" s="150"/>
      <c r="E762" s="150"/>
      <c r="N762" s="150"/>
    </row>
    <row r="763" spans="3:14" ht="19.95" customHeight="1">
      <c r="C763" s="150"/>
      <c r="E763" s="150"/>
      <c r="N763" s="150"/>
    </row>
    <row r="764" spans="3:14" ht="19.95" customHeight="1">
      <c r="C764" s="150"/>
      <c r="E764" s="150"/>
      <c r="N764" s="150"/>
    </row>
    <row r="765" spans="3:14" ht="19.95" customHeight="1">
      <c r="C765" s="150"/>
      <c r="E765" s="150"/>
      <c r="N765" s="150"/>
    </row>
    <row r="766" spans="3:14" ht="19.95" customHeight="1">
      <c r="C766" s="150"/>
      <c r="E766" s="150"/>
      <c r="N766" s="150"/>
    </row>
    <row r="767" spans="3:14" ht="19.95" customHeight="1">
      <c r="C767" s="150"/>
      <c r="E767" s="150"/>
      <c r="N767" s="150"/>
    </row>
    <row r="768" spans="3:14" ht="19.95" customHeight="1">
      <c r="C768" s="150"/>
      <c r="E768" s="150"/>
      <c r="N768" s="150"/>
    </row>
    <row r="769" spans="3:14" ht="19.95" customHeight="1">
      <c r="C769" s="150"/>
      <c r="E769" s="150"/>
      <c r="N769" s="150"/>
    </row>
    <row r="770" spans="3:14" ht="19.95" customHeight="1">
      <c r="C770" s="150"/>
      <c r="E770" s="150"/>
      <c r="N770" s="150"/>
    </row>
    <row r="771" spans="3:14" ht="19.95" customHeight="1">
      <c r="C771" s="150"/>
      <c r="E771" s="150"/>
      <c r="N771" s="150"/>
    </row>
    <row r="772" spans="3:14" ht="19.95" customHeight="1">
      <c r="C772" s="150"/>
      <c r="E772" s="150"/>
      <c r="N772" s="150"/>
    </row>
    <row r="773" spans="3:14" ht="19.95" customHeight="1">
      <c r="C773" s="150"/>
      <c r="E773" s="150"/>
      <c r="N773" s="150"/>
    </row>
    <row r="774" spans="3:14" ht="19.95" customHeight="1">
      <c r="C774" s="150"/>
      <c r="E774" s="150"/>
      <c r="N774" s="150"/>
    </row>
    <row r="775" spans="3:14" ht="19.95" customHeight="1">
      <c r="C775" s="150"/>
      <c r="E775" s="150"/>
      <c r="N775" s="150"/>
    </row>
    <row r="776" spans="3:14" ht="19.95" customHeight="1">
      <c r="C776" s="150"/>
      <c r="E776" s="150"/>
      <c r="N776" s="150"/>
    </row>
    <row r="777" spans="3:14" ht="19.95" customHeight="1">
      <c r="C777" s="150"/>
      <c r="E777" s="150"/>
      <c r="N777" s="150"/>
    </row>
    <row r="778" spans="3:14" ht="19.95" customHeight="1">
      <c r="C778" s="150"/>
      <c r="E778" s="150"/>
      <c r="N778" s="150"/>
    </row>
    <row r="779" spans="3:14" ht="19.95" customHeight="1">
      <c r="C779" s="150"/>
      <c r="E779" s="150"/>
      <c r="N779" s="150"/>
    </row>
    <row r="780" spans="3:14" ht="19.95" customHeight="1">
      <c r="C780" s="150"/>
      <c r="E780" s="150"/>
      <c r="N780" s="150"/>
    </row>
    <row r="781" spans="3:14" ht="19.95" customHeight="1">
      <c r="C781" s="150"/>
      <c r="E781" s="150"/>
      <c r="N781" s="150"/>
    </row>
    <row r="782" spans="3:14" ht="19.95" customHeight="1">
      <c r="C782" s="150"/>
      <c r="E782" s="150"/>
      <c r="N782" s="150"/>
    </row>
    <row r="783" spans="3:14" ht="19.95" customHeight="1">
      <c r="C783" s="150"/>
      <c r="E783" s="150"/>
      <c r="N783" s="150"/>
    </row>
    <row r="784" spans="3:14" ht="19.95" customHeight="1">
      <c r="C784" s="150"/>
      <c r="E784" s="150"/>
      <c r="N784" s="150"/>
    </row>
    <row r="785" spans="3:14" ht="19.95" customHeight="1">
      <c r="C785" s="150"/>
      <c r="E785" s="150"/>
      <c r="N785" s="150"/>
    </row>
    <row r="786" spans="3:14" ht="19.95" customHeight="1">
      <c r="C786" s="150"/>
      <c r="E786" s="150"/>
      <c r="N786" s="150"/>
    </row>
    <row r="787" spans="3:14" ht="19.95" customHeight="1">
      <c r="C787" s="150"/>
      <c r="E787" s="150"/>
      <c r="N787" s="150"/>
    </row>
    <row r="788" spans="3:14" ht="19.95" customHeight="1">
      <c r="C788" s="150"/>
      <c r="E788" s="150"/>
      <c r="N788" s="150"/>
    </row>
    <row r="789" spans="3:14" ht="19.95" customHeight="1">
      <c r="C789" s="150"/>
      <c r="E789" s="150"/>
      <c r="N789" s="150"/>
    </row>
    <row r="790" spans="3:14" ht="19.95" customHeight="1">
      <c r="C790" s="150"/>
      <c r="E790" s="150"/>
      <c r="N790" s="150"/>
    </row>
    <row r="791" spans="3:14" ht="19.95" customHeight="1">
      <c r="C791" s="150"/>
      <c r="E791" s="150"/>
      <c r="N791" s="150"/>
    </row>
    <row r="792" spans="3:14" ht="19.95" customHeight="1">
      <c r="C792" s="150"/>
      <c r="E792" s="150"/>
      <c r="N792" s="150"/>
    </row>
    <row r="793" spans="3:14" ht="19.95" customHeight="1">
      <c r="C793" s="150"/>
      <c r="E793" s="150"/>
      <c r="N793" s="150"/>
    </row>
    <row r="794" spans="3:14" ht="19.95" customHeight="1">
      <c r="C794" s="150"/>
      <c r="E794" s="150"/>
      <c r="N794" s="150"/>
    </row>
    <row r="795" spans="3:14" ht="19.95" customHeight="1">
      <c r="C795" s="150"/>
      <c r="E795" s="150"/>
      <c r="N795" s="150"/>
    </row>
    <row r="796" spans="3:14" ht="19.95" customHeight="1">
      <c r="C796" s="150"/>
      <c r="E796" s="150"/>
      <c r="N796" s="150"/>
    </row>
    <row r="797" spans="3:14" ht="19.95" customHeight="1">
      <c r="C797" s="150"/>
      <c r="E797" s="150"/>
      <c r="N797" s="150"/>
    </row>
    <row r="798" spans="3:14" ht="19.95" customHeight="1">
      <c r="C798" s="150"/>
      <c r="E798" s="150"/>
      <c r="N798" s="150"/>
    </row>
    <row r="799" spans="3:14" ht="19.95" customHeight="1">
      <c r="C799" s="150"/>
      <c r="E799" s="150"/>
      <c r="N799" s="150"/>
    </row>
    <row r="800" spans="3:14" ht="19.95" customHeight="1">
      <c r="C800" s="150"/>
      <c r="E800" s="150"/>
      <c r="N800" s="150"/>
    </row>
    <row r="801" spans="3:14" ht="19.95" customHeight="1">
      <c r="C801" s="150"/>
      <c r="E801" s="150"/>
      <c r="N801" s="150"/>
    </row>
    <row r="802" spans="3:14" ht="19.95" customHeight="1">
      <c r="C802" s="150"/>
      <c r="E802" s="150"/>
      <c r="N802" s="150"/>
    </row>
    <row r="803" spans="3:14" ht="19.95" customHeight="1">
      <c r="C803" s="150"/>
      <c r="E803" s="150"/>
      <c r="N803" s="150"/>
    </row>
    <row r="804" spans="3:14" ht="19.95" customHeight="1">
      <c r="C804" s="150"/>
      <c r="E804" s="150"/>
      <c r="N804" s="150"/>
    </row>
    <row r="805" spans="3:14" ht="19.95" customHeight="1">
      <c r="C805" s="150"/>
      <c r="E805" s="150"/>
      <c r="N805" s="150"/>
    </row>
    <row r="806" spans="3:14" ht="19.95" customHeight="1">
      <c r="C806" s="150"/>
      <c r="E806" s="150"/>
      <c r="N806" s="150"/>
    </row>
    <row r="807" spans="3:14" ht="19.95" customHeight="1">
      <c r="C807" s="150"/>
      <c r="E807" s="150"/>
      <c r="N807" s="150"/>
    </row>
    <row r="808" spans="3:14" ht="19.95" customHeight="1">
      <c r="C808" s="150"/>
      <c r="E808" s="150"/>
      <c r="N808" s="150"/>
    </row>
    <row r="809" spans="3:14" ht="19.95" customHeight="1">
      <c r="C809" s="150"/>
      <c r="E809" s="150"/>
      <c r="N809" s="150"/>
    </row>
    <row r="810" spans="3:14" ht="19.95" customHeight="1">
      <c r="C810" s="150"/>
      <c r="E810" s="150"/>
      <c r="N810" s="150"/>
    </row>
    <row r="811" spans="3:14" ht="19.95" customHeight="1">
      <c r="C811" s="150"/>
      <c r="E811" s="150"/>
      <c r="N811" s="150"/>
    </row>
    <row r="812" spans="3:14" ht="19.95" customHeight="1">
      <c r="C812" s="150"/>
      <c r="E812" s="150"/>
      <c r="N812" s="150"/>
    </row>
    <row r="813" spans="3:14" ht="19.95" customHeight="1">
      <c r="C813" s="150"/>
      <c r="E813" s="150"/>
      <c r="N813" s="150"/>
    </row>
    <row r="814" spans="3:14" ht="19.95" customHeight="1">
      <c r="C814" s="150"/>
      <c r="E814" s="150"/>
      <c r="N814" s="150"/>
    </row>
    <row r="815" spans="3:14" ht="19.95" customHeight="1">
      <c r="C815" s="150"/>
      <c r="E815" s="150"/>
      <c r="N815" s="150"/>
    </row>
    <row r="816" spans="3:14" ht="19.95" customHeight="1">
      <c r="C816" s="150"/>
      <c r="E816" s="150"/>
      <c r="N816" s="150"/>
    </row>
    <row r="817" spans="3:14" ht="19.95" customHeight="1">
      <c r="C817" s="150"/>
      <c r="E817" s="150"/>
      <c r="N817" s="150"/>
    </row>
    <row r="818" spans="3:14" ht="19.95" customHeight="1">
      <c r="C818" s="150"/>
      <c r="E818" s="150"/>
      <c r="N818" s="150"/>
    </row>
    <row r="819" spans="3:14" ht="19.95" customHeight="1">
      <c r="C819" s="150"/>
      <c r="E819" s="150"/>
      <c r="N819" s="150"/>
    </row>
    <row r="820" spans="3:14" ht="19.95" customHeight="1">
      <c r="C820" s="150"/>
      <c r="E820" s="150"/>
      <c r="N820" s="150"/>
    </row>
    <row r="821" spans="3:14" ht="19.95" customHeight="1">
      <c r="C821" s="150"/>
      <c r="E821" s="150"/>
      <c r="N821" s="150"/>
    </row>
    <row r="822" spans="3:14" ht="19.95" customHeight="1">
      <c r="C822" s="150"/>
      <c r="E822" s="150"/>
      <c r="N822" s="150"/>
    </row>
    <row r="823" spans="3:14" ht="19.95" customHeight="1">
      <c r="C823" s="150"/>
      <c r="E823" s="150"/>
      <c r="N823" s="150"/>
    </row>
    <row r="824" spans="3:14" ht="19.95" customHeight="1">
      <c r="C824" s="150"/>
      <c r="E824" s="150"/>
      <c r="N824" s="150"/>
    </row>
    <row r="825" spans="3:14" ht="19.95" customHeight="1">
      <c r="C825" s="150"/>
      <c r="E825" s="150"/>
      <c r="N825" s="150"/>
    </row>
    <row r="826" spans="3:14" ht="19.95" customHeight="1">
      <c r="C826" s="150"/>
      <c r="E826" s="150"/>
      <c r="N826" s="150"/>
    </row>
    <row r="827" spans="3:14" ht="19.95" customHeight="1">
      <c r="C827" s="150"/>
      <c r="E827" s="150"/>
      <c r="N827" s="150"/>
    </row>
    <row r="828" spans="3:14" ht="19.95" customHeight="1">
      <c r="C828" s="150"/>
      <c r="E828" s="150"/>
      <c r="N828" s="150"/>
    </row>
    <row r="829" spans="3:14" ht="19.95" customHeight="1">
      <c r="C829" s="150"/>
      <c r="E829" s="150"/>
      <c r="N829" s="150"/>
    </row>
    <row r="830" spans="3:14" ht="19.95" customHeight="1">
      <c r="C830" s="150"/>
      <c r="E830" s="150"/>
      <c r="N830" s="150"/>
    </row>
    <row r="831" spans="3:14" ht="19.95" customHeight="1">
      <c r="C831" s="150"/>
      <c r="E831" s="150"/>
      <c r="N831" s="150"/>
    </row>
    <row r="832" spans="3:14" ht="19.95" customHeight="1">
      <c r="C832" s="150"/>
      <c r="E832" s="150"/>
      <c r="N832" s="150"/>
    </row>
    <row r="833" spans="3:14" ht="19.95" customHeight="1">
      <c r="C833" s="150"/>
      <c r="E833" s="150"/>
      <c r="N833" s="150"/>
    </row>
    <row r="834" spans="3:14" ht="19.95" customHeight="1">
      <c r="C834" s="150"/>
      <c r="E834" s="150"/>
      <c r="N834" s="150"/>
    </row>
    <row r="835" spans="3:14" ht="19.95" customHeight="1">
      <c r="C835" s="150"/>
      <c r="E835" s="150"/>
      <c r="N835" s="150"/>
    </row>
    <row r="836" spans="3:14" ht="19.95" customHeight="1">
      <c r="C836" s="150"/>
      <c r="E836" s="150"/>
      <c r="N836" s="150"/>
    </row>
    <row r="837" spans="3:14" ht="19.95" customHeight="1">
      <c r="C837" s="150"/>
      <c r="E837" s="150"/>
      <c r="N837" s="150"/>
    </row>
    <row r="838" spans="3:14" ht="19.95" customHeight="1">
      <c r="C838" s="150"/>
      <c r="E838" s="150"/>
      <c r="N838" s="150"/>
    </row>
    <row r="839" spans="3:14" ht="19.95" customHeight="1">
      <c r="C839" s="150"/>
      <c r="E839" s="150"/>
      <c r="N839" s="150"/>
    </row>
    <row r="840" spans="3:14" ht="19.95" customHeight="1">
      <c r="C840" s="150"/>
      <c r="E840" s="150"/>
      <c r="N840" s="150"/>
    </row>
    <row r="841" spans="3:14" ht="19.95" customHeight="1">
      <c r="C841" s="150"/>
      <c r="E841" s="150"/>
      <c r="N841" s="150"/>
    </row>
    <row r="842" spans="3:14" ht="19.95" customHeight="1">
      <c r="C842" s="150"/>
      <c r="E842" s="150"/>
      <c r="N842" s="150"/>
    </row>
    <row r="843" spans="3:14" ht="19.95" customHeight="1">
      <c r="C843" s="150"/>
      <c r="E843" s="150"/>
      <c r="N843" s="150"/>
    </row>
    <row r="844" spans="3:14" ht="19.95" customHeight="1">
      <c r="C844" s="150"/>
      <c r="E844" s="150"/>
      <c r="N844" s="150"/>
    </row>
    <row r="845" spans="3:14" ht="19.95" customHeight="1">
      <c r="C845" s="150"/>
      <c r="E845" s="150"/>
      <c r="N845" s="150"/>
    </row>
    <row r="846" spans="3:14" ht="19.95" customHeight="1">
      <c r="C846" s="150"/>
      <c r="E846" s="150"/>
      <c r="N846" s="150"/>
    </row>
    <row r="847" spans="3:14" ht="19.95" customHeight="1">
      <c r="C847" s="150"/>
      <c r="E847" s="150"/>
      <c r="N847" s="150"/>
    </row>
    <row r="848" spans="3:14" ht="19.95" customHeight="1">
      <c r="C848" s="150"/>
      <c r="E848" s="150"/>
      <c r="N848" s="150"/>
    </row>
    <row r="849" spans="3:14" ht="19.95" customHeight="1">
      <c r="C849" s="150"/>
      <c r="E849" s="150"/>
      <c r="N849" s="150"/>
    </row>
    <row r="850" spans="3:14" ht="19.95" customHeight="1">
      <c r="C850" s="150"/>
      <c r="E850" s="150"/>
      <c r="N850" s="150"/>
    </row>
    <row r="851" spans="3:14" ht="19.95" customHeight="1">
      <c r="C851" s="150"/>
      <c r="E851" s="150"/>
      <c r="N851" s="150"/>
    </row>
    <row r="852" spans="3:14" ht="19.95" customHeight="1">
      <c r="C852" s="150"/>
      <c r="E852" s="150"/>
      <c r="N852" s="150"/>
    </row>
    <row r="853" spans="3:14" ht="19.95" customHeight="1">
      <c r="C853" s="150"/>
      <c r="E853" s="150"/>
      <c r="N853" s="150"/>
    </row>
    <row r="854" spans="3:14" ht="19.95" customHeight="1">
      <c r="C854" s="150"/>
      <c r="E854" s="150"/>
      <c r="N854" s="150"/>
    </row>
    <row r="855" spans="3:14" ht="19.95" customHeight="1">
      <c r="C855" s="150"/>
      <c r="E855" s="150"/>
      <c r="N855" s="150"/>
    </row>
    <row r="856" spans="3:14" ht="19.95" customHeight="1">
      <c r="C856" s="150"/>
      <c r="E856" s="150"/>
      <c r="N856" s="150"/>
    </row>
    <row r="857" spans="3:14" ht="19.95" customHeight="1">
      <c r="C857" s="150"/>
      <c r="E857" s="150"/>
      <c r="N857" s="150"/>
    </row>
    <row r="858" spans="3:14" ht="19.95" customHeight="1">
      <c r="C858" s="150"/>
      <c r="E858" s="150"/>
      <c r="N858" s="150"/>
    </row>
    <row r="859" spans="3:14" ht="19.95" customHeight="1">
      <c r="C859" s="150"/>
      <c r="E859" s="150"/>
      <c r="N859" s="150"/>
    </row>
    <row r="860" spans="3:14" ht="19.95" customHeight="1">
      <c r="C860" s="150"/>
      <c r="E860" s="150"/>
      <c r="N860" s="150"/>
    </row>
    <row r="861" spans="3:14" ht="19.95" customHeight="1">
      <c r="C861" s="150"/>
      <c r="E861" s="150"/>
      <c r="N861" s="150"/>
    </row>
    <row r="862" spans="3:14" ht="19.95" customHeight="1">
      <c r="C862" s="150"/>
      <c r="E862" s="150"/>
      <c r="N862" s="150"/>
    </row>
    <row r="863" spans="3:14" ht="19.95" customHeight="1">
      <c r="C863" s="150"/>
      <c r="E863" s="150"/>
      <c r="N863" s="150"/>
    </row>
    <row r="864" spans="3:14" ht="19.95" customHeight="1">
      <c r="C864" s="150"/>
      <c r="E864" s="150"/>
      <c r="N864" s="150"/>
    </row>
    <row r="865" spans="3:14" ht="19.95" customHeight="1">
      <c r="C865" s="150"/>
      <c r="E865" s="150"/>
      <c r="N865" s="150"/>
    </row>
    <row r="866" spans="3:14" ht="19.95" customHeight="1">
      <c r="C866" s="150"/>
      <c r="E866" s="150"/>
      <c r="N866" s="150"/>
    </row>
    <row r="867" spans="3:14" ht="19.95" customHeight="1">
      <c r="C867" s="150"/>
      <c r="E867" s="150"/>
      <c r="N867" s="150"/>
    </row>
    <row r="868" spans="3:14" ht="19.95" customHeight="1">
      <c r="C868" s="150"/>
      <c r="E868" s="150"/>
      <c r="N868" s="150"/>
    </row>
    <row r="869" spans="3:14" ht="19.95" customHeight="1">
      <c r="C869" s="150"/>
      <c r="E869" s="150"/>
      <c r="N869" s="150"/>
    </row>
    <row r="870" spans="3:14" ht="19.95" customHeight="1">
      <c r="C870" s="150"/>
      <c r="E870" s="150"/>
      <c r="N870" s="150"/>
    </row>
    <row r="871" spans="3:14" ht="19.95" customHeight="1">
      <c r="C871" s="150"/>
      <c r="E871" s="150"/>
      <c r="N871" s="150"/>
    </row>
    <row r="872" spans="3:14" ht="19.95" customHeight="1">
      <c r="C872" s="150"/>
      <c r="E872" s="150"/>
      <c r="N872" s="150"/>
    </row>
    <row r="873" spans="3:14" ht="19.95" customHeight="1">
      <c r="C873" s="150"/>
      <c r="E873" s="150"/>
      <c r="N873" s="150"/>
    </row>
    <row r="874" spans="3:14" ht="19.95" customHeight="1">
      <c r="C874" s="150"/>
      <c r="E874" s="150"/>
      <c r="N874" s="150"/>
    </row>
    <row r="875" spans="3:14" ht="19.95" customHeight="1">
      <c r="C875" s="150"/>
      <c r="E875" s="150"/>
      <c r="N875" s="150"/>
    </row>
    <row r="876" spans="3:14" ht="19.95" customHeight="1">
      <c r="C876" s="150"/>
      <c r="E876" s="150"/>
      <c r="N876" s="150"/>
    </row>
    <row r="877" spans="3:14" ht="19.95" customHeight="1">
      <c r="C877" s="150"/>
      <c r="E877" s="150"/>
      <c r="N877" s="150"/>
    </row>
    <row r="878" spans="3:14" ht="19.95" customHeight="1">
      <c r="C878" s="150"/>
      <c r="E878" s="150"/>
      <c r="N878" s="150"/>
    </row>
    <row r="879" spans="3:14" ht="19.95" customHeight="1">
      <c r="C879" s="150"/>
      <c r="E879" s="150"/>
      <c r="N879" s="150"/>
    </row>
    <row r="880" spans="3:14" ht="19.95" customHeight="1">
      <c r="C880" s="150"/>
      <c r="E880" s="150"/>
      <c r="N880" s="150"/>
    </row>
    <row r="881" spans="3:14" ht="19.95" customHeight="1">
      <c r="C881" s="150"/>
      <c r="E881" s="150"/>
      <c r="N881" s="150"/>
    </row>
    <row r="882" spans="3:14" ht="19.95" customHeight="1">
      <c r="C882" s="150"/>
      <c r="E882" s="150"/>
      <c r="N882" s="150"/>
    </row>
    <row r="883" spans="3:14" ht="19.95" customHeight="1">
      <c r="C883" s="150"/>
      <c r="E883" s="150"/>
      <c r="N883" s="150"/>
    </row>
    <row r="884" spans="3:14" ht="19.95" customHeight="1">
      <c r="C884" s="150"/>
      <c r="E884" s="150"/>
      <c r="N884" s="150"/>
    </row>
    <row r="885" spans="3:14" ht="19.95" customHeight="1">
      <c r="C885" s="150"/>
      <c r="E885" s="150"/>
      <c r="N885" s="150"/>
    </row>
    <row r="886" spans="3:14" ht="19.95" customHeight="1">
      <c r="C886" s="150"/>
      <c r="E886" s="150"/>
      <c r="N886" s="150"/>
    </row>
    <row r="887" spans="3:14" ht="19.95" customHeight="1">
      <c r="C887" s="150"/>
      <c r="E887" s="150"/>
      <c r="N887" s="150"/>
    </row>
    <row r="888" spans="3:14" ht="19.95" customHeight="1">
      <c r="C888" s="150"/>
      <c r="E888" s="150"/>
      <c r="N888" s="150"/>
    </row>
    <row r="889" spans="3:14" ht="19.95" customHeight="1">
      <c r="C889" s="150"/>
      <c r="E889" s="150"/>
      <c r="N889" s="150"/>
    </row>
    <row r="890" spans="3:14" ht="19.95" customHeight="1">
      <c r="C890" s="150"/>
      <c r="E890" s="150"/>
      <c r="N890" s="150"/>
    </row>
    <row r="891" spans="3:14" ht="19.95" customHeight="1">
      <c r="C891" s="150"/>
      <c r="E891" s="150"/>
      <c r="N891" s="150"/>
    </row>
    <row r="892" spans="3:14" ht="19.95" customHeight="1">
      <c r="C892" s="150"/>
      <c r="E892" s="150"/>
      <c r="N892" s="150"/>
    </row>
    <row r="893" spans="3:14" ht="19.95" customHeight="1">
      <c r="C893" s="150"/>
      <c r="E893" s="150"/>
      <c r="N893" s="150"/>
    </row>
    <row r="894" spans="3:14" ht="19.95" customHeight="1">
      <c r="C894" s="150"/>
      <c r="E894" s="150"/>
      <c r="N894" s="150"/>
    </row>
    <row r="895" spans="3:14" ht="19.95" customHeight="1">
      <c r="C895" s="150"/>
      <c r="E895" s="150"/>
      <c r="N895" s="150"/>
    </row>
    <row r="896" spans="3:14" ht="19.95" customHeight="1">
      <c r="C896" s="150"/>
      <c r="E896" s="150"/>
      <c r="N896" s="150"/>
    </row>
    <row r="897" spans="3:14" ht="19.95" customHeight="1">
      <c r="C897" s="150"/>
      <c r="E897" s="150"/>
      <c r="N897" s="150"/>
    </row>
    <row r="898" spans="3:14" ht="19.95" customHeight="1">
      <c r="C898" s="150"/>
      <c r="E898" s="150"/>
      <c r="N898" s="150"/>
    </row>
    <row r="899" spans="3:14" ht="19.95" customHeight="1">
      <c r="C899" s="150"/>
      <c r="E899" s="150"/>
      <c r="N899" s="150"/>
    </row>
    <row r="900" spans="3:14" ht="19.95" customHeight="1">
      <c r="C900" s="150"/>
      <c r="E900" s="150"/>
      <c r="N900" s="150"/>
    </row>
    <row r="901" spans="3:14" ht="19.95" customHeight="1">
      <c r="C901" s="150"/>
      <c r="E901" s="150"/>
      <c r="N901" s="150"/>
    </row>
    <row r="902" spans="3:14" ht="19.95" customHeight="1">
      <c r="C902" s="150"/>
      <c r="E902" s="150"/>
      <c r="N902" s="150"/>
    </row>
    <row r="903" spans="3:14" ht="19.95" customHeight="1">
      <c r="C903" s="150"/>
      <c r="E903" s="150"/>
      <c r="N903" s="150"/>
    </row>
    <row r="904" spans="3:14" ht="19.95" customHeight="1">
      <c r="C904" s="150"/>
      <c r="E904" s="150"/>
      <c r="N904" s="150"/>
    </row>
    <row r="905" spans="3:14" ht="19.95" customHeight="1">
      <c r="C905" s="150"/>
      <c r="E905" s="150"/>
      <c r="N905" s="150"/>
    </row>
    <row r="906" spans="3:14" ht="19.95" customHeight="1">
      <c r="C906" s="150"/>
      <c r="E906" s="150"/>
      <c r="N906" s="150"/>
    </row>
    <row r="907" spans="3:14" ht="19.95" customHeight="1">
      <c r="C907" s="150"/>
      <c r="E907" s="150"/>
      <c r="N907" s="150"/>
    </row>
    <row r="908" spans="3:14" ht="19.95" customHeight="1">
      <c r="C908" s="150"/>
      <c r="E908" s="150"/>
      <c r="N908" s="150"/>
    </row>
    <row r="909" spans="3:14" ht="19.95" customHeight="1">
      <c r="C909" s="150"/>
      <c r="E909" s="150"/>
      <c r="N909" s="150"/>
    </row>
    <row r="910" spans="3:14" ht="19.95" customHeight="1">
      <c r="C910" s="150"/>
      <c r="E910" s="150"/>
      <c r="N910" s="150"/>
    </row>
    <row r="911" spans="3:14" ht="19.95" customHeight="1">
      <c r="C911" s="150"/>
      <c r="E911" s="150"/>
      <c r="N911" s="150"/>
    </row>
    <row r="912" spans="3:14" ht="19.95" customHeight="1">
      <c r="C912" s="150"/>
      <c r="E912" s="150"/>
      <c r="N912" s="150"/>
    </row>
    <row r="913" spans="3:14" ht="19.95" customHeight="1">
      <c r="C913" s="150"/>
      <c r="E913" s="150"/>
      <c r="N913" s="150"/>
    </row>
    <row r="914" spans="3:14" ht="19.95" customHeight="1">
      <c r="C914" s="150"/>
      <c r="E914" s="150"/>
      <c r="N914" s="150"/>
    </row>
    <row r="915" spans="3:14" ht="19.95" customHeight="1">
      <c r="C915" s="150"/>
      <c r="E915" s="150"/>
      <c r="N915" s="150"/>
    </row>
    <row r="916" spans="3:14" ht="19.95" customHeight="1">
      <c r="C916" s="150"/>
      <c r="E916" s="150"/>
      <c r="N916" s="150"/>
    </row>
    <row r="917" spans="3:14" ht="19.95" customHeight="1">
      <c r="C917" s="150"/>
      <c r="E917" s="150"/>
      <c r="N917" s="150"/>
    </row>
    <row r="918" spans="3:14" ht="19.95" customHeight="1">
      <c r="C918" s="150"/>
      <c r="E918" s="150"/>
      <c r="N918" s="150"/>
    </row>
    <row r="919" spans="3:14" ht="19.95" customHeight="1">
      <c r="C919" s="150"/>
      <c r="E919" s="150"/>
      <c r="N919" s="150"/>
    </row>
    <row r="920" spans="3:14" ht="19.95" customHeight="1">
      <c r="C920" s="150"/>
      <c r="E920" s="150"/>
      <c r="N920" s="150"/>
    </row>
    <row r="921" spans="3:14" ht="19.95" customHeight="1">
      <c r="C921" s="150"/>
      <c r="E921" s="150"/>
      <c r="N921" s="150"/>
    </row>
    <row r="922" spans="3:14" ht="19.95" customHeight="1">
      <c r="C922" s="150"/>
      <c r="E922" s="150"/>
      <c r="N922" s="150"/>
    </row>
    <row r="923" spans="3:14" ht="19.95" customHeight="1">
      <c r="C923" s="150"/>
      <c r="E923" s="150"/>
      <c r="N923" s="150"/>
    </row>
    <row r="924" spans="3:14" ht="19.95" customHeight="1">
      <c r="C924" s="150"/>
      <c r="E924" s="150"/>
      <c r="N924" s="150"/>
    </row>
    <row r="925" spans="3:14" ht="19.95" customHeight="1">
      <c r="C925" s="150"/>
      <c r="E925" s="150"/>
      <c r="N925" s="150"/>
    </row>
    <row r="926" spans="3:14" ht="19.95" customHeight="1">
      <c r="C926" s="150"/>
      <c r="E926" s="150"/>
      <c r="N926" s="150"/>
    </row>
    <row r="927" spans="3:14" ht="19.95" customHeight="1">
      <c r="C927" s="150"/>
      <c r="E927" s="150"/>
      <c r="N927" s="150"/>
    </row>
    <row r="928" spans="3:14" ht="19.95" customHeight="1">
      <c r="C928" s="150"/>
      <c r="E928" s="150"/>
      <c r="N928" s="150"/>
    </row>
    <row r="929" spans="3:14" ht="19.95" customHeight="1">
      <c r="C929" s="150"/>
      <c r="E929" s="150"/>
      <c r="N929" s="150"/>
    </row>
    <row r="930" spans="3:14" ht="19.95" customHeight="1">
      <c r="C930" s="150"/>
      <c r="E930" s="150"/>
      <c r="N930" s="150"/>
    </row>
    <row r="931" spans="3:14" ht="19.95" customHeight="1">
      <c r="C931" s="150"/>
      <c r="E931" s="150"/>
      <c r="N931" s="150"/>
    </row>
    <row r="932" spans="3:14" ht="19.95" customHeight="1">
      <c r="C932" s="150"/>
      <c r="E932" s="150"/>
      <c r="N932" s="150"/>
    </row>
    <row r="933" spans="3:14" ht="19.95" customHeight="1">
      <c r="C933" s="150"/>
      <c r="E933" s="150"/>
      <c r="N933" s="150"/>
    </row>
    <row r="934" spans="3:14" ht="19.95" customHeight="1">
      <c r="C934" s="150"/>
      <c r="E934" s="150"/>
      <c r="N934" s="150"/>
    </row>
    <row r="935" spans="3:14" ht="19.95" customHeight="1">
      <c r="C935" s="150"/>
      <c r="E935" s="150"/>
      <c r="N935" s="150"/>
    </row>
    <row r="936" spans="3:14" ht="19.95" customHeight="1">
      <c r="C936" s="150"/>
      <c r="E936" s="150"/>
      <c r="N936" s="150"/>
    </row>
    <row r="937" spans="3:14" ht="19.95" customHeight="1">
      <c r="C937" s="150"/>
      <c r="E937" s="150"/>
      <c r="N937" s="150"/>
    </row>
    <row r="938" spans="3:14" ht="19.95" customHeight="1">
      <c r="C938" s="150"/>
      <c r="E938" s="150"/>
      <c r="N938" s="150"/>
    </row>
    <row r="939" spans="3:14" ht="19.95" customHeight="1">
      <c r="C939" s="150"/>
      <c r="E939" s="150"/>
      <c r="N939" s="150"/>
    </row>
    <row r="940" spans="3:14" ht="19.95" customHeight="1">
      <c r="C940" s="150"/>
      <c r="E940" s="150"/>
      <c r="N940" s="150"/>
    </row>
    <row r="941" spans="3:14" ht="19.95" customHeight="1">
      <c r="C941" s="150"/>
      <c r="E941" s="150"/>
      <c r="N941" s="150"/>
    </row>
    <row r="942" spans="3:14" ht="19.95" customHeight="1">
      <c r="C942" s="150"/>
      <c r="E942" s="150"/>
      <c r="N942" s="150"/>
    </row>
    <row r="943" spans="3:14" ht="19.95" customHeight="1">
      <c r="C943" s="150"/>
      <c r="E943" s="150"/>
      <c r="N943" s="150"/>
    </row>
    <row r="944" spans="3:14" ht="19.95" customHeight="1">
      <c r="C944" s="150"/>
      <c r="E944" s="150"/>
      <c r="N944" s="150"/>
    </row>
    <row r="945" spans="3:14" ht="19.95" customHeight="1">
      <c r="C945" s="150"/>
      <c r="E945" s="150"/>
      <c r="N945" s="150"/>
    </row>
    <row r="946" spans="3:14" ht="19.95" customHeight="1">
      <c r="C946" s="150"/>
      <c r="E946" s="150"/>
      <c r="N946" s="150"/>
    </row>
    <row r="947" spans="3:14" ht="19.95" customHeight="1">
      <c r="C947" s="150"/>
      <c r="E947" s="150"/>
      <c r="N947" s="150"/>
    </row>
    <row r="948" spans="3:14" ht="19.95" customHeight="1">
      <c r="C948" s="150"/>
      <c r="E948" s="150"/>
      <c r="N948" s="150"/>
    </row>
    <row r="949" spans="3:14" ht="19.95" customHeight="1">
      <c r="C949" s="150"/>
      <c r="E949" s="150"/>
      <c r="N949" s="150"/>
    </row>
    <row r="950" spans="3:14" ht="19.95" customHeight="1">
      <c r="C950" s="150"/>
      <c r="E950" s="150"/>
      <c r="N950" s="150"/>
    </row>
    <row r="951" spans="3:14" ht="19.95" customHeight="1">
      <c r="C951" s="150"/>
      <c r="E951" s="150"/>
      <c r="N951" s="150"/>
    </row>
    <row r="952" spans="3:14" ht="19.95" customHeight="1">
      <c r="C952" s="150"/>
      <c r="E952" s="150"/>
      <c r="N952" s="150"/>
    </row>
    <row r="953" spans="3:14" ht="19.95" customHeight="1">
      <c r="C953" s="150"/>
      <c r="E953" s="150"/>
      <c r="N953" s="150"/>
    </row>
    <row r="954" spans="3:14" ht="19.95" customHeight="1">
      <c r="C954" s="150"/>
      <c r="E954" s="150"/>
      <c r="N954" s="150"/>
    </row>
    <row r="955" spans="3:14" ht="19.95" customHeight="1">
      <c r="C955" s="150"/>
      <c r="E955" s="150"/>
      <c r="N955" s="150"/>
    </row>
    <row r="956" spans="3:14" ht="19.95" customHeight="1">
      <c r="C956" s="150"/>
      <c r="E956" s="150"/>
      <c r="N956" s="150"/>
    </row>
    <row r="957" spans="3:14" ht="19.95" customHeight="1">
      <c r="C957" s="150"/>
      <c r="E957" s="150"/>
      <c r="N957" s="150"/>
    </row>
    <row r="958" spans="3:14" ht="19.95" customHeight="1">
      <c r="C958" s="150"/>
      <c r="E958" s="150"/>
      <c r="N958" s="150"/>
    </row>
    <row r="959" spans="3:14" ht="19.95" customHeight="1">
      <c r="C959" s="150"/>
      <c r="E959" s="150"/>
      <c r="N959" s="150"/>
    </row>
    <row r="960" spans="3:14" ht="19.95" customHeight="1">
      <c r="C960" s="150"/>
      <c r="E960" s="150"/>
      <c r="N960" s="150"/>
    </row>
    <row r="961" spans="3:14" ht="19.95" customHeight="1">
      <c r="C961" s="150"/>
      <c r="E961" s="150"/>
      <c r="N961" s="150"/>
    </row>
    <row r="962" spans="3:14" ht="19.95" customHeight="1">
      <c r="C962" s="150"/>
      <c r="E962" s="150"/>
      <c r="N962" s="150"/>
    </row>
    <row r="963" spans="3:14" ht="19.95" customHeight="1">
      <c r="C963" s="150"/>
      <c r="E963" s="150"/>
      <c r="N963" s="150"/>
    </row>
    <row r="964" spans="3:14" ht="19.95" customHeight="1">
      <c r="C964" s="150"/>
      <c r="E964" s="150"/>
      <c r="N964" s="150"/>
    </row>
    <row r="965" spans="3:14" ht="19.95" customHeight="1">
      <c r="C965" s="150"/>
      <c r="E965" s="150"/>
      <c r="N965" s="150"/>
    </row>
    <row r="966" spans="3:14" ht="19.95" customHeight="1">
      <c r="C966" s="150"/>
      <c r="E966" s="150"/>
      <c r="N966" s="150"/>
    </row>
    <row r="967" spans="3:14" ht="19.95" customHeight="1">
      <c r="C967" s="150"/>
      <c r="E967" s="150"/>
      <c r="N967" s="150"/>
    </row>
    <row r="968" spans="3:14" ht="19.95" customHeight="1">
      <c r="C968" s="150"/>
      <c r="E968" s="150"/>
      <c r="N968" s="150"/>
    </row>
    <row r="969" spans="3:14" ht="19.95" customHeight="1">
      <c r="C969" s="150"/>
      <c r="E969" s="150"/>
      <c r="N969" s="150"/>
    </row>
    <row r="970" spans="3:14" ht="19.95" customHeight="1">
      <c r="C970" s="150"/>
      <c r="E970" s="150"/>
      <c r="N970" s="150"/>
    </row>
    <row r="971" spans="3:14" ht="19.95" customHeight="1">
      <c r="C971" s="150"/>
      <c r="E971" s="150"/>
      <c r="N971" s="150"/>
    </row>
    <row r="972" spans="3:14" ht="19.95" customHeight="1">
      <c r="C972" s="150"/>
      <c r="E972" s="150"/>
      <c r="N972" s="150"/>
    </row>
    <row r="973" spans="3:14" ht="19.95" customHeight="1">
      <c r="C973" s="150"/>
      <c r="E973" s="150"/>
      <c r="N973" s="150"/>
    </row>
    <row r="974" spans="3:14" ht="19.95" customHeight="1">
      <c r="C974" s="150"/>
      <c r="E974" s="150"/>
      <c r="N974" s="150"/>
    </row>
    <row r="975" spans="3:14" ht="19.95" customHeight="1">
      <c r="C975" s="150"/>
      <c r="E975" s="150"/>
      <c r="N975" s="150"/>
    </row>
    <row r="976" spans="3:14" ht="19.95" customHeight="1">
      <c r="C976" s="150"/>
      <c r="E976" s="150"/>
      <c r="N976" s="150"/>
    </row>
    <row r="977" spans="3:14" ht="19.95" customHeight="1">
      <c r="C977" s="150"/>
      <c r="E977" s="150"/>
      <c r="N977" s="150"/>
    </row>
    <row r="978" spans="3:14" ht="19.95" customHeight="1">
      <c r="C978" s="150"/>
      <c r="E978" s="150"/>
      <c r="N978" s="150"/>
    </row>
    <row r="979" spans="3:14" ht="19.95" customHeight="1">
      <c r="C979" s="150"/>
      <c r="E979" s="150"/>
      <c r="N979" s="150"/>
    </row>
    <row r="980" spans="3:14" ht="19.95" customHeight="1">
      <c r="C980" s="150"/>
      <c r="E980" s="150"/>
      <c r="N980" s="150"/>
    </row>
    <row r="981" spans="3:14" ht="19.95" customHeight="1">
      <c r="C981" s="150"/>
      <c r="E981" s="150"/>
      <c r="N981" s="150"/>
    </row>
    <row r="982" spans="3:14" ht="19.95" customHeight="1">
      <c r="C982" s="150"/>
      <c r="E982" s="150"/>
      <c r="N982" s="150"/>
    </row>
    <row r="983" spans="3:14" ht="19.95" customHeight="1">
      <c r="C983" s="150"/>
      <c r="E983" s="150"/>
      <c r="N983" s="150"/>
    </row>
    <row r="984" spans="3:14" ht="19.95" customHeight="1">
      <c r="C984" s="150"/>
      <c r="E984" s="150"/>
      <c r="N984" s="150"/>
    </row>
    <row r="985" spans="3:14" ht="19.95" customHeight="1">
      <c r="C985" s="150"/>
      <c r="E985" s="150"/>
      <c r="N985" s="150"/>
    </row>
    <row r="986" spans="3:14" ht="19.95" customHeight="1">
      <c r="C986" s="150"/>
      <c r="E986" s="150"/>
      <c r="N986" s="150"/>
    </row>
    <row r="987" spans="3:14" ht="19.95" customHeight="1">
      <c r="C987" s="150"/>
      <c r="E987" s="150"/>
      <c r="N987" s="150"/>
    </row>
    <row r="988" spans="3:14" ht="19.95" customHeight="1">
      <c r="C988" s="150"/>
      <c r="E988" s="150"/>
      <c r="N988" s="150"/>
    </row>
    <row r="989" spans="3:14" ht="19.95" customHeight="1">
      <c r="C989" s="150"/>
      <c r="E989" s="150"/>
      <c r="N989" s="150"/>
    </row>
    <row r="990" spans="3:14" ht="19.95" customHeight="1">
      <c r="C990" s="150"/>
      <c r="E990" s="150"/>
      <c r="N990" s="150"/>
    </row>
    <row r="991" spans="3:14" ht="19.95" customHeight="1">
      <c r="C991" s="150"/>
      <c r="E991" s="150"/>
      <c r="N991" s="150"/>
    </row>
    <row r="992" spans="3:14" ht="19.95" customHeight="1">
      <c r="C992" s="150"/>
      <c r="E992" s="150"/>
      <c r="N992" s="150"/>
    </row>
    <row r="993" spans="3:14" ht="19.95" customHeight="1">
      <c r="C993" s="150"/>
      <c r="E993" s="150"/>
      <c r="N993" s="150"/>
    </row>
    <row r="994" spans="3:14" ht="19.95" customHeight="1">
      <c r="C994" s="150"/>
      <c r="E994" s="150"/>
      <c r="N994" s="150"/>
    </row>
    <row r="995" spans="3:14" ht="19.95" customHeight="1">
      <c r="C995" s="150"/>
      <c r="E995" s="150"/>
      <c r="N995" s="150"/>
    </row>
    <row r="996" spans="3:14" ht="19.95" customHeight="1">
      <c r="C996" s="150"/>
      <c r="E996" s="150"/>
      <c r="N996" s="150"/>
    </row>
    <row r="997" spans="3:14" ht="19.95" customHeight="1">
      <c r="C997" s="150"/>
      <c r="E997" s="150"/>
      <c r="N997" s="150"/>
    </row>
    <row r="998" spans="3:14" ht="19.95" customHeight="1">
      <c r="C998" s="150"/>
      <c r="E998" s="150"/>
      <c r="N998" s="150"/>
    </row>
    <row r="999" spans="3:14" ht="19.95" customHeight="1">
      <c r="C999" s="150"/>
      <c r="E999" s="150"/>
      <c r="N999" s="150"/>
    </row>
    <row r="1000" spans="3:14" ht="19.95" customHeight="1">
      <c r="C1000" s="150"/>
      <c r="E1000" s="150"/>
      <c r="N1000" s="150"/>
    </row>
    <row r="1001" spans="3:14" ht="19.95" customHeight="1">
      <c r="C1001" s="150"/>
      <c r="E1001" s="150"/>
      <c r="N1001" s="150"/>
    </row>
    <row r="1002" spans="3:14" ht="19.95" customHeight="1">
      <c r="C1002" s="150"/>
      <c r="E1002" s="150"/>
      <c r="N1002" s="150"/>
    </row>
    <row r="1003" spans="3:14" ht="19.95" customHeight="1">
      <c r="C1003" s="150"/>
      <c r="E1003" s="150"/>
      <c r="N1003" s="150"/>
    </row>
    <row r="1004" spans="3:14" ht="19.95" customHeight="1">
      <c r="C1004" s="150"/>
      <c r="E1004" s="150"/>
      <c r="N1004" s="150"/>
    </row>
    <row r="1005" spans="3:14" ht="19.95" customHeight="1">
      <c r="C1005" s="150"/>
      <c r="E1005" s="150"/>
      <c r="N1005" s="150"/>
    </row>
    <row r="1006" spans="3:14" ht="19.95" customHeight="1">
      <c r="C1006" s="150"/>
      <c r="E1006" s="150"/>
      <c r="N1006" s="150"/>
    </row>
    <row r="1007" spans="3:14" ht="19.95" customHeight="1">
      <c r="C1007" s="150"/>
      <c r="E1007" s="150"/>
      <c r="N1007" s="150"/>
    </row>
    <row r="1008" spans="3:14" ht="19.95" customHeight="1">
      <c r="C1008" s="150"/>
      <c r="E1008" s="150"/>
      <c r="N1008" s="150"/>
    </row>
    <row r="1009" spans="3:14" ht="19.95" customHeight="1">
      <c r="C1009" s="150"/>
      <c r="E1009" s="150"/>
      <c r="N1009" s="150"/>
    </row>
    <row r="1010" spans="3:14" ht="19.95" customHeight="1">
      <c r="C1010" s="150"/>
      <c r="E1010" s="150"/>
      <c r="N1010" s="150"/>
    </row>
    <row r="1011" spans="3:14" ht="19.95" customHeight="1">
      <c r="C1011" s="150"/>
      <c r="E1011" s="150"/>
      <c r="N1011" s="150"/>
    </row>
    <row r="1012" spans="3:14" ht="19.95" customHeight="1">
      <c r="C1012" s="150"/>
      <c r="E1012" s="150"/>
      <c r="N1012" s="150"/>
    </row>
    <row r="1013" spans="3:14" ht="19.95" customHeight="1">
      <c r="C1013" s="150"/>
      <c r="E1013" s="150"/>
      <c r="N1013" s="150"/>
    </row>
    <row r="1014" spans="3:14" ht="19.95" customHeight="1">
      <c r="C1014" s="150"/>
      <c r="E1014" s="150"/>
      <c r="N1014" s="150"/>
    </row>
    <row r="1015" spans="3:14" ht="19.95" customHeight="1">
      <c r="C1015" s="150"/>
      <c r="E1015" s="150"/>
      <c r="N1015" s="150"/>
    </row>
    <row r="1016" spans="3:14" ht="19.95" customHeight="1">
      <c r="C1016" s="150"/>
      <c r="E1016" s="150"/>
      <c r="N1016" s="150"/>
    </row>
    <row r="1017" spans="3:14" ht="19.95" customHeight="1">
      <c r="C1017" s="150"/>
      <c r="E1017" s="150"/>
      <c r="N1017" s="150"/>
    </row>
    <row r="1018" spans="3:14" ht="19.95" customHeight="1">
      <c r="C1018" s="150"/>
      <c r="E1018" s="150"/>
      <c r="N1018" s="150"/>
    </row>
    <row r="1019" spans="3:14" ht="19.95" customHeight="1">
      <c r="C1019" s="150"/>
      <c r="E1019" s="150"/>
      <c r="N1019" s="150"/>
    </row>
    <row r="1020" spans="3:14" ht="19.95" customHeight="1">
      <c r="C1020" s="150"/>
      <c r="E1020" s="150"/>
      <c r="N1020" s="150"/>
    </row>
    <row r="1021" spans="3:14" ht="19.95" customHeight="1">
      <c r="C1021" s="150"/>
      <c r="E1021" s="150"/>
      <c r="N1021" s="150"/>
    </row>
    <row r="1022" spans="3:14" ht="19.95" customHeight="1">
      <c r="C1022" s="150"/>
      <c r="E1022" s="150"/>
      <c r="N1022" s="150"/>
    </row>
    <row r="1023" spans="3:14" ht="19.95" customHeight="1">
      <c r="C1023" s="150"/>
      <c r="E1023" s="150"/>
      <c r="N1023" s="150"/>
    </row>
    <row r="1024" spans="3:14" ht="19.95" customHeight="1">
      <c r="C1024" s="150"/>
      <c r="E1024" s="150"/>
      <c r="N1024" s="150"/>
    </row>
    <row r="1025" spans="3:14" ht="19.95" customHeight="1">
      <c r="C1025" s="150"/>
      <c r="E1025" s="150"/>
      <c r="N1025" s="150"/>
    </row>
    <row r="1026" spans="3:14" ht="19.95" customHeight="1">
      <c r="C1026" s="150"/>
      <c r="E1026" s="150"/>
      <c r="N1026" s="150"/>
    </row>
    <row r="1027" spans="3:14" ht="19.95" customHeight="1">
      <c r="C1027" s="150"/>
      <c r="E1027" s="150"/>
      <c r="N1027" s="150"/>
    </row>
    <row r="1028" spans="3:14" ht="19.95" customHeight="1">
      <c r="C1028" s="150"/>
      <c r="E1028" s="150"/>
      <c r="N1028" s="150"/>
    </row>
    <row r="1029" spans="3:14" ht="19.95" customHeight="1">
      <c r="C1029" s="150"/>
      <c r="E1029" s="150"/>
      <c r="N1029" s="150"/>
    </row>
    <row r="1030" spans="3:14" ht="19.95" customHeight="1">
      <c r="C1030" s="150"/>
      <c r="E1030" s="150"/>
      <c r="N1030" s="150"/>
    </row>
    <row r="1031" spans="3:14" ht="19.95" customHeight="1">
      <c r="C1031" s="150"/>
      <c r="E1031" s="150"/>
      <c r="N1031" s="150"/>
    </row>
    <row r="1032" spans="3:14" ht="19.95" customHeight="1">
      <c r="C1032" s="150"/>
      <c r="E1032" s="150"/>
      <c r="N1032" s="150"/>
    </row>
    <row r="1033" spans="3:14" ht="19.95" customHeight="1">
      <c r="C1033" s="150"/>
      <c r="E1033" s="150"/>
      <c r="N1033" s="150"/>
    </row>
    <row r="1034" spans="3:14" ht="19.95" customHeight="1">
      <c r="C1034" s="150"/>
      <c r="E1034" s="150"/>
      <c r="N1034" s="150"/>
    </row>
    <row r="1035" spans="3:14" ht="19.95" customHeight="1">
      <c r="C1035" s="150"/>
      <c r="E1035" s="150"/>
      <c r="N1035" s="150"/>
    </row>
    <row r="1036" spans="3:14" ht="19.95" customHeight="1">
      <c r="C1036" s="150"/>
      <c r="E1036" s="150"/>
      <c r="N1036" s="150"/>
    </row>
    <row r="1037" spans="3:14" ht="19.95" customHeight="1">
      <c r="C1037" s="150"/>
      <c r="E1037" s="150"/>
      <c r="N1037" s="150"/>
    </row>
    <row r="1038" spans="3:14" ht="19.95" customHeight="1">
      <c r="C1038" s="150"/>
      <c r="E1038" s="150"/>
      <c r="N1038" s="150"/>
    </row>
    <row r="1039" spans="3:14" ht="19.95" customHeight="1">
      <c r="C1039" s="150"/>
      <c r="E1039" s="150"/>
      <c r="N1039" s="150"/>
    </row>
    <row r="1040" spans="3:14" ht="19.95" customHeight="1">
      <c r="C1040" s="150"/>
      <c r="E1040" s="150"/>
      <c r="N1040" s="150"/>
    </row>
    <row r="1041" spans="3:14" ht="19.95" customHeight="1">
      <c r="C1041" s="150"/>
      <c r="E1041" s="150"/>
      <c r="N1041" s="150"/>
    </row>
    <row r="1042" spans="3:14" ht="19.95" customHeight="1">
      <c r="C1042" s="150"/>
      <c r="E1042" s="150"/>
      <c r="N1042" s="150"/>
    </row>
    <row r="1043" spans="3:14" ht="19.95" customHeight="1">
      <c r="C1043" s="150"/>
      <c r="E1043" s="150"/>
      <c r="N1043" s="150"/>
    </row>
    <row r="1044" spans="3:14" ht="19.95" customHeight="1">
      <c r="C1044" s="150"/>
      <c r="E1044" s="150"/>
      <c r="N1044" s="150"/>
    </row>
    <row r="1045" spans="3:14" ht="19.95" customHeight="1">
      <c r="C1045" s="150"/>
      <c r="E1045" s="150"/>
      <c r="N1045" s="150"/>
    </row>
    <row r="1046" spans="3:14" ht="19.95" customHeight="1">
      <c r="C1046" s="150"/>
      <c r="E1046" s="150"/>
      <c r="N1046" s="150"/>
    </row>
    <row r="1047" spans="3:14" ht="19.95" customHeight="1">
      <c r="C1047" s="150"/>
      <c r="E1047" s="150"/>
      <c r="N1047" s="150"/>
    </row>
    <row r="1048" spans="3:14" ht="19.95" customHeight="1">
      <c r="C1048" s="150"/>
      <c r="E1048" s="150"/>
      <c r="N1048" s="150"/>
    </row>
    <row r="1049" spans="3:14" ht="19.95" customHeight="1">
      <c r="C1049" s="150"/>
      <c r="E1049" s="150"/>
      <c r="N1049" s="150"/>
    </row>
    <row r="1050" spans="3:14" ht="19.95" customHeight="1">
      <c r="C1050" s="150"/>
      <c r="E1050" s="150"/>
      <c r="N1050" s="150"/>
    </row>
    <row r="1051" spans="3:14" ht="19.95" customHeight="1">
      <c r="C1051" s="150"/>
      <c r="E1051" s="150"/>
      <c r="N1051" s="150"/>
    </row>
    <row r="1052" spans="3:14" ht="19.95" customHeight="1">
      <c r="C1052" s="150"/>
      <c r="E1052" s="150"/>
      <c r="N1052" s="150"/>
    </row>
    <row r="1053" spans="3:14" ht="19.95" customHeight="1">
      <c r="C1053" s="150"/>
      <c r="E1053" s="150"/>
      <c r="N1053" s="150"/>
    </row>
    <row r="1054" spans="3:14" ht="19.95" customHeight="1">
      <c r="C1054" s="150"/>
      <c r="E1054" s="150"/>
      <c r="N1054" s="150"/>
    </row>
    <row r="1055" spans="3:14" ht="19.95" customHeight="1">
      <c r="C1055" s="150"/>
      <c r="E1055" s="150"/>
      <c r="N1055" s="150"/>
    </row>
    <row r="1056" spans="3:14" ht="19.95" customHeight="1">
      <c r="C1056" s="150"/>
      <c r="E1056" s="150"/>
      <c r="N1056" s="150"/>
    </row>
    <row r="1057" spans="3:14" ht="19.95" customHeight="1">
      <c r="C1057" s="150"/>
      <c r="E1057" s="150"/>
      <c r="N1057" s="150"/>
    </row>
    <row r="1058" spans="3:14" ht="19.95" customHeight="1">
      <c r="C1058" s="150"/>
      <c r="E1058" s="150"/>
      <c r="N1058" s="150"/>
    </row>
    <row r="1059" spans="3:14" ht="19.95" customHeight="1">
      <c r="C1059" s="150"/>
      <c r="E1059" s="150"/>
      <c r="N1059" s="150"/>
    </row>
    <row r="1060" spans="3:14" ht="19.95" customHeight="1">
      <c r="C1060" s="150"/>
      <c r="E1060" s="150"/>
      <c r="N1060" s="150"/>
    </row>
    <row r="1061" spans="3:14" ht="19.95" customHeight="1">
      <c r="C1061" s="150"/>
      <c r="E1061" s="150"/>
      <c r="N1061" s="150"/>
    </row>
    <row r="1062" spans="3:14" ht="19.95" customHeight="1">
      <c r="C1062" s="150"/>
      <c r="E1062" s="150"/>
      <c r="N1062" s="150"/>
    </row>
    <row r="1063" spans="3:14" ht="19.95" customHeight="1">
      <c r="C1063" s="150"/>
      <c r="E1063" s="150"/>
      <c r="N1063" s="150"/>
    </row>
    <row r="1064" spans="3:14" ht="19.95" customHeight="1">
      <c r="C1064" s="150"/>
      <c r="E1064" s="150"/>
      <c r="N1064" s="150"/>
    </row>
    <row r="1065" spans="3:14" ht="19.95" customHeight="1">
      <c r="C1065" s="150"/>
      <c r="E1065" s="150"/>
      <c r="N1065" s="150"/>
    </row>
    <row r="1066" spans="3:14" ht="19.95" customHeight="1">
      <c r="C1066" s="150"/>
      <c r="E1066" s="150"/>
      <c r="N1066" s="150"/>
    </row>
    <row r="1067" spans="3:14" ht="19.95" customHeight="1">
      <c r="C1067" s="150"/>
      <c r="E1067" s="150"/>
      <c r="N1067" s="150"/>
    </row>
    <row r="1068" spans="3:14" ht="19.95" customHeight="1">
      <c r="C1068" s="150"/>
      <c r="E1068" s="150"/>
      <c r="N1068" s="150"/>
    </row>
    <row r="1069" spans="3:14" ht="19.95" customHeight="1">
      <c r="C1069" s="150"/>
      <c r="E1069" s="150"/>
      <c r="N1069" s="150"/>
    </row>
    <row r="1070" spans="3:14" ht="19.95" customHeight="1">
      <c r="C1070" s="150"/>
      <c r="E1070" s="150"/>
      <c r="N1070" s="150"/>
    </row>
    <row r="1071" spans="3:14" ht="19.95" customHeight="1">
      <c r="C1071" s="150"/>
      <c r="E1071" s="150"/>
      <c r="N1071" s="150"/>
    </row>
    <row r="1072" spans="3:14" ht="19.95" customHeight="1">
      <c r="C1072" s="150"/>
      <c r="E1072" s="150"/>
      <c r="N1072" s="150"/>
    </row>
    <row r="1073" spans="3:14" ht="19.95" customHeight="1">
      <c r="C1073" s="150"/>
      <c r="E1073" s="150"/>
      <c r="N1073" s="150"/>
    </row>
    <row r="1074" spans="3:14" ht="19.95" customHeight="1">
      <c r="C1074" s="150"/>
      <c r="E1074" s="150"/>
      <c r="N1074" s="150"/>
    </row>
    <row r="1075" spans="3:14" ht="19.95" customHeight="1">
      <c r="C1075" s="150"/>
      <c r="E1075" s="150"/>
      <c r="N1075" s="150"/>
    </row>
    <row r="1076" spans="3:14" ht="19.95" customHeight="1">
      <c r="C1076" s="150"/>
      <c r="E1076" s="150"/>
      <c r="N1076" s="150"/>
    </row>
    <row r="1077" spans="3:14" ht="19.95" customHeight="1">
      <c r="C1077" s="150"/>
      <c r="E1077" s="150"/>
      <c r="N1077" s="150"/>
    </row>
    <row r="1078" spans="3:14" ht="19.95" customHeight="1">
      <c r="C1078" s="150"/>
      <c r="E1078" s="150"/>
      <c r="N1078" s="150"/>
    </row>
    <row r="1079" spans="3:14" ht="19.95" customHeight="1">
      <c r="C1079" s="150"/>
      <c r="E1079" s="150"/>
      <c r="N1079" s="150"/>
    </row>
    <row r="1080" spans="3:14" ht="19.95" customHeight="1">
      <c r="C1080" s="150"/>
      <c r="E1080" s="150"/>
      <c r="N1080" s="150"/>
    </row>
    <row r="1081" spans="3:14" ht="19.95" customHeight="1">
      <c r="C1081" s="150"/>
      <c r="E1081" s="150"/>
      <c r="N1081" s="150"/>
    </row>
    <row r="1082" spans="3:14" ht="19.95" customHeight="1">
      <c r="C1082" s="150"/>
      <c r="E1082" s="150"/>
      <c r="N1082" s="150"/>
    </row>
    <row r="1083" spans="3:14" ht="19.95" customHeight="1">
      <c r="C1083" s="150"/>
      <c r="E1083" s="150"/>
      <c r="N1083" s="150"/>
    </row>
    <row r="1084" spans="3:14" ht="19.95" customHeight="1">
      <c r="C1084" s="150"/>
      <c r="E1084" s="150"/>
      <c r="N1084" s="150"/>
    </row>
    <row r="1085" spans="3:14" ht="19.95" customHeight="1">
      <c r="C1085" s="150"/>
      <c r="E1085" s="150"/>
      <c r="N1085" s="150"/>
    </row>
    <row r="1086" spans="3:14" ht="19.95" customHeight="1">
      <c r="C1086" s="150"/>
      <c r="E1086" s="150"/>
      <c r="N1086" s="150"/>
    </row>
    <row r="1087" spans="3:14" ht="19.95" customHeight="1">
      <c r="C1087" s="150"/>
      <c r="E1087" s="150"/>
      <c r="N1087" s="150"/>
    </row>
    <row r="1088" spans="3:14" ht="19.95" customHeight="1">
      <c r="C1088" s="150"/>
      <c r="E1088" s="150"/>
      <c r="N1088" s="150"/>
    </row>
    <row r="1089" spans="3:14" ht="19.95" customHeight="1">
      <c r="C1089" s="150"/>
      <c r="E1089" s="150"/>
      <c r="N1089" s="150"/>
    </row>
    <row r="1090" spans="3:14" ht="19.95" customHeight="1">
      <c r="C1090" s="150"/>
      <c r="E1090" s="150"/>
      <c r="N1090" s="150"/>
    </row>
    <row r="1091" spans="3:14" ht="19.95" customHeight="1">
      <c r="C1091" s="150"/>
      <c r="E1091" s="150"/>
      <c r="N1091" s="150"/>
    </row>
    <row r="1092" spans="3:14" ht="19.95" customHeight="1">
      <c r="C1092" s="150"/>
      <c r="E1092" s="150"/>
      <c r="N1092" s="150"/>
    </row>
    <row r="1093" spans="3:14" ht="19.95" customHeight="1">
      <c r="C1093" s="150"/>
      <c r="E1093" s="150"/>
      <c r="N1093" s="150"/>
    </row>
    <row r="1094" spans="3:14" ht="19.95" customHeight="1">
      <c r="C1094" s="150"/>
      <c r="E1094" s="150"/>
      <c r="N1094" s="150"/>
    </row>
    <row r="1095" spans="3:14" ht="19.95" customHeight="1">
      <c r="C1095" s="150"/>
      <c r="E1095" s="150"/>
      <c r="N1095" s="150"/>
    </row>
    <row r="1096" spans="3:14" ht="19.95" customHeight="1">
      <c r="C1096" s="150"/>
      <c r="E1096" s="150"/>
      <c r="N1096" s="150"/>
    </row>
    <row r="1097" spans="3:14" ht="19.95" customHeight="1">
      <c r="C1097" s="150"/>
      <c r="E1097" s="150"/>
      <c r="N1097" s="150"/>
    </row>
    <row r="1098" spans="3:14" ht="19.95" customHeight="1">
      <c r="C1098" s="150"/>
      <c r="E1098" s="150"/>
      <c r="N1098" s="150"/>
    </row>
    <row r="1099" spans="3:14" ht="19.95" customHeight="1">
      <c r="C1099" s="150"/>
      <c r="E1099" s="150"/>
      <c r="N1099" s="150"/>
    </row>
    <row r="1100" spans="3:14" ht="19.95" customHeight="1">
      <c r="C1100" s="150"/>
      <c r="E1100" s="150"/>
      <c r="N1100" s="150"/>
    </row>
    <row r="1101" spans="3:14" ht="19.95" customHeight="1">
      <c r="C1101" s="150"/>
      <c r="E1101" s="150"/>
      <c r="N1101" s="150"/>
    </row>
    <row r="1102" spans="3:14" ht="19.95" customHeight="1">
      <c r="C1102" s="150"/>
      <c r="E1102" s="150"/>
      <c r="N1102" s="150"/>
    </row>
    <row r="1103" spans="3:14" ht="19.95" customHeight="1">
      <c r="C1103" s="150"/>
      <c r="E1103" s="150"/>
      <c r="N1103" s="150"/>
    </row>
    <row r="1104" spans="3:14" ht="19.95" customHeight="1">
      <c r="C1104" s="150"/>
      <c r="E1104" s="150"/>
      <c r="N1104" s="150"/>
    </row>
    <row r="1105" spans="3:14" ht="19.95" customHeight="1">
      <c r="C1105" s="150"/>
      <c r="E1105" s="150"/>
      <c r="N1105" s="150"/>
    </row>
    <row r="1106" spans="3:14" ht="19.95" customHeight="1">
      <c r="C1106" s="150"/>
      <c r="E1106" s="150"/>
      <c r="N1106" s="150"/>
    </row>
    <row r="1107" spans="3:14" ht="19.95" customHeight="1">
      <c r="C1107" s="150"/>
      <c r="E1107" s="150"/>
      <c r="N1107" s="150"/>
    </row>
    <row r="1108" spans="3:14" ht="19.95" customHeight="1">
      <c r="C1108" s="150"/>
      <c r="E1108" s="150"/>
      <c r="N1108" s="150"/>
    </row>
    <row r="1109" spans="3:14" ht="19.95" customHeight="1">
      <c r="C1109" s="150"/>
      <c r="E1109" s="150"/>
      <c r="N1109" s="150"/>
    </row>
    <row r="1110" spans="3:14" ht="19.95" customHeight="1">
      <c r="C1110" s="150"/>
      <c r="E1110" s="150"/>
      <c r="N1110" s="150"/>
    </row>
    <row r="1111" spans="3:14" ht="19.95" customHeight="1">
      <c r="C1111" s="150"/>
      <c r="E1111" s="150"/>
      <c r="N1111" s="150"/>
    </row>
    <row r="1112" spans="3:14" ht="19.95" customHeight="1">
      <c r="C1112" s="150"/>
      <c r="E1112" s="150"/>
      <c r="N1112" s="150"/>
    </row>
    <row r="1113" spans="3:14" ht="19.95" customHeight="1">
      <c r="C1113" s="150"/>
      <c r="E1113" s="150"/>
      <c r="N1113" s="150"/>
    </row>
    <row r="1114" spans="3:14" ht="19.95" customHeight="1">
      <c r="C1114" s="150"/>
      <c r="E1114" s="150"/>
      <c r="N1114" s="150"/>
    </row>
    <row r="1115" spans="3:14" ht="19.95" customHeight="1">
      <c r="C1115" s="150"/>
      <c r="E1115" s="150"/>
      <c r="N1115" s="150"/>
    </row>
    <row r="1116" spans="3:14" ht="19.95" customHeight="1">
      <c r="C1116" s="150"/>
      <c r="E1116" s="150"/>
      <c r="N1116" s="150"/>
    </row>
    <row r="1117" spans="3:14" ht="19.95" customHeight="1">
      <c r="C1117" s="150"/>
      <c r="E1117" s="150"/>
      <c r="N1117" s="150"/>
    </row>
    <row r="1118" spans="3:14" ht="19.95" customHeight="1">
      <c r="C1118" s="150"/>
      <c r="E1118" s="150"/>
      <c r="N1118" s="150"/>
    </row>
    <row r="1119" spans="3:14" ht="19.95" customHeight="1">
      <c r="C1119" s="150"/>
      <c r="E1119" s="150"/>
      <c r="N1119" s="150"/>
    </row>
    <row r="1120" spans="3:14" ht="19.95" customHeight="1">
      <c r="C1120" s="150"/>
      <c r="E1120" s="150"/>
      <c r="N1120" s="150"/>
    </row>
    <row r="1121" spans="3:14" ht="19.95" customHeight="1">
      <c r="C1121" s="150"/>
      <c r="E1121" s="150"/>
      <c r="N1121" s="150"/>
    </row>
    <row r="1122" spans="3:14" ht="19.95" customHeight="1">
      <c r="C1122" s="150"/>
      <c r="E1122" s="150"/>
      <c r="N1122" s="150"/>
    </row>
    <row r="1123" spans="3:14" ht="19.95" customHeight="1">
      <c r="C1123" s="150"/>
      <c r="E1123" s="150"/>
      <c r="N1123" s="150"/>
    </row>
    <row r="1124" spans="3:14" ht="19.95" customHeight="1">
      <c r="C1124" s="150"/>
      <c r="E1124" s="150"/>
      <c r="N1124" s="150"/>
    </row>
    <row r="1125" spans="3:14" ht="19.95" customHeight="1">
      <c r="C1125" s="150"/>
      <c r="E1125" s="150"/>
      <c r="N1125" s="150"/>
    </row>
    <row r="1126" spans="3:14" ht="19.95" customHeight="1">
      <c r="C1126" s="150"/>
      <c r="E1126" s="150"/>
      <c r="N1126" s="150"/>
    </row>
    <row r="1127" spans="3:14" ht="19.95" customHeight="1">
      <c r="C1127" s="150"/>
      <c r="E1127" s="150"/>
      <c r="N1127" s="150"/>
    </row>
    <row r="1128" spans="3:14" ht="19.95" customHeight="1">
      <c r="C1128" s="150"/>
      <c r="E1128" s="150"/>
      <c r="N1128" s="150"/>
    </row>
    <row r="1129" spans="3:14" ht="19.95" customHeight="1">
      <c r="C1129" s="150"/>
      <c r="E1129" s="150"/>
      <c r="N1129" s="150"/>
    </row>
    <row r="1130" spans="3:14" ht="19.95" customHeight="1">
      <c r="C1130" s="150"/>
      <c r="E1130" s="150"/>
      <c r="N1130" s="150"/>
    </row>
    <row r="1131" spans="3:14" ht="19.95" customHeight="1">
      <c r="C1131" s="150"/>
      <c r="E1131" s="150"/>
      <c r="N1131" s="150"/>
    </row>
    <row r="1132" spans="3:14">
      <c r="C1132" s="150"/>
      <c r="E1132" s="150"/>
      <c r="N1132" s="150"/>
    </row>
    <row r="1133" spans="3:14">
      <c r="C1133" s="150"/>
      <c r="E1133" s="150"/>
      <c r="N1133" s="150"/>
    </row>
    <row r="1134" spans="3:14">
      <c r="C1134" s="150"/>
      <c r="E1134" s="150"/>
      <c r="N1134" s="150"/>
    </row>
  </sheetData>
  <mergeCells count="41">
    <mergeCell ref="A368:A374"/>
    <mergeCell ref="A358:A367"/>
    <mergeCell ref="A282:A294"/>
    <mergeCell ref="A308:A317"/>
    <mergeCell ref="A280:A281"/>
    <mergeCell ref="A295:A307"/>
    <mergeCell ref="B301:B303"/>
    <mergeCell ref="A325:A357"/>
    <mergeCell ref="A318:A324"/>
    <mergeCell ref="B259:B261"/>
    <mergeCell ref="A262:A267"/>
    <mergeCell ref="A268:A279"/>
    <mergeCell ref="B284:B288"/>
    <mergeCell ref="B291:B294"/>
    <mergeCell ref="A213:A216"/>
    <mergeCell ref="A217:A233"/>
    <mergeCell ref="A234:A252"/>
    <mergeCell ref="A253:A255"/>
    <mergeCell ref="A256:A261"/>
    <mergeCell ref="B201:B202"/>
    <mergeCell ref="A203:A209"/>
    <mergeCell ref="A210:A212"/>
    <mergeCell ref="B64:B67"/>
    <mergeCell ref="A64:A67"/>
    <mergeCell ref="A68:A97"/>
    <mergeCell ref="B3:B32"/>
    <mergeCell ref="A3:A63"/>
    <mergeCell ref="B33:B62"/>
    <mergeCell ref="B370:B371"/>
    <mergeCell ref="A128:A136"/>
    <mergeCell ref="A137:A148"/>
    <mergeCell ref="A98:A101"/>
    <mergeCell ref="A102:A116"/>
    <mergeCell ref="A117:A119"/>
    <mergeCell ref="A120:A125"/>
    <mergeCell ref="A126:A127"/>
    <mergeCell ref="B137:B139"/>
    <mergeCell ref="A149:B150"/>
    <mergeCell ref="A151:A153"/>
    <mergeCell ref="A154:A200"/>
    <mergeCell ref="A201:A202"/>
  </mergeCells>
  <printOptions horizontalCentered="1" gridLines="1"/>
  <pageMargins left="0.39370078740157483" right="0.39370078740157483" top="0.39370078740157483" bottom="0.39370078740157483" header="0.39370078740157483" footer="0"/>
  <pageSetup paperSize="9" scale="24" fitToHeight="0" orientation="portrait" r:id="rId1"/>
  <headerFooter alignWithMargins="0">
    <oddHeader>&amp;C&amp;"Arial,Negrita"&amp;12TRAYECTO: L11&amp;R&amp;D</oddHeader>
    <oddFooter>&amp;L&amp;F&amp;C&amp;P DE &amp;N</oddFooter>
  </headerFooter>
  <extLst>
    <ext xmlns:x14="http://schemas.microsoft.com/office/spreadsheetml/2009/9/main" uri="{78C0D931-6437-407d-A8EE-F0AAD7539E65}">
      <x14:conditionalFormattings>
        <x14:conditionalFormatting xmlns:xm="http://schemas.microsoft.com/office/excel/2006/main">
          <x14:cfRule type="cellIs" priority="55" operator="notEqual" id="{B82CF6B4-3F2B-4472-B957-640A839B3B27}">
            <xm:f>'HR Track 1'!$M4=$C$149</xm:f>
            <x14:dxf/>
          </x14:cfRule>
          <xm:sqref>A3:B3 B33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tabColor theme="9" tint="0.39997558519241921"/>
  </sheetPr>
  <dimension ref="B1:P87"/>
  <sheetViews>
    <sheetView zoomScaleNormal="100" workbookViewId="0">
      <pane xSplit="4" ySplit="2" topLeftCell="E3" activePane="bottomRight" state="frozen"/>
      <selection sqref="A1:A1048576"/>
      <selection pane="topRight" sqref="A1:A1048576"/>
      <selection pane="bottomLeft" sqref="A1:A1048576"/>
      <selection pane="bottomRight" activeCell="B17" sqref="B17:C17"/>
    </sheetView>
  </sheetViews>
  <sheetFormatPr baseColWidth="10" defaultColWidth="11.44140625" defaultRowHeight="13.2"/>
  <cols>
    <col min="1" max="1" width="11.44140625" style="162"/>
    <col min="2" max="2" width="11.44140625" style="366" customWidth="1"/>
    <col min="3" max="3" width="4.5546875" style="366" customWidth="1"/>
    <col min="4" max="4" width="10.44140625" style="366" customWidth="1"/>
    <col min="5" max="5" width="11.44140625" style="361" customWidth="1"/>
    <col min="6" max="10" width="10.5546875" style="361" customWidth="1"/>
    <col min="11" max="11" width="10.5546875" style="133" customWidth="1"/>
    <col min="12" max="12" width="10.109375" style="366" customWidth="1"/>
    <col min="13" max="16384" width="11.44140625" style="162"/>
  </cols>
  <sheetData>
    <row r="1" spans="2:16">
      <c r="B1" s="349"/>
      <c r="C1" s="349"/>
      <c r="D1" s="349"/>
      <c r="E1" s="350"/>
      <c r="F1" s="350"/>
      <c r="G1" s="350"/>
      <c r="H1" s="350"/>
      <c r="I1" s="350"/>
      <c r="J1" s="350"/>
      <c r="K1" s="351"/>
      <c r="L1" s="349"/>
      <c r="M1" s="352"/>
      <c r="N1" s="349"/>
      <c r="O1" s="349"/>
      <c r="P1" s="349"/>
    </row>
    <row r="2" spans="2:16" ht="13.8">
      <c r="B2" s="912" t="s">
        <v>1059</v>
      </c>
      <c r="C2" s="913"/>
      <c r="D2" s="914"/>
      <c r="E2" s="353" t="s">
        <v>35</v>
      </c>
      <c r="F2" s="60" t="str">
        <f>'HR Track 1'!A1</f>
        <v>TRACK 1</v>
      </c>
      <c r="G2" s="61" t="str">
        <f>'HR Track 2'!A1</f>
        <v>TRACK 2</v>
      </c>
      <c r="H2" s="62" t="str">
        <f>'HR Track 1 MOM'!A1</f>
        <v>TRACK 1 MOM</v>
      </c>
      <c r="I2" s="63" t="str">
        <f>'HR Track 4 MOM'!A1</f>
        <v>TRACK 4 MOM</v>
      </c>
      <c r="J2" s="64" t="str">
        <f>'HR Track 4 PMO'!A1</f>
        <v>TRACK 4 PMO</v>
      </c>
      <c r="K2" s="65" t="str">
        <f>'HR Track 6 PMO'!A1</f>
        <v>TRACK 6 PMO</v>
      </c>
      <c r="L2" s="349"/>
      <c r="M2" s="352"/>
      <c r="N2" s="349"/>
      <c r="O2" s="349"/>
      <c r="P2" s="349"/>
    </row>
    <row r="3" spans="2:16">
      <c r="B3" s="916" t="s">
        <v>626</v>
      </c>
      <c r="C3" s="916"/>
      <c r="D3" s="354" t="s">
        <v>630</v>
      </c>
      <c r="E3" s="371">
        <f>SUM(F3:K3)</f>
        <v>168</v>
      </c>
      <c r="F3" s="371">
        <f>COUNTIF(Area_v1,$D3)</f>
        <v>61</v>
      </c>
      <c r="G3" s="371">
        <f>COUNTIF(Area_v2,$D3)</f>
        <v>54</v>
      </c>
      <c r="H3" s="371">
        <f>COUNTIF(Area_v1MOM,$D3)</f>
        <v>1</v>
      </c>
      <c r="I3" s="371">
        <f>COUNTIF(Area_v4MOM,$D3)</f>
        <v>11</v>
      </c>
      <c r="J3" s="371">
        <f>COUNTIF(Area_v4PMO,$D3)</f>
        <v>23</v>
      </c>
      <c r="K3" s="371">
        <f>COUNTIF(Area_v6PMO,$D3)</f>
        <v>18</v>
      </c>
      <c r="L3" s="349"/>
      <c r="M3" s="352"/>
      <c r="N3" s="349"/>
      <c r="O3" s="349"/>
      <c r="P3" s="349"/>
    </row>
    <row r="4" spans="2:16">
      <c r="B4" s="916" t="s">
        <v>628</v>
      </c>
      <c r="C4" s="916"/>
      <c r="D4" s="354" t="s">
        <v>1340</v>
      </c>
      <c r="E4" s="371">
        <f>SUM(F4:K4)</f>
        <v>113</v>
      </c>
      <c r="F4" s="371">
        <f>COUNTIF(Area_v1,$D4)</f>
        <v>36</v>
      </c>
      <c r="G4" s="371">
        <f>COUNTIF(Area_v2,$D4)</f>
        <v>47</v>
      </c>
      <c r="H4" s="371">
        <f>COUNTIF(Area_v1MOM,$D4)</f>
        <v>9</v>
      </c>
      <c r="I4" s="371">
        <f>COUNTIF(Area_v4MOM,$D4)</f>
        <v>0</v>
      </c>
      <c r="J4" s="371">
        <f>COUNTIF(Area_v4PMO,$D4)</f>
        <v>13</v>
      </c>
      <c r="K4" s="371">
        <f>COUNTIF(Area_v6PMO,$D4)</f>
        <v>8</v>
      </c>
      <c r="L4" s="349"/>
      <c r="M4" s="352"/>
      <c r="N4" s="349"/>
      <c r="O4" s="349"/>
      <c r="P4" s="349"/>
    </row>
    <row r="5" spans="2:16">
      <c r="B5" s="916" t="s">
        <v>629</v>
      </c>
      <c r="C5" s="916"/>
      <c r="D5" s="354" t="s">
        <v>1341</v>
      </c>
      <c r="E5" s="371">
        <f>SUM(F5:K5)</f>
        <v>183</v>
      </c>
      <c r="F5" s="371">
        <f>COUNTIF(Area_v1,$D5)</f>
        <v>53</v>
      </c>
      <c r="G5" s="371">
        <f>COUNTIF(Area_v2,$D5)</f>
        <v>51</v>
      </c>
      <c r="H5" s="371">
        <f>COUNTIF(Area_v1MOM,$D5)</f>
        <v>13</v>
      </c>
      <c r="I5" s="371">
        <f>COUNTIF(Area_v4MOM,$D5)</f>
        <v>12</v>
      </c>
      <c r="J5" s="371">
        <f>COUNTIF(Area_v4PMO,$D5)</f>
        <v>29</v>
      </c>
      <c r="K5" s="371">
        <f>COUNTIF(Area_v6PMO,$D5)</f>
        <v>25</v>
      </c>
      <c r="L5" s="349"/>
      <c r="M5" s="352"/>
      <c r="N5" s="349"/>
      <c r="O5" s="349"/>
      <c r="P5" s="349"/>
    </row>
    <row r="6" spans="2:16">
      <c r="B6" s="916" t="s">
        <v>627</v>
      </c>
      <c r="C6" s="916"/>
      <c r="D6" s="354" t="s">
        <v>631</v>
      </c>
      <c r="E6" s="371">
        <f>SUM(F6:K6)</f>
        <v>0</v>
      </c>
      <c r="F6" s="371">
        <f>COUNTIF(Area_v1,$D6)</f>
        <v>0</v>
      </c>
      <c r="G6" s="371">
        <f>COUNTIF(Area_v2,$D6)</f>
        <v>0</v>
      </c>
      <c r="H6" s="371">
        <f>COUNTIF(Area_v1MOM,$D6)</f>
        <v>0</v>
      </c>
      <c r="I6" s="371">
        <f>COUNTIF(Area_v4MOM,$D6)</f>
        <v>0</v>
      </c>
      <c r="J6" s="371">
        <f>COUNTIF(Area_v4PMO,$D6)</f>
        <v>0</v>
      </c>
      <c r="K6" s="371">
        <f>COUNTIF(Area_v6PMO,$D6)</f>
        <v>0</v>
      </c>
      <c r="L6" s="349"/>
      <c r="M6" s="352"/>
      <c r="N6" s="349"/>
      <c r="O6" s="349"/>
      <c r="P6" s="349"/>
    </row>
    <row r="7" spans="2:16">
      <c r="B7" s="349"/>
      <c r="C7" s="349"/>
      <c r="D7" s="349"/>
      <c r="E7" s="350"/>
      <c r="F7" s="350"/>
      <c r="G7" s="350"/>
      <c r="H7" s="350"/>
      <c r="I7" s="350"/>
      <c r="J7" s="350"/>
      <c r="K7" s="351"/>
      <c r="L7" s="349"/>
      <c r="M7" s="352"/>
      <c r="N7" s="349"/>
      <c r="O7" s="349"/>
      <c r="P7" s="349"/>
    </row>
    <row r="8" spans="2:16">
      <c r="B8" s="355" t="s">
        <v>31</v>
      </c>
      <c r="C8" s="355" t="s">
        <v>1060</v>
      </c>
      <c r="D8" s="356">
        <f>SUM(F8:AK8)</f>
        <v>26</v>
      </c>
      <c r="E8" s="371">
        <f>SUM(F8:AK8)</f>
        <v>26</v>
      </c>
      <c r="F8" s="371">
        <f>COUNTIF(Area_v1,"*CS*")</f>
        <v>8</v>
      </c>
      <c r="G8" s="371">
        <f>COUNTIF(Area_v2,"*CS*")</f>
        <v>10</v>
      </c>
      <c r="H8" s="371">
        <f>COUNTIF(Area_v1MOM,"*CS*")</f>
        <v>1</v>
      </c>
      <c r="I8" s="371">
        <f>COUNTIF(Area_v4MOM,"*CS*")</f>
        <v>1</v>
      </c>
      <c r="J8" s="371">
        <f>COUNTIF(Area_v4PMO,"*CS*")</f>
        <v>3</v>
      </c>
      <c r="K8" s="371">
        <f>COUNTIF(Area_v6PMO,"*CS*")</f>
        <v>3</v>
      </c>
      <c r="L8" s="349" t="s">
        <v>1186</v>
      </c>
      <c r="M8" s="352"/>
      <c r="N8" s="349"/>
      <c r="O8" s="349"/>
      <c r="P8" s="349"/>
    </row>
    <row r="9" spans="2:16" ht="12.75" customHeight="1">
      <c r="B9" s="355" t="s">
        <v>30</v>
      </c>
      <c r="C9" s="355" t="s">
        <v>1061</v>
      </c>
      <c r="D9" s="356">
        <f>SUM(F9:AK9)</f>
        <v>0</v>
      </c>
      <c r="E9" s="371">
        <f>SUM(F9:AK9)</f>
        <v>0</v>
      </c>
      <c r="F9" s="371">
        <f>COUNTIF(Area_v1,"*TgS*")</f>
        <v>0</v>
      </c>
      <c r="G9" s="371">
        <f>COUNTIF(Area_v2,"*TgS*")</f>
        <v>0</v>
      </c>
      <c r="H9" s="371">
        <f>COUNTIF(Area_v1MOM,"*TgS*")</f>
        <v>0</v>
      </c>
      <c r="I9" s="371">
        <f>COUNTIF(Area_v4MOM,"*TgS*")</f>
        <v>0</v>
      </c>
      <c r="J9" s="371">
        <f>COUNTIF(Area_v4PMO,"*TgS*")</f>
        <v>0</v>
      </c>
      <c r="K9" s="371">
        <f>COUNTIF(Area_v6PMO,"*TgS*")</f>
        <v>0</v>
      </c>
      <c r="L9" s="349" t="s">
        <v>1187</v>
      </c>
      <c r="M9" s="352"/>
      <c r="N9" s="357"/>
      <c r="O9" s="357"/>
      <c r="P9" s="357"/>
    </row>
    <row r="10" spans="2:16" ht="13.5" customHeight="1">
      <c r="B10" s="915" t="s">
        <v>653</v>
      </c>
      <c r="C10" s="915"/>
      <c r="D10" s="356">
        <f>SUM(F10:AK10)</f>
        <v>14</v>
      </c>
      <c r="E10" s="371">
        <f>SUM(F10:AK10)</f>
        <v>14</v>
      </c>
      <c r="F10" s="371">
        <f>COUNTIF(Area_v1,$B10)</f>
        <v>6</v>
      </c>
      <c r="G10" s="371">
        <f>COUNTIF(Area_v2,$B10)</f>
        <v>5</v>
      </c>
      <c r="H10" s="371">
        <f>COUNTIF(Area_v1MOM,$B10)</f>
        <v>0</v>
      </c>
      <c r="I10" s="371">
        <f>COUNTIF(Area_v4MOM,$B10)</f>
        <v>0</v>
      </c>
      <c r="J10" s="371">
        <f>COUNTIF(Area_v4PMO,$B10)</f>
        <v>1</v>
      </c>
      <c r="K10" s="371">
        <f>COUNTIF(Area_v6PMO,$B10)</f>
        <v>2</v>
      </c>
      <c r="L10" s="358"/>
      <c r="M10" s="352"/>
      <c r="N10" s="357"/>
      <c r="O10" s="357"/>
      <c r="P10" s="357"/>
    </row>
    <row r="11" spans="2:16" ht="13.8" thickBot="1">
      <c r="B11" s="349"/>
      <c r="C11" s="349"/>
      <c r="D11" s="349"/>
      <c r="E11" s="350"/>
      <c r="F11" s="350"/>
      <c r="G11" s="350"/>
      <c r="H11" s="350"/>
      <c r="I11" s="350"/>
      <c r="J11" s="350"/>
      <c r="K11" s="351"/>
      <c r="L11" s="359"/>
      <c r="M11" s="352"/>
      <c r="N11" s="360"/>
      <c r="O11" s="360"/>
      <c r="P11" s="359"/>
    </row>
    <row r="12" spans="2:16">
      <c r="B12" s="898" t="s">
        <v>1503</v>
      </c>
      <c r="C12" s="899"/>
      <c r="D12" s="900"/>
      <c r="E12" s="350"/>
      <c r="K12" s="351"/>
      <c r="L12" s="362"/>
      <c r="M12" s="352"/>
      <c r="N12" s="349"/>
      <c r="O12" s="349"/>
      <c r="P12" s="362"/>
    </row>
    <row r="13" spans="2:16" ht="13.8" thickBot="1">
      <c r="B13" s="901"/>
      <c r="C13" s="902"/>
      <c r="D13" s="903"/>
      <c r="E13" s="350"/>
      <c r="K13" s="351"/>
      <c r="L13" s="362"/>
      <c r="M13" s="352"/>
      <c r="N13" s="349"/>
      <c r="O13" s="349"/>
      <c r="P13" s="362"/>
    </row>
    <row r="14" spans="2:16" ht="14.4" thickBot="1">
      <c r="B14" s="904" t="s">
        <v>1718</v>
      </c>
      <c r="C14" s="905"/>
      <c r="D14" s="372" t="s">
        <v>1719</v>
      </c>
      <c r="E14" s="350"/>
      <c r="K14" s="351"/>
      <c r="L14" s="362"/>
      <c r="M14" s="352"/>
      <c r="N14" s="349"/>
      <c r="O14" s="349"/>
      <c r="P14" s="362"/>
    </row>
    <row r="15" spans="2:16">
      <c r="B15" s="897" t="s">
        <v>641</v>
      </c>
      <c r="C15" s="897"/>
      <c r="D15" s="363">
        <f>SUM(F15:AK15)</f>
        <v>0</v>
      </c>
      <c r="E15" s="371">
        <f t="shared" ref="E15:E26" si="0">SUM(F15:AK15)</f>
        <v>0</v>
      </c>
      <c r="F15" s="371">
        <f t="shared" ref="F15:F26" si="1">COUNTIF(Area_v1,$B15)</f>
        <v>0</v>
      </c>
      <c r="G15" s="371">
        <f t="shared" ref="G15:G26" si="2">COUNTIF(Area_v2,$B15)</f>
        <v>0</v>
      </c>
      <c r="H15" s="371">
        <f t="shared" ref="H15:H26" si="3">COUNTIF(Area_v1MOM,$B15)</f>
        <v>0</v>
      </c>
      <c r="I15" s="371">
        <f t="shared" ref="I15:I26" si="4">COUNTIF(Area_v4MOM,$B15)</f>
        <v>0</v>
      </c>
      <c r="J15" s="371">
        <f t="shared" ref="J15:J26" si="5">COUNTIF(Area_v4PMO,$B15)</f>
        <v>0</v>
      </c>
      <c r="K15" s="371">
        <f t="shared" ref="K15:K26" si="6">COUNTIF(Area_v6PMO,$B15)</f>
        <v>0</v>
      </c>
      <c r="L15" s="362"/>
      <c r="M15" s="352"/>
      <c r="N15" s="349"/>
      <c r="O15" s="349"/>
      <c r="P15" s="362"/>
    </row>
    <row r="16" spans="2:16">
      <c r="B16" s="892" t="s">
        <v>642</v>
      </c>
      <c r="C16" s="892"/>
      <c r="D16" s="363">
        <f>SUM(F16:AK16)</f>
        <v>0</v>
      </c>
      <c r="E16" s="371">
        <f t="shared" si="0"/>
        <v>0</v>
      </c>
      <c r="F16" s="371">
        <f t="shared" si="1"/>
        <v>0</v>
      </c>
      <c r="G16" s="371">
        <f t="shared" si="2"/>
        <v>0</v>
      </c>
      <c r="H16" s="371">
        <f t="shared" si="3"/>
        <v>0</v>
      </c>
      <c r="I16" s="371">
        <f t="shared" si="4"/>
        <v>0</v>
      </c>
      <c r="J16" s="371">
        <f t="shared" si="5"/>
        <v>0</v>
      </c>
      <c r="K16" s="371">
        <f t="shared" si="6"/>
        <v>0</v>
      </c>
      <c r="L16" s="362"/>
      <c r="M16" s="352"/>
      <c r="N16" s="364"/>
      <c r="O16" s="365"/>
      <c r="P16" s="365"/>
    </row>
    <row r="17" spans="2:16">
      <c r="B17" s="892" t="s">
        <v>643</v>
      </c>
      <c r="C17" s="892"/>
      <c r="D17" s="363">
        <f t="shared" ref="D17:D26" si="7">SUM(F17:AK17)</f>
        <v>0</v>
      </c>
      <c r="E17" s="371">
        <f t="shared" si="0"/>
        <v>0</v>
      </c>
      <c r="F17" s="371">
        <f t="shared" si="1"/>
        <v>0</v>
      </c>
      <c r="G17" s="371">
        <f t="shared" si="2"/>
        <v>0</v>
      </c>
      <c r="H17" s="371">
        <f t="shared" si="3"/>
        <v>0</v>
      </c>
      <c r="I17" s="371">
        <f t="shared" si="4"/>
        <v>0</v>
      </c>
      <c r="J17" s="371">
        <f t="shared" si="5"/>
        <v>0</v>
      </c>
      <c r="K17" s="371">
        <f t="shared" si="6"/>
        <v>0</v>
      </c>
      <c r="L17" s="362"/>
      <c r="M17" s="352"/>
      <c r="N17" s="362"/>
      <c r="O17" s="362"/>
      <c r="P17" s="349"/>
    </row>
    <row r="18" spans="2:16">
      <c r="B18" s="892" t="s">
        <v>644</v>
      </c>
      <c r="C18" s="892"/>
      <c r="D18" s="363">
        <f t="shared" si="7"/>
        <v>0</v>
      </c>
      <c r="E18" s="371">
        <f t="shared" si="0"/>
        <v>0</v>
      </c>
      <c r="F18" s="371">
        <f t="shared" si="1"/>
        <v>0</v>
      </c>
      <c r="G18" s="371">
        <f t="shared" si="2"/>
        <v>0</v>
      </c>
      <c r="H18" s="371">
        <f t="shared" si="3"/>
        <v>0</v>
      </c>
      <c r="I18" s="371">
        <f t="shared" si="4"/>
        <v>0</v>
      </c>
      <c r="J18" s="371">
        <f t="shared" si="5"/>
        <v>0</v>
      </c>
      <c r="K18" s="371">
        <f t="shared" si="6"/>
        <v>0</v>
      </c>
      <c r="L18" s="362"/>
      <c r="M18" s="352"/>
      <c r="N18" s="362"/>
      <c r="O18" s="362"/>
      <c r="P18" s="349"/>
    </row>
    <row r="19" spans="2:16">
      <c r="B19" s="892" t="s">
        <v>645</v>
      </c>
      <c r="C19" s="892"/>
      <c r="D19" s="363">
        <f t="shared" si="7"/>
        <v>5</v>
      </c>
      <c r="E19" s="371">
        <f t="shared" si="0"/>
        <v>5</v>
      </c>
      <c r="F19" s="371">
        <f t="shared" si="1"/>
        <v>2</v>
      </c>
      <c r="G19" s="371">
        <f t="shared" si="2"/>
        <v>3</v>
      </c>
      <c r="H19" s="371">
        <f t="shared" si="3"/>
        <v>0</v>
      </c>
      <c r="I19" s="371">
        <f t="shared" si="4"/>
        <v>0</v>
      </c>
      <c r="J19" s="371">
        <f t="shared" si="5"/>
        <v>0</v>
      </c>
      <c r="K19" s="371">
        <f t="shared" si="6"/>
        <v>0</v>
      </c>
      <c r="L19" s="362"/>
      <c r="M19" s="352"/>
      <c r="N19" s="362"/>
      <c r="O19" s="362"/>
      <c r="P19" s="349"/>
    </row>
    <row r="20" spans="2:16">
      <c r="B20" s="892" t="s">
        <v>646</v>
      </c>
      <c r="C20" s="892"/>
      <c r="D20" s="363">
        <f t="shared" si="7"/>
        <v>0</v>
      </c>
      <c r="E20" s="371">
        <f t="shared" si="0"/>
        <v>0</v>
      </c>
      <c r="F20" s="371">
        <f t="shared" si="1"/>
        <v>0</v>
      </c>
      <c r="G20" s="371">
        <f t="shared" si="2"/>
        <v>0</v>
      </c>
      <c r="H20" s="371">
        <f t="shared" si="3"/>
        <v>0</v>
      </c>
      <c r="I20" s="371">
        <f t="shared" si="4"/>
        <v>0</v>
      </c>
      <c r="J20" s="371">
        <f t="shared" si="5"/>
        <v>0</v>
      </c>
      <c r="K20" s="371">
        <f t="shared" si="6"/>
        <v>0</v>
      </c>
      <c r="L20" s="362"/>
      <c r="M20" s="352"/>
      <c r="N20" s="362"/>
      <c r="O20" s="362"/>
      <c r="P20" s="349"/>
    </row>
    <row r="21" spans="2:16">
      <c r="B21" s="892" t="s">
        <v>647</v>
      </c>
      <c r="C21" s="892"/>
      <c r="D21" s="363">
        <f t="shared" si="7"/>
        <v>26</v>
      </c>
      <c r="E21" s="371">
        <f t="shared" si="0"/>
        <v>26</v>
      </c>
      <c r="F21" s="371">
        <f t="shared" si="1"/>
        <v>8</v>
      </c>
      <c r="G21" s="371">
        <f t="shared" si="2"/>
        <v>10</v>
      </c>
      <c r="H21" s="371">
        <f t="shared" si="3"/>
        <v>1</v>
      </c>
      <c r="I21" s="371">
        <f t="shared" si="4"/>
        <v>1</v>
      </c>
      <c r="J21" s="371">
        <f t="shared" si="5"/>
        <v>3</v>
      </c>
      <c r="K21" s="371">
        <f t="shared" si="6"/>
        <v>3</v>
      </c>
      <c r="L21" s="362"/>
      <c r="M21" s="352"/>
      <c r="N21" s="362"/>
      <c r="O21" s="362"/>
      <c r="P21" s="349"/>
    </row>
    <row r="22" spans="2:16">
      <c r="B22" s="892" t="s">
        <v>648</v>
      </c>
      <c r="C22" s="892"/>
      <c r="D22" s="363">
        <f t="shared" si="7"/>
        <v>0</v>
      </c>
      <c r="E22" s="371">
        <f t="shared" si="0"/>
        <v>0</v>
      </c>
      <c r="F22" s="371">
        <f t="shared" si="1"/>
        <v>0</v>
      </c>
      <c r="G22" s="371">
        <f t="shared" si="2"/>
        <v>0</v>
      </c>
      <c r="H22" s="371">
        <f t="shared" si="3"/>
        <v>0</v>
      </c>
      <c r="I22" s="371">
        <f t="shared" si="4"/>
        <v>0</v>
      </c>
      <c r="J22" s="371">
        <f t="shared" si="5"/>
        <v>0</v>
      </c>
      <c r="K22" s="371">
        <f t="shared" si="6"/>
        <v>0</v>
      </c>
      <c r="L22" s="362"/>
      <c r="M22" s="352"/>
      <c r="N22" s="362"/>
      <c r="O22" s="362"/>
      <c r="P22" s="349"/>
    </row>
    <row r="23" spans="2:16">
      <c r="B23" s="892" t="s">
        <v>649</v>
      </c>
      <c r="C23" s="892"/>
      <c r="D23" s="363">
        <f t="shared" si="7"/>
        <v>0</v>
      </c>
      <c r="E23" s="371">
        <f t="shared" si="0"/>
        <v>0</v>
      </c>
      <c r="F23" s="371">
        <f t="shared" si="1"/>
        <v>0</v>
      </c>
      <c r="G23" s="371">
        <f t="shared" si="2"/>
        <v>0</v>
      </c>
      <c r="H23" s="371">
        <f t="shared" si="3"/>
        <v>0</v>
      </c>
      <c r="I23" s="371">
        <f t="shared" si="4"/>
        <v>0</v>
      </c>
      <c r="J23" s="371">
        <f t="shared" si="5"/>
        <v>0</v>
      </c>
      <c r="K23" s="371">
        <f t="shared" si="6"/>
        <v>0</v>
      </c>
      <c r="L23" s="362"/>
      <c r="M23" s="352"/>
      <c r="N23" s="362"/>
      <c r="O23" s="362"/>
      <c r="P23" s="349"/>
    </row>
    <row r="24" spans="2:16">
      <c r="B24" s="892" t="s">
        <v>650</v>
      </c>
      <c r="C24" s="892"/>
      <c r="D24" s="363">
        <f t="shared" si="7"/>
        <v>0</v>
      </c>
      <c r="E24" s="371">
        <f t="shared" si="0"/>
        <v>0</v>
      </c>
      <c r="F24" s="371">
        <f t="shared" si="1"/>
        <v>0</v>
      </c>
      <c r="G24" s="371">
        <f t="shared" si="2"/>
        <v>0</v>
      </c>
      <c r="H24" s="371">
        <f t="shared" si="3"/>
        <v>0</v>
      </c>
      <c r="I24" s="371">
        <f t="shared" si="4"/>
        <v>0</v>
      </c>
      <c r="J24" s="371">
        <f t="shared" si="5"/>
        <v>0</v>
      </c>
      <c r="K24" s="371">
        <f t="shared" si="6"/>
        <v>0</v>
      </c>
      <c r="L24" s="349"/>
      <c r="M24" s="352"/>
      <c r="N24" s="362"/>
      <c r="O24" s="362"/>
      <c r="P24" s="349"/>
    </row>
    <row r="25" spans="2:16">
      <c r="B25" s="892" t="s">
        <v>651</v>
      </c>
      <c r="C25" s="892"/>
      <c r="D25" s="363">
        <f t="shared" si="7"/>
        <v>0</v>
      </c>
      <c r="E25" s="371">
        <f t="shared" si="0"/>
        <v>0</v>
      </c>
      <c r="F25" s="371">
        <f t="shared" si="1"/>
        <v>0</v>
      </c>
      <c r="G25" s="371">
        <f t="shared" si="2"/>
        <v>0</v>
      </c>
      <c r="H25" s="371">
        <f t="shared" si="3"/>
        <v>0</v>
      </c>
      <c r="I25" s="371">
        <f t="shared" si="4"/>
        <v>0</v>
      </c>
      <c r="J25" s="371">
        <f t="shared" si="5"/>
        <v>0</v>
      </c>
      <c r="K25" s="371">
        <f t="shared" si="6"/>
        <v>0</v>
      </c>
    </row>
    <row r="26" spans="2:16">
      <c r="B26" s="892" t="s">
        <v>652</v>
      </c>
      <c r="C26" s="892"/>
      <c r="D26" s="363">
        <f t="shared" si="7"/>
        <v>0</v>
      </c>
      <c r="E26" s="371">
        <f t="shared" si="0"/>
        <v>0</v>
      </c>
      <c r="F26" s="371">
        <f t="shared" si="1"/>
        <v>0</v>
      </c>
      <c r="G26" s="371">
        <f t="shared" si="2"/>
        <v>0</v>
      </c>
      <c r="H26" s="371">
        <f t="shared" si="3"/>
        <v>0</v>
      </c>
      <c r="I26" s="371">
        <f t="shared" si="4"/>
        <v>0</v>
      </c>
      <c r="J26" s="371">
        <f t="shared" si="5"/>
        <v>0</v>
      </c>
      <c r="K26" s="371">
        <f t="shared" si="6"/>
        <v>0</v>
      </c>
    </row>
    <row r="27" spans="2:16">
      <c r="B27" s="349"/>
      <c r="C27" s="349"/>
      <c r="D27" s="349"/>
      <c r="E27" s="350"/>
      <c r="F27" s="350"/>
      <c r="G27" s="350"/>
      <c r="H27" s="350"/>
      <c r="I27" s="350"/>
      <c r="J27" s="350"/>
      <c r="K27" s="351"/>
    </row>
    <row r="28" spans="2:16" ht="13.8" thickBot="1">
      <c r="B28" s="349"/>
      <c r="C28" s="349"/>
      <c r="D28" s="349"/>
      <c r="E28" s="350"/>
      <c r="F28" s="350"/>
      <c r="G28" s="350"/>
      <c r="H28" s="350"/>
      <c r="I28" s="350"/>
      <c r="J28" s="350"/>
      <c r="K28" s="351"/>
    </row>
    <row r="29" spans="2:16">
      <c r="B29" s="898" t="s">
        <v>1602</v>
      </c>
      <c r="C29" s="899"/>
      <c r="D29" s="900"/>
      <c r="E29" s="350"/>
      <c r="F29" s="350"/>
      <c r="G29" s="350"/>
      <c r="H29" s="350"/>
      <c r="I29" s="350"/>
      <c r="J29" s="350"/>
      <c r="K29" s="351"/>
    </row>
    <row r="30" spans="2:16" ht="13.8" thickBot="1">
      <c r="B30" s="901"/>
      <c r="C30" s="902"/>
      <c r="D30" s="903"/>
      <c r="E30" s="350"/>
      <c r="F30" s="350"/>
      <c r="G30" s="350"/>
      <c r="H30" s="350"/>
      <c r="I30" s="350"/>
      <c r="J30" s="350"/>
      <c r="K30" s="351"/>
    </row>
    <row r="31" spans="2:16" ht="14.4" thickBot="1">
      <c r="B31" s="904" t="s">
        <v>1718</v>
      </c>
      <c r="C31" s="905"/>
      <c r="D31" s="372" t="s">
        <v>1719</v>
      </c>
      <c r="E31" s="350"/>
      <c r="F31" s="350"/>
      <c r="G31" s="350"/>
      <c r="H31" s="350"/>
      <c r="I31" s="350"/>
      <c r="J31" s="350"/>
      <c r="K31" s="351"/>
    </row>
    <row r="32" spans="2:16">
      <c r="B32" s="897" t="s">
        <v>1062</v>
      </c>
      <c r="C32" s="897"/>
      <c r="D32" s="363">
        <f>SUM(F32:AK32)</f>
        <v>0</v>
      </c>
      <c r="E32" s="371">
        <f t="shared" ref="E32:E43" si="8">SUM(F32:AK32)</f>
        <v>0</v>
      </c>
      <c r="F32" s="371">
        <f t="shared" ref="F32:F43" si="9">COUNTIF(Area_v1,$B32)</f>
        <v>0</v>
      </c>
      <c r="G32" s="371">
        <f t="shared" ref="G32:G43" si="10">COUNTIF(Area_v2,$B32)</f>
        <v>0</v>
      </c>
      <c r="H32" s="371">
        <f t="shared" ref="H32:H43" si="11">COUNTIF(Area_v1MOM,$B32)</f>
        <v>0</v>
      </c>
      <c r="I32" s="371">
        <f t="shared" ref="I32:I43" si="12">COUNTIF(Area_v4MOM,$B32)</f>
        <v>0</v>
      </c>
      <c r="J32" s="371">
        <f t="shared" ref="J32:J43" si="13">COUNTIF(Area_v4PMO,$B32)</f>
        <v>0</v>
      </c>
      <c r="K32" s="371">
        <f t="shared" ref="K32:K43" si="14">COUNTIF(Area_v6PMO,$B32)</f>
        <v>0</v>
      </c>
    </row>
    <row r="33" spans="2:12">
      <c r="B33" s="892" t="s">
        <v>1063</v>
      </c>
      <c r="C33" s="892"/>
      <c r="D33" s="363">
        <f t="shared" ref="D33:D43" si="15">SUM(F33:AK33)</f>
        <v>0</v>
      </c>
      <c r="E33" s="371">
        <f t="shared" si="8"/>
        <v>0</v>
      </c>
      <c r="F33" s="371">
        <f t="shared" si="9"/>
        <v>0</v>
      </c>
      <c r="G33" s="371">
        <f t="shared" si="10"/>
        <v>0</v>
      </c>
      <c r="H33" s="371">
        <f t="shared" si="11"/>
        <v>0</v>
      </c>
      <c r="I33" s="371">
        <f t="shared" si="12"/>
        <v>0</v>
      </c>
      <c r="J33" s="371">
        <f t="shared" si="13"/>
        <v>0</v>
      </c>
      <c r="K33" s="371">
        <f t="shared" si="14"/>
        <v>0</v>
      </c>
    </row>
    <row r="34" spans="2:12">
      <c r="B34" s="892" t="s">
        <v>1064</v>
      </c>
      <c r="C34" s="892"/>
      <c r="D34" s="363">
        <f t="shared" si="15"/>
        <v>0</v>
      </c>
      <c r="E34" s="371">
        <f t="shared" si="8"/>
        <v>0</v>
      </c>
      <c r="F34" s="371">
        <f t="shared" si="9"/>
        <v>0</v>
      </c>
      <c r="G34" s="371">
        <f t="shared" si="10"/>
        <v>0</v>
      </c>
      <c r="H34" s="371">
        <f t="shared" si="11"/>
        <v>0</v>
      </c>
      <c r="I34" s="371">
        <f t="shared" si="12"/>
        <v>0</v>
      </c>
      <c r="J34" s="371">
        <f t="shared" si="13"/>
        <v>0</v>
      </c>
      <c r="K34" s="371">
        <f t="shared" si="14"/>
        <v>0</v>
      </c>
    </row>
    <row r="35" spans="2:12">
      <c r="B35" s="892" t="s">
        <v>1065</v>
      </c>
      <c r="C35" s="892"/>
      <c r="D35" s="363">
        <f t="shared" si="15"/>
        <v>0</v>
      </c>
      <c r="E35" s="371">
        <f t="shared" si="8"/>
        <v>0</v>
      </c>
      <c r="F35" s="371">
        <f t="shared" si="9"/>
        <v>0</v>
      </c>
      <c r="G35" s="371">
        <f t="shared" si="10"/>
        <v>0</v>
      </c>
      <c r="H35" s="371">
        <f t="shared" si="11"/>
        <v>0</v>
      </c>
      <c r="I35" s="371">
        <f t="shared" si="12"/>
        <v>0</v>
      </c>
      <c r="J35" s="371">
        <f t="shared" si="13"/>
        <v>0</v>
      </c>
      <c r="K35" s="371">
        <f t="shared" si="14"/>
        <v>0</v>
      </c>
    </row>
    <row r="36" spans="2:12">
      <c r="B36" s="892" t="s">
        <v>1066</v>
      </c>
      <c r="C36" s="892"/>
      <c r="D36" s="363">
        <f t="shared" si="15"/>
        <v>6</v>
      </c>
      <c r="E36" s="371">
        <f t="shared" si="8"/>
        <v>6</v>
      </c>
      <c r="F36" s="371">
        <f t="shared" si="9"/>
        <v>1</v>
      </c>
      <c r="G36" s="371">
        <f t="shared" si="10"/>
        <v>5</v>
      </c>
      <c r="H36" s="371">
        <f t="shared" si="11"/>
        <v>0</v>
      </c>
      <c r="I36" s="371">
        <f t="shared" si="12"/>
        <v>0</v>
      </c>
      <c r="J36" s="371">
        <f t="shared" si="13"/>
        <v>0</v>
      </c>
      <c r="K36" s="371">
        <f t="shared" si="14"/>
        <v>0</v>
      </c>
    </row>
    <row r="37" spans="2:12">
      <c r="B37" s="892" t="s">
        <v>1067</v>
      </c>
      <c r="C37" s="892"/>
      <c r="D37" s="363">
        <f t="shared" si="15"/>
        <v>0</v>
      </c>
      <c r="E37" s="371">
        <f t="shared" si="8"/>
        <v>0</v>
      </c>
      <c r="F37" s="371">
        <f t="shared" si="9"/>
        <v>0</v>
      </c>
      <c r="G37" s="371">
        <f t="shared" si="10"/>
        <v>0</v>
      </c>
      <c r="H37" s="371">
        <f t="shared" si="11"/>
        <v>0</v>
      </c>
      <c r="I37" s="371">
        <f t="shared" si="12"/>
        <v>0</v>
      </c>
      <c r="J37" s="371">
        <f t="shared" si="13"/>
        <v>0</v>
      </c>
      <c r="K37" s="371">
        <f t="shared" si="14"/>
        <v>0</v>
      </c>
    </row>
    <row r="38" spans="2:12">
      <c r="B38" s="892" t="s">
        <v>1068</v>
      </c>
      <c r="C38" s="892"/>
      <c r="D38" s="363">
        <f t="shared" si="15"/>
        <v>26</v>
      </c>
      <c r="E38" s="371">
        <f t="shared" si="8"/>
        <v>26</v>
      </c>
      <c r="F38" s="371">
        <f t="shared" si="9"/>
        <v>8</v>
      </c>
      <c r="G38" s="371">
        <f t="shared" si="10"/>
        <v>10</v>
      </c>
      <c r="H38" s="371">
        <f t="shared" si="11"/>
        <v>1</v>
      </c>
      <c r="I38" s="371">
        <f t="shared" si="12"/>
        <v>1</v>
      </c>
      <c r="J38" s="371">
        <f t="shared" si="13"/>
        <v>3</v>
      </c>
      <c r="K38" s="371">
        <f t="shared" si="14"/>
        <v>3</v>
      </c>
    </row>
    <row r="39" spans="2:12">
      <c r="B39" s="892" t="s">
        <v>1069</v>
      </c>
      <c r="C39" s="892"/>
      <c r="D39" s="363">
        <f t="shared" si="15"/>
        <v>0</v>
      </c>
      <c r="E39" s="371">
        <f t="shared" si="8"/>
        <v>0</v>
      </c>
      <c r="F39" s="371">
        <f t="shared" si="9"/>
        <v>0</v>
      </c>
      <c r="G39" s="371">
        <f t="shared" si="10"/>
        <v>0</v>
      </c>
      <c r="H39" s="371">
        <f t="shared" si="11"/>
        <v>0</v>
      </c>
      <c r="I39" s="371">
        <f t="shared" si="12"/>
        <v>0</v>
      </c>
      <c r="J39" s="371">
        <f t="shared" si="13"/>
        <v>0</v>
      </c>
      <c r="K39" s="371">
        <f t="shared" si="14"/>
        <v>0</v>
      </c>
    </row>
    <row r="40" spans="2:12">
      <c r="B40" s="892" t="s">
        <v>1070</v>
      </c>
      <c r="C40" s="892"/>
      <c r="D40" s="363">
        <f t="shared" si="15"/>
        <v>0</v>
      </c>
      <c r="E40" s="371">
        <f t="shared" si="8"/>
        <v>0</v>
      </c>
      <c r="F40" s="371">
        <f t="shared" si="9"/>
        <v>0</v>
      </c>
      <c r="G40" s="371">
        <f t="shared" si="10"/>
        <v>0</v>
      </c>
      <c r="H40" s="371">
        <f t="shared" si="11"/>
        <v>0</v>
      </c>
      <c r="I40" s="371">
        <f t="shared" si="12"/>
        <v>0</v>
      </c>
      <c r="J40" s="371">
        <f t="shared" si="13"/>
        <v>0</v>
      </c>
      <c r="K40" s="371">
        <f t="shared" si="14"/>
        <v>0</v>
      </c>
    </row>
    <row r="41" spans="2:12">
      <c r="B41" s="892" t="s">
        <v>1071</v>
      </c>
      <c r="C41" s="892"/>
      <c r="D41" s="363">
        <f t="shared" si="15"/>
        <v>0</v>
      </c>
      <c r="E41" s="371">
        <f t="shared" si="8"/>
        <v>0</v>
      </c>
      <c r="F41" s="371">
        <f t="shared" si="9"/>
        <v>0</v>
      </c>
      <c r="G41" s="371">
        <f t="shared" si="10"/>
        <v>0</v>
      </c>
      <c r="H41" s="371">
        <f t="shared" si="11"/>
        <v>0</v>
      </c>
      <c r="I41" s="371">
        <f t="shared" si="12"/>
        <v>0</v>
      </c>
      <c r="J41" s="371">
        <f t="shared" si="13"/>
        <v>0</v>
      </c>
      <c r="K41" s="371">
        <f t="shared" si="14"/>
        <v>0</v>
      </c>
    </row>
    <row r="42" spans="2:12">
      <c r="B42" s="892" t="s">
        <v>1072</v>
      </c>
      <c r="C42" s="892"/>
      <c r="D42" s="363">
        <f t="shared" si="15"/>
        <v>0</v>
      </c>
      <c r="E42" s="371">
        <f t="shared" si="8"/>
        <v>0</v>
      </c>
      <c r="F42" s="371">
        <f t="shared" si="9"/>
        <v>0</v>
      </c>
      <c r="G42" s="371">
        <f t="shared" si="10"/>
        <v>0</v>
      </c>
      <c r="H42" s="371">
        <f t="shared" si="11"/>
        <v>0</v>
      </c>
      <c r="I42" s="371">
        <f t="shared" si="12"/>
        <v>0</v>
      </c>
      <c r="J42" s="371">
        <f t="shared" si="13"/>
        <v>0</v>
      </c>
      <c r="K42" s="371">
        <f t="shared" si="14"/>
        <v>0</v>
      </c>
      <c r="L42" s="367"/>
    </row>
    <row r="43" spans="2:12">
      <c r="B43" s="892" t="s">
        <v>1073</v>
      </c>
      <c r="C43" s="892"/>
      <c r="D43" s="363">
        <f t="shared" si="15"/>
        <v>0</v>
      </c>
      <c r="E43" s="371">
        <f t="shared" si="8"/>
        <v>0</v>
      </c>
      <c r="F43" s="371">
        <f t="shared" si="9"/>
        <v>0</v>
      </c>
      <c r="G43" s="371">
        <f t="shared" si="10"/>
        <v>0</v>
      </c>
      <c r="H43" s="371">
        <f t="shared" si="11"/>
        <v>0</v>
      </c>
      <c r="I43" s="371">
        <f t="shared" si="12"/>
        <v>0</v>
      </c>
      <c r="J43" s="371">
        <f t="shared" si="13"/>
        <v>0</v>
      </c>
      <c r="K43" s="371">
        <f t="shared" si="14"/>
        <v>0</v>
      </c>
    </row>
    <row r="44" spans="2:12">
      <c r="B44" s="349"/>
      <c r="C44" s="349"/>
      <c r="D44" s="349"/>
      <c r="E44" s="350"/>
      <c r="F44" s="350"/>
      <c r="G44" s="350"/>
      <c r="H44" s="350"/>
      <c r="I44" s="350"/>
      <c r="J44" s="350"/>
      <c r="K44" s="351"/>
    </row>
    <row r="45" spans="2:12" ht="13.8" thickBot="1">
      <c r="B45" s="349"/>
      <c r="C45" s="349"/>
      <c r="D45" s="349"/>
      <c r="E45" s="350"/>
      <c r="F45" s="350"/>
      <c r="G45" s="350"/>
      <c r="H45" s="350"/>
      <c r="I45" s="350"/>
      <c r="J45" s="350"/>
      <c r="K45" s="351"/>
    </row>
    <row r="46" spans="2:12">
      <c r="B46" s="906" t="s">
        <v>1603</v>
      </c>
      <c r="C46" s="907"/>
      <c r="D46" s="908"/>
      <c r="E46" s="350"/>
      <c r="F46" s="350"/>
      <c r="G46" s="350"/>
      <c r="H46" s="350"/>
      <c r="I46" s="350"/>
      <c r="J46" s="350"/>
      <c r="K46" s="351"/>
    </row>
    <row r="47" spans="2:12" ht="13.8" thickBot="1">
      <c r="B47" s="909"/>
      <c r="C47" s="910"/>
      <c r="D47" s="911"/>
      <c r="E47" s="350"/>
      <c r="F47" s="350"/>
      <c r="G47" s="350"/>
      <c r="H47" s="350"/>
      <c r="I47" s="350"/>
      <c r="J47" s="350"/>
      <c r="K47" s="351"/>
    </row>
    <row r="48" spans="2:12" ht="14.4" thickBot="1">
      <c r="B48" s="904" t="s">
        <v>1718</v>
      </c>
      <c r="C48" s="905"/>
      <c r="D48" s="372" t="s">
        <v>1719</v>
      </c>
      <c r="E48" s="350"/>
      <c r="F48" s="350"/>
      <c r="G48" s="350"/>
      <c r="H48" s="350"/>
      <c r="I48" s="350"/>
      <c r="J48" s="350"/>
      <c r="K48" s="351"/>
    </row>
    <row r="49" spans="2:11">
      <c r="B49" s="897" t="s">
        <v>1074</v>
      </c>
      <c r="C49" s="897"/>
      <c r="D49" s="363">
        <f t="shared" ref="D49:D61" si="16">SUM(F49:AK49)</f>
        <v>0</v>
      </c>
      <c r="E49" s="371">
        <f t="shared" ref="E49:E61" si="17">SUM(F49:AK49)</f>
        <v>0</v>
      </c>
      <c r="F49" s="371">
        <f t="shared" ref="F49:F61" si="18">COUNTIF(Area_v1,$B49)</f>
        <v>0</v>
      </c>
      <c r="G49" s="371">
        <f t="shared" ref="G49:G61" si="19">COUNTIF(Area_v2,$B49)</f>
        <v>0</v>
      </c>
      <c r="H49" s="371">
        <f t="shared" ref="H49:H61" si="20">COUNTIF(Area_v1MOM,$B49)</f>
        <v>0</v>
      </c>
      <c r="I49" s="371">
        <f t="shared" ref="I49:I61" si="21">COUNTIF(Area_v4MOM,$B49)</f>
        <v>0</v>
      </c>
      <c r="J49" s="371">
        <f t="shared" ref="J49:J61" si="22">COUNTIF(Area_v4PMO,$B49)</f>
        <v>0</v>
      </c>
      <c r="K49" s="371">
        <f t="shared" ref="K49:K61" si="23">COUNTIF(Area_v6PMO,$B49)</f>
        <v>0</v>
      </c>
    </row>
    <row r="50" spans="2:11">
      <c r="B50" s="892" t="s">
        <v>1075</v>
      </c>
      <c r="C50" s="892"/>
      <c r="D50" s="363">
        <f t="shared" si="16"/>
        <v>0</v>
      </c>
      <c r="E50" s="371">
        <f t="shared" si="17"/>
        <v>0</v>
      </c>
      <c r="F50" s="371">
        <f t="shared" si="18"/>
        <v>0</v>
      </c>
      <c r="G50" s="371">
        <f t="shared" si="19"/>
        <v>0</v>
      </c>
      <c r="H50" s="371">
        <f t="shared" si="20"/>
        <v>0</v>
      </c>
      <c r="I50" s="371">
        <f t="shared" si="21"/>
        <v>0</v>
      </c>
      <c r="J50" s="371">
        <f t="shared" si="22"/>
        <v>0</v>
      </c>
      <c r="K50" s="371">
        <f t="shared" si="23"/>
        <v>0</v>
      </c>
    </row>
    <row r="51" spans="2:11">
      <c r="B51" s="892" t="s">
        <v>1076</v>
      </c>
      <c r="C51" s="892"/>
      <c r="D51" s="363">
        <f t="shared" si="16"/>
        <v>0</v>
      </c>
      <c r="E51" s="371">
        <f t="shared" si="17"/>
        <v>0</v>
      </c>
      <c r="F51" s="371">
        <f t="shared" si="18"/>
        <v>0</v>
      </c>
      <c r="G51" s="371">
        <f t="shared" si="19"/>
        <v>0</v>
      </c>
      <c r="H51" s="371">
        <f t="shared" si="20"/>
        <v>0</v>
      </c>
      <c r="I51" s="371">
        <f t="shared" si="21"/>
        <v>0</v>
      </c>
      <c r="J51" s="371">
        <f t="shared" si="22"/>
        <v>0</v>
      </c>
      <c r="K51" s="371">
        <f t="shared" si="23"/>
        <v>0</v>
      </c>
    </row>
    <row r="52" spans="2:11">
      <c r="B52" s="892" t="s">
        <v>1077</v>
      </c>
      <c r="C52" s="892"/>
      <c r="D52" s="363">
        <f t="shared" si="16"/>
        <v>0</v>
      </c>
      <c r="E52" s="371">
        <f t="shared" si="17"/>
        <v>0</v>
      </c>
      <c r="F52" s="371">
        <f t="shared" si="18"/>
        <v>0</v>
      </c>
      <c r="G52" s="371">
        <f t="shared" si="19"/>
        <v>0</v>
      </c>
      <c r="H52" s="371">
        <f t="shared" si="20"/>
        <v>0</v>
      </c>
      <c r="I52" s="371">
        <f t="shared" si="21"/>
        <v>0</v>
      </c>
      <c r="J52" s="371">
        <f t="shared" si="22"/>
        <v>0</v>
      </c>
      <c r="K52" s="371">
        <f t="shared" si="23"/>
        <v>0</v>
      </c>
    </row>
    <row r="53" spans="2:11">
      <c r="B53" s="892" t="s">
        <v>1078</v>
      </c>
      <c r="C53" s="892"/>
      <c r="D53" s="363">
        <f t="shared" si="16"/>
        <v>64</v>
      </c>
      <c r="E53" s="371">
        <f t="shared" si="17"/>
        <v>64</v>
      </c>
      <c r="F53" s="371">
        <f t="shared" si="18"/>
        <v>28</v>
      </c>
      <c r="G53" s="371">
        <f t="shared" si="19"/>
        <v>21</v>
      </c>
      <c r="H53" s="371">
        <f t="shared" si="20"/>
        <v>0</v>
      </c>
      <c r="I53" s="371">
        <f t="shared" si="21"/>
        <v>0</v>
      </c>
      <c r="J53" s="371">
        <f t="shared" si="22"/>
        <v>5</v>
      </c>
      <c r="K53" s="371">
        <f t="shared" si="23"/>
        <v>10</v>
      </c>
    </row>
    <row r="54" spans="2:11">
      <c r="B54" s="892" t="s">
        <v>1079</v>
      </c>
      <c r="C54" s="892"/>
      <c r="D54" s="363">
        <f t="shared" si="16"/>
        <v>0</v>
      </c>
      <c r="E54" s="371">
        <f t="shared" si="17"/>
        <v>0</v>
      </c>
      <c r="F54" s="371">
        <f t="shared" si="18"/>
        <v>0</v>
      </c>
      <c r="G54" s="371">
        <f t="shared" si="19"/>
        <v>0</v>
      </c>
      <c r="H54" s="371">
        <f t="shared" si="20"/>
        <v>0</v>
      </c>
      <c r="I54" s="371">
        <f t="shared" si="21"/>
        <v>0</v>
      </c>
      <c r="J54" s="371">
        <f t="shared" si="22"/>
        <v>0</v>
      </c>
      <c r="K54" s="371">
        <f t="shared" si="23"/>
        <v>0</v>
      </c>
    </row>
    <row r="55" spans="2:11">
      <c r="B55" s="892" t="s">
        <v>1080</v>
      </c>
      <c r="C55" s="892"/>
      <c r="D55" s="363">
        <f t="shared" si="16"/>
        <v>0</v>
      </c>
      <c r="E55" s="371">
        <f t="shared" si="17"/>
        <v>0</v>
      </c>
      <c r="F55" s="371">
        <f t="shared" si="18"/>
        <v>0</v>
      </c>
      <c r="G55" s="371">
        <f t="shared" si="19"/>
        <v>0</v>
      </c>
      <c r="H55" s="371">
        <f t="shared" si="20"/>
        <v>0</v>
      </c>
      <c r="I55" s="371">
        <f t="shared" si="21"/>
        <v>0</v>
      </c>
      <c r="J55" s="371">
        <f t="shared" si="22"/>
        <v>0</v>
      </c>
      <c r="K55" s="371">
        <f t="shared" si="23"/>
        <v>0</v>
      </c>
    </row>
    <row r="56" spans="2:11">
      <c r="B56" s="892" t="s">
        <v>1081</v>
      </c>
      <c r="C56" s="892"/>
      <c r="D56" s="363">
        <f t="shared" si="16"/>
        <v>0</v>
      </c>
      <c r="E56" s="371">
        <f t="shared" si="17"/>
        <v>0</v>
      </c>
      <c r="F56" s="371">
        <f t="shared" si="18"/>
        <v>0</v>
      </c>
      <c r="G56" s="371">
        <f t="shared" si="19"/>
        <v>0</v>
      </c>
      <c r="H56" s="371">
        <f t="shared" si="20"/>
        <v>0</v>
      </c>
      <c r="I56" s="371">
        <f t="shared" si="21"/>
        <v>0</v>
      </c>
      <c r="J56" s="371">
        <f t="shared" si="22"/>
        <v>0</v>
      </c>
      <c r="K56" s="371">
        <f t="shared" si="23"/>
        <v>0</v>
      </c>
    </row>
    <row r="57" spans="2:11">
      <c r="B57" s="892" t="s">
        <v>1082</v>
      </c>
      <c r="C57" s="892"/>
      <c r="D57" s="363">
        <f t="shared" si="16"/>
        <v>0</v>
      </c>
      <c r="E57" s="371">
        <f t="shared" si="17"/>
        <v>0</v>
      </c>
      <c r="F57" s="371">
        <f t="shared" si="18"/>
        <v>0</v>
      </c>
      <c r="G57" s="371">
        <f t="shared" si="19"/>
        <v>0</v>
      </c>
      <c r="H57" s="371">
        <f t="shared" si="20"/>
        <v>0</v>
      </c>
      <c r="I57" s="371">
        <f t="shared" si="21"/>
        <v>0</v>
      </c>
      <c r="J57" s="371">
        <f t="shared" si="22"/>
        <v>0</v>
      </c>
      <c r="K57" s="371">
        <f t="shared" si="23"/>
        <v>0</v>
      </c>
    </row>
    <row r="58" spans="2:11">
      <c r="B58" s="892" t="s">
        <v>1083</v>
      </c>
      <c r="C58" s="892"/>
      <c r="D58" s="363">
        <f t="shared" si="16"/>
        <v>0</v>
      </c>
      <c r="E58" s="371">
        <f t="shared" si="17"/>
        <v>0</v>
      </c>
      <c r="F58" s="371">
        <f t="shared" si="18"/>
        <v>0</v>
      </c>
      <c r="G58" s="371">
        <f t="shared" si="19"/>
        <v>0</v>
      </c>
      <c r="H58" s="371">
        <f t="shared" si="20"/>
        <v>0</v>
      </c>
      <c r="I58" s="371">
        <f t="shared" si="21"/>
        <v>0</v>
      </c>
      <c r="J58" s="371">
        <f t="shared" si="22"/>
        <v>0</v>
      </c>
      <c r="K58" s="371">
        <f t="shared" si="23"/>
        <v>0</v>
      </c>
    </row>
    <row r="59" spans="2:11">
      <c r="B59" s="892" t="s">
        <v>1084</v>
      </c>
      <c r="C59" s="892"/>
      <c r="D59" s="363">
        <f t="shared" si="16"/>
        <v>0</v>
      </c>
      <c r="E59" s="371">
        <f t="shared" si="17"/>
        <v>0</v>
      </c>
      <c r="F59" s="371">
        <f t="shared" si="18"/>
        <v>0</v>
      </c>
      <c r="G59" s="371">
        <f t="shared" si="19"/>
        <v>0</v>
      </c>
      <c r="H59" s="371">
        <f t="shared" si="20"/>
        <v>0</v>
      </c>
      <c r="I59" s="371">
        <f t="shared" si="21"/>
        <v>0</v>
      </c>
      <c r="J59" s="371">
        <f t="shared" si="22"/>
        <v>0</v>
      </c>
      <c r="K59" s="371">
        <f t="shared" si="23"/>
        <v>0</v>
      </c>
    </row>
    <row r="60" spans="2:11">
      <c r="B60" s="892" t="s">
        <v>1085</v>
      </c>
      <c r="C60" s="892"/>
      <c r="D60" s="363">
        <f t="shared" si="16"/>
        <v>0</v>
      </c>
      <c r="E60" s="371">
        <f t="shared" si="17"/>
        <v>0</v>
      </c>
      <c r="F60" s="371">
        <f t="shared" si="18"/>
        <v>0</v>
      </c>
      <c r="G60" s="371">
        <f t="shared" si="19"/>
        <v>0</v>
      </c>
      <c r="H60" s="371">
        <f t="shared" si="20"/>
        <v>0</v>
      </c>
      <c r="I60" s="371">
        <f t="shared" si="21"/>
        <v>0</v>
      </c>
      <c r="J60" s="371">
        <f t="shared" si="22"/>
        <v>0</v>
      </c>
      <c r="K60" s="371">
        <f t="shared" si="23"/>
        <v>0</v>
      </c>
    </row>
    <row r="61" spans="2:11">
      <c r="B61" s="892" t="s">
        <v>1086</v>
      </c>
      <c r="C61" s="892"/>
      <c r="D61" s="363">
        <f t="shared" si="16"/>
        <v>0</v>
      </c>
      <c r="E61" s="371">
        <f t="shared" si="17"/>
        <v>0</v>
      </c>
      <c r="F61" s="371">
        <f t="shared" si="18"/>
        <v>0</v>
      </c>
      <c r="G61" s="371">
        <f t="shared" si="19"/>
        <v>0</v>
      </c>
      <c r="H61" s="371">
        <f t="shared" si="20"/>
        <v>0</v>
      </c>
      <c r="I61" s="371">
        <f t="shared" si="21"/>
        <v>0</v>
      </c>
      <c r="J61" s="371">
        <f t="shared" si="22"/>
        <v>0</v>
      </c>
      <c r="K61" s="371">
        <f t="shared" si="23"/>
        <v>0</v>
      </c>
    </row>
    <row r="62" spans="2:11">
      <c r="B62" s="349"/>
      <c r="C62" s="349"/>
      <c r="D62" s="349"/>
      <c r="E62" s="350"/>
      <c r="F62" s="350"/>
      <c r="G62" s="350"/>
      <c r="H62" s="350"/>
      <c r="I62" s="350"/>
      <c r="J62" s="350"/>
      <c r="K62" s="351"/>
    </row>
    <row r="63" spans="2:11" ht="13.8" thickBot="1">
      <c r="B63" s="349"/>
      <c r="C63" s="349"/>
      <c r="D63" s="349"/>
      <c r="E63" s="350"/>
      <c r="F63" s="350"/>
      <c r="G63" s="350"/>
      <c r="H63" s="350"/>
      <c r="I63" s="350"/>
      <c r="J63" s="350"/>
      <c r="K63" s="351"/>
    </row>
    <row r="64" spans="2:11">
      <c r="B64" s="898" t="s">
        <v>614</v>
      </c>
      <c r="C64" s="899"/>
      <c r="D64" s="900"/>
      <c r="E64" s="350"/>
      <c r="F64" s="350"/>
      <c r="G64" s="350"/>
      <c r="H64" s="350"/>
      <c r="I64" s="350"/>
      <c r="J64" s="350"/>
      <c r="K64" s="351"/>
    </row>
    <row r="65" spans="2:11" ht="13.8" thickBot="1">
      <c r="B65" s="901"/>
      <c r="C65" s="902"/>
      <c r="D65" s="903"/>
      <c r="E65" s="350"/>
      <c r="F65" s="350"/>
      <c r="G65" s="350"/>
      <c r="H65" s="350"/>
      <c r="I65" s="350"/>
      <c r="J65" s="350"/>
      <c r="K65" s="351"/>
    </row>
    <row r="66" spans="2:11" ht="14.4" thickBot="1">
      <c r="B66" s="904" t="s">
        <v>1718</v>
      </c>
      <c r="C66" s="905"/>
      <c r="D66" s="372" t="s">
        <v>1719</v>
      </c>
      <c r="E66" s="350"/>
      <c r="F66" s="350"/>
      <c r="G66" s="350"/>
      <c r="H66" s="350"/>
      <c r="I66" s="350"/>
      <c r="J66" s="350"/>
      <c r="K66" s="351"/>
    </row>
    <row r="67" spans="2:11">
      <c r="B67" s="897" t="s">
        <v>53</v>
      </c>
      <c r="C67" s="897"/>
      <c r="D67" s="363">
        <f t="shared" ref="D67:D72" si="24">SUM(F67:AK67)</f>
        <v>0</v>
      </c>
      <c r="E67" s="371">
        <f t="shared" ref="E67:E72" si="25">SUM(F67:AK67)</f>
        <v>0</v>
      </c>
      <c r="F67" s="371">
        <f t="shared" ref="F67:F72" si="26">COUNTIF(Area_v1,$B67)</f>
        <v>0</v>
      </c>
      <c r="G67" s="371">
        <f t="shared" ref="G67:G72" si="27">COUNTIF(Area_v2,$B67)</f>
        <v>0</v>
      </c>
      <c r="H67" s="371">
        <f t="shared" ref="H67:H72" si="28">COUNTIF(Area_v1MOM,$B67)</f>
        <v>0</v>
      </c>
      <c r="I67" s="371">
        <f t="shared" ref="I67:I72" si="29">COUNTIF(Area_v4MOM,$B67)</f>
        <v>0</v>
      </c>
      <c r="J67" s="371">
        <f t="shared" ref="J67:J72" si="30">COUNTIF(Area_v4PMO,$B67)</f>
        <v>0</v>
      </c>
      <c r="K67" s="371">
        <f t="shared" ref="K67:K72" si="31">COUNTIF(Area_v6PMO,$B67)</f>
        <v>0</v>
      </c>
    </row>
    <row r="68" spans="2:11">
      <c r="B68" s="897" t="s">
        <v>55</v>
      </c>
      <c r="C68" s="897"/>
      <c r="D68" s="363">
        <f t="shared" si="24"/>
        <v>0</v>
      </c>
      <c r="E68" s="371">
        <f t="shared" si="25"/>
        <v>0</v>
      </c>
      <c r="F68" s="371">
        <f t="shared" si="26"/>
        <v>0</v>
      </c>
      <c r="G68" s="371">
        <f t="shared" si="27"/>
        <v>0</v>
      </c>
      <c r="H68" s="371">
        <f t="shared" si="28"/>
        <v>0</v>
      </c>
      <c r="I68" s="371">
        <f t="shared" si="29"/>
        <v>0</v>
      </c>
      <c r="J68" s="371">
        <f t="shared" si="30"/>
        <v>0</v>
      </c>
      <c r="K68" s="371">
        <f t="shared" si="31"/>
        <v>0</v>
      </c>
    </row>
    <row r="69" spans="2:11">
      <c r="B69" s="892" t="s">
        <v>56</v>
      </c>
      <c r="C69" s="892"/>
      <c r="D69" s="363">
        <f t="shared" si="24"/>
        <v>0</v>
      </c>
      <c r="E69" s="371">
        <f t="shared" si="25"/>
        <v>0</v>
      </c>
      <c r="F69" s="371">
        <f t="shared" si="26"/>
        <v>0</v>
      </c>
      <c r="G69" s="371">
        <f t="shared" si="27"/>
        <v>0</v>
      </c>
      <c r="H69" s="371">
        <f t="shared" si="28"/>
        <v>0</v>
      </c>
      <c r="I69" s="371">
        <f t="shared" si="29"/>
        <v>0</v>
      </c>
      <c r="J69" s="371">
        <f t="shared" si="30"/>
        <v>0</v>
      </c>
      <c r="K69" s="371">
        <f t="shared" si="31"/>
        <v>0</v>
      </c>
    </row>
    <row r="70" spans="2:11">
      <c r="B70" s="892" t="s">
        <v>1087</v>
      </c>
      <c r="C70" s="892"/>
      <c r="D70" s="363">
        <f t="shared" si="24"/>
        <v>0</v>
      </c>
      <c r="E70" s="371">
        <f t="shared" si="25"/>
        <v>0</v>
      </c>
      <c r="F70" s="371">
        <f t="shared" si="26"/>
        <v>0</v>
      </c>
      <c r="G70" s="371">
        <f t="shared" si="27"/>
        <v>0</v>
      </c>
      <c r="H70" s="371">
        <f t="shared" si="28"/>
        <v>0</v>
      </c>
      <c r="I70" s="371">
        <f t="shared" si="29"/>
        <v>0</v>
      </c>
      <c r="J70" s="371">
        <f t="shared" si="30"/>
        <v>0</v>
      </c>
      <c r="K70" s="371">
        <f t="shared" si="31"/>
        <v>0</v>
      </c>
    </row>
    <row r="71" spans="2:11">
      <c r="B71" s="892" t="s">
        <v>54</v>
      </c>
      <c r="C71" s="892"/>
      <c r="D71" s="363">
        <f t="shared" si="24"/>
        <v>0</v>
      </c>
      <c r="E71" s="371">
        <f t="shared" si="25"/>
        <v>0</v>
      </c>
      <c r="F71" s="371">
        <f t="shared" si="26"/>
        <v>0</v>
      </c>
      <c r="G71" s="371">
        <f t="shared" si="27"/>
        <v>0</v>
      </c>
      <c r="H71" s="371">
        <f t="shared" si="28"/>
        <v>0</v>
      </c>
      <c r="I71" s="371">
        <f t="shared" si="29"/>
        <v>0</v>
      </c>
      <c r="J71" s="371">
        <f t="shared" si="30"/>
        <v>0</v>
      </c>
      <c r="K71" s="371">
        <f t="shared" si="31"/>
        <v>0</v>
      </c>
    </row>
    <row r="72" spans="2:11">
      <c r="B72" s="892" t="s">
        <v>1088</v>
      </c>
      <c r="C72" s="892"/>
      <c r="D72" s="363">
        <f t="shared" si="24"/>
        <v>0</v>
      </c>
      <c r="E72" s="371">
        <f t="shared" si="25"/>
        <v>0</v>
      </c>
      <c r="F72" s="371">
        <f t="shared" si="26"/>
        <v>0</v>
      </c>
      <c r="G72" s="371">
        <f t="shared" si="27"/>
        <v>0</v>
      </c>
      <c r="H72" s="371">
        <f t="shared" si="28"/>
        <v>0</v>
      </c>
      <c r="I72" s="371">
        <f t="shared" si="29"/>
        <v>0</v>
      </c>
      <c r="J72" s="371">
        <f t="shared" si="30"/>
        <v>0</v>
      </c>
      <c r="K72" s="371">
        <f t="shared" si="31"/>
        <v>0</v>
      </c>
    </row>
    <row r="74" spans="2:11" hidden="1">
      <c r="B74" s="893" t="s">
        <v>617</v>
      </c>
      <c r="C74" s="893"/>
      <c r="D74" s="893"/>
      <c r="E74" s="893"/>
      <c r="F74" s="893"/>
      <c r="G74" s="893"/>
      <c r="H74" s="893"/>
      <c r="I74" s="893"/>
      <c r="J74" s="893"/>
    </row>
    <row r="75" spans="2:11" hidden="1">
      <c r="B75" s="349"/>
      <c r="C75" s="368"/>
      <c r="D75" s="349"/>
    </row>
    <row r="76" spans="2:11" ht="13.8" hidden="1" thickBot="1">
      <c r="B76" s="349"/>
      <c r="C76" s="349"/>
      <c r="D76" s="368"/>
    </row>
    <row r="77" spans="2:11" ht="14.4" hidden="1" thickBot="1">
      <c r="B77" s="894" t="s">
        <v>188</v>
      </c>
      <c r="C77" s="895"/>
      <c r="D77" s="896"/>
    </row>
    <row r="78" spans="2:11" ht="14.4" hidden="1" thickBot="1">
      <c r="B78" s="369" t="s">
        <v>176</v>
      </c>
      <c r="C78" s="369" t="s">
        <v>177</v>
      </c>
      <c r="D78" s="369" t="s">
        <v>178</v>
      </c>
    </row>
    <row r="79" spans="2:11">
      <c r="C79" s="349"/>
      <c r="D79" s="349"/>
    </row>
    <row r="87" spans="2:10">
      <c r="B87" s="367"/>
      <c r="C87" s="367"/>
      <c r="D87" s="367"/>
      <c r="F87" s="370"/>
      <c r="G87" s="370"/>
      <c r="H87" s="370"/>
      <c r="I87" s="370"/>
      <c r="J87" s="370"/>
    </row>
  </sheetData>
  <mergeCells count="59">
    <mergeCell ref="B2:D2"/>
    <mergeCell ref="B10:C10"/>
    <mergeCell ref="B12:D13"/>
    <mergeCell ref="B24:C24"/>
    <mergeCell ref="B25:C25"/>
    <mergeCell ref="B5:C5"/>
    <mergeCell ref="B4:C4"/>
    <mergeCell ref="B3:C3"/>
    <mergeCell ref="B6:C6"/>
    <mergeCell ref="B16:C16"/>
    <mergeCell ref="B17:C17"/>
    <mergeCell ref="B18:C18"/>
    <mergeCell ref="B14:C14"/>
    <mergeCell ref="B15:C15"/>
    <mergeCell ref="B22:C22"/>
    <mergeCell ref="B23:C23"/>
    <mergeCell ref="B19:C19"/>
    <mergeCell ref="B20:C20"/>
    <mergeCell ref="B21:C21"/>
    <mergeCell ref="B26:C26"/>
    <mergeCell ref="B29:D30"/>
    <mergeCell ref="B31:C31"/>
    <mergeCell ref="B32:C32"/>
    <mergeCell ref="B33:C33"/>
    <mergeCell ref="B34:C34"/>
    <mergeCell ref="B35:C35"/>
    <mergeCell ref="B36:C36"/>
    <mergeCell ref="B37:C37"/>
    <mergeCell ref="B38:C38"/>
    <mergeCell ref="B39:C39"/>
    <mergeCell ref="B40:C40"/>
    <mergeCell ref="B41:C41"/>
    <mergeCell ref="B42:C42"/>
    <mergeCell ref="B43:C43"/>
    <mergeCell ref="B46:D47"/>
    <mergeCell ref="B48:C48"/>
    <mergeCell ref="B49:C49"/>
    <mergeCell ref="B50:C50"/>
    <mergeCell ref="B51:C51"/>
    <mergeCell ref="B52:C52"/>
    <mergeCell ref="B53:C53"/>
    <mergeCell ref="B54:C54"/>
    <mergeCell ref="B55:C55"/>
    <mergeCell ref="B56:C56"/>
    <mergeCell ref="B57:C57"/>
    <mergeCell ref="B58:C58"/>
    <mergeCell ref="B59:C59"/>
    <mergeCell ref="B60:C60"/>
    <mergeCell ref="B61:C61"/>
    <mergeCell ref="B64:D65"/>
    <mergeCell ref="B66:C66"/>
    <mergeCell ref="B72:C72"/>
    <mergeCell ref="B74:J74"/>
    <mergeCell ref="B77:D77"/>
    <mergeCell ref="B67:C67"/>
    <mergeCell ref="B68:C68"/>
    <mergeCell ref="B69:C69"/>
    <mergeCell ref="B70:C70"/>
    <mergeCell ref="B71:C7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66</vt:i4>
      </vt:variant>
    </vt:vector>
  </HeadingPairs>
  <TitlesOfParts>
    <vt:vector size="79" baseType="lpstr">
      <vt:lpstr>Revision Data</vt:lpstr>
      <vt:lpstr>HR Track 1</vt:lpstr>
      <vt:lpstr>HR Track 2</vt:lpstr>
      <vt:lpstr>HR Track 1 MOM</vt:lpstr>
      <vt:lpstr>HR Track 4 MOM</vt:lpstr>
      <vt:lpstr>HR Track 4 PMO</vt:lpstr>
      <vt:lpstr>HR Track 6 PMO</vt:lpstr>
      <vt:lpstr>Legend</vt:lpstr>
      <vt:lpstr>Pole_Calc</vt:lpstr>
      <vt:lpstr>Foundation_Calc</vt:lpstr>
      <vt:lpstr>Foundation_BOQ</vt:lpstr>
      <vt:lpstr>Recuento Conjuntos</vt:lpstr>
      <vt:lpstr>Arms</vt:lpstr>
      <vt:lpstr>Foundation_BOQ!Área_de_impresión</vt:lpstr>
      <vt:lpstr>'HR Track 1'!Área_de_impresión</vt:lpstr>
      <vt:lpstr>'HR Track 1 MOM'!Área_de_impresión</vt:lpstr>
      <vt:lpstr>'HR Track 2'!Área_de_impresión</vt:lpstr>
      <vt:lpstr>'HR Track 4 MOM'!Área_de_impresión</vt:lpstr>
      <vt:lpstr>'HR Track 4 PMO'!Área_de_impresión</vt:lpstr>
      <vt:lpstr>'HR Track 6 PMO'!Área_de_impresión</vt:lpstr>
      <vt:lpstr>'Revision Data'!Área_de_impresión</vt:lpstr>
      <vt:lpstr>Area_S1</vt:lpstr>
      <vt:lpstr>Area_S1MOM</vt:lpstr>
      <vt:lpstr>Area_S2</vt:lpstr>
      <vt:lpstr>Area_S4MOM</vt:lpstr>
      <vt:lpstr>Area_S4PMO</vt:lpstr>
      <vt:lpstr>Area_S6PMO</vt:lpstr>
      <vt:lpstr>Area_v1</vt:lpstr>
      <vt:lpstr>Area_v1_AncFound</vt:lpstr>
      <vt:lpstr>Area_v1MOM</vt:lpstr>
      <vt:lpstr>Area_v1MOM_AncFound</vt:lpstr>
      <vt:lpstr>Area_v2</vt:lpstr>
      <vt:lpstr>Area_v2_AncFound</vt:lpstr>
      <vt:lpstr>Area_v4_AncFound</vt:lpstr>
      <vt:lpstr>Area_v4MOM</vt:lpstr>
      <vt:lpstr>Area_v4PMO</vt:lpstr>
      <vt:lpstr>Area_v4PMO_AncFound</vt:lpstr>
      <vt:lpstr>Area_v6PMO</vt:lpstr>
      <vt:lpstr>Area_v6PMO_AncFound</vt:lpstr>
      <vt:lpstr>cantones_v1</vt:lpstr>
      <vt:lpstr>cantones_v1MOM</vt:lpstr>
      <vt:lpstr>cantones_v2</vt:lpstr>
      <vt:lpstr>cantones_v4MOM</vt:lpstr>
      <vt:lpstr>cantones_v4PMO</vt:lpstr>
      <vt:lpstr>cantones_v6PMO</vt:lpstr>
      <vt:lpstr>m2_v1</vt:lpstr>
      <vt:lpstr>m2_v1MOM</vt:lpstr>
      <vt:lpstr>m2_v2</vt:lpstr>
      <vt:lpstr>m2_v4MOM</vt:lpstr>
      <vt:lpstr>m2_v4PMO</vt:lpstr>
      <vt:lpstr>m2_v6PMO</vt:lpstr>
      <vt:lpstr>'HR Track 1'!Print_Area</vt:lpstr>
      <vt:lpstr>'HR Track 1 MOM'!Print_Area</vt:lpstr>
      <vt:lpstr>'HR Track 2'!Print_Area</vt:lpstr>
      <vt:lpstr>'HR Track 4 MOM'!Print_Area</vt:lpstr>
      <vt:lpstr>'HR Track 4 PMO'!Print_Area</vt:lpstr>
      <vt:lpstr>'HR Track 6 PMO'!Print_Area</vt:lpstr>
      <vt:lpstr>'Recuento Conjuntos'!Print_Area</vt:lpstr>
      <vt:lpstr>'Revision Data'!Print_Area</vt:lpstr>
      <vt:lpstr>'HR Track 1'!Print_Titles</vt:lpstr>
      <vt:lpstr>'HR Track 1 MOM'!Print_Titles</vt:lpstr>
      <vt:lpstr>'HR Track 2'!Print_Titles</vt:lpstr>
      <vt:lpstr>'HR Track 4 MOM'!Print_Titles</vt:lpstr>
      <vt:lpstr>'HR Track 4 PMO'!Print_Titles</vt:lpstr>
      <vt:lpstr>'HR Track 6 PMO'!Print_Titles</vt:lpstr>
      <vt:lpstr>'Recuento Conjuntos'!Print_Titles</vt:lpstr>
      <vt:lpstr>Foundation_BOQ!Títulos_a_imprimir</vt:lpstr>
      <vt:lpstr>'HR Track 1'!Títulos_a_imprimir</vt:lpstr>
      <vt:lpstr>'HR Track 1 MOM'!Títulos_a_imprimir</vt:lpstr>
      <vt:lpstr>'HR Track 2'!Títulos_a_imprimir</vt:lpstr>
      <vt:lpstr>'HR Track 4 MOM'!Títulos_a_imprimir</vt:lpstr>
      <vt:lpstr>'HR Track 4 PMO'!Títulos_a_imprimir</vt:lpstr>
      <vt:lpstr>'HR Track 6 PMO'!Títulos_a_imprimir</vt:lpstr>
      <vt:lpstr>Vanos_v1</vt:lpstr>
      <vt:lpstr>vanos_v1MOM</vt:lpstr>
      <vt:lpstr>vanos_v2</vt:lpstr>
      <vt:lpstr>vanos_v4MOM</vt:lpstr>
      <vt:lpstr>vanos_v4PMO</vt:lpstr>
      <vt:lpstr>vanos_v6PMO</vt:lpstr>
    </vt:vector>
  </TitlesOfParts>
  <Company>aaa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B15PFX</dc:creator>
  <cp:lastModifiedBy>Alejandro Guerrero Egido</cp:lastModifiedBy>
  <cp:lastPrinted>2022-03-08T15:35:24Z</cp:lastPrinted>
  <dcterms:created xsi:type="dcterms:W3CDTF">2004-11-10T08:21:46Z</dcterms:created>
  <dcterms:modified xsi:type="dcterms:W3CDTF">2025-09-10T12:17:13Z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144d0a-3300-4c20-bef2-406ebb238add_Enabled">
    <vt:lpwstr>true</vt:lpwstr>
  </property>
  <property fmtid="{D5CDD505-2E9C-101B-9397-08002B2CF9AE}" pid="3" name="MSIP_Label_ea144d0a-3300-4c20-bef2-406ebb238add_SetDate">
    <vt:lpwstr>2025-09-10T12:17:12Z</vt:lpwstr>
  </property>
  <property fmtid="{D5CDD505-2E9C-101B-9397-08002B2CF9AE}" pid="4" name="MSIP_Label_ea144d0a-3300-4c20-bef2-406ebb238add_Method">
    <vt:lpwstr>Standard</vt:lpwstr>
  </property>
  <property fmtid="{D5CDD505-2E9C-101B-9397-08002B2CF9AE}" pid="5" name="MSIP_Label_ea144d0a-3300-4c20-bef2-406ebb238add_Name">
    <vt:lpwstr>defa4170-0d19-0005-0001-bc88714345d2</vt:lpwstr>
  </property>
  <property fmtid="{D5CDD505-2E9C-101B-9397-08002B2CF9AE}" pid="6" name="MSIP_Label_ea144d0a-3300-4c20-bef2-406ebb238add_SiteId">
    <vt:lpwstr>104c96c8-22dd-46a6-b38c-96249a23d3de</vt:lpwstr>
  </property>
  <property fmtid="{D5CDD505-2E9C-101B-9397-08002B2CF9AE}" pid="7" name="MSIP_Label_ea144d0a-3300-4c20-bef2-406ebb238add_ActionId">
    <vt:lpwstr>23aadf05-3f7f-41f2-ba6c-039a5c679778</vt:lpwstr>
  </property>
  <property fmtid="{D5CDD505-2E9C-101B-9397-08002B2CF9AE}" pid="8" name="MSIP_Label_ea144d0a-3300-4c20-bef2-406ebb238add_ContentBits">
    <vt:lpwstr>0</vt:lpwstr>
  </property>
  <property fmtid="{D5CDD505-2E9C-101B-9397-08002B2CF9AE}" pid="9" name="MSIP_Label_ea144d0a-3300-4c20-bef2-406ebb238add_Tag">
    <vt:lpwstr>10, 3, 0, 1</vt:lpwstr>
  </property>
</Properties>
</file>